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Biofuels\"/>
    </mc:Choice>
  </mc:AlternateContent>
  <xr:revisionPtr revIDLastSave="0" documentId="13_ncr:1_{CA9D8C99-86B0-4BA6-9352-D49D234BD682}" xr6:coauthVersionLast="47" xr6:coauthVersionMax="47" xr10:uidLastSave="{00000000-0000-0000-0000-000000000000}"/>
  <bookViews>
    <workbookView xWindow="-24405" yWindow="750" windowWidth="22680" windowHeight="15375" firstSheet="7" activeTab="11" xr2:uid="{730152B8-7B93-4932-9F1F-26FD5FD6D603}"/>
  </bookViews>
  <sheets>
    <sheet name="Dashboard" sheetId="1" r:id="rId1"/>
    <sheet name="Biodiesel " sheetId="2" r:id="rId2"/>
    <sheet name="Removed Projects" sheetId="3" r:id="rId3"/>
    <sheet name="Canada Renewable Diesel" sheetId="4" r:id="rId4"/>
    <sheet name="Renewable Diesel" sheetId="5" r:id="rId5"/>
    <sheet name="RD Feedstock Breakdown" sheetId="6" r:id="rId6"/>
    <sheet name="Co-Processing" sheetId="7" r:id="rId7"/>
    <sheet name="Co-Pro Feedstock Breakdown" sheetId="8" r:id="rId8"/>
    <sheet name="Feedstock Conversion Rates" sheetId="9" r:id="rId9"/>
    <sheet name="SBO Use" sheetId="10" r:id="rId10"/>
    <sheet name="Sheet1" sheetId="11" r:id="rId11"/>
    <sheet name="RD Feedstock Use" sheetId="12" r:id="rId12"/>
    <sheet name="SAF Feedstock Use" sheetId="13" r:id="rId13"/>
  </sheets>
  <externalReferences>
    <externalReference r:id="rId14"/>
    <externalReference r:id="rId15"/>
    <externalReference r:id="rId16"/>
    <externalReference r:id="rId17"/>
    <externalReference r:id="rId18"/>
  </externalReferences>
  <definedNames>
    <definedName name="_xlnm.Print_Titles" localSheetId="4">'Renewable Diesel'!$A:$A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3" l="1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M494" i="13" l="1"/>
  <c r="M482" i="13"/>
  <c r="M470" i="13"/>
  <c r="M458" i="13"/>
  <c r="M446" i="13"/>
  <c r="M434" i="13"/>
  <c r="M422" i="13"/>
  <c r="M410" i="13"/>
  <c r="M398" i="13"/>
  <c r="M386" i="13"/>
  <c r="M374" i="13"/>
  <c r="M362" i="13"/>
  <c r="M350" i="13"/>
  <c r="M338" i="13"/>
  <c r="M326" i="13"/>
  <c r="M314" i="13"/>
  <c r="M302" i="13"/>
  <c r="M290" i="13"/>
  <c r="M278" i="13"/>
  <c r="M266" i="13"/>
  <c r="M254" i="13"/>
  <c r="M242" i="13"/>
  <c r="M230" i="13"/>
  <c r="M218" i="13"/>
  <c r="M206" i="13"/>
  <c r="M194" i="13"/>
  <c r="M182" i="13"/>
  <c r="M170" i="13"/>
  <c r="M158" i="13"/>
  <c r="M146" i="13"/>
  <c r="M134" i="13"/>
  <c r="M122" i="13"/>
  <c r="M110" i="13"/>
  <c r="M98" i="13"/>
  <c r="M86" i="13"/>
  <c r="M62" i="13"/>
  <c r="M50" i="13"/>
  <c r="M38" i="13"/>
  <c r="M26" i="13"/>
  <c r="M14" i="13"/>
  <c r="M493" i="13"/>
  <c r="M481" i="13"/>
  <c r="M469" i="13"/>
  <c r="M457" i="13"/>
  <c r="M445" i="13"/>
  <c r="M433" i="13"/>
  <c r="M421" i="13"/>
  <c r="M409" i="13"/>
  <c r="M397" i="13"/>
  <c r="M385" i="13"/>
  <c r="M373" i="13"/>
  <c r="M361" i="13"/>
  <c r="M349" i="13"/>
  <c r="M337" i="13"/>
  <c r="M325" i="13"/>
  <c r="M313" i="13"/>
  <c r="M301" i="13"/>
  <c r="M289" i="13"/>
  <c r="M277" i="13"/>
  <c r="M265" i="13"/>
  <c r="M253" i="13"/>
  <c r="M241" i="13"/>
  <c r="M229" i="13"/>
  <c r="M217" i="13"/>
  <c r="M205" i="13"/>
  <c r="M193" i="13"/>
  <c r="M181" i="13"/>
  <c r="M169" i="13"/>
  <c r="M157" i="13"/>
  <c r="M145" i="13"/>
  <c r="M133" i="13"/>
  <c r="M121" i="13"/>
  <c r="M109" i="13"/>
  <c r="M97" i="13"/>
  <c r="M85" i="13"/>
  <c r="M61" i="13"/>
  <c r="M49" i="13"/>
  <c r="M37" i="13"/>
  <c r="M25" i="13"/>
  <c r="M13" i="13"/>
  <c r="M492" i="13"/>
  <c r="M480" i="13"/>
  <c r="M468" i="13"/>
  <c r="M456" i="13"/>
  <c r="M444" i="13"/>
  <c r="M432" i="13"/>
  <c r="M420" i="13"/>
  <c r="M408" i="13"/>
  <c r="M396" i="13"/>
  <c r="M384" i="13"/>
  <c r="M372" i="13"/>
  <c r="M360" i="13"/>
  <c r="M348" i="13"/>
  <c r="M336" i="13"/>
  <c r="M324" i="13"/>
  <c r="M312" i="13"/>
  <c r="M300" i="13"/>
  <c r="M288" i="13"/>
  <c r="M276" i="13"/>
  <c r="M264" i="13"/>
  <c r="M252" i="13"/>
  <c r="M240" i="13"/>
  <c r="M228" i="13"/>
  <c r="M216" i="13"/>
  <c r="M204" i="13"/>
  <c r="M192" i="13"/>
  <c r="M180" i="13"/>
  <c r="M168" i="13"/>
  <c r="M156" i="13"/>
  <c r="M144" i="13"/>
  <c r="M132" i="13"/>
  <c r="M120" i="13"/>
  <c r="M108" i="13"/>
  <c r="M96" i="13"/>
  <c r="M84" i="13"/>
  <c r="M60" i="13"/>
  <c r="M48" i="13"/>
  <c r="M36" i="13"/>
  <c r="M24" i="13"/>
  <c r="M12" i="13"/>
  <c r="M491" i="13"/>
  <c r="M479" i="13"/>
  <c r="M467" i="13"/>
  <c r="M455" i="13"/>
  <c r="M443" i="13"/>
  <c r="M431" i="13"/>
  <c r="M419" i="13"/>
  <c r="M407" i="13"/>
  <c r="M395" i="13"/>
  <c r="M383" i="13"/>
  <c r="M371" i="13"/>
  <c r="M359" i="13"/>
  <c r="M347" i="13"/>
  <c r="M335" i="13"/>
  <c r="M323" i="13"/>
  <c r="M311" i="13"/>
  <c r="M299" i="13"/>
  <c r="M287" i="13"/>
  <c r="M275" i="13"/>
  <c r="M263" i="13"/>
  <c r="M251" i="13"/>
  <c r="M239" i="13"/>
  <c r="M227" i="13"/>
  <c r="M215" i="13"/>
  <c r="M203" i="13"/>
  <c r="M191" i="13"/>
  <c r="M179" i="13"/>
  <c r="M167" i="13"/>
  <c r="M155" i="13"/>
  <c r="M143" i="13"/>
  <c r="M131" i="13"/>
  <c r="M119" i="13"/>
  <c r="M107" i="13"/>
  <c r="M95" i="13"/>
  <c r="M83" i="13"/>
  <c r="M59" i="13"/>
  <c r="M47" i="13"/>
  <c r="M35" i="13"/>
  <c r="M23" i="13"/>
  <c r="M11" i="13"/>
  <c r="M490" i="13"/>
  <c r="M478" i="13"/>
  <c r="M466" i="13"/>
  <c r="M454" i="13"/>
  <c r="M442" i="13"/>
  <c r="M430" i="13"/>
  <c r="M418" i="13"/>
  <c r="M406" i="13"/>
  <c r="M394" i="13"/>
  <c r="M382" i="13"/>
  <c r="M370" i="13"/>
  <c r="M358" i="13"/>
  <c r="M346" i="13"/>
  <c r="M334" i="13"/>
  <c r="M322" i="13"/>
  <c r="M310" i="13"/>
  <c r="M298" i="13"/>
  <c r="M286" i="13"/>
  <c r="M274" i="13"/>
  <c r="M262" i="13"/>
  <c r="M250" i="13"/>
  <c r="M238" i="13"/>
  <c r="M226" i="13"/>
  <c r="M214" i="13"/>
  <c r="M202" i="13"/>
  <c r="M190" i="13"/>
  <c r="M178" i="13"/>
  <c r="M166" i="13"/>
  <c r="M154" i="13"/>
  <c r="M142" i="13"/>
  <c r="M130" i="13"/>
  <c r="M118" i="13"/>
  <c r="M106" i="13"/>
  <c r="M94" i="13"/>
  <c r="M82" i="13"/>
  <c r="M58" i="13"/>
  <c r="M46" i="13"/>
  <c r="M34" i="13"/>
  <c r="M22" i="13"/>
  <c r="M10" i="13"/>
  <c r="M489" i="13"/>
  <c r="M477" i="13"/>
  <c r="M465" i="13"/>
  <c r="M453" i="13"/>
  <c r="M441" i="13"/>
  <c r="M429" i="13"/>
  <c r="M417" i="13"/>
  <c r="M405" i="13"/>
  <c r="M393" i="13"/>
  <c r="M381" i="13"/>
  <c r="M369" i="13"/>
  <c r="M357" i="13"/>
  <c r="M345" i="13"/>
  <c r="M333" i="13"/>
  <c r="M321" i="13"/>
  <c r="M309" i="13"/>
  <c r="M297" i="13"/>
  <c r="M285" i="13"/>
  <c r="M273" i="13"/>
  <c r="M261" i="13"/>
  <c r="M249" i="13"/>
  <c r="M237" i="13"/>
  <c r="M225" i="13"/>
  <c r="M213" i="13"/>
  <c r="M201" i="13"/>
  <c r="M189" i="13"/>
  <c r="M177" i="13"/>
  <c r="M165" i="13"/>
  <c r="M153" i="13"/>
  <c r="M141" i="13"/>
  <c r="M129" i="13"/>
  <c r="M117" i="13"/>
  <c r="M105" i="13"/>
  <c r="M93" i="13"/>
  <c r="M81" i="13"/>
  <c r="M57" i="13"/>
  <c r="M45" i="13"/>
  <c r="M33" i="13"/>
  <c r="M21" i="13"/>
  <c r="M9" i="13"/>
  <c r="M488" i="13"/>
  <c r="M476" i="13"/>
  <c r="M464" i="13"/>
  <c r="M452" i="13"/>
  <c r="M440" i="13"/>
  <c r="M428" i="13"/>
  <c r="M416" i="13"/>
  <c r="M404" i="13"/>
  <c r="M392" i="13"/>
  <c r="M380" i="13"/>
  <c r="M368" i="13"/>
  <c r="M356" i="13"/>
  <c r="M344" i="13"/>
  <c r="M332" i="13"/>
  <c r="M320" i="13"/>
  <c r="M308" i="13"/>
  <c r="M296" i="13"/>
  <c r="M284" i="13"/>
  <c r="M272" i="13"/>
  <c r="M260" i="13"/>
  <c r="M248" i="13"/>
  <c r="M236" i="13"/>
  <c r="M224" i="13"/>
  <c r="M212" i="13"/>
  <c r="M200" i="13"/>
  <c r="M188" i="13"/>
  <c r="M176" i="13"/>
  <c r="M164" i="13"/>
  <c r="M152" i="13"/>
  <c r="M140" i="13"/>
  <c r="M128" i="13"/>
  <c r="M116" i="13"/>
  <c r="M104" i="13"/>
  <c r="M92" i="13"/>
  <c r="M80" i="13"/>
  <c r="M56" i="13"/>
  <c r="M44" i="13"/>
  <c r="M32" i="13"/>
  <c r="M20" i="13"/>
  <c r="M8" i="13"/>
  <c r="M487" i="13"/>
  <c r="M475" i="13"/>
  <c r="M463" i="13"/>
  <c r="M451" i="13"/>
  <c r="M439" i="13"/>
  <c r="M427" i="13"/>
  <c r="M415" i="13"/>
  <c r="M403" i="13"/>
  <c r="M391" i="13"/>
  <c r="M379" i="13"/>
  <c r="M367" i="13"/>
  <c r="M355" i="13"/>
  <c r="M343" i="13"/>
  <c r="M331" i="13"/>
  <c r="M319" i="13"/>
  <c r="M307" i="13"/>
  <c r="M295" i="13"/>
  <c r="M283" i="13"/>
  <c r="M271" i="13"/>
  <c r="M259" i="13"/>
  <c r="M247" i="13"/>
  <c r="M235" i="13"/>
  <c r="M223" i="13"/>
  <c r="M211" i="13"/>
  <c r="M199" i="13"/>
  <c r="M187" i="13"/>
  <c r="M175" i="13"/>
  <c r="M163" i="13"/>
  <c r="M151" i="13"/>
  <c r="M139" i="13"/>
  <c r="M127" i="13"/>
  <c r="M115" i="13"/>
  <c r="M103" i="13"/>
  <c r="M91" i="13"/>
  <c r="M79" i="13"/>
  <c r="M55" i="13"/>
  <c r="M43" i="13"/>
  <c r="M31" i="13"/>
  <c r="M19" i="13"/>
  <c r="M7" i="13"/>
  <c r="M486" i="13"/>
  <c r="M474" i="13"/>
  <c r="M462" i="13"/>
  <c r="M450" i="13"/>
  <c r="M438" i="13"/>
  <c r="M426" i="13"/>
  <c r="M414" i="13"/>
  <c r="M402" i="13"/>
  <c r="M390" i="13"/>
  <c r="M378" i="13"/>
  <c r="M366" i="13"/>
  <c r="M354" i="13"/>
  <c r="M342" i="13"/>
  <c r="M330" i="13"/>
  <c r="M318" i="13"/>
  <c r="M306" i="13"/>
  <c r="M294" i="13"/>
  <c r="M282" i="13"/>
  <c r="M270" i="13"/>
  <c r="M258" i="13"/>
  <c r="M246" i="13"/>
  <c r="M234" i="13"/>
  <c r="M222" i="13"/>
  <c r="M210" i="13"/>
  <c r="M198" i="13"/>
  <c r="M186" i="13"/>
  <c r="M174" i="13"/>
  <c r="M162" i="13"/>
  <c r="M150" i="13"/>
  <c r="M138" i="13"/>
  <c r="M126" i="13"/>
  <c r="M114" i="13"/>
  <c r="M102" i="13"/>
  <c r="M90" i="13"/>
  <c r="M78" i="13"/>
  <c r="M54" i="13"/>
  <c r="M42" i="13"/>
  <c r="M30" i="13"/>
  <c r="M18" i="13"/>
  <c r="M6" i="13"/>
  <c r="M485" i="13"/>
  <c r="M473" i="13"/>
  <c r="M461" i="13"/>
  <c r="M449" i="13"/>
  <c r="M437" i="13"/>
  <c r="M425" i="13"/>
  <c r="M413" i="13"/>
  <c r="M401" i="13"/>
  <c r="M389" i="13"/>
  <c r="M377" i="13"/>
  <c r="M365" i="13"/>
  <c r="M353" i="13"/>
  <c r="M341" i="13"/>
  <c r="M329" i="13"/>
  <c r="M317" i="13"/>
  <c r="M305" i="13"/>
  <c r="M293" i="13"/>
  <c r="M281" i="13"/>
  <c r="M269" i="13"/>
  <c r="M257" i="13"/>
  <c r="M245" i="13"/>
  <c r="M233" i="13"/>
  <c r="M221" i="13"/>
  <c r="M209" i="13"/>
  <c r="M197" i="13"/>
  <c r="M185" i="13"/>
  <c r="M173" i="13"/>
  <c r="M161" i="13"/>
  <c r="M149" i="13"/>
  <c r="M137" i="13"/>
  <c r="M125" i="13"/>
  <c r="M113" i="13"/>
  <c r="M101" i="13"/>
  <c r="M89" i="13"/>
  <c r="M77" i="13"/>
  <c r="M53" i="13"/>
  <c r="M41" i="13"/>
  <c r="M29" i="13"/>
  <c r="M17" i="13"/>
  <c r="M5" i="13"/>
  <c r="M484" i="13"/>
  <c r="M472" i="13"/>
  <c r="M460" i="13"/>
  <c r="M448" i="13"/>
  <c r="M436" i="13"/>
  <c r="M424" i="13"/>
  <c r="M412" i="13"/>
  <c r="M400" i="13"/>
  <c r="M388" i="13"/>
  <c r="M376" i="13"/>
  <c r="M364" i="13"/>
  <c r="M352" i="13"/>
  <c r="M340" i="13"/>
  <c r="M328" i="13"/>
  <c r="M316" i="13"/>
  <c r="M304" i="13"/>
  <c r="M292" i="13"/>
  <c r="M280" i="13"/>
  <c r="M268" i="13"/>
  <c r="M256" i="13"/>
  <c r="M244" i="13"/>
  <c r="M232" i="13"/>
  <c r="M220" i="13"/>
  <c r="M208" i="13"/>
  <c r="M196" i="13"/>
  <c r="M184" i="13"/>
  <c r="M172" i="13"/>
  <c r="M160" i="13"/>
  <c r="M148" i="13"/>
  <c r="M136" i="13"/>
  <c r="M124" i="13"/>
  <c r="M112" i="13"/>
  <c r="M100" i="13"/>
  <c r="M88" i="13"/>
  <c r="M76" i="13"/>
  <c r="M52" i="13"/>
  <c r="M40" i="13"/>
  <c r="M28" i="13"/>
  <c r="M16" i="13"/>
  <c r="M4" i="13"/>
  <c r="M483" i="13"/>
  <c r="M471" i="13"/>
  <c r="M459" i="13"/>
  <c r="M447" i="13"/>
  <c r="M435" i="13"/>
  <c r="M423" i="13"/>
  <c r="M411" i="13"/>
  <c r="M399" i="13"/>
  <c r="M387" i="13"/>
  <c r="M375" i="13"/>
  <c r="M363" i="13"/>
  <c r="M351" i="13"/>
  <c r="M339" i="13"/>
  <c r="M327" i="13"/>
  <c r="M315" i="13"/>
  <c r="M303" i="13"/>
  <c r="M291" i="13"/>
  <c r="M279" i="13"/>
  <c r="M267" i="13"/>
  <c r="M255" i="13"/>
  <c r="M243" i="13"/>
  <c r="M231" i="13"/>
  <c r="M219" i="13"/>
  <c r="M207" i="13"/>
  <c r="M195" i="13"/>
  <c r="M183" i="13"/>
  <c r="M171" i="13"/>
  <c r="M159" i="13"/>
  <c r="M147" i="13"/>
  <c r="M135" i="13"/>
  <c r="M123" i="13"/>
  <c r="M111" i="13"/>
  <c r="M99" i="13"/>
  <c r="M87" i="13"/>
  <c r="M75" i="13"/>
  <c r="M51" i="13"/>
  <c r="M39" i="13"/>
  <c r="M27" i="13"/>
  <c r="M15" i="13"/>
  <c r="M230" i="12"/>
  <c r="M218" i="12"/>
  <c r="M182" i="12"/>
  <c r="M193" i="12"/>
  <c r="M181" i="12"/>
  <c r="M288" i="12"/>
  <c r="M275" i="12"/>
  <c r="M263" i="12"/>
  <c r="M95" i="12"/>
  <c r="M286" i="12"/>
  <c r="M274" i="12"/>
  <c r="M262" i="12"/>
  <c r="M250" i="12"/>
  <c r="M238" i="12"/>
  <c r="M214" i="12"/>
  <c r="M202" i="12"/>
  <c r="M190" i="12"/>
  <c r="M237" i="12"/>
  <c r="M225" i="12"/>
  <c r="M177" i="12"/>
  <c r="M81" i="12"/>
  <c r="M69" i="12"/>
  <c r="M260" i="12"/>
  <c r="M248" i="12"/>
  <c r="M236" i="12"/>
  <c r="M224" i="12"/>
  <c r="M212" i="12"/>
  <c r="M200" i="12"/>
  <c r="M188" i="12"/>
  <c r="M176" i="12"/>
  <c r="M210" i="12"/>
  <c r="M198" i="12"/>
  <c r="M186" i="12"/>
  <c r="M281" i="12"/>
  <c r="M269" i="12"/>
  <c r="M280" i="12"/>
  <c r="M256" i="12"/>
  <c r="M244" i="12"/>
  <c r="M232" i="12"/>
  <c r="M279" i="12"/>
  <c r="M255" i="12"/>
  <c r="M243" i="12"/>
  <c r="M42" i="12" l="1"/>
  <c r="M491" i="12"/>
  <c r="M74" i="12"/>
  <c r="M152" i="12"/>
  <c r="M28" i="12"/>
  <c r="M292" i="12"/>
  <c r="M65" i="12"/>
  <c r="M329" i="12"/>
  <c r="M102" i="12"/>
  <c r="M366" i="12"/>
  <c r="M139" i="12"/>
  <c r="M403" i="12"/>
  <c r="M440" i="12"/>
  <c r="M213" i="12"/>
  <c r="M477" i="12"/>
  <c r="M23" i="12"/>
  <c r="M287" i="12"/>
  <c r="M60" i="12"/>
  <c r="M324" i="12"/>
  <c r="M97" i="12"/>
  <c r="M361" i="12"/>
  <c r="M134" i="12"/>
  <c r="M398" i="12"/>
  <c r="M267" i="12"/>
  <c r="M40" i="12"/>
  <c r="M304" i="12"/>
  <c r="M77" i="12"/>
  <c r="M341" i="12"/>
  <c r="M114" i="12"/>
  <c r="M378" i="12"/>
  <c r="M151" i="12"/>
  <c r="M415" i="12"/>
  <c r="M452" i="12"/>
  <c r="M489" i="12"/>
  <c r="M35" i="12"/>
  <c r="M299" i="12"/>
  <c r="M72" i="12"/>
  <c r="M336" i="12"/>
  <c r="M109" i="12"/>
  <c r="M373" i="12"/>
  <c r="M146" i="12"/>
  <c r="M410" i="12"/>
  <c r="M15" i="12"/>
  <c r="M52" i="12"/>
  <c r="M316" i="12"/>
  <c r="M89" i="12"/>
  <c r="M353" i="12"/>
  <c r="M126" i="12"/>
  <c r="M390" i="12"/>
  <c r="M163" i="12"/>
  <c r="M427" i="12"/>
  <c r="M464" i="12"/>
  <c r="M10" i="12"/>
  <c r="M47" i="12"/>
  <c r="M311" i="12"/>
  <c r="M84" i="12"/>
  <c r="M348" i="12"/>
  <c r="M121" i="12"/>
  <c r="M385" i="12"/>
  <c r="M158" i="12"/>
  <c r="M422" i="12"/>
  <c r="M276" i="12"/>
  <c r="M29" i="12"/>
  <c r="M404" i="12"/>
  <c r="M362" i="12"/>
  <c r="M305" i="12"/>
  <c r="M300" i="12"/>
  <c r="M328" i="12"/>
  <c r="M303" i="12"/>
  <c r="M150" i="12"/>
  <c r="M488" i="12"/>
  <c r="M108" i="12"/>
  <c r="M75" i="12"/>
  <c r="M339" i="12"/>
  <c r="M112" i="12"/>
  <c r="M376" i="12"/>
  <c r="M149" i="12"/>
  <c r="M413" i="12"/>
  <c r="M450" i="12"/>
  <c r="M223" i="12"/>
  <c r="M487" i="12"/>
  <c r="M33" i="12"/>
  <c r="M297" i="12"/>
  <c r="M70" i="12"/>
  <c r="M334" i="12"/>
  <c r="M107" i="12"/>
  <c r="M371" i="12"/>
  <c r="M144" i="12"/>
  <c r="M408" i="12"/>
  <c r="M445" i="12"/>
  <c r="M482" i="12"/>
  <c r="M128" i="12"/>
  <c r="M313" i="12"/>
  <c r="M483" i="12"/>
  <c r="M293" i="12"/>
  <c r="M330" i="12"/>
  <c r="M140" i="12"/>
  <c r="M441" i="12"/>
  <c r="M251" i="12"/>
  <c r="M61" i="12"/>
  <c r="M490" i="12"/>
  <c r="M16" i="12"/>
  <c r="M317" i="12"/>
  <c r="M127" i="12"/>
  <c r="M428" i="12"/>
  <c r="M465" i="12"/>
  <c r="M48" i="12"/>
  <c r="M349" i="12"/>
  <c r="M386" i="12"/>
  <c r="M76" i="12"/>
  <c r="M187" i="12"/>
  <c r="M446" i="12"/>
  <c r="M315" i="12"/>
  <c r="M389" i="12"/>
  <c r="M273" i="12"/>
  <c r="M421" i="12"/>
  <c r="M174" i="12"/>
  <c r="M21" i="12"/>
  <c r="M169" i="12"/>
  <c r="M87" i="12"/>
  <c r="M351" i="12"/>
  <c r="M124" i="12"/>
  <c r="M388" i="12"/>
  <c r="M161" i="12"/>
  <c r="M425" i="12"/>
  <c r="M462" i="12"/>
  <c r="M235" i="12"/>
  <c r="M8" i="12"/>
  <c r="M272" i="12"/>
  <c r="M45" i="12"/>
  <c r="M309" i="12"/>
  <c r="M82" i="12"/>
  <c r="M346" i="12"/>
  <c r="M119" i="12"/>
  <c r="M383" i="12"/>
  <c r="M156" i="12"/>
  <c r="M420" i="12"/>
  <c r="M457" i="12"/>
  <c r="M494" i="12"/>
  <c r="M195" i="12"/>
  <c r="M306" i="12"/>
  <c r="M380" i="12"/>
  <c r="M227" i="12"/>
  <c r="M301" i="12"/>
  <c r="M355" i="12"/>
  <c r="M239" i="12"/>
  <c r="M201" i="12"/>
  <c r="M298" i="12"/>
  <c r="M88" i="12"/>
  <c r="M199" i="12"/>
  <c r="M310" i="12"/>
  <c r="M120" i="12"/>
  <c r="M194" i="12"/>
  <c r="M100" i="12"/>
  <c r="M58" i="12"/>
  <c r="M359" i="12"/>
  <c r="M433" i="12"/>
  <c r="M99" i="12"/>
  <c r="M363" i="12"/>
  <c r="M136" i="12"/>
  <c r="M400" i="12"/>
  <c r="M173" i="12"/>
  <c r="M437" i="12"/>
  <c r="M474" i="12"/>
  <c r="M247" i="12"/>
  <c r="M20" i="12"/>
  <c r="M284" i="12"/>
  <c r="M57" i="12"/>
  <c r="M321" i="12"/>
  <c r="M94" i="12"/>
  <c r="M358" i="12"/>
  <c r="M131" i="12"/>
  <c r="M395" i="12"/>
  <c r="M168" i="12"/>
  <c r="M432" i="12"/>
  <c r="M205" i="12"/>
  <c r="M469" i="12"/>
  <c r="M242" i="12"/>
  <c r="M207" i="12"/>
  <c r="M4" i="12"/>
  <c r="M189" i="12"/>
  <c r="M175" i="12"/>
  <c r="M113" i="12"/>
  <c r="M451" i="12"/>
  <c r="M34" i="12"/>
  <c r="M71" i="12"/>
  <c r="M145" i="12"/>
  <c r="M111" i="12"/>
  <c r="M375" i="12"/>
  <c r="M148" i="12"/>
  <c r="M412" i="12"/>
  <c r="M185" i="12"/>
  <c r="M449" i="12"/>
  <c r="M222" i="12"/>
  <c r="M486" i="12"/>
  <c r="M259" i="12"/>
  <c r="M32" i="12"/>
  <c r="M296" i="12"/>
  <c r="M333" i="12"/>
  <c r="M106" i="12"/>
  <c r="M370" i="12"/>
  <c r="M143" i="12"/>
  <c r="M407" i="12"/>
  <c r="M180" i="12"/>
  <c r="M444" i="12"/>
  <c r="M217" i="12"/>
  <c r="M481" i="12"/>
  <c r="M254" i="12"/>
  <c r="M459" i="12"/>
  <c r="M343" i="12"/>
  <c r="M41" i="12"/>
  <c r="M379" i="12"/>
  <c r="M453" i="12"/>
  <c r="M36" i="12"/>
  <c r="M110" i="12"/>
  <c r="M164" i="12"/>
  <c r="M27" i="12"/>
  <c r="M64" i="12"/>
  <c r="M101" i="12"/>
  <c r="M138" i="12"/>
  <c r="M439" i="12"/>
  <c r="M22" i="12"/>
  <c r="M323" i="12"/>
  <c r="M360" i="12"/>
  <c r="M170" i="12"/>
  <c r="M123" i="12"/>
  <c r="M387" i="12"/>
  <c r="M160" i="12"/>
  <c r="M424" i="12"/>
  <c r="M197" i="12"/>
  <c r="M461" i="12"/>
  <c r="M234" i="12"/>
  <c r="M7" i="12"/>
  <c r="M271" i="12"/>
  <c r="M44" i="12"/>
  <c r="M308" i="12"/>
  <c r="M345" i="12"/>
  <c r="M118" i="12"/>
  <c r="M382" i="12"/>
  <c r="M155" i="12"/>
  <c r="M419" i="12"/>
  <c r="M192" i="12"/>
  <c r="M456" i="12"/>
  <c r="M229" i="12"/>
  <c r="M493" i="12"/>
  <c r="M266" i="12"/>
  <c r="M116" i="12"/>
  <c r="M153" i="12"/>
  <c r="M454" i="12"/>
  <c r="M264" i="12"/>
  <c r="M338" i="12"/>
  <c r="M471" i="12"/>
  <c r="M54" i="12"/>
  <c r="M165" i="12"/>
  <c r="M86" i="12"/>
  <c r="M66" i="12"/>
  <c r="M98" i="12"/>
  <c r="M115" i="12"/>
  <c r="M354" i="12"/>
  <c r="M312" i="12"/>
  <c r="M39" i="12"/>
  <c r="M372" i="12"/>
  <c r="M352" i="12"/>
  <c r="M384" i="12"/>
  <c r="M364" i="12"/>
  <c r="M135" i="12"/>
  <c r="M399" i="12"/>
  <c r="M172" i="12"/>
  <c r="M436" i="12"/>
  <c r="M209" i="12"/>
  <c r="M473" i="12"/>
  <c r="M246" i="12"/>
  <c r="M19" i="12"/>
  <c r="M283" i="12"/>
  <c r="M56" i="12"/>
  <c r="M320" i="12"/>
  <c r="M93" i="12"/>
  <c r="M357" i="12"/>
  <c r="M130" i="12"/>
  <c r="M394" i="12"/>
  <c r="M167" i="12"/>
  <c r="M431" i="12"/>
  <c r="M204" i="12"/>
  <c r="M468" i="12"/>
  <c r="M241" i="12"/>
  <c r="M14" i="12"/>
  <c r="M278" i="12"/>
  <c r="M5" i="12"/>
  <c r="M417" i="12"/>
  <c r="M318" i="12"/>
  <c r="M466" i="12"/>
  <c r="M219" i="12"/>
  <c r="M103" i="12"/>
  <c r="M24" i="12"/>
  <c r="M53" i="12"/>
  <c r="M11" i="12"/>
  <c r="M291" i="12"/>
  <c r="M402" i="12"/>
  <c r="M133" i="12"/>
  <c r="M125" i="12"/>
  <c r="M463" i="12"/>
  <c r="M83" i="12"/>
  <c r="M458" i="12"/>
  <c r="M211" i="12"/>
  <c r="M147" i="12"/>
  <c r="M411" i="12"/>
  <c r="M184" i="12"/>
  <c r="M448" i="12"/>
  <c r="M221" i="12"/>
  <c r="M485" i="12"/>
  <c r="M258" i="12"/>
  <c r="M31" i="12"/>
  <c r="M295" i="12"/>
  <c r="M68" i="12"/>
  <c r="M332" i="12"/>
  <c r="M105" i="12"/>
  <c r="M369" i="12"/>
  <c r="M142" i="12"/>
  <c r="M406" i="12"/>
  <c r="M179" i="12"/>
  <c r="M443" i="12"/>
  <c r="M216" i="12"/>
  <c r="M480" i="12"/>
  <c r="M253" i="12"/>
  <c r="M26" i="12"/>
  <c r="M290" i="12"/>
  <c r="M79" i="12"/>
  <c r="M91" i="12"/>
  <c r="M12" i="12"/>
  <c r="M367" i="12"/>
  <c r="M478" i="12"/>
  <c r="M231" i="12"/>
  <c r="M78" i="12"/>
  <c r="M416" i="12"/>
  <c r="M73" i="12"/>
  <c r="M51" i="12"/>
  <c r="M426" i="12"/>
  <c r="M347" i="12"/>
  <c r="M327" i="12"/>
  <c r="M438" i="12"/>
  <c r="M322" i="12"/>
  <c r="M470" i="12"/>
  <c r="M159" i="12"/>
  <c r="M423" i="12"/>
  <c r="M196" i="12"/>
  <c r="M460" i="12"/>
  <c r="M233" i="12"/>
  <c r="M6" i="12"/>
  <c r="M270" i="12"/>
  <c r="M43" i="12"/>
  <c r="M307" i="12"/>
  <c r="M80" i="12"/>
  <c r="M344" i="12"/>
  <c r="M117" i="12"/>
  <c r="M381" i="12"/>
  <c r="M154" i="12"/>
  <c r="M418" i="12"/>
  <c r="M191" i="12"/>
  <c r="M455" i="12"/>
  <c r="M228" i="12"/>
  <c r="M492" i="12"/>
  <c r="M265" i="12"/>
  <c r="M38" i="12"/>
  <c r="M302" i="12"/>
  <c r="M17" i="12"/>
  <c r="M325" i="12"/>
  <c r="M268" i="12"/>
  <c r="M337" i="12"/>
  <c r="M391" i="12"/>
  <c r="M85" i="12"/>
  <c r="M122" i="12"/>
  <c r="M476" i="12"/>
  <c r="M340" i="12"/>
  <c r="M414" i="12"/>
  <c r="M261" i="12"/>
  <c r="M335" i="12"/>
  <c r="M409" i="12"/>
  <c r="M162" i="12"/>
  <c r="M46" i="12"/>
  <c r="M157" i="12"/>
  <c r="M137" i="12"/>
  <c r="M396" i="12"/>
  <c r="M171" i="12"/>
  <c r="M435" i="12"/>
  <c r="M208" i="12"/>
  <c r="M472" i="12"/>
  <c r="M245" i="12"/>
  <c r="M18" i="12"/>
  <c r="M282" i="12"/>
  <c r="M55" i="12"/>
  <c r="M319" i="12"/>
  <c r="M92" i="12"/>
  <c r="M356" i="12"/>
  <c r="M129" i="12"/>
  <c r="M393" i="12"/>
  <c r="M166" i="12"/>
  <c r="M430" i="12"/>
  <c r="M203" i="12"/>
  <c r="M467" i="12"/>
  <c r="M240" i="12"/>
  <c r="M13" i="12"/>
  <c r="M277" i="12"/>
  <c r="M50" i="12"/>
  <c r="M314" i="12"/>
  <c r="M37" i="12"/>
  <c r="M392" i="12"/>
  <c r="M429" i="12"/>
  <c r="M49" i="12"/>
  <c r="M350" i="12"/>
  <c r="M342" i="12"/>
  <c r="M226" i="12"/>
  <c r="M374" i="12"/>
  <c r="M90" i="12"/>
  <c r="M365" i="12"/>
  <c r="M249" i="12"/>
  <c r="M59" i="12"/>
  <c r="M96" i="12"/>
  <c r="M397" i="12"/>
  <c r="M434" i="12"/>
  <c r="M377" i="12"/>
  <c r="M9" i="12"/>
  <c r="M63" i="12"/>
  <c r="M401" i="12"/>
  <c r="M475" i="12"/>
  <c r="M285" i="12"/>
  <c r="M132" i="12"/>
  <c r="M206" i="12"/>
  <c r="M183" i="12"/>
  <c r="M447" i="12"/>
  <c r="M220" i="12"/>
  <c r="M484" i="12"/>
  <c r="M257" i="12"/>
  <c r="M30" i="12"/>
  <c r="M294" i="12"/>
  <c r="M67" i="12"/>
  <c r="M331" i="12"/>
  <c r="M104" i="12"/>
  <c r="M368" i="12"/>
  <c r="M141" i="12"/>
  <c r="M405" i="12"/>
  <c r="M178" i="12"/>
  <c r="M442" i="12"/>
  <c r="M215" i="12"/>
  <c r="M479" i="12"/>
  <c r="M252" i="12"/>
  <c r="M25" i="12"/>
  <c r="M289" i="12"/>
  <c r="M62" i="12"/>
  <c r="M326" i="12"/>
  <c r="N183" i="13" l="1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6" i="13"/>
  <c r="N125" i="13"/>
  <c r="N123" i="13"/>
  <c r="N122" i="13"/>
  <c r="N121" i="13"/>
  <c r="N120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07" i="13"/>
  <c r="N106" i="13"/>
  <c r="N105" i="13"/>
  <c r="N104" i="13"/>
  <c r="N103" i="13"/>
  <c r="N102" i="13"/>
  <c r="N101" i="13"/>
  <c r="N100" i="13"/>
  <c r="N99" i="13"/>
  <c r="C62" i="13"/>
  <c r="B62" i="13"/>
  <c r="J62" i="13" s="1"/>
  <c r="C61" i="13"/>
  <c r="B61" i="13"/>
  <c r="C60" i="13"/>
  <c r="B60" i="13"/>
  <c r="C59" i="13"/>
  <c r="B59" i="13"/>
  <c r="J59" i="13" s="1"/>
  <c r="C58" i="13"/>
  <c r="B58" i="13"/>
  <c r="J58" i="13" s="1"/>
  <c r="C57" i="13"/>
  <c r="B57" i="13"/>
  <c r="K56" i="13"/>
  <c r="C56" i="13"/>
  <c r="B56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K38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J27" i="13" s="1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J20" i="13" s="1"/>
  <c r="C19" i="13"/>
  <c r="B19" i="13"/>
  <c r="J19" i="13" s="1"/>
  <c r="C18" i="13"/>
  <c r="B18" i="13"/>
  <c r="C17" i="13"/>
  <c r="B17" i="13"/>
  <c r="C16" i="13"/>
  <c r="B16" i="13"/>
  <c r="J16" i="13" s="1"/>
  <c r="C15" i="13"/>
  <c r="B15" i="13"/>
  <c r="C14" i="13"/>
  <c r="B14" i="13"/>
  <c r="C13" i="13"/>
  <c r="B13" i="13"/>
  <c r="C12" i="13"/>
  <c r="B12" i="13"/>
  <c r="C11" i="13"/>
  <c r="B11" i="13"/>
  <c r="J11" i="13" s="1"/>
  <c r="C10" i="13"/>
  <c r="B10" i="13"/>
  <c r="C9" i="13"/>
  <c r="B9" i="13"/>
  <c r="C8" i="13"/>
  <c r="B8" i="13"/>
  <c r="C7" i="13"/>
  <c r="B7" i="13"/>
  <c r="C6" i="13"/>
  <c r="B6" i="13"/>
  <c r="C5" i="13"/>
  <c r="B5" i="13"/>
  <c r="C4" i="13"/>
  <c r="B4" i="13"/>
  <c r="M3" i="13"/>
  <c r="C3" i="13"/>
  <c r="B3" i="13"/>
  <c r="C183" i="12"/>
  <c r="B183" i="12"/>
  <c r="C182" i="12"/>
  <c r="B182" i="12"/>
  <c r="C181" i="12"/>
  <c r="B181" i="12"/>
  <c r="B180" i="12"/>
  <c r="C179" i="12"/>
  <c r="B179" i="12"/>
  <c r="C178" i="12"/>
  <c r="B178" i="12"/>
  <c r="C177" i="12"/>
  <c r="B177" i="12"/>
  <c r="C176" i="12"/>
  <c r="B176" i="12"/>
  <c r="C175" i="12"/>
  <c r="B175" i="12"/>
  <c r="C174" i="12"/>
  <c r="B174" i="12"/>
  <c r="C173" i="12"/>
  <c r="B173" i="12"/>
  <c r="C172" i="12"/>
  <c r="B172" i="12"/>
  <c r="C171" i="12"/>
  <c r="B171" i="12"/>
  <c r="K170" i="12"/>
  <c r="C170" i="12"/>
  <c r="B170" i="12"/>
  <c r="C169" i="12"/>
  <c r="B169" i="12"/>
  <c r="C168" i="12"/>
  <c r="B168" i="12"/>
  <c r="C167" i="12"/>
  <c r="B167" i="12"/>
  <c r="K166" i="12"/>
  <c r="C166" i="12"/>
  <c r="B166" i="12"/>
  <c r="C165" i="12"/>
  <c r="B165" i="12"/>
  <c r="C164" i="12"/>
  <c r="B164" i="12"/>
  <c r="C163" i="12"/>
  <c r="B163" i="12"/>
  <c r="C162" i="12"/>
  <c r="B162" i="12"/>
  <c r="J162" i="12" s="1"/>
  <c r="C161" i="12"/>
  <c r="B161" i="12"/>
  <c r="C160" i="12"/>
  <c r="B160" i="12"/>
  <c r="C159" i="12"/>
  <c r="B159" i="12"/>
  <c r="C158" i="12"/>
  <c r="B158" i="12"/>
  <c r="C157" i="12"/>
  <c r="B157" i="12"/>
  <c r="C156" i="12"/>
  <c r="B156" i="12"/>
  <c r="C155" i="12"/>
  <c r="B155" i="12"/>
  <c r="C154" i="12"/>
  <c r="B154" i="12"/>
  <c r="C153" i="12"/>
  <c r="B153" i="12"/>
  <c r="C152" i="12"/>
  <c r="B152" i="12"/>
  <c r="C151" i="12"/>
  <c r="B151" i="12"/>
  <c r="C150" i="12"/>
  <c r="B150" i="12"/>
  <c r="C149" i="12"/>
  <c r="B149" i="12"/>
  <c r="C148" i="12"/>
  <c r="B148" i="12"/>
  <c r="K147" i="12"/>
  <c r="C147" i="12"/>
  <c r="B147" i="12"/>
  <c r="C146" i="12"/>
  <c r="B146" i="12"/>
  <c r="C145" i="12"/>
  <c r="B145" i="12"/>
  <c r="C144" i="12"/>
  <c r="B144" i="12"/>
  <c r="C143" i="12"/>
  <c r="B143" i="12"/>
  <c r="C142" i="12"/>
  <c r="B142" i="12"/>
  <c r="C141" i="12"/>
  <c r="B141" i="12"/>
  <c r="C140" i="12"/>
  <c r="B140" i="12"/>
  <c r="C139" i="12"/>
  <c r="B139" i="12"/>
  <c r="C138" i="12"/>
  <c r="B138" i="12"/>
  <c r="C137" i="12"/>
  <c r="B137" i="12"/>
  <c r="C136" i="12"/>
  <c r="B136" i="12"/>
  <c r="J136" i="12" s="1"/>
  <c r="C135" i="12"/>
  <c r="B135" i="12"/>
  <c r="C134" i="12"/>
  <c r="B134" i="12"/>
  <c r="C133" i="12"/>
  <c r="B133" i="12"/>
  <c r="C132" i="12"/>
  <c r="B132" i="12"/>
  <c r="C131" i="12"/>
  <c r="B131" i="12"/>
  <c r="C130" i="12"/>
  <c r="B130" i="12"/>
  <c r="C129" i="12"/>
  <c r="B129" i="12"/>
  <c r="C128" i="12"/>
  <c r="B128" i="12"/>
  <c r="C127" i="12"/>
  <c r="B127" i="12"/>
  <c r="C126" i="12"/>
  <c r="B126" i="12"/>
  <c r="C125" i="12"/>
  <c r="B125" i="12"/>
  <c r="J125" i="12" s="1"/>
  <c r="K124" i="12"/>
  <c r="C124" i="12"/>
  <c r="B124" i="12"/>
  <c r="C123" i="12"/>
  <c r="B123" i="12"/>
  <c r="C122" i="12"/>
  <c r="B122" i="12"/>
  <c r="C121" i="12"/>
  <c r="B121" i="12"/>
  <c r="C120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K104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K87" i="12"/>
  <c r="B87" i="12"/>
  <c r="B86" i="12"/>
  <c r="B85" i="12"/>
  <c r="B84" i="12"/>
  <c r="B83" i="12"/>
  <c r="K82" i="12"/>
  <c r="B82" i="12"/>
  <c r="B81" i="12"/>
  <c r="B80" i="12"/>
  <c r="B79" i="12"/>
  <c r="B78" i="12"/>
  <c r="B77" i="12"/>
  <c r="B76" i="12"/>
  <c r="B75" i="12"/>
  <c r="K74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B5" i="12"/>
  <c r="J5" i="12" s="1"/>
  <c r="C4" i="12"/>
  <c r="B4" i="12"/>
  <c r="M3" i="12"/>
  <c r="C3" i="12"/>
  <c r="B3" i="12"/>
  <c r="V157" i="11"/>
  <c r="V156" i="11"/>
  <c r="V155" i="11"/>
  <c r="V154" i="11"/>
  <c r="V153" i="11"/>
  <c r="V152" i="11"/>
  <c r="V151" i="11"/>
  <c r="V150" i="11"/>
  <c r="V149" i="11"/>
  <c r="V148" i="11"/>
  <c r="V147" i="11"/>
  <c r="V146" i="11"/>
  <c r="V145" i="11"/>
  <c r="V144" i="11"/>
  <c r="V143" i="11"/>
  <c r="V142" i="11"/>
  <c r="V141" i="11"/>
  <c r="V140" i="11"/>
  <c r="V139" i="11"/>
  <c r="V138" i="11"/>
  <c r="V137" i="11"/>
  <c r="V136" i="11"/>
  <c r="V135" i="11"/>
  <c r="V134" i="11"/>
  <c r="V133" i="11"/>
  <c r="V132" i="11"/>
  <c r="V131" i="11"/>
  <c r="V130" i="11"/>
  <c r="V129" i="11"/>
  <c r="V128" i="11"/>
  <c r="V127" i="11"/>
  <c r="V126" i="11"/>
  <c r="V125" i="11"/>
  <c r="V124" i="11"/>
  <c r="V123" i="11"/>
  <c r="V122" i="11"/>
  <c r="V121" i="11"/>
  <c r="V120" i="11"/>
  <c r="V119" i="11"/>
  <c r="V118" i="11"/>
  <c r="V117" i="11"/>
  <c r="V116" i="11"/>
  <c r="V115" i="11"/>
  <c r="V114" i="11"/>
  <c r="V113" i="11"/>
  <c r="V112" i="11"/>
  <c r="V111" i="11"/>
  <c r="V110" i="11"/>
  <c r="V109" i="11"/>
  <c r="V108" i="11"/>
  <c r="V107" i="11"/>
  <c r="V106" i="11"/>
  <c r="V105" i="11"/>
  <c r="V104" i="11"/>
  <c r="V103" i="11"/>
  <c r="V102" i="11"/>
  <c r="V101" i="11"/>
  <c r="V100" i="11"/>
  <c r="V99" i="11"/>
  <c r="V98" i="11"/>
  <c r="V97" i="11"/>
  <c r="V96" i="11"/>
  <c r="V95" i="11"/>
  <c r="V94" i="11"/>
  <c r="V93" i="11"/>
  <c r="V92" i="11"/>
  <c r="V91" i="11"/>
  <c r="V90" i="11"/>
  <c r="V89" i="11"/>
  <c r="V88" i="11"/>
  <c r="V87" i="11"/>
  <c r="V86" i="11"/>
  <c r="V85" i="11"/>
  <c r="V84" i="11"/>
  <c r="V83" i="11"/>
  <c r="V82" i="11"/>
  <c r="V81" i="11"/>
  <c r="V80" i="11"/>
  <c r="V79" i="11"/>
  <c r="V78" i="11"/>
  <c r="V77" i="11"/>
  <c r="V76" i="11"/>
  <c r="V75" i="11"/>
  <c r="V74" i="11"/>
  <c r="V73" i="11"/>
  <c r="V72" i="11"/>
  <c r="V71" i="11"/>
  <c r="V70" i="11"/>
  <c r="V69" i="11"/>
  <c r="V68" i="11"/>
  <c r="V67" i="11"/>
  <c r="V66" i="11"/>
  <c r="V65" i="11"/>
  <c r="V64" i="11"/>
  <c r="V63" i="11"/>
  <c r="V62" i="11"/>
  <c r="V61" i="11"/>
  <c r="V60" i="11"/>
  <c r="V59" i="11"/>
  <c r="V58" i="11"/>
  <c r="V57" i="11"/>
  <c r="V56" i="11"/>
  <c r="V55" i="11"/>
  <c r="V54" i="11"/>
  <c r="V53" i="11"/>
  <c r="V52" i="11"/>
  <c r="V51" i="11"/>
  <c r="V50" i="11"/>
  <c r="V49" i="11"/>
  <c r="V48" i="11"/>
  <c r="V47" i="11"/>
  <c r="V46" i="11"/>
  <c r="V45" i="11"/>
  <c r="V44" i="11"/>
  <c r="V43" i="11"/>
  <c r="V42" i="11"/>
  <c r="V41" i="11"/>
  <c r="V40" i="11"/>
  <c r="V39" i="11"/>
  <c r="V38" i="11"/>
  <c r="V37" i="11"/>
  <c r="V36" i="11"/>
  <c r="V35" i="11"/>
  <c r="V34" i="11"/>
  <c r="V33" i="11"/>
  <c r="V32" i="11"/>
  <c r="V31" i="11"/>
  <c r="V30" i="11"/>
  <c r="V29" i="11"/>
  <c r="V28" i="11"/>
  <c r="V27" i="11"/>
  <c r="V26" i="11"/>
  <c r="V25" i="11"/>
  <c r="V24" i="11"/>
  <c r="V23" i="11"/>
  <c r="V22" i="11"/>
  <c r="V21" i="11"/>
  <c r="V20" i="11"/>
  <c r="V19" i="11"/>
  <c r="V18" i="11"/>
  <c r="V17" i="11"/>
  <c r="V16" i="11"/>
  <c r="V15" i="11"/>
  <c r="V14" i="11"/>
  <c r="V13" i="11"/>
  <c r="V12" i="11"/>
  <c r="V11" i="11"/>
  <c r="V10" i="11"/>
  <c r="V9" i="11"/>
  <c r="V8" i="11"/>
  <c r="V7" i="11"/>
  <c r="V6" i="11"/>
  <c r="V5" i="11"/>
  <c r="V4" i="11"/>
  <c r="V3" i="11"/>
  <c r="K551" i="8"/>
  <c r="J551" i="8"/>
  <c r="L551" i="8" s="1"/>
  <c r="H551" i="8"/>
  <c r="I551" i="8" s="1"/>
  <c r="F551" i="8"/>
  <c r="E551" i="8"/>
  <c r="C551" i="8"/>
  <c r="B551" i="8"/>
  <c r="K550" i="8"/>
  <c r="J550" i="8"/>
  <c r="L550" i="8" s="1"/>
  <c r="I550" i="8"/>
  <c r="H550" i="8"/>
  <c r="F550" i="8"/>
  <c r="E550" i="8"/>
  <c r="C550" i="8"/>
  <c r="B550" i="8"/>
  <c r="K549" i="8"/>
  <c r="J549" i="8"/>
  <c r="H549" i="8"/>
  <c r="I549" i="8" s="1"/>
  <c r="F549" i="8"/>
  <c r="E549" i="8"/>
  <c r="C549" i="8"/>
  <c r="B549" i="8"/>
  <c r="O548" i="8"/>
  <c r="L548" i="8"/>
  <c r="K548" i="8"/>
  <c r="J548" i="8"/>
  <c r="I548" i="8"/>
  <c r="H548" i="8"/>
  <c r="G548" i="8"/>
  <c r="F548" i="8"/>
  <c r="E548" i="8"/>
  <c r="N548" i="8" s="1"/>
  <c r="D548" i="8"/>
  <c r="C548" i="8"/>
  <c r="B548" i="8"/>
  <c r="L547" i="8"/>
  <c r="K547" i="8"/>
  <c r="J547" i="8"/>
  <c r="H547" i="8"/>
  <c r="I547" i="8" s="1"/>
  <c r="F547" i="8"/>
  <c r="E547" i="8"/>
  <c r="D547" i="8"/>
  <c r="C547" i="8"/>
  <c r="B547" i="8"/>
  <c r="K546" i="8"/>
  <c r="O546" i="8" s="1"/>
  <c r="J546" i="8"/>
  <c r="H546" i="8"/>
  <c r="I546" i="8" s="1"/>
  <c r="F546" i="8"/>
  <c r="G546" i="8" s="1"/>
  <c r="E546" i="8"/>
  <c r="D546" i="8"/>
  <c r="C546" i="8"/>
  <c r="B546" i="8"/>
  <c r="O545" i="8"/>
  <c r="K545" i="8"/>
  <c r="J545" i="8"/>
  <c r="L545" i="8" s="1"/>
  <c r="H545" i="8"/>
  <c r="G545" i="8"/>
  <c r="F545" i="8"/>
  <c r="E545" i="8"/>
  <c r="C545" i="8"/>
  <c r="D545" i="8" s="1"/>
  <c r="B545" i="8"/>
  <c r="N544" i="8"/>
  <c r="L544" i="8"/>
  <c r="K544" i="8"/>
  <c r="J544" i="8"/>
  <c r="H544" i="8"/>
  <c r="I544" i="8" s="1"/>
  <c r="G544" i="8"/>
  <c r="F544" i="8"/>
  <c r="E544" i="8"/>
  <c r="C544" i="8"/>
  <c r="O544" i="8" s="1"/>
  <c r="B544" i="8"/>
  <c r="K543" i="8"/>
  <c r="O543" i="8" s="1"/>
  <c r="J543" i="8"/>
  <c r="I543" i="8"/>
  <c r="H543" i="8"/>
  <c r="F543" i="8"/>
  <c r="E543" i="8"/>
  <c r="D543" i="8"/>
  <c r="C543" i="8"/>
  <c r="B543" i="8"/>
  <c r="L542" i="8"/>
  <c r="K542" i="8"/>
  <c r="J542" i="8"/>
  <c r="I542" i="8"/>
  <c r="H542" i="8"/>
  <c r="F542" i="8"/>
  <c r="E542" i="8"/>
  <c r="D542" i="8"/>
  <c r="C542" i="8"/>
  <c r="B542" i="8"/>
  <c r="N541" i="8"/>
  <c r="K541" i="8"/>
  <c r="J541" i="8"/>
  <c r="H541" i="8"/>
  <c r="I541" i="8" s="1"/>
  <c r="F541" i="8"/>
  <c r="G541" i="8" s="1"/>
  <c r="E541" i="8"/>
  <c r="C541" i="8"/>
  <c r="D541" i="8" s="1"/>
  <c r="B541" i="8"/>
  <c r="V540" i="8"/>
  <c r="T540" i="8"/>
  <c r="O540" i="8"/>
  <c r="N540" i="8"/>
  <c r="Q540" i="8" s="1"/>
  <c r="L540" i="8"/>
  <c r="K540" i="8"/>
  <c r="J540" i="8"/>
  <c r="H540" i="8"/>
  <c r="I540" i="8" s="1"/>
  <c r="G540" i="8"/>
  <c r="F540" i="8"/>
  <c r="E540" i="8"/>
  <c r="D540" i="8"/>
  <c r="C540" i="8"/>
  <c r="B540" i="8"/>
  <c r="O539" i="8"/>
  <c r="K539" i="8"/>
  <c r="J539" i="8"/>
  <c r="L539" i="8" s="1"/>
  <c r="H539" i="8"/>
  <c r="N539" i="8" s="1"/>
  <c r="F539" i="8"/>
  <c r="E539" i="8"/>
  <c r="G539" i="8" s="1"/>
  <c r="C539" i="8"/>
  <c r="D539" i="8" s="1"/>
  <c r="B539" i="8"/>
  <c r="O538" i="8"/>
  <c r="K538" i="8"/>
  <c r="J538" i="8"/>
  <c r="I538" i="8"/>
  <c r="H538" i="8"/>
  <c r="F538" i="8"/>
  <c r="E538" i="8"/>
  <c r="G538" i="8" s="1"/>
  <c r="D538" i="8"/>
  <c r="C538" i="8"/>
  <c r="B538" i="8"/>
  <c r="K537" i="8"/>
  <c r="J537" i="8"/>
  <c r="I537" i="8"/>
  <c r="H537" i="8"/>
  <c r="G537" i="8"/>
  <c r="F537" i="8"/>
  <c r="E537" i="8"/>
  <c r="C537" i="8"/>
  <c r="B537" i="8"/>
  <c r="K536" i="8"/>
  <c r="L536" i="8" s="1"/>
  <c r="J536" i="8"/>
  <c r="H536" i="8"/>
  <c r="N536" i="8" s="1"/>
  <c r="F536" i="8"/>
  <c r="G536" i="8" s="1"/>
  <c r="E536" i="8"/>
  <c r="D536" i="8"/>
  <c r="C536" i="8"/>
  <c r="B536" i="8"/>
  <c r="N535" i="8"/>
  <c r="L535" i="8"/>
  <c r="K535" i="8"/>
  <c r="J535" i="8"/>
  <c r="I535" i="8"/>
  <c r="H535" i="8"/>
  <c r="F535" i="8"/>
  <c r="E535" i="8"/>
  <c r="G535" i="8" s="1"/>
  <c r="C535" i="8"/>
  <c r="B535" i="8"/>
  <c r="N534" i="8"/>
  <c r="K534" i="8"/>
  <c r="J534" i="8"/>
  <c r="L534" i="8" s="1"/>
  <c r="H534" i="8"/>
  <c r="I534" i="8" s="1"/>
  <c r="F534" i="8"/>
  <c r="E534" i="8"/>
  <c r="G534" i="8" s="1"/>
  <c r="C534" i="8"/>
  <c r="O534" i="8" s="1"/>
  <c r="B534" i="8"/>
  <c r="O533" i="8"/>
  <c r="K533" i="8"/>
  <c r="J533" i="8"/>
  <c r="L533" i="8" s="1"/>
  <c r="I533" i="8"/>
  <c r="H533" i="8"/>
  <c r="G533" i="8"/>
  <c r="F533" i="8"/>
  <c r="E533" i="8"/>
  <c r="N533" i="8" s="1"/>
  <c r="D533" i="8"/>
  <c r="C533" i="8"/>
  <c r="B533" i="8"/>
  <c r="L532" i="8"/>
  <c r="K532" i="8"/>
  <c r="J532" i="8"/>
  <c r="H532" i="8"/>
  <c r="I532" i="8" s="1"/>
  <c r="F532" i="8"/>
  <c r="E532" i="8"/>
  <c r="C532" i="8"/>
  <c r="B532" i="8"/>
  <c r="N531" i="8"/>
  <c r="K531" i="8"/>
  <c r="L531" i="8" s="1"/>
  <c r="J531" i="8"/>
  <c r="I531" i="8"/>
  <c r="H531" i="8"/>
  <c r="G531" i="8"/>
  <c r="F531" i="8"/>
  <c r="E531" i="8"/>
  <c r="C531" i="8"/>
  <c r="B531" i="8"/>
  <c r="K530" i="8"/>
  <c r="J530" i="8"/>
  <c r="L530" i="8" s="1"/>
  <c r="H530" i="8"/>
  <c r="I530" i="8" s="1"/>
  <c r="G530" i="8"/>
  <c r="F530" i="8"/>
  <c r="E530" i="8"/>
  <c r="C530" i="8"/>
  <c r="O530" i="8" s="1"/>
  <c r="B530" i="8"/>
  <c r="K529" i="8"/>
  <c r="J529" i="8"/>
  <c r="L529" i="8" s="1"/>
  <c r="I529" i="8"/>
  <c r="H529" i="8"/>
  <c r="F529" i="8"/>
  <c r="E529" i="8"/>
  <c r="D529" i="8"/>
  <c r="C529" i="8"/>
  <c r="O529" i="8" s="1"/>
  <c r="B529" i="8"/>
  <c r="L528" i="8"/>
  <c r="K528" i="8"/>
  <c r="J528" i="8"/>
  <c r="I528" i="8"/>
  <c r="H528" i="8"/>
  <c r="F528" i="8"/>
  <c r="G528" i="8" s="1"/>
  <c r="E528" i="8"/>
  <c r="D528" i="8"/>
  <c r="C528" i="8"/>
  <c r="B528" i="8"/>
  <c r="K527" i="8"/>
  <c r="J527" i="8"/>
  <c r="L527" i="8" s="1"/>
  <c r="H527" i="8"/>
  <c r="I527" i="8" s="1"/>
  <c r="F527" i="8"/>
  <c r="E527" i="8"/>
  <c r="G527" i="8" s="1"/>
  <c r="D527" i="8"/>
  <c r="C527" i="8"/>
  <c r="O527" i="8" s="1"/>
  <c r="B527" i="8"/>
  <c r="L526" i="8"/>
  <c r="K526" i="8"/>
  <c r="J526" i="8"/>
  <c r="H526" i="8"/>
  <c r="I526" i="8" s="1"/>
  <c r="F526" i="8"/>
  <c r="O526" i="8" s="1"/>
  <c r="E526" i="8"/>
  <c r="D526" i="8"/>
  <c r="C526" i="8"/>
  <c r="B526" i="8"/>
  <c r="O525" i="8"/>
  <c r="K525" i="8"/>
  <c r="J525" i="8"/>
  <c r="L525" i="8" s="1"/>
  <c r="I525" i="8"/>
  <c r="H525" i="8"/>
  <c r="F525" i="8"/>
  <c r="G525" i="8" s="1"/>
  <c r="E525" i="8"/>
  <c r="D525" i="8"/>
  <c r="C525" i="8"/>
  <c r="B525" i="8"/>
  <c r="K524" i="8"/>
  <c r="J524" i="8"/>
  <c r="L524" i="8" s="1"/>
  <c r="I524" i="8"/>
  <c r="H524" i="8"/>
  <c r="F524" i="8"/>
  <c r="O524" i="8" s="1"/>
  <c r="E524" i="8"/>
  <c r="N524" i="8" s="1"/>
  <c r="C524" i="8"/>
  <c r="D524" i="8" s="1"/>
  <c r="B524" i="8"/>
  <c r="N523" i="8"/>
  <c r="L523" i="8"/>
  <c r="K523" i="8"/>
  <c r="J523" i="8"/>
  <c r="H523" i="8"/>
  <c r="I523" i="8" s="1"/>
  <c r="F523" i="8"/>
  <c r="E523" i="8"/>
  <c r="G523" i="8" s="1"/>
  <c r="D523" i="8"/>
  <c r="C523" i="8"/>
  <c r="B523" i="8"/>
  <c r="L522" i="8"/>
  <c r="K522" i="8"/>
  <c r="J522" i="8"/>
  <c r="H522" i="8"/>
  <c r="G522" i="8"/>
  <c r="F522" i="8"/>
  <c r="E522" i="8"/>
  <c r="C522" i="8"/>
  <c r="O522" i="8" s="1"/>
  <c r="B522" i="8"/>
  <c r="K521" i="8"/>
  <c r="J521" i="8"/>
  <c r="L521" i="8" s="1"/>
  <c r="H521" i="8"/>
  <c r="I521" i="8" s="1"/>
  <c r="F521" i="8"/>
  <c r="E521" i="8"/>
  <c r="G521" i="8" s="1"/>
  <c r="C521" i="8"/>
  <c r="O521" i="8" s="1"/>
  <c r="B521" i="8"/>
  <c r="K520" i="8"/>
  <c r="O520" i="8" s="1"/>
  <c r="J520" i="8"/>
  <c r="L520" i="8" s="1"/>
  <c r="I520" i="8"/>
  <c r="H520" i="8"/>
  <c r="F520" i="8"/>
  <c r="E520" i="8"/>
  <c r="D520" i="8"/>
  <c r="C520" i="8"/>
  <c r="B520" i="8"/>
  <c r="N519" i="8"/>
  <c r="K519" i="8"/>
  <c r="J519" i="8"/>
  <c r="L519" i="8" s="1"/>
  <c r="I519" i="8"/>
  <c r="H519" i="8"/>
  <c r="F519" i="8"/>
  <c r="E519" i="8"/>
  <c r="C519" i="8"/>
  <c r="D519" i="8" s="1"/>
  <c r="B519" i="8"/>
  <c r="K518" i="8"/>
  <c r="L518" i="8" s="1"/>
  <c r="J518" i="8"/>
  <c r="H518" i="8"/>
  <c r="I518" i="8" s="1"/>
  <c r="G518" i="8"/>
  <c r="F518" i="8"/>
  <c r="O518" i="8" s="1"/>
  <c r="E518" i="8"/>
  <c r="D518" i="8"/>
  <c r="C518" i="8"/>
  <c r="B518" i="8"/>
  <c r="T517" i="8"/>
  <c r="O517" i="8"/>
  <c r="N517" i="8"/>
  <c r="Q517" i="8" s="1"/>
  <c r="L517" i="8"/>
  <c r="K517" i="8"/>
  <c r="J517" i="8"/>
  <c r="H517" i="8"/>
  <c r="I517" i="8" s="1"/>
  <c r="R517" i="8" s="1"/>
  <c r="G517" i="8"/>
  <c r="F517" i="8"/>
  <c r="E517" i="8"/>
  <c r="C517" i="8"/>
  <c r="D517" i="8" s="1"/>
  <c r="B517" i="8"/>
  <c r="K516" i="8"/>
  <c r="J516" i="8"/>
  <c r="L516" i="8" s="1"/>
  <c r="I516" i="8"/>
  <c r="H516" i="8"/>
  <c r="F516" i="8"/>
  <c r="E516" i="8"/>
  <c r="G516" i="8" s="1"/>
  <c r="C516" i="8"/>
  <c r="D516" i="8" s="1"/>
  <c r="B516" i="8"/>
  <c r="K515" i="8"/>
  <c r="J515" i="8"/>
  <c r="L515" i="8" s="1"/>
  <c r="I515" i="8"/>
  <c r="H515" i="8"/>
  <c r="G515" i="8"/>
  <c r="F515" i="8"/>
  <c r="E515" i="8"/>
  <c r="N515" i="8" s="1"/>
  <c r="D515" i="8"/>
  <c r="C515" i="8"/>
  <c r="O515" i="8" s="1"/>
  <c r="B515" i="8"/>
  <c r="L514" i="8"/>
  <c r="K514" i="8"/>
  <c r="J514" i="8"/>
  <c r="H514" i="8"/>
  <c r="I514" i="8" s="1"/>
  <c r="F514" i="8"/>
  <c r="E514" i="8"/>
  <c r="C514" i="8"/>
  <c r="O514" i="8" s="1"/>
  <c r="B514" i="8"/>
  <c r="N513" i="8"/>
  <c r="L513" i="8"/>
  <c r="K513" i="8"/>
  <c r="J513" i="8"/>
  <c r="I513" i="8"/>
  <c r="H513" i="8"/>
  <c r="F513" i="8"/>
  <c r="E513" i="8"/>
  <c r="G513" i="8" s="1"/>
  <c r="D513" i="8"/>
  <c r="C513" i="8"/>
  <c r="B513" i="8"/>
  <c r="L512" i="8"/>
  <c r="K512" i="8"/>
  <c r="J512" i="8"/>
  <c r="H512" i="8"/>
  <c r="I512" i="8" s="1"/>
  <c r="F512" i="8"/>
  <c r="E512" i="8"/>
  <c r="N512" i="8" s="1"/>
  <c r="C512" i="8"/>
  <c r="B512" i="8"/>
  <c r="N511" i="8"/>
  <c r="K511" i="8"/>
  <c r="J511" i="8"/>
  <c r="L511" i="8" s="1"/>
  <c r="H511" i="8"/>
  <c r="I511" i="8" s="1"/>
  <c r="F511" i="8"/>
  <c r="G511" i="8" s="1"/>
  <c r="E511" i="8"/>
  <c r="D511" i="8"/>
  <c r="C511" i="8"/>
  <c r="B511" i="8"/>
  <c r="K510" i="8"/>
  <c r="J510" i="8"/>
  <c r="L510" i="8" s="1"/>
  <c r="H510" i="8"/>
  <c r="I510" i="8" s="1"/>
  <c r="G510" i="8"/>
  <c r="F510" i="8"/>
  <c r="E510" i="8"/>
  <c r="C510" i="8"/>
  <c r="D510" i="8" s="1"/>
  <c r="B510" i="8"/>
  <c r="K509" i="8"/>
  <c r="J509" i="8"/>
  <c r="L509" i="8" s="1"/>
  <c r="H509" i="8"/>
  <c r="I509" i="8" s="1"/>
  <c r="F509" i="8"/>
  <c r="E509" i="8"/>
  <c r="C509" i="8"/>
  <c r="B509" i="8"/>
  <c r="K508" i="8"/>
  <c r="J508" i="8"/>
  <c r="I508" i="8"/>
  <c r="H508" i="8"/>
  <c r="F508" i="8"/>
  <c r="E508" i="8"/>
  <c r="C508" i="8"/>
  <c r="B508" i="8"/>
  <c r="K507" i="8"/>
  <c r="J507" i="8"/>
  <c r="L507" i="8" s="1"/>
  <c r="H507" i="8"/>
  <c r="I507" i="8" s="1"/>
  <c r="F507" i="8"/>
  <c r="E507" i="8"/>
  <c r="N507" i="8" s="1"/>
  <c r="C507" i="8"/>
  <c r="B507" i="8"/>
  <c r="O506" i="8"/>
  <c r="K506" i="8"/>
  <c r="J506" i="8"/>
  <c r="N506" i="8" s="1"/>
  <c r="H506" i="8"/>
  <c r="I506" i="8" s="1"/>
  <c r="F506" i="8"/>
  <c r="G506" i="8" s="1"/>
  <c r="E506" i="8"/>
  <c r="C506" i="8"/>
  <c r="D506" i="8" s="1"/>
  <c r="B506" i="8"/>
  <c r="K505" i="8"/>
  <c r="J505" i="8"/>
  <c r="L505" i="8" s="1"/>
  <c r="H505" i="8"/>
  <c r="G505" i="8"/>
  <c r="F505" i="8"/>
  <c r="E505" i="8"/>
  <c r="C505" i="8"/>
  <c r="B505" i="8"/>
  <c r="L504" i="8"/>
  <c r="K504" i="8"/>
  <c r="O504" i="8" s="1"/>
  <c r="J504" i="8"/>
  <c r="H504" i="8"/>
  <c r="I504" i="8" s="1"/>
  <c r="F504" i="8"/>
  <c r="E504" i="8"/>
  <c r="D504" i="8"/>
  <c r="C504" i="8"/>
  <c r="B504" i="8"/>
  <c r="K503" i="8"/>
  <c r="J503" i="8"/>
  <c r="L503" i="8" s="1"/>
  <c r="H503" i="8"/>
  <c r="I503" i="8" s="1"/>
  <c r="F503" i="8"/>
  <c r="O503" i="8" s="1"/>
  <c r="E503" i="8"/>
  <c r="N503" i="8" s="1"/>
  <c r="D503" i="8"/>
  <c r="C503" i="8"/>
  <c r="B503" i="8"/>
  <c r="K502" i="8"/>
  <c r="O502" i="8" s="1"/>
  <c r="J502" i="8"/>
  <c r="H502" i="8"/>
  <c r="I502" i="8" s="1"/>
  <c r="F502" i="8"/>
  <c r="E502" i="8"/>
  <c r="G502" i="8" s="1"/>
  <c r="C502" i="8"/>
  <c r="D502" i="8" s="1"/>
  <c r="B502" i="8"/>
  <c r="K501" i="8"/>
  <c r="J501" i="8"/>
  <c r="H501" i="8"/>
  <c r="I501" i="8" s="1"/>
  <c r="F501" i="8"/>
  <c r="E501" i="8"/>
  <c r="C501" i="8"/>
  <c r="D501" i="8" s="1"/>
  <c r="B501" i="8"/>
  <c r="K500" i="8"/>
  <c r="J500" i="8"/>
  <c r="L500" i="8" s="1"/>
  <c r="I500" i="8"/>
  <c r="H500" i="8"/>
  <c r="F500" i="8"/>
  <c r="G500" i="8" s="1"/>
  <c r="E500" i="8"/>
  <c r="C500" i="8"/>
  <c r="B500" i="8"/>
  <c r="L499" i="8"/>
  <c r="K499" i="8"/>
  <c r="J499" i="8"/>
  <c r="H499" i="8"/>
  <c r="I499" i="8" s="1"/>
  <c r="F499" i="8"/>
  <c r="E499" i="8"/>
  <c r="D499" i="8"/>
  <c r="C499" i="8"/>
  <c r="B499" i="8"/>
  <c r="K498" i="8"/>
  <c r="O498" i="8" s="1"/>
  <c r="J498" i="8"/>
  <c r="L498" i="8" s="1"/>
  <c r="I498" i="8"/>
  <c r="H498" i="8"/>
  <c r="F498" i="8"/>
  <c r="E498" i="8"/>
  <c r="D498" i="8"/>
  <c r="C498" i="8"/>
  <c r="B498" i="8"/>
  <c r="O497" i="8"/>
  <c r="N497" i="8"/>
  <c r="K497" i="8"/>
  <c r="L497" i="8" s="1"/>
  <c r="J497" i="8"/>
  <c r="H497" i="8"/>
  <c r="I497" i="8" s="1"/>
  <c r="F497" i="8"/>
  <c r="G497" i="8" s="1"/>
  <c r="E497" i="8"/>
  <c r="C497" i="8"/>
  <c r="D497" i="8" s="1"/>
  <c r="B497" i="8"/>
  <c r="N496" i="8"/>
  <c r="L496" i="8"/>
  <c r="K496" i="8"/>
  <c r="J496" i="8"/>
  <c r="H496" i="8"/>
  <c r="I496" i="8" s="1"/>
  <c r="F496" i="8"/>
  <c r="E496" i="8"/>
  <c r="G496" i="8" s="1"/>
  <c r="C496" i="8"/>
  <c r="B496" i="8"/>
  <c r="O495" i="8"/>
  <c r="K495" i="8"/>
  <c r="J495" i="8"/>
  <c r="L495" i="8" s="1"/>
  <c r="H495" i="8"/>
  <c r="N495" i="8" s="1"/>
  <c r="F495" i="8"/>
  <c r="G495" i="8" s="1"/>
  <c r="E495" i="8"/>
  <c r="D495" i="8"/>
  <c r="C495" i="8"/>
  <c r="B495" i="8"/>
  <c r="O494" i="8"/>
  <c r="N494" i="8"/>
  <c r="K494" i="8"/>
  <c r="J494" i="8"/>
  <c r="L494" i="8" s="1"/>
  <c r="H494" i="8"/>
  <c r="I494" i="8" s="1"/>
  <c r="G494" i="8"/>
  <c r="F494" i="8"/>
  <c r="E494" i="8"/>
  <c r="C494" i="8"/>
  <c r="D494" i="8" s="1"/>
  <c r="B494" i="8"/>
  <c r="O493" i="8"/>
  <c r="K493" i="8"/>
  <c r="J493" i="8"/>
  <c r="L493" i="8" s="1"/>
  <c r="H493" i="8"/>
  <c r="G493" i="8"/>
  <c r="F493" i="8"/>
  <c r="E493" i="8"/>
  <c r="C493" i="8"/>
  <c r="D493" i="8" s="1"/>
  <c r="B493" i="8"/>
  <c r="O492" i="8"/>
  <c r="N492" i="8"/>
  <c r="K492" i="8"/>
  <c r="J492" i="8"/>
  <c r="L492" i="8" s="1"/>
  <c r="H492" i="8"/>
  <c r="I492" i="8" s="1"/>
  <c r="G492" i="8"/>
  <c r="F492" i="8"/>
  <c r="E492" i="8"/>
  <c r="D492" i="8"/>
  <c r="C492" i="8"/>
  <c r="B492" i="8"/>
  <c r="O491" i="8"/>
  <c r="K491" i="8"/>
  <c r="J491" i="8"/>
  <c r="L491" i="8" s="1"/>
  <c r="H491" i="8"/>
  <c r="I491" i="8" s="1"/>
  <c r="F491" i="8"/>
  <c r="E491" i="8"/>
  <c r="D491" i="8"/>
  <c r="C491" i="8"/>
  <c r="B491" i="8"/>
  <c r="K490" i="8"/>
  <c r="O490" i="8" s="1"/>
  <c r="J490" i="8"/>
  <c r="I490" i="8"/>
  <c r="H490" i="8"/>
  <c r="F490" i="8"/>
  <c r="E490" i="8"/>
  <c r="D490" i="8"/>
  <c r="C490" i="8"/>
  <c r="B490" i="8"/>
  <c r="O489" i="8"/>
  <c r="K489" i="8"/>
  <c r="J489" i="8"/>
  <c r="L489" i="8" s="1"/>
  <c r="H489" i="8"/>
  <c r="I489" i="8" s="1"/>
  <c r="F489" i="8"/>
  <c r="E489" i="8"/>
  <c r="N489" i="8" s="1"/>
  <c r="C489" i="8"/>
  <c r="D489" i="8" s="1"/>
  <c r="B489" i="8"/>
  <c r="L488" i="8"/>
  <c r="K488" i="8"/>
  <c r="J488" i="8"/>
  <c r="H488" i="8"/>
  <c r="G488" i="8"/>
  <c r="F488" i="8"/>
  <c r="E488" i="8"/>
  <c r="C488" i="8"/>
  <c r="B488" i="8"/>
  <c r="L487" i="8"/>
  <c r="K487" i="8"/>
  <c r="J487" i="8"/>
  <c r="I487" i="8"/>
  <c r="H487" i="8"/>
  <c r="F487" i="8"/>
  <c r="E487" i="8"/>
  <c r="C487" i="8"/>
  <c r="B487" i="8"/>
  <c r="O486" i="8"/>
  <c r="N486" i="8"/>
  <c r="K486" i="8"/>
  <c r="J486" i="8"/>
  <c r="L486" i="8" s="1"/>
  <c r="H486" i="8"/>
  <c r="I486" i="8" s="1"/>
  <c r="F486" i="8"/>
  <c r="E486" i="8"/>
  <c r="C486" i="8"/>
  <c r="D486" i="8" s="1"/>
  <c r="B486" i="8"/>
  <c r="K485" i="8"/>
  <c r="J485" i="8"/>
  <c r="I485" i="8"/>
  <c r="H485" i="8"/>
  <c r="G485" i="8"/>
  <c r="F485" i="8"/>
  <c r="E485" i="8"/>
  <c r="N485" i="8" s="1"/>
  <c r="C485" i="8"/>
  <c r="B485" i="8"/>
  <c r="K484" i="8"/>
  <c r="J484" i="8"/>
  <c r="L484" i="8" s="1"/>
  <c r="H484" i="8"/>
  <c r="I484" i="8" s="1"/>
  <c r="F484" i="8"/>
  <c r="E484" i="8"/>
  <c r="C484" i="8"/>
  <c r="B484" i="8"/>
  <c r="L483" i="8"/>
  <c r="K483" i="8"/>
  <c r="J483" i="8"/>
  <c r="H483" i="8"/>
  <c r="I483" i="8" s="1"/>
  <c r="F483" i="8"/>
  <c r="E483" i="8"/>
  <c r="C483" i="8"/>
  <c r="O483" i="8" s="1"/>
  <c r="B483" i="8"/>
  <c r="L482" i="8"/>
  <c r="K482" i="8"/>
  <c r="J482" i="8"/>
  <c r="H482" i="8"/>
  <c r="I482" i="8" s="1"/>
  <c r="F482" i="8"/>
  <c r="E482" i="8"/>
  <c r="N482" i="8" s="1"/>
  <c r="C482" i="8"/>
  <c r="B482" i="8"/>
  <c r="K481" i="8"/>
  <c r="J481" i="8"/>
  <c r="L481" i="8" s="1"/>
  <c r="I481" i="8"/>
  <c r="H481" i="8"/>
  <c r="F481" i="8"/>
  <c r="E481" i="8"/>
  <c r="C481" i="8"/>
  <c r="O481" i="8" s="1"/>
  <c r="B481" i="8"/>
  <c r="L480" i="8"/>
  <c r="K480" i="8"/>
  <c r="J480" i="8"/>
  <c r="H480" i="8"/>
  <c r="I480" i="8" s="1"/>
  <c r="G480" i="8"/>
  <c r="F480" i="8"/>
  <c r="E480" i="8"/>
  <c r="C480" i="8"/>
  <c r="B480" i="8"/>
  <c r="L479" i="8"/>
  <c r="K479" i="8"/>
  <c r="J479" i="8"/>
  <c r="H479" i="8"/>
  <c r="I479" i="8" s="1"/>
  <c r="F479" i="8"/>
  <c r="E479" i="8"/>
  <c r="C479" i="8"/>
  <c r="B479" i="8"/>
  <c r="N478" i="8"/>
  <c r="K478" i="8"/>
  <c r="J478" i="8"/>
  <c r="L478" i="8" s="1"/>
  <c r="H478" i="8"/>
  <c r="I478" i="8" s="1"/>
  <c r="F478" i="8"/>
  <c r="E478" i="8"/>
  <c r="G478" i="8" s="1"/>
  <c r="C478" i="8"/>
  <c r="B478" i="8"/>
  <c r="K477" i="8"/>
  <c r="O477" i="8" s="1"/>
  <c r="J477" i="8"/>
  <c r="I477" i="8"/>
  <c r="H477" i="8"/>
  <c r="G477" i="8"/>
  <c r="F477" i="8"/>
  <c r="E477" i="8"/>
  <c r="C477" i="8"/>
  <c r="D477" i="8" s="1"/>
  <c r="B477" i="8"/>
  <c r="K476" i="8"/>
  <c r="O476" i="8" s="1"/>
  <c r="J476" i="8"/>
  <c r="L476" i="8" s="1"/>
  <c r="H476" i="8"/>
  <c r="F476" i="8"/>
  <c r="G476" i="8" s="1"/>
  <c r="E476" i="8"/>
  <c r="C476" i="8"/>
  <c r="D476" i="8" s="1"/>
  <c r="B476" i="8"/>
  <c r="T475" i="8"/>
  <c r="O475" i="8"/>
  <c r="N475" i="8"/>
  <c r="Q475" i="8" s="1"/>
  <c r="V475" i="8" s="1"/>
  <c r="L475" i="8"/>
  <c r="K475" i="8"/>
  <c r="J475" i="8"/>
  <c r="H475" i="8"/>
  <c r="I475" i="8" s="1"/>
  <c r="R475" i="8" s="1"/>
  <c r="G475" i="8"/>
  <c r="F475" i="8"/>
  <c r="E475" i="8"/>
  <c r="C475" i="8"/>
  <c r="D475" i="8" s="1"/>
  <c r="B475" i="8"/>
  <c r="O474" i="8"/>
  <c r="N474" i="8"/>
  <c r="K474" i="8"/>
  <c r="L474" i="8" s="1"/>
  <c r="J474" i="8"/>
  <c r="H474" i="8"/>
  <c r="I474" i="8" s="1"/>
  <c r="F474" i="8"/>
  <c r="G474" i="8" s="1"/>
  <c r="E474" i="8"/>
  <c r="D474" i="8"/>
  <c r="C474" i="8"/>
  <c r="B474" i="8"/>
  <c r="L473" i="8"/>
  <c r="K473" i="8"/>
  <c r="J473" i="8"/>
  <c r="I473" i="8"/>
  <c r="H473" i="8"/>
  <c r="N473" i="8" s="1"/>
  <c r="F473" i="8"/>
  <c r="O473" i="8" s="1"/>
  <c r="E473" i="8"/>
  <c r="D473" i="8"/>
  <c r="C473" i="8"/>
  <c r="B473" i="8"/>
  <c r="K472" i="8"/>
  <c r="J472" i="8"/>
  <c r="H472" i="8"/>
  <c r="G472" i="8"/>
  <c r="F472" i="8"/>
  <c r="E472" i="8"/>
  <c r="C472" i="8"/>
  <c r="D472" i="8" s="1"/>
  <c r="B472" i="8"/>
  <c r="K471" i="8"/>
  <c r="O471" i="8" s="1"/>
  <c r="J471" i="8"/>
  <c r="L471" i="8" s="1"/>
  <c r="H471" i="8"/>
  <c r="I471" i="8" s="1"/>
  <c r="F471" i="8"/>
  <c r="G471" i="8" s="1"/>
  <c r="E471" i="8"/>
  <c r="C471" i="8"/>
  <c r="D471" i="8" s="1"/>
  <c r="B471" i="8"/>
  <c r="K470" i="8"/>
  <c r="O470" i="8" s="1"/>
  <c r="J470" i="8"/>
  <c r="L470" i="8" s="1"/>
  <c r="H470" i="8"/>
  <c r="G470" i="8"/>
  <c r="F470" i="8"/>
  <c r="E470" i="8"/>
  <c r="C470" i="8"/>
  <c r="D470" i="8" s="1"/>
  <c r="B470" i="8"/>
  <c r="K469" i="8"/>
  <c r="O469" i="8" s="1"/>
  <c r="J469" i="8"/>
  <c r="L469" i="8" s="1"/>
  <c r="H469" i="8"/>
  <c r="I469" i="8" s="1"/>
  <c r="F469" i="8"/>
  <c r="E469" i="8"/>
  <c r="D469" i="8"/>
  <c r="C469" i="8"/>
  <c r="B469" i="8"/>
  <c r="O468" i="8"/>
  <c r="N468" i="8"/>
  <c r="K468" i="8"/>
  <c r="J468" i="8"/>
  <c r="L468" i="8" s="1"/>
  <c r="I468" i="8"/>
  <c r="H468" i="8"/>
  <c r="F468" i="8"/>
  <c r="E468" i="8"/>
  <c r="G468" i="8" s="1"/>
  <c r="D468" i="8"/>
  <c r="C468" i="8"/>
  <c r="B468" i="8"/>
  <c r="Q467" i="8"/>
  <c r="V467" i="8" s="1"/>
  <c r="N467" i="8"/>
  <c r="K467" i="8"/>
  <c r="O467" i="8" s="1"/>
  <c r="J467" i="8"/>
  <c r="H467" i="8"/>
  <c r="I467" i="8" s="1"/>
  <c r="G467" i="8"/>
  <c r="F467" i="8"/>
  <c r="E467" i="8"/>
  <c r="C467" i="8"/>
  <c r="D467" i="8" s="1"/>
  <c r="B467" i="8"/>
  <c r="K466" i="8"/>
  <c r="J466" i="8"/>
  <c r="H466" i="8"/>
  <c r="I466" i="8" s="1"/>
  <c r="F466" i="8"/>
  <c r="G466" i="8" s="1"/>
  <c r="E466" i="8"/>
  <c r="C466" i="8"/>
  <c r="D466" i="8" s="1"/>
  <c r="B466" i="8"/>
  <c r="Q465" i="8"/>
  <c r="V465" i="8" s="1"/>
  <c r="O465" i="8"/>
  <c r="L465" i="8"/>
  <c r="K465" i="8"/>
  <c r="J465" i="8"/>
  <c r="H465" i="8"/>
  <c r="N465" i="8" s="1"/>
  <c r="T465" i="8" s="1"/>
  <c r="G465" i="8"/>
  <c r="F465" i="8"/>
  <c r="E465" i="8"/>
  <c r="D465" i="8"/>
  <c r="C465" i="8"/>
  <c r="B465" i="8"/>
  <c r="N464" i="8"/>
  <c r="K464" i="8"/>
  <c r="O464" i="8" s="1"/>
  <c r="J464" i="8"/>
  <c r="I464" i="8"/>
  <c r="H464" i="8"/>
  <c r="F464" i="8"/>
  <c r="E464" i="8"/>
  <c r="G464" i="8" s="1"/>
  <c r="C464" i="8"/>
  <c r="D464" i="8" s="1"/>
  <c r="B464" i="8"/>
  <c r="O463" i="8"/>
  <c r="L463" i="8"/>
  <c r="K463" i="8"/>
  <c r="J463" i="8"/>
  <c r="I463" i="8"/>
  <c r="H463" i="8"/>
  <c r="F463" i="8"/>
  <c r="E463" i="8"/>
  <c r="C463" i="8"/>
  <c r="D463" i="8" s="1"/>
  <c r="B463" i="8"/>
  <c r="L462" i="8"/>
  <c r="K462" i="8"/>
  <c r="J462" i="8"/>
  <c r="H462" i="8"/>
  <c r="I462" i="8" s="1"/>
  <c r="F462" i="8"/>
  <c r="E462" i="8"/>
  <c r="D462" i="8"/>
  <c r="C462" i="8"/>
  <c r="B462" i="8"/>
  <c r="O461" i="8"/>
  <c r="K461" i="8"/>
  <c r="L461" i="8" s="1"/>
  <c r="J461" i="8"/>
  <c r="I461" i="8"/>
  <c r="H461" i="8"/>
  <c r="F461" i="8"/>
  <c r="E461" i="8"/>
  <c r="G461" i="8" s="1"/>
  <c r="D461" i="8"/>
  <c r="C461" i="8"/>
  <c r="B461" i="8"/>
  <c r="L460" i="8"/>
  <c r="K460" i="8"/>
  <c r="J460" i="8"/>
  <c r="N460" i="8" s="1"/>
  <c r="I460" i="8"/>
  <c r="H460" i="8"/>
  <c r="F460" i="8"/>
  <c r="O460" i="8" s="1"/>
  <c r="E460" i="8"/>
  <c r="G460" i="8" s="1"/>
  <c r="D460" i="8"/>
  <c r="C460" i="8"/>
  <c r="B460" i="8"/>
  <c r="O459" i="8"/>
  <c r="K459" i="8"/>
  <c r="J459" i="8"/>
  <c r="L459" i="8" s="1"/>
  <c r="I459" i="8"/>
  <c r="H459" i="8"/>
  <c r="F459" i="8"/>
  <c r="E459" i="8"/>
  <c r="G459" i="8" s="1"/>
  <c r="D459" i="8"/>
  <c r="C459" i="8"/>
  <c r="B459" i="8"/>
  <c r="L458" i="8"/>
  <c r="K458" i="8"/>
  <c r="O458" i="8" s="1"/>
  <c r="J458" i="8"/>
  <c r="H458" i="8"/>
  <c r="I458" i="8" s="1"/>
  <c r="F458" i="8"/>
  <c r="E458" i="8"/>
  <c r="D458" i="8"/>
  <c r="C458" i="8"/>
  <c r="B458" i="8"/>
  <c r="K457" i="8"/>
  <c r="J457" i="8"/>
  <c r="L457" i="8" s="1"/>
  <c r="I457" i="8"/>
  <c r="H457" i="8"/>
  <c r="N457" i="8" s="1"/>
  <c r="G457" i="8"/>
  <c r="F457" i="8"/>
  <c r="E457" i="8"/>
  <c r="D457" i="8"/>
  <c r="C457" i="8"/>
  <c r="O457" i="8" s="1"/>
  <c r="B457" i="8"/>
  <c r="K456" i="8"/>
  <c r="J456" i="8"/>
  <c r="L456" i="8" s="1"/>
  <c r="H456" i="8"/>
  <c r="I456" i="8" s="1"/>
  <c r="F456" i="8"/>
  <c r="E456" i="8"/>
  <c r="C456" i="8"/>
  <c r="B456" i="8"/>
  <c r="K455" i="8"/>
  <c r="O455" i="8" s="1"/>
  <c r="J455" i="8"/>
  <c r="I455" i="8"/>
  <c r="H455" i="8"/>
  <c r="F455" i="8"/>
  <c r="E455" i="8"/>
  <c r="D455" i="8"/>
  <c r="C455" i="8"/>
  <c r="B455" i="8"/>
  <c r="K454" i="8"/>
  <c r="J454" i="8"/>
  <c r="L454" i="8" s="1"/>
  <c r="H454" i="8"/>
  <c r="I454" i="8" s="1"/>
  <c r="F454" i="8"/>
  <c r="E454" i="8"/>
  <c r="D454" i="8"/>
  <c r="C454" i="8"/>
  <c r="O454" i="8" s="1"/>
  <c r="B454" i="8"/>
  <c r="K453" i="8"/>
  <c r="J453" i="8"/>
  <c r="L453" i="8" s="1"/>
  <c r="H453" i="8"/>
  <c r="F453" i="8"/>
  <c r="E453" i="8"/>
  <c r="G453" i="8" s="1"/>
  <c r="C453" i="8"/>
  <c r="O453" i="8" s="1"/>
  <c r="B453" i="8"/>
  <c r="K452" i="8"/>
  <c r="L452" i="8" s="1"/>
  <c r="J452" i="8"/>
  <c r="I452" i="8"/>
  <c r="H452" i="8"/>
  <c r="F452" i="8"/>
  <c r="G452" i="8" s="1"/>
  <c r="E452" i="8"/>
  <c r="C452" i="8"/>
  <c r="B452" i="8"/>
  <c r="K451" i="8"/>
  <c r="J451" i="8"/>
  <c r="H451" i="8"/>
  <c r="I451" i="8" s="1"/>
  <c r="F451" i="8"/>
  <c r="E451" i="8"/>
  <c r="D451" i="8"/>
  <c r="C451" i="8"/>
  <c r="B451" i="8"/>
  <c r="K450" i="8"/>
  <c r="L450" i="8" s="1"/>
  <c r="J450" i="8"/>
  <c r="H450" i="8"/>
  <c r="I450" i="8" s="1"/>
  <c r="F450" i="8"/>
  <c r="E450" i="8"/>
  <c r="C450" i="8"/>
  <c r="B450" i="8"/>
  <c r="K449" i="8"/>
  <c r="J449" i="8"/>
  <c r="L449" i="8" s="1"/>
  <c r="H449" i="8"/>
  <c r="G449" i="8"/>
  <c r="F449" i="8"/>
  <c r="E449" i="8"/>
  <c r="D449" i="8"/>
  <c r="C449" i="8"/>
  <c r="O449" i="8" s="1"/>
  <c r="B449" i="8"/>
  <c r="K448" i="8"/>
  <c r="L448" i="8" s="1"/>
  <c r="J448" i="8"/>
  <c r="H448" i="8"/>
  <c r="I448" i="8" s="1"/>
  <c r="F448" i="8"/>
  <c r="E448" i="8"/>
  <c r="N448" i="8" s="1"/>
  <c r="C448" i="8"/>
  <c r="B448" i="8"/>
  <c r="K447" i="8"/>
  <c r="J447" i="8"/>
  <c r="L447" i="8" s="1"/>
  <c r="I447" i="8"/>
  <c r="H447" i="8"/>
  <c r="F447" i="8"/>
  <c r="E447" i="8"/>
  <c r="C447" i="8"/>
  <c r="B447" i="8"/>
  <c r="L446" i="8"/>
  <c r="K446" i="8"/>
  <c r="J446" i="8"/>
  <c r="I446" i="8"/>
  <c r="H446" i="8"/>
  <c r="F446" i="8"/>
  <c r="E446" i="8"/>
  <c r="D446" i="8"/>
  <c r="C446" i="8"/>
  <c r="O446" i="8" s="1"/>
  <c r="B446" i="8"/>
  <c r="N445" i="8"/>
  <c r="L445" i="8"/>
  <c r="K445" i="8"/>
  <c r="J445" i="8"/>
  <c r="H445" i="8"/>
  <c r="I445" i="8" s="1"/>
  <c r="F445" i="8"/>
  <c r="G445" i="8" s="1"/>
  <c r="E445" i="8"/>
  <c r="C445" i="8"/>
  <c r="D445" i="8" s="1"/>
  <c r="B445" i="8"/>
  <c r="L444" i="8"/>
  <c r="K444" i="8"/>
  <c r="J444" i="8"/>
  <c r="H444" i="8"/>
  <c r="G444" i="8"/>
  <c r="F444" i="8"/>
  <c r="E444" i="8"/>
  <c r="C444" i="8"/>
  <c r="D444" i="8" s="1"/>
  <c r="B444" i="8"/>
  <c r="L443" i="8"/>
  <c r="K443" i="8"/>
  <c r="J443" i="8"/>
  <c r="I443" i="8"/>
  <c r="H443" i="8"/>
  <c r="F443" i="8"/>
  <c r="O443" i="8" s="1"/>
  <c r="E443" i="8"/>
  <c r="N443" i="8" s="1"/>
  <c r="D443" i="8"/>
  <c r="C443" i="8"/>
  <c r="B443" i="8"/>
  <c r="K442" i="8"/>
  <c r="L442" i="8" s="1"/>
  <c r="J442" i="8"/>
  <c r="I442" i="8"/>
  <c r="H442" i="8"/>
  <c r="F442" i="8"/>
  <c r="E442" i="8"/>
  <c r="C442" i="8"/>
  <c r="B442" i="8"/>
  <c r="O441" i="8"/>
  <c r="K441" i="8"/>
  <c r="J441" i="8"/>
  <c r="L441" i="8" s="1"/>
  <c r="H441" i="8"/>
  <c r="G441" i="8"/>
  <c r="F441" i="8"/>
  <c r="E441" i="8"/>
  <c r="D441" i="8"/>
  <c r="C441" i="8"/>
  <c r="B441" i="8"/>
  <c r="L440" i="8"/>
  <c r="K440" i="8"/>
  <c r="J440" i="8"/>
  <c r="H440" i="8"/>
  <c r="I440" i="8" s="1"/>
  <c r="F440" i="8"/>
  <c r="E440" i="8"/>
  <c r="D440" i="8"/>
  <c r="C440" i="8"/>
  <c r="O440" i="8" s="1"/>
  <c r="B440" i="8"/>
  <c r="Q439" i="8"/>
  <c r="V439" i="8" s="1"/>
  <c r="O439" i="8"/>
  <c r="K439" i="8"/>
  <c r="J439" i="8"/>
  <c r="L439" i="8" s="1"/>
  <c r="I439" i="8"/>
  <c r="H439" i="8"/>
  <c r="N439" i="8" s="1"/>
  <c r="F439" i="8"/>
  <c r="E439" i="8"/>
  <c r="G439" i="8" s="1"/>
  <c r="D439" i="8"/>
  <c r="C439" i="8"/>
  <c r="B439" i="8"/>
  <c r="K438" i="8"/>
  <c r="O438" i="8" s="1"/>
  <c r="J438" i="8"/>
  <c r="L438" i="8" s="1"/>
  <c r="I438" i="8"/>
  <c r="H438" i="8"/>
  <c r="F438" i="8"/>
  <c r="E438" i="8"/>
  <c r="G438" i="8" s="1"/>
  <c r="D438" i="8"/>
  <c r="C438" i="8"/>
  <c r="B438" i="8"/>
  <c r="O437" i="8"/>
  <c r="K437" i="8"/>
  <c r="J437" i="8"/>
  <c r="L437" i="8" s="1"/>
  <c r="H437" i="8"/>
  <c r="F437" i="8"/>
  <c r="E437" i="8"/>
  <c r="G437" i="8" s="1"/>
  <c r="D437" i="8"/>
  <c r="C437" i="8"/>
  <c r="B437" i="8"/>
  <c r="L436" i="8"/>
  <c r="K436" i="8"/>
  <c r="O436" i="8" s="1"/>
  <c r="J436" i="8"/>
  <c r="H436" i="8"/>
  <c r="F436" i="8"/>
  <c r="E436" i="8"/>
  <c r="G436" i="8" s="1"/>
  <c r="D436" i="8"/>
  <c r="C436" i="8"/>
  <c r="B436" i="8"/>
  <c r="O435" i="8"/>
  <c r="K435" i="8"/>
  <c r="J435" i="8"/>
  <c r="I435" i="8"/>
  <c r="H435" i="8"/>
  <c r="F435" i="8"/>
  <c r="G435" i="8" s="1"/>
  <c r="E435" i="8"/>
  <c r="C435" i="8"/>
  <c r="D435" i="8" s="1"/>
  <c r="B435" i="8"/>
  <c r="K434" i="8"/>
  <c r="J434" i="8"/>
  <c r="I434" i="8"/>
  <c r="H434" i="8"/>
  <c r="G434" i="8"/>
  <c r="F434" i="8"/>
  <c r="E434" i="8"/>
  <c r="C434" i="8"/>
  <c r="D434" i="8" s="1"/>
  <c r="B434" i="8"/>
  <c r="K433" i="8"/>
  <c r="J433" i="8"/>
  <c r="L433" i="8" s="1"/>
  <c r="H433" i="8"/>
  <c r="I433" i="8" s="1"/>
  <c r="G433" i="8"/>
  <c r="F433" i="8"/>
  <c r="E433" i="8"/>
  <c r="C433" i="8"/>
  <c r="B433" i="8"/>
  <c r="K432" i="8"/>
  <c r="J432" i="8"/>
  <c r="L432" i="8" s="1"/>
  <c r="I432" i="8"/>
  <c r="H432" i="8"/>
  <c r="N432" i="8" s="1"/>
  <c r="F432" i="8"/>
  <c r="E432" i="8"/>
  <c r="G432" i="8" s="1"/>
  <c r="C432" i="8"/>
  <c r="B432" i="8"/>
  <c r="K431" i="8"/>
  <c r="J431" i="8"/>
  <c r="I431" i="8"/>
  <c r="H431" i="8"/>
  <c r="F431" i="8"/>
  <c r="E431" i="8"/>
  <c r="D431" i="8"/>
  <c r="C431" i="8"/>
  <c r="B431" i="8"/>
  <c r="K430" i="8"/>
  <c r="J430" i="8"/>
  <c r="L430" i="8" s="1"/>
  <c r="H430" i="8"/>
  <c r="I430" i="8" s="1"/>
  <c r="G430" i="8"/>
  <c r="F430" i="8"/>
  <c r="O430" i="8" s="1"/>
  <c r="E430" i="8"/>
  <c r="N430" i="8" s="1"/>
  <c r="Q430" i="8" s="1"/>
  <c r="D430" i="8"/>
  <c r="C430" i="8"/>
  <c r="B430" i="8"/>
  <c r="O429" i="8"/>
  <c r="K429" i="8"/>
  <c r="L429" i="8" s="1"/>
  <c r="J429" i="8"/>
  <c r="H429" i="8"/>
  <c r="I429" i="8" s="1"/>
  <c r="F429" i="8"/>
  <c r="E429" i="8"/>
  <c r="C429" i="8"/>
  <c r="D429" i="8" s="1"/>
  <c r="B429" i="8"/>
  <c r="O428" i="8"/>
  <c r="L428" i="8"/>
  <c r="K428" i="8"/>
  <c r="J428" i="8"/>
  <c r="H428" i="8"/>
  <c r="I428" i="8" s="1"/>
  <c r="F428" i="8"/>
  <c r="E428" i="8"/>
  <c r="G428" i="8" s="1"/>
  <c r="D428" i="8"/>
  <c r="C428" i="8"/>
  <c r="B428" i="8"/>
  <c r="K427" i="8"/>
  <c r="J427" i="8"/>
  <c r="L427" i="8" s="1"/>
  <c r="I427" i="8"/>
  <c r="H427" i="8"/>
  <c r="F427" i="8"/>
  <c r="E427" i="8"/>
  <c r="C427" i="8"/>
  <c r="O427" i="8" s="1"/>
  <c r="B427" i="8"/>
  <c r="K426" i="8"/>
  <c r="J426" i="8"/>
  <c r="L426" i="8" s="1"/>
  <c r="H426" i="8"/>
  <c r="I426" i="8" s="1"/>
  <c r="G426" i="8"/>
  <c r="F426" i="8"/>
  <c r="E426" i="8"/>
  <c r="D426" i="8"/>
  <c r="C426" i="8"/>
  <c r="O426" i="8" s="1"/>
  <c r="B426" i="8"/>
  <c r="K425" i="8"/>
  <c r="J425" i="8"/>
  <c r="L425" i="8" s="1"/>
  <c r="H425" i="8"/>
  <c r="I425" i="8" s="1"/>
  <c r="F425" i="8"/>
  <c r="E425" i="8"/>
  <c r="C425" i="8"/>
  <c r="B425" i="8"/>
  <c r="K424" i="8"/>
  <c r="J424" i="8"/>
  <c r="L424" i="8" s="1"/>
  <c r="H424" i="8"/>
  <c r="I424" i="8" s="1"/>
  <c r="F424" i="8"/>
  <c r="E424" i="8"/>
  <c r="C424" i="8"/>
  <c r="B424" i="8"/>
  <c r="K423" i="8"/>
  <c r="J423" i="8"/>
  <c r="L423" i="8" s="1"/>
  <c r="H423" i="8"/>
  <c r="I423" i="8" s="1"/>
  <c r="F423" i="8"/>
  <c r="E423" i="8"/>
  <c r="C423" i="8"/>
  <c r="B423" i="8"/>
  <c r="K422" i="8"/>
  <c r="J422" i="8"/>
  <c r="L422" i="8" s="1"/>
  <c r="I422" i="8"/>
  <c r="H422" i="8"/>
  <c r="F422" i="8"/>
  <c r="E422" i="8"/>
  <c r="C422" i="8"/>
  <c r="B422" i="8"/>
  <c r="K421" i="8"/>
  <c r="O421" i="8" s="1"/>
  <c r="J421" i="8"/>
  <c r="L421" i="8" s="1"/>
  <c r="I421" i="8"/>
  <c r="H421" i="8"/>
  <c r="F421" i="8"/>
  <c r="G421" i="8" s="1"/>
  <c r="E421" i="8"/>
  <c r="N421" i="8" s="1"/>
  <c r="D421" i="8"/>
  <c r="C421" i="8"/>
  <c r="B421" i="8"/>
  <c r="K420" i="8"/>
  <c r="J420" i="8"/>
  <c r="L420" i="8" s="1"/>
  <c r="H420" i="8"/>
  <c r="I420" i="8" s="1"/>
  <c r="F420" i="8"/>
  <c r="E420" i="8"/>
  <c r="C420" i="8"/>
  <c r="B420" i="8"/>
  <c r="K419" i="8"/>
  <c r="J419" i="8"/>
  <c r="L419" i="8" s="1"/>
  <c r="H419" i="8"/>
  <c r="G419" i="8"/>
  <c r="F419" i="8"/>
  <c r="E419" i="8"/>
  <c r="C419" i="8"/>
  <c r="B419" i="8"/>
  <c r="K418" i="8"/>
  <c r="L418" i="8" s="1"/>
  <c r="J418" i="8"/>
  <c r="I418" i="8"/>
  <c r="H418" i="8"/>
  <c r="F418" i="8"/>
  <c r="E418" i="8"/>
  <c r="C418" i="8"/>
  <c r="B418" i="8"/>
  <c r="K417" i="8"/>
  <c r="J417" i="8"/>
  <c r="L417" i="8" s="1"/>
  <c r="I417" i="8"/>
  <c r="H417" i="8"/>
  <c r="F417" i="8"/>
  <c r="E417" i="8"/>
  <c r="C417" i="8"/>
  <c r="B417" i="8"/>
  <c r="K416" i="8"/>
  <c r="J416" i="8"/>
  <c r="L416" i="8" s="1"/>
  <c r="I416" i="8"/>
  <c r="H416" i="8"/>
  <c r="F416" i="8"/>
  <c r="E416" i="8"/>
  <c r="D416" i="8"/>
  <c r="C416" i="8"/>
  <c r="O416" i="8" s="1"/>
  <c r="B416" i="8"/>
  <c r="N415" i="8"/>
  <c r="K415" i="8"/>
  <c r="J415" i="8"/>
  <c r="L415" i="8" s="1"/>
  <c r="H415" i="8"/>
  <c r="I415" i="8" s="1"/>
  <c r="G415" i="8"/>
  <c r="F415" i="8"/>
  <c r="O415" i="8" s="1"/>
  <c r="E415" i="8"/>
  <c r="C415" i="8"/>
  <c r="D415" i="8" s="1"/>
  <c r="B415" i="8"/>
  <c r="O414" i="8"/>
  <c r="K414" i="8"/>
  <c r="L414" i="8" s="1"/>
  <c r="J414" i="8"/>
  <c r="H414" i="8"/>
  <c r="I414" i="8" s="1"/>
  <c r="F414" i="8"/>
  <c r="E414" i="8"/>
  <c r="D414" i="8"/>
  <c r="C414" i="8"/>
  <c r="B414" i="8"/>
  <c r="L413" i="8"/>
  <c r="K413" i="8"/>
  <c r="J413" i="8"/>
  <c r="I413" i="8"/>
  <c r="H413" i="8"/>
  <c r="F413" i="8"/>
  <c r="O413" i="8" s="1"/>
  <c r="E413" i="8"/>
  <c r="D413" i="8"/>
  <c r="C413" i="8"/>
  <c r="B413" i="8"/>
  <c r="N412" i="8"/>
  <c r="K412" i="8"/>
  <c r="J412" i="8"/>
  <c r="H412" i="8"/>
  <c r="I412" i="8" s="1"/>
  <c r="F412" i="8"/>
  <c r="E412" i="8"/>
  <c r="D412" i="8"/>
  <c r="C412" i="8"/>
  <c r="B412" i="8"/>
  <c r="K411" i="8"/>
  <c r="J411" i="8"/>
  <c r="I411" i="8"/>
  <c r="H411" i="8"/>
  <c r="G411" i="8"/>
  <c r="F411" i="8"/>
  <c r="E411" i="8"/>
  <c r="N411" i="8" s="1"/>
  <c r="D411" i="8"/>
  <c r="C411" i="8"/>
  <c r="B411" i="8"/>
  <c r="K410" i="8"/>
  <c r="L410" i="8" s="1"/>
  <c r="J410" i="8"/>
  <c r="H410" i="8"/>
  <c r="I410" i="8" s="1"/>
  <c r="G410" i="8"/>
  <c r="F410" i="8"/>
  <c r="E410" i="8"/>
  <c r="D410" i="8"/>
  <c r="C410" i="8"/>
  <c r="B410" i="8"/>
  <c r="K409" i="8"/>
  <c r="L409" i="8" s="1"/>
  <c r="J409" i="8"/>
  <c r="H409" i="8"/>
  <c r="I409" i="8" s="1"/>
  <c r="G409" i="8"/>
  <c r="F409" i="8"/>
  <c r="E409" i="8"/>
  <c r="D409" i="8"/>
  <c r="C409" i="8"/>
  <c r="B409" i="8"/>
  <c r="K408" i="8"/>
  <c r="J408" i="8"/>
  <c r="I408" i="8"/>
  <c r="H408" i="8"/>
  <c r="F408" i="8"/>
  <c r="E408" i="8"/>
  <c r="D408" i="8"/>
  <c r="C408" i="8"/>
  <c r="B408" i="8"/>
  <c r="K407" i="8"/>
  <c r="O407" i="8" s="1"/>
  <c r="J407" i="8"/>
  <c r="H407" i="8"/>
  <c r="I407" i="8" s="1"/>
  <c r="G407" i="8"/>
  <c r="F407" i="8"/>
  <c r="E407" i="8"/>
  <c r="D407" i="8"/>
  <c r="C407" i="8"/>
  <c r="B407" i="8"/>
  <c r="O406" i="8"/>
  <c r="L406" i="8"/>
  <c r="K406" i="8"/>
  <c r="J406" i="8"/>
  <c r="H406" i="8"/>
  <c r="I406" i="8" s="1"/>
  <c r="G406" i="8"/>
  <c r="F406" i="8"/>
  <c r="E406" i="8"/>
  <c r="D406" i="8"/>
  <c r="C406" i="8"/>
  <c r="B406" i="8"/>
  <c r="K405" i="8"/>
  <c r="O405" i="8" s="1"/>
  <c r="J405" i="8"/>
  <c r="I405" i="8"/>
  <c r="H405" i="8"/>
  <c r="F405" i="8"/>
  <c r="G405" i="8" s="1"/>
  <c r="E405" i="8"/>
  <c r="N405" i="8" s="1"/>
  <c r="D405" i="8"/>
  <c r="C405" i="8"/>
  <c r="B405" i="8"/>
  <c r="L404" i="8"/>
  <c r="K404" i="8"/>
  <c r="O404" i="8" s="1"/>
  <c r="J404" i="8"/>
  <c r="I404" i="8"/>
  <c r="H404" i="8"/>
  <c r="F404" i="8"/>
  <c r="E404" i="8"/>
  <c r="D404" i="8"/>
  <c r="C404" i="8"/>
  <c r="B404" i="8"/>
  <c r="O403" i="8"/>
  <c r="K403" i="8"/>
  <c r="L403" i="8" s="1"/>
  <c r="J403" i="8"/>
  <c r="I403" i="8"/>
  <c r="H403" i="8"/>
  <c r="F403" i="8"/>
  <c r="E403" i="8"/>
  <c r="D403" i="8"/>
  <c r="C403" i="8"/>
  <c r="B403" i="8"/>
  <c r="L402" i="8"/>
  <c r="K402" i="8"/>
  <c r="J402" i="8"/>
  <c r="I402" i="8"/>
  <c r="H402" i="8"/>
  <c r="F402" i="8"/>
  <c r="G402" i="8" s="1"/>
  <c r="E402" i="8"/>
  <c r="D402" i="8"/>
  <c r="C402" i="8"/>
  <c r="B402" i="8"/>
  <c r="K401" i="8"/>
  <c r="O401" i="8" s="1"/>
  <c r="J401" i="8"/>
  <c r="I401" i="8"/>
  <c r="H401" i="8"/>
  <c r="F401" i="8"/>
  <c r="E401" i="8"/>
  <c r="D401" i="8"/>
  <c r="C401" i="8"/>
  <c r="B401" i="8"/>
  <c r="K400" i="8"/>
  <c r="O400" i="8" s="1"/>
  <c r="J400" i="8"/>
  <c r="I400" i="8"/>
  <c r="H400" i="8"/>
  <c r="F400" i="8"/>
  <c r="E400" i="8"/>
  <c r="N400" i="8" s="1"/>
  <c r="D400" i="8"/>
  <c r="C400" i="8"/>
  <c r="B400" i="8"/>
  <c r="Q399" i="8"/>
  <c r="V399" i="8" s="1"/>
  <c r="K399" i="8"/>
  <c r="J399" i="8"/>
  <c r="L399" i="8" s="1"/>
  <c r="H399" i="8"/>
  <c r="N399" i="8" s="1"/>
  <c r="F399" i="8"/>
  <c r="O399" i="8" s="1"/>
  <c r="E399" i="8"/>
  <c r="G399" i="8" s="1"/>
  <c r="D399" i="8"/>
  <c r="C399" i="8"/>
  <c r="B399" i="8"/>
  <c r="O398" i="8"/>
  <c r="K398" i="8"/>
  <c r="J398" i="8"/>
  <c r="L398" i="8" s="1"/>
  <c r="I398" i="8"/>
  <c r="H398" i="8"/>
  <c r="N398" i="8" s="1"/>
  <c r="F398" i="8"/>
  <c r="G398" i="8" s="1"/>
  <c r="E398" i="8"/>
  <c r="C398" i="8"/>
  <c r="D398" i="8" s="1"/>
  <c r="B398" i="8"/>
  <c r="N397" i="8"/>
  <c r="K397" i="8"/>
  <c r="J397" i="8"/>
  <c r="L397" i="8" s="1"/>
  <c r="I397" i="8"/>
  <c r="H397" i="8"/>
  <c r="F397" i="8"/>
  <c r="E397" i="8"/>
  <c r="C397" i="8"/>
  <c r="D397" i="8" s="1"/>
  <c r="B397" i="8"/>
  <c r="O396" i="8"/>
  <c r="L396" i="8"/>
  <c r="K396" i="8"/>
  <c r="J396" i="8"/>
  <c r="H396" i="8"/>
  <c r="G396" i="8"/>
  <c r="F396" i="8"/>
  <c r="E396" i="8"/>
  <c r="C396" i="8"/>
  <c r="D396" i="8" s="1"/>
  <c r="B396" i="8"/>
  <c r="K395" i="8"/>
  <c r="J395" i="8"/>
  <c r="L395" i="8" s="1"/>
  <c r="H395" i="8"/>
  <c r="N395" i="8" s="1"/>
  <c r="F395" i="8"/>
  <c r="E395" i="8"/>
  <c r="C395" i="8"/>
  <c r="B395" i="8"/>
  <c r="N394" i="8"/>
  <c r="L394" i="8"/>
  <c r="K394" i="8"/>
  <c r="J394" i="8"/>
  <c r="I394" i="8"/>
  <c r="H394" i="8"/>
  <c r="F394" i="8"/>
  <c r="E394" i="8"/>
  <c r="G394" i="8" s="1"/>
  <c r="D394" i="8"/>
  <c r="C394" i="8"/>
  <c r="O394" i="8" s="1"/>
  <c r="B394" i="8"/>
  <c r="O393" i="8"/>
  <c r="N393" i="8"/>
  <c r="L393" i="8"/>
  <c r="K393" i="8"/>
  <c r="J393" i="8"/>
  <c r="H393" i="8"/>
  <c r="I393" i="8" s="1"/>
  <c r="F393" i="8"/>
  <c r="E393" i="8"/>
  <c r="G393" i="8" s="1"/>
  <c r="D393" i="8"/>
  <c r="C393" i="8"/>
  <c r="B393" i="8"/>
  <c r="K392" i="8"/>
  <c r="O392" i="8" s="1"/>
  <c r="J392" i="8"/>
  <c r="L392" i="8" s="1"/>
  <c r="I392" i="8"/>
  <c r="H392" i="8"/>
  <c r="F392" i="8"/>
  <c r="E392" i="8"/>
  <c r="D392" i="8"/>
  <c r="C392" i="8"/>
  <c r="B392" i="8"/>
  <c r="K391" i="8"/>
  <c r="O391" i="8" s="1"/>
  <c r="J391" i="8"/>
  <c r="L391" i="8" s="1"/>
  <c r="I391" i="8"/>
  <c r="H391" i="8"/>
  <c r="F391" i="8"/>
  <c r="E391" i="8"/>
  <c r="C391" i="8"/>
  <c r="D391" i="8" s="1"/>
  <c r="B391" i="8"/>
  <c r="N390" i="8"/>
  <c r="K390" i="8"/>
  <c r="J390" i="8"/>
  <c r="H390" i="8"/>
  <c r="I390" i="8" s="1"/>
  <c r="G390" i="8"/>
  <c r="F390" i="8"/>
  <c r="E390" i="8"/>
  <c r="C390" i="8"/>
  <c r="D390" i="8" s="1"/>
  <c r="B390" i="8"/>
  <c r="O389" i="8"/>
  <c r="N389" i="8"/>
  <c r="L389" i="8"/>
  <c r="K389" i="8"/>
  <c r="J389" i="8"/>
  <c r="H389" i="8"/>
  <c r="I389" i="8" s="1"/>
  <c r="G389" i="8"/>
  <c r="F389" i="8"/>
  <c r="E389" i="8"/>
  <c r="D389" i="8"/>
  <c r="C389" i="8"/>
  <c r="B389" i="8"/>
  <c r="O388" i="8"/>
  <c r="N388" i="8"/>
  <c r="K388" i="8"/>
  <c r="J388" i="8"/>
  <c r="L388" i="8" s="1"/>
  <c r="I388" i="8"/>
  <c r="H388" i="8"/>
  <c r="F388" i="8"/>
  <c r="E388" i="8"/>
  <c r="G388" i="8" s="1"/>
  <c r="C388" i="8"/>
  <c r="D388" i="8" s="1"/>
  <c r="B388" i="8"/>
  <c r="K387" i="8"/>
  <c r="J387" i="8"/>
  <c r="L387" i="8" s="1"/>
  <c r="I387" i="8"/>
  <c r="H387" i="8"/>
  <c r="F387" i="8"/>
  <c r="E387" i="8"/>
  <c r="N387" i="8" s="1"/>
  <c r="C387" i="8"/>
  <c r="B387" i="8"/>
  <c r="K386" i="8"/>
  <c r="J386" i="8"/>
  <c r="L386" i="8" s="1"/>
  <c r="H386" i="8"/>
  <c r="I386" i="8" s="1"/>
  <c r="F386" i="8"/>
  <c r="E386" i="8"/>
  <c r="C386" i="8"/>
  <c r="O386" i="8" s="1"/>
  <c r="B386" i="8"/>
  <c r="K385" i="8"/>
  <c r="L385" i="8" s="1"/>
  <c r="J385" i="8"/>
  <c r="H385" i="8"/>
  <c r="I385" i="8" s="1"/>
  <c r="F385" i="8"/>
  <c r="E385" i="8"/>
  <c r="D385" i="8"/>
  <c r="C385" i="8"/>
  <c r="B385" i="8"/>
  <c r="L384" i="8"/>
  <c r="K384" i="8"/>
  <c r="J384" i="8"/>
  <c r="I384" i="8"/>
  <c r="H384" i="8"/>
  <c r="F384" i="8"/>
  <c r="E384" i="8"/>
  <c r="G384" i="8" s="1"/>
  <c r="C384" i="8"/>
  <c r="B384" i="8"/>
  <c r="N383" i="8"/>
  <c r="K383" i="8"/>
  <c r="J383" i="8"/>
  <c r="L383" i="8" s="1"/>
  <c r="H383" i="8"/>
  <c r="I383" i="8" s="1"/>
  <c r="F383" i="8"/>
  <c r="G383" i="8" s="1"/>
  <c r="E383" i="8"/>
  <c r="C383" i="8"/>
  <c r="B383" i="8"/>
  <c r="O382" i="8"/>
  <c r="K382" i="8"/>
  <c r="J382" i="8"/>
  <c r="L382" i="8" s="1"/>
  <c r="H382" i="8"/>
  <c r="I382" i="8" s="1"/>
  <c r="F382" i="8"/>
  <c r="E382" i="8"/>
  <c r="D382" i="8"/>
  <c r="C382" i="8"/>
  <c r="B382" i="8"/>
  <c r="K381" i="8"/>
  <c r="J381" i="8"/>
  <c r="L381" i="8" s="1"/>
  <c r="H381" i="8"/>
  <c r="I381" i="8" s="1"/>
  <c r="F381" i="8"/>
  <c r="E381" i="8"/>
  <c r="C381" i="8"/>
  <c r="B381" i="8"/>
  <c r="K380" i="8"/>
  <c r="J380" i="8"/>
  <c r="L380" i="8" s="1"/>
  <c r="I380" i="8"/>
  <c r="H380" i="8"/>
  <c r="F380" i="8"/>
  <c r="G380" i="8" s="1"/>
  <c r="E380" i="8"/>
  <c r="N380" i="8" s="1"/>
  <c r="C380" i="8"/>
  <c r="B380" i="8"/>
  <c r="K379" i="8"/>
  <c r="J379" i="8"/>
  <c r="L379" i="8" s="1"/>
  <c r="H379" i="8"/>
  <c r="I379" i="8" s="1"/>
  <c r="F379" i="8"/>
  <c r="E379" i="8"/>
  <c r="D379" i="8"/>
  <c r="C379" i="8"/>
  <c r="O379" i="8" s="1"/>
  <c r="B379" i="8"/>
  <c r="L378" i="8"/>
  <c r="K378" i="8"/>
  <c r="J378" i="8"/>
  <c r="I378" i="8"/>
  <c r="H378" i="8"/>
  <c r="F378" i="8"/>
  <c r="E378" i="8"/>
  <c r="D378" i="8"/>
  <c r="C378" i="8"/>
  <c r="B378" i="8"/>
  <c r="N377" i="8"/>
  <c r="L377" i="8"/>
  <c r="K377" i="8"/>
  <c r="J377" i="8"/>
  <c r="I377" i="8"/>
  <c r="H377" i="8"/>
  <c r="F377" i="8"/>
  <c r="O377" i="8" s="1"/>
  <c r="E377" i="8"/>
  <c r="C377" i="8"/>
  <c r="D377" i="8" s="1"/>
  <c r="B377" i="8"/>
  <c r="K376" i="8"/>
  <c r="O376" i="8" s="1"/>
  <c r="J376" i="8"/>
  <c r="H376" i="8"/>
  <c r="G376" i="8"/>
  <c r="F376" i="8"/>
  <c r="E376" i="8"/>
  <c r="D376" i="8"/>
  <c r="C376" i="8"/>
  <c r="B376" i="8"/>
  <c r="K375" i="8"/>
  <c r="J375" i="8"/>
  <c r="I375" i="8"/>
  <c r="H375" i="8"/>
  <c r="F375" i="8"/>
  <c r="E375" i="8"/>
  <c r="D375" i="8"/>
  <c r="C375" i="8"/>
  <c r="B375" i="8"/>
  <c r="L374" i="8"/>
  <c r="K374" i="8"/>
  <c r="J374" i="8"/>
  <c r="I374" i="8"/>
  <c r="H374" i="8"/>
  <c r="F374" i="8"/>
  <c r="E374" i="8"/>
  <c r="C374" i="8"/>
  <c r="B374" i="8"/>
  <c r="U373" i="8"/>
  <c r="O373" i="8"/>
  <c r="N373" i="8"/>
  <c r="Q373" i="8" s="1"/>
  <c r="V373" i="8" s="1"/>
  <c r="K373" i="8"/>
  <c r="J373" i="8"/>
  <c r="L373" i="8" s="1"/>
  <c r="H373" i="8"/>
  <c r="I373" i="8" s="1"/>
  <c r="R373" i="8" s="1"/>
  <c r="G373" i="8"/>
  <c r="F373" i="8"/>
  <c r="E373" i="8"/>
  <c r="D373" i="8"/>
  <c r="C373" i="8"/>
  <c r="B373" i="8"/>
  <c r="O372" i="8"/>
  <c r="K372" i="8"/>
  <c r="J372" i="8"/>
  <c r="L372" i="8" s="1"/>
  <c r="H372" i="8"/>
  <c r="I372" i="8" s="1"/>
  <c r="F372" i="8"/>
  <c r="E372" i="8"/>
  <c r="D372" i="8"/>
  <c r="C372" i="8"/>
  <c r="B372" i="8"/>
  <c r="K371" i="8"/>
  <c r="L371" i="8" s="1"/>
  <c r="J371" i="8"/>
  <c r="H371" i="8"/>
  <c r="I371" i="8" s="1"/>
  <c r="F371" i="8"/>
  <c r="E371" i="8"/>
  <c r="C371" i="8"/>
  <c r="B371" i="8"/>
  <c r="L370" i="8"/>
  <c r="K370" i="8"/>
  <c r="O370" i="8" s="1"/>
  <c r="J370" i="8"/>
  <c r="I370" i="8"/>
  <c r="H370" i="8"/>
  <c r="G370" i="8"/>
  <c r="F370" i="8"/>
  <c r="E370" i="8"/>
  <c r="D370" i="8"/>
  <c r="C370" i="8"/>
  <c r="B370" i="8"/>
  <c r="K369" i="8"/>
  <c r="O369" i="8" s="1"/>
  <c r="J369" i="8"/>
  <c r="L369" i="8" s="1"/>
  <c r="H369" i="8"/>
  <c r="I369" i="8" s="1"/>
  <c r="G369" i="8"/>
  <c r="F369" i="8"/>
  <c r="E369" i="8"/>
  <c r="C369" i="8"/>
  <c r="D369" i="8" s="1"/>
  <c r="B369" i="8"/>
  <c r="N368" i="8"/>
  <c r="L368" i="8"/>
  <c r="K368" i="8"/>
  <c r="J368" i="8"/>
  <c r="I368" i="8"/>
  <c r="H368" i="8"/>
  <c r="F368" i="8"/>
  <c r="O368" i="8" s="1"/>
  <c r="E368" i="8"/>
  <c r="C368" i="8"/>
  <c r="D368" i="8" s="1"/>
  <c r="B368" i="8"/>
  <c r="V367" i="8"/>
  <c r="T367" i="8"/>
  <c r="R367" i="8"/>
  <c r="O367" i="8"/>
  <c r="N367" i="8"/>
  <c r="Q367" i="8" s="1"/>
  <c r="L367" i="8"/>
  <c r="K367" i="8"/>
  <c r="J367" i="8"/>
  <c r="H367" i="8"/>
  <c r="I367" i="8" s="1"/>
  <c r="G367" i="8"/>
  <c r="F367" i="8"/>
  <c r="E367" i="8"/>
  <c r="D367" i="8"/>
  <c r="C367" i="8"/>
  <c r="B367" i="8"/>
  <c r="N366" i="8"/>
  <c r="K366" i="8"/>
  <c r="J366" i="8"/>
  <c r="H366" i="8"/>
  <c r="I366" i="8" s="1"/>
  <c r="F366" i="8"/>
  <c r="E366" i="8"/>
  <c r="G366" i="8" s="1"/>
  <c r="C366" i="8"/>
  <c r="B366" i="8"/>
  <c r="O365" i="8"/>
  <c r="L365" i="8"/>
  <c r="K365" i="8"/>
  <c r="J365" i="8"/>
  <c r="I365" i="8"/>
  <c r="H365" i="8"/>
  <c r="F365" i="8"/>
  <c r="E365" i="8"/>
  <c r="C365" i="8"/>
  <c r="D365" i="8" s="1"/>
  <c r="B365" i="8"/>
  <c r="K364" i="8"/>
  <c r="J364" i="8"/>
  <c r="L364" i="8" s="1"/>
  <c r="H364" i="8"/>
  <c r="I364" i="8" s="1"/>
  <c r="F364" i="8"/>
  <c r="E364" i="8"/>
  <c r="D364" i="8"/>
  <c r="C364" i="8"/>
  <c r="O364" i="8" s="1"/>
  <c r="B364" i="8"/>
  <c r="N363" i="8"/>
  <c r="L363" i="8"/>
  <c r="K363" i="8"/>
  <c r="O363" i="8" s="1"/>
  <c r="J363" i="8"/>
  <c r="H363" i="8"/>
  <c r="I363" i="8" s="1"/>
  <c r="F363" i="8"/>
  <c r="E363" i="8"/>
  <c r="G363" i="8" s="1"/>
  <c r="C363" i="8"/>
  <c r="D363" i="8" s="1"/>
  <c r="B363" i="8"/>
  <c r="O362" i="8"/>
  <c r="L362" i="8"/>
  <c r="K362" i="8"/>
  <c r="J362" i="8"/>
  <c r="I362" i="8"/>
  <c r="H362" i="8"/>
  <c r="F362" i="8"/>
  <c r="E362" i="8"/>
  <c r="N362" i="8" s="1"/>
  <c r="D362" i="8"/>
  <c r="C362" i="8"/>
  <c r="B362" i="8"/>
  <c r="K361" i="8"/>
  <c r="J361" i="8"/>
  <c r="L361" i="8" s="1"/>
  <c r="H361" i="8"/>
  <c r="I361" i="8" s="1"/>
  <c r="F361" i="8"/>
  <c r="E361" i="8"/>
  <c r="D361" i="8"/>
  <c r="C361" i="8"/>
  <c r="B361" i="8"/>
  <c r="K360" i="8"/>
  <c r="J360" i="8"/>
  <c r="L360" i="8" s="1"/>
  <c r="I360" i="8"/>
  <c r="H360" i="8"/>
  <c r="G360" i="8"/>
  <c r="F360" i="8"/>
  <c r="O360" i="8" s="1"/>
  <c r="E360" i="8"/>
  <c r="N360" i="8" s="1"/>
  <c r="D360" i="8"/>
  <c r="C360" i="8"/>
  <c r="B360" i="8"/>
  <c r="K359" i="8"/>
  <c r="J359" i="8"/>
  <c r="L359" i="8" s="1"/>
  <c r="H359" i="8"/>
  <c r="I359" i="8" s="1"/>
  <c r="F359" i="8"/>
  <c r="E359" i="8"/>
  <c r="C359" i="8"/>
  <c r="B359" i="8"/>
  <c r="K358" i="8"/>
  <c r="J358" i="8"/>
  <c r="L358" i="8" s="1"/>
  <c r="I358" i="8"/>
  <c r="H358" i="8"/>
  <c r="F358" i="8"/>
  <c r="G358" i="8" s="1"/>
  <c r="E358" i="8"/>
  <c r="C358" i="8"/>
  <c r="B358" i="8"/>
  <c r="K357" i="8"/>
  <c r="J357" i="8"/>
  <c r="L357" i="8" s="1"/>
  <c r="I357" i="8"/>
  <c r="H357" i="8"/>
  <c r="F357" i="8"/>
  <c r="E357" i="8"/>
  <c r="D357" i="8"/>
  <c r="C357" i="8"/>
  <c r="B357" i="8"/>
  <c r="N356" i="8"/>
  <c r="L356" i="8"/>
  <c r="K356" i="8"/>
  <c r="J356" i="8"/>
  <c r="H356" i="8"/>
  <c r="I356" i="8" s="1"/>
  <c r="G356" i="8"/>
  <c r="F356" i="8"/>
  <c r="E356" i="8"/>
  <c r="C356" i="8"/>
  <c r="B356" i="8"/>
  <c r="N355" i="8"/>
  <c r="L355" i="8"/>
  <c r="K355" i="8"/>
  <c r="J355" i="8"/>
  <c r="I355" i="8"/>
  <c r="H355" i="8"/>
  <c r="F355" i="8"/>
  <c r="E355" i="8"/>
  <c r="G355" i="8" s="1"/>
  <c r="D355" i="8"/>
  <c r="C355" i="8"/>
  <c r="B355" i="8"/>
  <c r="K354" i="8"/>
  <c r="J354" i="8"/>
  <c r="L354" i="8" s="1"/>
  <c r="H354" i="8"/>
  <c r="I354" i="8" s="1"/>
  <c r="F354" i="8"/>
  <c r="E354" i="8"/>
  <c r="C354" i="8"/>
  <c r="B354" i="8"/>
  <c r="N353" i="8"/>
  <c r="K353" i="8"/>
  <c r="J353" i="8"/>
  <c r="H353" i="8"/>
  <c r="I353" i="8" s="1"/>
  <c r="F353" i="8"/>
  <c r="E353" i="8"/>
  <c r="D353" i="8"/>
  <c r="C353" i="8"/>
  <c r="B353" i="8"/>
  <c r="O352" i="8"/>
  <c r="K352" i="8"/>
  <c r="J352" i="8"/>
  <c r="H352" i="8"/>
  <c r="I352" i="8" s="1"/>
  <c r="F352" i="8"/>
  <c r="E352" i="8"/>
  <c r="G352" i="8" s="1"/>
  <c r="C352" i="8"/>
  <c r="D352" i="8" s="1"/>
  <c r="B352" i="8"/>
  <c r="K351" i="8"/>
  <c r="J351" i="8"/>
  <c r="I351" i="8"/>
  <c r="H351" i="8"/>
  <c r="F351" i="8"/>
  <c r="G351" i="8" s="1"/>
  <c r="E351" i="8"/>
  <c r="D351" i="8"/>
  <c r="C351" i="8"/>
  <c r="B351" i="8"/>
  <c r="K350" i="8"/>
  <c r="J350" i="8"/>
  <c r="L350" i="8" s="1"/>
  <c r="H350" i="8"/>
  <c r="N350" i="8" s="1"/>
  <c r="G350" i="8"/>
  <c r="F350" i="8"/>
  <c r="E350" i="8"/>
  <c r="C350" i="8"/>
  <c r="B350" i="8"/>
  <c r="N349" i="8"/>
  <c r="L349" i="8"/>
  <c r="K349" i="8"/>
  <c r="J349" i="8"/>
  <c r="H349" i="8"/>
  <c r="I349" i="8" s="1"/>
  <c r="F349" i="8"/>
  <c r="E349" i="8"/>
  <c r="C349" i="8"/>
  <c r="B349" i="8"/>
  <c r="O348" i="8"/>
  <c r="L348" i="8"/>
  <c r="K348" i="8"/>
  <c r="J348" i="8"/>
  <c r="I348" i="8"/>
  <c r="H348" i="8"/>
  <c r="G348" i="8"/>
  <c r="F348" i="8"/>
  <c r="E348" i="8"/>
  <c r="N348" i="8" s="1"/>
  <c r="D348" i="8"/>
  <c r="C348" i="8"/>
  <c r="B348" i="8"/>
  <c r="N347" i="8"/>
  <c r="K347" i="8"/>
  <c r="J347" i="8"/>
  <c r="L347" i="8" s="1"/>
  <c r="H347" i="8"/>
  <c r="I347" i="8" s="1"/>
  <c r="F347" i="8"/>
  <c r="E347" i="8"/>
  <c r="G347" i="8" s="1"/>
  <c r="D347" i="8"/>
  <c r="C347" i="8"/>
  <c r="B347" i="8"/>
  <c r="L346" i="8"/>
  <c r="K346" i="8"/>
  <c r="O346" i="8" s="1"/>
  <c r="J346" i="8"/>
  <c r="I346" i="8"/>
  <c r="H346" i="8"/>
  <c r="N346" i="8" s="1"/>
  <c r="G346" i="8"/>
  <c r="F346" i="8"/>
  <c r="E346" i="8"/>
  <c r="C346" i="8"/>
  <c r="D346" i="8" s="1"/>
  <c r="B346" i="8"/>
  <c r="T345" i="8"/>
  <c r="Q345" i="8"/>
  <c r="O345" i="8"/>
  <c r="L345" i="8"/>
  <c r="K345" i="8"/>
  <c r="J345" i="8"/>
  <c r="H345" i="8"/>
  <c r="N345" i="8" s="1"/>
  <c r="G345" i="8"/>
  <c r="F345" i="8"/>
  <c r="E345" i="8"/>
  <c r="D345" i="8"/>
  <c r="C345" i="8"/>
  <c r="B345" i="8"/>
  <c r="K344" i="8"/>
  <c r="J344" i="8"/>
  <c r="L344" i="8" s="1"/>
  <c r="H344" i="8"/>
  <c r="F344" i="8"/>
  <c r="E344" i="8"/>
  <c r="G344" i="8" s="1"/>
  <c r="C344" i="8"/>
  <c r="B344" i="8"/>
  <c r="K343" i="8"/>
  <c r="J343" i="8"/>
  <c r="L343" i="8" s="1"/>
  <c r="I343" i="8"/>
  <c r="H343" i="8"/>
  <c r="F343" i="8"/>
  <c r="E343" i="8"/>
  <c r="N343" i="8" s="1"/>
  <c r="C343" i="8"/>
  <c r="B343" i="8"/>
  <c r="L342" i="8"/>
  <c r="K342" i="8"/>
  <c r="J342" i="8"/>
  <c r="H342" i="8"/>
  <c r="I342" i="8" s="1"/>
  <c r="F342" i="8"/>
  <c r="E342" i="8"/>
  <c r="C342" i="8"/>
  <c r="B342" i="8"/>
  <c r="L341" i="8"/>
  <c r="K341" i="8"/>
  <c r="J341" i="8"/>
  <c r="H341" i="8"/>
  <c r="I341" i="8" s="1"/>
  <c r="F341" i="8"/>
  <c r="E341" i="8"/>
  <c r="D341" i="8"/>
  <c r="C341" i="8"/>
  <c r="O341" i="8" s="1"/>
  <c r="B341" i="8"/>
  <c r="L340" i="8"/>
  <c r="K340" i="8"/>
  <c r="J340" i="8"/>
  <c r="I340" i="8"/>
  <c r="H340" i="8"/>
  <c r="F340" i="8"/>
  <c r="E340" i="8"/>
  <c r="G340" i="8" s="1"/>
  <c r="C340" i="8"/>
  <c r="B340" i="8"/>
  <c r="K339" i="8"/>
  <c r="J339" i="8"/>
  <c r="L339" i="8" s="1"/>
  <c r="H339" i="8"/>
  <c r="G339" i="8"/>
  <c r="F339" i="8"/>
  <c r="E339" i="8"/>
  <c r="C339" i="8"/>
  <c r="D339" i="8" s="1"/>
  <c r="B339" i="8"/>
  <c r="K338" i="8"/>
  <c r="O338" i="8" s="1"/>
  <c r="J338" i="8"/>
  <c r="I338" i="8"/>
  <c r="H338" i="8"/>
  <c r="F338" i="8"/>
  <c r="E338" i="8"/>
  <c r="D338" i="8"/>
  <c r="C338" i="8"/>
  <c r="B338" i="8"/>
  <c r="K337" i="8"/>
  <c r="J337" i="8"/>
  <c r="L337" i="8" s="1"/>
  <c r="H337" i="8"/>
  <c r="I337" i="8" s="1"/>
  <c r="G337" i="8"/>
  <c r="F337" i="8"/>
  <c r="E337" i="8"/>
  <c r="C337" i="8"/>
  <c r="O337" i="8" s="1"/>
  <c r="B337" i="8"/>
  <c r="K336" i="8"/>
  <c r="J336" i="8"/>
  <c r="I336" i="8"/>
  <c r="H336" i="8"/>
  <c r="G336" i="8"/>
  <c r="F336" i="8"/>
  <c r="E336" i="8"/>
  <c r="D336" i="8"/>
  <c r="C336" i="8"/>
  <c r="B336" i="8"/>
  <c r="K335" i="8"/>
  <c r="J335" i="8"/>
  <c r="L335" i="8" s="1"/>
  <c r="H335" i="8"/>
  <c r="I335" i="8" s="1"/>
  <c r="F335" i="8"/>
  <c r="E335" i="8"/>
  <c r="D335" i="8"/>
  <c r="C335" i="8"/>
  <c r="B335" i="8"/>
  <c r="L334" i="8"/>
  <c r="K334" i="8"/>
  <c r="J334" i="8"/>
  <c r="H334" i="8"/>
  <c r="I334" i="8" s="1"/>
  <c r="G334" i="8"/>
  <c r="F334" i="8"/>
  <c r="E334" i="8"/>
  <c r="D334" i="8"/>
  <c r="C334" i="8"/>
  <c r="O334" i="8" s="1"/>
  <c r="B334" i="8"/>
  <c r="O333" i="8"/>
  <c r="L333" i="8"/>
  <c r="K333" i="8"/>
  <c r="J333" i="8"/>
  <c r="I333" i="8"/>
  <c r="H333" i="8"/>
  <c r="N333" i="8" s="1"/>
  <c r="G333" i="8"/>
  <c r="F333" i="8"/>
  <c r="E333" i="8"/>
  <c r="C333" i="8"/>
  <c r="D333" i="8" s="1"/>
  <c r="B333" i="8"/>
  <c r="K332" i="8"/>
  <c r="J332" i="8"/>
  <c r="L332" i="8" s="1"/>
  <c r="I332" i="8"/>
  <c r="H332" i="8"/>
  <c r="F332" i="8"/>
  <c r="E332" i="8"/>
  <c r="C332" i="8"/>
  <c r="O332" i="8" s="1"/>
  <c r="B332" i="8"/>
  <c r="O331" i="8"/>
  <c r="L331" i="8"/>
  <c r="K331" i="8"/>
  <c r="J331" i="8"/>
  <c r="H331" i="8"/>
  <c r="N331" i="8" s="1"/>
  <c r="G331" i="8"/>
  <c r="F331" i="8"/>
  <c r="E331" i="8"/>
  <c r="D331" i="8"/>
  <c r="C331" i="8"/>
  <c r="B331" i="8"/>
  <c r="K330" i="8"/>
  <c r="J330" i="8"/>
  <c r="L330" i="8" s="1"/>
  <c r="H330" i="8"/>
  <c r="I330" i="8" s="1"/>
  <c r="F330" i="8"/>
  <c r="E330" i="8"/>
  <c r="C330" i="8"/>
  <c r="D330" i="8" s="1"/>
  <c r="B330" i="8"/>
  <c r="K329" i="8"/>
  <c r="J329" i="8"/>
  <c r="I329" i="8"/>
  <c r="H329" i="8"/>
  <c r="G329" i="8"/>
  <c r="F329" i="8"/>
  <c r="E329" i="8"/>
  <c r="C329" i="8"/>
  <c r="B329" i="8"/>
  <c r="Q328" i="8"/>
  <c r="V328" i="8" s="1"/>
  <c r="O328" i="8"/>
  <c r="N328" i="8"/>
  <c r="L328" i="8"/>
  <c r="R328" i="8" s="1"/>
  <c r="K328" i="8"/>
  <c r="J328" i="8"/>
  <c r="I328" i="8"/>
  <c r="H328" i="8"/>
  <c r="G328" i="8"/>
  <c r="F328" i="8"/>
  <c r="E328" i="8"/>
  <c r="C328" i="8"/>
  <c r="D328" i="8" s="1"/>
  <c r="B328" i="8"/>
  <c r="O327" i="8"/>
  <c r="N327" i="8"/>
  <c r="K327" i="8"/>
  <c r="J327" i="8"/>
  <c r="H327" i="8"/>
  <c r="I327" i="8" s="1"/>
  <c r="F327" i="8"/>
  <c r="E327" i="8"/>
  <c r="G327" i="8" s="1"/>
  <c r="C327" i="8"/>
  <c r="D327" i="8" s="1"/>
  <c r="B327" i="8"/>
  <c r="O326" i="8"/>
  <c r="K326" i="8"/>
  <c r="J326" i="8"/>
  <c r="L326" i="8" s="1"/>
  <c r="I326" i="8"/>
  <c r="H326" i="8"/>
  <c r="G326" i="8"/>
  <c r="F326" i="8"/>
  <c r="E326" i="8"/>
  <c r="N326" i="8" s="1"/>
  <c r="D326" i="8"/>
  <c r="C326" i="8"/>
  <c r="B326" i="8"/>
  <c r="K325" i="8"/>
  <c r="J325" i="8"/>
  <c r="L325" i="8" s="1"/>
  <c r="H325" i="8"/>
  <c r="I325" i="8" s="1"/>
  <c r="F325" i="8"/>
  <c r="O325" i="8" s="1"/>
  <c r="E325" i="8"/>
  <c r="D325" i="8"/>
  <c r="C325" i="8"/>
  <c r="B325" i="8"/>
  <c r="O324" i="8"/>
  <c r="N324" i="8"/>
  <c r="K324" i="8"/>
  <c r="L324" i="8" s="1"/>
  <c r="J324" i="8"/>
  <c r="H324" i="8"/>
  <c r="I324" i="8" s="1"/>
  <c r="G324" i="8"/>
  <c r="F324" i="8"/>
  <c r="E324" i="8"/>
  <c r="C324" i="8"/>
  <c r="D324" i="8" s="1"/>
  <c r="B324" i="8"/>
  <c r="O323" i="8"/>
  <c r="N323" i="8"/>
  <c r="K323" i="8"/>
  <c r="J323" i="8"/>
  <c r="L323" i="8" s="1"/>
  <c r="I323" i="8"/>
  <c r="H323" i="8"/>
  <c r="G323" i="8"/>
  <c r="F323" i="8"/>
  <c r="E323" i="8"/>
  <c r="D323" i="8"/>
  <c r="C323" i="8"/>
  <c r="B323" i="8"/>
  <c r="O322" i="8"/>
  <c r="K322" i="8"/>
  <c r="J322" i="8"/>
  <c r="L322" i="8" s="1"/>
  <c r="H322" i="8"/>
  <c r="I322" i="8" s="1"/>
  <c r="F322" i="8"/>
  <c r="E322" i="8"/>
  <c r="C322" i="8"/>
  <c r="D322" i="8" s="1"/>
  <c r="B322" i="8"/>
  <c r="L321" i="8"/>
  <c r="K321" i="8"/>
  <c r="J321" i="8"/>
  <c r="I321" i="8"/>
  <c r="H321" i="8"/>
  <c r="F321" i="8"/>
  <c r="E321" i="8"/>
  <c r="C321" i="8"/>
  <c r="B321" i="8"/>
  <c r="K320" i="8"/>
  <c r="J320" i="8"/>
  <c r="I320" i="8"/>
  <c r="H320" i="8"/>
  <c r="G320" i="8"/>
  <c r="F320" i="8"/>
  <c r="E320" i="8"/>
  <c r="N320" i="8" s="1"/>
  <c r="D320" i="8"/>
  <c r="C320" i="8"/>
  <c r="O320" i="8" s="1"/>
  <c r="B320" i="8"/>
  <c r="O319" i="8"/>
  <c r="K319" i="8"/>
  <c r="L319" i="8" s="1"/>
  <c r="J319" i="8"/>
  <c r="H319" i="8"/>
  <c r="I319" i="8" s="1"/>
  <c r="F319" i="8"/>
  <c r="G319" i="8" s="1"/>
  <c r="E319" i="8"/>
  <c r="N319" i="8" s="1"/>
  <c r="C319" i="8"/>
  <c r="D319" i="8" s="1"/>
  <c r="B319" i="8"/>
  <c r="O318" i="8"/>
  <c r="N318" i="8"/>
  <c r="L318" i="8"/>
  <c r="K318" i="8"/>
  <c r="J318" i="8"/>
  <c r="I318" i="8"/>
  <c r="H318" i="8"/>
  <c r="F318" i="8"/>
  <c r="E318" i="8"/>
  <c r="G318" i="8" s="1"/>
  <c r="D318" i="8"/>
  <c r="C318" i="8"/>
  <c r="B318" i="8"/>
  <c r="K317" i="8"/>
  <c r="J317" i="8"/>
  <c r="L317" i="8" s="1"/>
  <c r="H317" i="8"/>
  <c r="F317" i="8"/>
  <c r="E317" i="8"/>
  <c r="D317" i="8"/>
  <c r="C317" i="8"/>
  <c r="B317" i="8"/>
  <c r="K316" i="8"/>
  <c r="J316" i="8"/>
  <c r="H316" i="8"/>
  <c r="I316" i="8" s="1"/>
  <c r="F316" i="8"/>
  <c r="O316" i="8" s="1"/>
  <c r="E316" i="8"/>
  <c r="D316" i="8"/>
  <c r="C316" i="8"/>
  <c r="B316" i="8"/>
  <c r="K315" i="8"/>
  <c r="J315" i="8"/>
  <c r="L315" i="8" s="1"/>
  <c r="H315" i="8"/>
  <c r="I315" i="8" s="1"/>
  <c r="F315" i="8"/>
  <c r="E315" i="8"/>
  <c r="D315" i="8"/>
  <c r="C315" i="8"/>
  <c r="B315" i="8"/>
  <c r="L314" i="8"/>
  <c r="K314" i="8"/>
  <c r="J314" i="8"/>
  <c r="H314" i="8"/>
  <c r="G314" i="8"/>
  <c r="F314" i="8"/>
  <c r="E314" i="8"/>
  <c r="C314" i="8"/>
  <c r="O314" i="8" s="1"/>
  <c r="B314" i="8"/>
  <c r="O313" i="8"/>
  <c r="K313" i="8"/>
  <c r="J313" i="8"/>
  <c r="L313" i="8" s="1"/>
  <c r="I313" i="8"/>
  <c r="H313" i="8"/>
  <c r="F313" i="8"/>
  <c r="E313" i="8"/>
  <c r="D313" i="8"/>
  <c r="C313" i="8"/>
  <c r="B313" i="8"/>
  <c r="N312" i="8"/>
  <c r="K312" i="8"/>
  <c r="L312" i="8" s="1"/>
  <c r="J312" i="8"/>
  <c r="I312" i="8"/>
  <c r="H312" i="8"/>
  <c r="G312" i="8"/>
  <c r="F312" i="8"/>
  <c r="E312" i="8"/>
  <c r="C312" i="8"/>
  <c r="D312" i="8" s="1"/>
  <c r="B312" i="8"/>
  <c r="K311" i="8"/>
  <c r="O311" i="8" s="1"/>
  <c r="J311" i="8"/>
  <c r="L311" i="8" s="1"/>
  <c r="H311" i="8"/>
  <c r="F311" i="8"/>
  <c r="G311" i="8" s="1"/>
  <c r="E311" i="8"/>
  <c r="C311" i="8"/>
  <c r="D311" i="8" s="1"/>
  <c r="B311" i="8"/>
  <c r="K310" i="8"/>
  <c r="J310" i="8"/>
  <c r="I310" i="8"/>
  <c r="H310" i="8"/>
  <c r="F310" i="8"/>
  <c r="E310" i="8"/>
  <c r="D310" i="8"/>
  <c r="C310" i="8"/>
  <c r="B310" i="8"/>
  <c r="K309" i="8"/>
  <c r="J309" i="8"/>
  <c r="L309" i="8" s="1"/>
  <c r="I309" i="8"/>
  <c r="H309" i="8"/>
  <c r="F309" i="8"/>
  <c r="E309" i="8"/>
  <c r="D309" i="8"/>
  <c r="C309" i="8"/>
  <c r="B309" i="8"/>
  <c r="L308" i="8"/>
  <c r="K308" i="8"/>
  <c r="J308" i="8"/>
  <c r="H308" i="8"/>
  <c r="G308" i="8"/>
  <c r="F308" i="8"/>
  <c r="E308" i="8"/>
  <c r="C308" i="8"/>
  <c r="O308" i="8" s="1"/>
  <c r="B308" i="8"/>
  <c r="L307" i="8"/>
  <c r="K307" i="8"/>
  <c r="J307" i="8"/>
  <c r="H307" i="8"/>
  <c r="I307" i="8" s="1"/>
  <c r="F307" i="8"/>
  <c r="E307" i="8"/>
  <c r="D307" i="8"/>
  <c r="C307" i="8"/>
  <c r="B307" i="8"/>
  <c r="L306" i="8"/>
  <c r="K306" i="8"/>
  <c r="J306" i="8"/>
  <c r="H306" i="8"/>
  <c r="I306" i="8" s="1"/>
  <c r="F306" i="8"/>
  <c r="E306" i="8"/>
  <c r="C306" i="8"/>
  <c r="D306" i="8" s="1"/>
  <c r="B306" i="8"/>
  <c r="K305" i="8"/>
  <c r="J305" i="8"/>
  <c r="L305" i="8" s="1"/>
  <c r="H305" i="8"/>
  <c r="G305" i="8"/>
  <c r="F305" i="8"/>
  <c r="E305" i="8"/>
  <c r="C305" i="8"/>
  <c r="D305" i="8" s="1"/>
  <c r="B305" i="8"/>
  <c r="K304" i="8"/>
  <c r="J304" i="8"/>
  <c r="I304" i="8"/>
  <c r="H304" i="8"/>
  <c r="G304" i="8"/>
  <c r="F304" i="8"/>
  <c r="E304" i="8"/>
  <c r="C304" i="8"/>
  <c r="B304" i="8"/>
  <c r="N303" i="8"/>
  <c r="K303" i="8"/>
  <c r="J303" i="8"/>
  <c r="L303" i="8" s="1"/>
  <c r="I303" i="8"/>
  <c r="H303" i="8"/>
  <c r="F303" i="8"/>
  <c r="E303" i="8"/>
  <c r="G303" i="8" s="1"/>
  <c r="C303" i="8"/>
  <c r="B303" i="8"/>
  <c r="N302" i="8"/>
  <c r="K302" i="8"/>
  <c r="J302" i="8"/>
  <c r="L302" i="8" s="1"/>
  <c r="I302" i="8"/>
  <c r="H302" i="8"/>
  <c r="F302" i="8"/>
  <c r="O302" i="8" s="1"/>
  <c r="E302" i="8"/>
  <c r="G302" i="8" s="1"/>
  <c r="D302" i="8"/>
  <c r="C302" i="8"/>
  <c r="B302" i="8"/>
  <c r="K301" i="8"/>
  <c r="J301" i="8"/>
  <c r="L301" i="8" s="1"/>
  <c r="H301" i="8"/>
  <c r="I301" i="8" s="1"/>
  <c r="F301" i="8"/>
  <c r="E301" i="8"/>
  <c r="G301" i="8" s="1"/>
  <c r="C301" i="8"/>
  <c r="B301" i="8"/>
  <c r="L300" i="8"/>
  <c r="K300" i="8"/>
  <c r="J300" i="8"/>
  <c r="H300" i="8"/>
  <c r="G300" i="8"/>
  <c r="F300" i="8"/>
  <c r="E300" i="8"/>
  <c r="C300" i="8"/>
  <c r="O300" i="8" s="1"/>
  <c r="B300" i="8"/>
  <c r="L299" i="8"/>
  <c r="K299" i="8"/>
  <c r="J299" i="8"/>
  <c r="I299" i="8"/>
  <c r="H299" i="8"/>
  <c r="F299" i="8"/>
  <c r="E299" i="8"/>
  <c r="C299" i="8"/>
  <c r="O299" i="8" s="1"/>
  <c r="B299" i="8"/>
  <c r="N298" i="8"/>
  <c r="K298" i="8"/>
  <c r="J298" i="8"/>
  <c r="I298" i="8"/>
  <c r="H298" i="8"/>
  <c r="F298" i="8"/>
  <c r="E298" i="8"/>
  <c r="G298" i="8" s="1"/>
  <c r="C298" i="8"/>
  <c r="B298" i="8"/>
  <c r="K297" i="8"/>
  <c r="L297" i="8" s="1"/>
  <c r="J297" i="8"/>
  <c r="I297" i="8"/>
  <c r="H297" i="8"/>
  <c r="F297" i="8"/>
  <c r="E297" i="8"/>
  <c r="D297" i="8"/>
  <c r="C297" i="8"/>
  <c r="B297" i="8"/>
  <c r="K296" i="8"/>
  <c r="L296" i="8" s="1"/>
  <c r="J296" i="8"/>
  <c r="H296" i="8"/>
  <c r="I296" i="8" s="1"/>
  <c r="F296" i="8"/>
  <c r="G296" i="8" s="1"/>
  <c r="E296" i="8"/>
  <c r="N296" i="8" s="1"/>
  <c r="C296" i="8"/>
  <c r="B296" i="8"/>
  <c r="K295" i="8"/>
  <c r="L295" i="8" s="1"/>
  <c r="J295" i="8"/>
  <c r="I295" i="8"/>
  <c r="H295" i="8"/>
  <c r="G295" i="8"/>
  <c r="F295" i="8"/>
  <c r="E295" i="8"/>
  <c r="N295" i="8" s="1"/>
  <c r="C295" i="8"/>
  <c r="B295" i="8"/>
  <c r="K294" i="8"/>
  <c r="J294" i="8"/>
  <c r="L294" i="8" s="1"/>
  <c r="I294" i="8"/>
  <c r="H294" i="8"/>
  <c r="F294" i="8"/>
  <c r="G294" i="8" s="1"/>
  <c r="E294" i="8"/>
  <c r="N294" i="8" s="1"/>
  <c r="C294" i="8"/>
  <c r="B294" i="8"/>
  <c r="K293" i="8"/>
  <c r="J293" i="8"/>
  <c r="L293" i="8" s="1"/>
  <c r="I293" i="8"/>
  <c r="H293" i="8"/>
  <c r="G293" i="8"/>
  <c r="F293" i="8"/>
  <c r="E293" i="8"/>
  <c r="C293" i="8"/>
  <c r="O293" i="8" s="1"/>
  <c r="B293" i="8"/>
  <c r="K292" i="8"/>
  <c r="J292" i="8"/>
  <c r="L292" i="8" s="1"/>
  <c r="I292" i="8"/>
  <c r="H292" i="8"/>
  <c r="F292" i="8"/>
  <c r="G292" i="8" s="1"/>
  <c r="E292" i="8"/>
  <c r="N292" i="8" s="1"/>
  <c r="D292" i="8"/>
  <c r="C292" i="8"/>
  <c r="B292" i="8"/>
  <c r="K291" i="8"/>
  <c r="J291" i="8"/>
  <c r="L291" i="8" s="1"/>
  <c r="I291" i="8"/>
  <c r="H291" i="8"/>
  <c r="F291" i="8"/>
  <c r="G291" i="8" s="1"/>
  <c r="E291" i="8"/>
  <c r="N291" i="8" s="1"/>
  <c r="C291" i="8"/>
  <c r="B291" i="8"/>
  <c r="K290" i="8"/>
  <c r="J290" i="8"/>
  <c r="L290" i="8" s="1"/>
  <c r="I290" i="8"/>
  <c r="H290" i="8"/>
  <c r="F290" i="8"/>
  <c r="G290" i="8" s="1"/>
  <c r="E290" i="8"/>
  <c r="N290" i="8" s="1"/>
  <c r="C290" i="8"/>
  <c r="B290" i="8"/>
  <c r="K289" i="8"/>
  <c r="L289" i="8" s="1"/>
  <c r="J289" i="8"/>
  <c r="H289" i="8"/>
  <c r="I289" i="8" s="1"/>
  <c r="G289" i="8"/>
  <c r="F289" i="8"/>
  <c r="E289" i="8"/>
  <c r="N289" i="8" s="1"/>
  <c r="C289" i="8"/>
  <c r="B289" i="8"/>
  <c r="L288" i="8"/>
  <c r="K288" i="8"/>
  <c r="J288" i="8"/>
  <c r="I288" i="8"/>
  <c r="H288" i="8"/>
  <c r="F288" i="8"/>
  <c r="E288" i="8"/>
  <c r="C288" i="8"/>
  <c r="O288" i="8" s="1"/>
  <c r="B288" i="8"/>
  <c r="K287" i="8"/>
  <c r="J287" i="8"/>
  <c r="L287" i="8" s="1"/>
  <c r="I287" i="8"/>
  <c r="H287" i="8"/>
  <c r="F287" i="8"/>
  <c r="E287" i="8"/>
  <c r="G287" i="8" s="1"/>
  <c r="D287" i="8"/>
  <c r="C287" i="8"/>
  <c r="O287" i="8" s="1"/>
  <c r="B287" i="8"/>
  <c r="K286" i="8"/>
  <c r="O286" i="8" s="1"/>
  <c r="J286" i="8"/>
  <c r="H286" i="8"/>
  <c r="I286" i="8" s="1"/>
  <c r="F286" i="8"/>
  <c r="E286" i="8"/>
  <c r="D286" i="8"/>
  <c r="C286" i="8"/>
  <c r="B286" i="8"/>
  <c r="K285" i="8"/>
  <c r="L285" i="8" s="1"/>
  <c r="J285" i="8"/>
  <c r="H285" i="8"/>
  <c r="I285" i="8" s="1"/>
  <c r="F285" i="8"/>
  <c r="E285" i="8"/>
  <c r="C285" i="8"/>
  <c r="B285" i="8"/>
  <c r="O284" i="8"/>
  <c r="K284" i="8"/>
  <c r="J284" i="8"/>
  <c r="L284" i="8" s="1"/>
  <c r="I284" i="8"/>
  <c r="H284" i="8"/>
  <c r="F284" i="8"/>
  <c r="E284" i="8"/>
  <c r="C284" i="8"/>
  <c r="D284" i="8" s="1"/>
  <c r="B284" i="8"/>
  <c r="K283" i="8"/>
  <c r="J283" i="8"/>
  <c r="L283" i="8" s="1"/>
  <c r="I283" i="8"/>
  <c r="H283" i="8"/>
  <c r="F283" i="8"/>
  <c r="E283" i="8"/>
  <c r="G283" i="8" s="1"/>
  <c r="D283" i="8"/>
  <c r="C283" i="8"/>
  <c r="B283" i="8"/>
  <c r="L282" i="8"/>
  <c r="K282" i="8"/>
  <c r="J282" i="8"/>
  <c r="H282" i="8"/>
  <c r="I282" i="8" s="1"/>
  <c r="G282" i="8"/>
  <c r="F282" i="8"/>
  <c r="O282" i="8" s="1"/>
  <c r="E282" i="8"/>
  <c r="N282" i="8" s="1"/>
  <c r="D282" i="8"/>
  <c r="C282" i="8"/>
  <c r="B282" i="8"/>
  <c r="O281" i="8"/>
  <c r="N281" i="8"/>
  <c r="K281" i="8"/>
  <c r="J281" i="8"/>
  <c r="L281" i="8" s="1"/>
  <c r="I281" i="8"/>
  <c r="H281" i="8"/>
  <c r="F281" i="8"/>
  <c r="G281" i="8" s="1"/>
  <c r="E281" i="8"/>
  <c r="C281" i="8"/>
  <c r="D281" i="8" s="1"/>
  <c r="B281" i="8"/>
  <c r="K280" i="8"/>
  <c r="J280" i="8"/>
  <c r="L280" i="8" s="1"/>
  <c r="I280" i="8"/>
  <c r="H280" i="8"/>
  <c r="F280" i="8"/>
  <c r="E280" i="8"/>
  <c r="C280" i="8"/>
  <c r="B280" i="8"/>
  <c r="O279" i="8"/>
  <c r="N279" i="8"/>
  <c r="K279" i="8"/>
  <c r="J279" i="8"/>
  <c r="L279" i="8" s="1"/>
  <c r="H279" i="8"/>
  <c r="I279" i="8" s="1"/>
  <c r="F279" i="8"/>
  <c r="E279" i="8"/>
  <c r="G279" i="8" s="1"/>
  <c r="D279" i="8"/>
  <c r="C279" i="8"/>
  <c r="B279" i="8"/>
  <c r="O278" i="8"/>
  <c r="N278" i="8"/>
  <c r="L278" i="8"/>
  <c r="K278" i="8"/>
  <c r="J278" i="8"/>
  <c r="I278" i="8"/>
  <c r="H278" i="8"/>
  <c r="G278" i="8"/>
  <c r="F278" i="8"/>
  <c r="E278" i="8"/>
  <c r="C278" i="8"/>
  <c r="D278" i="8" s="1"/>
  <c r="B278" i="8"/>
  <c r="K277" i="8"/>
  <c r="J277" i="8"/>
  <c r="I277" i="8"/>
  <c r="H277" i="8"/>
  <c r="F277" i="8"/>
  <c r="E277" i="8"/>
  <c r="C277" i="8"/>
  <c r="D277" i="8" s="1"/>
  <c r="B277" i="8"/>
  <c r="K276" i="8"/>
  <c r="L276" i="8" s="1"/>
  <c r="J276" i="8"/>
  <c r="H276" i="8"/>
  <c r="G276" i="8"/>
  <c r="F276" i="8"/>
  <c r="E276" i="8"/>
  <c r="C276" i="8"/>
  <c r="O276" i="8" s="1"/>
  <c r="B276" i="8"/>
  <c r="K275" i="8"/>
  <c r="J275" i="8"/>
  <c r="L275" i="8" s="1"/>
  <c r="I275" i="8"/>
  <c r="H275" i="8"/>
  <c r="F275" i="8"/>
  <c r="E275" i="8"/>
  <c r="D275" i="8"/>
  <c r="C275" i="8"/>
  <c r="O275" i="8" s="1"/>
  <c r="B275" i="8"/>
  <c r="L274" i="8"/>
  <c r="K274" i="8"/>
  <c r="J274" i="8"/>
  <c r="I274" i="8"/>
  <c r="H274" i="8"/>
  <c r="F274" i="8"/>
  <c r="E274" i="8"/>
  <c r="C274" i="8"/>
  <c r="B274" i="8"/>
  <c r="K273" i="8"/>
  <c r="J273" i="8"/>
  <c r="H273" i="8"/>
  <c r="I273" i="8" s="1"/>
  <c r="G273" i="8"/>
  <c r="F273" i="8"/>
  <c r="E273" i="8"/>
  <c r="C273" i="8"/>
  <c r="B273" i="8"/>
  <c r="N272" i="8"/>
  <c r="K272" i="8"/>
  <c r="J272" i="8"/>
  <c r="L272" i="8" s="1"/>
  <c r="H272" i="8"/>
  <c r="I272" i="8" s="1"/>
  <c r="G272" i="8"/>
  <c r="F272" i="8"/>
  <c r="E272" i="8"/>
  <c r="C272" i="8"/>
  <c r="B272" i="8"/>
  <c r="K271" i="8"/>
  <c r="O271" i="8" s="1"/>
  <c r="J271" i="8"/>
  <c r="L271" i="8" s="1"/>
  <c r="I271" i="8"/>
  <c r="H271" i="8"/>
  <c r="F271" i="8"/>
  <c r="E271" i="8"/>
  <c r="N271" i="8" s="1"/>
  <c r="D271" i="8"/>
  <c r="C271" i="8"/>
  <c r="B271" i="8"/>
  <c r="Q270" i="8"/>
  <c r="V270" i="8" s="1"/>
  <c r="O270" i="8"/>
  <c r="N270" i="8"/>
  <c r="L270" i="8"/>
  <c r="R270" i="8" s="1"/>
  <c r="K270" i="8"/>
  <c r="J270" i="8"/>
  <c r="I270" i="8"/>
  <c r="H270" i="8"/>
  <c r="G270" i="8"/>
  <c r="F270" i="8"/>
  <c r="E270" i="8"/>
  <c r="C270" i="8"/>
  <c r="D270" i="8" s="1"/>
  <c r="B270" i="8"/>
  <c r="K269" i="8"/>
  <c r="J269" i="8"/>
  <c r="N269" i="8" s="1"/>
  <c r="H269" i="8"/>
  <c r="I269" i="8" s="1"/>
  <c r="F269" i="8"/>
  <c r="E269" i="8"/>
  <c r="G269" i="8" s="1"/>
  <c r="C269" i="8"/>
  <c r="B269" i="8"/>
  <c r="K268" i="8"/>
  <c r="O268" i="8" s="1"/>
  <c r="J268" i="8"/>
  <c r="N268" i="8" s="1"/>
  <c r="H268" i="8"/>
  <c r="I268" i="8" s="1"/>
  <c r="G268" i="8"/>
  <c r="F268" i="8"/>
  <c r="E268" i="8"/>
  <c r="D268" i="8"/>
  <c r="C268" i="8"/>
  <c r="B268" i="8"/>
  <c r="Q267" i="8"/>
  <c r="N267" i="8"/>
  <c r="L267" i="8"/>
  <c r="K267" i="8"/>
  <c r="J267" i="8"/>
  <c r="I267" i="8"/>
  <c r="H267" i="8"/>
  <c r="G267" i="8"/>
  <c r="F267" i="8"/>
  <c r="E267" i="8"/>
  <c r="C267" i="8"/>
  <c r="O267" i="8" s="1"/>
  <c r="B267" i="8"/>
  <c r="O266" i="8"/>
  <c r="K266" i="8"/>
  <c r="J266" i="8"/>
  <c r="L266" i="8" s="1"/>
  <c r="I266" i="8"/>
  <c r="H266" i="8"/>
  <c r="F266" i="8"/>
  <c r="E266" i="8"/>
  <c r="C266" i="8"/>
  <c r="D266" i="8" s="1"/>
  <c r="B266" i="8"/>
  <c r="K265" i="8"/>
  <c r="L265" i="8" s="1"/>
  <c r="J265" i="8"/>
  <c r="H265" i="8"/>
  <c r="I265" i="8" s="1"/>
  <c r="G265" i="8"/>
  <c r="F265" i="8"/>
  <c r="E265" i="8"/>
  <c r="N265" i="8" s="1"/>
  <c r="D265" i="8"/>
  <c r="C265" i="8"/>
  <c r="B265" i="8"/>
  <c r="K264" i="8"/>
  <c r="J264" i="8"/>
  <c r="L264" i="8" s="1"/>
  <c r="I264" i="8"/>
  <c r="H264" i="8"/>
  <c r="F264" i="8"/>
  <c r="E264" i="8"/>
  <c r="C264" i="8"/>
  <c r="B264" i="8"/>
  <c r="K263" i="8"/>
  <c r="L263" i="8" s="1"/>
  <c r="J263" i="8"/>
  <c r="I263" i="8"/>
  <c r="H263" i="8"/>
  <c r="F263" i="8"/>
  <c r="G263" i="8" s="1"/>
  <c r="E263" i="8"/>
  <c r="C263" i="8"/>
  <c r="B263" i="8"/>
  <c r="O262" i="8"/>
  <c r="N262" i="8"/>
  <c r="K262" i="8"/>
  <c r="J262" i="8"/>
  <c r="I262" i="8"/>
  <c r="H262" i="8"/>
  <c r="F262" i="8"/>
  <c r="E262" i="8"/>
  <c r="G262" i="8" s="1"/>
  <c r="C262" i="8"/>
  <c r="D262" i="8" s="1"/>
  <c r="B262" i="8"/>
  <c r="K261" i="8"/>
  <c r="J261" i="8"/>
  <c r="L261" i="8" s="1"/>
  <c r="I261" i="8"/>
  <c r="H261" i="8"/>
  <c r="F261" i="8"/>
  <c r="E261" i="8"/>
  <c r="G261" i="8" s="1"/>
  <c r="C261" i="8"/>
  <c r="O261" i="8" s="1"/>
  <c r="B261" i="8"/>
  <c r="K260" i="8"/>
  <c r="O260" i="8" s="1"/>
  <c r="J260" i="8"/>
  <c r="L260" i="8" s="1"/>
  <c r="H260" i="8"/>
  <c r="I260" i="8" s="1"/>
  <c r="F260" i="8"/>
  <c r="E260" i="8"/>
  <c r="D260" i="8"/>
  <c r="C260" i="8"/>
  <c r="B260" i="8"/>
  <c r="K259" i="8"/>
  <c r="J259" i="8"/>
  <c r="L259" i="8" s="1"/>
  <c r="H259" i="8"/>
  <c r="F259" i="8"/>
  <c r="G259" i="8" s="1"/>
  <c r="E259" i="8"/>
  <c r="C259" i="8"/>
  <c r="B259" i="8"/>
  <c r="K258" i="8"/>
  <c r="O258" i="8" s="1"/>
  <c r="J258" i="8"/>
  <c r="H258" i="8"/>
  <c r="F258" i="8"/>
  <c r="E258" i="8"/>
  <c r="C258" i="8"/>
  <c r="D258" i="8" s="1"/>
  <c r="B258" i="8"/>
  <c r="O257" i="8"/>
  <c r="L257" i="8"/>
  <c r="K257" i="8"/>
  <c r="J257" i="8"/>
  <c r="H257" i="8"/>
  <c r="I257" i="8" s="1"/>
  <c r="G257" i="8"/>
  <c r="F257" i="8"/>
  <c r="E257" i="8"/>
  <c r="N257" i="8" s="1"/>
  <c r="D257" i="8"/>
  <c r="C257" i="8"/>
  <c r="B257" i="8"/>
  <c r="Q256" i="8"/>
  <c r="V256" i="8" s="1"/>
  <c r="O256" i="8"/>
  <c r="N256" i="8"/>
  <c r="L256" i="8"/>
  <c r="K256" i="8"/>
  <c r="J256" i="8"/>
  <c r="I256" i="8"/>
  <c r="R256" i="8" s="1"/>
  <c r="H256" i="8"/>
  <c r="G256" i="8"/>
  <c r="F256" i="8"/>
  <c r="E256" i="8"/>
  <c r="C256" i="8"/>
  <c r="D256" i="8" s="1"/>
  <c r="B256" i="8"/>
  <c r="K255" i="8"/>
  <c r="J255" i="8"/>
  <c r="L255" i="8" s="1"/>
  <c r="I255" i="8"/>
  <c r="H255" i="8"/>
  <c r="F255" i="8"/>
  <c r="O255" i="8" s="1"/>
  <c r="E255" i="8"/>
  <c r="C255" i="8"/>
  <c r="D255" i="8" s="1"/>
  <c r="B255" i="8"/>
  <c r="O254" i="8"/>
  <c r="L254" i="8"/>
  <c r="K254" i="8"/>
  <c r="J254" i="8"/>
  <c r="H254" i="8"/>
  <c r="I254" i="8" s="1"/>
  <c r="G254" i="8"/>
  <c r="F254" i="8"/>
  <c r="E254" i="8"/>
  <c r="N254" i="8" s="1"/>
  <c r="D254" i="8"/>
  <c r="C254" i="8"/>
  <c r="B254" i="8"/>
  <c r="K253" i="8"/>
  <c r="J253" i="8"/>
  <c r="L253" i="8" s="1"/>
  <c r="I253" i="8"/>
  <c r="H253" i="8"/>
  <c r="F253" i="8"/>
  <c r="O253" i="8" s="1"/>
  <c r="E253" i="8"/>
  <c r="G253" i="8" s="1"/>
  <c r="D253" i="8"/>
  <c r="C253" i="8"/>
  <c r="B253" i="8"/>
  <c r="K252" i="8"/>
  <c r="L252" i="8" s="1"/>
  <c r="J252" i="8"/>
  <c r="H252" i="8"/>
  <c r="I252" i="8" s="1"/>
  <c r="F252" i="8"/>
  <c r="E252" i="8"/>
  <c r="C252" i="8"/>
  <c r="O252" i="8" s="1"/>
  <c r="B252" i="8"/>
  <c r="K251" i="8"/>
  <c r="J251" i="8"/>
  <c r="H251" i="8"/>
  <c r="I251" i="8" s="1"/>
  <c r="F251" i="8"/>
  <c r="E251" i="8"/>
  <c r="G251" i="8" s="1"/>
  <c r="C251" i="8"/>
  <c r="B251" i="8"/>
  <c r="K250" i="8"/>
  <c r="J250" i="8"/>
  <c r="L250" i="8" s="1"/>
  <c r="I250" i="8"/>
  <c r="H250" i="8"/>
  <c r="F250" i="8"/>
  <c r="G250" i="8" s="1"/>
  <c r="E250" i="8"/>
  <c r="C250" i="8"/>
  <c r="B250" i="8"/>
  <c r="O249" i="8"/>
  <c r="K249" i="8"/>
  <c r="J249" i="8"/>
  <c r="L249" i="8" s="1"/>
  <c r="H249" i="8"/>
  <c r="I249" i="8" s="1"/>
  <c r="G249" i="8"/>
  <c r="F249" i="8"/>
  <c r="E249" i="8"/>
  <c r="D249" i="8"/>
  <c r="C249" i="8"/>
  <c r="B249" i="8"/>
  <c r="N248" i="8"/>
  <c r="K248" i="8"/>
  <c r="J248" i="8"/>
  <c r="L248" i="8" s="1"/>
  <c r="H248" i="8"/>
  <c r="I248" i="8" s="1"/>
  <c r="G248" i="8"/>
  <c r="F248" i="8"/>
  <c r="E248" i="8"/>
  <c r="C248" i="8"/>
  <c r="B248" i="8"/>
  <c r="O247" i="8"/>
  <c r="L247" i="8"/>
  <c r="K247" i="8"/>
  <c r="J247" i="8"/>
  <c r="I247" i="8"/>
  <c r="H247" i="8"/>
  <c r="F247" i="8"/>
  <c r="E247" i="8"/>
  <c r="D247" i="8"/>
  <c r="C247" i="8"/>
  <c r="B247" i="8"/>
  <c r="N246" i="8"/>
  <c r="K246" i="8"/>
  <c r="J246" i="8"/>
  <c r="H246" i="8"/>
  <c r="I246" i="8" s="1"/>
  <c r="F246" i="8"/>
  <c r="E246" i="8"/>
  <c r="G246" i="8" s="1"/>
  <c r="D246" i="8"/>
  <c r="C246" i="8"/>
  <c r="B246" i="8"/>
  <c r="N245" i="8"/>
  <c r="L245" i="8"/>
  <c r="K245" i="8"/>
  <c r="J245" i="8"/>
  <c r="H245" i="8"/>
  <c r="I245" i="8" s="1"/>
  <c r="G245" i="8"/>
  <c r="F245" i="8"/>
  <c r="E245" i="8"/>
  <c r="D245" i="8"/>
  <c r="C245" i="8"/>
  <c r="O245" i="8" s="1"/>
  <c r="B245" i="8"/>
  <c r="L244" i="8"/>
  <c r="K244" i="8"/>
  <c r="J244" i="8"/>
  <c r="I244" i="8"/>
  <c r="H244" i="8"/>
  <c r="F244" i="8"/>
  <c r="E244" i="8"/>
  <c r="C244" i="8"/>
  <c r="B244" i="8"/>
  <c r="N243" i="8"/>
  <c r="K243" i="8"/>
  <c r="L243" i="8" s="1"/>
  <c r="J243" i="8"/>
  <c r="H243" i="8"/>
  <c r="I243" i="8" s="1"/>
  <c r="F243" i="8"/>
  <c r="E243" i="8"/>
  <c r="G243" i="8" s="1"/>
  <c r="D243" i="8"/>
  <c r="C243" i="8"/>
  <c r="O243" i="8" s="1"/>
  <c r="B243" i="8"/>
  <c r="K242" i="8"/>
  <c r="J242" i="8"/>
  <c r="L242" i="8" s="1"/>
  <c r="I242" i="8"/>
  <c r="H242" i="8"/>
  <c r="F242" i="8"/>
  <c r="E242" i="8"/>
  <c r="G242" i="8" s="1"/>
  <c r="C242" i="8"/>
  <c r="B242" i="8"/>
  <c r="K241" i="8"/>
  <c r="L241" i="8" s="1"/>
  <c r="J241" i="8"/>
  <c r="I241" i="8"/>
  <c r="H241" i="8"/>
  <c r="F241" i="8"/>
  <c r="E241" i="8"/>
  <c r="N241" i="8" s="1"/>
  <c r="C241" i="8"/>
  <c r="B241" i="8"/>
  <c r="O240" i="8"/>
  <c r="N240" i="8"/>
  <c r="K240" i="8"/>
  <c r="J240" i="8"/>
  <c r="L240" i="8" s="1"/>
  <c r="I240" i="8"/>
  <c r="H240" i="8"/>
  <c r="G240" i="8"/>
  <c r="F240" i="8"/>
  <c r="E240" i="8"/>
  <c r="D240" i="8"/>
  <c r="C240" i="8"/>
  <c r="B240" i="8"/>
  <c r="K239" i="8"/>
  <c r="J239" i="8"/>
  <c r="L239" i="8" s="1"/>
  <c r="H239" i="8"/>
  <c r="I239" i="8" s="1"/>
  <c r="F239" i="8"/>
  <c r="G239" i="8" s="1"/>
  <c r="E239" i="8"/>
  <c r="N239" i="8" s="1"/>
  <c r="C239" i="8"/>
  <c r="B239" i="8"/>
  <c r="K238" i="8"/>
  <c r="O238" i="8" s="1"/>
  <c r="J238" i="8"/>
  <c r="L238" i="8" s="1"/>
  <c r="H238" i="8"/>
  <c r="I238" i="8" s="1"/>
  <c r="F238" i="8"/>
  <c r="E238" i="8"/>
  <c r="D238" i="8"/>
  <c r="C238" i="8"/>
  <c r="B238" i="8"/>
  <c r="L237" i="8"/>
  <c r="K237" i="8"/>
  <c r="J237" i="8"/>
  <c r="I237" i="8"/>
  <c r="H237" i="8"/>
  <c r="F237" i="8"/>
  <c r="G237" i="8" s="1"/>
  <c r="E237" i="8"/>
  <c r="C237" i="8"/>
  <c r="O237" i="8" s="1"/>
  <c r="B237" i="8"/>
  <c r="K236" i="8"/>
  <c r="L236" i="8" s="1"/>
  <c r="J236" i="8"/>
  <c r="H236" i="8"/>
  <c r="N236" i="8" s="1"/>
  <c r="F236" i="8"/>
  <c r="E236" i="8"/>
  <c r="G236" i="8" s="1"/>
  <c r="C236" i="8"/>
  <c r="B236" i="8"/>
  <c r="K235" i="8"/>
  <c r="O235" i="8" s="1"/>
  <c r="J235" i="8"/>
  <c r="L235" i="8" s="1"/>
  <c r="H235" i="8"/>
  <c r="G235" i="8"/>
  <c r="F235" i="8"/>
  <c r="E235" i="8"/>
  <c r="D235" i="8"/>
  <c r="C235" i="8"/>
  <c r="B235" i="8"/>
  <c r="O234" i="8"/>
  <c r="N234" i="8"/>
  <c r="L234" i="8"/>
  <c r="K234" i="8"/>
  <c r="J234" i="8"/>
  <c r="I234" i="8"/>
  <c r="H234" i="8"/>
  <c r="G234" i="8"/>
  <c r="F234" i="8"/>
  <c r="E234" i="8"/>
  <c r="D234" i="8"/>
  <c r="C234" i="8"/>
  <c r="B234" i="8"/>
  <c r="K233" i="8"/>
  <c r="O233" i="8" s="1"/>
  <c r="J233" i="8"/>
  <c r="L233" i="8" s="1"/>
  <c r="I233" i="8"/>
  <c r="H233" i="8"/>
  <c r="F233" i="8"/>
  <c r="E233" i="8"/>
  <c r="D233" i="8"/>
  <c r="C233" i="8"/>
  <c r="B233" i="8"/>
  <c r="O232" i="8"/>
  <c r="N232" i="8"/>
  <c r="K232" i="8"/>
  <c r="L232" i="8" s="1"/>
  <c r="J232" i="8"/>
  <c r="H232" i="8"/>
  <c r="I232" i="8" s="1"/>
  <c r="F232" i="8"/>
  <c r="E232" i="8"/>
  <c r="D232" i="8"/>
  <c r="C232" i="8"/>
  <c r="B232" i="8"/>
  <c r="N231" i="8"/>
  <c r="K231" i="8"/>
  <c r="J231" i="8"/>
  <c r="L231" i="8" s="1"/>
  <c r="I231" i="8"/>
  <c r="H231" i="8"/>
  <c r="F231" i="8"/>
  <c r="O231" i="8" s="1"/>
  <c r="E231" i="8"/>
  <c r="G231" i="8" s="1"/>
  <c r="D231" i="8"/>
  <c r="C231" i="8"/>
  <c r="B231" i="8"/>
  <c r="K230" i="8"/>
  <c r="J230" i="8"/>
  <c r="L230" i="8" s="1"/>
  <c r="H230" i="8"/>
  <c r="I230" i="8" s="1"/>
  <c r="F230" i="8"/>
  <c r="E230" i="8"/>
  <c r="C230" i="8"/>
  <c r="B230" i="8"/>
  <c r="O229" i="8"/>
  <c r="K229" i="8"/>
  <c r="J229" i="8"/>
  <c r="L229" i="8" s="1"/>
  <c r="H229" i="8"/>
  <c r="G229" i="8"/>
  <c r="F229" i="8"/>
  <c r="E229" i="8"/>
  <c r="C229" i="8"/>
  <c r="D229" i="8" s="1"/>
  <c r="B229" i="8"/>
  <c r="O228" i="8"/>
  <c r="N228" i="8"/>
  <c r="K228" i="8"/>
  <c r="J228" i="8"/>
  <c r="L228" i="8" s="1"/>
  <c r="I228" i="8"/>
  <c r="H228" i="8"/>
  <c r="F228" i="8"/>
  <c r="G228" i="8" s="1"/>
  <c r="E228" i="8"/>
  <c r="C228" i="8"/>
  <c r="D228" i="8" s="1"/>
  <c r="B228" i="8"/>
  <c r="N227" i="8"/>
  <c r="L227" i="8"/>
  <c r="K227" i="8"/>
  <c r="J227" i="8"/>
  <c r="H227" i="8"/>
  <c r="I227" i="8" s="1"/>
  <c r="F227" i="8"/>
  <c r="O227" i="8" s="1"/>
  <c r="E227" i="8"/>
  <c r="G227" i="8" s="1"/>
  <c r="D227" i="8"/>
  <c r="C227" i="8"/>
  <c r="B227" i="8"/>
  <c r="L226" i="8"/>
  <c r="K226" i="8"/>
  <c r="J226" i="8"/>
  <c r="H226" i="8"/>
  <c r="F226" i="8"/>
  <c r="O226" i="8" s="1"/>
  <c r="E226" i="8"/>
  <c r="C226" i="8"/>
  <c r="D226" i="8" s="1"/>
  <c r="B226" i="8"/>
  <c r="L225" i="8"/>
  <c r="K225" i="8"/>
  <c r="J225" i="8"/>
  <c r="H225" i="8"/>
  <c r="I225" i="8" s="1"/>
  <c r="F225" i="8"/>
  <c r="O225" i="8" s="1"/>
  <c r="E225" i="8"/>
  <c r="G225" i="8" s="1"/>
  <c r="D225" i="8"/>
  <c r="C225" i="8"/>
  <c r="B225" i="8"/>
  <c r="Q224" i="8"/>
  <c r="V224" i="8" s="1"/>
  <c r="L224" i="8"/>
  <c r="K224" i="8"/>
  <c r="J224" i="8"/>
  <c r="H224" i="8"/>
  <c r="I224" i="8" s="1"/>
  <c r="F224" i="8"/>
  <c r="O224" i="8" s="1"/>
  <c r="E224" i="8"/>
  <c r="N224" i="8" s="1"/>
  <c r="D224" i="8"/>
  <c r="C224" i="8"/>
  <c r="B224" i="8"/>
  <c r="O223" i="8"/>
  <c r="K223" i="8"/>
  <c r="J223" i="8"/>
  <c r="L223" i="8" s="1"/>
  <c r="H223" i="8"/>
  <c r="G223" i="8"/>
  <c r="F223" i="8"/>
  <c r="E223" i="8"/>
  <c r="C223" i="8"/>
  <c r="D223" i="8" s="1"/>
  <c r="B223" i="8"/>
  <c r="K222" i="8"/>
  <c r="J222" i="8"/>
  <c r="L222" i="8" s="1"/>
  <c r="I222" i="8"/>
  <c r="H222" i="8"/>
  <c r="F222" i="8"/>
  <c r="E222" i="8"/>
  <c r="C222" i="8"/>
  <c r="B222" i="8"/>
  <c r="K221" i="8"/>
  <c r="L221" i="8" s="1"/>
  <c r="J221" i="8"/>
  <c r="H221" i="8"/>
  <c r="F221" i="8"/>
  <c r="G221" i="8" s="1"/>
  <c r="E221" i="8"/>
  <c r="C221" i="8"/>
  <c r="D221" i="8" s="1"/>
  <c r="B221" i="8"/>
  <c r="K220" i="8"/>
  <c r="J220" i="8"/>
  <c r="L220" i="8" s="1"/>
  <c r="I220" i="8"/>
  <c r="H220" i="8"/>
  <c r="F220" i="8"/>
  <c r="G220" i="8" s="1"/>
  <c r="E220" i="8"/>
  <c r="C220" i="8"/>
  <c r="D220" i="8" s="1"/>
  <c r="B220" i="8"/>
  <c r="L219" i="8"/>
  <c r="K219" i="8"/>
  <c r="J219" i="8"/>
  <c r="I219" i="8"/>
  <c r="H219" i="8"/>
  <c r="F219" i="8"/>
  <c r="E219" i="8"/>
  <c r="C219" i="8"/>
  <c r="B219" i="8"/>
  <c r="O218" i="8"/>
  <c r="L218" i="8"/>
  <c r="K218" i="8"/>
  <c r="J218" i="8"/>
  <c r="H218" i="8"/>
  <c r="I218" i="8" s="1"/>
  <c r="F218" i="8"/>
  <c r="E218" i="8"/>
  <c r="G218" i="8" s="1"/>
  <c r="D218" i="8"/>
  <c r="C218" i="8"/>
  <c r="B218" i="8"/>
  <c r="K217" i="8"/>
  <c r="J217" i="8"/>
  <c r="L217" i="8" s="1"/>
  <c r="F217" i="8"/>
  <c r="G217" i="8" s="1"/>
  <c r="E217" i="8"/>
  <c r="D217" i="8"/>
  <c r="C217" i="8"/>
  <c r="B217" i="8"/>
  <c r="K216" i="8"/>
  <c r="J216" i="8"/>
  <c r="L216" i="8" s="1"/>
  <c r="F216" i="8"/>
  <c r="O216" i="8" s="1"/>
  <c r="E216" i="8"/>
  <c r="D216" i="8"/>
  <c r="C216" i="8"/>
  <c r="B216" i="8"/>
  <c r="K215" i="8"/>
  <c r="L215" i="8" s="1"/>
  <c r="J215" i="8"/>
  <c r="G215" i="8"/>
  <c r="F215" i="8"/>
  <c r="O215" i="8" s="1"/>
  <c r="E215" i="8"/>
  <c r="D215" i="8"/>
  <c r="C215" i="8"/>
  <c r="B215" i="8"/>
  <c r="O214" i="8"/>
  <c r="L214" i="8"/>
  <c r="K214" i="8"/>
  <c r="J214" i="8"/>
  <c r="F214" i="8"/>
  <c r="E214" i="8"/>
  <c r="G214" i="8" s="1"/>
  <c r="D214" i="8"/>
  <c r="C214" i="8"/>
  <c r="B214" i="8"/>
  <c r="L213" i="8"/>
  <c r="K213" i="8"/>
  <c r="J213" i="8"/>
  <c r="F213" i="8"/>
  <c r="O213" i="8" s="1"/>
  <c r="E213" i="8"/>
  <c r="D213" i="8"/>
  <c r="C213" i="8"/>
  <c r="B213" i="8"/>
  <c r="K212" i="8"/>
  <c r="J212" i="8"/>
  <c r="L212" i="8" s="1"/>
  <c r="G212" i="8"/>
  <c r="F212" i="8"/>
  <c r="E212" i="8"/>
  <c r="C212" i="8"/>
  <c r="B212" i="8"/>
  <c r="K211" i="8"/>
  <c r="J211" i="8"/>
  <c r="L211" i="8" s="1"/>
  <c r="F211" i="8"/>
  <c r="E211" i="8"/>
  <c r="D211" i="8"/>
  <c r="C211" i="8"/>
  <c r="O211" i="8" s="1"/>
  <c r="B211" i="8"/>
  <c r="W210" i="8"/>
  <c r="U210" i="8"/>
  <c r="T210" i="8"/>
  <c r="AK210" i="8" s="1"/>
  <c r="L210" i="8"/>
  <c r="K210" i="8"/>
  <c r="O210" i="8" s="1"/>
  <c r="J210" i="8"/>
  <c r="N210" i="8" s="1"/>
  <c r="Q210" i="8" s="1"/>
  <c r="V210" i="8" s="1"/>
  <c r="H210" i="8"/>
  <c r="I210" i="8" s="1"/>
  <c r="F210" i="8"/>
  <c r="E210" i="8"/>
  <c r="G210" i="8" s="1"/>
  <c r="C210" i="8"/>
  <c r="D210" i="8" s="1"/>
  <c r="B210" i="8"/>
  <c r="O209" i="8"/>
  <c r="L209" i="8"/>
  <c r="K209" i="8"/>
  <c r="J209" i="8"/>
  <c r="I209" i="8"/>
  <c r="H209" i="8"/>
  <c r="N209" i="8" s="1"/>
  <c r="G209" i="8"/>
  <c r="F209" i="8"/>
  <c r="E209" i="8"/>
  <c r="D209" i="8"/>
  <c r="C209" i="8"/>
  <c r="B209" i="8"/>
  <c r="K208" i="8"/>
  <c r="J208" i="8"/>
  <c r="L208" i="8" s="1"/>
  <c r="I208" i="8"/>
  <c r="H208" i="8"/>
  <c r="F208" i="8"/>
  <c r="E208" i="8"/>
  <c r="C208" i="8"/>
  <c r="D208" i="8" s="1"/>
  <c r="B208" i="8"/>
  <c r="L207" i="8"/>
  <c r="K207" i="8"/>
  <c r="J207" i="8"/>
  <c r="H207" i="8"/>
  <c r="I207" i="8" s="1"/>
  <c r="F207" i="8"/>
  <c r="E207" i="8"/>
  <c r="C207" i="8"/>
  <c r="O207" i="8" s="1"/>
  <c r="B207" i="8"/>
  <c r="K206" i="8"/>
  <c r="J206" i="8"/>
  <c r="L206" i="8" s="1"/>
  <c r="H206" i="8"/>
  <c r="I206" i="8" s="1"/>
  <c r="F206" i="8"/>
  <c r="E206" i="8"/>
  <c r="N206" i="8" s="1"/>
  <c r="C206" i="8"/>
  <c r="B206" i="8"/>
  <c r="K205" i="8"/>
  <c r="J205" i="8"/>
  <c r="L205" i="8" s="1"/>
  <c r="H205" i="8"/>
  <c r="I205" i="8" s="1"/>
  <c r="F205" i="8"/>
  <c r="E205" i="8"/>
  <c r="C205" i="8"/>
  <c r="B205" i="8"/>
  <c r="K204" i="8"/>
  <c r="J204" i="8"/>
  <c r="H204" i="8"/>
  <c r="I204" i="8" s="1"/>
  <c r="G204" i="8"/>
  <c r="F204" i="8"/>
  <c r="E204" i="8"/>
  <c r="C204" i="8"/>
  <c r="B204" i="8"/>
  <c r="K203" i="8"/>
  <c r="J203" i="8"/>
  <c r="I203" i="8"/>
  <c r="H203" i="8"/>
  <c r="F203" i="8"/>
  <c r="E203" i="8"/>
  <c r="G203" i="8" s="1"/>
  <c r="C203" i="8"/>
  <c r="B203" i="8"/>
  <c r="K202" i="8"/>
  <c r="J202" i="8"/>
  <c r="H202" i="8"/>
  <c r="I202" i="8" s="1"/>
  <c r="F202" i="8"/>
  <c r="E202" i="8"/>
  <c r="N202" i="8" s="1"/>
  <c r="D202" i="8"/>
  <c r="C202" i="8"/>
  <c r="B202" i="8"/>
  <c r="O201" i="8"/>
  <c r="N201" i="8"/>
  <c r="K201" i="8"/>
  <c r="J201" i="8"/>
  <c r="L201" i="8" s="1"/>
  <c r="H201" i="8"/>
  <c r="I201" i="8" s="1"/>
  <c r="F201" i="8"/>
  <c r="G201" i="8" s="1"/>
  <c r="E201" i="8"/>
  <c r="C201" i="8"/>
  <c r="D201" i="8" s="1"/>
  <c r="B201" i="8"/>
  <c r="K200" i="8"/>
  <c r="O200" i="8" s="1"/>
  <c r="J200" i="8"/>
  <c r="H200" i="8"/>
  <c r="G200" i="8"/>
  <c r="F200" i="8"/>
  <c r="E200" i="8"/>
  <c r="C200" i="8"/>
  <c r="D200" i="8" s="1"/>
  <c r="B200" i="8"/>
  <c r="K199" i="8"/>
  <c r="J199" i="8"/>
  <c r="L199" i="8" s="1"/>
  <c r="H199" i="8"/>
  <c r="G199" i="8"/>
  <c r="C199" i="8"/>
  <c r="O198" i="8"/>
  <c r="N198" i="8"/>
  <c r="K198" i="8"/>
  <c r="J198" i="8"/>
  <c r="L198" i="8" s="1"/>
  <c r="H198" i="8"/>
  <c r="I198" i="8" s="1"/>
  <c r="G198" i="8"/>
  <c r="D198" i="8"/>
  <c r="C198" i="8"/>
  <c r="N197" i="8"/>
  <c r="L197" i="8"/>
  <c r="K197" i="8"/>
  <c r="J197" i="8"/>
  <c r="I197" i="8"/>
  <c r="H197" i="8"/>
  <c r="G197" i="8"/>
  <c r="C197" i="8"/>
  <c r="K196" i="8"/>
  <c r="J196" i="8"/>
  <c r="I196" i="8"/>
  <c r="H196" i="8"/>
  <c r="G196" i="8"/>
  <c r="D196" i="8"/>
  <c r="C196" i="8"/>
  <c r="K195" i="8"/>
  <c r="J195" i="8"/>
  <c r="H195" i="8"/>
  <c r="G195" i="8"/>
  <c r="C195" i="8"/>
  <c r="K194" i="8"/>
  <c r="J194" i="8"/>
  <c r="L194" i="8" s="1"/>
  <c r="H194" i="8"/>
  <c r="N194" i="8" s="1"/>
  <c r="G194" i="8"/>
  <c r="C194" i="8"/>
  <c r="O194" i="8" s="1"/>
  <c r="N193" i="8"/>
  <c r="K193" i="8"/>
  <c r="J193" i="8"/>
  <c r="L193" i="8" s="1"/>
  <c r="H193" i="8"/>
  <c r="I193" i="8" s="1"/>
  <c r="G193" i="8"/>
  <c r="C193" i="8"/>
  <c r="N192" i="8"/>
  <c r="L192" i="8"/>
  <c r="K192" i="8"/>
  <c r="J192" i="8"/>
  <c r="H192" i="8"/>
  <c r="I192" i="8" s="1"/>
  <c r="G192" i="8"/>
  <c r="C192" i="8"/>
  <c r="O191" i="8"/>
  <c r="K191" i="8"/>
  <c r="J191" i="8"/>
  <c r="I191" i="8"/>
  <c r="H191" i="8"/>
  <c r="N191" i="8" s="1"/>
  <c r="G191" i="8"/>
  <c r="D191" i="8"/>
  <c r="C191" i="8"/>
  <c r="O190" i="8"/>
  <c r="L190" i="8"/>
  <c r="K190" i="8"/>
  <c r="J190" i="8"/>
  <c r="H190" i="8"/>
  <c r="G190" i="8"/>
  <c r="C190" i="8"/>
  <c r="D190" i="8" s="1"/>
  <c r="O189" i="8"/>
  <c r="K189" i="8"/>
  <c r="J189" i="8"/>
  <c r="N189" i="8" s="1"/>
  <c r="H189" i="8"/>
  <c r="I189" i="8" s="1"/>
  <c r="G189" i="8"/>
  <c r="D189" i="8"/>
  <c r="C189" i="8"/>
  <c r="K188" i="8"/>
  <c r="J188" i="8"/>
  <c r="H188" i="8"/>
  <c r="I188" i="8" s="1"/>
  <c r="G188" i="8"/>
  <c r="C188" i="8"/>
  <c r="N187" i="8"/>
  <c r="K187" i="8"/>
  <c r="O187" i="8" s="1"/>
  <c r="J187" i="8"/>
  <c r="H187" i="8"/>
  <c r="I187" i="8" s="1"/>
  <c r="G187" i="8"/>
  <c r="D187" i="8"/>
  <c r="C187" i="8"/>
  <c r="Q186" i="8"/>
  <c r="V186" i="8" s="1"/>
  <c r="N186" i="8"/>
  <c r="L186" i="8"/>
  <c r="K186" i="8"/>
  <c r="O186" i="8" s="1"/>
  <c r="J186" i="8"/>
  <c r="H186" i="8"/>
  <c r="I186" i="8" s="1"/>
  <c r="G186" i="8"/>
  <c r="C186" i="8"/>
  <c r="D186" i="8" s="1"/>
  <c r="N185" i="8"/>
  <c r="K185" i="8"/>
  <c r="J185" i="8"/>
  <c r="L185" i="8" s="1"/>
  <c r="I185" i="8"/>
  <c r="H185" i="8"/>
  <c r="G185" i="8"/>
  <c r="D185" i="8"/>
  <c r="C185" i="8"/>
  <c r="K184" i="8"/>
  <c r="J184" i="8"/>
  <c r="L184" i="8" s="1"/>
  <c r="H184" i="8"/>
  <c r="G184" i="8"/>
  <c r="C184" i="8"/>
  <c r="O184" i="8" s="1"/>
  <c r="K183" i="8"/>
  <c r="J183" i="8"/>
  <c r="L183" i="8" s="1"/>
  <c r="I183" i="8"/>
  <c r="H183" i="8"/>
  <c r="N183" i="8" s="1"/>
  <c r="G183" i="8"/>
  <c r="C183" i="8"/>
  <c r="O183" i="8" s="1"/>
  <c r="Q182" i="8"/>
  <c r="O182" i="8"/>
  <c r="N182" i="8"/>
  <c r="K182" i="8"/>
  <c r="J182" i="8"/>
  <c r="L182" i="8" s="1"/>
  <c r="H182" i="8"/>
  <c r="I182" i="8" s="1"/>
  <c r="G182" i="8"/>
  <c r="D182" i="8"/>
  <c r="C182" i="8"/>
  <c r="N181" i="8"/>
  <c r="L181" i="8"/>
  <c r="K181" i="8"/>
  <c r="J181" i="8"/>
  <c r="H181" i="8"/>
  <c r="I181" i="8" s="1"/>
  <c r="G181" i="8"/>
  <c r="C181" i="8"/>
  <c r="U180" i="8"/>
  <c r="T180" i="8"/>
  <c r="W180" i="8" s="1"/>
  <c r="R180" i="8"/>
  <c r="K180" i="8"/>
  <c r="O180" i="8" s="1"/>
  <c r="Q180" i="8" s="1"/>
  <c r="V180" i="8" s="1"/>
  <c r="J180" i="8"/>
  <c r="L180" i="8" s="1"/>
  <c r="I180" i="8"/>
  <c r="H180" i="8"/>
  <c r="N180" i="8" s="1"/>
  <c r="G180" i="8"/>
  <c r="D180" i="8"/>
  <c r="C180" i="8"/>
  <c r="B180" i="8"/>
  <c r="K179" i="8"/>
  <c r="O179" i="8" s="1"/>
  <c r="J179" i="8"/>
  <c r="I179" i="8"/>
  <c r="H179" i="8"/>
  <c r="N179" i="8" s="1"/>
  <c r="G179" i="8"/>
  <c r="D179" i="8"/>
  <c r="C179" i="8"/>
  <c r="N178" i="8"/>
  <c r="L178" i="8"/>
  <c r="K178" i="8"/>
  <c r="J178" i="8"/>
  <c r="D178" i="8"/>
  <c r="C178" i="8"/>
  <c r="O178" i="8" s="1"/>
  <c r="O177" i="8"/>
  <c r="N177" i="8"/>
  <c r="K177" i="8"/>
  <c r="J177" i="8"/>
  <c r="L177" i="8" s="1"/>
  <c r="C177" i="8"/>
  <c r="D177" i="8" s="1"/>
  <c r="K176" i="8"/>
  <c r="J176" i="8"/>
  <c r="C176" i="8"/>
  <c r="O175" i="8"/>
  <c r="K175" i="8"/>
  <c r="J175" i="8"/>
  <c r="N175" i="8" s="1"/>
  <c r="C175" i="8"/>
  <c r="D175" i="8" s="1"/>
  <c r="K174" i="8"/>
  <c r="O174" i="8" s="1"/>
  <c r="J174" i="8"/>
  <c r="D174" i="8"/>
  <c r="C174" i="8"/>
  <c r="N173" i="8"/>
  <c r="K173" i="8"/>
  <c r="O173" i="8" s="1"/>
  <c r="J173" i="8"/>
  <c r="D173" i="8"/>
  <c r="C173" i="8"/>
  <c r="Q172" i="8"/>
  <c r="V172" i="8" s="1"/>
  <c r="K172" i="8"/>
  <c r="J172" i="8"/>
  <c r="N172" i="8" s="1"/>
  <c r="D172" i="8"/>
  <c r="C172" i="8"/>
  <c r="O172" i="8" s="1"/>
  <c r="K171" i="8"/>
  <c r="J171" i="8"/>
  <c r="D171" i="8"/>
  <c r="C171" i="8"/>
  <c r="O171" i="8" s="1"/>
  <c r="N170" i="8"/>
  <c r="L170" i="8"/>
  <c r="K170" i="8"/>
  <c r="J170" i="8"/>
  <c r="C170" i="8"/>
  <c r="O170" i="8" s="1"/>
  <c r="N169" i="8"/>
  <c r="L169" i="8"/>
  <c r="K169" i="8"/>
  <c r="O169" i="8" s="1"/>
  <c r="J169" i="8"/>
  <c r="C169" i="8"/>
  <c r="D169" i="8" s="1"/>
  <c r="K168" i="8"/>
  <c r="J168" i="8"/>
  <c r="L168" i="8" s="1"/>
  <c r="C168" i="8"/>
  <c r="O168" i="8" s="1"/>
  <c r="K167" i="8"/>
  <c r="J167" i="8"/>
  <c r="C167" i="8"/>
  <c r="O166" i="8"/>
  <c r="N166" i="8"/>
  <c r="K166" i="8"/>
  <c r="J166" i="8"/>
  <c r="L166" i="8" s="1"/>
  <c r="C166" i="8"/>
  <c r="D166" i="8" s="1"/>
  <c r="K165" i="8"/>
  <c r="J165" i="8"/>
  <c r="C165" i="8"/>
  <c r="K164" i="8"/>
  <c r="J164" i="8"/>
  <c r="D164" i="8"/>
  <c r="C164" i="8"/>
  <c r="O164" i="8" s="1"/>
  <c r="K163" i="8"/>
  <c r="J163" i="8"/>
  <c r="C163" i="8"/>
  <c r="K162" i="8"/>
  <c r="J162" i="8"/>
  <c r="C162" i="8"/>
  <c r="O162" i="8" s="1"/>
  <c r="Q161" i="8"/>
  <c r="V161" i="8" s="1"/>
  <c r="L161" i="8"/>
  <c r="K161" i="8"/>
  <c r="J161" i="8"/>
  <c r="N161" i="8" s="1"/>
  <c r="C161" i="8"/>
  <c r="O161" i="8" s="1"/>
  <c r="Q160" i="8"/>
  <c r="V160" i="8" s="1"/>
  <c r="O160" i="8"/>
  <c r="K160" i="8"/>
  <c r="J160" i="8"/>
  <c r="N160" i="8" s="1"/>
  <c r="C160" i="8"/>
  <c r="D160" i="8" s="1"/>
  <c r="O159" i="8"/>
  <c r="K159" i="8"/>
  <c r="J159" i="8"/>
  <c r="D159" i="8"/>
  <c r="C159" i="8"/>
  <c r="K158" i="8"/>
  <c r="J158" i="8"/>
  <c r="N158" i="8" s="1"/>
  <c r="C158" i="8"/>
  <c r="O158" i="8" s="1"/>
  <c r="O157" i="8"/>
  <c r="N157" i="8"/>
  <c r="L157" i="8"/>
  <c r="K157" i="8"/>
  <c r="J157" i="8"/>
  <c r="D157" i="8"/>
  <c r="C157" i="8"/>
  <c r="O156" i="8"/>
  <c r="Q156" i="8" s="1"/>
  <c r="V156" i="8" s="1"/>
  <c r="N156" i="8"/>
  <c r="L156" i="8"/>
  <c r="K156" i="8"/>
  <c r="J156" i="8"/>
  <c r="D156" i="8"/>
  <c r="R156" i="8" s="1"/>
  <c r="C156" i="8"/>
  <c r="L155" i="8"/>
  <c r="K155" i="8"/>
  <c r="J155" i="8"/>
  <c r="N155" i="8" s="1"/>
  <c r="C155" i="8"/>
  <c r="O154" i="8"/>
  <c r="N154" i="8"/>
  <c r="L154" i="8"/>
  <c r="K154" i="8"/>
  <c r="J154" i="8"/>
  <c r="C154" i="8"/>
  <c r="D154" i="8" s="1"/>
  <c r="K153" i="8"/>
  <c r="J153" i="8"/>
  <c r="N153" i="8" s="1"/>
  <c r="C153" i="8"/>
  <c r="O153" i="8" s="1"/>
  <c r="K152" i="8"/>
  <c r="O152" i="8" s="1"/>
  <c r="J152" i="8"/>
  <c r="D152" i="8"/>
  <c r="C152" i="8"/>
  <c r="K151" i="8"/>
  <c r="J151" i="8"/>
  <c r="N151" i="8" s="1"/>
  <c r="D151" i="8"/>
  <c r="C151" i="8"/>
  <c r="O150" i="8"/>
  <c r="N150" i="8"/>
  <c r="K150" i="8"/>
  <c r="J150" i="8"/>
  <c r="L150" i="8" s="1"/>
  <c r="C150" i="8"/>
  <c r="D150" i="8" s="1"/>
  <c r="K149" i="8"/>
  <c r="J149" i="8"/>
  <c r="D149" i="8"/>
  <c r="C149" i="8"/>
  <c r="N148" i="8"/>
  <c r="K148" i="8"/>
  <c r="L148" i="8" s="1"/>
  <c r="J148" i="8"/>
  <c r="C148" i="8"/>
  <c r="N147" i="8"/>
  <c r="L147" i="8"/>
  <c r="K147" i="8"/>
  <c r="J147" i="8"/>
  <c r="C147" i="8"/>
  <c r="D147" i="8" s="1"/>
  <c r="O146" i="8"/>
  <c r="N146" i="8"/>
  <c r="L146" i="8"/>
  <c r="K146" i="8"/>
  <c r="J146" i="8"/>
  <c r="N145" i="8"/>
  <c r="K145" i="8"/>
  <c r="O145" i="8" s="1"/>
  <c r="J145" i="8"/>
  <c r="K144" i="8"/>
  <c r="O144" i="8" s="1"/>
  <c r="J144" i="8"/>
  <c r="O143" i="8"/>
  <c r="K143" i="8"/>
  <c r="J143" i="8"/>
  <c r="O142" i="8"/>
  <c r="N142" i="8"/>
  <c r="K142" i="8"/>
  <c r="L142" i="8" s="1"/>
  <c r="J142" i="8"/>
  <c r="K141" i="8"/>
  <c r="O141" i="8" s="1"/>
  <c r="J141" i="8"/>
  <c r="K140" i="8"/>
  <c r="O140" i="8" s="1"/>
  <c r="J140" i="8"/>
  <c r="Q139" i="8"/>
  <c r="V139" i="8" s="1"/>
  <c r="O139" i="8"/>
  <c r="K139" i="8"/>
  <c r="L139" i="8" s="1"/>
  <c r="J139" i="8"/>
  <c r="N139" i="8" s="1"/>
  <c r="O138" i="8"/>
  <c r="N138" i="8"/>
  <c r="K138" i="8"/>
  <c r="L138" i="8" s="1"/>
  <c r="J138" i="8"/>
  <c r="Q137" i="8"/>
  <c r="O137" i="8"/>
  <c r="N137" i="8"/>
  <c r="L137" i="8"/>
  <c r="K137" i="8"/>
  <c r="J137" i="8"/>
  <c r="K136" i="8"/>
  <c r="O136" i="8" s="1"/>
  <c r="J136" i="8"/>
  <c r="V135" i="8"/>
  <c r="U135" i="8"/>
  <c r="T135" i="8"/>
  <c r="O135" i="8"/>
  <c r="N135" i="8"/>
  <c r="Q135" i="8" s="1"/>
  <c r="L135" i="8"/>
  <c r="K135" i="8"/>
  <c r="J135" i="8"/>
  <c r="O134" i="8"/>
  <c r="N134" i="8"/>
  <c r="L134" i="8"/>
  <c r="K134" i="8"/>
  <c r="J134" i="8"/>
  <c r="K133" i="8"/>
  <c r="O133" i="8" s="1"/>
  <c r="J133" i="8"/>
  <c r="N133" i="8" s="1"/>
  <c r="O132" i="8"/>
  <c r="N132" i="8"/>
  <c r="K132" i="8"/>
  <c r="J132" i="8"/>
  <c r="L132" i="8" s="1"/>
  <c r="N131" i="8"/>
  <c r="K131" i="8"/>
  <c r="J131" i="8"/>
  <c r="N130" i="8"/>
  <c r="K130" i="8"/>
  <c r="J130" i="8"/>
  <c r="K129" i="8"/>
  <c r="O129" i="8" s="1"/>
  <c r="J129" i="8"/>
  <c r="O128" i="8"/>
  <c r="N128" i="8"/>
  <c r="Q128" i="8" s="1"/>
  <c r="V128" i="8" s="1"/>
  <c r="L128" i="8"/>
  <c r="R128" i="8" s="1"/>
  <c r="K128" i="8"/>
  <c r="J128" i="8"/>
  <c r="U127" i="8"/>
  <c r="T127" i="8"/>
  <c r="O127" i="8"/>
  <c r="K127" i="8"/>
  <c r="J127" i="8"/>
  <c r="N127" i="8" s="1"/>
  <c r="Q127" i="8" s="1"/>
  <c r="V127" i="8" s="1"/>
  <c r="K126" i="8"/>
  <c r="O126" i="8" s="1"/>
  <c r="J126" i="8"/>
  <c r="N126" i="8" s="1"/>
  <c r="N125" i="8"/>
  <c r="K125" i="8"/>
  <c r="O125" i="8" s="1"/>
  <c r="J125" i="8"/>
  <c r="O124" i="8"/>
  <c r="K124" i="8"/>
  <c r="J124" i="8"/>
  <c r="T123" i="8"/>
  <c r="R123" i="8"/>
  <c r="L123" i="8"/>
  <c r="K123" i="8"/>
  <c r="O123" i="8" s="1"/>
  <c r="J123" i="8"/>
  <c r="N123" i="8" s="1"/>
  <c r="Q123" i="8" s="1"/>
  <c r="V123" i="8" s="1"/>
  <c r="U122" i="8"/>
  <c r="Q122" i="8"/>
  <c r="O122" i="8"/>
  <c r="K122" i="8"/>
  <c r="J122" i="8"/>
  <c r="N122" i="8" s="1"/>
  <c r="O121" i="8"/>
  <c r="K121" i="8"/>
  <c r="L121" i="8" s="1"/>
  <c r="J121" i="8"/>
  <c r="N121" i="8" s="1"/>
  <c r="K120" i="8"/>
  <c r="O120" i="8" s="1"/>
  <c r="J120" i="8"/>
  <c r="N119" i="8"/>
  <c r="K119" i="8"/>
  <c r="O119" i="8" s="1"/>
  <c r="J119" i="8"/>
  <c r="L119" i="8" s="1"/>
  <c r="O118" i="8"/>
  <c r="N118" i="8"/>
  <c r="K118" i="8"/>
  <c r="J118" i="8"/>
  <c r="L118" i="8" s="1"/>
  <c r="O117" i="8"/>
  <c r="N117" i="8"/>
  <c r="K117" i="8"/>
  <c r="L117" i="8" s="1"/>
  <c r="J117" i="8"/>
  <c r="N116" i="8"/>
  <c r="L116" i="8"/>
  <c r="K116" i="8"/>
  <c r="O116" i="8" s="1"/>
  <c r="J116" i="8"/>
  <c r="T115" i="8"/>
  <c r="K115" i="8"/>
  <c r="O115" i="8" s="1"/>
  <c r="J115" i="8"/>
  <c r="N115" i="8" s="1"/>
  <c r="Q115" i="8" s="1"/>
  <c r="O114" i="8"/>
  <c r="K114" i="8"/>
  <c r="J114" i="8"/>
  <c r="N114" i="8" s="1"/>
  <c r="Q113" i="8"/>
  <c r="O113" i="8"/>
  <c r="N113" i="8"/>
  <c r="L113" i="8"/>
  <c r="K113" i="8"/>
  <c r="J113" i="8"/>
  <c r="O112" i="8"/>
  <c r="K112" i="8"/>
  <c r="J112" i="8"/>
  <c r="N111" i="8"/>
  <c r="K111" i="8"/>
  <c r="J111" i="8"/>
  <c r="O110" i="8"/>
  <c r="N110" i="8"/>
  <c r="K110" i="8"/>
  <c r="J110" i="8"/>
  <c r="L110" i="8" s="1"/>
  <c r="O109" i="8"/>
  <c r="N109" i="8"/>
  <c r="L109" i="8"/>
  <c r="K109" i="8"/>
  <c r="J109" i="8"/>
  <c r="O108" i="8"/>
  <c r="K108" i="8"/>
  <c r="J108" i="8"/>
  <c r="K107" i="8"/>
  <c r="O107" i="8" s="1"/>
  <c r="J107" i="8"/>
  <c r="O106" i="8"/>
  <c r="N106" i="8"/>
  <c r="K106" i="8"/>
  <c r="J106" i="8"/>
  <c r="L106" i="8" s="1"/>
  <c r="O105" i="8"/>
  <c r="N105" i="8"/>
  <c r="K105" i="8"/>
  <c r="J105" i="8"/>
  <c r="L105" i="8" s="1"/>
  <c r="Q104" i="8"/>
  <c r="V104" i="8" s="1"/>
  <c r="K104" i="8"/>
  <c r="O104" i="8" s="1"/>
  <c r="U104" i="8" s="1"/>
  <c r="J104" i="8"/>
  <c r="N104" i="8" s="1"/>
  <c r="T104" i="8" s="1"/>
  <c r="N103" i="8"/>
  <c r="K103" i="8"/>
  <c r="O103" i="8" s="1"/>
  <c r="J103" i="8"/>
  <c r="O102" i="8"/>
  <c r="K102" i="8"/>
  <c r="J102" i="8"/>
  <c r="N101" i="8"/>
  <c r="L101" i="8"/>
  <c r="K101" i="8"/>
  <c r="O101" i="8" s="1"/>
  <c r="J101" i="8"/>
  <c r="O100" i="8"/>
  <c r="L100" i="8"/>
  <c r="K100" i="8"/>
  <c r="J100" i="8"/>
  <c r="N100" i="8" s="1"/>
  <c r="Q99" i="8"/>
  <c r="N99" i="8"/>
  <c r="L99" i="8"/>
  <c r="K99" i="8"/>
  <c r="O99" i="8" s="1"/>
  <c r="J99" i="8"/>
  <c r="K98" i="8"/>
  <c r="O98" i="8" s="1"/>
  <c r="J98" i="8"/>
  <c r="N97" i="8"/>
  <c r="K97" i="8"/>
  <c r="O97" i="8" s="1"/>
  <c r="J97" i="8"/>
  <c r="L97" i="8" s="1"/>
  <c r="K96" i="8"/>
  <c r="O96" i="8" s="1"/>
  <c r="J96" i="8"/>
  <c r="N95" i="8"/>
  <c r="K95" i="8"/>
  <c r="O95" i="8" s="1"/>
  <c r="J95" i="8"/>
  <c r="L95" i="8" s="1"/>
  <c r="N94" i="8"/>
  <c r="L94" i="8"/>
  <c r="K94" i="8"/>
  <c r="O94" i="8" s="1"/>
  <c r="J94" i="8"/>
  <c r="T93" i="8"/>
  <c r="O93" i="8"/>
  <c r="N93" i="8"/>
  <c r="Q93" i="8" s="1"/>
  <c r="L93" i="8"/>
  <c r="R93" i="8" s="1"/>
  <c r="K93" i="8"/>
  <c r="J93" i="8"/>
  <c r="O92" i="8"/>
  <c r="K92" i="8"/>
  <c r="J92" i="8"/>
  <c r="L92" i="8" s="1"/>
  <c r="K91" i="8"/>
  <c r="O91" i="8" s="1"/>
  <c r="J91" i="8"/>
  <c r="U90" i="8"/>
  <c r="T90" i="8"/>
  <c r="R90" i="8"/>
  <c r="Q90" i="8"/>
  <c r="V90" i="8" s="1"/>
  <c r="O90" i="8"/>
  <c r="N90" i="8"/>
  <c r="K90" i="8"/>
  <c r="J90" i="8"/>
  <c r="L90" i="8" s="1"/>
  <c r="O89" i="8"/>
  <c r="K89" i="8"/>
  <c r="J89" i="8"/>
  <c r="O88" i="8"/>
  <c r="K88" i="8"/>
  <c r="L88" i="8" s="1"/>
  <c r="J88" i="8"/>
  <c r="N88" i="8" s="1"/>
  <c r="O87" i="8"/>
  <c r="K87" i="8"/>
  <c r="J87" i="8"/>
  <c r="N87" i="8" s="1"/>
  <c r="L86" i="8"/>
  <c r="K86" i="8"/>
  <c r="O86" i="8" s="1"/>
  <c r="J86" i="8"/>
  <c r="N86" i="8" s="1"/>
  <c r="N85" i="8"/>
  <c r="K85" i="8"/>
  <c r="J85" i="8"/>
  <c r="K84" i="8"/>
  <c r="O84" i="8" s="1"/>
  <c r="J84" i="8"/>
  <c r="K83" i="8"/>
  <c r="O83" i="8" s="1"/>
  <c r="J83" i="8"/>
  <c r="O82" i="8"/>
  <c r="K82" i="8"/>
  <c r="J82" i="8"/>
  <c r="O81" i="8"/>
  <c r="N81" i="8"/>
  <c r="K81" i="8"/>
  <c r="J81" i="8"/>
  <c r="L81" i="8" s="1"/>
  <c r="T80" i="8"/>
  <c r="Q80" i="8"/>
  <c r="V80" i="8" s="1"/>
  <c r="L80" i="8"/>
  <c r="K80" i="8"/>
  <c r="O80" i="8" s="1"/>
  <c r="J80" i="8"/>
  <c r="N80" i="8" s="1"/>
  <c r="O79" i="8"/>
  <c r="N79" i="8"/>
  <c r="K79" i="8"/>
  <c r="J79" i="8"/>
  <c r="L79" i="8" s="1"/>
  <c r="K78" i="8"/>
  <c r="O78" i="8" s="1"/>
  <c r="J78" i="8"/>
  <c r="L78" i="8" s="1"/>
  <c r="Q77" i="8"/>
  <c r="V77" i="8" s="1"/>
  <c r="O77" i="8"/>
  <c r="K77" i="8"/>
  <c r="L77" i="8" s="1"/>
  <c r="J77" i="8"/>
  <c r="N77" i="8" s="1"/>
  <c r="Q76" i="8"/>
  <c r="V76" i="8" s="1"/>
  <c r="O76" i="8"/>
  <c r="N76" i="8"/>
  <c r="L76" i="8"/>
  <c r="R76" i="8" s="1"/>
  <c r="K76" i="8"/>
  <c r="J76" i="8"/>
  <c r="N75" i="8"/>
  <c r="L75" i="8"/>
  <c r="K75" i="8"/>
  <c r="O75" i="8" s="1"/>
  <c r="J75" i="8"/>
  <c r="Q74" i="8"/>
  <c r="V74" i="8" s="1"/>
  <c r="O74" i="8"/>
  <c r="K74" i="8"/>
  <c r="L74" i="8" s="1"/>
  <c r="J74" i="8"/>
  <c r="N74" i="8" s="1"/>
  <c r="V73" i="8"/>
  <c r="Q73" i="8"/>
  <c r="T73" i="8" s="1"/>
  <c r="O73" i="8"/>
  <c r="N73" i="8"/>
  <c r="L73" i="8"/>
  <c r="R73" i="8" s="1"/>
  <c r="K73" i="8"/>
  <c r="J73" i="8"/>
  <c r="N72" i="8"/>
  <c r="L72" i="8"/>
  <c r="K72" i="8"/>
  <c r="O72" i="8" s="1"/>
  <c r="J72" i="8"/>
  <c r="O71" i="8"/>
  <c r="K71" i="8"/>
  <c r="L71" i="8" s="1"/>
  <c r="J71" i="8"/>
  <c r="N71" i="8" s="1"/>
  <c r="N70" i="8"/>
  <c r="K70" i="8"/>
  <c r="O70" i="8" s="1"/>
  <c r="J70" i="8"/>
  <c r="Q69" i="8"/>
  <c r="V69" i="8" s="1"/>
  <c r="O69" i="8"/>
  <c r="L69" i="8"/>
  <c r="K69" i="8"/>
  <c r="J69" i="8"/>
  <c r="N69" i="8" s="1"/>
  <c r="O68" i="8"/>
  <c r="N68" i="8"/>
  <c r="K68" i="8"/>
  <c r="J68" i="8"/>
  <c r="L68" i="8" s="1"/>
  <c r="Q67" i="8"/>
  <c r="V67" i="8" s="1"/>
  <c r="K67" i="8"/>
  <c r="O67" i="8" s="1"/>
  <c r="J67" i="8"/>
  <c r="N67" i="8" s="1"/>
  <c r="K66" i="8"/>
  <c r="O66" i="8" s="1"/>
  <c r="J66" i="8"/>
  <c r="V65" i="8"/>
  <c r="U65" i="8"/>
  <c r="O65" i="8"/>
  <c r="N65" i="8"/>
  <c r="Q65" i="8" s="1"/>
  <c r="L65" i="8"/>
  <c r="R65" i="8" s="1"/>
  <c r="K65" i="8"/>
  <c r="J65" i="8"/>
  <c r="L64" i="8"/>
  <c r="K64" i="8"/>
  <c r="O64" i="8" s="1"/>
  <c r="J64" i="8"/>
  <c r="N64" i="8" s="1"/>
  <c r="O63" i="8"/>
  <c r="N63" i="8"/>
  <c r="L63" i="8"/>
  <c r="K63" i="8"/>
  <c r="J63" i="8"/>
  <c r="U62" i="8"/>
  <c r="N62" i="8"/>
  <c r="Q62" i="8" s="1"/>
  <c r="V62" i="8" s="1"/>
  <c r="L62" i="8"/>
  <c r="K62" i="8"/>
  <c r="O62" i="8" s="1"/>
  <c r="J62" i="8"/>
  <c r="N61" i="8"/>
  <c r="K61" i="8"/>
  <c r="O61" i="8" s="1"/>
  <c r="J61" i="8"/>
  <c r="L61" i="8" s="1"/>
  <c r="N60" i="8"/>
  <c r="L60" i="8"/>
  <c r="R60" i="8" s="1"/>
  <c r="K60" i="8"/>
  <c r="O60" i="8" s="1"/>
  <c r="Q60" i="8" s="1"/>
  <c r="V60" i="8" s="1"/>
  <c r="J60" i="8"/>
  <c r="K59" i="8"/>
  <c r="O59" i="8" s="1"/>
  <c r="J59" i="8"/>
  <c r="N58" i="8"/>
  <c r="L58" i="8"/>
  <c r="K58" i="8"/>
  <c r="O58" i="8" s="1"/>
  <c r="J58" i="8"/>
  <c r="N57" i="8"/>
  <c r="K57" i="8"/>
  <c r="J57" i="8"/>
  <c r="N56" i="8"/>
  <c r="K56" i="8"/>
  <c r="J56" i="8"/>
  <c r="O55" i="8"/>
  <c r="K55" i="8"/>
  <c r="J55" i="8"/>
  <c r="N55" i="8" s="1"/>
  <c r="O54" i="8"/>
  <c r="L54" i="8"/>
  <c r="K54" i="8"/>
  <c r="J54" i="8"/>
  <c r="N54" i="8" s="1"/>
  <c r="T53" i="8"/>
  <c r="R53" i="8"/>
  <c r="Q53" i="8"/>
  <c r="O53" i="8"/>
  <c r="N53" i="8"/>
  <c r="K53" i="8"/>
  <c r="J53" i="8"/>
  <c r="L53" i="8" s="1"/>
  <c r="O52" i="8"/>
  <c r="L52" i="8"/>
  <c r="K52" i="8"/>
  <c r="J52" i="8"/>
  <c r="N52" i="8" s="1"/>
  <c r="O51" i="8"/>
  <c r="N51" i="8"/>
  <c r="K51" i="8"/>
  <c r="J51" i="8"/>
  <c r="L51" i="8" s="1"/>
  <c r="O50" i="8"/>
  <c r="K50" i="8"/>
  <c r="J50" i="8"/>
  <c r="N50" i="8" s="1"/>
  <c r="W49" i="8"/>
  <c r="U49" i="8"/>
  <c r="R49" i="8"/>
  <c r="Q49" i="8"/>
  <c r="V49" i="8" s="1"/>
  <c r="O49" i="8"/>
  <c r="N49" i="8"/>
  <c r="T49" i="8" s="1"/>
  <c r="K49" i="8"/>
  <c r="J49" i="8"/>
  <c r="L49" i="8" s="1"/>
  <c r="O48" i="8"/>
  <c r="K48" i="8"/>
  <c r="J48" i="8"/>
  <c r="O47" i="8"/>
  <c r="N47" i="8"/>
  <c r="K47" i="8"/>
  <c r="J47" i="8"/>
  <c r="L47" i="8" s="1"/>
  <c r="O46" i="8"/>
  <c r="L46" i="8"/>
  <c r="K46" i="8"/>
  <c r="J46" i="8"/>
  <c r="N46" i="8" s="1"/>
  <c r="O45" i="8"/>
  <c r="N45" i="8"/>
  <c r="K45" i="8"/>
  <c r="J45" i="8"/>
  <c r="L45" i="8" s="1"/>
  <c r="O44" i="8"/>
  <c r="K44" i="8"/>
  <c r="J44" i="8"/>
  <c r="O43" i="8"/>
  <c r="N43" i="8"/>
  <c r="K43" i="8"/>
  <c r="J43" i="8"/>
  <c r="L43" i="8" s="1"/>
  <c r="O42" i="8"/>
  <c r="N42" i="8"/>
  <c r="K42" i="8"/>
  <c r="J42" i="8"/>
  <c r="L42" i="8" s="1"/>
  <c r="O41" i="8"/>
  <c r="N41" i="8"/>
  <c r="K41" i="8"/>
  <c r="J41" i="8"/>
  <c r="L41" i="8" s="1"/>
  <c r="O40" i="8"/>
  <c r="N40" i="8"/>
  <c r="L40" i="8"/>
  <c r="K40" i="8"/>
  <c r="J40" i="8"/>
  <c r="O39" i="8"/>
  <c r="N39" i="8"/>
  <c r="Q39" i="8" s="1"/>
  <c r="K39" i="8"/>
  <c r="J39" i="8"/>
  <c r="L39" i="8" s="1"/>
  <c r="R39" i="8" s="1"/>
  <c r="O38" i="8"/>
  <c r="K38" i="8"/>
  <c r="J38" i="8"/>
  <c r="O37" i="8"/>
  <c r="N37" i="8"/>
  <c r="Q37" i="8" s="1"/>
  <c r="V37" i="8" s="1"/>
  <c r="K37" i="8"/>
  <c r="J37" i="8"/>
  <c r="L37" i="8" s="1"/>
  <c r="R37" i="8" s="1"/>
  <c r="O36" i="8"/>
  <c r="K36" i="8"/>
  <c r="J36" i="8"/>
  <c r="O35" i="8"/>
  <c r="N35" i="8"/>
  <c r="K35" i="8"/>
  <c r="J35" i="8"/>
  <c r="L35" i="8" s="1"/>
  <c r="O34" i="8"/>
  <c r="N34" i="8"/>
  <c r="L34" i="8"/>
  <c r="K34" i="8"/>
  <c r="J34" i="8"/>
  <c r="O33" i="8"/>
  <c r="N33" i="8"/>
  <c r="K33" i="8"/>
  <c r="J33" i="8"/>
  <c r="L33" i="8" s="1"/>
  <c r="O32" i="8"/>
  <c r="K32" i="8"/>
  <c r="J32" i="8"/>
  <c r="Q31" i="8"/>
  <c r="O31" i="8"/>
  <c r="N31" i="8"/>
  <c r="K31" i="8"/>
  <c r="J31" i="8"/>
  <c r="L31" i="8" s="1"/>
  <c r="O30" i="8"/>
  <c r="L30" i="8"/>
  <c r="K30" i="8"/>
  <c r="J30" i="8"/>
  <c r="N30" i="8" s="1"/>
  <c r="O29" i="8"/>
  <c r="N29" i="8"/>
  <c r="K29" i="8"/>
  <c r="J29" i="8"/>
  <c r="L29" i="8" s="1"/>
  <c r="O28" i="8"/>
  <c r="K28" i="8"/>
  <c r="J28" i="8"/>
  <c r="N28" i="8" s="1"/>
  <c r="U27" i="8"/>
  <c r="R27" i="8"/>
  <c r="Q27" i="8"/>
  <c r="V27" i="8" s="1"/>
  <c r="O27" i="8"/>
  <c r="N27" i="8"/>
  <c r="K27" i="8"/>
  <c r="J27" i="8"/>
  <c r="L27" i="8" s="1"/>
  <c r="O26" i="8"/>
  <c r="K26" i="8"/>
  <c r="J26" i="8"/>
  <c r="O25" i="8"/>
  <c r="N25" i="8"/>
  <c r="K25" i="8"/>
  <c r="J25" i="8"/>
  <c r="L25" i="8" s="1"/>
  <c r="O24" i="8"/>
  <c r="K24" i="8"/>
  <c r="J24" i="8"/>
  <c r="O23" i="8"/>
  <c r="N23" i="8"/>
  <c r="K23" i="8"/>
  <c r="J23" i="8"/>
  <c r="L23" i="8" s="1"/>
  <c r="O22" i="8"/>
  <c r="K22" i="8"/>
  <c r="J22" i="8"/>
  <c r="N22" i="8" s="1"/>
  <c r="O21" i="8"/>
  <c r="N21" i="8"/>
  <c r="K21" i="8"/>
  <c r="J21" i="8"/>
  <c r="L21" i="8" s="1"/>
  <c r="O20" i="8"/>
  <c r="N20" i="8"/>
  <c r="K20" i="8"/>
  <c r="J20" i="8"/>
  <c r="L20" i="8" s="1"/>
  <c r="O19" i="8"/>
  <c r="N19" i="8"/>
  <c r="K19" i="8"/>
  <c r="J19" i="8"/>
  <c r="L19" i="8" s="1"/>
  <c r="O18" i="8"/>
  <c r="N18" i="8"/>
  <c r="L18" i="8"/>
  <c r="K18" i="8"/>
  <c r="J18" i="8"/>
  <c r="O17" i="8"/>
  <c r="N17" i="8"/>
  <c r="Q17" i="8" s="1"/>
  <c r="K17" i="8"/>
  <c r="J17" i="8"/>
  <c r="L17" i="8" s="1"/>
  <c r="O16" i="8"/>
  <c r="K16" i="8"/>
  <c r="J16" i="8"/>
  <c r="L16" i="8" s="1"/>
  <c r="U15" i="8"/>
  <c r="O15" i="8"/>
  <c r="N15" i="8"/>
  <c r="Q15" i="8" s="1"/>
  <c r="V15" i="8" s="1"/>
  <c r="K15" i="8"/>
  <c r="J15" i="8"/>
  <c r="L15" i="8" s="1"/>
  <c r="R15" i="8" s="1"/>
  <c r="O14" i="8"/>
  <c r="K14" i="8"/>
  <c r="J14" i="8"/>
  <c r="O13" i="8"/>
  <c r="N13" i="8"/>
  <c r="K13" i="8"/>
  <c r="J13" i="8"/>
  <c r="L13" i="8" s="1"/>
  <c r="O12" i="8"/>
  <c r="N12" i="8"/>
  <c r="L12" i="8"/>
  <c r="K12" i="8"/>
  <c r="J12" i="8"/>
  <c r="Q11" i="8"/>
  <c r="O11" i="8"/>
  <c r="N11" i="8"/>
  <c r="K11" i="8"/>
  <c r="J11" i="8"/>
  <c r="L11" i="8" s="1"/>
  <c r="O10" i="8"/>
  <c r="K10" i="8"/>
  <c r="J10" i="8"/>
  <c r="L10" i="8" s="1"/>
  <c r="Q9" i="8"/>
  <c r="O9" i="8"/>
  <c r="N9" i="8"/>
  <c r="K9" i="8"/>
  <c r="J9" i="8"/>
  <c r="L9" i="8" s="1"/>
  <c r="O8" i="8"/>
  <c r="L8" i="8"/>
  <c r="K8" i="8"/>
  <c r="J8" i="8"/>
  <c r="N8" i="8" s="1"/>
  <c r="O7" i="8"/>
  <c r="Q7" i="8" s="1"/>
  <c r="N7" i="8"/>
  <c r="K7" i="8"/>
  <c r="J7" i="8"/>
  <c r="L7" i="8" s="1"/>
  <c r="R7" i="8" s="1"/>
  <c r="O6" i="8"/>
  <c r="K6" i="8"/>
  <c r="J6" i="8"/>
  <c r="N6" i="8" s="1"/>
  <c r="Q5" i="8"/>
  <c r="O5" i="8"/>
  <c r="N5" i="8"/>
  <c r="K5" i="8"/>
  <c r="J5" i="8"/>
  <c r="L5" i="8" s="1"/>
  <c r="O4" i="8"/>
  <c r="K4" i="8"/>
  <c r="J4" i="8"/>
  <c r="L3" i="8"/>
  <c r="I3" i="8"/>
  <c r="G3" i="8"/>
  <c r="D3" i="8"/>
  <c r="G553" i="7"/>
  <c r="G552" i="7"/>
  <c r="G551" i="7"/>
  <c r="G550" i="7"/>
  <c r="G549" i="7"/>
  <c r="G548" i="7"/>
  <c r="G547" i="7"/>
  <c r="G546" i="7"/>
  <c r="G545" i="7"/>
  <c r="G544" i="7"/>
  <c r="G543" i="7"/>
  <c r="G542" i="7"/>
  <c r="J541" i="7"/>
  <c r="J553" i="7" s="1"/>
  <c r="I541" i="7"/>
  <c r="I553" i="7" s="1"/>
  <c r="G541" i="7"/>
  <c r="J540" i="7"/>
  <c r="J552" i="7" s="1"/>
  <c r="I540" i="7"/>
  <c r="G540" i="7"/>
  <c r="J539" i="7"/>
  <c r="J551" i="7" s="1"/>
  <c r="I539" i="7"/>
  <c r="I551" i="7" s="1"/>
  <c r="G539" i="7"/>
  <c r="J538" i="7"/>
  <c r="J550" i="7" s="1"/>
  <c r="I538" i="7"/>
  <c r="I550" i="7" s="1"/>
  <c r="G538" i="7"/>
  <c r="J537" i="7"/>
  <c r="J549" i="7" s="1"/>
  <c r="I537" i="7"/>
  <c r="I549" i="7" s="1"/>
  <c r="G537" i="7"/>
  <c r="J536" i="7"/>
  <c r="J548" i="7" s="1"/>
  <c r="I536" i="7"/>
  <c r="I548" i="7" s="1"/>
  <c r="G536" i="7"/>
  <c r="J535" i="7"/>
  <c r="I535" i="7"/>
  <c r="I547" i="7" s="1"/>
  <c r="G535" i="7"/>
  <c r="J534" i="7"/>
  <c r="J546" i="7" s="1"/>
  <c r="I534" i="7"/>
  <c r="I546" i="7" s="1"/>
  <c r="G534" i="7"/>
  <c r="J533" i="7"/>
  <c r="J545" i="7" s="1"/>
  <c r="I533" i="7"/>
  <c r="I545" i="7" s="1"/>
  <c r="G533" i="7"/>
  <c r="J532" i="7"/>
  <c r="J544" i="7" s="1"/>
  <c r="I532" i="7"/>
  <c r="G532" i="7"/>
  <c r="J531" i="7"/>
  <c r="J543" i="7" s="1"/>
  <c r="I531" i="7"/>
  <c r="I543" i="7" s="1"/>
  <c r="G531" i="7"/>
  <c r="J530" i="7"/>
  <c r="J542" i="7" s="1"/>
  <c r="I530" i="7"/>
  <c r="G530" i="7"/>
  <c r="J529" i="7"/>
  <c r="I529" i="7"/>
  <c r="G529" i="7"/>
  <c r="J528" i="7"/>
  <c r="I528" i="7"/>
  <c r="G528" i="7"/>
  <c r="J527" i="7"/>
  <c r="I527" i="7"/>
  <c r="G527" i="7"/>
  <c r="J526" i="7"/>
  <c r="I526" i="7"/>
  <c r="G526" i="7"/>
  <c r="J525" i="7"/>
  <c r="I525" i="7"/>
  <c r="G525" i="7"/>
  <c r="J524" i="7"/>
  <c r="I524" i="7"/>
  <c r="G524" i="7"/>
  <c r="J523" i="7"/>
  <c r="I523" i="7"/>
  <c r="G523" i="7"/>
  <c r="J522" i="7"/>
  <c r="I522" i="7"/>
  <c r="G522" i="7"/>
  <c r="J521" i="7"/>
  <c r="I521" i="7"/>
  <c r="G521" i="7"/>
  <c r="J520" i="7"/>
  <c r="I520" i="7"/>
  <c r="G520" i="7"/>
  <c r="J519" i="7"/>
  <c r="I519" i="7"/>
  <c r="G519" i="7"/>
  <c r="J518" i="7"/>
  <c r="I518" i="7"/>
  <c r="G518" i="7"/>
  <c r="J517" i="7"/>
  <c r="I517" i="7"/>
  <c r="G517" i="7"/>
  <c r="J516" i="7"/>
  <c r="I516" i="7"/>
  <c r="G516" i="7"/>
  <c r="J515" i="7"/>
  <c r="I515" i="7"/>
  <c r="G515" i="7"/>
  <c r="J514" i="7"/>
  <c r="I514" i="7"/>
  <c r="G514" i="7"/>
  <c r="J513" i="7"/>
  <c r="I513" i="7"/>
  <c r="G513" i="7"/>
  <c r="J512" i="7"/>
  <c r="I512" i="7"/>
  <c r="K512" i="7" s="1"/>
  <c r="L512" i="7" s="1"/>
  <c r="G512" i="7"/>
  <c r="J511" i="7"/>
  <c r="I511" i="7"/>
  <c r="G511" i="7"/>
  <c r="J510" i="7"/>
  <c r="I510" i="7"/>
  <c r="G510" i="7"/>
  <c r="J509" i="7"/>
  <c r="I509" i="7"/>
  <c r="G509" i="7"/>
  <c r="J508" i="7"/>
  <c r="I508" i="7"/>
  <c r="G508" i="7"/>
  <c r="J507" i="7"/>
  <c r="I507" i="7"/>
  <c r="G507" i="7"/>
  <c r="J506" i="7"/>
  <c r="I506" i="7"/>
  <c r="G506" i="7"/>
  <c r="J505" i="7"/>
  <c r="I505" i="7"/>
  <c r="G505" i="7"/>
  <c r="J504" i="7"/>
  <c r="I504" i="7"/>
  <c r="G504" i="7"/>
  <c r="J503" i="7"/>
  <c r="I503" i="7"/>
  <c r="G503" i="7"/>
  <c r="J502" i="7"/>
  <c r="I502" i="7"/>
  <c r="G502" i="7"/>
  <c r="J501" i="7"/>
  <c r="I501" i="7"/>
  <c r="G501" i="7"/>
  <c r="J500" i="7"/>
  <c r="I500" i="7"/>
  <c r="G500" i="7"/>
  <c r="J499" i="7"/>
  <c r="I499" i="7"/>
  <c r="G499" i="7"/>
  <c r="J498" i="7"/>
  <c r="I498" i="7"/>
  <c r="G498" i="7"/>
  <c r="J497" i="7"/>
  <c r="I497" i="7"/>
  <c r="G497" i="7"/>
  <c r="J496" i="7"/>
  <c r="I496" i="7"/>
  <c r="G496" i="7"/>
  <c r="J495" i="7"/>
  <c r="I495" i="7"/>
  <c r="G495" i="7"/>
  <c r="J494" i="7"/>
  <c r="I494" i="7"/>
  <c r="G494" i="7"/>
  <c r="J493" i="7"/>
  <c r="I493" i="7"/>
  <c r="G493" i="7"/>
  <c r="J492" i="7"/>
  <c r="I492" i="7"/>
  <c r="G492" i="7"/>
  <c r="J491" i="7"/>
  <c r="K491" i="7" s="1"/>
  <c r="L491" i="7" s="1"/>
  <c r="I491" i="7"/>
  <c r="G491" i="7"/>
  <c r="J490" i="7"/>
  <c r="I490" i="7"/>
  <c r="G490" i="7"/>
  <c r="J489" i="7"/>
  <c r="I489" i="7"/>
  <c r="G489" i="7"/>
  <c r="J488" i="7"/>
  <c r="I488" i="7"/>
  <c r="G488" i="7"/>
  <c r="J487" i="7"/>
  <c r="I487" i="7"/>
  <c r="G487" i="7"/>
  <c r="J486" i="7"/>
  <c r="I486" i="7"/>
  <c r="G486" i="7"/>
  <c r="J485" i="7"/>
  <c r="I485" i="7"/>
  <c r="G485" i="7"/>
  <c r="J484" i="7"/>
  <c r="I484" i="7"/>
  <c r="G484" i="7"/>
  <c r="J483" i="7"/>
  <c r="I483" i="7"/>
  <c r="G483" i="7"/>
  <c r="J482" i="7"/>
  <c r="I482" i="7"/>
  <c r="G482" i="7"/>
  <c r="J481" i="7"/>
  <c r="I481" i="7"/>
  <c r="G481" i="7"/>
  <c r="J480" i="7"/>
  <c r="I480" i="7"/>
  <c r="G480" i="7"/>
  <c r="J479" i="7"/>
  <c r="I479" i="7"/>
  <c r="G479" i="7"/>
  <c r="J478" i="7"/>
  <c r="I478" i="7"/>
  <c r="G478" i="7"/>
  <c r="J477" i="7"/>
  <c r="I477" i="7"/>
  <c r="G477" i="7"/>
  <c r="J476" i="7"/>
  <c r="I476" i="7"/>
  <c r="K476" i="7" s="1"/>
  <c r="L476" i="7" s="1"/>
  <c r="G476" i="7"/>
  <c r="J475" i="7"/>
  <c r="I475" i="7"/>
  <c r="G475" i="7"/>
  <c r="J474" i="7"/>
  <c r="I474" i="7"/>
  <c r="G474" i="7"/>
  <c r="J473" i="7"/>
  <c r="I473" i="7"/>
  <c r="G473" i="7"/>
  <c r="J472" i="7"/>
  <c r="I472" i="7"/>
  <c r="G472" i="7"/>
  <c r="J471" i="7"/>
  <c r="I471" i="7"/>
  <c r="G471" i="7"/>
  <c r="J470" i="7"/>
  <c r="I470" i="7"/>
  <c r="G470" i="7"/>
  <c r="J469" i="7"/>
  <c r="I469" i="7"/>
  <c r="G469" i="7"/>
  <c r="J468" i="7"/>
  <c r="I468" i="7"/>
  <c r="G468" i="7"/>
  <c r="J467" i="7"/>
  <c r="I467" i="7"/>
  <c r="G467" i="7"/>
  <c r="J466" i="7"/>
  <c r="I466" i="7"/>
  <c r="G466" i="7"/>
  <c r="J465" i="7"/>
  <c r="I465" i="7"/>
  <c r="G465" i="7"/>
  <c r="J464" i="7"/>
  <c r="I464" i="7"/>
  <c r="G464" i="7"/>
  <c r="J463" i="7"/>
  <c r="I463" i="7"/>
  <c r="G463" i="7"/>
  <c r="J462" i="7"/>
  <c r="I462" i="7"/>
  <c r="G462" i="7"/>
  <c r="J461" i="7"/>
  <c r="K461" i="7" s="1"/>
  <c r="L461" i="7" s="1"/>
  <c r="I461" i="7"/>
  <c r="G461" i="7"/>
  <c r="J460" i="7"/>
  <c r="I460" i="7"/>
  <c r="G460" i="7"/>
  <c r="J459" i="7"/>
  <c r="I459" i="7"/>
  <c r="G459" i="7"/>
  <c r="J458" i="7"/>
  <c r="I458" i="7"/>
  <c r="G458" i="7"/>
  <c r="J457" i="7"/>
  <c r="I457" i="7"/>
  <c r="G457" i="7"/>
  <c r="J456" i="7"/>
  <c r="I456" i="7"/>
  <c r="G456" i="7"/>
  <c r="J455" i="7"/>
  <c r="I455" i="7"/>
  <c r="G455" i="7"/>
  <c r="J454" i="7"/>
  <c r="I454" i="7"/>
  <c r="G454" i="7"/>
  <c r="J453" i="7"/>
  <c r="I453" i="7"/>
  <c r="K453" i="7" s="1"/>
  <c r="L453" i="7" s="1"/>
  <c r="G453" i="7"/>
  <c r="J452" i="7"/>
  <c r="I452" i="7"/>
  <c r="G452" i="7"/>
  <c r="J451" i="7"/>
  <c r="I451" i="7"/>
  <c r="G451" i="7"/>
  <c r="J450" i="7"/>
  <c r="I450" i="7"/>
  <c r="G450" i="7"/>
  <c r="J449" i="7"/>
  <c r="I449" i="7"/>
  <c r="G449" i="7"/>
  <c r="J448" i="7"/>
  <c r="I448" i="7"/>
  <c r="G448" i="7"/>
  <c r="J447" i="7"/>
  <c r="I447" i="7"/>
  <c r="G447" i="7"/>
  <c r="J446" i="7"/>
  <c r="I446" i="7"/>
  <c r="G446" i="7"/>
  <c r="J445" i="7"/>
  <c r="I445" i="7"/>
  <c r="G445" i="7"/>
  <c r="J444" i="7"/>
  <c r="I444" i="7"/>
  <c r="G444" i="7"/>
  <c r="J443" i="7"/>
  <c r="I443" i="7"/>
  <c r="G443" i="7"/>
  <c r="J442" i="7"/>
  <c r="I442" i="7"/>
  <c r="G442" i="7"/>
  <c r="J441" i="7"/>
  <c r="I441" i="7"/>
  <c r="G441" i="7"/>
  <c r="J440" i="7"/>
  <c r="I440" i="7"/>
  <c r="G440" i="7"/>
  <c r="J439" i="7"/>
  <c r="I439" i="7"/>
  <c r="G439" i="7"/>
  <c r="J438" i="7"/>
  <c r="I438" i="7"/>
  <c r="G438" i="7"/>
  <c r="J437" i="7"/>
  <c r="I437" i="7"/>
  <c r="G437" i="7"/>
  <c r="J436" i="7"/>
  <c r="I436" i="7"/>
  <c r="G436" i="7"/>
  <c r="J435" i="7"/>
  <c r="I435" i="7"/>
  <c r="G435" i="7"/>
  <c r="J434" i="7"/>
  <c r="I434" i="7"/>
  <c r="G434" i="7"/>
  <c r="J433" i="7"/>
  <c r="I433" i="7"/>
  <c r="G433" i="7"/>
  <c r="J432" i="7"/>
  <c r="I432" i="7"/>
  <c r="G432" i="7"/>
  <c r="J431" i="7"/>
  <c r="I431" i="7"/>
  <c r="G431" i="7"/>
  <c r="J430" i="7"/>
  <c r="I430" i="7"/>
  <c r="G430" i="7"/>
  <c r="J429" i="7"/>
  <c r="I429" i="7"/>
  <c r="G429" i="7"/>
  <c r="J428" i="7"/>
  <c r="I428" i="7"/>
  <c r="G428" i="7"/>
  <c r="J427" i="7"/>
  <c r="I427" i="7"/>
  <c r="G427" i="7"/>
  <c r="J426" i="7"/>
  <c r="I426" i="7"/>
  <c r="G426" i="7"/>
  <c r="J425" i="7"/>
  <c r="I425" i="7"/>
  <c r="G425" i="7"/>
  <c r="J424" i="7"/>
  <c r="I424" i="7"/>
  <c r="G424" i="7"/>
  <c r="J423" i="7"/>
  <c r="I423" i="7"/>
  <c r="G423" i="7"/>
  <c r="J422" i="7"/>
  <c r="I422" i="7"/>
  <c r="G422" i="7"/>
  <c r="J421" i="7"/>
  <c r="I421" i="7"/>
  <c r="G421" i="7"/>
  <c r="J420" i="7"/>
  <c r="I420" i="7"/>
  <c r="G420" i="7"/>
  <c r="J419" i="7"/>
  <c r="I419" i="7"/>
  <c r="G419" i="7"/>
  <c r="J418" i="7"/>
  <c r="I418" i="7"/>
  <c r="G418" i="7"/>
  <c r="J417" i="7"/>
  <c r="I417" i="7"/>
  <c r="G417" i="7"/>
  <c r="J416" i="7"/>
  <c r="I416" i="7"/>
  <c r="G416" i="7"/>
  <c r="J415" i="7"/>
  <c r="I415" i="7"/>
  <c r="G415" i="7"/>
  <c r="J414" i="7"/>
  <c r="I414" i="7"/>
  <c r="G414" i="7"/>
  <c r="J413" i="7"/>
  <c r="I413" i="7"/>
  <c r="G413" i="7"/>
  <c r="J412" i="7"/>
  <c r="I412" i="7"/>
  <c r="G412" i="7"/>
  <c r="J411" i="7"/>
  <c r="I411" i="7"/>
  <c r="G411" i="7"/>
  <c r="J410" i="7"/>
  <c r="I410" i="7"/>
  <c r="G410" i="7"/>
  <c r="J409" i="7"/>
  <c r="I409" i="7"/>
  <c r="G409" i="7"/>
  <c r="J408" i="7"/>
  <c r="I408" i="7"/>
  <c r="G408" i="7"/>
  <c r="J407" i="7"/>
  <c r="I407" i="7"/>
  <c r="G407" i="7"/>
  <c r="J406" i="7"/>
  <c r="I406" i="7"/>
  <c r="G406" i="7"/>
  <c r="J405" i="7"/>
  <c r="I405" i="7"/>
  <c r="G405" i="7"/>
  <c r="J404" i="7"/>
  <c r="I404" i="7"/>
  <c r="G404" i="7"/>
  <c r="J403" i="7"/>
  <c r="I403" i="7"/>
  <c r="K403" i="7" s="1"/>
  <c r="L403" i="7" s="1"/>
  <c r="G403" i="7"/>
  <c r="J402" i="7"/>
  <c r="I402" i="7"/>
  <c r="G402" i="7"/>
  <c r="J401" i="7"/>
  <c r="I401" i="7"/>
  <c r="G401" i="7"/>
  <c r="J400" i="7"/>
  <c r="I400" i="7"/>
  <c r="G400" i="7"/>
  <c r="J399" i="7"/>
  <c r="I399" i="7"/>
  <c r="G399" i="7"/>
  <c r="J398" i="7"/>
  <c r="I398" i="7"/>
  <c r="G398" i="7"/>
  <c r="J397" i="7"/>
  <c r="I397" i="7"/>
  <c r="G397" i="7"/>
  <c r="J396" i="7"/>
  <c r="I396" i="7"/>
  <c r="G396" i="7"/>
  <c r="J395" i="7"/>
  <c r="I395" i="7"/>
  <c r="G395" i="7"/>
  <c r="J394" i="7"/>
  <c r="I394" i="7"/>
  <c r="G394" i="7"/>
  <c r="J393" i="7"/>
  <c r="I393" i="7"/>
  <c r="G393" i="7"/>
  <c r="J392" i="7"/>
  <c r="I392" i="7"/>
  <c r="G392" i="7"/>
  <c r="J391" i="7"/>
  <c r="I391" i="7"/>
  <c r="G391" i="7"/>
  <c r="J390" i="7"/>
  <c r="I390" i="7"/>
  <c r="G390" i="7"/>
  <c r="J389" i="7"/>
  <c r="I389" i="7"/>
  <c r="G389" i="7"/>
  <c r="J388" i="7"/>
  <c r="I388" i="7"/>
  <c r="G388" i="7"/>
  <c r="J387" i="7"/>
  <c r="I387" i="7"/>
  <c r="G387" i="7"/>
  <c r="J386" i="7"/>
  <c r="I386" i="7"/>
  <c r="G386" i="7"/>
  <c r="J385" i="7"/>
  <c r="I385" i="7"/>
  <c r="G385" i="7"/>
  <c r="J384" i="7"/>
  <c r="I384" i="7"/>
  <c r="G384" i="7"/>
  <c r="J383" i="7"/>
  <c r="I383" i="7"/>
  <c r="G383" i="7"/>
  <c r="J382" i="7"/>
  <c r="K382" i="7" s="1"/>
  <c r="L382" i="7" s="1"/>
  <c r="I382" i="7"/>
  <c r="G382" i="7"/>
  <c r="J381" i="7"/>
  <c r="I381" i="7"/>
  <c r="K381" i="7" s="1"/>
  <c r="L381" i="7" s="1"/>
  <c r="G381" i="7"/>
  <c r="J380" i="7"/>
  <c r="I380" i="7"/>
  <c r="G380" i="7"/>
  <c r="J379" i="7"/>
  <c r="I379" i="7"/>
  <c r="G379" i="7"/>
  <c r="J378" i="7"/>
  <c r="I378" i="7"/>
  <c r="G378" i="7"/>
  <c r="J377" i="7"/>
  <c r="I377" i="7"/>
  <c r="G377" i="7"/>
  <c r="J376" i="7"/>
  <c r="I376" i="7"/>
  <c r="G376" i="7"/>
  <c r="J375" i="7"/>
  <c r="I375" i="7"/>
  <c r="G375" i="7"/>
  <c r="J374" i="7"/>
  <c r="I374" i="7"/>
  <c r="G374" i="7"/>
  <c r="J373" i="7"/>
  <c r="I373" i="7"/>
  <c r="G373" i="7"/>
  <c r="J372" i="7"/>
  <c r="I372" i="7"/>
  <c r="G372" i="7"/>
  <c r="J371" i="7"/>
  <c r="I371" i="7"/>
  <c r="G371" i="7"/>
  <c r="J370" i="7"/>
  <c r="I370" i="7"/>
  <c r="G370" i="7"/>
  <c r="J369" i="7"/>
  <c r="I369" i="7"/>
  <c r="G369" i="7"/>
  <c r="J368" i="7"/>
  <c r="I368" i="7"/>
  <c r="G368" i="7"/>
  <c r="J367" i="7"/>
  <c r="I367" i="7"/>
  <c r="G367" i="7"/>
  <c r="J366" i="7"/>
  <c r="I366" i="7"/>
  <c r="G366" i="7"/>
  <c r="J365" i="7"/>
  <c r="I365" i="7"/>
  <c r="G365" i="7"/>
  <c r="J364" i="7"/>
  <c r="I364" i="7"/>
  <c r="G364" i="7"/>
  <c r="J363" i="7"/>
  <c r="I363" i="7"/>
  <c r="G363" i="7"/>
  <c r="J362" i="7"/>
  <c r="I362" i="7"/>
  <c r="G362" i="7"/>
  <c r="J361" i="7"/>
  <c r="I361" i="7"/>
  <c r="G361" i="7"/>
  <c r="J360" i="7"/>
  <c r="I360" i="7"/>
  <c r="G360" i="7"/>
  <c r="J359" i="7"/>
  <c r="I359" i="7"/>
  <c r="G359" i="7"/>
  <c r="J358" i="7"/>
  <c r="I358" i="7"/>
  <c r="G358" i="7"/>
  <c r="J357" i="7"/>
  <c r="I357" i="7"/>
  <c r="G357" i="7"/>
  <c r="J356" i="7"/>
  <c r="I356" i="7"/>
  <c r="G356" i="7"/>
  <c r="J355" i="7"/>
  <c r="I355" i="7"/>
  <c r="G355" i="7"/>
  <c r="J354" i="7"/>
  <c r="I354" i="7"/>
  <c r="G354" i="7"/>
  <c r="J353" i="7"/>
  <c r="I353" i="7"/>
  <c r="G353" i="7"/>
  <c r="J352" i="7"/>
  <c r="I352" i="7"/>
  <c r="G352" i="7"/>
  <c r="J351" i="7"/>
  <c r="I351" i="7"/>
  <c r="G351" i="7"/>
  <c r="J350" i="7"/>
  <c r="I350" i="7"/>
  <c r="G350" i="7"/>
  <c r="J349" i="7"/>
  <c r="I349" i="7"/>
  <c r="G349" i="7"/>
  <c r="J348" i="7"/>
  <c r="I348" i="7"/>
  <c r="G348" i="7"/>
  <c r="J347" i="7"/>
  <c r="I347" i="7"/>
  <c r="G347" i="7"/>
  <c r="J346" i="7"/>
  <c r="I346" i="7"/>
  <c r="G346" i="7"/>
  <c r="J345" i="7"/>
  <c r="I345" i="7"/>
  <c r="G345" i="7"/>
  <c r="J344" i="7"/>
  <c r="I344" i="7"/>
  <c r="G344" i="7"/>
  <c r="J343" i="7"/>
  <c r="I343" i="7"/>
  <c r="G343" i="7"/>
  <c r="J342" i="7"/>
  <c r="I342" i="7"/>
  <c r="G342" i="7"/>
  <c r="J341" i="7"/>
  <c r="I341" i="7"/>
  <c r="G341" i="7"/>
  <c r="J340" i="7"/>
  <c r="I340" i="7"/>
  <c r="G340" i="7"/>
  <c r="J339" i="7"/>
  <c r="I339" i="7"/>
  <c r="G339" i="7"/>
  <c r="J338" i="7"/>
  <c r="K338" i="7" s="1"/>
  <c r="I338" i="7"/>
  <c r="G338" i="7"/>
  <c r="J337" i="7"/>
  <c r="I337" i="7"/>
  <c r="G337" i="7"/>
  <c r="J336" i="7"/>
  <c r="I336" i="7"/>
  <c r="G336" i="7"/>
  <c r="J335" i="7"/>
  <c r="I335" i="7"/>
  <c r="G335" i="7"/>
  <c r="J334" i="7"/>
  <c r="I334" i="7"/>
  <c r="G334" i="7"/>
  <c r="J333" i="7"/>
  <c r="I333" i="7"/>
  <c r="G333" i="7"/>
  <c r="J332" i="7"/>
  <c r="I332" i="7"/>
  <c r="G332" i="7"/>
  <c r="J331" i="7"/>
  <c r="I331" i="7"/>
  <c r="G331" i="7"/>
  <c r="J330" i="7"/>
  <c r="I330" i="7"/>
  <c r="G330" i="7"/>
  <c r="J329" i="7"/>
  <c r="I329" i="7"/>
  <c r="G329" i="7"/>
  <c r="J328" i="7"/>
  <c r="I328" i="7"/>
  <c r="G328" i="7"/>
  <c r="J327" i="7"/>
  <c r="I327" i="7"/>
  <c r="G327" i="7"/>
  <c r="J326" i="7"/>
  <c r="I326" i="7"/>
  <c r="G326" i="7"/>
  <c r="J325" i="7"/>
  <c r="I325" i="7"/>
  <c r="G325" i="7"/>
  <c r="J324" i="7"/>
  <c r="I324" i="7"/>
  <c r="G324" i="7"/>
  <c r="J323" i="7"/>
  <c r="I323" i="7"/>
  <c r="G323" i="7"/>
  <c r="J322" i="7"/>
  <c r="I322" i="7"/>
  <c r="G322" i="7"/>
  <c r="J321" i="7"/>
  <c r="I321" i="7"/>
  <c r="G321" i="7"/>
  <c r="J320" i="7"/>
  <c r="I320" i="7"/>
  <c r="G320" i="7"/>
  <c r="J319" i="7"/>
  <c r="I319" i="7"/>
  <c r="G319" i="7"/>
  <c r="J318" i="7"/>
  <c r="I318" i="7"/>
  <c r="G318" i="7"/>
  <c r="J317" i="7"/>
  <c r="I317" i="7"/>
  <c r="G317" i="7"/>
  <c r="J316" i="7"/>
  <c r="I316" i="7"/>
  <c r="G316" i="7"/>
  <c r="J315" i="7"/>
  <c r="I315" i="7"/>
  <c r="G315" i="7"/>
  <c r="J314" i="7"/>
  <c r="I314" i="7"/>
  <c r="G314" i="7"/>
  <c r="J313" i="7"/>
  <c r="I313" i="7"/>
  <c r="G313" i="7"/>
  <c r="J312" i="7"/>
  <c r="I312" i="7"/>
  <c r="G312" i="7"/>
  <c r="J311" i="7"/>
  <c r="I311" i="7"/>
  <c r="G311" i="7"/>
  <c r="J310" i="7"/>
  <c r="I310" i="7"/>
  <c r="G310" i="7"/>
  <c r="J309" i="7"/>
  <c r="I309" i="7"/>
  <c r="K309" i="7" s="1"/>
  <c r="L309" i="7" s="1"/>
  <c r="G309" i="7"/>
  <c r="J308" i="7"/>
  <c r="I308" i="7"/>
  <c r="G308" i="7"/>
  <c r="J307" i="7"/>
  <c r="I307" i="7"/>
  <c r="G307" i="7"/>
  <c r="J306" i="7"/>
  <c r="I306" i="7"/>
  <c r="G306" i="7"/>
  <c r="J305" i="7"/>
  <c r="I305" i="7"/>
  <c r="G305" i="7"/>
  <c r="J304" i="7"/>
  <c r="I304" i="7"/>
  <c r="G304" i="7"/>
  <c r="J303" i="7"/>
  <c r="I303" i="7"/>
  <c r="G303" i="7"/>
  <c r="J302" i="7"/>
  <c r="I302" i="7"/>
  <c r="G302" i="7"/>
  <c r="J301" i="7"/>
  <c r="I301" i="7"/>
  <c r="G301" i="7"/>
  <c r="J300" i="7"/>
  <c r="I300" i="7"/>
  <c r="G300" i="7"/>
  <c r="J299" i="7"/>
  <c r="I299" i="7"/>
  <c r="G299" i="7"/>
  <c r="J298" i="7"/>
  <c r="I298" i="7"/>
  <c r="G298" i="7"/>
  <c r="J297" i="7"/>
  <c r="I297" i="7"/>
  <c r="G297" i="7"/>
  <c r="J296" i="7"/>
  <c r="I296" i="7"/>
  <c r="G296" i="7"/>
  <c r="J295" i="7"/>
  <c r="I295" i="7"/>
  <c r="G295" i="7"/>
  <c r="J294" i="7"/>
  <c r="I294" i="7"/>
  <c r="G294" i="7"/>
  <c r="J293" i="7"/>
  <c r="I293" i="7"/>
  <c r="G293" i="7"/>
  <c r="J292" i="7"/>
  <c r="I292" i="7"/>
  <c r="G292" i="7"/>
  <c r="J291" i="7"/>
  <c r="I291" i="7"/>
  <c r="G291" i="7"/>
  <c r="J290" i="7"/>
  <c r="I290" i="7"/>
  <c r="G290" i="7"/>
  <c r="J289" i="7"/>
  <c r="I289" i="7"/>
  <c r="G289" i="7"/>
  <c r="J288" i="7"/>
  <c r="I288" i="7"/>
  <c r="G288" i="7"/>
  <c r="J287" i="7"/>
  <c r="I287" i="7"/>
  <c r="G287" i="7"/>
  <c r="J286" i="7"/>
  <c r="I286" i="7"/>
  <c r="G286" i="7"/>
  <c r="J285" i="7"/>
  <c r="I285" i="7"/>
  <c r="G285" i="7"/>
  <c r="J284" i="7"/>
  <c r="I284" i="7"/>
  <c r="G284" i="7"/>
  <c r="J283" i="7"/>
  <c r="I283" i="7"/>
  <c r="K283" i="7" s="1"/>
  <c r="L283" i="7" s="1"/>
  <c r="G283" i="7"/>
  <c r="J282" i="7"/>
  <c r="I282" i="7"/>
  <c r="G282" i="7"/>
  <c r="J281" i="7"/>
  <c r="I281" i="7"/>
  <c r="G281" i="7"/>
  <c r="J280" i="7"/>
  <c r="I280" i="7"/>
  <c r="G280" i="7"/>
  <c r="J279" i="7"/>
  <c r="I279" i="7"/>
  <c r="K279" i="7" s="1"/>
  <c r="L279" i="7" s="1"/>
  <c r="G279" i="7"/>
  <c r="J278" i="7"/>
  <c r="I278" i="7"/>
  <c r="G278" i="7"/>
  <c r="J277" i="7"/>
  <c r="I277" i="7"/>
  <c r="G277" i="7"/>
  <c r="J276" i="7"/>
  <c r="I276" i="7"/>
  <c r="G276" i="7"/>
  <c r="J275" i="7"/>
  <c r="I275" i="7"/>
  <c r="G275" i="7"/>
  <c r="J274" i="7"/>
  <c r="I274" i="7"/>
  <c r="G274" i="7"/>
  <c r="J273" i="7"/>
  <c r="I273" i="7"/>
  <c r="G273" i="7"/>
  <c r="J272" i="7"/>
  <c r="K272" i="7" s="1"/>
  <c r="L272" i="7" s="1"/>
  <c r="I272" i="7"/>
  <c r="G272" i="7"/>
  <c r="J271" i="7"/>
  <c r="I271" i="7"/>
  <c r="G271" i="7"/>
  <c r="J270" i="7"/>
  <c r="I270" i="7"/>
  <c r="G270" i="7"/>
  <c r="J269" i="7"/>
  <c r="I269" i="7"/>
  <c r="G269" i="7"/>
  <c r="J268" i="7"/>
  <c r="I268" i="7"/>
  <c r="G268" i="7"/>
  <c r="J267" i="7"/>
  <c r="I267" i="7"/>
  <c r="G267" i="7"/>
  <c r="J266" i="7"/>
  <c r="I266" i="7"/>
  <c r="G266" i="7"/>
  <c r="J265" i="7"/>
  <c r="I265" i="7"/>
  <c r="G265" i="7"/>
  <c r="J264" i="7"/>
  <c r="I264" i="7"/>
  <c r="G264" i="7"/>
  <c r="J263" i="7"/>
  <c r="I263" i="7"/>
  <c r="G263" i="7"/>
  <c r="J262" i="7"/>
  <c r="I262" i="7"/>
  <c r="G262" i="7"/>
  <c r="J261" i="7"/>
  <c r="I261" i="7"/>
  <c r="G261" i="7"/>
  <c r="J260" i="7"/>
  <c r="I260" i="7"/>
  <c r="G260" i="7"/>
  <c r="J259" i="7"/>
  <c r="I259" i="7"/>
  <c r="G259" i="7"/>
  <c r="J258" i="7"/>
  <c r="I258" i="7"/>
  <c r="G258" i="7"/>
  <c r="J257" i="7"/>
  <c r="I257" i="7"/>
  <c r="G257" i="7"/>
  <c r="J256" i="7"/>
  <c r="I256" i="7"/>
  <c r="G256" i="7"/>
  <c r="J255" i="7"/>
  <c r="I255" i="7"/>
  <c r="G255" i="7"/>
  <c r="J254" i="7"/>
  <c r="I254" i="7"/>
  <c r="G254" i="7"/>
  <c r="J253" i="7"/>
  <c r="I253" i="7"/>
  <c r="G253" i="7"/>
  <c r="J252" i="7"/>
  <c r="I252" i="7"/>
  <c r="G252" i="7"/>
  <c r="J251" i="7"/>
  <c r="I251" i="7"/>
  <c r="G251" i="7"/>
  <c r="K250" i="7"/>
  <c r="L250" i="7" s="1"/>
  <c r="J250" i="7"/>
  <c r="I250" i="7"/>
  <c r="G250" i="7"/>
  <c r="J249" i="7"/>
  <c r="I249" i="7"/>
  <c r="G249" i="7"/>
  <c r="J248" i="7"/>
  <c r="I248" i="7"/>
  <c r="G248" i="7"/>
  <c r="J247" i="7"/>
  <c r="I247" i="7"/>
  <c r="G247" i="7"/>
  <c r="J246" i="7"/>
  <c r="I246" i="7"/>
  <c r="G246" i="7"/>
  <c r="J245" i="7"/>
  <c r="I245" i="7"/>
  <c r="G245" i="7"/>
  <c r="J244" i="7"/>
  <c r="I244" i="7"/>
  <c r="G244" i="7"/>
  <c r="J243" i="7"/>
  <c r="I243" i="7"/>
  <c r="G243" i="7"/>
  <c r="J242" i="7"/>
  <c r="I242" i="7"/>
  <c r="K242" i="7" s="1"/>
  <c r="G242" i="7"/>
  <c r="J241" i="7"/>
  <c r="I241" i="7"/>
  <c r="G241" i="7"/>
  <c r="J240" i="7"/>
  <c r="I240" i="7"/>
  <c r="G240" i="7"/>
  <c r="J239" i="7"/>
  <c r="I239" i="7"/>
  <c r="K239" i="7" s="1"/>
  <c r="L239" i="7" s="1"/>
  <c r="G239" i="7"/>
  <c r="J238" i="7"/>
  <c r="I238" i="7"/>
  <c r="G238" i="7"/>
  <c r="J237" i="7"/>
  <c r="I237" i="7"/>
  <c r="G237" i="7"/>
  <c r="J236" i="7"/>
  <c r="I236" i="7"/>
  <c r="G236" i="7"/>
  <c r="J235" i="7"/>
  <c r="I235" i="7"/>
  <c r="G235" i="7"/>
  <c r="J234" i="7"/>
  <c r="I234" i="7"/>
  <c r="K234" i="7" s="1"/>
  <c r="L234" i="7" s="1"/>
  <c r="G234" i="7"/>
  <c r="J233" i="7"/>
  <c r="I233" i="7"/>
  <c r="G233" i="7"/>
  <c r="J232" i="7"/>
  <c r="I232" i="7"/>
  <c r="G232" i="7"/>
  <c r="J231" i="7"/>
  <c r="I231" i="7"/>
  <c r="G231" i="7"/>
  <c r="J230" i="7"/>
  <c r="I230" i="7"/>
  <c r="G230" i="7"/>
  <c r="J229" i="7"/>
  <c r="I229" i="7"/>
  <c r="G229" i="7"/>
  <c r="J228" i="7"/>
  <c r="I228" i="7"/>
  <c r="K228" i="7" s="1"/>
  <c r="L228" i="7" s="1"/>
  <c r="G228" i="7"/>
  <c r="J227" i="7"/>
  <c r="I227" i="7"/>
  <c r="G227" i="7"/>
  <c r="J226" i="7"/>
  <c r="I226" i="7"/>
  <c r="G226" i="7"/>
  <c r="J225" i="7"/>
  <c r="I225" i="7"/>
  <c r="G225" i="7"/>
  <c r="J224" i="7"/>
  <c r="I224" i="7"/>
  <c r="G224" i="7"/>
  <c r="J223" i="7"/>
  <c r="I223" i="7"/>
  <c r="G223" i="7"/>
  <c r="J222" i="7"/>
  <c r="I222" i="7"/>
  <c r="G222" i="7"/>
  <c r="J221" i="7"/>
  <c r="I221" i="7"/>
  <c r="G221" i="7"/>
  <c r="J220" i="7"/>
  <c r="I220" i="7"/>
  <c r="G220" i="7"/>
  <c r="J219" i="7"/>
  <c r="I219" i="7"/>
  <c r="D219" i="7"/>
  <c r="J218" i="7"/>
  <c r="I218" i="7"/>
  <c r="D218" i="7"/>
  <c r="J217" i="7"/>
  <c r="I217" i="7"/>
  <c r="D217" i="7"/>
  <c r="J216" i="7"/>
  <c r="I216" i="7"/>
  <c r="D216" i="7"/>
  <c r="H214" i="8" s="1"/>
  <c r="P215" i="7"/>
  <c r="J215" i="7"/>
  <c r="I215" i="7"/>
  <c r="D215" i="7"/>
  <c r="G215" i="7" s="1"/>
  <c r="P214" i="7"/>
  <c r="O214" i="7"/>
  <c r="J214" i="7"/>
  <c r="I214" i="7"/>
  <c r="D214" i="7"/>
  <c r="H212" i="8" s="1"/>
  <c r="J213" i="7"/>
  <c r="I213" i="7"/>
  <c r="D213" i="7"/>
  <c r="H211" i="8" s="1"/>
  <c r="I211" i="8" s="1"/>
  <c r="J212" i="7"/>
  <c r="I212" i="7"/>
  <c r="G212" i="7"/>
  <c r="J211" i="7"/>
  <c r="I211" i="7"/>
  <c r="G211" i="7"/>
  <c r="J210" i="7"/>
  <c r="I210" i="7"/>
  <c r="G210" i="7"/>
  <c r="J209" i="7"/>
  <c r="I209" i="7"/>
  <c r="G209" i="7"/>
  <c r="J208" i="7"/>
  <c r="I208" i="7"/>
  <c r="G208" i="7"/>
  <c r="J207" i="7"/>
  <c r="I207" i="7"/>
  <c r="K207" i="7" s="1"/>
  <c r="L207" i="7" s="1"/>
  <c r="G207" i="7"/>
  <c r="J206" i="7"/>
  <c r="I206" i="7"/>
  <c r="G206" i="7"/>
  <c r="J205" i="7"/>
  <c r="I205" i="7"/>
  <c r="G205" i="7"/>
  <c r="J204" i="7"/>
  <c r="I204" i="7"/>
  <c r="G204" i="7"/>
  <c r="J203" i="7"/>
  <c r="I203" i="7"/>
  <c r="G203" i="7"/>
  <c r="J202" i="7"/>
  <c r="I202" i="7"/>
  <c r="G202" i="7"/>
  <c r="J201" i="7"/>
  <c r="I201" i="7"/>
  <c r="G201" i="7"/>
  <c r="J200" i="7"/>
  <c r="I200" i="7"/>
  <c r="G200" i="7"/>
  <c r="J199" i="7"/>
  <c r="I199" i="7"/>
  <c r="G199" i="7"/>
  <c r="J198" i="7"/>
  <c r="I198" i="7"/>
  <c r="G198" i="7"/>
  <c r="J197" i="7"/>
  <c r="I197" i="7"/>
  <c r="G197" i="7"/>
  <c r="J196" i="7"/>
  <c r="I196" i="7"/>
  <c r="G196" i="7"/>
  <c r="J195" i="7"/>
  <c r="I195" i="7"/>
  <c r="G195" i="7"/>
  <c r="J194" i="7"/>
  <c r="I194" i="7"/>
  <c r="G194" i="7"/>
  <c r="R193" i="7"/>
  <c r="Q193" i="7"/>
  <c r="P193" i="7"/>
  <c r="O193" i="7"/>
  <c r="J193" i="7"/>
  <c r="I193" i="7"/>
  <c r="G193" i="7"/>
  <c r="R192" i="7"/>
  <c r="Q192" i="7"/>
  <c r="P192" i="7"/>
  <c r="O192" i="7"/>
  <c r="J192" i="7"/>
  <c r="I192" i="7"/>
  <c r="G192" i="7"/>
  <c r="R191" i="7"/>
  <c r="Q191" i="7"/>
  <c r="P191" i="7"/>
  <c r="O191" i="7"/>
  <c r="J191" i="7"/>
  <c r="I191" i="7"/>
  <c r="G191" i="7"/>
  <c r="R190" i="7"/>
  <c r="Q190" i="7"/>
  <c r="P190" i="7"/>
  <c r="O190" i="7"/>
  <c r="J190" i="7"/>
  <c r="I190" i="7"/>
  <c r="G190" i="7"/>
  <c r="R189" i="7"/>
  <c r="Q189" i="7"/>
  <c r="P189" i="7"/>
  <c r="O189" i="7"/>
  <c r="J189" i="7"/>
  <c r="I189" i="7"/>
  <c r="G189" i="7"/>
  <c r="R188" i="7"/>
  <c r="Q188" i="7"/>
  <c r="P188" i="7"/>
  <c r="O188" i="7"/>
  <c r="J188" i="7"/>
  <c r="I188" i="7"/>
  <c r="G188" i="7"/>
  <c r="R187" i="7"/>
  <c r="Q187" i="7"/>
  <c r="P187" i="7"/>
  <c r="O187" i="7"/>
  <c r="J187" i="7"/>
  <c r="I187" i="7"/>
  <c r="G187" i="7"/>
  <c r="R186" i="7"/>
  <c r="Q186" i="7"/>
  <c r="P186" i="7"/>
  <c r="O186" i="7"/>
  <c r="J186" i="7"/>
  <c r="I186" i="7"/>
  <c r="G186" i="7"/>
  <c r="R185" i="7"/>
  <c r="Q185" i="7"/>
  <c r="P185" i="7"/>
  <c r="O185" i="7"/>
  <c r="J185" i="7"/>
  <c r="I185" i="7"/>
  <c r="K185" i="7" s="1"/>
  <c r="L185" i="7" s="1"/>
  <c r="G185" i="7"/>
  <c r="R184" i="7"/>
  <c r="Q184" i="7"/>
  <c r="P184" i="7"/>
  <c r="O184" i="7"/>
  <c r="J184" i="7"/>
  <c r="I184" i="7"/>
  <c r="G184" i="7"/>
  <c r="R183" i="7"/>
  <c r="Q183" i="7"/>
  <c r="P183" i="7"/>
  <c r="O183" i="7"/>
  <c r="J183" i="7"/>
  <c r="I183" i="7"/>
  <c r="G183" i="7"/>
  <c r="R182" i="7"/>
  <c r="Q182" i="7"/>
  <c r="P182" i="7"/>
  <c r="O182" i="7"/>
  <c r="J182" i="7"/>
  <c r="I182" i="7"/>
  <c r="G182" i="7"/>
  <c r="R181" i="7"/>
  <c r="Q181" i="7"/>
  <c r="P181" i="7"/>
  <c r="O181" i="7"/>
  <c r="J181" i="7"/>
  <c r="I181" i="7"/>
  <c r="G181" i="7"/>
  <c r="R180" i="7"/>
  <c r="Q180" i="7"/>
  <c r="P180" i="7"/>
  <c r="O180" i="7"/>
  <c r="J180" i="7"/>
  <c r="I180" i="7"/>
  <c r="K180" i="7" s="1"/>
  <c r="L180" i="7" s="1"/>
  <c r="G180" i="7"/>
  <c r="R179" i="7"/>
  <c r="Q179" i="7"/>
  <c r="P179" i="7"/>
  <c r="O179" i="7"/>
  <c r="J179" i="7"/>
  <c r="I179" i="7"/>
  <c r="G179" i="7"/>
  <c r="R178" i="7"/>
  <c r="Q178" i="7"/>
  <c r="P178" i="7"/>
  <c r="O178" i="7"/>
  <c r="J178" i="7"/>
  <c r="I178" i="7"/>
  <c r="G178" i="7"/>
  <c r="R177" i="7"/>
  <c r="Q177" i="7"/>
  <c r="P177" i="7"/>
  <c r="O177" i="7"/>
  <c r="J177" i="7"/>
  <c r="I177" i="7"/>
  <c r="G177" i="7"/>
  <c r="R176" i="7"/>
  <c r="Q176" i="7"/>
  <c r="P176" i="7"/>
  <c r="O176" i="7"/>
  <c r="J176" i="7"/>
  <c r="I176" i="7"/>
  <c r="G176" i="7"/>
  <c r="R175" i="7"/>
  <c r="Q175" i="7"/>
  <c r="P175" i="7"/>
  <c r="O175" i="7"/>
  <c r="J175" i="7"/>
  <c r="I175" i="7"/>
  <c r="G175" i="7"/>
  <c r="R174" i="7"/>
  <c r="Q174" i="7"/>
  <c r="P174" i="7"/>
  <c r="O174" i="7"/>
  <c r="J174" i="7"/>
  <c r="I174" i="7"/>
  <c r="G174" i="7"/>
  <c r="R173" i="7"/>
  <c r="Q173" i="7"/>
  <c r="P173" i="7"/>
  <c r="O173" i="7"/>
  <c r="J173" i="7"/>
  <c r="I173" i="7"/>
  <c r="G173" i="7"/>
  <c r="R172" i="7"/>
  <c r="Q172" i="7"/>
  <c r="P172" i="7"/>
  <c r="O172" i="7"/>
  <c r="J172" i="7"/>
  <c r="I172" i="7"/>
  <c r="G172" i="7"/>
  <c r="R171" i="7"/>
  <c r="Q171" i="7"/>
  <c r="P171" i="7"/>
  <c r="O171" i="7"/>
  <c r="J171" i="7"/>
  <c r="I171" i="7"/>
  <c r="G171" i="7"/>
  <c r="R170" i="7"/>
  <c r="Q170" i="7"/>
  <c r="P170" i="7"/>
  <c r="O170" i="7"/>
  <c r="J170" i="7"/>
  <c r="I170" i="7"/>
  <c r="G170" i="7"/>
  <c r="J169" i="7"/>
  <c r="I169" i="7"/>
  <c r="G169" i="7"/>
  <c r="J168" i="7"/>
  <c r="I168" i="7"/>
  <c r="G168" i="7"/>
  <c r="J167" i="7"/>
  <c r="I167" i="7"/>
  <c r="G167" i="7"/>
  <c r="J166" i="7"/>
  <c r="I166" i="7"/>
  <c r="G166" i="7"/>
  <c r="J165" i="7"/>
  <c r="I165" i="7"/>
  <c r="G165" i="7"/>
  <c r="J164" i="7"/>
  <c r="I164" i="7"/>
  <c r="G164" i="7"/>
  <c r="J163" i="7"/>
  <c r="I163" i="7"/>
  <c r="G163" i="7"/>
  <c r="J162" i="7"/>
  <c r="I162" i="7"/>
  <c r="G162" i="7"/>
  <c r="J161" i="7"/>
  <c r="I161" i="7"/>
  <c r="G161" i="7"/>
  <c r="J160" i="7"/>
  <c r="I160" i="7"/>
  <c r="G160" i="7"/>
  <c r="J159" i="7"/>
  <c r="I159" i="7"/>
  <c r="K159" i="7" s="1"/>
  <c r="L159" i="7" s="1"/>
  <c r="G159" i="7"/>
  <c r="J158" i="7"/>
  <c r="I158" i="7"/>
  <c r="G158" i="7"/>
  <c r="J157" i="7"/>
  <c r="I157" i="7"/>
  <c r="G157" i="7"/>
  <c r="J156" i="7"/>
  <c r="I156" i="7"/>
  <c r="G156" i="7"/>
  <c r="J155" i="7"/>
  <c r="I155" i="7"/>
  <c r="G155" i="7"/>
  <c r="J154" i="7"/>
  <c r="I154" i="7"/>
  <c r="G154" i="7"/>
  <c r="J153" i="7"/>
  <c r="I153" i="7"/>
  <c r="G153" i="7"/>
  <c r="J152" i="7"/>
  <c r="I152" i="7"/>
  <c r="G152" i="7"/>
  <c r="J151" i="7"/>
  <c r="I151" i="7"/>
  <c r="G151" i="7"/>
  <c r="J150" i="7"/>
  <c r="I150" i="7"/>
  <c r="G150" i="7"/>
  <c r="J149" i="7"/>
  <c r="I149" i="7"/>
  <c r="G149" i="7"/>
  <c r="J148" i="7"/>
  <c r="I148" i="7"/>
  <c r="G148" i="7"/>
  <c r="J147" i="7"/>
  <c r="I147" i="7"/>
  <c r="G147" i="7"/>
  <c r="J146" i="7"/>
  <c r="I146" i="7"/>
  <c r="G146" i="7"/>
  <c r="J145" i="7"/>
  <c r="I145" i="7"/>
  <c r="G145" i="7"/>
  <c r="J144" i="7"/>
  <c r="I144" i="7"/>
  <c r="G144" i="7"/>
  <c r="J143" i="7"/>
  <c r="I143" i="7"/>
  <c r="G143" i="7"/>
  <c r="J142" i="7"/>
  <c r="I142" i="7"/>
  <c r="K142" i="7" s="1"/>
  <c r="L142" i="7" s="1"/>
  <c r="G142" i="7"/>
  <c r="J141" i="7"/>
  <c r="I141" i="7"/>
  <c r="G141" i="7"/>
  <c r="J140" i="7"/>
  <c r="I140" i="7"/>
  <c r="G140" i="7"/>
  <c r="J139" i="7"/>
  <c r="I139" i="7"/>
  <c r="G139" i="7"/>
  <c r="J138" i="7"/>
  <c r="I138" i="7"/>
  <c r="G138" i="7"/>
  <c r="J137" i="7"/>
  <c r="I137" i="7"/>
  <c r="G137" i="7"/>
  <c r="J136" i="7"/>
  <c r="I136" i="7"/>
  <c r="G136" i="7"/>
  <c r="J135" i="7"/>
  <c r="I135" i="7"/>
  <c r="G135" i="7"/>
  <c r="J134" i="7"/>
  <c r="I134" i="7"/>
  <c r="G134" i="7"/>
  <c r="J133" i="7"/>
  <c r="I133" i="7"/>
  <c r="G133" i="7"/>
  <c r="J132" i="7"/>
  <c r="I132" i="7"/>
  <c r="G132" i="7"/>
  <c r="J131" i="7"/>
  <c r="I131" i="7"/>
  <c r="G131" i="7"/>
  <c r="J130" i="7"/>
  <c r="I130" i="7"/>
  <c r="G130" i="7"/>
  <c r="J129" i="7"/>
  <c r="I129" i="7"/>
  <c r="G129" i="7"/>
  <c r="J128" i="7"/>
  <c r="I128" i="7"/>
  <c r="G128" i="7"/>
  <c r="J127" i="7"/>
  <c r="I127" i="7"/>
  <c r="G127" i="7"/>
  <c r="J126" i="7"/>
  <c r="I126" i="7"/>
  <c r="G126" i="7"/>
  <c r="J125" i="7"/>
  <c r="I125" i="7"/>
  <c r="G125" i="7"/>
  <c r="J124" i="7"/>
  <c r="I124" i="7"/>
  <c r="G124" i="7"/>
  <c r="J123" i="7"/>
  <c r="I123" i="7"/>
  <c r="G123" i="7"/>
  <c r="J122" i="7"/>
  <c r="I122" i="7"/>
  <c r="G122" i="7"/>
  <c r="J121" i="7"/>
  <c r="I121" i="7"/>
  <c r="G121" i="7"/>
  <c r="J120" i="7"/>
  <c r="I120" i="7"/>
  <c r="G120" i="7"/>
  <c r="J119" i="7"/>
  <c r="I119" i="7"/>
  <c r="G119" i="7"/>
  <c r="J118" i="7"/>
  <c r="I118" i="7"/>
  <c r="G118" i="7"/>
  <c r="J117" i="7"/>
  <c r="I117" i="7"/>
  <c r="G117" i="7"/>
  <c r="J116" i="7"/>
  <c r="I116" i="7"/>
  <c r="G116" i="7"/>
  <c r="J115" i="7"/>
  <c r="I115" i="7"/>
  <c r="G115" i="7"/>
  <c r="J114" i="7"/>
  <c r="I114" i="7"/>
  <c r="G114" i="7"/>
  <c r="J113" i="7"/>
  <c r="I113" i="7"/>
  <c r="K113" i="7" s="1"/>
  <c r="L113" i="7" s="1"/>
  <c r="G113" i="7"/>
  <c r="J112" i="7"/>
  <c r="I112" i="7"/>
  <c r="G112" i="7"/>
  <c r="J111" i="7"/>
  <c r="I111" i="7"/>
  <c r="K111" i="7" s="1"/>
  <c r="L111" i="7" s="1"/>
  <c r="G111" i="7"/>
  <c r="J110" i="7"/>
  <c r="I110" i="7"/>
  <c r="G110" i="7"/>
  <c r="J109" i="7"/>
  <c r="I109" i="7"/>
  <c r="G109" i="7"/>
  <c r="J108" i="7"/>
  <c r="I108" i="7"/>
  <c r="G108" i="7"/>
  <c r="J107" i="7"/>
  <c r="I107" i="7"/>
  <c r="K107" i="7" s="1"/>
  <c r="L107" i="7" s="1"/>
  <c r="G107" i="7"/>
  <c r="J106" i="7"/>
  <c r="I106" i="7"/>
  <c r="G106" i="7"/>
  <c r="J105" i="7"/>
  <c r="I105" i="7"/>
  <c r="G105" i="7"/>
  <c r="J104" i="7"/>
  <c r="I104" i="7"/>
  <c r="G104" i="7"/>
  <c r="J103" i="7"/>
  <c r="I103" i="7"/>
  <c r="G103" i="7"/>
  <c r="J102" i="7"/>
  <c r="I102" i="7"/>
  <c r="G102" i="7"/>
  <c r="J101" i="7"/>
  <c r="I101" i="7"/>
  <c r="G101" i="7"/>
  <c r="J100" i="7"/>
  <c r="I100" i="7"/>
  <c r="G100" i="7"/>
  <c r="J99" i="7"/>
  <c r="I99" i="7"/>
  <c r="G99" i="7"/>
  <c r="J98" i="7"/>
  <c r="I98" i="7"/>
  <c r="G98" i="7"/>
  <c r="J97" i="7"/>
  <c r="I97" i="7"/>
  <c r="G97" i="7"/>
  <c r="J96" i="7"/>
  <c r="I96" i="7"/>
  <c r="G96" i="7"/>
  <c r="J95" i="7"/>
  <c r="I95" i="7"/>
  <c r="G95" i="7"/>
  <c r="J94" i="7"/>
  <c r="I94" i="7"/>
  <c r="G94" i="7"/>
  <c r="J93" i="7"/>
  <c r="I93" i="7"/>
  <c r="K93" i="7" s="1"/>
  <c r="L93" i="7" s="1"/>
  <c r="G93" i="7"/>
  <c r="J92" i="7"/>
  <c r="I92" i="7"/>
  <c r="G92" i="7"/>
  <c r="J91" i="7"/>
  <c r="I91" i="7"/>
  <c r="G91" i="7"/>
  <c r="J90" i="7"/>
  <c r="I90" i="7"/>
  <c r="G90" i="7"/>
  <c r="J89" i="7"/>
  <c r="I89" i="7"/>
  <c r="K89" i="7" s="1"/>
  <c r="L89" i="7" s="1"/>
  <c r="G89" i="7"/>
  <c r="J88" i="7"/>
  <c r="I88" i="7"/>
  <c r="G88" i="7"/>
  <c r="J87" i="7"/>
  <c r="I87" i="7"/>
  <c r="G87" i="7"/>
  <c r="J86" i="7"/>
  <c r="I86" i="7"/>
  <c r="G86" i="7"/>
  <c r="J85" i="7"/>
  <c r="I85" i="7"/>
  <c r="G85" i="7"/>
  <c r="J84" i="7"/>
  <c r="I84" i="7"/>
  <c r="G84" i="7"/>
  <c r="J83" i="7"/>
  <c r="I83" i="7"/>
  <c r="G83" i="7"/>
  <c r="J82" i="7"/>
  <c r="I82" i="7"/>
  <c r="G82" i="7"/>
  <c r="J81" i="7"/>
  <c r="I81" i="7"/>
  <c r="G81" i="7"/>
  <c r="J80" i="7"/>
  <c r="I80" i="7"/>
  <c r="G80" i="7"/>
  <c r="J79" i="7"/>
  <c r="K79" i="7" s="1"/>
  <c r="L79" i="7" s="1"/>
  <c r="I79" i="7"/>
  <c r="G79" i="7"/>
  <c r="J78" i="7"/>
  <c r="I78" i="7"/>
  <c r="G78" i="7"/>
  <c r="J77" i="7"/>
  <c r="I77" i="7"/>
  <c r="G77" i="7"/>
  <c r="J76" i="7"/>
  <c r="I76" i="7"/>
  <c r="G76" i="7"/>
  <c r="J75" i="7"/>
  <c r="I75" i="7"/>
  <c r="K75" i="7" s="1"/>
  <c r="L75" i="7" s="1"/>
  <c r="G75" i="7"/>
  <c r="J74" i="7"/>
  <c r="I74" i="7"/>
  <c r="G74" i="7"/>
  <c r="J73" i="7"/>
  <c r="I73" i="7"/>
  <c r="G73" i="7"/>
  <c r="J72" i="7"/>
  <c r="I72" i="7"/>
  <c r="G72" i="7"/>
  <c r="J71" i="7"/>
  <c r="I71" i="7"/>
  <c r="G71" i="7"/>
  <c r="J70" i="7"/>
  <c r="I70" i="7"/>
  <c r="G70" i="7"/>
  <c r="J69" i="7"/>
  <c r="I69" i="7"/>
  <c r="G69" i="7"/>
  <c r="J68" i="7"/>
  <c r="I68" i="7"/>
  <c r="G68" i="7"/>
  <c r="J67" i="7"/>
  <c r="I67" i="7"/>
  <c r="G67" i="7"/>
  <c r="J66" i="7"/>
  <c r="I66" i="7"/>
  <c r="G66" i="7"/>
  <c r="J65" i="7"/>
  <c r="I65" i="7"/>
  <c r="G65" i="7"/>
  <c r="J64" i="7"/>
  <c r="I64" i="7"/>
  <c r="G64" i="7"/>
  <c r="J63" i="7"/>
  <c r="I63" i="7"/>
  <c r="G63" i="7"/>
  <c r="J62" i="7"/>
  <c r="I62" i="7"/>
  <c r="G62" i="7"/>
  <c r="J61" i="7"/>
  <c r="I61" i="7"/>
  <c r="G61" i="7"/>
  <c r="J60" i="7"/>
  <c r="I60" i="7"/>
  <c r="G60" i="7"/>
  <c r="J59" i="7"/>
  <c r="I59" i="7"/>
  <c r="G59" i="7"/>
  <c r="J58" i="7"/>
  <c r="I58" i="7"/>
  <c r="G58" i="7"/>
  <c r="J57" i="7"/>
  <c r="I57" i="7"/>
  <c r="G57" i="7"/>
  <c r="J56" i="7"/>
  <c r="I56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DW495" i="6"/>
  <c r="DN495" i="6"/>
  <c r="DM495" i="6"/>
  <c r="DL495" i="6"/>
  <c r="DK495" i="6"/>
  <c r="DJ495" i="6"/>
  <c r="DI495" i="6"/>
  <c r="DH495" i="6"/>
  <c r="DF495" i="6"/>
  <c r="DG495" i="6" s="1"/>
  <c r="DD495" i="6"/>
  <c r="DE495" i="6" s="1"/>
  <c r="DB495" i="6"/>
  <c r="DC495" i="6" s="1"/>
  <c r="DA495" i="6"/>
  <c r="CY495" i="6"/>
  <c r="CZ495" i="6" s="1"/>
  <c r="CX495" i="6"/>
  <c r="CV495" i="6"/>
  <c r="CW495" i="6" s="1"/>
  <c r="CT495" i="6"/>
  <c r="CU495" i="6" s="1"/>
  <c r="CS495" i="6"/>
  <c r="CR495" i="6"/>
  <c r="CQ495" i="6"/>
  <c r="CP495" i="6"/>
  <c r="CN495" i="6"/>
  <c r="CM495" i="6"/>
  <c r="CO495" i="6" s="1"/>
  <c r="CL495" i="6"/>
  <c r="CJ495" i="6"/>
  <c r="CI495" i="6"/>
  <c r="CK495" i="6" s="1"/>
  <c r="CH495" i="6"/>
  <c r="CG495" i="6"/>
  <c r="CE495" i="6"/>
  <c r="CD495" i="6"/>
  <c r="CF495" i="6" s="1"/>
  <c r="CB495" i="6"/>
  <c r="CC495" i="6" s="1"/>
  <c r="BZ495" i="6"/>
  <c r="BY495" i="6"/>
  <c r="BX495" i="6"/>
  <c r="BW495" i="6"/>
  <c r="CA495" i="6" s="1"/>
  <c r="BV495" i="6"/>
  <c r="BU495" i="6"/>
  <c r="BR495" i="6"/>
  <c r="BQ495" i="6"/>
  <c r="BS495" i="6" s="1"/>
  <c r="BP495" i="6"/>
  <c r="BO495" i="6"/>
  <c r="BM495" i="6"/>
  <c r="BL495" i="6"/>
  <c r="BK495" i="6"/>
  <c r="BJ495" i="6"/>
  <c r="BI495" i="6"/>
  <c r="BH495" i="6"/>
  <c r="BF495" i="6"/>
  <c r="BG495" i="6" s="1"/>
  <c r="BD495" i="6"/>
  <c r="DT495" i="6" s="1"/>
  <c r="BC495" i="6"/>
  <c r="BB495" i="6"/>
  <c r="AZ495" i="6"/>
  <c r="AY495" i="6"/>
  <c r="BA495" i="6" s="1"/>
  <c r="AW495" i="6"/>
  <c r="AV495" i="6"/>
  <c r="AX495" i="6" s="1"/>
  <c r="AT495" i="6"/>
  <c r="AS495" i="6"/>
  <c r="AU495" i="6" s="1"/>
  <c r="AQ495" i="6"/>
  <c r="AP495" i="6"/>
  <c r="AR495" i="6" s="1"/>
  <c r="AN495" i="6"/>
  <c r="AO495" i="6" s="1"/>
  <c r="AM495" i="6"/>
  <c r="AK495" i="6"/>
  <c r="AL495" i="6" s="1"/>
  <c r="AJ495" i="6"/>
  <c r="AI495" i="6"/>
  <c r="AG495" i="6"/>
  <c r="AE495" i="6"/>
  <c r="AD495" i="6"/>
  <c r="AC495" i="6"/>
  <c r="AF495" i="6" s="1"/>
  <c r="AB495" i="6"/>
  <c r="AA495" i="6"/>
  <c r="Z495" i="6"/>
  <c r="Y495" i="6"/>
  <c r="W495" i="6"/>
  <c r="X495" i="6" s="1"/>
  <c r="V495" i="6"/>
  <c r="T495" i="6"/>
  <c r="R495" i="6"/>
  <c r="S495" i="6" s="1"/>
  <c r="P495" i="6"/>
  <c r="O495" i="6"/>
  <c r="N495" i="6"/>
  <c r="M495" i="6"/>
  <c r="Q495" i="6" s="1"/>
  <c r="J495" i="6"/>
  <c r="H495" i="6"/>
  <c r="G495" i="6"/>
  <c r="F495" i="6"/>
  <c r="DV495" i="6" s="1"/>
  <c r="E495" i="6"/>
  <c r="D495" i="6"/>
  <c r="C495" i="6"/>
  <c r="B495" i="6"/>
  <c r="DW494" i="6"/>
  <c r="DM494" i="6"/>
  <c r="DL494" i="6"/>
  <c r="DK494" i="6"/>
  <c r="DJ494" i="6"/>
  <c r="DI494" i="6"/>
  <c r="DH494" i="6"/>
  <c r="DF494" i="6"/>
  <c r="DG494" i="6" s="1"/>
  <c r="DD494" i="6"/>
  <c r="DE494" i="6" s="1"/>
  <c r="DB494" i="6"/>
  <c r="DA494" i="6"/>
  <c r="DC494" i="6" s="1"/>
  <c r="CY494" i="6"/>
  <c r="CX494" i="6"/>
  <c r="CW494" i="6"/>
  <c r="CV494" i="6"/>
  <c r="CU494" i="6"/>
  <c r="CT494" i="6"/>
  <c r="CR494" i="6"/>
  <c r="CQ494" i="6"/>
  <c r="CS494" i="6" s="1"/>
  <c r="CP494" i="6"/>
  <c r="CN494" i="6"/>
  <c r="CM494" i="6"/>
  <c r="CO494" i="6" s="1"/>
  <c r="CL494" i="6"/>
  <c r="CJ494" i="6"/>
  <c r="CI494" i="6"/>
  <c r="CK494" i="6" s="1"/>
  <c r="CH494" i="6"/>
  <c r="CG494" i="6"/>
  <c r="CE494" i="6"/>
  <c r="CD494" i="6"/>
  <c r="CF494" i="6" s="1"/>
  <c r="CB494" i="6"/>
  <c r="CC494" i="6" s="1"/>
  <c r="BZ494" i="6"/>
  <c r="BY494" i="6"/>
  <c r="BX494" i="6"/>
  <c r="CA494" i="6" s="1"/>
  <c r="BW494" i="6"/>
  <c r="BU494" i="6"/>
  <c r="BV494" i="6" s="1"/>
  <c r="BS494" i="6"/>
  <c r="BR494" i="6"/>
  <c r="BQ494" i="6"/>
  <c r="BP494" i="6"/>
  <c r="BO494" i="6"/>
  <c r="BM494" i="6"/>
  <c r="BL494" i="6"/>
  <c r="BK494" i="6"/>
  <c r="BN494" i="6" s="1"/>
  <c r="BJ494" i="6"/>
  <c r="BH494" i="6"/>
  <c r="BI494" i="6" s="1"/>
  <c r="BF494" i="6"/>
  <c r="BG494" i="6" s="1"/>
  <c r="BD494" i="6"/>
  <c r="BC494" i="6"/>
  <c r="BB494" i="6"/>
  <c r="BE494" i="6" s="1"/>
  <c r="BA494" i="6"/>
  <c r="AZ494" i="6"/>
  <c r="AY494" i="6"/>
  <c r="AW494" i="6"/>
  <c r="AV494" i="6"/>
  <c r="AT494" i="6"/>
  <c r="AU494" i="6" s="1"/>
  <c r="AS494" i="6"/>
  <c r="AQ494" i="6"/>
  <c r="AP494" i="6"/>
  <c r="AR494" i="6" s="1"/>
  <c r="AO494" i="6"/>
  <c r="AN494" i="6"/>
  <c r="AM494" i="6"/>
  <c r="AK494" i="6"/>
  <c r="AL494" i="6" s="1"/>
  <c r="AI494" i="6"/>
  <c r="AJ494" i="6" s="1"/>
  <c r="AG494" i="6"/>
  <c r="AE494" i="6"/>
  <c r="AD494" i="6"/>
  <c r="DR494" i="6" s="1"/>
  <c r="AC494" i="6"/>
  <c r="AA494" i="6"/>
  <c r="Z494" i="6"/>
  <c r="AB494" i="6" s="1"/>
  <c r="Y494" i="6"/>
  <c r="W494" i="6"/>
  <c r="X494" i="6" s="1"/>
  <c r="V494" i="6"/>
  <c r="T494" i="6"/>
  <c r="S494" i="6"/>
  <c r="R494" i="6"/>
  <c r="Q494" i="6"/>
  <c r="P494" i="6"/>
  <c r="O494" i="6"/>
  <c r="N494" i="6"/>
  <c r="M494" i="6"/>
  <c r="J494" i="6"/>
  <c r="H494" i="6"/>
  <c r="G494" i="6"/>
  <c r="F494" i="6"/>
  <c r="E494" i="6"/>
  <c r="D494" i="6"/>
  <c r="C494" i="6"/>
  <c r="B494" i="6"/>
  <c r="DW493" i="6"/>
  <c r="DS493" i="6"/>
  <c r="DP493" i="6"/>
  <c r="DM493" i="6"/>
  <c r="DL493" i="6"/>
  <c r="DK493" i="6"/>
  <c r="DJ493" i="6"/>
  <c r="DN493" i="6" s="1"/>
  <c r="DH493" i="6"/>
  <c r="DI493" i="6" s="1"/>
  <c r="DF493" i="6"/>
  <c r="DG493" i="6" s="1"/>
  <c r="DE493" i="6"/>
  <c r="DD493" i="6"/>
  <c r="DC493" i="6"/>
  <c r="DB493" i="6"/>
  <c r="DA493" i="6"/>
  <c r="CY493" i="6"/>
  <c r="CZ493" i="6" s="1"/>
  <c r="CX493" i="6"/>
  <c r="CW493" i="6"/>
  <c r="CV493" i="6"/>
  <c r="CT493" i="6"/>
  <c r="CU493" i="6" s="1"/>
  <c r="CS493" i="6"/>
  <c r="CR493" i="6"/>
  <c r="CQ493" i="6"/>
  <c r="CP493" i="6"/>
  <c r="CO493" i="6"/>
  <c r="CN493" i="6"/>
  <c r="CM493" i="6"/>
  <c r="CL493" i="6"/>
  <c r="CJ493" i="6"/>
  <c r="CI493" i="6"/>
  <c r="CK493" i="6" s="1"/>
  <c r="CH493" i="6"/>
  <c r="CG493" i="6"/>
  <c r="CE493" i="6"/>
  <c r="CD493" i="6"/>
  <c r="CF493" i="6" s="1"/>
  <c r="CB493" i="6"/>
  <c r="CC493" i="6" s="1"/>
  <c r="BZ493" i="6"/>
  <c r="BY493" i="6"/>
  <c r="BX493" i="6"/>
  <c r="BW493" i="6"/>
  <c r="CA493" i="6" s="1"/>
  <c r="BV493" i="6"/>
  <c r="BU493" i="6"/>
  <c r="BR493" i="6"/>
  <c r="BQ493" i="6"/>
  <c r="BO493" i="6"/>
  <c r="BP493" i="6" s="1"/>
  <c r="BM493" i="6"/>
  <c r="BL493" i="6"/>
  <c r="BK493" i="6"/>
  <c r="BJ493" i="6"/>
  <c r="BI493" i="6"/>
  <c r="BH493" i="6"/>
  <c r="BF493" i="6"/>
  <c r="BG493" i="6" s="1"/>
  <c r="BD493" i="6"/>
  <c r="BC493" i="6"/>
  <c r="BB493" i="6"/>
  <c r="AZ493" i="6"/>
  <c r="BA493" i="6" s="1"/>
  <c r="AY493" i="6"/>
  <c r="AW493" i="6"/>
  <c r="AV493" i="6"/>
  <c r="AX493" i="6" s="1"/>
  <c r="AT493" i="6"/>
  <c r="AS493" i="6"/>
  <c r="AU493" i="6" s="1"/>
  <c r="AQ493" i="6"/>
  <c r="AP493" i="6"/>
  <c r="AR493" i="6" s="1"/>
  <c r="AN493" i="6"/>
  <c r="AO493" i="6" s="1"/>
  <c r="AM493" i="6"/>
  <c r="AK493" i="6"/>
  <c r="AL493" i="6" s="1"/>
  <c r="AI493" i="6"/>
  <c r="AJ493" i="6" s="1"/>
  <c r="AG493" i="6"/>
  <c r="AF493" i="6"/>
  <c r="AE493" i="6"/>
  <c r="AD493" i="6"/>
  <c r="AC493" i="6"/>
  <c r="AA493" i="6"/>
  <c r="Z493" i="6"/>
  <c r="AB493" i="6" s="1"/>
  <c r="Y493" i="6"/>
  <c r="X493" i="6"/>
  <c r="W493" i="6"/>
  <c r="DV493" i="6" s="1"/>
  <c r="V493" i="6"/>
  <c r="T493" i="6"/>
  <c r="R493" i="6"/>
  <c r="S493" i="6" s="1"/>
  <c r="P493" i="6"/>
  <c r="Q493" i="6" s="1"/>
  <c r="O493" i="6"/>
  <c r="N493" i="6"/>
  <c r="M493" i="6"/>
  <c r="J493" i="6"/>
  <c r="H493" i="6"/>
  <c r="DQ493" i="6" s="1"/>
  <c r="G493" i="6"/>
  <c r="F493" i="6"/>
  <c r="E493" i="6"/>
  <c r="D493" i="6"/>
  <c r="C493" i="6"/>
  <c r="B493" i="6"/>
  <c r="DW492" i="6"/>
  <c r="DS492" i="6"/>
  <c r="DP492" i="6"/>
  <c r="DN492" i="6"/>
  <c r="DM492" i="6"/>
  <c r="DL492" i="6"/>
  <c r="DK492" i="6"/>
  <c r="DJ492" i="6"/>
  <c r="DH492" i="6"/>
  <c r="DI492" i="6" s="1"/>
  <c r="DG492" i="6"/>
  <c r="DF492" i="6"/>
  <c r="DD492" i="6"/>
  <c r="DE492" i="6" s="1"/>
  <c r="DB492" i="6"/>
  <c r="DC492" i="6" s="1"/>
  <c r="DA492" i="6"/>
  <c r="CY492" i="6"/>
  <c r="CZ492" i="6" s="1"/>
  <c r="CX492" i="6"/>
  <c r="CV492" i="6"/>
  <c r="CW492" i="6" s="1"/>
  <c r="CU492" i="6"/>
  <c r="CT492" i="6"/>
  <c r="CR492" i="6"/>
  <c r="CS492" i="6" s="1"/>
  <c r="CQ492" i="6"/>
  <c r="CP492" i="6"/>
  <c r="CN492" i="6"/>
  <c r="CM492" i="6"/>
  <c r="CL492" i="6"/>
  <c r="CK492" i="6"/>
  <c r="CJ492" i="6"/>
  <c r="CI492" i="6"/>
  <c r="CH492" i="6"/>
  <c r="CG492" i="6"/>
  <c r="CF492" i="6"/>
  <c r="CE492" i="6"/>
  <c r="CD492" i="6"/>
  <c r="CB492" i="6"/>
  <c r="CC492" i="6" s="1"/>
  <c r="BZ492" i="6"/>
  <c r="BY492" i="6"/>
  <c r="BX492" i="6"/>
  <c r="BW492" i="6"/>
  <c r="BV492" i="6"/>
  <c r="BU492" i="6"/>
  <c r="BR492" i="6"/>
  <c r="BQ492" i="6"/>
  <c r="BO492" i="6"/>
  <c r="BP492" i="6" s="1"/>
  <c r="BM492" i="6"/>
  <c r="BL492" i="6"/>
  <c r="BK492" i="6"/>
  <c r="BJ492" i="6"/>
  <c r="BI492" i="6"/>
  <c r="BH492" i="6"/>
  <c r="BF492" i="6"/>
  <c r="BG492" i="6" s="1"/>
  <c r="BD492" i="6"/>
  <c r="BC492" i="6"/>
  <c r="BB492" i="6"/>
  <c r="BE492" i="6" s="1"/>
  <c r="AZ492" i="6"/>
  <c r="AY492" i="6"/>
  <c r="AW492" i="6"/>
  <c r="AV492" i="6"/>
  <c r="AX492" i="6" s="1"/>
  <c r="AT492" i="6"/>
  <c r="AS492" i="6"/>
  <c r="AU492" i="6" s="1"/>
  <c r="AR492" i="6"/>
  <c r="AQ492" i="6"/>
  <c r="AP492" i="6"/>
  <c r="AO492" i="6"/>
  <c r="AN492" i="6"/>
  <c r="AM492" i="6"/>
  <c r="AL492" i="6"/>
  <c r="AK492" i="6"/>
  <c r="AI492" i="6"/>
  <c r="AJ492" i="6" s="1"/>
  <c r="AG492" i="6"/>
  <c r="AF492" i="6"/>
  <c r="AE492" i="6"/>
  <c r="AD492" i="6"/>
  <c r="AC492" i="6"/>
  <c r="AB492" i="6"/>
  <c r="AA492" i="6"/>
  <c r="Z492" i="6"/>
  <c r="Y492" i="6"/>
  <c r="W492" i="6"/>
  <c r="V492" i="6"/>
  <c r="T492" i="6"/>
  <c r="R492" i="6"/>
  <c r="S492" i="6" s="1"/>
  <c r="P492" i="6"/>
  <c r="O492" i="6"/>
  <c r="Q492" i="6" s="1"/>
  <c r="N492" i="6"/>
  <c r="M492" i="6"/>
  <c r="J492" i="6"/>
  <c r="H492" i="6"/>
  <c r="G492" i="6"/>
  <c r="DU492" i="6" s="1"/>
  <c r="F492" i="6"/>
  <c r="E492" i="6"/>
  <c r="D492" i="6"/>
  <c r="C492" i="6"/>
  <c r="B492" i="6"/>
  <c r="DW491" i="6"/>
  <c r="DM491" i="6"/>
  <c r="DL491" i="6"/>
  <c r="DK491" i="6"/>
  <c r="DJ491" i="6"/>
  <c r="DN491" i="6" s="1"/>
  <c r="DH491" i="6"/>
  <c r="DI491" i="6" s="1"/>
  <c r="DF491" i="6"/>
  <c r="DG491" i="6" s="1"/>
  <c r="DD491" i="6"/>
  <c r="DE491" i="6" s="1"/>
  <c r="DB491" i="6"/>
  <c r="DA491" i="6"/>
  <c r="DC491" i="6" s="1"/>
  <c r="CY491" i="6"/>
  <c r="CX491" i="6"/>
  <c r="CZ491" i="6" s="1"/>
  <c r="CW491" i="6"/>
  <c r="CV491" i="6"/>
  <c r="CT491" i="6"/>
  <c r="CU491" i="6" s="1"/>
  <c r="CR491" i="6"/>
  <c r="CQ491" i="6"/>
  <c r="CP491" i="6"/>
  <c r="CN491" i="6"/>
  <c r="CM491" i="6"/>
  <c r="CL491" i="6"/>
  <c r="CK491" i="6"/>
  <c r="CJ491" i="6"/>
  <c r="CI491" i="6"/>
  <c r="CG491" i="6"/>
  <c r="CH491" i="6" s="1"/>
  <c r="CE491" i="6"/>
  <c r="CF491" i="6" s="1"/>
  <c r="CD491" i="6"/>
  <c r="CB491" i="6"/>
  <c r="CC491" i="6" s="1"/>
  <c r="BZ491" i="6"/>
  <c r="BY491" i="6"/>
  <c r="BX491" i="6"/>
  <c r="BW491" i="6"/>
  <c r="BU491" i="6"/>
  <c r="BV491" i="6" s="1"/>
  <c r="BR491" i="6"/>
  <c r="BQ491" i="6"/>
  <c r="BS491" i="6" s="1"/>
  <c r="BP491" i="6"/>
  <c r="BO491" i="6"/>
  <c r="BM491" i="6"/>
  <c r="BL491" i="6"/>
  <c r="BK491" i="6"/>
  <c r="BJ491" i="6"/>
  <c r="BN491" i="6" s="1"/>
  <c r="BI491" i="6"/>
  <c r="BH491" i="6"/>
  <c r="BG491" i="6"/>
  <c r="BF491" i="6"/>
  <c r="BD491" i="6"/>
  <c r="BC491" i="6"/>
  <c r="BB491" i="6"/>
  <c r="BE491" i="6" s="1"/>
  <c r="BA491" i="6"/>
  <c r="AZ491" i="6"/>
  <c r="AY491" i="6"/>
  <c r="AX491" i="6"/>
  <c r="AW491" i="6"/>
  <c r="AV491" i="6"/>
  <c r="AT491" i="6"/>
  <c r="AS491" i="6"/>
  <c r="AU491" i="6" s="1"/>
  <c r="AQ491" i="6"/>
  <c r="AR491" i="6" s="1"/>
  <c r="AP491" i="6"/>
  <c r="AN491" i="6"/>
  <c r="AM491" i="6"/>
  <c r="AO491" i="6" s="1"/>
  <c r="AL491" i="6"/>
  <c r="AK491" i="6"/>
  <c r="AI491" i="6"/>
  <c r="AJ491" i="6" s="1"/>
  <c r="AG491" i="6"/>
  <c r="AE491" i="6"/>
  <c r="AD491" i="6"/>
  <c r="AC491" i="6"/>
  <c r="AA491" i="6"/>
  <c r="AB491" i="6" s="1"/>
  <c r="Z491" i="6"/>
  <c r="Y491" i="6"/>
  <c r="W491" i="6"/>
  <c r="V491" i="6"/>
  <c r="T491" i="6"/>
  <c r="S491" i="6"/>
  <c r="R491" i="6"/>
  <c r="P491" i="6"/>
  <c r="O491" i="6"/>
  <c r="N491" i="6"/>
  <c r="Q491" i="6" s="1"/>
  <c r="M491" i="6"/>
  <c r="J491" i="6"/>
  <c r="H491" i="6"/>
  <c r="G491" i="6"/>
  <c r="F491" i="6"/>
  <c r="E491" i="6"/>
  <c r="D491" i="6"/>
  <c r="C491" i="6"/>
  <c r="B491" i="6"/>
  <c r="DW490" i="6"/>
  <c r="DP490" i="6"/>
  <c r="DM490" i="6"/>
  <c r="DL490" i="6"/>
  <c r="DK490" i="6"/>
  <c r="DJ490" i="6"/>
  <c r="DN490" i="6" s="1"/>
  <c r="DH490" i="6"/>
  <c r="DI490" i="6" s="1"/>
  <c r="DF490" i="6"/>
  <c r="DG490" i="6" s="1"/>
  <c r="DE490" i="6"/>
  <c r="DD490" i="6"/>
  <c r="DB490" i="6"/>
  <c r="DA490" i="6"/>
  <c r="CZ490" i="6"/>
  <c r="CY490" i="6"/>
  <c r="CX490" i="6"/>
  <c r="CV490" i="6"/>
  <c r="CW490" i="6" s="1"/>
  <c r="CT490" i="6"/>
  <c r="CU490" i="6" s="1"/>
  <c r="CS490" i="6"/>
  <c r="CR490" i="6"/>
  <c r="CQ490" i="6"/>
  <c r="CP490" i="6"/>
  <c r="CN490" i="6"/>
  <c r="CM490" i="6"/>
  <c r="CL490" i="6"/>
  <c r="CO490" i="6" s="1"/>
  <c r="CK490" i="6"/>
  <c r="CJ490" i="6"/>
  <c r="CI490" i="6"/>
  <c r="CG490" i="6"/>
  <c r="CH490" i="6" s="1"/>
  <c r="CE490" i="6"/>
  <c r="CD490" i="6"/>
  <c r="CF490" i="6" s="1"/>
  <c r="CC490" i="6"/>
  <c r="CB490" i="6"/>
  <c r="BZ490" i="6"/>
  <c r="BY490" i="6"/>
  <c r="BX490" i="6"/>
  <c r="BW490" i="6"/>
  <c r="CA490" i="6" s="1"/>
  <c r="BU490" i="6"/>
  <c r="BV490" i="6" s="1"/>
  <c r="BS490" i="6"/>
  <c r="BR490" i="6"/>
  <c r="BQ490" i="6"/>
  <c r="BO490" i="6"/>
  <c r="BP490" i="6" s="1"/>
  <c r="BM490" i="6"/>
  <c r="BL490" i="6"/>
  <c r="BN490" i="6" s="1"/>
  <c r="BK490" i="6"/>
  <c r="BJ490" i="6"/>
  <c r="BH490" i="6"/>
  <c r="BI490" i="6" s="1"/>
  <c r="BG490" i="6"/>
  <c r="BF490" i="6"/>
  <c r="BD490" i="6"/>
  <c r="BC490" i="6"/>
  <c r="BB490" i="6"/>
  <c r="BE490" i="6" s="1"/>
  <c r="BA490" i="6"/>
  <c r="AZ490" i="6"/>
  <c r="AY490" i="6"/>
  <c r="AX490" i="6"/>
  <c r="AW490" i="6"/>
  <c r="AV490" i="6"/>
  <c r="AT490" i="6"/>
  <c r="AS490" i="6"/>
  <c r="AU490" i="6" s="1"/>
  <c r="AQ490" i="6"/>
  <c r="AP490" i="6"/>
  <c r="AR490" i="6" s="1"/>
  <c r="AN490" i="6"/>
  <c r="AM490" i="6"/>
  <c r="AO490" i="6" s="1"/>
  <c r="AK490" i="6"/>
  <c r="AL490" i="6" s="1"/>
  <c r="AJ490" i="6"/>
  <c r="AI490" i="6"/>
  <c r="AG490" i="6"/>
  <c r="AE490" i="6"/>
  <c r="AD490" i="6"/>
  <c r="AC490" i="6"/>
  <c r="AA490" i="6"/>
  <c r="Z490" i="6"/>
  <c r="Y490" i="6"/>
  <c r="W490" i="6"/>
  <c r="V490" i="6"/>
  <c r="T490" i="6"/>
  <c r="R490" i="6"/>
  <c r="S490" i="6" s="1"/>
  <c r="P490" i="6"/>
  <c r="O490" i="6"/>
  <c r="N490" i="6"/>
  <c r="M490" i="6"/>
  <c r="Q490" i="6" s="1"/>
  <c r="J490" i="6"/>
  <c r="H490" i="6"/>
  <c r="G490" i="6"/>
  <c r="F490" i="6"/>
  <c r="E490" i="6"/>
  <c r="I490" i="6" s="1"/>
  <c r="D490" i="6"/>
  <c r="C490" i="6"/>
  <c r="B490" i="6"/>
  <c r="DW489" i="6"/>
  <c r="DP489" i="6"/>
  <c r="DN489" i="6"/>
  <c r="DM489" i="6"/>
  <c r="DL489" i="6"/>
  <c r="DK489" i="6"/>
  <c r="DJ489" i="6"/>
  <c r="DH489" i="6"/>
  <c r="DI489" i="6" s="1"/>
  <c r="DF489" i="6"/>
  <c r="DG489" i="6" s="1"/>
  <c r="DD489" i="6"/>
  <c r="DE489" i="6" s="1"/>
  <c r="DB489" i="6"/>
  <c r="DA489" i="6"/>
  <c r="DC489" i="6" s="1"/>
  <c r="CZ489" i="6"/>
  <c r="CY489" i="6"/>
  <c r="CX489" i="6"/>
  <c r="CV489" i="6"/>
  <c r="CW489" i="6" s="1"/>
  <c r="CT489" i="6"/>
  <c r="CU489" i="6" s="1"/>
  <c r="CR489" i="6"/>
  <c r="CQ489" i="6"/>
  <c r="CP489" i="6"/>
  <c r="CN489" i="6"/>
  <c r="CM489" i="6"/>
  <c r="CL489" i="6"/>
  <c r="CO489" i="6" s="1"/>
  <c r="CK489" i="6"/>
  <c r="CJ489" i="6"/>
  <c r="CI489" i="6"/>
  <c r="CH489" i="6"/>
  <c r="CG489" i="6"/>
  <c r="CE489" i="6"/>
  <c r="CD489" i="6"/>
  <c r="CF489" i="6" s="1"/>
  <c r="CC489" i="6"/>
  <c r="CB489" i="6"/>
  <c r="BZ489" i="6"/>
  <c r="BY489" i="6"/>
  <c r="BX489" i="6"/>
  <c r="BW489" i="6"/>
  <c r="CA489" i="6" s="1"/>
  <c r="BV489" i="6"/>
  <c r="BU489" i="6"/>
  <c r="BR489" i="6"/>
  <c r="BS489" i="6" s="1"/>
  <c r="BQ489" i="6"/>
  <c r="BO489" i="6"/>
  <c r="BP489" i="6" s="1"/>
  <c r="BM489" i="6"/>
  <c r="BL489" i="6"/>
  <c r="BK489" i="6"/>
  <c r="BJ489" i="6"/>
  <c r="BH489" i="6"/>
  <c r="BI489" i="6" s="1"/>
  <c r="BF489" i="6"/>
  <c r="BG489" i="6" s="1"/>
  <c r="BD489" i="6"/>
  <c r="BC489" i="6"/>
  <c r="BB489" i="6"/>
  <c r="BE489" i="6" s="1"/>
  <c r="AZ489" i="6"/>
  <c r="AY489" i="6"/>
  <c r="AW489" i="6"/>
  <c r="AV489" i="6"/>
  <c r="AX489" i="6" s="1"/>
  <c r="AT489" i="6"/>
  <c r="AS489" i="6"/>
  <c r="AU489" i="6" s="1"/>
  <c r="AQ489" i="6"/>
  <c r="AP489" i="6"/>
  <c r="AO489" i="6"/>
  <c r="AN489" i="6"/>
  <c r="AM489" i="6"/>
  <c r="AK489" i="6"/>
  <c r="AL489" i="6" s="1"/>
  <c r="AJ489" i="6"/>
  <c r="AI489" i="6"/>
  <c r="AG489" i="6"/>
  <c r="AE489" i="6"/>
  <c r="AD489" i="6"/>
  <c r="AC489" i="6"/>
  <c r="AB489" i="6"/>
  <c r="AA489" i="6"/>
  <c r="Z489" i="6"/>
  <c r="Y489" i="6"/>
  <c r="W489" i="6"/>
  <c r="V489" i="6"/>
  <c r="T489" i="6"/>
  <c r="S489" i="6"/>
  <c r="R489" i="6"/>
  <c r="Q489" i="6"/>
  <c r="P489" i="6"/>
  <c r="O489" i="6"/>
  <c r="N489" i="6"/>
  <c r="DV489" i="6" s="1"/>
  <c r="M489" i="6"/>
  <c r="J489" i="6"/>
  <c r="H489" i="6"/>
  <c r="G489" i="6"/>
  <c r="F489" i="6"/>
  <c r="E489" i="6"/>
  <c r="I489" i="6" s="1"/>
  <c r="D489" i="6"/>
  <c r="C489" i="6"/>
  <c r="B489" i="6"/>
  <c r="DW488" i="6"/>
  <c r="DM488" i="6"/>
  <c r="DV488" i="6" s="1"/>
  <c r="DL488" i="6"/>
  <c r="DK488" i="6"/>
  <c r="DJ488" i="6"/>
  <c r="DN488" i="6" s="1"/>
  <c r="DI488" i="6"/>
  <c r="DH488" i="6"/>
  <c r="DF488" i="6"/>
  <c r="DG488" i="6" s="1"/>
  <c r="DE488" i="6"/>
  <c r="DD488" i="6"/>
  <c r="DC488" i="6"/>
  <c r="DB488" i="6"/>
  <c r="DA488" i="6"/>
  <c r="CY488" i="6"/>
  <c r="CZ488" i="6" s="1"/>
  <c r="CX488" i="6"/>
  <c r="CW488" i="6"/>
  <c r="CV488" i="6"/>
  <c r="CT488" i="6"/>
  <c r="CU488" i="6" s="1"/>
  <c r="CR488" i="6"/>
  <c r="CQ488" i="6"/>
  <c r="CS488" i="6" s="1"/>
  <c r="CP488" i="6"/>
  <c r="CO488" i="6"/>
  <c r="CN488" i="6"/>
  <c r="CM488" i="6"/>
  <c r="CL488" i="6"/>
  <c r="CJ488" i="6"/>
  <c r="CI488" i="6"/>
  <c r="CK488" i="6" s="1"/>
  <c r="CG488" i="6"/>
  <c r="CH488" i="6" s="1"/>
  <c r="CE488" i="6"/>
  <c r="CD488" i="6"/>
  <c r="CF488" i="6" s="1"/>
  <c r="CC488" i="6"/>
  <c r="CB488" i="6"/>
  <c r="BZ488" i="6"/>
  <c r="BY488" i="6"/>
  <c r="BX488" i="6"/>
  <c r="BW488" i="6"/>
  <c r="CA488" i="6" s="1"/>
  <c r="BU488" i="6"/>
  <c r="BR488" i="6"/>
  <c r="BQ488" i="6"/>
  <c r="BS488" i="6" s="1"/>
  <c r="BP488" i="6"/>
  <c r="BO488" i="6"/>
  <c r="BN488" i="6"/>
  <c r="BM488" i="6"/>
  <c r="BL488" i="6"/>
  <c r="BK488" i="6"/>
  <c r="BJ488" i="6"/>
  <c r="BH488" i="6"/>
  <c r="BI488" i="6" s="1"/>
  <c r="BF488" i="6"/>
  <c r="BG488" i="6" s="1"/>
  <c r="BE488" i="6"/>
  <c r="BD488" i="6"/>
  <c r="BC488" i="6"/>
  <c r="BB488" i="6"/>
  <c r="AZ488" i="6"/>
  <c r="AY488" i="6"/>
  <c r="BA488" i="6" s="1"/>
  <c r="AW488" i="6"/>
  <c r="AV488" i="6"/>
  <c r="AX488" i="6" s="1"/>
  <c r="AU488" i="6"/>
  <c r="AT488" i="6"/>
  <c r="AS488" i="6"/>
  <c r="AQ488" i="6"/>
  <c r="AP488" i="6"/>
  <c r="AR488" i="6" s="1"/>
  <c r="AO488" i="6"/>
  <c r="AN488" i="6"/>
  <c r="AM488" i="6"/>
  <c r="AK488" i="6"/>
  <c r="AL488" i="6" s="1"/>
  <c r="AI488" i="6"/>
  <c r="AJ488" i="6" s="1"/>
  <c r="AG488" i="6"/>
  <c r="AE488" i="6"/>
  <c r="AD488" i="6"/>
  <c r="AC488" i="6"/>
  <c r="AA488" i="6"/>
  <c r="AB488" i="6" s="1"/>
  <c r="Z488" i="6"/>
  <c r="Y488" i="6"/>
  <c r="X488" i="6"/>
  <c r="W488" i="6"/>
  <c r="V488" i="6"/>
  <c r="T488" i="6"/>
  <c r="S488" i="6"/>
  <c r="R488" i="6"/>
  <c r="P488" i="6"/>
  <c r="O488" i="6"/>
  <c r="N488" i="6"/>
  <c r="M488" i="6"/>
  <c r="J488" i="6"/>
  <c r="I488" i="6"/>
  <c r="H488" i="6"/>
  <c r="G488" i="6"/>
  <c r="F488" i="6"/>
  <c r="E488" i="6"/>
  <c r="DP488" i="6" s="1"/>
  <c r="D488" i="6"/>
  <c r="C488" i="6"/>
  <c r="B488" i="6"/>
  <c r="DW487" i="6"/>
  <c r="DP487" i="6"/>
  <c r="DM487" i="6"/>
  <c r="DL487" i="6"/>
  <c r="DK487" i="6"/>
  <c r="DJ487" i="6"/>
  <c r="DI487" i="6"/>
  <c r="DH487" i="6"/>
  <c r="DF487" i="6"/>
  <c r="DG487" i="6" s="1"/>
  <c r="DE487" i="6"/>
  <c r="DD487" i="6"/>
  <c r="DC487" i="6"/>
  <c r="DB487" i="6"/>
  <c r="DA487" i="6"/>
  <c r="CY487" i="6"/>
  <c r="CX487" i="6"/>
  <c r="CW487" i="6"/>
  <c r="CV487" i="6"/>
  <c r="CT487" i="6"/>
  <c r="CU487" i="6" s="1"/>
  <c r="CR487" i="6"/>
  <c r="CQ487" i="6"/>
  <c r="CP487" i="6"/>
  <c r="CS487" i="6" s="1"/>
  <c r="CN487" i="6"/>
  <c r="CM487" i="6"/>
  <c r="CL487" i="6"/>
  <c r="CO487" i="6" s="1"/>
  <c r="CJ487" i="6"/>
  <c r="CI487" i="6"/>
  <c r="CK487" i="6" s="1"/>
  <c r="CH487" i="6"/>
  <c r="CG487" i="6"/>
  <c r="CF487" i="6"/>
  <c r="CE487" i="6"/>
  <c r="CD487" i="6"/>
  <c r="CB487" i="6"/>
  <c r="CC487" i="6" s="1"/>
  <c r="CA487" i="6"/>
  <c r="BZ487" i="6"/>
  <c r="BY487" i="6"/>
  <c r="BX487" i="6"/>
  <c r="BW487" i="6"/>
  <c r="BU487" i="6"/>
  <c r="BV487" i="6" s="1"/>
  <c r="BS487" i="6"/>
  <c r="BR487" i="6"/>
  <c r="BQ487" i="6"/>
  <c r="BP487" i="6"/>
  <c r="BO487" i="6"/>
  <c r="BM487" i="6"/>
  <c r="BL487" i="6"/>
  <c r="BK487" i="6"/>
  <c r="BJ487" i="6"/>
  <c r="BI487" i="6"/>
  <c r="BH487" i="6"/>
  <c r="BF487" i="6"/>
  <c r="BG487" i="6" s="1"/>
  <c r="BD487" i="6"/>
  <c r="BE487" i="6" s="1"/>
  <c r="BC487" i="6"/>
  <c r="BB487" i="6"/>
  <c r="AZ487" i="6"/>
  <c r="AY487" i="6"/>
  <c r="BA487" i="6" s="1"/>
  <c r="AW487" i="6"/>
  <c r="AX487" i="6" s="1"/>
  <c r="AV487" i="6"/>
  <c r="AT487" i="6"/>
  <c r="AU487" i="6" s="1"/>
  <c r="AS487" i="6"/>
  <c r="AQ487" i="6"/>
  <c r="AP487" i="6"/>
  <c r="AR487" i="6" s="1"/>
  <c r="AN487" i="6"/>
  <c r="AM487" i="6"/>
  <c r="AK487" i="6"/>
  <c r="AL487" i="6" s="1"/>
  <c r="AJ487" i="6"/>
  <c r="AI487" i="6"/>
  <c r="AG487" i="6"/>
  <c r="AE487" i="6"/>
  <c r="AD487" i="6"/>
  <c r="AC487" i="6"/>
  <c r="AA487" i="6"/>
  <c r="Z487" i="6"/>
  <c r="Y487" i="6"/>
  <c r="W487" i="6"/>
  <c r="V487" i="6"/>
  <c r="T487" i="6"/>
  <c r="R487" i="6"/>
  <c r="S487" i="6" s="1"/>
  <c r="Q487" i="6"/>
  <c r="P487" i="6"/>
  <c r="O487" i="6"/>
  <c r="DU487" i="6" s="1"/>
  <c r="N487" i="6"/>
  <c r="M487" i="6"/>
  <c r="J487" i="6"/>
  <c r="H487" i="6"/>
  <c r="G487" i="6"/>
  <c r="F487" i="6"/>
  <c r="E487" i="6"/>
  <c r="D487" i="6"/>
  <c r="C487" i="6"/>
  <c r="B487" i="6"/>
  <c r="DW486" i="6"/>
  <c r="DP486" i="6"/>
  <c r="DM486" i="6"/>
  <c r="DL486" i="6"/>
  <c r="DK486" i="6"/>
  <c r="DN486" i="6" s="1"/>
  <c r="DJ486" i="6"/>
  <c r="DH486" i="6"/>
  <c r="DI486" i="6" s="1"/>
  <c r="DG486" i="6"/>
  <c r="DF486" i="6"/>
  <c r="DE486" i="6"/>
  <c r="DD486" i="6"/>
  <c r="DB486" i="6"/>
  <c r="DA486" i="6"/>
  <c r="CY486" i="6"/>
  <c r="CX486" i="6"/>
  <c r="CV486" i="6"/>
  <c r="CW486" i="6" s="1"/>
  <c r="CU486" i="6"/>
  <c r="CT486" i="6"/>
  <c r="CR486" i="6"/>
  <c r="CQ486" i="6"/>
  <c r="CP486" i="6"/>
  <c r="CS486" i="6" s="1"/>
  <c r="CN486" i="6"/>
  <c r="CM486" i="6"/>
  <c r="CO486" i="6" s="1"/>
  <c r="CL486" i="6"/>
  <c r="CJ486" i="6"/>
  <c r="CI486" i="6"/>
  <c r="CG486" i="6"/>
  <c r="CH486" i="6" s="1"/>
  <c r="CE486" i="6"/>
  <c r="CF486" i="6" s="1"/>
  <c r="CD486" i="6"/>
  <c r="CB486" i="6"/>
  <c r="CC486" i="6" s="1"/>
  <c r="CA486" i="6"/>
  <c r="BZ486" i="6"/>
  <c r="BY486" i="6"/>
  <c r="BX486" i="6"/>
  <c r="BW486" i="6"/>
  <c r="BU486" i="6"/>
  <c r="BV486" i="6" s="1"/>
  <c r="BR486" i="6"/>
  <c r="BS486" i="6" s="1"/>
  <c r="BQ486" i="6"/>
  <c r="BO486" i="6"/>
  <c r="BP486" i="6" s="1"/>
  <c r="BM486" i="6"/>
  <c r="BL486" i="6"/>
  <c r="BK486" i="6"/>
  <c r="BJ486" i="6"/>
  <c r="BI486" i="6"/>
  <c r="BH486" i="6"/>
  <c r="BF486" i="6"/>
  <c r="BG486" i="6" s="1"/>
  <c r="BD486" i="6"/>
  <c r="BC486" i="6"/>
  <c r="BE486" i="6" s="1"/>
  <c r="BB486" i="6"/>
  <c r="AZ486" i="6"/>
  <c r="AY486" i="6"/>
  <c r="BA486" i="6" s="1"/>
  <c r="AW486" i="6"/>
  <c r="AV486" i="6"/>
  <c r="AX486" i="6" s="1"/>
  <c r="AT486" i="6"/>
  <c r="AS486" i="6"/>
  <c r="AQ486" i="6"/>
  <c r="AP486" i="6"/>
  <c r="AR486" i="6" s="1"/>
  <c r="AN486" i="6"/>
  <c r="AM486" i="6"/>
  <c r="AL486" i="6"/>
  <c r="AK486" i="6"/>
  <c r="AI486" i="6"/>
  <c r="AJ486" i="6" s="1"/>
  <c r="AG486" i="6"/>
  <c r="AF486" i="6"/>
  <c r="AE486" i="6"/>
  <c r="AD486" i="6"/>
  <c r="AC486" i="6"/>
  <c r="AA486" i="6"/>
  <c r="Z486" i="6"/>
  <c r="Y486" i="6"/>
  <c r="W486" i="6"/>
  <c r="V486" i="6"/>
  <c r="T486" i="6"/>
  <c r="R486" i="6"/>
  <c r="S486" i="6" s="1"/>
  <c r="P486" i="6"/>
  <c r="Q486" i="6" s="1"/>
  <c r="O486" i="6"/>
  <c r="N486" i="6"/>
  <c r="M486" i="6"/>
  <c r="J486" i="6"/>
  <c r="H486" i="6"/>
  <c r="G486" i="6"/>
  <c r="F486" i="6"/>
  <c r="E486" i="6"/>
  <c r="D486" i="6"/>
  <c r="C486" i="6"/>
  <c r="B486" i="6"/>
  <c r="DW485" i="6"/>
  <c r="DM485" i="6"/>
  <c r="DL485" i="6"/>
  <c r="DK485" i="6"/>
  <c r="DJ485" i="6"/>
  <c r="DH485" i="6"/>
  <c r="DI485" i="6" s="1"/>
  <c r="DG485" i="6"/>
  <c r="DF485" i="6"/>
  <c r="DD485" i="6"/>
  <c r="DC485" i="6"/>
  <c r="DB485" i="6"/>
  <c r="DA485" i="6"/>
  <c r="CZ485" i="6"/>
  <c r="CY485" i="6"/>
  <c r="CX485" i="6"/>
  <c r="CW485" i="6"/>
  <c r="CV485" i="6"/>
  <c r="CU485" i="6"/>
  <c r="CT485" i="6"/>
  <c r="CR485" i="6"/>
  <c r="CQ485" i="6"/>
  <c r="CP485" i="6"/>
  <c r="CS485" i="6" s="1"/>
  <c r="CN485" i="6"/>
  <c r="CM485" i="6"/>
  <c r="CL485" i="6"/>
  <c r="CO485" i="6" s="1"/>
  <c r="CK485" i="6"/>
  <c r="CJ485" i="6"/>
  <c r="CI485" i="6"/>
  <c r="CG485" i="6"/>
  <c r="CH485" i="6" s="1"/>
  <c r="CF485" i="6"/>
  <c r="CE485" i="6"/>
  <c r="CD485" i="6"/>
  <c r="CB485" i="6"/>
  <c r="CC485" i="6" s="1"/>
  <c r="BZ485" i="6"/>
  <c r="BY485" i="6"/>
  <c r="BX485" i="6"/>
  <c r="BW485" i="6"/>
  <c r="BU485" i="6"/>
  <c r="BV485" i="6" s="1"/>
  <c r="BR485" i="6"/>
  <c r="BQ485" i="6"/>
  <c r="BS485" i="6" s="1"/>
  <c r="BO485" i="6"/>
  <c r="BP485" i="6" s="1"/>
  <c r="BN485" i="6"/>
  <c r="BM485" i="6"/>
  <c r="BL485" i="6"/>
  <c r="BK485" i="6"/>
  <c r="BJ485" i="6"/>
  <c r="BH485" i="6"/>
  <c r="BI485" i="6" s="1"/>
  <c r="BG485" i="6"/>
  <c r="BF485" i="6"/>
  <c r="BD485" i="6"/>
  <c r="BC485" i="6"/>
  <c r="BB485" i="6"/>
  <c r="AZ485" i="6"/>
  <c r="AY485" i="6"/>
  <c r="BA485" i="6" s="1"/>
  <c r="AW485" i="6"/>
  <c r="AV485" i="6"/>
  <c r="AX485" i="6" s="1"/>
  <c r="AT485" i="6"/>
  <c r="AS485" i="6"/>
  <c r="AU485" i="6" s="1"/>
  <c r="AR485" i="6"/>
  <c r="AQ485" i="6"/>
  <c r="AP485" i="6"/>
  <c r="AO485" i="6"/>
  <c r="AN485" i="6"/>
  <c r="AM485" i="6"/>
  <c r="AL485" i="6"/>
  <c r="AK485" i="6"/>
  <c r="AI485" i="6"/>
  <c r="AJ485" i="6" s="1"/>
  <c r="AG485" i="6"/>
  <c r="AF485" i="6"/>
  <c r="AE485" i="6"/>
  <c r="AD485" i="6"/>
  <c r="AC485" i="6"/>
  <c r="AA485" i="6"/>
  <c r="Z485" i="6"/>
  <c r="AB485" i="6" s="1"/>
  <c r="Y485" i="6"/>
  <c r="X485" i="6"/>
  <c r="W485" i="6"/>
  <c r="V485" i="6"/>
  <c r="T485" i="6"/>
  <c r="S485" i="6"/>
  <c r="R485" i="6"/>
  <c r="P485" i="6"/>
  <c r="O485" i="6"/>
  <c r="N485" i="6"/>
  <c r="M485" i="6"/>
  <c r="Q485" i="6" s="1"/>
  <c r="J485" i="6"/>
  <c r="H485" i="6"/>
  <c r="G485" i="6"/>
  <c r="F485" i="6"/>
  <c r="E485" i="6"/>
  <c r="D485" i="6"/>
  <c r="C485" i="6"/>
  <c r="B485" i="6"/>
  <c r="DW484" i="6"/>
  <c r="DM484" i="6"/>
  <c r="DL484" i="6"/>
  <c r="DK484" i="6"/>
  <c r="DJ484" i="6"/>
  <c r="DN484" i="6" s="1"/>
  <c r="DI484" i="6"/>
  <c r="DH484" i="6"/>
  <c r="DF484" i="6"/>
  <c r="DG484" i="6" s="1"/>
  <c r="DD484" i="6"/>
  <c r="DE484" i="6" s="1"/>
  <c r="DC484" i="6"/>
  <c r="DB484" i="6"/>
  <c r="DA484" i="6"/>
  <c r="CY484" i="6"/>
  <c r="CZ484" i="6" s="1"/>
  <c r="CX484" i="6"/>
  <c r="CV484" i="6"/>
  <c r="CW484" i="6" s="1"/>
  <c r="CU484" i="6"/>
  <c r="CT484" i="6"/>
  <c r="CR484" i="6"/>
  <c r="CQ484" i="6"/>
  <c r="CP484" i="6"/>
  <c r="CS484" i="6" s="1"/>
  <c r="CN484" i="6"/>
  <c r="CM484" i="6"/>
  <c r="CO484" i="6" s="1"/>
  <c r="CL484" i="6"/>
  <c r="CJ484" i="6"/>
  <c r="CK484" i="6" s="1"/>
  <c r="CI484" i="6"/>
  <c r="CG484" i="6"/>
  <c r="CH484" i="6" s="1"/>
  <c r="CE484" i="6"/>
  <c r="CD484" i="6"/>
  <c r="CF484" i="6" s="1"/>
  <c r="CC484" i="6"/>
  <c r="CB484" i="6"/>
  <c r="BZ484" i="6"/>
  <c r="BY484" i="6"/>
  <c r="BX484" i="6"/>
  <c r="BW484" i="6"/>
  <c r="BU484" i="6"/>
  <c r="BV484" i="6" s="1"/>
  <c r="BR484" i="6"/>
  <c r="BQ484" i="6"/>
  <c r="BS484" i="6" s="1"/>
  <c r="BP484" i="6"/>
  <c r="BO484" i="6"/>
  <c r="BM484" i="6"/>
  <c r="BL484" i="6"/>
  <c r="BK484" i="6"/>
  <c r="BJ484" i="6"/>
  <c r="BN484" i="6" s="1"/>
  <c r="BI484" i="6"/>
  <c r="BH484" i="6"/>
  <c r="BG484" i="6"/>
  <c r="BF484" i="6"/>
  <c r="BD484" i="6"/>
  <c r="BC484" i="6"/>
  <c r="BB484" i="6"/>
  <c r="BE484" i="6" s="1"/>
  <c r="BA484" i="6"/>
  <c r="AZ484" i="6"/>
  <c r="AY484" i="6"/>
  <c r="AW484" i="6"/>
  <c r="AV484" i="6"/>
  <c r="AX484" i="6" s="1"/>
  <c r="AT484" i="6"/>
  <c r="AS484" i="6"/>
  <c r="AR484" i="6"/>
  <c r="AQ484" i="6"/>
  <c r="AP484" i="6"/>
  <c r="AN484" i="6"/>
  <c r="AM484" i="6"/>
  <c r="AO484" i="6" s="1"/>
  <c r="AK484" i="6"/>
  <c r="AL484" i="6" s="1"/>
  <c r="AJ484" i="6"/>
  <c r="AI484" i="6"/>
  <c r="AG484" i="6"/>
  <c r="AE484" i="6"/>
  <c r="AD484" i="6"/>
  <c r="AC484" i="6"/>
  <c r="AA484" i="6"/>
  <c r="Z484" i="6"/>
  <c r="AB484" i="6" s="1"/>
  <c r="Y484" i="6"/>
  <c r="W484" i="6"/>
  <c r="X484" i="6" s="1"/>
  <c r="V484" i="6"/>
  <c r="T484" i="6"/>
  <c r="S484" i="6"/>
  <c r="R484" i="6"/>
  <c r="P484" i="6"/>
  <c r="DQ484" i="6" s="1"/>
  <c r="O484" i="6"/>
  <c r="N484" i="6"/>
  <c r="M484" i="6"/>
  <c r="J484" i="6"/>
  <c r="H484" i="6"/>
  <c r="G484" i="6"/>
  <c r="F484" i="6"/>
  <c r="DV484" i="6" s="1"/>
  <c r="E484" i="6"/>
  <c r="D484" i="6"/>
  <c r="C484" i="6"/>
  <c r="B484" i="6"/>
  <c r="DW483" i="6"/>
  <c r="DU483" i="6"/>
  <c r="DP483" i="6"/>
  <c r="DM483" i="6"/>
  <c r="DL483" i="6"/>
  <c r="DK483" i="6"/>
  <c r="DJ483" i="6"/>
  <c r="DN483" i="6" s="1"/>
  <c r="DH483" i="6"/>
  <c r="DI483" i="6" s="1"/>
  <c r="DF483" i="6"/>
  <c r="DG483" i="6" s="1"/>
  <c r="DE483" i="6"/>
  <c r="DD483" i="6"/>
  <c r="DB483" i="6"/>
  <c r="DA483" i="6"/>
  <c r="DC483" i="6" s="1"/>
  <c r="CY483" i="6"/>
  <c r="CX483" i="6"/>
  <c r="CV483" i="6"/>
  <c r="CW483" i="6" s="1"/>
  <c r="CT483" i="6"/>
  <c r="CU483" i="6" s="1"/>
  <c r="CS483" i="6"/>
  <c r="CR483" i="6"/>
  <c r="CQ483" i="6"/>
  <c r="CP483" i="6"/>
  <c r="CN483" i="6"/>
  <c r="CM483" i="6"/>
  <c r="CL483" i="6"/>
  <c r="CJ483" i="6"/>
  <c r="CI483" i="6"/>
  <c r="CH483" i="6"/>
  <c r="CG483" i="6"/>
  <c r="CF483" i="6"/>
  <c r="CE483" i="6"/>
  <c r="CD483" i="6"/>
  <c r="CB483" i="6"/>
  <c r="CC483" i="6" s="1"/>
  <c r="BZ483" i="6"/>
  <c r="BY483" i="6"/>
  <c r="BX483" i="6"/>
  <c r="BW483" i="6"/>
  <c r="BV483" i="6"/>
  <c r="BU483" i="6"/>
  <c r="BR483" i="6"/>
  <c r="BQ483" i="6"/>
  <c r="BS483" i="6" s="1"/>
  <c r="BO483" i="6"/>
  <c r="BP483" i="6" s="1"/>
  <c r="BM483" i="6"/>
  <c r="BL483" i="6"/>
  <c r="BK483" i="6"/>
  <c r="BJ483" i="6"/>
  <c r="BH483" i="6"/>
  <c r="BI483" i="6" s="1"/>
  <c r="BF483" i="6"/>
  <c r="BG483" i="6" s="1"/>
  <c r="BD483" i="6"/>
  <c r="BC483" i="6"/>
  <c r="BB483" i="6"/>
  <c r="BE483" i="6" s="1"/>
  <c r="AZ483" i="6"/>
  <c r="BA483" i="6" s="1"/>
  <c r="AY483" i="6"/>
  <c r="AW483" i="6"/>
  <c r="AV483" i="6"/>
  <c r="AX483" i="6" s="1"/>
  <c r="AT483" i="6"/>
  <c r="AS483" i="6"/>
  <c r="AQ483" i="6"/>
  <c r="AP483" i="6"/>
  <c r="AN483" i="6"/>
  <c r="AM483" i="6"/>
  <c r="AO483" i="6" s="1"/>
  <c r="AK483" i="6"/>
  <c r="AL483" i="6" s="1"/>
  <c r="AJ483" i="6"/>
  <c r="AI483" i="6"/>
  <c r="AG483" i="6"/>
  <c r="AE483" i="6"/>
  <c r="AD483" i="6"/>
  <c r="DR483" i="6" s="1"/>
  <c r="AC483" i="6"/>
  <c r="AA483" i="6"/>
  <c r="Z483" i="6"/>
  <c r="AB483" i="6" s="1"/>
  <c r="Y483" i="6"/>
  <c r="W483" i="6"/>
  <c r="V483" i="6"/>
  <c r="T483" i="6"/>
  <c r="R483" i="6"/>
  <c r="S483" i="6" s="1"/>
  <c r="P483" i="6"/>
  <c r="O483" i="6"/>
  <c r="N483" i="6"/>
  <c r="DV483" i="6" s="1"/>
  <c r="M483" i="6"/>
  <c r="J483" i="6"/>
  <c r="I483" i="6"/>
  <c r="H483" i="6"/>
  <c r="G483" i="6"/>
  <c r="F483" i="6"/>
  <c r="E483" i="6"/>
  <c r="D483" i="6"/>
  <c r="C483" i="6"/>
  <c r="B483" i="6"/>
  <c r="DW482" i="6"/>
  <c r="DN482" i="6"/>
  <c r="DM482" i="6"/>
  <c r="DL482" i="6"/>
  <c r="DK482" i="6"/>
  <c r="DJ482" i="6"/>
  <c r="DH482" i="6"/>
  <c r="DI482" i="6" s="1"/>
  <c r="DG482" i="6"/>
  <c r="DF482" i="6"/>
  <c r="DD482" i="6"/>
  <c r="DE482" i="6" s="1"/>
  <c r="DB482" i="6"/>
  <c r="DA482" i="6"/>
  <c r="DC482" i="6" s="1"/>
  <c r="CY482" i="6"/>
  <c r="CX482" i="6"/>
  <c r="CW482" i="6"/>
  <c r="CV482" i="6"/>
  <c r="CT482" i="6"/>
  <c r="CU482" i="6" s="1"/>
  <c r="CR482" i="6"/>
  <c r="CS482" i="6" s="1"/>
  <c r="CQ482" i="6"/>
  <c r="CP482" i="6"/>
  <c r="CN482" i="6"/>
  <c r="CM482" i="6"/>
  <c r="CL482" i="6"/>
  <c r="CO482" i="6" s="1"/>
  <c r="CJ482" i="6"/>
  <c r="CI482" i="6"/>
  <c r="CK482" i="6" s="1"/>
  <c r="CH482" i="6"/>
  <c r="CG482" i="6"/>
  <c r="CE482" i="6"/>
  <c r="CD482" i="6"/>
  <c r="CF482" i="6" s="1"/>
  <c r="CB482" i="6"/>
  <c r="CC482" i="6" s="1"/>
  <c r="BZ482" i="6"/>
  <c r="BY482" i="6"/>
  <c r="BX482" i="6"/>
  <c r="BW482" i="6"/>
  <c r="CA482" i="6" s="1"/>
  <c r="BV482" i="6"/>
  <c r="BU482" i="6"/>
  <c r="BR482" i="6"/>
  <c r="BQ482" i="6"/>
  <c r="BS482" i="6" s="1"/>
  <c r="BO482" i="6"/>
  <c r="BP482" i="6" s="1"/>
  <c r="BN482" i="6"/>
  <c r="BM482" i="6"/>
  <c r="BL482" i="6"/>
  <c r="BK482" i="6"/>
  <c r="BJ482" i="6"/>
  <c r="BH482" i="6"/>
  <c r="BI482" i="6" s="1"/>
  <c r="BG482" i="6"/>
  <c r="BF482" i="6"/>
  <c r="BD482" i="6"/>
  <c r="BE482" i="6" s="1"/>
  <c r="BC482" i="6"/>
  <c r="BB482" i="6"/>
  <c r="AZ482" i="6"/>
  <c r="AY482" i="6"/>
  <c r="BA482" i="6" s="1"/>
  <c r="AW482" i="6"/>
  <c r="AV482" i="6"/>
  <c r="AX482" i="6" s="1"/>
  <c r="AT482" i="6"/>
  <c r="AS482" i="6"/>
  <c r="AU482" i="6" s="1"/>
  <c r="AQ482" i="6"/>
  <c r="AP482" i="6"/>
  <c r="AR482" i="6" s="1"/>
  <c r="AO482" i="6"/>
  <c r="AN482" i="6"/>
  <c r="AM482" i="6"/>
  <c r="AL482" i="6"/>
  <c r="AK482" i="6"/>
  <c r="AI482" i="6"/>
  <c r="AJ482" i="6" s="1"/>
  <c r="AG482" i="6"/>
  <c r="AE482" i="6"/>
  <c r="AD482" i="6"/>
  <c r="AC482" i="6"/>
  <c r="AB482" i="6"/>
  <c r="AA482" i="6"/>
  <c r="Z482" i="6"/>
  <c r="Y482" i="6"/>
  <c r="W482" i="6"/>
  <c r="V482" i="6"/>
  <c r="X482" i="6" s="1"/>
  <c r="T482" i="6"/>
  <c r="R482" i="6"/>
  <c r="S482" i="6" s="1"/>
  <c r="P482" i="6"/>
  <c r="O482" i="6"/>
  <c r="N482" i="6"/>
  <c r="M482" i="6"/>
  <c r="J482" i="6"/>
  <c r="H482" i="6"/>
  <c r="G482" i="6"/>
  <c r="F482" i="6"/>
  <c r="E482" i="6"/>
  <c r="D482" i="6"/>
  <c r="C482" i="6"/>
  <c r="B482" i="6"/>
  <c r="DW481" i="6"/>
  <c r="DS481" i="6"/>
  <c r="DP481" i="6"/>
  <c r="DM481" i="6"/>
  <c r="DL481" i="6"/>
  <c r="DK481" i="6"/>
  <c r="DJ481" i="6"/>
  <c r="DH481" i="6"/>
  <c r="DI481" i="6" s="1"/>
  <c r="DG481" i="6"/>
  <c r="DF481" i="6"/>
  <c r="DD481" i="6"/>
  <c r="DE481" i="6" s="1"/>
  <c r="DC481" i="6"/>
  <c r="DB481" i="6"/>
  <c r="DA481" i="6"/>
  <c r="CY481" i="6"/>
  <c r="CZ481" i="6" s="1"/>
  <c r="CX481" i="6"/>
  <c r="CW481" i="6"/>
  <c r="CV481" i="6"/>
  <c r="CT481" i="6"/>
  <c r="CU481" i="6" s="1"/>
  <c r="CR481" i="6"/>
  <c r="CQ481" i="6"/>
  <c r="CS481" i="6" s="1"/>
  <c r="CP481" i="6"/>
  <c r="CN481" i="6"/>
  <c r="CM481" i="6"/>
  <c r="CL481" i="6"/>
  <c r="CO481" i="6" s="1"/>
  <c r="CJ481" i="6"/>
  <c r="CK481" i="6" s="1"/>
  <c r="CI481" i="6"/>
  <c r="CH481" i="6"/>
  <c r="CG481" i="6"/>
  <c r="CE481" i="6"/>
  <c r="CD481" i="6"/>
  <c r="CF481" i="6" s="1"/>
  <c r="CB481" i="6"/>
  <c r="CC481" i="6" s="1"/>
  <c r="BZ481" i="6"/>
  <c r="BY481" i="6"/>
  <c r="BX481" i="6"/>
  <c r="BW481" i="6"/>
  <c r="CA481" i="6" s="1"/>
  <c r="BU481" i="6"/>
  <c r="BV481" i="6" s="1"/>
  <c r="BR481" i="6"/>
  <c r="BQ481" i="6"/>
  <c r="BS481" i="6" s="1"/>
  <c r="BO481" i="6"/>
  <c r="BP481" i="6" s="1"/>
  <c r="BM481" i="6"/>
  <c r="BN481" i="6" s="1"/>
  <c r="BL481" i="6"/>
  <c r="BK481" i="6"/>
  <c r="BJ481" i="6"/>
  <c r="BI481" i="6"/>
  <c r="BH481" i="6"/>
  <c r="BF481" i="6"/>
  <c r="BG481" i="6" s="1"/>
  <c r="BD481" i="6"/>
  <c r="BC481" i="6"/>
  <c r="BE481" i="6" s="1"/>
  <c r="BB481" i="6"/>
  <c r="AZ481" i="6"/>
  <c r="AY481" i="6"/>
  <c r="AX481" i="6"/>
  <c r="AW481" i="6"/>
  <c r="AV481" i="6"/>
  <c r="AT481" i="6"/>
  <c r="AS481" i="6"/>
  <c r="AU481" i="6" s="1"/>
  <c r="AR481" i="6"/>
  <c r="AQ481" i="6"/>
  <c r="AP481" i="6"/>
  <c r="AO481" i="6"/>
  <c r="AN481" i="6"/>
  <c r="AM481" i="6"/>
  <c r="AK481" i="6"/>
  <c r="AL481" i="6" s="1"/>
  <c r="AI481" i="6"/>
  <c r="AG481" i="6"/>
  <c r="AF481" i="6"/>
  <c r="AE481" i="6"/>
  <c r="AD481" i="6"/>
  <c r="AC481" i="6"/>
  <c r="AA481" i="6"/>
  <c r="Z481" i="6"/>
  <c r="Y481" i="6"/>
  <c r="W481" i="6"/>
  <c r="V481" i="6"/>
  <c r="X481" i="6" s="1"/>
  <c r="T481" i="6"/>
  <c r="S481" i="6"/>
  <c r="R481" i="6"/>
  <c r="P481" i="6"/>
  <c r="Q481" i="6" s="1"/>
  <c r="O481" i="6"/>
  <c r="N481" i="6"/>
  <c r="M481" i="6"/>
  <c r="J481" i="6"/>
  <c r="H481" i="6"/>
  <c r="G481" i="6"/>
  <c r="F481" i="6"/>
  <c r="E481" i="6"/>
  <c r="D481" i="6"/>
  <c r="C481" i="6"/>
  <c r="B481" i="6"/>
  <c r="DW480" i="6"/>
  <c r="DS480" i="6"/>
  <c r="DM480" i="6"/>
  <c r="DV480" i="6" s="1"/>
  <c r="DL480" i="6"/>
  <c r="DK480" i="6"/>
  <c r="DJ480" i="6"/>
  <c r="DH480" i="6"/>
  <c r="DI480" i="6" s="1"/>
  <c r="DF480" i="6"/>
  <c r="DG480" i="6" s="1"/>
  <c r="DE480" i="6"/>
  <c r="DD480" i="6"/>
  <c r="DC480" i="6"/>
  <c r="DB480" i="6"/>
  <c r="DA480" i="6"/>
  <c r="CY480" i="6"/>
  <c r="CZ480" i="6" s="1"/>
  <c r="CX480" i="6"/>
  <c r="CV480" i="6"/>
  <c r="CW480" i="6" s="1"/>
  <c r="CU480" i="6"/>
  <c r="CT480" i="6"/>
  <c r="CR480" i="6"/>
  <c r="CQ480" i="6"/>
  <c r="CP480" i="6"/>
  <c r="CN480" i="6"/>
  <c r="CM480" i="6"/>
  <c r="CL480" i="6"/>
  <c r="CO480" i="6" s="1"/>
  <c r="CJ480" i="6"/>
  <c r="CI480" i="6"/>
  <c r="CG480" i="6"/>
  <c r="CH480" i="6" s="1"/>
  <c r="CF480" i="6"/>
  <c r="CE480" i="6"/>
  <c r="CD480" i="6"/>
  <c r="CB480" i="6"/>
  <c r="CC480" i="6" s="1"/>
  <c r="BZ480" i="6"/>
  <c r="BY480" i="6"/>
  <c r="BX480" i="6"/>
  <c r="BW480" i="6"/>
  <c r="BU480" i="6"/>
  <c r="BV480" i="6" s="1"/>
  <c r="BS480" i="6"/>
  <c r="BR480" i="6"/>
  <c r="BQ480" i="6"/>
  <c r="BO480" i="6"/>
  <c r="BP480" i="6" s="1"/>
  <c r="BM480" i="6"/>
  <c r="BL480" i="6"/>
  <c r="BK480" i="6"/>
  <c r="BJ480" i="6"/>
  <c r="BN480" i="6" s="1"/>
  <c r="BI480" i="6"/>
  <c r="BH480" i="6"/>
  <c r="BF480" i="6"/>
  <c r="BG480" i="6" s="1"/>
  <c r="BD480" i="6"/>
  <c r="BC480" i="6"/>
  <c r="BB480" i="6"/>
  <c r="AZ480" i="6"/>
  <c r="AY480" i="6"/>
  <c r="BA480" i="6" s="1"/>
  <c r="AX480" i="6"/>
  <c r="AW480" i="6"/>
  <c r="AV480" i="6"/>
  <c r="AT480" i="6"/>
  <c r="AS480" i="6"/>
  <c r="AU480" i="6" s="1"/>
  <c r="AQ480" i="6"/>
  <c r="DT480" i="6" s="1"/>
  <c r="AP480" i="6"/>
  <c r="AN480" i="6"/>
  <c r="AM480" i="6"/>
  <c r="AL480" i="6"/>
  <c r="AK480" i="6"/>
  <c r="AI480" i="6"/>
  <c r="AJ480" i="6" s="1"/>
  <c r="AG480" i="6"/>
  <c r="AF480" i="6"/>
  <c r="AE480" i="6"/>
  <c r="AD480" i="6"/>
  <c r="AC480" i="6"/>
  <c r="AB480" i="6"/>
  <c r="AA480" i="6"/>
  <c r="Z480" i="6"/>
  <c r="Y480" i="6"/>
  <c r="W480" i="6"/>
  <c r="V480" i="6"/>
  <c r="X480" i="6" s="1"/>
  <c r="T480" i="6"/>
  <c r="S480" i="6"/>
  <c r="R480" i="6"/>
  <c r="P480" i="6"/>
  <c r="O480" i="6"/>
  <c r="N480" i="6"/>
  <c r="M480" i="6"/>
  <c r="DP480" i="6" s="1"/>
  <c r="J480" i="6"/>
  <c r="H480" i="6"/>
  <c r="G480" i="6"/>
  <c r="DU480" i="6" s="1"/>
  <c r="F480" i="6"/>
  <c r="E480" i="6"/>
  <c r="D480" i="6"/>
  <c r="C480" i="6"/>
  <c r="B480" i="6"/>
  <c r="DW479" i="6"/>
  <c r="DT479" i="6"/>
  <c r="DM479" i="6"/>
  <c r="DL479" i="6"/>
  <c r="DK479" i="6"/>
  <c r="DJ479" i="6"/>
  <c r="DH479" i="6"/>
  <c r="DI479" i="6" s="1"/>
  <c r="DG479" i="6"/>
  <c r="DF479" i="6"/>
  <c r="DE479" i="6"/>
  <c r="DD479" i="6"/>
  <c r="DB479" i="6"/>
  <c r="DA479" i="6"/>
  <c r="DC479" i="6" s="1"/>
  <c r="CY479" i="6"/>
  <c r="CX479" i="6"/>
  <c r="CZ479" i="6" s="1"/>
  <c r="CW479" i="6"/>
  <c r="CV479" i="6"/>
  <c r="CU479" i="6"/>
  <c r="CT479" i="6"/>
  <c r="CR479" i="6"/>
  <c r="CQ479" i="6"/>
  <c r="CP479" i="6"/>
  <c r="CO479" i="6"/>
  <c r="CN479" i="6"/>
  <c r="CM479" i="6"/>
  <c r="CL479" i="6"/>
  <c r="CJ479" i="6"/>
  <c r="CI479" i="6"/>
  <c r="CK479" i="6" s="1"/>
  <c r="CH479" i="6"/>
  <c r="CG479" i="6"/>
  <c r="CE479" i="6"/>
  <c r="CF479" i="6" s="1"/>
  <c r="CD479" i="6"/>
  <c r="CB479" i="6"/>
  <c r="CC479" i="6" s="1"/>
  <c r="BZ479" i="6"/>
  <c r="CA479" i="6" s="1"/>
  <c r="BY479" i="6"/>
  <c r="BX479" i="6"/>
  <c r="DS479" i="6" s="1"/>
  <c r="BW479" i="6"/>
  <c r="BU479" i="6"/>
  <c r="BV479" i="6" s="1"/>
  <c r="BS479" i="6"/>
  <c r="BR479" i="6"/>
  <c r="BQ479" i="6"/>
  <c r="BO479" i="6"/>
  <c r="BP479" i="6" s="1"/>
  <c r="BM479" i="6"/>
  <c r="BL479" i="6"/>
  <c r="BK479" i="6"/>
  <c r="BN479" i="6" s="1"/>
  <c r="BJ479" i="6"/>
  <c r="BH479" i="6"/>
  <c r="BI479" i="6" s="1"/>
  <c r="BG479" i="6"/>
  <c r="BF479" i="6"/>
  <c r="BD479" i="6"/>
  <c r="BC479" i="6"/>
  <c r="BB479" i="6"/>
  <c r="BE479" i="6" s="1"/>
  <c r="BA479" i="6"/>
  <c r="AZ479" i="6"/>
  <c r="AY479" i="6"/>
  <c r="AX479" i="6"/>
  <c r="AW479" i="6"/>
  <c r="AV479" i="6"/>
  <c r="AT479" i="6"/>
  <c r="AS479" i="6"/>
  <c r="AU479" i="6" s="1"/>
  <c r="AQ479" i="6"/>
  <c r="AP479" i="6"/>
  <c r="AR479" i="6" s="1"/>
  <c r="AN479" i="6"/>
  <c r="AM479" i="6"/>
  <c r="AO479" i="6" s="1"/>
  <c r="AL479" i="6"/>
  <c r="AK479" i="6"/>
  <c r="AI479" i="6"/>
  <c r="AJ479" i="6" s="1"/>
  <c r="AG479" i="6"/>
  <c r="AE479" i="6"/>
  <c r="AD479" i="6"/>
  <c r="AC479" i="6"/>
  <c r="AA479" i="6"/>
  <c r="Z479" i="6"/>
  <c r="AB479" i="6" s="1"/>
  <c r="Y479" i="6"/>
  <c r="W479" i="6"/>
  <c r="V479" i="6"/>
  <c r="X479" i="6" s="1"/>
  <c r="T479" i="6"/>
  <c r="R479" i="6"/>
  <c r="S479" i="6" s="1"/>
  <c r="P479" i="6"/>
  <c r="O479" i="6"/>
  <c r="N479" i="6"/>
  <c r="M479" i="6"/>
  <c r="J479" i="6"/>
  <c r="I479" i="6"/>
  <c r="H479" i="6"/>
  <c r="G479" i="6"/>
  <c r="F479" i="6"/>
  <c r="E479" i="6"/>
  <c r="DP479" i="6" s="1"/>
  <c r="D479" i="6"/>
  <c r="C479" i="6"/>
  <c r="B479" i="6"/>
  <c r="DW478" i="6"/>
  <c r="DM478" i="6"/>
  <c r="DL478" i="6"/>
  <c r="DK478" i="6"/>
  <c r="DJ478" i="6"/>
  <c r="DN478" i="6" s="1"/>
  <c r="DI478" i="6"/>
  <c r="DH478" i="6"/>
  <c r="DF478" i="6"/>
  <c r="DG478" i="6" s="1"/>
  <c r="DD478" i="6"/>
  <c r="DE478" i="6" s="1"/>
  <c r="DC478" i="6"/>
  <c r="DB478" i="6"/>
  <c r="DA478" i="6"/>
  <c r="CZ478" i="6"/>
  <c r="CY478" i="6"/>
  <c r="CX478" i="6"/>
  <c r="CW478" i="6"/>
  <c r="CV478" i="6"/>
  <c r="CT478" i="6"/>
  <c r="CU478" i="6" s="1"/>
  <c r="CR478" i="6"/>
  <c r="CQ478" i="6"/>
  <c r="CP478" i="6"/>
  <c r="CS478" i="6" s="1"/>
  <c r="CO478" i="6"/>
  <c r="CN478" i="6"/>
  <c r="CM478" i="6"/>
  <c r="CL478" i="6"/>
  <c r="CJ478" i="6"/>
  <c r="CI478" i="6"/>
  <c r="CK478" i="6" s="1"/>
  <c r="CG478" i="6"/>
  <c r="CH478" i="6" s="1"/>
  <c r="CE478" i="6"/>
  <c r="CD478" i="6"/>
  <c r="CC478" i="6"/>
  <c r="CB478" i="6"/>
  <c r="BZ478" i="6"/>
  <c r="BY478" i="6"/>
  <c r="BX478" i="6"/>
  <c r="BW478" i="6"/>
  <c r="CA478" i="6" s="1"/>
  <c r="BU478" i="6"/>
  <c r="BV478" i="6" s="1"/>
  <c r="BR478" i="6"/>
  <c r="BQ478" i="6"/>
  <c r="BS478" i="6" s="1"/>
  <c r="BP478" i="6"/>
  <c r="BO478" i="6"/>
  <c r="BM478" i="6"/>
  <c r="BL478" i="6"/>
  <c r="BK478" i="6"/>
  <c r="BJ478" i="6"/>
  <c r="BH478" i="6"/>
  <c r="BI478" i="6" s="1"/>
  <c r="BG478" i="6"/>
  <c r="BF478" i="6"/>
  <c r="BD478" i="6"/>
  <c r="BC478" i="6"/>
  <c r="BB478" i="6"/>
  <c r="BE478" i="6" s="1"/>
  <c r="BA478" i="6"/>
  <c r="AZ478" i="6"/>
  <c r="AY478" i="6"/>
  <c r="AW478" i="6"/>
  <c r="AV478" i="6"/>
  <c r="AX478" i="6" s="1"/>
  <c r="AU478" i="6"/>
  <c r="AT478" i="6"/>
  <c r="AS478" i="6"/>
  <c r="AQ478" i="6"/>
  <c r="AP478" i="6"/>
  <c r="AR478" i="6" s="1"/>
  <c r="AN478" i="6"/>
  <c r="AO478" i="6" s="1"/>
  <c r="AM478" i="6"/>
  <c r="AL478" i="6"/>
  <c r="AK478" i="6"/>
  <c r="AJ478" i="6"/>
  <c r="AI478" i="6"/>
  <c r="AG478" i="6"/>
  <c r="AE478" i="6"/>
  <c r="AD478" i="6"/>
  <c r="AC478" i="6"/>
  <c r="AA478" i="6"/>
  <c r="Z478" i="6"/>
  <c r="AB478" i="6" s="1"/>
  <c r="Y478" i="6"/>
  <c r="X478" i="6"/>
  <c r="W478" i="6"/>
  <c r="V478" i="6"/>
  <c r="T478" i="6"/>
  <c r="S478" i="6"/>
  <c r="R478" i="6"/>
  <c r="P478" i="6"/>
  <c r="O478" i="6"/>
  <c r="N478" i="6"/>
  <c r="M478" i="6"/>
  <c r="Q478" i="6" s="1"/>
  <c r="J478" i="6"/>
  <c r="H478" i="6"/>
  <c r="G478" i="6"/>
  <c r="F478" i="6"/>
  <c r="DV478" i="6" s="1"/>
  <c r="E478" i="6"/>
  <c r="D478" i="6"/>
  <c r="C478" i="6"/>
  <c r="B478" i="6"/>
  <c r="DW477" i="6"/>
  <c r="DU477" i="6"/>
  <c r="DQ477" i="6"/>
  <c r="DM477" i="6"/>
  <c r="DL477" i="6"/>
  <c r="DK477" i="6"/>
  <c r="DJ477" i="6"/>
  <c r="DN477" i="6" s="1"/>
  <c r="DI477" i="6"/>
  <c r="DH477" i="6"/>
  <c r="DF477" i="6"/>
  <c r="DG477" i="6" s="1"/>
  <c r="DD477" i="6"/>
  <c r="DE477" i="6" s="1"/>
  <c r="DC477" i="6"/>
  <c r="DB477" i="6"/>
  <c r="DA477" i="6"/>
  <c r="CZ477" i="6"/>
  <c r="CY477" i="6"/>
  <c r="CX477" i="6"/>
  <c r="CV477" i="6"/>
  <c r="CW477" i="6" s="1"/>
  <c r="CU477" i="6"/>
  <c r="CT477" i="6"/>
  <c r="CR477" i="6"/>
  <c r="CS477" i="6" s="1"/>
  <c r="CQ477" i="6"/>
  <c r="CP477" i="6"/>
  <c r="CN477" i="6"/>
  <c r="DR477" i="6" s="1"/>
  <c r="CM477" i="6"/>
  <c r="CO477" i="6" s="1"/>
  <c r="CL477" i="6"/>
  <c r="CJ477" i="6"/>
  <c r="CI477" i="6"/>
  <c r="CK477" i="6" s="1"/>
  <c r="CG477" i="6"/>
  <c r="CH477" i="6" s="1"/>
  <c r="CF477" i="6"/>
  <c r="CE477" i="6"/>
  <c r="CD477" i="6"/>
  <c r="CB477" i="6"/>
  <c r="CC477" i="6" s="1"/>
  <c r="BZ477" i="6"/>
  <c r="BY477" i="6"/>
  <c r="BX477" i="6"/>
  <c r="BW477" i="6"/>
  <c r="BV477" i="6"/>
  <c r="BU477" i="6"/>
  <c r="BR477" i="6"/>
  <c r="BQ477" i="6"/>
  <c r="BP477" i="6"/>
  <c r="BO477" i="6"/>
  <c r="BM477" i="6"/>
  <c r="BL477" i="6"/>
  <c r="BK477" i="6"/>
  <c r="BJ477" i="6"/>
  <c r="BI477" i="6"/>
  <c r="BH477" i="6"/>
  <c r="BF477" i="6"/>
  <c r="BG477" i="6" s="1"/>
  <c r="BE477" i="6"/>
  <c r="BD477" i="6"/>
  <c r="BC477" i="6"/>
  <c r="BB477" i="6"/>
  <c r="AZ477" i="6"/>
  <c r="AY477" i="6"/>
  <c r="AW477" i="6"/>
  <c r="AV477" i="6"/>
  <c r="AX477" i="6" s="1"/>
  <c r="AT477" i="6"/>
  <c r="AU477" i="6" s="1"/>
  <c r="AS477" i="6"/>
  <c r="AQ477" i="6"/>
  <c r="AP477" i="6"/>
  <c r="AR477" i="6" s="1"/>
  <c r="AN477" i="6"/>
  <c r="AO477" i="6" s="1"/>
  <c r="AM477" i="6"/>
  <c r="AK477" i="6"/>
  <c r="AL477" i="6" s="1"/>
  <c r="AI477" i="6"/>
  <c r="AJ477" i="6" s="1"/>
  <c r="AG477" i="6"/>
  <c r="AE477" i="6"/>
  <c r="AD477" i="6"/>
  <c r="AC477" i="6"/>
  <c r="AB477" i="6"/>
  <c r="AA477" i="6"/>
  <c r="Z477" i="6"/>
  <c r="Y477" i="6"/>
  <c r="W477" i="6"/>
  <c r="X477" i="6" s="1"/>
  <c r="V477" i="6"/>
  <c r="T477" i="6"/>
  <c r="R477" i="6"/>
  <c r="S477" i="6" s="1"/>
  <c r="P477" i="6"/>
  <c r="O477" i="6"/>
  <c r="N477" i="6"/>
  <c r="M477" i="6"/>
  <c r="Q477" i="6" s="1"/>
  <c r="J477" i="6"/>
  <c r="H477" i="6"/>
  <c r="G477" i="6"/>
  <c r="F477" i="6"/>
  <c r="DV477" i="6" s="1"/>
  <c r="E477" i="6"/>
  <c r="D477" i="6"/>
  <c r="C477" i="6"/>
  <c r="B477" i="6"/>
  <c r="DW476" i="6"/>
  <c r="DS476" i="6"/>
  <c r="DP476" i="6"/>
  <c r="DN476" i="6"/>
  <c r="DM476" i="6"/>
  <c r="DV476" i="6" s="1"/>
  <c r="DL476" i="6"/>
  <c r="DK476" i="6"/>
  <c r="DJ476" i="6"/>
  <c r="DH476" i="6"/>
  <c r="DI476" i="6" s="1"/>
  <c r="DG476" i="6"/>
  <c r="DF476" i="6"/>
  <c r="DD476" i="6"/>
  <c r="DE476" i="6" s="1"/>
  <c r="DC476" i="6"/>
  <c r="DB476" i="6"/>
  <c r="DA476" i="6"/>
  <c r="CY476" i="6"/>
  <c r="CX476" i="6"/>
  <c r="CW476" i="6"/>
  <c r="CV476" i="6"/>
  <c r="CU476" i="6"/>
  <c r="CT476" i="6"/>
  <c r="CR476" i="6"/>
  <c r="CQ476" i="6"/>
  <c r="CS476" i="6" s="1"/>
  <c r="CP476" i="6"/>
  <c r="CN476" i="6"/>
  <c r="CM476" i="6"/>
  <c r="CL476" i="6"/>
  <c r="CJ476" i="6"/>
  <c r="CI476" i="6"/>
  <c r="CK476" i="6" s="1"/>
  <c r="CG476" i="6"/>
  <c r="CH476" i="6" s="1"/>
  <c r="CF476" i="6"/>
  <c r="CE476" i="6"/>
  <c r="CD476" i="6"/>
  <c r="CB476" i="6"/>
  <c r="CC476" i="6" s="1"/>
  <c r="BZ476" i="6"/>
  <c r="BY476" i="6"/>
  <c r="BX476" i="6"/>
  <c r="BW476" i="6"/>
  <c r="BV476" i="6"/>
  <c r="BU476" i="6"/>
  <c r="BR476" i="6"/>
  <c r="BQ476" i="6"/>
  <c r="BS476" i="6" s="1"/>
  <c r="BO476" i="6"/>
  <c r="BP476" i="6" s="1"/>
  <c r="BM476" i="6"/>
  <c r="BL476" i="6"/>
  <c r="BK476" i="6"/>
  <c r="BJ476" i="6"/>
  <c r="BH476" i="6"/>
  <c r="BI476" i="6" s="1"/>
  <c r="BF476" i="6"/>
  <c r="BG476" i="6" s="1"/>
  <c r="BD476" i="6"/>
  <c r="BC476" i="6"/>
  <c r="BB476" i="6"/>
  <c r="BE476" i="6" s="1"/>
  <c r="AZ476" i="6"/>
  <c r="AY476" i="6"/>
  <c r="AX476" i="6"/>
  <c r="AW476" i="6"/>
  <c r="AV476" i="6"/>
  <c r="AT476" i="6"/>
  <c r="AS476" i="6"/>
  <c r="AU476" i="6" s="1"/>
  <c r="AQ476" i="6"/>
  <c r="AP476" i="6"/>
  <c r="AR476" i="6" s="1"/>
  <c r="AO476" i="6"/>
  <c r="AN476" i="6"/>
  <c r="AM476" i="6"/>
  <c r="AL476" i="6"/>
  <c r="AK476" i="6"/>
  <c r="AI476" i="6"/>
  <c r="AJ476" i="6" s="1"/>
  <c r="AG476" i="6"/>
  <c r="AF476" i="6"/>
  <c r="AE476" i="6"/>
  <c r="AD476" i="6"/>
  <c r="AC476" i="6"/>
  <c r="AA476" i="6"/>
  <c r="AB476" i="6" s="1"/>
  <c r="Z476" i="6"/>
  <c r="Y476" i="6"/>
  <c r="X476" i="6"/>
  <c r="W476" i="6"/>
  <c r="V476" i="6"/>
  <c r="T476" i="6"/>
  <c r="R476" i="6"/>
  <c r="S476" i="6" s="1"/>
  <c r="Q476" i="6"/>
  <c r="P476" i="6"/>
  <c r="O476" i="6"/>
  <c r="N476" i="6"/>
  <c r="M476" i="6"/>
  <c r="J476" i="6"/>
  <c r="H476" i="6"/>
  <c r="G476" i="6"/>
  <c r="F476" i="6"/>
  <c r="E476" i="6"/>
  <c r="D476" i="6"/>
  <c r="C476" i="6"/>
  <c r="B476" i="6"/>
  <c r="DW475" i="6"/>
  <c r="DM475" i="6"/>
  <c r="DL475" i="6"/>
  <c r="DN475" i="6" s="1"/>
  <c r="DK475" i="6"/>
  <c r="DJ475" i="6"/>
  <c r="DI475" i="6"/>
  <c r="DH475" i="6"/>
  <c r="DG475" i="6"/>
  <c r="DF475" i="6"/>
  <c r="DD475" i="6"/>
  <c r="DE475" i="6" s="1"/>
  <c r="DB475" i="6"/>
  <c r="DA475" i="6"/>
  <c r="DC475" i="6" s="1"/>
  <c r="CZ475" i="6"/>
  <c r="CY475" i="6"/>
  <c r="CX475" i="6"/>
  <c r="CW475" i="6"/>
  <c r="CV475" i="6"/>
  <c r="CT475" i="6"/>
  <c r="CU475" i="6" s="1"/>
  <c r="CR475" i="6"/>
  <c r="CQ475" i="6"/>
  <c r="CP475" i="6"/>
  <c r="CS475" i="6" s="1"/>
  <c r="CN475" i="6"/>
  <c r="CM475" i="6"/>
  <c r="CL475" i="6"/>
  <c r="CK475" i="6"/>
  <c r="CJ475" i="6"/>
  <c r="CI475" i="6"/>
  <c r="CG475" i="6"/>
  <c r="CH475" i="6" s="1"/>
  <c r="CF475" i="6"/>
  <c r="CE475" i="6"/>
  <c r="CD475" i="6"/>
  <c r="CB475" i="6"/>
  <c r="CC475" i="6" s="1"/>
  <c r="CA475" i="6"/>
  <c r="BZ475" i="6"/>
  <c r="BY475" i="6"/>
  <c r="BX475" i="6"/>
  <c r="BW475" i="6"/>
  <c r="BU475" i="6"/>
  <c r="BV475" i="6" s="1"/>
  <c r="BS475" i="6"/>
  <c r="BR475" i="6"/>
  <c r="BQ475" i="6"/>
  <c r="BO475" i="6"/>
  <c r="BP475" i="6" s="1"/>
  <c r="BM475" i="6"/>
  <c r="BL475" i="6"/>
  <c r="BK475" i="6"/>
  <c r="BJ475" i="6"/>
  <c r="BN475" i="6" s="1"/>
  <c r="BI475" i="6"/>
  <c r="BH475" i="6"/>
  <c r="BG475" i="6"/>
  <c r="BF475" i="6"/>
  <c r="BD475" i="6"/>
  <c r="BC475" i="6"/>
  <c r="BB475" i="6"/>
  <c r="BA475" i="6"/>
  <c r="AZ475" i="6"/>
  <c r="AY475" i="6"/>
  <c r="AW475" i="6"/>
  <c r="AX475" i="6" s="1"/>
  <c r="AV475" i="6"/>
  <c r="AT475" i="6"/>
  <c r="AS475" i="6"/>
  <c r="AU475" i="6" s="1"/>
  <c r="AR475" i="6"/>
  <c r="AQ475" i="6"/>
  <c r="AP475" i="6"/>
  <c r="AN475" i="6"/>
  <c r="AM475" i="6"/>
  <c r="AK475" i="6"/>
  <c r="AL475" i="6" s="1"/>
  <c r="AI475" i="6"/>
  <c r="AJ475" i="6" s="1"/>
  <c r="AG475" i="6"/>
  <c r="AE475" i="6"/>
  <c r="AD475" i="6"/>
  <c r="AC475" i="6"/>
  <c r="AA475" i="6"/>
  <c r="Z475" i="6"/>
  <c r="AB475" i="6" s="1"/>
  <c r="Y475" i="6"/>
  <c r="W475" i="6"/>
  <c r="V475" i="6"/>
  <c r="T475" i="6"/>
  <c r="S475" i="6"/>
  <c r="R475" i="6"/>
  <c r="P475" i="6"/>
  <c r="O475" i="6"/>
  <c r="N475" i="6"/>
  <c r="M475" i="6"/>
  <c r="J475" i="6"/>
  <c r="I475" i="6"/>
  <c r="H475" i="6"/>
  <c r="G475" i="6"/>
  <c r="F475" i="6"/>
  <c r="E475" i="6"/>
  <c r="D475" i="6"/>
  <c r="C475" i="6"/>
  <c r="B475" i="6"/>
  <c r="DW474" i="6"/>
  <c r="DN474" i="6"/>
  <c r="DM474" i="6"/>
  <c r="DL474" i="6"/>
  <c r="DK474" i="6"/>
  <c r="DJ474" i="6"/>
  <c r="DH474" i="6"/>
  <c r="DI474" i="6" s="1"/>
  <c r="DF474" i="6"/>
  <c r="DG474" i="6" s="1"/>
  <c r="DE474" i="6"/>
  <c r="DD474" i="6"/>
  <c r="DB474" i="6"/>
  <c r="DA474" i="6"/>
  <c r="CZ474" i="6"/>
  <c r="CY474" i="6"/>
  <c r="CX474" i="6"/>
  <c r="CW474" i="6"/>
  <c r="CV474" i="6"/>
  <c r="CT474" i="6"/>
  <c r="CU474" i="6" s="1"/>
  <c r="CS474" i="6"/>
  <c r="CR474" i="6"/>
  <c r="CQ474" i="6"/>
  <c r="CP474" i="6"/>
  <c r="CN474" i="6"/>
  <c r="CM474" i="6"/>
  <c r="CL474" i="6"/>
  <c r="CO474" i="6" s="1"/>
  <c r="CK474" i="6"/>
  <c r="CJ474" i="6"/>
  <c r="CI474" i="6"/>
  <c r="CG474" i="6"/>
  <c r="CH474" i="6" s="1"/>
  <c r="CE474" i="6"/>
  <c r="CD474" i="6"/>
  <c r="CC474" i="6"/>
  <c r="CB474" i="6"/>
  <c r="CA474" i="6"/>
  <c r="BZ474" i="6"/>
  <c r="BY474" i="6"/>
  <c r="BX474" i="6"/>
  <c r="BW474" i="6"/>
  <c r="BV474" i="6"/>
  <c r="BU474" i="6"/>
  <c r="BR474" i="6"/>
  <c r="BS474" i="6" s="1"/>
  <c r="BQ474" i="6"/>
  <c r="BO474" i="6"/>
  <c r="BP474" i="6" s="1"/>
  <c r="BM474" i="6"/>
  <c r="BN474" i="6" s="1"/>
  <c r="BL474" i="6"/>
  <c r="BK474" i="6"/>
  <c r="BJ474" i="6"/>
  <c r="BI474" i="6"/>
  <c r="BH474" i="6"/>
  <c r="BF474" i="6"/>
  <c r="BG474" i="6" s="1"/>
  <c r="BD474" i="6"/>
  <c r="BC474" i="6"/>
  <c r="BB474" i="6"/>
  <c r="BE474" i="6" s="1"/>
  <c r="BA474" i="6"/>
  <c r="AZ474" i="6"/>
  <c r="AY474" i="6"/>
  <c r="AW474" i="6"/>
  <c r="AV474" i="6"/>
  <c r="AT474" i="6"/>
  <c r="AS474" i="6"/>
  <c r="AU474" i="6" s="1"/>
  <c r="AR474" i="6"/>
  <c r="AQ474" i="6"/>
  <c r="AP474" i="6"/>
  <c r="AN474" i="6"/>
  <c r="AM474" i="6"/>
  <c r="AO474" i="6" s="1"/>
  <c r="AK474" i="6"/>
  <c r="AL474" i="6" s="1"/>
  <c r="AJ474" i="6"/>
  <c r="AI474" i="6"/>
  <c r="AG474" i="6"/>
  <c r="AE474" i="6"/>
  <c r="AD474" i="6"/>
  <c r="AC474" i="6"/>
  <c r="DS474" i="6" s="1"/>
  <c r="AB474" i="6"/>
  <c r="AA474" i="6"/>
  <c r="Z474" i="6"/>
  <c r="Y474" i="6"/>
  <c r="W474" i="6"/>
  <c r="V474" i="6"/>
  <c r="T474" i="6"/>
  <c r="S474" i="6"/>
  <c r="R474" i="6"/>
  <c r="P474" i="6"/>
  <c r="O474" i="6"/>
  <c r="N474" i="6"/>
  <c r="M474" i="6"/>
  <c r="J474" i="6"/>
  <c r="H474" i="6"/>
  <c r="G474" i="6"/>
  <c r="F474" i="6"/>
  <c r="DV474" i="6" s="1"/>
  <c r="E474" i="6"/>
  <c r="D474" i="6"/>
  <c r="C474" i="6"/>
  <c r="B474" i="6"/>
  <c r="DW473" i="6"/>
  <c r="DQ473" i="6"/>
  <c r="DM473" i="6"/>
  <c r="DL473" i="6"/>
  <c r="DK473" i="6"/>
  <c r="DJ473" i="6"/>
  <c r="DN473" i="6" s="1"/>
  <c r="DH473" i="6"/>
  <c r="DI473" i="6" s="1"/>
  <c r="DG473" i="6"/>
  <c r="DF473" i="6"/>
  <c r="DE473" i="6"/>
  <c r="DD473" i="6"/>
  <c r="DB473" i="6"/>
  <c r="DA473" i="6"/>
  <c r="DC473" i="6" s="1"/>
  <c r="CZ473" i="6"/>
  <c r="CY473" i="6"/>
  <c r="CX473" i="6"/>
  <c r="CV473" i="6"/>
  <c r="CW473" i="6" s="1"/>
  <c r="CU473" i="6"/>
  <c r="CT473" i="6"/>
  <c r="CR473" i="6"/>
  <c r="CQ473" i="6"/>
  <c r="CP473" i="6"/>
  <c r="CN473" i="6"/>
  <c r="CM473" i="6"/>
  <c r="CL473" i="6"/>
  <c r="CO473" i="6" s="1"/>
  <c r="CJ473" i="6"/>
  <c r="CI473" i="6"/>
  <c r="CK473" i="6" s="1"/>
  <c r="CH473" i="6"/>
  <c r="CG473" i="6"/>
  <c r="CE473" i="6"/>
  <c r="CD473" i="6"/>
  <c r="CB473" i="6"/>
  <c r="CC473" i="6" s="1"/>
  <c r="BZ473" i="6"/>
  <c r="BY473" i="6"/>
  <c r="BX473" i="6"/>
  <c r="BW473" i="6"/>
  <c r="BU473" i="6"/>
  <c r="BV473" i="6" s="1"/>
  <c r="BS473" i="6"/>
  <c r="BR473" i="6"/>
  <c r="BQ473" i="6"/>
  <c r="BO473" i="6"/>
  <c r="BP473" i="6" s="1"/>
  <c r="BM473" i="6"/>
  <c r="BL473" i="6"/>
  <c r="BK473" i="6"/>
  <c r="BJ473" i="6"/>
  <c r="BH473" i="6"/>
  <c r="BI473" i="6" s="1"/>
  <c r="BF473" i="6"/>
  <c r="BG473" i="6" s="1"/>
  <c r="BD473" i="6"/>
  <c r="BE473" i="6" s="1"/>
  <c r="BC473" i="6"/>
  <c r="BB473" i="6"/>
  <c r="AZ473" i="6"/>
  <c r="AY473" i="6"/>
  <c r="BA473" i="6" s="1"/>
  <c r="AW473" i="6"/>
  <c r="AV473" i="6"/>
  <c r="AU473" i="6"/>
  <c r="AT473" i="6"/>
  <c r="AS473" i="6"/>
  <c r="AQ473" i="6"/>
  <c r="AP473" i="6"/>
  <c r="AR473" i="6" s="1"/>
  <c r="AN473" i="6"/>
  <c r="AM473" i="6"/>
  <c r="AO473" i="6" s="1"/>
  <c r="AL473" i="6"/>
  <c r="AK473" i="6"/>
  <c r="AI473" i="6"/>
  <c r="AJ473" i="6" s="1"/>
  <c r="AG473" i="6"/>
  <c r="AE473" i="6"/>
  <c r="AD473" i="6"/>
  <c r="AC473" i="6"/>
  <c r="AA473" i="6"/>
  <c r="Z473" i="6"/>
  <c r="AB473" i="6" s="1"/>
  <c r="Y473" i="6"/>
  <c r="W473" i="6"/>
  <c r="V473" i="6"/>
  <c r="T473" i="6"/>
  <c r="R473" i="6"/>
  <c r="S473" i="6" s="1"/>
  <c r="P473" i="6"/>
  <c r="O473" i="6"/>
  <c r="N473" i="6"/>
  <c r="M473" i="6"/>
  <c r="J473" i="6"/>
  <c r="H473" i="6"/>
  <c r="G473" i="6"/>
  <c r="F473" i="6"/>
  <c r="DV473" i="6" s="1"/>
  <c r="E473" i="6"/>
  <c r="DP473" i="6" s="1"/>
  <c r="D473" i="6"/>
  <c r="C473" i="6"/>
  <c r="B473" i="6"/>
  <c r="DW472" i="6"/>
  <c r="DN472" i="6"/>
  <c r="DM472" i="6"/>
  <c r="DL472" i="6"/>
  <c r="DK472" i="6"/>
  <c r="DJ472" i="6"/>
  <c r="DI472" i="6"/>
  <c r="DH472" i="6"/>
  <c r="DG472" i="6"/>
  <c r="DF472" i="6"/>
  <c r="DD472" i="6"/>
  <c r="DE472" i="6" s="1"/>
  <c r="DB472" i="6"/>
  <c r="DA472" i="6"/>
  <c r="DC472" i="6" s="1"/>
  <c r="CY472" i="6"/>
  <c r="CZ472" i="6" s="1"/>
  <c r="CX472" i="6"/>
  <c r="CV472" i="6"/>
  <c r="CW472" i="6" s="1"/>
  <c r="CU472" i="6"/>
  <c r="CT472" i="6"/>
  <c r="CR472" i="6"/>
  <c r="CQ472" i="6"/>
  <c r="CP472" i="6"/>
  <c r="CO472" i="6"/>
  <c r="CN472" i="6"/>
  <c r="CM472" i="6"/>
  <c r="CL472" i="6"/>
  <c r="CK472" i="6"/>
  <c r="CJ472" i="6"/>
  <c r="CI472" i="6"/>
  <c r="CH472" i="6"/>
  <c r="CG472" i="6"/>
  <c r="CE472" i="6"/>
  <c r="CD472" i="6"/>
  <c r="CB472" i="6"/>
  <c r="CC472" i="6" s="1"/>
  <c r="BZ472" i="6"/>
  <c r="BY472" i="6"/>
  <c r="CA472" i="6" s="1"/>
  <c r="BX472" i="6"/>
  <c r="BW472" i="6"/>
  <c r="BU472" i="6"/>
  <c r="BV472" i="6" s="1"/>
  <c r="BS472" i="6"/>
  <c r="BR472" i="6"/>
  <c r="BQ472" i="6"/>
  <c r="BP472" i="6"/>
  <c r="BO472" i="6"/>
  <c r="BM472" i="6"/>
  <c r="BL472" i="6"/>
  <c r="BN472" i="6" s="1"/>
  <c r="BK472" i="6"/>
  <c r="BJ472" i="6"/>
  <c r="BH472" i="6"/>
  <c r="BI472" i="6" s="1"/>
  <c r="BF472" i="6"/>
  <c r="BG472" i="6" s="1"/>
  <c r="BE472" i="6"/>
  <c r="BD472" i="6"/>
  <c r="BC472" i="6"/>
  <c r="BB472" i="6"/>
  <c r="BA472" i="6"/>
  <c r="AZ472" i="6"/>
  <c r="AY472" i="6"/>
  <c r="AW472" i="6"/>
  <c r="AV472" i="6"/>
  <c r="AT472" i="6"/>
  <c r="AU472" i="6" s="1"/>
  <c r="AS472" i="6"/>
  <c r="AQ472" i="6"/>
  <c r="AP472" i="6"/>
  <c r="AR472" i="6" s="1"/>
  <c r="AO472" i="6"/>
  <c r="AN472" i="6"/>
  <c r="AM472" i="6"/>
  <c r="AL472" i="6"/>
  <c r="AK472" i="6"/>
  <c r="AI472" i="6"/>
  <c r="AJ472" i="6" s="1"/>
  <c r="AG472" i="6"/>
  <c r="AE472" i="6"/>
  <c r="AD472" i="6"/>
  <c r="AC472" i="6"/>
  <c r="AA472" i="6"/>
  <c r="Z472" i="6"/>
  <c r="AB472" i="6" s="1"/>
  <c r="Y472" i="6"/>
  <c r="W472" i="6"/>
  <c r="X472" i="6" s="1"/>
  <c r="V472" i="6"/>
  <c r="T472" i="6"/>
  <c r="R472" i="6"/>
  <c r="Q472" i="6"/>
  <c r="P472" i="6"/>
  <c r="O472" i="6"/>
  <c r="N472" i="6"/>
  <c r="M472" i="6"/>
  <c r="J472" i="6"/>
  <c r="H472" i="6"/>
  <c r="G472" i="6"/>
  <c r="F472" i="6"/>
  <c r="DV472" i="6" s="1"/>
  <c r="E472" i="6"/>
  <c r="DP472" i="6" s="1"/>
  <c r="D472" i="6"/>
  <c r="C472" i="6"/>
  <c r="B472" i="6"/>
  <c r="DW471" i="6"/>
  <c r="DP471" i="6"/>
  <c r="DM471" i="6"/>
  <c r="DL471" i="6"/>
  <c r="DK471" i="6"/>
  <c r="DJ471" i="6"/>
  <c r="DI471" i="6"/>
  <c r="DH471" i="6"/>
  <c r="DF471" i="6"/>
  <c r="DG471" i="6" s="1"/>
  <c r="DD471" i="6"/>
  <c r="DE471" i="6" s="1"/>
  <c r="DC471" i="6"/>
  <c r="DB471" i="6"/>
  <c r="DA471" i="6"/>
  <c r="CY471" i="6"/>
  <c r="CX471" i="6"/>
  <c r="CZ471" i="6" s="1"/>
  <c r="CW471" i="6"/>
  <c r="CV471" i="6"/>
  <c r="CT471" i="6"/>
  <c r="CU471" i="6" s="1"/>
  <c r="CR471" i="6"/>
  <c r="CS471" i="6" s="1"/>
  <c r="CQ471" i="6"/>
  <c r="CP471" i="6"/>
  <c r="CN471" i="6"/>
  <c r="CM471" i="6"/>
  <c r="CL471" i="6"/>
  <c r="CJ471" i="6"/>
  <c r="CI471" i="6"/>
  <c r="CG471" i="6"/>
  <c r="CH471" i="6" s="1"/>
  <c r="CF471" i="6"/>
  <c r="CE471" i="6"/>
  <c r="CD471" i="6"/>
  <c r="CC471" i="6"/>
  <c r="CB471" i="6"/>
  <c r="BZ471" i="6"/>
  <c r="BY471" i="6"/>
  <c r="BX471" i="6"/>
  <c r="BW471" i="6"/>
  <c r="CA471" i="6" s="1"/>
  <c r="BV471" i="6"/>
  <c r="BU471" i="6"/>
  <c r="BR471" i="6"/>
  <c r="BS471" i="6" s="1"/>
  <c r="BQ471" i="6"/>
  <c r="BO471" i="6"/>
  <c r="BP471" i="6" s="1"/>
  <c r="BM471" i="6"/>
  <c r="BL471" i="6"/>
  <c r="BK471" i="6"/>
  <c r="BJ471" i="6"/>
  <c r="BI471" i="6"/>
  <c r="BH471" i="6"/>
  <c r="BF471" i="6"/>
  <c r="BG471" i="6" s="1"/>
  <c r="BD471" i="6"/>
  <c r="BC471" i="6"/>
  <c r="BB471" i="6"/>
  <c r="BE471" i="6" s="1"/>
  <c r="AZ471" i="6"/>
  <c r="AY471" i="6"/>
  <c r="BA471" i="6" s="1"/>
  <c r="AW471" i="6"/>
  <c r="AV471" i="6"/>
  <c r="AT471" i="6"/>
  <c r="AS471" i="6"/>
  <c r="AU471" i="6" s="1"/>
  <c r="AQ471" i="6"/>
  <c r="AP471" i="6"/>
  <c r="AN471" i="6"/>
  <c r="AM471" i="6"/>
  <c r="AO471" i="6" s="1"/>
  <c r="AK471" i="6"/>
  <c r="AJ471" i="6"/>
  <c r="AI471" i="6"/>
  <c r="AG471" i="6"/>
  <c r="AE471" i="6"/>
  <c r="AD471" i="6"/>
  <c r="AC471" i="6"/>
  <c r="AB471" i="6"/>
  <c r="AA471" i="6"/>
  <c r="Z471" i="6"/>
  <c r="Y471" i="6"/>
  <c r="W471" i="6"/>
  <c r="V471" i="6"/>
  <c r="T471" i="6"/>
  <c r="R471" i="6"/>
  <c r="Q471" i="6"/>
  <c r="P471" i="6"/>
  <c r="O471" i="6"/>
  <c r="N471" i="6"/>
  <c r="M471" i="6"/>
  <c r="J471" i="6"/>
  <c r="H471" i="6"/>
  <c r="G471" i="6"/>
  <c r="F471" i="6"/>
  <c r="E471" i="6"/>
  <c r="I471" i="6" s="1"/>
  <c r="D471" i="6"/>
  <c r="C471" i="6"/>
  <c r="B471" i="6"/>
  <c r="DW470" i="6"/>
  <c r="DM470" i="6"/>
  <c r="DL470" i="6"/>
  <c r="DK470" i="6"/>
  <c r="DJ470" i="6"/>
  <c r="DH470" i="6"/>
  <c r="DI470" i="6" s="1"/>
  <c r="DF470" i="6"/>
  <c r="DG470" i="6" s="1"/>
  <c r="DD470" i="6"/>
  <c r="DE470" i="6" s="1"/>
  <c r="DC470" i="6"/>
  <c r="DB470" i="6"/>
  <c r="DA470" i="6"/>
  <c r="CZ470" i="6"/>
  <c r="CY470" i="6"/>
  <c r="CX470" i="6"/>
  <c r="CV470" i="6"/>
  <c r="CW470" i="6" s="1"/>
  <c r="CU470" i="6"/>
  <c r="CT470" i="6"/>
  <c r="CS470" i="6"/>
  <c r="CR470" i="6"/>
  <c r="CQ470" i="6"/>
  <c r="CP470" i="6"/>
  <c r="CO470" i="6"/>
  <c r="CN470" i="6"/>
  <c r="CM470" i="6"/>
  <c r="CL470" i="6"/>
  <c r="CJ470" i="6"/>
  <c r="CI470" i="6"/>
  <c r="DS470" i="6" s="1"/>
  <c r="CG470" i="6"/>
  <c r="CH470" i="6" s="1"/>
  <c r="CE470" i="6"/>
  <c r="CD470" i="6"/>
  <c r="CF470" i="6" s="1"/>
  <c r="CC470" i="6"/>
  <c r="CB470" i="6"/>
  <c r="BZ470" i="6"/>
  <c r="BY470" i="6"/>
  <c r="BX470" i="6"/>
  <c r="BW470" i="6"/>
  <c r="BV470" i="6"/>
  <c r="BU470" i="6"/>
  <c r="BR470" i="6"/>
  <c r="BQ470" i="6"/>
  <c r="BS470" i="6" s="1"/>
  <c r="BO470" i="6"/>
  <c r="BP470" i="6" s="1"/>
  <c r="BM470" i="6"/>
  <c r="BN470" i="6" s="1"/>
  <c r="BL470" i="6"/>
  <c r="BK470" i="6"/>
  <c r="BJ470" i="6"/>
  <c r="BI470" i="6"/>
  <c r="BH470" i="6"/>
  <c r="BG470" i="6"/>
  <c r="BF470" i="6"/>
  <c r="BD470" i="6"/>
  <c r="BC470" i="6"/>
  <c r="BB470" i="6"/>
  <c r="BE470" i="6" s="1"/>
  <c r="AZ470" i="6"/>
  <c r="AY470" i="6"/>
  <c r="BA470" i="6" s="1"/>
  <c r="AW470" i="6"/>
  <c r="AV470" i="6"/>
  <c r="AX470" i="6" s="1"/>
  <c r="AU470" i="6"/>
  <c r="AT470" i="6"/>
  <c r="AS470" i="6"/>
  <c r="AQ470" i="6"/>
  <c r="AP470" i="6"/>
  <c r="AO470" i="6"/>
  <c r="AN470" i="6"/>
  <c r="AM470" i="6"/>
  <c r="AK470" i="6"/>
  <c r="AL470" i="6" s="1"/>
  <c r="AJ470" i="6"/>
  <c r="AI470" i="6"/>
  <c r="AG470" i="6"/>
  <c r="AF470" i="6"/>
  <c r="AE470" i="6"/>
  <c r="AD470" i="6"/>
  <c r="AC470" i="6"/>
  <c r="AA470" i="6"/>
  <c r="Z470" i="6"/>
  <c r="AB470" i="6" s="1"/>
  <c r="Y470" i="6"/>
  <c r="W470" i="6"/>
  <c r="V470" i="6"/>
  <c r="T470" i="6"/>
  <c r="R470" i="6"/>
  <c r="S470" i="6" s="1"/>
  <c r="P470" i="6"/>
  <c r="O470" i="6"/>
  <c r="Q470" i="6" s="1"/>
  <c r="N470" i="6"/>
  <c r="M470" i="6"/>
  <c r="DP470" i="6" s="1"/>
  <c r="J470" i="6"/>
  <c r="H470" i="6"/>
  <c r="G470" i="6"/>
  <c r="F470" i="6"/>
  <c r="E470" i="6"/>
  <c r="D470" i="6"/>
  <c r="C470" i="6"/>
  <c r="B470" i="6"/>
  <c r="DW469" i="6"/>
  <c r="DM469" i="6"/>
  <c r="DL469" i="6"/>
  <c r="DK469" i="6"/>
  <c r="DJ469" i="6"/>
  <c r="DN469" i="6" s="1"/>
  <c r="DI469" i="6"/>
  <c r="DH469" i="6"/>
  <c r="DF469" i="6"/>
  <c r="DG469" i="6" s="1"/>
  <c r="DE469" i="6"/>
  <c r="DD469" i="6"/>
  <c r="DB469" i="6"/>
  <c r="DA469" i="6"/>
  <c r="DC469" i="6" s="1"/>
  <c r="CZ469" i="6"/>
  <c r="CY469" i="6"/>
  <c r="CX469" i="6"/>
  <c r="CV469" i="6"/>
  <c r="CW469" i="6" s="1"/>
  <c r="CU469" i="6"/>
  <c r="CT469" i="6"/>
  <c r="CR469" i="6"/>
  <c r="CQ469" i="6"/>
  <c r="CP469" i="6"/>
  <c r="CS469" i="6" s="1"/>
  <c r="CN469" i="6"/>
  <c r="CM469" i="6"/>
  <c r="CO469" i="6" s="1"/>
  <c r="CL469" i="6"/>
  <c r="CJ469" i="6"/>
  <c r="CI469" i="6"/>
  <c r="CH469" i="6"/>
  <c r="CG469" i="6"/>
  <c r="CF469" i="6"/>
  <c r="CE469" i="6"/>
  <c r="CD469" i="6"/>
  <c r="CC469" i="6"/>
  <c r="CB469" i="6"/>
  <c r="BZ469" i="6"/>
  <c r="BY469" i="6"/>
  <c r="BX469" i="6"/>
  <c r="BW469" i="6"/>
  <c r="CA469" i="6" s="1"/>
  <c r="BV469" i="6"/>
  <c r="BU469" i="6"/>
  <c r="BR469" i="6"/>
  <c r="BQ469" i="6"/>
  <c r="BS469" i="6" s="1"/>
  <c r="BP469" i="6"/>
  <c r="BO469" i="6"/>
  <c r="BM469" i="6"/>
  <c r="BL469" i="6"/>
  <c r="BK469" i="6"/>
  <c r="BJ469" i="6"/>
  <c r="BN469" i="6" s="1"/>
  <c r="BI469" i="6"/>
  <c r="BH469" i="6"/>
  <c r="BG469" i="6"/>
  <c r="BF469" i="6"/>
  <c r="BD469" i="6"/>
  <c r="BC469" i="6"/>
  <c r="BB469" i="6"/>
  <c r="BE469" i="6" s="1"/>
  <c r="BA469" i="6"/>
  <c r="AZ469" i="6"/>
  <c r="AY469" i="6"/>
  <c r="AW469" i="6"/>
  <c r="AV469" i="6"/>
  <c r="AX469" i="6" s="1"/>
  <c r="AT469" i="6"/>
  <c r="AU469" i="6" s="1"/>
  <c r="AS469" i="6"/>
  <c r="AQ469" i="6"/>
  <c r="AP469" i="6"/>
  <c r="AN469" i="6"/>
  <c r="AM469" i="6"/>
  <c r="AO469" i="6" s="1"/>
  <c r="AL469" i="6"/>
  <c r="AK469" i="6"/>
  <c r="AJ469" i="6"/>
  <c r="AI469" i="6"/>
  <c r="AG469" i="6"/>
  <c r="AE469" i="6"/>
  <c r="AD469" i="6"/>
  <c r="AF469" i="6" s="1"/>
  <c r="AC469" i="6"/>
  <c r="AB469" i="6"/>
  <c r="AA469" i="6"/>
  <c r="Z469" i="6"/>
  <c r="Y469" i="6"/>
  <c r="X469" i="6"/>
  <c r="W469" i="6"/>
  <c r="V469" i="6"/>
  <c r="T469" i="6"/>
  <c r="R469" i="6"/>
  <c r="S469" i="6" s="1"/>
  <c r="Q469" i="6"/>
  <c r="P469" i="6"/>
  <c r="O469" i="6"/>
  <c r="N469" i="6"/>
  <c r="DV469" i="6" s="1"/>
  <c r="M469" i="6"/>
  <c r="J469" i="6"/>
  <c r="H469" i="6"/>
  <c r="G469" i="6"/>
  <c r="F469" i="6"/>
  <c r="E469" i="6"/>
  <c r="D469" i="6"/>
  <c r="C469" i="6"/>
  <c r="B469" i="6"/>
  <c r="DW468" i="6"/>
  <c r="DV468" i="6"/>
  <c r="DM468" i="6"/>
  <c r="DL468" i="6"/>
  <c r="DK468" i="6"/>
  <c r="DJ468" i="6"/>
  <c r="DN468" i="6" s="1"/>
  <c r="DH468" i="6"/>
  <c r="DI468" i="6" s="1"/>
  <c r="DF468" i="6"/>
  <c r="DG468" i="6" s="1"/>
  <c r="DD468" i="6"/>
  <c r="DE468" i="6" s="1"/>
  <c r="DC468" i="6"/>
  <c r="DB468" i="6"/>
  <c r="DA468" i="6"/>
  <c r="CZ468" i="6"/>
  <c r="CY468" i="6"/>
  <c r="CX468" i="6"/>
  <c r="CW468" i="6"/>
  <c r="CV468" i="6"/>
  <c r="CT468" i="6"/>
  <c r="CU468" i="6" s="1"/>
  <c r="CS468" i="6"/>
  <c r="CR468" i="6"/>
  <c r="CQ468" i="6"/>
  <c r="CP468" i="6"/>
  <c r="CN468" i="6"/>
  <c r="CM468" i="6"/>
  <c r="CL468" i="6"/>
  <c r="CO468" i="6" s="1"/>
  <c r="CJ468" i="6"/>
  <c r="CI468" i="6"/>
  <c r="CG468" i="6"/>
  <c r="CH468" i="6" s="1"/>
  <c r="CE468" i="6"/>
  <c r="CD468" i="6"/>
  <c r="CF468" i="6" s="1"/>
  <c r="CB468" i="6"/>
  <c r="CC468" i="6" s="1"/>
  <c r="BZ468" i="6"/>
  <c r="BY468" i="6"/>
  <c r="BX468" i="6"/>
  <c r="BW468" i="6"/>
  <c r="CA468" i="6" s="1"/>
  <c r="BU468" i="6"/>
  <c r="BV468" i="6" s="1"/>
  <c r="BR468" i="6"/>
  <c r="BQ468" i="6"/>
  <c r="BS468" i="6" s="1"/>
  <c r="BP468" i="6"/>
  <c r="BO468" i="6"/>
  <c r="BM468" i="6"/>
  <c r="BL468" i="6"/>
  <c r="BK468" i="6"/>
  <c r="BJ468" i="6"/>
  <c r="BI468" i="6"/>
  <c r="BH468" i="6"/>
  <c r="BF468" i="6"/>
  <c r="BG468" i="6" s="1"/>
  <c r="BE468" i="6"/>
  <c r="BD468" i="6"/>
  <c r="BC468" i="6"/>
  <c r="BB468" i="6"/>
  <c r="AZ468" i="6"/>
  <c r="BA468" i="6" s="1"/>
  <c r="AY468" i="6"/>
  <c r="AX468" i="6"/>
  <c r="AW468" i="6"/>
  <c r="AV468" i="6"/>
  <c r="AT468" i="6"/>
  <c r="AS468" i="6"/>
  <c r="AQ468" i="6"/>
  <c r="AP468" i="6"/>
  <c r="AN468" i="6"/>
  <c r="AM468" i="6"/>
  <c r="AL468" i="6"/>
  <c r="AK468" i="6"/>
  <c r="AI468" i="6"/>
  <c r="AJ468" i="6" s="1"/>
  <c r="AG468" i="6"/>
  <c r="AE468" i="6"/>
  <c r="AD468" i="6"/>
  <c r="AC468" i="6"/>
  <c r="AA468" i="6"/>
  <c r="Z468" i="6"/>
  <c r="AB468" i="6" s="1"/>
  <c r="Y468" i="6"/>
  <c r="W468" i="6"/>
  <c r="V468" i="6"/>
  <c r="T468" i="6"/>
  <c r="S468" i="6"/>
  <c r="R468" i="6"/>
  <c r="DU468" i="6" s="1"/>
  <c r="P468" i="6"/>
  <c r="O468" i="6"/>
  <c r="N468" i="6"/>
  <c r="M468" i="6"/>
  <c r="DP468" i="6" s="1"/>
  <c r="J468" i="6"/>
  <c r="I468" i="6"/>
  <c r="H468" i="6"/>
  <c r="G468" i="6"/>
  <c r="F468" i="6"/>
  <c r="E468" i="6"/>
  <c r="D468" i="6"/>
  <c r="C468" i="6"/>
  <c r="B468" i="6"/>
  <c r="DW467" i="6"/>
  <c r="DU467" i="6"/>
  <c r="DN467" i="6"/>
  <c r="DM467" i="6"/>
  <c r="DL467" i="6"/>
  <c r="DK467" i="6"/>
  <c r="DJ467" i="6"/>
  <c r="DH467" i="6"/>
  <c r="DI467" i="6" s="1"/>
  <c r="DG467" i="6"/>
  <c r="DF467" i="6"/>
  <c r="DE467" i="6"/>
  <c r="DD467" i="6"/>
  <c r="DB467" i="6"/>
  <c r="DA467" i="6"/>
  <c r="DC467" i="6" s="1"/>
  <c r="CY467" i="6"/>
  <c r="CZ467" i="6" s="1"/>
  <c r="CX467" i="6"/>
  <c r="CW467" i="6"/>
  <c r="CV467" i="6"/>
  <c r="CT467" i="6"/>
  <c r="CU467" i="6" s="1"/>
  <c r="CS467" i="6"/>
  <c r="CR467" i="6"/>
  <c r="CQ467" i="6"/>
  <c r="CP467" i="6"/>
  <c r="CN467" i="6"/>
  <c r="CM467" i="6"/>
  <c r="CL467" i="6"/>
  <c r="CO467" i="6" s="1"/>
  <c r="CK467" i="6"/>
  <c r="CJ467" i="6"/>
  <c r="CI467" i="6"/>
  <c r="CH467" i="6"/>
  <c r="CG467" i="6"/>
  <c r="CE467" i="6"/>
  <c r="CD467" i="6"/>
  <c r="CB467" i="6"/>
  <c r="CC467" i="6" s="1"/>
  <c r="CA467" i="6"/>
  <c r="BZ467" i="6"/>
  <c r="BY467" i="6"/>
  <c r="BX467" i="6"/>
  <c r="BW467" i="6"/>
  <c r="BV467" i="6"/>
  <c r="BU467" i="6"/>
  <c r="BS467" i="6"/>
  <c r="BR467" i="6"/>
  <c r="BQ467" i="6"/>
  <c r="BO467" i="6"/>
  <c r="BP467" i="6" s="1"/>
  <c r="BM467" i="6"/>
  <c r="BL467" i="6"/>
  <c r="BK467" i="6"/>
  <c r="BN467" i="6" s="1"/>
  <c r="BJ467" i="6"/>
  <c r="BI467" i="6"/>
  <c r="BH467" i="6"/>
  <c r="BG467" i="6"/>
  <c r="BF467" i="6"/>
  <c r="BD467" i="6"/>
  <c r="BE467" i="6" s="1"/>
  <c r="BC467" i="6"/>
  <c r="BB467" i="6"/>
  <c r="AZ467" i="6"/>
  <c r="AY467" i="6"/>
  <c r="BA467" i="6" s="1"/>
  <c r="AW467" i="6"/>
  <c r="AV467" i="6"/>
  <c r="AX467" i="6" s="1"/>
  <c r="AT467" i="6"/>
  <c r="AS467" i="6"/>
  <c r="AU467" i="6" s="1"/>
  <c r="AQ467" i="6"/>
  <c r="AP467" i="6"/>
  <c r="AR467" i="6" s="1"/>
  <c r="AO467" i="6"/>
  <c r="AN467" i="6"/>
  <c r="AM467" i="6"/>
  <c r="AK467" i="6"/>
  <c r="AL467" i="6" s="1"/>
  <c r="AJ467" i="6"/>
  <c r="AI467" i="6"/>
  <c r="AG467" i="6"/>
  <c r="AE467" i="6"/>
  <c r="AD467" i="6"/>
  <c r="AC467" i="6"/>
  <c r="AB467" i="6"/>
  <c r="AA467" i="6"/>
  <c r="Z467" i="6"/>
  <c r="Y467" i="6"/>
  <c r="W467" i="6"/>
  <c r="V467" i="6"/>
  <c r="T467" i="6"/>
  <c r="R467" i="6"/>
  <c r="S467" i="6" s="1"/>
  <c r="P467" i="6"/>
  <c r="O467" i="6"/>
  <c r="N467" i="6"/>
  <c r="DV467" i="6" s="1"/>
  <c r="M467" i="6"/>
  <c r="J467" i="6"/>
  <c r="H467" i="6"/>
  <c r="G467" i="6"/>
  <c r="F467" i="6"/>
  <c r="E467" i="6"/>
  <c r="D467" i="6"/>
  <c r="C467" i="6"/>
  <c r="B467" i="6"/>
  <c r="DW466" i="6"/>
  <c r="DV466" i="6"/>
  <c r="DT466" i="6"/>
  <c r="DS466" i="6"/>
  <c r="DN466" i="6"/>
  <c r="DM466" i="6"/>
  <c r="DL466" i="6"/>
  <c r="DK466" i="6"/>
  <c r="DJ466" i="6"/>
  <c r="DH466" i="6"/>
  <c r="DI466" i="6" s="1"/>
  <c r="DG466" i="6"/>
  <c r="DF466" i="6"/>
  <c r="DD466" i="6"/>
  <c r="DE466" i="6" s="1"/>
  <c r="DB466" i="6"/>
  <c r="DA466" i="6"/>
  <c r="DC466" i="6" s="1"/>
  <c r="CY466" i="6"/>
  <c r="CX466" i="6"/>
  <c r="CZ466" i="6" s="1"/>
  <c r="CW466" i="6"/>
  <c r="CV466" i="6"/>
  <c r="CU466" i="6"/>
  <c r="CT466" i="6"/>
  <c r="CR466" i="6"/>
  <c r="CQ466" i="6"/>
  <c r="CS466" i="6" s="1"/>
  <c r="CP466" i="6"/>
  <c r="CO466" i="6"/>
  <c r="CN466" i="6"/>
  <c r="CM466" i="6"/>
  <c r="CL466" i="6"/>
  <c r="CJ466" i="6"/>
  <c r="CK466" i="6" s="1"/>
  <c r="CI466" i="6"/>
  <c r="CG466" i="6"/>
  <c r="CH466" i="6" s="1"/>
  <c r="CE466" i="6"/>
  <c r="CD466" i="6"/>
  <c r="CF466" i="6" s="1"/>
  <c r="CC466" i="6"/>
  <c r="CB466" i="6"/>
  <c r="BZ466" i="6"/>
  <c r="CA466" i="6" s="1"/>
  <c r="BY466" i="6"/>
  <c r="BX466" i="6"/>
  <c r="BW466" i="6"/>
  <c r="BU466" i="6"/>
  <c r="BV466" i="6" s="1"/>
  <c r="BR466" i="6"/>
  <c r="BQ466" i="6"/>
  <c r="BS466" i="6" s="1"/>
  <c r="BO466" i="6"/>
  <c r="BP466" i="6" s="1"/>
  <c r="BM466" i="6"/>
  <c r="BN466" i="6" s="1"/>
  <c r="BL466" i="6"/>
  <c r="BK466" i="6"/>
  <c r="BJ466" i="6"/>
  <c r="BH466" i="6"/>
  <c r="BI466" i="6" s="1"/>
  <c r="BG466" i="6"/>
  <c r="BF466" i="6"/>
  <c r="BE466" i="6"/>
  <c r="BD466" i="6"/>
  <c r="BC466" i="6"/>
  <c r="BB466" i="6"/>
  <c r="AZ466" i="6"/>
  <c r="AY466" i="6"/>
  <c r="BA466" i="6" s="1"/>
  <c r="AX466" i="6"/>
  <c r="AW466" i="6"/>
  <c r="AV466" i="6"/>
  <c r="AT466" i="6"/>
  <c r="AS466" i="6"/>
  <c r="AU466" i="6" s="1"/>
  <c r="AR466" i="6"/>
  <c r="AQ466" i="6"/>
  <c r="AP466" i="6"/>
  <c r="AN466" i="6"/>
  <c r="AO466" i="6" s="1"/>
  <c r="AM466" i="6"/>
  <c r="AL466" i="6"/>
  <c r="AK466" i="6"/>
  <c r="AI466" i="6"/>
  <c r="AJ466" i="6" s="1"/>
  <c r="AG466" i="6"/>
  <c r="AF466" i="6"/>
  <c r="AE466" i="6"/>
  <c r="AD466" i="6"/>
  <c r="AC466" i="6"/>
  <c r="AB466" i="6"/>
  <c r="AA466" i="6"/>
  <c r="Z466" i="6"/>
  <c r="Y466" i="6"/>
  <c r="W466" i="6"/>
  <c r="V466" i="6"/>
  <c r="X466" i="6" s="1"/>
  <c r="T466" i="6"/>
  <c r="S466" i="6"/>
  <c r="R466" i="6"/>
  <c r="Q466" i="6"/>
  <c r="P466" i="6"/>
  <c r="O466" i="6"/>
  <c r="N466" i="6"/>
  <c r="M466" i="6"/>
  <c r="DP466" i="6" s="1"/>
  <c r="J466" i="6"/>
  <c r="H466" i="6"/>
  <c r="G466" i="6"/>
  <c r="F466" i="6"/>
  <c r="E466" i="6"/>
  <c r="D466" i="6"/>
  <c r="C466" i="6"/>
  <c r="B466" i="6"/>
  <c r="DW465" i="6"/>
  <c r="DS465" i="6"/>
  <c r="DM465" i="6"/>
  <c r="DL465" i="6"/>
  <c r="DK465" i="6"/>
  <c r="DJ465" i="6"/>
  <c r="DN465" i="6" s="1"/>
  <c r="DH465" i="6"/>
  <c r="DI465" i="6" s="1"/>
  <c r="DF465" i="6"/>
  <c r="DG465" i="6" s="1"/>
  <c r="DE465" i="6"/>
  <c r="DD465" i="6"/>
  <c r="DC465" i="6"/>
  <c r="DB465" i="6"/>
  <c r="DA465" i="6"/>
  <c r="CY465" i="6"/>
  <c r="CZ465" i="6" s="1"/>
  <c r="CX465" i="6"/>
  <c r="CW465" i="6"/>
  <c r="CV465" i="6"/>
  <c r="CU465" i="6"/>
  <c r="CT465" i="6"/>
  <c r="CR465" i="6"/>
  <c r="CQ465" i="6"/>
  <c r="CP465" i="6"/>
  <c r="CN465" i="6"/>
  <c r="CM465" i="6"/>
  <c r="CL465" i="6"/>
  <c r="CO465" i="6" s="1"/>
  <c r="CJ465" i="6"/>
  <c r="CI465" i="6"/>
  <c r="CK465" i="6" s="1"/>
  <c r="CG465" i="6"/>
  <c r="CH465" i="6" s="1"/>
  <c r="CF465" i="6"/>
  <c r="CE465" i="6"/>
  <c r="CD465" i="6"/>
  <c r="CC465" i="6"/>
  <c r="CB465" i="6"/>
  <c r="BZ465" i="6"/>
  <c r="BY465" i="6"/>
  <c r="CA465" i="6" s="1"/>
  <c r="BX465" i="6"/>
  <c r="BW465" i="6"/>
  <c r="BU465" i="6"/>
  <c r="BV465" i="6" s="1"/>
  <c r="BS465" i="6"/>
  <c r="BR465" i="6"/>
  <c r="BQ465" i="6"/>
  <c r="BO465" i="6"/>
  <c r="BP465" i="6" s="1"/>
  <c r="BM465" i="6"/>
  <c r="BL465" i="6"/>
  <c r="DT465" i="6" s="1"/>
  <c r="BK465" i="6"/>
  <c r="BJ465" i="6"/>
  <c r="BH465" i="6"/>
  <c r="BI465" i="6" s="1"/>
  <c r="BF465" i="6"/>
  <c r="BG465" i="6" s="1"/>
  <c r="BD465" i="6"/>
  <c r="BC465" i="6"/>
  <c r="BB465" i="6"/>
  <c r="DR465" i="6" s="1"/>
  <c r="BA465" i="6"/>
  <c r="AZ465" i="6"/>
  <c r="AY465" i="6"/>
  <c r="AX465" i="6"/>
  <c r="AW465" i="6"/>
  <c r="AV465" i="6"/>
  <c r="AU465" i="6"/>
  <c r="AT465" i="6"/>
  <c r="AS465" i="6"/>
  <c r="AQ465" i="6"/>
  <c r="AP465" i="6"/>
  <c r="AN465" i="6"/>
  <c r="AM465" i="6"/>
  <c r="AK465" i="6"/>
  <c r="AL465" i="6" s="1"/>
  <c r="AJ465" i="6"/>
  <c r="AI465" i="6"/>
  <c r="AG465" i="6"/>
  <c r="AF465" i="6"/>
  <c r="AE465" i="6"/>
  <c r="AD465" i="6"/>
  <c r="AC465" i="6"/>
  <c r="AA465" i="6"/>
  <c r="Z465" i="6"/>
  <c r="Y465" i="6"/>
  <c r="X465" i="6"/>
  <c r="W465" i="6"/>
  <c r="V465" i="6"/>
  <c r="T465" i="6"/>
  <c r="R465" i="6"/>
  <c r="S465" i="6" s="1"/>
  <c r="P465" i="6"/>
  <c r="O465" i="6"/>
  <c r="N465" i="6"/>
  <c r="M465" i="6"/>
  <c r="J465" i="6"/>
  <c r="H465" i="6"/>
  <c r="G465" i="6"/>
  <c r="F465" i="6"/>
  <c r="E465" i="6"/>
  <c r="DP465" i="6" s="1"/>
  <c r="D465" i="6"/>
  <c r="C465" i="6"/>
  <c r="B465" i="6"/>
  <c r="DW464" i="6"/>
  <c r="DM464" i="6"/>
  <c r="DL464" i="6"/>
  <c r="DK464" i="6"/>
  <c r="DJ464" i="6"/>
  <c r="DI464" i="6"/>
  <c r="DH464" i="6"/>
  <c r="DF464" i="6"/>
  <c r="DG464" i="6" s="1"/>
  <c r="DD464" i="6"/>
  <c r="DE464" i="6" s="1"/>
  <c r="DB464" i="6"/>
  <c r="DA464" i="6"/>
  <c r="CY464" i="6"/>
  <c r="CZ464" i="6" s="1"/>
  <c r="CX464" i="6"/>
  <c r="CW464" i="6"/>
  <c r="CV464" i="6"/>
  <c r="CT464" i="6"/>
  <c r="CU464" i="6" s="1"/>
  <c r="CR464" i="6"/>
  <c r="CQ464" i="6"/>
  <c r="CP464" i="6"/>
  <c r="CO464" i="6"/>
  <c r="CN464" i="6"/>
  <c r="CM464" i="6"/>
  <c r="CL464" i="6"/>
  <c r="CJ464" i="6"/>
  <c r="CI464" i="6"/>
  <c r="CK464" i="6" s="1"/>
  <c r="CH464" i="6"/>
  <c r="CG464" i="6"/>
  <c r="CE464" i="6"/>
  <c r="CF464" i="6" s="1"/>
  <c r="CD464" i="6"/>
  <c r="CB464" i="6"/>
  <c r="CC464" i="6" s="1"/>
  <c r="BZ464" i="6"/>
  <c r="BY464" i="6"/>
  <c r="CA464" i="6" s="1"/>
  <c r="BX464" i="6"/>
  <c r="BW464" i="6"/>
  <c r="BU464" i="6"/>
  <c r="BV464" i="6" s="1"/>
  <c r="BS464" i="6"/>
  <c r="BR464" i="6"/>
  <c r="BQ464" i="6"/>
  <c r="BP464" i="6"/>
  <c r="BO464" i="6"/>
  <c r="BM464" i="6"/>
  <c r="BL464" i="6"/>
  <c r="BK464" i="6"/>
  <c r="BJ464" i="6"/>
  <c r="BI464" i="6"/>
  <c r="BH464" i="6"/>
  <c r="BG464" i="6"/>
  <c r="BF464" i="6"/>
  <c r="BE464" i="6"/>
  <c r="BD464" i="6"/>
  <c r="BC464" i="6"/>
  <c r="BB464" i="6"/>
  <c r="BA464" i="6"/>
  <c r="AZ464" i="6"/>
  <c r="AY464" i="6"/>
  <c r="AW464" i="6"/>
  <c r="AV464" i="6"/>
  <c r="AX464" i="6" s="1"/>
  <c r="AT464" i="6"/>
  <c r="AS464" i="6"/>
  <c r="AU464" i="6" s="1"/>
  <c r="AQ464" i="6"/>
  <c r="AP464" i="6"/>
  <c r="AR464" i="6" s="1"/>
  <c r="AN464" i="6"/>
  <c r="AM464" i="6"/>
  <c r="AL464" i="6"/>
  <c r="AK464" i="6"/>
  <c r="AJ464" i="6"/>
  <c r="AI464" i="6"/>
  <c r="AG464" i="6"/>
  <c r="AF464" i="6"/>
  <c r="AE464" i="6"/>
  <c r="AD464" i="6"/>
  <c r="AC464" i="6"/>
  <c r="AA464" i="6"/>
  <c r="Z464" i="6"/>
  <c r="Y464" i="6"/>
  <c r="W464" i="6"/>
  <c r="V464" i="6"/>
  <c r="X464" i="6" s="1"/>
  <c r="T464" i="6"/>
  <c r="R464" i="6"/>
  <c r="S464" i="6" s="1"/>
  <c r="P464" i="6"/>
  <c r="O464" i="6"/>
  <c r="N464" i="6"/>
  <c r="M464" i="6"/>
  <c r="Q464" i="6" s="1"/>
  <c r="J464" i="6"/>
  <c r="H464" i="6"/>
  <c r="G464" i="6"/>
  <c r="DU464" i="6" s="1"/>
  <c r="F464" i="6"/>
  <c r="DV464" i="6" s="1"/>
  <c r="E464" i="6"/>
  <c r="D464" i="6"/>
  <c r="C464" i="6"/>
  <c r="B464" i="6"/>
  <c r="DW463" i="6"/>
  <c r="DM463" i="6"/>
  <c r="DL463" i="6"/>
  <c r="DK463" i="6"/>
  <c r="DJ463" i="6"/>
  <c r="DN463" i="6" s="1"/>
  <c r="DH463" i="6"/>
  <c r="DI463" i="6" s="1"/>
  <c r="DG463" i="6"/>
  <c r="DF463" i="6"/>
  <c r="DD463" i="6"/>
  <c r="DE463" i="6" s="1"/>
  <c r="DB463" i="6"/>
  <c r="DA463" i="6"/>
  <c r="DC463" i="6" s="1"/>
  <c r="CY463" i="6"/>
  <c r="CZ463" i="6" s="1"/>
  <c r="CX463" i="6"/>
  <c r="CV463" i="6"/>
  <c r="CW463" i="6" s="1"/>
  <c r="CU463" i="6"/>
  <c r="CT463" i="6"/>
  <c r="CS463" i="6"/>
  <c r="CR463" i="6"/>
  <c r="CQ463" i="6"/>
  <c r="CP463" i="6"/>
  <c r="CO463" i="6"/>
  <c r="CN463" i="6"/>
  <c r="CM463" i="6"/>
  <c r="CL463" i="6"/>
  <c r="CJ463" i="6"/>
  <c r="CI463" i="6"/>
  <c r="CK463" i="6" s="1"/>
  <c r="CH463" i="6"/>
  <c r="CG463" i="6"/>
  <c r="CE463" i="6"/>
  <c r="CD463" i="6"/>
  <c r="CF463" i="6" s="1"/>
  <c r="CC463" i="6"/>
  <c r="CB463" i="6"/>
  <c r="BZ463" i="6"/>
  <c r="CA463" i="6" s="1"/>
  <c r="BY463" i="6"/>
  <c r="BX463" i="6"/>
  <c r="DS463" i="6" s="1"/>
  <c r="BW463" i="6"/>
  <c r="BV463" i="6"/>
  <c r="BU463" i="6"/>
  <c r="BR463" i="6"/>
  <c r="BQ463" i="6"/>
  <c r="BO463" i="6"/>
  <c r="BP463" i="6" s="1"/>
  <c r="BM463" i="6"/>
  <c r="BL463" i="6"/>
  <c r="BK463" i="6"/>
  <c r="BJ463" i="6"/>
  <c r="BN463" i="6" s="1"/>
  <c r="BH463" i="6"/>
  <c r="BI463" i="6" s="1"/>
  <c r="BF463" i="6"/>
  <c r="BG463" i="6" s="1"/>
  <c r="BD463" i="6"/>
  <c r="BC463" i="6"/>
  <c r="BB463" i="6"/>
  <c r="BE463" i="6" s="1"/>
  <c r="AZ463" i="6"/>
  <c r="BA463" i="6" s="1"/>
  <c r="AY463" i="6"/>
  <c r="AW463" i="6"/>
  <c r="AV463" i="6"/>
  <c r="AU463" i="6"/>
  <c r="AT463" i="6"/>
  <c r="AS463" i="6"/>
  <c r="AQ463" i="6"/>
  <c r="AP463" i="6"/>
  <c r="AR463" i="6" s="1"/>
  <c r="AO463" i="6"/>
  <c r="AN463" i="6"/>
  <c r="AM463" i="6"/>
  <c r="AK463" i="6"/>
  <c r="AL463" i="6" s="1"/>
  <c r="AI463" i="6"/>
  <c r="AG463" i="6"/>
  <c r="AE463" i="6"/>
  <c r="AD463" i="6"/>
  <c r="AC463" i="6"/>
  <c r="AF463" i="6" s="1"/>
  <c r="AA463" i="6"/>
  <c r="Z463" i="6"/>
  <c r="AB463" i="6" s="1"/>
  <c r="Y463" i="6"/>
  <c r="X463" i="6"/>
  <c r="W463" i="6"/>
  <c r="V463" i="6"/>
  <c r="T463" i="6"/>
  <c r="R463" i="6"/>
  <c r="S463" i="6" s="1"/>
  <c r="Q463" i="6"/>
  <c r="P463" i="6"/>
  <c r="O463" i="6"/>
  <c r="N463" i="6"/>
  <c r="DV463" i="6" s="1"/>
  <c r="M463" i="6"/>
  <c r="DP463" i="6" s="1"/>
  <c r="J463" i="6"/>
  <c r="H463" i="6"/>
  <c r="G463" i="6"/>
  <c r="DU463" i="6" s="1"/>
  <c r="F463" i="6"/>
  <c r="E463" i="6"/>
  <c r="D463" i="6"/>
  <c r="C463" i="6"/>
  <c r="B463" i="6"/>
  <c r="DW462" i="6"/>
  <c r="DP462" i="6"/>
  <c r="DN462" i="6"/>
  <c r="DM462" i="6"/>
  <c r="DL462" i="6"/>
  <c r="DK462" i="6"/>
  <c r="DJ462" i="6"/>
  <c r="DI462" i="6"/>
  <c r="DH462" i="6"/>
  <c r="DG462" i="6"/>
  <c r="DF462" i="6"/>
  <c r="DD462" i="6"/>
  <c r="DE462" i="6" s="1"/>
  <c r="DC462" i="6"/>
  <c r="DB462" i="6"/>
  <c r="DA462" i="6"/>
  <c r="CY462" i="6"/>
  <c r="CZ462" i="6" s="1"/>
  <c r="CX462" i="6"/>
  <c r="CW462" i="6"/>
  <c r="CV462" i="6"/>
  <c r="CT462" i="6"/>
  <c r="CU462" i="6" s="1"/>
  <c r="CR462" i="6"/>
  <c r="CS462" i="6" s="1"/>
  <c r="CQ462" i="6"/>
  <c r="CP462" i="6"/>
  <c r="CN462" i="6"/>
  <c r="CM462" i="6"/>
  <c r="CO462" i="6" s="1"/>
  <c r="CL462" i="6"/>
  <c r="CK462" i="6"/>
  <c r="CJ462" i="6"/>
  <c r="CI462" i="6"/>
  <c r="CG462" i="6"/>
  <c r="CH462" i="6" s="1"/>
  <c r="CF462" i="6"/>
  <c r="CE462" i="6"/>
  <c r="CD462" i="6"/>
  <c r="CB462" i="6"/>
  <c r="CC462" i="6" s="1"/>
  <c r="BZ462" i="6"/>
  <c r="BY462" i="6"/>
  <c r="CA462" i="6" s="1"/>
  <c r="BX462" i="6"/>
  <c r="BW462" i="6"/>
  <c r="BV462" i="6"/>
  <c r="BU462" i="6"/>
  <c r="BR462" i="6"/>
  <c r="BQ462" i="6"/>
  <c r="BS462" i="6" s="1"/>
  <c r="BP462" i="6"/>
  <c r="BO462" i="6"/>
  <c r="BM462" i="6"/>
  <c r="BL462" i="6"/>
  <c r="BK462" i="6"/>
  <c r="BJ462" i="6"/>
  <c r="BN462" i="6" s="1"/>
  <c r="BI462" i="6"/>
  <c r="BH462" i="6"/>
  <c r="BG462" i="6"/>
  <c r="BF462" i="6"/>
  <c r="BD462" i="6"/>
  <c r="BC462" i="6"/>
  <c r="DQ462" i="6" s="1"/>
  <c r="BB462" i="6"/>
  <c r="BE462" i="6" s="1"/>
  <c r="AZ462" i="6"/>
  <c r="AY462" i="6"/>
  <c r="BA462" i="6" s="1"/>
  <c r="AW462" i="6"/>
  <c r="AV462" i="6"/>
  <c r="AX462" i="6" s="1"/>
  <c r="AT462" i="6"/>
  <c r="AU462" i="6" s="1"/>
  <c r="AS462" i="6"/>
  <c r="AR462" i="6"/>
  <c r="AQ462" i="6"/>
  <c r="AP462" i="6"/>
  <c r="AN462" i="6"/>
  <c r="AM462" i="6"/>
  <c r="AK462" i="6"/>
  <c r="AJ462" i="6"/>
  <c r="AI462" i="6"/>
  <c r="AG462" i="6"/>
  <c r="AF462" i="6"/>
  <c r="AE462" i="6"/>
  <c r="AD462" i="6"/>
  <c r="AC462" i="6"/>
  <c r="DS462" i="6" s="1"/>
  <c r="AB462" i="6"/>
  <c r="AA462" i="6"/>
  <c r="Z462" i="6"/>
  <c r="Y462" i="6"/>
  <c r="W462" i="6"/>
  <c r="X462" i="6" s="1"/>
  <c r="V462" i="6"/>
  <c r="T462" i="6"/>
  <c r="S462" i="6"/>
  <c r="R462" i="6"/>
  <c r="P462" i="6"/>
  <c r="O462" i="6"/>
  <c r="N462" i="6"/>
  <c r="M462" i="6"/>
  <c r="Q462" i="6" s="1"/>
  <c r="J462" i="6"/>
  <c r="I462" i="6"/>
  <c r="H462" i="6"/>
  <c r="G462" i="6"/>
  <c r="DU462" i="6" s="1"/>
  <c r="F462" i="6"/>
  <c r="DV462" i="6" s="1"/>
  <c r="E462" i="6"/>
  <c r="D462" i="6"/>
  <c r="C462" i="6"/>
  <c r="B462" i="6"/>
  <c r="DW461" i="6"/>
  <c r="DR461" i="6"/>
  <c r="DM461" i="6"/>
  <c r="DN461" i="6" s="1"/>
  <c r="DL461" i="6"/>
  <c r="DK461" i="6"/>
  <c r="DJ461" i="6"/>
  <c r="DI461" i="6"/>
  <c r="DH461" i="6"/>
  <c r="DF461" i="6"/>
  <c r="DG461" i="6" s="1"/>
  <c r="DE461" i="6"/>
  <c r="DD461" i="6"/>
  <c r="DB461" i="6"/>
  <c r="DA461" i="6"/>
  <c r="DC461" i="6" s="1"/>
  <c r="CY461" i="6"/>
  <c r="CZ461" i="6" s="1"/>
  <c r="CX461" i="6"/>
  <c r="CW461" i="6"/>
  <c r="CV461" i="6"/>
  <c r="CT461" i="6"/>
  <c r="CU461" i="6" s="1"/>
  <c r="CR461" i="6"/>
  <c r="CQ461" i="6"/>
  <c r="CP461" i="6"/>
  <c r="CN461" i="6"/>
  <c r="CM461" i="6"/>
  <c r="CL461" i="6"/>
  <c r="CJ461" i="6"/>
  <c r="CI461" i="6"/>
  <c r="CK461" i="6" s="1"/>
  <c r="CG461" i="6"/>
  <c r="CH461" i="6" s="1"/>
  <c r="CE461" i="6"/>
  <c r="CF461" i="6" s="1"/>
  <c r="CD461" i="6"/>
  <c r="CB461" i="6"/>
  <c r="CC461" i="6" s="1"/>
  <c r="BZ461" i="6"/>
  <c r="BY461" i="6"/>
  <c r="CA461" i="6" s="1"/>
  <c r="BX461" i="6"/>
  <c r="BW461" i="6"/>
  <c r="BU461" i="6"/>
  <c r="BV461" i="6" s="1"/>
  <c r="BR461" i="6"/>
  <c r="BQ461" i="6"/>
  <c r="BS461" i="6" s="1"/>
  <c r="BP461" i="6"/>
  <c r="BO461" i="6"/>
  <c r="BM461" i="6"/>
  <c r="BL461" i="6"/>
  <c r="BK461" i="6"/>
  <c r="BJ461" i="6"/>
  <c r="BN461" i="6" s="1"/>
  <c r="BH461" i="6"/>
  <c r="BI461" i="6" s="1"/>
  <c r="BF461" i="6"/>
  <c r="BG461" i="6" s="1"/>
  <c r="BE461" i="6"/>
  <c r="BD461" i="6"/>
  <c r="BC461" i="6"/>
  <c r="BB461" i="6"/>
  <c r="AZ461" i="6"/>
  <c r="AY461" i="6"/>
  <c r="AX461" i="6"/>
  <c r="AW461" i="6"/>
  <c r="AV461" i="6"/>
  <c r="AT461" i="6"/>
  <c r="AS461" i="6"/>
  <c r="AQ461" i="6"/>
  <c r="AP461" i="6"/>
  <c r="AR461" i="6" s="1"/>
  <c r="AN461" i="6"/>
  <c r="AM461" i="6"/>
  <c r="AO461" i="6" s="1"/>
  <c r="AL461" i="6"/>
  <c r="AK461" i="6"/>
  <c r="AI461" i="6"/>
  <c r="AJ461" i="6" s="1"/>
  <c r="AG461" i="6"/>
  <c r="AF461" i="6"/>
  <c r="AE461" i="6"/>
  <c r="AD461" i="6"/>
  <c r="AC461" i="6"/>
  <c r="DS461" i="6" s="1"/>
  <c r="AA461" i="6"/>
  <c r="AB461" i="6" s="1"/>
  <c r="Z461" i="6"/>
  <c r="Y461" i="6"/>
  <c r="W461" i="6"/>
  <c r="V461" i="6"/>
  <c r="T461" i="6"/>
  <c r="S461" i="6"/>
  <c r="R461" i="6"/>
  <c r="P461" i="6"/>
  <c r="O461" i="6"/>
  <c r="N461" i="6"/>
  <c r="M461" i="6"/>
  <c r="Q461" i="6" s="1"/>
  <c r="J461" i="6"/>
  <c r="H461" i="6"/>
  <c r="G461" i="6"/>
  <c r="DU461" i="6" s="1"/>
  <c r="F461" i="6"/>
  <c r="DV461" i="6" s="1"/>
  <c r="E461" i="6"/>
  <c r="D461" i="6"/>
  <c r="C461" i="6"/>
  <c r="B461" i="6"/>
  <c r="DW460" i="6"/>
  <c r="DS460" i="6"/>
  <c r="DP460" i="6"/>
  <c r="DM460" i="6"/>
  <c r="DL460" i="6"/>
  <c r="DN460" i="6" s="1"/>
  <c r="DK460" i="6"/>
  <c r="DJ460" i="6"/>
  <c r="DH460" i="6"/>
  <c r="DI460" i="6" s="1"/>
  <c r="DG460" i="6"/>
  <c r="DF460" i="6"/>
  <c r="DE460" i="6"/>
  <c r="DD460" i="6"/>
  <c r="DB460" i="6"/>
  <c r="DA460" i="6"/>
  <c r="DC460" i="6" s="1"/>
  <c r="CY460" i="6"/>
  <c r="CX460" i="6"/>
  <c r="CZ460" i="6" s="1"/>
  <c r="CW460" i="6"/>
  <c r="CV460" i="6"/>
  <c r="CT460" i="6"/>
  <c r="CU460" i="6" s="1"/>
  <c r="CR460" i="6"/>
  <c r="CQ460" i="6"/>
  <c r="CP460" i="6"/>
  <c r="CN460" i="6"/>
  <c r="CM460" i="6"/>
  <c r="CL460" i="6"/>
  <c r="CO460" i="6" s="1"/>
  <c r="CK460" i="6"/>
  <c r="CJ460" i="6"/>
  <c r="CI460" i="6"/>
  <c r="CH460" i="6"/>
  <c r="CG460" i="6"/>
  <c r="CE460" i="6"/>
  <c r="CD460" i="6"/>
  <c r="CB460" i="6"/>
  <c r="CC460" i="6" s="1"/>
  <c r="BZ460" i="6"/>
  <c r="BY460" i="6"/>
  <c r="BX460" i="6"/>
  <c r="BW460" i="6"/>
  <c r="CA460" i="6" s="1"/>
  <c r="BV460" i="6"/>
  <c r="BU460" i="6"/>
  <c r="BS460" i="6"/>
  <c r="BR460" i="6"/>
  <c r="BQ460" i="6"/>
  <c r="BO460" i="6"/>
  <c r="BP460" i="6" s="1"/>
  <c r="BN460" i="6"/>
  <c r="BM460" i="6"/>
  <c r="BL460" i="6"/>
  <c r="BK460" i="6"/>
  <c r="BJ460" i="6"/>
  <c r="BH460" i="6"/>
  <c r="BI460" i="6" s="1"/>
  <c r="BG460" i="6"/>
  <c r="BF460" i="6"/>
  <c r="BD460" i="6"/>
  <c r="BE460" i="6" s="1"/>
  <c r="BC460" i="6"/>
  <c r="BB460" i="6"/>
  <c r="AZ460" i="6"/>
  <c r="AY460" i="6"/>
  <c r="BA460" i="6" s="1"/>
  <c r="AW460" i="6"/>
  <c r="AX460" i="6" s="1"/>
  <c r="AV460" i="6"/>
  <c r="AT460" i="6"/>
  <c r="AS460" i="6"/>
  <c r="AU460" i="6" s="1"/>
  <c r="AR460" i="6"/>
  <c r="AQ460" i="6"/>
  <c r="AP460" i="6"/>
  <c r="AN460" i="6"/>
  <c r="AM460" i="6"/>
  <c r="AO460" i="6" s="1"/>
  <c r="AK460" i="6"/>
  <c r="AL460" i="6" s="1"/>
  <c r="AI460" i="6"/>
  <c r="AJ460" i="6" s="1"/>
  <c r="AG460" i="6"/>
  <c r="AE460" i="6"/>
  <c r="AD460" i="6"/>
  <c r="AC460" i="6"/>
  <c r="AA460" i="6"/>
  <c r="Z460" i="6"/>
  <c r="AB460" i="6" s="1"/>
  <c r="Y460" i="6"/>
  <c r="W460" i="6"/>
  <c r="V460" i="6"/>
  <c r="T460" i="6"/>
  <c r="R460" i="6"/>
  <c r="S460" i="6" s="1"/>
  <c r="P460" i="6"/>
  <c r="O460" i="6"/>
  <c r="N460" i="6"/>
  <c r="M460" i="6"/>
  <c r="J460" i="6"/>
  <c r="H460" i="6"/>
  <c r="DQ460" i="6" s="1"/>
  <c r="G460" i="6"/>
  <c r="F460" i="6"/>
  <c r="DV460" i="6" s="1"/>
  <c r="E460" i="6"/>
  <c r="D460" i="6"/>
  <c r="C460" i="6"/>
  <c r="B460" i="6"/>
  <c r="DW459" i="6"/>
  <c r="DS459" i="6"/>
  <c r="DP459" i="6"/>
  <c r="DM459" i="6"/>
  <c r="DV459" i="6" s="1"/>
  <c r="DL459" i="6"/>
  <c r="DK459" i="6"/>
  <c r="DJ459" i="6"/>
  <c r="DH459" i="6"/>
  <c r="DI459" i="6" s="1"/>
  <c r="DG459" i="6"/>
  <c r="DF459" i="6"/>
  <c r="DD459" i="6"/>
  <c r="DE459" i="6" s="1"/>
  <c r="DB459" i="6"/>
  <c r="DA459" i="6"/>
  <c r="DC459" i="6" s="1"/>
  <c r="CY459" i="6"/>
  <c r="CZ459" i="6" s="1"/>
  <c r="CX459" i="6"/>
  <c r="CW459" i="6"/>
  <c r="CV459" i="6"/>
  <c r="CT459" i="6"/>
  <c r="CU459" i="6" s="1"/>
  <c r="CS459" i="6"/>
  <c r="CR459" i="6"/>
  <c r="CQ459" i="6"/>
  <c r="CP459" i="6"/>
  <c r="CO459" i="6"/>
  <c r="CN459" i="6"/>
  <c r="CM459" i="6"/>
  <c r="CL459" i="6"/>
  <c r="CJ459" i="6"/>
  <c r="CK459" i="6" s="1"/>
  <c r="CI459" i="6"/>
  <c r="CH459" i="6"/>
  <c r="CG459" i="6"/>
  <c r="CE459" i="6"/>
  <c r="CD459" i="6"/>
  <c r="CF459" i="6" s="1"/>
  <c r="CC459" i="6"/>
  <c r="CB459" i="6"/>
  <c r="BZ459" i="6"/>
  <c r="BY459" i="6"/>
  <c r="BX459" i="6"/>
  <c r="BW459" i="6"/>
  <c r="BV459" i="6"/>
  <c r="BU459" i="6"/>
  <c r="BR459" i="6"/>
  <c r="BS459" i="6" s="1"/>
  <c r="BQ459" i="6"/>
  <c r="BO459" i="6"/>
  <c r="BP459" i="6" s="1"/>
  <c r="BN459" i="6"/>
  <c r="BM459" i="6"/>
  <c r="BL459" i="6"/>
  <c r="BK459" i="6"/>
  <c r="BJ459" i="6"/>
  <c r="BH459" i="6"/>
  <c r="BI459" i="6" s="1"/>
  <c r="BG459" i="6"/>
  <c r="BF459" i="6"/>
  <c r="BD459" i="6"/>
  <c r="BC459" i="6"/>
  <c r="BB459" i="6"/>
  <c r="BE459" i="6" s="1"/>
  <c r="AZ459" i="6"/>
  <c r="AY459" i="6"/>
  <c r="AW459" i="6"/>
  <c r="AV459" i="6"/>
  <c r="AU459" i="6"/>
  <c r="AT459" i="6"/>
  <c r="AS459" i="6"/>
  <c r="AR459" i="6"/>
  <c r="AQ459" i="6"/>
  <c r="DT459" i="6" s="1"/>
  <c r="AP459" i="6"/>
  <c r="AO459" i="6"/>
  <c r="AN459" i="6"/>
  <c r="AM459" i="6"/>
  <c r="AK459" i="6"/>
  <c r="AJ459" i="6"/>
  <c r="AI459" i="6"/>
  <c r="AG459" i="6"/>
  <c r="AE459" i="6"/>
  <c r="AD459" i="6"/>
  <c r="AC459" i="6"/>
  <c r="AF459" i="6" s="1"/>
  <c r="AB459" i="6"/>
  <c r="AA459" i="6"/>
  <c r="Z459" i="6"/>
  <c r="Y459" i="6"/>
  <c r="X459" i="6"/>
  <c r="W459" i="6"/>
  <c r="V459" i="6"/>
  <c r="T459" i="6"/>
  <c r="S459" i="6"/>
  <c r="R459" i="6"/>
  <c r="P459" i="6"/>
  <c r="O459" i="6"/>
  <c r="N459" i="6"/>
  <c r="M459" i="6"/>
  <c r="Q459" i="6" s="1"/>
  <c r="J459" i="6"/>
  <c r="H459" i="6"/>
  <c r="G459" i="6"/>
  <c r="F459" i="6"/>
  <c r="E459" i="6"/>
  <c r="D459" i="6"/>
  <c r="C459" i="6"/>
  <c r="B459" i="6"/>
  <c r="DW458" i="6"/>
  <c r="DM458" i="6"/>
  <c r="DL458" i="6"/>
  <c r="DK458" i="6"/>
  <c r="DJ458" i="6"/>
  <c r="DI458" i="6"/>
  <c r="DH458" i="6"/>
  <c r="DF458" i="6"/>
  <c r="DG458" i="6" s="1"/>
  <c r="DE458" i="6"/>
  <c r="DD458" i="6"/>
  <c r="DC458" i="6"/>
  <c r="DB458" i="6"/>
  <c r="DA458" i="6"/>
  <c r="CZ458" i="6"/>
  <c r="CY458" i="6"/>
  <c r="CX458" i="6"/>
  <c r="CV458" i="6"/>
  <c r="CW458" i="6" s="1"/>
  <c r="CT458" i="6"/>
  <c r="CU458" i="6" s="1"/>
  <c r="CR458" i="6"/>
  <c r="CS458" i="6" s="1"/>
  <c r="CQ458" i="6"/>
  <c r="CP458" i="6"/>
  <c r="CN458" i="6"/>
  <c r="CO458" i="6" s="1"/>
  <c r="CM458" i="6"/>
  <c r="CL458" i="6"/>
  <c r="CJ458" i="6"/>
  <c r="CI458" i="6"/>
  <c r="CG458" i="6"/>
  <c r="CH458" i="6" s="1"/>
  <c r="CE458" i="6"/>
  <c r="CD458" i="6"/>
  <c r="CF458" i="6" s="1"/>
  <c r="CB458" i="6"/>
  <c r="CC458" i="6" s="1"/>
  <c r="BZ458" i="6"/>
  <c r="BY458" i="6"/>
  <c r="BX458" i="6"/>
  <c r="BW458" i="6"/>
  <c r="BU458" i="6"/>
  <c r="BV458" i="6" s="1"/>
  <c r="BR458" i="6"/>
  <c r="BS458" i="6" s="1"/>
  <c r="BQ458" i="6"/>
  <c r="BP458" i="6"/>
  <c r="BO458" i="6"/>
  <c r="BM458" i="6"/>
  <c r="BL458" i="6"/>
  <c r="BK458" i="6"/>
  <c r="BJ458" i="6"/>
  <c r="BN458" i="6" s="1"/>
  <c r="BH458" i="6"/>
  <c r="BI458" i="6" s="1"/>
  <c r="BF458" i="6"/>
  <c r="BG458" i="6" s="1"/>
  <c r="BD458" i="6"/>
  <c r="BC458" i="6"/>
  <c r="BB458" i="6"/>
  <c r="BE458" i="6" s="1"/>
  <c r="AZ458" i="6"/>
  <c r="DQ458" i="6" s="1"/>
  <c r="AY458" i="6"/>
  <c r="AX458" i="6"/>
  <c r="AW458" i="6"/>
  <c r="AV458" i="6"/>
  <c r="AU458" i="6"/>
  <c r="AT458" i="6"/>
  <c r="AS458" i="6"/>
  <c r="AQ458" i="6"/>
  <c r="AP458" i="6"/>
  <c r="AN458" i="6"/>
  <c r="AM458" i="6"/>
  <c r="AO458" i="6" s="1"/>
  <c r="AK458" i="6"/>
  <c r="AL458" i="6" s="1"/>
  <c r="AI458" i="6"/>
  <c r="AJ458" i="6" s="1"/>
  <c r="AG458" i="6"/>
  <c r="AF458" i="6"/>
  <c r="AE458" i="6"/>
  <c r="AD458" i="6"/>
  <c r="AC458" i="6"/>
  <c r="AA458" i="6"/>
  <c r="Z458" i="6"/>
  <c r="Y458" i="6"/>
  <c r="X458" i="6"/>
  <c r="W458" i="6"/>
  <c r="V458" i="6"/>
  <c r="T458" i="6"/>
  <c r="R458" i="6"/>
  <c r="P458" i="6"/>
  <c r="O458" i="6"/>
  <c r="N458" i="6"/>
  <c r="M458" i="6"/>
  <c r="Q458" i="6" s="1"/>
  <c r="J458" i="6"/>
  <c r="H458" i="6"/>
  <c r="G458" i="6"/>
  <c r="F458" i="6"/>
  <c r="DV458" i="6" s="1"/>
  <c r="E458" i="6"/>
  <c r="D458" i="6"/>
  <c r="C458" i="6"/>
  <c r="B458" i="6"/>
  <c r="DW457" i="6"/>
  <c r="DP457" i="6"/>
  <c r="DM457" i="6"/>
  <c r="DL457" i="6"/>
  <c r="DK457" i="6"/>
  <c r="DN457" i="6" s="1"/>
  <c r="DJ457" i="6"/>
  <c r="DH457" i="6"/>
  <c r="DI457" i="6" s="1"/>
  <c r="DF457" i="6"/>
  <c r="DG457" i="6" s="1"/>
  <c r="DE457" i="6"/>
  <c r="DD457" i="6"/>
  <c r="DB457" i="6"/>
  <c r="DA457" i="6"/>
  <c r="DC457" i="6" s="1"/>
  <c r="CY457" i="6"/>
  <c r="CX457" i="6"/>
  <c r="CZ457" i="6" s="1"/>
  <c r="CW457" i="6"/>
  <c r="CV457" i="6"/>
  <c r="CT457" i="6"/>
  <c r="CU457" i="6" s="1"/>
  <c r="CR457" i="6"/>
  <c r="CQ457" i="6"/>
  <c r="CP457" i="6"/>
  <c r="CO457" i="6"/>
  <c r="CN457" i="6"/>
  <c r="CM457" i="6"/>
  <c r="CL457" i="6"/>
  <c r="CJ457" i="6"/>
  <c r="CI457" i="6"/>
  <c r="CK457" i="6" s="1"/>
  <c r="CH457" i="6"/>
  <c r="CG457" i="6"/>
  <c r="CE457" i="6"/>
  <c r="CD457" i="6"/>
  <c r="CF457" i="6" s="1"/>
  <c r="CC457" i="6"/>
  <c r="CB457" i="6"/>
  <c r="BZ457" i="6"/>
  <c r="BY457" i="6"/>
  <c r="BX457" i="6"/>
  <c r="BW457" i="6"/>
  <c r="CA457" i="6" s="1"/>
  <c r="BV457" i="6"/>
  <c r="BU457" i="6"/>
  <c r="BS457" i="6"/>
  <c r="BR457" i="6"/>
  <c r="BQ457" i="6"/>
  <c r="BP457" i="6"/>
  <c r="BO457" i="6"/>
  <c r="BM457" i="6"/>
  <c r="BL457" i="6"/>
  <c r="BK457" i="6"/>
  <c r="BJ457" i="6"/>
  <c r="BN457" i="6" s="1"/>
  <c r="BI457" i="6"/>
  <c r="BH457" i="6"/>
  <c r="BF457" i="6"/>
  <c r="BG457" i="6" s="1"/>
  <c r="BD457" i="6"/>
  <c r="BC457" i="6"/>
  <c r="BB457" i="6"/>
  <c r="AZ457" i="6"/>
  <c r="AY457" i="6"/>
  <c r="BA457" i="6" s="1"/>
  <c r="AW457" i="6"/>
  <c r="AV457" i="6"/>
  <c r="AX457" i="6" s="1"/>
  <c r="AT457" i="6"/>
  <c r="AS457" i="6"/>
  <c r="AU457" i="6" s="1"/>
  <c r="AQ457" i="6"/>
  <c r="AP457" i="6"/>
  <c r="AN457" i="6"/>
  <c r="AM457" i="6"/>
  <c r="AO457" i="6" s="1"/>
  <c r="AL457" i="6"/>
  <c r="AK457" i="6"/>
  <c r="AI457" i="6"/>
  <c r="AJ457" i="6" s="1"/>
  <c r="AG457" i="6"/>
  <c r="AE457" i="6"/>
  <c r="AD457" i="6"/>
  <c r="AC457" i="6"/>
  <c r="AA457" i="6"/>
  <c r="AB457" i="6" s="1"/>
  <c r="Z457" i="6"/>
  <c r="Y457" i="6"/>
  <c r="W457" i="6"/>
  <c r="V457" i="6"/>
  <c r="T457" i="6"/>
  <c r="S457" i="6"/>
  <c r="R457" i="6"/>
  <c r="P457" i="6"/>
  <c r="O457" i="6"/>
  <c r="DU457" i="6" s="1"/>
  <c r="N457" i="6"/>
  <c r="Q457" i="6" s="1"/>
  <c r="M457" i="6"/>
  <c r="J457" i="6"/>
  <c r="H457" i="6"/>
  <c r="G457" i="6"/>
  <c r="F457" i="6"/>
  <c r="E457" i="6"/>
  <c r="D457" i="6"/>
  <c r="C457" i="6"/>
  <c r="B457" i="6"/>
  <c r="DW456" i="6"/>
  <c r="DV456" i="6"/>
  <c r="DM456" i="6"/>
  <c r="DL456" i="6"/>
  <c r="DK456" i="6"/>
  <c r="DJ456" i="6"/>
  <c r="DN456" i="6" s="1"/>
  <c r="DI456" i="6"/>
  <c r="DH456" i="6"/>
  <c r="DG456" i="6"/>
  <c r="DF456" i="6"/>
  <c r="DE456" i="6"/>
  <c r="DD456" i="6"/>
  <c r="DB456" i="6"/>
  <c r="DA456" i="6"/>
  <c r="DC456" i="6" s="1"/>
  <c r="CZ456" i="6"/>
  <c r="CY456" i="6"/>
  <c r="CX456" i="6"/>
  <c r="CV456" i="6"/>
  <c r="CW456" i="6" s="1"/>
  <c r="CT456" i="6"/>
  <c r="CU456" i="6" s="1"/>
  <c r="CR456" i="6"/>
  <c r="CQ456" i="6"/>
  <c r="CP456" i="6"/>
  <c r="CS456" i="6" s="1"/>
  <c r="CN456" i="6"/>
  <c r="CM456" i="6"/>
  <c r="CL456" i="6"/>
  <c r="CO456" i="6" s="1"/>
  <c r="CK456" i="6"/>
  <c r="CJ456" i="6"/>
  <c r="CI456" i="6"/>
  <c r="CG456" i="6"/>
  <c r="CH456" i="6" s="1"/>
  <c r="CE456" i="6"/>
  <c r="CD456" i="6"/>
  <c r="CF456" i="6" s="1"/>
  <c r="CB456" i="6"/>
  <c r="CC456" i="6" s="1"/>
  <c r="BZ456" i="6"/>
  <c r="BY456" i="6"/>
  <c r="BX456" i="6"/>
  <c r="BW456" i="6"/>
  <c r="BV456" i="6"/>
  <c r="BU456" i="6"/>
  <c r="BR456" i="6"/>
  <c r="BQ456" i="6"/>
  <c r="BS456" i="6" s="1"/>
  <c r="BP456" i="6"/>
  <c r="BO456" i="6"/>
  <c r="BM456" i="6"/>
  <c r="BL456" i="6"/>
  <c r="BK456" i="6"/>
  <c r="BJ456" i="6"/>
  <c r="BN456" i="6" s="1"/>
  <c r="BH456" i="6"/>
  <c r="BI456" i="6" s="1"/>
  <c r="BG456" i="6"/>
  <c r="BF456" i="6"/>
  <c r="BE456" i="6"/>
  <c r="BD456" i="6"/>
  <c r="BC456" i="6"/>
  <c r="BB456" i="6"/>
  <c r="AZ456" i="6"/>
  <c r="AY456" i="6"/>
  <c r="BA456" i="6" s="1"/>
  <c r="AW456" i="6"/>
  <c r="AV456" i="6"/>
  <c r="AX456" i="6" s="1"/>
  <c r="AT456" i="6"/>
  <c r="AS456" i="6"/>
  <c r="AU456" i="6" s="1"/>
  <c r="AR456" i="6"/>
  <c r="AQ456" i="6"/>
  <c r="AP456" i="6"/>
  <c r="AO456" i="6"/>
  <c r="AN456" i="6"/>
  <c r="AM456" i="6"/>
  <c r="AL456" i="6"/>
  <c r="AK456" i="6"/>
  <c r="AJ456" i="6"/>
  <c r="AI456" i="6"/>
  <c r="AG456" i="6"/>
  <c r="AE456" i="6"/>
  <c r="AD456" i="6"/>
  <c r="AC456" i="6"/>
  <c r="AF456" i="6" s="1"/>
  <c r="AB456" i="6"/>
  <c r="AA456" i="6"/>
  <c r="Z456" i="6"/>
  <c r="Y456" i="6"/>
  <c r="W456" i="6"/>
  <c r="V456" i="6"/>
  <c r="T456" i="6"/>
  <c r="R456" i="6"/>
  <c r="S456" i="6" s="1"/>
  <c r="Q456" i="6"/>
  <c r="P456" i="6"/>
  <c r="O456" i="6"/>
  <c r="N456" i="6"/>
  <c r="M456" i="6"/>
  <c r="J456" i="6"/>
  <c r="H456" i="6"/>
  <c r="DQ456" i="6" s="1"/>
  <c r="G456" i="6"/>
  <c r="F456" i="6"/>
  <c r="E456" i="6"/>
  <c r="D456" i="6"/>
  <c r="C456" i="6"/>
  <c r="B456" i="6"/>
  <c r="DW455" i="6"/>
  <c r="DP455" i="6"/>
  <c r="DM455" i="6"/>
  <c r="DL455" i="6"/>
  <c r="DN455" i="6" s="1"/>
  <c r="DK455" i="6"/>
  <c r="DJ455" i="6"/>
  <c r="DI455" i="6"/>
  <c r="DH455" i="6"/>
  <c r="DG455" i="6"/>
  <c r="DF455" i="6"/>
  <c r="DD455" i="6"/>
  <c r="DE455" i="6" s="1"/>
  <c r="DB455" i="6"/>
  <c r="DA455" i="6"/>
  <c r="DC455" i="6" s="1"/>
  <c r="CY455" i="6"/>
  <c r="CZ455" i="6" s="1"/>
  <c r="CX455" i="6"/>
  <c r="CV455" i="6"/>
  <c r="CW455" i="6" s="1"/>
  <c r="CU455" i="6"/>
  <c r="CT455" i="6"/>
  <c r="CS455" i="6"/>
  <c r="CR455" i="6"/>
  <c r="CQ455" i="6"/>
  <c r="CP455" i="6"/>
  <c r="CN455" i="6"/>
  <c r="CM455" i="6"/>
  <c r="CL455" i="6"/>
  <c r="CO455" i="6" s="1"/>
  <c r="CJ455" i="6"/>
  <c r="CK455" i="6" s="1"/>
  <c r="CI455" i="6"/>
  <c r="CG455" i="6"/>
  <c r="CH455" i="6" s="1"/>
  <c r="CE455" i="6"/>
  <c r="CD455" i="6"/>
  <c r="CF455" i="6" s="1"/>
  <c r="CC455" i="6"/>
  <c r="CB455" i="6"/>
  <c r="BZ455" i="6"/>
  <c r="BY455" i="6"/>
  <c r="BX455" i="6"/>
  <c r="BW455" i="6"/>
  <c r="CA455" i="6" s="1"/>
  <c r="BV455" i="6"/>
  <c r="BU455" i="6"/>
  <c r="BS455" i="6"/>
  <c r="BR455" i="6"/>
  <c r="BQ455" i="6"/>
  <c r="BO455" i="6"/>
  <c r="BP455" i="6" s="1"/>
  <c r="BM455" i="6"/>
  <c r="BN455" i="6" s="1"/>
  <c r="BL455" i="6"/>
  <c r="BK455" i="6"/>
  <c r="BJ455" i="6"/>
  <c r="BI455" i="6"/>
  <c r="BH455" i="6"/>
  <c r="BG455" i="6"/>
  <c r="BF455" i="6"/>
  <c r="BD455" i="6"/>
  <c r="BC455" i="6"/>
  <c r="BB455" i="6"/>
  <c r="AZ455" i="6"/>
  <c r="AY455" i="6"/>
  <c r="BA455" i="6" s="1"/>
  <c r="AX455" i="6"/>
  <c r="AW455" i="6"/>
  <c r="AV455" i="6"/>
  <c r="AT455" i="6"/>
  <c r="AS455" i="6"/>
  <c r="AU455" i="6" s="1"/>
  <c r="AR455" i="6"/>
  <c r="AQ455" i="6"/>
  <c r="DT455" i="6" s="1"/>
  <c r="AP455" i="6"/>
  <c r="AN455" i="6"/>
  <c r="AM455" i="6"/>
  <c r="AO455" i="6" s="1"/>
  <c r="AK455" i="6"/>
  <c r="AL455" i="6" s="1"/>
  <c r="AJ455" i="6"/>
  <c r="AI455" i="6"/>
  <c r="AG455" i="6"/>
  <c r="AE455" i="6"/>
  <c r="AD455" i="6"/>
  <c r="AC455" i="6"/>
  <c r="DS455" i="6" s="1"/>
  <c r="AA455" i="6"/>
  <c r="AB455" i="6" s="1"/>
  <c r="Z455" i="6"/>
  <c r="Y455" i="6"/>
  <c r="W455" i="6"/>
  <c r="V455" i="6"/>
  <c r="X455" i="6" s="1"/>
  <c r="T455" i="6"/>
  <c r="S455" i="6"/>
  <c r="R455" i="6"/>
  <c r="P455" i="6"/>
  <c r="O455" i="6"/>
  <c r="N455" i="6"/>
  <c r="M455" i="6"/>
  <c r="Q455" i="6" s="1"/>
  <c r="J455" i="6"/>
  <c r="H455" i="6"/>
  <c r="G455" i="6"/>
  <c r="DU455" i="6" s="1"/>
  <c r="F455" i="6"/>
  <c r="DV455" i="6" s="1"/>
  <c r="E455" i="6"/>
  <c r="D455" i="6"/>
  <c r="C455" i="6"/>
  <c r="B455" i="6"/>
  <c r="DW454" i="6"/>
  <c r="DS454" i="6"/>
  <c r="DM454" i="6"/>
  <c r="DV454" i="6" s="1"/>
  <c r="DL454" i="6"/>
  <c r="DK454" i="6"/>
  <c r="DJ454" i="6"/>
  <c r="DH454" i="6"/>
  <c r="DI454" i="6" s="1"/>
  <c r="DF454" i="6"/>
  <c r="DG454" i="6" s="1"/>
  <c r="DE454" i="6"/>
  <c r="DD454" i="6"/>
  <c r="DB454" i="6"/>
  <c r="DA454" i="6"/>
  <c r="DC454" i="6" s="1"/>
  <c r="CY454" i="6"/>
  <c r="CX454" i="6"/>
  <c r="CV454" i="6"/>
  <c r="CW454" i="6" s="1"/>
  <c r="CU454" i="6"/>
  <c r="CT454" i="6"/>
  <c r="CR454" i="6"/>
  <c r="CQ454" i="6"/>
  <c r="CP454" i="6"/>
  <c r="CS454" i="6" s="1"/>
  <c r="CO454" i="6"/>
  <c r="CN454" i="6"/>
  <c r="CM454" i="6"/>
  <c r="CL454" i="6"/>
  <c r="CJ454" i="6"/>
  <c r="DR454" i="6" s="1"/>
  <c r="CI454" i="6"/>
  <c r="CH454" i="6"/>
  <c r="CG454" i="6"/>
  <c r="CE454" i="6"/>
  <c r="CD454" i="6"/>
  <c r="CF454" i="6" s="1"/>
  <c r="CC454" i="6"/>
  <c r="CB454" i="6"/>
  <c r="BZ454" i="6"/>
  <c r="BY454" i="6"/>
  <c r="BX454" i="6"/>
  <c r="BW454" i="6"/>
  <c r="CA454" i="6" s="1"/>
  <c r="BU454" i="6"/>
  <c r="BV454" i="6" s="1"/>
  <c r="BR454" i="6"/>
  <c r="BQ454" i="6"/>
  <c r="BS454" i="6" s="1"/>
  <c r="BO454" i="6"/>
  <c r="BP454" i="6" s="1"/>
  <c r="BM454" i="6"/>
  <c r="DU454" i="6" s="1"/>
  <c r="BL454" i="6"/>
  <c r="BN454" i="6" s="1"/>
  <c r="BK454" i="6"/>
  <c r="BJ454" i="6"/>
  <c r="BH454" i="6"/>
  <c r="BI454" i="6" s="1"/>
  <c r="BF454" i="6"/>
  <c r="BG454" i="6" s="1"/>
  <c r="BD454" i="6"/>
  <c r="BC454" i="6"/>
  <c r="BB454" i="6"/>
  <c r="BE454" i="6" s="1"/>
  <c r="AZ454" i="6"/>
  <c r="AY454" i="6"/>
  <c r="BA454" i="6" s="1"/>
  <c r="AW454" i="6"/>
  <c r="AV454" i="6"/>
  <c r="AX454" i="6" s="1"/>
  <c r="AU454" i="6"/>
  <c r="AT454" i="6"/>
  <c r="AS454" i="6"/>
  <c r="AR454" i="6"/>
  <c r="AQ454" i="6"/>
  <c r="AP454" i="6"/>
  <c r="AN454" i="6"/>
  <c r="AM454" i="6"/>
  <c r="AO454" i="6" s="1"/>
  <c r="AL454" i="6"/>
  <c r="AK454" i="6"/>
  <c r="AJ454" i="6"/>
  <c r="AI454" i="6"/>
  <c r="AG454" i="6"/>
  <c r="AE454" i="6"/>
  <c r="AF454" i="6" s="1"/>
  <c r="AD454" i="6"/>
  <c r="AC454" i="6"/>
  <c r="AA454" i="6"/>
  <c r="Z454" i="6"/>
  <c r="AB454" i="6" s="1"/>
  <c r="Y454" i="6"/>
  <c r="X454" i="6"/>
  <c r="W454" i="6"/>
  <c r="V454" i="6"/>
  <c r="T454" i="6"/>
  <c r="S454" i="6"/>
  <c r="R454" i="6"/>
  <c r="P454" i="6"/>
  <c r="O454" i="6"/>
  <c r="N454" i="6"/>
  <c r="M454" i="6"/>
  <c r="Q454" i="6" s="1"/>
  <c r="J454" i="6"/>
  <c r="I454" i="6"/>
  <c r="H454" i="6"/>
  <c r="G454" i="6"/>
  <c r="F454" i="6"/>
  <c r="E454" i="6"/>
  <c r="DP454" i="6" s="1"/>
  <c r="D454" i="6"/>
  <c r="C454" i="6"/>
  <c r="B454" i="6"/>
  <c r="DW453" i="6"/>
  <c r="DU453" i="6"/>
  <c r="DQ453" i="6"/>
  <c r="DM453" i="6"/>
  <c r="DL453" i="6"/>
  <c r="DK453" i="6"/>
  <c r="DJ453" i="6"/>
  <c r="DI453" i="6"/>
  <c r="DH453" i="6"/>
  <c r="DF453" i="6"/>
  <c r="DG453" i="6" s="1"/>
  <c r="DE453" i="6"/>
  <c r="DD453" i="6"/>
  <c r="DB453" i="6"/>
  <c r="DA453" i="6"/>
  <c r="DC453" i="6" s="1"/>
  <c r="CY453" i="6"/>
  <c r="CX453" i="6"/>
  <c r="CZ453" i="6" s="1"/>
  <c r="CW453" i="6"/>
  <c r="CV453" i="6"/>
  <c r="CU453" i="6"/>
  <c r="CT453" i="6"/>
  <c r="CR453" i="6"/>
  <c r="CQ453" i="6"/>
  <c r="CP453" i="6"/>
  <c r="CN453" i="6"/>
  <c r="DR453" i="6" s="1"/>
  <c r="CM453" i="6"/>
  <c r="CO453" i="6" s="1"/>
  <c r="CL453" i="6"/>
  <c r="CJ453" i="6"/>
  <c r="CI453" i="6"/>
  <c r="CK453" i="6" s="1"/>
  <c r="CH453" i="6"/>
  <c r="CG453" i="6"/>
  <c r="CE453" i="6"/>
  <c r="CD453" i="6"/>
  <c r="CF453" i="6" s="1"/>
  <c r="CB453" i="6"/>
  <c r="CC453" i="6" s="1"/>
  <c r="BZ453" i="6"/>
  <c r="BY453" i="6"/>
  <c r="BX453" i="6"/>
  <c r="CA453" i="6" s="1"/>
  <c r="BW453" i="6"/>
  <c r="BU453" i="6"/>
  <c r="BV453" i="6" s="1"/>
  <c r="BR453" i="6"/>
  <c r="BS453" i="6" s="1"/>
  <c r="BQ453" i="6"/>
  <c r="BP453" i="6"/>
  <c r="BO453" i="6"/>
  <c r="BM453" i="6"/>
  <c r="BL453" i="6"/>
  <c r="BK453" i="6"/>
  <c r="BJ453" i="6"/>
  <c r="BH453" i="6"/>
  <c r="BI453" i="6" s="1"/>
  <c r="BG453" i="6"/>
  <c r="BF453" i="6"/>
  <c r="BE453" i="6"/>
  <c r="BD453" i="6"/>
  <c r="BC453" i="6"/>
  <c r="BB453" i="6"/>
  <c r="BA453" i="6"/>
  <c r="AZ453" i="6"/>
  <c r="AY453" i="6"/>
  <c r="AW453" i="6"/>
  <c r="AV453" i="6"/>
  <c r="AX453" i="6" s="1"/>
  <c r="AT453" i="6"/>
  <c r="AU453" i="6" s="1"/>
  <c r="AS453" i="6"/>
  <c r="AQ453" i="6"/>
  <c r="AP453" i="6"/>
  <c r="AR453" i="6" s="1"/>
  <c r="AO453" i="6"/>
  <c r="AN453" i="6"/>
  <c r="AM453" i="6"/>
  <c r="AK453" i="6"/>
  <c r="AL453" i="6" s="1"/>
  <c r="AI453" i="6"/>
  <c r="AJ453" i="6" s="1"/>
  <c r="AG453" i="6"/>
  <c r="AE453" i="6"/>
  <c r="AD453" i="6"/>
  <c r="AC453" i="6"/>
  <c r="AA453" i="6"/>
  <c r="Z453" i="6"/>
  <c r="Y453" i="6"/>
  <c r="X453" i="6"/>
  <c r="W453" i="6"/>
  <c r="V453" i="6"/>
  <c r="T453" i="6"/>
  <c r="R453" i="6"/>
  <c r="S453" i="6" s="1"/>
  <c r="Q453" i="6"/>
  <c r="P453" i="6"/>
  <c r="O453" i="6"/>
  <c r="N453" i="6"/>
  <c r="M453" i="6"/>
  <c r="J453" i="6"/>
  <c r="I453" i="6"/>
  <c r="H453" i="6"/>
  <c r="G453" i="6"/>
  <c r="F453" i="6"/>
  <c r="E453" i="6"/>
  <c r="DP453" i="6" s="1"/>
  <c r="D453" i="6"/>
  <c r="C453" i="6"/>
  <c r="B453" i="6"/>
  <c r="DW452" i="6"/>
  <c r="DP452" i="6"/>
  <c r="DM452" i="6"/>
  <c r="DL452" i="6"/>
  <c r="DK452" i="6"/>
  <c r="DJ452" i="6"/>
  <c r="DH452" i="6"/>
  <c r="DI452" i="6" s="1"/>
  <c r="DF452" i="6"/>
  <c r="DG452" i="6" s="1"/>
  <c r="DD452" i="6"/>
  <c r="DE452" i="6" s="1"/>
  <c r="DC452" i="6"/>
  <c r="DB452" i="6"/>
  <c r="DA452" i="6"/>
  <c r="CY452" i="6"/>
  <c r="CZ452" i="6" s="1"/>
  <c r="CX452" i="6"/>
  <c r="CW452" i="6"/>
  <c r="CV452" i="6"/>
  <c r="CT452" i="6"/>
  <c r="CU452" i="6" s="1"/>
  <c r="CS452" i="6"/>
  <c r="CR452" i="6"/>
  <c r="CQ452" i="6"/>
  <c r="CP452" i="6"/>
  <c r="CN452" i="6"/>
  <c r="CM452" i="6"/>
  <c r="CO452" i="6" s="1"/>
  <c r="CL452" i="6"/>
  <c r="CJ452" i="6"/>
  <c r="CI452" i="6"/>
  <c r="CK452" i="6" s="1"/>
  <c r="CH452" i="6"/>
  <c r="CG452" i="6"/>
  <c r="CE452" i="6"/>
  <c r="CD452" i="6"/>
  <c r="CF452" i="6" s="1"/>
  <c r="CC452" i="6"/>
  <c r="CB452" i="6"/>
  <c r="CA452" i="6"/>
  <c r="BZ452" i="6"/>
  <c r="BY452" i="6"/>
  <c r="BX452" i="6"/>
  <c r="BW452" i="6"/>
  <c r="BV452" i="6"/>
  <c r="BU452" i="6"/>
  <c r="BS452" i="6"/>
  <c r="BR452" i="6"/>
  <c r="BQ452" i="6"/>
  <c r="BP452" i="6"/>
  <c r="BO452" i="6"/>
  <c r="BM452" i="6"/>
  <c r="BL452" i="6"/>
  <c r="BK452" i="6"/>
  <c r="BJ452" i="6"/>
  <c r="BH452" i="6"/>
  <c r="BI452" i="6" s="1"/>
  <c r="BF452" i="6"/>
  <c r="BG452" i="6" s="1"/>
  <c r="BD452" i="6"/>
  <c r="BC452" i="6"/>
  <c r="BB452" i="6"/>
  <c r="AZ452" i="6"/>
  <c r="BA452" i="6" s="1"/>
  <c r="AY452" i="6"/>
  <c r="AW452" i="6"/>
  <c r="AV452" i="6"/>
  <c r="AX452" i="6" s="1"/>
  <c r="AU452" i="6"/>
  <c r="AT452" i="6"/>
  <c r="AS452" i="6"/>
  <c r="AQ452" i="6"/>
  <c r="AP452" i="6"/>
  <c r="AR452" i="6" s="1"/>
  <c r="AO452" i="6"/>
  <c r="AN452" i="6"/>
  <c r="AM452" i="6"/>
  <c r="AK452" i="6"/>
  <c r="AL452" i="6" s="1"/>
  <c r="AJ452" i="6"/>
  <c r="AI452" i="6"/>
  <c r="AG452" i="6"/>
  <c r="AE452" i="6"/>
  <c r="AD452" i="6"/>
  <c r="AC452" i="6"/>
  <c r="AA452" i="6"/>
  <c r="Z452" i="6"/>
  <c r="AB452" i="6" s="1"/>
  <c r="Y452" i="6"/>
  <c r="X452" i="6"/>
  <c r="W452" i="6"/>
  <c r="DV452" i="6" s="1"/>
  <c r="V452" i="6"/>
  <c r="DT452" i="6" s="1"/>
  <c r="T452" i="6"/>
  <c r="R452" i="6"/>
  <c r="S452" i="6" s="1"/>
  <c r="Q452" i="6"/>
  <c r="P452" i="6"/>
  <c r="O452" i="6"/>
  <c r="N452" i="6"/>
  <c r="M452" i="6"/>
  <c r="J452" i="6"/>
  <c r="H452" i="6"/>
  <c r="G452" i="6"/>
  <c r="F452" i="6"/>
  <c r="E452" i="6"/>
  <c r="D452" i="6"/>
  <c r="C452" i="6"/>
  <c r="B452" i="6"/>
  <c r="DW451" i="6"/>
  <c r="DP451" i="6"/>
  <c r="DN451" i="6"/>
  <c r="DM451" i="6"/>
  <c r="DL451" i="6"/>
  <c r="DK451" i="6"/>
  <c r="DJ451" i="6"/>
  <c r="DH451" i="6"/>
  <c r="DI451" i="6" s="1"/>
  <c r="DG451" i="6"/>
  <c r="DF451" i="6"/>
  <c r="DD451" i="6"/>
  <c r="DE451" i="6" s="1"/>
  <c r="DC451" i="6"/>
  <c r="DB451" i="6"/>
  <c r="DA451" i="6"/>
  <c r="CY451" i="6"/>
  <c r="CZ451" i="6" s="1"/>
  <c r="CX451" i="6"/>
  <c r="CV451" i="6"/>
  <c r="CW451" i="6" s="1"/>
  <c r="CU451" i="6"/>
  <c r="CT451" i="6"/>
  <c r="CR451" i="6"/>
  <c r="CS451" i="6" s="1"/>
  <c r="CQ451" i="6"/>
  <c r="CP451" i="6"/>
  <c r="CO451" i="6"/>
  <c r="CN451" i="6"/>
  <c r="CM451" i="6"/>
  <c r="CL451" i="6"/>
  <c r="CK451" i="6"/>
  <c r="CJ451" i="6"/>
  <c r="CI451" i="6"/>
  <c r="CH451" i="6"/>
  <c r="CG451" i="6"/>
  <c r="CF451" i="6"/>
  <c r="CE451" i="6"/>
  <c r="CD451" i="6"/>
  <c r="CB451" i="6"/>
  <c r="CC451" i="6" s="1"/>
  <c r="BZ451" i="6"/>
  <c r="BY451" i="6"/>
  <c r="BX451" i="6"/>
  <c r="BW451" i="6"/>
  <c r="BV451" i="6"/>
  <c r="BU451" i="6"/>
  <c r="BR451" i="6"/>
  <c r="BQ451" i="6"/>
  <c r="BO451" i="6"/>
  <c r="BP451" i="6" s="1"/>
  <c r="BN451" i="6"/>
  <c r="BM451" i="6"/>
  <c r="BL451" i="6"/>
  <c r="BK451" i="6"/>
  <c r="BJ451" i="6"/>
  <c r="BI451" i="6"/>
  <c r="BH451" i="6"/>
  <c r="BF451" i="6"/>
  <c r="BG451" i="6" s="1"/>
  <c r="BD451" i="6"/>
  <c r="BC451" i="6"/>
  <c r="BB451" i="6"/>
  <c r="AZ451" i="6"/>
  <c r="AY451" i="6"/>
  <c r="BA451" i="6" s="1"/>
  <c r="AW451" i="6"/>
  <c r="AV451" i="6"/>
  <c r="AT451" i="6"/>
  <c r="AS451" i="6"/>
  <c r="AU451" i="6" s="1"/>
  <c r="AR451" i="6"/>
  <c r="AQ451" i="6"/>
  <c r="AP451" i="6"/>
  <c r="AO451" i="6"/>
  <c r="AN451" i="6"/>
  <c r="AM451" i="6"/>
  <c r="AL451" i="6"/>
  <c r="AK451" i="6"/>
  <c r="AI451" i="6"/>
  <c r="AJ451" i="6" s="1"/>
  <c r="AG451" i="6"/>
  <c r="AF451" i="6"/>
  <c r="AE451" i="6"/>
  <c r="AD451" i="6"/>
  <c r="AC451" i="6"/>
  <c r="AB451" i="6"/>
  <c r="AA451" i="6"/>
  <c r="Z451" i="6"/>
  <c r="Y451" i="6"/>
  <c r="X451" i="6"/>
  <c r="W451" i="6"/>
  <c r="V451" i="6"/>
  <c r="T451" i="6"/>
  <c r="R451" i="6"/>
  <c r="S451" i="6" s="1"/>
  <c r="Q451" i="6"/>
  <c r="P451" i="6"/>
  <c r="O451" i="6"/>
  <c r="N451" i="6"/>
  <c r="M451" i="6"/>
  <c r="J451" i="6"/>
  <c r="H451" i="6"/>
  <c r="G451" i="6"/>
  <c r="F451" i="6"/>
  <c r="E451" i="6"/>
  <c r="D451" i="6"/>
  <c r="C451" i="6"/>
  <c r="B451" i="6"/>
  <c r="DW450" i="6"/>
  <c r="DM450" i="6"/>
  <c r="DL450" i="6"/>
  <c r="DK450" i="6"/>
  <c r="DJ450" i="6"/>
  <c r="DN450" i="6" s="1"/>
  <c r="DH450" i="6"/>
  <c r="DI450" i="6" s="1"/>
  <c r="DG450" i="6"/>
  <c r="DF450" i="6"/>
  <c r="DD450" i="6"/>
  <c r="DE450" i="6" s="1"/>
  <c r="DB450" i="6"/>
  <c r="DA450" i="6"/>
  <c r="DC450" i="6" s="1"/>
  <c r="CY450" i="6"/>
  <c r="CZ450" i="6" s="1"/>
  <c r="CX450" i="6"/>
  <c r="CW450" i="6"/>
  <c r="CV450" i="6"/>
  <c r="CU450" i="6"/>
  <c r="CT450" i="6"/>
  <c r="CR450" i="6"/>
  <c r="CQ450" i="6"/>
  <c r="CP450" i="6"/>
  <c r="CN450" i="6"/>
  <c r="CM450" i="6"/>
  <c r="CL450" i="6"/>
  <c r="CJ450" i="6"/>
  <c r="CK450" i="6" s="1"/>
  <c r="CI450" i="6"/>
  <c r="CG450" i="6"/>
  <c r="CH450" i="6" s="1"/>
  <c r="CE450" i="6"/>
  <c r="CF450" i="6" s="1"/>
  <c r="CD450" i="6"/>
  <c r="CB450" i="6"/>
  <c r="CC450" i="6" s="1"/>
  <c r="BZ450" i="6"/>
  <c r="BY450" i="6"/>
  <c r="BX450" i="6"/>
  <c r="CA450" i="6" s="1"/>
  <c r="BW450" i="6"/>
  <c r="BV450" i="6"/>
  <c r="BU450" i="6"/>
  <c r="BR450" i="6"/>
  <c r="BQ450" i="6"/>
  <c r="BS450" i="6" s="1"/>
  <c r="BP450" i="6"/>
  <c r="BO450" i="6"/>
  <c r="BM450" i="6"/>
  <c r="BL450" i="6"/>
  <c r="BK450" i="6"/>
  <c r="BJ450" i="6"/>
  <c r="BN450" i="6" s="1"/>
  <c r="BI450" i="6"/>
  <c r="BH450" i="6"/>
  <c r="BG450" i="6"/>
  <c r="BF450" i="6"/>
  <c r="BD450" i="6"/>
  <c r="BC450" i="6"/>
  <c r="BB450" i="6"/>
  <c r="BE450" i="6" s="1"/>
  <c r="BA450" i="6"/>
  <c r="AZ450" i="6"/>
  <c r="AY450" i="6"/>
  <c r="AX450" i="6"/>
  <c r="AW450" i="6"/>
  <c r="AV450" i="6"/>
  <c r="AU450" i="6"/>
  <c r="AT450" i="6"/>
  <c r="AS450" i="6"/>
  <c r="AR450" i="6"/>
  <c r="AQ450" i="6"/>
  <c r="AP450" i="6"/>
  <c r="AN450" i="6"/>
  <c r="AM450" i="6"/>
  <c r="AL450" i="6"/>
  <c r="AK450" i="6"/>
  <c r="AI450" i="6"/>
  <c r="AJ450" i="6" s="1"/>
  <c r="AG450" i="6"/>
  <c r="AE450" i="6"/>
  <c r="AD450" i="6"/>
  <c r="AC450" i="6"/>
  <c r="DS450" i="6" s="1"/>
  <c r="AA450" i="6"/>
  <c r="AB450" i="6" s="1"/>
  <c r="Z450" i="6"/>
  <c r="Y450" i="6"/>
  <c r="W450" i="6"/>
  <c r="V450" i="6"/>
  <c r="T450" i="6"/>
  <c r="S450" i="6"/>
  <c r="R450" i="6"/>
  <c r="P450" i="6"/>
  <c r="O450" i="6"/>
  <c r="N450" i="6"/>
  <c r="M450" i="6"/>
  <c r="J450" i="6"/>
  <c r="H450" i="6"/>
  <c r="G450" i="6"/>
  <c r="F450" i="6"/>
  <c r="E450" i="6"/>
  <c r="D450" i="6"/>
  <c r="C450" i="6"/>
  <c r="B450" i="6"/>
  <c r="DW449" i="6"/>
  <c r="DM449" i="6"/>
  <c r="DL449" i="6"/>
  <c r="DK449" i="6"/>
  <c r="DJ449" i="6"/>
  <c r="DN449" i="6" s="1"/>
  <c r="DH449" i="6"/>
  <c r="DI449" i="6" s="1"/>
  <c r="DF449" i="6"/>
  <c r="DG449" i="6" s="1"/>
  <c r="DE449" i="6"/>
  <c r="DD449" i="6"/>
  <c r="DB449" i="6"/>
  <c r="DA449" i="6"/>
  <c r="CZ449" i="6"/>
  <c r="CY449" i="6"/>
  <c r="CX449" i="6"/>
  <c r="CV449" i="6"/>
  <c r="CW449" i="6" s="1"/>
  <c r="CT449" i="6"/>
  <c r="CU449" i="6" s="1"/>
  <c r="CR449" i="6"/>
  <c r="CQ449" i="6"/>
  <c r="CP449" i="6"/>
  <c r="CS449" i="6" s="1"/>
  <c r="CN449" i="6"/>
  <c r="CM449" i="6"/>
  <c r="CL449" i="6"/>
  <c r="CJ449" i="6"/>
  <c r="CK449" i="6" s="1"/>
  <c r="CI449" i="6"/>
  <c r="CG449" i="6"/>
  <c r="CH449" i="6" s="1"/>
  <c r="CF449" i="6"/>
  <c r="CE449" i="6"/>
  <c r="CD449" i="6"/>
  <c r="CB449" i="6"/>
  <c r="CC449" i="6" s="1"/>
  <c r="BZ449" i="6"/>
  <c r="BY449" i="6"/>
  <c r="BX449" i="6"/>
  <c r="BW449" i="6"/>
  <c r="BU449" i="6"/>
  <c r="BV449" i="6" s="1"/>
  <c r="BS449" i="6"/>
  <c r="BR449" i="6"/>
  <c r="BQ449" i="6"/>
  <c r="BO449" i="6"/>
  <c r="BP449" i="6" s="1"/>
  <c r="BN449" i="6"/>
  <c r="BM449" i="6"/>
  <c r="BL449" i="6"/>
  <c r="BK449" i="6"/>
  <c r="BJ449" i="6"/>
  <c r="BI449" i="6"/>
  <c r="BH449" i="6"/>
  <c r="BG449" i="6"/>
  <c r="BF449" i="6"/>
  <c r="BD449" i="6"/>
  <c r="BC449" i="6"/>
  <c r="BB449" i="6"/>
  <c r="BE449" i="6" s="1"/>
  <c r="AZ449" i="6"/>
  <c r="DQ449" i="6" s="1"/>
  <c r="AY449" i="6"/>
  <c r="AX449" i="6"/>
  <c r="AW449" i="6"/>
  <c r="AV449" i="6"/>
  <c r="AT449" i="6"/>
  <c r="AS449" i="6"/>
  <c r="AQ449" i="6"/>
  <c r="AR449" i="6" s="1"/>
  <c r="AP449" i="6"/>
  <c r="AN449" i="6"/>
  <c r="AM449" i="6"/>
  <c r="AO449" i="6" s="1"/>
  <c r="AK449" i="6"/>
  <c r="AL449" i="6" s="1"/>
  <c r="AI449" i="6"/>
  <c r="AJ449" i="6" s="1"/>
  <c r="AG449" i="6"/>
  <c r="AE449" i="6"/>
  <c r="AD449" i="6"/>
  <c r="AC449" i="6"/>
  <c r="AA449" i="6"/>
  <c r="Z449" i="6"/>
  <c r="AB449" i="6" s="1"/>
  <c r="Y449" i="6"/>
  <c r="W449" i="6"/>
  <c r="V449" i="6"/>
  <c r="T449" i="6"/>
  <c r="R449" i="6"/>
  <c r="S449" i="6" s="1"/>
  <c r="P449" i="6"/>
  <c r="O449" i="6"/>
  <c r="N449" i="6"/>
  <c r="M449" i="6"/>
  <c r="Q449" i="6" s="1"/>
  <c r="J449" i="6"/>
  <c r="H449" i="6"/>
  <c r="G449" i="6"/>
  <c r="F449" i="6"/>
  <c r="E449" i="6"/>
  <c r="I449" i="6" s="1"/>
  <c r="D449" i="6"/>
  <c r="C449" i="6"/>
  <c r="B449" i="6"/>
  <c r="DW448" i="6"/>
  <c r="DP448" i="6"/>
  <c r="DN448" i="6"/>
  <c r="DM448" i="6"/>
  <c r="DL448" i="6"/>
  <c r="DK448" i="6"/>
  <c r="DJ448" i="6"/>
  <c r="DH448" i="6"/>
  <c r="DI448" i="6" s="1"/>
  <c r="DG448" i="6"/>
  <c r="DF448" i="6"/>
  <c r="DD448" i="6"/>
  <c r="DE448" i="6" s="1"/>
  <c r="DB448" i="6"/>
  <c r="DA448" i="6"/>
  <c r="DC448" i="6" s="1"/>
  <c r="CZ448" i="6"/>
  <c r="CY448" i="6"/>
  <c r="CX448" i="6"/>
  <c r="CV448" i="6"/>
  <c r="CW448" i="6" s="1"/>
  <c r="CU448" i="6"/>
  <c r="CT448" i="6"/>
  <c r="CS448" i="6"/>
  <c r="CR448" i="6"/>
  <c r="CQ448" i="6"/>
  <c r="CP448" i="6"/>
  <c r="CO448" i="6"/>
  <c r="CN448" i="6"/>
  <c r="CM448" i="6"/>
  <c r="CL448" i="6"/>
  <c r="CJ448" i="6"/>
  <c r="CI448" i="6"/>
  <c r="CK448" i="6" s="1"/>
  <c r="CH448" i="6"/>
  <c r="CG448" i="6"/>
  <c r="CE448" i="6"/>
  <c r="CD448" i="6"/>
  <c r="CF448" i="6" s="1"/>
  <c r="CC448" i="6"/>
  <c r="CB448" i="6"/>
  <c r="BZ448" i="6"/>
  <c r="BY448" i="6"/>
  <c r="BX448" i="6"/>
  <c r="BW448" i="6"/>
  <c r="CA448" i="6" s="1"/>
  <c r="BV448" i="6"/>
  <c r="BU448" i="6"/>
  <c r="BS448" i="6"/>
  <c r="BR448" i="6"/>
  <c r="BQ448" i="6"/>
  <c r="BO448" i="6"/>
  <c r="BP448" i="6" s="1"/>
  <c r="BN448" i="6"/>
  <c r="BM448" i="6"/>
  <c r="BL448" i="6"/>
  <c r="BK448" i="6"/>
  <c r="BJ448" i="6"/>
  <c r="BH448" i="6"/>
  <c r="BI448" i="6" s="1"/>
  <c r="BF448" i="6"/>
  <c r="BG448" i="6" s="1"/>
  <c r="BD448" i="6"/>
  <c r="BC448" i="6"/>
  <c r="BB448" i="6"/>
  <c r="BE448" i="6" s="1"/>
  <c r="AZ448" i="6"/>
  <c r="AY448" i="6"/>
  <c r="BA448" i="6" s="1"/>
  <c r="AW448" i="6"/>
  <c r="AV448" i="6"/>
  <c r="AT448" i="6"/>
  <c r="AS448" i="6"/>
  <c r="AU448" i="6" s="1"/>
  <c r="AR448" i="6"/>
  <c r="AQ448" i="6"/>
  <c r="AP448" i="6"/>
  <c r="AO448" i="6"/>
  <c r="AN448" i="6"/>
  <c r="AM448" i="6"/>
  <c r="AK448" i="6"/>
  <c r="AL448" i="6" s="1"/>
  <c r="AJ448" i="6"/>
  <c r="AI448" i="6"/>
  <c r="AG448" i="6"/>
  <c r="AE448" i="6"/>
  <c r="AD448" i="6"/>
  <c r="DR448" i="6" s="1"/>
  <c r="AC448" i="6"/>
  <c r="AB448" i="6"/>
  <c r="AA448" i="6"/>
  <c r="Z448" i="6"/>
  <c r="Y448" i="6"/>
  <c r="W448" i="6"/>
  <c r="V448" i="6"/>
  <c r="T448" i="6"/>
  <c r="R448" i="6"/>
  <c r="S448" i="6" s="1"/>
  <c r="Q448" i="6"/>
  <c r="P448" i="6"/>
  <c r="O448" i="6"/>
  <c r="N448" i="6"/>
  <c r="DV448" i="6" s="1"/>
  <c r="M448" i="6"/>
  <c r="J448" i="6"/>
  <c r="H448" i="6"/>
  <c r="G448" i="6"/>
  <c r="F448" i="6"/>
  <c r="E448" i="6"/>
  <c r="I448" i="6" s="1"/>
  <c r="D448" i="6"/>
  <c r="C448" i="6"/>
  <c r="B448" i="6"/>
  <c r="DW447" i="6"/>
  <c r="DV447" i="6"/>
  <c r="DM447" i="6"/>
  <c r="DL447" i="6"/>
  <c r="DK447" i="6"/>
  <c r="DJ447" i="6"/>
  <c r="DN447" i="6" s="1"/>
  <c r="DI447" i="6"/>
  <c r="DH447" i="6"/>
  <c r="DG447" i="6"/>
  <c r="DF447" i="6"/>
  <c r="DD447" i="6"/>
  <c r="DE447" i="6" s="1"/>
  <c r="DC447" i="6"/>
  <c r="DB447" i="6"/>
  <c r="DA447" i="6"/>
  <c r="CY447" i="6"/>
  <c r="CZ447" i="6" s="1"/>
  <c r="CX447" i="6"/>
  <c r="CV447" i="6"/>
  <c r="CW447" i="6" s="1"/>
  <c r="CT447" i="6"/>
  <c r="CU447" i="6" s="1"/>
  <c r="CR447" i="6"/>
  <c r="CQ447" i="6"/>
  <c r="CS447" i="6" s="1"/>
  <c r="CP447" i="6"/>
  <c r="CO447" i="6"/>
  <c r="CN447" i="6"/>
  <c r="CM447" i="6"/>
  <c r="CL447" i="6"/>
  <c r="CJ447" i="6"/>
  <c r="CK447" i="6" s="1"/>
  <c r="CI447" i="6"/>
  <c r="CG447" i="6"/>
  <c r="CH447" i="6" s="1"/>
  <c r="CE447" i="6"/>
  <c r="CD447" i="6"/>
  <c r="CF447" i="6" s="1"/>
  <c r="CB447" i="6"/>
  <c r="CC447" i="6" s="1"/>
  <c r="BZ447" i="6"/>
  <c r="BY447" i="6"/>
  <c r="BX447" i="6"/>
  <c r="BW447" i="6"/>
  <c r="CA447" i="6" s="1"/>
  <c r="BV447" i="6"/>
  <c r="BU447" i="6"/>
  <c r="BR447" i="6"/>
  <c r="BQ447" i="6"/>
  <c r="BS447" i="6" s="1"/>
  <c r="BP447" i="6"/>
  <c r="BO447" i="6"/>
  <c r="BM447" i="6"/>
  <c r="BL447" i="6"/>
  <c r="BK447" i="6"/>
  <c r="BJ447" i="6"/>
  <c r="BN447" i="6" s="1"/>
  <c r="BH447" i="6"/>
  <c r="BI447" i="6" s="1"/>
  <c r="BF447" i="6"/>
  <c r="BG447" i="6" s="1"/>
  <c r="BE447" i="6"/>
  <c r="BD447" i="6"/>
  <c r="BC447" i="6"/>
  <c r="BB447" i="6"/>
  <c r="AZ447" i="6"/>
  <c r="AY447" i="6"/>
  <c r="BA447" i="6" s="1"/>
  <c r="AX447" i="6"/>
  <c r="AW447" i="6"/>
  <c r="AV447" i="6"/>
  <c r="AU447" i="6"/>
  <c r="AT447" i="6"/>
  <c r="AS447" i="6"/>
  <c r="AR447" i="6"/>
  <c r="AQ447" i="6"/>
  <c r="AP447" i="6"/>
  <c r="AO447" i="6"/>
  <c r="AN447" i="6"/>
  <c r="AM447" i="6"/>
  <c r="AK447" i="6"/>
  <c r="AL447" i="6" s="1"/>
  <c r="AI447" i="6"/>
  <c r="AJ447" i="6" s="1"/>
  <c r="AG447" i="6"/>
  <c r="AE447" i="6"/>
  <c r="AD447" i="6"/>
  <c r="AC447" i="6"/>
  <c r="DS447" i="6" s="1"/>
  <c r="AA447" i="6"/>
  <c r="AB447" i="6" s="1"/>
  <c r="Z447" i="6"/>
  <c r="Y447" i="6"/>
  <c r="X447" i="6"/>
  <c r="W447" i="6"/>
  <c r="V447" i="6"/>
  <c r="T447" i="6"/>
  <c r="S447" i="6"/>
  <c r="R447" i="6"/>
  <c r="DU447" i="6" s="1"/>
  <c r="P447" i="6"/>
  <c r="O447" i="6"/>
  <c r="N447" i="6"/>
  <c r="M447" i="6"/>
  <c r="Q447" i="6" s="1"/>
  <c r="J447" i="6"/>
  <c r="I447" i="6"/>
  <c r="H447" i="6"/>
  <c r="G447" i="6"/>
  <c r="F447" i="6"/>
  <c r="E447" i="6"/>
  <c r="DP447" i="6" s="1"/>
  <c r="D447" i="6"/>
  <c r="C447" i="6"/>
  <c r="B447" i="6"/>
  <c r="DW446" i="6"/>
  <c r="DM446" i="6"/>
  <c r="DV446" i="6" s="1"/>
  <c r="DL446" i="6"/>
  <c r="DK446" i="6"/>
  <c r="DJ446" i="6"/>
  <c r="DN446" i="6" s="1"/>
  <c r="DI446" i="6"/>
  <c r="DH446" i="6"/>
  <c r="DF446" i="6"/>
  <c r="DG446" i="6" s="1"/>
  <c r="DD446" i="6"/>
  <c r="DE446" i="6" s="1"/>
  <c r="DC446" i="6"/>
  <c r="DB446" i="6"/>
  <c r="DA446" i="6"/>
  <c r="CY446" i="6"/>
  <c r="CX446" i="6"/>
  <c r="CW446" i="6"/>
  <c r="CV446" i="6"/>
  <c r="CT446" i="6"/>
  <c r="CU446" i="6" s="1"/>
  <c r="CR446" i="6"/>
  <c r="CQ446" i="6"/>
  <c r="CP446" i="6"/>
  <c r="CS446" i="6" s="1"/>
  <c r="CN446" i="6"/>
  <c r="CM446" i="6"/>
  <c r="CL446" i="6"/>
  <c r="CJ446" i="6"/>
  <c r="CI446" i="6"/>
  <c r="CK446" i="6" s="1"/>
  <c r="CG446" i="6"/>
  <c r="CH446" i="6" s="1"/>
  <c r="CF446" i="6"/>
  <c r="CE446" i="6"/>
  <c r="CD446" i="6"/>
  <c r="CB446" i="6"/>
  <c r="CC446" i="6" s="1"/>
  <c r="CA446" i="6"/>
  <c r="BZ446" i="6"/>
  <c r="BY446" i="6"/>
  <c r="BX446" i="6"/>
  <c r="BW446" i="6"/>
  <c r="BU446" i="6"/>
  <c r="BV446" i="6" s="1"/>
  <c r="BR446" i="6"/>
  <c r="BQ446" i="6"/>
  <c r="BS446" i="6" s="1"/>
  <c r="BP446" i="6"/>
  <c r="BO446" i="6"/>
  <c r="BM446" i="6"/>
  <c r="BL446" i="6"/>
  <c r="BK446" i="6"/>
  <c r="BJ446" i="6"/>
  <c r="BI446" i="6"/>
  <c r="BH446" i="6"/>
  <c r="BF446" i="6"/>
  <c r="BG446" i="6" s="1"/>
  <c r="BD446" i="6"/>
  <c r="BE446" i="6" s="1"/>
  <c r="BC446" i="6"/>
  <c r="BB446" i="6"/>
  <c r="AZ446" i="6"/>
  <c r="AY446" i="6"/>
  <c r="BA446" i="6" s="1"/>
  <c r="AW446" i="6"/>
  <c r="AX446" i="6" s="1"/>
  <c r="AV446" i="6"/>
  <c r="AU446" i="6"/>
  <c r="AT446" i="6"/>
  <c r="AS446" i="6"/>
  <c r="AQ446" i="6"/>
  <c r="AP446" i="6"/>
  <c r="AR446" i="6" s="1"/>
  <c r="AN446" i="6"/>
  <c r="AM446" i="6"/>
  <c r="AO446" i="6" s="1"/>
  <c r="AK446" i="6"/>
  <c r="AL446" i="6" s="1"/>
  <c r="AI446" i="6"/>
  <c r="AJ446" i="6" s="1"/>
  <c r="AG446" i="6"/>
  <c r="AE446" i="6"/>
  <c r="AD446" i="6"/>
  <c r="AC446" i="6"/>
  <c r="AA446" i="6"/>
  <c r="DU446" i="6" s="1"/>
  <c r="Z446" i="6"/>
  <c r="Y446" i="6"/>
  <c r="X446" i="6"/>
  <c r="W446" i="6"/>
  <c r="V446" i="6"/>
  <c r="T446" i="6"/>
  <c r="S446" i="6"/>
  <c r="R446" i="6"/>
  <c r="P446" i="6"/>
  <c r="O446" i="6"/>
  <c r="Q446" i="6" s="1"/>
  <c r="N446" i="6"/>
  <c r="M446" i="6"/>
  <c r="J446" i="6"/>
  <c r="H446" i="6"/>
  <c r="DQ446" i="6" s="1"/>
  <c r="G446" i="6"/>
  <c r="F446" i="6"/>
  <c r="E446" i="6"/>
  <c r="DP446" i="6" s="1"/>
  <c r="D446" i="6"/>
  <c r="C446" i="6"/>
  <c r="B446" i="6"/>
  <c r="DW445" i="6"/>
  <c r="DS445" i="6"/>
  <c r="DM445" i="6"/>
  <c r="DL445" i="6"/>
  <c r="DK445" i="6"/>
  <c r="DJ445" i="6"/>
  <c r="DI445" i="6"/>
  <c r="DH445" i="6"/>
  <c r="DG445" i="6"/>
  <c r="DF445" i="6"/>
  <c r="DD445" i="6"/>
  <c r="DE445" i="6" s="1"/>
  <c r="DC445" i="6"/>
  <c r="DB445" i="6"/>
  <c r="DA445" i="6"/>
  <c r="CY445" i="6"/>
  <c r="CZ445" i="6" s="1"/>
  <c r="CX445" i="6"/>
  <c r="CV445" i="6"/>
  <c r="CW445" i="6" s="1"/>
  <c r="CT445" i="6"/>
  <c r="CU445" i="6" s="1"/>
  <c r="CR445" i="6"/>
  <c r="CQ445" i="6"/>
  <c r="CP445" i="6"/>
  <c r="CS445" i="6" s="1"/>
  <c r="CO445" i="6"/>
  <c r="CN445" i="6"/>
  <c r="CM445" i="6"/>
  <c r="CL445" i="6"/>
  <c r="CJ445" i="6"/>
  <c r="CI445" i="6"/>
  <c r="CK445" i="6" s="1"/>
  <c r="CH445" i="6"/>
  <c r="CG445" i="6"/>
  <c r="CF445" i="6"/>
  <c r="CE445" i="6"/>
  <c r="CD445" i="6"/>
  <c r="CB445" i="6"/>
  <c r="CC445" i="6" s="1"/>
  <c r="CA445" i="6"/>
  <c r="BZ445" i="6"/>
  <c r="BY445" i="6"/>
  <c r="BX445" i="6"/>
  <c r="BW445" i="6"/>
  <c r="BV445" i="6"/>
  <c r="BU445" i="6"/>
  <c r="BR445" i="6"/>
  <c r="BS445" i="6" s="1"/>
  <c r="BQ445" i="6"/>
  <c r="BP445" i="6"/>
  <c r="BO445" i="6"/>
  <c r="BM445" i="6"/>
  <c r="BL445" i="6"/>
  <c r="BK445" i="6"/>
  <c r="BJ445" i="6"/>
  <c r="BN445" i="6" s="1"/>
  <c r="BI445" i="6"/>
  <c r="BH445" i="6"/>
  <c r="BF445" i="6"/>
  <c r="BG445" i="6" s="1"/>
  <c r="BD445" i="6"/>
  <c r="BC445" i="6"/>
  <c r="BE445" i="6" s="1"/>
  <c r="BB445" i="6"/>
  <c r="AZ445" i="6"/>
  <c r="AY445" i="6"/>
  <c r="BA445" i="6" s="1"/>
  <c r="AW445" i="6"/>
  <c r="AV445" i="6"/>
  <c r="AX445" i="6" s="1"/>
  <c r="AT445" i="6"/>
  <c r="AS445" i="6"/>
  <c r="AQ445" i="6"/>
  <c r="AP445" i="6"/>
  <c r="AR445" i="6" s="1"/>
  <c r="AN445" i="6"/>
  <c r="DT445" i="6" s="1"/>
  <c r="AM445" i="6"/>
  <c r="AO445" i="6" s="1"/>
  <c r="AL445" i="6"/>
  <c r="AK445" i="6"/>
  <c r="AI445" i="6"/>
  <c r="AJ445" i="6" s="1"/>
  <c r="AG445" i="6"/>
  <c r="AF445" i="6"/>
  <c r="AE445" i="6"/>
  <c r="AD445" i="6"/>
  <c r="AC445" i="6"/>
  <c r="AA445" i="6"/>
  <c r="Z445" i="6"/>
  <c r="AB445" i="6" s="1"/>
  <c r="Y445" i="6"/>
  <c r="W445" i="6"/>
  <c r="V445" i="6"/>
  <c r="X445" i="6" s="1"/>
  <c r="T445" i="6"/>
  <c r="R445" i="6"/>
  <c r="S445" i="6" s="1"/>
  <c r="Q445" i="6"/>
  <c r="P445" i="6"/>
  <c r="O445" i="6"/>
  <c r="N445" i="6"/>
  <c r="DV445" i="6" s="1"/>
  <c r="M445" i="6"/>
  <c r="J445" i="6"/>
  <c r="H445" i="6"/>
  <c r="G445" i="6"/>
  <c r="F445" i="6"/>
  <c r="E445" i="6"/>
  <c r="DP445" i="6" s="1"/>
  <c r="D445" i="6"/>
  <c r="C445" i="6"/>
  <c r="B445" i="6"/>
  <c r="DW444" i="6"/>
  <c r="DS444" i="6"/>
  <c r="DM444" i="6"/>
  <c r="DL444" i="6"/>
  <c r="DK444" i="6"/>
  <c r="DJ444" i="6"/>
  <c r="DH444" i="6"/>
  <c r="DI444" i="6" s="1"/>
  <c r="DG444" i="6"/>
  <c r="DF444" i="6"/>
  <c r="DD444" i="6"/>
  <c r="DE444" i="6" s="1"/>
  <c r="DB444" i="6"/>
  <c r="DA444" i="6"/>
  <c r="DC444" i="6" s="1"/>
  <c r="CZ444" i="6"/>
  <c r="CY444" i="6"/>
  <c r="CX444" i="6"/>
  <c r="CW444" i="6"/>
  <c r="CV444" i="6"/>
  <c r="CU444" i="6"/>
  <c r="CT444" i="6"/>
  <c r="CR444" i="6"/>
  <c r="CQ444" i="6"/>
  <c r="CP444" i="6"/>
  <c r="CS444" i="6" s="1"/>
  <c r="CN444" i="6"/>
  <c r="CM444" i="6"/>
  <c r="CL444" i="6"/>
  <c r="CO444" i="6" s="1"/>
  <c r="CK444" i="6"/>
  <c r="CJ444" i="6"/>
  <c r="CI444" i="6"/>
  <c r="CH444" i="6"/>
  <c r="CG444" i="6"/>
  <c r="CE444" i="6"/>
  <c r="CD444" i="6"/>
  <c r="CF444" i="6" s="1"/>
  <c r="CB444" i="6"/>
  <c r="CC444" i="6" s="1"/>
  <c r="BZ444" i="6"/>
  <c r="BY444" i="6"/>
  <c r="CA444" i="6" s="1"/>
  <c r="BX444" i="6"/>
  <c r="BW444" i="6"/>
  <c r="BU444" i="6"/>
  <c r="BV444" i="6" s="1"/>
  <c r="BR444" i="6"/>
  <c r="BQ444" i="6"/>
  <c r="BS444" i="6" s="1"/>
  <c r="BO444" i="6"/>
  <c r="BP444" i="6" s="1"/>
  <c r="BM444" i="6"/>
  <c r="BL444" i="6"/>
  <c r="BK444" i="6"/>
  <c r="BJ444" i="6"/>
  <c r="BN444" i="6" s="1"/>
  <c r="BH444" i="6"/>
  <c r="BI444" i="6" s="1"/>
  <c r="BG444" i="6"/>
  <c r="BF444" i="6"/>
  <c r="BD444" i="6"/>
  <c r="BC444" i="6"/>
  <c r="BB444" i="6"/>
  <c r="AZ444" i="6"/>
  <c r="BA444" i="6" s="1"/>
  <c r="AY444" i="6"/>
  <c r="AW444" i="6"/>
  <c r="AV444" i="6"/>
  <c r="AX444" i="6" s="1"/>
  <c r="AT444" i="6"/>
  <c r="AS444" i="6"/>
  <c r="AU444" i="6" s="1"/>
  <c r="AR444" i="6"/>
  <c r="AQ444" i="6"/>
  <c r="AP444" i="6"/>
  <c r="AO444" i="6"/>
  <c r="AN444" i="6"/>
  <c r="AM444" i="6"/>
  <c r="DR444" i="6" s="1"/>
  <c r="AL444" i="6"/>
  <c r="AK444" i="6"/>
  <c r="AI444" i="6"/>
  <c r="AJ444" i="6" s="1"/>
  <c r="AG444" i="6"/>
  <c r="AF444" i="6"/>
  <c r="AE444" i="6"/>
  <c r="AD444" i="6"/>
  <c r="AC444" i="6"/>
  <c r="AA444" i="6"/>
  <c r="Z444" i="6"/>
  <c r="AB444" i="6" s="1"/>
  <c r="Y444" i="6"/>
  <c r="W444" i="6"/>
  <c r="V444" i="6"/>
  <c r="T444" i="6"/>
  <c r="S444" i="6"/>
  <c r="R444" i="6"/>
  <c r="P444" i="6"/>
  <c r="O444" i="6"/>
  <c r="N444" i="6"/>
  <c r="Q444" i="6" s="1"/>
  <c r="M444" i="6"/>
  <c r="J444" i="6"/>
  <c r="H444" i="6"/>
  <c r="G444" i="6"/>
  <c r="F444" i="6"/>
  <c r="E444" i="6"/>
  <c r="D444" i="6"/>
  <c r="C444" i="6"/>
  <c r="B444" i="6"/>
  <c r="DW443" i="6"/>
  <c r="DS443" i="6"/>
  <c r="DR443" i="6"/>
  <c r="DM443" i="6"/>
  <c r="DL443" i="6"/>
  <c r="DK443" i="6"/>
  <c r="DJ443" i="6"/>
  <c r="DN443" i="6" s="1"/>
  <c r="DI443" i="6"/>
  <c r="DH443" i="6"/>
  <c r="DG443" i="6"/>
  <c r="DF443" i="6"/>
  <c r="DE443" i="6"/>
  <c r="DD443" i="6"/>
  <c r="DB443" i="6"/>
  <c r="DA443" i="6"/>
  <c r="DC443" i="6" s="1"/>
  <c r="CY443" i="6"/>
  <c r="CZ443" i="6" s="1"/>
  <c r="CX443" i="6"/>
  <c r="CV443" i="6"/>
  <c r="CW443" i="6" s="1"/>
  <c r="CT443" i="6"/>
  <c r="CU443" i="6" s="1"/>
  <c r="CS443" i="6"/>
  <c r="CR443" i="6"/>
  <c r="CQ443" i="6"/>
  <c r="CP443" i="6"/>
  <c r="CN443" i="6"/>
  <c r="CM443" i="6"/>
  <c r="CL443" i="6"/>
  <c r="CK443" i="6"/>
  <c r="CJ443" i="6"/>
  <c r="CI443" i="6"/>
  <c r="CG443" i="6"/>
  <c r="CH443" i="6" s="1"/>
  <c r="CE443" i="6"/>
  <c r="CD443" i="6"/>
  <c r="CF443" i="6" s="1"/>
  <c r="CC443" i="6"/>
  <c r="CB443" i="6"/>
  <c r="BZ443" i="6"/>
  <c r="BY443" i="6"/>
  <c r="BX443" i="6"/>
  <c r="CA443" i="6" s="1"/>
  <c r="BW443" i="6"/>
  <c r="BU443" i="6"/>
  <c r="BV443" i="6" s="1"/>
  <c r="BR443" i="6"/>
  <c r="BQ443" i="6"/>
  <c r="BS443" i="6" s="1"/>
  <c r="BP443" i="6"/>
  <c r="BO443" i="6"/>
  <c r="BM443" i="6"/>
  <c r="BN443" i="6" s="1"/>
  <c r="BL443" i="6"/>
  <c r="BK443" i="6"/>
  <c r="BJ443" i="6"/>
  <c r="BH443" i="6"/>
  <c r="BI443" i="6" s="1"/>
  <c r="BG443" i="6"/>
  <c r="BF443" i="6"/>
  <c r="BD443" i="6"/>
  <c r="BC443" i="6"/>
  <c r="BB443" i="6"/>
  <c r="BA443" i="6"/>
  <c r="AZ443" i="6"/>
  <c r="AY443" i="6"/>
  <c r="AW443" i="6"/>
  <c r="AV443" i="6"/>
  <c r="AX443" i="6" s="1"/>
  <c r="AT443" i="6"/>
  <c r="AU443" i="6" s="1"/>
  <c r="AS443" i="6"/>
  <c r="AR443" i="6"/>
  <c r="AQ443" i="6"/>
  <c r="AP443" i="6"/>
  <c r="AN443" i="6"/>
  <c r="AM443" i="6"/>
  <c r="AK443" i="6"/>
  <c r="AL443" i="6" s="1"/>
  <c r="AJ443" i="6"/>
  <c r="AI443" i="6"/>
  <c r="AG443" i="6"/>
  <c r="AE443" i="6"/>
  <c r="DT443" i="6" s="1"/>
  <c r="AD443" i="6"/>
  <c r="AC443" i="6"/>
  <c r="AA443" i="6"/>
  <c r="Z443" i="6"/>
  <c r="AB443" i="6" s="1"/>
  <c r="Y443" i="6"/>
  <c r="W443" i="6"/>
  <c r="X443" i="6" s="1"/>
  <c r="V443" i="6"/>
  <c r="T443" i="6"/>
  <c r="S443" i="6"/>
  <c r="R443" i="6"/>
  <c r="P443" i="6"/>
  <c r="O443" i="6"/>
  <c r="N443" i="6"/>
  <c r="M443" i="6"/>
  <c r="J443" i="6"/>
  <c r="H443" i="6"/>
  <c r="G443" i="6"/>
  <c r="F443" i="6"/>
  <c r="DV443" i="6" s="1"/>
  <c r="E443" i="6"/>
  <c r="D443" i="6"/>
  <c r="C443" i="6"/>
  <c r="B443" i="6"/>
  <c r="DW442" i="6"/>
  <c r="DM442" i="6"/>
  <c r="DL442" i="6"/>
  <c r="DK442" i="6"/>
  <c r="DJ442" i="6"/>
  <c r="DN442" i="6" s="1"/>
  <c r="DI442" i="6"/>
  <c r="DH442" i="6"/>
  <c r="DF442" i="6"/>
  <c r="DG442" i="6" s="1"/>
  <c r="DE442" i="6"/>
  <c r="DD442" i="6"/>
  <c r="DB442" i="6"/>
  <c r="DA442" i="6"/>
  <c r="CZ442" i="6"/>
  <c r="CY442" i="6"/>
  <c r="CX442" i="6"/>
  <c r="CW442" i="6"/>
  <c r="CV442" i="6"/>
  <c r="CT442" i="6"/>
  <c r="CU442" i="6" s="1"/>
  <c r="CS442" i="6"/>
  <c r="CR442" i="6"/>
  <c r="CQ442" i="6"/>
  <c r="CP442" i="6"/>
  <c r="CN442" i="6"/>
  <c r="CM442" i="6"/>
  <c r="CL442" i="6"/>
  <c r="CO442" i="6" s="1"/>
  <c r="CJ442" i="6"/>
  <c r="CI442" i="6"/>
  <c r="CH442" i="6"/>
  <c r="CG442" i="6"/>
  <c r="CE442" i="6"/>
  <c r="CD442" i="6"/>
  <c r="CF442" i="6" s="1"/>
  <c r="CB442" i="6"/>
  <c r="CC442" i="6" s="1"/>
  <c r="BZ442" i="6"/>
  <c r="BY442" i="6"/>
  <c r="BX442" i="6"/>
  <c r="CA442" i="6" s="1"/>
  <c r="BW442" i="6"/>
  <c r="BU442" i="6"/>
  <c r="BV442" i="6" s="1"/>
  <c r="BR442" i="6"/>
  <c r="BQ442" i="6"/>
  <c r="BS442" i="6" s="1"/>
  <c r="BP442" i="6"/>
  <c r="BO442" i="6"/>
  <c r="BM442" i="6"/>
  <c r="BL442" i="6"/>
  <c r="BK442" i="6"/>
  <c r="BJ442" i="6"/>
  <c r="BN442" i="6" s="1"/>
  <c r="BH442" i="6"/>
  <c r="BI442" i="6" s="1"/>
  <c r="BG442" i="6"/>
  <c r="BF442" i="6"/>
  <c r="BD442" i="6"/>
  <c r="BC442" i="6"/>
  <c r="BB442" i="6"/>
  <c r="BE442" i="6" s="1"/>
  <c r="AZ442" i="6"/>
  <c r="BA442" i="6" s="1"/>
  <c r="AY442" i="6"/>
  <c r="AW442" i="6"/>
  <c r="AV442" i="6"/>
  <c r="AX442" i="6" s="1"/>
  <c r="AT442" i="6"/>
  <c r="AS442" i="6"/>
  <c r="AQ442" i="6"/>
  <c r="AP442" i="6"/>
  <c r="AN442" i="6"/>
  <c r="AM442" i="6"/>
  <c r="AO442" i="6" s="1"/>
  <c r="AK442" i="6"/>
  <c r="AL442" i="6" s="1"/>
  <c r="AI442" i="6"/>
  <c r="AJ442" i="6" s="1"/>
  <c r="AG442" i="6"/>
  <c r="AE442" i="6"/>
  <c r="AD442" i="6"/>
  <c r="AC442" i="6"/>
  <c r="AA442" i="6"/>
  <c r="Z442" i="6"/>
  <c r="AB442" i="6" s="1"/>
  <c r="Y442" i="6"/>
  <c r="W442" i="6"/>
  <c r="V442" i="6"/>
  <c r="X442" i="6" s="1"/>
  <c r="T442" i="6"/>
  <c r="S442" i="6"/>
  <c r="R442" i="6"/>
  <c r="P442" i="6"/>
  <c r="O442" i="6"/>
  <c r="N442" i="6"/>
  <c r="M442" i="6"/>
  <c r="Q442" i="6" s="1"/>
  <c r="J442" i="6"/>
  <c r="I442" i="6"/>
  <c r="H442" i="6"/>
  <c r="G442" i="6"/>
  <c r="F442" i="6"/>
  <c r="DV442" i="6" s="1"/>
  <c r="E442" i="6"/>
  <c r="DP442" i="6" s="1"/>
  <c r="D442" i="6"/>
  <c r="C442" i="6"/>
  <c r="B442" i="6"/>
  <c r="DW441" i="6"/>
  <c r="DP441" i="6"/>
  <c r="DN441" i="6"/>
  <c r="DM441" i="6"/>
  <c r="DL441" i="6"/>
  <c r="DK441" i="6"/>
  <c r="DJ441" i="6"/>
  <c r="DH441" i="6"/>
  <c r="DI441" i="6" s="1"/>
  <c r="DG441" i="6"/>
  <c r="DF441" i="6"/>
  <c r="DD441" i="6"/>
  <c r="DE441" i="6" s="1"/>
  <c r="DC441" i="6"/>
  <c r="DB441" i="6"/>
  <c r="DA441" i="6"/>
  <c r="CY441" i="6"/>
  <c r="CX441" i="6"/>
  <c r="CV441" i="6"/>
  <c r="CW441" i="6" s="1"/>
  <c r="CT441" i="6"/>
  <c r="CU441" i="6" s="1"/>
  <c r="CS441" i="6"/>
  <c r="CR441" i="6"/>
  <c r="CQ441" i="6"/>
  <c r="CP441" i="6"/>
  <c r="CN441" i="6"/>
  <c r="CM441" i="6"/>
  <c r="CL441" i="6"/>
  <c r="CO441" i="6" s="1"/>
  <c r="CJ441" i="6"/>
  <c r="CI441" i="6"/>
  <c r="DS441" i="6" s="1"/>
  <c r="CG441" i="6"/>
  <c r="CH441" i="6" s="1"/>
  <c r="CE441" i="6"/>
  <c r="CD441" i="6"/>
  <c r="CB441" i="6"/>
  <c r="CC441" i="6" s="1"/>
  <c r="BZ441" i="6"/>
  <c r="BY441" i="6"/>
  <c r="BX441" i="6"/>
  <c r="BW441" i="6"/>
  <c r="BV441" i="6"/>
  <c r="BU441" i="6"/>
  <c r="BR441" i="6"/>
  <c r="BQ441" i="6"/>
  <c r="BS441" i="6" s="1"/>
  <c r="BO441" i="6"/>
  <c r="BP441" i="6" s="1"/>
  <c r="BN441" i="6"/>
  <c r="BM441" i="6"/>
  <c r="BL441" i="6"/>
  <c r="BK441" i="6"/>
  <c r="BJ441" i="6"/>
  <c r="BH441" i="6"/>
  <c r="BI441" i="6" s="1"/>
  <c r="BF441" i="6"/>
  <c r="BG441" i="6" s="1"/>
  <c r="BE441" i="6"/>
  <c r="BD441" i="6"/>
  <c r="BC441" i="6"/>
  <c r="BB441" i="6"/>
  <c r="AZ441" i="6"/>
  <c r="AY441" i="6"/>
  <c r="AW441" i="6"/>
  <c r="AV441" i="6"/>
  <c r="AX441" i="6" s="1"/>
  <c r="AT441" i="6"/>
  <c r="AS441" i="6"/>
  <c r="AU441" i="6" s="1"/>
  <c r="AQ441" i="6"/>
  <c r="AP441" i="6"/>
  <c r="AR441" i="6" s="1"/>
  <c r="AN441" i="6"/>
  <c r="AO441" i="6" s="1"/>
  <c r="AM441" i="6"/>
  <c r="AK441" i="6"/>
  <c r="AL441" i="6" s="1"/>
  <c r="AJ441" i="6"/>
  <c r="AI441" i="6"/>
  <c r="AG441" i="6"/>
  <c r="AF441" i="6"/>
  <c r="AE441" i="6"/>
  <c r="AD441" i="6"/>
  <c r="AC441" i="6"/>
  <c r="AB441" i="6"/>
  <c r="AA441" i="6"/>
  <c r="Z441" i="6"/>
  <c r="Y441" i="6"/>
  <c r="W441" i="6"/>
  <c r="V441" i="6"/>
  <c r="X441" i="6" s="1"/>
  <c r="T441" i="6"/>
  <c r="R441" i="6"/>
  <c r="S441" i="6" s="1"/>
  <c r="P441" i="6"/>
  <c r="DQ441" i="6" s="1"/>
  <c r="O441" i="6"/>
  <c r="N441" i="6"/>
  <c r="M441" i="6"/>
  <c r="J441" i="6"/>
  <c r="H441" i="6"/>
  <c r="G441" i="6"/>
  <c r="F441" i="6"/>
  <c r="E441" i="6"/>
  <c r="D441" i="6"/>
  <c r="C441" i="6"/>
  <c r="B441" i="6"/>
  <c r="DW440" i="6"/>
  <c r="DM440" i="6"/>
  <c r="DN440" i="6" s="1"/>
  <c r="DL440" i="6"/>
  <c r="DK440" i="6"/>
  <c r="DJ440" i="6"/>
  <c r="DH440" i="6"/>
  <c r="DI440" i="6" s="1"/>
  <c r="DF440" i="6"/>
  <c r="DG440" i="6" s="1"/>
  <c r="DD440" i="6"/>
  <c r="DE440" i="6" s="1"/>
  <c r="DB440" i="6"/>
  <c r="DA440" i="6"/>
  <c r="CY440" i="6"/>
  <c r="CZ440" i="6" s="1"/>
  <c r="CX440" i="6"/>
  <c r="CW440" i="6"/>
  <c r="CV440" i="6"/>
  <c r="CU440" i="6"/>
  <c r="CT440" i="6"/>
  <c r="CR440" i="6"/>
  <c r="CQ440" i="6"/>
  <c r="CS440" i="6" s="1"/>
  <c r="CP440" i="6"/>
  <c r="CN440" i="6"/>
  <c r="CM440" i="6"/>
  <c r="CL440" i="6"/>
  <c r="CO440" i="6" s="1"/>
  <c r="CJ440" i="6"/>
  <c r="CK440" i="6" s="1"/>
  <c r="CI440" i="6"/>
  <c r="CG440" i="6"/>
  <c r="CH440" i="6" s="1"/>
  <c r="CE440" i="6"/>
  <c r="CD440" i="6"/>
  <c r="CF440" i="6" s="1"/>
  <c r="CC440" i="6"/>
  <c r="CB440" i="6"/>
  <c r="BZ440" i="6"/>
  <c r="BY440" i="6"/>
  <c r="BX440" i="6"/>
  <c r="CA440" i="6" s="1"/>
  <c r="BW440" i="6"/>
  <c r="BV440" i="6"/>
  <c r="BU440" i="6"/>
  <c r="BR440" i="6"/>
  <c r="BQ440" i="6"/>
  <c r="BS440" i="6" s="1"/>
  <c r="BP440" i="6"/>
  <c r="BO440" i="6"/>
  <c r="BM440" i="6"/>
  <c r="BL440" i="6"/>
  <c r="BK440" i="6"/>
  <c r="BJ440" i="6"/>
  <c r="BN440" i="6" s="1"/>
  <c r="BI440" i="6"/>
  <c r="BH440" i="6"/>
  <c r="BF440" i="6"/>
  <c r="BG440" i="6" s="1"/>
  <c r="BE440" i="6"/>
  <c r="BD440" i="6"/>
  <c r="BC440" i="6"/>
  <c r="BB440" i="6"/>
  <c r="BA440" i="6"/>
  <c r="AZ440" i="6"/>
  <c r="AY440" i="6"/>
  <c r="AX440" i="6"/>
  <c r="AW440" i="6"/>
  <c r="AV440" i="6"/>
  <c r="AT440" i="6"/>
  <c r="AS440" i="6"/>
  <c r="AU440" i="6" s="1"/>
  <c r="AR440" i="6"/>
  <c r="AQ440" i="6"/>
  <c r="AP440" i="6"/>
  <c r="AN440" i="6"/>
  <c r="AM440" i="6"/>
  <c r="AO440" i="6" s="1"/>
  <c r="AK440" i="6"/>
  <c r="AL440" i="6" s="1"/>
  <c r="AI440" i="6"/>
  <c r="AJ440" i="6" s="1"/>
  <c r="AG440" i="6"/>
  <c r="AF440" i="6"/>
  <c r="AE440" i="6"/>
  <c r="AD440" i="6"/>
  <c r="AC440" i="6"/>
  <c r="AB440" i="6"/>
  <c r="AA440" i="6"/>
  <c r="Z440" i="6"/>
  <c r="Y440" i="6"/>
  <c r="W440" i="6"/>
  <c r="V440" i="6"/>
  <c r="X440" i="6" s="1"/>
  <c r="T440" i="6"/>
  <c r="R440" i="6"/>
  <c r="S440" i="6" s="1"/>
  <c r="Q440" i="6"/>
  <c r="P440" i="6"/>
  <c r="O440" i="6"/>
  <c r="N440" i="6"/>
  <c r="M440" i="6"/>
  <c r="J440" i="6"/>
  <c r="H440" i="6"/>
  <c r="G440" i="6"/>
  <c r="F440" i="6"/>
  <c r="E440" i="6"/>
  <c r="DP440" i="6" s="1"/>
  <c r="D440" i="6"/>
  <c r="C440" i="6"/>
  <c r="B440" i="6"/>
  <c r="DW439" i="6"/>
  <c r="DS439" i="6"/>
  <c r="DM439" i="6"/>
  <c r="DN439" i="6" s="1"/>
  <c r="DL439" i="6"/>
  <c r="DK439" i="6"/>
  <c r="DJ439" i="6"/>
  <c r="DH439" i="6"/>
  <c r="DI439" i="6" s="1"/>
  <c r="DG439" i="6"/>
  <c r="DF439" i="6"/>
  <c r="DD439" i="6"/>
  <c r="DE439" i="6" s="1"/>
  <c r="DC439" i="6"/>
  <c r="DB439" i="6"/>
  <c r="DA439" i="6"/>
  <c r="CY439" i="6"/>
  <c r="CX439" i="6"/>
  <c r="CV439" i="6"/>
  <c r="CW439" i="6" s="1"/>
  <c r="CT439" i="6"/>
  <c r="CU439" i="6" s="1"/>
  <c r="CR439" i="6"/>
  <c r="CQ439" i="6"/>
  <c r="CS439" i="6" s="1"/>
  <c r="CP439" i="6"/>
  <c r="CO439" i="6"/>
  <c r="CN439" i="6"/>
  <c r="CM439" i="6"/>
  <c r="CL439" i="6"/>
  <c r="CJ439" i="6"/>
  <c r="CI439" i="6"/>
  <c r="CK439" i="6" s="1"/>
  <c r="CH439" i="6"/>
  <c r="CG439" i="6"/>
  <c r="CE439" i="6"/>
  <c r="CD439" i="6"/>
  <c r="CF439" i="6" s="1"/>
  <c r="CC439" i="6"/>
  <c r="CB439" i="6"/>
  <c r="BZ439" i="6"/>
  <c r="BY439" i="6"/>
  <c r="BX439" i="6"/>
  <c r="BW439" i="6"/>
  <c r="BU439" i="6"/>
  <c r="BV439" i="6" s="1"/>
  <c r="BR439" i="6"/>
  <c r="BQ439" i="6"/>
  <c r="BP439" i="6"/>
  <c r="BO439" i="6"/>
  <c r="BM439" i="6"/>
  <c r="BL439" i="6"/>
  <c r="BK439" i="6"/>
  <c r="BN439" i="6" s="1"/>
  <c r="BJ439" i="6"/>
  <c r="BH439" i="6"/>
  <c r="BI439" i="6" s="1"/>
  <c r="BF439" i="6"/>
  <c r="BG439" i="6" s="1"/>
  <c r="BD439" i="6"/>
  <c r="BC439" i="6"/>
  <c r="DQ439" i="6" s="1"/>
  <c r="BB439" i="6"/>
  <c r="AZ439" i="6"/>
  <c r="AY439" i="6"/>
  <c r="BA439" i="6" s="1"/>
  <c r="AW439" i="6"/>
  <c r="AX439" i="6" s="1"/>
  <c r="AV439" i="6"/>
  <c r="AT439" i="6"/>
  <c r="AS439" i="6"/>
  <c r="AU439" i="6" s="1"/>
  <c r="AR439" i="6"/>
  <c r="AQ439" i="6"/>
  <c r="AP439" i="6"/>
  <c r="AO439" i="6"/>
  <c r="AN439" i="6"/>
  <c r="AM439" i="6"/>
  <c r="AL439" i="6"/>
  <c r="AK439" i="6"/>
  <c r="AI439" i="6"/>
  <c r="AJ439" i="6" s="1"/>
  <c r="AG439" i="6"/>
  <c r="AF439" i="6"/>
  <c r="AE439" i="6"/>
  <c r="AD439" i="6"/>
  <c r="AC439" i="6"/>
  <c r="AB439" i="6"/>
  <c r="AA439" i="6"/>
  <c r="Z439" i="6"/>
  <c r="Y439" i="6"/>
  <c r="X439" i="6"/>
  <c r="W439" i="6"/>
  <c r="V439" i="6"/>
  <c r="T439" i="6"/>
  <c r="R439" i="6"/>
  <c r="S439" i="6" s="1"/>
  <c r="Q439" i="6"/>
  <c r="P439" i="6"/>
  <c r="O439" i="6"/>
  <c r="N439" i="6"/>
  <c r="M439" i="6"/>
  <c r="J439" i="6"/>
  <c r="H439" i="6"/>
  <c r="G439" i="6"/>
  <c r="DU439" i="6" s="1"/>
  <c r="F439" i="6"/>
  <c r="DV439" i="6" s="1"/>
  <c r="E439" i="6"/>
  <c r="DP439" i="6" s="1"/>
  <c r="D439" i="6"/>
  <c r="C439" i="6"/>
  <c r="B439" i="6"/>
  <c r="DW438" i="6"/>
  <c r="DP438" i="6"/>
  <c r="DM438" i="6"/>
  <c r="DL438" i="6"/>
  <c r="DK438" i="6"/>
  <c r="DJ438" i="6"/>
  <c r="DN438" i="6" s="1"/>
  <c r="DI438" i="6"/>
  <c r="DH438" i="6"/>
  <c r="DG438" i="6"/>
  <c r="DF438" i="6"/>
  <c r="DD438" i="6"/>
  <c r="DE438" i="6" s="1"/>
  <c r="DC438" i="6"/>
  <c r="DB438" i="6"/>
  <c r="DA438" i="6"/>
  <c r="CY438" i="6"/>
  <c r="CX438" i="6"/>
  <c r="CW438" i="6"/>
  <c r="CV438" i="6"/>
  <c r="CT438" i="6"/>
  <c r="CU438" i="6" s="1"/>
  <c r="CR438" i="6"/>
  <c r="CS438" i="6" s="1"/>
  <c r="CQ438" i="6"/>
  <c r="CP438" i="6"/>
  <c r="CN438" i="6"/>
  <c r="CM438" i="6"/>
  <c r="CL438" i="6"/>
  <c r="CO438" i="6" s="1"/>
  <c r="CK438" i="6"/>
  <c r="CJ438" i="6"/>
  <c r="CI438" i="6"/>
  <c r="CG438" i="6"/>
  <c r="CH438" i="6" s="1"/>
  <c r="CF438" i="6"/>
  <c r="CE438" i="6"/>
  <c r="CD438" i="6"/>
  <c r="CB438" i="6"/>
  <c r="CC438" i="6" s="1"/>
  <c r="CA438" i="6"/>
  <c r="BZ438" i="6"/>
  <c r="BY438" i="6"/>
  <c r="BX438" i="6"/>
  <c r="BW438" i="6"/>
  <c r="BU438" i="6"/>
  <c r="BV438" i="6" s="1"/>
  <c r="BS438" i="6"/>
  <c r="BR438" i="6"/>
  <c r="BQ438" i="6"/>
  <c r="BO438" i="6"/>
  <c r="BP438" i="6" s="1"/>
  <c r="BN438" i="6"/>
  <c r="BM438" i="6"/>
  <c r="BL438" i="6"/>
  <c r="BK438" i="6"/>
  <c r="BJ438" i="6"/>
  <c r="BI438" i="6"/>
  <c r="BH438" i="6"/>
  <c r="BF438" i="6"/>
  <c r="BG438" i="6" s="1"/>
  <c r="BD438" i="6"/>
  <c r="BC438" i="6"/>
  <c r="BB438" i="6"/>
  <c r="BA438" i="6"/>
  <c r="AZ438" i="6"/>
  <c r="AY438" i="6"/>
  <c r="AX438" i="6"/>
  <c r="AW438" i="6"/>
  <c r="AV438" i="6"/>
  <c r="AU438" i="6"/>
  <c r="AT438" i="6"/>
  <c r="AS438" i="6"/>
  <c r="AQ438" i="6"/>
  <c r="AR438" i="6" s="1"/>
  <c r="AP438" i="6"/>
  <c r="AN438" i="6"/>
  <c r="AO438" i="6" s="1"/>
  <c r="AM438" i="6"/>
  <c r="AK438" i="6"/>
  <c r="AL438" i="6" s="1"/>
  <c r="AI438" i="6"/>
  <c r="AJ438" i="6" s="1"/>
  <c r="AG438" i="6"/>
  <c r="AE438" i="6"/>
  <c r="AD438" i="6"/>
  <c r="AC438" i="6"/>
  <c r="AB438" i="6"/>
  <c r="AA438" i="6"/>
  <c r="Z438" i="6"/>
  <c r="Y438" i="6"/>
  <c r="W438" i="6"/>
  <c r="X438" i="6" s="1"/>
  <c r="V438" i="6"/>
  <c r="T438" i="6"/>
  <c r="S438" i="6"/>
  <c r="R438" i="6"/>
  <c r="P438" i="6"/>
  <c r="DQ438" i="6" s="1"/>
  <c r="O438" i="6"/>
  <c r="N438" i="6"/>
  <c r="M438" i="6"/>
  <c r="J438" i="6"/>
  <c r="H438" i="6"/>
  <c r="G438" i="6"/>
  <c r="F438" i="6"/>
  <c r="E438" i="6"/>
  <c r="I438" i="6" s="1"/>
  <c r="D438" i="6"/>
  <c r="C438" i="6"/>
  <c r="B438" i="6"/>
  <c r="DW437" i="6"/>
  <c r="DP437" i="6"/>
  <c r="DN437" i="6"/>
  <c r="DM437" i="6"/>
  <c r="DL437" i="6"/>
  <c r="DK437" i="6"/>
  <c r="DJ437" i="6"/>
  <c r="DI437" i="6"/>
  <c r="DH437" i="6"/>
  <c r="DG437" i="6"/>
  <c r="DF437" i="6"/>
  <c r="DE437" i="6"/>
  <c r="DD437" i="6"/>
  <c r="DB437" i="6"/>
  <c r="DA437" i="6"/>
  <c r="DC437" i="6" s="1"/>
  <c r="CY437" i="6"/>
  <c r="CZ437" i="6" s="1"/>
  <c r="CX437" i="6"/>
  <c r="CW437" i="6"/>
  <c r="CV437" i="6"/>
  <c r="CT437" i="6"/>
  <c r="CU437" i="6" s="1"/>
  <c r="CR437" i="6"/>
  <c r="CS437" i="6" s="1"/>
  <c r="CQ437" i="6"/>
  <c r="CP437" i="6"/>
  <c r="CO437" i="6"/>
  <c r="CN437" i="6"/>
  <c r="CM437" i="6"/>
  <c r="CL437" i="6"/>
  <c r="CK437" i="6"/>
  <c r="CJ437" i="6"/>
  <c r="CI437" i="6"/>
  <c r="CG437" i="6"/>
  <c r="CH437" i="6" s="1"/>
  <c r="CF437" i="6"/>
  <c r="CE437" i="6"/>
  <c r="CD437" i="6"/>
  <c r="CC437" i="6"/>
  <c r="CB437" i="6"/>
  <c r="BZ437" i="6"/>
  <c r="CA437" i="6" s="1"/>
  <c r="BY437" i="6"/>
  <c r="BX437" i="6"/>
  <c r="BW437" i="6"/>
  <c r="BU437" i="6"/>
  <c r="BV437" i="6" s="1"/>
  <c r="BR437" i="6"/>
  <c r="BQ437" i="6"/>
  <c r="BS437" i="6" s="1"/>
  <c r="BP437" i="6"/>
  <c r="BO437" i="6"/>
  <c r="BN437" i="6"/>
  <c r="BM437" i="6"/>
  <c r="BL437" i="6"/>
  <c r="BK437" i="6"/>
  <c r="BJ437" i="6"/>
  <c r="BI437" i="6"/>
  <c r="BH437" i="6"/>
  <c r="BF437" i="6"/>
  <c r="BG437" i="6" s="1"/>
  <c r="BD437" i="6"/>
  <c r="BC437" i="6"/>
  <c r="BB437" i="6"/>
  <c r="BE437" i="6" s="1"/>
  <c r="AZ437" i="6"/>
  <c r="BA437" i="6" s="1"/>
  <c r="AY437" i="6"/>
  <c r="AW437" i="6"/>
  <c r="AV437" i="6"/>
  <c r="AU437" i="6"/>
  <c r="AT437" i="6"/>
  <c r="AS437" i="6"/>
  <c r="AR437" i="6"/>
  <c r="AQ437" i="6"/>
  <c r="AP437" i="6"/>
  <c r="AN437" i="6"/>
  <c r="AM437" i="6"/>
  <c r="AL437" i="6"/>
  <c r="AK437" i="6"/>
  <c r="AI437" i="6"/>
  <c r="AJ437" i="6" s="1"/>
  <c r="AG437" i="6"/>
  <c r="AE437" i="6"/>
  <c r="AD437" i="6"/>
  <c r="AC437" i="6"/>
  <c r="AB437" i="6"/>
  <c r="AA437" i="6"/>
  <c r="Z437" i="6"/>
  <c r="Y437" i="6"/>
  <c r="X437" i="6"/>
  <c r="W437" i="6"/>
  <c r="V437" i="6"/>
  <c r="DT437" i="6" s="1"/>
  <c r="T437" i="6"/>
  <c r="R437" i="6"/>
  <c r="S437" i="6" s="1"/>
  <c r="P437" i="6"/>
  <c r="O437" i="6"/>
  <c r="N437" i="6"/>
  <c r="M437" i="6"/>
  <c r="J437" i="6"/>
  <c r="H437" i="6"/>
  <c r="G437" i="6"/>
  <c r="F437" i="6"/>
  <c r="E437" i="6"/>
  <c r="D437" i="6"/>
  <c r="C437" i="6"/>
  <c r="B437" i="6"/>
  <c r="DW436" i="6"/>
  <c r="DS436" i="6"/>
  <c r="DP436" i="6"/>
  <c r="DM436" i="6"/>
  <c r="DN436" i="6" s="1"/>
  <c r="DL436" i="6"/>
  <c r="DK436" i="6"/>
  <c r="DJ436" i="6"/>
  <c r="DI436" i="6"/>
  <c r="DH436" i="6"/>
  <c r="DG436" i="6"/>
  <c r="DF436" i="6"/>
  <c r="DE436" i="6"/>
  <c r="DD436" i="6"/>
  <c r="DB436" i="6"/>
  <c r="DA436" i="6"/>
  <c r="DC436" i="6" s="1"/>
  <c r="CZ436" i="6"/>
  <c r="CY436" i="6"/>
  <c r="CX436" i="6"/>
  <c r="CV436" i="6"/>
  <c r="CW436" i="6" s="1"/>
  <c r="CT436" i="6"/>
  <c r="CU436" i="6" s="1"/>
  <c r="CR436" i="6"/>
  <c r="CQ436" i="6"/>
  <c r="CP436" i="6"/>
  <c r="CS436" i="6" s="1"/>
  <c r="CO436" i="6"/>
  <c r="CN436" i="6"/>
  <c r="CM436" i="6"/>
  <c r="CL436" i="6"/>
  <c r="CK436" i="6"/>
  <c r="CJ436" i="6"/>
  <c r="CI436" i="6"/>
  <c r="CH436" i="6"/>
  <c r="CG436" i="6"/>
  <c r="CE436" i="6"/>
  <c r="CD436" i="6"/>
  <c r="CF436" i="6" s="1"/>
  <c r="CB436" i="6"/>
  <c r="CC436" i="6" s="1"/>
  <c r="BZ436" i="6"/>
  <c r="BY436" i="6"/>
  <c r="BX436" i="6"/>
  <c r="BW436" i="6"/>
  <c r="CA436" i="6" s="1"/>
  <c r="BU436" i="6"/>
  <c r="BV436" i="6" s="1"/>
  <c r="BR436" i="6"/>
  <c r="BQ436" i="6"/>
  <c r="BS436" i="6" s="1"/>
  <c r="BP436" i="6"/>
  <c r="BO436" i="6"/>
  <c r="BN436" i="6"/>
  <c r="BM436" i="6"/>
  <c r="BL436" i="6"/>
  <c r="BK436" i="6"/>
  <c r="BJ436" i="6"/>
  <c r="BI436" i="6"/>
  <c r="BH436" i="6"/>
  <c r="BG436" i="6"/>
  <c r="BF436" i="6"/>
  <c r="BD436" i="6"/>
  <c r="BC436" i="6"/>
  <c r="BB436" i="6"/>
  <c r="AZ436" i="6"/>
  <c r="AY436" i="6"/>
  <c r="BA436" i="6" s="1"/>
  <c r="AW436" i="6"/>
  <c r="AX436" i="6" s="1"/>
  <c r="AV436" i="6"/>
  <c r="AT436" i="6"/>
  <c r="AS436" i="6"/>
  <c r="AR436" i="6"/>
  <c r="AQ436" i="6"/>
  <c r="AP436" i="6"/>
  <c r="AO436" i="6"/>
  <c r="AN436" i="6"/>
  <c r="AM436" i="6"/>
  <c r="AL436" i="6"/>
  <c r="AK436" i="6"/>
  <c r="AI436" i="6"/>
  <c r="AJ436" i="6" s="1"/>
  <c r="AG436" i="6"/>
  <c r="AF436" i="6"/>
  <c r="AE436" i="6"/>
  <c r="AD436" i="6"/>
  <c r="AC436" i="6"/>
  <c r="AA436" i="6"/>
  <c r="Z436" i="6"/>
  <c r="AB436" i="6" s="1"/>
  <c r="Y436" i="6"/>
  <c r="W436" i="6"/>
  <c r="V436" i="6"/>
  <c r="T436" i="6"/>
  <c r="S436" i="6"/>
  <c r="R436" i="6"/>
  <c r="Q436" i="6"/>
  <c r="P436" i="6"/>
  <c r="DQ436" i="6" s="1"/>
  <c r="O436" i="6"/>
  <c r="N436" i="6"/>
  <c r="M436" i="6"/>
  <c r="J436" i="6"/>
  <c r="H436" i="6"/>
  <c r="G436" i="6"/>
  <c r="F436" i="6"/>
  <c r="E436" i="6"/>
  <c r="D436" i="6"/>
  <c r="C436" i="6"/>
  <c r="B436" i="6"/>
  <c r="DW435" i="6"/>
  <c r="DP435" i="6"/>
  <c r="DN435" i="6"/>
  <c r="DM435" i="6"/>
  <c r="DL435" i="6"/>
  <c r="DK435" i="6"/>
  <c r="DJ435" i="6"/>
  <c r="DI435" i="6"/>
  <c r="DH435" i="6"/>
  <c r="DG435" i="6"/>
  <c r="DF435" i="6"/>
  <c r="DD435" i="6"/>
  <c r="DE435" i="6" s="1"/>
  <c r="DB435" i="6"/>
  <c r="DA435" i="6"/>
  <c r="CZ435" i="6"/>
  <c r="CY435" i="6"/>
  <c r="CX435" i="6"/>
  <c r="CV435" i="6"/>
  <c r="CW435" i="6" s="1"/>
  <c r="CU435" i="6"/>
  <c r="CT435" i="6"/>
  <c r="CR435" i="6"/>
  <c r="CQ435" i="6"/>
  <c r="CP435" i="6"/>
  <c r="CS435" i="6" s="1"/>
  <c r="CO435" i="6"/>
  <c r="CN435" i="6"/>
  <c r="CM435" i="6"/>
  <c r="CL435" i="6"/>
  <c r="CJ435" i="6"/>
  <c r="CI435" i="6"/>
  <c r="CK435" i="6" s="1"/>
  <c r="CG435" i="6"/>
  <c r="CH435" i="6" s="1"/>
  <c r="CE435" i="6"/>
  <c r="CD435" i="6"/>
  <c r="CF435" i="6" s="1"/>
  <c r="CC435" i="6"/>
  <c r="CB435" i="6"/>
  <c r="BZ435" i="6"/>
  <c r="BY435" i="6"/>
  <c r="BX435" i="6"/>
  <c r="BW435" i="6"/>
  <c r="BV435" i="6"/>
  <c r="BU435" i="6"/>
  <c r="BS435" i="6"/>
  <c r="BR435" i="6"/>
  <c r="BQ435" i="6"/>
  <c r="BP435" i="6"/>
  <c r="BO435" i="6"/>
  <c r="BM435" i="6"/>
  <c r="BL435" i="6"/>
  <c r="BN435" i="6" s="1"/>
  <c r="BK435" i="6"/>
  <c r="BJ435" i="6"/>
  <c r="BH435" i="6"/>
  <c r="BI435" i="6" s="1"/>
  <c r="BF435" i="6"/>
  <c r="BG435" i="6" s="1"/>
  <c r="BD435" i="6"/>
  <c r="BC435" i="6"/>
  <c r="BB435" i="6"/>
  <c r="BE435" i="6" s="1"/>
  <c r="AZ435" i="6"/>
  <c r="AY435" i="6"/>
  <c r="BA435" i="6" s="1"/>
  <c r="AW435" i="6"/>
  <c r="AV435" i="6"/>
  <c r="AU435" i="6"/>
  <c r="AT435" i="6"/>
  <c r="AS435" i="6"/>
  <c r="AR435" i="6"/>
  <c r="AQ435" i="6"/>
  <c r="AP435" i="6"/>
  <c r="AO435" i="6"/>
  <c r="AN435" i="6"/>
  <c r="AM435" i="6"/>
  <c r="AK435" i="6"/>
  <c r="AL435" i="6" s="1"/>
  <c r="AJ435" i="6"/>
  <c r="AI435" i="6"/>
  <c r="AG435" i="6"/>
  <c r="AE435" i="6"/>
  <c r="AD435" i="6"/>
  <c r="AC435" i="6"/>
  <c r="AB435" i="6"/>
  <c r="AA435" i="6"/>
  <c r="Z435" i="6"/>
  <c r="Y435" i="6"/>
  <c r="X435" i="6"/>
  <c r="W435" i="6"/>
  <c r="DV435" i="6" s="1"/>
  <c r="V435" i="6"/>
  <c r="DT435" i="6" s="1"/>
  <c r="T435" i="6"/>
  <c r="S435" i="6"/>
  <c r="R435" i="6"/>
  <c r="P435" i="6"/>
  <c r="O435" i="6"/>
  <c r="N435" i="6"/>
  <c r="M435" i="6"/>
  <c r="Q435" i="6" s="1"/>
  <c r="J435" i="6"/>
  <c r="H435" i="6"/>
  <c r="G435" i="6"/>
  <c r="F435" i="6"/>
  <c r="E435" i="6"/>
  <c r="D435" i="6"/>
  <c r="C435" i="6"/>
  <c r="B435" i="6"/>
  <c r="DW434" i="6"/>
  <c r="DP434" i="6"/>
  <c r="DM434" i="6"/>
  <c r="DN434" i="6" s="1"/>
  <c r="DL434" i="6"/>
  <c r="DK434" i="6"/>
  <c r="DJ434" i="6"/>
  <c r="DI434" i="6"/>
  <c r="DH434" i="6"/>
  <c r="DF434" i="6"/>
  <c r="DG434" i="6" s="1"/>
  <c r="DD434" i="6"/>
  <c r="DE434" i="6" s="1"/>
  <c r="DC434" i="6"/>
  <c r="DB434" i="6"/>
  <c r="DA434" i="6"/>
  <c r="CY434" i="6"/>
  <c r="CX434" i="6"/>
  <c r="CZ434" i="6" s="1"/>
  <c r="CW434" i="6"/>
  <c r="CV434" i="6"/>
  <c r="CT434" i="6"/>
  <c r="CU434" i="6" s="1"/>
  <c r="CS434" i="6"/>
  <c r="CR434" i="6"/>
  <c r="CQ434" i="6"/>
  <c r="CP434" i="6"/>
  <c r="CN434" i="6"/>
  <c r="CM434" i="6"/>
  <c r="CL434" i="6"/>
  <c r="CJ434" i="6"/>
  <c r="CK434" i="6" s="1"/>
  <c r="CI434" i="6"/>
  <c r="CG434" i="6"/>
  <c r="CH434" i="6" s="1"/>
  <c r="CF434" i="6"/>
  <c r="CE434" i="6"/>
  <c r="CD434" i="6"/>
  <c r="CB434" i="6"/>
  <c r="CC434" i="6" s="1"/>
  <c r="BZ434" i="6"/>
  <c r="BY434" i="6"/>
  <c r="BX434" i="6"/>
  <c r="BW434" i="6"/>
  <c r="CA434" i="6" s="1"/>
  <c r="BU434" i="6"/>
  <c r="BV434" i="6" s="1"/>
  <c r="BR434" i="6"/>
  <c r="BQ434" i="6"/>
  <c r="BS434" i="6" s="1"/>
  <c r="BP434" i="6"/>
  <c r="BO434" i="6"/>
  <c r="BM434" i="6"/>
  <c r="BN434" i="6" s="1"/>
  <c r="BL434" i="6"/>
  <c r="BK434" i="6"/>
  <c r="BJ434" i="6"/>
  <c r="BI434" i="6"/>
  <c r="BH434" i="6"/>
  <c r="BG434" i="6"/>
  <c r="BF434" i="6"/>
  <c r="BE434" i="6"/>
  <c r="BD434" i="6"/>
  <c r="BC434" i="6"/>
  <c r="BB434" i="6"/>
  <c r="AZ434" i="6"/>
  <c r="AY434" i="6"/>
  <c r="AX434" i="6"/>
  <c r="AW434" i="6"/>
  <c r="AV434" i="6"/>
  <c r="AU434" i="6"/>
  <c r="AT434" i="6"/>
  <c r="AS434" i="6"/>
  <c r="AQ434" i="6"/>
  <c r="AP434" i="6"/>
  <c r="AR434" i="6" s="1"/>
  <c r="AN434" i="6"/>
  <c r="AO434" i="6" s="1"/>
  <c r="AM434" i="6"/>
  <c r="AL434" i="6"/>
  <c r="AK434" i="6"/>
  <c r="AI434" i="6"/>
  <c r="AJ434" i="6" s="1"/>
  <c r="AG434" i="6"/>
  <c r="AE434" i="6"/>
  <c r="AD434" i="6"/>
  <c r="AC434" i="6"/>
  <c r="AA434" i="6"/>
  <c r="AB434" i="6" s="1"/>
  <c r="Z434" i="6"/>
  <c r="Y434" i="6"/>
  <c r="X434" i="6"/>
  <c r="W434" i="6"/>
  <c r="V434" i="6"/>
  <c r="T434" i="6"/>
  <c r="S434" i="6"/>
  <c r="R434" i="6"/>
  <c r="Q434" i="6"/>
  <c r="P434" i="6"/>
  <c r="O434" i="6"/>
  <c r="N434" i="6"/>
  <c r="M434" i="6"/>
  <c r="J434" i="6"/>
  <c r="H434" i="6"/>
  <c r="G434" i="6"/>
  <c r="F434" i="6"/>
  <c r="E434" i="6"/>
  <c r="I434" i="6" s="1"/>
  <c r="D434" i="6"/>
  <c r="C434" i="6"/>
  <c r="B434" i="6"/>
  <c r="DW433" i="6"/>
  <c r="DP433" i="6"/>
  <c r="DM433" i="6"/>
  <c r="DL433" i="6"/>
  <c r="DN433" i="6" s="1"/>
  <c r="DK433" i="6"/>
  <c r="DJ433" i="6"/>
  <c r="DH433" i="6"/>
  <c r="DI433" i="6" s="1"/>
  <c r="DF433" i="6"/>
  <c r="DG433" i="6" s="1"/>
  <c r="DE433" i="6"/>
  <c r="DD433" i="6"/>
  <c r="DC433" i="6"/>
  <c r="DB433" i="6"/>
  <c r="DA433" i="6"/>
  <c r="CZ433" i="6"/>
  <c r="CY433" i="6"/>
  <c r="CX433" i="6"/>
  <c r="CW433" i="6"/>
  <c r="CV433" i="6"/>
  <c r="CT433" i="6"/>
  <c r="CU433" i="6" s="1"/>
  <c r="CR433" i="6"/>
  <c r="CQ433" i="6"/>
  <c r="CP433" i="6"/>
  <c r="CN433" i="6"/>
  <c r="CM433" i="6"/>
  <c r="CL433" i="6"/>
  <c r="CJ433" i="6"/>
  <c r="CI433" i="6"/>
  <c r="CK433" i="6" s="1"/>
  <c r="CG433" i="6"/>
  <c r="CH433" i="6" s="1"/>
  <c r="CF433" i="6"/>
  <c r="CE433" i="6"/>
  <c r="CD433" i="6"/>
  <c r="CC433" i="6"/>
  <c r="CB433" i="6"/>
  <c r="BZ433" i="6"/>
  <c r="BY433" i="6"/>
  <c r="BX433" i="6"/>
  <c r="BW433" i="6"/>
  <c r="CA433" i="6" s="1"/>
  <c r="BU433" i="6"/>
  <c r="BV433" i="6" s="1"/>
  <c r="BS433" i="6"/>
  <c r="BR433" i="6"/>
  <c r="BQ433" i="6"/>
  <c r="BO433" i="6"/>
  <c r="BP433" i="6" s="1"/>
  <c r="BM433" i="6"/>
  <c r="BL433" i="6"/>
  <c r="BK433" i="6"/>
  <c r="BJ433" i="6"/>
  <c r="BN433" i="6" s="1"/>
  <c r="BI433" i="6"/>
  <c r="BH433" i="6"/>
  <c r="BG433" i="6"/>
  <c r="BF433" i="6"/>
  <c r="BD433" i="6"/>
  <c r="BC433" i="6"/>
  <c r="BB433" i="6"/>
  <c r="BE433" i="6" s="1"/>
  <c r="AZ433" i="6"/>
  <c r="AY433" i="6"/>
  <c r="BA433" i="6" s="1"/>
  <c r="AX433" i="6"/>
  <c r="AW433" i="6"/>
  <c r="AV433" i="6"/>
  <c r="AT433" i="6"/>
  <c r="AU433" i="6" s="1"/>
  <c r="AS433" i="6"/>
  <c r="AQ433" i="6"/>
  <c r="AR433" i="6" s="1"/>
  <c r="AP433" i="6"/>
  <c r="AN433" i="6"/>
  <c r="AM433" i="6"/>
  <c r="AO433" i="6" s="1"/>
  <c r="AL433" i="6"/>
  <c r="AK433" i="6"/>
  <c r="AJ433" i="6"/>
  <c r="AI433" i="6"/>
  <c r="AG433" i="6"/>
  <c r="AE433" i="6"/>
  <c r="AD433" i="6"/>
  <c r="AC433" i="6"/>
  <c r="DS433" i="6" s="1"/>
  <c r="AA433" i="6"/>
  <c r="Z433" i="6"/>
  <c r="AB433" i="6" s="1"/>
  <c r="Y433" i="6"/>
  <c r="X433" i="6"/>
  <c r="W433" i="6"/>
  <c r="V433" i="6"/>
  <c r="T433" i="6"/>
  <c r="R433" i="6"/>
  <c r="S433" i="6" s="1"/>
  <c r="Q433" i="6"/>
  <c r="P433" i="6"/>
  <c r="O433" i="6"/>
  <c r="N433" i="6"/>
  <c r="M433" i="6"/>
  <c r="J433" i="6"/>
  <c r="H433" i="6"/>
  <c r="DQ433" i="6" s="1"/>
  <c r="G433" i="6"/>
  <c r="F433" i="6"/>
  <c r="E433" i="6"/>
  <c r="I433" i="6" s="1"/>
  <c r="D433" i="6"/>
  <c r="C433" i="6"/>
  <c r="B433" i="6"/>
  <c r="DW432" i="6"/>
  <c r="DM432" i="6"/>
  <c r="DL432" i="6"/>
  <c r="DK432" i="6"/>
  <c r="DJ432" i="6"/>
  <c r="DI432" i="6"/>
  <c r="DH432" i="6"/>
  <c r="DG432" i="6"/>
  <c r="DF432" i="6"/>
  <c r="DD432" i="6"/>
  <c r="DE432" i="6" s="1"/>
  <c r="DB432" i="6"/>
  <c r="DC432" i="6" s="1"/>
  <c r="DA432" i="6"/>
  <c r="CZ432" i="6"/>
  <c r="CY432" i="6"/>
  <c r="CX432" i="6"/>
  <c r="CV432" i="6"/>
  <c r="CW432" i="6" s="1"/>
  <c r="CT432" i="6"/>
  <c r="CU432" i="6" s="1"/>
  <c r="CR432" i="6"/>
  <c r="CQ432" i="6"/>
  <c r="CP432" i="6"/>
  <c r="CS432" i="6" s="1"/>
  <c r="CN432" i="6"/>
  <c r="CM432" i="6"/>
  <c r="CL432" i="6"/>
  <c r="CO432" i="6" s="1"/>
  <c r="CJ432" i="6"/>
  <c r="CI432" i="6"/>
  <c r="CH432" i="6"/>
  <c r="CG432" i="6"/>
  <c r="CF432" i="6"/>
  <c r="CE432" i="6"/>
  <c r="CD432" i="6"/>
  <c r="CC432" i="6"/>
  <c r="CB432" i="6"/>
  <c r="BZ432" i="6"/>
  <c r="BY432" i="6"/>
  <c r="BX432" i="6"/>
  <c r="BW432" i="6"/>
  <c r="CA432" i="6" s="1"/>
  <c r="BU432" i="6"/>
  <c r="BV432" i="6" s="1"/>
  <c r="BR432" i="6"/>
  <c r="BS432" i="6" s="1"/>
  <c r="BQ432" i="6"/>
  <c r="BO432" i="6"/>
  <c r="BP432" i="6" s="1"/>
  <c r="BM432" i="6"/>
  <c r="BL432" i="6"/>
  <c r="BK432" i="6"/>
  <c r="BJ432" i="6"/>
  <c r="BI432" i="6"/>
  <c r="BH432" i="6"/>
  <c r="BG432" i="6"/>
  <c r="BF432" i="6"/>
  <c r="BD432" i="6"/>
  <c r="BC432" i="6"/>
  <c r="BE432" i="6" s="1"/>
  <c r="BB432" i="6"/>
  <c r="AZ432" i="6"/>
  <c r="AY432" i="6"/>
  <c r="BA432" i="6" s="1"/>
  <c r="AX432" i="6"/>
  <c r="AW432" i="6"/>
  <c r="AV432" i="6"/>
  <c r="AT432" i="6"/>
  <c r="AS432" i="6"/>
  <c r="AU432" i="6" s="1"/>
  <c r="AQ432" i="6"/>
  <c r="AP432" i="6"/>
  <c r="AR432" i="6" s="1"/>
  <c r="AN432" i="6"/>
  <c r="AO432" i="6" s="1"/>
  <c r="AM432" i="6"/>
  <c r="AL432" i="6"/>
  <c r="AK432" i="6"/>
  <c r="AJ432" i="6"/>
  <c r="AI432" i="6"/>
  <c r="AG432" i="6"/>
  <c r="AF432" i="6"/>
  <c r="AE432" i="6"/>
  <c r="AD432" i="6"/>
  <c r="DR432" i="6" s="1"/>
  <c r="AC432" i="6"/>
  <c r="AA432" i="6"/>
  <c r="Z432" i="6"/>
  <c r="AB432" i="6" s="1"/>
  <c r="Y432" i="6"/>
  <c r="W432" i="6"/>
  <c r="V432" i="6"/>
  <c r="T432" i="6"/>
  <c r="R432" i="6"/>
  <c r="S432" i="6" s="1"/>
  <c r="P432" i="6"/>
  <c r="O432" i="6"/>
  <c r="N432" i="6"/>
  <c r="M432" i="6"/>
  <c r="DP432" i="6" s="1"/>
  <c r="J432" i="6"/>
  <c r="H432" i="6"/>
  <c r="G432" i="6"/>
  <c r="DU432" i="6" s="1"/>
  <c r="F432" i="6"/>
  <c r="E432" i="6"/>
  <c r="D432" i="6"/>
  <c r="C432" i="6"/>
  <c r="B432" i="6"/>
  <c r="DW431" i="6"/>
  <c r="DM431" i="6"/>
  <c r="DL431" i="6"/>
  <c r="DK431" i="6"/>
  <c r="DJ431" i="6"/>
  <c r="DH431" i="6"/>
  <c r="DI431" i="6" s="1"/>
  <c r="DG431" i="6"/>
  <c r="DF431" i="6"/>
  <c r="DD431" i="6"/>
  <c r="DE431" i="6" s="1"/>
  <c r="DC431" i="6"/>
  <c r="DB431" i="6"/>
  <c r="DA431" i="6"/>
  <c r="CZ431" i="6"/>
  <c r="CY431" i="6"/>
  <c r="CX431" i="6"/>
  <c r="CW431" i="6"/>
  <c r="CV431" i="6"/>
  <c r="CU431" i="6"/>
  <c r="CT431" i="6"/>
  <c r="CR431" i="6"/>
  <c r="CQ431" i="6"/>
  <c r="CP431" i="6"/>
  <c r="CS431" i="6" s="1"/>
  <c r="CN431" i="6"/>
  <c r="CO431" i="6" s="1"/>
  <c r="CM431" i="6"/>
  <c r="CL431" i="6"/>
  <c r="CJ431" i="6"/>
  <c r="CI431" i="6"/>
  <c r="CG431" i="6"/>
  <c r="CH431" i="6" s="1"/>
  <c r="CF431" i="6"/>
  <c r="CE431" i="6"/>
  <c r="CD431" i="6"/>
  <c r="CC431" i="6"/>
  <c r="CB431" i="6"/>
  <c r="BZ431" i="6"/>
  <c r="BY431" i="6"/>
  <c r="CA431" i="6" s="1"/>
  <c r="BX431" i="6"/>
  <c r="BW431" i="6"/>
  <c r="BU431" i="6"/>
  <c r="BV431" i="6" s="1"/>
  <c r="BR431" i="6"/>
  <c r="BQ431" i="6"/>
  <c r="BO431" i="6"/>
  <c r="BP431" i="6" s="1"/>
  <c r="BM431" i="6"/>
  <c r="BL431" i="6"/>
  <c r="BN431" i="6" s="1"/>
  <c r="BK431" i="6"/>
  <c r="BJ431" i="6"/>
  <c r="BI431" i="6"/>
  <c r="BH431" i="6"/>
  <c r="BG431" i="6"/>
  <c r="BF431" i="6"/>
  <c r="BD431" i="6"/>
  <c r="BC431" i="6"/>
  <c r="BB431" i="6"/>
  <c r="BE431" i="6" s="1"/>
  <c r="AZ431" i="6"/>
  <c r="AY431" i="6"/>
  <c r="BA431" i="6" s="1"/>
  <c r="AW431" i="6"/>
  <c r="AX431" i="6" s="1"/>
  <c r="AV431" i="6"/>
  <c r="AU431" i="6"/>
  <c r="AT431" i="6"/>
  <c r="AS431" i="6"/>
  <c r="AR431" i="6"/>
  <c r="AQ431" i="6"/>
  <c r="AP431" i="6"/>
  <c r="AN431" i="6"/>
  <c r="AM431" i="6"/>
  <c r="AO431" i="6" s="1"/>
  <c r="AL431" i="6"/>
  <c r="AK431" i="6"/>
  <c r="AJ431" i="6"/>
  <c r="AI431" i="6"/>
  <c r="AG431" i="6"/>
  <c r="AE431" i="6"/>
  <c r="AF431" i="6" s="1"/>
  <c r="AD431" i="6"/>
  <c r="AC431" i="6"/>
  <c r="AA431" i="6"/>
  <c r="Z431" i="6"/>
  <c r="AB431" i="6" s="1"/>
  <c r="Y431" i="6"/>
  <c r="W431" i="6"/>
  <c r="V431" i="6"/>
  <c r="DT431" i="6" s="1"/>
  <c r="T431" i="6"/>
  <c r="R431" i="6"/>
  <c r="S431" i="6" s="1"/>
  <c r="Q431" i="6"/>
  <c r="P431" i="6"/>
  <c r="O431" i="6"/>
  <c r="N431" i="6"/>
  <c r="M431" i="6"/>
  <c r="J431" i="6"/>
  <c r="H431" i="6"/>
  <c r="G431" i="6"/>
  <c r="F431" i="6"/>
  <c r="E431" i="6"/>
  <c r="D431" i="6"/>
  <c r="C431" i="6"/>
  <c r="B431" i="6"/>
  <c r="DW430" i="6"/>
  <c r="DM430" i="6"/>
  <c r="DL430" i="6"/>
  <c r="DK430" i="6"/>
  <c r="DJ430" i="6"/>
  <c r="DN430" i="6" s="1"/>
  <c r="DI430" i="6"/>
  <c r="DH430" i="6"/>
  <c r="DF430" i="6"/>
  <c r="DG430" i="6" s="1"/>
  <c r="DD430" i="6"/>
  <c r="DE430" i="6" s="1"/>
  <c r="DB430" i="6"/>
  <c r="DA430" i="6"/>
  <c r="DC430" i="6" s="1"/>
  <c r="CZ430" i="6"/>
  <c r="CY430" i="6"/>
  <c r="CX430" i="6"/>
  <c r="CW430" i="6"/>
  <c r="CV430" i="6"/>
  <c r="CT430" i="6"/>
  <c r="CU430" i="6" s="1"/>
  <c r="CR430" i="6"/>
  <c r="CQ430" i="6"/>
  <c r="CP430" i="6"/>
  <c r="CS430" i="6" s="1"/>
  <c r="CN430" i="6"/>
  <c r="CM430" i="6"/>
  <c r="CO430" i="6" s="1"/>
  <c r="CL430" i="6"/>
  <c r="CJ430" i="6"/>
  <c r="CK430" i="6" s="1"/>
  <c r="CI430" i="6"/>
  <c r="CG430" i="6"/>
  <c r="CH430" i="6" s="1"/>
  <c r="CE430" i="6"/>
  <c r="CD430" i="6"/>
  <c r="CF430" i="6" s="1"/>
  <c r="CC430" i="6"/>
  <c r="CB430" i="6"/>
  <c r="BZ430" i="6"/>
  <c r="BY430" i="6"/>
  <c r="BX430" i="6"/>
  <c r="BW430" i="6"/>
  <c r="BU430" i="6"/>
  <c r="BV430" i="6" s="1"/>
  <c r="BR430" i="6"/>
  <c r="BQ430" i="6"/>
  <c r="BS430" i="6" s="1"/>
  <c r="BP430" i="6"/>
  <c r="BO430" i="6"/>
  <c r="BM430" i="6"/>
  <c r="BL430" i="6"/>
  <c r="BK430" i="6"/>
  <c r="BN430" i="6" s="1"/>
  <c r="BJ430" i="6"/>
  <c r="BI430" i="6"/>
  <c r="BH430" i="6"/>
  <c r="BG430" i="6"/>
  <c r="BF430" i="6"/>
  <c r="BE430" i="6"/>
  <c r="BD430" i="6"/>
  <c r="BC430" i="6"/>
  <c r="BB430" i="6"/>
  <c r="BA430" i="6"/>
  <c r="AZ430" i="6"/>
  <c r="AY430" i="6"/>
  <c r="AW430" i="6"/>
  <c r="AV430" i="6"/>
  <c r="AT430" i="6"/>
  <c r="AU430" i="6" s="1"/>
  <c r="AS430" i="6"/>
  <c r="AQ430" i="6"/>
  <c r="AP430" i="6"/>
  <c r="AR430" i="6" s="1"/>
  <c r="AN430" i="6"/>
  <c r="AO430" i="6" s="1"/>
  <c r="AM430" i="6"/>
  <c r="AK430" i="6"/>
  <c r="AL430" i="6" s="1"/>
  <c r="AJ430" i="6"/>
  <c r="AI430" i="6"/>
  <c r="AG430" i="6"/>
  <c r="AE430" i="6"/>
  <c r="AD430" i="6"/>
  <c r="AC430" i="6"/>
  <c r="AA430" i="6"/>
  <c r="Z430" i="6"/>
  <c r="AB430" i="6" s="1"/>
  <c r="Y430" i="6"/>
  <c r="X430" i="6"/>
  <c r="W430" i="6"/>
  <c r="V430" i="6"/>
  <c r="T430" i="6"/>
  <c r="R430" i="6"/>
  <c r="S430" i="6" s="1"/>
  <c r="P430" i="6"/>
  <c r="O430" i="6"/>
  <c r="N430" i="6"/>
  <c r="M430" i="6"/>
  <c r="J430" i="6"/>
  <c r="H430" i="6"/>
  <c r="G430" i="6"/>
  <c r="F430" i="6"/>
  <c r="E430" i="6"/>
  <c r="D430" i="6"/>
  <c r="C430" i="6"/>
  <c r="B430" i="6"/>
  <c r="DW429" i="6"/>
  <c r="DV429" i="6"/>
  <c r="DM429" i="6"/>
  <c r="DL429" i="6"/>
  <c r="DK429" i="6"/>
  <c r="DJ429" i="6"/>
  <c r="DN429" i="6" s="1"/>
  <c r="DH429" i="6"/>
  <c r="DI429" i="6" s="1"/>
  <c r="DF429" i="6"/>
  <c r="DG429" i="6" s="1"/>
  <c r="DD429" i="6"/>
  <c r="DE429" i="6" s="1"/>
  <c r="DB429" i="6"/>
  <c r="DC429" i="6" s="1"/>
  <c r="DA429" i="6"/>
  <c r="CZ429" i="6"/>
  <c r="CY429" i="6"/>
  <c r="CX429" i="6"/>
  <c r="CW429" i="6"/>
  <c r="CV429" i="6"/>
  <c r="CU429" i="6"/>
  <c r="CT429" i="6"/>
  <c r="CS429" i="6"/>
  <c r="CR429" i="6"/>
  <c r="CQ429" i="6"/>
  <c r="CP429" i="6"/>
  <c r="CN429" i="6"/>
  <c r="CM429" i="6"/>
  <c r="CL429" i="6"/>
  <c r="CJ429" i="6"/>
  <c r="CI429" i="6"/>
  <c r="CH429" i="6"/>
  <c r="CG429" i="6"/>
  <c r="CE429" i="6"/>
  <c r="CD429" i="6"/>
  <c r="CF429" i="6" s="1"/>
  <c r="CC429" i="6"/>
  <c r="CB429" i="6"/>
  <c r="CA429" i="6"/>
  <c r="BZ429" i="6"/>
  <c r="BY429" i="6"/>
  <c r="BX429" i="6"/>
  <c r="BW429" i="6"/>
  <c r="BU429" i="6"/>
  <c r="BV429" i="6" s="1"/>
  <c r="BR429" i="6"/>
  <c r="BQ429" i="6"/>
  <c r="BS429" i="6" s="1"/>
  <c r="BO429" i="6"/>
  <c r="BP429" i="6" s="1"/>
  <c r="BM429" i="6"/>
  <c r="BL429" i="6"/>
  <c r="BK429" i="6"/>
  <c r="BJ429" i="6"/>
  <c r="BH429" i="6"/>
  <c r="BI429" i="6" s="1"/>
  <c r="BG429" i="6"/>
  <c r="BF429" i="6"/>
  <c r="BD429" i="6"/>
  <c r="BE429" i="6" s="1"/>
  <c r="BC429" i="6"/>
  <c r="BB429" i="6"/>
  <c r="AZ429" i="6"/>
  <c r="BA429" i="6" s="1"/>
  <c r="AY429" i="6"/>
  <c r="AW429" i="6"/>
  <c r="AV429" i="6"/>
  <c r="AX429" i="6" s="1"/>
  <c r="AT429" i="6"/>
  <c r="AS429" i="6"/>
  <c r="AU429" i="6" s="1"/>
  <c r="AQ429" i="6"/>
  <c r="AR429" i="6" s="1"/>
  <c r="AP429" i="6"/>
  <c r="AO429" i="6"/>
  <c r="AN429" i="6"/>
  <c r="AM429" i="6"/>
  <c r="AK429" i="6"/>
  <c r="AJ429" i="6"/>
  <c r="AI429" i="6"/>
  <c r="AG429" i="6"/>
  <c r="AE429" i="6"/>
  <c r="AD429" i="6"/>
  <c r="AC429" i="6"/>
  <c r="AA429" i="6"/>
  <c r="Z429" i="6"/>
  <c r="AB429" i="6" s="1"/>
  <c r="Y429" i="6"/>
  <c r="X429" i="6"/>
  <c r="W429" i="6"/>
  <c r="V429" i="6"/>
  <c r="T429" i="6"/>
  <c r="R429" i="6"/>
  <c r="S429" i="6" s="1"/>
  <c r="P429" i="6"/>
  <c r="O429" i="6"/>
  <c r="N429" i="6"/>
  <c r="M429" i="6"/>
  <c r="DP429" i="6" s="1"/>
  <c r="J429" i="6"/>
  <c r="H429" i="6"/>
  <c r="G429" i="6"/>
  <c r="F429" i="6"/>
  <c r="E429" i="6"/>
  <c r="D429" i="6"/>
  <c r="C429" i="6"/>
  <c r="B429" i="6"/>
  <c r="DW428" i="6"/>
  <c r="DN428" i="6"/>
  <c r="DM428" i="6"/>
  <c r="DL428" i="6"/>
  <c r="DK428" i="6"/>
  <c r="DJ428" i="6"/>
  <c r="DI428" i="6"/>
  <c r="DH428" i="6"/>
  <c r="DG428" i="6"/>
  <c r="DF428" i="6"/>
  <c r="DD428" i="6"/>
  <c r="DE428" i="6" s="1"/>
  <c r="DB428" i="6"/>
  <c r="DA428" i="6"/>
  <c r="CY428" i="6"/>
  <c r="CZ428" i="6" s="1"/>
  <c r="CX428" i="6"/>
  <c r="CV428" i="6"/>
  <c r="CW428" i="6" s="1"/>
  <c r="CU428" i="6"/>
  <c r="CT428" i="6"/>
  <c r="CR428" i="6"/>
  <c r="CS428" i="6" s="1"/>
  <c r="CQ428" i="6"/>
  <c r="CP428" i="6"/>
  <c r="CN428" i="6"/>
  <c r="CM428" i="6"/>
  <c r="CL428" i="6"/>
  <c r="CJ428" i="6"/>
  <c r="CI428" i="6"/>
  <c r="CH428" i="6"/>
  <c r="CG428" i="6"/>
  <c r="CF428" i="6"/>
  <c r="CE428" i="6"/>
  <c r="CD428" i="6"/>
  <c r="CB428" i="6"/>
  <c r="CC428" i="6" s="1"/>
  <c r="CA428" i="6"/>
  <c r="BZ428" i="6"/>
  <c r="BY428" i="6"/>
  <c r="BX428" i="6"/>
  <c r="BW428" i="6"/>
  <c r="BV428" i="6"/>
  <c r="BU428" i="6"/>
  <c r="BR428" i="6"/>
  <c r="BQ428" i="6"/>
  <c r="BS428" i="6" s="1"/>
  <c r="BO428" i="6"/>
  <c r="BP428" i="6" s="1"/>
  <c r="BM428" i="6"/>
  <c r="BL428" i="6"/>
  <c r="BK428" i="6"/>
  <c r="BJ428" i="6"/>
  <c r="BN428" i="6" s="1"/>
  <c r="BH428" i="6"/>
  <c r="BI428" i="6" s="1"/>
  <c r="BF428" i="6"/>
  <c r="BG428" i="6" s="1"/>
  <c r="BD428" i="6"/>
  <c r="BC428" i="6"/>
  <c r="BE428" i="6" s="1"/>
  <c r="BB428" i="6"/>
  <c r="AZ428" i="6"/>
  <c r="AY428" i="6"/>
  <c r="BA428" i="6" s="1"/>
  <c r="AW428" i="6"/>
  <c r="AV428" i="6"/>
  <c r="AX428" i="6" s="1"/>
  <c r="AT428" i="6"/>
  <c r="AS428" i="6"/>
  <c r="AU428" i="6" s="1"/>
  <c r="AQ428" i="6"/>
  <c r="AR428" i="6" s="1"/>
  <c r="AP428" i="6"/>
  <c r="AO428" i="6"/>
  <c r="AN428" i="6"/>
  <c r="AM428" i="6"/>
  <c r="AK428" i="6"/>
  <c r="AL428" i="6" s="1"/>
  <c r="AJ428" i="6"/>
  <c r="AI428" i="6"/>
  <c r="AG428" i="6"/>
  <c r="AF428" i="6"/>
  <c r="AE428" i="6"/>
  <c r="AD428" i="6"/>
  <c r="AC428" i="6"/>
  <c r="AB428" i="6"/>
  <c r="AA428" i="6"/>
  <c r="Z428" i="6"/>
  <c r="Y428" i="6"/>
  <c r="W428" i="6"/>
  <c r="V428" i="6"/>
  <c r="T428" i="6"/>
  <c r="S428" i="6"/>
  <c r="R428" i="6"/>
  <c r="Q428" i="6"/>
  <c r="P428" i="6"/>
  <c r="O428" i="6"/>
  <c r="N428" i="6"/>
  <c r="DV428" i="6" s="1"/>
  <c r="M428" i="6"/>
  <c r="J428" i="6"/>
  <c r="H428" i="6"/>
  <c r="G428" i="6"/>
  <c r="F428" i="6"/>
  <c r="E428" i="6"/>
  <c r="DP428" i="6" s="1"/>
  <c r="D428" i="6"/>
  <c r="C428" i="6"/>
  <c r="B428" i="6"/>
  <c r="DW427" i="6"/>
  <c r="DV427" i="6"/>
  <c r="DM427" i="6"/>
  <c r="DL427" i="6"/>
  <c r="DK427" i="6"/>
  <c r="DJ427" i="6"/>
  <c r="DN427" i="6" s="1"/>
  <c r="DI427" i="6"/>
  <c r="DH427" i="6"/>
  <c r="DF427" i="6"/>
  <c r="DG427" i="6" s="1"/>
  <c r="DE427" i="6"/>
  <c r="DD427" i="6"/>
  <c r="DB427" i="6"/>
  <c r="DA427" i="6"/>
  <c r="DC427" i="6" s="1"/>
  <c r="CY427" i="6"/>
  <c r="CX427" i="6"/>
  <c r="CV427" i="6"/>
  <c r="CW427" i="6" s="1"/>
  <c r="CT427" i="6"/>
  <c r="CU427" i="6" s="1"/>
  <c r="CR427" i="6"/>
  <c r="CQ427" i="6"/>
  <c r="CS427" i="6" s="1"/>
  <c r="CP427" i="6"/>
  <c r="CN427" i="6"/>
  <c r="CM427" i="6"/>
  <c r="CL427" i="6"/>
  <c r="CK427" i="6"/>
  <c r="CJ427" i="6"/>
  <c r="CI427" i="6"/>
  <c r="CH427" i="6"/>
  <c r="CG427" i="6"/>
  <c r="CE427" i="6"/>
  <c r="CD427" i="6"/>
  <c r="CF427" i="6" s="1"/>
  <c r="CB427" i="6"/>
  <c r="CC427" i="6" s="1"/>
  <c r="BZ427" i="6"/>
  <c r="BY427" i="6"/>
  <c r="BX427" i="6"/>
  <c r="BW427" i="6"/>
  <c r="CA427" i="6" s="1"/>
  <c r="BU427" i="6"/>
  <c r="BV427" i="6" s="1"/>
  <c r="BR427" i="6"/>
  <c r="BQ427" i="6"/>
  <c r="BS427" i="6" s="1"/>
  <c r="BO427" i="6"/>
  <c r="BP427" i="6" s="1"/>
  <c r="BN427" i="6"/>
  <c r="BM427" i="6"/>
  <c r="BL427" i="6"/>
  <c r="BK427" i="6"/>
  <c r="BJ427" i="6"/>
  <c r="BI427" i="6"/>
  <c r="BH427" i="6"/>
  <c r="BF427" i="6"/>
  <c r="BG427" i="6" s="1"/>
  <c r="BD427" i="6"/>
  <c r="BC427" i="6"/>
  <c r="BB427" i="6"/>
  <c r="BE427" i="6" s="1"/>
  <c r="AZ427" i="6"/>
  <c r="BA427" i="6" s="1"/>
  <c r="AY427" i="6"/>
  <c r="AX427" i="6"/>
  <c r="AW427" i="6"/>
  <c r="AV427" i="6"/>
  <c r="AT427" i="6"/>
  <c r="AS427" i="6"/>
  <c r="AU427" i="6" s="1"/>
  <c r="AR427" i="6"/>
  <c r="AQ427" i="6"/>
  <c r="AP427" i="6"/>
  <c r="AN427" i="6"/>
  <c r="AM427" i="6"/>
  <c r="AO427" i="6" s="1"/>
  <c r="AL427" i="6"/>
  <c r="AK427" i="6"/>
  <c r="AI427" i="6"/>
  <c r="AJ427" i="6" s="1"/>
  <c r="AG427" i="6"/>
  <c r="AE427" i="6"/>
  <c r="AD427" i="6"/>
  <c r="AC427" i="6"/>
  <c r="AA427" i="6"/>
  <c r="Z427" i="6"/>
  <c r="AB427" i="6" s="1"/>
  <c r="Y427" i="6"/>
  <c r="W427" i="6"/>
  <c r="X427" i="6" s="1"/>
  <c r="V427" i="6"/>
  <c r="T427" i="6"/>
  <c r="S427" i="6"/>
  <c r="R427" i="6"/>
  <c r="Q427" i="6"/>
  <c r="P427" i="6"/>
  <c r="O427" i="6"/>
  <c r="N427" i="6"/>
  <c r="M427" i="6"/>
  <c r="J427" i="6"/>
  <c r="H427" i="6"/>
  <c r="G427" i="6"/>
  <c r="F427" i="6"/>
  <c r="E427" i="6"/>
  <c r="D427" i="6"/>
  <c r="C427" i="6"/>
  <c r="B427" i="6"/>
  <c r="DW426" i="6"/>
  <c r="DT426" i="6"/>
  <c r="DS426" i="6"/>
  <c r="DM426" i="6"/>
  <c r="DL426" i="6"/>
  <c r="DN426" i="6" s="1"/>
  <c r="DK426" i="6"/>
  <c r="DJ426" i="6"/>
  <c r="DH426" i="6"/>
  <c r="DI426" i="6" s="1"/>
  <c r="DF426" i="6"/>
  <c r="DG426" i="6" s="1"/>
  <c r="DD426" i="6"/>
  <c r="DE426" i="6" s="1"/>
  <c r="DC426" i="6"/>
  <c r="DB426" i="6"/>
  <c r="DA426" i="6"/>
  <c r="CZ426" i="6"/>
  <c r="CY426" i="6"/>
  <c r="CX426" i="6"/>
  <c r="CW426" i="6"/>
  <c r="CV426" i="6"/>
  <c r="CT426" i="6"/>
  <c r="CU426" i="6" s="1"/>
  <c r="CS426" i="6"/>
  <c r="CR426" i="6"/>
  <c r="CQ426" i="6"/>
  <c r="CP426" i="6"/>
  <c r="CN426" i="6"/>
  <c r="CM426" i="6"/>
  <c r="CL426" i="6"/>
  <c r="CO426" i="6" s="1"/>
  <c r="CK426" i="6"/>
  <c r="CJ426" i="6"/>
  <c r="CI426" i="6"/>
  <c r="CG426" i="6"/>
  <c r="CH426" i="6" s="1"/>
  <c r="CE426" i="6"/>
  <c r="CD426" i="6"/>
  <c r="CF426" i="6" s="1"/>
  <c r="CC426" i="6"/>
  <c r="CB426" i="6"/>
  <c r="CA426" i="6"/>
  <c r="BZ426" i="6"/>
  <c r="BY426" i="6"/>
  <c r="BX426" i="6"/>
  <c r="BW426" i="6"/>
  <c r="BV426" i="6"/>
  <c r="BU426" i="6"/>
  <c r="BS426" i="6"/>
  <c r="BR426" i="6"/>
  <c r="BQ426" i="6"/>
  <c r="BO426" i="6"/>
  <c r="BP426" i="6" s="1"/>
  <c r="BN426" i="6"/>
  <c r="BM426" i="6"/>
  <c r="BL426" i="6"/>
  <c r="BK426" i="6"/>
  <c r="BJ426" i="6"/>
  <c r="BI426" i="6"/>
  <c r="BH426" i="6"/>
  <c r="BF426" i="6"/>
  <c r="BG426" i="6" s="1"/>
  <c r="BE426" i="6"/>
  <c r="BD426" i="6"/>
  <c r="BC426" i="6"/>
  <c r="BB426" i="6"/>
  <c r="AZ426" i="6"/>
  <c r="AY426" i="6"/>
  <c r="BA426" i="6" s="1"/>
  <c r="AW426" i="6"/>
  <c r="AV426" i="6"/>
  <c r="AT426" i="6"/>
  <c r="AS426" i="6"/>
  <c r="AU426" i="6" s="1"/>
  <c r="AQ426" i="6"/>
  <c r="AP426" i="6"/>
  <c r="AR426" i="6" s="1"/>
  <c r="AN426" i="6"/>
  <c r="AO426" i="6" s="1"/>
  <c r="AM426" i="6"/>
  <c r="AL426" i="6"/>
  <c r="AK426" i="6"/>
  <c r="AJ426" i="6"/>
  <c r="AI426" i="6"/>
  <c r="AG426" i="6"/>
  <c r="AE426" i="6"/>
  <c r="AD426" i="6"/>
  <c r="AC426" i="6"/>
  <c r="AF426" i="6" s="1"/>
  <c r="AA426" i="6"/>
  <c r="Z426" i="6"/>
  <c r="AB426" i="6" s="1"/>
  <c r="Y426" i="6"/>
  <c r="W426" i="6"/>
  <c r="V426" i="6"/>
  <c r="X426" i="6" s="1"/>
  <c r="T426" i="6"/>
  <c r="R426" i="6"/>
  <c r="S426" i="6" s="1"/>
  <c r="P426" i="6"/>
  <c r="O426" i="6"/>
  <c r="N426" i="6"/>
  <c r="M426" i="6"/>
  <c r="J426" i="6"/>
  <c r="H426" i="6"/>
  <c r="DQ426" i="6" s="1"/>
  <c r="G426" i="6"/>
  <c r="F426" i="6"/>
  <c r="I426" i="6" s="1"/>
  <c r="E426" i="6"/>
  <c r="D426" i="6"/>
  <c r="C426" i="6"/>
  <c r="B426" i="6"/>
  <c r="DW425" i="6"/>
  <c r="DP425" i="6"/>
  <c r="DM425" i="6"/>
  <c r="DL425" i="6"/>
  <c r="DN425" i="6" s="1"/>
  <c r="DK425" i="6"/>
  <c r="DJ425" i="6"/>
  <c r="DI425" i="6"/>
  <c r="DH425" i="6"/>
  <c r="DF425" i="6"/>
  <c r="DG425" i="6" s="1"/>
  <c r="DD425" i="6"/>
  <c r="DE425" i="6" s="1"/>
  <c r="DB425" i="6"/>
  <c r="DC425" i="6" s="1"/>
  <c r="DA425" i="6"/>
  <c r="CY425" i="6"/>
  <c r="CX425" i="6"/>
  <c r="CZ425" i="6" s="1"/>
  <c r="CW425" i="6"/>
  <c r="CV425" i="6"/>
  <c r="CU425" i="6"/>
  <c r="CT425" i="6"/>
  <c r="CR425" i="6"/>
  <c r="CQ425" i="6"/>
  <c r="CP425" i="6"/>
  <c r="CS425" i="6" s="1"/>
  <c r="CN425" i="6"/>
  <c r="CM425" i="6"/>
  <c r="CL425" i="6"/>
  <c r="CO425" i="6" s="1"/>
  <c r="CJ425" i="6"/>
  <c r="CI425" i="6"/>
  <c r="CK425" i="6" s="1"/>
  <c r="CG425" i="6"/>
  <c r="CH425" i="6" s="1"/>
  <c r="CF425" i="6"/>
  <c r="CE425" i="6"/>
  <c r="CD425" i="6"/>
  <c r="CB425" i="6"/>
  <c r="CC425" i="6" s="1"/>
  <c r="BZ425" i="6"/>
  <c r="BY425" i="6"/>
  <c r="BX425" i="6"/>
  <c r="BW425" i="6"/>
  <c r="CA425" i="6" s="1"/>
  <c r="BU425" i="6"/>
  <c r="BV425" i="6" s="1"/>
  <c r="BS425" i="6"/>
  <c r="BR425" i="6"/>
  <c r="BQ425" i="6"/>
  <c r="BP425" i="6"/>
  <c r="BO425" i="6"/>
  <c r="BM425" i="6"/>
  <c r="BL425" i="6"/>
  <c r="BK425" i="6"/>
  <c r="BJ425" i="6"/>
  <c r="BN425" i="6" s="1"/>
  <c r="BI425" i="6"/>
  <c r="BH425" i="6"/>
  <c r="BG425" i="6"/>
  <c r="BF425" i="6"/>
  <c r="BD425" i="6"/>
  <c r="BE425" i="6" s="1"/>
  <c r="BC425" i="6"/>
  <c r="BB425" i="6"/>
  <c r="AZ425" i="6"/>
  <c r="AY425" i="6"/>
  <c r="BA425" i="6" s="1"/>
  <c r="AW425" i="6"/>
  <c r="AX425" i="6" s="1"/>
  <c r="AV425" i="6"/>
  <c r="AT425" i="6"/>
  <c r="AU425" i="6" s="1"/>
  <c r="AS425" i="6"/>
  <c r="AQ425" i="6"/>
  <c r="AP425" i="6"/>
  <c r="AR425" i="6" s="1"/>
  <c r="AN425" i="6"/>
  <c r="AM425" i="6"/>
  <c r="AO425" i="6" s="1"/>
  <c r="AK425" i="6"/>
  <c r="AL425" i="6" s="1"/>
  <c r="AI425" i="6"/>
  <c r="AJ425" i="6" s="1"/>
  <c r="AG425" i="6"/>
  <c r="AE425" i="6"/>
  <c r="AD425" i="6"/>
  <c r="DR425" i="6" s="1"/>
  <c r="AC425" i="6"/>
  <c r="AB425" i="6"/>
  <c r="AA425" i="6"/>
  <c r="Z425" i="6"/>
  <c r="Y425" i="6"/>
  <c r="W425" i="6"/>
  <c r="X425" i="6" s="1"/>
  <c r="V425" i="6"/>
  <c r="T425" i="6"/>
  <c r="R425" i="6"/>
  <c r="S425" i="6" s="1"/>
  <c r="P425" i="6"/>
  <c r="O425" i="6"/>
  <c r="N425" i="6"/>
  <c r="M425" i="6"/>
  <c r="Q425" i="6" s="1"/>
  <c r="J425" i="6"/>
  <c r="H425" i="6"/>
  <c r="G425" i="6"/>
  <c r="DU425" i="6" s="1"/>
  <c r="F425" i="6"/>
  <c r="E425" i="6"/>
  <c r="D425" i="6"/>
  <c r="C425" i="6"/>
  <c r="B425" i="6"/>
  <c r="DW424" i="6"/>
  <c r="DP424" i="6"/>
  <c r="DM424" i="6"/>
  <c r="DL424" i="6"/>
  <c r="DK424" i="6"/>
  <c r="DN424" i="6" s="1"/>
  <c r="DJ424" i="6"/>
  <c r="DH424" i="6"/>
  <c r="DI424" i="6" s="1"/>
  <c r="DG424" i="6"/>
  <c r="DF424" i="6"/>
  <c r="DD424" i="6"/>
  <c r="DE424" i="6" s="1"/>
  <c r="DB424" i="6"/>
  <c r="DA424" i="6"/>
  <c r="DC424" i="6" s="1"/>
  <c r="CY424" i="6"/>
  <c r="CZ424" i="6" s="1"/>
  <c r="CX424" i="6"/>
  <c r="CW424" i="6"/>
  <c r="CV424" i="6"/>
  <c r="CU424" i="6"/>
  <c r="CT424" i="6"/>
  <c r="CR424" i="6"/>
  <c r="CQ424" i="6"/>
  <c r="CP424" i="6"/>
  <c r="CS424" i="6" s="1"/>
  <c r="CO424" i="6"/>
  <c r="CN424" i="6"/>
  <c r="CM424" i="6"/>
  <c r="CL424" i="6"/>
  <c r="CJ424" i="6"/>
  <c r="CI424" i="6"/>
  <c r="CK424" i="6" s="1"/>
  <c r="CG424" i="6"/>
  <c r="CH424" i="6" s="1"/>
  <c r="CE424" i="6"/>
  <c r="CF424" i="6" s="1"/>
  <c r="CD424" i="6"/>
  <c r="CC424" i="6"/>
  <c r="CB424" i="6"/>
  <c r="BZ424" i="6"/>
  <c r="BY424" i="6"/>
  <c r="BX424" i="6"/>
  <c r="BW424" i="6"/>
  <c r="CA424" i="6" s="1"/>
  <c r="BV424" i="6"/>
  <c r="BU424" i="6"/>
  <c r="BR424" i="6"/>
  <c r="BS424" i="6" s="1"/>
  <c r="BQ424" i="6"/>
  <c r="BO424" i="6"/>
  <c r="BP424" i="6" s="1"/>
  <c r="BM424" i="6"/>
  <c r="BL424" i="6"/>
  <c r="BK424" i="6"/>
  <c r="BJ424" i="6"/>
  <c r="BN424" i="6" s="1"/>
  <c r="BH424" i="6"/>
  <c r="BI424" i="6" s="1"/>
  <c r="BF424" i="6"/>
  <c r="BD424" i="6"/>
  <c r="BC424" i="6"/>
  <c r="BB424" i="6"/>
  <c r="BE424" i="6" s="1"/>
  <c r="AZ424" i="6"/>
  <c r="AY424" i="6"/>
  <c r="AW424" i="6"/>
  <c r="AV424" i="6"/>
  <c r="AX424" i="6" s="1"/>
  <c r="AT424" i="6"/>
  <c r="AS424" i="6"/>
  <c r="AU424" i="6" s="1"/>
  <c r="AQ424" i="6"/>
  <c r="AP424" i="6"/>
  <c r="AR424" i="6" s="1"/>
  <c r="AN424" i="6"/>
  <c r="AM424" i="6"/>
  <c r="AO424" i="6" s="1"/>
  <c r="AL424" i="6"/>
  <c r="AK424" i="6"/>
  <c r="AJ424" i="6"/>
  <c r="AI424" i="6"/>
  <c r="AG424" i="6"/>
  <c r="AE424" i="6"/>
  <c r="AD424" i="6"/>
  <c r="AC424" i="6"/>
  <c r="AF424" i="6" s="1"/>
  <c r="AB424" i="6"/>
  <c r="AA424" i="6"/>
  <c r="Z424" i="6"/>
  <c r="Y424" i="6"/>
  <c r="W424" i="6"/>
  <c r="V424" i="6"/>
  <c r="X424" i="6" s="1"/>
  <c r="T424" i="6"/>
  <c r="R424" i="6"/>
  <c r="S424" i="6" s="1"/>
  <c r="P424" i="6"/>
  <c r="O424" i="6"/>
  <c r="N424" i="6"/>
  <c r="Q424" i="6" s="1"/>
  <c r="M424" i="6"/>
  <c r="J424" i="6"/>
  <c r="H424" i="6"/>
  <c r="G424" i="6"/>
  <c r="F424" i="6"/>
  <c r="DV424" i="6" s="1"/>
  <c r="E424" i="6"/>
  <c r="D424" i="6"/>
  <c r="C424" i="6"/>
  <c r="B424" i="6"/>
  <c r="DW423" i="6"/>
  <c r="DS423" i="6"/>
  <c r="DQ423" i="6"/>
  <c r="DP423" i="6"/>
  <c r="DM423" i="6"/>
  <c r="DN423" i="6" s="1"/>
  <c r="DL423" i="6"/>
  <c r="DK423" i="6"/>
  <c r="DJ423" i="6"/>
  <c r="DH423" i="6"/>
  <c r="DI423" i="6" s="1"/>
  <c r="DG423" i="6"/>
  <c r="DF423" i="6"/>
  <c r="DD423" i="6"/>
  <c r="DE423" i="6" s="1"/>
  <c r="DB423" i="6"/>
  <c r="DA423" i="6"/>
  <c r="DC423" i="6" s="1"/>
  <c r="CY423" i="6"/>
  <c r="CX423" i="6"/>
  <c r="CZ423" i="6" s="1"/>
  <c r="CV423" i="6"/>
  <c r="CW423" i="6" s="1"/>
  <c r="CT423" i="6"/>
  <c r="CU423" i="6" s="1"/>
  <c r="CR423" i="6"/>
  <c r="CQ423" i="6"/>
  <c r="CP423" i="6"/>
  <c r="CN423" i="6"/>
  <c r="CO423" i="6" s="1"/>
  <c r="CM423" i="6"/>
  <c r="CL423" i="6"/>
  <c r="CK423" i="6"/>
  <c r="CJ423" i="6"/>
  <c r="CI423" i="6"/>
  <c r="CG423" i="6"/>
  <c r="CH423" i="6" s="1"/>
  <c r="CE423" i="6"/>
  <c r="CD423" i="6"/>
  <c r="CF423" i="6" s="1"/>
  <c r="CB423" i="6"/>
  <c r="CC423" i="6" s="1"/>
  <c r="BZ423" i="6"/>
  <c r="BY423" i="6"/>
  <c r="BX423" i="6"/>
  <c r="BW423" i="6"/>
  <c r="CA423" i="6" s="1"/>
  <c r="BU423" i="6"/>
  <c r="BV423" i="6" s="1"/>
  <c r="BR423" i="6"/>
  <c r="DU423" i="6" s="1"/>
  <c r="BQ423" i="6"/>
  <c r="BS423" i="6" s="1"/>
  <c r="BO423" i="6"/>
  <c r="BP423" i="6" s="1"/>
  <c r="BN423" i="6"/>
  <c r="BM423" i="6"/>
  <c r="BL423" i="6"/>
  <c r="BK423" i="6"/>
  <c r="BJ423" i="6"/>
  <c r="BH423" i="6"/>
  <c r="BI423" i="6" s="1"/>
  <c r="BG423" i="6"/>
  <c r="BF423" i="6"/>
  <c r="BE423" i="6"/>
  <c r="BD423" i="6"/>
  <c r="BC423" i="6"/>
  <c r="BB423" i="6"/>
  <c r="AZ423" i="6"/>
  <c r="AY423" i="6"/>
  <c r="BA423" i="6" s="1"/>
  <c r="AW423" i="6"/>
  <c r="AV423" i="6"/>
  <c r="AU423" i="6"/>
  <c r="AT423" i="6"/>
  <c r="AS423" i="6"/>
  <c r="AR423" i="6"/>
  <c r="AQ423" i="6"/>
  <c r="AP423" i="6"/>
  <c r="AN423" i="6"/>
  <c r="AM423" i="6"/>
  <c r="AO423" i="6" s="1"/>
  <c r="AK423" i="6"/>
  <c r="AL423" i="6" s="1"/>
  <c r="AI423" i="6"/>
  <c r="AJ423" i="6" s="1"/>
  <c r="AG423" i="6"/>
  <c r="AE423" i="6"/>
  <c r="AF423" i="6" s="1"/>
  <c r="AD423" i="6"/>
  <c r="AC423" i="6"/>
  <c r="AA423" i="6"/>
  <c r="Z423" i="6"/>
  <c r="AB423" i="6" s="1"/>
  <c r="Y423" i="6"/>
  <c r="X423" i="6"/>
  <c r="W423" i="6"/>
  <c r="V423" i="6"/>
  <c r="DT423" i="6" s="1"/>
  <c r="T423" i="6"/>
  <c r="S423" i="6"/>
  <c r="R423" i="6"/>
  <c r="P423" i="6"/>
  <c r="O423" i="6"/>
  <c r="N423" i="6"/>
  <c r="M423" i="6"/>
  <c r="Q423" i="6" s="1"/>
  <c r="J423" i="6"/>
  <c r="H423" i="6"/>
  <c r="G423" i="6"/>
  <c r="F423" i="6"/>
  <c r="E423" i="6"/>
  <c r="D423" i="6"/>
  <c r="C423" i="6"/>
  <c r="B423" i="6"/>
  <c r="DW422" i="6"/>
  <c r="DT422" i="6"/>
  <c r="DM422" i="6"/>
  <c r="DL422" i="6"/>
  <c r="DK422" i="6"/>
  <c r="DJ422" i="6"/>
  <c r="DI422" i="6"/>
  <c r="DH422" i="6"/>
  <c r="DF422" i="6"/>
  <c r="DG422" i="6" s="1"/>
  <c r="DE422" i="6"/>
  <c r="DD422" i="6"/>
  <c r="DB422" i="6"/>
  <c r="DA422" i="6"/>
  <c r="DC422" i="6" s="1"/>
  <c r="CY422" i="6"/>
  <c r="CZ422" i="6" s="1"/>
  <c r="CX422" i="6"/>
  <c r="CW422" i="6"/>
  <c r="CV422" i="6"/>
  <c r="CU422" i="6"/>
  <c r="CT422" i="6"/>
  <c r="CR422" i="6"/>
  <c r="CQ422" i="6"/>
  <c r="CP422" i="6"/>
  <c r="CS422" i="6" s="1"/>
  <c r="CN422" i="6"/>
  <c r="CO422" i="6" s="1"/>
  <c r="CM422" i="6"/>
  <c r="CL422" i="6"/>
  <c r="CJ422" i="6"/>
  <c r="CK422" i="6" s="1"/>
  <c r="CI422" i="6"/>
  <c r="CG422" i="6"/>
  <c r="CH422" i="6" s="1"/>
  <c r="CE422" i="6"/>
  <c r="CD422" i="6"/>
  <c r="CF422" i="6" s="1"/>
  <c r="CC422" i="6"/>
  <c r="CB422" i="6"/>
  <c r="BZ422" i="6"/>
  <c r="BY422" i="6"/>
  <c r="BX422" i="6"/>
  <c r="CA422" i="6" s="1"/>
  <c r="BW422" i="6"/>
  <c r="BV422" i="6"/>
  <c r="BU422" i="6"/>
  <c r="BS422" i="6"/>
  <c r="BR422" i="6"/>
  <c r="BQ422" i="6"/>
  <c r="BP422" i="6"/>
  <c r="BO422" i="6"/>
  <c r="BM422" i="6"/>
  <c r="BN422" i="6" s="1"/>
  <c r="BL422" i="6"/>
  <c r="BK422" i="6"/>
  <c r="BJ422" i="6"/>
  <c r="BH422" i="6"/>
  <c r="BI422" i="6" s="1"/>
  <c r="BF422" i="6"/>
  <c r="BG422" i="6" s="1"/>
  <c r="BD422" i="6"/>
  <c r="BC422" i="6"/>
  <c r="BB422" i="6"/>
  <c r="AZ422" i="6"/>
  <c r="BA422" i="6" s="1"/>
  <c r="AY422" i="6"/>
  <c r="AW422" i="6"/>
  <c r="AV422" i="6"/>
  <c r="AX422" i="6" s="1"/>
  <c r="AU422" i="6"/>
  <c r="AT422" i="6"/>
  <c r="AS422" i="6"/>
  <c r="AQ422" i="6"/>
  <c r="AR422" i="6" s="1"/>
  <c r="AP422" i="6"/>
  <c r="AN422" i="6"/>
  <c r="AM422" i="6"/>
  <c r="AO422" i="6" s="1"/>
  <c r="AK422" i="6"/>
  <c r="AL422" i="6" s="1"/>
  <c r="AJ422" i="6"/>
  <c r="AI422" i="6"/>
  <c r="AG422" i="6"/>
  <c r="AE422" i="6"/>
  <c r="AD422" i="6"/>
  <c r="AC422" i="6"/>
  <c r="AB422" i="6"/>
  <c r="AA422" i="6"/>
  <c r="Z422" i="6"/>
  <c r="Y422" i="6"/>
  <c r="W422" i="6"/>
  <c r="X422" i="6" s="1"/>
  <c r="V422" i="6"/>
  <c r="T422" i="6"/>
  <c r="S422" i="6"/>
  <c r="R422" i="6"/>
  <c r="P422" i="6"/>
  <c r="O422" i="6"/>
  <c r="N422" i="6"/>
  <c r="M422" i="6"/>
  <c r="Q422" i="6" s="1"/>
  <c r="J422" i="6"/>
  <c r="H422" i="6"/>
  <c r="G422" i="6"/>
  <c r="F422" i="6"/>
  <c r="E422" i="6"/>
  <c r="I422" i="6" s="1"/>
  <c r="D422" i="6"/>
  <c r="C422" i="6"/>
  <c r="B422" i="6"/>
  <c r="DW421" i="6"/>
  <c r="DM421" i="6"/>
  <c r="DL421" i="6"/>
  <c r="DK421" i="6"/>
  <c r="DJ421" i="6"/>
  <c r="DI421" i="6"/>
  <c r="DH421" i="6"/>
  <c r="DF421" i="6"/>
  <c r="DG421" i="6" s="1"/>
  <c r="DE421" i="6"/>
  <c r="DD421" i="6"/>
  <c r="DB421" i="6"/>
  <c r="DA421" i="6"/>
  <c r="DC421" i="6" s="1"/>
  <c r="CY421" i="6"/>
  <c r="CX421" i="6"/>
  <c r="CV421" i="6"/>
  <c r="CW421" i="6" s="1"/>
  <c r="CT421" i="6"/>
  <c r="CU421" i="6" s="1"/>
  <c r="CR421" i="6"/>
  <c r="CQ421" i="6"/>
  <c r="CP421" i="6"/>
  <c r="CS421" i="6" s="1"/>
  <c r="CN421" i="6"/>
  <c r="CM421" i="6"/>
  <c r="CL421" i="6"/>
  <c r="CJ421" i="6"/>
  <c r="CI421" i="6"/>
  <c r="CK421" i="6" s="1"/>
  <c r="CH421" i="6"/>
  <c r="CG421" i="6"/>
  <c r="CE421" i="6"/>
  <c r="CD421" i="6"/>
  <c r="CF421" i="6" s="1"/>
  <c r="CB421" i="6"/>
  <c r="CC421" i="6" s="1"/>
  <c r="BZ421" i="6"/>
  <c r="BY421" i="6"/>
  <c r="BX421" i="6"/>
  <c r="BW421" i="6"/>
  <c r="BU421" i="6"/>
  <c r="BV421" i="6" s="1"/>
  <c r="BR421" i="6"/>
  <c r="BS421" i="6" s="1"/>
  <c r="BQ421" i="6"/>
  <c r="BO421" i="6"/>
  <c r="BP421" i="6" s="1"/>
  <c r="BM421" i="6"/>
  <c r="BL421" i="6"/>
  <c r="BK421" i="6"/>
  <c r="BN421" i="6" s="1"/>
  <c r="BJ421" i="6"/>
  <c r="BH421" i="6"/>
  <c r="BI421" i="6" s="1"/>
  <c r="BF421" i="6"/>
  <c r="BG421" i="6" s="1"/>
  <c r="BD421" i="6"/>
  <c r="BC421" i="6"/>
  <c r="BE421" i="6" s="1"/>
  <c r="BB421" i="6"/>
  <c r="AZ421" i="6"/>
  <c r="AY421" i="6"/>
  <c r="AW421" i="6"/>
  <c r="AV421" i="6"/>
  <c r="AX421" i="6" s="1"/>
  <c r="AU421" i="6"/>
  <c r="AT421" i="6"/>
  <c r="AS421" i="6"/>
  <c r="AQ421" i="6"/>
  <c r="AP421" i="6"/>
  <c r="AR421" i="6" s="1"/>
  <c r="AN421" i="6"/>
  <c r="AM421" i="6"/>
  <c r="AO421" i="6" s="1"/>
  <c r="AK421" i="6"/>
  <c r="AL421" i="6" s="1"/>
  <c r="AI421" i="6"/>
  <c r="AJ421" i="6" s="1"/>
  <c r="AG421" i="6"/>
  <c r="AF421" i="6"/>
  <c r="AE421" i="6"/>
  <c r="AD421" i="6"/>
  <c r="AC421" i="6"/>
  <c r="DS421" i="6" s="1"/>
  <c r="AA421" i="6"/>
  <c r="Z421" i="6"/>
  <c r="AB421" i="6" s="1"/>
  <c r="Y421" i="6"/>
  <c r="X421" i="6"/>
  <c r="W421" i="6"/>
  <c r="V421" i="6"/>
  <c r="T421" i="6"/>
  <c r="R421" i="6"/>
  <c r="S421" i="6" s="1"/>
  <c r="P421" i="6"/>
  <c r="O421" i="6"/>
  <c r="N421" i="6"/>
  <c r="M421" i="6"/>
  <c r="Q421" i="6" s="1"/>
  <c r="J421" i="6"/>
  <c r="H421" i="6"/>
  <c r="G421" i="6"/>
  <c r="F421" i="6"/>
  <c r="E421" i="6"/>
  <c r="I421" i="6" s="1"/>
  <c r="D421" i="6"/>
  <c r="C421" i="6"/>
  <c r="B421" i="6"/>
  <c r="DW420" i="6"/>
  <c r="DP420" i="6"/>
  <c r="DM420" i="6"/>
  <c r="DL420" i="6"/>
  <c r="DK420" i="6"/>
  <c r="DJ420" i="6"/>
  <c r="DN420" i="6" s="1"/>
  <c r="DH420" i="6"/>
  <c r="DI420" i="6" s="1"/>
  <c r="DG420" i="6"/>
  <c r="DF420" i="6"/>
  <c r="DD420" i="6"/>
  <c r="DE420" i="6" s="1"/>
  <c r="DB420" i="6"/>
  <c r="DA420" i="6"/>
  <c r="DC420" i="6" s="1"/>
  <c r="CY420" i="6"/>
  <c r="CZ420" i="6" s="1"/>
  <c r="CX420" i="6"/>
  <c r="CW420" i="6"/>
  <c r="CV420" i="6"/>
  <c r="CU420" i="6"/>
  <c r="CT420" i="6"/>
  <c r="CR420" i="6"/>
  <c r="CQ420" i="6"/>
  <c r="CP420" i="6"/>
  <c r="CN420" i="6"/>
  <c r="CO420" i="6" s="1"/>
  <c r="CM420" i="6"/>
  <c r="CL420" i="6"/>
  <c r="CK420" i="6"/>
  <c r="CJ420" i="6"/>
  <c r="CI420" i="6"/>
  <c r="CH420" i="6"/>
  <c r="CG420" i="6"/>
  <c r="CE420" i="6"/>
  <c r="CD420" i="6"/>
  <c r="CF420" i="6" s="1"/>
  <c r="CB420" i="6"/>
  <c r="CC420" i="6" s="1"/>
  <c r="BZ420" i="6"/>
  <c r="BY420" i="6"/>
  <c r="BX420" i="6"/>
  <c r="BW420" i="6"/>
  <c r="CA420" i="6" s="1"/>
  <c r="BV420" i="6"/>
  <c r="BU420" i="6"/>
  <c r="BR420" i="6"/>
  <c r="BQ420" i="6"/>
  <c r="BS420" i="6" s="1"/>
  <c r="BO420" i="6"/>
  <c r="BP420" i="6" s="1"/>
  <c r="BN420" i="6"/>
  <c r="BM420" i="6"/>
  <c r="BL420" i="6"/>
  <c r="BK420" i="6"/>
  <c r="BJ420" i="6"/>
  <c r="BH420" i="6"/>
  <c r="BI420" i="6" s="1"/>
  <c r="BF420" i="6"/>
  <c r="BG420" i="6" s="1"/>
  <c r="BD420" i="6"/>
  <c r="BC420" i="6"/>
  <c r="BB420" i="6"/>
  <c r="BE420" i="6" s="1"/>
  <c r="AZ420" i="6"/>
  <c r="AY420" i="6"/>
  <c r="AW420" i="6"/>
  <c r="AV420" i="6"/>
  <c r="AU420" i="6"/>
  <c r="AT420" i="6"/>
  <c r="AS420" i="6"/>
  <c r="AR420" i="6"/>
  <c r="AQ420" i="6"/>
  <c r="AP420" i="6"/>
  <c r="AO420" i="6"/>
  <c r="AN420" i="6"/>
  <c r="AM420" i="6"/>
  <c r="AK420" i="6"/>
  <c r="AL420" i="6" s="1"/>
  <c r="AI420" i="6"/>
  <c r="AJ420" i="6" s="1"/>
  <c r="AG420" i="6"/>
  <c r="AE420" i="6"/>
  <c r="AD420" i="6"/>
  <c r="AC420" i="6"/>
  <c r="AA420" i="6"/>
  <c r="Z420" i="6"/>
  <c r="AB420" i="6" s="1"/>
  <c r="Y420" i="6"/>
  <c r="W420" i="6"/>
  <c r="V420" i="6"/>
  <c r="T420" i="6"/>
  <c r="R420" i="6"/>
  <c r="S420" i="6" s="1"/>
  <c r="Q420" i="6"/>
  <c r="P420" i="6"/>
  <c r="O420" i="6"/>
  <c r="N420" i="6"/>
  <c r="M420" i="6"/>
  <c r="J420" i="6"/>
  <c r="H420" i="6"/>
  <c r="G420" i="6"/>
  <c r="F420" i="6"/>
  <c r="E420" i="6"/>
  <c r="D420" i="6"/>
  <c r="C420" i="6"/>
  <c r="B420" i="6"/>
  <c r="DW419" i="6"/>
  <c r="DN419" i="6"/>
  <c r="DM419" i="6"/>
  <c r="DL419" i="6"/>
  <c r="DK419" i="6"/>
  <c r="DJ419" i="6"/>
  <c r="DH419" i="6"/>
  <c r="DI419" i="6" s="1"/>
  <c r="DF419" i="6"/>
  <c r="DG419" i="6" s="1"/>
  <c r="DD419" i="6"/>
  <c r="DE419" i="6" s="1"/>
  <c r="DC419" i="6"/>
  <c r="DB419" i="6"/>
  <c r="DA419" i="6"/>
  <c r="CY419" i="6"/>
  <c r="CZ419" i="6" s="1"/>
  <c r="CX419" i="6"/>
  <c r="CV419" i="6"/>
  <c r="CW419" i="6" s="1"/>
  <c r="CT419" i="6"/>
  <c r="CU419" i="6" s="1"/>
  <c r="CR419" i="6"/>
  <c r="CQ419" i="6"/>
  <c r="CP419" i="6"/>
  <c r="CN419" i="6"/>
  <c r="CM419" i="6"/>
  <c r="CL419" i="6"/>
  <c r="CO419" i="6" s="1"/>
  <c r="CJ419" i="6"/>
  <c r="CK419" i="6" s="1"/>
  <c r="CI419" i="6"/>
  <c r="CG419" i="6"/>
  <c r="CH419" i="6" s="1"/>
  <c r="CF419" i="6"/>
  <c r="CE419" i="6"/>
  <c r="CD419" i="6"/>
  <c r="CB419" i="6"/>
  <c r="CC419" i="6" s="1"/>
  <c r="BZ419" i="6"/>
  <c r="BY419" i="6"/>
  <c r="BX419" i="6"/>
  <c r="BW419" i="6"/>
  <c r="BV419" i="6"/>
  <c r="BU419" i="6"/>
  <c r="BR419" i="6"/>
  <c r="BQ419" i="6"/>
  <c r="BS419" i="6" s="1"/>
  <c r="BP419" i="6"/>
  <c r="BO419" i="6"/>
  <c r="BM419" i="6"/>
  <c r="BN419" i="6" s="1"/>
  <c r="BL419" i="6"/>
  <c r="BK419" i="6"/>
  <c r="BJ419" i="6"/>
  <c r="BI419" i="6"/>
  <c r="BH419" i="6"/>
  <c r="BF419" i="6"/>
  <c r="BG419" i="6" s="1"/>
  <c r="BD419" i="6"/>
  <c r="BC419" i="6"/>
  <c r="BB419" i="6"/>
  <c r="BA419" i="6"/>
  <c r="AZ419" i="6"/>
  <c r="AY419" i="6"/>
  <c r="AW419" i="6"/>
  <c r="AV419" i="6"/>
  <c r="AX419" i="6" s="1"/>
  <c r="AT419" i="6"/>
  <c r="AS419" i="6"/>
  <c r="AU419" i="6" s="1"/>
  <c r="AR419" i="6"/>
  <c r="AQ419" i="6"/>
  <c r="AP419" i="6"/>
  <c r="AN419" i="6"/>
  <c r="AO419" i="6" s="1"/>
  <c r="AM419" i="6"/>
  <c r="AK419" i="6"/>
  <c r="AL419" i="6" s="1"/>
  <c r="AI419" i="6"/>
  <c r="AJ419" i="6" s="1"/>
  <c r="AG419" i="6"/>
  <c r="AE419" i="6"/>
  <c r="AD419" i="6"/>
  <c r="AC419" i="6"/>
  <c r="AA419" i="6"/>
  <c r="Z419" i="6"/>
  <c r="AB419" i="6" s="1"/>
  <c r="Y419" i="6"/>
  <c r="W419" i="6"/>
  <c r="X419" i="6" s="1"/>
  <c r="V419" i="6"/>
  <c r="DT419" i="6" s="1"/>
  <c r="T419" i="6"/>
  <c r="S419" i="6"/>
  <c r="R419" i="6"/>
  <c r="P419" i="6"/>
  <c r="Q419" i="6" s="1"/>
  <c r="O419" i="6"/>
  <c r="N419" i="6"/>
  <c r="M419" i="6"/>
  <c r="J419" i="6"/>
  <c r="H419" i="6"/>
  <c r="G419" i="6"/>
  <c r="F419" i="6"/>
  <c r="E419" i="6"/>
  <c r="D419" i="6"/>
  <c r="C419" i="6"/>
  <c r="B419" i="6"/>
  <c r="DW418" i="6"/>
  <c r="DP418" i="6"/>
  <c r="DM418" i="6"/>
  <c r="DL418" i="6"/>
  <c r="DK418" i="6"/>
  <c r="DJ418" i="6"/>
  <c r="DN418" i="6" s="1"/>
  <c r="DH418" i="6"/>
  <c r="DI418" i="6" s="1"/>
  <c r="DF418" i="6"/>
  <c r="DG418" i="6" s="1"/>
  <c r="DE418" i="6"/>
  <c r="DD418" i="6"/>
  <c r="DB418" i="6"/>
  <c r="DC418" i="6" s="1"/>
  <c r="DA418" i="6"/>
  <c r="CY418" i="6"/>
  <c r="CZ418" i="6" s="1"/>
  <c r="CX418" i="6"/>
  <c r="CV418" i="6"/>
  <c r="CW418" i="6" s="1"/>
  <c r="CU418" i="6"/>
  <c r="CT418" i="6"/>
  <c r="CS418" i="6"/>
  <c r="CR418" i="6"/>
  <c r="CQ418" i="6"/>
  <c r="CP418" i="6"/>
  <c r="CN418" i="6"/>
  <c r="CM418" i="6"/>
  <c r="CL418" i="6"/>
  <c r="CO418" i="6" s="1"/>
  <c r="CK418" i="6"/>
  <c r="CJ418" i="6"/>
  <c r="CI418" i="6"/>
  <c r="CG418" i="6"/>
  <c r="CH418" i="6" s="1"/>
  <c r="CF418" i="6"/>
  <c r="CE418" i="6"/>
  <c r="CD418" i="6"/>
  <c r="CB418" i="6"/>
  <c r="CC418" i="6" s="1"/>
  <c r="BZ418" i="6"/>
  <c r="BY418" i="6"/>
  <c r="BX418" i="6"/>
  <c r="BW418" i="6"/>
  <c r="BU418" i="6"/>
  <c r="BV418" i="6" s="1"/>
  <c r="BR418" i="6"/>
  <c r="BQ418" i="6"/>
  <c r="BS418" i="6" s="1"/>
  <c r="BP418" i="6"/>
  <c r="BO418" i="6"/>
  <c r="BN418" i="6"/>
  <c r="BM418" i="6"/>
  <c r="BL418" i="6"/>
  <c r="BK418" i="6"/>
  <c r="BJ418" i="6"/>
  <c r="BI418" i="6"/>
  <c r="BH418" i="6"/>
  <c r="BF418" i="6"/>
  <c r="BG418" i="6" s="1"/>
  <c r="BD418" i="6"/>
  <c r="BC418" i="6"/>
  <c r="BB418" i="6"/>
  <c r="BE418" i="6" s="1"/>
  <c r="AZ418" i="6"/>
  <c r="AY418" i="6"/>
  <c r="AW418" i="6"/>
  <c r="AX418" i="6" s="1"/>
  <c r="AV418" i="6"/>
  <c r="AT418" i="6"/>
  <c r="AU418" i="6" s="1"/>
  <c r="AS418" i="6"/>
  <c r="AR418" i="6"/>
  <c r="AQ418" i="6"/>
  <c r="AP418" i="6"/>
  <c r="AN418" i="6"/>
  <c r="AM418" i="6"/>
  <c r="AO418" i="6" s="1"/>
  <c r="AL418" i="6"/>
  <c r="AK418" i="6"/>
  <c r="AI418" i="6"/>
  <c r="AJ418" i="6" s="1"/>
  <c r="AG418" i="6"/>
  <c r="AE418" i="6"/>
  <c r="AD418" i="6"/>
  <c r="AC418" i="6"/>
  <c r="AA418" i="6"/>
  <c r="Z418" i="6"/>
  <c r="Y418" i="6"/>
  <c r="W418" i="6"/>
  <c r="V418" i="6"/>
  <c r="T418" i="6"/>
  <c r="R418" i="6"/>
  <c r="S418" i="6" s="1"/>
  <c r="P418" i="6"/>
  <c r="O418" i="6"/>
  <c r="N418" i="6"/>
  <c r="Q418" i="6" s="1"/>
  <c r="M418" i="6"/>
  <c r="J418" i="6"/>
  <c r="H418" i="6"/>
  <c r="G418" i="6"/>
  <c r="F418" i="6"/>
  <c r="E418" i="6"/>
  <c r="I418" i="6" s="1"/>
  <c r="D418" i="6"/>
  <c r="C418" i="6"/>
  <c r="B418" i="6"/>
  <c r="DW417" i="6"/>
  <c r="DN417" i="6"/>
  <c r="DM417" i="6"/>
  <c r="DL417" i="6"/>
  <c r="DK417" i="6"/>
  <c r="DJ417" i="6"/>
  <c r="DH417" i="6"/>
  <c r="DI417" i="6" s="1"/>
  <c r="DF417" i="6"/>
  <c r="DG417" i="6" s="1"/>
  <c r="DD417" i="6"/>
  <c r="DE417" i="6" s="1"/>
  <c r="DB417" i="6"/>
  <c r="DA417" i="6"/>
  <c r="DC417" i="6" s="1"/>
  <c r="CZ417" i="6"/>
  <c r="CY417" i="6"/>
  <c r="CX417" i="6"/>
  <c r="CV417" i="6"/>
  <c r="CW417" i="6" s="1"/>
  <c r="CT417" i="6"/>
  <c r="CU417" i="6" s="1"/>
  <c r="CR417" i="6"/>
  <c r="CQ417" i="6"/>
  <c r="CP417" i="6"/>
  <c r="DQ417" i="6" s="1"/>
  <c r="CN417" i="6"/>
  <c r="CO417" i="6" s="1"/>
  <c r="CM417" i="6"/>
  <c r="CL417" i="6"/>
  <c r="CJ417" i="6"/>
  <c r="CI417" i="6"/>
  <c r="CK417" i="6" s="1"/>
  <c r="CH417" i="6"/>
  <c r="CG417" i="6"/>
  <c r="CE417" i="6"/>
  <c r="CF417" i="6" s="1"/>
  <c r="CD417" i="6"/>
  <c r="CB417" i="6"/>
  <c r="CC417" i="6" s="1"/>
  <c r="BZ417" i="6"/>
  <c r="BY417" i="6"/>
  <c r="BX417" i="6"/>
  <c r="DS417" i="6" s="1"/>
  <c r="BW417" i="6"/>
  <c r="BV417" i="6"/>
  <c r="BU417" i="6"/>
  <c r="BR417" i="6"/>
  <c r="BQ417" i="6"/>
  <c r="BS417" i="6" s="1"/>
  <c r="BP417" i="6"/>
  <c r="BO417" i="6"/>
  <c r="BM417" i="6"/>
  <c r="BN417" i="6" s="1"/>
  <c r="BL417" i="6"/>
  <c r="BK417" i="6"/>
  <c r="BJ417" i="6"/>
  <c r="BH417" i="6"/>
  <c r="BI417" i="6" s="1"/>
  <c r="BG417" i="6"/>
  <c r="BF417" i="6"/>
  <c r="BD417" i="6"/>
  <c r="BC417" i="6"/>
  <c r="BB417" i="6"/>
  <c r="BE417" i="6" s="1"/>
  <c r="AZ417" i="6"/>
  <c r="AY417" i="6"/>
  <c r="BA417" i="6" s="1"/>
  <c r="AW417" i="6"/>
  <c r="AV417" i="6"/>
  <c r="AX417" i="6" s="1"/>
  <c r="AT417" i="6"/>
  <c r="AS417" i="6"/>
  <c r="AU417" i="6" s="1"/>
  <c r="AQ417" i="6"/>
  <c r="AP417" i="6"/>
  <c r="AR417" i="6" s="1"/>
  <c r="AO417" i="6"/>
  <c r="AN417" i="6"/>
  <c r="AM417" i="6"/>
  <c r="AL417" i="6"/>
  <c r="AK417" i="6"/>
  <c r="AI417" i="6"/>
  <c r="AJ417" i="6" s="1"/>
  <c r="AG417" i="6"/>
  <c r="AE417" i="6"/>
  <c r="AD417" i="6"/>
  <c r="AC417" i="6"/>
  <c r="AA417" i="6"/>
  <c r="Z417" i="6"/>
  <c r="AB417" i="6" s="1"/>
  <c r="Y417" i="6"/>
  <c r="W417" i="6"/>
  <c r="V417" i="6"/>
  <c r="T417" i="6"/>
  <c r="S417" i="6"/>
  <c r="R417" i="6"/>
  <c r="Q417" i="6"/>
  <c r="P417" i="6"/>
  <c r="O417" i="6"/>
  <c r="N417" i="6"/>
  <c r="M417" i="6"/>
  <c r="J417" i="6"/>
  <c r="H417" i="6"/>
  <c r="G417" i="6"/>
  <c r="F417" i="6"/>
  <c r="E417" i="6"/>
  <c r="D417" i="6"/>
  <c r="C417" i="6"/>
  <c r="B417" i="6"/>
  <c r="DW416" i="6"/>
  <c r="DP416" i="6"/>
  <c r="DM416" i="6"/>
  <c r="DL416" i="6"/>
  <c r="DK416" i="6"/>
  <c r="DJ416" i="6"/>
  <c r="DH416" i="6"/>
  <c r="DI416" i="6" s="1"/>
  <c r="DF416" i="6"/>
  <c r="DG416" i="6" s="1"/>
  <c r="DD416" i="6"/>
  <c r="DE416" i="6" s="1"/>
  <c r="DC416" i="6"/>
  <c r="DB416" i="6"/>
  <c r="DA416" i="6"/>
  <c r="CZ416" i="6"/>
  <c r="CY416" i="6"/>
  <c r="CX416" i="6"/>
  <c r="CV416" i="6"/>
  <c r="CW416" i="6" s="1"/>
  <c r="CT416" i="6"/>
  <c r="CU416" i="6" s="1"/>
  <c r="CS416" i="6"/>
  <c r="CR416" i="6"/>
  <c r="CQ416" i="6"/>
  <c r="CP416" i="6"/>
  <c r="CO416" i="6"/>
  <c r="CN416" i="6"/>
  <c r="CM416" i="6"/>
  <c r="CL416" i="6"/>
  <c r="CJ416" i="6"/>
  <c r="CK416" i="6" s="1"/>
  <c r="CI416" i="6"/>
  <c r="CH416" i="6"/>
  <c r="CG416" i="6"/>
  <c r="CE416" i="6"/>
  <c r="CD416" i="6"/>
  <c r="CF416" i="6" s="1"/>
  <c r="CC416" i="6"/>
  <c r="CB416" i="6"/>
  <c r="BZ416" i="6"/>
  <c r="BY416" i="6"/>
  <c r="BX416" i="6"/>
  <c r="BW416" i="6"/>
  <c r="CA416" i="6" s="1"/>
  <c r="BU416" i="6"/>
  <c r="BV416" i="6" s="1"/>
  <c r="BR416" i="6"/>
  <c r="BQ416" i="6"/>
  <c r="BS416" i="6" s="1"/>
  <c r="BO416" i="6"/>
  <c r="BP416" i="6" s="1"/>
  <c r="BN416" i="6"/>
  <c r="BM416" i="6"/>
  <c r="BL416" i="6"/>
  <c r="BK416" i="6"/>
  <c r="BJ416" i="6"/>
  <c r="BH416" i="6"/>
  <c r="BI416" i="6" s="1"/>
  <c r="BG416" i="6"/>
  <c r="BF416" i="6"/>
  <c r="BD416" i="6"/>
  <c r="BC416" i="6"/>
  <c r="BB416" i="6"/>
  <c r="BE416" i="6" s="1"/>
  <c r="AZ416" i="6"/>
  <c r="BA416" i="6" s="1"/>
  <c r="AY416" i="6"/>
  <c r="AW416" i="6"/>
  <c r="AV416" i="6"/>
  <c r="AX416" i="6" s="1"/>
  <c r="AU416" i="6"/>
  <c r="AT416" i="6"/>
  <c r="AS416" i="6"/>
  <c r="AQ416" i="6"/>
  <c r="AR416" i="6" s="1"/>
  <c r="AP416" i="6"/>
  <c r="AO416" i="6"/>
  <c r="AN416" i="6"/>
  <c r="AM416" i="6"/>
  <c r="AK416" i="6"/>
  <c r="AL416" i="6" s="1"/>
  <c r="AJ416" i="6"/>
  <c r="AI416" i="6"/>
  <c r="AG416" i="6"/>
  <c r="AE416" i="6"/>
  <c r="AD416" i="6"/>
  <c r="AC416" i="6"/>
  <c r="AA416" i="6"/>
  <c r="Z416" i="6"/>
  <c r="Y416" i="6"/>
  <c r="W416" i="6"/>
  <c r="V416" i="6"/>
  <c r="T416" i="6"/>
  <c r="S416" i="6"/>
  <c r="R416" i="6"/>
  <c r="P416" i="6"/>
  <c r="DQ416" i="6" s="1"/>
  <c r="O416" i="6"/>
  <c r="N416" i="6"/>
  <c r="M416" i="6"/>
  <c r="J416" i="6"/>
  <c r="H416" i="6"/>
  <c r="G416" i="6"/>
  <c r="DU416" i="6" s="1"/>
  <c r="F416" i="6"/>
  <c r="E416" i="6"/>
  <c r="I416" i="6" s="1"/>
  <c r="D416" i="6"/>
  <c r="C416" i="6"/>
  <c r="B416" i="6"/>
  <c r="DW415" i="6"/>
  <c r="DP415" i="6"/>
  <c r="DM415" i="6"/>
  <c r="DL415" i="6"/>
  <c r="DK415" i="6"/>
  <c r="DJ415" i="6"/>
  <c r="DN415" i="6" s="1"/>
  <c r="DH415" i="6"/>
  <c r="DI415" i="6" s="1"/>
  <c r="DF415" i="6"/>
  <c r="DG415" i="6" s="1"/>
  <c r="DE415" i="6"/>
  <c r="DD415" i="6"/>
  <c r="DC415" i="6"/>
  <c r="DB415" i="6"/>
  <c r="DA415" i="6"/>
  <c r="CY415" i="6"/>
  <c r="CZ415" i="6" s="1"/>
  <c r="CX415" i="6"/>
  <c r="CV415" i="6"/>
  <c r="CW415" i="6" s="1"/>
  <c r="CT415" i="6"/>
  <c r="CU415" i="6" s="1"/>
  <c r="CR415" i="6"/>
  <c r="CQ415" i="6"/>
  <c r="CP415" i="6"/>
  <c r="CS415" i="6" s="1"/>
  <c r="CN415" i="6"/>
  <c r="CM415" i="6"/>
  <c r="CL415" i="6"/>
  <c r="CJ415" i="6"/>
  <c r="CI415" i="6"/>
  <c r="CG415" i="6"/>
  <c r="CH415" i="6" s="1"/>
  <c r="CF415" i="6"/>
  <c r="CE415" i="6"/>
  <c r="CD415" i="6"/>
  <c r="CC415" i="6"/>
  <c r="CB415" i="6"/>
  <c r="BZ415" i="6"/>
  <c r="BY415" i="6"/>
  <c r="BX415" i="6"/>
  <c r="BW415" i="6"/>
  <c r="CA415" i="6" s="1"/>
  <c r="BV415" i="6"/>
  <c r="BU415" i="6"/>
  <c r="BR415" i="6"/>
  <c r="BQ415" i="6"/>
  <c r="BS415" i="6" s="1"/>
  <c r="BP415" i="6"/>
  <c r="BO415" i="6"/>
  <c r="BM415" i="6"/>
  <c r="BL415" i="6"/>
  <c r="BK415" i="6"/>
  <c r="BJ415" i="6"/>
  <c r="BI415" i="6"/>
  <c r="BH415" i="6"/>
  <c r="BF415" i="6"/>
  <c r="BG415" i="6" s="1"/>
  <c r="BD415" i="6"/>
  <c r="BC415" i="6"/>
  <c r="BB415" i="6"/>
  <c r="BE415" i="6" s="1"/>
  <c r="AZ415" i="6"/>
  <c r="AY415" i="6"/>
  <c r="BA415" i="6" s="1"/>
  <c r="AW415" i="6"/>
  <c r="AV415" i="6"/>
  <c r="AT415" i="6"/>
  <c r="AU415" i="6" s="1"/>
  <c r="AS415" i="6"/>
  <c r="AQ415" i="6"/>
  <c r="AP415" i="6"/>
  <c r="AR415" i="6" s="1"/>
  <c r="AO415" i="6"/>
  <c r="AN415" i="6"/>
  <c r="AM415" i="6"/>
  <c r="AK415" i="6"/>
  <c r="AL415" i="6" s="1"/>
  <c r="AJ415" i="6"/>
  <c r="AI415" i="6"/>
  <c r="AG415" i="6"/>
  <c r="AE415" i="6"/>
  <c r="AD415" i="6"/>
  <c r="AC415" i="6"/>
  <c r="AA415" i="6"/>
  <c r="Z415" i="6"/>
  <c r="AB415" i="6" s="1"/>
  <c r="Y415" i="6"/>
  <c r="X415" i="6"/>
  <c r="W415" i="6"/>
  <c r="DV415" i="6" s="1"/>
  <c r="V415" i="6"/>
  <c r="T415" i="6"/>
  <c r="S415" i="6"/>
  <c r="R415" i="6"/>
  <c r="Q415" i="6"/>
  <c r="P415" i="6"/>
  <c r="O415" i="6"/>
  <c r="N415" i="6"/>
  <c r="M415" i="6"/>
  <c r="J415" i="6"/>
  <c r="H415" i="6"/>
  <c r="G415" i="6"/>
  <c r="F415" i="6"/>
  <c r="E415" i="6"/>
  <c r="I415" i="6" s="1"/>
  <c r="D415" i="6"/>
  <c r="C415" i="6"/>
  <c r="B415" i="6"/>
  <c r="DW414" i="6"/>
  <c r="DP414" i="6"/>
  <c r="DM414" i="6"/>
  <c r="DL414" i="6"/>
  <c r="DK414" i="6"/>
  <c r="DJ414" i="6"/>
  <c r="DH414" i="6"/>
  <c r="DI414" i="6" s="1"/>
  <c r="DG414" i="6"/>
  <c r="DF414" i="6"/>
  <c r="DE414" i="6"/>
  <c r="DD414" i="6"/>
  <c r="DB414" i="6"/>
  <c r="DA414" i="6"/>
  <c r="DC414" i="6" s="1"/>
  <c r="CY414" i="6"/>
  <c r="CZ414" i="6" s="1"/>
  <c r="CX414" i="6"/>
  <c r="CW414" i="6"/>
  <c r="CV414" i="6"/>
  <c r="CT414" i="6"/>
  <c r="CU414" i="6" s="1"/>
  <c r="CR414" i="6"/>
  <c r="CQ414" i="6"/>
  <c r="CS414" i="6" s="1"/>
  <c r="CP414" i="6"/>
  <c r="CN414" i="6"/>
  <c r="CM414" i="6"/>
  <c r="CL414" i="6"/>
  <c r="CK414" i="6"/>
  <c r="CJ414" i="6"/>
  <c r="CI414" i="6"/>
  <c r="CH414" i="6"/>
  <c r="CG414" i="6"/>
  <c r="CF414" i="6"/>
  <c r="CE414" i="6"/>
  <c r="CD414" i="6"/>
  <c r="CB414" i="6"/>
  <c r="CC414" i="6" s="1"/>
  <c r="BZ414" i="6"/>
  <c r="BY414" i="6"/>
  <c r="BX414" i="6"/>
  <c r="BW414" i="6"/>
  <c r="CA414" i="6" s="1"/>
  <c r="BU414" i="6"/>
  <c r="BV414" i="6" s="1"/>
  <c r="BR414" i="6"/>
  <c r="BQ414" i="6"/>
  <c r="BP414" i="6"/>
  <c r="BO414" i="6"/>
  <c r="BM414" i="6"/>
  <c r="BL414" i="6"/>
  <c r="BK414" i="6"/>
  <c r="BJ414" i="6"/>
  <c r="BH414" i="6"/>
  <c r="BI414" i="6" s="1"/>
  <c r="BF414" i="6"/>
  <c r="BG414" i="6" s="1"/>
  <c r="BE414" i="6"/>
  <c r="BD414" i="6"/>
  <c r="BC414" i="6"/>
  <c r="BB414" i="6"/>
  <c r="AZ414" i="6"/>
  <c r="AY414" i="6"/>
  <c r="BA414" i="6" s="1"/>
  <c r="AW414" i="6"/>
  <c r="AV414" i="6"/>
  <c r="AX414" i="6" s="1"/>
  <c r="AT414" i="6"/>
  <c r="AS414" i="6"/>
  <c r="AU414" i="6" s="1"/>
  <c r="AR414" i="6"/>
  <c r="AQ414" i="6"/>
  <c r="AP414" i="6"/>
  <c r="AN414" i="6"/>
  <c r="AM414" i="6"/>
  <c r="AO414" i="6" s="1"/>
  <c r="AL414" i="6"/>
  <c r="AK414" i="6"/>
  <c r="AI414" i="6"/>
  <c r="AJ414" i="6" s="1"/>
  <c r="AG414" i="6"/>
  <c r="AE414" i="6"/>
  <c r="AD414" i="6"/>
  <c r="AC414" i="6"/>
  <c r="AA414" i="6"/>
  <c r="AB414" i="6" s="1"/>
  <c r="Z414" i="6"/>
  <c r="Y414" i="6"/>
  <c r="W414" i="6"/>
  <c r="V414" i="6"/>
  <c r="T414" i="6"/>
  <c r="R414" i="6"/>
  <c r="S414" i="6" s="1"/>
  <c r="P414" i="6"/>
  <c r="O414" i="6"/>
  <c r="N414" i="6"/>
  <c r="M414" i="6"/>
  <c r="J414" i="6"/>
  <c r="I414" i="6"/>
  <c r="H414" i="6"/>
  <c r="G414" i="6"/>
  <c r="F414" i="6"/>
  <c r="E414" i="6"/>
  <c r="D414" i="6"/>
  <c r="C414" i="6"/>
  <c r="B414" i="6"/>
  <c r="DW413" i="6"/>
  <c r="DM413" i="6"/>
  <c r="DL413" i="6"/>
  <c r="DK413" i="6"/>
  <c r="DJ413" i="6"/>
  <c r="DH413" i="6"/>
  <c r="DI413" i="6" s="1"/>
  <c r="DF413" i="6"/>
  <c r="DG413" i="6" s="1"/>
  <c r="DD413" i="6"/>
  <c r="DE413" i="6" s="1"/>
  <c r="DB413" i="6"/>
  <c r="DA413" i="6"/>
  <c r="DC413" i="6" s="1"/>
  <c r="CZ413" i="6"/>
  <c r="CY413" i="6"/>
  <c r="CX413" i="6"/>
  <c r="CW413" i="6"/>
  <c r="CV413" i="6"/>
  <c r="CT413" i="6"/>
  <c r="CU413" i="6" s="1"/>
  <c r="CR413" i="6"/>
  <c r="CQ413" i="6"/>
  <c r="CP413" i="6"/>
  <c r="CS413" i="6" s="1"/>
  <c r="CN413" i="6"/>
  <c r="CM413" i="6"/>
  <c r="CL413" i="6"/>
  <c r="CO413" i="6" s="1"/>
  <c r="CJ413" i="6"/>
  <c r="CK413" i="6" s="1"/>
  <c r="CI413" i="6"/>
  <c r="CG413" i="6"/>
  <c r="CH413" i="6" s="1"/>
  <c r="CE413" i="6"/>
  <c r="CD413" i="6"/>
  <c r="CB413" i="6"/>
  <c r="CC413" i="6" s="1"/>
  <c r="CA413" i="6"/>
  <c r="BZ413" i="6"/>
  <c r="BY413" i="6"/>
  <c r="BX413" i="6"/>
  <c r="BW413" i="6"/>
  <c r="BU413" i="6"/>
  <c r="BV413" i="6" s="1"/>
  <c r="BS413" i="6"/>
  <c r="BR413" i="6"/>
  <c r="BQ413" i="6"/>
  <c r="BO413" i="6"/>
  <c r="BP413" i="6" s="1"/>
  <c r="BM413" i="6"/>
  <c r="BL413" i="6"/>
  <c r="BK413" i="6"/>
  <c r="BJ413" i="6"/>
  <c r="BN413" i="6" s="1"/>
  <c r="BH413" i="6"/>
  <c r="BI413" i="6" s="1"/>
  <c r="BG413" i="6"/>
  <c r="BF413" i="6"/>
  <c r="BD413" i="6"/>
  <c r="BE413" i="6" s="1"/>
  <c r="BC413" i="6"/>
  <c r="BB413" i="6"/>
  <c r="AZ413" i="6"/>
  <c r="AY413" i="6"/>
  <c r="BA413" i="6" s="1"/>
  <c r="AW413" i="6"/>
  <c r="AX413" i="6" s="1"/>
  <c r="AV413" i="6"/>
  <c r="AU413" i="6"/>
  <c r="AT413" i="6"/>
  <c r="AS413" i="6"/>
  <c r="AR413" i="6"/>
  <c r="AQ413" i="6"/>
  <c r="AP413" i="6"/>
  <c r="AN413" i="6"/>
  <c r="AM413" i="6"/>
  <c r="AK413" i="6"/>
  <c r="AL413" i="6" s="1"/>
  <c r="AI413" i="6"/>
  <c r="AJ413" i="6" s="1"/>
  <c r="AG413" i="6"/>
  <c r="AE413" i="6"/>
  <c r="AD413" i="6"/>
  <c r="AC413" i="6"/>
  <c r="AA413" i="6"/>
  <c r="Z413" i="6"/>
  <c r="AB413" i="6" s="1"/>
  <c r="Y413" i="6"/>
  <c r="W413" i="6"/>
  <c r="V413" i="6"/>
  <c r="T413" i="6"/>
  <c r="R413" i="6"/>
  <c r="S413" i="6" s="1"/>
  <c r="Q413" i="6"/>
  <c r="P413" i="6"/>
  <c r="O413" i="6"/>
  <c r="N413" i="6"/>
  <c r="M413" i="6"/>
  <c r="J413" i="6"/>
  <c r="H413" i="6"/>
  <c r="I413" i="6" s="1"/>
  <c r="G413" i="6"/>
  <c r="F413" i="6"/>
  <c r="DV413" i="6" s="1"/>
  <c r="E413" i="6"/>
  <c r="D413" i="6"/>
  <c r="C413" i="6"/>
  <c r="B413" i="6"/>
  <c r="DW412" i="6"/>
  <c r="DM412" i="6"/>
  <c r="DL412" i="6"/>
  <c r="DK412" i="6"/>
  <c r="DJ412" i="6"/>
  <c r="DI412" i="6"/>
  <c r="DH412" i="6"/>
  <c r="DF412" i="6"/>
  <c r="DG412" i="6" s="1"/>
  <c r="DD412" i="6"/>
  <c r="DE412" i="6" s="1"/>
  <c r="DB412" i="6"/>
  <c r="DA412" i="6"/>
  <c r="DC412" i="6" s="1"/>
  <c r="CZ412" i="6"/>
  <c r="CY412" i="6"/>
  <c r="CX412" i="6"/>
  <c r="CV412" i="6"/>
  <c r="CW412" i="6" s="1"/>
  <c r="CU412" i="6"/>
  <c r="CT412" i="6"/>
  <c r="CR412" i="6"/>
  <c r="CQ412" i="6"/>
  <c r="CP412" i="6"/>
  <c r="CS412" i="6" s="1"/>
  <c r="CO412" i="6"/>
  <c r="CN412" i="6"/>
  <c r="CM412" i="6"/>
  <c r="CL412" i="6"/>
  <c r="CJ412" i="6"/>
  <c r="CI412" i="6"/>
  <c r="CH412" i="6"/>
  <c r="CG412" i="6"/>
  <c r="CE412" i="6"/>
  <c r="CD412" i="6"/>
  <c r="CF412" i="6" s="1"/>
  <c r="CC412" i="6"/>
  <c r="CB412" i="6"/>
  <c r="BZ412" i="6"/>
  <c r="CA412" i="6" s="1"/>
  <c r="BY412" i="6"/>
  <c r="BX412" i="6"/>
  <c r="BW412" i="6"/>
  <c r="BU412" i="6"/>
  <c r="BV412" i="6" s="1"/>
  <c r="BR412" i="6"/>
  <c r="BS412" i="6" s="1"/>
  <c r="BQ412" i="6"/>
  <c r="BP412" i="6"/>
  <c r="BO412" i="6"/>
  <c r="BM412" i="6"/>
  <c r="BL412" i="6"/>
  <c r="BK412" i="6"/>
  <c r="BJ412" i="6"/>
  <c r="BN412" i="6" s="1"/>
  <c r="BH412" i="6"/>
  <c r="BI412" i="6" s="1"/>
  <c r="BF412" i="6"/>
  <c r="BG412" i="6" s="1"/>
  <c r="BD412" i="6"/>
  <c r="BC412" i="6"/>
  <c r="BB412" i="6"/>
  <c r="BE412" i="6" s="1"/>
  <c r="AZ412" i="6"/>
  <c r="AY412" i="6"/>
  <c r="BA412" i="6" s="1"/>
  <c r="AW412" i="6"/>
  <c r="AV412" i="6"/>
  <c r="AX412" i="6" s="1"/>
  <c r="AT412" i="6"/>
  <c r="AS412" i="6"/>
  <c r="AQ412" i="6"/>
  <c r="AP412" i="6"/>
  <c r="AR412" i="6" s="1"/>
  <c r="AO412" i="6"/>
  <c r="AN412" i="6"/>
  <c r="AM412" i="6"/>
  <c r="AK412" i="6"/>
  <c r="AL412" i="6" s="1"/>
  <c r="AJ412" i="6"/>
  <c r="AI412" i="6"/>
  <c r="AG412" i="6"/>
  <c r="AF412" i="6"/>
  <c r="AE412" i="6"/>
  <c r="AD412" i="6"/>
  <c r="AC412" i="6"/>
  <c r="AA412" i="6"/>
  <c r="Z412" i="6"/>
  <c r="Y412" i="6"/>
  <c r="W412" i="6"/>
  <c r="DV412" i="6" s="1"/>
  <c r="V412" i="6"/>
  <c r="X412" i="6" s="1"/>
  <c r="T412" i="6"/>
  <c r="S412" i="6"/>
  <c r="R412" i="6"/>
  <c r="P412" i="6"/>
  <c r="O412" i="6"/>
  <c r="N412" i="6"/>
  <c r="M412" i="6"/>
  <c r="J412" i="6"/>
  <c r="H412" i="6"/>
  <c r="G412" i="6"/>
  <c r="F412" i="6"/>
  <c r="I412" i="6" s="1"/>
  <c r="E412" i="6"/>
  <c r="DP412" i="6" s="1"/>
  <c r="D412" i="6"/>
  <c r="C412" i="6"/>
  <c r="B412" i="6"/>
  <c r="DW411" i="6"/>
  <c r="DM411" i="6"/>
  <c r="DL411" i="6"/>
  <c r="DK411" i="6"/>
  <c r="DJ411" i="6"/>
  <c r="DN411" i="6" s="1"/>
  <c r="DH411" i="6"/>
  <c r="DI411" i="6" s="1"/>
  <c r="DF411" i="6"/>
  <c r="DG411" i="6" s="1"/>
  <c r="DE411" i="6"/>
  <c r="DD411" i="6"/>
  <c r="DB411" i="6"/>
  <c r="DA411" i="6"/>
  <c r="DC411" i="6" s="1"/>
  <c r="CY411" i="6"/>
  <c r="CX411" i="6"/>
  <c r="CZ411" i="6" s="1"/>
  <c r="CV411" i="6"/>
  <c r="CW411" i="6" s="1"/>
  <c r="CU411" i="6"/>
  <c r="CT411" i="6"/>
  <c r="CR411" i="6"/>
  <c r="CQ411" i="6"/>
  <c r="CP411" i="6"/>
  <c r="CS411" i="6" s="1"/>
  <c r="CN411" i="6"/>
  <c r="CM411" i="6"/>
  <c r="CL411" i="6"/>
  <c r="CJ411" i="6"/>
  <c r="CI411" i="6"/>
  <c r="CH411" i="6"/>
  <c r="CG411" i="6"/>
  <c r="CF411" i="6"/>
  <c r="CE411" i="6"/>
  <c r="CD411" i="6"/>
  <c r="CC411" i="6"/>
  <c r="CB411" i="6"/>
  <c r="BZ411" i="6"/>
  <c r="BY411" i="6"/>
  <c r="BX411" i="6"/>
  <c r="BW411" i="6"/>
  <c r="CA411" i="6" s="1"/>
  <c r="BU411" i="6"/>
  <c r="BV411" i="6" s="1"/>
  <c r="BR411" i="6"/>
  <c r="BQ411" i="6"/>
  <c r="BS411" i="6" s="1"/>
  <c r="BO411" i="6"/>
  <c r="BP411" i="6" s="1"/>
  <c r="BM411" i="6"/>
  <c r="BL411" i="6"/>
  <c r="BK411" i="6"/>
  <c r="BJ411" i="6"/>
  <c r="BH411" i="6"/>
  <c r="BI411" i="6" s="1"/>
  <c r="BF411" i="6"/>
  <c r="BG411" i="6" s="1"/>
  <c r="BE411" i="6"/>
  <c r="BD411" i="6"/>
  <c r="BC411" i="6"/>
  <c r="BB411" i="6"/>
  <c r="AZ411" i="6"/>
  <c r="BA411" i="6" s="1"/>
  <c r="AY411" i="6"/>
  <c r="AW411" i="6"/>
  <c r="AV411" i="6"/>
  <c r="AX411" i="6" s="1"/>
  <c r="AU411" i="6"/>
  <c r="AT411" i="6"/>
  <c r="AS411" i="6"/>
  <c r="AQ411" i="6"/>
  <c r="AP411" i="6"/>
  <c r="AN411" i="6"/>
  <c r="AO411" i="6" s="1"/>
  <c r="AM411" i="6"/>
  <c r="AL411" i="6"/>
  <c r="AK411" i="6"/>
  <c r="AI411" i="6"/>
  <c r="AJ411" i="6" s="1"/>
  <c r="AG411" i="6"/>
  <c r="AE411" i="6"/>
  <c r="AF411" i="6" s="1"/>
  <c r="AD411" i="6"/>
  <c r="AC411" i="6"/>
  <c r="AA411" i="6"/>
  <c r="Z411" i="6"/>
  <c r="AB411" i="6" s="1"/>
  <c r="Y411" i="6"/>
  <c r="X411" i="6"/>
  <c r="W411" i="6"/>
  <c r="V411" i="6"/>
  <c r="T411" i="6"/>
  <c r="S411" i="6"/>
  <c r="R411" i="6"/>
  <c r="P411" i="6"/>
  <c r="O411" i="6"/>
  <c r="DU411" i="6" s="1"/>
  <c r="N411" i="6"/>
  <c r="DV411" i="6" s="1"/>
  <c r="M411" i="6"/>
  <c r="Q411" i="6" s="1"/>
  <c r="J411" i="6"/>
  <c r="I411" i="6"/>
  <c r="H411" i="6"/>
  <c r="G411" i="6"/>
  <c r="F411" i="6"/>
  <c r="E411" i="6"/>
  <c r="DP411" i="6" s="1"/>
  <c r="D411" i="6"/>
  <c r="C411" i="6"/>
  <c r="B411" i="6"/>
  <c r="DW410" i="6"/>
  <c r="DM410" i="6"/>
  <c r="DL410" i="6"/>
  <c r="DK410" i="6"/>
  <c r="DJ410" i="6"/>
  <c r="DN410" i="6" s="1"/>
  <c r="DI410" i="6"/>
  <c r="DH410" i="6"/>
  <c r="DG410" i="6"/>
  <c r="DF410" i="6"/>
  <c r="DE410" i="6"/>
  <c r="DD410" i="6"/>
  <c r="DB410" i="6"/>
  <c r="DA410" i="6"/>
  <c r="DC410" i="6" s="1"/>
  <c r="CZ410" i="6"/>
  <c r="CY410" i="6"/>
  <c r="CX410" i="6"/>
  <c r="CW410" i="6"/>
  <c r="CV410" i="6"/>
  <c r="CT410" i="6"/>
  <c r="CU410" i="6" s="1"/>
  <c r="CS410" i="6"/>
  <c r="CR410" i="6"/>
  <c r="CQ410" i="6"/>
  <c r="CP410" i="6"/>
  <c r="CN410" i="6"/>
  <c r="CM410" i="6"/>
  <c r="CO410" i="6" s="1"/>
  <c r="CL410" i="6"/>
  <c r="CJ410" i="6"/>
  <c r="CI410" i="6"/>
  <c r="CK410" i="6" s="1"/>
  <c r="CH410" i="6"/>
  <c r="CG410" i="6"/>
  <c r="CE410" i="6"/>
  <c r="CD410" i="6"/>
  <c r="CF410" i="6" s="1"/>
  <c r="CB410" i="6"/>
  <c r="CC410" i="6" s="1"/>
  <c r="CA410" i="6"/>
  <c r="BZ410" i="6"/>
  <c r="BY410" i="6"/>
  <c r="BX410" i="6"/>
  <c r="BW410" i="6"/>
  <c r="BV410" i="6"/>
  <c r="BU410" i="6"/>
  <c r="BR410" i="6"/>
  <c r="BQ410" i="6"/>
  <c r="BS410" i="6" s="1"/>
  <c r="BP410" i="6"/>
  <c r="BO410" i="6"/>
  <c r="BN410" i="6"/>
  <c r="BM410" i="6"/>
  <c r="BL410" i="6"/>
  <c r="BK410" i="6"/>
  <c r="BJ410" i="6"/>
  <c r="BH410" i="6"/>
  <c r="DU410" i="6" s="1"/>
  <c r="BF410" i="6"/>
  <c r="BG410" i="6" s="1"/>
  <c r="BD410" i="6"/>
  <c r="BE410" i="6" s="1"/>
  <c r="BC410" i="6"/>
  <c r="BB410" i="6"/>
  <c r="BA410" i="6"/>
  <c r="AZ410" i="6"/>
  <c r="AY410" i="6"/>
  <c r="AW410" i="6"/>
  <c r="AV410" i="6"/>
  <c r="AX410" i="6" s="1"/>
  <c r="AT410" i="6"/>
  <c r="AU410" i="6" s="1"/>
  <c r="AS410" i="6"/>
  <c r="AQ410" i="6"/>
  <c r="AP410" i="6"/>
  <c r="AR410" i="6" s="1"/>
  <c r="AN410" i="6"/>
  <c r="AM410" i="6"/>
  <c r="AK410" i="6"/>
  <c r="AL410" i="6" s="1"/>
  <c r="AJ410" i="6"/>
  <c r="AI410" i="6"/>
  <c r="AG410" i="6"/>
  <c r="AE410" i="6"/>
  <c r="AD410" i="6"/>
  <c r="AC410" i="6"/>
  <c r="AA410" i="6"/>
  <c r="Z410" i="6"/>
  <c r="AB410" i="6" s="1"/>
  <c r="Y410" i="6"/>
  <c r="W410" i="6"/>
  <c r="X410" i="6" s="1"/>
  <c r="V410" i="6"/>
  <c r="T410" i="6"/>
  <c r="R410" i="6"/>
  <c r="S410" i="6" s="1"/>
  <c r="P410" i="6"/>
  <c r="O410" i="6"/>
  <c r="N410" i="6"/>
  <c r="M410" i="6"/>
  <c r="J410" i="6"/>
  <c r="I410" i="6"/>
  <c r="H410" i="6"/>
  <c r="G410" i="6"/>
  <c r="F410" i="6"/>
  <c r="E410" i="6"/>
  <c r="DP410" i="6" s="1"/>
  <c r="D410" i="6"/>
  <c r="C410" i="6"/>
  <c r="B410" i="6"/>
  <c r="DW409" i="6"/>
  <c r="DM409" i="6"/>
  <c r="DL409" i="6"/>
  <c r="DK409" i="6"/>
  <c r="DJ409" i="6"/>
  <c r="DN409" i="6" s="1"/>
  <c r="DH409" i="6"/>
  <c r="DI409" i="6" s="1"/>
  <c r="DF409" i="6"/>
  <c r="DG409" i="6" s="1"/>
  <c r="DD409" i="6"/>
  <c r="DE409" i="6" s="1"/>
  <c r="DC409" i="6"/>
  <c r="DB409" i="6"/>
  <c r="DA409" i="6"/>
  <c r="CY409" i="6"/>
  <c r="CX409" i="6"/>
  <c r="CV409" i="6"/>
  <c r="CW409" i="6" s="1"/>
  <c r="CT409" i="6"/>
  <c r="CU409" i="6" s="1"/>
  <c r="CS409" i="6"/>
  <c r="CR409" i="6"/>
  <c r="CQ409" i="6"/>
  <c r="CP409" i="6"/>
  <c r="CN409" i="6"/>
  <c r="CM409" i="6"/>
  <c r="CL409" i="6"/>
  <c r="CO409" i="6" s="1"/>
  <c r="CJ409" i="6"/>
  <c r="CI409" i="6"/>
  <c r="CK409" i="6" s="1"/>
  <c r="CG409" i="6"/>
  <c r="CH409" i="6" s="1"/>
  <c r="CE409" i="6"/>
  <c r="CD409" i="6"/>
  <c r="CF409" i="6" s="1"/>
  <c r="CC409" i="6"/>
  <c r="CB409" i="6"/>
  <c r="BZ409" i="6"/>
  <c r="CA409" i="6" s="1"/>
  <c r="BY409" i="6"/>
  <c r="BX409" i="6"/>
  <c r="BW409" i="6"/>
  <c r="BV409" i="6"/>
  <c r="BU409" i="6"/>
  <c r="BR409" i="6"/>
  <c r="BQ409" i="6"/>
  <c r="BS409" i="6" s="1"/>
  <c r="BO409" i="6"/>
  <c r="BP409" i="6" s="1"/>
  <c r="BM409" i="6"/>
  <c r="BL409" i="6"/>
  <c r="BK409" i="6"/>
  <c r="BJ409" i="6"/>
  <c r="BH409" i="6"/>
  <c r="BI409" i="6" s="1"/>
  <c r="BF409" i="6"/>
  <c r="BG409" i="6" s="1"/>
  <c r="BD409" i="6"/>
  <c r="BE409" i="6" s="1"/>
  <c r="BC409" i="6"/>
  <c r="BB409" i="6"/>
  <c r="AZ409" i="6"/>
  <c r="BA409" i="6" s="1"/>
  <c r="AY409" i="6"/>
  <c r="AW409" i="6"/>
  <c r="AV409" i="6"/>
  <c r="AX409" i="6" s="1"/>
  <c r="AT409" i="6"/>
  <c r="AS409" i="6"/>
  <c r="AU409" i="6" s="1"/>
  <c r="AQ409" i="6"/>
  <c r="AP409" i="6"/>
  <c r="AR409" i="6" s="1"/>
  <c r="AN409" i="6"/>
  <c r="AM409" i="6"/>
  <c r="AO409" i="6" s="1"/>
  <c r="AL409" i="6"/>
  <c r="AK409" i="6"/>
  <c r="AJ409" i="6"/>
  <c r="AI409" i="6"/>
  <c r="AG409" i="6"/>
  <c r="AF409" i="6"/>
  <c r="AE409" i="6"/>
  <c r="AD409" i="6"/>
  <c r="AC409" i="6"/>
  <c r="AB409" i="6"/>
  <c r="AA409" i="6"/>
  <c r="Z409" i="6"/>
  <c r="Y409" i="6"/>
  <c r="W409" i="6"/>
  <c r="V409" i="6"/>
  <c r="X409" i="6" s="1"/>
  <c r="T409" i="6"/>
  <c r="S409" i="6"/>
  <c r="R409" i="6"/>
  <c r="P409" i="6"/>
  <c r="O409" i="6"/>
  <c r="N409" i="6"/>
  <c r="DV409" i="6" s="1"/>
  <c r="M409" i="6"/>
  <c r="J409" i="6"/>
  <c r="I409" i="6"/>
  <c r="H409" i="6"/>
  <c r="G409" i="6"/>
  <c r="F409" i="6"/>
  <c r="E409" i="6"/>
  <c r="D409" i="6"/>
  <c r="C409" i="6"/>
  <c r="B409" i="6"/>
  <c r="DW408" i="6"/>
  <c r="DN408" i="6"/>
  <c r="DM408" i="6"/>
  <c r="DL408" i="6"/>
  <c r="DK408" i="6"/>
  <c r="DJ408" i="6"/>
  <c r="DH408" i="6"/>
  <c r="DI408" i="6" s="1"/>
  <c r="DG408" i="6"/>
  <c r="DF408" i="6"/>
  <c r="DE408" i="6"/>
  <c r="DD408" i="6"/>
  <c r="DB408" i="6"/>
  <c r="DC408" i="6" s="1"/>
  <c r="DA408" i="6"/>
  <c r="CZ408" i="6"/>
  <c r="CY408" i="6"/>
  <c r="CX408" i="6"/>
  <c r="CW408" i="6"/>
  <c r="CV408" i="6"/>
  <c r="CU408" i="6"/>
  <c r="CT408" i="6"/>
  <c r="CR408" i="6"/>
  <c r="CS408" i="6" s="1"/>
  <c r="CQ408" i="6"/>
  <c r="CP408" i="6"/>
  <c r="CN408" i="6"/>
  <c r="CM408" i="6"/>
  <c r="CL408" i="6"/>
  <c r="CO408" i="6" s="1"/>
  <c r="CJ408" i="6"/>
  <c r="CI408" i="6"/>
  <c r="CG408" i="6"/>
  <c r="CH408" i="6" s="1"/>
  <c r="CE408" i="6"/>
  <c r="CD408" i="6"/>
  <c r="CF408" i="6" s="1"/>
  <c r="CC408" i="6"/>
  <c r="CB408" i="6"/>
  <c r="CA408" i="6"/>
  <c r="BZ408" i="6"/>
  <c r="BY408" i="6"/>
  <c r="BX408" i="6"/>
  <c r="BW408" i="6"/>
  <c r="BV408" i="6"/>
  <c r="BU408" i="6"/>
  <c r="BR408" i="6"/>
  <c r="BQ408" i="6"/>
  <c r="BS408" i="6" s="1"/>
  <c r="BO408" i="6"/>
  <c r="BP408" i="6" s="1"/>
  <c r="BM408" i="6"/>
  <c r="BL408" i="6"/>
  <c r="BK408" i="6"/>
  <c r="BJ408" i="6"/>
  <c r="BN408" i="6" s="1"/>
  <c r="BH408" i="6"/>
  <c r="BI408" i="6" s="1"/>
  <c r="BF408" i="6"/>
  <c r="BG408" i="6" s="1"/>
  <c r="BD408" i="6"/>
  <c r="BE408" i="6" s="1"/>
  <c r="BC408" i="6"/>
  <c r="BB408" i="6"/>
  <c r="AZ408" i="6"/>
  <c r="AY408" i="6"/>
  <c r="BA408" i="6" s="1"/>
  <c r="AW408" i="6"/>
  <c r="AV408" i="6"/>
  <c r="AX408" i="6" s="1"/>
  <c r="AT408" i="6"/>
  <c r="AS408" i="6"/>
  <c r="AU408" i="6" s="1"/>
  <c r="AQ408" i="6"/>
  <c r="AP408" i="6"/>
  <c r="AR408" i="6" s="1"/>
  <c r="AN408" i="6"/>
  <c r="AM408" i="6"/>
  <c r="AO408" i="6" s="1"/>
  <c r="AK408" i="6"/>
  <c r="DR408" i="6" s="1"/>
  <c r="AI408" i="6"/>
  <c r="AG408" i="6"/>
  <c r="AE408" i="6"/>
  <c r="AF408" i="6" s="1"/>
  <c r="AD408" i="6"/>
  <c r="AC408" i="6"/>
  <c r="AB408" i="6"/>
  <c r="AA408" i="6"/>
  <c r="Z408" i="6"/>
  <c r="Y408" i="6"/>
  <c r="W408" i="6"/>
  <c r="V408" i="6"/>
  <c r="X408" i="6" s="1"/>
  <c r="T408" i="6"/>
  <c r="R408" i="6"/>
  <c r="S408" i="6" s="1"/>
  <c r="P408" i="6"/>
  <c r="O408" i="6"/>
  <c r="N408" i="6"/>
  <c r="M408" i="6"/>
  <c r="J408" i="6"/>
  <c r="H408" i="6"/>
  <c r="G408" i="6"/>
  <c r="DU408" i="6" s="1"/>
  <c r="F408" i="6"/>
  <c r="DV408" i="6" s="1"/>
  <c r="E408" i="6"/>
  <c r="D408" i="6"/>
  <c r="C408" i="6"/>
  <c r="B408" i="6"/>
  <c r="DW407" i="6"/>
  <c r="DS407" i="6"/>
  <c r="DM407" i="6"/>
  <c r="DN407" i="6" s="1"/>
  <c r="DL407" i="6"/>
  <c r="DK407" i="6"/>
  <c r="DJ407" i="6"/>
  <c r="DH407" i="6"/>
  <c r="DI407" i="6" s="1"/>
  <c r="DF407" i="6"/>
  <c r="DG407" i="6" s="1"/>
  <c r="DD407" i="6"/>
  <c r="DE407" i="6" s="1"/>
  <c r="DB407" i="6"/>
  <c r="DA407" i="6"/>
  <c r="DC407" i="6" s="1"/>
  <c r="CY407" i="6"/>
  <c r="CZ407" i="6" s="1"/>
  <c r="CX407" i="6"/>
  <c r="CV407" i="6"/>
  <c r="CW407" i="6" s="1"/>
  <c r="CT407" i="6"/>
  <c r="CU407" i="6" s="1"/>
  <c r="CR407" i="6"/>
  <c r="CQ407" i="6"/>
  <c r="CP407" i="6"/>
  <c r="CS407" i="6" s="1"/>
  <c r="CN407" i="6"/>
  <c r="CM407" i="6"/>
  <c r="CL407" i="6"/>
  <c r="CO407" i="6" s="1"/>
  <c r="CJ407" i="6"/>
  <c r="CK407" i="6" s="1"/>
  <c r="CI407" i="6"/>
  <c r="CH407" i="6"/>
  <c r="CG407" i="6"/>
  <c r="CF407" i="6"/>
  <c r="CE407" i="6"/>
  <c r="CD407" i="6"/>
  <c r="CC407" i="6"/>
  <c r="CB407" i="6"/>
  <c r="BZ407" i="6"/>
  <c r="CA407" i="6" s="1"/>
  <c r="BY407" i="6"/>
  <c r="BX407" i="6"/>
  <c r="BW407" i="6"/>
  <c r="BU407" i="6"/>
  <c r="BV407" i="6" s="1"/>
  <c r="BR407" i="6"/>
  <c r="BQ407" i="6"/>
  <c r="BS407" i="6" s="1"/>
  <c r="BO407" i="6"/>
  <c r="BP407" i="6" s="1"/>
  <c r="BM407" i="6"/>
  <c r="BL407" i="6"/>
  <c r="BK407" i="6"/>
  <c r="BN407" i="6" s="1"/>
  <c r="BJ407" i="6"/>
  <c r="BH407" i="6"/>
  <c r="BI407" i="6" s="1"/>
  <c r="BG407" i="6"/>
  <c r="BF407" i="6"/>
  <c r="BD407" i="6"/>
  <c r="BC407" i="6"/>
  <c r="BB407" i="6"/>
  <c r="BA407" i="6"/>
  <c r="AZ407" i="6"/>
  <c r="AY407" i="6"/>
  <c r="AX407" i="6"/>
  <c r="AW407" i="6"/>
  <c r="AV407" i="6"/>
  <c r="AT407" i="6"/>
  <c r="AS407" i="6"/>
  <c r="AU407" i="6" s="1"/>
  <c r="AQ407" i="6"/>
  <c r="AR407" i="6" s="1"/>
  <c r="AP407" i="6"/>
  <c r="AN407" i="6"/>
  <c r="AM407" i="6"/>
  <c r="AO407" i="6" s="1"/>
  <c r="AK407" i="6"/>
  <c r="AL407" i="6" s="1"/>
  <c r="AI407" i="6"/>
  <c r="AG407" i="6"/>
  <c r="AF407" i="6"/>
  <c r="AE407" i="6"/>
  <c r="AD407" i="6"/>
  <c r="AC407" i="6"/>
  <c r="AA407" i="6"/>
  <c r="AB407" i="6" s="1"/>
  <c r="Z407" i="6"/>
  <c r="Y407" i="6"/>
  <c r="W407" i="6"/>
  <c r="V407" i="6"/>
  <c r="X407" i="6" s="1"/>
  <c r="T407" i="6"/>
  <c r="S407" i="6"/>
  <c r="R407" i="6"/>
  <c r="P407" i="6"/>
  <c r="O407" i="6"/>
  <c r="N407" i="6"/>
  <c r="M407" i="6"/>
  <c r="J407" i="6"/>
  <c r="H407" i="6"/>
  <c r="G407" i="6"/>
  <c r="DU407" i="6" s="1"/>
  <c r="F407" i="6"/>
  <c r="DV407" i="6" s="1"/>
  <c r="E407" i="6"/>
  <c r="DP407" i="6" s="1"/>
  <c r="D407" i="6"/>
  <c r="C407" i="6"/>
  <c r="B407" i="6"/>
  <c r="DW406" i="6"/>
  <c r="DP406" i="6"/>
  <c r="DM406" i="6"/>
  <c r="DL406" i="6"/>
  <c r="DK406" i="6"/>
  <c r="DJ406" i="6"/>
  <c r="DN406" i="6" s="1"/>
  <c r="DH406" i="6"/>
  <c r="DI406" i="6" s="1"/>
  <c r="DF406" i="6"/>
  <c r="DG406" i="6" s="1"/>
  <c r="DE406" i="6"/>
  <c r="DD406" i="6"/>
  <c r="DC406" i="6"/>
  <c r="DB406" i="6"/>
  <c r="DA406" i="6"/>
  <c r="CZ406" i="6"/>
  <c r="CY406" i="6"/>
  <c r="CX406" i="6"/>
  <c r="CW406" i="6"/>
  <c r="CV406" i="6"/>
  <c r="CU406" i="6"/>
  <c r="CT406" i="6"/>
  <c r="CS406" i="6"/>
  <c r="CR406" i="6"/>
  <c r="CQ406" i="6"/>
  <c r="CP406" i="6"/>
  <c r="CN406" i="6"/>
  <c r="CM406" i="6"/>
  <c r="CL406" i="6"/>
  <c r="CO406" i="6" s="1"/>
  <c r="CJ406" i="6"/>
  <c r="CI406" i="6"/>
  <c r="CG406" i="6"/>
  <c r="CH406" i="6" s="1"/>
  <c r="CE406" i="6"/>
  <c r="CD406" i="6"/>
  <c r="CF406" i="6" s="1"/>
  <c r="CC406" i="6"/>
  <c r="CB406" i="6"/>
  <c r="BZ406" i="6"/>
  <c r="BY406" i="6"/>
  <c r="BX406" i="6"/>
  <c r="BW406" i="6"/>
  <c r="CA406" i="6" s="1"/>
  <c r="BU406" i="6"/>
  <c r="BV406" i="6" s="1"/>
  <c r="BS406" i="6"/>
  <c r="BR406" i="6"/>
  <c r="BQ406" i="6"/>
  <c r="BO406" i="6"/>
  <c r="BP406" i="6" s="1"/>
  <c r="BM406" i="6"/>
  <c r="BL406" i="6"/>
  <c r="BK406" i="6"/>
  <c r="BJ406" i="6"/>
  <c r="BN406" i="6" s="1"/>
  <c r="BH406" i="6"/>
  <c r="BF406" i="6"/>
  <c r="BG406" i="6" s="1"/>
  <c r="BD406" i="6"/>
  <c r="BC406" i="6"/>
  <c r="BB406" i="6"/>
  <c r="BE406" i="6" s="1"/>
  <c r="BA406" i="6"/>
  <c r="AZ406" i="6"/>
  <c r="AY406" i="6"/>
  <c r="AW406" i="6"/>
  <c r="AX406" i="6" s="1"/>
  <c r="AV406" i="6"/>
  <c r="AT406" i="6"/>
  <c r="AS406" i="6"/>
  <c r="AU406" i="6" s="1"/>
  <c r="AQ406" i="6"/>
  <c r="AP406" i="6"/>
  <c r="AN406" i="6"/>
  <c r="AM406" i="6"/>
  <c r="AO406" i="6" s="1"/>
  <c r="AL406" i="6"/>
  <c r="AK406" i="6"/>
  <c r="AI406" i="6"/>
  <c r="AJ406" i="6" s="1"/>
  <c r="AG406" i="6"/>
  <c r="AF406" i="6"/>
  <c r="AE406" i="6"/>
  <c r="AD406" i="6"/>
  <c r="AC406" i="6"/>
  <c r="AA406" i="6"/>
  <c r="Z406" i="6"/>
  <c r="Y406" i="6"/>
  <c r="W406" i="6"/>
  <c r="V406" i="6"/>
  <c r="X406" i="6" s="1"/>
  <c r="T406" i="6"/>
  <c r="R406" i="6"/>
  <c r="S406" i="6" s="1"/>
  <c r="P406" i="6"/>
  <c r="O406" i="6"/>
  <c r="N406" i="6"/>
  <c r="M406" i="6"/>
  <c r="Q406" i="6" s="1"/>
  <c r="J406" i="6"/>
  <c r="H406" i="6"/>
  <c r="DQ406" i="6" s="1"/>
  <c r="G406" i="6"/>
  <c r="F406" i="6"/>
  <c r="DV406" i="6" s="1"/>
  <c r="E406" i="6"/>
  <c r="D406" i="6"/>
  <c r="C406" i="6"/>
  <c r="B406" i="6"/>
  <c r="DW405" i="6"/>
  <c r="DS405" i="6"/>
  <c r="DQ405" i="6"/>
  <c r="DP405" i="6"/>
  <c r="DN405" i="6"/>
  <c r="DM405" i="6"/>
  <c r="DL405" i="6"/>
  <c r="DK405" i="6"/>
  <c r="DJ405" i="6"/>
  <c r="DI405" i="6"/>
  <c r="DH405" i="6"/>
  <c r="DF405" i="6"/>
  <c r="DG405" i="6" s="1"/>
  <c r="DE405" i="6"/>
  <c r="DD405" i="6"/>
  <c r="DB405" i="6"/>
  <c r="DA405" i="6"/>
  <c r="CY405" i="6"/>
  <c r="CZ405" i="6" s="1"/>
  <c r="CX405" i="6"/>
  <c r="CW405" i="6"/>
  <c r="CV405" i="6"/>
  <c r="CT405" i="6"/>
  <c r="CU405" i="6" s="1"/>
  <c r="CR405" i="6"/>
  <c r="CS405" i="6" s="1"/>
  <c r="CQ405" i="6"/>
  <c r="CP405" i="6"/>
  <c r="CO405" i="6"/>
  <c r="CN405" i="6"/>
  <c r="CM405" i="6"/>
  <c r="CL405" i="6"/>
  <c r="CJ405" i="6"/>
  <c r="CI405" i="6"/>
  <c r="CK405" i="6" s="1"/>
  <c r="CH405" i="6"/>
  <c r="CG405" i="6"/>
  <c r="CF405" i="6"/>
  <c r="CE405" i="6"/>
  <c r="CD405" i="6"/>
  <c r="CB405" i="6"/>
  <c r="CC405" i="6" s="1"/>
  <c r="BZ405" i="6"/>
  <c r="BY405" i="6"/>
  <c r="BX405" i="6"/>
  <c r="BW405" i="6"/>
  <c r="BV405" i="6"/>
  <c r="BU405" i="6"/>
  <c r="BR405" i="6"/>
  <c r="BS405" i="6" s="1"/>
  <c r="BQ405" i="6"/>
  <c r="BP405" i="6"/>
  <c r="BO405" i="6"/>
  <c r="BM405" i="6"/>
  <c r="BL405" i="6"/>
  <c r="BK405" i="6"/>
  <c r="BJ405" i="6"/>
  <c r="BI405" i="6"/>
  <c r="BH405" i="6"/>
  <c r="BF405" i="6"/>
  <c r="BG405" i="6" s="1"/>
  <c r="BD405" i="6"/>
  <c r="BC405" i="6"/>
  <c r="BB405" i="6"/>
  <c r="BE405" i="6" s="1"/>
  <c r="AZ405" i="6"/>
  <c r="AY405" i="6"/>
  <c r="BA405" i="6" s="1"/>
  <c r="AW405" i="6"/>
  <c r="AV405" i="6"/>
  <c r="AX405" i="6" s="1"/>
  <c r="AT405" i="6"/>
  <c r="AU405" i="6" s="1"/>
  <c r="AS405" i="6"/>
  <c r="AQ405" i="6"/>
  <c r="AP405" i="6"/>
  <c r="AR405" i="6" s="1"/>
  <c r="AN405" i="6"/>
  <c r="AM405" i="6"/>
  <c r="AK405" i="6"/>
  <c r="AL405" i="6" s="1"/>
  <c r="AI405" i="6"/>
  <c r="AG405" i="6"/>
  <c r="AE405" i="6"/>
  <c r="AF405" i="6" s="1"/>
  <c r="AD405" i="6"/>
  <c r="AC405" i="6"/>
  <c r="AB405" i="6"/>
  <c r="AA405" i="6"/>
  <c r="Z405" i="6"/>
  <c r="Y405" i="6"/>
  <c r="W405" i="6"/>
  <c r="X405" i="6" s="1"/>
  <c r="V405" i="6"/>
  <c r="T405" i="6"/>
  <c r="R405" i="6"/>
  <c r="S405" i="6" s="1"/>
  <c r="P405" i="6"/>
  <c r="O405" i="6"/>
  <c r="N405" i="6"/>
  <c r="M405" i="6"/>
  <c r="J405" i="6"/>
  <c r="H405" i="6"/>
  <c r="G405" i="6"/>
  <c r="DU405" i="6" s="1"/>
  <c r="F405" i="6"/>
  <c r="DV405" i="6" s="1"/>
  <c r="E405" i="6"/>
  <c r="D405" i="6"/>
  <c r="C405" i="6"/>
  <c r="B405" i="6"/>
  <c r="DW404" i="6"/>
  <c r="DM404" i="6"/>
  <c r="DN404" i="6" s="1"/>
  <c r="DL404" i="6"/>
  <c r="DK404" i="6"/>
  <c r="DJ404" i="6"/>
  <c r="DH404" i="6"/>
  <c r="DI404" i="6" s="1"/>
  <c r="DG404" i="6"/>
  <c r="DF404" i="6"/>
  <c r="DD404" i="6"/>
  <c r="DE404" i="6" s="1"/>
  <c r="DB404" i="6"/>
  <c r="DA404" i="6"/>
  <c r="DC404" i="6" s="1"/>
  <c r="CY404" i="6"/>
  <c r="CX404" i="6"/>
  <c r="CV404" i="6"/>
  <c r="CW404" i="6" s="1"/>
  <c r="CU404" i="6"/>
  <c r="CT404" i="6"/>
  <c r="CR404" i="6"/>
  <c r="CS404" i="6" s="1"/>
  <c r="CQ404" i="6"/>
  <c r="CP404" i="6"/>
  <c r="CN404" i="6"/>
  <c r="CO404" i="6" s="1"/>
  <c r="CM404" i="6"/>
  <c r="CL404" i="6"/>
  <c r="CJ404" i="6"/>
  <c r="CI404" i="6"/>
  <c r="CK404" i="6" s="1"/>
  <c r="CG404" i="6"/>
  <c r="CH404" i="6" s="1"/>
  <c r="CE404" i="6"/>
  <c r="CF404" i="6" s="1"/>
  <c r="CD404" i="6"/>
  <c r="CB404" i="6"/>
  <c r="CC404" i="6" s="1"/>
  <c r="BZ404" i="6"/>
  <c r="BY404" i="6"/>
  <c r="BX404" i="6"/>
  <c r="DS404" i="6" s="1"/>
  <c r="BW404" i="6"/>
  <c r="BU404" i="6"/>
  <c r="DU404" i="6" s="1"/>
  <c r="BR404" i="6"/>
  <c r="BQ404" i="6"/>
  <c r="BS404" i="6" s="1"/>
  <c r="BO404" i="6"/>
  <c r="BP404" i="6" s="1"/>
  <c r="BM404" i="6"/>
  <c r="BL404" i="6"/>
  <c r="BK404" i="6"/>
  <c r="BJ404" i="6"/>
  <c r="BH404" i="6"/>
  <c r="BI404" i="6" s="1"/>
  <c r="BF404" i="6"/>
  <c r="BG404" i="6" s="1"/>
  <c r="BD404" i="6"/>
  <c r="BC404" i="6"/>
  <c r="BB404" i="6"/>
  <c r="BE404" i="6" s="1"/>
  <c r="AZ404" i="6"/>
  <c r="AY404" i="6"/>
  <c r="BA404" i="6" s="1"/>
  <c r="AX404" i="6"/>
  <c r="AW404" i="6"/>
  <c r="AV404" i="6"/>
  <c r="AU404" i="6"/>
  <c r="AT404" i="6"/>
  <c r="AS404" i="6"/>
  <c r="AQ404" i="6"/>
  <c r="AP404" i="6"/>
  <c r="AR404" i="6" s="1"/>
  <c r="AN404" i="6"/>
  <c r="AO404" i="6" s="1"/>
  <c r="AM404" i="6"/>
  <c r="AL404" i="6"/>
  <c r="AK404" i="6"/>
  <c r="AJ404" i="6"/>
  <c r="AI404" i="6"/>
  <c r="AG404" i="6"/>
  <c r="AE404" i="6"/>
  <c r="AD404" i="6"/>
  <c r="AF404" i="6" s="1"/>
  <c r="AC404" i="6"/>
  <c r="AB404" i="6"/>
  <c r="AA404" i="6"/>
  <c r="Z404" i="6"/>
  <c r="Y404" i="6"/>
  <c r="X404" i="6"/>
  <c r="W404" i="6"/>
  <c r="V404" i="6"/>
  <c r="T404" i="6"/>
  <c r="R404" i="6"/>
  <c r="S404" i="6" s="1"/>
  <c r="P404" i="6"/>
  <c r="O404" i="6"/>
  <c r="N404" i="6"/>
  <c r="M404" i="6"/>
  <c r="J404" i="6"/>
  <c r="H404" i="6"/>
  <c r="G404" i="6"/>
  <c r="F404" i="6"/>
  <c r="I404" i="6" s="1"/>
  <c r="E404" i="6"/>
  <c r="DP404" i="6" s="1"/>
  <c r="D404" i="6"/>
  <c r="C404" i="6"/>
  <c r="B404" i="6"/>
  <c r="DW403" i="6"/>
  <c r="DN403" i="6"/>
  <c r="DM403" i="6"/>
  <c r="DL403" i="6"/>
  <c r="DK403" i="6"/>
  <c r="DJ403" i="6"/>
  <c r="DI403" i="6"/>
  <c r="DH403" i="6"/>
  <c r="DG403" i="6"/>
  <c r="DF403" i="6"/>
  <c r="DD403" i="6"/>
  <c r="DE403" i="6" s="1"/>
  <c r="DB403" i="6"/>
  <c r="DC403" i="6" s="1"/>
  <c r="DA403" i="6"/>
  <c r="CZ403" i="6"/>
  <c r="CY403" i="6"/>
  <c r="CX403" i="6"/>
  <c r="CW403" i="6"/>
  <c r="CV403" i="6"/>
  <c r="CT403" i="6"/>
  <c r="CU403" i="6" s="1"/>
  <c r="CS403" i="6"/>
  <c r="CR403" i="6"/>
  <c r="CQ403" i="6"/>
  <c r="CP403" i="6"/>
  <c r="CN403" i="6"/>
  <c r="CM403" i="6"/>
  <c r="CL403" i="6"/>
  <c r="CK403" i="6"/>
  <c r="CJ403" i="6"/>
  <c r="CI403" i="6"/>
  <c r="CG403" i="6"/>
  <c r="CH403" i="6" s="1"/>
  <c r="CE403" i="6"/>
  <c r="CD403" i="6"/>
  <c r="CF403" i="6" s="1"/>
  <c r="CB403" i="6"/>
  <c r="CC403" i="6" s="1"/>
  <c r="CA403" i="6"/>
  <c r="BZ403" i="6"/>
  <c r="BY403" i="6"/>
  <c r="BX403" i="6"/>
  <c r="BW403" i="6"/>
  <c r="BV403" i="6"/>
  <c r="BU403" i="6"/>
  <c r="BS403" i="6"/>
  <c r="BR403" i="6"/>
  <c r="BQ403" i="6"/>
  <c r="BP403" i="6"/>
  <c r="BO403" i="6"/>
  <c r="BM403" i="6"/>
  <c r="BL403" i="6"/>
  <c r="BK403" i="6"/>
  <c r="BJ403" i="6"/>
  <c r="BN403" i="6" s="1"/>
  <c r="BI403" i="6"/>
  <c r="BH403" i="6"/>
  <c r="BG403" i="6"/>
  <c r="BF403" i="6"/>
  <c r="BD403" i="6"/>
  <c r="BE403" i="6" s="1"/>
  <c r="BC403" i="6"/>
  <c r="BB403" i="6"/>
  <c r="BA403" i="6"/>
  <c r="AZ403" i="6"/>
  <c r="AY403" i="6"/>
  <c r="AX403" i="6"/>
  <c r="AW403" i="6"/>
  <c r="AV403" i="6"/>
  <c r="AU403" i="6"/>
  <c r="AT403" i="6"/>
  <c r="AS403" i="6"/>
  <c r="AQ403" i="6"/>
  <c r="AP403" i="6"/>
  <c r="AR403" i="6" s="1"/>
  <c r="AO403" i="6"/>
  <c r="AN403" i="6"/>
  <c r="AM403" i="6"/>
  <c r="AK403" i="6"/>
  <c r="AL403" i="6" s="1"/>
  <c r="AI403" i="6"/>
  <c r="AJ403" i="6" s="1"/>
  <c r="AG403" i="6"/>
  <c r="AE403" i="6"/>
  <c r="AD403" i="6"/>
  <c r="AC403" i="6"/>
  <c r="DS403" i="6" s="1"/>
  <c r="AA403" i="6"/>
  <c r="AB403" i="6" s="1"/>
  <c r="Z403" i="6"/>
  <c r="Y403" i="6"/>
  <c r="X403" i="6"/>
  <c r="W403" i="6"/>
  <c r="V403" i="6"/>
  <c r="T403" i="6"/>
  <c r="R403" i="6"/>
  <c r="S403" i="6" s="1"/>
  <c r="P403" i="6"/>
  <c r="O403" i="6"/>
  <c r="N403" i="6"/>
  <c r="M403" i="6"/>
  <c r="Q403" i="6" s="1"/>
  <c r="J403" i="6"/>
  <c r="H403" i="6"/>
  <c r="DQ403" i="6" s="1"/>
  <c r="G403" i="6"/>
  <c r="DU403" i="6" s="1"/>
  <c r="F403" i="6"/>
  <c r="DV403" i="6" s="1"/>
  <c r="E403" i="6"/>
  <c r="DP403" i="6" s="1"/>
  <c r="D403" i="6"/>
  <c r="C403" i="6"/>
  <c r="B403" i="6"/>
  <c r="DW402" i="6"/>
  <c r="DN402" i="6"/>
  <c r="DM402" i="6"/>
  <c r="DL402" i="6"/>
  <c r="DK402" i="6"/>
  <c r="DJ402" i="6"/>
  <c r="DI402" i="6"/>
  <c r="DH402" i="6"/>
  <c r="DF402" i="6"/>
  <c r="DG402" i="6" s="1"/>
  <c r="DD402" i="6"/>
  <c r="DE402" i="6" s="1"/>
  <c r="DB402" i="6"/>
  <c r="DA402" i="6"/>
  <c r="DC402" i="6" s="1"/>
  <c r="CY402" i="6"/>
  <c r="CZ402" i="6" s="1"/>
  <c r="CX402" i="6"/>
  <c r="CV402" i="6"/>
  <c r="CW402" i="6" s="1"/>
  <c r="CT402" i="6"/>
  <c r="CU402" i="6" s="1"/>
  <c r="CR402" i="6"/>
  <c r="CQ402" i="6"/>
  <c r="CP402" i="6"/>
  <c r="CS402" i="6" s="1"/>
  <c r="CO402" i="6"/>
  <c r="CN402" i="6"/>
  <c r="CM402" i="6"/>
  <c r="CL402" i="6"/>
  <c r="CJ402" i="6"/>
  <c r="CK402" i="6" s="1"/>
  <c r="CI402" i="6"/>
  <c r="CG402" i="6"/>
  <c r="CH402" i="6" s="1"/>
  <c r="CF402" i="6"/>
  <c r="CE402" i="6"/>
  <c r="CD402" i="6"/>
  <c r="CC402" i="6"/>
  <c r="CB402" i="6"/>
  <c r="BZ402" i="6"/>
  <c r="BY402" i="6"/>
  <c r="BX402" i="6"/>
  <c r="BW402" i="6"/>
  <c r="CA402" i="6" s="1"/>
  <c r="BV402" i="6"/>
  <c r="BU402" i="6"/>
  <c r="BR402" i="6"/>
  <c r="BS402" i="6" s="1"/>
  <c r="BQ402" i="6"/>
  <c r="BO402" i="6"/>
  <c r="BP402" i="6" s="1"/>
  <c r="BM402" i="6"/>
  <c r="BL402" i="6"/>
  <c r="BK402" i="6"/>
  <c r="BJ402" i="6"/>
  <c r="BN402" i="6" s="1"/>
  <c r="BH402" i="6"/>
  <c r="BI402" i="6" s="1"/>
  <c r="BF402" i="6"/>
  <c r="BG402" i="6" s="1"/>
  <c r="BD402" i="6"/>
  <c r="BC402" i="6"/>
  <c r="BB402" i="6"/>
  <c r="BA402" i="6"/>
  <c r="AZ402" i="6"/>
  <c r="AY402" i="6"/>
  <c r="AW402" i="6"/>
  <c r="AX402" i="6" s="1"/>
  <c r="AV402" i="6"/>
  <c r="AT402" i="6"/>
  <c r="AS402" i="6"/>
  <c r="AQ402" i="6"/>
  <c r="AP402" i="6"/>
  <c r="AR402" i="6" s="1"/>
  <c r="AN402" i="6"/>
  <c r="AM402" i="6"/>
  <c r="AL402" i="6"/>
  <c r="AK402" i="6"/>
  <c r="AJ402" i="6"/>
  <c r="AI402" i="6"/>
  <c r="AG402" i="6"/>
  <c r="AE402" i="6"/>
  <c r="AD402" i="6"/>
  <c r="AC402" i="6"/>
  <c r="AF402" i="6" s="1"/>
  <c r="AA402" i="6"/>
  <c r="Z402" i="6"/>
  <c r="AB402" i="6" s="1"/>
  <c r="Y402" i="6"/>
  <c r="W402" i="6"/>
  <c r="DV402" i="6" s="1"/>
  <c r="V402" i="6"/>
  <c r="T402" i="6"/>
  <c r="R402" i="6"/>
  <c r="S402" i="6" s="1"/>
  <c r="P402" i="6"/>
  <c r="O402" i="6"/>
  <c r="N402" i="6"/>
  <c r="M402" i="6"/>
  <c r="J402" i="6"/>
  <c r="H402" i="6"/>
  <c r="G402" i="6"/>
  <c r="F402" i="6"/>
  <c r="E402" i="6"/>
  <c r="D402" i="6"/>
  <c r="C402" i="6"/>
  <c r="B402" i="6"/>
  <c r="DW401" i="6"/>
  <c r="DS401" i="6"/>
  <c r="DP401" i="6"/>
  <c r="DM401" i="6"/>
  <c r="DN401" i="6" s="1"/>
  <c r="DL401" i="6"/>
  <c r="DK401" i="6"/>
  <c r="DJ401" i="6"/>
  <c r="DI401" i="6"/>
  <c r="DH401" i="6"/>
  <c r="DF401" i="6"/>
  <c r="DG401" i="6" s="1"/>
  <c r="DE401" i="6"/>
  <c r="DD401" i="6"/>
  <c r="DC401" i="6"/>
  <c r="DB401" i="6"/>
  <c r="DA401" i="6"/>
  <c r="CY401" i="6"/>
  <c r="CX401" i="6"/>
  <c r="CZ401" i="6" s="1"/>
  <c r="CV401" i="6"/>
  <c r="CW401" i="6" s="1"/>
  <c r="CU401" i="6"/>
  <c r="CT401" i="6"/>
  <c r="CS401" i="6"/>
  <c r="CR401" i="6"/>
  <c r="CQ401" i="6"/>
  <c r="CP401" i="6"/>
  <c r="DQ401" i="6" s="1"/>
  <c r="CN401" i="6"/>
  <c r="CO401" i="6" s="1"/>
  <c r="CM401" i="6"/>
  <c r="CL401" i="6"/>
  <c r="CJ401" i="6"/>
  <c r="CI401" i="6"/>
  <c r="CK401" i="6" s="1"/>
  <c r="CG401" i="6"/>
  <c r="CH401" i="6" s="1"/>
  <c r="CE401" i="6"/>
  <c r="CD401" i="6"/>
  <c r="CF401" i="6" s="1"/>
  <c r="CB401" i="6"/>
  <c r="CC401" i="6" s="1"/>
  <c r="BZ401" i="6"/>
  <c r="BY401" i="6"/>
  <c r="BX401" i="6"/>
  <c r="BW401" i="6"/>
  <c r="CA401" i="6" s="1"/>
  <c r="BV401" i="6"/>
  <c r="BU401" i="6"/>
  <c r="BR401" i="6"/>
  <c r="DU401" i="6" s="1"/>
  <c r="BQ401" i="6"/>
  <c r="BP401" i="6"/>
  <c r="BO401" i="6"/>
  <c r="BM401" i="6"/>
  <c r="BL401" i="6"/>
  <c r="BK401" i="6"/>
  <c r="BJ401" i="6"/>
  <c r="BH401" i="6"/>
  <c r="BI401" i="6" s="1"/>
  <c r="BG401" i="6"/>
  <c r="BF401" i="6"/>
  <c r="BD401" i="6"/>
  <c r="BC401" i="6"/>
  <c r="BB401" i="6"/>
  <c r="BE401" i="6" s="1"/>
  <c r="AZ401" i="6"/>
  <c r="BA401" i="6" s="1"/>
  <c r="AY401" i="6"/>
  <c r="AW401" i="6"/>
  <c r="AV401" i="6"/>
  <c r="AX401" i="6" s="1"/>
  <c r="AU401" i="6"/>
  <c r="AT401" i="6"/>
  <c r="AS401" i="6"/>
  <c r="AQ401" i="6"/>
  <c r="AP401" i="6"/>
  <c r="AN401" i="6"/>
  <c r="AO401" i="6" s="1"/>
  <c r="AM401" i="6"/>
  <c r="AK401" i="6"/>
  <c r="AL401" i="6" s="1"/>
  <c r="AI401" i="6"/>
  <c r="AJ401" i="6" s="1"/>
  <c r="AG401" i="6"/>
  <c r="AE401" i="6"/>
  <c r="AD401" i="6"/>
  <c r="AC401" i="6"/>
  <c r="AF401" i="6" s="1"/>
  <c r="AA401" i="6"/>
  <c r="Z401" i="6"/>
  <c r="Y401" i="6"/>
  <c r="W401" i="6"/>
  <c r="X401" i="6" s="1"/>
  <c r="V401" i="6"/>
  <c r="T401" i="6"/>
  <c r="S401" i="6"/>
  <c r="R401" i="6"/>
  <c r="P401" i="6"/>
  <c r="O401" i="6"/>
  <c r="N401" i="6"/>
  <c r="M401" i="6"/>
  <c r="Q401" i="6" s="1"/>
  <c r="J401" i="6"/>
  <c r="I401" i="6"/>
  <c r="H401" i="6"/>
  <c r="G401" i="6"/>
  <c r="F401" i="6"/>
  <c r="E401" i="6"/>
  <c r="D401" i="6"/>
  <c r="C401" i="6"/>
  <c r="B401" i="6"/>
  <c r="DW400" i="6"/>
  <c r="DP400" i="6"/>
  <c r="DM400" i="6"/>
  <c r="DL400" i="6"/>
  <c r="DK400" i="6"/>
  <c r="DN400" i="6" s="1"/>
  <c r="DJ400" i="6"/>
  <c r="DI400" i="6"/>
  <c r="DH400" i="6"/>
  <c r="DG400" i="6"/>
  <c r="DF400" i="6"/>
  <c r="DE400" i="6"/>
  <c r="DD400" i="6"/>
  <c r="DB400" i="6"/>
  <c r="DC400" i="6" s="1"/>
  <c r="DA400" i="6"/>
  <c r="CY400" i="6"/>
  <c r="CZ400" i="6" s="1"/>
  <c r="CX400" i="6"/>
  <c r="CW400" i="6"/>
  <c r="CV400" i="6"/>
  <c r="CT400" i="6"/>
  <c r="CU400" i="6" s="1"/>
  <c r="CR400" i="6"/>
  <c r="CQ400" i="6"/>
  <c r="CS400" i="6" s="1"/>
  <c r="CP400" i="6"/>
  <c r="CN400" i="6"/>
  <c r="CM400" i="6"/>
  <c r="CO400" i="6" s="1"/>
  <c r="CL400" i="6"/>
  <c r="CJ400" i="6"/>
  <c r="CI400" i="6"/>
  <c r="CK400" i="6" s="1"/>
  <c r="CH400" i="6"/>
  <c r="CG400" i="6"/>
  <c r="CF400" i="6"/>
  <c r="CE400" i="6"/>
  <c r="CD400" i="6"/>
  <c r="CC400" i="6"/>
  <c r="CB400" i="6"/>
  <c r="CA400" i="6"/>
  <c r="BZ400" i="6"/>
  <c r="BY400" i="6"/>
  <c r="BX400" i="6"/>
  <c r="BW400" i="6"/>
  <c r="BV400" i="6"/>
  <c r="BU400" i="6"/>
  <c r="BS400" i="6"/>
  <c r="BR400" i="6"/>
  <c r="BQ400" i="6"/>
  <c r="BO400" i="6"/>
  <c r="BP400" i="6" s="1"/>
  <c r="BM400" i="6"/>
  <c r="BL400" i="6"/>
  <c r="BK400" i="6"/>
  <c r="BJ400" i="6"/>
  <c r="BN400" i="6" s="1"/>
  <c r="BI400" i="6"/>
  <c r="BH400" i="6"/>
  <c r="BF400" i="6"/>
  <c r="BG400" i="6" s="1"/>
  <c r="BD400" i="6"/>
  <c r="BC400" i="6"/>
  <c r="BB400" i="6"/>
  <c r="BE400" i="6" s="1"/>
  <c r="BA400" i="6"/>
  <c r="AZ400" i="6"/>
  <c r="DQ400" i="6" s="1"/>
  <c r="AY400" i="6"/>
  <c r="AX400" i="6"/>
  <c r="AW400" i="6"/>
  <c r="AV400" i="6"/>
  <c r="AU400" i="6"/>
  <c r="AT400" i="6"/>
  <c r="AS400" i="6"/>
  <c r="AQ400" i="6"/>
  <c r="AP400" i="6"/>
  <c r="AR400" i="6" s="1"/>
  <c r="AO400" i="6"/>
  <c r="AN400" i="6"/>
  <c r="AM400" i="6"/>
  <c r="AK400" i="6"/>
  <c r="AL400" i="6" s="1"/>
  <c r="AJ400" i="6"/>
  <c r="AI400" i="6"/>
  <c r="AG400" i="6"/>
  <c r="AE400" i="6"/>
  <c r="AD400" i="6"/>
  <c r="AC400" i="6"/>
  <c r="AA400" i="6"/>
  <c r="AB400" i="6" s="1"/>
  <c r="Z400" i="6"/>
  <c r="DT400" i="6" s="1"/>
  <c r="Y400" i="6"/>
  <c r="X400" i="6"/>
  <c r="W400" i="6"/>
  <c r="V400" i="6"/>
  <c r="T400" i="6"/>
  <c r="R400" i="6"/>
  <c r="S400" i="6" s="1"/>
  <c r="Q400" i="6"/>
  <c r="P400" i="6"/>
  <c r="O400" i="6"/>
  <c r="N400" i="6"/>
  <c r="M400" i="6"/>
  <c r="J400" i="6"/>
  <c r="H400" i="6"/>
  <c r="G400" i="6"/>
  <c r="F400" i="6"/>
  <c r="E400" i="6"/>
  <c r="I400" i="6" s="1"/>
  <c r="D400" i="6"/>
  <c r="C400" i="6"/>
  <c r="B400" i="6"/>
  <c r="DW399" i="6"/>
  <c r="DM399" i="6"/>
  <c r="DL399" i="6"/>
  <c r="DK399" i="6"/>
  <c r="DN399" i="6" s="1"/>
  <c r="DJ399" i="6"/>
  <c r="DH399" i="6"/>
  <c r="DI399" i="6" s="1"/>
  <c r="DG399" i="6"/>
  <c r="DF399" i="6"/>
  <c r="DD399" i="6"/>
  <c r="DE399" i="6" s="1"/>
  <c r="DC399" i="6"/>
  <c r="DB399" i="6"/>
  <c r="DA399" i="6"/>
  <c r="CY399" i="6"/>
  <c r="CZ399" i="6" s="1"/>
  <c r="CX399" i="6"/>
  <c r="CV399" i="6"/>
  <c r="CW399" i="6" s="1"/>
  <c r="CT399" i="6"/>
  <c r="CU399" i="6" s="1"/>
  <c r="CR399" i="6"/>
  <c r="CQ399" i="6"/>
  <c r="CS399" i="6" s="1"/>
  <c r="CP399" i="6"/>
  <c r="CN399" i="6"/>
  <c r="CM399" i="6"/>
  <c r="CL399" i="6"/>
  <c r="CO399" i="6" s="1"/>
  <c r="CK399" i="6"/>
  <c r="CJ399" i="6"/>
  <c r="CI399" i="6"/>
  <c r="CH399" i="6"/>
  <c r="CG399" i="6"/>
  <c r="CE399" i="6"/>
  <c r="CF399" i="6" s="1"/>
  <c r="CD399" i="6"/>
  <c r="CB399" i="6"/>
  <c r="CC399" i="6" s="1"/>
  <c r="BZ399" i="6"/>
  <c r="BY399" i="6"/>
  <c r="BX399" i="6"/>
  <c r="BW399" i="6"/>
  <c r="CA399" i="6" s="1"/>
  <c r="BV399" i="6"/>
  <c r="BU399" i="6"/>
  <c r="BR399" i="6"/>
  <c r="BQ399" i="6"/>
  <c r="BS399" i="6" s="1"/>
  <c r="BO399" i="6"/>
  <c r="BP399" i="6" s="1"/>
  <c r="BM399" i="6"/>
  <c r="BL399" i="6"/>
  <c r="BK399" i="6"/>
  <c r="BN399" i="6" s="1"/>
  <c r="BJ399" i="6"/>
  <c r="BH399" i="6"/>
  <c r="BI399" i="6" s="1"/>
  <c r="BF399" i="6"/>
  <c r="BG399" i="6" s="1"/>
  <c r="BD399" i="6"/>
  <c r="BC399" i="6"/>
  <c r="BE399" i="6" s="1"/>
  <c r="BB399" i="6"/>
  <c r="AZ399" i="6"/>
  <c r="AY399" i="6"/>
  <c r="BA399" i="6" s="1"/>
  <c r="AW399" i="6"/>
  <c r="AX399" i="6" s="1"/>
  <c r="AV399" i="6"/>
  <c r="AU399" i="6"/>
  <c r="AT399" i="6"/>
  <c r="AS399" i="6"/>
  <c r="AR399" i="6"/>
  <c r="AQ399" i="6"/>
  <c r="AP399" i="6"/>
  <c r="AN399" i="6"/>
  <c r="AO399" i="6" s="1"/>
  <c r="AM399" i="6"/>
  <c r="AL399" i="6"/>
  <c r="AK399" i="6"/>
  <c r="AI399" i="6"/>
  <c r="AJ399" i="6" s="1"/>
  <c r="AG399" i="6"/>
  <c r="AF399" i="6"/>
  <c r="AE399" i="6"/>
  <c r="AD399" i="6"/>
  <c r="DR399" i="6" s="1"/>
  <c r="AC399" i="6"/>
  <c r="AA399" i="6"/>
  <c r="Z399" i="6"/>
  <c r="AB399" i="6" s="1"/>
  <c r="Y399" i="6"/>
  <c r="X399" i="6"/>
  <c r="W399" i="6"/>
  <c r="V399" i="6"/>
  <c r="T399" i="6"/>
  <c r="S399" i="6"/>
  <c r="R399" i="6"/>
  <c r="Q399" i="6"/>
  <c r="P399" i="6"/>
  <c r="O399" i="6"/>
  <c r="N399" i="6"/>
  <c r="M399" i="6"/>
  <c r="J399" i="6"/>
  <c r="H399" i="6"/>
  <c r="G399" i="6"/>
  <c r="DU399" i="6" s="1"/>
  <c r="F399" i="6"/>
  <c r="DV399" i="6" s="1"/>
  <c r="E399" i="6"/>
  <c r="D399" i="6"/>
  <c r="C399" i="6"/>
  <c r="B399" i="6"/>
  <c r="DW398" i="6"/>
  <c r="DP398" i="6"/>
  <c r="DM398" i="6"/>
  <c r="DL398" i="6"/>
  <c r="DK398" i="6"/>
  <c r="DN398" i="6" s="1"/>
  <c r="DJ398" i="6"/>
  <c r="DI398" i="6"/>
  <c r="DH398" i="6"/>
  <c r="DF398" i="6"/>
  <c r="DG398" i="6" s="1"/>
  <c r="DD398" i="6"/>
  <c r="DE398" i="6" s="1"/>
  <c r="DC398" i="6"/>
  <c r="DB398" i="6"/>
  <c r="DA398" i="6"/>
  <c r="CZ398" i="6"/>
  <c r="CY398" i="6"/>
  <c r="CX398" i="6"/>
  <c r="CW398" i="6"/>
  <c r="CV398" i="6"/>
  <c r="CU398" i="6"/>
  <c r="CT398" i="6"/>
  <c r="CR398" i="6"/>
  <c r="CQ398" i="6"/>
  <c r="CP398" i="6"/>
  <c r="CN398" i="6"/>
  <c r="CM398" i="6"/>
  <c r="CL398" i="6"/>
  <c r="CO398" i="6" s="1"/>
  <c r="CK398" i="6"/>
  <c r="CJ398" i="6"/>
  <c r="CI398" i="6"/>
  <c r="CG398" i="6"/>
  <c r="CH398" i="6" s="1"/>
  <c r="CF398" i="6"/>
  <c r="CE398" i="6"/>
  <c r="CD398" i="6"/>
  <c r="CB398" i="6"/>
  <c r="CC398" i="6" s="1"/>
  <c r="BZ398" i="6"/>
  <c r="BY398" i="6"/>
  <c r="BX398" i="6"/>
  <c r="BW398" i="6"/>
  <c r="CA398" i="6" s="1"/>
  <c r="BU398" i="6"/>
  <c r="BV398" i="6" s="1"/>
  <c r="BR398" i="6"/>
  <c r="BQ398" i="6"/>
  <c r="BS398" i="6" s="1"/>
  <c r="BO398" i="6"/>
  <c r="BP398" i="6" s="1"/>
  <c r="BN398" i="6"/>
  <c r="BM398" i="6"/>
  <c r="BL398" i="6"/>
  <c r="BK398" i="6"/>
  <c r="BJ398" i="6"/>
  <c r="BI398" i="6"/>
  <c r="BH398" i="6"/>
  <c r="BG398" i="6"/>
  <c r="BF398" i="6"/>
  <c r="BD398" i="6"/>
  <c r="BC398" i="6"/>
  <c r="BB398" i="6"/>
  <c r="BE398" i="6" s="1"/>
  <c r="AZ398" i="6"/>
  <c r="AY398" i="6"/>
  <c r="BA398" i="6" s="1"/>
  <c r="AW398" i="6"/>
  <c r="AV398" i="6"/>
  <c r="AX398" i="6" s="1"/>
  <c r="AT398" i="6"/>
  <c r="AS398" i="6"/>
  <c r="AU398" i="6" s="1"/>
  <c r="AR398" i="6"/>
  <c r="AQ398" i="6"/>
  <c r="AP398" i="6"/>
  <c r="AN398" i="6"/>
  <c r="AM398" i="6"/>
  <c r="AK398" i="6"/>
  <c r="AL398" i="6" s="1"/>
  <c r="AI398" i="6"/>
  <c r="AJ398" i="6" s="1"/>
  <c r="AG398" i="6"/>
  <c r="AE398" i="6"/>
  <c r="AD398" i="6"/>
  <c r="AC398" i="6"/>
  <c r="AA398" i="6"/>
  <c r="Z398" i="6"/>
  <c r="AB398" i="6" s="1"/>
  <c r="Y398" i="6"/>
  <c r="W398" i="6"/>
  <c r="V398" i="6"/>
  <c r="T398" i="6"/>
  <c r="S398" i="6"/>
  <c r="R398" i="6"/>
  <c r="P398" i="6"/>
  <c r="O398" i="6"/>
  <c r="N398" i="6"/>
  <c r="M398" i="6"/>
  <c r="Q398" i="6" s="1"/>
  <c r="J398" i="6"/>
  <c r="H398" i="6"/>
  <c r="DQ398" i="6" s="1"/>
  <c r="G398" i="6"/>
  <c r="F398" i="6"/>
  <c r="DV398" i="6" s="1"/>
  <c r="E398" i="6"/>
  <c r="D398" i="6"/>
  <c r="C398" i="6"/>
  <c r="B398" i="6"/>
  <c r="DW397" i="6"/>
  <c r="DQ397" i="6"/>
  <c r="DM397" i="6"/>
  <c r="DL397" i="6"/>
  <c r="DN397" i="6" s="1"/>
  <c r="DK397" i="6"/>
  <c r="DJ397" i="6"/>
  <c r="DI397" i="6"/>
  <c r="DH397" i="6"/>
  <c r="DF397" i="6"/>
  <c r="DG397" i="6" s="1"/>
  <c r="DE397" i="6"/>
  <c r="DD397" i="6"/>
  <c r="DB397" i="6"/>
  <c r="DA397" i="6"/>
  <c r="DC397" i="6" s="1"/>
  <c r="CY397" i="6"/>
  <c r="CZ397" i="6" s="1"/>
  <c r="CX397" i="6"/>
  <c r="CV397" i="6"/>
  <c r="CW397" i="6" s="1"/>
  <c r="CT397" i="6"/>
  <c r="CU397" i="6" s="1"/>
  <c r="CR397" i="6"/>
  <c r="CQ397" i="6"/>
  <c r="CP397" i="6"/>
  <c r="CS397" i="6" s="1"/>
  <c r="CN397" i="6"/>
  <c r="CM397" i="6"/>
  <c r="CO397" i="6" s="1"/>
  <c r="CL397" i="6"/>
  <c r="CJ397" i="6"/>
  <c r="CI397" i="6"/>
  <c r="CK397" i="6" s="1"/>
  <c r="CH397" i="6"/>
  <c r="CG397" i="6"/>
  <c r="CE397" i="6"/>
  <c r="CF397" i="6" s="1"/>
  <c r="CD397" i="6"/>
  <c r="CC397" i="6"/>
  <c r="CB397" i="6"/>
  <c r="BZ397" i="6"/>
  <c r="BY397" i="6"/>
  <c r="BX397" i="6"/>
  <c r="BW397" i="6"/>
  <c r="BV397" i="6"/>
  <c r="BU397" i="6"/>
  <c r="BR397" i="6"/>
  <c r="BQ397" i="6"/>
  <c r="BS397" i="6" s="1"/>
  <c r="BP397" i="6"/>
  <c r="BO397" i="6"/>
  <c r="BN397" i="6"/>
  <c r="BM397" i="6"/>
  <c r="BL397" i="6"/>
  <c r="BK397" i="6"/>
  <c r="BJ397" i="6"/>
  <c r="BH397" i="6"/>
  <c r="BI397" i="6" s="1"/>
  <c r="BF397" i="6"/>
  <c r="BG397" i="6" s="1"/>
  <c r="BD397" i="6"/>
  <c r="BC397" i="6"/>
  <c r="BB397" i="6"/>
  <c r="BE397" i="6" s="1"/>
  <c r="AZ397" i="6"/>
  <c r="AY397" i="6"/>
  <c r="BA397" i="6" s="1"/>
  <c r="AW397" i="6"/>
  <c r="AV397" i="6"/>
  <c r="AX397" i="6" s="1"/>
  <c r="AU397" i="6"/>
  <c r="AT397" i="6"/>
  <c r="AS397" i="6"/>
  <c r="AQ397" i="6"/>
  <c r="AP397" i="6"/>
  <c r="AR397" i="6" s="1"/>
  <c r="AN397" i="6"/>
  <c r="AM397" i="6"/>
  <c r="AO397" i="6" s="1"/>
  <c r="AL397" i="6"/>
  <c r="AK397" i="6"/>
  <c r="AJ397" i="6"/>
  <c r="AI397" i="6"/>
  <c r="AG397" i="6"/>
  <c r="AE397" i="6"/>
  <c r="AD397" i="6"/>
  <c r="AC397" i="6"/>
  <c r="AA397" i="6"/>
  <c r="Z397" i="6"/>
  <c r="AB397" i="6" s="1"/>
  <c r="Y397" i="6"/>
  <c r="W397" i="6"/>
  <c r="V397" i="6"/>
  <c r="T397" i="6"/>
  <c r="S397" i="6"/>
  <c r="R397" i="6"/>
  <c r="P397" i="6"/>
  <c r="O397" i="6"/>
  <c r="N397" i="6"/>
  <c r="DV397" i="6" s="1"/>
  <c r="M397" i="6"/>
  <c r="Q397" i="6" s="1"/>
  <c r="J397" i="6"/>
  <c r="H397" i="6"/>
  <c r="G397" i="6"/>
  <c r="F397" i="6"/>
  <c r="E397" i="6"/>
  <c r="D397" i="6"/>
  <c r="C397" i="6"/>
  <c r="B397" i="6"/>
  <c r="DW396" i="6"/>
  <c r="DP396" i="6"/>
  <c r="DM396" i="6"/>
  <c r="DL396" i="6"/>
  <c r="DK396" i="6"/>
  <c r="DJ396" i="6"/>
  <c r="DI396" i="6"/>
  <c r="DH396" i="6"/>
  <c r="DF396" i="6"/>
  <c r="DG396" i="6" s="1"/>
  <c r="DE396" i="6"/>
  <c r="DD396" i="6"/>
  <c r="DB396" i="6"/>
  <c r="DA396" i="6"/>
  <c r="DC396" i="6" s="1"/>
  <c r="CZ396" i="6"/>
  <c r="CY396" i="6"/>
  <c r="CX396" i="6"/>
  <c r="CV396" i="6"/>
  <c r="CW396" i="6" s="1"/>
  <c r="CU396" i="6"/>
  <c r="CT396" i="6"/>
  <c r="CS396" i="6"/>
  <c r="CR396" i="6"/>
  <c r="CQ396" i="6"/>
  <c r="CP396" i="6"/>
  <c r="CN396" i="6"/>
  <c r="CM396" i="6"/>
  <c r="CO396" i="6" s="1"/>
  <c r="CL396" i="6"/>
  <c r="CJ396" i="6"/>
  <c r="CI396" i="6"/>
  <c r="CK396" i="6" s="1"/>
  <c r="CH396" i="6"/>
  <c r="CG396" i="6"/>
  <c r="CE396" i="6"/>
  <c r="CD396" i="6"/>
  <c r="CF396" i="6" s="1"/>
  <c r="CB396" i="6"/>
  <c r="CC396" i="6" s="1"/>
  <c r="BZ396" i="6"/>
  <c r="BY396" i="6"/>
  <c r="BX396" i="6"/>
  <c r="BW396" i="6"/>
  <c r="CA396" i="6" s="1"/>
  <c r="BU396" i="6"/>
  <c r="BV396" i="6" s="1"/>
  <c r="BS396" i="6"/>
  <c r="BR396" i="6"/>
  <c r="BQ396" i="6"/>
  <c r="BP396" i="6"/>
  <c r="BO396" i="6"/>
  <c r="BM396" i="6"/>
  <c r="BL396" i="6"/>
  <c r="BN396" i="6" s="1"/>
  <c r="BK396" i="6"/>
  <c r="BJ396" i="6"/>
  <c r="BH396" i="6"/>
  <c r="BI396" i="6" s="1"/>
  <c r="BG396" i="6"/>
  <c r="BF396" i="6"/>
  <c r="BD396" i="6"/>
  <c r="BC396" i="6"/>
  <c r="BB396" i="6"/>
  <c r="BE396" i="6" s="1"/>
  <c r="AZ396" i="6"/>
  <c r="AY396" i="6"/>
  <c r="AW396" i="6"/>
  <c r="AV396" i="6"/>
  <c r="AX396" i="6" s="1"/>
  <c r="AT396" i="6"/>
  <c r="AS396" i="6"/>
  <c r="AU396" i="6" s="1"/>
  <c r="AR396" i="6"/>
  <c r="AQ396" i="6"/>
  <c r="AP396" i="6"/>
  <c r="AO396" i="6"/>
  <c r="AN396" i="6"/>
  <c r="AM396" i="6"/>
  <c r="AK396" i="6"/>
  <c r="AI396" i="6"/>
  <c r="AJ396" i="6" s="1"/>
  <c r="AG396" i="6"/>
  <c r="AE396" i="6"/>
  <c r="AD396" i="6"/>
  <c r="AC396" i="6"/>
  <c r="AA396" i="6"/>
  <c r="Z396" i="6"/>
  <c r="AB396" i="6" s="1"/>
  <c r="Y396" i="6"/>
  <c r="W396" i="6"/>
  <c r="V396" i="6"/>
  <c r="T396" i="6"/>
  <c r="S396" i="6"/>
  <c r="R396" i="6"/>
  <c r="Q396" i="6"/>
  <c r="P396" i="6"/>
  <c r="O396" i="6"/>
  <c r="N396" i="6"/>
  <c r="M396" i="6"/>
  <c r="J396" i="6"/>
  <c r="H396" i="6"/>
  <c r="G396" i="6"/>
  <c r="F396" i="6"/>
  <c r="E396" i="6"/>
  <c r="D396" i="6"/>
  <c r="C396" i="6"/>
  <c r="B396" i="6"/>
  <c r="DW395" i="6"/>
  <c r="DV395" i="6"/>
  <c r="DM395" i="6"/>
  <c r="DL395" i="6"/>
  <c r="DK395" i="6"/>
  <c r="DN395" i="6" s="1"/>
  <c r="DJ395" i="6"/>
  <c r="DI395" i="6"/>
  <c r="DH395" i="6"/>
  <c r="DF395" i="6"/>
  <c r="DG395" i="6" s="1"/>
  <c r="DE395" i="6"/>
  <c r="DD395" i="6"/>
  <c r="DC395" i="6"/>
  <c r="DB395" i="6"/>
  <c r="DA395" i="6"/>
  <c r="CY395" i="6"/>
  <c r="CZ395" i="6" s="1"/>
  <c r="CX395" i="6"/>
  <c r="CW395" i="6"/>
  <c r="CV395" i="6"/>
  <c r="CT395" i="6"/>
  <c r="CU395" i="6" s="1"/>
  <c r="CR395" i="6"/>
  <c r="CQ395" i="6"/>
  <c r="CP395" i="6"/>
  <c r="CS395" i="6" s="1"/>
  <c r="CN395" i="6"/>
  <c r="CM395" i="6"/>
  <c r="CO395" i="6" s="1"/>
  <c r="CL395" i="6"/>
  <c r="CJ395" i="6"/>
  <c r="CK395" i="6" s="1"/>
  <c r="CI395" i="6"/>
  <c r="CG395" i="6"/>
  <c r="CH395" i="6" s="1"/>
  <c r="CE395" i="6"/>
  <c r="CD395" i="6"/>
  <c r="CF395" i="6" s="1"/>
  <c r="CC395" i="6"/>
  <c r="CB395" i="6"/>
  <c r="BZ395" i="6"/>
  <c r="BY395" i="6"/>
  <c r="BX395" i="6"/>
  <c r="CA395" i="6" s="1"/>
  <c r="BW395" i="6"/>
  <c r="BV395" i="6"/>
  <c r="BU395" i="6"/>
  <c r="BR395" i="6"/>
  <c r="BQ395" i="6"/>
  <c r="BS395" i="6" s="1"/>
  <c r="BO395" i="6"/>
  <c r="BP395" i="6" s="1"/>
  <c r="BM395" i="6"/>
  <c r="BL395" i="6"/>
  <c r="BK395" i="6"/>
  <c r="BJ395" i="6"/>
  <c r="BN395" i="6" s="1"/>
  <c r="BH395" i="6"/>
  <c r="BI395" i="6" s="1"/>
  <c r="BG395" i="6"/>
  <c r="BF395" i="6"/>
  <c r="BD395" i="6"/>
  <c r="BE395" i="6" s="1"/>
  <c r="BC395" i="6"/>
  <c r="BB395" i="6"/>
  <c r="AZ395" i="6"/>
  <c r="AY395" i="6"/>
  <c r="BA395" i="6" s="1"/>
  <c r="AW395" i="6"/>
  <c r="AV395" i="6"/>
  <c r="AT395" i="6"/>
  <c r="AU395" i="6" s="1"/>
  <c r="AS395" i="6"/>
  <c r="AQ395" i="6"/>
  <c r="AP395" i="6"/>
  <c r="AR395" i="6" s="1"/>
  <c r="AN395" i="6"/>
  <c r="AO395" i="6" s="1"/>
  <c r="AM395" i="6"/>
  <c r="AK395" i="6"/>
  <c r="AL395" i="6" s="1"/>
  <c r="AJ395" i="6"/>
  <c r="AI395" i="6"/>
  <c r="AG395" i="6"/>
  <c r="AE395" i="6"/>
  <c r="AD395" i="6"/>
  <c r="AC395" i="6"/>
  <c r="DS395" i="6" s="1"/>
  <c r="AB395" i="6"/>
  <c r="AA395" i="6"/>
  <c r="Z395" i="6"/>
  <c r="Y395" i="6"/>
  <c r="X395" i="6"/>
  <c r="W395" i="6"/>
  <c r="V395" i="6"/>
  <c r="T395" i="6"/>
  <c r="R395" i="6"/>
  <c r="DU395" i="6" s="1"/>
  <c r="P395" i="6"/>
  <c r="O395" i="6"/>
  <c r="N395" i="6"/>
  <c r="M395" i="6"/>
  <c r="J395" i="6"/>
  <c r="H395" i="6"/>
  <c r="G395" i="6"/>
  <c r="F395" i="6"/>
  <c r="E395" i="6"/>
  <c r="I395" i="6" s="1"/>
  <c r="D395" i="6"/>
  <c r="C395" i="6"/>
  <c r="B395" i="6"/>
  <c r="DW394" i="6"/>
  <c r="DP394" i="6"/>
  <c r="DM394" i="6"/>
  <c r="DV394" i="6" s="1"/>
  <c r="DL394" i="6"/>
  <c r="DK394" i="6"/>
  <c r="DJ394" i="6"/>
  <c r="DI394" i="6"/>
  <c r="DH394" i="6"/>
  <c r="DF394" i="6"/>
  <c r="DG394" i="6" s="1"/>
  <c r="DE394" i="6"/>
  <c r="DD394" i="6"/>
  <c r="DC394" i="6"/>
  <c r="DB394" i="6"/>
  <c r="DA394" i="6"/>
  <c r="CY394" i="6"/>
  <c r="CX394" i="6"/>
  <c r="CV394" i="6"/>
  <c r="CW394" i="6" s="1"/>
  <c r="CT394" i="6"/>
  <c r="CU394" i="6" s="1"/>
  <c r="CR394" i="6"/>
  <c r="CQ394" i="6"/>
  <c r="CS394" i="6" s="1"/>
  <c r="CP394" i="6"/>
  <c r="CN394" i="6"/>
  <c r="CM394" i="6"/>
  <c r="CL394" i="6"/>
  <c r="CO394" i="6" s="1"/>
  <c r="CK394" i="6"/>
  <c r="CJ394" i="6"/>
  <c r="CI394" i="6"/>
  <c r="CH394" i="6"/>
  <c r="CG394" i="6"/>
  <c r="CF394" i="6"/>
  <c r="CE394" i="6"/>
  <c r="CD394" i="6"/>
  <c r="CC394" i="6"/>
  <c r="CB394" i="6"/>
  <c r="BZ394" i="6"/>
  <c r="BY394" i="6"/>
  <c r="BX394" i="6"/>
  <c r="BW394" i="6"/>
  <c r="CA394" i="6" s="1"/>
  <c r="BU394" i="6"/>
  <c r="BV394" i="6" s="1"/>
  <c r="BR394" i="6"/>
  <c r="BQ394" i="6"/>
  <c r="BP394" i="6"/>
  <c r="BO394" i="6"/>
  <c r="BM394" i="6"/>
  <c r="BL394" i="6"/>
  <c r="BK394" i="6"/>
  <c r="BN394" i="6" s="1"/>
  <c r="BJ394" i="6"/>
  <c r="BI394" i="6"/>
  <c r="BH394" i="6"/>
  <c r="BF394" i="6"/>
  <c r="BG394" i="6" s="1"/>
  <c r="BE394" i="6"/>
  <c r="BD394" i="6"/>
  <c r="BC394" i="6"/>
  <c r="BB394" i="6"/>
  <c r="AZ394" i="6"/>
  <c r="AY394" i="6"/>
  <c r="BA394" i="6" s="1"/>
  <c r="AX394" i="6"/>
  <c r="AW394" i="6"/>
  <c r="AV394" i="6"/>
  <c r="AT394" i="6"/>
  <c r="AU394" i="6" s="1"/>
  <c r="AS394" i="6"/>
  <c r="AR394" i="6"/>
  <c r="AQ394" i="6"/>
  <c r="AP394" i="6"/>
  <c r="AN394" i="6"/>
  <c r="AM394" i="6"/>
  <c r="AK394" i="6"/>
  <c r="AL394" i="6" s="1"/>
  <c r="AJ394" i="6"/>
  <c r="AI394" i="6"/>
  <c r="AG394" i="6"/>
  <c r="AE394" i="6"/>
  <c r="AD394" i="6"/>
  <c r="AC394" i="6"/>
  <c r="AA394" i="6"/>
  <c r="Z394" i="6"/>
  <c r="Y394" i="6"/>
  <c r="W394" i="6"/>
  <c r="X394" i="6" s="1"/>
  <c r="V394" i="6"/>
  <c r="T394" i="6"/>
  <c r="S394" i="6"/>
  <c r="R394" i="6"/>
  <c r="P394" i="6"/>
  <c r="O394" i="6"/>
  <c r="N394" i="6"/>
  <c r="M394" i="6"/>
  <c r="J394" i="6"/>
  <c r="I394" i="6"/>
  <c r="H394" i="6"/>
  <c r="G394" i="6"/>
  <c r="F394" i="6"/>
  <c r="E394" i="6"/>
  <c r="D394" i="6"/>
  <c r="C394" i="6"/>
  <c r="B394" i="6"/>
  <c r="DW393" i="6"/>
  <c r="DM393" i="6"/>
  <c r="DL393" i="6"/>
  <c r="DK393" i="6"/>
  <c r="DJ393" i="6"/>
  <c r="DN393" i="6" s="1"/>
  <c r="DH393" i="6"/>
  <c r="DI393" i="6" s="1"/>
  <c r="DF393" i="6"/>
  <c r="DG393" i="6" s="1"/>
  <c r="DE393" i="6"/>
  <c r="DD393" i="6"/>
  <c r="DB393" i="6"/>
  <c r="DA393" i="6"/>
  <c r="DC393" i="6" s="1"/>
  <c r="CY393" i="6"/>
  <c r="CX393" i="6"/>
  <c r="CW393" i="6"/>
  <c r="CV393" i="6"/>
  <c r="CU393" i="6"/>
  <c r="CT393" i="6"/>
  <c r="CR393" i="6"/>
  <c r="CQ393" i="6"/>
  <c r="CP393" i="6"/>
  <c r="CS393" i="6" s="1"/>
  <c r="CN393" i="6"/>
  <c r="CM393" i="6"/>
  <c r="CL393" i="6"/>
  <c r="CJ393" i="6"/>
  <c r="CI393" i="6"/>
  <c r="CG393" i="6"/>
  <c r="CH393" i="6" s="1"/>
  <c r="CE393" i="6"/>
  <c r="CF393" i="6" s="1"/>
  <c r="CD393" i="6"/>
  <c r="CB393" i="6"/>
  <c r="CC393" i="6" s="1"/>
  <c r="CA393" i="6"/>
  <c r="BZ393" i="6"/>
  <c r="BY393" i="6"/>
  <c r="BX393" i="6"/>
  <c r="BW393" i="6"/>
  <c r="BV393" i="6"/>
  <c r="BU393" i="6"/>
  <c r="BR393" i="6"/>
  <c r="BQ393" i="6"/>
  <c r="BS393" i="6" s="1"/>
  <c r="BO393" i="6"/>
  <c r="BP393" i="6" s="1"/>
  <c r="BM393" i="6"/>
  <c r="BL393" i="6"/>
  <c r="BK393" i="6"/>
  <c r="BN393" i="6" s="1"/>
  <c r="BJ393" i="6"/>
  <c r="BH393" i="6"/>
  <c r="BI393" i="6" s="1"/>
  <c r="BF393" i="6"/>
  <c r="BG393" i="6" s="1"/>
  <c r="BE393" i="6"/>
  <c r="BD393" i="6"/>
  <c r="BC393" i="6"/>
  <c r="BB393" i="6"/>
  <c r="AZ393" i="6"/>
  <c r="AY393" i="6"/>
  <c r="BA393" i="6" s="1"/>
  <c r="AW393" i="6"/>
  <c r="AV393" i="6"/>
  <c r="AU393" i="6"/>
  <c r="AT393" i="6"/>
  <c r="AS393" i="6"/>
  <c r="AR393" i="6"/>
  <c r="AQ393" i="6"/>
  <c r="AP393" i="6"/>
  <c r="AN393" i="6"/>
  <c r="AM393" i="6"/>
  <c r="AL393" i="6"/>
  <c r="AK393" i="6"/>
  <c r="AI393" i="6"/>
  <c r="AJ393" i="6" s="1"/>
  <c r="AG393" i="6"/>
  <c r="AE393" i="6"/>
  <c r="AF393" i="6" s="1"/>
  <c r="AD393" i="6"/>
  <c r="AC393" i="6"/>
  <c r="AA393" i="6"/>
  <c r="Z393" i="6"/>
  <c r="AB393" i="6" s="1"/>
  <c r="Y393" i="6"/>
  <c r="W393" i="6"/>
  <c r="V393" i="6"/>
  <c r="T393" i="6"/>
  <c r="R393" i="6"/>
  <c r="S393" i="6" s="1"/>
  <c r="Q393" i="6"/>
  <c r="P393" i="6"/>
  <c r="O393" i="6"/>
  <c r="N393" i="6"/>
  <c r="M393" i="6"/>
  <c r="J393" i="6"/>
  <c r="I393" i="6"/>
  <c r="H393" i="6"/>
  <c r="G393" i="6"/>
  <c r="F393" i="6"/>
  <c r="E393" i="6"/>
  <c r="DP393" i="6" s="1"/>
  <c r="D393" i="6"/>
  <c r="C393" i="6"/>
  <c r="B393" i="6"/>
  <c r="DW392" i="6"/>
  <c r="DS392" i="6"/>
  <c r="DM392" i="6"/>
  <c r="DL392" i="6"/>
  <c r="DK392" i="6"/>
  <c r="DJ392" i="6"/>
  <c r="DI392" i="6"/>
  <c r="DH392" i="6"/>
  <c r="DF392" i="6"/>
  <c r="DG392" i="6" s="1"/>
  <c r="DE392" i="6"/>
  <c r="DD392" i="6"/>
  <c r="DB392" i="6"/>
  <c r="DA392" i="6"/>
  <c r="DC392" i="6" s="1"/>
  <c r="CZ392" i="6"/>
  <c r="CY392" i="6"/>
  <c r="CX392" i="6"/>
  <c r="CV392" i="6"/>
  <c r="CW392" i="6" s="1"/>
  <c r="CT392" i="6"/>
  <c r="CU392" i="6" s="1"/>
  <c r="CR392" i="6"/>
  <c r="CQ392" i="6"/>
  <c r="CP392" i="6"/>
  <c r="CS392" i="6" s="1"/>
  <c r="CN392" i="6"/>
  <c r="CM392" i="6"/>
  <c r="CL392" i="6"/>
  <c r="CO392" i="6" s="1"/>
  <c r="CK392" i="6"/>
  <c r="CJ392" i="6"/>
  <c r="CI392" i="6"/>
  <c r="CG392" i="6"/>
  <c r="CH392" i="6" s="1"/>
  <c r="CE392" i="6"/>
  <c r="CD392" i="6"/>
  <c r="CF392" i="6" s="1"/>
  <c r="CB392" i="6"/>
  <c r="CC392" i="6" s="1"/>
  <c r="BZ392" i="6"/>
  <c r="CA392" i="6" s="1"/>
  <c r="BY392" i="6"/>
  <c r="BX392" i="6"/>
  <c r="BW392" i="6"/>
  <c r="BU392" i="6"/>
  <c r="BV392" i="6" s="1"/>
  <c r="BR392" i="6"/>
  <c r="BQ392" i="6"/>
  <c r="BS392" i="6" s="1"/>
  <c r="BO392" i="6"/>
  <c r="BP392" i="6" s="1"/>
  <c r="BN392" i="6"/>
  <c r="BM392" i="6"/>
  <c r="BL392" i="6"/>
  <c r="BK392" i="6"/>
  <c r="BJ392" i="6"/>
  <c r="BH392" i="6"/>
  <c r="BI392" i="6" s="1"/>
  <c r="BG392" i="6"/>
  <c r="BF392" i="6"/>
  <c r="BD392" i="6"/>
  <c r="BC392" i="6"/>
  <c r="BB392" i="6"/>
  <c r="BE392" i="6" s="1"/>
  <c r="BA392" i="6"/>
  <c r="AZ392" i="6"/>
  <c r="AY392" i="6"/>
  <c r="AW392" i="6"/>
  <c r="AV392" i="6"/>
  <c r="AX392" i="6" s="1"/>
  <c r="AT392" i="6"/>
  <c r="AS392" i="6"/>
  <c r="AU392" i="6" s="1"/>
  <c r="AQ392" i="6"/>
  <c r="AP392" i="6"/>
  <c r="AR392" i="6" s="1"/>
  <c r="AN392" i="6"/>
  <c r="AM392" i="6"/>
  <c r="AO392" i="6" s="1"/>
  <c r="AL392" i="6"/>
  <c r="AK392" i="6"/>
  <c r="AI392" i="6"/>
  <c r="AJ392" i="6" s="1"/>
  <c r="AG392" i="6"/>
  <c r="AF392" i="6"/>
  <c r="AE392" i="6"/>
  <c r="AD392" i="6"/>
  <c r="AC392" i="6"/>
  <c r="AA392" i="6"/>
  <c r="Z392" i="6"/>
  <c r="AB392" i="6" s="1"/>
  <c r="Y392" i="6"/>
  <c r="W392" i="6"/>
  <c r="V392" i="6"/>
  <c r="T392" i="6"/>
  <c r="R392" i="6"/>
  <c r="S392" i="6" s="1"/>
  <c r="P392" i="6"/>
  <c r="O392" i="6"/>
  <c r="N392" i="6"/>
  <c r="M392" i="6"/>
  <c r="J392" i="6"/>
  <c r="H392" i="6"/>
  <c r="G392" i="6"/>
  <c r="F392" i="6"/>
  <c r="E392" i="6"/>
  <c r="I392" i="6" s="1"/>
  <c r="D392" i="6"/>
  <c r="C392" i="6"/>
  <c r="B392" i="6"/>
  <c r="DW391" i="6"/>
  <c r="DM391" i="6"/>
  <c r="DL391" i="6"/>
  <c r="DK391" i="6"/>
  <c r="DJ391" i="6"/>
  <c r="DH391" i="6"/>
  <c r="DI391" i="6" s="1"/>
  <c r="DF391" i="6"/>
  <c r="DG391" i="6" s="1"/>
  <c r="DD391" i="6"/>
  <c r="DE391" i="6" s="1"/>
  <c r="DB391" i="6"/>
  <c r="DC391" i="6" s="1"/>
  <c r="DA391" i="6"/>
  <c r="CZ391" i="6"/>
  <c r="CY391" i="6"/>
  <c r="CX391" i="6"/>
  <c r="CV391" i="6"/>
  <c r="CW391" i="6" s="1"/>
  <c r="CU391" i="6"/>
  <c r="CT391" i="6"/>
  <c r="CR391" i="6"/>
  <c r="CQ391" i="6"/>
  <c r="CP391" i="6"/>
  <c r="CS391" i="6" s="1"/>
  <c r="CN391" i="6"/>
  <c r="CM391" i="6"/>
  <c r="CL391" i="6"/>
  <c r="CO391" i="6" s="1"/>
  <c r="CJ391" i="6"/>
  <c r="CI391" i="6"/>
  <c r="CH391" i="6"/>
  <c r="CG391" i="6"/>
  <c r="CE391" i="6"/>
  <c r="CD391" i="6"/>
  <c r="CF391" i="6" s="1"/>
  <c r="CC391" i="6"/>
  <c r="CB391" i="6"/>
  <c r="BZ391" i="6"/>
  <c r="BY391" i="6"/>
  <c r="BX391" i="6"/>
  <c r="BW391" i="6"/>
  <c r="BV391" i="6"/>
  <c r="BU391" i="6"/>
  <c r="BR391" i="6"/>
  <c r="BQ391" i="6"/>
  <c r="BS391" i="6" s="1"/>
  <c r="BO391" i="6"/>
  <c r="BP391" i="6" s="1"/>
  <c r="BM391" i="6"/>
  <c r="BL391" i="6"/>
  <c r="BK391" i="6"/>
  <c r="BJ391" i="6"/>
  <c r="BN391" i="6" s="1"/>
  <c r="BH391" i="6"/>
  <c r="BI391" i="6" s="1"/>
  <c r="BG391" i="6"/>
  <c r="BF391" i="6"/>
  <c r="BD391" i="6"/>
  <c r="BC391" i="6"/>
  <c r="BB391" i="6"/>
  <c r="BE391" i="6" s="1"/>
  <c r="AZ391" i="6"/>
  <c r="BA391" i="6" s="1"/>
  <c r="AY391" i="6"/>
  <c r="AW391" i="6"/>
  <c r="AV391" i="6"/>
  <c r="AT391" i="6"/>
  <c r="AS391" i="6"/>
  <c r="AU391" i="6" s="1"/>
  <c r="AQ391" i="6"/>
  <c r="AP391" i="6"/>
  <c r="AR391" i="6" s="1"/>
  <c r="AN391" i="6"/>
  <c r="AM391" i="6"/>
  <c r="AO391" i="6" s="1"/>
  <c r="AK391" i="6"/>
  <c r="AJ391" i="6"/>
  <c r="AI391" i="6"/>
  <c r="AG391" i="6"/>
  <c r="AF391" i="6"/>
  <c r="AE391" i="6"/>
  <c r="AD391" i="6"/>
  <c r="AC391" i="6"/>
  <c r="AA391" i="6"/>
  <c r="Z391" i="6"/>
  <c r="AB391" i="6" s="1"/>
  <c r="Y391" i="6"/>
  <c r="X391" i="6"/>
  <c r="W391" i="6"/>
  <c r="V391" i="6"/>
  <c r="T391" i="6"/>
  <c r="R391" i="6"/>
  <c r="S391" i="6" s="1"/>
  <c r="P391" i="6"/>
  <c r="O391" i="6"/>
  <c r="N391" i="6"/>
  <c r="Q391" i="6" s="1"/>
  <c r="M391" i="6"/>
  <c r="J391" i="6"/>
  <c r="H391" i="6"/>
  <c r="G391" i="6"/>
  <c r="F391" i="6"/>
  <c r="DV391" i="6" s="1"/>
  <c r="E391" i="6"/>
  <c r="D391" i="6"/>
  <c r="C391" i="6"/>
  <c r="B391" i="6"/>
  <c r="DW390" i="6"/>
  <c r="DM390" i="6"/>
  <c r="DL390" i="6"/>
  <c r="DK390" i="6"/>
  <c r="DN390" i="6" s="1"/>
  <c r="DJ390" i="6"/>
  <c r="DI390" i="6"/>
  <c r="DH390" i="6"/>
  <c r="DF390" i="6"/>
  <c r="DG390" i="6" s="1"/>
  <c r="DD390" i="6"/>
  <c r="DE390" i="6" s="1"/>
  <c r="DB390" i="6"/>
  <c r="DC390" i="6" s="1"/>
  <c r="DA390" i="6"/>
  <c r="CY390" i="6"/>
  <c r="CZ390" i="6" s="1"/>
  <c r="CX390" i="6"/>
  <c r="DQ390" i="6" s="1"/>
  <c r="CV390" i="6"/>
  <c r="CW390" i="6" s="1"/>
  <c r="CT390" i="6"/>
  <c r="CU390" i="6" s="1"/>
  <c r="CR390" i="6"/>
  <c r="CS390" i="6" s="1"/>
  <c r="CQ390" i="6"/>
  <c r="CP390" i="6"/>
  <c r="CO390" i="6"/>
  <c r="CN390" i="6"/>
  <c r="CM390" i="6"/>
  <c r="CL390" i="6"/>
  <c r="CJ390" i="6"/>
  <c r="CK390" i="6" s="1"/>
  <c r="CI390" i="6"/>
  <c r="CH390" i="6"/>
  <c r="CG390" i="6"/>
  <c r="CE390" i="6"/>
  <c r="CD390" i="6"/>
  <c r="CF390" i="6" s="1"/>
  <c r="CB390" i="6"/>
  <c r="CC390" i="6" s="1"/>
  <c r="BZ390" i="6"/>
  <c r="BY390" i="6"/>
  <c r="BX390" i="6"/>
  <c r="BW390" i="6"/>
  <c r="BV390" i="6"/>
  <c r="BU390" i="6"/>
  <c r="BR390" i="6"/>
  <c r="BQ390" i="6"/>
  <c r="BS390" i="6" s="1"/>
  <c r="BP390" i="6"/>
  <c r="BO390" i="6"/>
  <c r="BM390" i="6"/>
  <c r="BL390" i="6"/>
  <c r="BK390" i="6"/>
  <c r="BN390" i="6" s="1"/>
  <c r="BJ390" i="6"/>
  <c r="BI390" i="6"/>
  <c r="BH390" i="6"/>
  <c r="BF390" i="6"/>
  <c r="BG390" i="6" s="1"/>
  <c r="BD390" i="6"/>
  <c r="BC390" i="6"/>
  <c r="BB390" i="6"/>
  <c r="BE390" i="6" s="1"/>
  <c r="BA390" i="6"/>
  <c r="AZ390" i="6"/>
  <c r="AY390" i="6"/>
  <c r="AW390" i="6"/>
  <c r="AV390" i="6"/>
  <c r="AT390" i="6"/>
  <c r="AS390" i="6"/>
  <c r="AQ390" i="6"/>
  <c r="AR390" i="6" s="1"/>
  <c r="AP390" i="6"/>
  <c r="AN390" i="6"/>
  <c r="AM390" i="6"/>
  <c r="AO390" i="6" s="1"/>
  <c r="AK390" i="6"/>
  <c r="AL390" i="6" s="1"/>
  <c r="AI390" i="6"/>
  <c r="AJ390" i="6" s="1"/>
  <c r="AG390" i="6"/>
  <c r="AE390" i="6"/>
  <c r="AD390" i="6"/>
  <c r="AC390" i="6"/>
  <c r="AB390" i="6"/>
  <c r="AA390" i="6"/>
  <c r="Z390" i="6"/>
  <c r="Y390" i="6"/>
  <c r="W390" i="6"/>
  <c r="DV390" i="6" s="1"/>
  <c r="V390" i="6"/>
  <c r="T390" i="6"/>
  <c r="R390" i="6"/>
  <c r="Q390" i="6"/>
  <c r="P390" i="6"/>
  <c r="O390" i="6"/>
  <c r="N390" i="6"/>
  <c r="M390" i="6"/>
  <c r="J390" i="6"/>
  <c r="H390" i="6"/>
  <c r="G390" i="6"/>
  <c r="F390" i="6"/>
  <c r="E390" i="6"/>
  <c r="DP390" i="6" s="1"/>
  <c r="D390" i="6"/>
  <c r="C390" i="6"/>
  <c r="B390" i="6"/>
  <c r="DW389" i="6"/>
  <c r="DM389" i="6"/>
  <c r="DL389" i="6"/>
  <c r="DK389" i="6"/>
  <c r="DJ389" i="6"/>
  <c r="DN389" i="6" s="1"/>
  <c r="DH389" i="6"/>
  <c r="DI389" i="6" s="1"/>
  <c r="DF389" i="6"/>
  <c r="DG389" i="6" s="1"/>
  <c r="DD389" i="6"/>
  <c r="DE389" i="6" s="1"/>
  <c r="DC389" i="6"/>
  <c r="DB389" i="6"/>
  <c r="DA389" i="6"/>
  <c r="CY389" i="6"/>
  <c r="CZ389" i="6" s="1"/>
  <c r="CX389" i="6"/>
  <c r="CW389" i="6"/>
  <c r="CV389" i="6"/>
  <c r="CT389" i="6"/>
  <c r="CU389" i="6" s="1"/>
  <c r="CS389" i="6"/>
  <c r="CR389" i="6"/>
  <c r="CQ389" i="6"/>
  <c r="CP389" i="6"/>
  <c r="CN389" i="6"/>
  <c r="CM389" i="6"/>
  <c r="CL389" i="6"/>
  <c r="CO389" i="6" s="1"/>
  <c r="CJ389" i="6"/>
  <c r="CI389" i="6"/>
  <c r="CH389" i="6"/>
  <c r="CG389" i="6"/>
  <c r="CE389" i="6"/>
  <c r="CD389" i="6"/>
  <c r="CF389" i="6" s="1"/>
  <c r="CC389" i="6"/>
  <c r="CB389" i="6"/>
  <c r="BZ389" i="6"/>
  <c r="BY389" i="6"/>
  <c r="BX389" i="6"/>
  <c r="BW389" i="6"/>
  <c r="CA389" i="6" s="1"/>
  <c r="BU389" i="6"/>
  <c r="BV389" i="6" s="1"/>
  <c r="BR389" i="6"/>
  <c r="BQ389" i="6"/>
  <c r="BS389" i="6" s="1"/>
  <c r="BO389" i="6"/>
  <c r="BP389" i="6" s="1"/>
  <c r="BM389" i="6"/>
  <c r="BL389" i="6"/>
  <c r="BK389" i="6"/>
  <c r="BJ389" i="6"/>
  <c r="BN389" i="6" s="1"/>
  <c r="BH389" i="6"/>
  <c r="BI389" i="6" s="1"/>
  <c r="BF389" i="6"/>
  <c r="BG389" i="6" s="1"/>
  <c r="BE389" i="6"/>
  <c r="BD389" i="6"/>
  <c r="BC389" i="6"/>
  <c r="BB389" i="6"/>
  <c r="BA389" i="6"/>
  <c r="AZ389" i="6"/>
  <c r="AY389" i="6"/>
  <c r="AX389" i="6"/>
  <c r="AW389" i="6"/>
  <c r="AV389" i="6"/>
  <c r="AT389" i="6"/>
  <c r="AS389" i="6"/>
  <c r="AU389" i="6" s="1"/>
  <c r="AQ389" i="6"/>
  <c r="AP389" i="6"/>
  <c r="AR389" i="6" s="1"/>
  <c r="AN389" i="6"/>
  <c r="AM389" i="6"/>
  <c r="AO389" i="6" s="1"/>
  <c r="AK389" i="6"/>
  <c r="AL389" i="6" s="1"/>
  <c r="AJ389" i="6"/>
  <c r="AI389" i="6"/>
  <c r="AG389" i="6"/>
  <c r="AE389" i="6"/>
  <c r="AD389" i="6"/>
  <c r="AC389" i="6"/>
  <c r="AA389" i="6"/>
  <c r="AB389" i="6" s="1"/>
  <c r="Z389" i="6"/>
  <c r="Y389" i="6"/>
  <c r="W389" i="6"/>
  <c r="V389" i="6"/>
  <c r="X389" i="6" s="1"/>
  <c r="T389" i="6"/>
  <c r="R389" i="6"/>
  <c r="S389" i="6" s="1"/>
  <c r="P389" i="6"/>
  <c r="O389" i="6"/>
  <c r="N389" i="6"/>
  <c r="DV389" i="6" s="1"/>
  <c r="M389" i="6"/>
  <c r="Q389" i="6" s="1"/>
  <c r="J389" i="6"/>
  <c r="I389" i="6"/>
  <c r="H389" i="6"/>
  <c r="DQ389" i="6" s="1"/>
  <c r="G389" i="6"/>
  <c r="F389" i="6"/>
  <c r="E389" i="6"/>
  <c r="DP389" i="6" s="1"/>
  <c r="D389" i="6"/>
  <c r="C389" i="6"/>
  <c r="B389" i="6"/>
  <c r="DW388" i="6"/>
  <c r="DV388" i="6"/>
  <c r="DT388" i="6"/>
  <c r="DN388" i="6"/>
  <c r="DM388" i="6"/>
  <c r="DL388" i="6"/>
  <c r="DK388" i="6"/>
  <c r="DJ388" i="6"/>
  <c r="DI388" i="6"/>
  <c r="DH388" i="6"/>
  <c r="DG388" i="6"/>
  <c r="DF388" i="6"/>
  <c r="DE388" i="6"/>
  <c r="DD388" i="6"/>
  <c r="DB388" i="6"/>
  <c r="DA388" i="6"/>
  <c r="DC388" i="6" s="1"/>
  <c r="CZ388" i="6"/>
  <c r="CY388" i="6"/>
  <c r="CX388" i="6"/>
  <c r="CV388" i="6"/>
  <c r="CW388" i="6" s="1"/>
  <c r="CT388" i="6"/>
  <c r="CU388" i="6" s="1"/>
  <c r="CS388" i="6"/>
  <c r="CR388" i="6"/>
  <c r="CQ388" i="6"/>
  <c r="CP388" i="6"/>
  <c r="CN388" i="6"/>
  <c r="CM388" i="6"/>
  <c r="CL388" i="6"/>
  <c r="CJ388" i="6"/>
  <c r="CI388" i="6"/>
  <c r="CK388" i="6" s="1"/>
  <c r="CG388" i="6"/>
  <c r="CH388" i="6" s="1"/>
  <c r="CE388" i="6"/>
  <c r="CF388" i="6" s="1"/>
  <c r="CD388" i="6"/>
  <c r="CB388" i="6"/>
  <c r="CC388" i="6" s="1"/>
  <c r="BZ388" i="6"/>
  <c r="BY388" i="6"/>
  <c r="BX388" i="6"/>
  <c r="BW388" i="6"/>
  <c r="CA388" i="6" s="1"/>
  <c r="BV388" i="6"/>
  <c r="BU388" i="6"/>
  <c r="BS388" i="6"/>
  <c r="BR388" i="6"/>
  <c r="BQ388" i="6"/>
  <c r="BP388" i="6"/>
  <c r="BO388" i="6"/>
  <c r="BM388" i="6"/>
  <c r="BL388" i="6"/>
  <c r="BK388" i="6"/>
  <c r="BJ388" i="6"/>
  <c r="BN388" i="6" s="1"/>
  <c r="BH388" i="6"/>
  <c r="BI388" i="6" s="1"/>
  <c r="BG388" i="6"/>
  <c r="BF388" i="6"/>
  <c r="BD388" i="6"/>
  <c r="BC388" i="6"/>
  <c r="BE388" i="6" s="1"/>
  <c r="BB388" i="6"/>
  <c r="AZ388" i="6"/>
  <c r="AY388" i="6"/>
  <c r="AX388" i="6"/>
  <c r="AW388" i="6"/>
  <c r="AV388" i="6"/>
  <c r="AT388" i="6"/>
  <c r="AS388" i="6"/>
  <c r="AQ388" i="6"/>
  <c r="AP388" i="6"/>
  <c r="AR388" i="6" s="1"/>
  <c r="AN388" i="6"/>
  <c r="AO388" i="6" s="1"/>
  <c r="AM388" i="6"/>
  <c r="AL388" i="6"/>
  <c r="AK388" i="6"/>
  <c r="AJ388" i="6"/>
  <c r="AI388" i="6"/>
  <c r="AG388" i="6"/>
  <c r="AE388" i="6"/>
  <c r="AD388" i="6"/>
  <c r="AC388" i="6"/>
  <c r="DS388" i="6" s="1"/>
  <c r="AA388" i="6"/>
  <c r="Z388" i="6"/>
  <c r="Y388" i="6"/>
  <c r="W388" i="6"/>
  <c r="V388" i="6"/>
  <c r="X388" i="6" s="1"/>
  <c r="T388" i="6"/>
  <c r="S388" i="6"/>
  <c r="R388" i="6"/>
  <c r="P388" i="6"/>
  <c r="O388" i="6"/>
  <c r="N388" i="6"/>
  <c r="M388" i="6"/>
  <c r="J388" i="6"/>
  <c r="H388" i="6"/>
  <c r="G388" i="6"/>
  <c r="I388" i="6" s="1"/>
  <c r="F388" i="6"/>
  <c r="E388" i="6"/>
  <c r="D388" i="6"/>
  <c r="C388" i="6"/>
  <c r="B388" i="6"/>
  <c r="DW387" i="6"/>
  <c r="DM387" i="6"/>
  <c r="DL387" i="6"/>
  <c r="DN387" i="6" s="1"/>
  <c r="DK387" i="6"/>
  <c r="DJ387" i="6"/>
  <c r="DH387" i="6"/>
  <c r="DI387" i="6" s="1"/>
  <c r="DF387" i="6"/>
  <c r="DG387" i="6" s="1"/>
  <c r="DD387" i="6"/>
  <c r="DE387" i="6" s="1"/>
  <c r="DB387" i="6"/>
  <c r="DC387" i="6" s="1"/>
  <c r="DA387" i="6"/>
  <c r="CY387" i="6"/>
  <c r="CZ387" i="6" s="1"/>
  <c r="CX387" i="6"/>
  <c r="CW387" i="6"/>
  <c r="CV387" i="6"/>
  <c r="CU387" i="6"/>
  <c r="CT387" i="6"/>
  <c r="CR387" i="6"/>
  <c r="CQ387" i="6"/>
  <c r="CP387" i="6"/>
  <c r="CS387" i="6" s="1"/>
  <c r="CN387" i="6"/>
  <c r="CM387" i="6"/>
  <c r="CL387" i="6"/>
  <c r="CO387" i="6" s="1"/>
  <c r="CJ387" i="6"/>
  <c r="CI387" i="6"/>
  <c r="DS387" i="6" s="1"/>
  <c r="CH387" i="6"/>
  <c r="CG387" i="6"/>
  <c r="CE387" i="6"/>
  <c r="CD387" i="6"/>
  <c r="CF387" i="6" s="1"/>
  <c r="CC387" i="6"/>
  <c r="CB387" i="6"/>
  <c r="CA387" i="6"/>
  <c r="BZ387" i="6"/>
  <c r="BY387" i="6"/>
  <c r="BX387" i="6"/>
  <c r="BW387" i="6"/>
  <c r="BV387" i="6"/>
  <c r="BU387" i="6"/>
  <c r="BR387" i="6"/>
  <c r="BS387" i="6" s="1"/>
  <c r="BQ387" i="6"/>
  <c r="BO387" i="6"/>
  <c r="BP387" i="6" s="1"/>
  <c r="BM387" i="6"/>
  <c r="BL387" i="6"/>
  <c r="BK387" i="6"/>
  <c r="BJ387" i="6"/>
  <c r="BN387" i="6" s="1"/>
  <c r="BH387" i="6"/>
  <c r="BI387" i="6" s="1"/>
  <c r="BF387" i="6"/>
  <c r="BG387" i="6" s="1"/>
  <c r="BE387" i="6"/>
  <c r="BD387" i="6"/>
  <c r="BC387" i="6"/>
  <c r="BB387" i="6"/>
  <c r="AZ387" i="6"/>
  <c r="AY387" i="6"/>
  <c r="BA387" i="6" s="1"/>
  <c r="AW387" i="6"/>
  <c r="AV387" i="6"/>
  <c r="AX387" i="6" s="1"/>
  <c r="AT387" i="6"/>
  <c r="AS387" i="6"/>
  <c r="AU387" i="6" s="1"/>
  <c r="AQ387" i="6"/>
  <c r="AP387" i="6"/>
  <c r="AR387" i="6" s="1"/>
  <c r="AN387" i="6"/>
  <c r="AM387" i="6"/>
  <c r="AO387" i="6" s="1"/>
  <c r="AL387" i="6"/>
  <c r="AK387" i="6"/>
  <c r="AI387" i="6"/>
  <c r="AJ387" i="6" s="1"/>
  <c r="AG387" i="6"/>
  <c r="AE387" i="6"/>
  <c r="AF387" i="6" s="1"/>
  <c r="AD387" i="6"/>
  <c r="AC387" i="6"/>
  <c r="AA387" i="6"/>
  <c r="AB387" i="6" s="1"/>
  <c r="Z387" i="6"/>
  <c r="Y387" i="6"/>
  <c r="W387" i="6"/>
  <c r="V387" i="6"/>
  <c r="X387" i="6" s="1"/>
  <c r="T387" i="6"/>
  <c r="S387" i="6"/>
  <c r="R387" i="6"/>
  <c r="P387" i="6"/>
  <c r="O387" i="6"/>
  <c r="N387" i="6"/>
  <c r="M387" i="6"/>
  <c r="Q387" i="6" s="1"/>
  <c r="J387" i="6"/>
  <c r="H387" i="6"/>
  <c r="DQ387" i="6" s="1"/>
  <c r="G387" i="6"/>
  <c r="DU387" i="6" s="1"/>
  <c r="F387" i="6"/>
  <c r="E387" i="6"/>
  <c r="DP387" i="6" s="1"/>
  <c r="D387" i="6"/>
  <c r="C387" i="6"/>
  <c r="B387" i="6"/>
  <c r="DW386" i="6"/>
  <c r="DM386" i="6"/>
  <c r="DL386" i="6"/>
  <c r="DK386" i="6"/>
  <c r="DJ386" i="6"/>
  <c r="DN386" i="6" s="1"/>
  <c r="DH386" i="6"/>
  <c r="DI386" i="6" s="1"/>
  <c r="DG386" i="6"/>
  <c r="DF386" i="6"/>
  <c r="DD386" i="6"/>
  <c r="DE386" i="6" s="1"/>
  <c r="DB386" i="6"/>
  <c r="DA386" i="6"/>
  <c r="DC386" i="6" s="1"/>
  <c r="CY386" i="6"/>
  <c r="CZ386" i="6" s="1"/>
  <c r="CX386" i="6"/>
  <c r="CV386" i="6"/>
  <c r="CW386" i="6" s="1"/>
  <c r="CU386" i="6"/>
  <c r="CT386" i="6"/>
  <c r="CR386" i="6"/>
  <c r="CQ386" i="6"/>
  <c r="CP386" i="6"/>
  <c r="CN386" i="6"/>
  <c r="CM386" i="6"/>
  <c r="CL386" i="6"/>
  <c r="CO386" i="6" s="1"/>
  <c r="CK386" i="6"/>
  <c r="CJ386" i="6"/>
  <c r="CI386" i="6"/>
  <c r="CG386" i="6"/>
  <c r="CH386" i="6" s="1"/>
  <c r="CE386" i="6"/>
  <c r="CD386" i="6"/>
  <c r="CF386" i="6" s="1"/>
  <c r="CB386" i="6"/>
  <c r="CC386" i="6" s="1"/>
  <c r="BZ386" i="6"/>
  <c r="BY386" i="6"/>
  <c r="BX386" i="6"/>
  <c r="BW386" i="6"/>
  <c r="BU386" i="6"/>
  <c r="BV386" i="6" s="1"/>
  <c r="BS386" i="6"/>
  <c r="BR386" i="6"/>
  <c r="BQ386" i="6"/>
  <c r="BO386" i="6"/>
  <c r="BP386" i="6" s="1"/>
  <c r="BN386" i="6"/>
  <c r="BM386" i="6"/>
  <c r="BL386" i="6"/>
  <c r="BK386" i="6"/>
  <c r="BJ386" i="6"/>
  <c r="BI386" i="6"/>
  <c r="BH386" i="6"/>
  <c r="BG386" i="6"/>
  <c r="BF386" i="6"/>
  <c r="BD386" i="6"/>
  <c r="BC386" i="6"/>
  <c r="BE386" i="6" s="1"/>
  <c r="BB386" i="6"/>
  <c r="BA386" i="6"/>
  <c r="AZ386" i="6"/>
  <c r="AY386" i="6"/>
  <c r="AX386" i="6"/>
  <c r="AW386" i="6"/>
  <c r="AV386" i="6"/>
  <c r="AU386" i="6"/>
  <c r="AT386" i="6"/>
  <c r="AS386" i="6"/>
  <c r="AR386" i="6"/>
  <c r="AQ386" i="6"/>
  <c r="AP386" i="6"/>
  <c r="AN386" i="6"/>
  <c r="AM386" i="6"/>
  <c r="AO386" i="6" s="1"/>
  <c r="AK386" i="6"/>
  <c r="AL386" i="6" s="1"/>
  <c r="AI386" i="6"/>
  <c r="AJ386" i="6" s="1"/>
  <c r="AG386" i="6"/>
  <c r="AE386" i="6"/>
  <c r="AD386" i="6"/>
  <c r="AC386" i="6"/>
  <c r="AA386" i="6"/>
  <c r="Z386" i="6"/>
  <c r="AB386" i="6" s="1"/>
  <c r="Y386" i="6"/>
  <c r="W386" i="6"/>
  <c r="V386" i="6"/>
  <c r="T386" i="6"/>
  <c r="R386" i="6"/>
  <c r="P386" i="6"/>
  <c r="O386" i="6"/>
  <c r="N386" i="6"/>
  <c r="Q386" i="6" s="1"/>
  <c r="M386" i="6"/>
  <c r="J386" i="6"/>
  <c r="H386" i="6"/>
  <c r="G386" i="6"/>
  <c r="F386" i="6"/>
  <c r="I386" i="6" s="1"/>
  <c r="E386" i="6"/>
  <c r="DP386" i="6" s="1"/>
  <c r="D386" i="6"/>
  <c r="C386" i="6"/>
  <c r="B386" i="6"/>
  <c r="DW385" i="6"/>
  <c r="DM385" i="6"/>
  <c r="DL385" i="6"/>
  <c r="DK385" i="6"/>
  <c r="DJ385" i="6"/>
  <c r="DI385" i="6"/>
  <c r="DH385" i="6"/>
  <c r="DF385" i="6"/>
  <c r="DG385" i="6" s="1"/>
  <c r="DD385" i="6"/>
  <c r="DE385" i="6" s="1"/>
  <c r="DC385" i="6"/>
  <c r="DB385" i="6"/>
  <c r="DA385" i="6"/>
  <c r="CZ385" i="6"/>
  <c r="CY385" i="6"/>
  <c r="CX385" i="6"/>
  <c r="CW385" i="6"/>
  <c r="CV385" i="6"/>
  <c r="CU385" i="6"/>
  <c r="CT385" i="6"/>
  <c r="CS385" i="6"/>
  <c r="CR385" i="6"/>
  <c r="CQ385" i="6"/>
  <c r="CP385" i="6"/>
  <c r="CN385" i="6"/>
  <c r="CM385" i="6"/>
  <c r="CO385" i="6" s="1"/>
  <c r="CL385" i="6"/>
  <c r="CJ385" i="6"/>
  <c r="CI385" i="6"/>
  <c r="CK385" i="6" s="1"/>
  <c r="CH385" i="6"/>
  <c r="CG385" i="6"/>
  <c r="CE385" i="6"/>
  <c r="CF385" i="6" s="1"/>
  <c r="CD385" i="6"/>
  <c r="CC385" i="6"/>
  <c r="CB385" i="6"/>
  <c r="BZ385" i="6"/>
  <c r="BY385" i="6"/>
  <c r="BX385" i="6"/>
  <c r="BW385" i="6"/>
  <c r="CA385" i="6" s="1"/>
  <c r="BU385" i="6"/>
  <c r="BV385" i="6" s="1"/>
  <c r="BR385" i="6"/>
  <c r="BQ385" i="6"/>
  <c r="BS385" i="6" s="1"/>
  <c r="BP385" i="6"/>
  <c r="BO385" i="6"/>
  <c r="BM385" i="6"/>
  <c r="BL385" i="6"/>
  <c r="BK385" i="6"/>
  <c r="BJ385" i="6"/>
  <c r="BN385" i="6" s="1"/>
  <c r="BH385" i="6"/>
  <c r="BI385" i="6" s="1"/>
  <c r="BG385" i="6"/>
  <c r="BF385" i="6"/>
  <c r="BD385" i="6"/>
  <c r="BC385" i="6"/>
  <c r="BE385" i="6" s="1"/>
  <c r="BB385" i="6"/>
  <c r="BA385" i="6"/>
  <c r="AZ385" i="6"/>
  <c r="AY385" i="6"/>
  <c r="AW385" i="6"/>
  <c r="AV385" i="6"/>
  <c r="AX385" i="6" s="1"/>
  <c r="AT385" i="6"/>
  <c r="AS385" i="6"/>
  <c r="AQ385" i="6"/>
  <c r="AP385" i="6"/>
  <c r="AR385" i="6" s="1"/>
  <c r="AN385" i="6"/>
  <c r="AO385" i="6" s="1"/>
  <c r="AM385" i="6"/>
  <c r="AK385" i="6"/>
  <c r="AJ385" i="6"/>
  <c r="AI385" i="6"/>
  <c r="AG385" i="6"/>
  <c r="AE385" i="6"/>
  <c r="AD385" i="6"/>
  <c r="AC385" i="6"/>
  <c r="AF385" i="6" s="1"/>
  <c r="AA385" i="6"/>
  <c r="Z385" i="6"/>
  <c r="AB385" i="6" s="1"/>
  <c r="Y385" i="6"/>
  <c r="W385" i="6"/>
  <c r="V385" i="6"/>
  <c r="T385" i="6"/>
  <c r="S385" i="6"/>
  <c r="R385" i="6"/>
  <c r="P385" i="6"/>
  <c r="O385" i="6"/>
  <c r="N385" i="6"/>
  <c r="M385" i="6"/>
  <c r="DP385" i="6" s="1"/>
  <c r="J385" i="6"/>
  <c r="I385" i="6"/>
  <c r="H385" i="6"/>
  <c r="G385" i="6"/>
  <c r="F385" i="6"/>
  <c r="DV385" i="6" s="1"/>
  <c r="E385" i="6"/>
  <c r="D385" i="6"/>
  <c r="C385" i="6"/>
  <c r="B385" i="6"/>
  <c r="DW384" i="6"/>
  <c r="DM384" i="6"/>
  <c r="DL384" i="6"/>
  <c r="DK384" i="6"/>
  <c r="DJ384" i="6"/>
  <c r="DN384" i="6" s="1"/>
  <c r="DH384" i="6"/>
  <c r="DI384" i="6" s="1"/>
  <c r="DF384" i="6"/>
  <c r="DG384" i="6" s="1"/>
  <c r="DD384" i="6"/>
  <c r="DE384" i="6" s="1"/>
  <c r="DB384" i="6"/>
  <c r="DA384" i="6"/>
  <c r="DC384" i="6" s="1"/>
  <c r="CZ384" i="6"/>
  <c r="CY384" i="6"/>
  <c r="CX384" i="6"/>
  <c r="CV384" i="6"/>
  <c r="CW384" i="6" s="1"/>
  <c r="CU384" i="6"/>
  <c r="CT384" i="6"/>
  <c r="CS384" i="6"/>
  <c r="CR384" i="6"/>
  <c r="CQ384" i="6"/>
  <c r="CP384" i="6"/>
  <c r="CN384" i="6"/>
  <c r="CM384" i="6"/>
  <c r="CL384" i="6"/>
  <c r="CO384" i="6" s="1"/>
  <c r="CJ384" i="6"/>
  <c r="CK384" i="6" s="1"/>
  <c r="CI384" i="6"/>
  <c r="CG384" i="6"/>
  <c r="CH384" i="6" s="1"/>
  <c r="CF384" i="6"/>
  <c r="CE384" i="6"/>
  <c r="CD384" i="6"/>
  <c r="CC384" i="6"/>
  <c r="CB384" i="6"/>
  <c r="BZ384" i="6"/>
  <c r="BY384" i="6"/>
  <c r="BX384" i="6"/>
  <c r="CA384" i="6" s="1"/>
  <c r="BW384" i="6"/>
  <c r="BV384" i="6"/>
  <c r="BU384" i="6"/>
  <c r="BR384" i="6"/>
  <c r="BQ384" i="6"/>
  <c r="BP384" i="6"/>
  <c r="BO384" i="6"/>
  <c r="BM384" i="6"/>
  <c r="BL384" i="6"/>
  <c r="BK384" i="6"/>
  <c r="BJ384" i="6"/>
  <c r="BN384" i="6" s="1"/>
  <c r="BH384" i="6"/>
  <c r="BI384" i="6" s="1"/>
  <c r="BG384" i="6"/>
  <c r="BF384" i="6"/>
  <c r="BD384" i="6"/>
  <c r="BC384" i="6"/>
  <c r="BB384" i="6"/>
  <c r="BE384" i="6" s="1"/>
  <c r="BA384" i="6"/>
  <c r="AZ384" i="6"/>
  <c r="AY384" i="6"/>
  <c r="AW384" i="6"/>
  <c r="AV384" i="6"/>
  <c r="AX384" i="6" s="1"/>
  <c r="AT384" i="6"/>
  <c r="AS384" i="6"/>
  <c r="AU384" i="6" s="1"/>
  <c r="AQ384" i="6"/>
  <c r="AP384" i="6"/>
  <c r="AR384" i="6" s="1"/>
  <c r="AN384" i="6"/>
  <c r="AM384" i="6"/>
  <c r="AO384" i="6" s="1"/>
  <c r="AK384" i="6"/>
  <c r="AL384" i="6" s="1"/>
  <c r="AI384" i="6"/>
  <c r="AJ384" i="6" s="1"/>
  <c r="AG384" i="6"/>
  <c r="AE384" i="6"/>
  <c r="AD384" i="6"/>
  <c r="AC384" i="6"/>
  <c r="AB384" i="6"/>
  <c r="AA384" i="6"/>
  <c r="Z384" i="6"/>
  <c r="Y384" i="6"/>
  <c r="W384" i="6"/>
  <c r="V384" i="6"/>
  <c r="X384" i="6" s="1"/>
  <c r="T384" i="6"/>
  <c r="S384" i="6"/>
  <c r="R384" i="6"/>
  <c r="P384" i="6"/>
  <c r="O384" i="6"/>
  <c r="N384" i="6"/>
  <c r="M384" i="6"/>
  <c r="Q384" i="6" s="1"/>
  <c r="J384" i="6"/>
  <c r="H384" i="6"/>
  <c r="G384" i="6"/>
  <c r="F384" i="6"/>
  <c r="DV384" i="6" s="1"/>
  <c r="E384" i="6"/>
  <c r="D384" i="6"/>
  <c r="C384" i="6"/>
  <c r="B384" i="6"/>
  <c r="DW383" i="6"/>
  <c r="DQ383" i="6"/>
  <c r="DP383" i="6"/>
  <c r="DN383" i="6"/>
  <c r="DM383" i="6"/>
  <c r="DL383" i="6"/>
  <c r="DK383" i="6"/>
  <c r="DJ383" i="6"/>
  <c r="DI383" i="6"/>
  <c r="DH383" i="6"/>
  <c r="DG383" i="6"/>
  <c r="DF383" i="6"/>
  <c r="DD383" i="6"/>
  <c r="DE383" i="6" s="1"/>
  <c r="DB383" i="6"/>
  <c r="DA383" i="6"/>
  <c r="DC383" i="6" s="1"/>
  <c r="CY383" i="6"/>
  <c r="CZ383" i="6" s="1"/>
  <c r="CX383" i="6"/>
  <c r="CV383" i="6"/>
  <c r="CW383" i="6" s="1"/>
  <c r="CT383" i="6"/>
  <c r="CU383" i="6" s="1"/>
  <c r="CS383" i="6"/>
  <c r="CR383" i="6"/>
  <c r="CQ383" i="6"/>
  <c r="CP383" i="6"/>
  <c r="CN383" i="6"/>
  <c r="CM383" i="6"/>
  <c r="CL383" i="6"/>
  <c r="CK383" i="6"/>
  <c r="CJ383" i="6"/>
  <c r="CI383" i="6"/>
  <c r="CG383" i="6"/>
  <c r="CH383" i="6" s="1"/>
  <c r="CE383" i="6"/>
  <c r="CD383" i="6"/>
  <c r="CF383" i="6" s="1"/>
  <c r="CB383" i="6"/>
  <c r="CC383" i="6" s="1"/>
  <c r="BZ383" i="6"/>
  <c r="BY383" i="6"/>
  <c r="BX383" i="6"/>
  <c r="BW383" i="6"/>
  <c r="BU383" i="6"/>
  <c r="BV383" i="6" s="1"/>
  <c r="BR383" i="6"/>
  <c r="BQ383" i="6"/>
  <c r="BP383" i="6"/>
  <c r="BO383" i="6"/>
  <c r="BM383" i="6"/>
  <c r="BN383" i="6" s="1"/>
  <c r="BL383" i="6"/>
  <c r="BK383" i="6"/>
  <c r="BJ383" i="6"/>
  <c r="BI383" i="6"/>
  <c r="BH383" i="6"/>
  <c r="BG383" i="6"/>
  <c r="BF383" i="6"/>
  <c r="BD383" i="6"/>
  <c r="BC383" i="6"/>
  <c r="BE383" i="6" s="1"/>
  <c r="BB383" i="6"/>
  <c r="AZ383" i="6"/>
  <c r="AY383" i="6"/>
  <c r="BA383" i="6" s="1"/>
  <c r="AX383" i="6"/>
  <c r="AW383" i="6"/>
  <c r="AV383" i="6"/>
  <c r="AT383" i="6"/>
  <c r="DS383" i="6" s="1"/>
  <c r="AS383" i="6"/>
  <c r="AU383" i="6" s="1"/>
  <c r="AQ383" i="6"/>
  <c r="AR383" i="6" s="1"/>
  <c r="AP383" i="6"/>
  <c r="AN383" i="6"/>
  <c r="AM383" i="6"/>
  <c r="AO383" i="6" s="1"/>
  <c r="AK383" i="6"/>
  <c r="AL383" i="6" s="1"/>
  <c r="AI383" i="6"/>
  <c r="AJ383" i="6" s="1"/>
  <c r="AG383" i="6"/>
  <c r="AE383" i="6"/>
  <c r="AD383" i="6"/>
  <c r="AC383" i="6"/>
  <c r="AB383" i="6"/>
  <c r="AA383" i="6"/>
  <c r="Z383" i="6"/>
  <c r="Y383" i="6"/>
  <c r="W383" i="6"/>
  <c r="DV383" i="6" s="1"/>
  <c r="V383" i="6"/>
  <c r="T383" i="6"/>
  <c r="S383" i="6"/>
  <c r="R383" i="6"/>
  <c r="P383" i="6"/>
  <c r="O383" i="6"/>
  <c r="N383" i="6"/>
  <c r="M383" i="6"/>
  <c r="Q383" i="6" s="1"/>
  <c r="J383" i="6"/>
  <c r="H383" i="6"/>
  <c r="G383" i="6"/>
  <c r="F383" i="6"/>
  <c r="E383" i="6"/>
  <c r="I383" i="6" s="1"/>
  <c r="D383" i="6"/>
  <c r="C383" i="6"/>
  <c r="B383" i="6"/>
  <c r="DW382" i="6"/>
  <c r="DM382" i="6"/>
  <c r="DL382" i="6"/>
  <c r="DN382" i="6" s="1"/>
  <c r="DK382" i="6"/>
  <c r="DJ382" i="6"/>
  <c r="DH382" i="6"/>
  <c r="DI382" i="6" s="1"/>
  <c r="DG382" i="6"/>
  <c r="DF382" i="6"/>
  <c r="DE382" i="6"/>
  <c r="DD382" i="6"/>
  <c r="DB382" i="6"/>
  <c r="DC382" i="6" s="1"/>
  <c r="DA382" i="6"/>
  <c r="CZ382" i="6"/>
  <c r="CY382" i="6"/>
  <c r="CX382" i="6"/>
  <c r="CW382" i="6"/>
  <c r="CV382" i="6"/>
  <c r="CU382" i="6"/>
  <c r="CT382" i="6"/>
  <c r="CR382" i="6"/>
  <c r="CQ382" i="6"/>
  <c r="CP382" i="6"/>
  <c r="CS382" i="6" s="1"/>
  <c r="CN382" i="6"/>
  <c r="CM382" i="6"/>
  <c r="CL382" i="6"/>
  <c r="CO382" i="6" s="1"/>
  <c r="CK382" i="6"/>
  <c r="CJ382" i="6"/>
  <c r="CI382" i="6"/>
  <c r="CG382" i="6"/>
  <c r="CH382" i="6" s="1"/>
  <c r="CE382" i="6"/>
  <c r="CD382" i="6"/>
  <c r="CF382" i="6" s="1"/>
  <c r="CB382" i="6"/>
  <c r="CC382" i="6" s="1"/>
  <c r="CA382" i="6"/>
  <c r="BZ382" i="6"/>
  <c r="BY382" i="6"/>
  <c r="BX382" i="6"/>
  <c r="BW382" i="6"/>
  <c r="BV382" i="6"/>
  <c r="BU382" i="6"/>
  <c r="BS382" i="6"/>
  <c r="BR382" i="6"/>
  <c r="BQ382" i="6"/>
  <c r="BO382" i="6"/>
  <c r="BP382" i="6" s="1"/>
  <c r="BM382" i="6"/>
  <c r="BL382" i="6"/>
  <c r="BN382" i="6" s="1"/>
  <c r="BK382" i="6"/>
  <c r="BJ382" i="6"/>
  <c r="BI382" i="6"/>
  <c r="BH382" i="6"/>
  <c r="BF382" i="6"/>
  <c r="BG382" i="6" s="1"/>
  <c r="BE382" i="6"/>
  <c r="BD382" i="6"/>
  <c r="BC382" i="6"/>
  <c r="BB382" i="6"/>
  <c r="AZ382" i="6"/>
  <c r="AY382" i="6"/>
  <c r="BA382" i="6" s="1"/>
  <c r="AW382" i="6"/>
  <c r="AX382" i="6" s="1"/>
  <c r="AV382" i="6"/>
  <c r="AT382" i="6"/>
  <c r="AS382" i="6"/>
  <c r="AR382" i="6"/>
  <c r="AQ382" i="6"/>
  <c r="AP382" i="6"/>
  <c r="AN382" i="6"/>
  <c r="AM382" i="6"/>
  <c r="AL382" i="6"/>
  <c r="AK382" i="6"/>
  <c r="AJ382" i="6"/>
  <c r="AI382" i="6"/>
  <c r="AG382" i="6"/>
  <c r="AF382" i="6"/>
  <c r="AE382" i="6"/>
  <c r="AD382" i="6"/>
  <c r="AC382" i="6"/>
  <c r="DS382" i="6" s="1"/>
  <c r="AA382" i="6"/>
  <c r="Z382" i="6"/>
  <c r="AB382" i="6" s="1"/>
  <c r="Y382" i="6"/>
  <c r="W382" i="6"/>
  <c r="V382" i="6"/>
  <c r="X382" i="6" s="1"/>
  <c r="T382" i="6"/>
  <c r="R382" i="6"/>
  <c r="S382" i="6" s="1"/>
  <c r="P382" i="6"/>
  <c r="O382" i="6"/>
  <c r="N382" i="6"/>
  <c r="DV382" i="6" s="1"/>
  <c r="M382" i="6"/>
  <c r="DP382" i="6" s="1"/>
  <c r="J382" i="6"/>
  <c r="H382" i="6"/>
  <c r="G382" i="6"/>
  <c r="F382" i="6"/>
  <c r="E382" i="6"/>
  <c r="D382" i="6"/>
  <c r="C382" i="6"/>
  <c r="B382" i="6"/>
  <c r="DW381" i="6"/>
  <c r="DV381" i="6"/>
  <c r="DS381" i="6"/>
  <c r="DN381" i="6"/>
  <c r="DM381" i="6"/>
  <c r="DL381" i="6"/>
  <c r="DK381" i="6"/>
  <c r="DJ381" i="6"/>
  <c r="DI381" i="6"/>
  <c r="DH381" i="6"/>
  <c r="DG381" i="6"/>
  <c r="DF381" i="6"/>
  <c r="DE381" i="6"/>
  <c r="DD381" i="6"/>
  <c r="DC381" i="6"/>
  <c r="DB381" i="6"/>
  <c r="DA381" i="6"/>
  <c r="CY381" i="6"/>
  <c r="CZ381" i="6" s="1"/>
  <c r="CX381" i="6"/>
  <c r="CV381" i="6"/>
  <c r="CW381" i="6" s="1"/>
  <c r="CU381" i="6"/>
  <c r="CT381" i="6"/>
  <c r="CS381" i="6"/>
  <c r="CR381" i="6"/>
  <c r="CQ381" i="6"/>
  <c r="CP381" i="6"/>
  <c r="CN381" i="6"/>
  <c r="CM381" i="6"/>
  <c r="CO381" i="6" s="1"/>
  <c r="CL381" i="6"/>
  <c r="CJ381" i="6"/>
  <c r="CI381" i="6"/>
  <c r="CK381" i="6" s="1"/>
  <c r="CG381" i="6"/>
  <c r="CH381" i="6" s="1"/>
  <c r="CE381" i="6"/>
  <c r="CD381" i="6"/>
  <c r="CF381" i="6" s="1"/>
  <c r="CC381" i="6"/>
  <c r="CB381" i="6"/>
  <c r="BZ381" i="6"/>
  <c r="BY381" i="6"/>
  <c r="DU381" i="6" s="1"/>
  <c r="BX381" i="6"/>
  <c r="BW381" i="6"/>
  <c r="BV381" i="6"/>
  <c r="BU381" i="6"/>
  <c r="BR381" i="6"/>
  <c r="BS381" i="6" s="1"/>
  <c r="BQ381" i="6"/>
  <c r="BP381" i="6"/>
  <c r="BO381" i="6"/>
  <c r="BM381" i="6"/>
  <c r="BL381" i="6"/>
  <c r="BK381" i="6"/>
  <c r="BJ381" i="6"/>
  <c r="BN381" i="6" s="1"/>
  <c r="BH381" i="6"/>
  <c r="BI381" i="6" s="1"/>
  <c r="BF381" i="6"/>
  <c r="BG381" i="6" s="1"/>
  <c r="BD381" i="6"/>
  <c r="BC381" i="6"/>
  <c r="BE381" i="6" s="1"/>
  <c r="BB381" i="6"/>
  <c r="BA381" i="6"/>
  <c r="AZ381" i="6"/>
  <c r="AY381" i="6"/>
  <c r="AW381" i="6"/>
  <c r="AV381" i="6"/>
  <c r="AX381" i="6" s="1"/>
  <c r="AT381" i="6"/>
  <c r="AS381" i="6"/>
  <c r="AU381" i="6" s="1"/>
  <c r="AQ381" i="6"/>
  <c r="AP381" i="6"/>
  <c r="AR381" i="6" s="1"/>
  <c r="AN381" i="6"/>
  <c r="AM381" i="6"/>
  <c r="AL381" i="6"/>
  <c r="AK381" i="6"/>
  <c r="AJ381" i="6"/>
  <c r="AI381" i="6"/>
  <c r="AG381" i="6"/>
  <c r="AF381" i="6"/>
  <c r="AE381" i="6"/>
  <c r="AD381" i="6"/>
  <c r="DR381" i="6" s="1"/>
  <c r="AC381" i="6"/>
  <c r="AB381" i="6"/>
  <c r="AA381" i="6"/>
  <c r="Z381" i="6"/>
  <c r="Y381" i="6"/>
  <c r="W381" i="6"/>
  <c r="V381" i="6"/>
  <c r="X381" i="6" s="1"/>
  <c r="T381" i="6"/>
  <c r="R381" i="6"/>
  <c r="S381" i="6" s="1"/>
  <c r="P381" i="6"/>
  <c r="O381" i="6"/>
  <c r="N381" i="6"/>
  <c r="M381" i="6"/>
  <c r="J381" i="6"/>
  <c r="H381" i="6"/>
  <c r="G381" i="6"/>
  <c r="F381" i="6"/>
  <c r="E381" i="6"/>
  <c r="DP381" i="6" s="1"/>
  <c r="D381" i="6"/>
  <c r="C381" i="6"/>
  <c r="B381" i="6"/>
  <c r="DW380" i="6"/>
  <c r="DV380" i="6"/>
  <c r="DU380" i="6"/>
  <c r="DN380" i="6"/>
  <c r="DM380" i="6"/>
  <c r="DL380" i="6"/>
  <c r="DK380" i="6"/>
  <c r="DJ380" i="6"/>
  <c r="DH380" i="6"/>
  <c r="DI380" i="6" s="1"/>
  <c r="DF380" i="6"/>
  <c r="DG380" i="6" s="1"/>
  <c r="DD380" i="6"/>
  <c r="DE380" i="6" s="1"/>
  <c r="DB380" i="6"/>
  <c r="DA380" i="6"/>
  <c r="DC380" i="6" s="1"/>
  <c r="CY380" i="6"/>
  <c r="CZ380" i="6" s="1"/>
  <c r="CX380" i="6"/>
  <c r="CV380" i="6"/>
  <c r="CW380" i="6" s="1"/>
  <c r="CT380" i="6"/>
  <c r="CU380" i="6" s="1"/>
  <c r="CR380" i="6"/>
  <c r="CS380" i="6" s="1"/>
  <c r="CQ380" i="6"/>
  <c r="CP380" i="6"/>
  <c r="CN380" i="6"/>
  <c r="CM380" i="6"/>
  <c r="CL380" i="6"/>
  <c r="CO380" i="6" s="1"/>
  <c r="CJ380" i="6"/>
  <c r="CI380" i="6"/>
  <c r="CK380" i="6" s="1"/>
  <c r="CH380" i="6"/>
  <c r="CG380" i="6"/>
  <c r="CE380" i="6"/>
  <c r="CD380" i="6"/>
  <c r="CF380" i="6" s="1"/>
  <c r="CC380" i="6"/>
  <c r="CB380" i="6"/>
  <c r="BZ380" i="6"/>
  <c r="CA380" i="6" s="1"/>
  <c r="BY380" i="6"/>
  <c r="BX380" i="6"/>
  <c r="BW380" i="6"/>
  <c r="BV380" i="6"/>
  <c r="BU380" i="6"/>
  <c r="BR380" i="6"/>
  <c r="BQ380" i="6"/>
  <c r="BS380" i="6" s="1"/>
  <c r="BO380" i="6"/>
  <c r="BP380" i="6" s="1"/>
  <c r="BM380" i="6"/>
  <c r="BL380" i="6"/>
  <c r="BK380" i="6"/>
  <c r="BN380" i="6" s="1"/>
  <c r="BJ380" i="6"/>
  <c r="BI380" i="6"/>
  <c r="BH380" i="6"/>
  <c r="BF380" i="6"/>
  <c r="BG380" i="6" s="1"/>
  <c r="BD380" i="6"/>
  <c r="BC380" i="6"/>
  <c r="BB380" i="6"/>
  <c r="BE380" i="6" s="1"/>
  <c r="BA380" i="6"/>
  <c r="AZ380" i="6"/>
  <c r="AY380" i="6"/>
  <c r="AX380" i="6"/>
  <c r="AW380" i="6"/>
  <c r="AV380" i="6"/>
  <c r="AT380" i="6"/>
  <c r="AS380" i="6"/>
  <c r="AU380" i="6" s="1"/>
  <c r="AQ380" i="6"/>
  <c r="AP380" i="6"/>
  <c r="AR380" i="6" s="1"/>
  <c r="AN380" i="6"/>
  <c r="AM380" i="6"/>
  <c r="AO380" i="6" s="1"/>
  <c r="AL380" i="6"/>
  <c r="AK380" i="6"/>
  <c r="AJ380" i="6"/>
  <c r="AI380" i="6"/>
  <c r="AG380" i="6"/>
  <c r="AE380" i="6"/>
  <c r="AD380" i="6"/>
  <c r="AC380" i="6"/>
  <c r="AB380" i="6"/>
  <c r="AA380" i="6"/>
  <c r="Z380" i="6"/>
  <c r="Y380" i="6"/>
  <c r="W380" i="6"/>
  <c r="V380" i="6"/>
  <c r="X380" i="6" s="1"/>
  <c r="T380" i="6"/>
  <c r="S380" i="6"/>
  <c r="R380" i="6"/>
  <c r="P380" i="6"/>
  <c r="O380" i="6"/>
  <c r="N380" i="6"/>
  <c r="M380" i="6"/>
  <c r="Q380" i="6" s="1"/>
  <c r="J380" i="6"/>
  <c r="H380" i="6"/>
  <c r="G380" i="6"/>
  <c r="F380" i="6"/>
  <c r="E380" i="6"/>
  <c r="DP380" i="6" s="1"/>
  <c r="D380" i="6"/>
  <c r="C380" i="6"/>
  <c r="B380" i="6"/>
  <c r="DW379" i="6"/>
  <c r="DV379" i="6"/>
  <c r="DT379" i="6"/>
  <c r="DS379" i="6"/>
  <c r="DR379" i="6"/>
  <c r="DP379" i="6"/>
  <c r="DN379" i="6"/>
  <c r="DM379" i="6"/>
  <c r="DL379" i="6"/>
  <c r="DK379" i="6"/>
  <c r="DJ379" i="6"/>
  <c r="DI379" i="6"/>
  <c r="DH379" i="6"/>
  <c r="DG379" i="6"/>
  <c r="DF379" i="6"/>
  <c r="DE379" i="6"/>
  <c r="DD379" i="6"/>
  <c r="DB379" i="6"/>
  <c r="DA379" i="6"/>
  <c r="DC379" i="6" s="1"/>
  <c r="CY379" i="6"/>
  <c r="CX379" i="6"/>
  <c r="CZ379" i="6" s="1"/>
  <c r="CV379" i="6"/>
  <c r="CT379" i="6"/>
  <c r="CU379" i="6" s="1"/>
  <c r="CS379" i="6"/>
  <c r="CR379" i="6"/>
  <c r="CQ379" i="6"/>
  <c r="CP379" i="6"/>
  <c r="CN379" i="6"/>
  <c r="CM379" i="6"/>
  <c r="CO379" i="6" s="1"/>
  <c r="CL379" i="6"/>
  <c r="CJ379" i="6"/>
  <c r="CI379" i="6"/>
  <c r="CK379" i="6" s="1"/>
  <c r="CG379" i="6"/>
  <c r="CH379" i="6" s="1"/>
  <c r="CE379" i="6"/>
  <c r="CD379" i="6"/>
  <c r="CF379" i="6" s="1"/>
  <c r="CB379" i="6"/>
  <c r="CC379" i="6" s="1"/>
  <c r="BZ379" i="6"/>
  <c r="BY379" i="6"/>
  <c r="BX379" i="6"/>
  <c r="CA379" i="6" s="1"/>
  <c r="BW379" i="6"/>
  <c r="BU379" i="6"/>
  <c r="BV379" i="6" s="1"/>
  <c r="BS379" i="6"/>
  <c r="BR379" i="6"/>
  <c r="BQ379" i="6"/>
  <c r="BP379" i="6"/>
  <c r="BO379" i="6"/>
  <c r="BM379" i="6"/>
  <c r="BL379" i="6"/>
  <c r="BK379" i="6"/>
  <c r="BJ379" i="6"/>
  <c r="BN379" i="6" s="1"/>
  <c r="BH379" i="6"/>
  <c r="BI379" i="6" s="1"/>
  <c r="BF379" i="6"/>
  <c r="BG379" i="6" s="1"/>
  <c r="BD379" i="6"/>
  <c r="BC379" i="6"/>
  <c r="BB379" i="6"/>
  <c r="BE379" i="6" s="1"/>
  <c r="BA379" i="6"/>
  <c r="AZ379" i="6"/>
  <c r="AY379" i="6"/>
  <c r="AX379" i="6"/>
  <c r="AW379" i="6"/>
  <c r="AV379" i="6"/>
  <c r="AT379" i="6"/>
  <c r="AU379" i="6" s="1"/>
  <c r="AS379" i="6"/>
  <c r="AQ379" i="6"/>
  <c r="AP379" i="6"/>
  <c r="AR379" i="6" s="1"/>
  <c r="AN379" i="6"/>
  <c r="AO379" i="6" s="1"/>
  <c r="AM379" i="6"/>
  <c r="AL379" i="6"/>
  <c r="AK379" i="6"/>
  <c r="AI379" i="6"/>
  <c r="AJ379" i="6" s="1"/>
  <c r="AG379" i="6"/>
  <c r="AE379" i="6"/>
  <c r="AD379" i="6"/>
  <c r="AC379" i="6"/>
  <c r="AF379" i="6" s="1"/>
  <c r="AA379" i="6"/>
  <c r="Z379" i="6"/>
  <c r="Y379" i="6"/>
  <c r="W379" i="6"/>
  <c r="X379" i="6" s="1"/>
  <c r="V379" i="6"/>
  <c r="T379" i="6"/>
  <c r="R379" i="6"/>
  <c r="S379" i="6" s="1"/>
  <c r="P379" i="6"/>
  <c r="O379" i="6"/>
  <c r="N379" i="6"/>
  <c r="M379" i="6"/>
  <c r="J379" i="6"/>
  <c r="I379" i="6"/>
  <c r="H379" i="6"/>
  <c r="G379" i="6"/>
  <c r="F379" i="6"/>
  <c r="E379" i="6"/>
  <c r="D379" i="6"/>
  <c r="C379" i="6"/>
  <c r="B379" i="6"/>
  <c r="DW378" i="6"/>
  <c r="DS378" i="6"/>
  <c r="DP378" i="6"/>
  <c r="DM378" i="6"/>
  <c r="DV378" i="6" s="1"/>
  <c r="DL378" i="6"/>
  <c r="DT378" i="6" s="1"/>
  <c r="DK378" i="6"/>
  <c r="DJ378" i="6"/>
  <c r="DH378" i="6"/>
  <c r="DI378" i="6" s="1"/>
  <c r="DF378" i="6"/>
  <c r="DG378" i="6" s="1"/>
  <c r="DD378" i="6"/>
  <c r="DE378" i="6" s="1"/>
  <c r="DB378" i="6"/>
  <c r="DC378" i="6" s="1"/>
  <c r="DA378" i="6"/>
  <c r="CY378" i="6"/>
  <c r="CZ378" i="6" s="1"/>
  <c r="CX378" i="6"/>
  <c r="CV378" i="6"/>
  <c r="CW378" i="6" s="1"/>
  <c r="CT378" i="6"/>
  <c r="CU378" i="6" s="1"/>
  <c r="CR378" i="6"/>
  <c r="CQ378" i="6"/>
  <c r="CP378" i="6"/>
  <c r="CS378" i="6" s="1"/>
  <c r="CN378" i="6"/>
  <c r="CM378" i="6"/>
  <c r="CL378" i="6"/>
  <c r="CO378" i="6" s="1"/>
  <c r="CJ378" i="6"/>
  <c r="CI378" i="6"/>
  <c r="CK378" i="6" s="1"/>
  <c r="CH378" i="6"/>
  <c r="CG378" i="6"/>
  <c r="CE378" i="6"/>
  <c r="CD378" i="6"/>
  <c r="CF378" i="6" s="1"/>
  <c r="CB378" i="6"/>
  <c r="CC378" i="6" s="1"/>
  <c r="BZ378" i="6"/>
  <c r="BY378" i="6"/>
  <c r="BX378" i="6"/>
  <c r="BW378" i="6"/>
  <c r="CA378" i="6" s="1"/>
  <c r="BU378" i="6"/>
  <c r="BV378" i="6" s="1"/>
  <c r="BS378" i="6"/>
  <c r="BR378" i="6"/>
  <c r="BQ378" i="6"/>
  <c r="BO378" i="6"/>
  <c r="BP378" i="6" s="1"/>
  <c r="BM378" i="6"/>
  <c r="BL378" i="6"/>
  <c r="BK378" i="6"/>
  <c r="BJ378" i="6"/>
  <c r="BN378" i="6" s="1"/>
  <c r="BI378" i="6"/>
  <c r="BH378" i="6"/>
  <c r="BF378" i="6"/>
  <c r="BG378" i="6" s="1"/>
  <c r="BD378" i="6"/>
  <c r="BC378" i="6"/>
  <c r="BE378" i="6" s="1"/>
  <c r="BB378" i="6"/>
  <c r="AZ378" i="6"/>
  <c r="AY378" i="6"/>
  <c r="BA378" i="6" s="1"/>
  <c r="AW378" i="6"/>
  <c r="DU378" i="6" s="1"/>
  <c r="AV378" i="6"/>
  <c r="AT378" i="6"/>
  <c r="AS378" i="6"/>
  <c r="AU378" i="6" s="1"/>
  <c r="AQ378" i="6"/>
  <c r="AP378" i="6"/>
  <c r="AR378" i="6" s="1"/>
  <c r="AN378" i="6"/>
  <c r="AM378" i="6"/>
  <c r="AO378" i="6" s="1"/>
  <c r="AK378" i="6"/>
  <c r="AJ378" i="6"/>
  <c r="AI378" i="6"/>
  <c r="AG378" i="6"/>
  <c r="AE378" i="6"/>
  <c r="AD378" i="6"/>
  <c r="AC378" i="6"/>
  <c r="AF378" i="6" s="1"/>
  <c r="AA378" i="6"/>
  <c r="Z378" i="6"/>
  <c r="AB378" i="6" s="1"/>
  <c r="Y378" i="6"/>
  <c r="W378" i="6"/>
  <c r="V378" i="6"/>
  <c r="X378" i="6" s="1"/>
  <c r="T378" i="6"/>
  <c r="S378" i="6"/>
  <c r="R378" i="6"/>
  <c r="P378" i="6"/>
  <c r="O378" i="6"/>
  <c r="N378" i="6"/>
  <c r="M378" i="6"/>
  <c r="Q378" i="6" s="1"/>
  <c r="J378" i="6"/>
  <c r="H378" i="6"/>
  <c r="G378" i="6"/>
  <c r="I378" i="6" s="1"/>
  <c r="F378" i="6"/>
  <c r="E378" i="6"/>
  <c r="D378" i="6"/>
  <c r="C378" i="6"/>
  <c r="B378" i="6"/>
  <c r="DW377" i="6"/>
  <c r="DS377" i="6"/>
  <c r="DQ377" i="6"/>
  <c r="DP377" i="6"/>
  <c r="DN377" i="6"/>
  <c r="DM377" i="6"/>
  <c r="DV377" i="6" s="1"/>
  <c r="DL377" i="6"/>
  <c r="DK377" i="6"/>
  <c r="DJ377" i="6"/>
  <c r="DI377" i="6"/>
  <c r="DH377" i="6"/>
  <c r="DG377" i="6"/>
  <c r="DF377" i="6"/>
  <c r="DE377" i="6"/>
  <c r="DD377" i="6"/>
  <c r="DB377" i="6"/>
  <c r="DA377" i="6"/>
  <c r="DC377" i="6" s="1"/>
  <c r="CY377" i="6"/>
  <c r="CZ377" i="6" s="1"/>
  <c r="CX377" i="6"/>
  <c r="CV377" i="6"/>
  <c r="CW377" i="6" s="1"/>
  <c r="CT377" i="6"/>
  <c r="CU377" i="6" s="1"/>
  <c r="CR377" i="6"/>
  <c r="DR377" i="6" s="1"/>
  <c r="CQ377" i="6"/>
  <c r="CP377" i="6"/>
  <c r="CS377" i="6" s="1"/>
  <c r="CO377" i="6"/>
  <c r="CN377" i="6"/>
  <c r="CM377" i="6"/>
  <c r="CL377" i="6"/>
  <c r="CK377" i="6"/>
  <c r="CJ377" i="6"/>
  <c r="CI377" i="6"/>
  <c r="CG377" i="6"/>
  <c r="CH377" i="6" s="1"/>
  <c r="CE377" i="6"/>
  <c r="CF377" i="6" s="1"/>
  <c r="CD377" i="6"/>
  <c r="CC377" i="6"/>
  <c r="CB377" i="6"/>
  <c r="BZ377" i="6"/>
  <c r="BY377" i="6"/>
  <c r="BX377" i="6"/>
  <c r="BW377" i="6"/>
  <c r="CA377" i="6" s="1"/>
  <c r="BV377" i="6"/>
  <c r="BU377" i="6"/>
  <c r="BR377" i="6"/>
  <c r="BS377" i="6" s="1"/>
  <c r="BQ377" i="6"/>
  <c r="BP377" i="6"/>
  <c r="BO377" i="6"/>
  <c r="BM377" i="6"/>
  <c r="BL377" i="6"/>
  <c r="BK377" i="6"/>
  <c r="BJ377" i="6"/>
  <c r="BN377" i="6" s="1"/>
  <c r="BH377" i="6"/>
  <c r="BI377" i="6" s="1"/>
  <c r="BF377" i="6"/>
  <c r="BG377" i="6" s="1"/>
  <c r="BD377" i="6"/>
  <c r="BC377" i="6"/>
  <c r="BB377" i="6"/>
  <c r="BE377" i="6" s="1"/>
  <c r="AZ377" i="6"/>
  <c r="AY377" i="6"/>
  <c r="BA377" i="6" s="1"/>
  <c r="AW377" i="6"/>
  <c r="AV377" i="6"/>
  <c r="AX377" i="6" s="1"/>
  <c r="AU377" i="6"/>
  <c r="AT377" i="6"/>
  <c r="AS377" i="6"/>
  <c r="AR377" i="6"/>
  <c r="AQ377" i="6"/>
  <c r="AP377" i="6"/>
  <c r="AN377" i="6"/>
  <c r="AM377" i="6"/>
  <c r="AO377" i="6" s="1"/>
  <c r="AL377" i="6"/>
  <c r="AK377" i="6"/>
  <c r="AJ377" i="6"/>
  <c r="AI377" i="6"/>
  <c r="AG377" i="6"/>
  <c r="AF377" i="6"/>
  <c r="AE377" i="6"/>
  <c r="AD377" i="6"/>
  <c r="AC377" i="6"/>
  <c r="AA377" i="6"/>
  <c r="DU377" i="6" s="1"/>
  <c r="Z377" i="6"/>
  <c r="AB377" i="6" s="1"/>
  <c r="Y377" i="6"/>
  <c r="X377" i="6"/>
  <c r="W377" i="6"/>
  <c r="V377" i="6"/>
  <c r="T377" i="6"/>
  <c r="R377" i="6"/>
  <c r="S377" i="6" s="1"/>
  <c r="P377" i="6"/>
  <c r="O377" i="6"/>
  <c r="N377" i="6"/>
  <c r="Q377" i="6" s="1"/>
  <c r="M377" i="6"/>
  <c r="J377" i="6"/>
  <c r="H377" i="6"/>
  <c r="I377" i="6" s="1"/>
  <c r="G377" i="6"/>
  <c r="F377" i="6"/>
  <c r="E377" i="6"/>
  <c r="D377" i="6"/>
  <c r="C377" i="6"/>
  <c r="B377" i="6"/>
  <c r="DW376" i="6"/>
  <c r="DR376" i="6"/>
  <c r="DM376" i="6"/>
  <c r="DL376" i="6"/>
  <c r="DK376" i="6"/>
  <c r="DJ376" i="6"/>
  <c r="DN376" i="6" s="1"/>
  <c r="DI376" i="6"/>
  <c r="DH376" i="6"/>
  <c r="DF376" i="6"/>
  <c r="DG376" i="6" s="1"/>
  <c r="DD376" i="6"/>
  <c r="DE376" i="6" s="1"/>
  <c r="DB376" i="6"/>
  <c r="DA376" i="6"/>
  <c r="DC376" i="6" s="1"/>
  <c r="CY376" i="6"/>
  <c r="CX376" i="6"/>
  <c r="CZ376" i="6" s="1"/>
  <c r="CV376" i="6"/>
  <c r="CW376" i="6" s="1"/>
  <c r="CT376" i="6"/>
  <c r="CU376" i="6" s="1"/>
  <c r="CR376" i="6"/>
  <c r="CQ376" i="6"/>
  <c r="CP376" i="6"/>
  <c r="CO376" i="6"/>
  <c r="CN376" i="6"/>
  <c r="CM376" i="6"/>
  <c r="CL376" i="6"/>
  <c r="CJ376" i="6"/>
  <c r="CK376" i="6" s="1"/>
  <c r="CI376" i="6"/>
  <c r="CH376" i="6"/>
  <c r="CG376" i="6"/>
  <c r="CE376" i="6"/>
  <c r="CD376" i="6"/>
  <c r="CF376" i="6" s="1"/>
  <c r="CB376" i="6"/>
  <c r="CC376" i="6" s="1"/>
  <c r="BZ376" i="6"/>
  <c r="BY376" i="6"/>
  <c r="BX376" i="6"/>
  <c r="BW376" i="6"/>
  <c r="CA376" i="6" s="1"/>
  <c r="BU376" i="6"/>
  <c r="BV376" i="6" s="1"/>
  <c r="BR376" i="6"/>
  <c r="BQ376" i="6"/>
  <c r="BS376" i="6" s="1"/>
  <c r="BP376" i="6"/>
  <c r="BO376" i="6"/>
  <c r="BM376" i="6"/>
  <c r="BL376" i="6"/>
  <c r="BK376" i="6"/>
  <c r="BJ376" i="6"/>
  <c r="BN376" i="6" s="1"/>
  <c r="BH376" i="6"/>
  <c r="BI376" i="6" s="1"/>
  <c r="BG376" i="6"/>
  <c r="BF376" i="6"/>
  <c r="BD376" i="6"/>
  <c r="BC376" i="6"/>
  <c r="BE376" i="6" s="1"/>
  <c r="BB376" i="6"/>
  <c r="AZ376" i="6"/>
  <c r="AY376" i="6"/>
  <c r="BA376" i="6" s="1"/>
  <c r="AW376" i="6"/>
  <c r="AV376" i="6"/>
  <c r="AX376" i="6" s="1"/>
  <c r="AU376" i="6"/>
  <c r="AT376" i="6"/>
  <c r="AS376" i="6"/>
  <c r="AQ376" i="6"/>
  <c r="AR376" i="6" s="1"/>
  <c r="AP376" i="6"/>
  <c r="AN376" i="6"/>
  <c r="AM376" i="6"/>
  <c r="AO376" i="6" s="1"/>
  <c r="AK376" i="6"/>
  <c r="AL376" i="6" s="1"/>
  <c r="AI376" i="6"/>
  <c r="AG376" i="6"/>
  <c r="AF376" i="6"/>
  <c r="AE376" i="6"/>
  <c r="AD376" i="6"/>
  <c r="AC376" i="6"/>
  <c r="AB376" i="6"/>
  <c r="AA376" i="6"/>
  <c r="Z376" i="6"/>
  <c r="Y376" i="6"/>
  <c r="X376" i="6"/>
  <c r="W376" i="6"/>
  <c r="V376" i="6"/>
  <c r="T376" i="6"/>
  <c r="S376" i="6"/>
  <c r="R376" i="6"/>
  <c r="P376" i="6"/>
  <c r="O376" i="6"/>
  <c r="N376" i="6"/>
  <c r="M376" i="6"/>
  <c r="J376" i="6"/>
  <c r="H376" i="6"/>
  <c r="G376" i="6"/>
  <c r="DU376" i="6" s="1"/>
  <c r="F376" i="6"/>
  <c r="DV376" i="6" s="1"/>
  <c r="E376" i="6"/>
  <c r="D376" i="6"/>
  <c r="C376" i="6"/>
  <c r="B376" i="6"/>
  <c r="DW375" i="6"/>
  <c r="DV375" i="6"/>
  <c r="DQ375" i="6"/>
  <c r="DP375" i="6"/>
  <c r="DM375" i="6"/>
  <c r="DN375" i="6" s="1"/>
  <c r="DL375" i="6"/>
  <c r="DK375" i="6"/>
  <c r="DJ375" i="6"/>
  <c r="DI375" i="6"/>
  <c r="DH375" i="6"/>
  <c r="DG375" i="6"/>
  <c r="DF375" i="6"/>
  <c r="DE375" i="6"/>
  <c r="DD375" i="6"/>
  <c r="DB375" i="6"/>
  <c r="DA375" i="6"/>
  <c r="DC375" i="6" s="1"/>
  <c r="CY375" i="6"/>
  <c r="CZ375" i="6" s="1"/>
  <c r="CX375" i="6"/>
  <c r="CW375" i="6"/>
  <c r="CV375" i="6"/>
  <c r="CT375" i="6"/>
  <c r="CU375" i="6" s="1"/>
  <c r="CS375" i="6"/>
  <c r="CR375" i="6"/>
  <c r="CQ375" i="6"/>
  <c r="CP375" i="6"/>
  <c r="CN375" i="6"/>
  <c r="CM375" i="6"/>
  <c r="CO375" i="6" s="1"/>
  <c r="CL375" i="6"/>
  <c r="CJ375" i="6"/>
  <c r="CI375" i="6"/>
  <c r="CK375" i="6" s="1"/>
  <c r="CG375" i="6"/>
  <c r="CH375" i="6" s="1"/>
  <c r="CE375" i="6"/>
  <c r="CD375" i="6"/>
  <c r="CC375" i="6"/>
  <c r="CB375" i="6"/>
  <c r="BZ375" i="6"/>
  <c r="BY375" i="6"/>
  <c r="BX375" i="6"/>
  <c r="CA375" i="6" s="1"/>
  <c r="BW375" i="6"/>
  <c r="BV375" i="6"/>
  <c r="BU375" i="6"/>
  <c r="BR375" i="6"/>
  <c r="BS375" i="6" s="1"/>
  <c r="BQ375" i="6"/>
  <c r="BP375" i="6"/>
  <c r="BO375" i="6"/>
  <c r="BM375" i="6"/>
  <c r="BL375" i="6"/>
  <c r="BK375" i="6"/>
  <c r="BJ375" i="6"/>
  <c r="BN375" i="6" s="1"/>
  <c r="BH375" i="6"/>
  <c r="BI375" i="6" s="1"/>
  <c r="BF375" i="6"/>
  <c r="BG375" i="6" s="1"/>
  <c r="BD375" i="6"/>
  <c r="BC375" i="6"/>
  <c r="BB375" i="6"/>
  <c r="BE375" i="6" s="1"/>
  <c r="AZ375" i="6"/>
  <c r="AY375" i="6"/>
  <c r="BA375" i="6" s="1"/>
  <c r="AW375" i="6"/>
  <c r="AV375" i="6"/>
  <c r="AT375" i="6"/>
  <c r="AU375" i="6" s="1"/>
  <c r="AS375" i="6"/>
  <c r="AQ375" i="6"/>
  <c r="AP375" i="6"/>
  <c r="AR375" i="6" s="1"/>
  <c r="AN375" i="6"/>
  <c r="AM375" i="6"/>
  <c r="AO375" i="6" s="1"/>
  <c r="AL375" i="6"/>
  <c r="AK375" i="6"/>
  <c r="AJ375" i="6"/>
  <c r="AI375" i="6"/>
  <c r="AG375" i="6"/>
  <c r="AE375" i="6"/>
  <c r="AD375" i="6"/>
  <c r="AC375" i="6"/>
  <c r="AB375" i="6"/>
  <c r="AA375" i="6"/>
  <c r="Z375" i="6"/>
  <c r="Y375" i="6"/>
  <c r="W375" i="6"/>
  <c r="X375" i="6" s="1"/>
  <c r="V375" i="6"/>
  <c r="T375" i="6"/>
  <c r="R375" i="6"/>
  <c r="S375" i="6" s="1"/>
  <c r="P375" i="6"/>
  <c r="O375" i="6"/>
  <c r="N375" i="6"/>
  <c r="M375" i="6"/>
  <c r="J375" i="6"/>
  <c r="H375" i="6"/>
  <c r="G375" i="6"/>
  <c r="F375" i="6"/>
  <c r="E375" i="6"/>
  <c r="D375" i="6"/>
  <c r="C375" i="6"/>
  <c r="B375" i="6"/>
  <c r="DW374" i="6"/>
  <c r="DM374" i="6"/>
  <c r="DL374" i="6"/>
  <c r="DK374" i="6"/>
  <c r="DJ374" i="6"/>
  <c r="DN374" i="6" s="1"/>
  <c r="DH374" i="6"/>
  <c r="DI374" i="6" s="1"/>
  <c r="DG374" i="6"/>
  <c r="DF374" i="6"/>
  <c r="DD374" i="6"/>
  <c r="DE374" i="6" s="1"/>
  <c r="DB374" i="6"/>
  <c r="DA374" i="6"/>
  <c r="DC374" i="6" s="1"/>
  <c r="CZ374" i="6"/>
  <c r="CY374" i="6"/>
  <c r="CX374" i="6"/>
  <c r="CV374" i="6"/>
  <c r="CW374" i="6" s="1"/>
  <c r="CU374" i="6"/>
  <c r="CT374" i="6"/>
  <c r="CR374" i="6"/>
  <c r="CQ374" i="6"/>
  <c r="CP374" i="6"/>
  <c r="CS374" i="6" s="1"/>
  <c r="CN374" i="6"/>
  <c r="CM374" i="6"/>
  <c r="CL374" i="6"/>
  <c r="CO374" i="6" s="1"/>
  <c r="CK374" i="6"/>
  <c r="CJ374" i="6"/>
  <c r="CI374" i="6"/>
  <c r="CH374" i="6"/>
  <c r="CG374" i="6"/>
  <c r="CE374" i="6"/>
  <c r="CD374" i="6"/>
  <c r="CF374" i="6" s="1"/>
  <c r="CB374" i="6"/>
  <c r="CC374" i="6" s="1"/>
  <c r="BZ374" i="6"/>
  <c r="BY374" i="6"/>
  <c r="BX374" i="6"/>
  <c r="BW374" i="6"/>
  <c r="BV374" i="6"/>
  <c r="BU374" i="6"/>
  <c r="BS374" i="6"/>
  <c r="BR374" i="6"/>
  <c r="BQ374" i="6"/>
  <c r="BP374" i="6"/>
  <c r="BO374" i="6"/>
  <c r="BM374" i="6"/>
  <c r="BL374" i="6"/>
  <c r="BK374" i="6"/>
  <c r="BN374" i="6" s="1"/>
  <c r="BJ374" i="6"/>
  <c r="BI374" i="6"/>
  <c r="BH374" i="6"/>
  <c r="BG374" i="6"/>
  <c r="BF374" i="6"/>
  <c r="BD374" i="6"/>
  <c r="BC374" i="6"/>
  <c r="BB374" i="6"/>
  <c r="BE374" i="6" s="1"/>
  <c r="AZ374" i="6"/>
  <c r="AY374" i="6"/>
  <c r="AW374" i="6"/>
  <c r="AV374" i="6"/>
  <c r="AX374" i="6" s="1"/>
  <c r="AT374" i="6"/>
  <c r="AS374" i="6"/>
  <c r="AU374" i="6" s="1"/>
  <c r="AR374" i="6"/>
  <c r="AQ374" i="6"/>
  <c r="AP374" i="6"/>
  <c r="AO374" i="6"/>
  <c r="AN374" i="6"/>
  <c r="AM374" i="6"/>
  <c r="AK374" i="6"/>
  <c r="AL374" i="6" s="1"/>
  <c r="AJ374" i="6"/>
  <c r="AI374" i="6"/>
  <c r="AG374" i="6"/>
  <c r="AE374" i="6"/>
  <c r="AD374" i="6"/>
  <c r="AC374" i="6"/>
  <c r="AA374" i="6"/>
  <c r="AB374" i="6" s="1"/>
  <c r="Z374" i="6"/>
  <c r="Y374" i="6"/>
  <c r="X374" i="6"/>
  <c r="W374" i="6"/>
  <c r="V374" i="6"/>
  <c r="T374" i="6"/>
  <c r="S374" i="6"/>
  <c r="R374" i="6"/>
  <c r="P374" i="6"/>
  <c r="O374" i="6"/>
  <c r="N374" i="6"/>
  <c r="M374" i="6"/>
  <c r="Q374" i="6" s="1"/>
  <c r="J374" i="6"/>
  <c r="H374" i="6"/>
  <c r="G374" i="6"/>
  <c r="F374" i="6"/>
  <c r="DV374" i="6" s="1"/>
  <c r="E374" i="6"/>
  <c r="D374" i="6"/>
  <c r="C374" i="6"/>
  <c r="B374" i="6"/>
  <c r="DW373" i="6"/>
  <c r="DU373" i="6"/>
  <c r="DT373" i="6"/>
  <c r="DR373" i="6"/>
  <c r="DM373" i="6"/>
  <c r="DL373" i="6"/>
  <c r="DK373" i="6"/>
  <c r="DJ373" i="6"/>
  <c r="DN373" i="6" s="1"/>
  <c r="DH373" i="6"/>
  <c r="DI373" i="6" s="1"/>
  <c r="DF373" i="6"/>
  <c r="DG373" i="6" s="1"/>
  <c r="DE373" i="6"/>
  <c r="DD373" i="6"/>
  <c r="DC373" i="6"/>
  <c r="DB373" i="6"/>
  <c r="DA373" i="6"/>
  <c r="CY373" i="6"/>
  <c r="CX373" i="6"/>
  <c r="CW373" i="6"/>
  <c r="CV373" i="6"/>
  <c r="CT373" i="6"/>
  <c r="CU373" i="6" s="1"/>
  <c r="CS373" i="6"/>
  <c r="CR373" i="6"/>
  <c r="CQ373" i="6"/>
  <c r="CP373" i="6"/>
  <c r="CN373" i="6"/>
  <c r="CM373" i="6"/>
  <c r="CO373" i="6" s="1"/>
  <c r="CL373" i="6"/>
  <c r="CJ373" i="6"/>
  <c r="CK373" i="6" s="1"/>
  <c r="CI373" i="6"/>
  <c r="CG373" i="6"/>
  <c r="CH373" i="6" s="1"/>
  <c r="CE373" i="6"/>
  <c r="CD373" i="6"/>
  <c r="CC373" i="6"/>
  <c r="CB373" i="6"/>
  <c r="BZ373" i="6"/>
  <c r="BY373" i="6"/>
  <c r="BX373" i="6"/>
  <c r="BW373" i="6"/>
  <c r="BV373" i="6"/>
  <c r="BU373" i="6"/>
  <c r="BR373" i="6"/>
  <c r="BQ373" i="6"/>
  <c r="BS373" i="6" s="1"/>
  <c r="BO373" i="6"/>
  <c r="BP373" i="6" s="1"/>
  <c r="BM373" i="6"/>
  <c r="BL373" i="6"/>
  <c r="BK373" i="6"/>
  <c r="BJ373" i="6"/>
  <c r="BN373" i="6" s="1"/>
  <c r="BH373" i="6"/>
  <c r="BI373" i="6" s="1"/>
  <c r="BF373" i="6"/>
  <c r="BG373" i="6" s="1"/>
  <c r="BD373" i="6"/>
  <c r="BE373" i="6" s="1"/>
  <c r="BC373" i="6"/>
  <c r="BB373" i="6"/>
  <c r="BA373" i="6"/>
  <c r="AZ373" i="6"/>
  <c r="AY373" i="6"/>
  <c r="AW373" i="6"/>
  <c r="AV373" i="6"/>
  <c r="AX373" i="6" s="1"/>
  <c r="AT373" i="6"/>
  <c r="AS373" i="6"/>
  <c r="AU373" i="6" s="1"/>
  <c r="AQ373" i="6"/>
  <c r="AR373" i="6" s="1"/>
  <c r="AP373" i="6"/>
  <c r="AN373" i="6"/>
  <c r="AO373" i="6" s="1"/>
  <c r="AM373" i="6"/>
  <c r="AL373" i="6"/>
  <c r="AK373" i="6"/>
  <c r="AJ373" i="6"/>
  <c r="AI373" i="6"/>
  <c r="AG373" i="6"/>
  <c r="AE373" i="6"/>
  <c r="AD373" i="6"/>
  <c r="AC373" i="6"/>
  <c r="AA373" i="6"/>
  <c r="Z373" i="6"/>
  <c r="AB373" i="6" s="1"/>
  <c r="Y373" i="6"/>
  <c r="X373" i="6"/>
  <c r="W373" i="6"/>
  <c r="V373" i="6"/>
  <c r="T373" i="6"/>
  <c r="S373" i="6"/>
  <c r="R373" i="6"/>
  <c r="P373" i="6"/>
  <c r="O373" i="6"/>
  <c r="N373" i="6"/>
  <c r="M373" i="6"/>
  <c r="Q373" i="6" s="1"/>
  <c r="J373" i="6"/>
  <c r="H373" i="6"/>
  <c r="DQ373" i="6" s="1"/>
  <c r="G373" i="6"/>
  <c r="F373" i="6"/>
  <c r="DV373" i="6" s="1"/>
  <c r="E373" i="6"/>
  <c r="D373" i="6"/>
  <c r="C373" i="6"/>
  <c r="B373" i="6"/>
  <c r="DW372" i="6"/>
  <c r="DT372" i="6"/>
  <c r="DN372" i="6"/>
  <c r="DM372" i="6"/>
  <c r="DL372" i="6"/>
  <c r="DK372" i="6"/>
  <c r="DJ372" i="6"/>
  <c r="DH372" i="6"/>
  <c r="DI372" i="6" s="1"/>
  <c r="DF372" i="6"/>
  <c r="DG372" i="6" s="1"/>
  <c r="DE372" i="6"/>
  <c r="DD372" i="6"/>
  <c r="DB372" i="6"/>
  <c r="DC372" i="6" s="1"/>
  <c r="DA372" i="6"/>
  <c r="CZ372" i="6"/>
  <c r="CY372" i="6"/>
  <c r="CX372" i="6"/>
  <c r="CV372" i="6"/>
  <c r="CW372" i="6" s="1"/>
  <c r="CT372" i="6"/>
  <c r="CU372" i="6" s="1"/>
  <c r="CR372" i="6"/>
  <c r="CS372" i="6" s="1"/>
  <c r="CQ372" i="6"/>
  <c r="CP372" i="6"/>
  <c r="CN372" i="6"/>
  <c r="CM372" i="6"/>
  <c r="CO372" i="6" s="1"/>
  <c r="CL372" i="6"/>
  <c r="CJ372" i="6"/>
  <c r="CK372" i="6" s="1"/>
  <c r="CI372" i="6"/>
  <c r="CH372" i="6"/>
  <c r="CG372" i="6"/>
  <c r="CE372" i="6"/>
  <c r="CD372" i="6"/>
  <c r="CF372" i="6" s="1"/>
  <c r="CB372" i="6"/>
  <c r="CC372" i="6" s="1"/>
  <c r="BZ372" i="6"/>
  <c r="BY372" i="6"/>
  <c r="BX372" i="6"/>
  <c r="CA372" i="6" s="1"/>
  <c r="BW372" i="6"/>
  <c r="BU372" i="6"/>
  <c r="BV372" i="6" s="1"/>
  <c r="BR372" i="6"/>
  <c r="BQ372" i="6"/>
  <c r="BO372" i="6"/>
  <c r="BP372" i="6" s="1"/>
  <c r="BM372" i="6"/>
  <c r="BL372" i="6"/>
  <c r="BN372" i="6" s="1"/>
  <c r="BK372" i="6"/>
  <c r="BJ372" i="6"/>
  <c r="BI372" i="6"/>
  <c r="BH372" i="6"/>
  <c r="BG372" i="6"/>
  <c r="BF372" i="6"/>
  <c r="BD372" i="6"/>
  <c r="BC372" i="6"/>
  <c r="BE372" i="6" s="1"/>
  <c r="BB372" i="6"/>
  <c r="BA372" i="6"/>
  <c r="AZ372" i="6"/>
  <c r="DQ372" i="6" s="1"/>
  <c r="AY372" i="6"/>
  <c r="AW372" i="6"/>
  <c r="AV372" i="6"/>
  <c r="AX372" i="6" s="1"/>
  <c r="AT372" i="6"/>
  <c r="AS372" i="6"/>
  <c r="AU372" i="6" s="1"/>
  <c r="AQ372" i="6"/>
  <c r="AP372" i="6"/>
  <c r="AR372" i="6" s="1"/>
  <c r="AN372" i="6"/>
  <c r="AM372" i="6"/>
  <c r="AO372" i="6" s="1"/>
  <c r="AK372" i="6"/>
  <c r="AL372" i="6" s="1"/>
  <c r="AI372" i="6"/>
  <c r="AJ372" i="6" s="1"/>
  <c r="AG372" i="6"/>
  <c r="AE372" i="6"/>
  <c r="AD372" i="6"/>
  <c r="AC372" i="6"/>
  <c r="DS372" i="6" s="1"/>
  <c r="AA372" i="6"/>
  <c r="Z372" i="6"/>
  <c r="AB372" i="6" s="1"/>
  <c r="Y372" i="6"/>
  <c r="W372" i="6"/>
  <c r="DV372" i="6" s="1"/>
  <c r="V372" i="6"/>
  <c r="X372" i="6" s="1"/>
  <c r="T372" i="6"/>
  <c r="R372" i="6"/>
  <c r="S372" i="6" s="1"/>
  <c r="P372" i="6"/>
  <c r="O372" i="6"/>
  <c r="N372" i="6"/>
  <c r="M372" i="6"/>
  <c r="J372" i="6"/>
  <c r="H372" i="6"/>
  <c r="G372" i="6"/>
  <c r="F372" i="6"/>
  <c r="E372" i="6"/>
  <c r="D372" i="6"/>
  <c r="C372" i="6"/>
  <c r="B372" i="6"/>
  <c r="DW371" i="6"/>
  <c r="DV371" i="6"/>
  <c r="DS371" i="6"/>
  <c r="DP371" i="6"/>
  <c r="DN371" i="6"/>
  <c r="DM371" i="6"/>
  <c r="DL371" i="6"/>
  <c r="DK371" i="6"/>
  <c r="DJ371" i="6"/>
  <c r="DH371" i="6"/>
  <c r="DI371" i="6" s="1"/>
  <c r="DF371" i="6"/>
  <c r="DG371" i="6" s="1"/>
  <c r="DD371" i="6"/>
  <c r="DE371" i="6" s="1"/>
  <c r="DB371" i="6"/>
  <c r="DA371" i="6"/>
  <c r="DC371" i="6" s="1"/>
  <c r="CY371" i="6"/>
  <c r="CZ371" i="6" s="1"/>
  <c r="CX371" i="6"/>
  <c r="CW371" i="6"/>
  <c r="CV371" i="6"/>
  <c r="CU371" i="6"/>
  <c r="CT371" i="6"/>
  <c r="CR371" i="6"/>
  <c r="DR371" i="6" s="1"/>
  <c r="CQ371" i="6"/>
  <c r="CP371" i="6"/>
  <c r="CN371" i="6"/>
  <c r="CM371" i="6"/>
  <c r="CO371" i="6" s="1"/>
  <c r="CL371" i="6"/>
  <c r="CJ371" i="6"/>
  <c r="CK371" i="6" s="1"/>
  <c r="CI371" i="6"/>
  <c r="CH371" i="6"/>
  <c r="CG371" i="6"/>
  <c r="CE371" i="6"/>
  <c r="CF371" i="6" s="1"/>
  <c r="CD371" i="6"/>
  <c r="CB371" i="6"/>
  <c r="CC371" i="6" s="1"/>
  <c r="BZ371" i="6"/>
  <c r="CA371" i="6" s="1"/>
  <c r="BY371" i="6"/>
  <c r="BX371" i="6"/>
  <c r="BW371" i="6"/>
  <c r="BV371" i="6"/>
  <c r="BU371" i="6"/>
  <c r="BS371" i="6"/>
  <c r="BR371" i="6"/>
  <c r="BQ371" i="6"/>
  <c r="BO371" i="6"/>
  <c r="BP371" i="6" s="1"/>
  <c r="BM371" i="6"/>
  <c r="BL371" i="6"/>
  <c r="BN371" i="6" s="1"/>
  <c r="BK371" i="6"/>
  <c r="BJ371" i="6"/>
  <c r="BH371" i="6"/>
  <c r="BI371" i="6" s="1"/>
  <c r="BF371" i="6"/>
  <c r="BG371" i="6" s="1"/>
  <c r="BD371" i="6"/>
  <c r="BE371" i="6" s="1"/>
  <c r="BC371" i="6"/>
  <c r="BB371" i="6"/>
  <c r="AZ371" i="6"/>
  <c r="AY371" i="6"/>
  <c r="AX371" i="6"/>
  <c r="AW371" i="6"/>
  <c r="AV371" i="6"/>
  <c r="AT371" i="6"/>
  <c r="AS371" i="6"/>
  <c r="AU371" i="6" s="1"/>
  <c r="AQ371" i="6"/>
  <c r="AP371" i="6"/>
  <c r="AR371" i="6" s="1"/>
  <c r="AN371" i="6"/>
  <c r="AO371" i="6" s="1"/>
  <c r="AM371" i="6"/>
  <c r="AL371" i="6"/>
  <c r="AK371" i="6"/>
  <c r="AI371" i="6"/>
  <c r="AJ371" i="6" s="1"/>
  <c r="AG371" i="6"/>
  <c r="AE371" i="6"/>
  <c r="DT371" i="6" s="1"/>
  <c r="AD371" i="6"/>
  <c r="AC371" i="6"/>
  <c r="AA371" i="6"/>
  <c r="Z371" i="6"/>
  <c r="Y371" i="6"/>
  <c r="W371" i="6"/>
  <c r="X371" i="6" s="1"/>
  <c r="V371" i="6"/>
  <c r="T371" i="6"/>
  <c r="R371" i="6"/>
  <c r="S371" i="6" s="1"/>
  <c r="P371" i="6"/>
  <c r="Q371" i="6" s="1"/>
  <c r="O371" i="6"/>
  <c r="N371" i="6"/>
  <c r="M371" i="6"/>
  <c r="J371" i="6"/>
  <c r="H371" i="6"/>
  <c r="G371" i="6"/>
  <c r="DU371" i="6" s="1"/>
  <c r="F371" i="6"/>
  <c r="E371" i="6"/>
  <c r="D371" i="6"/>
  <c r="C371" i="6"/>
  <c r="B371" i="6"/>
  <c r="DW370" i="6"/>
  <c r="DM370" i="6"/>
  <c r="DL370" i="6"/>
  <c r="DK370" i="6"/>
  <c r="DJ370" i="6"/>
  <c r="DN370" i="6" s="1"/>
  <c r="DI370" i="6"/>
  <c r="DH370" i="6"/>
  <c r="DG370" i="6"/>
  <c r="DF370" i="6"/>
  <c r="DD370" i="6"/>
  <c r="DE370" i="6" s="1"/>
  <c r="DC370" i="6"/>
  <c r="DB370" i="6"/>
  <c r="DA370" i="6"/>
  <c r="CZ370" i="6"/>
  <c r="CY370" i="6"/>
  <c r="CX370" i="6"/>
  <c r="CV370" i="6"/>
  <c r="CW370" i="6" s="1"/>
  <c r="CT370" i="6"/>
  <c r="CU370" i="6" s="1"/>
  <c r="CR370" i="6"/>
  <c r="CQ370" i="6"/>
  <c r="CP370" i="6"/>
  <c r="CS370" i="6" s="1"/>
  <c r="CN370" i="6"/>
  <c r="CM370" i="6"/>
  <c r="CL370" i="6"/>
  <c r="CJ370" i="6"/>
  <c r="CI370" i="6"/>
  <c r="CK370" i="6" s="1"/>
  <c r="CG370" i="6"/>
  <c r="CH370" i="6" s="1"/>
  <c r="CE370" i="6"/>
  <c r="CD370" i="6"/>
  <c r="CF370" i="6" s="1"/>
  <c r="CB370" i="6"/>
  <c r="CC370" i="6" s="1"/>
  <c r="CA370" i="6"/>
  <c r="BZ370" i="6"/>
  <c r="BY370" i="6"/>
  <c r="BX370" i="6"/>
  <c r="BW370" i="6"/>
  <c r="BU370" i="6"/>
  <c r="BV370" i="6" s="1"/>
  <c r="BR370" i="6"/>
  <c r="BQ370" i="6"/>
  <c r="BS370" i="6" s="1"/>
  <c r="BO370" i="6"/>
  <c r="BP370" i="6" s="1"/>
  <c r="BM370" i="6"/>
  <c r="BL370" i="6"/>
  <c r="BK370" i="6"/>
  <c r="BN370" i="6" s="1"/>
  <c r="BJ370" i="6"/>
  <c r="BI370" i="6"/>
  <c r="BH370" i="6"/>
  <c r="BG370" i="6"/>
  <c r="BF370" i="6"/>
  <c r="BD370" i="6"/>
  <c r="BE370" i="6" s="1"/>
  <c r="BC370" i="6"/>
  <c r="BB370" i="6"/>
  <c r="BA370" i="6"/>
  <c r="AZ370" i="6"/>
  <c r="AY370" i="6"/>
  <c r="AW370" i="6"/>
  <c r="AV370" i="6"/>
  <c r="AX370" i="6" s="1"/>
  <c r="AT370" i="6"/>
  <c r="AS370" i="6"/>
  <c r="AU370" i="6" s="1"/>
  <c r="AQ370" i="6"/>
  <c r="AR370" i="6" s="1"/>
  <c r="AP370" i="6"/>
  <c r="AN370" i="6"/>
  <c r="AM370" i="6"/>
  <c r="AO370" i="6" s="1"/>
  <c r="AK370" i="6"/>
  <c r="AL370" i="6" s="1"/>
  <c r="AI370" i="6"/>
  <c r="AJ370" i="6" s="1"/>
  <c r="AG370" i="6"/>
  <c r="AE370" i="6"/>
  <c r="AD370" i="6"/>
  <c r="AC370" i="6"/>
  <c r="AB370" i="6"/>
  <c r="AA370" i="6"/>
  <c r="Z370" i="6"/>
  <c r="Y370" i="6"/>
  <c r="W370" i="6"/>
  <c r="V370" i="6"/>
  <c r="X370" i="6" s="1"/>
  <c r="T370" i="6"/>
  <c r="R370" i="6"/>
  <c r="S370" i="6" s="1"/>
  <c r="Q370" i="6"/>
  <c r="P370" i="6"/>
  <c r="O370" i="6"/>
  <c r="N370" i="6"/>
  <c r="M370" i="6"/>
  <c r="J370" i="6"/>
  <c r="I370" i="6"/>
  <c r="H370" i="6"/>
  <c r="G370" i="6"/>
  <c r="F370" i="6"/>
  <c r="DV370" i="6" s="1"/>
  <c r="E370" i="6"/>
  <c r="D370" i="6"/>
  <c r="C370" i="6"/>
  <c r="B370" i="6"/>
  <c r="DW369" i="6"/>
  <c r="DP369" i="6"/>
  <c r="DM369" i="6"/>
  <c r="DV369" i="6" s="1"/>
  <c r="DL369" i="6"/>
  <c r="DK369" i="6"/>
  <c r="DJ369" i="6"/>
  <c r="DI369" i="6"/>
  <c r="DH369" i="6"/>
  <c r="DF369" i="6"/>
  <c r="DG369" i="6" s="1"/>
  <c r="DD369" i="6"/>
  <c r="DE369" i="6" s="1"/>
  <c r="DB369" i="6"/>
  <c r="DA369" i="6"/>
  <c r="DC369" i="6" s="1"/>
  <c r="CY369" i="6"/>
  <c r="CZ369" i="6" s="1"/>
  <c r="CX369" i="6"/>
  <c r="CV369" i="6"/>
  <c r="CW369" i="6" s="1"/>
  <c r="CU369" i="6"/>
  <c r="CT369" i="6"/>
  <c r="CS369" i="6"/>
  <c r="CR369" i="6"/>
  <c r="CQ369" i="6"/>
  <c r="CP369" i="6"/>
  <c r="CN369" i="6"/>
  <c r="CM369" i="6"/>
  <c r="CL369" i="6"/>
  <c r="CJ369" i="6"/>
  <c r="CI369" i="6"/>
  <c r="CK369" i="6" s="1"/>
  <c r="CG369" i="6"/>
  <c r="CH369" i="6" s="1"/>
  <c r="CF369" i="6"/>
  <c r="CE369" i="6"/>
  <c r="CD369" i="6"/>
  <c r="CC369" i="6"/>
  <c r="CB369" i="6"/>
  <c r="BZ369" i="6"/>
  <c r="BY369" i="6"/>
  <c r="BX369" i="6"/>
  <c r="BW369" i="6"/>
  <c r="BU369" i="6"/>
  <c r="BV369" i="6" s="1"/>
  <c r="BS369" i="6"/>
  <c r="BR369" i="6"/>
  <c r="BQ369" i="6"/>
  <c r="BO369" i="6"/>
  <c r="BP369" i="6" s="1"/>
  <c r="BN369" i="6"/>
  <c r="BM369" i="6"/>
  <c r="BL369" i="6"/>
  <c r="BK369" i="6"/>
  <c r="BJ369" i="6"/>
  <c r="BH369" i="6"/>
  <c r="BI369" i="6" s="1"/>
  <c r="BF369" i="6"/>
  <c r="BG369" i="6" s="1"/>
  <c r="BD369" i="6"/>
  <c r="BC369" i="6"/>
  <c r="BB369" i="6"/>
  <c r="BE369" i="6" s="1"/>
  <c r="AZ369" i="6"/>
  <c r="AY369" i="6"/>
  <c r="AW369" i="6"/>
  <c r="AX369" i="6" s="1"/>
  <c r="AV369" i="6"/>
  <c r="AT369" i="6"/>
  <c r="AU369" i="6" s="1"/>
  <c r="AS369" i="6"/>
  <c r="AQ369" i="6"/>
  <c r="AP369" i="6"/>
  <c r="AR369" i="6" s="1"/>
  <c r="AN369" i="6"/>
  <c r="AM369" i="6"/>
  <c r="AO369" i="6" s="1"/>
  <c r="AK369" i="6"/>
  <c r="AL369" i="6" s="1"/>
  <c r="AJ369" i="6"/>
  <c r="AI369" i="6"/>
  <c r="AG369" i="6"/>
  <c r="AE369" i="6"/>
  <c r="AD369" i="6"/>
  <c r="AC369" i="6"/>
  <c r="AA369" i="6"/>
  <c r="Z369" i="6"/>
  <c r="Y369" i="6"/>
  <c r="W369" i="6"/>
  <c r="V369" i="6"/>
  <c r="DT369" i="6" s="1"/>
  <c r="T369" i="6"/>
  <c r="R369" i="6"/>
  <c r="S369" i="6" s="1"/>
  <c r="Q369" i="6"/>
  <c r="P369" i="6"/>
  <c r="O369" i="6"/>
  <c r="N369" i="6"/>
  <c r="M369" i="6"/>
  <c r="J369" i="6"/>
  <c r="H369" i="6"/>
  <c r="G369" i="6"/>
  <c r="F369" i="6"/>
  <c r="E369" i="6"/>
  <c r="I369" i="6" s="1"/>
  <c r="D369" i="6"/>
  <c r="C369" i="6"/>
  <c r="B369" i="6"/>
  <c r="DW368" i="6"/>
  <c r="DM368" i="6"/>
  <c r="DL368" i="6"/>
  <c r="DK368" i="6"/>
  <c r="DJ368" i="6"/>
  <c r="DN368" i="6" s="1"/>
  <c r="DH368" i="6"/>
  <c r="DI368" i="6" s="1"/>
  <c r="DG368" i="6"/>
  <c r="DF368" i="6"/>
  <c r="DD368" i="6"/>
  <c r="DE368" i="6" s="1"/>
  <c r="DC368" i="6"/>
  <c r="DB368" i="6"/>
  <c r="DA368" i="6"/>
  <c r="CY368" i="6"/>
  <c r="CZ368" i="6" s="1"/>
  <c r="CX368" i="6"/>
  <c r="CV368" i="6"/>
  <c r="CW368" i="6" s="1"/>
  <c r="CU368" i="6"/>
  <c r="CT368" i="6"/>
  <c r="CR368" i="6"/>
  <c r="CQ368" i="6"/>
  <c r="CP368" i="6"/>
  <c r="CS368" i="6" s="1"/>
  <c r="CN368" i="6"/>
  <c r="CM368" i="6"/>
  <c r="CL368" i="6"/>
  <c r="CO368" i="6" s="1"/>
  <c r="CJ368" i="6"/>
  <c r="CI368" i="6"/>
  <c r="CK368" i="6" s="1"/>
  <c r="CG368" i="6"/>
  <c r="CH368" i="6" s="1"/>
  <c r="CE368" i="6"/>
  <c r="CD368" i="6"/>
  <c r="CF368" i="6" s="1"/>
  <c r="CB368" i="6"/>
  <c r="CC368" i="6" s="1"/>
  <c r="BZ368" i="6"/>
  <c r="BY368" i="6"/>
  <c r="BX368" i="6"/>
  <c r="BW368" i="6"/>
  <c r="BU368" i="6"/>
  <c r="BV368" i="6" s="1"/>
  <c r="BR368" i="6"/>
  <c r="BQ368" i="6"/>
  <c r="BS368" i="6" s="1"/>
  <c r="BO368" i="6"/>
  <c r="BP368" i="6" s="1"/>
  <c r="BM368" i="6"/>
  <c r="BN368" i="6" s="1"/>
  <c r="BL368" i="6"/>
  <c r="BK368" i="6"/>
  <c r="BJ368" i="6"/>
  <c r="BI368" i="6"/>
  <c r="BH368" i="6"/>
  <c r="BF368" i="6"/>
  <c r="BG368" i="6" s="1"/>
  <c r="BE368" i="6"/>
  <c r="BD368" i="6"/>
  <c r="BC368" i="6"/>
  <c r="BB368" i="6"/>
  <c r="BA368" i="6"/>
  <c r="AZ368" i="6"/>
  <c r="AY368" i="6"/>
  <c r="AW368" i="6"/>
  <c r="AV368" i="6"/>
  <c r="AX368" i="6" s="1"/>
  <c r="AT368" i="6"/>
  <c r="AS368" i="6"/>
  <c r="AU368" i="6" s="1"/>
  <c r="AR368" i="6"/>
  <c r="AQ368" i="6"/>
  <c r="AP368" i="6"/>
  <c r="AO368" i="6"/>
  <c r="AN368" i="6"/>
  <c r="AM368" i="6"/>
  <c r="AK368" i="6"/>
  <c r="AL368" i="6" s="1"/>
  <c r="AJ368" i="6"/>
  <c r="AI368" i="6"/>
  <c r="AG368" i="6"/>
  <c r="AE368" i="6"/>
  <c r="AD368" i="6"/>
  <c r="AF368" i="6" s="1"/>
  <c r="AC368" i="6"/>
  <c r="AA368" i="6"/>
  <c r="Z368" i="6"/>
  <c r="AB368" i="6" s="1"/>
  <c r="Y368" i="6"/>
  <c r="W368" i="6"/>
  <c r="V368" i="6"/>
  <c r="T368" i="6"/>
  <c r="R368" i="6"/>
  <c r="S368" i="6" s="1"/>
  <c r="P368" i="6"/>
  <c r="DQ368" i="6" s="1"/>
  <c r="O368" i="6"/>
  <c r="N368" i="6"/>
  <c r="M368" i="6"/>
  <c r="J368" i="6"/>
  <c r="I368" i="6"/>
  <c r="H368" i="6"/>
  <c r="G368" i="6"/>
  <c r="F368" i="6"/>
  <c r="E368" i="6"/>
  <c r="DP368" i="6" s="1"/>
  <c r="D368" i="6"/>
  <c r="C368" i="6"/>
  <c r="B368" i="6"/>
  <c r="DW367" i="6"/>
  <c r="DV367" i="6"/>
  <c r="DN367" i="6"/>
  <c r="DM367" i="6"/>
  <c r="DL367" i="6"/>
  <c r="DK367" i="6"/>
  <c r="DJ367" i="6"/>
  <c r="DH367" i="6"/>
  <c r="DI367" i="6" s="1"/>
  <c r="DF367" i="6"/>
  <c r="DG367" i="6" s="1"/>
  <c r="DD367" i="6"/>
  <c r="DE367" i="6" s="1"/>
  <c r="DC367" i="6"/>
  <c r="DB367" i="6"/>
  <c r="DA367" i="6"/>
  <c r="CY367" i="6"/>
  <c r="CZ367" i="6" s="1"/>
  <c r="CX367" i="6"/>
  <c r="CW367" i="6"/>
  <c r="CV367" i="6"/>
  <c r="CU367" i="6"/>
  <c r="CT367" i="6"/>
  <c r="CR367" i="6"/>
  <c r="CQ367" i="6"/>
  <c r="CP367" i="6"/>
  <c r="CS367" i="6" s="1"/>
  <c r="CN367" i="6"/>
  <c r="CM367" i="6"/>
  <c r="CL367" i="6"/>
  <c r="CO367" i="6" s="1"/>
  <c r="CJ367" i="6"/>
  <c r="CI367" i="6"/>
  <c r="CH367" i="6"/>
  <c r="CG367" i="6"/>
  <c r="CE367" i="6"/>
  <c r="CD367" i="6"/>
  <c r="CF367" i="6" s="1"/>
  <c r="CC367" i="6"/>
  <c r="CB367" i="6"/>
  <c r="BZ367" i="6"/>
  <c r="BY367" i="6"/>
  <c r="CA367" i="6" s="1"/>
  <c r="BX367" i="6"/>
  <c r="BW367" i="6"/>
  <c r="BV367" i="6"/>
  <c r="BU367" i="6"/>
  <c r="BR367" i="6"/>
  <c r="BQ367" i="6"/>
  <c r="BS367" i="6" s="1"/>
  <c r="BO367" i="6"/>
  <c r="BP367" i="6" s="1"/>
  <c r="BM367" i="6"/>
  <c r="BL367" i="6"/>
  <c r="BK367" i="6"/>
  <c r="BJ367" i="6"/>
  <c r="BI367" i="6"/>
  <c r="BH367" i="6"/>
  <c r="BF367" i="6"/>
  <c r="BG367" i="6" s="1"/>
  <c r="BD367" i="6"/>
  <c r="BE367" i="6" s="1"/>
  <c r="BC367" i="6"/>
  <c r="BB367" i="6"/>
  <c r="AZ367" i="6"/>
  <c r="AY367" i="6"/>
  <c r="BA367" i="6" s="1"/>
  <c r="AW367" i="6"/>
  <c r="AV367" i="6"/>
  <c r="AX367" i="6" s="1"/>
  <c r="AT367" i="6"/>
  <c r="AS367" i="6"/>
  <c r="AU367" i="6" s="1"/>
  <c r="AQ367" i="6"/>
  <c r="AP367" i="6"/>
  <c r="AN367" i="6"/>
  <c r="AM367" i="6"/>
  <c r="AO367" i="6" s="1"/>
  <c r="AK367" i="6"/>
  <c r="AJ367" i="6"/>
  <c r="AI367" i="6"/>
  <c r="AG367" i="6"/>
  <c r="AF367" i="6"/>
  <c r="AE367" i="6"/>
  <c r="AD367" i="6"/>
  <c r="AC367" i="6"/>
  <c r="AB367" i="6"/>
  <c r="AA367" i="6"/>
  <c r="Z367" i="6"/>
  <c r="Y367" i="6"/>
  <c r="W367" i="6"/>
  <c r="V367" i="6"/>
  <c r="X367" i="6" s="1"/>
  <c r="T367" i="6"/>
  <c r="S367" i="6"/>
  <c r="R367" i="6"/>
  <c r="P367" i="6"/>
  <c r="Q367" i="6" s="1"/>
  <c r="O367" i="6"/>
  <c r="N367" i="6"/>
  <c r="M367" i="6"/>
  <c r="J367" i="6"/>
  <c r="I367" i="6"/>
  <c r="H367" i="6"/>
  <c r="G367" i="6"/>
  <c r="DU367" i="6" s="1"/>
  <c r="F367" i="6"/>
  <c r="E367" i="6"/>
  <c r="D367" i="6"/>
  <c r="C367" i="6"/>
  <c r="B367" i="6"/>
  <c r="DW366" i="6"/>
  <c r="DV366" i="6"/>
  <c r="DM366" i="6"/>
  <c r="DL366" i="6"/>
  <c r="DK366" i="6"/>
  <c r="DJ366" i="6"/>
  <c r="DN366" i="6" s="1"/>
  <c r="DH366" i="6"/>
  <c r="DI366" i="6" s="1"/>
  <c r="DF366" i="6"/>
  <c r="DG366" i="6" s="1"/>
  <c r="DE366" i="6"/>
  <c r="DD366" i="6"/>
  <c r="DB366" i="6"/>
  <c r="DA366" i="6"/>
  <c r="DC366" i="6" s="1"/>
  <c r="CY366" i="6"/>
  <c r="CX366" i="6"/>
  <c r="CV366" i="6"/>
  <c r="CW366" i="6" s="1"/>
  <c r="CT366" i="6"/>
  <c r="CU366" i="6" s="1"/>
  <c r="CR366" i="6"/>
  <c r="CQ366" i="6"/>
  <c r="CS366" i="6" s="1"/>
  <c r="CP366" i="6"/>
  <c r="CN366" i="6"/>
  <c r="CM366" i="6"/>
  <c r="CL366" i="6"/>
  <c r="CO366" i="6" s="1"/>
  <c r="CJ366" i="6"/>
  <c r="CI366" i="6"/>
  <c r="CK366" i="6" s="1"/>
  <c r="CG366" i="6"/>
  <c r="CH366" i="6" s="1"/>
  <c r="CF366" i="6"/>
  <c r="CE366" i="6"/>
  <c r="CD366" i="6"/>
  <c r="CB366" i="6"/>
  <c r="CC366" i="6" s="1"/>
  <c r="BZ366" i="6"/>
  <c r="BY366" i="6"/>
  <c r="BX366" i="6"/>
  <c r="BW366" i="6"/>
  <c r="BU366" i="6"/>
  <c r="BV366" i="6" s="1"/>
  <c r="BR366" i="6"/>
  <c r="BQ366" i="6"/>
  <c r="BS366" i="6" s="1"/>
  <c r="BO366" i="6"/>
  <c r="BP366" i="6" s="1"/>
  <c r="BM366" i="6"/>
  <c r="BL366" i="6"/>
  <c r="BK366" i="6"/>
  <c r="BJ366" i="6"/>
  <c r="BI366" i="6"/>
  <c r="BH366" i="6"/>
  <c r="BF366" i="6"/>
  <c r="BG366" i="6" s="1"/>
  <c r="BD366" i="6"/>
  <c r="BC366" i="6"/>
  <c r="BB366" i="6"/>
  <c r="BA366" i="6"/>
  <c r="AZ366" i="6"/>
  <c r="AY366" i="6"/>
  <c r="AX366" i="6"/>
  <c r="AW366" i="6"/>
  <c r="AV366" i="6"/>
  <c r="AT366" i="6"/>
  <c r="AS366" i="6"/>
  <c r="AU366" i="6" s="1"/>
  <c r="AQ366" i="6"/>
  <c r="AP366" i="6"/>
  <c r="AR366" i="6" s="1"/>
  <c r="AN366" i="6"/>
  <c r="AM366" i="6"/>
  <c r="AO366" i="6" s="1"/>
  <c r="AL366" i="6"/>
  <c r="AK366" i="6"/>
  <c r="AJ366" i="6"/>
  <c r="AI366" i="6"/>
  <c r="AG366" i="6"/>
  <c r="AE366" i="6"/>
  <c r="AD366" i="6"/>
  <c r="AC366" i="6"/>
  <c r="AA366" i="6"/>
  <c r="Z366" i="6"/>
  <c r="AB366" i="6" s="1"/>
  <c r="Y366" i="6"/>
  <c r="W366" i="6"/>
  <c r="V366" i="6"/>
  <c r="X366" i="6" s="1"/>
  <c r="T366" i="6"/>
  <c r="R366" i="6"/>
  <c r="S366" i="6" s="1"/>
  <c r="P366" i="6"/>
  <c r="DQ366" i="6" s="1"/>
  <c r="O366" i="6"/>
  <c r="N366" i="6"/>
  <c r="M366" i="6"/>
  <c r="J366" i="6"/>
  <c r="H366" i="6"/>
  <c r="G366" i="6"/>
  <c r="F366" i="6"/>
  <c r="E366" i="6"/>
  <c r="DP366" i="6" s="1"/>
  <c r="D366" i="6"/>
  <c r="C366" i="6"/>
  <c r="B366" i="6"/>
  <c r="DW365" i="6"/>
  <c r="DM365" i="6"/>
  <c r="DL365" i="6"/>
  <c r="DN365" i="6" s="1"/>
  <c r="DK365" i="6"/>
  <c r="DJ365" i="6"/>
  <c r="DI365" i="6"/>
  <c r="DH365" i="6"/>
  <c r="DG365" i="6"/>
  <c r="DF365" i="6"/>
  <c r="DD365" i="6"/>
  <c r="DE365" i="6" s="1"/>
  <c r="DB365" i="6"/>
  <c r="DA365" i="6"/>
  <c r="DC365" i="6" s="1"/>
  <c r="CY365" i="6"/>
  <c r="CX365" i="6"/>
  <c r="CZ365" i="6" s="1"/>
  <c r="CW365" i="6"/>
  <c r="CV365" i="6"/>
  <c r="CT365" i="6"/>
  <c r="CU365" i="6" s="1"/>
  <c r="CS365" i="6"/>
  <c r="CR365" i="6"/>
  <c r="CQ365" i="6"/>
  <c r="CP365" i="6"/>
  <c r="CN365" i="6"/>
  <c r="CM365" i="6"/>
  <c r="CL365" i="6"/>
  <c r="CO365" i="6" s="1"/>
  <c r="CJ365" i="6"/>
  <c r="CI365" i="6"/>
  <c r="CK365" i="6" s="1"/>
  <c r="CG365" i="6"/>
  <c r="CH365" i="6" s="1"/>
  <c r="CF365" i="6"/>
  <c r="CE365" i="6"/>
  <c r="CD365" i="6"/>
  <c r="CB365" i="6"/>
  <c r="CC365" i="6" s="1"/>
  <c r="BZ365" i="6"/>
  <c r="BY365" i="6"/>
  <c r="BX365" i="6"/>
  <c r="DS365" i="6" s="1"/>
  <c r="BW365" i="6"/>
  <c r="CA365" i="6" s="1"/>
  <c r="BV365" i="6"/>
  <c r="BU365" i="6"/>
  <c r="BS365" i="6"/>
  <c r="BR365" i="6"/>
  <c r="BQ365" i="6"/>
  <c r="BP365" i="6"/>
  <c r="BO365" i="6"/>
  <c r="BM365" i="6"/>
  <c r="BL365" i="6"/>
  <c r="BK365" i="6"/>
  <c r="BJ365" i="6"/>
  <c r="BH365" i="6"/>
  <c r="BG365" i="6"/>
  <c r="BF365" i="6"/>
  <c r="BD365" i="6"/>
  <c r="BC365" i="6"/>
  <c r="BB365" i="6"/>
  <c r="BE365" i="6" s="1"/>
  <c r="BA365" i="6"/>
  <c r="AZ365" i="6"/>
  <c r="AY365" i="6"/>
  <c r="AW365" i="6"/>
  <c r="AV365" i="6"/>
  <c r="AX365" i="6" s="1"/>
  <c r="AT365" i="6"/>
  <c r="AS365" i="6"/>
  <c r="AU365" i="6" s="1"/>
  <c r="AQ365" i="6"/>
  <c r="AP365" i="6"/>
  <c r="AR365" i="6" s="1"/>
  <c r="AN365" i="6"/>
  <c r="DT365" i="6" s="1"/>
  <c r="AM365" i="6"/>
  <c r="AL365" i="6"/>
  <c r="AK365" i="6"/>
  <c r="AI365" i="6"/>
  <c r="AJ365" i="6" s="1"/>
  <c r="AG365" i="6"/>
  <c r="AF365" i="6"/>
  <c r="AE365" i="6"/>
  <c r="AD365" i="6"/>
  <c r="AC365" i="6"/>
  <c r="AA365" i="6"/>
  <c r="Z365" i="6"/>
  <c r="AB365" i="6" s="1"/>
  <c r="Y365" i="6"/>
  <c r="W365" i="6"/>
  <c r="V365" i="6"/>
  <c r="X365" i="6" s="1"/>
  <c r="T365" i="6"/>
  <c r="R365" i="6"/>
  <c r="S365" i="6" s="1"/>
  <c r="P365" i="6"/>
  <c r="DQ365" i="6" s="1"/>
  <c r="O365" i="6"/>
  <c r="N365" i="6"/>
  <c r="M365" i="6"/>
  <c r="Q365" i="6" s="1"/>
  <c r="J365" i="6"/>
  <c r="H365" i="6"/>
  <c r="G365" i="6"/>
  <c r="F365" i="6"/>
  <c r="E365" i="6"/>
  <c r="DP365" i="6" s="1"/>
  <c r="D365" i="6"/>
  <c r="C365" i="6"/>
  <c r="B365" i="6"/>
  <c r="DW364" i="6"/>
  <c r="DP364" i="6"/>
  <c r="DN364" i="6"/>
  <c r="DM364" i="6"/>
  <c r="DL364" i="6"/>
  <c r="DK364" i="6"/>
  <c r="DJ364" i="6"/>
  <c r="DH364" i="6"/>
  <c r="DI364" i="6" s="1"/>
  <c r="DF364" i="6"/>
  <c r="DG364" i="6" s="1"/>
  <c r="DD364" i="6"/>
  <c r="DE364" i="6" s="1"/>
  <c r="DB364" i="6"/>
  <c r="DA364" i="6"/>
  <c r="DC364" i="6" s="1"/>
  <c r="CY364" i="6"/>
  <c r="CZ364" i="6" s="1"/>
  <c r="CX364" i="6"/>
  <c r="CV364" i="6"/>
  <c r="CW364" i="6" s="1"/>
  <c r="CT364" i="6"/>
  <c r="CU364" i="6" s="1"/>
  <c r="CR364" i="6"/>
  <c r="CS364" i="6" s="1"/>
  <c r="CQ364" i="6"/>
  <c r="CP364" i="6"/>
  <c r="CO364" i="6"/>
  <c r="CN364" i="6"/>
  <c r="CM364" i="6"/>
  <c r="CL364" i="6"/>
  <c r="CJ364" i="6"/>
  <c r="CI364" i="6"/>
  <c r="CK364" i="6" s="1"/>
  <c r="CG364" i="6"/>
  <c r="CH364" i="6" s="1"/>
  <c r="CE364" i="6"/>
  <c r="CD364" i="6"/>
  <c r="CF364" i="6" s="1"/>
  <c r="CB364" i="6"/>
  <c r="CC364" i="6" s="1"/>
  <c r="BZ364" i="6"/>
  <c r="BY364" i="6"/>
  <c r="BX364" i="6"/>
  <c r="BW364" i="6"/>
  <c r="BV364" i="6"/>
  <c r="BU364" i="6"/>
  <c r="BR364" i="6"/>
  <c r="BQ364" i="6"/>
  <c r="BS364" i="6" s="1"/>
  <c r="BO364" i="6"/>
  <c r="BP364" i="6" s="1"/>
  <c r="BM364" i="6"/>
  <c r="BL364" i="6"/>
  <c r="BK364" i="6"/>
  <c r="BJ364" i="6"/>
  <c r="BN364" i="6" s="1"/>
  <c r="BH364" i="6"/>
  <c r="BI364" i="6" s="1"/>
  <c r="BG364" i="6"/>
  <c r="BF364" i="6"/>
  <c r="BD364" i="6"/>
  <c r="BC364" i="6"/>
  <c r="BB364" i="6"/>
  <c r="BE364" i="6" s="1"/>
  <c r="AZ364" i="6"/>
  <c r="AY364" i="6"/>
  <c r="BA364" i="6" s="1"/>
  <c r="AW364" i="6"/>
  <c r="AV364" i="6"/>
  <c r="AX364" i="6" s="1"/>
  <c r="AT364" i="6"/>
  <c r="AS364" i="6"/>
  <c r="AU364" i="6" s="1"/>
  <c r="AQ364" i="6"/>
  <c r="AP364" i="6"/>
  <c r="AR364" i="6" s="1"/>
  <c r="AN364" i="6"/>
  <c r="AM364" i="6"/>
  <c r="AO364" i="6" s="1"/>
  <c r="AL364" i="6"/>
  <c r="AK364" i="6"/>
  <c r="AI364" i="6"/>
  <c r="AG364" i="6"/>
  <c r="AE364" i="6"/>
  <c r="AD364" i="6"/>
  <c r="AC364" i="6"/>
  <c r="AF364" i="6" s="1"/>
  <c r="AB364" i="6"/>
  <c r="AA364" i="6"/>
  <c r="Z364" i="6"/>
  <c r="Y364" i="6"/>
  <c r="W364" i="6"/>
  <c r="V364" i="6"/>
  <c r="X364" i="6" s="1"/>
  <c r="T364" i="6"/>
  <c r="S364" i="6"/>
  <c r="R364" i="6"/>
  <c r="P364" i="6"/>
  <c r="DQ364" i="6" s="1"/>
  <c r="O364" i="6"/>
  <c r="N364" i="6"/>
  <c r="M364" i="6"/>
  <c r="J364" i="6"/>
  <c r="H364" i="6"/>
  <c r="G364" i="6"/>
  <c r="F364" i="6"/>
  <c r="DV364" i="6" s="1"/>
  <c r="E364" i="6"/>
  <c r="D364" i="6"/>
  <c r="C364" i="6"/>
  <c r="B364" i="6"/>
  <c r="DW363" i="6"/>
  <c r="DV363" i="6"/>
  <c r="DP363" i="6"/>
  <c r="DN363" i="6"/>
  <c r="DM363" i="6"/>
  <c r="DL363" i="6"/>
  <c r="DK363" i="6"/>
  <c r="DJ363" i="6"/>
  <c r="DH363" i="6"/>
  <c r="DI363" i="6" s="1"/>
  <c r="DG363" i="6"/>
  <c r="DF363" i="6"/>
  <c r="DD363" i="6"/>
  <c r="DE363" i="6" s="1"/>
  <c r="DB363" i="6"/>
  <c r="DA363" i="6"/>
  <c r="CY363" i="6"/>
  <c r="CZ363" i="6" s="1"/>
  <c r="CX363" i="6"/>
  <c r="CV363" i="6"/>
  <c r="CW363" i="6" s="1"/>
  <c r="CT363" i="6"/>
  <c r="CU363" i="6" s="1"/>
  <c r="CR363" i="6"/>
  <c r="CQ363" i="6"/>
  <c r="CS363" i="6" s="1"/>
  <c r="CP363" i="6"/>
  <c r="CN363" i="6"/>
  <c r="CM363" i="6"/>
  <c r="CL363" i="6"/>
  <c r="CO363" i="6" s="1"/>
  <c r="CJ363" i="6"/>
  <c r="CI363" i="6"/>
  <c r="CK363" i="6" s="1"/>
  <c r="CG363" i="6"/>
  <c r="CH363" i="6" s="1"/>
  <c r="CE363" i="6"/>
  <c r="CD363" i="6"/>
  <c r="CF363" i="6" s="1"/>
  <c r="CC363" i="6"/>
  <c r="CB363" i="6"/>
  <c r="BZ363" i="6"/>
  <c r="BY363" i="6"/>
  <c r="BX363" i="6"/>
  <c r="DS363" i="6" s="1"/>
  <c r="BW363" i="6"/>
  <c r="CA363" i="6" s="1"/>
  <c r="BU363" i="6"/>
  <c r="BV363" i="6" s="1"/>
  <c r="BR363" i="6"/>
  <c r="BQ363" i="6"/>
  <c r="BS363" i="6" s="1"/>
  <c r="BO363" i="6"/>
  <c r="BP363" i="6" s="1"/>
  <c r="BM363" i="6"/>
  <c r="BL363" i="6"/>
  <c r="BK363" i="6"/>
  <c r="BJ363" i="6"/>
  <c r="BN363" i="6" s="1"/>
  <c r="BH363" i="6"/>
  <c r="BI363" i="6" s="1"/>
  <c r="BG363" i="6"/>
  <c r="BF363" i="6"/>
  <c r="BD363" i="6"/>
  <c r="BC363" i="6"/>
  <c r="BB363" i="6"/>
  <c r="BE363" i="6" s="1"/>
  <c r="AZ363" i="6"/>
  <c r="AY363" i="6"/>
  <c r="AX363" i="6"/>
  <c r="AW363" i="6"/>
  <c r="AV363" i="6"/>
  <c r="AU363" i="6"/>
  <c r="AT363" i="6"/>
  <c r="AS363" i="6"/>
  <c r="AQ363" i="6"/>
  <c r="AP363" i="6"/>
  <c r="AR363" i="6" s="1"/>
  <c r="AN363" i="6"/>
  <c r="AM363" i="6"/>
  <c r="AO363" i="6" s="1"/>
  <c r="AK363" i="6"/>
  <c r="AL363" i="6" s="1"/>
  <c r="AJ363" i="6"/>
  <c r="AI363" i="6"/>
  <c r="AG363" i="6"/>
  <c r="AE363" i="6"/>
  <c r="AD363" i="6"/>
  <c r="AC363" i="6"/>
  <c r="AF363" i="6" s="1"/>
  <c r="AB363" i="6"/>
  <c r="AA363" i="6"/>
  <c r="Z363" i="6"/>
  <c r="Y363" i="6"/>
  <c r="X363" i="6"/>
  <c r="W363" i="6"/>
  <c r="V363" i="6"/>
  <c r="T363" i="6"/>
  <c r="R363" i="6"/>
  <c r="S363" i="6" s="1"/>
  <c r="P363" i="6"/>
  <c r="O363" i="6"/>
  <c r="N363" i="6"/>
  <c r="M363" i="6"/>
  <c r="J363" i="6"/>
  <c r="H363" i="6"/>
  <c r="G363" i="6"/>
  <c r="F363" i="6"/>
  <c r="E363" i="6"/>
  <c r="D363" i="6"/>
  <c r="C363" i="6"/>
  <c r="B363" i="6"/>
  <c r="DW362" i="6"/>
  <c r="DV362" i="6"/>
  <c r="DP362" i="6"/>
  <c r="DN362" i="6"/>
  <c r="DM362" i="6"/>
  <c r="DL362" i="6"/>
  <c r="DK362" i="6"/>
  <c r="DJ362" i="6"/>
  <c r="DI362" i="6"/>
  <c r="DH362" i="6"/>
  <c r="DF362" i="6"/>
  <c r="DG362" i="6" s="1"/>
  <c r="DD362" i="6"/>
  <c r="DE362" i="6" s="1"/>
  <c r="DB362" i="6"/>
  <c r="DA362" i="6"/>
  <c r="DC362" i="6" s="1"/>
  <c r="CZ362" i="6"/>
  <c r="CY362" i="6"/>
  <c r="CX362" i="6"/>
  <c r="CW362" i="6"/>
  <c r="CV362" i="6"/>
  <c r="CT362" i="6"/>
  <c r="CU362" i="6" s="1"/>
  <c r="CR362" i="6"/>
  <c r="CQ362" i="6"/>
  <c r="CP362" i="6"/>
  <c r="CS362" i="6" s="1"/>
  <c r="CN362" i="6"/>
  <c r="CM362" i="6"/>
  <c r="CO362" i="6" s="1"/>
  <c r="CL362" i="6"/>
  <c r="CJ362" i="6"/>
  <c r="CI362" i="6"/>
  <c r="CK362" i="6" s="1"/>
  <c r="CH362" i="6"/>
  <c r="CG362" i="6"/>
  <c r="CE362" i="6"/>
  <c r="CD362" i="6"/>
  <c r="CF362" i="6" s="1"/>
  <c r="CC362" i="6"/>
  <c r="CB362" i="6"/>
  <c r="BZ362" i="6"/>
  <c r="BY362" i="6"/>
  <c r="BX362" i="6"/>
  <c r="DS362" i="6" s="1"/>
  <c r="BW362" i="6"/>
  <c r="CA362" i="6" s="1"/>
  <c r="BU362" i="6"/>
  <c r="BV362" i="6" s="1"/>
  <c r="BS362" i="6"/>
  <c r="BR362" i="6"/>
  <c r="BQ362" i="6"/>
  <c r="BP362" i="6"/>
  <c r="BO362" i="6"/>
  <c r="BM362" i="6"/>
  <c r="BL362" i="6"/>
  <c r="BK362" i="6"/>
  <c r="BJ362" i="6"/>
  <c r="BN362" i="6" s="1"/>
  <c r="BH362" i="6"/>
  <c r="BI362" i="6" s="1"/>
  <c r="BG362" i="6"/>
  <c r="BF362" i="6"/>
  <c r="BD362" i="6"/>
  <c r="BC362" i="6"/>
  <c r="BB362" i="6"/>
  <c r="BE362" i="6" s="1"/>
  <c r="AZ362" i="6"/>
  <c r="AY362" i="6"/>
  <c r="AX362" i="6"/>
  <c r="AW362" i="6"/>
  <c r="AV362" i="6"/>
  <c r="AT362" i="6"/>
  <c r="AS362" i="6"/>
  <c r="AU362" i="6" s="1"/>
  <c r="AQ362" i="6"/>
  <c r="AP362" i="6"/>
  <c r="AR362" i="6" s="1"/>
  <c r="AN362" i="6"/>
  <c r="AM362" i="6"/>
  <c r="AO362" i="6" s="1"/>
  <c r="AK362" i="6"/>
  <c r="AL362" i="6" s="1"/>
  <c r="AJ362" i="6"/>
  <c r="AI362" i="6"/>
  <c r="AG362" i="6"/>
  <c r="AE362" i="6"/>
  <c r="AD362" i="6"/>
  <c r="AC362" i="6"/>
  <c r="AF362" i="6" s="1"/>
  <c r="AA362" i="6"/>
  <c r="Z362" i="6"/>
  <c r="Y362" i="6"/>
  <c r="W362" i="6"/>
  <c r="V362" i="6"/>
  <c r="X362" i="6" s="1"/>
  <c r="T362" i="6"/>
  <c r="S362" i="6"/>
  <c r="R362" i="6"/>
  <c r="P362" i="6"/>
  <c r="O362" i="6"/>
  <c r="N362" i="6"/>
  <c r="M362" i="6"/>
  <c r="J362" i="6"/>
  <c r="H362" i="6"/>
  <c r="DQ362" i="6" s="1"/>
  <c r="G362" i="6"/>
  <c r="F362" i="6"/>
  <c r="E362" i="6"/>
  <c r="D362" i="6"/>
  <c r="C362" i="6"/>
  <c r="B362" i="6"/>
  <c r="DW361" i="6"/>
  <c r="DV361" i="6"/>
  <c r="DN361" i="6"/>
  <c r="DM361" i="6"/>
  <c r="DL361" i="6"/>
  <c r="DK361" i="6"/>
  <c r="DJ361" i="6"/>
  <c r="DH361" i="6"/>
  <c r="DI361" i="6" s="1"/>
  <c r="DF361" i="6"/>
  <c r="DG361" i="6" s="1"/>
  <c r="DE361" i="6"/>
  <c r="DD361" i="6"/>
  <c r="DB361" i="6"/>
  <c r="DA361" i="6"/>
  <c r="DC361" i="6" s="1"/>
  <c r="CY361" i="6"/>
  <c r="CZ361" i="6" s="1"/>
  <c r="CX361" i="6"/>
  <c r="CV361" i="6"/>
  <c r="CW361" i="6" s="1"/>
  <c r="CT361" i="6"/>
  <c r="CU361" i="6" s="1"/>
  <c r="CR361" i="6"/>
  <c r="CQ361" i="6"/>
  <c r="CP361" i="6"/>
  <c r="CO361" i="6"/>
  <c r="CN361" i="6"/>
  <c r="CM361" i="6"/>
  <c r="CL361" i="6"/>
  <c r="CJ361" i="6"/>
  <c r="CI361" i="6"/>
  <c r="CK361" i="6" s="1"/>
  <c r="CG361" i="6"/>
  <c r="CH361" i="6" s="1"/>
  <c r="CE361" i="6"/>
  <c r="CD361" i="6"/>
  <c r="CF361" i="6" s="1"/>
  <c r="CC361" i="6"/>
  <c r="CB361" i="6"/>
  <c r="CA361" i="6"/>
  <c r="BZ361" i="6"/>
  <c r="BY361" i="6"/>
  <c r="BX361" i="6"/>
  <c r="DS361" i="6" s="1"/>
  <c r="BW361" i="6"/>
  <c r="BU361" i="6"/>
  <c r="BV361" i="6" s="1"/>
  <c r="BR361" i="6"/>
  <c r="BS361" i="6" s="1"/>
  <c r="BQ361" i="6"/>
  <c r="BO361" i="6"/>
  <c r="BP361" i="6" s="1"/>
  <c r="BM361" i="6"/>
  <c r="BL361" i="6"/>
  <c r="BK361" i="6"/>
  <c r="BJ361" i="6"/>
  <c r="BN361" i="6" s="1"/>
  <c r="BH361" i="6"/>
  <c r="BI361" i="6" s="1"/>
  <c r="BG361" i="6"/>
  <c r="BF361" i="6"/>
  <c r="BD361" i="6"/>
  <c r="BC361" i="6"/>
  <c r="BB361" i="6"/>
  <c r="BE361" i="6" s="1"/>
  <c r="AZ361" i="6"/>
  <c r="DQ361" i="6" s="1"/>
  <c r="AY361" i="6"/>
  <c r="DR361" i="6" s="1"/>
  <c r="AX361" i="6"/>
  <c r="AW361" i="6"/>
  <c r="AV361" i="6"/>
  <c r="AT361" i="6"/>
  <c r="AS361" i="6"/>
  <c r="AU361" i="6" s="1"/>
  <c r="AQ361" i="6"/>
  <c r="AP361" i="6"/>
  <c r="AR361" i="6" s="1"/>
  <c r="AN361" i="6"/>
  <c r="AM361" i="6"/>
  <c r="AO361" i="6" s="1"/>
  <c r="AK361" i="6"/>
  <c r="AL361" i="6" s="1"/>
  <c r="AI361" i="6"/>
  <c r="AJ361" i="6" s="1"/>
  <c r="AG361" i="6"/>
  <c r="AF361" i="6"/>
  <c r="AE361" i="6"/>
  <c r="AD361" i="6"/>
  <c r="AC361" i="6"/>
  <c r="AA361" i="6"/>
  <c r="Z361" i="6"/>
  <c r="Y361" i="6"/>
  <c r="W361" i="6"/>
  <c r="V361" i="6"/>
  <c r="X361" i="6" s="1"/>
  <c r="T361" i="6"/>
  <c r="R361" i="6"/>
  <c r="S361" i="6" s="1"/>
  <c r="P361" i="6"/>
  <c r="O361" i="6"/>
  <c r="N361" i="6"/>
  <c r="M361" i="6"/>
  <c r="Q361" i="6" s="1"/>
  <c r="J361" i="6"/>
  <c r="H361" i="6"/>
  <c r="G361" i="6"/>
  <c r="F361" i="6"/>
  <c r="E361" i="6"/>
  <c r="I361" i="6" s="1"/>
  <c r="D361" i="6"/>
  <c r="C361" i="6"/>
  <c r="B361" i="6"/>
  <c r="DW360" i="6"/>
  <c r="DP360" i="6"/>
  <c r="DM360" i="6"/>
  <c r="DV360" i="6" s="1"/>
  <c r="DL360" i="6"/>
  <c r="DN360" i="6" s="1"/>
  <c r="DK360" i="6"/>
  <c r="DJ360" i="6"/>
  <c r="DI360" i="6"/>
  <c r="DH360" i="6"/>
  <c r="DG360" i="6"/>
  <c r="DF360" i="6"/>
  <c r="DD360" i="6"/>
  <c r="DE360" i="6" s="1"/>
  <c r="DB360" i="6"/>
  <c r="DA360" i="6"/>
  <c r="DC360" i="6" s="1"/>
  <c r="CY360" i="6"/>
  <c r="CX360" i="6"/>
  <c r="CW360" i="6"/>
  <c r="CV360" i="6"/>
  <c r="CT360" i="6"/>
  <c r="CU360" i="6" s="1"/>
  <c r="CR360" i="6"/>
  <c r="CQ360" i="6"/>
  <c r="CP360" i="6"/>
  <c r="CS360" i="6" s="1"/>
  <c r="CO360" i="6"/>
  <c r="CN360" i="6"/>
  <c r="CM360" i="6"/>
  <c r="CL360" i="6"/>
  <c r="CK360" i="6"/>
  <c r="CJ360" i="6"/>
  <c r="CI360" i="6"/>
  <c r="CH360" i="6"/>
  <c r="CG360" i="6"/>
  <c r="CE360" i="6"/>
  <c r="CD360" i="6"/>
  <c r="CF360" i="6" s="1"/>
  <c r="CC360" i="6"/>
  <c r="CB360" i="6"/>
  <c r="BZ360" i="6"/>
  <c r="BY360" i="6"/>
  <c r="CA360" i="6" s="1"/>
  <c r="BX360" i="6"/>
  <c r="BW360" i="6"/>
  <c r="BU360" i="6"/>
  <c r="BV360" i="6" s="1"/>
  <c r="BR360" i="6"/>
  <c r="BQ360" i="6"/>
  <c r="BS360" i="6" s="1"/>
  <c r="BP360" i="6"/>
  <c r="BO360" i="6"/>
  <c r="BN360" i="6"/>
  <c r="BM360" i="6"/>
  <c r="BL360" i="6"/>
  <c r="BK360" i="6"/>
  <c r="BJ360" i="6"/>
  <c r="BH360" i="6"/>
  <c r="BI360" i="6" s="1"/>
  <c r="BF360" i="6"/>
  <c r="BG360" i="6" s="1"/>
  <c r="BD360" i="6"/>
  <c r="BC360" i="6"/>
  <c r="BB360" i="6"/>
  <c r="BE360" i="6" s="1"/>
  <c r="AZ360" i="6"/>
  <c r="BA360" i="6" s="1"/>
  <c r="AY360" i="6"/>
  <c r="AX360" i="6"/>
  <c r="AW360" i="6"/>
  <c r="AV360" i="6"/>
  <c r="AU360" i="6"/>
  <c r="AT360" i="6"/>
  <c r="AS360" i="6"/>
  <c r="AR360" i="6"/>
  <c r="AQ360" i="6"/>
  <c r="AP360" i="6"/>
  <c r="AN360" i="6"/>
  <c r="AM360" i="6"/>
  <c r="AO360" i="6" s="1"/>
  <c r="AK360" i="6"/>
  <c r="AL360" i="6" s="1"/>
  <c r="AJ360" i="6"/>
  <c r="AI360" i="6"/>
  <c r="AG360" i="6"/>
  <c r="AE360" i="6"/>
  <c r="AD360" i="6"/>
  <c r="AC360" i="6"/>
  <c r="AA360" i="6"/>
  <c r="Z360" i="6"/>
  <c r="Y360" i="6"/>
  <c r="X360" i="6"/>
  <c r="W360" i="6"/>
  <c r="V360" i="6"/>
  <c r="T360" i="6"/>
  <c r="R360" i="6"/>
  <c r="S360" i="6" s="1"/>
  <c r="P360" i="6"/>
  <c r="O360" i="6"/>
  <c r="N360" i="6"/>
  <c r="M360" i="6"/>
  <c r="Q360" i="6" s="1"/>
  <c r="J360" i="6"/>
  <c r="I360" i="6"/>
  <c r="H360" i="6"/>
  <c r="G360" i="6"/>
  <c r="F360" i="6"/>
  <c r="E360" i="6"/>
  <c r="D360" i="6"/>
  <c r="C360" i="6"/>
  <c r="B360" i="6"/>
  <c r="DW359" i="6"/>
  <c r="DT359" i="6"/>
  <c r="DS359" i="6"/>
  <c r="DM359" i="6"/>
  <c r="DL359" i="6"/>
  <c r="DK359" i="6"/>
  <c r="DQ359" i="6" s="1"/>
  <c r="DJ359" i="6"/>
  <c r="DI359" i="6"/>
  <c r="DH359" i="6"/>
  <c r="DF359" i="6"/>
  <c r="DG359" i="6" s="1"/>
  <c r="DD359" i="6"/>
  <c r="DE359" i="6" s="1"/>
  <c r="DB359" i="6"/>
  <c r="DA359" i="6"/>
  <c r="DC359" i="6" s="1"/>
  <c r="CY359" i="6"/>
  <c r="CX359" i="6"/>
  <c r="CW359" i="6"/>
  <c r="CV359" i="6"/>
  <c r="CT359" i="6"/>
  <c r="CU359" i="6" s="1"/>
  <c r="CR359" i="6"/>
  <c r="CQ359" i="6"/>
  <c r="CP359" i="6"/>
  <c r="CS359" i="6" s="1"/>
  <c r="CN359" i="6"/>
  <c r="CM359" i="6"/>
  <c r="CO359" i="6" s="1"/>
  <c r="CL359" i="6"/>
  <c r="CJ359" i="6"/>
  <c r="CI359" i="6"/>
  <c r="CK359" i="6" s="1"/>
  <c r="CG359" i="6"/>
  <c r="CH359" i="6" s="1"/>
  <c r="CE359" i="6"/>
  <c r="CD359" i="6"/>
  <c r="CF359" i="6" s="1"/>
  <c r="CB359" i="6"/>
  <c r="CC359" i="6" s="1"/>
  <c r="CA359" i="6"/>
  <c r="BZ359" i="6"/>
  <c r="BY359" i="6"/>
  <c r="BX359" i="6"/>
  <c r="BW359" i="6"/>
  <c r="BU359" i="6"/>
  <c r="BV359" i="6" s="1"/>
  <c r="BR359" i="6"/>
  <c r="BQ359" i="6"/>
  <c r="BP359" i="6"/>
  <c r="BO359" i="6"/>
  <c r="BM359" i="6"/>
  <c r="BL359" i="6"/>
  <c r="BK359" i="6"/>
  <c r="BJ359" i="6"/>
  <c r="BN359" i="6" s="1"/>
  <c r="BH359" i="6"/>
  <c r="BI359" i="6" s="1"/>
  <c r="BF359" i="6"/>
  <c r="BG359" i="6" s="1"/>
  <c r="BD359" i="6"/>
  <c r="BC359" i="6"/>
  <c r="BB359" i="6"/>
  <c r="BE359" i="6" s="1"/>
  <c r="AZ359" i="6"/>
  <c r="AY359" i="6"/>
  <c r="AX359" i="6"/>
  <c r="AW359" i="6"/>
  <c r="AV359" i="6"/>
  <c r="AT359" i="6"/>
  <c r="AU359" i="6" s="1"/>
  <c r="AS359" i="6"/>
  <c r="AQ359" i="6"/>
  <c r="AP359" i="6"/>
  <c r="AR359" i="6" s="1"/>
  <c r="AN359" i="6"/>
  <c r="AM359" i="6"/>
  <c r="AO359" i="6" s="1"/>
  <c r="AL359" i="6"/>
  <c r="AK359" i="6"/>
  <c r="AI359" i="6"/>
  <c r="AJ359" i="6" s="1"/>
  <c r="AG359" i="6"/>
  <c r="AE359" i="6"/>
  <c r="AD359" i="6"/>
  <c r="AC359" i="6"/>
  <c r="AF359" i="6" s="1"/>
  <c r="AA359" i="6"/>
  <c r="Z359" i="6"/>
  <c r="Y359" i="6"/>
  <c r="X359" i="6"/>
  <c r="W359" i="6"/>
  <c r="V359" i="6"/>
  <c r="T359" i="6"/>
  <c r="S359" i="6"/>
  <c r="R359" i="6"/>
  <c r="P359" i="6"/>
  <c r="O359" i="6"/>
  <c r="N359" i="6"/>
  <c r="M359" i="6"/>
  <c r="Q359" i="6" s="1"/>
  <c r="J359" i="6"/>
  <c r="H359" i="6"/>
  <c r="G359" i="6"/>
  <c r="F359" i="6"/>
  <c r="E359" i="6"/>
  <c r="DP359" i="6" s="1"/>
  <c r="D359" i="6"/>
  <c r="C359" i="6"/>
  <c r="B359" i="6"/>
  <c r="DW358" i="6"/>
  <c r="DP358" i="6"/>
  <c r="DM358" i="6"/>
  <c r="DL358" i="6"/>
  <c r="DK358" i="6"/>
  <c r="DJ358" i="6"/>
  <c r="DI358" i="6"/>
  <c r="DH358" i="6"/>
  <c r="DG358" i="6"/>
  <c r="DF358" i="6"/>
  <c r="DE358" i="6"/>
  <c r="DD358" i="6"/>
  <c r="DB358" i="6"/>
  <c r="DA358" i="6"/>
  <c r="DC358" i="6" s="1"/>
  <c r="CY358" i="6"/>
  <c r="CZ358" i="6" s="1"/>
  <c r="CX358" i="6"/>
  <c r="CV358" i="6"/>
  <c r="CW358" i="6" s="1"/>
  <c r="CT358" i="6"/>
  <c r="CU358" i="6" s="1"/>
  <c r="CR358" i="6"/>
  <c r="CQ358" i="6"/>
  <c r="CS358" i="6" s="1"/>
  <c r="CP358" i="6"/>
  <c r="CN358" i="6"/>
  <c r="CM358" i="6"/>
  <c r="CL358" i="6"/>
  <c r="CJ358" i="6"/>
  <c r="CI358" i="6"/>
  <c r="CK358" i="6" s="1"/>
  <c r="CG358" i="6"/>
  <c r="CH358" i="6" s="1"/>
  <c r="CE358" i="6"/>
  <c r="CD358" i="6"/>
  <c r="CF358" i="6" s="1"/>
  <c r="CB358" i="6"/>
  <c r="CC358" i="6" s="1"/>
  <c r="BZ358" i="6"/>
  <c r="BY358" i="6"/>
  <c r="CA358" i="6" s="1"/>
  <c r="BX358" i="6"/>
  <c r="BW358" i="6"/>
  <c r="BU358" i="6"/>
  <c r="BV358" i="6" s="1"/>
  <c r="BR358" i="6"/>
  <c r="BQ358" i="6"/>
  <c r="BS358" i="6" s="1"/>
  <c r="BP358" i="6"/>
  <c r="BO358" i="6"/>
  <c r="BM358" i="6"/>
  <c r="BL358" i="6"/>
  <c r="BN358" i="6" s="1"/>
  <c r="BK358" i="6"/>
  <c r="BJ358" i="6"/>
  <c r="BI358" i="6"/>
  <c r="BH358" i="6"/>
  <c r="BF358" i="6"/>
  <c r="BG358" i="6" s="1"/>
  <c r="BD358" i="6"/>
  <c r="BC358" i="6"/>
  <c r="BB358" i="6"/>
  <c r="BE358" i="6" s="1"/>
  <c r="AZ358" i="6"/>
  <c r="AY358" i="6"/>
  <c r="DR358" i="6" s="1"/>
  <c r="AX358" i="6"/>
  <c r="AW358" i="6"/>
  <c r="AV358" i="6"/>
  <c r="AT358" i="6"/>
  <c r="AS358" i="6"/>
  <c r="AU358" i="6" s="1"/>
  <c r="AQ358" i="6"/>
  <c r="AP358" i="6"/>
  <c r="AR358" i="6" s="1"/>
  <c r="AN358" i="6"/>
  <c r="AM358" i="6"/>
  <c r="AO358" i="6" s="1"/>
  <c r="AK358" i="6"/>
  <c r="AL358" i="6" s="1"/>
  <c r="AI358" i="6"/>
  <c r="AJ358" i="6" s="1"/>
  <c r="AG358" i="6"/>
  <c r="AE358" i="6"/>
  <c r="AD358" i="6"/>
  <c r="AC358" i="6"/>
  <c r="AF358" i="6" s="1"/>
  <c r="AA358" i="6"/>
  <c r="Z358" i="6"/>
  <c r="Y358" i="6"/>
  <c r="W358" i="6"/>
  <c r="X358" i="6" s="1"/>
  <c r="V358" i="6"/>
  <c r="T358" i="6"/>
  <c r="R358" i="6"/>
  <c r="S358" i="6" s="1"/>
  <c r="P358" i="6"/>
  <c r="O358" i="6"/>
  <c r="N358" i="6"/>
  <c r="M358" i="6"/>
  <c r="Q358" i="6" s="1"/>
  <c r="J358" i="6"/>
  <c r="H358" i="6"/>
  <c r="G358" i="6"/>
  <c r="F358" i="6"/>
  <c r="E358" i="6"/>
  <c r="I358" i="6" s="1"/>
  <c r="D358" i="6"/>
  <c r="C358" i="6"/>
  <c r="B358" i="6"/>
  <c r="DW357" i="6"/>
  <c r="DP357" i="6"/>
  <c r="DN357" i="6"/>
  <c r="DM357" i="6"/>
  <c r="DL357" i="6"/>
  <c r="DK357" i="6"/>
  <c r="DJ357" i="6"/>
  <c r="DI357" i="6"/>
  <c r="DH357" i="6"/>
  <c r="DG357" i="6"/>
  <c r="DF357" i="6"/>
  <c r="DE357" i="6"/>
  <c r="DD357" i="6"/>
  <c r="DB357" i="6"/>
  <c r="DA357" i="6"/>
  <c r="DC357" i="6" s="1"/>
  <c r="CY357" i="6"/>
  <c r="CZ357" i="6" s="1"/>
  <c r="CX357" i="6"/>
  <c r="CW357" i="6"/>
  <c r="CV357" i="6"/>
  <c r="CT357" i="6"/>
  <c r="CU357" i="6" s="1"/>
  <c r="CR357" i="6"/>
  <c r="CQ357" i="6"/>
  <c r="CP357" i="6"/>
  <c r="CS357" i="6" s="1"/>
  <c r="CN357" i="6"/>
  <c r="CM357" i="6"/>
  <c r="CL357" i="6"/>
  <c r="CO357" i="6" s="1"/>
  <c r="CJ357" i="6"/>
  <c r="CI357" i="6"/>
  <c r="CK357" i="6" s="1"/>
  <c r="CG357" i="6"/>
  <c r="CH357" i="6" s="1"/>
  <c r="CE357" i="6"/>
  <c r="CD357" i="6"/>
  <c r="CF357" i="6" s="1"/>
  <c r="CB357" i="6"/>
  <c r="CC357" i="6" s="1"/>
  <c r="CA357" i="6"/>
  <c r="BZ357" i="6"/>
  <c r="BY357" i="6"/>
  <c r="BX357" i="6"/>
  <c r="BW357" i="6"/>
  <c r="BU357" i="6"/>
  <c r="BV357" i="6" s="1"/>
  <c r="BR357" i="6"/>
  <c r="BQ357" i="6"/>
  <c r="BP357" i="6"/>
  <c r="BO357" i="6"/>
  <c r="BM357" i="6"/>
  <c r="BL357" i="6"/>
  <c r="BN357" i="6" s="1"/>
  <c r="BK357" i="6"/>
  <c r="BJ357" i="6"/>
  <c r="BI357" i="6"/>
  <c r="BH357" i="6"/>
  <c r="BG357" i="6"/>
  <c r="BF357" i="6"/>
  <c r="BD357" i="6"/>
  <c r="BC357" i="6"/>
  <c r="BB357" i="6"/>
  <c r="BE357" i="6" s="1"/>
  <c r="AZ357" i="6"/>
  <c r="AY357" i="6"/>
  <c r="AX357" i="6"/>
  <c r="AW357" i="6"/>
  <c r="AV357" i="6"/>
  <c r="AT357" i="6"/>
  <c r="AS357" i="6"/>
  <c r="AU357" i="6" s="1"/>
  <c r="AQ357" i="6"/>
  <c r="AP357" i="6"/>
  <c r="AR357" i="6" s="1"/>
  <c r="AN357" i="6"/>
  <c r="AM357" i="6"/>
  <c r="AO357" i="6" s="1"/>
  <c r="AK357" i="6"/>
  <c r="AL357" i="6" s="1"/>
  <c r="AI357" i="6"/>
  <c r="AJ357" i="6" s="1"/>
  <c r="AG357" i="6"/>
  <c r="AE357" i="6"/>
  <c r="AD357" i="6"/>
  <c r="AC357" i="6"/>
  <c r="AF357" i="6" s="1"/>
  <c r="AA357" i="6"/>
  <c r="Z357" i="6"/>
  <c r="Y357" i="6"/>
  <c r="X357" i="6"/>
  <c r="W357" i="6"/>
  <c r="V357" i="6"/>
  <c r="T357" i="6"/>
  <c r="R357" i="6"/>
  <c r="S357" i="6" s="1"/>
  <c r="P357" i="6"/>
  <c r="O357" i="6"/>
  <c r="N357" i="6"/>
  <c r="M357" i="6"/>
  <c r="Q357" i="6" s="1"/>
  <c r="J357" i="6"/>
  <c r="H357" i="6"/>
  <c r="G357" i="6"/>
  <c r="F357" i="6"/>
  <c r="E357" i="6"/>
  <c r="D357" i="6"/>
  <c r="C357" i="6"/>
  <c r="B357" i="6"/>
  <c r="DW356" i="6"/>
  <c r="DM356" i="6"/>
  <c r="DL356" i="6"/>
  <c r="DK356" i="6"/>
  <c r="DJ356" i="6"/>
  <c r="DN356" i="6" s="1"/>
  <c r="DI356" i="6"/>
  <c r="DH356" i="6"/>
  <c r="DG356" i="6"/>
  <c r="DF356" i="6"/>
  <c r="DE356" i="6"/>
  <c r="DD356" i="6"/>
  <c r="DB356" i="6"/>
  <c r="DA356" i="6"/>
  <c r="DC356" i="6" s="1"/>
  <c r="CY356" i="6"/>
  <c r="CX356" i="6"/>
  <c r="CZ356" i="6" s="1"/>
  <c r="CW356" i="6"/>
  <c r="CV356" i="6"/>
  <c r="CT356" i="6"/>
  <c r="CU356" i="6" s="1"/>
  <c r="CR356" i="6"/>
  <c r="CQ356" i="6"/>
  <c r="CP356" i="6"/>
  <c r="CN356" i="6"/>
  <c r="CM356" i="6"/>
  <c r="CL356" i="6"/>
  <c r="CO356" i="6" s="1"/>
  <c r="CJ356" i="6"/>
  <c r="CI356" i="6"/>
  <c r="CK356" i="6" s="1"/>
  <c r="CG356" i="6"/>
  <c r="CH356" i="6" s="1"/>
  <c r="CE356" i="6"/>
  <c r="CD356" i="6"/>
  <c r="CF356" i="6" s="1"/>
  <c r="CB356" i="6"/>
  <c r="CC356" i="6" s="1"/>
  <c r="CA356" i="6"/>
  <c r="BZ356" i="6"/>
  <c r="BY356" i="6"/>
  <c r="BX356" i="6"/>
  <c r="BW356" i="6"/>
  <c r="BU356" i="6"/>
  <c r="BV356" i="6" s="1"/>
  <c r="BR356" i="6"/>
  <c r="BQ356" i="6"/>
  <c r="BO356" i="6"/>
  <c r="BP356" i="6" s="1"/>
  <c r="BM356" i="6"/>
  <c r="BL356" i="6"/>
  <c r="BN356" i="6" s="1"/>
  <c r="BK356" i="6"/>
  <c r="BJ356" i="6"/>
  <c r="BI356" i="6"/>
  <c r="BH356" i="6"/>
  <c r="BG356" i="6"/>
  <c r="BF356" i="6"/>
  <c r="BD356" i="6"/>
  <c r="BC356" i="6"/>
  <c r="BB356" i="6"/>
  <c r="BA356" i="6"/>
  <c r="AZ356" i="6"/>
  <c r="DQ356" i="6" s="1"/>
  <c r="AY356" i="6"/>
  <c r="AX356" i="6"/>
  <c r="AW356" i="6"/>
  <c r="AV356" i="6"/>
  <c r="AT356" i="6"/>
  <c r="AS356" i="6"/>
  <c r="AQ356" i="6"/>
  <c r="AP356" i="6"/>
  <c r="AR356" i="6" s="1"/>
  <c r="AN356" i="6"/>
  <c r="AM356" i="6"/>
  <c r="AO356" i="6" s="1"/>
  <c r="AK356" i="6"/>
  <c r="AL356" i="6" s="1"/>
  <c r="AI356" i="6"/>
  <c r="AJ356" i="6" s="1"/>
  <c r="AG356" i="6"/>
  <c r="AE356" i="6"/>
  <c r="AD356" i="6"/>
  <c r="AC356" i="6"/>
  <c r="AF356" i="6" s="1"/>
  <c r="AA356" i="6"/>
  <c r="Z356" i="6"/>
  <c r="Y356" i="6"/>
  <c r="W356" i="6"/>
  <c r="X356" i="6" s="1"/>
  <c r="V356" i="6"/>
  <c r="T356" i="6"/>
  <c r="R356" i="6"/>
  <c r="S356" i="6" s="1"/>
  <c r="P356" i="6"/>
  <c r="O356" i="6"/>
  <c r="N356" i="6"/>
  <c r="M356" i="6"/>
  <c r="Q356" i="6" s="1"/>
  <c r="J356" i="6"/>
  <c r="H356" i="6"/>
  <c r="G356" i="6"/>
  <c r="F356" i="6"/>
  <c r="E356" i="6"/>
  <c r="D356" i="6"/>
  <c r="C356" i="6"/>
  <c r="B356" i="6"/>
  <c r="DW355" i="6"/>
  <c r="DR355" i="6"/>
  <c r="DP355" i="6"/>
  <c r="DM355" i="6"/>
  <c r="DL355" i="6"/>
  <c r="DK355" i="6"/>
  <c r="DJ355" i="6"/>
  <c r="DN355" i="6" s="1"/>
  <c r="DI355" i="6"/>
  <c r="DH355" i="6"/>
  <c r="DG355" i="6"/>
  <c r="DF355" i="6"/>
  <c r="DE355" i="6"/>
  <c r="DD355" i="6"/>
  <c r="DB355" i="6"/>
  <c r="DA355" i="6"/>
  <c r="DC355" i="6" s="1"/>
  <c r="CY355" i="6"/>
  <c r="CX355" i="6"/>
  <c r="CZ355" i="6" s="1"/>
  <c r="CW355" i="6"/>
  <c r="CV355" i="6"/>
  <c r="CT355" i="6"/>
  <c r="CU355" i="6" s="1"/>
  <c r="CR355" i="6"/>
  <c r="CQ355" i="6"/>
  <c r="CP355" i="6"/>
  <c r="CS355" i="6" s="1"/>
  <c r="CN355" i="6"/>
  <c r="CM355" i="6"/>
  <c r="CL355" i="6"/>
  <c r="CO355" i="6" s="1"/>
  <c r="CJ355" i="6"/>
  <c r="CI355" i="6"/>
  <c r="CK355" i="6" s="1"/>
  <c r="CH355" i="6"/>
  <c r="CG355" i="6"/>
  <c r="CE355" i="6"/>
  <c r="CD355" i="6"/>
  <c r="CF355" i="6" s="1"/>
  <c r="CB355" i="6"/>
  <c r="CC355" i="6" s="1"/>
  <c r="BZ355" i="6"/>
  <c r="BY355" i="6"/>
  <c r="BX355" i="6"/>
  <c r="BW355" i="6"/>
  <c r="BU355" i="6"/>
  <c r="BV355" i="6" s="1"/>
  <c r="BR355" i="6"/>
  <c r="BQ355" i="6"/>
  <c r="BS355" i="6" s="1"/>
  <c r="BP355" i="6"/>
  <c r="BO355" i="6"/>
  <c r="BM355" i="6"/>
  <c r="BL355" i="6"/>
  <c r="BN355" i="6" s="1"/>
  <c r="BK355" i="6"/>
  <c r="BJ355" i="6"/>
  <c r="BI355" i="6"/>
  <c r="BH355" i="6"/>
  <c r="BG355" i="6"/>
  <c r="BF355" i="6"/>
  <c r="BD355" i="6"/>
  <c r="BC355" i="6"/>
  <c r="BB355" i="6"/>
  <c r="AZ355" i="6"/>
  <c r="AY355" i="6"/>
  <c r="BA355" i="6" s="1"/>
  <c r="AW355" i="6"/>
  <c r="AV355" i="6"/>
  <c r="AX355" i="6" s="1"/>
  <c r="AT355" i="6"/>
  <c r="AS355" i="6"/>
  <c r="AU355" i="6" s="1"/>
  <c r="AQ355" i="6"/>
  <c r="AP355" i="6"/>
  <c r="AR355" i="6" s="1"/>
  <c r="AN355" i="6"/>
  <c r="AM355" i="6"/>
  <c r="AO355" i="6" s="1"/>
  <c r="AK355" i="6"/>
  <c r="AL355" i="6" s="1"/>
  <c r="AI355" i="6"/>
  <c r="AJ355" i="6" s="1"/>
  <c r="AG355" i="6"/>
  <c r="AE355" i="6"/>
  <c r="AD355" i="6"/>
  <c r="AC355" i="6"/>
  <c r="AF355" i="6" s="1"/>
  <c r="AA355" i="6"/>
  <c r="AB355" i="6" s="1"/>
  <c r="Z355" i="6"/>
  <c r="Y355" i="6"/>
  <c r="X355" i="6"/>
  <c r="W355" i="6"/>
  <c r="V355" i="6"/>
  <c r="T355" i="6"/>
  <c r="R355" i="6"/>
  <c r="S355" i="6" s="1"/>
  <c r="P355" i="6"/>
  <c r="O355" i="6"/>
  <c r="N355" i="6"/>
  <c r="M355" i="6"/>
  <c r="Q355" i="6" s="1"/>
  <c r="J355" i="6"/>
  <c r="H355" i="6"/>
  <c r="G355" i="6"/>
  <c r="F355" i="6"/>
  <c r="DV355" i="6" s="1"/>
  <c r="E355" i="6"/>
  <c r="D355" i="6"/>
  <c r="C355" i="6"/>
  <c r="B355" i="6"/>
  <c r="DW354" i="6"/>
  <c r="DS354" i="6"/>
  <c r="DM354" i="6"/>
  <c r="DN354" i="6" s="1"/>
  <c r="DL354" i="6"/>
  <c r="DK354" i="6"/>
  <c r="DJ354" i="6"/>
  <c r="DI354" i="6"/>
  <c r="DH354" i="6"/>
  <c r="DG354" i="6"/>
  <c r="DF354" i="6"/>
  <c r="DE354" i="6"/>
  <c r="DD354" i="6"/>
  <c r="DB354" i="6"/>
  <c r="DA354" i="6"/>
  <c r="DC354" i="6" s="1"/>
  <c r="CY354" i="6"/>
  <c r="CX354" i="6"/>
  <c r="CZ354" i="6" s="1"/>
  <c r="CW354" i="6"/>
  <c r="CV354" i="6"/>
  <c r="CU354" i="6"/>
  <c r="CT354" i="6"/>
  <c r="CR354" i="6"/>
  <c r="CQ354" i="6"/>
  <c r="CP354" i="6"/>
  <c r="CS354" i="6" s="1"/>
  <c r="CO354" i="6"/>
  <c r="CN354" i="6"/>
  <c r="CM354" i="6"/>
  <c r="CL354" i="6"/>
  <c r="CJ354" i="6"/>
  <c r="CI354" i="6"/>
  <c r="CK354" i="6" s="1"/>
  <c r="CG354" i="6"/>
  <c r="CH354" i="6" s="1"/>
  <c r="CE354" i="6"/>
  <c r="CD354" i="6"/>
  <c r="CF354" i="6" s="1"/>
  <c r="CB354" i="6"/>
  <c r="CC354" i="6" s="1"/>
  <c r="BZ354" i="6"/>
  <c r="BY354" i="6"/>
  <c r="BX354" i="6"/>
  <c r="BW354" i="6"/>
  <c r="CA354" i="6" s="1"/>
  <c r="BV354" i="6"/>
  <c r="BU354" i="6"/>
  <c r="BS354" i="6"/>
  <c r="BR354" i="6"/>
  <c r="BQ354" i="6"/>
  <c r="BO354" i="6"/>
  <c r="BP354" i="6" s="1"/>
  <c r="BM354" i="6"/>
  <c r="BL354" i="6"/>
  <c r="BN354" i="6" s="1"/>
  <c r="BK354" i="6"/>
  <c r="BJ354" i="6"/>
  <c r="BI354" i="6"/>
  <c r="BH354" i="6"/>
  <c r="BG354" i="6"/>
  <c r="BF354" i="6"/>
  <c r="BD354" i="6"/>
  <c r="BC354" i="6"/>
  <c r="BB354" i="6"/>
  <c r="AZ354" i="6"/>
  <c r="AY354" i="6"/>
  <c r="BA354" i="6" s="1"/>
  <c r="AW354" i="6"/>
  <c r="AV354" i="6"/>
  <c r="AX354" i="6" s="1"/>
  <c r="AU354" i="6"/>
  <c r="AT354" i="6"/>
  <c r="AS354" i="6"/>
  <c r="AQ354" i="6"/>
  <c r="AP354" i="6"/>
  <c r="AR354" i="6" s="1"/>
  <c r="AN354" i="6"/>
  <c r="AM354" i="6"/>
  <c r="AO354" i="6" s="1"/>
  <c r="AK354" i="6"/>
  <c r="AL354" i="6" s="1"/>
  <c r="AI354" i="6"/>
  <c r="AJ354" i="6" s="1"/>
  <c r="AG354" i="6"/>
  <c r="AE354" i="6"/>
  <c r="DT354" i="6" s="1"/>
  <c r="AD354" i="6"/>
  <c r="AC354" i="6"/>
  <c r="AA354" i="6"/>
  <c r="AB354" i="6" s="1"/>
  <c r="Z354" i="6"/>
  <c r="Y354" i="6"/>
  <c r="W354" i="6"/>
  <c r="V354" i="6"/>
  <c r="X354" i="6" s="1"/>
  <c r="T354" i="6"/>
  <c r="R354" i="6"/>
  <c r="S354" i="6" s="1"/>
  <c r="P354" i="6"/>
  <c r="O354" i="6"/>
  <c r="N354" i="6"/>
  <c r="M354" i="6"/>
  <c r="Q354" i="6" s="1"/>
  <c r="J354" i="6"/>
  <c r="H354" i="6"/>
  <c r="G354" i="6"/>
  <c r="F354" i="6"/>
  <c r="E354" i="6"/>
  <c r="I354" i="6" s="1"/>
  <c r="D354" i="6"/>
  <c r="C354" i="6"/>
  <c r="B354" i="6"/>
  <c r="DW353" i="6"/>
  <c r="DP353" i="6"/>
  <c r="DM353" i="6"/>
  <c r="DL353" i="6"/>
  <c r="DK353" i="6"/>
  <c r="DJ353" i="6"/>
  <c r="DN353" i="6" s="1"/>
  <c r="DI353" i="6"/>
  <c r="DH353" i="6"/>
  <c r="DG353" i="6"/>
  <c r="DF353" i="6"/>
  <c r="DE353" i="6"/>
  <c r="DD353" i="6"/>
  <c r="DB353" i="6"/>
  <c r="DA353" i="6"/>
  <c r="DC353" i="6" s="1"/>
  <c r="CY353" i="6"/>
  <c r="CX353" i="6"/>
  <c r="CZ353" i="6" s="1"/>
  <c r="CV353" i="6"/>
  <c r="CW353" i="6" s="1"/>
  <c r="CU353" i="6"/>
  <c r="CT353" i="6"/>
  <c r="CR353" i="6"/>
  <c r="CQ353" i="6"/>
  <c r="CP353" i="6"/>
  <c r="CS353" i="6" s="1"/>
  <c r="CN353" i="6"/>
  <c r="CM353" i="6"/>
  <c r="CO353" i="6" s="1"/>
  <c r="CL353" i="6"/>
  <c r="CJ353" i="6"/>
  <c r="CI353" i="6"/>
  <c r="CK353" i="6" s="1"/>
  <c r="CG353" i="6"/>
  <c r="CH353" i="6" s="1"/>
  <c r="CE353" i="6"/>
  <c r="CD353" i="6"/>
  <c r="CF353" i="6" s="1"/>
  <c r="CB353" i="6"/>
  <c r="CC353" i="6" s="1"/>
  <c r="BZ353" i="6"/>
  <c r="CA353" i="6" s="1"/>
  <c r="BY353" i="6"/>
  <c r="BX353" i="6"/>
  <c r="BW353" i="6"/>
  <c r="BV353" i="6"/>
  <c r="BU353" i="6"/>
  <c r="BR353" i="6"/>
  <c r="BQ353" i="6"/>
  <c r="BS353" i="6" s="1"/>
  <c r="BP353" i="6"/>
  <c r="BO353" i="6"/>
  <c r="BM353" i="6"/>
  <c r="BL353" i="6"/>
  <c r="BK353" i="6"/>
  <c r="BJ353" i="6"/>
  <c r="BN353" i="6" s="1"/>
  <c r="BH353" i="6"/>
  <c r="BI353" i="6" s="1"/>
  <c r="BG353" i="6"/>
  <c r="BF353" i="6"/>
  <c r="BD353" i="6"/>
  <c r="BC353" i="6"/>
  <c r="BB353" i="6"/>
  <c r="BE353" i="6" s="1"/>
  <c r="BA353" i="6"/>
  <c r="AZ353" i="6"/>
  <c r="AY353" i="6"/>
  <c r="AW353" i="6"/>
  <c r="AV353" i="6"/>
  <c r="AT353" i="6"/>
  <c r="AS353" i="6"/>
  <c r="AU353" i="6" s="1"/>
  <c r="AQ353" i="6"/>
  <c r="AP353" i="6"/>
  <c r="AR353" i="6" s="1"/>
  <c r="AN353" i="6"/>
  <c r="AM353" i="6"/>
  <c r="AO353" i="6" s="1"/>
  <c r="AK353" i="6"/>
  <c r="AL353" i="6" s="1"/>
  <c r="AI353" i="6"/>
  <c r="AJ353" i="6" s="1"/>
  <c r="AG353" i="6"/>
  <c r="AE353" i="6"/>
  <c r="AD353" i="6"/>
  <c r="AC353" i="6"/>
  <c r="AA353" i="6"/>
  <c r="Z353" i="6"/>
  <c r="AB353" i="6" s="1"/>
  <c r="Y353" i="6"/>
  <c r="W353" i="6"/>
  <c r="V353" i="6"/>
  <c r="T353" i="6"/>
  <c r="R353" i="6"/>
  <c r="S353" i="6" s="1"/>
  <c r="P353" i="6"/>
  <c r="O353" i="6"/>
  <c r="N353" i="6"/>
  <c r="M353" i="6"/>
  <c r="Q353" i="6" s="1"/>
  <c r="J353" i="6"/>
  <c r="I353" i="6"/>
  <c r="H353" i="6"/>
  <c r="G353" i="6"/>
  <c r="F353" i="6"/>
  <c r="E353" i="6"/>
  <c r="D353" i="6"/>
  <c r="C353" i="6"/>
  <c r="B353" i="6"/>
  <c r="DW352" i="6"/>
  <c r="DP352" i="6"/>
  <c r="DM352" i="6"/>
  <c r="DL352" i="6"/>
  <c r="DK352" i="6"/>
  <c r="DJ352" i="6"/>
  <c r="DI352" i="6"/>
  <c r="DH352" i="6"/>
  <c r="DG352" i="6"/>
  <c r="DF352" i="6"/>
  <c r="DE352" i="6"/>
  <c r="DD352" i="6"/>
  <c r="DB352" i="6"/>
  <c r="DA352" i="6"/>
  <c r="DC352" i="6" s="1"/>
  <c r="CY352" i="6"/>
  <c r="CX352" i="6"/>
  <c r="CZ352" i="6" s="1"/>
  <c r="CV352" i="6"/>
  <c r="CW352" i="6" s="1"/>
  <c r="CU352" i="6"/>
  <c r="CT352" i="6"/>
  <c r="CS352" i="6"/>
  <c r="CR352" i="6"/>
  <c r="CQ352" i="6"/>
  <c r="CP352" i="6"/>
  <c r="CN352" i="6"/>
  <c r="CM352" i="6"/>
  <c r="CO352" i="6" s="1"/>
  <c r="CL352" i="6"/>
  <c r="CJ352" i="6"/>
  <c r="CI352" i="6"/>
  <c r="CK352" i="6" s="1"/>
  <c r="CG352" i="6"/>
  <c r="CH352" i="6" s="1"/>
  <c r="CE352" i="6"/>
  <c r="CD352" i="6"/>
  <c r="CF352" i="6" s="1"/>
  <c r="CB352" i="6"/>
  <c r="CC352" i="6" s="1"/>
  <c r="BZ352" i="6"/>
  <c r="BY352" i="6"/>
  <c r="BX352" i="6"/>
  <c r="BW352" i="6"/>
  <c r="CA352" i="6" s="1"/>
  <c r="BU352" i="6"/>
  <c r="BV352" i="6" s="1"/>
  <c r="BS352" i="6"/>
  <c r="BR352" i="6"/>
  <c r="BQ352" i="6"/>
  <c r="BO352" i="6"/>
  <c r="BP352" i="6" s="1"/>
  <c r="BM352" i="6"/>
  <c r="BL352" i="6"/>
  <c r="BK352" i="6"/>
  <c r="BJ352" i="6"/>
  <c r="BN352" i="6" s="1"/>
  <c r="BH352" i="6"/>
  <c r="BI352" i="6" s="1"/>
  <c r="BG352" i="6"/>
  <c r="BF352" i="6"/>
  <c r="BD352" i="6"/>
  <c r="BC352" i="6"/>
  <c r="BB352" i="6"/>
  <c r="AZ352" i="6"/>
  <c r="AY352" i="6"/>
  <c r="BA352" i="6" s="1"/>
  <c r="AW352" i="6"/>
  <c r="AV352" i="6"/>
  <c r="AT352" i="6"/>
  <c r="AS352" i="6"/>
  <c r="AU352" i="6" s="1"/>
  <c r="AQ352" i="6"/>
  <c r="AP352" i="6"/>
  <c r="AR352" i="6" s="1"/>
  <c r="AN352" i="6"/>
  <c r="AM352" i="6"/>
  <c r="AO352" i="6" s="1"/>
  <c r="AK352" i="6"/>
  <c r="AL352" i="6" s="1"/>
  <c r="AI352" i="6"/>
  <c r="AJ352" i="6" s="1"/>
  <c r="AG352" i="6"/>
  <c r="AE352" i="6"/>
  <c r="AD352" i="6"/>
  <c r="AC352" i="6"/>
  <c r="AB352" i="6"/>
  <c r="AA352" i="6"/>
  <c r="Z352" i="6"/>
  <c r="Y352" i="6"/>
  <c r="W352" i="6"/>
  <c r="V352" i="6"/>
  <c r="T352" i="6"/>
  <c r="R352" i="6"/>
  <c r="P352" i="6"/>
  <c r="O352" i="6"/>
  <c r="N352" i="6"/>
  <c r="M352" i="6"/>
  <c r="Q352" i="6" s="1"/>
  <c r="J352" i="6"/>
  <c r="I352" i="6"/>
  <c r="H352" i="6"/>
  <c r="G352" i="6"/>
  <c r="F352" i="6"/>
  <c r="E352" i="6"/>
  <c r="D352" i="6"/>
  <c r="C352" i="6"/>
  <c r="B352" i="6"/>
  <c r="DW351" i="6"/>
  <c r="DU351" i="6"/>
  <c r="DM351" i="6"/>
  <c r="DL351" i="6"/>
  <c r="DK351" i="6"/>
  <c r="DN351" i="6" s="1"/>
  <c r="DJ351" i="6"/>
  <c r="DH351" i="6"/>
  <c r="DI351" i="6" s="1"/>
  <c r="DG351" i="6"/>
  <c r="DF351" i="6"/>
  <c r="DD351" i="6"/>
  <c r="DE351" i="6" s="1"/>
  <c r="DC351" i="6"/>
  <c r="DB351" i="6"/>
  <c r="DA351" i="6"/>
  <c r="CY351" i="6"/>
  <c r="CX351" i="6"/>
  <c r="CZ351" i="6" s="1"/>
  <c r="CV351" i="6"/>
  <c r="CW351" i="6" s="1"/>
  <c r="CU351" i="6"/>
  <c r="CT351" i="6"/>
  <c r="CR351" i="6"/>
  <c r="CQ351" i="6"/>
  <c r="DT351" i="6" s="1"/>
  <c r="CP351" i="6"/>
  <c r="CS351" i="6" s="1"/>
  <c r="CN351" i="6"/>
  <c r="CM351" i="6"/>
  <c r="CL351" i="6"/>
  <c r="CO351" i="6" s="1"/>
  <c r="CJ351" i="6"/>
  <c r="CI351" i="6"/>
  <c r="CK351" i="6" s="1"/>
  <c r="CG351" i="6"/>
  <c r="CE351" i="6"/>
  <c r="CD351" i="6"/>
  <c r="CB351" i="6"/>
  <c r="CC351" i="6" s="1"/>
  <c r="BZ351" i="6"/>
  <c r="BY351" i="6"/>
  <c r="BX351" i="6"/>
  <c r="BW351" i="6"/>
  <c r="BV351" i="6"/>
  <c r="BU351" i="6"/>
  <c r="BR351" i="6"/>
  <c r="BQ351" i="6"/>
  <c r="BS351" i="6" s="1"/>
  <c r="BP351" i="6"/>
  <c r="BO351" i="6"/>
  <c r="BM351" i="6"/>
  <c r="BL351" i="6"/>
  <c r="BK351" i="6"/>
  <c r="BJ351" i="6"/>
  <c r="BI351" i="6"/>
  <c r="BH351" i="6"/>
  <c r="BG351" i="6"/>
  <c r="BF351" i="6"/>
  <c r="BE351" i="6"/>
  <c r="BD351" i="6"/>
  <c r="BC351" i="6"/>
  <c r="BB351" i="6"/>
  <c r="AZ351" i="6"/>
  <c r="AY351" i="6"/>
  <c r="BA351" i="6" s="1"/>
  <c r="AX351" i="6"/>
  <c r="AW351" i="6"/>
  <c r="AV351" i="6"/>
  <c r="AT351" i="6"/>
  <c r="AS351" i="6"/>
  <c r="AQ351" i="6"/>
  <c r="AP351" i="6"/>
  <c r="AR351" i="6" s="1"/>
  <c r="AN351" i="6"/>
  <c r="AM351" i="6"/>
  <c r="AO351" i="6" s="1"/>
  <c r="AL351" i="6"/>
  <c r="AK351" i="6"/>
  <c r="AI351" i="6"/>
  <c r="AJ351" i="6" s="1"/>
  <c r="AG351" i="6"/>
  <c r="AE351" i="6"/>
  <c r="AD351" i="6"/>
  <c r="AC351" i="6"/>
  <c r="AA351" i="6"/>
  <c r="Z351" i="6"/>
  <c r="AB351" i="6" s="1"/>
  <c r="Y351" i="6"/>
  <c r="W351" i="6"/>
  <c r="V351" i="6"/>
  <c r="X351" i="6" s="1"/>
  <c r="T351" i="6"/>
  <c r="R351" i="6"/>
  <c r="S351" i="6" s="1"/>
  <c r="P351" i="6"/>
  <c r="O351" i="6"/>
  <c r="N351" i="6"/>
  <c r="M351" i="6"/>
  <c r="Q351" i="6" s="1"/>
  <c r="J351" i="6"/>
  <c r="I351" i="6"/>
  <c r="H351" i="6"/>
  <c r="G351" i="6"/>
  <c r="F351" i="6"/>
  <c r="DV351" i="6" s="1"/>
  <c r="E351" i="6"/>
  <c r="DP351" i="6" s="1"/>
  <c r="D351" i="6"/>
  <c r="C351" i="6"/>
  <c r="B351" i="6"/>
  <c r="DW350" i="6"/>
  <c r="DQ350" i="6"/>
  <c r="DM350" i="6"/>
  <c r="DL350" i="6"/>
  <c r="DK350" i="6"/>
  <c r="DJ350" i="6"/>
  <c r="DN350" i="6" s="1"/>
  <c r="DI350" i="6"/>
  <c r="DH350" i="6"/>
  <c r="DG350" i="6"/>
  <c r="DF350" i="6"/>
  <c r="DD350" i="6"/>
  <c r="DE350" i="6" s="1"/>
  <c r="DB350" i="6"/>
  <c r="DC350" i="6" s="1"/>
  <c r="DA350" i="6"/>
  <c r="CY350" i="6"/>
  <c r="CZ350" i="6" s="1"/>
  <c r="CX350" i="6"/>
  <c r="CV350" i="6"/>
  <c r="CW350" i="6" s="1"/>
  <c r="CT350" i="6"/>
  <c r="CU350" i="6" s="1"/>
  <c r="CR350" i="6"/>
  <c r="CS350" i="6" s="1"/>
  <c r="CQ350" i="6"/>
  <c r="CP350" i="6"/>
  <c r="CN350" i="6"/>
  <c r="CO350" i="6" s="1"/>
  <c r="CM350" i="6"/>
  <c r="CL350" i="6"/>
  <c r="CK350" i="6"/>
  <c r="CJ350" i="6"/>
  <c r="CI350" i="6"/>
  <c r="CG350" i="6"/>
  <c r="CH350" i="6" s="1"/>
  <c r="CF350" i="6"/>
  <c r="CE350" i="6"/>
  <c r="CD350" i="6"/>
  <c r="CB350" i="6"/>
  <c r="CC350" i="6" s="1"/>
  <c r="BZ350" i="6"/>
  <c r="BY350" i="6"/>
  <c r="BX350" i="6"/>
  <c r="DS350" i="6" s="1"/>
  <c r="BW350" i="6"/>
  <c r="BV350" i="6"/>
  <c r="BU350" i="6"/>
  <c r="BR350" i="6"/>
  <c r="BQ350" i="6"/>
  <c r="BS350" i="6" s="1"/>
  <c r="BP350" i="6"/>
  <c r="BO350" i="6"/>
  <c r="BM350" i="6"/>
  <c r="BL350" i="6"/>
  <c r="BK350" i="6"/>
  <c r="BJ350" i="6"/>
  <c r="BN350" i="6" s="1"/>
  <c r="BI350" i="6"/>
  <c r="BH350" i="6"/>
  <c r="BF350" i="6"/>
  <c r="BG350" i="6" s="1"/>
  <c r="BD350" i="6"/>
  <c r="BC350" i="6"/>
  <c r="BB350" i="6"/>
  <c r="BE350" i="6" s="1"/>
  <c r="AZ350" i="6"/>
  <c r="AY350" i="6"/>
  <c r="BA350" i="6" s="1"/>
  <c r="AW350" i="6"/>
  <c r="AV350" i="6"/>
  <c r="AX350" i="6" s="1"/>
  <c r="AT350" i="6"/>
  <c r="AS350" i="6"/>
  <c r="AU350" i="6" s="1"/>
  <c r="AR350" i="6"/>
  <c r="AQ350" i="6"/>
  <c r="AP350" i="6"/>
  <c r="AN350" i="6"/>
  <c r="AM350" i="6"/>
  <c r="AO350" i="6" s="1"/>
  <c r="AL350" i="6"/>
  <c r="AK350" i="6"/>
  <c r="AI350" i="6"/>
  <c r="AJ350" i="6" s="1"/>
  <c r="AG350" i="6"/>
  <c r="AF350" i="6"/>
  <c r="AE350" i="6"/>
  <c r="AD350" i="6"/>
  <c r="AC350" i="6"/>
  <c r="AB350" i="6"/>
  <c r="AA350" i="6"/>
  <c r="Z350" i="6"/>
  <c r="Y350" i="6"/>
  <c r="X350" i="6"/>
  <c r="W350" i="6"/>
  <c r="V350" i="6"/>
  <c r="T350" i="6"/>
  <c r="S350" i="6"/>
  <c r="R350" i="6"/>
  <c r="P350" i="6"/>
  <c r="O350" i="6"/>
  <c r="N350" i="6"/>
  <c r="Q350" i="6" s="1"/>
  <c r="M350" i="6"/>
  <c r="J350" i="6"/>
  <c r="H350" i="6"/>
  <c r="G350" i="6"/>
  <c r="F350" i="6"/>
  <c r="DV350" i="6" s="1"/>
  <c r="E350" i="6"/>
  <c r="I350" i="6" s="1"/>
  <c r="D350" i="6"/>
  <c r="C350" i="6"/>
  <c r="B350" i="6"/>
  <c r="DW349" i="6"/>
  <c r="DS349" i="6"/>
  <c r="DQ349" i="6"/>
  <c r="DP349" i="6"/>
  <c r="DM349" i="6"/>
  <c r="DL349" i="6"/>
  <c r="DK349" i="6"/>
  <c r="DJ349" i="6"/>
  <c r="DN349" i="6" s="1"/>
  <c r="DI349" i="6"/>
  <c r="DH349" i="6"/>
  <c r="DG349" i="6"/>
  <c r="DF349" i="6"/>
  <c r="DD349" i="6"/>
  <c r="DE349" i="6" s="1"/>
  <c r="DC349" i="6"/>
  <c r="DB349" i="6"/>
  <c r="DA349" i="6"/>
  <c r="CY349" i="6"/>
  <c r="CZ349" i="6" s="1"/>
  <c r="CX349" i="6"/>
  <c r="CV349" i="6"/>
  <c r="CW349" i="6" s="1"/>
  <c r="CT349" i="6"/>
  <c r="CU349" i="6" s="1"/>
  <c r="CS349" i="6"/>
  <c r="CR349" i="6"/>
  <c r="CQ349" i="6"/>
  <c r="CP349" i="6"/>
  <c r="CN349" i="6"/>
  <c r="CM349" i="6"/>
  <c r="CL349" i="6"/>
  <c r="CO349" i="6" s="1"/>
  <c r="CK349" i="6"/>
  <c r="CJ349" i="6"/>
  <c r="CI349" i="6"/>
  <c r="CG349" i="6"/>
  <c r="CH349" i="6" s="1"/>
  <c r="CF349" i="6"/>
  <c r="CE349" i="6"/>
  <c r="CD349" i="6"/>
  <c r="CB349" i="6"/>
  <c r="CC349" i="6" s="1"/>
  <c r="BZ349" i="6"/>
  <c r="BY349" i="6"/>
  <c r="BX349" i="6"/>
  <c r="BW349" i="6"/>
  <c r="BV349" i="6"/>
  <c r="BU349" i="6"/>
  <c r="BR349" i="6"/>
  <c r="BQ349" i="6"/>
  <c r="BP349" i="6"/>
  <c r="BO349" i="6"/>
  <c r="BM349" i="6"/>
  <c r="BL349" i="6"/>
  <c r="BK349" i="6"/>
  <c r="BJ349" i="6"/>
  <c r="BN349" i="6" s="1"/>
  <c r="BI349" i="6"/>
  <c r="BH349" i="6"/>
  <c r="BF349" i="6"/>
  <c r="BG349" i="6" s="1"/>
  <c r="BD349" i="6"/>
  <c r="BC349" i="6"/>
  <c r="BB349" i="6"/>
  <c r="BE349" i="6" s="1"/>
  <c r="BA349" i="6"/>
  <c r="AZ349" i="6"/>
  <c r="AY349" i="6"/>
  <c r="AW349" i="6"/>
  <c r="AV349" i="6"/>
  <c r="AX349" i="6" s="1"/>
  <c r="AT349" i="6"/>
  <c r="AS349" i="6"/>
  <c r="AU349" i="6" s="1"/>
  <c r="AR349" i="6"/>
  <c r="AQ349" i="6"/>
  <c r="AP349" i="6"/>
  <c r="AN349" i="6"/>
  <c r="AM349" i="6"/>
  <c r="AO349" i="6" s="1"/>
  <c r="AL349" i="6"/>
  <c r="AK349" i="6"/>
  <c r="AI349" i="6"/>
  <c r="AJ349" i="6" s="1"/>
  <c r="AG349" i="6"/>
  <c r="AE349" i="6"/>
  <c r="AD349" i="6"/>
  <c r="AC349" i="6"/>
  <c r="AF349" i="6" s="1"/>
  <c r="AB349" i="6"/>
  <c r="AA349" i="6"/>
  <c r="Z349" i="6"/>
  <c r="Y349" i="6"/>
  <c r="W349" i="6"/>
  <c r="V349" i="6"/>
  <c r="T349" i="6"/>
  <c r="S349" i="6"/>
  <c r="R349" i="6"/>
  <c r="P349" i="6"/>
  <c r="O349" i="6"/>
  <c r="N349" i="6"/>
  <c r="M349" i="6"/>
  <c r="J349" i="6"/>
  <c r="H349" i="6"/>
  <c r="G349" i="6"/>
  <c r="F349" i="6"/>
  <c r="DV349" i="6" s="1"/>
  <c r="E349" i="6"/>
  <c r="D349" i="6"/>
  <c r="C349" i="6"/>
  <c r="B349" i="6"/>
  <c r="DW348" i="6"/>
  <c r="DQ348" i="6"/>
  <c r="DP348" i="6"/>
  <c r="DN348" i="6"/>
  <c r="DM348" i="6"/>
  <c r="DL348" i="6"/>
  <c r="DK348" i="6"/>
  <c r="DJ348" i="6"/>
  <c r="DH348" i="6"/>
  <c r="DI348" i="6" s="1"/>
  <c r="DG348" i="6"/>
  <c r="DF348" i="6"/>
  <c r="DD348" i="6"/>
  <c r="DE348" i="6" s="1"/>
  <c r="DB348" i="6"/>
  <c r="DC348" i="6" s="1"/>
  <c r="DA348" i="6"/>
  <c r="CY348" i="6"/>
  <c r="CZ348" i="6" s="1"/>
  <c r="CX348" i="6"/>
  <c r="CV348" i="6"/>
  <c r="CW348" i="6" s="1"/>
  <c r="CU348" i="6"/>
  <c r="CT348" i="6"/>
  <c r="CR348" i="6"/>
  <c r="CS348" i="6" s="1"/>
  <c r="CQ348" i="6"/>
  <c r="CP348" i="6"/>
  <c r="CN348" i="6"/>
  <c r="CM348" i="6"/>
  <c r="CO348" i="6" s="1"/>
  <c r="CL348" i="6"/>
  <c r="CK348" i="6"/>
  <c r="CJ348" i="6"/>
  <c r="CI348" i="6"/>
  <c r="CG348" i="6"/>
  <c r="CH348" i="6" s="1"/>
  <c r="CF348" i="6"/>
  <c r="CE348" i="6"/>
  <c r="CD348" i="6"/>
  <c r="CB348" i="6"/>
  <c r="CC348" i="6" s="1"/>
  <c r="BZ348" i="6"/>
  <c r="BY348" i="6"/>
  <c r="BX348" i="6"/>
  <c r="DS348" i="6" s="1"/>
  <c r="BW348" i="6"/>
  <c r="CA348" i="6" s="1"/>
  <c r="BV348" i="6"/>
  <c r="BU348" i="6"/>
  <c r="BR348" i="6"/>
  <c r="BQ348" i="6"/>
  <c r="BS348" i="6" s="1"/>
  <c r="BP348" i="6"/>
  <c r="BO348" i="6"/>
  <c r="BN348" i="6"/>
  <c r="BM348" i="6"/>
  <c r="BL348" i="6"/>
  <c r="BK348" i="6"/>
  <c r="BJ348" i="6"/>
  <c r="BI348" i="6"/>
  <c r="BH348" i="6"/>
  <c r="BF348" i="6"/>
  <c r="BG348" i="6" s="1"/>
  <c r="BD348" i="6"/>
  <c r="BC348" i="6"/>
  <c r="BB348" i="6"/>
  <c r="AZ348" i="6"/>
  <c r="AY348" i="6"/>
  <c r="BA348" i="6" s="1"/>
  <c r="AW348" i="6"/>
  <c r="AV348" i="6"/>
  <c r="AX348" i="6" s="1"/>
  <c r="AU348" i="6"/>
  <c r="AT348" i="6"/>
  <c r="AS348" i="6"/>
  <c r="AR348" i="6"/>
  <c r="AQ348" i="6"/>
  <c r="AP348" i="6"/>
  <c r="AN348" i="6"/>
  <c r="AM348" i="6"/>
  <c r="AO348" i="6" s="1"/>
  <c r="AL348" i="6"/>
  <c r="AK348" i="6"/>
  <c r="AI348" i="6"/>
  <c r="AJ348" i="6" s="1"/>
  <c r="AG348" i="6"/>
  <c r="AE348" i="6"/>
  <c r="AD348" i="6"/>
  <c r="AC348" i="6"/>
  <c r="AF348" i="6" s="1"/>
  <c r="AB348" i="6"/>
  <c r="AA348" i="6"/>
  <c r="Z348" i="6"/>
  <c r="Y348" i="6"/>
  <c r="X348" i="6"/>
  <c r="W348" i="6"/>
  <c r="V348" i="6"/>
  <c r="DT348" i="6" s="1"/>
  <c r="T348" i="6"/>
  <c r="S348" i="6"/>
  <c r="R348" i="6"/>
  <c r="P348" i="6"/>
  <c r="O348" i="6"/>
  <c r="N348" i="6"/>
  <c r="Q348" i="6" s="1"/>
  <c r="M348" i="6"/>
  <c r="J348" i="6"/>
  <c r="H348" i="6"/>
  <c r="G348" i="6"/>
  <c r="F348" i="6"/>
  <c r="E348" i="6"/>
  <c r="I348" i="6" s="1"/>
  <c r="D348" i="6"/>
  <c r="C348" i="6"/>
  <c r="B348" i="6"/>
  <c r="DW347" i="6"/>
  <c r="DS347" i="6"/>
  <c r="DP347" i="6"/>
  <c r="DM347" i="6"/>
  <c r="DL347" i="6"/>
  <c r="DK347" i="6"/>
  <c r="DJ347" i="6"/>
  <c r="DN347" i="6" s="1"/>
  <c r="DI347" i="6"/>
  <c r="DH347" i="6"/>
  <c r="DG347" i="6"/>
  <c r="DF347" i="6"/>
  <c r="DD347" i="6"/>
  <c r="DE347" i="6" s="1"/>
  <c r="DC347" i="6"/>
  <c r="DB347" i="6"/>
  <c r="DA347" i="6"/>
  <c r="CY347" i="6"/>
  <c r="CZ347" i="6" s="1"/>
  <c r="CX347" i="6"/>
  <c r="CV347" i="6"/>
  <c r="CW347" i="6" s="1"/>
  <c r="CT347" i="6"/>
  <c r="CU347" i="6" s="1"/>
  <c r="CR347" i="6"/>
  <c r="CS347" i="6" s="1"/>
  <c r="CQ347" i="6"/>
  <c r="CP347" i="6"/>
  <c r="CN347" i="6"/>
  <c r="CM347" i="6"/>
  <c r="CL347" i="6"/>
  <c r="CO347" i="6" s="1"/>
  <c r="CK347" i="6"/>
  <c r="CJ347" i="6"/>
  <c r="CI347" i="6"/>
  <c r="CG347" i="6"/>
  <c r="CH347" i="6" s="1"/>
  <c r="CF347" i="6"/>
  <c r="CE347" i="6"/>
  <c r="CD347" i="6"/>
  <c r="CB347" i="6"/>
  <c r="CC347" i="6" s="1"/>
  <c r="BZ347" i="6"/>
  <c r="BY347" i="6"/>
  <c r="BX347" i="6"/>
  <c r="BW347" i="6"/>
  <c r="BV347" i="6"/>
  <c r="BU347" i="6"/>
  <c r="BR347" i="6"/>
  <c r="BQ347" i="6"/>
  <c r="BO347" i="6"/>
  <c r="BM347" i="6"/>
  <c r="BL347" i="6"/>
  <c r="BK347" i="6"/>
  <c r="BJ347" i="6"/>
  <c r="BN347" i="6" s="1"/>
  <c r="BI347" i="6"/>
  <c r="BH347" i="6"/>
  <c r="BF347" i="6"/>
  <c r="BG347" i="6" s="1"/>
  <c r="BD347" i="6"/>
  <c r="BC347" i="6"/>
  <c r="BB347" i="6"/>
  <c r="BE347" i="6" s="1"/>
  <c r="AZ347" i="6"/>
  <c r="BA347" i="6" s="1"/>
  <c r="AY347" i="6"/>
  <c r="AW347" i="6"/>
  <c r="AV347" i="6"/>
  <c r="AX347" i="6" s="1"/>
  <c r="AT347" i="6"/>
  <c r="AS347" i="6"/>
  <c r="AU347" i="6" s="1"/>
  <c r="AR347" i="6"/>
  <c r="AQ347" i="6"/>
  <c r="AP347" i="6"/>
  <c r="AN347" i="6"/>
  <c r="AM347" i="6"/>
  <c r="AO347" i="6" s="1"/>
  <c r="AL347" i="6"/>
  <c r="AK347" i="6"/>
  <c r="AI347" i="6"/>
  <c r="AJ347" i="6" s="1"/>
  <c r="AG347" i="6"/>
  <c r="AE347" i="6"/>
  <c r="AD347" i="6"/>
  <c r="AC347" i="6"/>
  <c r="AF347" i="6" s="1"/>
  <c r="AB347" i="6"/>
  <c r="AA347" i="6"/>
  <c r="Z347" i="6"/>
  <c r="Y347" i="6"/>
  <c r="W347" i="6"/>
  <c r="V347" i="6"/>
  <c r="DT347" i="6" s="1"/>
  <c r="T347" i="6"/>
  <c r="S347" i="6"/>
  <c r="R347" i="6"/>
  <c r="P347" i="6"/>
  <c r="O347" i="6"/>
  <c r="N347" i="6"/>
  <c r="M347" i="6"/>
  <c r="J347" i="6"/>
  <c r="H347" i="6"/>
  <c r="G347" i="6"/>
  <c r="F347" i="6"/>
  <c r="E347" i="6"/>
  <c r="D347" i="6"/>
  <c r="C347" i="6"/>
  <c r="B347" i="6"/>
  <c r="DW346" i="6"/>
  <c r="DM346" i="6"/>
  <c r="DL346" i="6"/>
  <c r="DK346" i="6"/>
  <c r="DJ346" i="6"/>
  <c r="DN346" i="6" s="1"/>
  <c r="DH346" i="6"/>
  <c r="DI346" i="6" s="1"/>
  <c r="DG346" i="6"/>
  <c r="DF346" i="6"/>
  <c r="DD346" i="6"/>
  <c r="DE346" i="6" s="1"/>
  <c r="DB346" i="6"/>
  <c r="DC346" i="6" s="1"/>
  <c r="DA346" i="6"/>
  <c r="CY346" i="6"/>
  <c r="CX346" i="6"/>
  <c r="CV346" i="6"/>
  <c r="CW346" i="6" s="1"/>
  <c r="CU346" i="6"/>
  <c r="CT346" i="6"/>
  <c r="CR346" i="6"/>
  <c r="CQ346" i="6"/>
  <c r="CP346" i="6"/>
  <c r="CS346" i="6" s="1"/>
  <c r="CN346" i="6"/>
  <c r="CM346" i="6"/>
  <c r="CL346" i="6"/>
  <c r="CO346" i="6" s="1"/>
  <c r="CK346" i="6"/>
  <c r="CJ346" i="6"/>
  <c r="CI346" i="6"/>
  <c r="CG346" i="6"/>
  <c r="CH346" i="6" s="1"/>
  <c r="CF346" i="6"/>
  <c r="CE346" i="6"/>
  <c r="CD346" i="6"/>
  <c r="CB346" i="6"/>
  <c r="CC346" i="6" s="1"/>
  <c r="BZ346" i="6"/>
  <c r="BY346" i="6"/>
  <c r="BX346" i="6"/>
  <c r="BW346" i="6"/>
  <c r="BV346" i="6"/>
  <c r="BU346" i="6"/>
  <c r="BR346" i="6"/>
  <c r="BQ346" i="6"/>
  <c r="BS346" i="6" s="1"/>
  <c r="BP346" i="6"/>
  <c r="BO346" i="6"/>
  <c r="BM346" i="6"/>
  <c r="BL346" i="6"/>
  <c r="BK346" i="6"/>
  <c r="BJ346" i="6"/>
  <c r="BN346" i="6" s="1"/>
  <c r="BI346" i="6"/>
  <c r="BH346" i="6"/>
  <c r="BF346" i="6"/>
  <c r="BG346" i="6" s="1"/>
  <c r="BD346" i="6"/>
  <c r="BC346" i="6"/>
  <c r="BE346" i="6" s="1"/>
  <c r="BB346" i="6"/>
  <c r="AZ346" i="6"/>
  <c r="AY346" i="6"/>
  <c r="BA346" i="6" s="1"/>
  <c r="AW346" i="6"/>
  <c r="AV346" i="6"/>
  <c r="AT346" i="6"/>
  <c r="AS346" i="6"/>
  <c r="AU346" i="6" s="1"/>
  <c r="AR346" i="6"/>
  <c r="AQ346" i="6"/>
  <c r="AP346" i="6"/>
  <c r="AN346" i="6"/>
  <c r="AM346" i="6"/>
  <c r="AO346" i="6" s="1"/>
  <c r="AL346" i="6"/>
  <c r="AK346" i="6"/>
  <c r="AI346" i="6"/>
  <c r="AJ346" i="6" s="1"/>
  <c r="AG346" i="6"/>
  <c r="AE346" i="6"/>
  <c r="AF346" i="6" s="1"/>
  <c r="AD346" i="6"/>
  <c r="AC346" i="6"/>
  <c r="AB346" i="6"/>
  <c r="AA346" i="6"/>
  <c r="Z346" i="6"/>
  <c r="Y346" i="6"/>
  <c r="X346" i="6"/>
  <c r="W346" i="6"/>
  <c r="V346" i="6"/>
  <c r="T346" i="6"/>
  <c r="S346" i="6"/>
  <c r="R346" i="6"/>
  <c r="P346" i="6"/>
  <c r="DQ346" i="6" s="1"/>
  <c r="O346" i="6"/>
  <c r="N346" i="6"/>
  <c r="M346" i="6"/>
  <c r="J346" i="6"/>
  <c r="H346" i="6"/>
  <c r="G346" i="6"/>
  <c r="DU346" i="6" s="1"/>
  <c r="F346" i="6"/>
  <c r="DV346" i="6" s="1"/>
  <c r="E346" i="6"/>
  <c r="D346" i="6"/>
  <c r="C346" i="6"/>
  <c r="B346" i="6"/>
  <c r="DW345" i="6"/>
  <c r="DP345" i="6"/>
  <c r="DM345" i="6"/>
  <c r="DL345" i="6"/>
  <c r="DK345" i="6"/>
  <c r="DJ345" i="6"/>
  <c r="DS345" i="6" s="1"/>
  <c r="DH345" i="6"/>
  <c r="DI345" i="6" s="1"/>
  <c r="DG345" i="6"/>
  <c r="DF345" i="6"/>
  <c r="DD345" i="6"/>
  <c r="DE345" i="6" s="1"/>
  <c r="DC345" i="6"/>
  <c r="DB345" i="6"/>
  <c r="DA345" i="6"/>
  <c r="CY345" i="6"/>
  <c r="CZ345" i="6" s="1"/>
  <c r="CX345" i="6"/>
  <c r="CV345" i="6"/>
  <c r="CW345" i="6" s="1"/>
  <c r="CU345" i="6"/>
  <c r="CT345" i="6"/>
  <c r="CS345" i="6"/>
  <c r="CR345" i="6"/>
  <c r="CQ345" i="6"/>
  <c r="CP345" i="6"/>
  <c r="CN345" i="6"/>
  <c r="CM345" i="6"/>
  <c r="CL345" i="6"/>
  <c r="CO345" i="6" s="1"/>
  <c r="CK345" i="6"/>
  <c r="CJ345" i="6"/>
  <c r="CI345" i="6"/>
  <c r="CG345" i="6"/>
  <c r="CH345" i="6" s="1"/>
  <c r="CF345" i="6"/>
  <c r="CE345" i="6"/>
  <c r="CD345" i="6"/>
  <c r="CB345" i="6"/>
  <c r="CC345" i="6" s="1"/>
  <c r="BZ345" i="6"/>
  <c r="BY345" i="6"/>
  <c r="BX345" i="6"/>
  <c r="BW345" i="6"/>
  <c r="CA345" i="6" s="1"/>
  <c r="BV345" i="6"/>
  <c r="BU345" i="6"/>
  <c r="BS345" i="6"/>
  <c r="BR345" i="6"/>
  <c r="BQ345" i="6"/>
  <c r="BP345" i="6"/>
  <c r="BO345" i="6"/>
  <c r="BN345" i="6"/>
  <c r="BM345" i="6"/>
  <c r="BL345" i="6"/>
  <c r="BK345" i="6"/>
  <c r="BJ345" i="6"/>
  <c r="BI345" i="6"/>
  <c r="BH345" i="6"/>
  <c r="BF345" i="6"/>
  <c r="BG345" i="6" s="1"/>
  <c r="BE345" i="6"/>
  <c r="BD345" i="6"/>
  <c r="BC345" i="6"/>
  <c r="BB345" i="6"/>
  <c r="AZ345" i="6"/>
  <c r="AY345" i="6"/>
  <c r="BA345" i="6" s="1"/>
  <c r="AW345" i="6"/>
  <c r="DU345" i="6" s="1"/>
  <c r="AV345" i="6"/>
  <c r="AX345" i="6" s="1"/>
  <c r="AT345" i="6"/>
  <c r="AU345" i="6" s="1"/>
  <c r="AS345" i="6"/>
  <c r="AR345" i="6"/>
  <c r="AQ345" i="6"/>
  <c r="AP345" i="6"/>
  <c r="AN345" i="6"/>
  <c r="AM345" i="6"/>
  <c r="AO345" i="6" s="1"/>
  <c r="AL345" i="6"/>
  <c r="AK345" i="6"/>
  <c r="AI345" i="6"/>
  <c r="AJ345" i="6" s="1"/>
  <c r="AG345" i="6"/>
  <c r="AE345" i="6"/>
  <c r="AD345" i="6"/>
  <c r="AC345" i="6"/>
  <c r="AF345" i="6" s="1"/>
  <c r="AA345" i="6"/>
  <c r="Z345" i="6"/>
  <c r="AB345" i="6" s="1"/>
  <c r="Y345" i="6"/>
  <c r="X345" i="6"/>
  <c r="W345" i="6"/>
  <c r="V345" i="6"/>
  <c r="T345" i="6"/>
  <c r="S345" i="6"/>
  <c r="R345" i="6"/>
  <c r="P345" i="6"/>
  <c r="O345" i="6"/>
  <c r="N345" i="6"/>
  <c r="M345" i="6"/>
  <c r="J345" i="6"/>
  <c r="H345" i="6"/>
  <c r="G345" i="6"/>
  <c r="F345" i="6"/>
  <c r="E345" i="6"/>
  <c r="I345" i="6" s="1"/>
  <c r="D345" i="6"/>
  <c r="C345" i="6"/>
  <c r="B345" i="6"/>
  <c r="DW344" i="6"/>
  <c r="DM344" i="6"/>
  <c r="DL344" i="6"/>
  <c r="DK344" i="6"/>
  <c r="DJ344" i="6"/>
  <c r="DI344" i="6"/>
  <c r="DH344" i="6"/>
  <c r="DG344" i="6"/>
  <c r="DF344" i="6"/>
  <c r="DD344" i="6"/>
  <c r="DE344" i="6" s="1"/>
  <c r="DB344" i="6"/>
  <c r="DC344" i="6" s="1"/>
  <c r="DA344" i="6"/>
  <c r="CY344" i="6"/>
  <c r="CX344" i="6"/>
  <c r="CV344" i="6"/>
  <c r="CW344" i="6" s="1"/>
  <c r="CT344" i="6"/>
  <c r="CU344" i="6" s="1"/>
  <c r="CR344" i="6"/>
  <c r="CQ344" i="6"/>
  <c r="CP344" i="6"/>
  <c r="CS344" i="6" s="1"/>
  <c r="CN344" i="6"/>
  <c r="CM344" i="6"/>
  <c r="CL344" i="6"/>
  <c r="CO344" i="6" s="1"/>
  <c r="CK344" i="6"/>
  <c r="CJ344" i="6"/>
  <c r="CI344" i="6"/>
  <c r="CG344" i="6"/>
  <c r="CH344" i="6" s="1"/>
  <c r="CF344" i="6"/>
  <c r="CE344" i="6"/>
  <c r="CD344" i="6"/>
  <c r="CB344" i="6"/>
  <c r="CC344" i="6" s="1"/>
  <c r="BZ344" i="6"/>
  <c r="BY344" i="6"/>
  <c r="BX344" i="6"/>
  <c r="BW344" i="6"/>
  <c r="BV344" i="6"/>
  <c r="BU344" i="6"/>
  <c r="BR344" i="6"/>
  <c r="BQ344" i="6"/>
  <c r="BS344" i="6" s="1"/>
  <c r="BP344" i="6"/>
  <c r="BO344" i="6"/>
  <c r="BM344" i="6"/>
  <c r="BL344" i="6"/>
  <c r="BK344" i="6"/>
  <c r="BJ344" i="6"/>
  <c r="BN344" i="6" s="1"/>
  <c r="BI344" i="6"/>
  <c r="BH344" i="6"/>
  <c r="BF344" i="6"/>
  <c r="BG344" i="6" s="1"/>
  <c r="BD344" i="6"/>
  <c r="BC344" i="6"/>
  <c r="BE344" i="6" s="1"/>
  <c r="BB344" i="6"/>
  <c r="BA344" i="6"/>
  <c r="AZ344" i="6"/>
  <c r="AY344" i="6"/>
  <c r="AW344" i="6"/>
  <c r="AV344" i="6"/>
  <c r="AX344" i="6" s="1"/>
  <c r="AT344" i="6"/>
  <c r="AS344" i="6"/>
  <c r="AU344" i="6" s="1"/>
  <c r="AR344" i="6"/>
  <c r="AQ344" i="6"/>
  <c r="AP344" i="6"/>
  <c r="AN344" i="6"/>
  <c r="AM344" i="6"/>
  <c r="AO344" i="6" s="1"/>
  <c r="AL344" i="6"/>
  <c r="AK344" i="6"/>
  <c r="AI344" i="6"/>
  <c r="AJ344" i="6" s="1"/>
  <c r="AG344" i="6"/>
  <c r="AE344" i="6"/>
  <c r="AD344" i="6"/>
  <c r="DR344" i="6" s="1"/>
  <c r="AC344" i="6"/>
  <c r="AB344" i="6"/>
  <c r="AA344" i="6"/>
  <c r="Z344" i="6"/>
  <c r="Y344" i="6"/>
  <c r="W344" i="6"/>
  <c r="V344" i="6"/>
  <c r="T344" i="6"/>
  <c r="S344" i="6"/>
  <c r="R344" i="6"/>
  <c r="P344" i="6"/>
  <c r="O344" i="6"/>
  <c r="Q344" i="6" s="1"/>
  <c r="N344" i="6"/>
  <c r="M344" i="6"/>
  <c r="J344" i="6"/>
  <c r="H344" i="6"/>
  <c r="G344" i="6"/>
  <c r="DU344" i="6" s="1"/>
  <c r="F344" i="6"/>
  <c r="DV344" i="6" s="1"/>
  <c r="E344" i="6"/>
  <c r="D344" i="6"/>
  <c r="C344" i="6"/>
  <c r="B344" i="6"/>
  <c r="DW343" i="6"/>
  <c r="DP343" i="6"/>
  <c r="DN343" i="6"/>
  <c r="DM343" i="6"/>
  <c r="DL343" i="6"/>
  <c r="DK343" i="6"/>
  <c r="DJ343" i="6"/>
  <c r="DH343" i="6"/>
  <c r="DI343" i="6" s="1"/>
  <c r="DG343" i="6"/>
  <c r="DF343" i="6"/>
  <c r="DD343" i="6"/>
  <c r="DE343" i="6" s="1"/>
  <c r="DC343" i="6"/>
  <c r="DB343" i="6"/>
  <c r="DA343" i="6"/>
  <c r="CY343" i="6"/>
  <c r="CX343" i="6"/>
  <c r="CV343" i="6"/>
  <c r="CW343" i="6" s="1"/>
  <c r="CT343" i="6"/>
  <c r="CU343" i="6" s="1"/>
  <c r="CR343" i="6"/>
  <c r="CS343" i="6" s="1"/>
  <c r="CQ343" i="6"/>
  <c r="CP343" i="6"/>
  <c r="DQ343" i="6" s="1"/>
  <c r="CO343" i="6"/>
  <c r="CN343" i="6"/>
  <c r="CM343" i="6"/>
  <c r="CL343" i="6"/>
  <c r="CK343" i="6"/>
  <c r="CJ343" i="6"/>
  <c r="CI343" i="6"/>
  <c r="CG343" i="6"/>
  <c r="CH343" i="6" s="1"/>
  <c r="CF343" i="6"/>
  <c r="CE343" i="6"/>
  <c r="CD343" i="6"/>
  <c r="CB343" i="6"/>
  <c r="CC343" i="6" s="1"/>
  <c r="BZ343" i="6"/>
  <c r="BY343" i="6"/>
  <c r="BX343" i="6"/>
  <c r="BW343" i="6"/>
  <c r="BV343" i="6"/>
  <c r="BU343" i="6"/>
  <c r="BR343" i="6"/>
  <c r="DU343" i="6" s="1"/>
  <c r="BQ343" i="6"/>
  <c r="BS343" i="6" s="1"/>
  <c r="BP343" i="6"/>
  <c r="BO343" i="6"/>
  <c r="BM343" i="6"/>
  <c r="BL343" i="6"/>
  <c r="BK343" i="6"/>
  <c r="BJ343" i="6"/>
  <c r="BN343" i="6" s="1"/>
  <c r="BI343" i="6"/>
  <c r="BH343" i="6"/>
  <c r="BF343" i="6"/>
  <c r="BG343" i="6" s="1"/>
  <c r="BD343" i="6"/>
  <c r="BC343" i="6"/>
  <c r="BB343" i="6"/>
  <c r="BE343" i="6" s="1"/>
  <c r="AZ343" i="6"/>
  <c r="BA343" i="6" s="1"/>
  <c r="AY343" i="6"/>
  <c r="AW343" i="6"/>
  <c r="AV343" i="6"/>
  <c r="AX343" i="6" s="1"/>
  <c r="AT343" i="6"/>
  <c r="DS343" i="6" s="1"/>
  <c r="AS343" i="6"/>
  <c r="AU343" i="6" s="1"/>
  <c r="AR343" i="6"/>
  <c r="AQ343" i="6"/>
  <c r="AP343" i="6"/>
  <c r="AN343" i="6"/>
  <c r="AM343" i="6"/>
  <c r="AO343" i="6" s="1"/>
  <c r="AL343" i="6"/>
  <c r="AK343" i="6"/>
  <c r="AI343" i="6"/>
  <c r="AJ343" i="6" s="1"/>
  <c r="AG343" i="6"/>
  <c r="AE343" i="6"/>
  <c r="AD343" i="6"/>
  <c r="AC343" i="6"/>
  <c r="AF343" i="6" s="1"/>
  <c r="AB343" i="6"/>
  <c r="AA343" i="6"/>
  <c r="Z343" i="6"/>
  <c r="Y343" i="6"/>
  <c r="X343" i="6"/>
  <c r="W343" i="6"/>
  <c r="V343" i="6"/>
  <c r="DT343" i="6" s="1"/>
  <c r="T343" i="6"/>
  <c r="S343" i="6"/>
  <c r="R343" i="6"/>
  <c r="P343" i="6"/>
  <c r="O343" i="6"/>
  <c r="Q343" i="6" s="1"/>
  <c r="N343" i="6"/>
  <c r="M343" i="6"/>
  <c r="J343" i="6"/>
  <c r="H343" i="6"/>
  <c r="G343" i="6"/>
  <c r="F343" i="6"/>
  <c r="E343" i="6"/>
  <c r="I343" i="6" s="1"/>
  <c r="D343" i="6"/>
  <c r="C343" i="6"/>
  <c r="B343" i="6"/>
  <c r="DW342" i="6"/>
  <c r="DP342" i="6"/>
  <c r="DM342" i="6"/>
  <c r="DL342" i="6"/>
  <c r="DK342" i="6"/>
  <c r="DQ342" i="6" s="1"/>
  <c r="DJ342" i="6"/>
  <c r="DH342" i="6"/>
  <c r="DI342" i="6" s="1"/>
  <c r="DG342" i="6"/>
  <c r="DF342" i="6"/>
  <c r="DD342" i="6"/>
  <c r="DE342" i="6" s="1"/>
  <c r="DB342" i="6"/>
  <c r="DC342" i="6" s="1"/>
  <c r="DA342" i="6"/>
  <c r="CY342" i="6"/>
  <c r="CZ342" i="6" s="1"/>
  <c r="CX342" i="6"/>
  <c r="CW342" i="6"/>
  <c r="CV342" i="6"/>
  <c r="CT342" i="6"/>
  <c r="CU342" i="6" s="1"/>
  <c r="CS342" i="6"/>
  <c r="CR342" i="6"/>
  <c r="CQ342" i="6"/>
  <c r="CP342" i="6"/>
  <c r="CN342" i="6"/>
  <c r="CM342" i="6"/>
  <c r="CL342" i="6"/>
  <c r="CK342" i="6"/>
  <c r="CJ342" i="6"/>
  <c r="CI342" i="6"/>
  <c r="CG342" i="6"/>
  <c r="CH342" i="6" s="1"/>
  <c r="CF342" i="6"/>
  <c r="CE342" i="6"/>
  <c r="CD342" i="6"/>
  <c r="CB342" i="6"/>
  <c r="CC342" i="6" s="1"/>
  <c r="BZ342" i="6"/>
  <c r="BY342" i="6"/>
  <c r="BX342" i="6"/>
  <c r="BW342" i="6"/>
  <c r="CA342" i="6" s="1"/>
  <c r="BV342" i="6"/>
  <c r="BU342" i="6"/>
  <c r="BS342" i="6"/>
  <c r="BR342" i="6"/>
  <c r="BQ342" i="6"/>
  <c r="BP342" i="6"/>
  <c r="BO342" i="6"/>
  <c r="BN342" i="6"/>
  <c r="BM342" i="6"/>
  <c r="BL342" i="6"/>
  <c r="BK342" i="6"/>
  <c r="BJ342" i="6"/>
  <c r="BI342" i="6"/>
  <c r="BH342" i="6"/>
  <c r="BF342" i="6"/>
  <c r="BG342" i="6" s="1"/>
  <c r="BE342" i="6"/>
  <c r="BD342" i="6"/>
  <c r="BC342" i="6"/>
  <c r="BB342" i="6"/>
  <c r="AZ342" i="6"/>
  <c r="AY342" i="6"/>
  <c r="BA342" i="6" s="1"/>
  <c r="AW342" i="6"/>
  <c r="AV342" i="6"/>
  <c r="AX342" i="6" s="1"/>
  <c r="AT342" i="6"/>
  <c r="AU342" i="6" s="1"/>
  <c r="AS342" i="6"/>
  <c r="AR342" i="6"/>
  <c r="AQ342" i="6"/>
  <c r="AP342" i="6"/>
  <c r="AN342" i="6"/>
  <c r="DT342" i="6" s="1"/>
  <c r="AM342" i="6"/>
  <c r="AL342" i="6"/>
  <c r="AK342" i="6"/>
  <c r="AI342" i="6"/>
  <c r="AJ342" i="6" s="1"/>
  <c r="AG342" i="6"/>
  <c r="AE342" i="6"/>
  <c r="AD342" i="6"/>
  <c r="AC342" i="6"/>
  <c r="AF342" i="6" s="1"/>
  <c r="AA342" i="6"/>
  <c r="Z342" i="6"/>
  <c r="AB342" i="6" s="1"/>
  <c r="Y342" i="6"/>
  <c r="W342" i="6"/>
  <c r="V342" i="6"/>
  <c r="X342" i="6" s="1"/>
  <c r="T342" i="6"/>
  <c r="S342" i="6"/>
  <c r="R342" i="6"/>
  <c r="P342" i="6"/>
  <c r="O342" i="6"/>
  <c r="N342" i="6"/>
  <c r="M342" i="6"/>
  <c r="J342" i="6"/>
  <c r="H342" i="6"/>
  <c r="G342" i="6"/>
  <c r="F342" i="6"/>
  <c r="E342" i="6"/>
  <c r="I342" i="6" s="1"/>
  <c r="D342" i="6"/>
  <c r="C342" i="6"/>
  <c r="B342" i="6"/>
  <c r="DW341" i="6"/>
  <c r="DM341" i="6"/>
  <c r="DL341" i="6"/>
  <c r="DK341" i="6"/>
  <c r="DJ341" i="6"/>
  <c r="DN341" i="6" s="1"/>
  <c r="DH341" i="6"/>
  <c r="DI341" i="6" s="1"/>
  <c r="DG341" i="6"/>
  <c r="DF341" i="6"/>
  <c r="DD341" i="6"/>
  <c r="DE341" i="6" s="1"/>
  <c r="DC341" i="6"/>
  <c r="DB341" i="6"/>
  <c r="DA341" i="6"/>
  <c r="CY341" i="6"/>
  <c r="CX341" i="6"/>
  <c r="CV341" i="6"/>
  <c r="CW341" i="6" s="1"/>
  <c r="CU341" i="6"/>
  <c r="CT341" i="6"/>
  <c r="CR341" i="6"/>
  <c r="CQ341" i="6"/>
  <c r="CP341" i="6"/>
  <c r="CS341" i="6" s="1"/>
  <c r="CN341" i="6"/>
  <c r="CO341" i="6" s="1"/>
  <c r="CM341" i="6"/>
  <c r="CL341" i="6"/>
  <c r="CK341" i="6"/>
  <c r="CJ341" i="6"/>
  <c r="CI341" i="6"/>
  <c r="CG341" i="6"/>
  <c r="CH341" i="6" s="1"/>
  <c r="CF341" i="6"/>
  <c r="CE341" i="6"/>
  <c r="CD341" i="6"/>
  <c r="CB341" i="6"/>
  <c r="CC341" i="6" s="1"/>
  <c r="BZ341" i="6"/>
  <c r="BY341" i="6"/>
  <c r="BX341" i="6"/>
  <c r="DS341" i="6" s="1"/>
  <c r="BW341" i="6"/>
  <c r="CA341" i="6" s="1"/>
  <c r="BV341" i="6"/>
  <c r="BU341" i="6"/>
  <c r="BR341" i="6"/>
  <c r="BQ341" i="6"/>
  <c r="BS341" i="6" s="1"/>
  <c r="BO341" i="6"/>
  <c r="BP341" i="6" s="1"/>
  <c r="BM341" i="6"/>
  <c r="BL341" i="6"/>
  <c r="BK341" i="6"/>
  <c r="BJ341" i="6"/>
  <c r="BN341" i="6" s="1"/>
  <c r="BI341" i="6"/>
  <c r="BH341" i="6"/>
  <c r="BF341" i="6"/>
  <c r="BG341" i="6" s="1"/>
  <c r="BE341" i="6"/>
  <c r="BD341" i="6"/>
  <c r="BC341" i="6"/>
  <c r="BB341" i="6"/>
  <c r="AZ341" i="6"/>
  <c r="AY341" i="6"/>
  <c r="BA341" i="6" s="1"/>
  <c r="AW341" i="6"/>
  <c r="AV341" i="6"/>
  <c r="AT341" i="6"/>
  <c r="AS341" i="6"/>
  <c r="AU341" i="6" s="1"/>
  <c r="AR341" i="6"/>
  <c r="AQ341" i="6"/>
  <c r="AP341" i="6"/>
  <c r="AN341" i="6"/>
  <c r="AM341" i="6"/>
  <c r="AL341" i="6"/>
  <c r="AK341" i="6"/>
  <c r="AI341" i="6"/>
  <c r="AJ341" i="6" s="1"/>
  <c r="AG341" i="6"/>
  <c r="AE341" i="6"/>
  <c r="AF341" i="6" s="1"/>
  <c r="AD341" i="6"/>
  <c r="AC341" i="6"/>
  <c r="AA341" i="6"/>
  <c r="Z341" i="6"/>
  <c r="AB341" i="6" s="1"/>
  <c r="Y341" i="6"/>
  <c r="W341" i="6"/>
  <c r="V341" i="6"/>
  <c r="T341" i="6"/>
  <c r="S341" i="6"/>
  <c r="R341" i="6"/>
  <c r="P341" i="6"/>
  <c r="O341" i="6"/>
  <c r="N341" i="6"/>
  <c r="M341" i="6"/>
  <c r="J341" i="6"/>
  <c r="H341" i="6"/>
  <c r="G341" i="6"/>
  <c r="F341" i="6"/>
  <c r="DV341" i="6" s="1"/>
  <c r="E341" i="6"/>
  <c r="DP341" i="6" s="1"/>
  <c r="D341" i="6"/>
  <c r="C341" i="6"/>
  <c r="B341" i="6"/>
  <c r="DW340" i="6"/>
  <c r="DM340" i="6"/>
  <c r="DL340" i="6"/>
  <c r="DK340" i="6"/>
  <c r="DJ340" i="6"/>
  <c r="DN340" i="6" s="1"/>
  <c r="DH340" i="6"/>
  <c r="DI340" i="6" s="1"/>
  <c r="DG340" i="6"/>
  <c r="DF340" i="6"/>
  <c r="DD340" i="6"/>
  <c r="DE340" i="6" s="1"/>
  <c r="DB340" i="6"/>
  <c r="DC340" i="6" s="1"/>
  <c r="DA340" i="6"/>
  <c r="CY340" i="6"/>
  <c r="CX340" i="6"/>
  <c r="CW340" i="6"/>
  <c r="CV340" i="6"/>
  <c r="CT340" i="6"/>
  <c r="CU340" i="6" s="1"/>
  <c r="CR340" i="6"/>
  <c r="CQ340" i="6"/>
  <c r="CP340" i="6"/>
  <c r="CS340" i="6" s="1"/>
  <c r="CN340" i="6"/>
  <c r="CM340" i="6"/>
  <c r="CL340" i="6"/>
  <c r="CO340" i="6" s="1"/>
  <c r="CK340" i="6"/>
  <c r="CJ340" i="6"/>
  <c r="CI340" i="6"/>
  <c r="CG340" i="6"/>
  <c r="CH340" i="6" s="1"/>
  <c r="CF340" i="6"/>
  <c r="CE340" i="6"/>
  <c r="CD340" i="6"/>
  <c r="CB340" i="6"/>
  <c r="CC340" i="6" s="1"/>
  <c r="BZ340" i="6"/>
  <c r="BY340" i="6"/>
  <c r="CA340" i="6" s="1"/>
  <c r="BX340" i="6"/>
  <c r="BW340" i="6"/>
  <c r="BV340" i="6"/>
  <c r="BU340" i="6"/>
  <c r="BR340" i="6"/>
  <c r="BQ340" i="6"/>
  <c r="BS340" i="6" s="1"/>
  <c r="BP340" i="6"/>
  <c r="BO340" i="6"/>
  <c r="BM340" i="6"/>
  <c r="BL340" i="6"/>
  <c r="BK340" i="6"/>
  <c r="BJ340" i="6"/>
  <c r="BN340" i="6" s="1"/>
  <c r="BI340" i="6"/>
  <c r="BH340" i="6"/>
  <c r="BF340" i="6"/>
  <c r="BG340" i="6" s="1"/>
  <c r="BD340" i="6"/>
  <c r="BC340" i="6"/>
  <c r="BB340" i="6"/>
  <c r="BE340" i="6" s="1"/>
  <c r="BA340" i="6"/>
  <c r="AZ340" i="6"/>
  <c r="AY340" i="6"/>
  <c r="AW340" i="6"/>
  <c r="AV340" i="6"/>
  <c r="AX340" i="6" s="1"/>
  <c r="AT340" i="6"/>
  <c r="AS340" i="6"/>
  <c r="AU340" i="6" s="1"/>
  <c r="AR340" i="6"/>
  <c r="AQ340" i="6"/>
  <c r="AP340" i="6"/>
  <c r="AN340" i="6"/>
  <c r="AM340" i="6"/>
  <c r="AO340" i="6" s="1"/>
  <c r="AL340" i="6"/>
  <c r="AK340" i="6"/>
  <c r="AI340" i="6"/>
  <c r="AJ340" i="6" s="1"/>
  <c r="AG340" i="6"/>
  <c r="AE340" i="6"/>
  <c r="AD340" i="6"/>
  <c r="AC340" i="6"/>
  <c r="AA340" i="6"/>
  <c r="Z340" i="6"/>
  <c r="AB340" i="6" s="1"/>
  <c r="Y340" i="6"/>
  <c r="W340" i="6"/>
  <c r="V340" i="6"/>
  <c r="T340" i="6"/>
  <c r="S340" i="6"/>
  <c r="R340" i="6"/>
  <c r="P340" i="6"/>
  <c r="O340" i="6"/>
  <c r="Q340" i="6" s="1"/>
  <c r="N340" i="6"/>
  <c r="M340" i="6"/>
  <c r="J340" i="6"/>
  <c r="H340" i="6"/>
  <c r="G340" i="6"/>
  <c r="F340" i="6"/>
  <c r="DV340" i="6" s="1"/>
  <c r="E340" i="6"/>
  <c r="DP340" i="6" s="1"/>
  <c r="D340" i="6"/>
  <c r="C340" i="6"/>
  <c r="B340" i="6"/>
  <c r="DW339" i="6"/>
  <c r="DT339" i="6"/>
  <c r="DM339" i="6"/>
  <c r="DL339" i="6"/>
  <c r="DK339" i="6"/>
  <c r="DJ339" i="6"/>
  <c r="DN339" i="6" s="1"/>
  <c r="DI339" i="6"/>
  <c r="DH339" i="6"/>
  <c r="DG339" i="6"/>
  <c r="DF339" i="6"/>
  <c r="DD339" i="6"/>
  <c r="DE339" i="6" s="1"/>
  <c r="DB339" i="6"/>
  <c r="DC339" i="6" s="1"/>
  <c r="DA339" i="6"/>
  <c r="CY339" i="6"/>
  <c r="CX339" i="6"/>
  <c r="CV339" i="6"/>
  <c r="CT339" i="6"/>
  <c r="CU339" i="6" s="1"/>
  <c r="CS339" i="6"/>
  <c r="CR339" i="6"/>
  <c r="CQ339" i="6"/>
  <c r="CP339" i="6"/>
  <c r="CN339" i="6"/>
  <c r="CM339" i="6"/>
  <c r="CL339" i="6"/>
  <c r="CO339" i="6" s="1"/>
  <c r="CK339" i="6"/>
  <c r="CJ339" i="6"/>
  <c r="CI339" i="6"/>
  <c r="CG339" i="6"/>
  <c r="CH339" i="6" s="1"/>
  <c r="CF339" i="6"/>
  <c r="CE339" i="6"/>
  <c r="CD339" i="6"/>
  <c r="CB339" i="6"/>
  <c r="CC339" i="6" s="1"/>
  <c r="BZ339" i="6"/>
  <c r="BY339" i="6"/>
  <c r="BX339" i="6"/>
  <c r="DS339" i="6" s="1"/>
  <c r="BW339" i="6"/>
  <c r="CA339" i="6" s="1"/>
  <c r="BV339" i="6"/>
  <c r="BU339" i="6"/>
  <c r="BS339" i="6"/>
  <c r="BR339" i="6"/>
  <c r="BQ339" i="6"/>
  <c r="BO339" i="6"/>
  <c r="BP339" i="6" s="1"/>
  <c r="BN339" i="6"/>
  <c r="BM339" i="6"/>
  <c r="BL339" i="6"/>
  <c r="BK339" i="6"/>
  <c r="BJ339" i="6"/>
  <c r="BI339" i="6"/>
  <c r="BH339" i="6"/>
  <c r="BF339" i="6"/>
  <c r="BG339" i="6" s="1"/>
  <c r="BE339" i="6"/>
  <c r="BD339" i="6"/>
  <c r="BC339" i="6"/>
  <c r="BB339" i="6"/>
  <c r="AZ339" i="6"/>
  <c r="AY339" i="6"/>
  <c r="BA339" i="6" s="1"/>
  <c r="AW339" i="6"/>
  <c r="DU339" i="6" s="1"/>
  <c r="AV339" i="6"/>
  <c r="AX339" i="6" s="1"/>
  <c r="AT339" i="6"/>
  <c r="AU339" i="6" s="1"/>
  <c r="AS339" i="6"/>
  <c r="AR339" i="6"/>
  <c r="AQ339" i="6"/>
  <c r="AP339" i="6"/>
  <c r="AN339" i="6"/>
  <c r="AM339" i="6"/>
  <c r="AL339" i="6"/>
  <c r="AK339" i="6"/>
  <c r="AI339" i="6"/>
  <c r="AJ339" i="6" s="1"/>
  <c r="AG339" i="6"/>
  <c r="AE339" i="6"/>
  <c r="AD339" i="6"/>
  <c r="AC339" i="6"/>
  <c r="AA339" i="6"/>
  <c r="Z339" i="6"/>
  <c r="AB339" i="6" s="1"/>
  <c r="Y339" i="6"/>
  <c r="W339" i="6"/>
  <c r="X339" i="6" s="1"/>
  <c r="V339" i="6"/>
  <c r="T339" i="6"/>
  <c r="S339" i="6"/>
  <c r="R339" i="6"/>
  <c r="P339" i="6"/>
  <c r="O339" i="6"/>
  <c r="Q339" i="6" s="1"/>
  <c r="N339" i="6"/>
  <c r="M339" i="6"/>
  <c r="J339" i="6"/>
  <c r="H339" i="6"/>
  <c r="G339" i="6"/>
  <c r="F339" i="6"/>
  <c r="E339" i="6"/>
  <c r="I339" i="6" s="1"/>
  <c r="D339" i="6"/>
  <c r="C339" i="6"/>
  <c r="B339" i="6"/>
  <c r="DW338" i="6"/>
  <c r="DP338" i="6"/>
  <c r="DM338" i="6"/>
  <c r="DL338" i="6"/>
  <c r="DK338" i="6"/>
  <c r="DN338" i="6" s="1"/>
  <c r="DJ338" i="6"/>
  <c r="DH338" i="6"/>
  <c r="DI338" i="6" s="1"/>
  <c r="DG338" i="6"/>
  <c r="DF338" i="6"/>
  <c r="DD338" i="6"/>
  <c r="DE338" i="6" s="1"/>
  <c r="DC338" i="6"/>
  <c r="DB338" i="6"/>
  <c r="DA338" i="6"/>
  <c r="CY338" i="6"/>
  <c r="CZ338" i="6" s="1"/>
  <c r="CX338" i="6"/>
  <c r="CV338" i="6"/>
  <c r="CW338" i="6" s="1"/>
  <c r="CU338" i="6"/>
  <c r="CT338" i="6"/>
  <c r="CR338" i="6"/>
  <c r="CQ338" i="6"/>
  <c r="CP338" i="6"/>
  <c r="CS338" i="6" s="1"/>
  <c r="CN338" i="6"/>
  <c r="CM338" i="6"/>
  <c r="CL338" i="6"/>
  <c r="CO338" i="6" s="1"/>
  <c r="CK338" i="6"/>
  <c r="CJ338" i="6"/>
  <c r="CI338" i="6"/>
  <c r="CG338" i="6"/>
  <c r="CH338" i="6" s="1"/>
  <c r="CF338" i="6"/>
  <c r="CE338" i="6"/>
  <c r="CD338" i="6"/>
  <c r="CB338" i="6"/>
  <c r="CC338" i="6" s="1"/>
  <c r="BZ338" i="6"/>
  <c r="BY338" i="6"/>
  <c r="BX338" i="6"/>
  <c r="DS338" i="6" s="1"/>
  <c r="BW338" i="6"/>
  <c r="CA338" i="6" s="1"/>
  <c r="BV338" i="6"/>
  <c r="BU338" i="6"/>
  <c r="BR338" i="6"/>
  <c r="BQ338" i="6"/>
  <c r="BO338" i="6"/>
  <c r="BP338" i="6" s="1"/>
  <c r="BN338" i="6"/>
  <c r="BM338" i="6"/>
  <c r="BL338" i="6"/>
  <c r="BK338" i="6"/>
  <c r="BJ338" i="6"/>
  <c r="BI338" i="6"/>
  <c r="BH338" i="6"/>
  <c r="BF338" i="6"/>
  <c r="BG338" i="6" s="1"/>
  <c r="BD338" i="6"/>
  <c r="BC338" i="6"/>
  <c r="BB338" i="6"/>
  <c r="BE338" i="6" s="1"/>
  <c r="AZ338" i="6"/>
  <c r="AY338" i="6"/>
  <c r="AW338" i="6"/>
  <c r="AX338" i="6" s="1"/>
  <c r="AV338" i="6"/>
  <c r="AT338" i="6"/>
  <c r="AS338" i="6"/>
  <c r="AU338" i="6" s="1"/>
  <c r="AR338" i="6"/>
  <c r="AQ338" i="6"/>
  <c r="AP338" i="6"/>
  <c r="AN338" i="6"/>
  <c r="AM338" i="6"/>
  <c r="AO338" i="6" s="1"/>
  <c r="AL338" i="6"/>
  <c r="AK338" i="6"/>
  <c r="AI338" i="6"/>
  <c r="AJ338" i="6" s="1"/>
  <c r="AG338" i="6"/>
  <c r="AE338" i="6"/>
  <c r="AD338" i="6"/>
  <c r="AC338" i="6"/>
  <c r="AF338" i="6" s="1"/>
  <c r="AA338" i="6"/>
  <c r="Z338" i="6"/>
  <c r="Y338" i="6"/>
  <c r="X338" i="6"/>
  <c r="W338" i="6"/>
  <c r="V338" i="6"/>
  <c r="T338" i="6"/>
  <c r="S338" i="6"/>
  <c r="R338" i="6"/>
  <c r="P338" i="6"/>
  <c r="O338" i="6"/>
  <c r="Q338" i="6" s="1"/>
  <c r="N338" i="6"/>
  <c r="M338" i="6"/>
  <c r="J338" i="6"/>
  <c r="H338" i="6"/>
  <c r="G338" i="6"/>
  <c r="F338" i="6"/>
  <c r="E338" i="6"/>
  <c r="D338" i="6"/>
  <c r="C338" i="6"/>
  <c r="B338" i="6"/>
  <c r="DW337" i="6"/>
  <c r="DP337" i="6"/>
  <c r="DM337" i="6"/>
  <c r="DL337" i="6"/>
  <c r="DK337" i="6"/>
  <c r="DJ337" i="6"/>
  <c r="DN337" i="6" s="1"/>
  <c r="DI337" i="6"/>
  <c r="DH337" i="6"/>
  <c r="DG337" i="6"/>
  <c r="DF337" i="6"/>
  <c r="DD337" i="6"/>
  <c r="DE337" i="6" s="1"/>
  <c r="DB337" i="6"/>
  <c r="DC337" i="6" s="1"/>
  <c r="DA337" i="6"/>
  <c r="CY337" i="6"/>
  <c r="CZ337" i="6" s="1"/>
  <c r="CX337" i="6"/>
  <c r="CV337" i="6"/>
  <c r="CW337" i="6" s="1"/>
  <c r="CT337" i="6"/>
  <c r="CU337" i="6" s="1"/>
  <c r="CR337" i="6"/>
  <c r="CQ337" i="6"/>
  <c r="CP337" i="6"/>
  <c r="CN337" i="6"/>
  <c r="CM337" i="6"/>
  <c r="CL337" i="6"/>
  <c r="CK337" i="6"/>
  <c r="CJ337" i="6"/>
  <c r="CI337" i="6"/>
  <c r="CG337" i="6"/>
  <c r="CH337" i="6" s="1"/>
  <c r="CF337" i="6"/>
  <c r="CE337" i="6"/>
  <c r="CD337" i="6"/>
  <c r="CB337" i="6"/>
  <c r="CC337" i="6" s="1"/>
  <c r="BZ337" i="6"/>
  <c r="BY337" i="6"/>
  <c r="BX337" i="6"/>
  <c r="BW337" i="6"/>
  <c r="CA337" i="6" s="1"/>
  <c r="BU337" i="6"/>
  <c r="BV337" i="6" s="1"/>
  <c r="BR337" i="6"/>
  <c r="BQ337" i="6"/>
  <c r="BS337" i="6" s="1"/>
  <c r="BO337" i="6"/>
  <c r="BP337" i="6" s="1"/>
  <c r="BM337" i="6"/>
  <c r="BL337" i="6"/>
  <c r="BK337" i="6"/>
  <c r="BJ337" i="6"/>
  <c r="BN337" i="6" s="1"/>
  <c r="BI337" i="6"/>
  <c r="BH337" i="6"/>
  <c r="BF337" i="6"/>
  <c r="BG337" i="6" s="1"/>
  <c r="BD337" i="6"/>
  <c r="BC337" i="6"/>
  <c r="BB337" i="6"/>
  <c r="BE337" i="6" s="1"/>
  <c r="AZ337" i="6"/>
  <c r="AY337" i="6"/>
  <c r="BA337" i="6" s="1"/>
  <c r="AW337" i="6"/>
  <c r="AX337" i="6" s="1"/>
  <c r="AV337" i="6"/>
  <c r="AU337" i="6"/>
  <c r="AT337" i="6"/>
  <c r="DS337" i="6" s="1"/>
  <c r="AS337" i="6"/>
  <c r="AR337" i="6"/>
  <c r="AQ337" i="6"/>
  <c r="AP337" i="6"/>
  <c r="AN337" i="6"/>
  <c r="AM337" i="6"/>
  <c r="AL337" i="6"/>
  <c r="AK337" i="6"/>
  <c r="AI337" i="6"/>
  <c r="AJ337" i="6" s="1"/>
  <c r="AG337" i="6"/>
  <c r="AE337" i="6"/>
  <c r="AD337" i="6"/>
  <c r="AC337" i="6"/>
  <c r="AF337" i="6" s="1"/>
  <c r="AA337" i="6"/>
  <c r="Z337" i="6"/>
  <c r="AB337" i="6" s="1"/>
  <c r="Y337" i="6"/>
  <c r="W337" i="6"/>
  <c r="V337" i="6"/>
  <c r="T337" i="6"/>
  <c r="R337" i="6"/>
  <c r="S337" i="6" s="1"/>
  <c r="P337" i="6"/>
  <c r="DQ337" i="6" s="1"/>
  <c r="O337" i="6"/>
  <c r="N337" i="6"/>
  <c r="M337" i="6"/>
  <c r="J337" i="6"/>
  <c r="I337" i="6"/>
  <c r="H337" i="6"/>
  <c r="G337" i="6"/>
  <c r="F337" i="6"/>
  <c r="E337" i="6"/>
  <c r="D337" i="6"/>
  <c r="C337" i="6"/>
  <c r="B337" i="6"/>
  <c r="DW336" i="6"/>
  <c r="DP336" i="6"/>
  <c r="DN336" i="6"/>
  <c r="DM336" i="6"/>
  <c r="DL336" i="6"/>
  <c r="DK336" i="6"/>
  <c r="DJ336" i="6"/>
  <c r="DI336" i="6"/>
  <c r="DH336" i="6"/>
  <c r="DF336" i="6"/>
  <c r="DG336" i="6" s="1"/>
  <c r="DD336" i="6"/>
  <c r="DE336" i="6" s="1"/>
  <c r="DB336" i="6"/>
  <c r="DC336" i="6" s="1"/>
  <c r="DA336" i="6"/>
  <c r="CY336" i="6"/>
  <c r="CZ336" i="6" s="1"/>
  <c r="CX336" i="6"/>
  <c r="CV336" i="6"/>
  <c r="CW336" i="6" s="1"/>
  <c r="CT336" i="6"/>
  <c r="CU336" i="6" s="1"/>
  <c r="CR336" i="6"/>
  <c r="CS336" i="6" s="1"/>
  <c r="CQ336" i="6"/>
  <c r="CP336" i="6"/>
  <c r="CN336" i="6"/>
  <c r="CM336" i="6"/>
  <c r="CL336" i="6"/>
  <c r="CK336" i="6"/>
  <c r="CJ336" i="6"/>
  <c r="CI336" i="6"/>
  <c r="CG336" i="6"/>
  <c r="CH336" i="6" s="1"/>
  <c r="CF336" i="6"/>
  <c r="CE336" i="6"/>
  <c r="CD336" i="6"/>
  <c r="CB336" i="6"/>
  <c r="CC336" i="6" s="1"/>
  <c r="BZ336" i="6"/>
  <c r="BY336" i="6"/>
  <c r="BX336" i="6"/>
  <c r="BW336" i="6"/>
  <c r="CA336" i="6" s="1"/>
  <c r="BV336" i="6"/>
  <c r="BU336" i="6"/>
  <c r="BR336" i="6"/>
  <c r="BS336" i="6" s="1"/>
  <c r="BQ336" i="6"/>
  <c r="BO336" i="6"/>
  <c r="BP336" i="6" s="1"/>
  <c r="BM336" i="6"/>
  <c r="BL336" i="6"/>
  <c r="BK336" i="6"/>
  <c r="BN336" i="6" s="1"/>
  <c r="BJ336" i="6"/>
  <c r="BH336" i="6"/>
  <c r="BI336" i="6" s="1"/>
  <c r="BF336" i="6"/>
  <c r="BG336" i="6" s="1"/>
  <c r="BE336" i="6"/>
  <c r="BD336" i="6"/>
  <c r="BC336" i="6"/>
  <c r="BB336" i="6"/>
  <c r="AZ336" i="6"/>
  <c r="AY336" i="6"/>
  <c r="BA336" i="6" s="1"/>
  <c r="AW336" i="6"/>
  <c r="AV336" i="6"/>
  <c r="AX336" i="6" s="1"/>
  <c r="AT336" i="6"/>
  <c r="AS336" i="6"/>
  <c r="AU336" i="6" s="1"/>
  <c r="AR336" i="6"/>
  <c r="AQ336" i="6"/>
  <c r="AP336" i="6"/>
  <c r="AO336" i="6"/>
  <c r="AN336" i="6"/>
  <c r="AM336" i="6"/>
  <c r="AL336" i="6"/>
  <c r="AK336" i="6"/>
  <c r="AI336" i="6"/>
  <c r="AJ336" i="6" s="1"/>
  <c r="AG336" i="6"/>
  <c r="AE336" i="6"/>
  <c r="AD336" i="6"/>
  <c r="AC336" i="6"/>
  <c r="AF336" i="6" s="1"/>
  <c r="AA336" i="6"/>
  <c r="Z336" i="6"/>
  <c r="Y336" i="6"/>
  <c r="X336" i="6"/>
  <c r="W336" i="6"/>
  <c r="V336" i="6"/>
  <c r="T336" i="6"/>
  <c r="R336" i="6"/>
  <c r="S336" i="6" s="1"/>
  <c r="Q336" i="6"/>
  <c r="P336" i="6"/>
  <c r="O336" i="6"/>
  <c r="N336" i="6"/>
  <c r="M336" i="6"/>
  <c r="J336" i="6"/>
  <c r="H336" i="6"/>
  <c r="G336" i="6"/>
  <c r="I336" i="6" s="1"/>
  <c r="F336" i="6"/>
  <c r="E336" i="6"/>
  <c r="D336" i="6"/>
  <c r="C336" i="6"/>
  <c r="B336" i="6"/>
  <c r="DW335" i="6"/>
  <c r="DP335" i="6"/>
  <c r="DM335" i="6"/>
  <c r="DL335" i="6"/>
  <c r="DK335" i="6"/>
  <c r="DJ335" i="6"/>
  <c r="DI335" i="6"/>
  <c r="DH335" i="6"/>
  <c r="DF335" i="6"/>
  <c r="DG335" i="6" s="1"/>
  <c r="DE335" i="6"/>
  <c r="DD335" i="6"/>
  <c r="DC335" i="6"/>
  <c r="DB335" i="6"/>
  <c r="DA335" i="6"/>
  <c r="CY335" i="6"/>
  <c r="CZ335" i="6" s="1"/>
  <c r="CX335" i="6"/>
  <c r="CW335" i="6"/>
  <c r="CV335" i="6"/>
  <c r="CU335" i="6"/>
  <c r="CT335" i="6"/>
  <c r="CR335" i="6"/>
  <c r="CQ335" i="6"/>
  <c r="CP335" i="6"/>
  <c r="CN335" i="6"/>
  <c r="CM335" i="6"/>
  <c r="CO335" i="6" s="1"/>
  <c r="CL335" i="6"/>
  <c r="CK335" i="6"/>
  <c r="CJ335" i="6"/>
  <c r="CI335" i="6"/>
  <c r="CH335" i="6"/>
  <c r="CG335" i="6"/>
  <c r="CF335" i="6"/>
  <c r="CE335" i="6"/>
  <c r="CD335" i="6"/>
  <c r="CB335" i="6"/>
  <c r="CC335" i="6" s="1"/>
  <c r="BZ335" i="6"/>
  <c r="BY335" i="6"/>
  <c r="BX335" i="6"/>
  <c r="BW335" i="6"/>
  <c r="CA335" i="6" s="1"/>
  <c r="BU335" i="6"/>
  <c r="BV335" i="6" s="1"/>
  <c r="BR335" i="6"/>
  <c r="BQ335" i="6"/>
  <c r="BS335" i="6" s="1"/>
  <c r="BP335" i="6"/>
  <c r="BO335" i="6"/>
  <c r="BM335" i="6"/>
  <c r="BL335" i="6"/>
  <c r="BK335" i="6"/>
  <c r="BN335" i="6" s="1"/>
  <c r="BJ335" i="6"/>
  <c r="BI335" i="6"/>
  <c r="BH335" i="6"/>
  <c r="BF335" i="6"/>
  <c r="BG335" i="6" s="1"/>
  <c r="BD335" i="6"/>
  <c r="BC335" i="6"/>
  <c r="BB335" i="6"/>
  <c r="BE335" i="6" s="1"/>
  <c r="AZ335" i="6"/>
  <c r="AY335" i="6"/>
  <c r="BA335" i="6" s="1"/>
  <c r="AW335" i="6"/>
  <c r="AV335" i="6"/>
  <c r="AX335" i="6" s="1"/>
  <c r="AU335" i="6"/>
  <c r="AT335" i="6"/>
  <c r="AS335" i="6"/>
  <c r="AQ335" i="6"/>
  <c r="AP335" i="6"/>
  <c r="AR335" i="6" s="1"/>
  <c r="AN335" i="6"/>
  <c r="AM335" i="6"/>
  <c r="AK335" i="6"/>
  <c r="AL335" i="6" s="1"/>
  <c r="AI335" i="6"/>
  <c r="AJ335" i="6" s="1"/>
  <c r="AG335" i="6"/>
  <c r="AE335" i="6"/>
  <c r="AD335" i="6"/>
  <c r="AC335" i="6"/>
  <c r="AA335" i="6"/>
  <c r="Z335" i="6"/>
  <c r="Y335" i="6"/>
  <c r="X335" i="6"/>
  <c r="W335" i="6"/>
  <c r="V335" i="6"/>
  <c r="T335" i="6"/>
  <c r="S335" i="6"/>
  <c r="R335" i="6"/>
  <c r="P335" i="6"/>
  <c r="Q335" i="6" s="1"/>
  <c r="O335" i="6"/>
  <c r="N335" i="6"/>
  <c r="M335" i="6"/>
  <c r="J335" i="6"/>
  <c r="H335" i="6"/>
  <c r="G335" i="6"/>
  <c r="F335" i="6"/>
  <c r="DV335" i="6" s="1"/>
  <c r="E335" i="6"/>
  <c r="D335" i="6"/>
  <c r="C335" i="6"/>
  <c r="B335" i="6"/>
  <c r="DW334" i="6"/>
  <c r="DP334" i="6"/>
  <c r="DM334" i="6"/>
  <c r="DL334" i="6"/>
  <c r="DK334" i="6"/>
  <c r="DJ334" i="6"/>
  <c r="DI334" i="6"/>
  <c r="DH334" i="6"/>
  <c r="DG334" i="6"/>
  <c r="DF334" i="6"/>
  <c r="DE334" i="6"/>
  <c r="DD334" i="6"/>
  <c r="DB334" i="6"/>
  <c r="DC334" i="6" s="1"/>
  <c r="DA334" i="6"/>
  <c r="CY334" i="6"/>
  <c r="CZ334" i="6" s="1"/>
  <c r="CX334" i="6"/>
  <c r="CW334" i="6"/>
  <c r="CV334" i="6"/>
  <c r="CU334" i="6"/>
  <c r="CT334" i="6"/>
  <c r="CR334" i="6"/>
  <c r="CQ334" i="6"/>
  <c r="CP334" i="6"/>
  <c r="CN334" i="6"/>
  <c r="CM334" i="6"/>
  <c r="CO334" i="6" s="1"/>
  <c r="CL334" i="6"/>
  <c r="CJ334" i="6"/>
  <c r="CI334" i="6"/>
  <c r="CK334" i="6" s="1"/>
  <c r="CG334" i="6"/>
  <c r="CH334" i="6" s="1"/>
  <c r="CF334" i="6"/>
  <c r="CE334" i="6"/>
  <c r="CD334" i="6"/>
  <c r="CB334" i="6"/>
  <c r="CC334" i="6" s="1"/>
  <c r="BZ334" i="6"/>
  <c r="BY334" i="6"/>
  <c r="BX334" i="6"/>
  <c r="BW334" i="6"/>
  <c r="CA334" i="6" s="1"/>
  <c r="BU334" i="6"/>
  <c r="BV334" i="6" s="1"/>
  <c r="BS334" i="6"/>
  <c r="BR334" i="6"/>
  <c r="BQ334" i="6"/>
  <c r="BP334" i="6"/>
  <c r="BO334" i="6"/>
  <c r="BM334" i="6"/>
  <c r="BL334" i="6"/>
  <c r="BN334" i="6" s="1"/>
  <c r="BK334" i="6"/>
  <c r="BJ334" i="6"/>
  <c r="BI334" i="6"/>
  <c r="BH334" i="6"/>
  <c r="BF334" i="6"/>
  <c r="BG334" i="6" s="1"/>
  <c r="BD334" i="6"/>
  <c r="BC334" i="6"/>
  <c r="BE334" i="6" s="1"/>
  <c r="BB334" i="6"/>
  <c r="AZ334" i="6"/>
  <c r="AY334" i="6"/>
  <c r="BA334" i="6" s="1"/>
  <c r="AW334" i="6"/>
  <c r="AX334" i="6" s="1"/>
  <c r="AV334" i="6"/>
  <c r="AT334" i="6"/>
  <c r="AU334" i="6" s="1"/>
  <c r="AS334" i="6"/>
  <c r="AR334" i="6"/>
  <c r="AQ334" i="6"/>
  <c r="AP334" i="6"/>
  <c r="AN334" i="6"/>
  <c r="AM334" i="6"/>
  <c r="AK334" i="6"/>
  <c r="AL334" i="6" s="1"/>
  <c r="AI334" i="6"/>
  <c r="AJ334" i="6" s="1"/>
  <c r="AG334" i="6"/>
  <c r="AE334" i="6"/>
  <c r="AD334" i="6"/>
  <c r="AC334" i="6"/>
  <c r="AA334" i="6"/>
  <c r="Z334" i="6"/>
  <c r="AB334" i="6" s="1"/>
  <c r="Y334" i="6"/>
  <c r="W334" i="6"/>
  <c r="X334" i="6" s="1"/>
  <c r="V334" i="6"/>
  <c r="T334" i="6"/>
  <c r="R334" i="6"/>
  <c r="S334" i="6" s="1"/>
  <c r="P334" i="6"/>
  <c r="O334" i="6"/>
  <c r="Q334" i="6" s="1"/>
  <c r="N334" i="6"/>
  <c r="M334" i="6"/>
  <c r="J334" i="6"/>
  <c r="H334" i="6"/>
  <c r="G334" i="6"/>
  <c r="F334" i="6"/>
  <c r="DV334" i="6" s="1"/>
  <c r="E334" i="6"/>
  <c r="D334" i="6"/>
  <c r="C334" i="6"/>
  <c r="B334" i="6"/>
  <c r="DW333" i="6"/>
  <c r="DP333" i="6"/>
  <c r="DM333" i="6"/>
  <c r="DL333" i="6"/>
  <c r="DK333" i="6"/>
  <c r="DJ333" i="6"/>
  <c r="DN333" i="6" s="1"/>
  <c r="DI333" i="6"/>
  <c r="DH333" i="6"/>
  <c r="DG333" i="6"/>
  <c r="DF333" i="6"/>
  <c r="DD333" i="6"/>
  <c r="DE333" i="6" s="1"/>
  <c r="DB333" i="6"/>
  <c r="DC333" i="6" s="1"/>
  <c r="DA333" i="6"/>
  <c r="CY333" i="6"/>
  <c r="CZ333" i="6" s="1"/>
  <c r="CX333" i="6"/>
  <c r="CW333" i="6"/>
  <c r="CV333" i="6"/>
  <c r="CU333" i="6"/>
  <c r="CT333" i="6"/>
  <c r="CR333" i="6"/>
  <c r="CQ333" i="6"/>
  <c r="CP333" i="6"/>
  <c r="CS333" i="6" s="1"/>
  <c r="CN333" i="6"/>
  <c r="CO333" i="6" s="1"/>
  <c r="CM333" i="6"/>
  <c r="CL333" i="6"/>
  <c r="CJ333" i="6"/>
  <c r="CI333" i="6"/>
  <c r="CK333" i="6" s="1"/>
  <c r="CH333" i="6"/>
  <c r="CG333" i="6"/>
  <c r="CF333" i="6"/>
  <c r="CE333" i="6"/>
  <c r="CD333" i="6"/>
  <c r="CB333" i="6"/>
  <c r="CC333" i="6" s="1"/>
  <c r="BZ333" i="6"/>
  <c r="BY333" i="6"/>
  <c r="BX333" i="6"/>
  <c r="BW333" i="6"/>
  <c r="CA333" i="6" s="1"/>
  <c r="BU333" i="6"/>
  <c r="BV333" i="6" s="1"/>
  <c r="BR333" i="6"/>
  <c r="BQ333" i="6"/>
  <c r="BS333" i="6" s="1"/>
  <c r="BP333" i="6"/>
  <c r="BO333" i="6"/>
  <c r="BM333" i="6"/>
  <c r="BL333" i="6"/>
  <c r="BK333" i="6"/>
  <c r="BN333" i="6" s="1"/>
  <c r="BJ333" i="6"/>
  <c r="BI333" i="6"/>
  <c r="BH333" i="6"/>
  <c r="BF333" i="6"/>
  <c r="BG333" i="6" s="1"/>
  <c r="BD333" i="6"/>
  <c r="BC333" i="6"/>
  <c r="BB333" i="6"/>
  <c r="BE333" i="6" s="1"/>
  <c r="AZ333" i="6"/>
  <c r="AY333" i="6"/>
  <c r="BA333" i="6" s="1"/>
  <c r="AW333" i="6"/>
  <c r="AV333" i="6"/>
  <c r="AX333" i="6" s="1"/>
  <c r="AT333" i="6"/>
  <c r="AU333" i="6" s="1"/>
  <c r="AS333" i="6"/>
  <c r="AQ333" i="6"/>
  <c r="AP333" i="6"/>
  <c r="AR333" i="6" s="1"/>
  <c r="AN333" i="6"/>
  <c r="AM333" i="6"/>
  <c r="AK333" i="6"/>
  <c r="AL333" i="6" s="1"/>
  <c r="AI333" i="6"/>
  <c r="AJ333" i="6" s="1"/>
  <c r="AG333" i="6"/>
  <c r="AE333" i="6"/>
  <c r="AD333" i="6"/>
  <c r="AC333" i="6"/>
  <c r="AA333" i="6"/>
  <c r="Z333" i="6"/>
  <c r="AB333" i="6" s="1"/>
  <c r="Y333" i="6"/>
  <c r="X333" i="6"/>
  <c r="W333" i="6"/>
  <c r="V333" i="6"/>
  <c r="T333" i="6"/>
  <c r="R333" i="6"/>
  <c r="S333" i="6" s="1"/>
  <c r="P333" i="6"/>
  <c r="O333" i="6"/>
  <c r="Q333" i="6" s="1"/>
  <c r="N333" i="6"/>
  <c r="M333" i="6"/>
  <c r="J333" i="6"/>
  <c r="H333" i="6"/>
  <c r="G333" i="6"/>
  <c r="F333" i="6"/>
  <c r="E333" i="6"/>
  <c r="D333" i="6"/>
  <c r="C333" i="6"/>
  <c r="B333" i="6"/>
  <c r="DW332" i="6"/>
  <c r="DP332" i="6"/>
  <c r="DM332" i="6"/>
  <c r="DL332" i="6"/>
  <c r="DK332" i="6"/>
  <c r="DJ332" i="6"/>
  <c r="DI332" i="6"/>
  <c r="DH332" i="6"/>
  <c r="DF332" i="6"/>
  <c r="DG332" i="6" s="1"/>
  <c r="DD332" i="6"/>
  <c r="DE332" i="6" s="1"/>
  <c r="DB332" i="6"/>
  <c r="DC332" i="6" s="1"/>
  <c r="DA332" i="6"/>
  <c r="CY332" i="6"/>
  <c r="CZ332" i="6" s="1"/>
  <c r="CX332" i="6"/>
  <c r="CW332" i="6"/>
  <c r="CV332" i="6"/>
  <c r="CU332" i="6"/>
  <c r="CT332" i="6"/>
  <c r="CR332" i="6"/>
  <c r="CQ332" i="6"/>
  <c r="CP332" i="6"/>
  <c r="CN332" i="6"/>
  <c r="CM332" i="6"/>
  <c r="CL332" i="6"/>
  <c r="CK332" i="6"/>
  <c r="CJ332" i="6"/>
  <c r="CI332" i="6"/>
  <c r="CH332" i="6"/>
  <c r="CG332" i="6"/>
  <c r="CF332" i="6"/>
  <c r="CE332" i="6"/>
  <c r="CD332" i="6"/>
  <c r="CB332" i="6"/>
  <c r="CC332" i="6" s="1"/>
  <c r="BZ332" i="6"/>
  <c r="BY332" i="6"/>
  <c r="BX332" i="6"/>
  <c r="BW332" i="6"/>
  <c r="CA332" i="6" s="1"/>
  <c r="BU332" i="6"/>
  <c r="BV332" i="6" s="1"/>
  <c r="BR332" i="6"/>
  <c r="BQ332" i="6"/>
  <c r="BS332" i="6" s="1"/>
  <c r="BP332" i="6"/>
  <c r="BO332" i="6"/>
  <c r="BN332" i="6"/>
  <c r="BM332" i="6"/>
  <c r="BL332" i="6"/>
  <c r="BK332" i="6"/>
  <c r="BJ332" i="6"/>
  <c r="BI332" i="6"/>
  <c r="BH332" i="6"/>
  <c r="BF332" i="6"/>
  <c r="BG332" i="6" s="1"/>
  <c r="BD332" i="6"/>
  <c r="BC332" i="6"/>
  <c r="BB332" i="6"/>
  <c r="BE332" i="6" s="1"/>
  <c r="AZ332" i="6"/>
  <c r="AY332" i="6"/>
  <c r="BA332" i="6" s="1"/>
  <c r="AX332" i="6"/>
  <c r="AW332" i="6"/>
  <c r="AV332" i="6"/>
  <c r="AU332" i="6"/>
  <c r="AT332" i="6"/>
  <c r="AS332" i="6"/>
  <c r="AQ332" i="6"/>
  <c r="AR332" i="6" s="1"/>
  <c r="AP332" i="6"/>
  <c r="AO332" i="6"/>
  <c r="AN332" i="6"/>
  <c r="AM332" i="6"/>
  <c r="AK332" i="6"/>
  <c r="AL332" i="6" s="1"/>
  <c r="AI332" i="6"/>
  <c r="AJ332" i="6" s="1"/>
  <c r="AG332" i="6"/>
  <c r="AE332" i="6"/>
  <c r="AD332" i="6"/>
  <c r="AC332" i="6"/>
  <c r="AA332" i="6"/>
  <c r="Z332" i="6"/>
  <c r="AB332" i="6" s="1"/>
  <c r="Y332" i="6"/>
  <c r="W332" i="6"/>
  <c r="X332" i="6" s="1"/>
  <c r="V332" i="6"/>
  <c r="T332" i="6"/>
  <c r="R332" i="6"/>
  <c r="S332" i="6" s="1"/>
  <c r="P332" i="6"/>
  <c r="O332" i="6"/>
  <c r="Q332" i="6" s="1"/>
  <c r="N332" i="6"/>
  <c r="M332" i="6"/>
  <c r="J332" i="6"/>
  <c r="H332" i="6"/>
  <c r="G332" i="6"/>
  <c r="F332" i="6"/>
  <c r="E332" i="6"/>
  <c r="D332" i="6"/>
  <c r="C332" i="6"/>
  <c r="B332" i="6"/>
  <c r="DW331" i="6"/>
  <c r="DP331" i="6"/>
  <c r="DM331" i="6"/>
  <c r="DL331" i="6"/>
  <c r="DK331" i="6"/>
  <c r="DJ331" i="6"/>
  <c r="DI331" i="6"/>
  <c r="DH331" i="6"/>
  <c r="DF331" i="6"/>
  <c r="DG331" i="6" s="1"/>
  <c r="DD331" i="6"/>
  <c r="DE331" i="6" s="1"/>
  <c r="DB331" i="6"/>
  <c r="DC331" i="6" s="1"/>
  <c r="DA331" i="6"/>
  <c r="CY331" i="6"/>
  <c r="CZ331" i="6" s="1"/>
  <c r="CX331" i="6"/>
  <c r="CW331" i="6"/>
  <c r="CV331" i="6"/>
  <c r="CU331" i="6"/>
  <c r="CT331" i="6"/>
  <c r="CR331" i="6"/>
  <c r="CQ331" i="6"/>
  <c r="CP331" i="6"/>
  <c r="CS331" i="6" s="1"/>
  <c r="CO331" i="6"/>
  <c r="CN331" i="6"/>
  <c r="CM331" i="6"/>
  <c r="CL331" i="6"/>
  <c r="CJ331" i="6"/>
  <c r="CI331" i="6"/>
  <c r="CK331" i="6" s="1"/>
  <c r="CG331" i="6"/>
  <c r="CH331" i="6" s="1"/>
  <c r="CF331" i="6"/>
  <c r="CE331" i="6"/>
  <c r="CD331" i="6"/>
  <c r="CB331" i="6"/>
  <c r="CC331" i="6" s="1"/>
  <c r="BZ331" i="6"/>
  <c r="BY331" i="6"/>
  <c r="BX331" i="6"/>
  <c r="BW331" i="6"/>
  <c r="CA331" i="6" s="1"/>
  <c r="BU331" i="6"/>
  <c r="BV331" i="6" s="1"/>
  <c r="BR331" i="6"/>
  <c r="BS331" i="6" s="1"/>
  <c r="BQ331" i="6"/>
  <c r="BP331" i="6"/>
  <c r="BO331" i="6"/>
  <c r="BM331" i="6"/>
  <c r="BL331" i="6"/>
  <c r="BK331" i="6"/>
  <c r="BJ331" i="6"/>
  <c r="BI331" i="6"/>
  <c r="BH331" i="6"/>
  <c r="BF331" i="6"/>
  <c r="BG331" i="6" s="1"/>
  <c r="BD331" i="6"/>
  <c r="BC331" i="6"/>
  <c r="BB331" i="6"/>
  <c r="BE331" i="6" s="1"/>
  <c r="AZ331" i="6"/>
  <c r="AY331" i="6"/>
  <c r="BA331" i="6" s="1"/>
  <c r="AW331" i="6"/>
  <c r="AV331" i="6"/>
  <c r="AX331" i="6" s="1"/>
  <c r="AU331" i="6"/>
  <c r="AT331" i="6"/>
  <c r="AS331" i="6"/>
  <c r="AQ331" i="6"/>
  <c r="AP331" i="6"/>
  <c r="AN331" i="6"/>
  <c r="AO331" i="6" s="1"/>
  <c r="AM331" i="6"/>
  <c r="AK331" i="6"/>
  <c r="AL331" i="6" s="1"/>
  <c r="AI331" i="6"/>
  <c r="AJ331" i="6" s="1"/>
  <c r="AG331" i="6"/>
  <c r="AE331" i="6"/>
  <c r="AD331" i="6"/>
  <c r="AC331" i="6"/>
  <c r="AA331" i="6"/>
  <c r="Z331" i="6"/>
  <c r="AB331" i="6" s="1"/>
  <c r="Y331" i="6"/>
  <c r="W331" i="6"/>
  <c r="X331" i="6" s="1"/>
  <c r="V331" i="6"/>
  <c r="T331" i="6"/>
  <c r="R331" i="6"/>
  <c r="S331" i="6" s="1"/>
  <c r="Q331" i="6"/>
  <c r="P331" i="6"/>
  <c r="O331" i="6"/>
  <c r="N331" i="6"/>
  <c r="M331" i="6"/>
  <c r="J331" i="6"/>
  <c r="H331" i="6"/>
  <c r="G331" i="6"/>
  <c r="F331" i="6"/>
  <c r="E331" i="6"/>
  <c r="D331" i="6"/>
  <c r="C331" i="6"/>
  <c r="B331" i="6"/>
  <c r="DW330" i="6"/>
  <c r="DP330" i="6"/>
  <c r="DM330" i="6"/>
  <c r="DL330" i="6"/>
  <c r="DK330" i="6"/>
  <c r="DJ330" i="6"/>
  <c r="DI330" i="6"/>
  <c r="DH330" i="6"/>
  <c r="DF330" i="6"/>
  <c r="DG330" i="6" s="1"/>
  <c r="DD330" i="6"/>
  <c r="DE330" i="6" s="1"/>
  <c r="DC330" i="6"/>
  <c r="DB330" i="6"/>
  <c r="DA330" i="6"/>
  <c r="CY330" i="6"/>
  <c r="CX330" i="6"/>
  <c r="CZ330" i="6" s="1"/>
  <c r="CW330" i="6"/>
  <c r="CV330" i="6"/>
  <c r="CU330" i="6"/>
  <c r="CT330" i="6"/>
  <c r="CR330" i="6"/>
  <c r="CQ330" i="6"/>
  <c r="CP330" i="6"/>
  <c r="CO330" i="6"/>
  <c r="CN330" i="6"/>
  <c r="CM330" i="6"/>
  <c r="CL330" i="6"/>
  <c r="CJ330" i="6"/>
  <c r="CI330" i="6"/>
  <c r="CK330" i="6" s="1"/>
  <c r="CH330" i="6"/>
  <c r="CG330" i="6"/>
  <c r="CF330" i="6"/>
  <c r="CE330" i="6"/>
  <c r="CD330" i="6"/>
  <c r="CB330" i="6"/>
  <c r="CC330" i="6" s="1"/>
  <c r="BZ330" i="6"/>
  <c r="BY330" i="6"/>
  <c r="BX330" i="6"/>
  <c r="BW330" i="6"/>
  <c r="CA330" i="6" s="1"/>
  <c r="BU330" i="6"/>
  <c r="BV330" i="6" s="1"/>
  <c r="BR330" i="6"/>
  <c r="BQ330" i="6"/>
  <c r="BP330" i="6"/>
  <c r="BO330" i="6"/>
  <c r="BM330" i="6"/>
  <c r="BL330" i="6"/>
  <c r="BK330" i="6"/>
  <c r="BJ330" i="6"/>
  <c r="BN330" i="6" s="1"/>
  <c r="BI330" i="6"/>
  <c r="BH330" i="6"/>
  <c r="BG330" i="6"/>
  <c r="BF330" i="6"/>
  <c r="BD330" i="6"/>
  <c r="BC330" i="6"/>
  <c r="BB330" i="6"/>
  <c r="BE330" i="6" s="1"/>
  <c r="AZ330" i="6"/>
  <c r="AY330" i="6"/>
  <c r="BA330" i="6" s="1"/>
  <c r="AW330" i="6"/>
  <c r="AX330" i="6" s="1"/>
  <c r="AV330" i="6"/>
  <c r="AT330" i="6"/>
  <c r="AS330" i="6"/>
  <c r="AQ330" i="6"/>
  <c r="AR330" i="6" s="1"/>
  <c r="AP330" i="6"/>
  <c r="AN330" i="6"/>
  <c r="AM330" i="6"/>
  <c r="AK330" i="6"/>
  <c r="AL330" i="6" s="1"/>
  <c r="AI330" i="6"/>
  <c r="AJ330" i="6" s="1"/>
  <c r="AG330" i="6"/>
  <c r="AE330" i="6"/>
  <c r="AD330" i="6"/>
  <c r="AC330" i="6"/>
  <c r="AA330" i="6"/>
  <c r="Z330" i="6"/>
  <c r="AB330" i="6" s="1"/>
  <c r="Y330" i="6"/>
  <c r="W330" i="6"/>
  <c r="V330" i="6"/>
  <c r="T330" i="6"/>
  <c r="R330" i="6"/>
  <c r="S330" i="6" s="1"/>
  <c r="P330" i="6"/>
  <c r="O330" i="6"/>
  <c r="Q330" i="6" s="1"/>
  <c r="N330" i="6"/>
  <c r="M330" i="6"/>
  <c r="J330" i="6"/>
  <c r="H330" i="6"/>
  <c r="G330" i="6"/>
  <c r="F330" i="6"/>
  <c r="E330" i="6"/>
  <c r="D330" i="6"/>
  <c r="C330" i="6"/>
  <c r="B330" i="6"/>
  <c r="DW329" i="6"/>
  <c r="DP329" i="6"/>
  <c r="DM329" i="6"/>
  <c r="DL329" i="6"/>
  <c r="DK329" i="6"/>
  <c r="DJ329" i="6"/>
  <c r="DI329" i="6"/>
  <c r="DH329" i="6"/>
  <c r="DF329" i="6"/>
  <c r="DG329" i="6" s="1"/>
  <c r="DD329" i="6"/>
  <c r="DE329" i="6" s="1"/>
  <c r="DC329" i="6"/>
  <c r="DB329" i="6"/>
  <c r="DA329" i="6"/>
  <c r="CY329" i="6"/>
  <c r="CX329" i="6"/>
  <c r="CZ329" i="6" s="1"/>
  <c r="CW329" i="6"/>
  <c r="CV329" i="6"/>
  <c r="CU329" i="6"/>
  <c r="CT329" i="6"/>
  <c r="CR329" i="6"/>
  <c r="CQ329" i="6"/>
  <c r="CP329" i="6"/>
  <c r="CS329" i="6" s="1"/>
  <c r="CN329" i="6"/>
  <c r="CO329" i="6" s="1"/>
  <c r="CM329" i="6"/>
  <c r="CL329" i="6"/>
  <c r="CK329" i="6"/>
  <c r="CJ329" i="6"/>
  <c r="CI329" i="6"/>
  <c r="CG329" i="6"/>
  <c r="CH329" i="6" s="1"/>
  <c r="CF329" i="6"/>
  <c r="CE329" i="6"/>
  <c r="CD329" i="6"/>
  <c r="CB329" i="6"/>
  <c r="CC329" i="6" s="1"/>
  <c r="BZ329" i="6"/>
  <c r="BY329" i="6"/>
  <c r="BX329" i="6"/>
  <c r="BW329" i="6"/>
  <c r="CA329" i="6" s="1"/>
  <c r="BU329" i="6"/>
  <c r="BV329" i="6" s="1"/>
  <c r="BR329" i="6"/>
  <c r="BQ329" i="6"/>
  <c r="BS329" i="6" s="1"/>
  <c r="BO329" i="6"/>
  <c r="BP329" i="6" s="1"/>
  <c r="BM329" i="6"/>
  <c r="BL329" i="6"/>
  <c r="BK329" i="6"/>
  <c r="BN329" i="6" s="1"/>
  <c r="BJ329" i="6"/>
  <c r="BI329" i="6"/>
  <c r="BH329" i="6"/>
  <c r="BG329" i="6"/>
  <c r="BF329" i="6"/>
  <c r="BD329" i="6"/>
  <c r="BC329" i="6"/>
  <c r="BB329" i="6"/>
  <c r="BE329" i="6" s="1"/>
  <c r="AZ329" i="6"/>
  <c r="AY329" i="6"/>
  <c r="BA329" i="6" s="1"/>
  <c r="AW329" i="6"/>
  <c r="AX329" i="6" s="1"/>
  <c r="AV329" i="6"/>
  <c r="AT329" i="6"/>
  <c r="AS329" i="6"/>
  <c r="AU329" i="6" s="1"/>
  <c r="AQ329" i="6"/>
  <c r="AP329" i="6"/>
  <c r="AR329" i="6" s="1"/>
  <c r="AN329" i="6"/>
  <c r="AM329" i="6"/>
  <c r="AK329" i="6"/>
  <c r="AL329" i="6" s="1"/>
  <c r="AI329" i="6"/>
  <c r="AJ329" i="6" s="1"/>
  <c r="AG329" i="6"/>
  <c r="AE329" i="6"/>
  <c r="AD329" i="6"/>
  <c r="AC329" i="6"/>
  <c r="AA329" i="6"/>
  <c r="Z329" i="6"/>
  <c r="Y329" i="6"/>
  <c r="W329" i="6"/>
  <c r="V329" i="6"/>
  <c r="T329" i="6"/>
  <c r="R329" i="6"/>
  <c r="S329" i="6" s="1"/>
  <c r="P329" i="6"/>
  <c r="O329" i="6"/>
  <c r="Q329" i="6" s="1"/>
  <c r="N329" i="6"/>
  <c r="M329" i="6"/>
  <c r="J329" i="6"/>
  <c r="H329" i="6"/>
  <c r="G329" i="6"/>
  <c r="F329" i="6"/>
  <c r="DV329" i="6" s="1"/>
  <c r="E329" i="6"/>
  <c r="D329" i="6"/>
  <c r="C329" i="6"/>
  <c r="B329" i="6"/>
  <c r="DW328" i="6"/>
  <c r="DP328" i="6"/>
  <c r="DM328" i="6"/>
  <c r="DL328" i="6"/>
  <c r="DK328" i="6"/>
  <c r="DJ328" i="6"/>
  <c r="DN328" i="6" s="1"/>
  <c r="DH328" i="6"/>
  <c r="DI328" i="6" s="1"/>
  <c r="DF328" i="6"/>
  <c r="DG328" i="6" s="1"/>
  <c r="DE328" i="6"/>
  <c r="DD328" i="6"/>
  <c r="DC328" i="6"/>
  <c r="DB328" i="6"/>
  <c r="DA328" i="6"/>
  <c r="CY328" i="6"/>
  <c r="CX328" i="6"/>
  <c r="CZ328" i="6" s="1"/>
  <c r="CW328" i="6"/>
  <c r="CV328" i="6"/>
  <c r="CU328" i="6"/>
  <c r="CT328" i="6"/>
  <c r="CR328" i="6"/>
  <c r="CQ328" i="6"/>
  <c r="CP328" i="6"/>
  <c r="CN328" i="6"/>
  <c r="CM328" i="6"/>
  <c r="CO328" i="6" s="1"/>
  <c r="CL328" i="6"/>
  <c r="CK328" i="6"/>
  <c r="CJ328" i="6"/>
  <c r="CI328" i="6"/>
  <c r="CH328" i="6"/>
  <c r="CG328" i="6"/>
  <c r="CF328" i="6"/>
  <c r="CE328" i="6"/>
  <c r="CD328" i="6"/>
  <c r="CB328" i="6"/>
  <c r="CC328" i="6" s="1"/>
  <c r="BZ328" i="6"/>
  <c r="BY328" i="6"/>
  <c r="BX328" i="6"/>
  <c r="BW328" i="6"/>
  <c r="CA328" i="6" s="1"/>
  <c r="BU328" i="6"/>
  <c r="BV328" i="6" s="1"/>
  <c r="BR328" i="6"/>
  <c r="BQ328" i="6"/>
  <c r="BS328" i="6" s="1"/>
  <c r="BO328" i="6"/>
  <c r="BP328" i="6" s="1"/>
  <c r="BM328" i="6"/>
  <c r="BL328" i="6"/>
  <c r="BK328" i="6"/>
  <c r="BJ328" i="6"/>
  <c r="BN328" i="6" s="1"/>
  <c r="BI328" i="6"/>
  <c r="BH328" i="6"/>
  <c r="BG328" i="6"/>
  <c r="BF328" i="6"/>
  <c r="BD328" i="6"/>
  <c r="BC328" i="6"/>
  <c r="BB328" i="6"/>
  <c r="BE328" i="6" s="1"/>
  <c r="AZ328" i="6"/>
  <c r="AY328" i="6"/>
  <c r="BA328" i="6" s="1"/>
  <c r="AW328" i="6"/>
  <c r="AV328" i="6"/>
  <c r="AX328" i="6" s="1"/>
  <c r="AT328" i="6"/>
  <c r="AS328" i="6"/>
  <c r="AU328" i="6" s="1"/>
  <c r="AQ328" i="6"/>
  <c r="AP328" i="6"/>
  <c r="AR328" i="6" s="1"/>
  <c r="AO328" i="6"/>
  <c r="AN328" i="6"/>
  <c r="AM328" i="6"/>
  <c r="AK328" i="6"/>
  <c r="AL328" i="6" s="1"/>
  <c r="AI328" i="6"/>
  <c r="AJ328" i="6" s="1"/>
  <c r="AG328" i="6"/>
  <c r="AE328" i="6"/>
  <c r="AD328" i="6"/>
  <c r="AC328" i="6"/>
  <c r="DS328" i="6" s="1"/>
  <c r="AA328" i="6"/>
  <c r="Z328" i="6"/>
  <c r="Y328" i="6"/>
  <c r="W328" i="6"/>
  <c r="V328" i="6"/>
  <c r="T328" i="6"/>
  <c r="R328" i="6"/>
  <c r="S328" i="6" s="1"/>
  <c r="Q328" i="6"/>
  <c r="P328" i="6"/>
  <c r="O328" i="6"/>
  <c r="N328" i="6"/>
  <c r="M328" i="6"/>
  <c r="J328" i="6"/>
  <c r="H328" i="6"/>
  <c r="DQ328" i="6" s="1"/>
  <c r="G328" i="6"/>
  <c r="F328" i="6"/>
  <c r="E328" i="6"/>
  <c r="D328" i="6"/>
  <c r="C328" i="6"/>
  <c r="B328" i="6"/>
  <c r="DW327" i="6"/>
  <c r="DP327" i="6"/>
  <c r="DM327" i="6"/>
  <c r="DL327" i="6"/>
  <c r="DK327" i="6"/>
  <c r="DJ327" i="6"/>
  <c r="DI327" i="6"/>
  <c r="DH327" i="6"/>
  <c r="DF327" i="6"/>
  <c r="DG327" i="6" s="1"/>
  <c r="DD327" i="6"/>
  <c r="DE327" i="6" s="1"/>
  <c r="DB327" i="6"/>
  <c r="DC327" i="6" s="1"/>
  <c r="DA327" i="6"/>
  <c r="CY327" i="6"/>
  <c r="CX327" i="6"/>
  <c r="CZ327" i="6" s="1"/>
  <c r="CV327" i="6"/>
  <c r="CW327" i="6" s="1"/>
  <c r="CU327" i="6"/>
  <c r="CT327" i="6"/>
  <c r="CR327" i="6"/>
  <c r="CQ327" i="6"/>
  <c r="CP327" i="6"/>
  <c r="CS327" i="6" s="1"/>
  <c r="CO327" i="6"/>
  <c r="CN327" i="6"/>
  <c r="CM327" i="6"/>
  <c r="CL327" i="6"/>
  <c r="CJ327" i="6"/>
  <c r="CK327" i="6" s="1"/>
  <c r="CI327" i="6"/>
  <c r="CG327" i="6"/>
  <c r="CH327" i="6" s="1"/>
  <c r="CF327" i="6"/>
  <c r="CE327" i="6"/>
  <c r="CD327" i="6"/>
  <c r="CB327" i="6"/>
  <c r="CC327" i="6" s="1"/>
  <c r="BZ327" i="6"/>
  <c r="BY327" i="6"/>
  <c r="BX327" i="6"/>
  <c r="BW327" i="6"/>
  <c r="CA327" i="6" s="1"/>
  <c r="BU327" i="6"/>
  <c r="BV327" i="6" s="1"/>
  <c r="BR327" i="6"/>
  <c r="BQ327" i="6"/>
  <c r="BS327" i="6" s="1"/>
  <c r="BP327" i="6"/>
  <c r="BO327" i="6"/>
  <c r="BM327" i="6"/>
  <c r="BL327" i="6"/>
  <c r="BK327" i="6"/>
  <c r="BJ327" i="6"/>
  <c r="BI327" i="6"/>
  <c r="BH327" i="6"/>
  <c r="BG327" i="6"/>
  <c r="BF327" i="6"/>
  <c r="BD327" i="6"/>
  <c r="BC327" i="6"/>
  <c r="BB327" i="6"/>
  <c r="BE327" i="6" s="1"/>
  <c r="AZ327" i="6"/>
  <c r="AY327" i="6"/>
  <c r="BA327" i="6" s="1"/>
  <c r="AW327" i="6"/>
  <c r="AV327" i="6"/>
  <c r="AX327" i="6" s="1"/>
  <c r="AU327" i="6"/>
  <c r="AT327" i="6"/>
  <c r="AS327" i="6"/>
  <c r="AR327" i="6"/>
  <c r="AQ327" i="6"/>
  <c r="AP327" i="6"/>
  <c r="AN327" i="6"/>
  <c r="AO327" i="6" s="1"/>
  <c r="AM327" i="6"/>
  <c r="AK327" i="6"/>
  <c r="AL327" i="6" s="1"/>
  <c r="AI327" i="6"/>
  <c r="AJ327" i="6" s="1"/>
  <c r="AG327" i="6"/>
  <c r="AE327" i="6"/>
  <c r="AD327" i="6"/>
  <c r="AC327" i="6"/>
  <c r="AA327" i="6"/>
  <c r="Z327" i="6"/>
  <c r="AB327" i="6" s="1"/>
  <c r="Y327" i="6"/>
  <c r="W327" i="6"/>
  <c r="X327" i="6" s="1"/>
  <c r="V327" i="6"/>
  <c r="T327" i="6"/>
  <c r="S327" i="6"/>
  <c r="R327" i="6"/>
  <c r="Q327" i="6"/>
  <c r="P327" i="6"/>
  <c r="O327" i="6"/>
  <c r="N327" i="6"/>
  <c r="M327" i="6"/>
  <c r="J327" i="6"/>
  <c r="H327" i="6"/>
  <c r="G327" i="6"/>
  <c r="F327" i="6"/>
  <c r="E327" i="6"/>
  <c r="D327" i="6"/>
  <c r="C327" i="6"/>
  <c r="B327" i="6"/>
  <c r="DW326" i="6"/>
  <c r="DP326" i="6"/>
  <c r="DM326" i="6"/>
  <c r="DL326" i="6"/>
  <c r="DK326" i="6"/>
  <c r="DJ326" i="6"/>
  <c r="DH326" i="6"/>
  <c r="DI326" i="6" s="1"/>
  <c r="DG326" i="6"/>
  <c r="DF326" i="6"/>
  <c r="DD326" i="6"/>
  <c r="DE326" i="6" s="1"/>
  <c r="DB326" i="6"/>
  <c r="DC326" i="6" s="1"/>
  <c r="DA326" i="6"/>
  <c r="CY326" i="6"/>
  <c r="CX326" i="6"/>
  <c r="CZ326" i="6" s="1"/>
  <c r="CV326" i="6"/>
  <c r="CW326" i="6" s="1"/>
  <c r="CU326" i="6"/>
  <c r="CT326" i="6"/>
  <c r="CR326" i="6"/>
  <c r="CQ326" i="6"/>
  <c r="CP326" i="6"/>
  <c r="CO326" i="6"/>
  <c r="CN326" i="6"/>
  <c r="CM326" i="6"/>
  <c r="CL326" i="6"/>
  <c r="CJ326" i="6"/>
  <c r="CI326" i="6"/>
  <c r="CK326" i="6" s="1"/>
  <c r="CH326" i="6"/>
  <c r="CG326" i="6"/>
  <c r="CF326" i="6"/>
  <c r="CE326" i="6"/>
  <c r="CD326" i="6"/>
  <c r="CB326" i="6"/>
  <c r="CC326" i="6" s="1"/>
  <c r="BZ326" i="6"/>
  <c r="BY326" i="6"/>
  <c r="BX326" i="6"/>
  <c r="BW326" i="6"/>
  <c r="CA326" i="6" s="1"/>
  <c r="BU326" i="6"/>
  <c r="BV326" i="6" s="1"/>
  <c r="BR326" i="6"/>
  <c r="BQ326" i="6"/>
  <c r="BO326" i="6"/>
  <c r="BP326" i="6" s="1"/>
  <c r="BM326" i="6"/>
  <c r="BL326" i="6"/>
  <c r="BK326" i="6"/>
  <c r="BJ326" i="6"/>
  <c r="BN326" i="6" s="1"/>
  <c r="BI326" i="6"/>
  <c r="BH326" i="6"/>
  <c r="BG326" i="6"/>
  <c r="BF326" i="6"/>
  <c r="BD326" i="6"/>
  <c r="BC326" i="6"/>
  <c r="BB326" i="6"/>
  <c r="BE326" i="6" s="1"/>
  <c r="AZ326" i="6"/>
  <c r="AY326" i="6"/>
  <c r="BA326" i="6" s="1"/>
  <c r="AW326" i="6"/>
  <c r="AV326" i="6"/>
  <c r="AT326" i="6"/>
  <c r="AS326" i="6"/>
  <c r="AQ326" i="6"/>
  <c r="AR326" i="6" s="1"/>
  <c r="AP326" i="6"/>
  <c r="AN326" i="6"/>
  <c r="AM326" i="6"/>
  <c r="AK326" i="6"/>
  <c r="AL326" i="6" s="1"/>
  <c r="AI326" i="6"/>
  <c r="AJ326" i="6" s="1"/>
  <c r="AG326" i="6"/>
  <c r="AE326" i="6"/>
  <c r="AD326" i="6"/>
  <c r="AC326" i="6"/>
  <c r="DS326" i="6" s="1"/>
  <c r="AA326" i="6"/>
  <c r="Z326" i="6"/>
  <c r="AB326" i="6" s="1"/>
  <c r="Y326" i="6"/>
  <c r="W326" i="6"/>
  <c r="V326" i="6"/>
  <c r="T326" i="6"/>
  <c r="R326" i="6"/>
  <c r="S326" i="6" s="1"/>
  <c r="Q326" i="6"/>
  <c r="P326" i="6"/>
  <c r="O326" i="6"/>
  <c r="N326" i="6"/>
  <c r="M326" i="6"/>
  <c r="J326" i="6"/>
  <c r="H326" i="6"/>
  <c r="G326" i="6"/>
  <c r="F326" i="6"/>
  <c r="E326" i="6"/>
  <c r="D326" i="6"/>
  <c r="C326" i="6"/>
  <c r="B326" i="6"/>
  <c r="DW325" i="6"/>
  <c r="DP325" i="6"/>
  <c r="DM325" i="6"/>
  <c r="DL325" i="6"/>
  <c r="DK325" i="6"/>
  <c r="DJ325" i="6"/>
  <c r="DI325" i="6"/>
  <c r="DH325" i="6"/>
  <c r="DF325" i="6"/>
  <c r="DG325" i="6" s="1"/>
  <c r="DE325" i="6"/>
  <c r="DD325" i="6"/>
  <c r="DB325" i="6"/>
  <c r="DC325" i="6" s="1"/>
  <c r="DA325" i="6"/>
  <c r="CY325" i="6"/>
  <c r="CX325" i="6"/>
  <c r="CZ325" i="6" s="1"/>
  <c r="CV325" i="6"/>
  <c r="CW325" i="6" s="1"/>
  <c r="CU325" i="6"/>
  <c r="CT325" i="6"/>
  <c r="CR325" i="6"/>
  <c r="CQ325" i="6"/>
  <c r="CP325" i="6"/>
  <c r="CN325" i="6"/>
  <c r="CM325" i="6"/>
  <c r="CO325" i="6" s="1"/>
  <c r="CL325" i="6"/>
  <c r="CJ325" i="6"/>
  <c r="CK325" i="6" s="1"/>
  <c r="CI325" i="6"/>
  <c r="CH325" i="6"/>
  <c r="CG325" i="6"/>
  <c r="CF325" i="6"/>
  <c r="CE325" i="6"/>
  <c r="CD325" i="6"/>
  <c r="CB325" i="6"/>
  <c r="CC325" i="6" s="1"/>
  <c r="BZ325" i="6"/>
  <c r="BY325" i="6"/>
  <c r="BX325" i="6"/>
  <c r="BW325" i="6"/>
  <c r="CA325" i="6" s="1"/>
  <c r="BU325" i="6"/>
  <c r="BV325" i="6" s="1"/>
  <c r="BR325" i="6"/>
  <c r="BQ325" i="6"/>
  <c r="BS325" i="6" s="1"/>
  <c r="BO325" i="6"/>
  <c r="BP325" i="6" s="1"/>
  <c r="BM325" i="6"/>
  <c r="BL325" i="6"/>
  <c r="BK325" i="6"/>
  <c r="BJ325" i="6"/>
  <c r="BN325" i="6" s="1"/>
  <c r="BI325" i="6"/>
  <c r="BH325" i="6"/>
  <c r="BG325" i="6"/>
  <c r="BF325" i="6"/>
  <c r="BD325" i="6"/>
  <c r="BC325" i="6"/>
  <c r="BB325" i="6"/>
  <c r="BE325" i="6" s="1"/>
  <c r="AZ325" i="6"/>
  <c r="AY325" i="6"/>
  <c r="BA325" i="6" s="1"/>
  <c r="AX325" i="6"/>
  <c r="AW325" i="6"/>
  <c r="AV325" i="6"/>
  <c r="AT325" i="6"/>
  <c r="AS325" i="6"/>
  <c r="AU325" i="6" s="1"/>
  <c r="AQ325" i="6"/>
  <c r="AP325" i="6"/>
  <c r="AR325" i="6" s="1"/>
  <c r="AO325" i="6"/>
  <c r="AN325" i="6"/>
  <c r="AM325" i="6"/>
  <c r="AK325" i="6"/>
  <c r="AL325" i="6" s="1"/>
  <c r="AI325" i="6"/>
  <c r="AJ325" i="6" s="1"/>
  <c r="AG325" i="6"/>
  <c r="AE325" i="6"/>
  <c r="AD325" i="6"/>
  <c r="AC325" i="6"/>
  <c r="DS325" i="6" s="1"/>
  <c r="AA325" i="6"/>
  <c r="Z325" i="6"/>
  <c r="AB325" i="6" s="1"/>
  <c r="Y325" i="6"/>
  <c r="X325" i="6"/>
  <c r="W325" i="6"/>
  <c r="V325" i="6"/>
  <c r="T325" i="6"/>
  <c r="S325" i="6"/>
  <c r="R325" i="6"/>
  <c r="P325" i="6"/>
  <c r="O325" i="6"/>
  <c r="Q325" i="6" s="1"/>
  <c r="N325" i="6"/>
  <c r="M325" i="6"/>
  <c r="J325" i="6"/>
  <c r="H325" i="6"/>
  <c r="DQ325" i="6" s="1"/>
  <c r="G325" i="6"/>
  <c r="F325" i="6"/>
  <c r="E325" i="6"/>
  <c r="D325" i="6"/>
  <c r="C325" i="6"/>
  <c r="B325" i="6"/>
  <c r="DW324" i="6"/>
  <c r="DP324" i="6"/>
  <c r="DM324" i="6"/>
  <c r="DL324" i="6"/>
  <c r="DK324" i="6"/>
  <c r="DJ324" i="6"/>
  <c r="DN324" i="6" s="1"/>
  <c r="DI324" i="6"/>
  <c r="DH324" i="6"/>
  <c r="DG324" i="6"/>
  <c r="DF324" i="6"/>
  <c r="DE324" i="6"/>
  <c r="DD324" i="6"/>
  <c r="DB324" i="6"/>
  <c r="DC324" i="6" s="1"/>
  <c r="DA324" i="6"/>
  <c r="CY324" i="6"/>
  <c r="CX324" i="6"/>
  <c r="CZ324" i="6" s="1"/>
  <c r="CV324" i="6"/>
  <c r="CW324" i="6" s="1"/>
  <c r="CU324" i="6"/>
  <c r="CT324" i="6"/>
  <c r="CR324" i="6"/>
  <c r="CQ324" i="6"/>
  <c r="CP324" i="6"/>
  <c r="CS324" i="6" s="1"/>
  <c r="CO324" i="6"/>
  <c r="CN324" i="6"/>
  <c r="CM324" i="6"/>
  <c r="CL324" i="6"/>
  <c r="CJ324" i="6"/>
  <c r="CI324" i="6"/>
  <c r="CK324" i="6" s="1"/>
  <c r="CH324" i="6"/>
  <c r="CG324" i="6"/>
  <c r="CF324" i="6"/>
  <c r="CE324" i="6"/>
  <c r="CD324" i="6"/>
  <c r="CB324" i="6"/>
  <c r="CC324" i="6" s="1"/>
  <c r="BZ324" i="6"/>
  <c r="BY324" i="6"/>
  <c r="BX324" i="6"/>
  <c r="BW324" i="6"/>
  <c r="CA324" i="6" s="1"/>
  <c r="BU324" i="6"/>
  <c r="BV324" i="6" s="1"/>
  <c r="BR324" i="6"/>
  <c r="BS324" i="6" s="1"/>
  <c r="BQ324" i="6"/>
  <c r="BO324" i="6"/>
  <c r="BP324" i="6" s="1"/>
  <c r="BM324" i="6"/>
  <c r="BL324" i="6"/>
  <c r="BK324" i="6"/>
  <c r="BJ324" i="6"/>
  <c r="BI324" i="6"/>
  <c r="BH324" i="6"/>
  <c r="BG324" i="6"/>
  <c r="BF324" i="6"/>
  <c r="BD324" i="6"/>
  <c r="BC324" i="6"/>
  <c r="BB324" i="6"/>
  <c r="BE324" i="6" s="1"/>
  <c r="AZ324" i="6"/>
  <c r="AY324" i="6"/>
  <c r="BA324" i="6" s="1"/>
  <c r="AW324" i="6"/>
  <c r="AV324" i="6"/>
  <c r="AX324" i="6" s="1"/>
  <c r="AT324" i="6"/>
  <c r="AU324" i="6" s="1"/>
  <c r="AS324" i="6"/>
  <c r="AQ324" i="6"/>
  <c r="AR324" i="6" s="1"/>
  <c r="AP324" i="6"/>
  <c r="AN324" i="6"/>
  <c r="AM324" i="6"/>
  <c r="AK324" i="6"/>
  <c r="AL324" i="6" s="1"/>
  <c r="AI324" i="6"/>
  <c r="AJ324" i="6" s="1"/>
  <c r="AG324" i="6"/>
  <c r="AE324" i="6"/>
  <c r="AD324" i="6"/>
  <c r="AC324" i="6"/>
  <c r="DS324" i="6" s="1"/>
  <c r="AA324" i="6"/>
  <c r="Z324" i="6"/>
  <c r="AB324" i="6" s="1"/>
  <c r="Y324" i="6"/>
  <c r="W324" i="6"/>
  <c r="V324" i="6"/>
  <c r="T324" i="6"/>
  <c r="R324" i="6"/>
  <c r="S324" i="6" s="1"/>
  <c r="P324" i="6"/>
  <c r="O324" i="6"/>
  <c r="Q324" i="6" s="1"/>
  <c r="N324" i="6"/>
  <c r="M324" i="6"/>
  <c r="J324" i="6"/>
  <c r="H324" i="6"/>
  <c r="G324" i="6"/>
  <c r="F324" i="6"/>
  <c r="DV324" i="6" s="1"/>
  <c r="E324" i="6"/>
  <c r="D324" i="6"/>
  <c r="C324" i="6"/>
  <c r="B324" i="6"/>
  <c r="DW323" i="6"/>
  <c r="DP323" i="6"/>
  <c r="DM323" i="6"/>
  <c r="DL323" i="6"/>
  <c r="DK323" i="6"/>
  <c r="DJ323" i="6"/>
  <c r="DI323" i="6"/>
  <c r="DH323" i="6"/>
  <c r="DG323" i="6"/>
  <c r="DF323" i="6"/>
  <c r="DD323" i="6"/>
  <c r="DE323" i="6" s="1"/>
  <c r="DB323" i="6"/>
  <c r="DC323" i="6" s="1"/>
  <c r="DA323" i="6"/>
  <c r="CY323" i="6"/>
  <c r="CX323" i="6"/>
  <c r="CZ323" i="6" s="1"/>
  <c r="CV323" i="6"/>
  <c r="CW323" i="6" s="1"/>
  <c r="CU323" i="6"/>
  <c r="CT323" i="6"/>
  <c r="CR323" i="6"/>
  <c r="CQ323" i="6"/>
  <c r="CP323" i="6"/>
  <c r="CS323" i="6" s="1"/>
  <c r="CN323" i="6"/>
  <c r="CM323" i="6"/>
  <c r="CO323" i="6" s="1"/>
  <c r="CL323" i="6"/>
  <c r="CJ323" i="6"/>
  <c r="CK323" i="6" s="1"/>
  <c r="CI323" i="6"/>
  <c r="CH323" i="6"/>
  <c r="CG323" i="6"/>
  <c r="CF323" i="6"/>
  <c r="CE323" i="6"/>
  <c r="CD323" i="6"/>
  <c r="CB323" i="6"/>
  <c r="CC323" i="6" s="1"/>
  <c r="BZ323" i="6"/>
  <c r="BY323" i="6"/>
  <c r="BX323" i="6"/>
  <c r="BW323" i="6"/>
  <c r="CA323" i="6" s="1"/>
  <c r="BU323" i="6"/>
  <c r="BV323" i="6" s="1"/>
  <c r="BR323" i="6"/>
  <c r="BQ323" i="6"/>
  <c r="BO323" i="6"/>
  <c r="BP323" i="6" s="1"/>
  <c r="BM323" i="6"/>
  <c r="BL323" i="6"/>
  <c r="BK323" i="6"/>
  <c r="BJ323" i="6"/>
  <c r="BI323" i="6"/>
  <c r="BH323" i="6"/>
  <c r="BG323" i="6"/>
  <c r="BF323" i="6"/>
  <c r="BD323" i="6"/>
  <c r="BC323" i="6"/>
  <c r="BB323" i="6"/>
  <c r="BE323" i="6" s="1"/>
  <c r="AZ323" i="6"/>
  <c r="AY323" i="6"/>
  <c r="BA323" i="6" s="1"/>
  <c r="AW323" i="6"/>
  <c r="AV323" i="6"/>
  <c r="AX323" i="6" s="1"/>
  <c r="AT323" i="6"/>
  <c r="AS323" i="6"/>
  <c r="AU323" i="6" s="1"/>
  <c r="AR323" i="6"/>
  <c r="AQ323" i="6"/>
  <c r="AP323" i="6"/>
  <c r="AO323" i="6"/>
  <c r="AN323" i="6"/>
  <c r="AM323" i="6"/>
  <c r="AK323" i="6"/>
  <c r="AL323" i="6" s="1"/>
  <c r="AI323" i="6"/>
  <c r="AJ323" i="6" s="1"/>
  <c r="AG323" i="6"/>
  <c r="AE323" i="6"/>
  <c r="AD323" i="6"/>
  <c r="AC323" i="6"/>
  <c r="AA323" i="6"/>
  <c r="Z323" i="6"/>
  <c r="AB323" i="6" s="1"/>
  <c r="Y323" i="6"/>
  <c r="X323" i="6"/>
  <c r="W323" i="6"/>
  <c r="V323" i="6"/>
  <c r="T323" i="6"/>
  <c r="R323" i="6"/>
  <c r="S323" i="6" s="1"/>
  <c r="P323" i="6"/>
  <c r="O323" i="6"/>
  <c r="Q323" i="6" s="1"/>
  <c r="N323" i="6"/>
  <c r="M323" i="6"/>
  <c r="J323" i="6"/>
  <c r="H323" i="6"/>
  <c r="G323" i="6"/>
  <c r="F323" i="6"/>
  <c r="E323" i="6"/>
  <c r="D323" i="6"/>
  <c r="C323" i="6"/>
  <c r="B323" i="6"/>
  <c r="DW322" i="6"/>
  <c r="DP322" i="6"/>
  <c r="DM322" i="6"/>
  <c r="DL322" i="6"/>
  <c r="DK322" i="6"/>
  <c r="DJ322" i="6"/>
  <c r="DI322" i="6"/>
  <c r="DH322" i="6"/>
  <c r="DG322" i="6"/>
  <c r="DF322" i="6"/>
  <c r="DE322" i="6"/>
  <c r="DD322" i="6"/>
  <c r="DB322" i="6"/>
  <c r="DC322" i="6" s="1"/>
  <c r="DA322" i="6"/>
  <c r="CY322" i="6"/>
  <c r="CX322" i="6"/>
  <c r="CZ322" i="6" s="1"/>
  <c r="CV322" i="6"/>
  <c r="CW322" i="6" s="1"/>
  <c r="CU322" i="6"/>
  <c r="CT322" i="6"/>
  <c r="CR322" i="6"/>
  <c r="CQ322" i="6"/>
  <c r="CP322" i="6"/>
  <c r="CS322" i="6" s="1"/>
  <c r="CO322" i="6"/>
  <c r="CN322" i="6"/>
  <c r="CM322" i="6"/>
  <c r="CL322" i="6"/>
  <c r="CJ322" i="6"/>
  <c r="CI322" i="6"/>
  <c r="CK322" i="6" s="1"/>
  <c r="CH322" i="6"/>
  <c r="CG322" i="6"/>
  <c r="CF322" i="6"/>
  <c r="CE322" i="6"/>
  <c r="CD322" i="6"/>
  <c r="CB322" i="6"/>
  <c r="CC322" i="6" s="1"/>
  <c r="BZ322" i="6"/>
  <c r="BY322" i="6"/>
  <c r="BX322" i="6"/>
  <c r="BW322" i="6"/>
  <c r="CA322" i="6" s="1"/>
  <c r="BU322" i="6"/>
  <c r="BV322" i="6" s="1"/>
  <c r="BR322" i="6"/>
  <c r="BS322" i="6" s="1"/>
  <c r="BQ322" i="6"/>
  <c r="BO322" i="6"/>
  <c r="BP322" i="6" s="1"/>
  <c r="BM322" i="6"/>
  <c r="BL322" i="6"/>
  <c r="BK322" i="6"/>
  <c r="BJ322" i="6"/>
  <c r="BI322" i="6"/>
  <c r="BH322" i="6"/>
  <c r="BG322" i="6"/>
  <c r="BF322" i="6"/>
  <c r="BD322" i="6"/>
  <c r="BC322" i="6"/>
  <c r="BB322" i="6"/>
  <c r="BE322" i="6" s="1"/>
  <c r="AZ322" i="6"/>
  <c r="AY322" i="6"/>
  <c r="BA322" i="6" s="1"/>
  <c r="AX322" i="6"/>
  <c r="AW322" i="6"/>
  <c r="AV322" i="6"/>
  <c r="AT322" i="6"/>
  <c r="AU322" i="6" s="1"/>
  <c r="AS322" i="6"/>
  <c r="AQ322" i="6"/>
  <c r="AR322" i="6" s="1"/>
  <c r="AP322" i="6"/>
  <c r="AO322" i="6"/>
  <c r="AN322" i="6"/>
  <c r="AM322" i="6"/>
  <c r="AK322" i="6"/>
  <c r="AL322" i="6" s="1"/>
  <c r="AI322" i="6"/>
  <c r="AJ322" i="6" s="1"/>
  <c r="AG322" i="6"/>
  <c r="AE322" i="6"/>
  <c r="AD322" i="6"/>
  <c r="AC322" i="6"/>
  <c r="AA322" i="6"/>
  <c r="Z322" i="6"/>
  <c r="AB322" i="6" s="1"/>
  <c r="Y322" i="6"/>
  <c r="W322" i="6"/>
  <c r="V322" i="6"/>
  <c r="T322" i="6"/>
  <c r="R322" i="6"/>
  <c r="S322" i="6" s="1"/>
  <c r="P322" i="6"/>
  <c r="O322" i="6"/>
  <c r="N322" i="6"/>
  <c r="M322" i="6"/>
  <c r="J322" i="6"/>
  <c r="H322" i="6"/>
  <c r="G322" i="6"/>
  <c r="F322" i="6"/>
  <c r="E322" i="6"/>
  <c r="D322" i="6"/>
  <c r="C322" i="6"/>
  <c r="B322" i="6"/>
  <c r="DW321" i="6"/>
  <c r="DP321" i="6"/>
  <c r="DM321" i="6"/>
  <c r="DL321" i="6"/>
  <c r="DK321" i="6"/>
  <c r="DJ321" i="6"/>
  <c r="DH321" i="6"/>
  <c r="DI321" i="6" s="1"/>
  <c r="DG321" i="6"/>
  <c r="DF321" i="6"/>
  <c r="DD321" i="6"/>
  <c r="DE321" i="6" s="1"/>
  <c r="DB321" i="6"/>
  <c r="DC321" i="6" s="1"/>
  <c r="DA321" i="6"/>
  <c r="CY321" i="6"/>
  <c r="CX321" i="6"/>
  <c r="CZ321" i="6" s="1"/>
  <c r="CV321" i="6"/>
  <c r="CW321" i="6" s="1"/>
  <c r="CU321" i="6"/>
  <c r="CT321" i="6"/>
  <c r="CR321" i="6"/>
  <c r="CQ321" i="6"/>
  <c r="CP321" i="6"/>
  <c r="CS321" i="6" s="1"/>
  <c r="CN321" i="6"/>
  <c r="CM321" i="6"/>
  <c r="CL321" i="6"/>
  <c r="CJ321" i="6"/>
  <c r="CI321" i="6"/>
  <c r="CK321" i="6" s="1"/>
  <c r="CG321" i="6"/>
  <c r="CH321" i="6" s="1"/>
  <c r="CF321" i="6"/>
  <c r="CE321" i="6"/>
  <c r="CD321" i="6"/>
  <c r="CB321" i="6"/>
  <c r="CC321" i="6" s="1"/>
  <c r="BZ321" i="6"/>
  <c r="BY321" i="6"/>
  <c r="BX321" i="6"/>
  <c r="BW321" i="6"/>
  <c r="BU321" i="6"/>
  <c r="BV321" i="6" s="1"/>
  <c r="BR321" i="6"/>
  <c r="BQ321" i="6"/>
  <c r="BS321" i="6" s="1"/>
  <c r="BO321" i="6"/>
  <c r="BP321" i="6" s="1"/>
  <c r="BM321" i="6"/>
  <c r="BL321" i="6"/>
  <c r="BN321" i="6" s="1"/>
  <c r="BK321" i="6"/>
  <c r="BJ321" i="6"/>
  <c r="BI321" i="6"/>
  <c r="BH321" i="6"/>
  <c r="BG321" i="6"/>
  <c r="BF321" i="6"/>
  <c r="BD321" i="6"/>
  <c r="BC321" i="6"/>
  <c r="BB321" i="6"/>
  <c r="AZ321" i="6"/>
  <c r="AY321" i="6"/>
  <c r="AW321" i="6"/>
  <c r="AV321" i="6"/>
  <c r="AX321" i="6" s="1"/>
  <c r="AT321" i="6"/>
  <c r="AS321" i="6"/>
  <c r="AU321" i="6" s="1"/>
  <c r="AQ321" i="6"/>
  <c r="AP321" i="6"/>
  <c r="AR321" i="6" s="1"/>
  <c r="AN321" i="6"/>
  <c r="AM321" i="6"/>
  <c r="AK321" i="6"/>
  <c r="AL321" i="6" s="1"/>
  <c r="AI321" i="6"/>
  <c r="AJ321" i="6" s="1"/>
  <c r="AG321" i="6"/>
  <c r="AE321" i="6"/>
  <c r="AD321" i="6"/>
  <c r="AC321" i="6"/>
  <c r="AA321" i="6"/>
  <c r="Z321" i="6"/>
  <c r="AB321" i="6" s="1"/>
  <c r="Y321" i="6"/>
  <c r="W321" i="6"/>
  <c r="V321" i="6"/>
  <c r="T321" i="6"/>
  <c r="R321" i="6"/>
  <c r="S321" i="6" s="1"/>
  <c r="P321" i="6"/>
  <c r="O321" i="6"/>
  <c r="Q321" i="6" s="1"/>
  <c r="N321" i="6"/>
  <c r="M321" i="6"/>
  <c r="J321" i="6"/>
  <c r="H321" i="6"/>
  <c r="G321" i="6"/>
  <c r="DU321" i="6" s="1"/>
  <c r="F321" i="6"/>
  <c r="DV321" i="6" s="1"/>
  <c r="E321" i="6"/>
  <c r="D321" i="6"/>
  <c r="C321" i="6"/>
  <c r="B321" i="6"/>
  <c r="DW320" i="6"/>
  <c r="DP320" i="6"/>
  <c r="DM320" i="6"/>
  <c r="DL320" i="6"/>
  <c r="DK320" i="6"/>
  <c r="DJ320" i="6"/>
  <c r="DH320" i="6"/>
  <c r="DI320" i="6" s="1"/>
  <c r="DG320" i="6"/>
  <c r="DF320" i="6"/>
  <c r="DD320" i="6"/>
  <c r="DE320" i="6" s="1"/>
  <c r="DB320" i="6"/>
  <c r="DC320" i="6" s="1"/>
  <c r="DA320" i="6"/>
  <c r="CY320" i="6"/>
  <c r="CX320" i="6"/>
  <c r="CZ320" i="6" s="1"/>
  <c r="CW320" i="6"/>
  <c r="CV320" i="6"/>
  <c r="CU320" i="6"/>
  <c r="CT320" i="6"/>
  <c r="CR320" i="6"/>
  <c r="CQ320" i="6"/>
  <c r="CS320" i="6" s="1"/>
  <c r="CP320" i="6"/>
  <c r="CN320" i="6"/>
  <c r="CM320" i="6"/>
  <c r="CL320" i="6"/>
  <c r="CO320" i="6" s="1"/>
  <c r="CJ320" i="6"/>
  <c r="CK320" i="6" s="1"/>
  <c r="CI320" i="6"/>
  <c r="CG320" i="6"/>
  <c r="CH320" i="6" s="1"/>
  <c r="CF320" i="6"/>
  <c r="CE320" i="6"/>
  <c r="CD320" i="6"/>
  <c r="CB320" i="6"/>
  <c r="CC320" i="6" s="1"/>
  <c r="CA320" i="6"/>
  <c r="BZ320" i="6"/>
  <c r="BY320" i="6"/>
  <c r="BX320" i="6"/>
  <c r="BW320" i="6"/>
  <c r="BU320" i="6"/>
  <c r="BV320" i="6" s="1"/>
  <c r="BR320" i="6"/>
  <c r="BS320" i="6" s="1"/>
  <c r="BQ320" i="6"/>
  <c r="BO320" i="6"/>
  <c r="BP320" i="6" s="1"/>
  <c r="BM320" i="6"/>
  <c r="BL320" i="6"/>
  <c r="BK320" i="6"/>
  <c r="BN320" i="6" s="1"/>
  <c r="BJ320" i="6"/>
  <c r="BI320" i="6"/>
  <c r="BH320" i="6"/>
  <c r="BG320" i="6"/>
  <c r="BF320" i="6"/>
  <c r="BD320" i="6"/>
  <c r="BC320" i="6"/>
  <c r="BB320" i="6"/>
  <c r="AZ320" i="6"/>
  <c r="BA320" i="6" s="1"/>
  <c r="AY320" i="6"/>
  <c r="AW320" i="6"/>
  <c r="AV320" i="6"/>
  <c r="AT320" i="6"/>
  <c r="AU320" i="6" s="1"/>
  <c r="AS320" i="6"/>
  <c r="AQ320" i="6"/>
  <c r="AP320" i="6"/>
  <c r="AR320" i="6" s="1"/>
  <c r="AN320" i="6"/>
  <c r="AM320" i="6"/>
  <c r="AK320" i="6"/>
  <c r="AL320" i="6" s="1"/>
  <c r="AI320" i="6"/>
  <c r="AJ320" i="6" s="1"/>
  <c r="AG320" i="6"/>
  <c r="AE320" i="6"/>
  <c r="AD320" i="6"/>
  <c r="AC320" i="6"/>
  <c r="AA320" i="6"/>
  <c r="Z320" i="6"/>
  <c r="AB320" i="6" s="1"/>
  <c r="Y320" i="6"/>
  <c r="W320" i="6"/>
  <c r="V320" i="6"/>
  <c r="X320" i="6" s="1"/>
  <c r="T320" i="6"/>
  <c r="S320" i="6"/>
  <c r="R320" i="6"/>
  <c r="P320" i="6"/>
  <c r="O320" i="6"/>
  <c r="Q320" i="6" s="1"/>
  <c r="N320" i="6"/>
  <c r="M320" i="6"/>
  <c r="J320" i="6"/>
  <c r="H320" i="6"/>
  <c r="G320" i="6"/>
  <c r="DU320" i="6" s="1"/>
  <c r="F320" i="6"/>
  <c r="E320" i="6"/>
  <c r="D320" i="6"/>
  <c r="C320" i="6"/>
  <c r="B320" i="6"/>
  <c r="DW319" i="6"/>
  <c r="DM319" i="6"/>
  <c r="DL319" i="6"/>
  <c r="DK319" i="6"/>
  <c r="DJ319" i="6"/>
  <c r="DI319" i="6"/>
  <c r="DH319" i="6"/>
  <c r="DF319" i="6"/>
  <c r="DG319" i="6" s="1"/>
  <c r="DD319" i="6"/>
  <c r="DE319" i="6" s="1"/>
  <c r="DB319" i="6"/>
  <c r="DC319" i="6" s="1"/>
  <c r="DA319" i="6"/>
  <c r="CY319" i="6"/>
  <c r="CX319" i="6"/>
  <c r="CZ319" i="6" s="1"/>
  <c r="CV319" i="6"/>
  <c r="CW319" i="6" s="1"/>
  <c r="CU319" i="6"/>
  <c r="CT319" i="6"/>
  <c r="CS319" i="6"/>
  <c r="CR319" i="6"/>
  <c r="CQ319" i="6"/>
  <c r="CP319" i="6"/>
  <c r="CN319" i="6"/>
  <c r="CM319" i="6"/>
  <c r="CL319" i="6"/>
  <c r="CO319" i="6" s="1"/>
  <c r="CJ319" i="6"/>
  <c r="CI319" i="6"/>
  <c r="CK319" i="6" s="1"/>
  <c r="CG319" i="6"/>
  <c r="CH319" i="6" s="1"/>
  <c r="CF319" i="6"/>
  <c r="CE319" i="6"/>
  <c r="CD319" i="6"/>
  <c r="CB319" i="6"/>
  <c r="CC319" i="6" s="1"/>
  <c r="BZ319" i="6"/>
  <c r="BY319" i="6"/>
  <c r="BX319" i="6"/>
  <c r="DS319" i="6" s="1"/>
  <c r="BW319" i="6"/>
  <c r="BU319" i="6"/>
  <c r="BV319" i="6" s="1"/>
  <c r="BR319" i="6"/>
  <c r="BQ319" i="6"/>
  <c r="BS319" i="6" s="1"/>
  <c r="BO319" i="6"/>
  <c r="BP319" i="6" s="1"/>
  <c r="BM319" i="6"/>
  <c r="BL319" i="6"/>
  <c r="BK319" i="6"/>
  <c r="BJ319" i="6"/>
  <c r="BI319" i="6"/>
  <c r="BH319" i="6"/>
  <c r="BG319" i="6"/>
  <c r="BF319" i="6"/>
  <c r="BD319" i="6"/>
  <c r="BC319" i="6"/>
  <c r="BE319" i="6" s="1"/>
  <c r="BB319" i="6"/>
  <c r="AZ319" i="6"/>
  <c r="BA319" i="6" s="1"/>
  <c r="AY319" i="6"/>
  <c r="AX319" i="6"/>
  <c r="AW319" i="6"/>
  <c r="AV319" i="6"/>
  <c r="AU319" i="6"/>
  <c r="AT319" i="6"/>
  <c r="AS319" i="6"/>
  <c r="AQ319" i="6"/>
  <c r="AR319" i="6" s="1"/>
  <c r="AP319" i="6"/>
  <c r="AO319" i="6"/>
  <c r="AN319" i="6"/>
  <c r="AM319" i="6"/>
  <c r="AK319" i="6"/>
  <c r="AL319" i="6" s="1"/>
  <c r="AI319" i="6"/>
  <c r="AJ319" i="6" s="1"/>
  <c r="AG319" i="6"/>
  <c r="AF319" i="6"/>
  <c r="AE319" i="6"/>
  <c r="AD319" i="6"/>
  <c r="AC319" i="6"/>
  <c r="AA319" i="6"/>
  <c r="Z319" i="6"/>
  <c r="Y319" i="6"/>
  <c r="X319" i="6"/>
  <c r="W319" i="6"/>
  <c r="V319" i="6"/>
  <c r="T319" i="6"/>
  <c r="R319" i="6"/>
  <c r="S319" i="6" s="1"/>
  <c r="P319" i="6"/>
  <c r="Q319" i="6" s="1"/>
  <c r="O319" i="6"/>
  <c r="N319" i="6"/>
  <c r="M319" i="6"/>
  <c r="J319" i="6"/>
  <c r="H319" i="6"/>
  <c r="G319" i="6"/>
  <c r="F319" i="6"/>
  <c r="DV319" i="6" s="1"/>
  <c r="E319" i="6"/>
  <c r="DP319" i="6" s="1"/>
  <c r="D319" i="6"/>
  <c r="C319" i="6"/>
  <c r="B319" i="6"/>
  <c r="DW318" i="6"/>
  <c r="DS318" i="6"/>
  <c r="DR318" i="6"/>
  <c r="DP318" i="6"/>
  <c r="DM318" i="6"/>
  <c r="DL318" i="6"/>
  <c r="DK318" i="6"/>
  <c r="DJ318" i="6"/>
  <c r="DN318" i="6" s="1"/>
  <c r="DH318" i="6"/>
  <c r="DI318" i="6" s="1"/>
  <c r="DG318" i="6"/>
  <c r="DF318" i="6"/>
  <c r="DD318" i="6"/>
  <c r="DE318" i="6" s="1"/>
  <c r="DB318" i="6"/>
  <c r="DC318" i="6" s="1"/>
  <c r="DA318" i="6"/>
  <c r="CY318" i="6"/>
  <c r="CX318" i="6"/>
  <c r="CZ318" i="6" s="1"/>
  <c r="CV318" i="6"/>
  <c r="CW318" i="6" s="1"/>
  <c r="CU318" i="6"/>
  <c r="CT318" i="6"/>
  <c r="CR318" i="6"/>
  <c r="CQ318" i="6"/>
  <c r="CP318" i="6"/>
  <c r="CS318" i="6" s="1"/>
  <c r="CO318" i="6"/>
  <c r="CN318" i="6"/>
  <c r="CM318" i="6"/>
  <c r="CL318" i="6"/>
  <c r="CK318" i="6"/>
  <c r="CJ318" i="6"/>
  <c r="CI318" i="6"/>
  <c r="CH318" i="6"/>
  <c r="CG318" i="6"/>
  <c r="CF318" i="6"/>
  <c r="CE318" i="6"/>
  <c r="CD318" i="6"/>
  <c r="CB318" i="6"/>
  <c r="CC318" i="6" s="1"/>
  <c r="BZ318" i="6"/>
  <c r="BY318" i="6"/>
  <c r="BX318" i="6"/>
  <c r="BW318" i="6"/>
  <c r="CA318" i="6" s="1"/>
  <c r="BU318" i="6"/>
  <c r="BV318" i="6" s="1"/>
  <c r="BR318" i="6"/>
  <c r="BQ318" i="6"/>
  <c r="BS318" i="6" s="1"/>
  <c r="BP318" i="6"/>
  <c r="BO318" i="6"/>
  <c r="BM318" i="6"/>
  <c r="BL318" i="6"/>
  <c r="BK318" i="6"/>
  <c r="BJ318" i="6"/>
  <c r="BN318" i="6" s="1"/>
  <c r="BI318" i="6"/>
  <c r="BH318" i="6"/>
  <c r="BG318" i="6"/>
  <c r="BF318" i="6"/>
  <c r="BD318" i="6"/>
  <c r="BC318" i="6"/>
  <c r="BB318" i="6"/>
  <c r="BE318" i="6" s="1"/>
  <c r="BA318" i="6"/>
  <c r="AZ318" i="6"/>
  <c r="AY318" i="6"/>
  <c r="AW318" i="6"/>
  <c r="AX318" i="6" s="1"/>
  <c r="AV318" i="6"/>
  <c r="AT318" i="6"/>
  <c r="AS318" i="6"/>
  <c r="AU318" i="6" s="1"/>
  <c r="AR318" i="6"/>
  <c r="AQ318" i="6"/>
  <c r="AP318" i="6"/>
  <c r="AN318" i="6"/>
  <c r="AM318" i="6"/>
  <c r="AK318" i="6"/>
  <c r="AL318" i="6" s="1"/>
  <c r="AI318" i="6"/>
  <c r="AJ318" i="6" s="1"/>
  <c r="AG318" i="6"/>
  <c r="AE318" i="6"/>
  <c r="AD318" i="6"/>
  <c r="AC318" i="6"/>
  <c r="AF318" i="6" s="1"/>
  <c r="AA318" i="6"/>
  <c r="AB318" i="6" s="1"/>
  <c r="Z318" i="6"/>
  <c r="Y318" i="6"/>
  <c r="W318" i="6"/>
  <c r="V318" i="6"/>
  <c r="T318" i="6"/>
  <c r="R318" i="6"/>
  <c r="S318" i="6" s="1"/>
  <c r="Q318" i="6"/>
  <c r="P318" i="6"/>
  <c r="O318" i="6"/>
  <c r="N318" i="6"/>
  <c r="M318" i="6"/>
  <c r="J318" i="6"/>
  <c r="H318" i="6"/>
  <c r="G318" i="6"/>
  <c r="F318" i="6"/>
  <c r="DV318" i="6" s="1"/>
  <c r="E318" i="6"/>
  <c r="D318" i="6"/>
  <c r="C318" i="6"/>
  <c r="B318" i="6"/>
  <c r="DW317" i="6"/>
  <c r="DN317" i="6"/>
  <c r="DM317" i="6"/>
  <c r="DL317" i="6"/>
  <c r="DK317" i="6"/>
  <c r="DJ317" i="6"/>
  <c r="DI317" i="6"/>
  <c r="DH317" i="6"/>
  <c r="DF317" i="6"/>
  <c r="DG317" i="6" s="1"/>
  <c r="DE317" i="6"/>
  <c r="DD317" i="6"/>
  <c r="DC317" i="6"/>
  <c r="DB317" i="6"/>
  <c r="DA317" i="6"/>
  <c r="CY317" i="6"/>
  <c r="CX317" i="6"/>
  <c r="CZ317" i="6" s="1"/>
  <c r="CW317" i="6"/>
  <c r="CV317" i="6"/>
  <c r="CU317" i="6"/>
  <c r="CT317" i="6"/>
  <c r="CR317" i="6"/>
  <c r="CQ317" i="6"/>
  <c r="CP317" i="6"/>
  <c r="CS317" i="6" s="1"/>
  <c r="CN317" i="6"/>
  <c r="CM317" i="6"/>
  <c r="CL317" i="6"/>
  <c r="CO317" i="6" s="1"/>
  <c r="CJ317" i="6"/>
  <c r="CI317" i="6"/>
  <c r="CK317" i="6" s="1"/>
  <c r="CH317" i="6"/>
  <c r="CG317" i="6"/>
  <c r="CF317" i="6"/>
  <c r="CE317" i="6"/>
  <c r="CD317" i="6"/>
  <c r="CB317" i="6"/>
  <c r="CC317" i="6" s="1"/>
  <c r="BZ317" i="6"/>
  <c r="BY317" i="6"/>
  <c r="BX317" i="6"/>
  <c r="BW317" i="6"/>
  <c r="CA317" i="6" s="1"/>
  <c r="BU317" i="6"/>
  <c r="BV317" i="6" s="1"/>
  <c r="BS317" i="6"/>
  <c r="BR317" i="6"/>
  <c r="BQ317" i="6"/>
  <c r="BP317" i="6"/>
  <c r="BO317" i="6"/>
  <c r="BM317" i="6"/>
  <c r="BL317" i="6"/>
  <c r="BK317" i="6"/>
  <c r="BJ317" i="6"/>
  <c r="BN317" i="6" s="1"/>
  <c r="BI317" i="6"/>
  <c r="BH317" i="6"/>
  <c r="BG317" i="6"/>
  <c r="BF317" i="6"/>
  <c r="BE317" i="6"/>
  <c r="BD317" i="6"/>
  <c r="BC317" i="6"/>
  <c r="BB317" i="6"/>
  <c r="BA317" i="6"/>
  <c r="AZ317" i="6"/>
  <c r="AY317" i="6"/>
  <c r="AX317" i="6"/>
  <c r="AW317" i="6"/>
  <c r="AV317" i="6"/>
  <c r="AU317" i="6"/>
  <c r="AT317" i="6"/>
  <c r="AS317" i="6"/>
  <c r="AR317" i="6"/>
  <c r="AQ317" i="6"/>
  <c r="AP317" i="6"/>
  <c r="AN317" i="6"/>
  <c r="AO317" i="6" s="1"/>
  <c r="AM317" i="6"/>
  <c r="AL317" i="6"/>
  <c r="AK317" i="6"/>
  <c r="AI317" i="6"/>
  <c r="AJ317" i="6" s="1"/>
  <c r="AG317" i="6"/>
  <c r="AE317" i="6"/>
  <c r="AD317" i="6"/>
  <c r="AC317" i="6"/>
  <c r="AF317" i="6" s="1"/>
  <c r="AA317" i="6"/>
  <c r="Z317" i="6"/>
  <c r="AB317" i="6" s="1"/>
  <c r="Y317" i="6"/>
  <c r="W317" i="6"/>
  <c r="X317" i="6" s="1"/>
  <c r="V317" i="6"/>
  <c r="T317" i="6"/>
  <c r="S317" i="6"/>
  <c r="R317" i="6"/>
  <c r="P317" i="6"/>
  <c r="Q317" i="6" s="1"/>
  <c r="O317" i="6"/>
  <c r="N317" i="6"/>
  <c r="M317" i="6"/>
  <c r="J317" i="6"/>
  <c r="H317" i="6"/>
  <c r="G317" i="6"/>
  <c r="DU317" i="6" s="1"/>
  <c r="F317" i="6"/>
  <c r="DV317" i="6" s="1"/>
  <c r="E317" i="6"/>
  <c r="DP317" i="6" s="1"/>
  <c r="D317" i="6"/>
  <c r="C317" i="6"/>
  <c r="B317" i="6"/>
  <c r="DW316" i="6"/>
  <c r="DQ316" i="6"/>
  <c r="DM316" i="6"/>
  <c r="DN316" i="6" s="1"/>
  <c r="DL316" i="6"/>
  <c r="DK316" i="6"/>
  <c r="DJ316" i="6"/>
  <c r="DI316" i="6"/>
  <c r="DH316" i="6"/>
  <c r="DF316" i="6"/>
  <c r="DG316" i="6" s="1"/>
  <c r="DD316" i="6"/>
  <c r="DE316" i="6" s="1"/>
  <c r="DC316" i="6"/>
  <c r="DB316" i="6"/>
  <c r="DA316" i="6"/>
  <c r="CY316" i="6"/>
  <c r="CX316" i="6"/>
  <c r="CZ316" i="6" s="1"/>
  <c r="CW316" i="6"/>
  <c r="CV316" i="6"/>
  <c r="CT316" i="6"/>
  <c r="CU316" i="6" s="1"/>
  <c r="CR316" i="6"/>
  <c r="CQ316" i="6"/>
  <c r="CP316" i="6"/>
  <c r="CS316" i="6" s="1"/>
  <c r="CN316" i="6"/>
  <c r="CM316" i="6"/>
  <c r="CL316" i="6"/>
  <c r="CJ316" i="6"/>
  <c r="CI316" i="6"/>
  <c r="CK316" i="6" s="1"/>
  <c r="CG316" i="6"/>
  <c r="CH316" i="6" s="1"/>
  <c r="CF316" i="6"/>
  <c r="CE316" i="6"/>
  <c r="CD316" i="6"/>
  <c r="CB316" i="6"/>
  <c r="CC316" i="6" s="1"/>
  <c r="BZ316" i="6"/>
  <c r="BY316" i="6"/>
  <c r="BX316" i="6"/>
  <c r="BW316" i="6"/>
  <c r="BV316" i="6"/>
  <c r="BU316" i="6"/>
  <c r="BR316" i="6"/>
  <c r="BS316" i="6" s="1"/>
  <c r="BQ316" i="6"/>
  <c r="BO316" i="6"/>
  <c r="BP316" i="6" s="1"/>
  <c r="BN316" i="6"/>
  <c r="BM316" i="6"/>
  <c r="BL316" i="6"/>
  <c r="BK316" i="6"/>
  <c r="BJ316" i="6"/>
  <c r="BI316" i="6"/>
  <c r="BH316" i="6"/>
  <c r="BG316" i="6"/>
  <c r="BF316" i="6"/>
  <c r="BD316" i="6"/>
  <c r="BC316" i="6"/>
  <c r="BB316" i="6"/>
  <c r="BE316" i="6" s="1"/>
  <c r="AZ316" i="6"/>
  <c r="BA316" i="6" s="1"/>
  <c r="AY316" i="6"/>
  <c r="AW316" i="6"/>
  <c r="AV316" i="6"/>
  <c r="AT316" i="6"/>
  <c r="DS316" i="6" s="1"/>
  <c r="AS316" i="6"/>
  <c r="AQ316" i="6"/>
  <c r="AR316" i="6" s="1"/>
  <c r="AP316" i="6"/>
  <c r="AO316" i="6"/>
  <c r="AN316" i="6"/>
  <c r="AM316" i="6"/>
  <c r="AL316" i="6"/>
  <c r="AK316" i="6"/>
  <c r="AI316" i="6"/>
  <c r="AJ316" i="6" s="1"/>
  <c r="AG316" i="6"/>
  <c r="AE316" i="6"/>
  <c r="AD316" i="6"/>
  <c r="AC316" i="6"/>
  <c r="AA316" i="6"/>
  <c r="AB316" i="6" s="1"/>
  <c r="Z316" i="6"/>
  <c r="Y316" i="6"/>
  <c r="X316" i="6"/>
  <c r="W316" i="6"/>
  <c r="V316" i="6"/>
  <c r="T316" i="6"/>
  <c r="S316" i="6"/>
  <c r="R316" i="6"/>
  <c r="DU316" i="6" s="1"/>
  <c r="P316" i="6"/>
  <c r="Q316" i="6" s="1"/>
  <c r="O316" i="6"/>
  <c r="N316" i="6"/>
  <c r="M316" i="6"/>
  <c r="J316" i="6"/>
  <c r="I316" i="6"/>
  <c r="H316" i="6"/>
  <c r="G316" i="6"/>
  <c r="F316" i="6"/>
  <c r="E316" i="6"/>
  <c r="DP316" i="6" s="1"/>
  <c r="D316" i="6"/>
  <c r="C316" i="6"/>
  <c r="B316" i="6"/>
  <c r="DW315" i="6"/>
  <c r="DM315" i="6"/>
  <c r="DL315" i="6"/>
  <c r="DK315" i="6"/>
  <c r="DJ315" i="6"/>
  <c r="DH315" i="6"/>
  <c r="DI315" i="6" s="1"/>
  <c r="DF315" i="6"/>
  <c r="DG315" i="6" s="1"/>
  <c r="DE315" i="6"/>
  <c r="DD315" i="6"/>
  <c r="DC315" i="6"/>
  <c r="DB315" i="6"/>
  <c r="DA315" i="6"/>
  <c r="CY315" i="6"/>
  <c r="CX315" i="6"/>
  <c r="CZ315" i="6" s="1"/>
  <c r="CW315" i="6"/>
  <c r="CV315" i="6"/>
  <c r="CU315" i="6"/>
  <c r="CT315" i="6"/>
  <c r="CS315" i="6"/>
  <c r="CR315" i="6"/>
  <c r="CQ315" i="6"/>
  <c r="CP315" i="6"/>
  <c r="CN315" i="6"/>
  <c r="CM315" i="6"/>
  <c r="CO315" i="6" s="1"/>
  <c r="CL315" i="6"/>
  <c r="CK315" i="6"/>
  <c r="CJ315" i="6"/>
  <c r="CI315" i="6"/>
  <c r="CH315" i="6"/>
  <c r="CG315" i="6"/>
  <c r="CF315" i="6"/>
  <c r="CE315" i="6"/>
  <c r="CD315" i="6"/>
  <c r="CB315" i="6"/>
  <c r="CC315" i="6" s="1"/>
  <c r="CA315" i="6"/>
  <c r="BZ315" i="6"/>
  <c r="BY315" i="6"/>
  <c r="BX315" i="6"/>
  <c r="BW315" i="6"/>
  <c r="BV315" i="6"/>
  <c r="BU315" i="6"/>
  <c r="BR315" i="6"/>
  <c r="BQ315" i="6"/>
  <c r="BS315" i="6" s="1"/>
  <c r="BO315" i="6"/>
  <c r="BP315" i="6" s="1"/>
  <c r="BM315" i="6"/>
  <c r="BL315" i="6"/>
  <c r="BK315" i="6"/>
  <c r="BJ315" i="6"/>
  <c r="BH315" i="6"/>
  <c r="BI315" i="6" s="1"/>
  <c r="BG315" i="6"/>
  <c r="BF315" i="6"/>
  <c r="BE315" i="6"/>
  <c r="BD315" i="6"/>
  <c r="BC315" i="6"/>
  <c r="BB315" i="6"/>
  <c r="BA315" i="6"/>
  <c r="AZ315" i="6"/>
  <c r="AY315" i="6"/>
  <c r="AX315" i="6"/>
  <c r="AW315" i="6"/>
  <c r="AV315" i="6"/>
  <c r="AT315" i="6"/>
  <c r="AS315" i="6"/>
  <c r="AU315" i="6" s="1"/>
  <c r="AQ315" i="6"/>
  <c r="AR315" i="6" s="1"/>
  <c r="AP315" i="6"/>
  <c r="AN315" i="6"/>
  <c r="AO315" i="6" s="1"/>
  <c r="AM315" i="6"/>
  <c r="AL315" i="6"/>
  <c r="AK315" i="6"/>
  <c r="AI315" i="6"/>
  <c r="AJ315" i="6" s="1"/>
  <c r="AG315" i="6"/>
  <c r="AE315" i="6"/>
  <c r="AD315" i="6"/>
  <c r="AC315" i="6"/>
  <c r="AF315" i="6" s="1"/>
  <c r="AA315" i="6"/>
  <c r="Z315" i="6"/>
  <c r="AB315" i="6" s="1"/>
  <c r="Y315" i="6"/>
  <c r="W315" i="6"/>
  <c r="V315" i="6"/>
  <c r="T315" i="6"/>
  <c r="R315" i="6"/>
  <c r="S315" i="6" s="1"/>
  <c r="P315" i="6"/>
  <c r="O315" i="6"/>
  <c r="N315" i="6"/>
  <c r="M315" i="6"/>
  <c r="J315" i="6"/>
  <c r="H315" i="6"/>
  <c r="G315" i="6"/>
  <c r="F315" i="6"/>
  <c r="E315" i="6"/>
  <c r="D315" i="6"/>
  <c r="C315" i="6"/>
  <c r="B315" i="6"/>
  <c r="DW314" i="6"/>
  <c r="DM314" i="6"/>
  <c r="DL314" i="6"/>
  <c r="DK314" i="6"/>
  <c r="DN314" i="6" s="1"/>
  <c r="DJ314" i="6"/>
  <c r="DH314" i="6"/>
  <c r="DI314" i="6" s="1"/>
  <c r="DF314" i="6"/>
  <c r="DG314" i="6" s="1"/>
  <c r="DD314" i="6"/>
  <c r="DE314" i="6" s="1"/>
  <c r="DB314" i="6"/>
  <c r="DA314" i="6"/>
  <c r="CY314" i="6"/>
  <c r="CZ314" i="6" s="1"/>
  <c r="CX314" i="6"/>
  <c r="CV314" i="6"/>
  <c r="CW314" i="6" s="1"/>
  <c r="CU314" i="6"/>
  <c r="CT314" i="6"/>
  <c r="CR314" i="6"/>
  <c r="CQ314" i="6"/>
  <c r="CP314" i="6"/>
  <c r="CN314" i="6"/>
  <c r="CM314" i="6"/>
  <c r="CL314" i="6"/>
  <c r="CO314" i="6" s="1"/>
  <c r="CJ314" i="6"/>
  <c r="CI314" i="6"/>
  <c r="CH314" i="6"/>
  <c r="CG314" i="6"/>
  <c r="CE314" i="6"/>
  <c r="CF314" i="6" s="1"/>
  <c r="CD314" i="6"/>
  <c r="CB314" i="6"/>
  <c r="CC314" i="6" s="1"/>
  <c r="CA314" i="6"/>
  <c r="BZ314" i="6"/>
  <c r="BY314" i="6"/>
  <c r="BX314" i="6"/>
  <c r="BW314" i="6"/>
  <c r="BV314" i="6"/>
  <c r="BU314" i="6"/>
  <c r="BS314" i="6"/>
  <c r="BR314" i="6"/>
  <c r="BQ314" i="6"/>
  <c r="BO314" i="6"/>
  <c r="BP314" i="6" s="1"/>
  <c r="BM314" i="6"/>
  <c r="BL314" i="6"/>
  <c r="BK314" i="6"/>
  <c r="BJ314" i="6"/>
  <c r="BI314" i="6"/>
  <c r="BH314" i="6"/>
  <c r="BF314" i="6"/>
  <c r="BG314" i="6" s="1"/>
  <c r="BD314" i="6"/>
  <c r="BC314" i="6"/>
  <c r="BB314" i="6"/>
  <c r="BE314" i="6" s="1"/>
  <c r="BA314" i="6"/>
  <c r="AZ314" i="6"/>
  <c r="AY314" i="6"/>
  <c r="AX314" i="6"/>
  <c r="AW314" i="6"/>
  <c r="AV314" i="6"/>
  <c r="AT314" i="6"/>
  <c r="AS314" i="6"/>
  <c r="AU314" i="6" s="1"/>
  <c r="AQ314" i="6"/>
  <c r="AP314" i="6"/>
  <c r="AO314" i="6"/>
  <c r="AN314" i="6"/>
  <c r="AM314" i="6"/>
  <c r="AK314" i="6"/>
  <c r="AL314" i="6" s="1"/>
  <c r="AI314" i="6"/>
  <c r="AJ314" i="6" s="1"/>
  <c r="AG314" i="6"/>
  <c r="AE314" i="6"/>
  <c r="AD314" i="6"/>
  <c r="AC314" i="6"/>
  <c r="AB314" i="6"/>
  <c r="AA314" i="6"/>
  <c r="Z314" i="6"/>
  <c r="Y314" i="6"/>
  <c r="W314" i="6"/>
  <c r="V314" i="6"/>
  <c r="X314" i="6" s="1"/>
  <c r="T314" i="6"/>
  <c r="R314" i="6"/>
  <c r="S314" i="6" s="1"/>
  <c r="P314" i="6"/>
  <c r="O314" i="6"/>
  <c r="N314" i="6"/>
  <c r="M314" i="6"/>
  <c r="J314" i="6"/>
  <c r="H314" i="6"/>
  <c r="G314" i="6"/>
  <c r="F314" i="6"/>
  <c r="E314" i="6"/>
  <c r="D314" i="6"/>
  <c r="C314" i="6"/>
  <c r="B314" i="6"/>
  <c r="DW313" i="6"/>
  <c r="DM313" i="6"/>
  <c r="DL313" i="6"/>
  <c r="DK313" i="6"/>
  <c r="DN313" i="6" s="1"/>
  <c r="DJ313" i="6"/>
  <c r="DH313" i="6"/>
  <c r="DI313" i="6" s="1"/>
  <c r="DF313" i="6"/>
  <c r="DG313" i="6" s="1"/>
  <c r="DE313" i="6"/>
  <c r="DD313" i="6"/>
  <c r="DB313" i="6"/>
  <c r="DA313" i="6"/>
  <c r="DC313" i="6" s="1"/>
  <c r="CY313" i="6"/>
  <c r="CZ313" i="6" s="1"/>
  <c r="CX313" i="6"/>
  <c r="CW313" i="6"/>
  <c r="CV313" i="6"/>
  <c r="CT313" i="6"/>
  <c r="CU313" i="6" s="1"/>
  <c r="CR313" i="6"/>
  <c r="CQ313" i="6"/>
  <c r="CP313" i="6"/>
  <c r="CO313" i="6"/>
  <c r="CN313" i="6"/>
  <c r="CM313" i="6"/>
  <c r="CL313" i="6"/>
  <c r="CJ313" i="6"/>
  <c r="CI313" i="6"/>
  <c r="CH313" i="6"/>
  <c r="CG313" i="6"/>
  <c r="CE313" i="6"/>
  <c r="CD313" i="6"/>
  <c r="CF313" i="6" s="1"/>
  <c r="CB313" i="6"/>
  <c r="CC313" i="6" s="1"/>
  <c r="BZ313" i="6"/>
  <c r="BY313" i="6"/>
  <c r="CA313" i="6" s="1"/>
  <c r="BX313" i="6"/>
  <c r="BW313" i="6"/>
  <c r="BU313" i="6"/>
  <c r="BV313" i="6" s="1"/>
  <c r="BS313" i="6"/>
  <c r="BR313" i="6"/>
  <c r="BQ313" i="6"/>
  <c r="BO313" i="6"/>
  <c r="BP313" i="6" s="1"/>
  <c r="BM313" i="6"/>
  <c r="BL313" i="6"/>
  <c r="BK313" i="6"/>
  <c r="BN313" i="6" s="1"/>
  <c r="BJ313" i="6"/>
  <c r="BH313" i="6"/>
  <c r="BI313" i="6" s="1"/>
  <c r="BG313" i="6"/>
  <c r="BF313" i="6"/>
  <c r="BD313" i="6"/>
  <c r="BC313" i="6"/>
  <c r="BB313" i="6"/>
  <c r="BE313" i="6" s="1"/>
  <c r="BA313" i="6"/>
  <c r="AZ313" i="6"/>
  <c r="AY313" i="6"/>
  <c r="AW313" i="6"/>
  <c r="AV313" i="6"/>
  <c r="AX313" i="6" s="1"/>
  <c r="AT313" i="6"/>
  <c r="AS313" i="6"/>
  <c r="AU313" i="6" s="1"/>
  <c r="AQ313" i="6"/>
  <c r="AP313" i="6"/>
  <c r="AR313" i="6" s="1"/>
  <c r="AN313" i="6"/>
  <c r="AM313" i="6"/>
  <c r="AO313" i="6" s="1"/>
  <c r="AK313" i="6"/>
  <c r="AL313" i="6" s="1"/>
  <c r="AJ313" i="6"/>
  <c r="AI313" i="6"/>
  <c r="AG313" i="6"/>
  <c r="AE313" i="6"/>
  <c r="AD313" i="6"/>
  <c r="DR313" i="6" s="1"/>
  <c r="AC313" i="6"/>
  <c r="DS313" i="6" s="1"/>
  <c r="AB313" i="6"/>
  <c r="AA313" i="6"/>
  <c r="Z313" i="6"/>
  <c r="Y313" i="6"/>
  <c r="X313" i="6"/>
  <c r="W313" i="6"/>
  <c r="V313" i="6"/>
  <c r="T313" i="6"/>
  <c r="R313" i="6"/>
  <c r="S313" i="6" s="1"/>
  <c r="P313" i="6"/>
  <c r="O313" i="6"/>
  <c r="N313" i="6"/>
  <c r="M313" i="6"/>
  <c r="J313" i="6"/>
  <c r="H313" i="6"/>
  <c r="G313" i="6"/>
  <c r="F313" i="6"/>
  <c r="E313" i="6"/>
  <c r="D313" i="6"/>
  <c r="C313" i="6"/>
  <c r="B313" i="6"/>
  <c r="DW312" i="6"/>
  <c r="DP312" i="6"/>
  <c r="DN312" i="6"/>
  <c r="DM312" i="6"/>
  <c r="DL312" i="6"/>
  <c r="DK312" i="6"/>
  <c r="DJ312" i="6"/>
  <c r="DH312" i="6"/>
  <c r="DI312" i="6" s="1"/>
  <c r="DG312" i="6"/>
  <c r="DF312" i="6"/>
  <c r="DE312" i="6"/>
  <c r="DD312" i="6"/>
  <c r="DB312" i="6"/>
  <c r="DA312" i="6"/>
  <c r="DC312" i="6" s="1"/>
  <c r="CZ312" i="6"/>
  <c r="CY312" i="6"/>
  <c r="CX312" i="6"/>
  <c r="CW312" i="6"/>
  <c r="CV312" i="6"/>
  <c r="CU312" i="6"/>
  <c r="CT312" i="6"/>
  <c r="CR312" i="6"/>
  <c r="DR312" i="6" s="1"/>
  <c r="CQ312" i="6"/>
  <c r="CP312" i="6"/>
  <c r="CO312" i="6"/>
  <c r="CN312" i="6"/>
  <c r="CM312" i="6"/>
  <c r="CL312" i="6"/>
  <c r="CK312" i="6"/>
  <c r="CJ312" i="6"/>
  <c r="CI312" i="6"/>
  <c r="CH312" i="6"/>
  <c r="CG312" i="6"/>
  <c r="CE312" i="6"/>
  <c r="CD312" i="6"/>
  <c r="CF312" i="6" s="1"/>
  <c r="CC312" i="6"/>
  <c r="CB312" i="6"/>
  <c r="BZ312" i="6"/>
  <c r="BY312" i="6"/>
  <c r="BX312" i="6"/>
  <c r="BW312" i="6"/>
  <c r="CA312" i="6" s="1"/>
  <c r="BU312" i="6"/>
  <c r="BV312" i="6" s="1"/>
  <c r="BR312" i="6"/>
  <c r="BS312" i="6" s="1"/>
  <c r="BQ312" i="6"/>
  <c r="BO312" i="6"/>
  <c r="BP312" i="6" s="1"/>
  <c r="BN312" i="6"/>
  <c r="BM312" i="6"/>
  <c r="BL312" i="6"/>
  <c r="BK312" i="6"/>
  <c r="BJ312" i="6"/>
  <c r="BI312" i="6"/>
  <c r="BH312" i="6"/>
  <c r="BF312" i="6"/>
  <c r="BG312" i="6" s="1"/>
  <c r="BE312" i="6"/>
  <c r="BD312" i="6"/>
  <c r="BC312" i="6"/>
  <c r="BB312" i="6"/>
  <c r="AZ312" i="6"/>
  <c r="AY312" i="6"/>
  <c r="BA312" i="6" s="1"/>
  <c r="AW312" i="6"/>
  <c r="AV312" i="6"/>
  <c r="AT312" i="6"/>
  <c r="AS312" i="6"/>
  <c r="AU312" i="6" s="1"/>
  <c r="AR312" i="6"/>
  <c r="AQ312" i="6"/>
  <c r="AP312" i="6"/>
  <c r="AO312" i="6"/>
  <c r="AN312" i="6"/>
  <c r="AM312" i="6"/>
  <c r="AK312" i="6"/>
  <c r="AL312" i="6" s="1"/>
  <c r="AJ312" i="6"/>
  <c r="AI312" i="6"/>
  <c r="AG312" i="6"/>
  <c r="AF312" i="6"/>
  <c r="AE312" i="6"/>
  <c r="AD312" i="6"/>
  <c r="AC312" i="6"/>
  <c r="AA312" i="6"/>
  <c r="AB312" i="6" s="1"/>
  <c r="Z312" i="6"/>
  <c r="Y312" i="6"/>
  <c r="X312" i="6"/>
  <c r="W312" i="6"/>
  <c r="V312" i="6"/>
  <c r="T312" i="6"/>
  <c r="S312" i="6"/>
  <c r="R312" i="6"/>
  <c r="Q312" i="6"/>
  <c r="P312" i="6"/>
  <c r="O312" i="6"/>
  <c r="N312" i="6"/>
  <c r="M312" i="6"/>
  <c r="J312" i="6"/>
  <c r="I312" i="6"/>
  <c r="H312" i="6"/>
  <c r="G312" i="6"/>
  <c r="F312" i="6"/>
  <c r="E312" i="6"/>
  <c r="D312" i="6"/>
  <c r="C312" i="6"/>
  <c r="B312" i="6"/>
  <c r="DW311" i="6"/>
  <c r="DN311" i="6"/>
  <c r="DM311" i="6"/>
  <c r="DL311" i="6"/>
  <c r="DK311" i="6"/>
  <c r="DJ311" i="6"/>
  <c r="DH311" i="6"/>
  <c r="DI311" i="6" s="1"/>
  <c r="DF311" i="6"/>
  <c r="DG311" i="6" s="1"/>
  <c r="DD311" i="6"/>
  <c r="DE311" i="6" s="1"/>
  <c r="DC311" i="6"/>
  <c r="DB311" i="6"/>
  <c r="DA311" i="6"/>
  <c r="CY311" i="6"/>
  <c r="CZ311" i="6" s="1"/>
  <c r="CX311" i="6"/>
  <c r="CV311" i="6"/>
  <c r="CW311" i="6" s="1"/>
  <c r="CT311" i="6"/>
  <c r="CU311" i="6" s="1"/>
  <c r="CR311" i="6"/>
  <c r="CQ311" i="6"/>
  <c r="CP311" i="6"/>
  <c r="CS311" i="6" s="1"/>
  <c r="CN311" i="6"/>
  <c r="CM311" i="6"/>
  <c r="CL311" i="6"/>
  <c r="CO311" i="6" s="1"/>
  <c r="CJ311" i="6"/>
  <c r="CK311" i="6" s="1"/>
  <c r="CI311" i="6"/>
  <c r="CG311" i="6"/>
  <c r="CH311" i="6" s="1"/>
  <c r="CF311" i="6"/>
  <c r="CE311" i="6"/>
  <c r="CD311" i="6"/>
  <c r="CC311" i="6"/>
  <c r="CB311" i="6"/>
  <c r="BZ311" i="6"/>
  <c r="BY311" i="6"/>
  <c r="BX311" i="6"/>
  <c r="DS311" i="6" s="1"/>
  <c r="BW311" i="6"/>
  <c r="CA311" i="6" s="1"/>
  <c r="BV311" i="6"/>
  <c r="BU311" i="6"/>
  <c r="BR311" i="6"/>
  <c r="BS311" i="6" s="1"/>
  <c r="BQ311" i="6"/>
  <c r="BO311" i="6"/>
  <c r="BP311" i="6" s="1"/>
  <c r="BN311" i="6"/>
  <c r="BM311" i="6"/>
  <c r="BL311" i="6"/>
  <c r="BK311" i="6"/>
  <c r="BJ311" i="6"/>
  <c r="BI311" i="6"/>
  <c r="BH311" i="6"/>
  <c r="BF311" i="6"/>
  <c r="BG311" i="6" s="1"/>
  <c r="BE311" i="6"/>
  <c r="BD311" i="6"/>
  <c r="BC311" i="6"/>
  <c r="BB311" i="6"/>
  <c r="AZ311" i="6"/>
  <c r="AY311" i="6"/>
  <c r="BA311" i="6" s="1"/>
  <c r="AW311" i="6"/>
  <c r="AV311" i="6"/>
  <c r="AX311" i="6" s="1"/>
  <c r="AT311" i="6"/>
  <c r="AS311" i="6"/>
  <c r="AU311" i="6" s="1"/>
  <c r="AQ311" i="6"/>
  <c r="AP311" i="6"/>
  <c r="AR311" i="6" s="1"/>
  <c r="AO311" i="6"/>
  <c r="AN311" i="6"/>
  <c r="AM311" i="6"/>
  <c r="AK311" i="6"/>
  <c r="AL311" i="6" s="1"/>
  <c r="AJ311" i="6"/>
  <c r="AI311" i="6"/>
  <c r="AG311" i="6"/>
  <c r="AF311" i="6"/>
  <c r="AE311" i="6"/>
  <c r="AD311" i="6"/>
  <c r="AC311" i="6"/>
  <c r="AA311" i="6"/>
  <c r="Z311" i="6"/>
  <c r="AB311" i="6" s="1"/>
  <c r="Y311" i="6"/>
  <c r="W311" i="6"/>
  <c r="DV311" i="6" s="1"/>
  <c r="V311" i="6"/>
  <c r="T311" i="6"/>
  <c r="R311" i="6"/>
  <c r="S311" i="6" s="1"/>
  <c r="Q311" i="6"/>
  <c r="P311" i="6"/>
  <c r="O311" i="6"/>
  <c r="N311" i="6"/>
  <c r="M311" i="6"/>
  <c r="J311" i="6"/>
  <c r="H311" i="6"/>
  <c r="G311" i="6"/>
  <c r="F311" i="6"/>
  <c r="E311" i="6"/>
  <c r="DP311" i="6" s="1"/>
  <c r="D311" i="6"/>
  <c r="C311" i="6"/>
  <c r="B311" i="6"/>
  <c r="DW310" i="6"/>
  <c r="DM310" i="6"/>
  <c r="DL310" i="6"/>
  <c r="DK310" i="6"/>
  <c r="DJ310" i="6"/>
  <c r="DN310" i="6" s="1"/>
  <c r="DH310" i="6"/>
  <c r="DI310" i="6" s="1"/>
  <c r="DF310" i="6"/>
  <c r="DG310" i="6" s="1"/>
  <c r="DD310" i="6"/>
  <c r="DE310" i="6" s="1"/>
  <c r="DC310" i="6"/>
  <c r="DB310" i="6"/>
  <c r="DA310" i="6"/>
  <c r="CY310" i="6"/>
  <c r="CZ310" i="6" s="1"/>
  <c r="CX310" i="6"/>
  <c r="CV310" i="6"/>
  <c r="CW310" i="6" s="1"/>
  <c r="CT310" i="6"/>
  <c r="CU310" i="6" s="1"/>
  <c r="CR310" i="6"/>
  <c r="CQ310" i="6"/>
  <c r="CP310" i="6"/>
  <c r="CO310" i="6"/>
  <c r="CN310" i="6"/>
  <c r="CM310" i="6"/>
  <c r="CL310" i="6"/>
  <c r="CJ310" i="6"/>
  <c r="CI310" i="6"/>
  <c r="CK310" i="6" s="1"/>
  <c r="CH310" i="6"/>
  <c r="CG310" i="6"/>
  <c r="CF310" i="6"/>
  <c r="CE310" i="6"/>
  <c r="CD310" i="6"/>
  <c r="CC310" i="6"/>
  <c r="CB310" i="6"/>
  <c r="BZ310" i="6"/>
  <c r="BY310" i="6"/>
  <c r="BX310" i="6"/>
  <c r="DS310" i="6" s="1"/>
  <c r="BW310" i="6"/>
  <c r="CA310" i="6" s="1"/>
  <c r="BV310" i="6"/>
  <c r="BU310" i="6"/>
  <c r="BR310" i="6"/>
  <c r="BQ310" i="6"/>
  <c r="BS310" i="6" s="1"/>
  <c r="BO310" i="6"/>
  <c r="BP310" i="6" s="1"/>
  <c r="BM310" i="6"/>
  <c r="BL310" i="6"/>
  <c r="BK310" i="6"/>
  <c r="BJ310" i="6"/>
  <c r="BN310" i="6" s="1"/>
  <c r="BI310" i="6"/>
  <c r="BH310" i="6"/>
  <c r="BF310" i="6"/>
  <c r="BG310" i="6" s="1"/>
  <c r="BD310" i="6"/>
  <c r="BC310" i="6"/>
  <c r="BE310" i="6" s="1"/>
  <c r="BB310" i="6"/>
  <c r="AZ310" i="6"/>
  <c r="AY310" i="6"/>
  <c r="BA310" i="6" s="1"/>
  <c r="AW310" i="6"/>
  <c r="AV310" i="6"/>
  <c r="AU310" i="6"/>
  <c r="AT310" i="6"/>
  <c r="AS310" i="6"/>
  <c r="AQ310" i="6"/>
  <c r="AP310" i="6"/>
  <c r="AR310" i="6" s="1"/>
  <c r="AN310" i="6"/>
  <c r="AO310" i="6" s="1"/>
  <c r="AM310" i="6"/>
  <c r="AL310" i="6"/>
  <c r="AK310" i="6"/>
  <c r="AJ310" i="6"/>
  <c r="AI310" i="6"/>
  <c r="AG310" i="6"/>
  <c r="AF310" i="6"/>
  <c r="AE310" i="6"/>
  <c r="AD310" i="6"/>
  <c r="AC310" i="6"/>
  <c r="AA310" i="6"/>
  <c r="Z310" i="6"/>
  <c r="AB310" i="6" s="1"/>
  <c r="Y310" i="6"/>
  <c r="X310" i="6"/>
  <c r="W310" i="6"/>
  <c r="DV310" i="6" s="1"/>
  <c r="V310" i="6"/>
  <c r="T310" i="6"/>
  <c r="S310" i="6"/>
  <c r="R310" i="6"/>
  <c r="P310" i="6"/>
  <c r="O310" i="6"/>
  <c r="N310" i="6"/>
  <c r="M310" i="6"/>
  <c r="J310" i="6"/>
  <c r="H310" i="6"/>
  <c r="G310" i="6"/>
  <c r="F310" i="6"/>
  <c r="E310" i="6"/>
  <c r="DP310" i="6" s="1"/>
  <c r="D310" i="6"/>
  <c r="C310" i="6"/>
  <c r="B310" i="6"/>
  <c r="DW309" i="6"/>
  <c r="DM309" i="6"/>
  <c r="DL309" i="6"/>
  <c r="DK309" i="6"/>
  <c r="DN309" i="6" s="1"/>
  <c r="DJ309" i="6"/>
  <c r="DH309" i="6"/>
  <c r="DI309" i="6" s="1"/>
  <c r="DF309" i="6"/>
  <c r="DG309" i="6" s="1"/>
  <c r="DE309" i="6"/>
  <c r="DD309" i="6"/>
  <c r="DC309" i="6"/>
  <c r="DB309" i="6"/>
  <c r="DA309" i="6"/>
  <c r="CY309" i="6"/>
  <c r="CZ309" i="6" s="1"/>
  <c r="CX309" i="6"/>
  <c r="CV309" i="6"/>
  <c r="CW309" i="6" s="1"/>
  <c r="CT309" i="6"/>
  <c r="CU309" i="6" s="1"/>
  <c r="CR309" i="6"/>
  <c r="CQ309" i="6"/>
  <c r="CP309" i="6"/>
  <c r="CN309" i="6"/>
  <c r="CM309" i="6"/>
  <c r="CL309" i="6"/>
  <c r="CO309" i="6" s="1"/>
  <c r="CJ309" i="6"/>
  <c r="CK309" i="6" s="1"/>
  <c r="CI309" i="6"/>
  <c r="CH309" i="6"/>
  <c r="CG309" i="6"/>
  <c r="CF309" i="6"/>
  <c r="CE309" i="6"/>
  <c r="CD309" i="6"/>
  <c r="CC309" i="6"/>
  <c r="CB309" i="6"/>
  <c r="BZ309" i="6"/>
  <c r="BY309" i="6"/>
  <c r="BX309" i="6"/>
  <c r="BW309" i="6"/>
  <c r="CA309" i="6" s="1"/>
  <c r="BU309" i="6"/>
  <c r="BV309" i="6" s="1"/>
  <c r="BS309" i="6"/>
  <c r="BR309" i="6"/>
  <c r="BQ309" i="6"/>
  <c r="BO309" i="6"/>
  <c r="BP309" i="6" s="1"/>
  <c r="BM309" i="6"/>
  <c r="BL309" i="6"/>
  <c r="BK309" i="6"/>
  <c r="BJ309" i="6"/>
  <c r="BN309" i="6" s="1"/>
  <c r="BI309" i="6"/>
  <c r="BH309" i="6"/>
  <c r="BF309" i="6"/>
  <c r="BG309" i="6" s="1"/>
  <c r="BD309" i="6"/>
  <c r="BC309" i="6"/>
  <c r="BE309" i="6" s="1"/>
  <c r="BB309" i="6"/>
  <c r="AZ309" i="6"/>
  <c r="AY309" i="6"/>
  <c r="BA309" i="6" s="1"/>
  <c r="AX309" i="6"/>
  <c r="AW309" i="6"/>
  <c r="AV309" i="6"/>
  <c r="AT309" i="6"/>
  <c r="AS309" i="6"/>
  <c r="AU309" i="6" s="1"/>
  <c r="AR309" i="6"/>
  <c r="AQ309" i="6"/>
  <c r="AP309" i="6"/>
  <c r="AN309" i="6"/>
  <c r="AO309" i="6" s="1"/>
  <c r="AM309" i="6"/>
  <c r="AL309" i="6"/>
  <c r="AK309" i="6"/>
  <c r="AJ309" i="6"/>
  <c r="AI309" i="6"/>
  <c r="AG309" i="6"/>
  <c r="AF309" i="6"/>
  <c r="AE309" i="6"/>
  <c r="AD309" i="6"/>
  <c r="AC309" i="6"/>
  <c r="AA309" i="6"/>
  <c r="Z309" i="6"/>
  <c r="AB309" i="6" s="1"/>
  <c r="Y309" i="6"/>
  <c r="W309" i="6"/>
  <c r="V309" i="6"/>
  <c r="T309" i="6"/>
  <c r="R309" i="6"/>
  <c r="S309" i="6" s="1"/>
  <c r="P309" i="6"/>
  <c r="O309" i="6"/>
  <c r="N309" i="6"/>
  <c r="M309" i="6"/>
  <c r="J309" i="6"/>
  <c r="H309" i="6"/>
  <c r="G309" i="6"/>
  <c r="F309" i="6"/>
  <c r="E309" i="6"/>
  <c r="DP309" i="6" s="1"/>
  <c r="D309" i="6"/>
  <c r="C309" i="6"/>
  <c r="B309" i="6"/>
  <c r="DW308" i="6"/>
  <c r="DM308" i="6"/>
  <c r="DL308" i="6"/>
  <c r="DK308" i="6"/>
  <c r="DJ308" i="6"/>
  <c r="DN308" i="6" s="1"/>
  <c r="DH308" i="6"/>
  <c r="DI308" i="6" s="1"/>
  <c r="DG308" i="6"/>
  <c r="DF308" i="6"/>
  <c r="DD308" i="6"/>
  <c r="DE308" i="6" s="1"/>
  <c r="DC308" i="6"/>
  <c r="DB308" i="6"/>
  <c r="DA308" i="6"/>
  <c r="CY308" i="6"/>
  <c r="CZ308" i="6" s="1"/>
  <c r="CX308" i="6"/>
  <c r="CV308" i="6"/>
  <c r="CW308" i="6" s="1"/>
  <c r="CT308" i="6"/>
  <c r="CU308" i="6" s="1"/>
  <c r="CR308" i="6"/>
  <c r="CQ308" i="6"/>
  <c r="CP308" i="6"/>
  <c r="CN308" i="6"/>
  <c r="CM308" i="6"/>
  <c r="CL308" i="6"/>
  <c r="CO308" i="6" s="1"/>
  <c r="CJ308" i="6"/>
  <c r="CI308" i="6"/>
  <c r="CG308" i="6"/>
  <c r="CH308" i="6" s="1"/>
  <c r="CF308" i="6"/>
  <c r="CE308" i="6"/>
  <c r="CD308" i="6"/>
  <c r="CC308" i="6"/>
  <c r="CB308" i="6"/>
  <c r="BZ308" i="6"/>
  <c r="BY308" i="6"/>
  <c r="BX308" i="6"/>
  <c r="BW308" i="6"/>
  <c r="CA308" i="6" s="1"/>
  <c r="BV308" i="6"/>
  <c r="BU308" i="6"/>
  <c r="BR308" i="6"/>
  <c r="BS308" i="6" s="1"/>
  <c r="BQ308" i="6"/>
  <c r="BO308" i="6"/>
  <c r="BP308" i="6" s="1"/>
  <c r="BM308" i="6"/>
  <c r="BL308" i="6"/>
  <c r="BK308" i="6"/>
  <c r="BJ308" i="6"/>
  <c r="BI308" i="6"/>
  <c r="BH308" i="6"/>
  <c r="BF308" i="6"/>
  <c r="BG308" i="6" s="1"/>
  <c r="BD308" i="6"/>
  <c r="BC308" i="6"/>
  <c r="BE308" i="6" s="1"/>
  <c r="BB308" i="6"/>
  <c r="AZ308" i="6"/>
  <c r="AY308" i="6"/>
  <c r="BA308" i="6" s="1"/>
  <c r="AX308" i="6"/>
  <c r="AW308" i="6"/>
  <c r="AV308" i="6"/>
  <c r="AU308" i="6"/>
  <c r="AT308" i="6"/>
  <c r="AS308" i="6"/>
  <c r="AQ308" i="6"/>
  <c r="AP308" i="6"/>
  <c r="AR308" i="6" s="1"/>
  <c r="AN308" i="6"/>
  <c r="AO308" i="6" s="1"/>
  <c r="AM308" i="6"/>
  <c r="AL308" i="6"/>
  <c r="AK308" i="6"/>
  <c r="AJ308" i="6"/>
  <c r="AI308" i="6"/>
  <c r="AG308" i="6"/>
  <c r="AF308" i="6"/>
  <c r="AE308" i="6"/>
  <c r="AD308" i="6"/>
  <c r="AC308" i="6"/>
  <c r="AA308" i="6"/>
  <c r="AB308" i="6" s="1"/>
  <c r="Z308" i="6"/>
  <c r="Y308" i="6"/>
  <c r="X308" i="6"/>
  <c r="W308" i="6"/>
  <c r="V308" i="6"/>
  <c r="T308" i="6"/>
  <c r="R308" i="6"/>
  <c r="S308" i="6" s="1"/>
  <c r="P308" i="6"/>
  <c r="O308" i="6"/>
  <c r="N308" i="6"/>
  <c r="M308" i="6"/>
  <c r="J308" i="6"/>
  <c r="H308" i="6"/>
  <c r="G308" i="6"/>
  <c r="F308" i="6"/>
  <c r="E308" i="6"/>
  <c r="DP308" i="6" s="1"/>
  <c r="D308" i="6"/>
  <c r="C308" i="6"/>
  <c r="B308" i="6"/>
  <c r="DW307" i="6"/>
  <c r="DM307" i="6"/>
  <c r="DL307" i="6"/>
  <c r="DK307" i="6"/>
  <c r="DJ307" i="6"/>
  <c r="DH307" i="6"/>
  <c r="DI307" i="6" s="1"/>
  <c r="DG307" i="6"/>
  <c r="DF307" i="6"/>
  <c r="DD307" i="6"/>
  <c r="DE307" i="6" s="1"/>
  <c r="DC307" i="6"/>
  <c r="DB307" i="6"/>
  <c r="DA307" i="6"/>
  <c r="CY307" i="6"/>
  <c r="CZ307" i="6" s="1"/>
  <c r="CX307" i="6"/>
  <c r="CV307" i="6"/>
  <c r="CW307" i="6" s="1"/>
  <c r="CT307" i="6"/>
  <c r="CU307" i="6" s="1"/>
  <c r="CR307" i="6"/>
  <c r="CQ307" i="6"/>
  <c r="CP307" i="6"/>
  <c r="CS307" i="6" s="1"/>
  <c r="CN307" i="6"/>
  <c r="CM307" i="6"/>
  <c r="CL307" i="6"/>
  <c r="CO307" i="6" s="1"/>
  <c r="CJ307" i="6"/>
  <c r="CI307" i="6"/>
  <c r="DS307" i="6" s="1"/>
  <c r="CG307" i="6"/>
  <c r="CH307" i="6" s="1"/>
  <c r="CF307" i="6"/>
  <c r="CE307" i="6"/>
  <c r="CD307" i="6"/>
  <c r="CC307" i="6"/>
  <c r="CB307" i="6"/>
  <c r="BZ307" i="6"/>
  <c r="BY307" i="6"/>
  <c r="BX307" i="6"/>
  <c r="BW307" i="6"/>
  <c r="CA307" i="6" s="1"/>
  <c r="BU307" i="6"/>
  <c r="BV307" i="6" s="1"/>
  <c r="BR307" i="6"/>
  <c r="BQ307" i="6"/>
  <c r="BS307" i="6" s="1"/>
  <c r="BO307" i="6"/>
  <c r="BP307" i="6" s="1"/>
  <c r="BM307" i="6"/>
  <c r="BL307" i="6"/>
  <c r="BK307" i="6"/>
  <c r="BJ307" i="6"/>
  <c r="BI307" i="6"/>
  <c r="BH307" i="6"/>
  <c r="BF307" i="6"/>
  <c r="BG307" i="6" s="1"/>
  <c r="BD307" i="6"/>
  <c r="BC307" i="6"/>
  <c r="BE307" i="6" s="1"/>
  <c r="BB307" i="6"/>
  <c r="AZ307" i="6"/>
  <c r="AY307" i="6"/>
  <c r="BA307" i="6" s="1"/>
  <c r="AW307" i="6"/>
  <c r="AV307" i="6"/>
  <c r="AX307" i="6" s="1"/>
  <c r="AU307" i="6"/>
  <c r="AT307" i="6"/>
  <c r="AS307" i="6"/>
  <c r="AQ307" i="6"/>
  <c r="AP307" i="6"/>
  <c r="AR307" i="6" s="1"/>
  <c r="AN307" i="6"/>
  <c r="AO307" i="6" s="1"/>
  <c r="AM307" i="6"/>
  <c r="AL307" i="6"/>
  <c r="AK307" i="6"/>
  <c r="AJ307" i="6"/>
  <c r="AI307" i="6"/>
  <c r="AG307" i="6"/>
  <c r="AF307" i="6"/>
  <c r="AE307" i="6"/>
  <c r="AD307" i="6"/>
  <c r="DR307" i="6" s="1"/>
  <c r="AC307" i="6"/>
  <c r="AA307" i="6"/>
  <c r="Z307" i="6"/>
  <c r="AB307" i="6" s="1"/>
  <c r="Y307" i="6"/>
  <c r="X307" i="6"/>
  <c r="W307" i="6"/>
  <c r="V307" i="6"/>
  <c r="T307" i="6"/>
  <c r="R307" i="6"/>
  <c r="S307" i="6" s="1"/>
  <c r="P307" i="6"/>
  <c r="O307" i="6"/>
  <c r="N307" i="6"/>
  <c r="M307" i="6"/>
  <c r="J307" i="6"/>
  <c r="H307" i="6"/>
  <c r="G307" i="6"/>
  <c r="DU307" i="6" s="1"/>
  <c r="F307" i="6"/>
  <c r="E307" i="6"/>
  <c r="DP307" i="6" s="1"/>
  <c r="D307" i="6"/>
  <c r="C307" i="6"/>
  <c r="B307" i="6"/>
  <c r="DW306" i="6"/>
  <c r="DM306" i="6"/>
  <c r="DL306" i="6"/>
  <c r="DK306" i="6"/>
  <c r="DJ306" i="6"/>
  <c r="DN306" i="6" s="1"/>
  <c r="DH306" i="6"/>
  <c r="DI306" i="6" s="1"/>
  <c r="DG306" i="6"/>
  <c r="DF306" i="6"/>
  <c r="DD306" i="6"/>
  <c r="DE306" i="6" s="1"/>
  <c r="DC306" i="6"/>
  <c r="DB306" i="6"/>
  <c r="DA306" i="6"/>
  <c r="CY306" i="6"/>
  <c r="CZ306" i="6" s="1"/>
  <c r="CX306" i="6"/>
  <c r="CV306" i="6"/>
  <c r="CW306" i="6" s="1"/>
  <c r="CT306" i="6"/>
  <c r="CU306" i="6" s="1"/>
  <c r="CR306" i="6"/>
  <c r="CQ306" i="6"/>
  <c r="CP306" i="6"/>
  <c r="CS306" i="6" s="1"/>
  <c r="CN306" i="6"/>
  <c r="CM306" i="6"/>
  <c r="CL306" i="6"/>
  <c r="CK306" i="6"/>
  <c r="CJ306" i="6"/>
  <c r="CI306" i="6"/>
  <c r="CG306" i="6"/>
  <c r="CH306" i="6" s="1"/>
  <c r="CF306" i="6"/>
  <c r="CE306" i="6"/>
  <c r="CD306" i="6"/>
  <c r="CC306" i="6"/>
  <c r="CB306" i="6"/>
  <c r="BZ306" i="6"/>
  <c r="BY306" i="6"/>
  <c r="BX306" i="6"/>
  <c r="BW306" i="6"/>
  <c r="CA306" i="6" s="1"/>
  <c r="BU306" i="6"/>
  <c r="BV306" i="6" s="1"/>
  <c r="BR306" i="6"/>
  <c r="BS306" i="6" s="1"/>
  <c r="BQ306" i="6"/>
  <c r="BO306" i="6"/>
  <c r="BP306" i="6" s="1"/>
  <c r="BM306" i="6"/>
  <c r="BL306" i="6"/>
  <c r="BK306" i="6"/>
  <c r="BJ306" i="6"/>
  <c r="BN306" i="6" s="1"/>
  <c r="BI306" i="6"/>
  <c r="BH306" i="6"/>
  <c r="BF306" i="6"/>
  <c r="BG306" i="6" s="1"/>
  <c r="BD306" i="6"/>
  <c r="BC306" i="6"/>
  <c r="BE306" i="6" s="1"/>
  <c r="BB306" i="6"/>
  <c r="AZ306" i="6"/>
  <c r="AY306" i="6"/>
  <c r="BA306" i="6" s="1"/>
  <c r="AW306" i="6"/>
  <c r="AV306" i="6"/>
  <c r="AX306" i="6" s="1"/>
  <c r="AT306" i="6"/>
  <c r="AS306" i="6"/>
  <c r="AU306" i="6" s="1"/>
  <c r="AQ306" i="6"/>
  <c r="AP306" i="6"/>
  <c r="AR306" i="6" s="1"/>
  <c r="AN306" i="6"/>
  <c r="AO306" i="6" s="1"/>
  <c r="AM306" i="6"/>
  <c r="AL306" i="6"/>
  <c r="AK306" i="6"/>
  <c r="AJ306" i="6"/>
  <c r="AI306" i="6"/>
  <c r="AG306" i="6"/>
  <c r="AF306" i="6"/>
  <c r="AE306" i="6"/>
  <c r="AD306" i="6"/>
  <c r="AC306" i="6"/>
  <c r="AB306" i="6"/>
  <c r="AA306" i="6"/>
  <c r="Z306" i="6"/>
  <c r="Y306" i="6"/>
  <c r="W306" i="6"/>
  <c r="V306" i="6"/>
  <c r="T306" i="6"/>
  <c r="R306" i="6"/>
  <c r="S306" i="6" s="1"/>
  <c r="P306" i="6"/>
  <c r="O306" i="6"/>
  <c r="N306" i="6"/>
  <c r="M306" i="6"/>
  <c r="J306" i="6"/>
  <c r="H306" i="6"/>
  <c r="G306" i="6"/>
  <c r="F306" i="6"/>
  <c r="E306" i="6"/>
  <c r="DP306" i="6" s="1"/>
  <c r="D306" i="6"/>
  <c r="C306" i="6"/>
  <c r="B306" i="6"/>
  <c r="DW305" i="6"/>
  <c r="DN305" i="6"/>
  <c r="DM305" i="6"/>
  <c r="DL305" i="6"/>
  <c r="DK305" i="6"/>
  <c r="DJ305" i="6"/>
  <c r="DH305" i="6"/>
  <c r="DI305" i="6" s="1"/>
  <c r="DF305" i="6"/>
  <c r="DG305" i="6" s="1"/>
  <c r="DE305" i="6"/>
  <c r="DD305" i="6"/>
  <c r="DC305" i="6"/>
  <c r="DB305" i="6"/>
  <c r="DA305" i="6"/>
  <c r="CY305" i="6"/>
  <c r="CZ305" i="6" s="1"/>
  <c r="CX305" i="6"/>
  <c r="CV305" i="6"/>
  <c r="CW305" i="6" s="1"/>
  <c r="CT305" i="6"/>
  <c r="CU305" i="6" s="1"/>
  <c r="CR305" i="6"/>
  <c r="CQ305" i="6"/>
  <c r="CP305" i="6"/>
  <c r="CS305" i="6" s="1"/>
  <c r="CO305" i="6"/>
  <c r="CN305" i="6"/>
  <c r="CM305" i="6"/>
  <c r="CL305" i="6"/>
  <c r="CJ305" i="6"/>
  <c r="CI305" i="6"/>
  <c r="CG305" i="6"/>
  <c r="CH305" i="6" s="1"/>
  <c r="CF305" i="6"/>
  <c r="CE305" i="6"/>
  <c r="CD305" i="6"/>
  <c r="CC305" i="6"/>
  <c r="CB305" i="6"/>
  <c r="BZ305" i="6"/>
  <c r="BY305" i="6"/>
  <c r="BX305" i="6"/>
  <c r="BW305" i="6"/>
  <c r="CA305" i="6" s="1"/>
  <c r="BU305" i="6"/>
  <c r="BV305" i="6" s="1"/>
  <c r="BR305" i="6"/>
  <c r="BQ305" i="6"/>
  <c r="BS305" i="6" s="1"/>
  <c r="BO305" i="6"/>
  <c r="BP305" i="6" s="1"/>
  <c r="BM305" i="6"/>
  <c r="BL305" i="6"/>
  <c r="BK305" i="6"/>
  <c r="BN305" i="6" s="1"/>
  <c r="BJ305" i="6"/>
  <c r="BI305" i="6"/>
  <c r="BH305" i="6"/>
  <c r="BF305" i="6"/>
  <c r="BG305" i="6" s="1"/>
  <c r="BD305" i="6"/>
  <c r="BC305" i="6"/>
  <c r="BE305" i="6" s="1"/>
  <c r="BB305" i="6"/>
  <c r="AZ305" i="6"/>
  <c r="AY305" i="6"/>
  <c r="BA305" i="6" s="1"/>
  <c r="AW305" i="6"/>
  <c r="AV305" i="6"/>
  <c r="AX305" i="6" s="1"/>
  <c r="AU305" i="6"/>
  <c r="AT305" i="6"/>
  <c r="AS305" i="6"/>
  <c r="AQ305" i="6"/>
  <c r="AP305" i="6"/>
  <c r="AR305" i="6" s="1"/>
  <c r="AN305" i="6"/>
  <c r="AO305" i="6" s="1"/>
  <c r="AM305" i="6"/>
  <c r="AL305" i="6"/>
  <c r="AK305" i="6"/>
  <c r="AJ305" i="6"/>
  <c r="AI305" i="6"/>
  <c r="AG305" i="6"/>
  <c r="AF305" i="6"/>
  <c r="AE305" i="6"/>
  <c r="AD305" i="6"/>
  <c r="AC305" i="6"/>
  <c r="AA305" i="6"/>
  <c r="AB305" i="6" s="1"/>
  <c r="Z305" i="6"/>
  <c r="Y305" i="6"/>
  <c r="X305" i="6"/>
  <c r="W305" i="6"/>
  <c r="V305" i="6"/>
  <c r="T305" i="6"/>
  <c r="R305" i="6"/>
  <c r="S305" i="6" s="1"/>
  <c r="P305" i="6"/>
  <c r="O305" i="6"/>
  <c r="N305" i="6"/>
  <c r="M305" i="6"/>
  <c r="J305" i="6"/>
  <c r="H305" i="6"/>
  <c r="G305" i="6"/>
  <c r="DU305" i="6" s="1"/>
  <c r="F305" i="6"/>
  <c r="E305" i="6"/>
  <c r="DP305" i="6" s="1"/>
  <c r="D305" i="6"/>
  <c r="C305" i="6"/>
  <c r="B305" i="6"/>
  <c r="DW304" i="6"/>
  <c r="DM304" i="6"/>
  <c r="DL304" i="6"/>
  <c r="DK304" i="6"/>
  <c r="DJ304" i="6"/>
  <c r="DN304" i="6" s="1"/>
  <c r="DH304" i="6"/>
  <c r="DI304" i="6" s="1"/>
  <c r="DF304" i="6"/>
  <c r="DG304" i="6" s="1"/>
  <c r="DE304" i="6"/>
  <c r="DD304" i="6"/>
  <c r="DC304" i="6"/>
  <c r="DB304" i="6"/>
  <c r="DA304" i="6"/>
  <c r="CY304" i="6"/>
  <c r="CZ304" i="6" s="1"/>
  <c r="CX304" i="6"/>
  <c r="CV304" i="6"/>
  <c r="CW304" i="6" s="1"/>
  <c r="CT304" i="6"/>
  <c r="CU304" i="6" s="1"/>
  <c r="CR304" i="6"/>
  <c r="CQ304" i="6"/>
  <c r="CP304" i="6"/>
  <c r="CN304" i="6"/>
  <c r="CO304" i="6" s="1"/>
  <c r="CM304" i="6"/>
  <c r="CL304" i="6"/>
  <c r="CJ304" i="6"/>
  <c r="CK304" i="6" s="1"/>
  <c r="CI304" i="6"/>
  <c r="CH304" i="6"/>
  <c r="CG304" i="6"/>
  <c r="CF304" i="6"/>
  <c r="CE304" i="6"/>
  <c r="CD304" i="6"/>
  <c r="CC304" i="6"/>
  <c r="CB304" i="6"/>
  <c r="BZ304" i="6"/>
  <c r="BY304" i="6"/>
  <c r="BX304" i="6"/>
  <c r="BW304" i="6"/>
  <c r="CA304" i="6" s="1"/>
  <c r="BU304" i="6"/>
  <c r="BV304" i="6" s="1"/>
  <c r="BR304" i="6"/>
  <c r="BS304" i="6" s="1"/>
  <c r="BQ304" i="6"/>
  <c r="BO304" i="6"/>
  <c r="BP304" i="6" s="1"/>
  <c r="BM304" i="6"/>
  <c r="BL304" i="6"/>
  <c r="BK304" i="6"/>
  <c r="BJ304" i="6"/>
  <c r="BN304" i="6" s="1"/>
  <c r="BI304" i="6"/>
  <c r="BH304" i="6"/>
  <c r="BF304" i="6"/>
  <c r="BG304" i="6" s="1"/>
  <c r="BD304" i="6"/>
  <c r="BC304" i="6"/>
  <c r="BE304" i="6" s="1"/>
  <c r="BB304" i="6"/>
  <c r="AZ304" i="6"/>
  <c r="AY304" i="6"/>
  <c r="BA304" i="6" s="1"/>
  <c r="AW304" i="6"/>
  <c r="AV304" i="6"/>
  <c r="AX304" i="6" s="1"/>
  <c r="AT304" i="6"/>
  <c r="AS304" i="6"/>
  <c r="AU304" i="6" s="1"/>
  <c r="AQ304" i="6"/>
  <c r="AP304" i="6"/>
  <c r="AO304" i="6"/>
  <c r="AN304" i="6"/>
  <c r="AM304" i="6"/>
  <c r="AL304" i="6"/>
  <c r="AK304" i="6"/>
  <c r="AJ304" i="6"/>
  <c r="AI304" i="6"/>
  <c r="AG304" i="6"/>
  <c r="AF304" i="6"/>
  <c r="AE304" i="6"/>
  <c r="AD304" i="6"/>
  <c r="AC304" i="6"/>
  <c r="AA304" i="6"/>
  <c r="Z304" i="6"/>
  <c r="AB304" i="6" s="1"/>
  <c r="Y304" i="6"/>
  <c r="W304" i="6"/>
  <c r="V304" i="6"/>
  <c r="T304" i="6"/>
  <c r="R304" i="6"/>
  <c r="S304" i="6" s="1"/>
  <c r="Q304" i="6"/>
  <c r="P304" i="6"/>
  <c r="DQ304" i="6" s="1"/>
  <c r="O304" i="6"/>
  <c r="N304" i="6"/>
  <c r="M304" i="6"/>
  <c r="J304" i="6"/>
  <c r="H304" i="6"/>
  <c r="G304" i="6"/>
  <c r="F304" i="6"/>
  <c r="E304" i="6"/>
  <c r="DP304" i="6" s="1"/>
  <c r="D304" i="6"/>
  <c r="C304" i="6"/>
  <c r="B304" i="6"/>
  <c r="DW303" i="6"/>
  <c r="DN303" i="6"/>
  <c r="DM303" i="6"/>
  <c r="DL303" i="6"/>
  <c r="DK303" i="6"/>
  <c r="DJ303" i="6"/>
  <c r="DH303" i="6"/>
  <c r="DI303" i="6" s="1"/>
  <c r="DG303" i="6"/>
  <c r="DF303" i="6"/>
  <c r="DD303" i="6"/>
  <c r="DE303" i="6" s="1"/>
  <c r="DC303" i="6"/>
  <c r="DB303" i="6"/>
  <c r="DA303" i="6"/>
  <c r="CY303" i="6"/>
  <c r="CZ303" i="6" s="1"/>
  <c r="CX303" i="6"/>
  <c r="CV303" i="6"/>
  <c r="CW303" i="6" s="1"/>
  <c r="CT303" i="6"/>
  <c r="CU303" i="6" s="1"/>
  <c r="CR303" i="6"/>
  <c r="CQ303" i="6"/>
  <c r="CP303" i="6"/>
  <c r="CO303" i="6"/>
  <c r="CN303" i="6"/>
  <c r="CM303" i="6"/>
  <c r="CL303" i="6"/>
  <c r="CK303" i="6"/>
  <c r="CJ303" i="6"/>
  <c r="CI303" i="6"/>
  <c r="CG303" i="6"/>
  <c r="CH303" i="6" s="1"/>
  <c r="CF303" i="6"/>
  <c r="CE303" i="6"/>
  <c r="CD303" i="6"/>
  <c r="CC303" i="6"/>
  <c r="CB303" i="6"/>
  <c r="BZ303" i="6"/>
  <c r="BY303" i="6"/>
  <c r="BX303" i="6"/>
  <c r="BW303" i="6"/>
  <c r="CA303" i="6" s="1"/>
  <c r="BU303" i="6"/>
  <c r="BV303" i="6" s="1"/>
  <c r="BS303" i="6"/>
  <c r="BR303" i="6"/>
  <c r="BQ303" i="6"/>
  <c r="BO303" i="6"/>
  <c r="BP303" i="6" s="1"/>
  <c r="BN303" i="6"/>
  <c r="BM303" i="6"/>
  <c r="BL303" i="6"/>
  <c r="BK303" i="6"/>
  <c r="BJ303" i="6"/>
  <c r="BI303" i="6"/>
  <c r="BH303" i="6"/>
  <c r="BF303" i="6"/>
  <c r="BG303" i="6" s="1"/>
  <c r="BD303" i="6"/>
  <c r="BC303" i="6"/>
  <c r="BE303" i="6" s="1"/>
  <c r="BB303" i="6"/>
  <c r="AZ303" i="6"/>
  <c r="AY303" i="6"/>
  <c r="BA303" i="6" s="1"/>
  <c r="AW303" i="6"/>
  <c r="AV303" i="6"/>
  <c r="AX303" i="6" s="1"/>
  <c r="AT303" i="6"/>
  <c r="AS303" i="6"/>
  <c r="AU303" i="6" s="1"/>
  <c r="AR303" i="6"/>
  <c r="AQ303" i="6"/>
  <c r="AP303" i="6"/>
  <c r="AO303" i="6"/>
  <c r="AN303" i="6"/>
  <c r="AM303" i="6"/>
  <c r="AL303" i="6"/>
  <c r="AK303" i="6"/>
  <c r="AJ303" i="6"/>
  <c r="AI303" i="6"/>
  <c r="AG303" i="6"/>
  <c r="AF303" i="6"/>
  <c r="AE303" i="6"/>
  <c r="AD303" i="6"/>
  <c r="AC303" i="6"/>
  <c r="AA303" i="6"/>
  <c r="AB303" i="6" s="1"/>
  <c r="Z303" i="6"/>
  <c r="Y303" i="6"/>
  <c r="W303" i="6"/>
  <c r="DV303" i="6" s="1"/>
  <c r="V303" i="6"/>
  <c r="T303" i="6"/>
  <c r="S303" i="6"/>
  <c r="R303" i="6"/>
  <c r="P303" i="6"/>
  <c r="O303" i="6"/>
  <c r="N303" i="6"/>
  <c r="M303" i="6"/>
  <c r="J303" i="6"/>
  <c r="H303" i="6"/>
  <c r="G303" i="6"/>
  <c r="F303" i="6"/>
  <c r="E303" i="6"/>
  <c r="DP303" i="6" s="1"/>
  <c r="D303" i="6"/>
  <c r="C303" i="6"/>
  <c r="B303" i="6"/>
  <c r="DW302" i="6"/>
  <c r="DM302" i="6"/>
  <c r="DN302" i="6" s="1"/>
  <c r="DL302" i="6"/>
  <c r="DK302" i="6"/>
  <c r="DJ302" i="6"/>
  <c r="DH302" i="6"/>
  <c r="DI302" i="6" s="1"/>
  <c r="DF302" i="6"/>
  <c r="DG302" i="6" s="1"/>
  <c r="DD302" i="6"/>
  <c r="DE302" i="6" s="1"/>
  <c r="DC302" i="6"/>
  <c r="DB302" i="6"/>
  <c r="DA302" i="6"/>
  <c r="CY302" i="6"/>
  <c r="CZ302" i="6" s="1"/>
  <c r="CX302" i="6"/>
  <c r="CV302" i="6"/>
  <c r="CW302" i="6" s="1"/>
  <c r="CT302" i="6"/>
  <c r="CU302" i="6" s="1"/>
  <c r="CR302" i="6"/>
  <c r="CQ302" i="6"/>
  <c r="CP302" i="6"/>
  <c r="CN302" i="6"/>
  <c r="CM302" i="6"/>
  <c r="CL302" i="6"/>
  <c r="CO302" i="6" s="1"/>
  <c r="CJ302" i="6"/>
  <c r="CI302" i="6"/>
  <c r="DS302" i="6" s="1"/>
  <c r="CH302" i="6"/>
  <c r="CG302" i="6"/>
  <c r="CF302" i="6"/>
  <c r="CE302" i="6"/>
  <c r="CD302" i="6"/>
  <c r="CC302" i="6"/>
  <c r="CB302" i="6"/>
  <c r="BZ302" i="6"/>
  <c r="BY302" i="6"/>
  <c r="BX302" i="6"/>
  <c r="BW302" i="6"/>
  <c r="CA302" i="6" s="1"/>
  <c r="BU302" i="6"/>
  <c r="BV302" i="6" s="1"/>
  <c r="BR302" i="6"/>
  <c r="BQ302" i="6"/>
  <c r="BS302" i="6" s="1"/>
  <c r="BO302" i="6"/>
  <c r="BP302" i="6" s="1"/>
  <c r="BN302" i="6"/>
  <c r="BM302" i="6"/>
  <c r="BL302" i="6"/>
  <c r="BK302" i="6"/>
  <c r="BJ302" i="6"/>
  <c r="BI302" i="6"/>
  <c r="BH302" i="6"/>
  <c r="BF302" i="6"/>
  <c r="BG302" i="6" s="1"/>
  <c r="BD302" i="6"/>
  <c r="BC302" i="6"/>
  <c r="BE302" i="6" s="1"/>
  <c r="BB302" i="6"/>
  <c r="AZ302" i="6"/>
  <c r="AY302" i="6"/>
  <c r="BA302" i="6" s="1"/>
  <c r="AW302" i="6"/>
  <c r="AV302" i="6"/>
  <c r="AX302" i="6" s="1"/>
  <c r="AT302" i="6"/>
  <c r="AS302" i="6"/>
  <c r="AU302" i="6" s="1"/>
  <c r="AR302" i="6"/>
  <c r="AQ302" i="6"/>
  <c r="AP302" i="6"/>
  <c r="AO302" i="6"/>
  <c r="AN302" i="6"/>
  <c r="AM302" i="6"/>
  <c r="AL302" i="6"/>
  <c r="AK302" i="6"/>
  <c r="AJ302" i="6"/>
  <c r="AI302" i="6"/>
  <c r="AG302" i="6"/>
  <c r="AF302" i="6"/>
  <c r="AE302" i="6"/>
  <c r="AD302" i="6"/>
  <c r="AC302" i="6"/>
  <c r="AA302" i="6"/>
  <c r="Z302" i="6"/>
  <c r="AB302" i="6" s="1"/>
  <c r="Y302" i="6"/>
  <c r="X302" i="6"/>
  <c r="W302" i="6"/>
  <c r="DV302" i="6" s="1"/>
  <c r="V302" i="6"/>
  <c r="T302" i="6"/>
  <c r="S302" i="6"/>
  <c r="R302" i="6"/>
  <c r="Q302" i="6"/>
  <c r="P302" i="6"/>
  <c r="O302" i="6"/>
  <c r="N302" i="6"/>
  <c r="M302" i="6"/>
  <c r="J302" i="6"/>
  <c r="H302" i="6"/>
  <c r="G302" i="6"/>
  <c r="F302" i="6"/>
  <c r="E302" i="6"/>
  <c r="DP302" i="6" s="1"/>
  <c r="D302" i="6"/>
  <c r="C302" i="6"/>
  <c r="B302" i="6"/>
  <c r="DW301" i="6"/>
  <c r="DM301" i="6"/>
  <c r="DL301" i="6"/>
  <c r="DK301" i="6"/>
  <c r="DJ301" i="6"/>
  <c r="DN301" i="6" s="1"/>
  <c r="DH301" i="6"/>
  <c r="DI301" i="6" s="1"/>
  <c r="DF301" i="6"/>
  <c r="DG301" i="6" s="1"/>
  <c r="DD301" i="6"/>
  <c r="DE301" i="6" s="1"/>
  <c r="DC301" i="6"/>
  <c r="DB301" i="6"/>
  <c r="DA301" i="6"/>
  <c r="CY301" i="6"/>
  <c r="CZ301" i="6" s="1"/>
  <c r="CX301" i="6"/>
  <c r="CV301" i="6"/>
  <c r="CW301" i="6" s="1"/>
  <c r="CT301" i="6"/>
  <c r="CU301" i="6" s="1"/>
  <c r="CR301" i="6"/>
  <c r="CQ301" i="6"/>
  <c r="CP301" i="6"/>
  <c r="CS301" i="6" s="1"/>
  <c r="CN301" i="6"/>
  <c r="CO301" i="6" s="1"/>
  <c r="CM301" i="6"/>
  <c r="CL301" i="6"/>
  <c r="CK301" i="6"/>
  <c r="CJ301" i="6"/>
  <c r="CI301" i="6"/>
  <c r="CH301" i="6"/>
  <c r="CG301" i="6"/>
  <c r="CF301" i="6"/>
  <c r="CE301" i="6"/>
  <c r="CD301" i="6"/>
  <c r="CC301" i="6"/>
  <c r="CB301" i="6"/>
  <c r="BZ301" i="6"/>
  <c r="BY301" i="6"/>
  <c r="BX301" i="6"/>
  <c r="BW301" i="6"/>
  <c r="CA301" i="6" s="1"/>
  <c r="BU301" i="6"/>
  <c r="BV301" i="6" s="1"/>
  <c r="BR301" i="6"/>
  <c r="BQ301" i="6"/>
  <c r="BS301" i="6" s="1"/>
  <c r="BO301" i="6"/>
  <c r="BP301" i="6" s="1"/>
  <c r="BM301" i="6"/>
  <c r="BL301" i="6"/>
  <c r="BK301" i="6"/>
  <c r="BJ301" i="6"/>
  <c r="BN301" i="6" s="1"/>
  <c r="BI301" i="6"/>
  <c r="BH301" i="6"/>
  <c r="BF301" i="6"/>
  <c r="BG301" i="6" s="1"/>
  <c r="BD301" i="6"/>
  <c r="BC301" i="6"/>
  <c r="BE301" i="6" s="1"/>
  <c r="BB301" i="6"/>
  <c r="AZ301" i="6"/>
  <c r="AY301" i="6"/>
  <c r="BA301" i="6" s="1"/>
  <c r="AW301" i="6"/>
  <c r="AV301" i="6"/>
  <c r="AX301" i="6" s="1"/>
  <c r="AT301" i="6"/>
  <c r="AS301" i="6"/>
  <c r="AU301" i="6" s="1"/>
  <c r="AQ301" i="6"/>
  <c r="AP301" i="6"/>
  <c r="AR301" i="6" s="1"/>
  <c r="AN301" i="6"/>
  <c r="AO301" i="6" s="1"/>
  <c r="AM301" i="6"/>
  <c r="AL301" i="6"/>
  <c r="AK301" i="6"/>
  <c r="AJ301" i="6"/>
  <c r="AI301" i="6"/>
  <c r="AG301" i="6"/>
  <c r="AF301" i="6"/>
  <c r="AE301" i="6"/>
  <c r="AD301" i="6"/>
  <c r="AC301" i="6"/>
  <c r="AB301" i="6"/>
  <c r="AA301" i="6"/>
  <c r="Z301" i="6"/>
  <c r="Y301" i="6"/>
  <c r="X301" i="6"/>
  <c r="W301" i="6"/>
  <c r="DV301" i="6" s="1"/>
  <c r="V301" i="6"/>
  <c r="T301" i="6"/>
  <c r="R301" i="6"/>
  <c r="S301" i="6" s="1"/>
  <c r="P301" i="6"/>
  <c r="O301" i="6"/>
  <c r="N301" i="6"/>
  <c r="M301" i="6"/>
  <c r="J301" i="6"/>
  <c r="H301" i="6"/>
  <c r="G301" i="6"/>
  <c r="F301" i="6"/>
  <c r="E301" i="6"/>
  <c r="DP301" i="6" s="1"/>
  <c r="D301" i="6"/>
  <c r="C301" i="6"/>
  <c r="B301" i="6"/>
  <c r="DW300" i="6"/>
  <c r="DN300" i="6"/>
  <c r="DM300" i="6"/>
  <c r="DL300" i="6"/>
  <c r="DK300" i="6"/>
  <c r="DJ300" i="6"/>
  <c r="DH300" i="6"/>
  <c r="DI300" i="6" s="1"/>
  <c r="DF300" i="6"/>
  <c r="DG300" i="6" s="1"/>
  <c r="DD300" i="6"/>
  <c r="DE300" i="6" s="1"/>
  <c r="DC300" i="6"/>
  <c r="DB300" i="6"/>
  <c r="DA300" i="6"/>
  <c r="CY300" i="6"/>
  <c r="CZ300" i="6" s="1"/>
  <c r="CX300" i="6"/>
  <c r="CV300" i="6"/>
  <c r="CW300" i="6" s="1"/>
  <c r="CT300" i="6"/>
  <c r="CU300" i="6" s="1"/>
  <c r="CR300" i="6"/>
  <c r="CQ300" i="6"/>
  <c r="CP300" i="6"/>
  <c r="CS300" i="6" s="1"/>
  <c r="CN300" i="6"/>
  <c r="CM300" i="6"/>
  <c r="CL300" i="6"/>
  <c r="CO300" i="6" s="1"/>
  <c r="CJ300" i="6"/>
  <c r="CK300" i="6" s="1"/>
  <c r="CI300" i="6"/>
  <c r="CH300" i="6"/>
  <c r="CG300" i="6"/>
  <c r="CF300" i="6"/>
  <c r="CE300" i="6"/>
  <c r="CD300" i="6"/>
  <c r="CC300" i="6"/>
  <c r="CB300" i="6"/>
  <c r="BZ300" i="6"/>
  <c r="BY300" i="6"/>
  <c r="BX300" i="6"/>
  <c r="BW300" i="6"/>
  <c r="CA300" i="6" s="1"/>
  <c r="BU300" i="6"/>
  <c r="BV300" i="6" s="1"/>
  <c r="BR300" i="6"/>
  <c r="BS300" i="6" s="1"/>
  <c r="BQ300" i="6"/>
  <c r="BO300" i="6"/>
  <c r="BP300" i="6" s="1"/>
  <c r="BN300" i="6"/>
  <c r="BM300" i="6"/>
  <c r="BL300" i="6"/>
  <c r="BK300" i="6"/>
  <c r="BJ300" i="6"/>
  <c r="BI300" i="6"/>
  <c r="BH300" i="6"/>
  <c r="BF300" i="6"/>
  <c r="BG300" i="6" s="1"/>
  <c r="BD300" i="6"/>
  <c r="BC300" i="6"/>
  <c r="BE300" i="6" s="1"/>
  <c r="BB300" i="6"/>
  <c r="AZ300" i="6"/>
  <c r="AY300" i="6"/>
  <c r="BA300" i="6" s="1"/>
  <c r="AX300" i="6"/>
  <c r="AW300" i="6"/>
  <c r="AV300" i="6"/>
  <c r="AU300" i="6"/>
  <c r="AT300" i="6"/>
  <c r="AS300" i="6"/>
  <c r="AR300" i="6"/>
  <c r="AQ300" i="6"/>
  <c r="AP300" i="6"/>
  <c r="AO300" i="6"/>
  <c r="AN300" i="6"/>
  <c r="AM300" i="6"/>
  <c r="AL300" i="6"/>
  <c r="AK300" i="6"/>
  <c r="AJ300" i="6"/>
  <c r="AI300" i="6"/>
  <c r="AG300" i="6"/>
  <c r="AF300" i="6"/>
  <c r="AE300" i="6"/>
  <c r="AD300" i="6"/>
  <c r="AC300" i="6"/>
  <c r="AA300" i="6"/>
  <c r="Z300" i="6"/>
  <c r="Y300" i="6"/>
  <c r="X300" i="6"/>
  <c r="W300" i="6"/>
  <c r="DV300" i="6" s="1"/>
  <c r="V300" i="6"/>
  <c r="T300" i="6"/>
  <c r="R300" i="6"/>
  <c r="S300" i="6" s="1"/>
  <c r="Q300" i="6"/>
  <c r="P300" i="6"/>
  <c r="O300" i="6"/>
  <c r="N300" i="6"/>
  <c r="M300" i="6"/>
  <c r="J300" i="6"/>
  <c r="H300" i="6"/>
  <c r="G300" i="6"/>
  <c r="F300" i="6"/>
  <c r="E300" i="6"/>
  <c r="DP300" i="6" s="1"/>
  <c r="D300" i="6"/>
  <c r="C300" i="6"/>
  <c r="B300" i="6"/>
  <c r="DW299" i="6"/>
  <c r="DM299" i="6"/>
  <c r="DL299" i="6"/>
  <c r="DK299" i="6"/>
  <c r="DJ299" i="6"/>
  <c r="DN299" i="6" s="1"/>
  <c r="DH299" i="6"/>
  <c r="DI299" i="6" s="1"/>
  <c r="DF299" i="6"/>
  <c r="DG299" i="6" s="1"/>
  <c r="DD299" i="6"/>
  <c r="DE299" i="6" s="1"/>
  <c r="DC299" i="6"/>
  <c r="DB299" i="6"/>
  <c r="DA299" i="6"/>
  <c r="CY299" i="6"/>
  <c r="CZ299" i="6" s="1"/>
  <c r="CX299" i="6"/>
  <c r="CV299" i="6"/>
  <c r="CW299" i="6" s="1"/>
  <c r="CT299" i="6"/>
  <c r="CU299" i="6" s="1"/>
  <c r="CR299" i="6"/>
  <c r="CQ299" i="6"/>
  <c r="CP299" i="6"/>
  <c r="CO299" i="6"/>
  <c r="CN299" i="6"/>
  <c r="CM299" i="6"/>
  <c r="CL299" i="6"/>
  <c r="CJ299" i="6"/>
  <c r="CI299" i="6"/>
  <c r="CH299" i="6"/>
  <c r="CG299" i="6"/>
  <c r="CF299" i="6"/>
  <c r="CE299" i="6"/>
  <c r="CD299" i="6"/>
  <c r="CC299" i="6"/>
  <c r="CB299" i="6"/>
  <c r="BZ299" i="6"/>
  <c r="BY299" i="6"/>
  <c r="BX299" i="6"/>
  <c r="BW299" i="6"/>
  <c r="CA299" i="6" s="1"/>
  <c r="BV299" i="6"/>
  <c r="BU299" i="6"/>
  <c r="BR299" i="6"/>
  <c r="BQ299" i="6"/>
  <c r="BS299" i="6" s="1"/>
  <c r="BO299" i="6"/>
  <c r="BP299" i="6" s="1"/>
  <c r="BM299" i="6"/>
  <c r="BL299" i="6"/>
  <c r="BK299" i="6"/>
  <c r="BJ299" i="6"/>
  <c r="BN299" i="6" s="1"/>
  <c r="BI299" i="6"/>
  <c r="BH299" i="6"/>
  <c r="BF299" i="6"/>
  <c r="BG299" i="6" s="1"/>
  <c r="BD299" i="6"/>
  <c r="BC299" i="6"/>
  <c r="BE299" i="6" s="1"/>
  <c r="BB299" i="6"/>
  <c r="AZ299" i="6"/>
  <c r="AY299" i="6"/>
  <c r="BA299" i="6" s="1"/>
  <c r="AW299" i="6"/>
  <c r="AV299" i="6"/>
  <c r="AX299" i="6" s="1"/>
  <c r="AU299" i="6"/>
  <c r="AT299" i="6"/>
  <c r="AS299" i="6"/>
  <c r="AQ299" i="6"/>
  <c r="AP299" i="6"/>
  <c r="AR299" i="6" s="1"/>
  <c r="AN299" i="6"/>
  <c r="AO299" i="6" s="1"/>
  <c r="AM299" i="6"/>
  <c r="AL299" i="6"/>
  <c r="AK299" i="6"/>
  <c r="AJ299" i="6"/>
  <c r="AI299" i="6"/>
  <c r="AG299" i="6"/>
  <c r="AF299" i="6"/>
  <c r="AE299" i="6"/>
  <c r="AD299" i="6"/>
  <c r="AC299" i="6"/>
  <c r="AA299" i="6"/>
  <c r="Z299" i="6"/>
  <c r="AB299" i="6" s="1"/>
  <c r="Y299" i="6"/>
  <c r="X299" i="6"/>
  <c r="W299" i="6"/>
  <c r="DV299" i="6" s="1"/>
  <c r="V299" i="6"/>
  <c r="T299" i="6"/>
  <c r="S299" i="6"/>
  <c r="R299" i="6"/>
  <c r="P299" i="6"/>
  <c r="DQ299" i="6" s="1"/>
  <c r="O299" i="6"/>
  <c r="N299" i="6"/>
  <c r="M299" i="6"/>
  <c r="J299" i="6"/>
  <c r="H299" i="6"/>
  <c r="G299" i="6"/>
  <c r="F299" i="6"/>
  <c r="E299" i="6"/>
  <c r="DP299" i="6" s="1"/>
  <c r="D299" i="6"/>
  <c r="C299" i="6"/>
  <c r="B299" i="6"/>
  <c r="DW298" i="6"/>
  <c r="DM298" i="6"/>
  <c r="DL298" i="6"/>
  <c r="DK298" i="6"/>
  <c r="DN298" i="6" s="1"/>
  <c r="DJ298" i="6"/>
  <c r="DH298" i="6"/>
  <c r="DI298" i="6" s="1"/>
  <c r="DF298" i="6"/>
  <c r="DG298" i="6" s="1"/>
  <c r="DD298" i="6"/>
  <c r="DE298" i="6" s="1"/>
  <c r="DC298" i="6"/>
  <c r="DB298" i="6"/>
  <c r="DA298" i="6"/>
  <c r="CY298" i="6"/>
  <c r="CZ298" i="6" s="1"/>
  <c r="CX298" i="6"/>
  <c r="CV298" i="6"/>
  <c r="CW298" i="6" s="1"/>
  <c r="CU298" i="6"/>
  <c r="CT298" i="6"/>
  <c r="CR298" i="6"/>
  <c r="CQ298" i="6"/>
  <c r="CP298" i="6"/>
  <c r="CO298" i="6"/>
  <c r="CN298" i="6"/>
  <c r="CM298" i="6"/>
  <c r="CL298" i="6"/>
  <c r="CJ298" i="6"/>
  <c r="CI298" i="6"/>
  <c r="CH298" i="6"/>
  <c r="CG298" i="6"/>
  <c r="CF298" i="6"/>
  <c r="CE298" i="6"/>
  <c r="CD298" i="6"/>
  <c r="CC298" i="6"/>
  <c r="CB298" i="6"/>
  <c r="BZ298" i="6"/>
  <c r="BY298" i="6"/>
  <c r="BX298" i="6"/>
  <c r="BW298" i="6"/>
  <c r="CA298" i="6" s="1"/>
  <c r="BU298" i="6"/>
  <c r="BV298" i="6" s="1"/>
  <c r="BR298" i="6"/>
  <c r="BQ298" i="6"/>
  <c r="BS298" i="6" s="1"/>
  <c r="BO298" i="6"/>
  <c r="BP298" i="6" s="1"/>
  <c r="BM298" i="6"/>
  <c r="BL298" i="6"/>
  <c r="BK298" i="6"/>
  <c r="BJ298" i="6"/>
  <c r="BN298" i="6" s="1"/>
  <c r="BI298" i="6"/>
  <c r="BH298" i="6"/>
  <c r="BF298" i="6"/>
  <c r="BG298" i="6" s="1"/>
  <c r="BD298" i="6"/>
  <c r="BC298" i="6"/>
  <c r="BE298" i="6" s="1"/>
  <c r="BB298" i="6"/>
  <c r="AZ298" i="6"/>
  <c r="AY298" i="6"/>
  <c r="BA298" i="6" s="1"/>
  <c r="AX298" i="6"/>
  <c r="AW298" i="6"/>
  <c r="AV298" i="6"/>
  <c r="AT298" i="6"/>
  <c r="AS298" i="6"/>
  <c r="AU298" i="6" s="1"/>
  <c r="AQ298" i="6"/>
  <c r="AR298" i="6" s="1"/>
  <c r="AP298" i="6"/>
  <c r="AN298" i="6"/>
  <c r="AO298" i="6" s="1"/>
  <c r="AM298" i="6"/>
  <c r="AL298" i="6"/>
  <c r="AK298" i="6"/>
  <c r="AJ298" i="6"/>
  <c r="AI298" i="6"/>
  <c r="AG298" i="6"/>
  <c r="AF298" i="6"/>
  <c r="AE298" i="6"/>
  <c r="AD298" i="6"/>
  <c r="AC298" i="6"/>
  <c r="AA298" i="6"/>
  <c r="AB298" i="6" s="1"/>
  <c r="Z298" i="6"/>
  <c r="Y298" i="6"/>
  <c r="W298" i="6"/>
  <c r="DV298" i="6" s="1"/>
  <c r="V298" i="6"/>
  <c r="T298" i="6"/>
  <c r="S298" i="6"/>
  <c r="R298" i="6"/>
  <c r="P298" i="6"/>
  <c r="O298" i="6"/>
  <c r="N298" i="6"/>
  <c r="M298" i="6"/>
  <c r="J298" i="6"/>
  <c r="H298" i="6"/>
  <c r="G298" i="6"/>
  <c r="DU298" i="6" s="1"/>
  <c r="F298" i="6"/>
  <c r="E298" i="6"/>
  <c r="DP298" i="6" s="1"/>
  <c r="D298" i="6"/>
  <c r="C298" i="6"/>
  <c r="B298" i="6"/>
  <c r="DW297" i="6"/>
  <c r="DM297" i="6"/>
  <c r="DL297" i="6"/>
  <c r="DK297" i="6"/>
  <c r="DJ297" i="6"/>
  <c r="DN297" i="6" s="1"/>
  <c r="DH297" i="6"/>
  <c r="DI297" i="6" s="1"/>
  <c r="DF297" i="6"/>
  <c r="DG297" i="6" s="1"/>
  <c r="DD297" i="6"/>
  <c r="DE297" i="6" s="1"/>
  <c r="DC297" i="6"/>
  <c r="DB297" i="6"/>
  <c r="DA297" i="6"/>
  <c r="CY297" i="6"/>
  <c r="CZ297" i="6" s="1"/>
  <c r="CX297" i="6"/>
  <c r="CV297" i="6"/>
  <c r="CW297" i="6" s="1"/>
  <c r="CT297" i="6"/>
  <c r="CU297" i="6" s="1"/>
  <c r="CR297" i="6"/>
  <c r="CQ297" i="6"/>
  <c r="CP297" i="6"/>
  <c r="CN297" i="6"/>
  <c r="CO297" i="6" s="1"/>
  <c r="CM297" i="6"/>
  <c r="CL297" i="6"/>
  <c r="CJ297" i="6"/>
  <c r="CI297" i="6"/>
  <c r="CH297" i="6"/>
  <c r="CG297" i="6"/>
  <c r="CF297" i="6"/>
  <c r="CE297" i="6"/>
  <c r="CD297" i="6"/>
  <c r="CB297" i="6"/>
  <c r="CC297" i="6" s="1"/>
  <c r="BZ297" i="6"/>
  <c r="BY297" i="6"/>
  <c r="BX297" i="6"/>
  <c r="BW297" i="6"/>
  <c r="CA297" i="6" s="1"/>
  <c r="BU297" i="6"/>
  <c r="BV297" i="6" s="1"/>
  <c r="BR297" i="6"/>
  <c r="BS297" i="6" s="1"/>
  <c r="BQ297" i="6"/>
  <c r="BO297" i="6"/>
  <c r="BP297" i="6" s="1"/>
  <c r="BM297" i="6"/>
  <c r="BL297" i="6"/>
  <c r="BK297" i="6"/>
  <c r="BJ297" i="6"/>
  <c r="BN297" i="6" s="1"/>
  <c r="BI297" i="6"/>
  <c r="BH297" i="6"/>
  <c r="BF297" i="6"/>
  <c r="BG297" i="6" s="1"/>
  <c r="BD297" i="6"/>
  <c r="BC297" i="6"/>
  <c r="BE297" i="6" s="1"/>
  <c r="BB297" i="6"/>
  <c r="AZ297" i="6"/>
  <c r="AY297" i="6"/>
  <c r="BA297" i="6" s="1"/>
  <c r="AX297" i="6"/>
  <c r="AW297" i="6"/>
  <c r="AV297" i="6"/>
  <c r="AU297" i="6"/>
  <c r="AT297" i="6"/>
  <c r="AS297" i="6"/>
  <c r="AR297" i="6"/>
  <c r="AQ297" i="6"/>
  <c r="AP297" i="6"/>
  <c r="AN297" i="6"/>
  <c r="AO297" i="6" s="1"/>
  <c r="AM297" i="6"/>
  <c r="AL297" i="6"/>
  <c r="AK297" i="6"/>
  <c r="AI297" i="6"/>
  <c r="AJ297" i="6" s="1"/>
  <c r="AG297" i="6"/>
  <c r="AF297" i="6"/>
  <c r="AE297" i="6"/>
  <c r="AD297" i="6"/>
  <c r="AC297" i="6"/>
  <c r="AA297" i="6"/>
  <c r="Z297" i="6"/>
  <c r="AB297" i="6" s="1"/>
  <c r="Y297" i="6"/>
  <c r="W297" i="6"/>
  <c r="V297" i="6"/>
  <c r="T297" i="6"/>
  <c r="S297" i="6"/>
  <c r="R297" i="6"/>
  <c r="P297" i="6"/>
  <c r="O297" i="6"/>
  <c r="N297" i="6"/>
  <c r="M297" i="6"/>
  <c r="J297" i="6"/>
  <c r="H297" i="6"/>
  <c r="G297" i="6"/>
  <c r="F297" i="6"/>
  <c r="DV297" i="6" s="1"/>
  <c r="E297" i="6"/>
  <c r="DP297" i="6" s="1"/>
  <c r="D297" i="6"/>
  <c r="C297" i="6"/>
  <c r="B297" i="6"/>
  <c r="DW296" i="6"/>
  <c r="DM296" i="6"/>
  <c r="DL296" i="6"/>
  <c r="DK296" i="6"/>
  <c r="DJ296" i="6"/>
  <c r="DH296" i="6"/>
  <c r="DI296" i="6" s="1"/>
  <c r="DG296" i="6"/>
  <c r="DF296" i="6"/>
  <c r="DE296" i="6"/>
  <c r="DD296" i="6"/>
  <c r="DC296" i="6"/>
  <c r="DB296" i="6"/>
  <c r="DA296" i="6"/>
  <c r="CY296" i="6"/>
  <c r="CZ296" i="6" s="1"/>
  <c r="CX296" i="6"/>
  <c r="CV296" i="6"/>
  <c r="CW296" i="6" s="1"/>
  <c r="CT296" i="6"/>
  <c r="CU296" i="6" s="1"/>
  <c r="CR296" i="6"/>
  <c r="CQ296" i="6"/>
  <c r="CP296" i="6"/>
  <c r="CN296" i="6"/>
  <c r="CO296" i="6" s="1"/>
  <c r="CM296" i="6"/>
  <c r="CL296" i="6"/>
  <c r="CJ296" i="6"/>
  <c r="CI296" i="6"/>
  <c r="CG296" i="6"/>
  <c r="CH296" i="6" s="1"/>
  <c r="CF296" i="6"/>
  <c r="CE296" i="6"/>
  <c r="CD296" i="6"/>
  <c r="CB296" i="6"/>
  <c r="CC296" i="6" s="1"/>
  <c r="BZ296" i="6"/>
  <c r="BY296" i="6"/>
  <c r="BX296" i="6"/>
  <c r="BW296" i="6"/>
  <c r="CA296" i="6" s="1"/>
  <c r="BU296" i="6"/>
  <c r="BV296" i="6" s="1"/>
  <c r="BR296" i="6"/>
  <c r="BS296" i="6" s="1"/>
  <c r="BQ296" i="6"/>
  <c r="BO296" i="6"/>
  <c r="BP296" i="6" s="1"/>
  <c r="BM296" i="6"/>
  <c r="BL296" i="6"/>
  <c r="BK296" i="6"/>
  <c r="BJ296" i="6"/>
  <c r="BN296" i="6" s="1"/>
  <c r="BI296" i="6"/>
  <c r="BH296" i="6"/>
  <c r="BF296" i="6"/>
  <c r="BG296" i="6" s="1"/>
  <c r="BD296" i="6"/>
  <c r="BC296" i="6"/>
  <c r="BE296" i="6" s="1"/>
  <c r="BB296" i="6"/>
  <c r="AZ296" i="6"/>
  <c r="AY296" i="6"/>
  <c r="BA296" i="6" s="1"/>
  <c r="AX296" i="6"/>
  <c r="AW296" i="6"/>
  <c r="AV296" i="6"/>
  <c r="AU296" i="6"/>
  <c r="AT296" i="6"/>
  <c r="AS296" i="6"/>
  <c r="AR296" i="6"/>
  <c r="AQ296" i="6"/>
  <c r="AP296" i="6"/>
  <c r="AN296" i="6"/>
  <c r="AO296" i="6" s="1"/>
  <c r="AM296" i="6"/>
  <c r="AL296" i="6"/>
  <c r="AK296" i="6"/>
  <c r="AI296" i="6"/>
  <c r="AJ296" i="6" s="1"/>
  <c r="AG296" i="6"/>
  <c r="AF296" i="6"/>
  <c r="AE296" i="6"/>
  <c r="AD296" i="6"/>
  <c r="AC296" i="6"/>
  <c r="AB296" i="6"/>
  <c r="AA296" i="6"/>
  <c r="Z296" i="6"/>
  <c r="Y296" i="6"/>
  <c r="W296" i="6"/>
  <c r="V296" i="6"/>
  <c r="T296" i="6"/>
  <c r="S296" i="6"/>
  <c r="R296" i="6"/>
  <c r="P296" i="6"/>
  <c r="O296" i="6"/>
  <c r="N296" i="6"/>
  <c r="M296" i="6"/>
  <c r="J296" i="6"/>
  <c r="H296" i="6"/>
  <c r="G296" i="6"/>
  <c r="F296" i="6"/>
  <c r="DV296" i="6" s="1"/>
  <c r="E296" i="6"/>
  <c r="DP296" i="6" s="1"/>
  <c r="D296" i="6"/>
  <c r="C296" i="6"/>
  <c r="B296" i="6"/>
  <c r="DW295" i="6"/>
  <c r="DM295" i="6"/>
  <c r="DL295" i="6"/>
  <c r="DK295" i="6"/>
  <c r="DJ295" i="6"/>
  <c r="DN295" i="6" s="1"/>
  <c r="DH295" i="6"/>
  <c r="DI295" i="6" s="1"/>
  <c r="DG295" i="6"/>
  <c r="DF295" i="6"/>
  <c r="DE295" i="6"/>
  <c r="DD295" i="6"/>
  <c r="DC295" i="6"/>
  <c r="DB295" i="6"/>
  <c r="DA295" i="6"/>
  <c r="CY295" i="6"/>
  <c r="CZ295" i="6" s="1"/>
  <c r="CX295" i="6"/>
  <c r="CV295" i="6"/>
  <c r="CW295" i="6" s="1"/>
  <c r="CT295" i="6"/>
  <c r="CU295" i="6" s="1"/>
  <c r="CR295" i="6"/>
  <c r="CQ295" i="6"/>
  <c r="CP295" i="6"/>
  <c r="CN295" i="6"/>
  <c r="CO295" i="6" s="1"/>
  <c r="CM295" i="6"/>
  <c r="CL295" i="6"/>
  <c r="CJ295" i="6"/>
  <c r="CI295" i="6"/>
  <c r="CG295" i="6"/>
  <c r="CH295" i="6" s="1"/>
  <c r="CF295" i="6"/>
  <c r="CE295" i="6"/>
  <c r="CD295" i="6"/>
  <c r="CB295" i="6"/>
  <c r="CC295" i="6" s="1"/>
  <c r="BZ295" i="6"/>
  <c r="BY295" i="6"/>
  <c r="BX295" i="6"/>
  <c r="BW295" i="6"/>
  <c r="CA295" i="6" s="1"/>
  <c r="BU295" i="6"/>
  <c r="BV295" i="6" s="1"/>
  <c r="BR295" i="6"/>
  <c r="BS295" i="6" s="1"/>
  <c r="BQ295" i="6"/>
  <c r="BO295" i="6"/>
  <c r="BP295" i="6" s="1"/>
  <c r="BM295" i="6"/>
  <c r="BL295" i="6"/>
  <c r="BK295" i="6"/>
  <c r="BJ295" i="6"/>
  <c r="BN295" i="6" s="1"/>
  <c r="BI295" i="6"/>
  <c r="BH295" i="6"/>
  <c r="BF295" i="6"/>
  <c r="BG295" i="6" s="1"/>
  <c r="BD295" i="6"/>
  <c r="BC295" i="6"/>
  <c r="BE295" i="6" s="1"/>
  <c r="BB295" i="6"/>
  <c r="AZ295" i="6"/>
  <c r="AY295" i="6"/>
  <c r="BA295" i="6" s="1"/>
  <c r="AX295" i="6"/>
  <c r="AW295" i="6"/>
  <c r="AV295" i="6"/>
  <c r="AU295" i="6"/>
  <c r="AT295" i="6"/>
  <c r="AS295" i="6"/>
  <c r="AR295" i="6"/>
  <c r="AQ295" i="6"/>
  <c r="AP295" i="6"/>
  <c r="AN295" i="6"/>
  <c r="AO295" i="6" s="1"/>
  <c r="AM295" i="6"/>
  <c r="AL295" i="6"/>
  <c r="AK295" i="6"/>
  <c r="AI295" i="6"/>
  <c r="AJ295" i="6" s="1"/>
  <c r="AG295" i="6"/>
  <c r="AF295" i="6"/>
  <c r="AE295" i="6"/>
  <c r="AD295" i="6"/>
  <c r="AC295" i="6"/>
  <c r="AA295" i="6"/>
  <c r="Z295" i="6"/>
  <c r="Y295" i="6"/>
  <c r="W295" i="6"/>
  <c r="V295" i="6"/>
  <c r="T295" i="6"/>
  <c r="S295" i="6"/>
  <c r="R295" i="6"/>
  <c r="P295" i="6"/>
  <c r="O295" i="6"/>
  <c r="N295" i="6"/>
  <c r="M295" i="6"/>
  <c r="J295" i="6"/>
  <c r="H295" i="6"/>
  <c r="G295" i="6"/>
  <c r="F295" i="6"/>
  <c r="DV295" i="6" s="1"/>
  <c r="E295" i="6"/>
  <c r="DP295" i="6" s="1"/>
  <c r="D295" i="6"/>
  <c r="C295" i="6"/>
  <c r="B295" i="6"/>
  <c r="DW294" i="6"/>
  <c r="DM294" i="6"/>
  <c r="DL294" i="6"/>
  <c r="DK294" i="6"/>
  <c r="DJ294" i="6"/>
  <c r="DN294" i="6" s="1"/>
  <c r="DH294" i="6"/>
  <c r="DI294" i="6" s="1"/>
  <c r="DF294" i="6"/>
  <c r="DG294" i="6" s="1"/>
  <c r="DD294" i="6"/>
  <c r="DE294" i="6" s="1"/>
  <c r="DC294" i="6"/>
  <c r="DB294" i="6"/>
  <c r="DA294" i="6"/>
  <c r="CY294" i="6"/>
  <c r="CZ294" i="6" s="1"/>
  <c r="CX294" i="6"/>
  <c r="CV294" i="6"/>
  <c r="CW294" i="6" s="1"/>
  <c r="CU294" i="6"/>
  <c r="CT294" i="6"/>
  <c r="CR294" i="6"/>
  <c r="CQ294" i="6"/>
  <c r="CP294" i="6"/>
  <c r="CN294" i="6"/>
  <c r="CM294" i="6"/>
  <c r="CL294" i="6"/>
  <c r="CO294" i="6" s="1"/>
  <c r="CJ294" i="6"/>
  <c r="CI294" i="6"/>
  <c r="CG294" i="6"/>
  <c r="CH294" i="6" s="1"/>
  <c r="CF294" i="6"/>
  <c r="CE294" i="6"/>
  <c r="CD294" i="6"/>
  <c r="CB294" i="6"/>
  <c r="CC294" i="6" s="1"/>
  <c r="BZ294" i="6"/>
  <c r="BY294" i="6"/>
  <c r="BX294" i="6"/>
  <c r="BW294" i="6"/>
  <c r="CA294" i="6" s="1"/>
  <c r="BV294" i="6"/>
  <c r="BU294" i="6"/>
  <c r="BS294" i="6"/>
  <c r="BR294" i="6"/>
  <c r="BQ294" i="6"/>
  <c r="BO294" i="6"/>
  <c r="BP294" i="6" s="1"/>
  <c r="BM294" i="6"/>
  <c r="BL294" i="6"/>
  <c r="BK294" i="6"/>
  <c r="BJ294" i="6"/>
  <c r="BN294" i="6" s="1"/>
  <c r="BI294" i="6"/>
  <c r="BH294" i="6"/>
  <c r="BF294" i="6"/>
  <c r="BG294" i="6" s="1"/>
  <c r="BD294" i="6"/>
  <c r="BC294" i="6"/>
  <c r="BE294" i="6" s="1"/>
  <c r="BB294" i="6"/>
  <c r="AZ294" i="6"/>
  <c r="AY294" i="6"/>
  <c r="BA294" i="6" s="1"/>
  <c r="AW294" i="6"/>
  <c r="AV294" i="6"/>
  <c r="AX294" i="6" s="1"/>
  <c r="AT294" i="6"/>
  <c r="AS294" i="6"/>
  <c r="AU294" i="6" s="1"/>
  <c r="AQ294" i="6"/>
  <c r="AP294" i="6"/>
  <c r="AR294" i="6" s="1"/>
  <c r="AO294" i="6"/>
  <c r="AN294" i="6"/>
  <c r="AM294" i="6"/>
  <c r="AL294" i="6"/>
  <c r="AK294" i="6"/>
  <c r="AI294" i="6"/>
  <c r="AJ294" i="6" s="1"/>
  <c r="AG294" i="6"/>
  <c r="AF294" i="6"/>
  <c r="AE294" i="6"/>
  <c r="AD294" i="6"/>
  <c r="AC294" i="6"/>
  <c r="AA294" i="6"/>
  <c r="AB294" i="6" s="1"/>
  <c r="Z294" i="6"/>
  <c r="Y294" i="6"/>
  <c r="X294" i="6"/>
  <c r="W294" i="6"/>
  <c r="V294" i="6"/>
  <c r="T294" i="6"/>
  <c r="R294" i="6"/>
  <c r="S294" i="6" s="1"/>
  <c r="P294" i="6"/>
  <c r="O294" i="6"/>
  <c r="N294" i="6"/>
  <c r="M294" i="6"/>
  <c r="J294" i="6"/>
  <c r="H294" i="6"/>
  <c r="G294" i="6"/>
  <c r="F294" i="6"/>
  <c r="DV294" i="6" s="1"/>
  <c r="E294" i="6"/>
  <c r="DP294" i="6" s="1"/>
  <c r="D294" i="6"/>
  <c r="C294" i="6"/>
  <c r="B294" i="6"/>
  <c r="DW293" i="6"/>
  <c r="DM293" i="6"/>
  <c r="DL293" i="6"/>
  <c r="DK293" i="6"/>
  <c r="DJ293" i="6"/>
  <c r="DH293" i="6"/>
  <c r="DI293" i="6" s="1"/>
  <c r="DF293" i="6"/>
  <c r="DG293" i="6" s="1"/>
  <c r="DE293" i="6"/>
  <c r="DD293" i="6"/>
  <c r="DC293" i="6"/>
  <c r="DB293" i="6"/>
  <c r="DA293" i="6"/>
  <c r="CY293" i="6"/>
  <c r="CZ293" i="6" s="1"/>
  <c r="CX293" i="6"/>
  <c r="CV293" i="6"/>
  <c r="CW293" i="6" s="1"/>
  <c r="CT293" i="6"/>
  <c r="CU293" i="6" s="1"/>
  <c r="CR293" i="6"/>
  <c r="CQ293" i="6"/>
  <c r="CP293" i="6"/>
  <c r="CN293" i="6"/>
  <c r="CM293" i="6"/>
  <c r="CL293" i="6"/>
  <c r="CO293" i="6" s="1"/>
  <c r="CK293" i="6"/>
  <c r="CJ293" i="6"/>
  <c r="CI293" i="6"/>
  <c r="CG293" i="6"/>
  <c r="CH293" i="6" s="1"/>
  <c r="CF293" i="6"/>
  <c r="CE293" i="6"/>
  <c r="CD293" i="6"/>
  <c r="CB293" i="6"/>
  <c r="CC293" i="6" s="1"/>
  <c r="BZ293" i="6"/>
  <c r="BY293" i="6"/>
  <c r="BX293" i="6"/>
  <c r="BW293" i="6"/>
  <c r="CA293" i="6" s="1"/>
  <c r="BV293" i="6"/>
  <c r="BU293" i="6"/>
  <c r="BS293" i="6"/>
  <c r="BR293" i="6"/>
  <c r="BQ293" i="6"/>
  <c r="BO293" i="6"/>
  <c r="BP293" i="6" s="1"/>
  <c r="BM293" i="6"/>
  <c r="BL293" i="6"/>
  <c r="BK293" i="6"/>
  <c r="BJ293" i="6"/>
  <c r="BN293" i="6" s="1"/>
  <c r="BI293" i="6"/>
  <c r="BH293" i="6"/>
  <c r="BF293" i="6"/>
  <c r="BG293" i="6" s="1"/>
  <c r="BD293" i="6"/>
  <c r="BC293" i="6"/>
  <c r="BE293" i="6" s="1"/>
  <c r="BB293" i="6"/>
  <c r="AZ293" i="6"/>
  <c r="AY293" i="6"/>
  <c r="BA293" i="6" s="1"/>
  <c r="AW293" i="6"/>
  <c r="AV293" i="6"/>
  <c r="AX293" i="6" s="1"/>
  <c r="AT293" i="6"/>
  <c r="AS293" i="6"/>
  <c r="AU293" i="6" s="1"/>
  <c r="AQ293" i="6"/>
  <c r="AP293" i="6"/>
  <c r="AR293" i="6" s="1"/>
  <c r="AO293" i="6"/>
  <c r="AN293" i="6"/>
  <c r="AM293" i="6"/>
  <c r="AL293" i="6"/>
  <c r="AK293" i="6"/>
  <c r="AI293" i="6"/>
  <c r="AJ293" i="6" s="1"/>
  <c r="AG293" i="6"/>
  <c r="AF293" i="6"/>
  <c r="AE293" i="6"/>
  <c r="AD293" i="6"/>
  <c r="AC293" i="6"/>
  <c r="AA293" i="6"/>
  <c r="AB293" i="6" s="1"/>
  <c r="Z293" i="6"/>
  <c r="Y293" i="6"/>
  <c r="X293" i="6"/>
  <c r="W293" i="6"/>
  <c r="V293" i="6"/>
  <c r="T293" i="6"/>
  <c r="R293" i="6"/>
  <c r="S293" i="6" s="1"/>
  <c r="P293" i="6"/>
  <c r="O293" i="6"/>
  <c r="N293" i="6"/>
  <c r="M293" i="6"/>
  <c r="J293" i="6"/>
  <c r="H293" i="6"/>
  <c r="G293" i="6"/>
  <c r="F293" i="6"/>
  <c r="E293" i="6"/>
  <c r="DP293" i="6" s="1"/>
  <c r="D293" i="6"/>
  <c r="C293" i="6"/>
  <c r="B293" i="6"/>
  <c r="DW292" i="6"/>
  <c r="DM292" i="6"/>
  <c r="DL292" i="6"/>
  <c r="DK292" i="6"/>
  <c r="DN292" i="6" s="1"/>
  <c r="DJ292" i="6"/>
  <c r="DI292" i="6"/>
  <c r="DH292" i="6"/>
  <c r="DF292" i="6"/>
  <c r="DG292" i="6" s="1"/>
  <c r="DE292" i="6"/>
  <c r="DD292" i="6"/>
  <c r="DC292" i="6"/>
  <c r="DB292" i="6"/>
  <c r="DA292" i="6"/>
  <c r="CY292" i="6"/>
  <c r="CZ292" i="6" s="1"/>
  <c r="CX292" i="6"/>
  <c r="CV292" i="6"/>
  <c r="CW292" i="6" s="1"/>
  <c r="CU292" i="6"/>
  <c r="CT292" i="6"/>
  <c r="CR292" i="6"/>
  <c r="CQ292" i="6"/>
  <c r="CP292" i="6"/>
  <c r="CS292" i="6" s="1"/>
  <c r="CN292" i="6"/>
  <c r="CM292" i="6"/>
  <c r="CL292" i="6"/>
  <c r="CO292" i="6" s="1"/>
  <c r="CJ292" i="6"/>
  <c r="CI292" i="6"/>
  <c r="DS292" i="6" s="1"/>
  <c r="CG292" i="6"/>
  <c r="CH292" i="6" s="1"/>
  <c r="CF292" i="6"/>
  <c r="CE292" i="6"/>
  <c r="CD292" i="6"/>
  <c r="CB292" i="6"/>
  <c r="CC292" i="6" s="1"/>
  <c r="BZ292" i="6"/>
  <c r="BY292" i="6"/>
  <c r="BX292" i="6"/>
  <c r="BW292" i="6"/>
  <c r="CA292" i="6" s="1"/>
  <c r="BU292" i="6"/>
  <c r="BV292" i="6" s="1"/>
  <c r="BR292" i="6"/>
  <c r="BQ292" i="6"/>
  <c r="BS292" i="6" s="1"/>
  <c r="BO292" i="6"/>
  <c r="BP292" i="6" s="1"/>
  <c r="BM292" i="6"/>
  <c r="BL292" i="6"/>
  <c r="BK292" i="6"/>
  <c r="BN292" i="6" s="1"/>
  <c r="BJ292" i="6"/>
  <c r="BI292" i="6"/>
  <c r="BH292" i="6"/>
  <c r="BF292" i="6"/>
  <c r="BG292" i="6" s="1"/>
  <c r="BD292" i="6"/>
  <c r="BC292" i="6"/>
  <c r="BE292" i="6" s="1"/>
  <c r="BB292" i="6"/>
  <c r="AZ292" i="6"/>
  <c r="AY292" i="6"/>
  <c r="BA292" i="6" s="1"/>
  <c r="AX292" i="6"/>
  <c r="AW292" i="6"/>
  <c r="AV292" i="6"/>
  <c r="AT292" i="6"/>
  <c r="AU292" i="6" s="1"/>
  <c r="AS292" i="6"/>
  <c r="AQ292" i="6"/>
  <c r="AP292" i="6"/>
  <c r="AR292" i="6" s="1"/>
  <c r="AO292" i="6"/>
  <c r="AN292" i="6"/>
  <c r="AM292" i="6"/>
  <c r="AL292" i="6"/>
  <c r="AK292" i="6"/>
  <c r="AI292" i="6"/>
  <c r="AJ292" i="6" s="1"/>
  <c r="AG292" i="6"/>
  <c r="AF292" i="6"/>
  <c r="AE292" i="6"/>
  <c r="AD292" i="6"/>
  <c r="AC292" i="6"/>
  <c r="AA292" i="6"/>
  <c r="Z292" i="6"/>
  <c r="AB292" i="6" s="1"/>
  <c r="Y292" i="6"/>
  <c r="W292" i="6"/>
  <c r="V292" i="6"/>
  <c r="T292" i="6"/>
  <c r="R292" i="6"/>
  <c r="S292" i="6" s="1"/>
  <c r="Q292" i="6"/>
  <c r="P292" i="6"/>
  <c r="DQ292" i="6" s="1"/>
  <c r="O292" i="6"/>
  <c r="N292" i="6"/>
  <c r="M292" i="6"/>
  <c r="J292" i="6"/>
  <c r="H292" i="6"/>
  <c r="G292" i="6"/>
  <c r="F292" i="6"/>
  <c r="DV292" i="6" s="1"/>
  <c r="E292" i="6"/>
  <c r="DP292" i="6" s="1"/>
  <c r="D292" i="6"/>
  <c r="C292" i="6"/>
  <c r="B292" i="6"/>
  <c r="DW291" i="6"/>
  <c r="DM291" i="6"/>
  <c r="DL291" i="6"/>
  <c r="DK291" i="6"/>
  <c r="DN291" i="6" s="1"/>
  <c r="DJ291" i="6"/>
  <c r="DH291" i="6"/>
  <c r="DI291" i="6" s="1"/>
  <c r="DG291" i="6"/>
  <c r="DF291" i="6"/>
  <c r="DE291" i="6"/>
  <c r="DD291" i="6"/>
  <c r="DC291" i="6"/>
  <c r="DB291" i="6"/>
  <c r="DA291" i="6"/>
  <c r="CY291" i="6"/>
  <c r="CZ291" i="6" s="1"/>
  <c r="CX291" i="6"/>
  <c r="CV291" i="6"/>
  <c r="CW291" i="6" s="1"/>
  <c r="CU291" i="6"/>
  <c r="CT291" i="6"/>
  <c r="CR291" i="6"/>
  <c r="CQ291" i="6"/>
  <c r="CP291" i="6"/>
  <c r="CS291" i="6" s="1"/>
  <c r="CN291" i="6"/>
  <c r="CM291" i="6"/>
  <c r="CL291" i="6"/>
  <c r="CO291" i="6" s="1"/>
  <c r="CJ291" i="6"/>
  <c r="CI291" i="6"/>
  <c r="CH291" i="6"/>
  <c r="CG291" i="6"/>
  <c r="CF291" i="6"/>
  <c r="CE291" i="6"/>
  <c r="CD291" i="6"/>
  <c r="CB291" i="6"/>
  <c r="CC291" i="6" s="1"/>
  <c r="BZ291" i="6"/>
  <c r="BY291" i="6"/>
  <c r="BX291" i="6"/>
  <c r="BW291" i="6"/>
  <c r="CA291" i="6" s="1"/>
  <c r="BV291" i="6"/>
  <c r="BU291" i="6"/>
  <c r="BS291" i="6"/>
  <c r="BR291" i="6"/>
  <c r="BQ291" i="6"/>
  <c r="BP291" i="6"/>
  <c r="BO291" i="6"/>
  <c r="BM291" i="6"/>
  <c r="BN291" i="6" s="1"/>
  <c r="BL291" i="6"/>
  <c r="BK291" i="6"/>
  <c r="BJ291" i="6"/>
  <c r="BI291" i="6"/>
  <c r="BH291" i="6"/>
  <c r="BF291" i="6"/>
  <c r="BG291" i="6" s="1"/>
  <c r="BD291" i="6"/>
  <c r="BC291" i="6"/>
  <c r="BE291" i="6" s="1"/>
  <c r="BB291" i="6"/>
  <c r="AZ291" i="6"/>
  <c r="AY291" i="6"/>
  <c r="BA291" i="6" s="1"/>
  <c r="AW291" i="6"/>
  <c r="AV291" i="6"/>
  <c r="AX291" i="6" s="1"/>
  <c r="AU291" i="6"/>
  <c r="AT291" i="6"/>
  <c r="AS291" i="6"/>
  <c r="AQ291" i="6"/>
  <c r="AP291" i="6"/>
  <c r="AR291" i="6" s="1"/>
  <c r="AN291" i="6"/>
  <c r="AO291" i="6" s="1"/>
  <c r="AM291" i="6"/>
  <c r="AL291" i="6"/>
  <c r="AK291" i="6"/>
  <c r="AI291" i="6"/>
  <c r="AJ291" i="6" s="1"/>
  <c r="AG291" i="6"/>
  <c r="AF291" i="6"/>
  <c r="AE291" i="6"/>
  <c r="AD291" i="6"/>
  <c r="AC291" i="6"/>
  <c r="AA291" i="6"/>
  <c r="Z291" i="6"/>
  <c r="AB291" i="6" s="1"/>
  <c r="Y291" i="6"/>
  <c r="W291" i="6"/>
  <c r="V291" i="6"/>
  <c r="DT291" i="6" s="1"/>
  <c r="T291" i="6"/>
  <c r="R291" i="6"/>
  <c r="S291" i="6" s="1"/>
  <c r="Q291" i="6"/>
  <c r="P291" i="6"/>
  <c r="O291" i="6"/>
  <c r="N291" i="6"/>
  <c r="M291" i="6"/>
  <c r="J291" i="6"/>
  <c r="H291" i="6"/>
  <c r="G291" i="6"/>
  <c r="F291" i="6"/>
  <c r="E291" i="6"/>
  <c r="DP291" i="6" s="1"/>
  <c r="D291" i="6"/>
  <c r="C291" i="6"/>
  <c r="B291" i="6"/>
  <c r="DW290" i="6"/>
  <c r="DM290" i="6"/>
  <c r="DL290" i="6"/>
  <c r="DK290" i="6"/>
  <c r="DN290" i="6" s="1"/>
  <c r="DJ290" i="6"/>
  <c r="DH290" i="6"/>
  <c r="DI290" i="6" s="1"/>
  <c r="DG290" i="6"/>
  <c r="DF290" i="6"/>
  <c r="DE290" i="6"/>
  <c r="DD290" i="6"/>
  <c r="DC290" i="6"/>
  <c r="DB290" i="6"/>
  <c r="DA290" i="6"/>
  <c r="CY290" i="6"/>
  <c r="CZ290" i="6" s="1"/>
  <c r="CX290" i="6"/>
  <c r="CV290" i="6"/>
  <c r="CW290" i="6" s="1"/>
  <c r="CU290" i="6"/>
  <c r="CT290" i="6"/>
  <c r="CR290" i="6"/>
  <c r="CQ290" i="6"/>
  <c r="CP290" i="6"/>
  <c r="CN290" i="6"/>
  <c r="CM290" i="6"/>
  <c r="CL290" i="6"/>
  <c r="CO290" i="6" s="1"/>
  <c r="CJ290" i="6"/>
  <c r="CI290" i="6"/>
  <c r="CH290" i="6"/>
  <c r="CG290" i="6"/>
  <c r="CF290" i="6"/>
  <c r="CE290" i="6"/>
  <c r="CD290" i="6"/>
  <c r="CB290" i="6"/>
  <c r="CC290" i="6" s="1"/>
  <c r="BZ290" i="6"/>
  <c r="BY290" i="6"/>
  <c r="BX290" i="6"/>
  <c r="BW290" i="6"/>
  <c r="CA290" i="6" s="1"/>
  <c r="BU290" i="6"/>
  <c r="BV290" i="6" s="1"/>
  <c r="BS290" i="6"/>
  <c r="BR290" i="6"/>
  <c r="BQ290" i="6"/>
  <c r="BO290" i="6"/>
  <c r="BP290" i="6" s="1"/>
  <c r="BM290" i="6"/>
  <c r="BL290" i="6"/>
  <c r="BK290" i="6"/>
  <c r="BJ290" i="6"/>
  <c r="BN290" i="6" s="1"/>
  <c r="BI290" i="6"/>
  <c r="BH290" i="6"/>
  <c r="BF290" i="6"/>
  <c r="BG290" i="6" s="1"/>
  <c r="BD290" i="6"/>
  <c r="BC290" i="6"/>
  <c r="BE290" i="6" s="1"/>
  <c r="BB290" i="6"/>
  <c r="AZ290" i="6"/>
  <c r="AY290" i="6"/>
  <c r="BA290" i="6" s="1"/>
  <c r="AW290" i="6"/>
  <c r="AV290" i="6"/>
  <c r="AX290" i="6" s="1"/>
  <c r="AT290" i="6"/>
  <c r="AU290" i="6" s="1"/>
  <c r="AS290" i="6"/>
  <c r="AQ290" i="6"/>
  <c r="AP290" i="6"/>
  <c r="AR290" i="6" s="1"/>
  <c r="AN290" i="6"/>
  <c r="AO290" i="6" s="1"/>
  <c r="AM290" i="6"/>
  <c r="AL290" i="6"/>
  <c r="AK290" i="6"/>
  <c r="AI290" i="6"/>
  <c r="AJ290" i="6" s="1"/>
  <c r="AG290" i="6"/>
  <c r="AF290" i="6"/>
  <c r="AE290" i="6"/>
  <c r="AD290" i="6"/>
  <c r="AC290" i="6"/>
  <c r="AA290" i="6"/>
  <c r="Z290" i="6"/>
  <c r="AB290" i="6" s="1"/>
  <c r="Y290" i="6"/>
  <c r="W290" i="6"/>
  <c r="V290" i="6"/>
  <c r="T290" i="6"/>
  <c r="R290" i="6"/>
  <c r="S290" i="6" s="1"/>
  <c r="Q290" i="6"/>
  <c r="P290" i="6"/>
  <c r="O290" i="6"/>
  <c r="N290" i="6"/>
  <c r="M290" i="6"/>
  <c r="J290" i="6"/>
  <c r="H290" i="6"/>
  <c r="G290" i="6"/>
  <c r="F290" i="6"/>
  <c r="DV290" i="6" s="1"/>
  <c r="E290" i="6"/>
  <c r="DP290" i="6" s="1"/>
  <c r="D290" i="6"/>
  <c r="C290" i="6"/>
  <c r="B290" i="6"/>
  <c r="DW289" i="6"/>
  <c r="DM289" i="6"/>
  <c r="DL289" i="6"/>
  <c r="DK289" i="6"/>
  <c r="DJ289" i="6"/>
  <c r="DN289" i="6" s="1"/>
  <c r="DH289" i="6"/>
  <c r="DI289" i="6" s="1"/>
  <c r="DF289" i="6"/>
  <c r="DG289" i="6" s="1"/>
  <c r="DD289" i="6"/>
  <c r="DE289" i="6" s="1"/>
  <c r="DC289" i="6"/>
  <c r="DB289" i="6"/>
  <c r="DA289" i="6"/>
  <c r="CY289" i="6"/>
  <c r="CX289" i="6"/>
  <c r="CV289" i="6"/>
  <c r="CW289" i="6" s="1"/>
  <c r="CU289" i="6"/>
  <c r="CT289" i="6"/>
  <c r="CR289" i="6"/>
  <c r="CQ289" i="6"/>
  <c r="CP289" i="6"/>
  <c r="CN289" i="6"/>
  <c r="CM289" i="6"/>
  <c r="CL289" i="6"/>
  <c r="CO289" i="6" s="1"/>
  <c r="CJ289" i="6"/>
  <c r="CI289" i="6"/>
  <c r="CG289" i="6"/>
  <c r="CH289" i="6" s="1"/>
  <c r="CF289" i="6"/>
  <c r="CE289" i="6"/>
  <c r="CD289" i="6"/>
  <c r="CB289" i="6"/>
  <c r="CC289" i="6" s="1"/>
  <c r="BZ289" i="6"/>
  <c r="BY289" i="6"/>
  <c r="BX289" i="6"/>
  <c r="BW289" i="6"/>
  <c r="BV289" i="6"/>
  <c r="BU289" i="6"/>
  <c r="BS289" i="6"/>
  <c r="BR289" i="6"/>
  <c r="BQ289" i="6"/>
  <c r="BO289" i="6"/>
  <c r="BP289" i="6" s="1"/>
  <c r="BM289" i="6"/>
  <c r="BL289" i="6"/>
  <c r="BK289" i="6"/>
  <c r="BJ289" i="6"/>
  <c r="BI289" i="6"/>
  <c r="BH289" i="6"/>
  <c r="BF289" i="6"/>
  <c r="BG289" i="6" s="1"/>
  <c r="BD289" i="6"/>
  <c r="BC289" i="6"/>
  <c r="BE289" i="6" s="1"/>
  <c r="BB289" i="6"/>
  <c r="AZ289" i="6"/>
  <c r="AY289" i="6"/>
  <c r="BA289" i="6" s="1"/>
  <c r="AX289" i="6"/>
  <c r="AW289" i="6"/>
  <c r="AV289" i="6"/>
  <c r="AU289" i="6"/>
  <c r="AT289" i="6"/>
  <c r="AS289" i="6"/>
  <c r="AQ289" i="6"/>
  <c r="AR289" i="6" s="1"/>
  <c r="AP289" i="6"/>
  <c r="AO289" i="6"/>
  <c r="AN289" i="6"/>
  <c r="AM289" i="6"/>
  <c r="AL289" i="6"/>
  <c r="AK289" i="6"/>
  <c r="AI289" i="6"/>
  <c r="AJ289" i="6" s="1"/>
  <c r="AG289" i="6"/>
  <c r="AF289" i="6"/>
  <c r="AE289" i="6"/>
  <c r="AD289" i="6"/>
  <c r="AC289" i="6"/>
  <c r="AA289" i="6"/>
  <c r="Z289" i="6"/>
  <c r="AB289" i="6" s="1"/>
  <c r="Y289" i="6"/>
  <c r="W289" i="6"/>
  <c r="X289" i="6" s="1"/>
  <c r="V289" i="6"/>
  <c r="T289" i="6"/>
  <c r="R289" i="6"/>
  <c r="S289" i="6" s="1"/>
  <c r="P289" i="6"/>
  <c r="O289" i="6"/>
  <c r="N289" i="6"/>
  <c r="M289" i="6"/>
  <c r="J289" i="6"/>
  <c r="I289" i="6"/>
  <c r="H289" i="6"/>
  <c r="G289" i="6"/>
  <c r="F289" i="6"/>
  <c r="DV289" i="6" s="1"/>
  <c r="E289" i="6"/>
  <c r="DP289" i="6" s="1"/>
  <c r="D289" i="6"/>
  <c r="C289" i="6"/>
  <c r="B289" i="6"/>
  <c r="DW288" i="6"/>
  <c r="DM288" i="6"/>
  <c r="DL288" i="6"/>
  <c r="DK288" i="6"/>
  <c r="DJ288" i="6"/>
  <c r="DN288" i="6" s="1"/>
  <c r="DI288" i="6"/>
  <c r="DH288" i="6"/>
  <c r="DF288" i="6"/>
  <c r="DG288" i="6" s="1"/>
  <c r="DE288" i="6"/>
  <c r="DD288" i="6"/>
  <c r="DC288" i="6"/>
  <c r="DB288" i="6"/>
  <c r="DA288" i="6"/>
  <c r="CY288" i="6"/>
  <c r="CX288" i="6"/>
  <c r="CV288" i="6"/>
  <c r="CW288" i="6" s="1"/>
  <c r="CU288" i="6"/>
  <c r="CT288" i="6"/>
  <c r="CR288" i="6"/>
  <c r="CQ288" i="6"/>
  <c r="CP288" i="6"/>
  <c r="CN288" i="6"/>
  <c r="CM288" i="6"/>
  <c r="CL288" i="6"/>
  <c r="CO288" i="6" s="1"/>
  <c r="CJ288" i="6"/>
  <c r="CK288" i="6" s="1"/>
  <c r="CI288" i="6"/>
  <c r="CG288" i="6"/>
  <c r="CH288" i="6" s="1"/>
  <c r="CF288" i="6"/>
  <c r="CE288" i="6"/>
  <c r="CD288" i="6"/>
  <c r="CB288" i="6"/>
  <c r="CC288" i="6" s="1"/>
  <c r="BZ288" i="6"/>
  <c r="BY288" i="6"/>
  <c r="BX288" i="6"/>
  <c r="BW288" i="6"/>
  <c r="CA288" i="6" s="1"/>
  <c r="BU288" i="6"/>
  <c r="BV288" i="6" s="1"/>
  <c r="BS288" i="6"/>
  <c r="BR288" i="6"/>
  <c r="BQ288" i="6"/>
  <c r="BO288" i="6"/>
  <c r="BP288" i="6" s="1"/>
  <c r="BM288" i="6"/>
  <c r="BL288" i="6"/>
  <c r="BK288" i="6"/>
  <c r="BN288" i="6" s="1"/>
  <c r="BJ288" i="6"/>
  <c r="BI288" i="6"/>
  <c r="BH288" i="6"/>
  <c r="BF288" i="6"/>
  <c r="BG288" i="6" s="1"/>
  <c r="BD288" i="6"/>
  <c r="BC288" i="6"/>
  <c r="BB288" i="6"/>
  <c r="BE288" i="6" s="1"/>
  <c r="AZ288" i="6"/>
  <c r="AY288" i="6"/>
  <c r="BA288" i="6" s="1"/>
  <c r="AW288" i="6"/>
  <c r="AV288" i="6"/>
  <c r="AX288" i="6" s="1"/>
  <c r="AT288" i="6"/>
  <c r="DS288" i="6" s="1"/>
  <c r="AS288" i="6"/>
  <c r="AU288" i="6" s="1"/>
  <c r="AQ288" i="6"/>
  <c r="AP288" i="6"/>
  <c r="AR288" i="6" s="1"/>
  <c r="AO288" i="6"/>
  <c r="AN288" i="6"/>
  <c r="AM288" i="6"/>
  <c r="AL288" i="6"/>
  <c r="AK288" i="6"/>
  <c r="AI288" i="6"/>
  <c r="AJ288" i="6" s="1"/>
  <c r="AG288" i="6"/>
  <c r="AE288" i="6"/>
  <c r="AD288" i="6"/>
  <c r="AC288" i="6"/>
  <c r="AA288" i="6"/>
  <c r="Z288" i="6"/>
  <c r="Y288" i="6"/>
  <c r="W288" i="6"/>
  <c r="V288" i="6"/>
  <c r="T288" i="6"/>
  <c r="R288" i="6"/>
  <c r="S288" i="6" s="1"/>
  <c r="Q288" i="6"/>
  <c r="P288" i="6"/>
  <c r="O288" i="6"/>
  <c r="N288" i="6"/>
  <c r="M288" i="6"/>
  <c r="J288" i="6"/>
  <c r="H288" i="6"/>
  <c r="G288" i="6"/>
  <c r="F288" i="6"/>
  <c r="E288" i="6"/>
  <c r="D288" i="6"/>
  <c r="C288" i="6"/>
  <c r="B288" i="6"/>
  <c r="DW287" i="6"/>
  <c r="DN287" i="6"/>
  <c r="DM287" i="6"/>
  <c r="DL287" i="6"/>
  <c r="DK287" i="6"/>
  <c r="DJ287" i="6"/>
  <c r="DI287" i="6"/>
  <c r="DH287" i="6"/>
  <c r="DG287" i="6"/>
  <c r="DF287" i="6"/>
  <c r="DD287" i="6"/>
  <c r="DE287" i="6" s="1"/>
  <c r="DC287" i="6"/>
  <c r="DB287" i="6"/>
  <c r="DA287" i="6"/>
  <c r="CY287" i="6"/>
  <c r="CX287" i="6"/>
  <c r="CV287" i="6"/>
  <c r="CW287" i="6" s="1"/>
  <c r="CU287" i="6"/>
  <c r="CT287" i="6"/>
  <c r="CR287" i="6"/>
  <c r="CQ287" i="6"/>
  <c r="CP287" i="6"/>
  <c r="CS287" i="6" s="1"/>
  <c r="CN287" i="6"/>
  <c r="CO287" i="6" s="1"/>
  <c r="CM287" i="6"/>
  <c r="CL287" i="6"/>
  <c r="CJ287" i="6"/>
  <c r="CK287" i="6" s="1"/>
  <c r="CI287" i="6"/>
  <c r="CH287" i="6"/>
  <c r="CG287" i="6"/>
  <c r="CF287" i="6"/>
  <c r="CE287" i="6"/>
  <c r="CD287" i="6"/>
  <c r="CB287" i="6"/>
  <c r="CC287" i="6" s="1"/>
  <c r="BZ287" i="6"/>
  <c r="BY287" i="6"/>
  <c r="BX287" i="6"/>
  <c r="BW287" i="6"/>
  <c r="CA287" i="6" s="1"/>
  <c r="BV287" i="6"/>
  <c r="BU287" i="6"/>
  <c r="BS287" i="6"/>
  <c r="BR287" i="6"/>
  <c r="BQ287" i="6"/>
  <c r="BP287" i="6"/>
  <c r="BO287" i="6"/>
  <c r="BM287" i="6"/>
  <c r="BL287" i="6"/>
  <c r="BK287" i="6"/>
  <c r="BJ287" i="6"/>
  <c r="BN287" i="6" s="1"/>
  <c r="BI287" i="6"/>
  <c r="BH287" i="6"/>
  <c r="BF287" i="6"/>
  <c r="BG287" i="6" s="1"/>
  <c r="BD287" i="6"/>
  <c r="BC287" i="6"/>
  <c r="BB287" i="6"/>
  <c r="BE287" i="6" s="1"/>
  <c r="AZ287" i="6"/>
  <c r="AY287" i="6"/>
  <c r="BA287" i="6" s="1"/>
  <c r="AW287" i="6"/>
  <c r="DU287" i="6" s="1"/>
  <c r="AV287" i="6"/>
  <c r="AT287" i="6"/>
  <c r="DS287" i="6" s="1"/>
  <c r="AS287" i="6"/>
  <c r="AU287" i="6" s="1"/>
  <c r="AR287" i="6"/>
  <c r="AQ287" i="6"/>
  <c r="AP287" i="6"/>
  <c r="AN287" i="6"/>
  <c r="AO287" i="6" s="1"/>
  <c r="AM287" i="6"/>
  <c r="AL287" i="6"/>
  <c r="AK287" i="6"/>
  <c r="AI287" i="6"/>
  <c r="AJ287" i="6" s="1"/>
  <c r="AG287" i="6"/>
  <c r="AE287" i="6"/>
  <c r="AD287" i="6"/>
  <c r="AF287" i="6" s="1"/>
  <c r="AC287" i="6"/>
  <c r="AA287" i="6"/>
  <c r="Z287" i="6"/>
  <c r="AB287" i="6" s="1"/>
  <c r="Y287" i="6"/>
  <c r="W287" i="6"/>
  <c r="V287" i="6"/>
  <c r="T287" i="6"/>
  <c r="S287" i="6"/>
  <c r="R287" i="6"/>
  <c r="P287" i="6"/>
  <c r="Q287" i="6" s="1"/>
  <c r="O287" i="6"/>
  <c r="N287" i="6"/>
  <c r="M287" i="6"/>
  <c r="J287" i="6"/>
  <c r="H287" i="6"/>
  <c r="G287" i="6"/>
  <c r="F287" i="6"/>
  <c r="E287" i="6"/>
  <c r="D287" i="6"/>
  <c r="C287" i="6"/>
  <c r="B287" i="6"/>
  <c r="DW286" i="6"/>
  <c r="DS286" i="6"/>
  <c r="DQ286" i="6"/>
  <c r="DN286" i="6"/>
  <c r="DM286" i="6"/>
  <c r="DL286" i="6"/>
  <c r="DK286" i="6"/>
  <c r="DJ286" i="6"/>
  <c r="DH286" i="6"/>
  <c r="DI286" i="6" s="1"/>
  <c r="DF286" i="6"/>
  <c r="DG286" i="6" s="1"/>
  <c r="DD286" i="6"/>
  <c r="DE286" i="6" s="1"/>
  <c r="DC286" i="6"/>
  <c r="DB286" i="6"/>
  <c r="DA286" i="6"/>
  <c r="CY286" i="6"/>
  <c r="CZ286" i="6" s="1"/>
  <c r="CX286" i="6"/>
  <c r="CV286" i="6"/>
  <c r="CW286" i="6" s="1"/>
  <c r="CT286" i="6"/>
  <c r="CU286" i="6" s="1"/>
  <c r="CR286" i="6"/>
  <c r="CQ286" i="6"/>
  <c r="CP286" i="6"/>
  <c r="CS286" i="6" s="1"/>
  <c r="CN286" i="6"/>
  <c r="CM286" i="6"/>
  <c r="CL286" i="6"/>
  <c r="CJ286" i="6"/>
  <c r="CI286" i="6"/>
  <c r="CK286" i="6" s="1"/>
  <c r="CG286" i="6"/>
  <c r="CH286" i="6" s="1"/>
  <c r="CF286" i="6"/>
  <c r="CE286" i="6"/>
  <c r="CD286" i="6"/>
  <c r="CB286" i="6"/>
  <c r="CC286" i="6" s="1"/>
  <c r="BZ286" i="6"/>
  <c r="BY286" i="6"/>
  <c r="BX286" i="6"/>
  <c r="BW286" i="6"/>
  <c r="BU286" i="6"/>
  <c r="BV286" i="6" s="1"/>
  <c r="BR286" i="6"/>
  <c r="BQ286" i="6"/>
  <c r="BS286" i="6" s="1"/>
  <c r="BO286" i="6"/>
  <c r="BP286" i="6" s="1"/>
  <c r="BN286" i="6"/>
  <c r="BM286" i="6"/>
  <c r="BL286" i="6"/>
  <c r="BK286" i="6"/>
  <c r="BJ286" i="6"/>
  <c r="BI286" i="6"/>
  <c r="BH286" i="6"/>
  <c r="BF286" i="6"/>
  <c r="BG286" i="6" s="1"/>
  <c r="BD286" i="6"/>
  <c r="BC286" i="6"/>
  <c r="BE286" i="6" s="1"/>
  <c r="BB286" i="6"/>
  <c r="BA286" i="6"/>
  <c r="AZ286" i="6"/>
  <c r="AY286" i="6"/>
  <c r="AW286" i="6"/>
  <c r="AV286" i="6"/>
  <c r="AX286" i="6" s="1"/>
  <c r="AT286" i="6"/>
  <c r="AS286" i="6"/>
  <c r="AU286" i="6" s="1"/>
  <c r="AQ286" i="6"/>
  <c r="AR286" i="6" s="1"/>
  <c r="AP286" i="6"/>
  <c r="AN286" i="6"/>
  <c r="AO286" i="6" s="1"/>
  <c r="AM286" i="6"/>
  <c r="AL286" i="6"/>
  <c r="AK286" i="6"/>
  <c r="AI286" i="6"/>
  <c r="AJ286" i="6" s="1"/>
  <c r="AG286" i="6"/>
  <c r="AE286" i="6"/>
  <c r="AD286" i="6"/>
  <c r="AC286" i="6"/>
  <c r="AA286" i="6"/>
  <c r="DU286" i="6" s="1"/>
  <c r="Z286" i="6"/>
  <c r="Y286" i="6"/>
  <c r="W286" i="6"/>
  <c r="V286" i="6"/>
  <c r="T286" i="6"/>
  <c r="S286" i="6"/>
  <c r="R286" i="6"/>
  <c r="P286" i="6"/>
  <c r="Q286" i="6" s="1"/>
  <c r="O286" i="6"/>
  <c r="N286" i="6"/>
  <c r="M286" i="6"/>
  <c r="J286" i="6"/>
  <c r="H286" i="6"/>
  <c r="G286" i="6"/>
  <c r="F286" i="6"/>
  <c r="E286" i="6"/>
  <c r="D286" i="6"/>
  <c r="C286" i="6"/>
  <c r="B286" i="6"/>
  <c r="DW285" i="6"/>
  <c r="DM285" i="6"/>
  <c r="DL285" i="6"/>
  <c r="DK285" i="6"/>
  <c r="DJ285" i="6"/>
  <c r="DN285" i="6" s="1"/>
  <c r="DI285" i="6"/>
  <c r="DH285" i="6"/>
  <c r="DF285" i="6"/>
  <c r="DG285" i="6" s="1"/>
  <c r="DE285" i="6"/>
  <c r="DD285" i="6"/>
  <c r="DC285" i="6"/>
  <c r="DB285" i="6"/>
  <c r="DA285" i="6"/>
  <c r="CY285" i="6"/>
  <c r="CZ285" i="6" s="1"/>
  <c r="CX285" i="6"/>
  <c r="CV285" i="6"/>
  <c r="CW285" i="6" s="1"/>
  <c r="CU285" i="6"/>
  <c r="CT285" i="6"/>
  <c r="CR285" i="6"/>
  <c r="CQ285" i="6"/>
  <c r="CP285" i="6"/>
  <c r="CN285" i="6"/>
  <c r="CM285" i="6"/>
  <c r="CL285" i="6"/>
  <c r="CO285" i="6" s="1"/>
  <c r="CJ285" i="6"/>
  <c r="CK285" i="6" s="1"/>
  <c r="CI285" i="6"/>
  <c r="CG285" i="6"/>
  <c r="CH285" i="6" s="1"/>
  <c r="CF285" i="6"/>
  <c r="CE285" i="6"/>
  <c r="CD285" i="6"/>
  <c r="CC285" i="6"/>
  <c r="CB285" i="6"/>
  <c r="BZ285" i="6"/>
  <c r="BY285" i="6"/>
  <c r="BX285" i="6"/>
  <c r="DS285" i="6" s="1"/>
  <c r="BW285" i="6"/>
  <c r="CA285" i="6" s="1"/>
  <c r="BU285" i="6"/>
  <c r="BV285" i="6" s="1"/>
  <c r="BS285" i="6"/>
  <c r="BR285" i="6"/>
  <c r="BQ285" i="6"/>
  <c r="BO285" i="6"/>
  <c r="BP285" i="6" s="1"/>
  <c r="BN285" i="6"/>
  <c r="BM285" i="6"/>
  <c r="BL285" i="6"/>
  <c r="BK285" i="6"/>
  <c r="BJ285" i="6"/>
  <c r="BI285" i="6"/>
  <c r="BH285" i="6"/>
  <c r="BF285" i="6"/>
  <c r="BG285" i="6" s="1"/>
  <c r="BE285" i="6"/>
  <c r="BD285" i="6"/>
  <c r="BC285" i="6"/>
  <c r="BB285" i="6"/>
  <c r="AZ285" i="6"/>
  <c r="AY285" i="6"/>
  <c r="BA285" i="6" s="1"/>
  <c r="AW285" i="6"/>
  <c r="AV285" i="6"/>
  <c r="AX285" i="6" s="1"/>
  <c r="AU285" i="6"/>
  <c r="AT285" i="6"/>
  <c r="AS285" i="6"/>
  <c r="AR285" i="6"/>
  <c r="AQ285" i="6"/>
  <c r="AP285" i="6"/>
  <c r="AO285" i="6"/>
  <c r="AN285" i="6"/>
  <c r="AM285" i="6"/>
  <c r="AL285" i="6"/>
  <c r="AK285" i="6"/>
  <c r="AI285" i="6"/>
  <c r="AJ285" i="6" s="1"/>
  <c r="AG285" i="6"/>
  <c r="AF285" i="6"/>
  <c r="AE285" i="6"/>
  <c r="AD285" i="6"/>
  <c r="AC285" i="6"/>
  <c r="AA285" i="6"/>
  <c r="Z285" i="6"/>
  <c r="AB285" i="6" s="1"/>
  <c r="Y285" i="6"/>
  <c r="X285" i="6"/>
  <c r="W285" i="6"/>
  <c r="V285" i="6"/>
  <c r="T285" i="6"/>
  <c r="S285" i="6"/>
  <c r="R285" i="6"/>
  <c r="Q285" i="6"/>
  <c r="P285" i="6"/>
  <c r="O285" i="6"/>
  <c r="N285" i="6"/>
  <c r="M285" i="6"/>
  <c r="J285" i="6"/>
  <c r="H285" i="6"/>
  <c r="G285" i="6"/>
  <c r="DU285" i="6" s="1"/>
  <c r="F285" i="6"/>
  <c r="DV285" i="6" s="1"/>
  <c r="E285" i="6"/>
  <c r="DP285" i="6" s="1"/>
  <c r="D285" i="6"/>
  <c r="C285" i="6"/>
  <c r="B285" i="6"/>
  <c r="DW284" i="6"/>
  <c r="DV284" i="6"/>
  <c r="DM284" i="6"/>
  <c r="DL284" i="6"/>
  <c r="DK284" i="6"/>
  <c r="DJ284" i="6"/>
  <c r="DN284" i="6" s="1"/>
  <c r="DI284" i="6"/>
  <c r="DH284" i="6"/>
  <c r="DF284" i="6"/>
  <c r="DG284" i="6" s="1"/>
  <c r="DD284" i="6"/>
  <c r="DE284" i="6" s="1"/>
  <c r="DC284" i="6"/>
  <c r="DB284" i="6"/>
  <c r="DA284" i="6"/>
  <c r="CY284" i="6"/>
  <c r="CZ284" i="6" s="1"/>
  <c r="CX284" i="6"/>
  <c r="CV284" i="6"/>
  <c r="CW284" i="6" s="1"/>
  <c r="CU284" i="6"/>
  <c r="CT284" i="6"/>
  <c r="CR284" i="6"/>
  <c r="CQ284" i="6"/>
  <c r="CP284" i="6"/>
  <c r="CS284" i="6" s="1"/>
  <c r="CN284" i="6"/>
  <c r="CM284" i="6"/>
  <c r="CL284" i="6"/>
  <c r="CO284" i="6" s="1"/>
  <c r="CJ284" i="6"/>
  <c r="CK284" i="6" s="1"/>
  <c r="CI284" i="6"/>
  <c r="CG284" i="6"/>
  <c r="CH284" i="6" s="1"/>
  <c r="CF284" i="6"/>
  <c r="CE284" i="6"/>
  <c r="CD284" i="6"/>
  <c r="CB284" i="6"/>
  <c r="CC284" i="6" s="1"/>
  <c r="BZ284" i="6"/>
  <c r="BY284" i="6"/>
  <c r="BX284" i="6"/>
  <c r="DS284" i="6" s="1"/>
  <c r="BW284" i="6"/>
  <c r="CA284" i="6" s="1"/>
  <c r="BU284" i="6"/>
  <c r="BV284" i="6" s="1"/>
  <c r="BR284" i="6"/>
  <c r="BS284" i="6" s="1"/>
  <c r="BQ284" i="6"/>
  <c r="BP284" i="6"/>
  <c r="BO284" i="6"/>
  <c r="BM284" i="6"/>
  <c r="BL284" i="6"/>
  <c r="BK284" i="6"/>
  <c r="BJ284" i="6"/>
  <c r="BN284" i="6" s="1"/>
  <c r="BI284" i="6"/>
  <c r="BH284" i="6"/>
  <c r="BF284" i="6"/>
  <c r="BG284" i="6" s="1"/>
  <c r="BD284" i="6"/>
  <c r="BC284" i="6"/>
  <c r="BB284" i="6"/>
  <c r="BE284" i="6" s="1"/>
  <c r="AZ284" i="6"/>
  <c r="AY284" i="6"/>
  <c r="BA284" i="6" s="1"/>
  <c r="AW284" i="6"/>
  <c r="AV284" i="6"/>
  <c r="AX284" i="6" s="1"/>
  <c r="AU284" i="6"/>
  <c r="AT284" i="6"/>
  <c r="AS284" i="6"/>
  <c r="AQ284" i="6"/>
  <c r="AP284" i="6"/>
  <c r="AR284" i="6" s="1"/>
  <c r="AO284" i="6"/>
  <c r="AN284" i="6"/>
  <c r="AM284" i="6"/>
  <c r="AL284" i="6"/>
  <c r="AK284" i="6"/>
  <c r="AI284" i="6"/>
  <c r="AJ284" i="6" s="1"/>
  <c r="AG284" i="6"/>
  <c r="AE284" i="6"/>
  <c r="AD284" i="6"/>
  <c r="AC284" i="6"/>
  <c r="AB284" i="6"/>
  <c r="AA284" i="6"/>
  <c r="Z284" i="6"/>
  <c r="Y284" i="6"/>
  <c r="X284" i="6"/>
  <c r="W284" i="6"/>
  <c r="V284" i="6"/>
  <c r="T284" i="6"/>
  <c r="R284" i="6"/>
  <c r="S284" i="6" s="1"/>
  <c r="Q284" i="6"/>
  <c r="P284" i="6"/>
  <c r="O284" i="6"/>
  <c r="N284" i="6"/>
  <c r="M284" i="6"/>
  <c r="J284" i="6"/>
  <c r="H284" i="6"/>
  <c r="G284" i="6"/>
  <c r="F284" i="6"/>
  <c r="E284" i="6"/>
  <c r="DP284" i="6" s="1"/>
  <c r="D284" i="6"/>
  <c r="C284" i="6"/>
  <c r="B284" i="6"/>
  <c r="DW283" i="6"/>
  <c r="DM283" i="6"/>
  <c r="DL283" i="6"/>
  <c r="DK283" i="6"/>
  <c r="DJ283" i="6"/>
  <c r="DN283" i="6" s="1"/>
  <c r="DH283" i="6"/>
  <c r="DI283" i="6" s="1"/>
  <c r="DF283" i="6"/>
  <c r="DG283" i="6" s="1"/>
  <c r="DE283" i="6"/>
  <c r="DD283" i="6"/>
  <c r="DC283" i="6"/>
  <c r="DB283" i="6"/>
  <c r="DA283" i="6"/>
  <c r="CY283" i="6"/>
  <c r="CX283" i="6"/>
  <c r="CV283" i="6"/>
  <c r="CW283" i="6" s="1"/>
  <c r="CT283" i="6"/>
  <c r="CU283" i="6" s="1"/>
  <c r="CR283" i="6"/>
  <c r="CQ283" i="6"/>
  <c r="CP283" i="6"/>
  <c r="CS283" i="6" s="1"/>
  <c r="CN283" i="6"/>
  <c r="CM283" i="6"/>
  <c r="CL283" i="6"/>
  <c r="CO283" i="6" s="1"/>
  <c r="CJ283" i="6"/>
  <c r="CI283" i="6"/>
  <c r="CG283" i="6"/>
  <c r="CH283" i="6" s="1"/>
  <c r="CF283" i="6"/>
  <c r="CE283" i="6"/>
  <c r="CD283" i="6"/>
  <c r="CC283" i="6"/>
  <c r="CB283" i="6"/>
  <c r="BZ283" i="6"/>
  <c r="BY283" i="6"/>
  <c r="BX283" i="6"/>
  <c r="CA283" i="6" s="1"/>
  <c r="BW283" i="6"/>
  <c r="BU283" i="6"/>
  <c r="BV283" i="6" s="1"/>
  <c r="BR283" i="6"/>
  <c r="BS283" i="6" s="1"/>
  <c r="BQ283" i="6"/>
  <c r="BO283" i="6"/>
  <c r="BP283" i="6" s="1"/>
  <c r="BM283" i="6"/>
  <c r="BL283" i="6"/>
  <c r="BK283" i="6"/>
  <c r="BJ283" i="6"/>
  <c r="BI283" i="6"/>
  <c r="BH283" i="6"/>
  <c r="BF283" i="6"/>
  <c r="BG283" i="6" s="1"/>
  <c r="BE283" i="6"/>
  <c r="BD283" i="6"/>
  <c r="BC283" i="6"/>
  <c r="BB283" i="6"/>
  <c r="BA283" i="6"/>
  <c r="AZ283" i="6"/>
  <c r="AY283" i="6"/>
  <c r="AW283" i="6"/>
  <c r="AV283" i="6"/>
  <c r="AX283" i="6" s="1"/>
  <c r="AT283" i="6"/>
  <c r="AS283" i="6"/>
  <c r="AU283" i="6" s="1"/>
  <c r="AQ283" i="6"/>
  <c r="AP283" i="6"/>
  <c r="AR283" i="6" s="1"/>
  <c r="AN283" i="6"/>
  <c r="AM283" i="6"/>
  <c r="AO283" i="6" s="1"/>
  <c r="AL283" i="6"/>
  <c r="AK283" i="6"/>
  <c r="AJ283" i="6"/>
  <c r="AI283" i="6"/>
  <c r="AG283" i="6"/>
  <c r="AE283" i="6"/>
  <c r="AD283" i="6"/>
  <c r="AC283" i="6"/>
  <c r="AF283" i="6" s="1"/>
  <c r="AB283" i="6"/>
  <c r="AA283" i="6"/>
  <c r="Z283" i="6"/>
  <c r="Y283" i="6"/>
  <c r="W283" i="6"/>
  <c r="V283" i="6"/>
  <c r="T283" i="6"/>
  <c r="R283" i="6"/>
  <c r="S283" i="6" s="1"/>
  <c r="P283" i="6"/>
  <c r="O283" i="6"/>
  <c r="N283" i="6"/>
  <c r="Q283" i="6" s="1"/>
  <c r="M283" i="6"/>
  <c r="J283" i="6"/>
  <c r="I283" i="6"/>
  <c r="H283" i="6"/>
  <c r="G283" i="6"/>
  <c r="F283" i="6"/>
  <c r="DV283" i="6" s="1"/>
  <c r="E283" i="6"/>
  <c r="DP283" i="6" s="1"/>
  <c r="D283" i="6"/>
  <c r="C283" i="6"/>
  <c r="B283" i="6"/>
  <c r="DW282" i="6"/>
  <c r="DU282" i="6"/>
  <c r="DS282" i="6"/>
  <c r="DN282" i="6"/>
  <c r="DM282" i="6"/>
  <c r="DL282" i="6"/>
  <c r="DK282" i="6"/>
  <c r="DJ282" i="6"/>
  <c r="DH282" i="6"/>
  <c r="DI282" i="6" s="1"/>
  <c r="DF282" i="6"/>
  <c r="DG282" i="6" s="1"/>
  <c r="DE282" i="6"/>
  <c r="DD282" i="6"/>
  <c r="DC282" i="6"/>
  <c r="DB282" i="6"/>
  <c r="DA282" i="6"/>
  <c r="CY282" i="6"/>
  <c r="CZ282" i="6" s="1"/>
  <c r="CX282" i="6"/>
  <c r="CV282" i="6"/>
  <c r="CW282" i="6" s="1"/>
  <c r="CU282" i="6"/>
  <c r="CT282" i="6"/>
  <c r="CR282" i="6"/>
  <c r="CQ282" i="6"/>
  <c r="CP282" i="6"/>
  <c r="CS282" i="6" s="1"/>
  <c r="CN282" i="6"/>
  <c r="CM282" i="6"/>
  <c r="CL282" i="6"/>
  <c r="CO282" i="6" s="1"/>
  <c r="CJ282" i="6"/>
  <c r="CI282" i="6"/>
  <c r="CK282" i="6" s="1"/>
  <c r="CG282" i="6"/>
  <c r="CH282" i="6" s="1"/>
  <c r="CE282" i="6"/>
  <c r="CF282" i="6" s="1"/>
  <c r="CD282" i="6"/>
  <c r="CC282" i="6"/>
  <c r="CB282" i="6"/>
  <c r="BZ282" i="6"/>
  <c r="BY282" i="6"/>
  <c r="CA282" i="6" s="1"/>
  <c r="BX282" i="6"/>
  <c r="BW282" i="6"/>
  <c r="BU282" i="6"/>
  <c r="BV282" i="6" s="1"/>
  <c r="BR282" i="6"/>
  <c r="BS282" i="6" s="1"/>
  <c r="BQ282" i="6"/>
  <c r="BO282" i="6"/>
  <c r="BP282" i="6" s="1"/>
  <c r="BM282" i="6"/>
  <c r="BL282" i="6"/>
  <c r="BK282" i="6"/>
  <c r="BJ282" i="6"/>
  <c r="BN282" i="6" s="1"/>
  <c r="BH282" i="6"/>
  <c r="BI282" i="6" s="1"/>
  <c r="BF282" i="6"/>
  <c r="BG282" i="6" s="1"/>
  <c r="BD282" i="6"/>
  <c r="BC282" i="6"/>
  <c r="BE282" i="6" s="1"/>
  <c r="BB282" i="6"/>
  <c r="AZ282" i="6"/>
  <c r="AY282" i="6"/>
  <c r="BA282" i="6" s="1"/>
  <c r="AX282" i="6"/>
  <c r="AW282" i="6"/>
  <c r="AV282" i="6"/>
  <c r="AT282" i="6"/>
  <c r="AS282" i="6"/>
  <c r="AU282" i="6" s="1"/>
  <c r="AQ282" i="6"/>
  <c r="AP282" i="6"/>
  <c r="AR282" i="6" s="1"/>
  <c r="AN282" i="6"/>
  <c r="AM282" i="6"/>
  <c r="AO282" i="6" s="1"/>
  <c r="AK282" i="6"/>
  <c r="AL282" i="6" s="1"/>
  <c r="AI282" i="6"/>
  <c r="AJ282" i="6" s="1"/>
  <c r="AG282" i="6"/>
  <c r="AF282" i="6"/>
  <c r="AE282" i="6"/>
  <c r="AD282" i="6"/>
  <c r="AC282" i="6"/>
  <c r="AA282" i="6"/>
  <c r="AB282" i="6" s="1"/>
  <c r="Z282" i="6"/>
  <c r="Y282" i="6"/>
  <c r="W282" i="6"/>
  <c r="V282" i="6"/>
  <c r="X282" i="6" s="1"/>
  <c r="T282" i="6"/>
  <c r="R282" i="6"/>
  <c r="S282" i="6" s="1"/>
  <c r="P282" i="6"/>
  <c r="O282" i="6"/>
  <c r="N282" i="6"/>
  <c r="M282" i="6"/>
  <c r="J282" i="6"/>
  <c r="H282" i="6"/>
  <c r="G282" i="6"/>
  <c r="F282" i="6"/>
  <c r="E282" i="6"/>
  <c r="D282" i="6"/>
  <c r="C282" i="6"/>
  <c r="B282" i="6"/>
  <c r="DW281" i="6"/>
  <c r="DM281" i="6"/>
  <c r="DN281" i="6" s="1"/>
  <c r="DL281" i="6"/>
  <c r="DK281" i="6"/>
  <c r="DJ281" i="6"/>
  <c r="DH281" i="6"/>
  <c r="DI281" i="6" s="1"/>
  <c r="DG281" i="6"/>
  <c r="DF281" i="6"/>
  <c r="DD281" i="6"/>
  <c r="DE281" i="6" s="1"/>
  <c r="DC281" i="6"/>
  <c r="DB281" i="6"/>
  <c r="DA281" i="6"/>
  <c r="CZ281" i="6"/>
  <c r="CY281" i="6"/>
  <c r="CX281" i="6"/>
  <c r="CV281" i="6"/>
  <c r="CW281" i="6" s="1"/>
  <c r="CU281" i="6"/>
  <c r="CT281" i="6"/>
  <c r="CR281" i="6"/>
  <c r="CQ281" i="6"/>
  <c r="CP281" i="6"/>
  <c r="CS281" i="6" s="1"/>
  <c r="CN281" i="6"/>
  <c r="CM281" i="6"/>
  <c r="CL281" i="6"/>
  <c r="CO281" i="6" s="1"/>
  <c r="CJ281" i="6"/>
  <c r="CI281" i="6"/>
  <c r="CG281" i="6"/>
  <c r="CH281" i="6" s="1"/>
  <c r="CE281" i="6"/>
  <c r="CF281" i="6" s="1"/>
  <c r="CD281" i="6"/>
  <c r="CC281" i="6"/>
  <c r="CB281" i="6"/>
  <c r="CA281" i="6"/>
  <c r="BZ281" i="6"/>
  <c r="BY281" i="6"/>
  <c r="BX281" i="6"/>
  <c r="BW281" i="6"/>
  <c r="BU281" i="6"/>
  <c r="BV281" i="6" s="1"/>
  <c r="BR281" i="6"/>
  <c r="BS281" i="6" s="1"/>
  <c r="BQ281" i="6"/>
  <c r="BO281" i="6"/>
  <c r="BP281" i="6" s="1"/>
  <c r="BM281" i="6"/>
  <c r="BL281" i="6"/>
  <c r="BK281" i="6"/>
  <c r="BJ281" i="6"/>
  <c r="BI281" i="6"/>
  <c r="BH281" i="6"/>
  <c r="BF281" i="6"/>
  <c r="BG281" i="6" s="1"/>
  <c r="BD281" i="6"/>
  <c r="BE281" i="6" s="1"/>
  <c r="BC281" i="6"/>
  <c r="BB281" i="6"/>
  <c r="AZ281" i="6"/>
  <c r="AY281" i="6"/>
  <c r="BA281" i="6" s="1"/>
  <c r="AX281" i="6"/>
  <c r="AW281" i="6"/>
  <c r="AV281" i="6"/>
  <c r="AT281" i="6"/>
  <c r="AS281" i="6"/>
  <c r="AU281" i="6" s="1"/>
  <c r="AQ281" i="6"/>
  <c r="AP281" i="6"/>
  <c r="AR281" i="6" s="1"/>
  <c r="AN281" i="6"/>
  <c r="AM281" i="6"/>
  <c r="AO281" i="6" s="1"/>
  <c r="AL281" i="6"/>
  <c r="AK281" i="6"/>
  <c r="AI281" i="6"/>
  <c r="AJ281" i="6" s="1"/>
  <c r="AG281" i="6"/>
  <c r="AF281" i="6"/>
  <c r="AE281" i="6"/>
  <c r="DT281" i="6" s="1"/>
  <c r="AD281" i="6"/>
  <c r="AC281" i="6"/>
  <c r="AA281" i="6"/>
  <c r="AB281" i="6" s="1"/>
  <c r="Z281" i="6"/>
  <c r="Y281" i="6"/>
  <c r="W281" i="6"/>
  <c r="V281" i="6"/>
  <c r="X281" i="6" s="1"/>
  <c r="T281" i="6"/>
  <c r="R281" i="6"/>
  <c r="S281" i="6" s="1"/>
  <c r="P281" i="6"/>
  <c r="O281" i="6"/>
  <c r="N281" i="6"/>
  <c r="M281" i="6"/>
  <c r="Q281" i="6" s="1"/>
  <c r="J281" i="6"/>
  <c r="H281" i="6"/>
  <c r="G281" i="6"/>
  <c r="DU281" i="6" s="1"/>
  <c r="F281" i="6"/>
  <c r="E281" i="6"/>
  <c r="DP281" i="6" s="1"/>
  <c r="D281" i="6"/>
  <c r="C281" i="6"/>
  <c r="B281" i="6"/>
  <c r="DW280" i="6"/>
  <c r="DM280" i="6"/>
  <c r="DN280" i="6" s="1"/>
  <c r="DL280" i="6"/>
  <c r="DK280" i="6"/>
  <c r="DJ280" i="6"/>
  <c r="DH280" i="6"/>
  <c r="DI280" i="6" s="1"/>
  <c r="DG280" i="6"/>
  <c r="DF280" i="6"/>
  <c r="DE280" i="6"/>
  <c r="DD280" i="6"/>
  <c r="DB280" i="6"/>
  <c r="DA280" i="6"/>
  <c r="DC280" i="6" s="1"/>
  <c r="CY280" i="6"/>
  <c r="CZ280" i="6" s="1"/>
  <c r="CX280" i="6"/>
  <c r="CV280" i="6"/>
  <c r="CW280" i="6" s="1"/>
  <c r="CU280" i="6"/>
  <c r="CT280" i="6"/>
  <c r="CR280" i="6"/>
  <c r="CQ280" i="6"/>
  <c r="CP280" i="6"/>
  <c r="CS280" i="6" s="1"/>
  <c r="CN280" i="6"/>
  <c r="CM280" i="6"/>
  <c r="CL280" i="6"/>
  <c r="CO280" i="6" s="1"/>
  <c r="CJ280" i="6"/>
  <c r="CI280" i="6"/>
  <c r="CG280" i="6"/>
  <c r="DR280" i="6" s="1"/>
  <c r="CF280" i="6"/>
  <c r="CE280" i="6"/>
  <c r="CD280" i="6"/>
  <c r="CB280" i="6"/>
  <c r="CC280" i="6" s="1"/>
  <c r="BZ280" i="6"/>
  <c r="BY280" i="6"/>
  <c r="CA280" i="6" s="1"/>
  <c r="BX280" i="6"/>
  <c r="BW280" i="6"/>
  <c r="BU280" i="6"/>
  <c r="BV280" i="6" s="1"/>
  <c r="BR280" i="6"/>
  <c r="BS280" i="6" s="1"/>
  <c r="BQ280" i="6"/>
  <c r="BO280" i="6"/>
  <c r="BP280" i="6" s="1"/>
  <c r="BM280" i="6"/>
  <c r="BL280" i="6"/>
  <c r="BK280" i="6"/>
  <c r="BJ280" i="6"/>
  <c r="BH280" i="6"/>
  <c r="BI280" i="6" s="1"/>
  <c r="BG280" i="6"/>
  <c r="BF280" i="6"/>
  <c r="BE280" i="6"/>
  <c r="BD280" i="6"/>
  <c r="BC280" i="6"/>
  <c r="BB280" i="6"/>
  <c r="AZ280" i="6"/>
  <c r="AY280" i="6"/>
  <c r="BA280" i="6" s="1"/>
  <c r="AX280" i="6"/>
  <c r="AW280" i="6"/>
  <c r="AV280" i="6"/>
  <c r="AT280" i="6"/>
  <c r="AS280" i="6"/>
  <c r="AU280" i="6" s="1"/>
  <c r="AQ280" i="6"/>
  <c r="AP280" i="6"/>
  <c r="AR280" i="6" s="1"/>
  <c r="AN280" i="6"/>
  <c r="AM280" i="6"/>
  <c r="AO280" i="6" s="1"/>
  <c r="AK280" i="6"/>
  <c r="AL280" i="6" s="1"/>
  <c r="AI280" i="6"/>
  <c r="AJ280" i="6" s="1"/>
  <c r="AG280" i="6"/>
  <c r="AE280" i="6"/>
  <c r="AD280" i="6"/>
  <c r="AC280" i="6"/>
  <c r="AA280" i="6"/>
  <c r="AB280" i="6" s="1"/>
  <c r="Z280" i="6"/>
  <c r="Y280" i="6"/>
  <c r="W280" i="6"/>
  <c r="V280" i="6"/>
  <c r="X280" i="6" s="1"/>
  <c r="T280" i="6"/>
  <c r="R280" i="6"/>
  <c r="S280" i="6" s="1"/>
  <c r="P280" i="6"/>
  <c r="O280" i="6"/>
  <c r="N280" i="6"/>
  <c r="M280" i="6"/>
  <c r="J280" i="6"/>
  <c r="H280" i="6"/>
  <c r="DQ280" i="6" s="1"/>
  <c r="G280" i="6"/>
  <c r="F280" i="6"/>
  <c r="E280" i="6"/>
  <c r="DP280" i="6" s="1"/>
  <c r="D280" i="6"/>
  <c r="C280" i="6"/>
  <c r="B280" i="6"/>
  <c r="DW279" i="6"/>
  <c r="DM279" i="6"/>
  <c r="DL279" i="6"/>
  <c r="DK279" i="6"/>
  <c r="DN279" i="6" s="1"/>
  <c r="DJ279" i="6"/>
  <c r="DH279" i="6"/>
  <c r="DI279" i="6" s="1"/>
  <c r="DG279" i="6"/>
  <c r="DF279" i="6"/>
  <c r="DE279" i="6"/>
  <c r="DD279" i="6"/>
  <c r="DB279" i="6"/>
  <c r="DA279" i="6"/>
  <c r="DC279" i="6" s="1"/>
  <c r="CY279" i="6"/>
  <c r="CZ279" i="6" s="1"/>
  <c r="CX279" i="6"/>
  <c r="CV279" i="6"/>
  <c r="CW279" i="6" s="1"/>
  <c r="CU279" i="6"/>
  <c r="CT279" i="6"/>
  <c r="CR279" i="6"/>
  <c r="CQ279" i="6"/>
  <c r="CP279" i="6"/>
  <c r="CS279" i="6" s="1"/>
  <c r="CN279" i="6"/>
  <c r="CM279" i="6"/>
  <c r="CL279" i="6"/>
  <c r="CO279" i="6" s="1"/>
  <c r="CJ279" i="6"/>
  <c r="CI279" i="6"/>
  <c r="CK279" i="6" s="1"/>
  <c r="CG279" i="6"/>
  <c r="CH279" i="6" s="1"/>
  <c r="CF279" i="6"/>
  <c r="CE279" i="6"/>
  <c r="CD279" i="6"/>
  <c r="CC279" i="6"/>
  <c r="CB279" i="6"/>
  <c r="BZ279" i="6"/>
  <c r="BY279" i="6"/>
  <c r="CA279" i="6" s="1"/>
  <c r="BX279" i="6"/>
  <c r="BW279" i="6"/>
  <c r="BU279" i="6"/>
  <c r="BV279" i="6" s="1"/>
  <c r="BR279" i="6"/>
  <c r="BS279" i="6" s="1"/>
  <c r="BQ279" i="6"/>
  <c r="BO279" i="6"/>
  <c r="BP279" i="6" s="1"/>
  <c r="BM279" i="6"/>
  <c r="BL279" i="6"/>
  <c r="BK279" i="6"/>
  <c r="BJ279" i="6"/>
  <c r="BN279" i="6" s="1"/>
  <c r="BI279" i="6"/>
  <c r="BH279" i="6"/>
  <c r="BF279" i="6"/>
  <c r="BG279" i="6" s="1"/>
  <c r="BD279" i="6"/>
  <c r="BC279" i="6"/>
  <c r="BB279" i="6"/>
  <c r="BE279" i="6" s="1"/>
  <c r="AZ279" i="6"/>
  <c r="AY279" i="6"/>
  <c r="BA279" i="6" s="1"/>
  <c r="AW279" i="6"/>
  <c r="AV279" i="6"/>
  <c r="AX279" i="6" s="1"/>
  <c r="AT279" i="6"/>
  <c r="AS279" i="6"/>
  <c r="AU279" i="6" s="1"/>
  <c r="AQ279" i="6"/>
  <c r="AP279" i="6"/>
  <c r="AR279" i="6" s="1"/>
  <c r="AN279" i="6"/>
  <c r="AM279" i="6"/>
  <c r="AO279" i="6" s="1"/>
  <c r="AK279" i="6"/>
  <c r="AL279" i="6" s="1"/>
  <c r="AJ279" i="6"/>
  <c r="AI279" i="6"/>
  <c r="AG279" i="6"/>
  <c r="AF279" i="6"/>
  <c r="AE279" i="6"/>
  <c r="DT279" i="6" s="1"/>
  <c r="AD279" i="6"/>
  <c r="AC279" i="6"/>
  <c r="AA279" i="6"/>
  <c r="AB279" i="6" s="1"/>
  <c r="Z279" i="6"/>
  <c r="Y279" i="6"/>
  <c r="W279" i="6"/>
  <c r="V279" i="6"/>
  <c r="X279" i="6" s="1"/>
  <c r="T279" i="6"/>
  <c r="R279" i="6"/>
  <c r="S279" i="6" s="1"/>
  <c r="P279" i="6"/>
  <c r="O279" i="6"/>
  <c r="N279" i="6"/>
  <c r="M279" i="6"/>
  <c r="J279" i="6"/>
  <c r="H279" i="6"/>
  <c r="G279" i="6"/>
  <c r="F279" i="6"/>
  <c r="E279" i="6"/>
  <c r="D279" i="6"/>
  <c r="C279" i="6"/>
  <c r="B279" i="6"/>
  <c r="DW278" i="6"/>
  <c r="DU278" i="6"/>
  <c r="DS278" i="6"/>
  <c r="DM278" i="6"/>
  <c r="DL278" i="6"/>
  <c r="DK278" i="6"/>
  <c r="DN278" i="6" s="1"/>
  <c r="DJ278" i="6"/>
  <c r="DH278" i="6"/>
  <c r="DI278" i="6" s="1"/>
  <c r="DG278" i="6"/>
  <c r="DF278" i="6"/>
  <c r="DE278" i="6"/>
  <c r="DD278" i="6"/>
  <c r="DB278" i="6"/>
  <c r="DA278" i="6"/>
  <c r="DC278" i="6" s="1"/>
  <c r="CY278" i="6"/>
  <c r="CZ278" i="6" s="1"/>
  <c r="CX278" i="6"/>
  <c r="CV278" i="6"/>
  <c r="CW278" i="6" s="1"/>
  <c r="CU278" i="6"/>
  <c r="CT278" i="6"/>
  <c r="CR278" i="6"/>
  <c r="CQ278" i="6"/>
  <c r="CP278" i="6"/>
  <c r="CS278" i="6" s="1"/>
  <c r="CN278" i="6"/>
  <c r="CM278" i="6"/>
  <c r="CL278" i="6"/>
  <c r="CO278" i="6" s="1"/>
  <c r="CJ278" i="6"/>
  <c r="CI278" i="6"/>
  <c r="CK278" i="6" s="1"/>
  <c r="CG278" i="6"/>
  <c r="CH278" i="6" s="1"/>
  <c r="CF278" i="6"/>
  <c r="CE278" i="6"/>
  <c r="CD278" i="6"/>
  <c r="CC278" i="6"/>
  <c r="CB278" i="6"/>
  <c r="BZ278" i="6"/>
  <c r="BY278" i="6"/>
  <c r="CA278" i="6" s="1"/>
  <c r="BX278" i="6"/>
  <c r="BW278" i="6"/>
  <c r="BU278" i="6"/>
  <c r="BV278" i="6" s="1"/>
  <c r="BR278" i="6"/>
  <c r="BS278" i="6" s="1"/>
  <c r="BQ278" i="6"/>
  <c r="BO278" i="6"/>
  <c r="BP278" i="6" s="1"/>
  <c r="BM278" i="6"/>
  <c r="BL278" i="6"/>
  <c r="BK278" i="6"/>
  <c r="BJ278" i="6"/>
  <c r="BI278" i="6"/>
  <c r="BH278" i="6"/>
  <c r="BG278" i="6"/>
  <c r="BF278" i="6"/>
  <c r="BD278" i="6"/>
  <c r="BC278" i="6"/>
  <c r="BB278" i="6"/>
  <c r="BE278" i="6" s="1"/>
  <c r="AZ278" i="6"/>
  <c r="AY278" i="6"/>
  <c r="BA278" i="6" s="1"/>
  <c r="AW278" i="6"/>
  <c r="AV278" i="6"/>
  <c r="AX278" i="6" s="1"/>
  <c r="AT278" i="6"/>
  <c r="AS278" i="6"/>
  <c r="AU278" i="6" s="1"/>
  <c r="AQ278" i="6"/>
  <c r="AP278" i="6"/>
  <c r="AR278" i="6" s="1"/>
  <c r="AN278" i="6"/>
  <c r="AM278" i="6"/>
  <c r="AO278" i="6" s="1"/>
  <c r="AK278" i="6"/>
  <c r="AJ278" i="6"/>
  <c r="AI278" i="6"/>
  <c r="AG278" i="6"/>
  <c r="AF278" i="6"/>
  <c r="AE278" i="6"/>
  <c r="AD278" i="6"/>
  <c r="AC278" i="6"/>
  <c r="AA278" i="6"/>
  <c r="AB278" i="6" s="1"/>
  <c r="Z278" i="6"/>
  <c r="Y278" i="6"/>
  <c r="W278" i="6"/>
  <c r="V278" i="6"/>
  <c r="X278" i="6" s="1"/>
  <c r="T278" i="6"/>
  <c r="R278" i="6"/>
  <c r="S278" i="6" s="1"/>
  <c r="P278" i="6"/>
  <c r="O278" i="6"/>
  <c r="N278" i="6"/>
  <c r="M278" i="6"/>
  <c r="Q278" i="6" s="1"/>
  <c r="J278" i="6"/>
  <c r="H278" i="6"/>
  <c r="DQ278" i="6" s="1"/>
  <c r="G278" i="6"/>
  <c r="F278" i="6"/>
  <c r="E278" i="6"/>
  <c r="DP278" i="6" s="1"/>
  <c r="D278" i="6"/>
  <c r="C278" i="6"/>
  <c r="B278" i="6"/>
  <c r="DW277" i="6"/>
  <c r="DV277" i="6"/>
  <c r="DS277" i="6"/>
  <c r="DM277" i="6"/>
  <c r="DL277" i="6"/>
  <c r="DK277" i="6"/>
  <c r="DJ277" i="6"/>
  <c r="DH277" i="6"/>
  <c r="DI277" i="6" s="1"/>
  <c r="DG277" i="6"/>
  <c r="DF277" i="6"/>
  <c r="DD277" i="6"/>
  <c r="DE277" i="6" s="1"/>
  <c r="DB277" i="6"/>
  <c r="DA277" i="6"/>
  <c r="DC277" i="6" s="1"/>
  <c r="CZ277" i="6"/>
  <c r="CY277" i="6"/>
  <c r="CX277" i="6"/>
  <c r="CW277" i="6"/>
  <c r="CV277" i="6"/>
  <c r="CU277" i="6"/>
  <c r="CT277" i="6"/>
  <c r="CR277" i="6"/>
  <c r="CQ277" i="6"/>
  <c r="CP277" i="6"/>
  <c r="CO277" i="6"/>
  <c r="CN277" i="6"/>
  <c r="CM277" i="6"/>
  <c r="CL277" i="6"/>
  <c r="CJ277" i="6"/>
  <c r="CI277" i="6"/>
  <c r="CK277" i="6" s="1"/>
  <c r="CG277" i="6"/>
  <c r="CH277" i="6" s="1"/>
  <c r="CE277" i="6"/>
  <c r="CD277" i="6"/>
  <c r="CF277" i="6" s="1"/>
  <c r="CC277" i="6"/>
  <c r="CB277" i="6"/>
  <c r="BZ277" i="6"/>
  <c r="CA277" i="6" s="1"/>
  <c r="BY277" i="6"/>
  <c r="BX277" i="6"/>
  <c r="BW277" i="6"/>
  <c r="BU277" i="6"/>
  <c r="BV277" i="6" s="1"/>
  <c r="BR277" i="6"/>
  <c r="BS277" i="6" s="1"/>
  <c r="BQ277" i="6"/>
  <c r="BO277" i="6"/>
  <c r="BP277" i="6" s="1"/>
  <c r="BM277" i="6"/>
  <c r="BL277" i="6"/>
  <c r="BK277" i="6"/>
  <c r="BJ277" i="6"/>
  <c r="BN277" i="6" s="1"/>
  <c r="BI277" i="6"/>
  <c r="BH277" i="6"/>
  <c r="BF277" i="6"/>
  <c r="BG277" i="6" s="1"/>
  <c r="BD277" i="6"/>
  <c r="BC277" i="6"/>
  <c r="BB277" i="6"/>
  <c r="BE277" i="6" s="1"/>
  <c r="AZ277" i="6"/>
  <c r="AY277" i="6"/>
  <c r="BA277" i="6" s="1"/>
  <c r="AX277" i="6"/>
  <c r="AW277" i="6"/>
  <c r="AV277" i="6"/>
  <c r="AT277" i="6"/>
  <c r="AS277" i="6"/>
  <c r="AU277" i="6" s="1"/>
  <c r="AQ277" i="6"/>
  <c r="AP277" i="6"/>
  <c r="AO277" i="6"/>
  <c r="AN277" i="6"/>
  <c r="AM277" i="6"/>
  <c r="AK277" i="6"/>
  <c r="AL277" i="6" s="1"/>
  <c r="AJ277" i="6"/>
  <c r="AI277" i="6"/>
  <c r="AG277" i="6"/>
  <c r="AE277" i="6"/>
  <c r="AF277" i="6" s="1"/>
  <c r="AD277" i="6"/>
  <c r="AC277" i="6"/>
  <c r="AB277" i="6"/>
  <c r="AA277" i="6"/>
  <c r="Z277" i="6"/>
  <c r="Y277" i="6"/>
  <c r="W277" i="6"/>
  <c r="V277" i="6"/>
  <c r="T277" i="6"/>
  <c r="R277" i="6"/>
  <c r="S277" i="6" s="1"/>
  <c r="P277" i="6"/>
  <c r="O277" i="6"/>
  <c r="N277" i="6"/>
  <c r="M277" i="6"/>
  <c r="J277" i="6"/>
  <c r="I277" i="6"/>
  <c r="H277" i="6"/>
  <c r="G277" i="6"/>
  <c r="F277" i="6"/>
  <c r="E277" i="6"/>
  <c r="DP277" i="6" s="1"/>
  <c r="D277" i="6"/>
  <c r="C277" i="6"/>
  <c r="B277" i="6"/>
  <c r="DW276" i="6"/>
  <c r="DM276" i="6"/>
  <c r="DL276" i="6"/>
  <c r="DK276" i="6"/>
  <c r="DN276" i="6" s="1"/>
  <c r="DJ276" i="6"/>
  <c r="DH276" i="6"/>
  <c r="DI276" i="6" s="1"/>
  <c r="DG276" i="6"/>
  <c r="DF276" i="6"/>
  <c r="DE276" i="6"/>
  <c r="DD276" i="6"/>
  <c r="DC276" i="6"/>
  <c r="DB276" i="6"/>
  <c r="DA276" i="6"/>
  <c r="CY276" i="6"/>
  <c r="CZ276" i="6" s="1"/>
  <c r="CX276" i="6"/>
  <c r="CV276" i="6"/>
  <c r="CW276" i="6" s="1"/>
  <c r="CU276" i="6"/>
  <c r="CT276" i="6"/>
  <c r="CR276" i="6"/>
  <c r="CQ276" i="6"/>
  <c r="CP276" i="6"/>
  <c r="CS276" i="6" s="1"/>
  <c r="CO276" i="6"/>
  <c r="CN276" i="6"/>
  <c r="CM276" i="6"/>
  <c r="CL276" i="6"/>
  <c r="CJ276" i="6"/>
  <c r="CI276" i="6"/>
  <c r="CH276" i="6"/>
  <c r="CG276" i="6"/>
  <c r="CF276" i="6"/>
  <c r="CE276" i="6"/>
  <c r="CD276" i="6"/>
  <c r="CC276" i="6"/>
  <c r="CB276" i="6"/>
  <c r="CA276" i="6"/>
  <c r="BZ276" i="6"/>
  <c r="BY276" i="6"/>
  <c r="BX276" i="6"/>
  <c r="BW276" i="6"/>
  <c r="BV276" i="6"/>
  <c r="BU276" i="6"/>
  <c r="BR276" i="6"/>
  <c r="BS276" i="6" s="1"/>
  <c r="BQ276" i="6"/>
  <c r="BO276" i="6"/>
  <c r="BP276" i="6" s="1"/>
  <c r="BM276" i="6"/>
  <c r="BL276" i="6"/>
  <c r="BK276" i="6"/>
  <c r="BJ276" i="6"/>
  <c r="BN276" i="6" s="1"/>
  <c r="BI276" i="6"/>
  <c r="BH276" i="6"/>
  <c r="BF276" i="6"/>
  <c r="BG276" i="6" s="1"/>
  <c r="BE276" i="6"/>
  <c r="BD276" i="6"/>
  <c r="BC276" i="6"/>
  <c r="BB276" i="6"/>
  <c r="AZ276" i="6"/>
  <c r="AY276" i="6"/>
  <c r="BA276" i="6" s="1"/>
  <c r="AW276" i="6"/>
  <c r="AV276" i="6"/>
  <c r="AX276" i="6" s="1"/>
  <c r="AT276" i="6"/>
  <c r="AS276" i="6"/>
  <c r="AU276" i="6" s="1"/>
  <c r="AQ276" i="6"/>
  <c r="AP276" i="6"/>
  <c r="AR276" i="6" s="1"/>
  <c r="AN276" i="6"/>
  <c r="AM276" i="6"/>
  <c r="AK276" i="6"/>
  <c r="AL276" i="6" s="1"/>
  <c r="AJ276" i="6"/>
  <c r="AI276" i="6"/>
  <c r="AH276" i="6"/>
  <c r="AG276" i="6"/>
  <c r="AF276" i="6"/>
  <c r="AE276" i="6"/>
  <c r="AD276" i="6"/>
  <c r="AC276" i="6"/>
  <c r="AB276" i="6"/>
  <c r="AA276" i="6"/>
  <c r="Z276" i="6"/>
  <c r="Y276" i="6"/>
  <c r="W276" i="6"/>
  <c r="V276" i="6"/>
  <c r="X276" i="6" s="1"/>
  <c r="T276" i="6"/>
  <c r="S276" i="6"/>
  <c r="R276" i="6"/>
  <c r="P276" i="6"/>
  <c r="O276" i="6"/>
  <c r="N276" i="6"/>
  <c r="DV276" i="6" s="1"/>
  <c r="M276" i="6"/>
  <c r="J276" i="6"/>
  <c r="H276" i="6"/>
  <c r="DQ276" i="6" s="1"/>
  <c r="G276" i="6"/>
  <c r="F276" i="6"/>
  <c r="E276" i="6"/>
  <c r="D276" i="6"/>
  <c r="C276" i="6"/>
  <c r="B276" i="6"/>
  <c r="DW275" i="6"/>
  <c r="DN275" i="6"/>
  <c r="DM275" i="6"/>
  <c r="DL275" i="6"/>
  <c r="DK275" i="6"/>
  <c r="DJ275" i="6"/>
  <c r="DH275" i="6"/>
  <c r="DI275" i="6" s="1"/>
  <c r="DF275" i="6"/>
  <c r="DG275" i="6" s="1"/>
  <c r="DE275" i="6"/>
  <c r="DD275" i="6"/>
  <c r="DC275" i="6"/>
  <c r="DB275" i="6"/>
  <c r="DA275" i="6"/>
  <c r="CY275" i="6"/>
  <c r="CZ275" i="6" s="1"/>
  <c r="CX275" i="6"/>
  <c r="CV275" i="6"/>
  <c r="CW275" i="6" s="1"/>
  <c r="CT275" i="6"/>
  <c r="CU275" i="6" s="1"/>
  <c r="CR275" i="6"/>
  <c r="CQ275" i="6"/>
  <c r="CP275" i="6"/>
  <c r="CS275" i="6" s="1"/>
  <c r="CN275" i="6"/>
  <c r="CM275" i="6"/>
  <c r="CL275" i="6"/>
  <c r="CJ275" i="6"/>
  <c r="CI275" i="6"/>
  <c r="CG275" i="6"/>
  <c r="CH275" i="6" s="1"/>
  <c r="CE275" i="6"/>
  <c r="CD275" i="6"/>
  <c r="CF275" i="6" s="1"/>
  <c r="CC275" i="6"/>
  <c r="CB275" i="6"/>
  <c r="BZ275" i="6"/>
  <c r="BY275" i="6"/>
  <c r="BX275" i="6"/>
  <c r="BW275" i="6"/>
  <c r="CA275" i="6" s="1"/>
  <c r="BV275" i="6"/>
  <c r="BU275" i="6"/>
  <c r="BR275" i="6"/>
  <c r="BQ275" i="6"/>
  <c r="BS275" i="6" s="1"/>
  <c r="BP275" i="6"/>
  <c r="BO275" i="6"/>
  <c r="BM275" i="6"/>
  <c r="BL275" i="6"/>
  <c r="BK275" i="6"/>
  <c r="BJ275" i="6"/>
  <c r="BH275" i="6"/>
  <c r="BI275" i="6" s="1"/>
  <c r="BG275" i="6"/>
  <c r="BF275" i="6"/>
  <c r="BE275" i="6"/>
  <c r="BD275" i="6"/>
  <c r="BC275" i="6"/>
  <c r="BB275" i="6"/>
  <c r="AZ275" i="6"/>
  <c r="AY275" i="6"/>
  <c r="AW275" i="6"/>
  <c r="AX275" i="6" s="1"/>
  <c r="AV275" i="6"/>
  <c r="AT275" i="6"/>
  <c r="AS275" i="6"/>
  <c r="AU275" i="6" s="1"/>
  <c r="AQ275" i="6"/>
  <c r="AP275" i="6"/>
  <c r="AR275" i="6" s="1"/>
  <c r="AO275" i="6"/>
  <c r="AN275" i="6"/>
  <c r="AM275" i="6"/>
  <c r="AL275" i="6"/>
  <c r="AK275" i="6"/>
  <c r="AJ275" i="6"/>
  <c r="AI275" i="6"/>
  <c r="AG275" i="6"/>
  <c r="AF275" i="6"/>
  <c r="AE275" i="6"/>
  <c r="AD275" i="6"/>
  <c r="AC275" i="6"/>
  <c r="AB275" i="6"/>
  <c r="AA275" i="6"/>
  <c r="Z275" i="6"/>
  <c r="Y275" i="6"/>
  <c r="W275" i="6"/>
  <c r="V275" i="6"/>
  <c r="X275" i="6" s="1"/>
  <c r="T275" i="6"/>
  <c r="R275" i="6"/>
  <c r="S275" i="6" s="1"/>
  <c r="P275" i="6"/>
  <c r="Q275" i="6" s="1"/>
  <c r="O275" i="6"/>
  <c r="N275" i="6"/>
  <c r="DV275" i="6" s="1"/>
  <c r="M275" i="6"/>
  <c r="DP275" i="6" s="1"/>
  <c r="J275" i="6"/>
  <c r="H275" i="6"/>
  <c r="G275" i="6"/>
  <c r="F275" i="6"/>
  <c r="E275" i="6"/>
  <c r="D275" i="6"/>
  <c r="C275" i="6"/>
  <c r="B275" i="6"/>
  <c r="DW274" i="6"/>
  <c r="DM274" i="6"/>
  <c r="DL274" i="6"/>
  <c r="DK274" i="6"/>
  <c r="DJ274" i="6"/>
  <c r="DI274" i="6"/>
  <c r="DH274" i="6"/>
  <c r="DF274" i="6"/>
  <c r="DG274" i="6" s="1"/>
  <c r="DE274" i="6"/>
  <c r="DD274" i="6"/>
  <c r="DC274" i="6"/>
  <c r="DB274" i="6"/>
  <c r="DA274" i="6"/>
  <c r="CZ274" i="6"/>
  <c r="CY274" i="6"/>
  <c r="CX274" i="6"/>
  <c r="CV274" i="6"/>
  <c r="CW274" i="6" s="1"/>
  <c r="CT274" i="6"/>
  <c r="CU274" i="6" s="1"/>
  <c r="CR274" i="6"/>
  <c r="CQ274" i="6"/>
  <c r="CP274" i="6"/>
  <c r="CS274" i="6" s="1"/>
  <c r="CN274" i="6"/>
  <c r="CM274" i="6"/>
  <c r="CL274" i="6"/>
  <c r="CJ274" i="6"/>
  <c r="CI274" i="6"/>
  <c r="CK274" i="6" s="1"/>
  <c r="CG274" i="6"/>
  <c r="CH274" i="6" s="1"/>
  <c r="CF274" i="6"/>
  <c r="CE274" i="6"/>
  <c r="CD274" i="6"/>
  <c r="CC274" i="6"/>
  <c r="CB274" i="6"/>
  <c r="CA274" i="6"/>
  <c r="BZ274" i="6"/>
  <c r="BY274" i="6"/>
  <c r="BX274" i="6"/>
  <c r="BW274" i="6"/>
  <c r="BU274" i="6"/>
  <c r="BV274" i="6" s="1"/>
  <c r="BR274" i="6"/>
  <c r="BQ274" i="6"/>
  <c r="BS274" i="6" s="1"/>
  <c r="BP274" i="6"/>
  <c r="BO274" i="6"/>
  <c r="BM274" i="6"/>
  <c r="BL274" i="6"/>
  <c r="BK274" i="6"/>
  <c r="BJ274" i="6"/>
  <c r="BN274" i="6" s="1"/>
  <c r="BH274" i="6"/>
  <c r="BI274" i="6" s="1"/>
  <c r="BG274" i="6"/>
  <c r="BF274" i="6"/>
  <c r="BD274" i="6"/>
  <c r="BC274" i="6"/>
  <c r="BE274" i="6" s="1"/>
  <c r="BB274" i="6"/>
  <c r="AZ274" i="6"/>
  <c r="AY274" i="6"/>
  <c r="BA274" i="6" s="1"/>
  <c r="AW274" i="6"/>
  <c r="AX274" i="6" s="1"/>
  <c r="AV274" i="6"/>
  <c r="AT274" i="6"/>
  <c r="AS274" i="6"/>
  <c r="AU274" i="6" s="1"/>
  <c r="AQ274" i="6"/>
  <c r="AP274" i="6"/>
  <c r="AR274" i="6" s="1"/>
  <c r="AN274" i="6"/>
  <c r="AM274" i="6"/>
  <c r="AO274" i="6" s="1"/>
  <c r="AL274" i="6"/>
  <c r="AK274" i="6"/>
  <c r="AI274" i="6"/>
  <c r="AJ274" i="6" s="1"/>
  <c r="AG274" i="6"/>
  <c r="AE274" i="6"/>
  <c r="AD274" i="6"/>
  <c r="AC274" i="6"/>
  <c r="AF274" i="6" s="1"/>
  <c r="AA274" i="6"/>
  <c r="Z274" i="6"/>
  <c r="AB274" i="6" s="1"/>
  <c r="Y274" i="6"/>
  <c r="W274" i="6"/>
  <c r="V274" i="6"/>
  <c r="T274" i="6"/>
  <c r="R274" i="6"/>
  <c r="S274" i="6" s="1"/>
  <c r="P274" i="6"/>
  <c r="O274" i="6"/>
  <c r="N274" i="6"/>
  <c r="DV274" i="6" s="1"/>
  <c r="M274" i="6"/>
  <c r="DP274" i="6" s="1"/>
  <c r="J274" i="6"/>
  <c r="I274" i="6"/>
  <c r="H274" i="6"/>
  <c r="G274" i="6"/>
  <c r="F274" i="6"/>
  <c r="E274" i="6"/>
  <c r="D274" i="6"/>
  <c r="C274" i="6"/>
  <c r="B274" i="6"/>
  <c r="DW273" i="6"/>
  <c r="DP273" i="6"/>
  <c r="DM273" i="6"/>
  <c r="DL273" i="6"/>
  <c r="DK273" i="6"/>
  <c r="DJ273" i="6"/>
  <c r="DH273" i="6"/>
  <c r="DI273" i="6" s="1"/>
  <c r="DF273" i="6"/>
  <c r="DG273" i="6" s="1"/>
  <c r="DE273" i="6"/>
  <c r="DD273" i="6"/>
  <c r="DC273" i="6"/>
  <c r="DB273" i="6"/>
  <c r="DA273" i="6"/>
  <c r="CY273" i="6"/>
  <c r="CZ273" i="6" s="1"/>
  <c r="CX273" i="6"/>
  <c r="CV273" i="6"/>
  <c r="CW273" i="6" s="1"/>
  <c r="CT273" i="6"/>
  <c r="CU273" i="6" s="1"/>
  <c r="CR273" i="6"/>
  <c r="CQ273" i="6"/>
  <c r="CS273" i="6" s="1"/>
  <c r="CP273" i="6"/>
  <c r="CN273" i="6"/>
  <c r="CM273" i="6"/>
  <c r="CL273" i="6"/>
  <c r="CO273" i="6" s="1"/>
  <c r="CJ273" i="6"/>
  <c r="CI273" i="6"/>
  <c r="CH273" i="6"/>
  <c r="CG273" i="6"/>
  <c r="CE273" i="6"/>
  <c r="CD273" i="6"/>
  <c r="CF273" i="6" s="1"/>
  <c r="CB273" i="6"/>
  <c r="CC273" i="6" s="1"/>
  <c r="BZ273" i="6"/>
  <c r="BY273" i="6"/>
  <c r="BX273" i="6"/>
  <c r="BW273" i="6"/>
  <c r="CA273" i="6" s="1"/>
  <c r="BV273" i="6"/>
  <c r="BU273" i="6"/>
  <c r="BS273" i="6"/>
  <c r="BR273" i="6"/>
  <c r="BQ273" i="6"/>
  <c r="BO273" i="6"/>
  <c r="BP273" i="6" s="1"/>
  <c r="BM273" i="6"/>
  <c r="BL273" i="6"/>
  <c r="BK273" i="6"/>
  <c r="BJ273" i="6"/>
  <c r="BN273" i="6" s="1"/>
  <c r="BI273" i="6"/>
  <c r="BH273" i="6"/>
  <c r="BF273" i="6"/>
  <c r="BG273" i="6" s="1"/>
  <c r="BD273" i="6"/>
  <c r="BC273" i="6"/>
  <c r="BE273" i="6" s="1"/>
  <c r="BB273" i="6"/>
  <c r="AZ273" i="6"/>
  <c r="AY273" i="6"/>
  <c r="BA273" i="6" s="1"/>
  <c r="AW273" i="6"/>
  <c r="AX273" i="6" s="1"/>
  <c r="AV273" i="6"/>
  <c r="AU273" i="6"/>
  <c r="AT273" i="6"/>
  <c r="AS273" i="6"/>
  <c r="AQ273" i="6"/>
  <c r="AP273" i="6"/>
  <c r="AN273" i="6"/>
  <c r="AM273" i="6"/>
  <c r="AO273" i="6" s="1"/>
  <c r="AL273" i="6"/>
  <c r="AK273" i="6"/>
  <c r="AJ273" i="6"/>
  <c r="AI273" i="6"/>
  <c r="AG273" i="6"/>
  <c r="AE273" i="6"/>
  <c r="AD273" i="6"/>
  <c r="AC273" i="6"/>
  <c r="AF273" i="6" s="1"/>
  <c r="AA273" i="6"/>
  <c r="Z273" i="6"/>
  <c r="AB273" i="6" s="1"/>
  <c r="Y273" i="6"/>
  <c r="W273" i="6"/>
  <c r="V273" i="6"/>
  <c r="T273" i="6"/>
  <c r="R273" i="6"/>
  <c r="S273" i="6" s="1"/>
  <c r="P273" i="6"/>
  <c r="O273" i="6"/>
  <c r="N273" i="6"/>
  <c r="Q273" i="6" s="1"/>
  <c r="M273" i="6"/>
  <c r="J273" i="6"/>
  <c r="H273" i="6"/>
  <c r="G273" i="6"/>
  <c r="I273" i="6" s="1"/>
  <c r="F273" i="6"/>
  <c r="E273" i="6"/>
  <c r="D273" i="6"/>
  <c r="C273" i="6"/>
  <c r="B273" i="6"/>
  <c r="DW272" i="6"/>
  <c r="DP272" i="6"/>
  <c r="DM272" i="6"/>
  <c r="DL272" i="6"/>
  <c r="DN272" i="6" s="1"/>
  <c r="DK272" i="6"/>
  <c r="DJ272" i="6"/>
  <c r="DI272" i="6"/>
  <c r="DH272" i="6"/>
  <c r="DF272" i="6"/>
  <c r="DG272" i="6" s="1"/>
  <c r="DE272" i="6"/>
  <c r="DD272" i="6"/>
  <c r="DB272" i="6"/>
  <c r="DA272" i="6"/>
  <c r="DC272" i="6" s="1"/>
  <c r="CY272" i="6"/>
  <c r="CX272" i="6"/>
  <c r="CV272" i="6"/>
  <c r="CW272" i="6" s="1"/>
  <c r="CT272" i="6"/>
  <c r="CU272" i="6" s="1"/>
  <c r="CR272" i="6"/>
  <c r="CQ272" i="6"/>
  <c r="CP272" i="6"/>
  <c r="CN272" i="6"/>
  <c r="CM272" i="6"/>
  <c r="CL272" i="6"/>
  <c r="CJ272" i="6"/>
  <c r="CI272" i="6"/>
  <c r="CG272" i="6"/>
  <c r="CH272" i="6" s="1"/>
  <c r="CF272" i="6"/>
  <c r="CE272" i="6"/>
  <c r="CD272" i="6"/>
  <c r="CB272" i="6"/>
  <c r="CC272" i="6" s="1"/>
  <c r="BZ272" i="6"/>
  <c r="BY272" i="6"/>
  <c r="BX272" i="6"/>
  <c r="BW272" i="6"/>
  <c r="CA272" i="6" s="1"/>
  <c r="BV272" i="6"/>
  <c r="BU272" i="6"/>
  <c r="BR272" i="6"/>
  <c r="BQ272" i="6"/>
  <c r="BS272" i="6" s="1"/>
  <c r="BP272" i="6"/>
  <c r="BO272" i="6"/>
  <c r="BM272" i="6"/>
  <c r="BL272" i="6"/>
  <c r="BK272" i="6"/>
  <c r="BJ272" i="6"/>
  <c r="BI272" i="6"/>
  <c r="BH272" i="6"/>
  <c r="BF272" i="6"/>
  <c r="BG272" i="6" s="1"/>
  <c r="BD272" i="6"/>
  <c r="BC272" i="6"/>
  <c r="BE272" i="6" s="1"/>
  <c r="BB272" i="6"/>
  <c r="AZ272" i="6"/>
  <c r="AY272" i="6"/>
  <c r="BA272" i="6" s="1"/>
  <c r="AX272" i="6"/>
  <c r="AW272" i="6"/>
  <c r="AV272" i="6"/>
  <c r="AT272" i="6"/>
  <c r="AS272" i="6"/>
  <c r="AQ272" i="6"/>
  <c r="AP272" i="6"/>
  <c r="AO272" i="6"/>
  <c r="AN272" i="6"/>
  <c r="AM272" i="6"/>
  <c r="AK272" i="6"/>
  <c r="AL272" i="6" s="1"/>
  <c r="AJ272" i="6"/>
  <c r="AI272" i="6"/>
  <c r="AG272" i="6"/>
  <c r="AE272" i="6"/>
  <c r="AD272" i="6"/>
  <c r="AC272" i="6"/>
  <c r="AF272" i="6" s="1"/>
  <c r="AA272" i="6"/>
  <c r="Z272" i="6"/>
  <c r="AB272" i="6" s="1"/>
  <c r="Y272" i="6"/>
  <c r="W272" i="6"/>
  <c r="DV272" i="6" s="1"/>
  <c r="V272" i="6"/>
  <c r="T272" i="6"/>
  <c r="R272" i="6"/>
  <c r="Q272" i="6"/>
  <c r="P272" i="6"/>
  <c r="O272" i="6"/>
  <c r="N272" i="6"/>
  <c r="M272" i="6"/>
  <c r="J272" i="6"/>
  <c r="H272" i="6"/>
  <c r="G272" i="6"/>
  <c r="I272" i="6" s="1"/>
  <c r="F272" i="6"/>
  <c r="E272" i="6"/>
  <c r="D272" i="6"/>
  <c r="C272" i="6"/>
  <c r="B272" i="6"/>
  <c r="DW271" i="6"/>
  <c r="DV271" i="6"/>
  <c r="DU271" i="6"/>
  <c r="DP271" i="6"/>
  <c r="DN271" i="6"/>
  <c r="DM271" i="6"/>
  <c r="DL271" i="6"/>
  <c r="DK271" i="6"/>
  <c r="DJ271" i="6"/>
  <c r="DI271" i="6"/>
  <c r="DH271" i="6"/>
  <c r="DF271" i="6"/>
  <c r="DG271" i="6" s="1"/>
  <c r="DD271" i="6"/>
  <c r="DE271" i="6" s="1"/>
  <c r="DB271" i="6"/>
  <c r="DA271" i="6"/>
  <c r="DC271" i="6" s="1"/>
  <c r="CY271" i="6"/>
  <c r="CZ271" i="6" s="1"/>
  <c r="CX271" i="6"/>
  <c r="CV271" i="6"/>
  <c r="CW271" i="6" s="1"/>
  <c r="CT271" i="6"/>
  <c r="CU271" i="6" s="1"/>
  <c r="CR271" i="6"/>
  <c r="CS271" i="6" s="1"/>
  <c r="CQ271" i="6"/>
  <c r="DT271" i="6" s="1"/>
  <c r="CP271" i="6"/>
  <c r="CN271" i="6"/>
  <c r="CM271" i="6"/>
  <c r="CL271" i="6"/>
  <c r="CJ271" i="6"/>
  <c r="CI271" i="6"/>
  <c r="CG271" i="6"/>
  <c r="CH271" i="6" s="1"/>
  <c r="CE271" i="6"/>
  <c r="CD271" i="6"/>
  <c r="CF271" i="6" s="1"/>
  <c r="CC271" i="6"/>
  <c r="CB271" i="6"/>
  <c r="BZ271" i="6"/>
  <c r="BY271" i="6"/>
  <c r="BX271" i="6"/>
  <c r="BW271" i="6"/>
  <c r="CA271" i="6" s="1"/>
  <c r="BV271" i="6"/>
  <c r="BU271" i="6"/>
  <c r="BS271" i="6"/>
  <c r="BR271" i="6"/>
  <c r="BQ271" i="6"/>
  <c r="BP271" i="6"/>
  <c r="BO271" i="6"/>
  <c r="BM271" i="6"/>
  <c r="BL271" i="6"/>
  <c r="BK271" i="6"/>
  <c r="BJ271" i="6"/>
  <c r="BH271" i="6"/>
  <c r="BI271" i="6" s="1"/>
  <c r="BF271" i="6"/>
  <c r="BG271" i="6" s="1"/>
  <c r="BE271" i="6"/>
  <c r="BD271" i="6"/>
  <c r="BC271" i="6"/>
  <c r="BB271" i="6"/>
  <c r="AZ271" i="6"/>
  <c r="AY271" i="6"/>
  <c r="AW271" i="6"/>
  <c r="AX271" i="6" s="1"/>
  <c r="AV271" i="6"/>
  <c r="AT271" i="6"/>
  <c r="DS271" i="6" s="1"/>
  <c r="AS271" i="6"/>
  <c r="AQ271" i="6"/>
  <c r="AP271" i="6"/>
  <c r="AN271" i="6"/>
  <c r="AM271" i="6"/>
  <c r="AO271" i="6" s="1"/>
  <c r="AK271" i="6"/>
  <c r="AL271" i="6" s="1"/>
  <c r="AI271" i="6"/>
  <c r="AJ271" i="6" s="1"/>
  <c r="AG271" i="6"/>
  <c r="AF271" i="6"/>
  <c r="AE271" i="6"/>
  <c r="AD271" i="6"/>
  <c r="AC271" i="6"/>
  <c r="AB271" i="6"/>
  <c r="AA271" i="6"/>
  <c r="Z271" i="6"/>
  <c r="Y271" i="6"/>
  <c r="W271" i="6"/>
  <c r="V271" i="6"/>
  <c r="X271" i="6" s="1"/>
  <c r="T271" i="6"/>
  <c r="S271" i="6"/>
  <c r="R271" i="6"/>
  <c r="P271" i="6"/>
  <c r="O271" i="6"/>
  <c r="N271" i="6"/>
  <c r="M271" i="6"/>
  <c r="Q271" i="6" s="1"/>
  <c r="J271" i="6"/>
  <c r="H271" i="6"/>
  <c r="G271" i="6"/>
  <c r="I271" i="6" s="1"/>
  <c r="F271" i="6"/>
  <c r="E271" i="6"/>
  <c r="D271" i="6"/>
  <c r="C271" i="6"/>
  <c r="B271" i="6"/>
  <c r="DW270" i="6"/>
  <c r="DV270" i="6"/>
  <c r="DM270" i="6"/>
  <c r="DL270" i="6"/>
  <c r="DK270" i="6"/>
  <c r="DJ270" i="6"/>
  <c r="DN270" i="6" s="1"/>
  <c r="DH270" i="6"/>
  <c r="DI270" i="6" s="1"/>
  <c r="DF270" i="6"/>
  <c r="DG270" i="6" s="1"/>
  <c r="DD270" i="6"/>
  <c r="DE270" i="6" s="1"/>
  <c r="DB270" i="6"/>
  <c r="DA270" i="6"/>
  <c r="DC270" i="6" s="1"/>
  <c r="CY270" i="6"/>
  <c r="CZ270" i="6" s="1"/>
  <c r="CX270" i="6"/>
  <c r="CV270" i="6"/>
  <c r="CW270" i="6" s="1"/>
  <c r="CT270" i="6"/>
  <c r="CU270" i="6" s="1"/>
  <c r="CS270" i="6"/>
  <c r="CR270" i="6"/>
  <c r="CQ270" i="6"/>
  <c r="CP270" i="6"/>
  <c r="CN270" i="6"/>
  <c r="CM270" i="6"/>
  <c r="CL270" i="6"/>
  <c r="CJ270" i="6"/>
  <c r="CI270" i="6"/>
  <c r="CK270" i="6" s="1"/>
  <c r="CG270" i="6"/>
  <c r="CH270" i="6" s="1"/>
  <c r="CE270" i="6"/>
  <c r="CD270" i="6"/>
  <c r="CF270" i="6" s="1"/>
  <c r="CB270" i="6"/>
  <c r="CC270" i="6" s="1"/>
  <c r="BZ270" i="6"/>
  <c r="BY270" i="6"/>
  <c r="BX270" i="6"/>
  <c r="BW270" i="6"/>
  <c r="BU270" i="6"/>
  <c r="BV270" i="6" s="1"/>
  <c r="BS270" i="6"/>
  <c r="BR270" i="6"/>
  <c r="BQ270" i="6"/>
  <c r="BP270" i="6"/>
  <c r="BO270" i="6"/>
  <c r="BM270" i="6"/>
  <c r="BL270" i="6"/>
  <c r="BK270" i="6"/>
  <c r="BJ270" i="6"/>
  <c r="BN270" i="6" s="1"/>
  <c r="BH270" i="6"/>
  <c r="BI270" i="6" s="1"/>
  <c r="BG270" i="6"/>
  <c r="BF270" i="6"/>
  <c r="BE270" i="6"/>
  <c r="BD270" i="6"/>
  <c r="BC270" i="6"/>
  <c r="BB270" i="6"/>
  <c r="AZ270" i="6"/>
  <c r="AY270" i="6"/>
  <c r="AX270" i="6"/>
  <c r="AW270" i="6"/>
  <c r="AV270" i="6"/>
  <c r="AU270" i="6"/>
  <c r="AT270" i="6"/>
  <c r="AS270" i="6"/>
  <c r="AR270" i="6"/>
  <c r="AQ270" i="6"/>
  <c r="AP270" i="6"/>
  <c r="AN270" i="6"/>
  <c r="AM270" i="6"/>
  <c r="AO270" i="6" s="1"/>
  <c r="AK270" i="6"/>
  <c r="AL270" i="6" s="1"/>
  <c r="AI270" i="6"/>
  <c r="AJ270" i="6" s="1"/>
  <c r="AG270" i="6"/>
  <c r="AF270" i="6"/>
  <c r="AE270" i="6"/>
  <c r="AD270" i="6"/>
  <c r="AC270" i="6"/>
  <c r="AA270" i="6"/>
  <c r="AB270" i="6" s="1"/>
  <c r="Z270" i="6"/>
  <c r="Y270" i="6"/>
  <c r="X270" i="6"/>
  <c r="W270" i="6"/>
  <c r="V270" i="6"/>
  <c r="T270" i="6"/>
  <c r="S270" i="6"/>
  <c r="R270" i="6"/>
  <c r="P270" i="6"/>
  <c r="O270" i="6"/>
  <c r="N270" i="6"/>
  <c r="M270" i="6"/>
  <c r="J270" i="6"/>
  <c r="H270" i="6"/>
  <c r="DQ270" i="6" s="1"/>
  <c r="G270" i="6"/>
  <c r="F270" i="6"/>
  <c r="E270" i="6"/>
  <c r="D270" i="6"/>
  <c r="C270" i="6"/>
  <c r="B270" i="6"/>
  <c r="DW269" i="6"/>
  <c r="DV269" i="6"/>
  <c r="DM269" i="6"/>
  <c r="DL269" i="6"/>
  <c r="DK269" i="6"/>
  <c r="DN269" i="6" s="1"/>
  <c r="DJ269" i="6"/>
  <c r="DI269" i="6"/>
  <c r="DH269" i="6"/>
  <c r="DG269" i="6"/>
  <c r="DF269" i="6"/>
  <c r="DD269" i="6"/>
  <c r="DE269" i="6" s="1"/>
  <c r="DB269" i="6"/>
  <c r="DA269" i="6"/>
  <c r="DC269" i="6" s="1"/>
  <c r="CY269" i="6"/>
  <c r="CX269" i="6"/>
  <c r="CZ269" i="6" s="1"/>
  <c r="CW269" i="6"/>
  <c r="CV269" i="6"/>
  <c r="CT269" i="6"/>
  <c r="CU269" i="6" s="1"/>
  <c r="CS269" i="6"/>
  <c r="CR269" i="6"/>
  <c r="CQ269" i="6"/>
  <c r="CP269" i="6"/>
  <c r="CO269" i="6"/>
  <c r="CN269" i="6"/>
  <c r="CM269" i="6"/>
  <c r="CL269" i="6"/>
  <c r="CK269" i="6"/>
  <c r="CJ269" i="6"/>
  <c r="CI269" i="6"/>
  <c r="CG269" i="6"/>
  <c r="CH269" i="6" s="1"/>
  <c r="CE269" i="6"/>
  <c r="CD269" i="6"/>
  <c r="CF269" i="6" s="1"/>
  <c r="CB269" i="6"/>
  <c r="CC269" i="6" s="1"/>
  <c r="BZ269" i="6"/>
  <c r="BY269" i="6"/>
  <c r="BX269" i="6"/>
  <c r="CA269" i="6" s="1"/>
  <c r="BW269" i="6"/>
  <c r="BU269" i="6"/>
  <c r="BV269" i="6" s="1"/>
  <c r="BS269" i="6"/>
  <c r="BR269" i="6"/>
  <c r="BQ269" i="6"/>
  <c r="BP269" i="6"/>
  <c r="BO269" i="6"/>
  <c r="BN269" i="6"/>
  <c r="BM269" i="6"/>
  <c r="BL269" i="6"/>
  <c r="BK269" i="6"/>
  <c r="BJ269" i="6"/>
  <c r="BH269" i="6"/>
  <c r="BI269" i="6" s="1"/>
  <c r="BF269" i="6"/>
  <c r="BG269" i="6" s="1"/>
  <c r="BD269" i="6"/>
  <c r="BC269" i="6"/>
  <c r="BE269" i="6" s="1"/>
  <c r="BB269" i="6"/>
  <c r="BA269" i="6"/>
  <c r="AZ269" i="6"/>
  <c r="AY269" i="6"/>
  <c r="AW269" i="6"/>
  <c r="AX269" i="6" s="1"/>
  <c r="AV269" i="6"/>
  <c r="AU269" i="6"/>
  <c r="AT269" i="6"/>
  <c r="AS269" i="6"/>
  <c r="AR269" i="6"/>
  <c r="AQ269" i="6"/>
  <c r="AP269" i="6"/>
  <c r="AN269" i="6"/>
  <c r="AM269" i="6"/>
  <c r="AO269" i="6" s="1"/>
  <c r="AK269" i="6"/>
  <c r="AL269" i="6" s="1"/>
  <c r="AJ269" i="6"/>
  <c r="AI269" i="6"/>
  <c r="AG269" i="6"/>
  <c r="AE269" i="6"/>
  <c r="AD269" i="6"/>
  <c r="AC269" i="6"/>
  <c r="AA269" i="6"/>
  <c r="AB269" i="6" s="1"/>
  <c r="Z269" i="6"/>
  <c r="DT269" i="6" s="1"/>
  <c r="Y269" i="6"/>
  <c r="X269" i="6"/>
  <c r="W269" i="6"/>
  <c r="V269" i="6"/>
  <c r="T269" i="6"/>
  <c r="S269" i="6"/>
  <c r="R269" i="6"/>
  <c r="P269" i="6"/>
  <c r="O269" i="6"/>
  <c r="N269" i="6"/>
  <c r="M269" i="6"/>
  <c r="Q269" i="6" s="1"/>
  <c r="J269" i="6"/>
  <c r="I269" i="6"/>
  <c r="H269" i="6"/>
  <c r="G269" i="6"/>
  <c r="F269" i="6"/>
  <c r="E269" i="6"/>
  <c r="D269" i="6"/>
  <c r="C269" i="6"/>
  <c r="B269" i="6"/>
  <c r="DW268" i="6"/>
  <c r="DV268" i="6"/>
  <c r="DM268" i="6"/>
  <c r="DL268" i="6"/>
  <c r="DK268" i="6"/>
  <c r="DN268" i="6" s="1"/>
  <c r="DJ268" i="6"/>
  <c r="DI268" i="6"/>
  <c r="DH268" i="6"/>
  <c r="DG268" i="6"/>
  <c r="DF268" i="6"/>
  <c r="DD268" i="6"/>
  <c r="DE268" i="6" s="1"/>
  <c r="DB268" i="6"/>
  <c r="DA268" i="6"/>
  <c r="DC268" i="6" s="1"/>
  <c r="CY268" i="6"/>
  <c r="CZ268" i="6" s="1"/>
  <c r="CX268" i="6"/>
  <c r="CV268" i="6"/>
  <c r="CW268" i="6" s="1"/>
  <c r="CT268" i="6"/>
  <c r="CU268" i="6" s="1"/>
  <c r="CR268" i="6"/>
  <c r="CQ268" i="6"/>
  <c r="CP268" i="6"/>
  <c r="CS268" i="6" s="1"/>
  <c r="CO268" i="6"/>
  <c r="CN268" i="6"/>
  <c r="CM268" i="6"/>
  <c r="CL268" i="6"/>
  <c r="CK268" i="6"/>
  <c r="CJ268" i="6"/>
  <c r="CI268" i="6"/>
  <c r="CG268" i="6"/>
  <c r="CH268" i="6" s="1"/>
  <c r="CE268" i="6"/>
  <c r="CD268" i="6"/>
  <c r="CF268" i="6" s="1"/>
  <c r="CC268" i="6"/>
  <c r="CB268" i="6"/>
  <c r="BZ268" i="6"/>
  <c r="CA268" i="6" s="1"/>
  <c r="BY268" i="6"/>
  <c r="BX268" i="6"/>
  <c r="BW268" i="6"/>
  <c r="BV268" i="6"/>
  <c r="BU268" i="6"/>
  <c r="BR268" i="6"/>
  <c r="BS268" i="6" s="1"/>
  <c r="BQ268" i="6"/>
  <c r="BP268" i="6"/>
  <c r="BO268" i="6"/>
  <c r="BN268" i="6"/>
  <c r="BM268" i="6"/>
  <c r="BL268" i="6"/>
  <c r="BK268" i="6"/>
  <c r="BJ268" i="6"/>
  <c r="BH268" i="6"/>
  <c r="BI268" i="6" s="1"/>
  <c r="BF268" i="6"/>
  <c r="BG268" i="6" s="1"/>
  <c r="BE268" i="6"/>
  <c r="BD268" i="6"/>
  <c r="BC268" i="6"/>
  <c r="BB268" i="6"/>
  <c r="AZ268" i="6"/>
  <c r="AY268" i="6"/>
  <c r="BA268" i="6" s="1"/>
  <c r="AX268" i="6"/>
  <c r="AW268" i="6"/>
  <c r="AV268" i="6"/>
  <c r="AU268" i="6"/>
  <c r="AT268" i="6"/>
  <c r="AS268" i="6"/>
  <c r="AR268" i="6"/>
  <c r="AQ268" i="6"/>
  <c r="AP268" i="6"/>
  <c r="AN268" i="6"/>
  <c r="AM268" i="6"/>
  <c r="AO268" i="6" s="1"/>
  <c r="AK268" i="6"/>
  <c r="AL268" i="6" s="1"/>
  <c r="AI268" i="6"/>
  <c r="AJ268" i="6" s="1"/>
  <c r="AG268" i="6"/>
  <c r="AF268" i="6"/>
  <c r="AE268" i="6"/>
  <c r="AD268" i="6"/>
  <c r="AC268" i="6"/>
  <c r="DS268" i="6" s="1"/>
  <c r="AA268" i="6"/>
  <c r="Z268" i="6"/>
  <c r="AB268" i="6" s="1"/>
  <c r="Y268" i="6"/>
  <c r="X268" i="6"/>
  <c r="W268" i="6"/>
  <c r="V268" i="6"/>
  <c r="T268" i="6"/>
  <c r="S268" i="6"/>
  <c r="R268" i="6"/>
  <c r="P268" i="6"/>
  <c r="O268" i="6"/>
  <c r="N268" i="6"/>
  <c r="M268" i="6"/>
  <c r="Q268" i="6" s="1"/>
  <c r="J268" i="6"/>
  <c r="H268" i="6"/>
  <c r="G268" i="6"/>
  <c r="DU268" i="6" s="1"/>
  <c r="F268" i="6"/>
  <c r="E268" i="6"/>
  <c r="D268" i="6"/>
  <c r="C268" i="6"/>
  <c r="B268" i="6"/>
  <c r="DW267" i="6"/>
  <c r="DM267" i="6"/>
  <c r="DV267" i="6" s="1"/>
  <c r="DL267" i="6"/>
  <c r="DK267" i="6"/>
  <c r="DN267" i="6" s="1"/>
  <c r="DJ267" i="6"/>
  <c r="DH267" i="6"/>
  <c r="DI267" i="6" s="1"/>
  <c r="DG267" i="6"/>
  <c r="DF267" i="6"/>
  <c r="DD267" i="6"/>
  <c r="DE267" i="6" s="1"/>
  <c r="DB267" i="6"/>
  <c r="DA267" i="6"/>
  <c r="DC267" i="6" s="1"/>
  <c r="CZ267" i="6"/>
  <c r="CY267" i="6"/>
  <c r="CX267" i="6"/>
  <c r="CW267" i="6"/>
  <c r="CV267" i="6"/>
  <c r="CT267" i="6"/>
  <c r="CU267" i="6" s="1"/>
  <c r="CR267" i="6"/>
  <c r="CQ267" i="6"/>
  <c r="CP267" i="6"/>
  <c r="CS267" i="6" s="1"/>
  <c r="CO267" i="6"/>
  <c r="CN267" i="6"/>
  <c r="CM267" i="6"/>
  <c r="CL267" i="6"/>
  <c r="CK267" i="6"/>
  <c r="CJ267" i="6"/>
  <c r="CI267" i="6"/>
  <c r="CG267" i="6"/>
  <c r="CH267" i="6" s="1"/>
  <c r="CE267" i="6"/>
  <c r="CD267" i="6"/>
  <c r="CF267" i="6" s="1"/>
  <c r="CB267" i="6"/>
  <c r="CC267" i="6" s="1"/>
  <c r="CA267" i="6"/>
  <c r="BZ267" i="6"/>
  <c r="BY267" i="6"/>
  <c r="BX267" i="6"/>
  <c r="BW267" i="6"/>
  <c r="BV267" i="6"/>
  <c r="BU267" i="6"/>
  <c r="BR267" i="6"/>
  <c r="BS267" i="6" s="1"/>
  <c r="BQ267" i="6"/>
  <c r="BO267" i="6"/>
  <c r="BP267" i="6" s="1"/>
  <c r="BN267" i="6"/>
  <c r="BM267" i="6"/>
  <c r="BL267" i="6"/>
  <c r="BK267" i="6"/>
  <c r="BJ267" i="6"/>
  <c r="BH267" i="6"/>
  <c r="BI267" i="6" s="1"/>
  <c r="BG267" i="6"/>
  <c r="BF267" i="6"/>
  <c r="BD267" i="6"/>
  <c r="BE267" i="6" s="1"/>
  <c r="BC267" i="6"/>
  <c r="BB267" i="6"/>
  <c r="AZ267" i="6"/>
  <c r="AY267" i="6"/>
  <c r="BA267" i="6" s="1"/>
  <c r="AX267" i="6"/>
  <c r="AW267" i="6"/>
  <c r="AV267" i="6"/>
  <c r="AU267" i="6"/>
  <c r="AT267" i="6"/>
  <c r="AS267" i="6"/>
  <c r="AR267" i="6"/>
  <c r="AQ267" i="6"/>
  <c r="AP267" i="6"/>
  <c r="AN267" i="6"/>
  <c r="AM267" i="6"/>
  <c r="AO267" i="6" s="1"/>
  <c r="AK267" i="6"/>
  <c r="AL267" i="6" s="1"/>
  <c r="AI267" i="6"/>
  <c r="AJ267" i="6" s="1"/>
  <c r="AG267" i="6"/>
  <c r="AF267" i="6"/>
  <c r="AE267" i="6"/>
  <c r="AD267" i="6"/>
  <c r="AC267" i="6"/>
  <c r="DS267" i="6" s="1"/>
  <c r="AA267" i="6"/>
  <c r="Z267" i="6"/>
  <c r="AB267" i="6" s="1"/>
  <c r="Y267" i="6"/>
  <c r="X267" i="6"/>
  <c r="W267" i="6"/>
  <c r="V267" i="6"/>
  <c r="T267" i="6"/>
  <c r="S267" i="6"/>
  <c r="R267" i="6"/>
  <c r="P267" i="6"/>
  <c r="O267" i="6"/>
  <c r="N267" i="6"/>
  <c r="M267" i="6"/>
  <c r="Q267" i="6" s="1"/>
  <c r="J267" i="6"/>
  <c r="H267" i="6"/>
  <c r="G267" i="6"/>
  <c r="DU267" i="6" s="1"/>
  <c r="F267" i="6"/>
  <c r="E267" i="6"/>
  <c r="D267" i="6"/>
  <c r="C267" i="6"/>
  <c r="B267" i="6"/>
  <c r="DW266" i="6"/>
  <c r="DM266" i="6"/>
  <c r="DV266" i="6" s="1"/>
  <c r="DL266" i="6"/>
  <c r="DK266" i="6"/>
  <c r="DN266" i="6" s="1"/>
  <c r="DJ266" i="6"/>
  <c r="DH266" i="6"/>
  <c r="DI266" i="6" s="1"/>
  <c r="DG266" i="6"/>
  <c r="DF266" i="6"/>
  <c r="DD266" i="6"/>
  <c r="DE266" i="6" s="1"/>
  <c r="DB266" i="6"/>
  <c r="DA266" i="6"/>
  <c r="DC266" i="6" s="1"/>
  <c r="CZ266" i="6"/>
  <c r="CY266" i="6"/>
  <c r="CX266" i="6"/>
  <c r="CW266" i="6"/>
  <c r="CV266" i="6"/>
  <c r="CT266" i="6"/>
  <c r="CU266" i="6" s="1"/>
  <c r="CR266" i="6"/>
  <c r="CQ266" i="6"/>
  <c r="CP266" i="6"/>
  <c r="CS266" i="6" s="1"/>
  <c r="CO266" i="6"/>
  <c r="CN266" i="6"/>
  <c r="CM266" i="6"/>
  <c r="CL266" i="6"/>
  <c r="CK266" i="6"/>
  <c r="CJ266" i="6"/>
  <c r="CI266" i="6"/>
  <c r="CG266" i="6"/>
  <c r="CH266" i="6" s="1"/>
  <c r="CE266" i="6"/>
  <c r="CD266" i="6"/>
  <c r="CF266" i="6" s="1"/>
  <c r="CB266" i="6"/>
  <c r="CC266" i="6" s="1"/>
  <c r="CA266" i="6"/>
  <c r="BZ266" i="6"/>
  <c r="BY266" i="6"/>
  <c r="BX266" i="6"/>
  <c r="BW266" i="6"/>
  <c r="BV266" i="6"/>
  <c r="BU266" i="6"/>
  <c r="BR266" i="6"/>
  <c r="BS266" i="6" s="1"/>
  <c r="BQ266" i="6"/>
  <c r="BO266" i="6"/>
  <c r="BP266" i="6" s="1"/>
  <c r="BN266" i="6"/>
  <c r="BM266" i="6"/>
  <c r="BL266" i="6"/>
  <c r="BK266" i="6"/>
  <c r="BJ266" i="6"/>
  <c r="BH266" i="6"/>
  <c r="BI266" i="6" s="1"/>
  <c r="BG266" i="6"/>
  <c r="BF266" i="6"/>
  <c r="BD266" i="6"/>
  <c r="BE266" i="6" s="1"/>
  <c r="BC266" i="6"/>
  <c r="BB266" i="6"/>
  <c r="AZ266" i="6"/>
  <c r="AY266" i="6"/>
  <c r="BA266" i="6" s="1"/>
  <c r="AX266" i="6"/>
  <c r="AW266" i="6"/>
  <c r="AV266" i="6"/>
  <c r="AU266" i="6"/>
  <c r="AT266" i="6"/>
  <c r="AS266" i="6"/>
  <c r="AR266" i="6"/>
  <c r="AQ266" i="6"/>
  <c r="AP266" i="6"/>
  <c r="AN266" i="6"/>
  <c r="AM266" i="6"/>
  <c r="AO266" i="6" s="1"/>
  <c r="AK266" i="6"/>
  <c r="AL266" i="6" s="1"/>
  <c r="AI266" i="6"/>
  <c r="AJ266" i="6" s="1"/>
  <c r="AG266" i="6"/>
  <c r="AE266" i="6"/>
  <c r="AD266" i="6"/>
  <c r="AC266" i="6"/>
  <c r="DS266" i="6" s="1"/>
  <c r="AA266" i="6"/>
  <c r="Z266" i="6"/>
  <c r="AB266" i="6" s="1"/>
  <c r="Y266" i="6"/>
  <c r="X266" i="6"/>
  <c r="W266" i="6"/>
  <c r="V266" i="6"/>
  <c r="T266" i="6"/>
  <c r="R266" i="6"/>
  <c r="S266" i="6" s="1"/>
  <c r="P266" i="6"/>
  <c r="O266" i="6"/>
  <c r="N266" i="6"/>
  <c r="M266" i="6"/>
  <c r="Q266" i="6" s="1"/>
  <c r="J266" i="6"/>
  <c r="H266" i="6"/>
  <c r="G266" i="6"/>
  <c r="DU266" i="6" s="1"/>
  <c r="F266" i="6"/>
  <c r="E266" i="6"/>
  <c r="D266" i="6"/>
  <c r="C266" i="6"/>
  <c r="B266" i="6"/>
  <c r="DW265" i="6"/>
  <c r="DM265" i="6"/>
  <c r="DV265" i="6" s="1"/>
  <c r="DL265" i="6"/>
  <c r="DK265" i="6"/>
  <c r="DJ265" i="6"/>
  <c r="DH265" i="6"/>
  <c r="DI265" i="6" s="1"/>
  <c r="DG265" i="6"/>
  <c r="DF265" i="6"/>
  <c r="DD265" i="6"/>
  <c r="DE265" i="6" s="1"/>
  <c r="DC265" i="6"/>
  <c r="DB265" i="6"/>
  <c r="DA265" i="6"/>
  <c r="CZ265" i="6"/>
  <c r="CY265" i="6"/>
  <c r="CX265" i="6"/>
  <c r="CW265" i="6"/>
  <c r="CV265" i="6"/>
  <c r="CT265" i="6"/>
  <c r="CU265" i="6" s="1"/>
  <c r="CR265" i="6"/>
  <c r="CQ265" i="6"/>
  <c r="CP265" i="6"/>
  <c r="CS265" i="6" s="1"/>
  <c r="CO265" i="6"/>
  <c r="CN265" i="6"/>
  <c r="CM265" i="6"/>
  <c r="CL265" i="6"/>
  <c r="CK265" i="6"/>
  <c r="CJ265" i="6"/>
  <c r="CI265" i="6"/>
  <c r="CG265" i="6"/>
  <c r="CH265" i="6" s="1"/>
  <c r="CE265" i="6"/>
  <c r="CD265" i="6"/>
  <c r="CF265" i="6" s="1"/>
  <c r="CC265" i="6"/>
  <c r="CB265" i="6"/>
  <c r="CA265" i="6"/>
  <c r="BZ265" i="6"/>
  <c r="BY265" i="6"/>
  <c r="BX265" i="6"/>
  <c r="BW265" i="6"/>
  <c r="BV265" i="6"/>
  <c r="BU265" i="6"/>
  <c r="BR265" i="6"/>
  <c r="BS265" i="6" s="1"/>
  <c r="BQ265" i="6"/>
  <c r="BO265" i="6"/>
  <c r="BP265" i="6" s="1"/>
  <c r="BN265" i="6"/>
  <c r="BM265" i="6"/>
  <c r="BL265" i="6"/>
  <c r="BK265" i="6"/>
  <c r="BJ265" i="6"/>
  <c r="BH265" i="6"/>
  <c r="BI265" i="6" s="1"/>
  <c r="BG265" i="6"/>
  <c r="BF265" i="6"/>
  <c r="BD265" i="6"/>
  <c r="BC265" i="6"/>
  <c r="BE265" i="6" s="1"/>
  <c r="BB265" i="6"/>
  <c r="AZ265" i="6"/>
  <c r="AY265" i="6"/>
  <c r="BA265" i="6" s="1"/>
  <c r="AX265" i="6"/>
  <c r="AW265" i="6"/>
  <c r="AV265" i="6"/>
  <c r="AU265" i="6"/>
  <c r="AT265" i="6"/>
  <c r="AS265" i="6"/>
  <c r="AR265" i="6"/>
  <c r="AQ265" i="6"/>
  <c r="AP265" i="6"/>
  <c r="AN265" i="6"/>
  <c r="AM265" i="6"/>
  <c r="AO265" i="6" s="1"/>
  <c r="AK265" i="6"/>
  <c r="AL265" i="6" s="1"/>
  <c r="AJ265" i="6"/>
  <c r="AI265" i="6"/>
  <c r="AG265" i="6"/>
  <c r="AE265" i="6"/>
  <c r="AD265" i="6"/>
  <c r="AC265" i="6"/>
  <c r="AA265" i="6"/>
  <c r="Z265" i="6"/>
  <c r="AB265" i="6" s="1"/>
  <c r="Y265" i="6"/>
  <c r="X265" i="6"/>
  <c r="W265" i="6"/>
  <c r="V265" i="6"/>
  <c r="T265" i="6"/>
  <c r="R265" i="6"/>
  <c r="S265" i="6" s="1"/>
  <c r="P265" i="6"/>
  <c r="O265" i="6"/>
  <c r="N265" i="6"/>
  <c r="M265" i="6"/>
  <c r="Q265" i="6" s="1"/>
  <c r="J265" i="6"/>
  <c r="H265" i="6"/>
  <c r="G265" i="6"/>
  <c r="DU265" i="6" s="1"/>
  <c r="F265" i="6"/>
  <c r="E265" i="6"/>
  <c r="D265" i="6"/>
  <c r="C265" i="6"/>
  <c r="B265" i="6"/>
  <c r="DW264" i="6"/>
  <c r="DM264" i="6"/>
  <c r="DV264" i="6" s="1"/>
  <c r="DL264" i="6"/>
  <c r="DK264" i="6"/>
  <c r="DN264" i="6" s="1"/>
  <c r="DJ264" i="6"/>
  <c r="DH264" i="6"/>
  <c r="DI264" i="6" s="1"/>
  <c r="DG264" i="6"/>
  <c r="DF264" i="6"/>
  <c r="DD264" i="6"/>
  <c r="DE264" i="6" s="1"/>
  <c r="DC264" i="6"/>
  <c r="DB264" i="6"/>
  <c r="DA264" i="6"/>
  <c r="CZ264" i="6"/>
  <c r="CY264" i="6"/>
  <c r="CX264" i="6"/>
  <c r="CW264" i="6"/>
  <c r="CV264" i="6"/>
  <c r="CT264" i="6"/>
  <c r="CU264" i="6" s="1"/>
  <c r="CR264" i="6"/>
  <c r="CQ264" i="6"/>
  <c r="CP264" i="6"/>
  <c r="CS264" i="6" s="1"/>
  <c r="CO264" i="6"/>
  <c r="CN264" i="6"/>
  <c r="CM264" i="6"/>
  <c r="CL264" i="6"/>
  <c r="CK264" i="6"/>
  <c r="CJ264" i="6"/>
  <c r="CI264" i="6"/>
  <c r="CG264" i="6"/>
  <c r="CH264" i="6" s="1"/>
  <c r="CE264" i="6"/>
  <c r="CD264" i="6"/>
  <c r="CF264" i="6" s="1"/>
  <c r="CB264" i="6"/>
  <c r="CC264" i="6" s="1"/>
  <c r="CA264" i="6"/>
  <c r="BZ264" i="6"/>
  <c r="BY264" i="6"/>
  <c r="BX264" i="6"/>
  <c r="BW264" i="6"/>
  <c r="BV264" i="6"/>
  <c r="BU264" i="6"/>
  <c r="BR264" i="6"/>
  <c r="BS264" i="6" s="1"/>
  <c r="BQ264" i="6"/>
  <c r="BO264" i="6"/>
  <c r="BP264" i="6" s="1"/>
  <c r="BN264" i="6"/>
  <c r="BM264" i="6"/>
  <c r="BL264" i="6"/>
  <c r="BK264" i="6"/>
  <c r="BJ264" i="6"/>
  <c r="BH264" i="6"/>
  <c r="BI264" i="6" s="1"/>
  <c r="BF264" i="6"/>
  <c r="BG264" i="6" s="1"/>
  <c r="BD264" i="6"/>
  <c r="BE264" i="6" s="1"/>
  <c r="BC264" i="6"/>
  <c r="BB264" i="6"/>
  <c r="AZ264" i="6"/>
  <c r="AY264" i="6"/>
  <c r="BA264" i="6" s="1"/>
  <c r="AX264" i="6"/>
  <c r="AW264" i="6"/>
  <c r="AV264" i="6"/>
  <c r="AU264" i="6"/>
  <c r="AT264" i="6"/>
  <c r="AS264" i="6"/>
  <c r="AR264" i="6"/>
  <c r="AQ264" i="6"/>
  <c r="AP264" i="6"/>
  <c r="AN264" i="6"/>
  <c r="AM264" i="6"/>
  <c r="AO264" i="6" s="1"/>
  <c r="AK264" i="6"/>
  <c r="AL264" i="6" s="1"/>
  <c r="AI264" i="6"/>
  <c r="AJ264" i="6" s="1"/>
  <c r="AG264" i="6"/>
  <c r="AF264" i="6"/>
  <c r="AE264" i="6"/>
  <c r="AD264" i="6"/>
  <c r="AC264" i="6"/>
  <c r="DS264" i="6" s="1"/>
  <c r="AA264" i="6"/>
  <c r="Z264" i="6"/>
  <c r="AB264" i="6" s="1"/>
  <c r="Y264" i="6"/>
  <c r="X264" i="6"/>
  <c r="W264" i="6"/>
  <c r="V264" i="6"/>
  <c r="T264" i="6"/>
  <c r="R264" i="6"/>
  <c r="S264" i="6" s="1"/>
  <c r="P264" i="6"/>
  <c r="O264" i="6"/>
  <c r="N264" i="6"/>
  <c r="M264" i="6"/>
  <c r="Q264" i="6" s="1"/>
  <c r="J264" i="6"/>
  <c r="I264" i="6"/>
  <c r="H264" i="6"/>
  <c r="DQ264" i="6" s="1"/>
  <c r="G264" i="6"/>
  <c r="DU264" i="6" s="1"/>
  <c r="F264" i="6"/>
  <c r="E264" i="6"/>
  <c r="DP264" i="6" s="1"/>
  <c r="D264" i="6"/>
  <c r="C264" i="6"/>
  <c r="B264" i="6"/>
  <c r="DW263" i="6"/>
  <c r="DM263" i="6"/>
  <c r="DV263" i="6" s="1"/>
  <c r="DL263" i="6"/>
  <c r="DK263" i="6"/>
  <c r="DJ263" i="6"/>
  <c r="DH263" i="6"/>
  <c r="DI263" i="6" s="1"/>
  <c r="DG263" i="6"/>
  <c r="DF263" i="6"/>
  <c r="DE263" i="6"/>
  <c r="DD263" i="6"/>
  <c r="DC263" i="6"/>
  <c r="DB263" i="6"/>
  <c r="DA263" i="6"/>
  <c r="CY263" i="6"/>
  <c r="CX263" i="6"/>
  <c r="CZ263" i="6" s="1"/>
  <c r="CW263" i="6"/>
  <c r="CV263" i="6"/>
  <c r="CT263" i="6"/>
  <c r="CU263" i="6" s="1"/>
  <c r="CR263" i="6"/>
  <c r="CQ263" i="6"/>
  <c r="CP263" i="6"/>
  <c r="CS263" i="6" s="1"/>
  <c r="CO263" i="6"/>
  <c r="CN263" i="6"/>
  <c r="CM263" i="6"/>
  <c r="CL263" i="6"/>
  <c r="CK263" i="6"/>
  <c r="CJ263" i="6"/>
  <c r="CI263" i="6"/>
  <c r="CG263" i="6"/>
  <c r="CH263" i="6" s="1"/>
  <c r="CE263" i="6"/>
  <c r="CD263" i="6"/>
  <c r="CF263" i="6" s="1"/>
  <c r="CC263" i="6"/>
  <c r="CB263" i="6"/>
  <c r="CA263" i="6"/>
  <c r="BZ263" i="6"/>
  <c r="BY263" i="6"/>
  <c r="BX263" i="6"/>
  <c r="BW263" i="6"/>
  <c r="BU263" i="6"/>
  <c r="BV263" i="6" s="1"/>
  <c r="BS263" i="6"/>
  <c r="BR263" i="6"/>
  <c r="BQ263" i="6"/>
  <c r="BO263" i="6"/>
  <c r="BP263" i="6" s="1"/>
  <c r="BN263" i="6"/>
  <c r="BM263" i="6"/>
  <c r="BL263" i="6"/>
  <c r="BK263" i="6"/>
  <c r="BJ263" i="6"/>
  <c r="BH263" i="6"/>
  <c r="BI263" i="6" s="1"/>
  <c r="BG263" i="6"/>
  <c r="BF263" i="6"/>
  <c r="BD263" i="6"/>
  <c r="BE263" i="6" s="1"/>
  <c r="BC263" i="6"/>
  <c r="BB263" i="6"/>
  <c r="AZ263" i="6"/>
  <c r="BA263" i="6" s="1"/>
  <c r="AY263" i="6"/>
  <c r="AW263" i="6"/>
  <c r="AV263" i="6"/>
  <c r="AX263" i="6" s="1"/>
  <c r="AU263" i="6"/>
  <c r="AT263" i="6"/>
  <c r="AS263" i="6"/>
  <c r="AR263" i="6"/>
  <c r="AQ263" i="6"/>
  <c r="AP263" i="6"/>
  <c r="AN263" i="6"/>
  <c r="AM263" i="6"/>
  <c r="AO263" i="6" s="1"/>
  <c r="AK263" i="6"/>
  <c r="AL263" i="6" s="1"/>
  <c r="AJ263" i="6"/>
  <c r="AI263" i="6"/>
  <c r="AG263" i="6"/>
  <c r="AF263" i="6"/>
  <c r="AE263" i="6"/>
  <c r="AD263" i="6"/>
  <c r="DR263" i="6" s="1"/>
  <c r="AC263" i="6"/>
  <c r="DS263" i="6" s="1"/>
  <c r="AA263" i="6"/>
  <c r="AB263" i="6" s="1"/>
  <c r="Z263" i="6"/>
  <c r="Y263" i="6"/>
  <c r="X263" i="6"/>
  <c r="W263" i="6"/>
  <c r="V263" i="6"/>
  <c r="T263" i="6"/>
  <c r="R263" i="6"/>
  <c r="S263" i="6" s="1"/>
  <c r="P263" i="6"/>
  <c r="O263" i="6"/>
  <c r="N263" i="6"/>
  <c r="M263" i="6"/>
  <c r="Q263" i="6" s="1"/>
  <c r="J263" i="6"/>
  <c r="H263" i="6"/>
  <c r="DQ263" i="6" s="1"/>
  <c r="G263" i="6"/>
  <c r="DU263" i="6" s="1"/>
  <c r="F263" i="6"/>
  <c r="E263" i="6"/>
  <c r="D263" i="6"/>
  <c r="C263" i="6"/>
  <c r="B263" i="6"/>
  <c r="DW262" i="6"/>
  <c r="DM262" i="6"/>
  <c r="DV262" i="6" s="1"/>
  <c r="DL262" i="6"/>
  <c r="DK262" i="6"/>
  <c r="DN262" i="6" s="1"/>
  <c r="DJ262" i="6"/>
  <c r="DH262" i="6"/>
  <c r="DI262" i="6" s="1"/>
  <c r="DG262" i="6"/>
  <c r="DF262" i="6"/>
  <c r="DE262" i="6"/>
  <c r="DD262" i="6"/>
  <c r="DC262" i="6"/>
  <c r="DB262" i="6"/>
  <c r="DA262" i="6"/>
  <c r="CY262" i="6"/>
  <c r="CZ262" i="6" s="1"/>
  <c r="CX262" i="6"/>
  <c r="CW262" i="6"/>
  <c r="CV262" i="6"/>
  <c r="CT262" i="6"/>
  <c r="CU262" i="6" s="1"/>
  <c r="CR262" i="6"/>
  <c r="CQ262" i="6"/>
  <c r="CP262" i="6"/>
  <c r="CS262" i="6" s="1"/>
  <c r="CO262" i="6"/>
  <c r="CN262" i="6"/>
  <c r="CM262" i="6"/>
  <c r="CL262" i="6"/>
  <c r="CK262" i="6"/>
  <c r="CJ262" i="6"/>
  <c r="CI262" i="6"/>
  <c r="CG262" i="6"/>
  <c r="CH262" i="6" s="1"/>
  <c r="CE262" i="6"/>
  <c r="CD262" i="6"/>
  <c r="CF262" i="6" s="1"/>
  <c r="CC262" i="6"/>
  <c r="CB262" i="6"/>
  <c r="BZ262" i="6"/>
  <c r="CA262" i="6" s="1"/>
  <c r="BY262" i="6"/>
  <c r="BX262" i="6"/>
  <c r="BW262" i="6"/>
  <c r="BU262" i="6"/>
  <c r="BV262" i="6" s="1"/>
  <c r="BR262" i="6"/>
  <c r="BS262" i="6" s="1"/>
  <c r="BQ262" i="6"/>
  <c r="BO262" i="6"/>
  <c r="BP262" i="6" s="1"/>
  <c r="BN262" i="6"/>
  <c r="BM262" i="6"/>
  <c r="BL262" i="6"/>
  <c r="BK262" i="6"/>
  <c r="BJ262" i="6"/>
  <c r="BH262" i="6"/>
  <c r="BI262" i="6" s="1"/>
  <c r="BG262" i="6"/>
  <c r="BF262" i="6"/>
  <c r="BD262" i="6"/>
  <c r="BE262" i="6" s="1"/>
  <c r="BC262" i="6"/>
  <c r="BB262" i="6"/>
  <c r="BA262" i="6"/>
  <c r="AZ262" i="6"/>
  <c r="AY262" i="6"/>
  <c r="AW262" i="6"/>
  <c r="AV262" i="6"/>
  <c r="AX262" i="6" s="1"/>
  <c r="AU262" i="6"/>
  <c r="AT262" i="6"/>
  <c r="AS262" i="6"/>
  <c r="AR262" i="6"/>
  <c r="AQ262" i="6"/>
  <c r="AP262" i="6"/>
  <c r="AN262" i="6"/>
  <c r="AM262" i="6"/>
  <c r="AO262" i="6" s="1"/>
  <c r="AK262" i="6"/>
  <c r="AL262" i="6" s="1"/>
  <c r="AJ262" i="6"/>
  <c r="AI262" i="6"/>
  <c r="AG262" i="6"/>
  <c r="AF262" i="6"/>
  <c r="AE262" i="6"/>
  <c r="AD262" i="6"/>
  <c r="AC262" i="6"/>
  <c r="DS262" i="6" s="1"/>
  <c r="AB262" i="6"/>
  <c r="AA262" i="6"/>
  <c r="Z262" i="6"/>
  <c r="Y262" i="6"/>
  <c r="X262" i="6"/>
  <c r="W262" i="6"/>
  <c r="V262" i="6"/>
  <c r="T262" i="6"/>
  <c r="R262" i="6"/>
  <c r="S262" i="6" s="1"/>
  <c r="P262" i="6"/>
  <c r="O262" i="6"/>
  <c r="N262" i="6"/>
  <c r="M262" i="6"/>
  <c r="Q262" i="6" s="1"/>
  <c r="J262" i="6"/>
  <c r="H262" i="6"/>
  <c r="DQ262" i="6" s="1"/>
  <c r="G262" i="6"/>
  <c r="F262" i="6"/>
  <c r="E262" i="6"/>
  <c r="DP262" i="6" s="1"/>
  <c r="D262" i="6"/>
  <c r="C262" i="6"/>
  <c r="B262" i="6"/>
  <c r="DW261" i="6"/>
  <c r="DM261" i="6"/>
  <c r="DV261" i="6" s="1"/>
  <c r="DL261" i="6"/>
  <c r="DK261" i="6"/>
  <c r="DN261" i="6" s="1"/>
  <c r="DJ261" i="6"/>
  <c r="DH261" i="6"/>
  <c r="DI261" i="6" s="1"/>
  <c r="DG261" i="6"/>
  <c r="DF261" i="6"/>
  <c r="DE261" i="6"/>
  <c r="DD261" i="6"/>
  <c r="DC261" i="6"/>
  <c r="DB261" i="6"/>
  <c r="DA261" i="6"/>
  <c r="CZ261" i="6"/>
  <c r="CY261" i="6"/>
  <c r="CX261" i="6"/>
  <c r="CV261" i="6"/>
  <c r="CW261" i="6" s="1"/>
  <c r="CT261" i="6"/>
  <c r="CU261" i="6" s="1"/>
  <c r="CR261" i="6"/>
  <c r="CQ261" i="6"/>
  <c r="CP261" i="6"/>
  <c r="CS261" i="6" s="1"/>
  <c r="CO261" i="6"/>
  <c r="CN261" i="6"/>
  <c r="CM261" i="6"/>
  <c r="CL261" i="6"/>
  <c r="CK261" i="6"/>
  <c r="CJ261" i="6"/>
  <c r="CI261" i="6"/>
  <c r="CG261" i="6"/>
  <c r="CH261" i="6" s="1"/>
  <c r="CE261" i="6"/>
  <c r="CD261" i="6"/>
  <c r="CF261" i="6" s="1"/>
  <c r="CC261" i="6"/>
  <c r="CB261" i="6"/>
  <c r="CA261" i="6"/>
  <c r="BZ261" i="6"/>
  <c r="BY261" i="6"/>
  <c r="BX261" i="6"/>
  <c r="BW261" i="6"/>
  <c r="BV261" i="6"/>
  <c r="BU261" i="6"/>
  <c r="BR261" i="6"/>
  <c r="BS261" i="6" s="1"/>
  <c r="BQ261" i="6"/>
  <c r="BO261" i="6"/>
  <c r="BP261" i="6" s="1"/>
  <c r="BN261" i="6"/>
  <c r="BM261" i="6"/>
  <c r="BL261" i="6"/>
  <c r="BK261" i="6"/>
  <c r="BJ261" i="6"/>
  <c r="BH261" i="6"/>
  <c r="BI261" i="6" s="1"/>
  <c r="BF261" i="6"/>
  <c r="BG261" i="6" s="1"/>
  <c r="BE261" i="6"/>
  <c r="BD261" i="6"/>
  <c r="BC261" i="6"/>
  <c r="BB261" i="6"/>
  <c r="BA261" i="6"/>
  <c r="AZ261" i="6"/>
  <c r="AY261" i="6"/>
  <c r="AW261" i="6"/>
  <c r="AV261" i="6"/>
  <c r="AX261" i="6" s="1"/>
  <c r="AU261" i="6"/>
  <c r="AT261" i="6"/>
  <c r="AS261" i="6"/>
  <c r="AR261" i="6"/>
  <c r="AQ261" i="6"/>
  <c r="AP261" i="6"/>
  <c r="AN261" i="6"/>
  <c r="AM261" i="6"/>
  <c r="AO261" i="6" s="1"/>
  <c r="AK261" i="6"/>
  <c r="AL261" i="6" s="1"/>
  <c r="AI261" i="6"/>
  <c r="DT261" i="6" s="1"/>
  <c r="AG261" i="6"/>
  <c r="AF261" i="6"/>
  <c r="AE261" i="6"/>
  <c r="AD261" i="6"/>
  <c r="AC261" i="6"/>
  <c r="DS261" i="6" s="1"/>
  <c r="AB261" i="6"/>
  <c r="AA261" i="6"/>
  <c r="Z261" i="6"/>
  <c r="Y261" i="6"/>
  <c r="X261" i="6"/>
  <c r="W261" i="6"/>
  <c r="V261" i="6"/>
  <c r="T261" i="6"/>
  <c r="R261" i="6"/>
  <c r="S261" i="6" s="1"/>
  <c r="P261" i="6"/>
  <c r="O261" i="6"/>
  <c r="N261" i="6"/>
  <c r="M261" i="6"/>
  <c r="Q261" i="6" s="1"/>
  <c r="J261" i="6"/>
  <c r="H261" i="6"/>
  <c r="G261" i="6"/>
  <c r="DU261" i="6" s="1"/>
  <c r="F261" i="6"/>
  <c r="E261" i="6"/>
  <c r="D261" i="6"/>
  <c r="C261" i="6"/>
  <c r="B261" i="6"/>
  <c r="DW260" i="6"/>
  <c r="DS260" i="6"/>
  <c r="DP260" i="6"/>
  <c r="DM260" i="6"/>
  <c r="DV260" i="6" s="1"/>
  <c r="DL260" i="6"/>
  <c r="DK260" i="6"/>
  <c r="DJ260" i="6"/>
  <c r="DH260" i="6"/>
  <c r="DI260" i="6" s="1"/>
  <c r="DG260" i="6"/>
  <c r="DF260" i="6"/>
  <c r="DE260" i="6"/>
  <c r="DD260" i="6"/>
  <c r="DC260" i="6"/>
  <c r="DB260" i="6"/>
  <c r="DA260" i="6"/>
  <c r="CZ260" i="6"/>
  <c r="CY260" i="6"/>
  <c r="CX260" i="6"/>
  <c r="CV260" i="6"/>
  <c r="CW260" i="6" s="1"/>
  <c r="CT260" i="6"/>
  <c r="CU260" i="6" s="1"/>
  <c r="CR260" i="6"/>
  <c r="CQ260" i="6"/>
  <c r="CP260" i="6"/>
  <c r="CS260" i="6" s="1"/>
  <c r="CO260" i="6"/>
  <c r="CN260" i="6"/>
  <c r="CM260" i="6"/>
  <c r="CL260" i="6"/>
  <c r="CK260" i="6"/>
  <c r="CJ260" i="6"/>
  <c r="CI260" i="6"/>
  <c r="CG260" i="6"/>
  <c r="CH260" i="6" s="1"/>
  <c r="CE260" i="6"/>
  <c r="CD260" i="6"/>
  <c r="CF260" i="6" s="1"/>
  <c r="CB260" i="6"/>
  <c r="CC260" i="6" s="1"/>
  <c r="CA260" i="6"/>
  <c r="BZ260" i="6"/>
  <c r="BY260" i="6"/>
  <c r="BX260" i="6"/>
  <c r="BW260" i="6"/>
  <c r="BU260" i="6"/>
  <c r="BV260" i="6" s="1"/>
  <c r="BR260" i="6"/>
  <c r="BS260" i="6" s="1"/>
  <c r="BQ260" i="6"/>
  <c r="BO260" i="6"/>
  <c r="BP260" i="6" s="1"/>
  <c r="BN260" i="6"/>
  <c r="BM260" i="6"/>
  <c r="BL260" i="6"/>
  <c r="BK260" i="6"/>
  <c r="BJ260" i="6"/>
  <c r="BI260" i="6"/>
  <c r="BH260" i="6"/>
  <c r="BG260" i="6"/>
  <c r="BF260" i="6"/>
  <c r="BD260" i="6"/>
  <c r="BE260" i="6" s="1"/>
  <c r="BC260" i="6"/>
  <c r="BB260" i="6"/>
  <c r="AZ260" i="6"/>
  <c r="AY260" i="6"/>
  <c r="BA260" i="6" s="1"/>
  <c r="AW260" i="6"/>
  <c r="AV260" i="6"/>
  <c r="AX260" i="6" s="1"/>
  <c r="AU260" i="6"/>
  <c r="AT260" i="6"/>
  <c r="AS260" i="6"/>
  <c r="AR260" i="6"/>
  <c r="AQ260" i="6"/>
  <c r="AP260" i="6"/>
  <c r="AN260" i="6"/>
  <c r="AM260" i="6"/>
  <c r="AO260" i="6" s="1"/>
  <c r="AK260" i="6"/>
  <c r="AL260" i="6" s="1"/>
  <c r="AI260" i="6"/>
  <c r="AJ260" i="6" s="1"/>
  <c r="AG260" i="6"/>
  <c r="AF260" i="6"/>
  <c r="AE260" i="6"/>
  <c r="AD260" i="6"/>
  <c r="AC260" i="6"/>
  <c r="AA260" i="6"/>
  <c r="Z260" i="6"/>
  <c r="AB260" i="6" s="1"/>
  <c r="Y260" i="6"/>
  <c r="X260" i="6"/>
  <c r="W260" i="6"/>
  <c r="V260" i="6"/>
  <c r="T260" i="6"/>
  <c r="S260" i="6"/>
  <c r="R260" i="6"/>
  <c r="P260" i="6"/>
  <c r="O260" i="6"/>
  <c r="N260" i="6"/>
  <c r="M260" i="6"/>
  <c r="Q260" i="6" s="1"/>
  <c r="J260" i="6"/>
  <c r="I260" i="6"/>
  <c r="H260" i="6"/>
  <c r="G260" i="6"/>
  <c r="DU260" i="6" s="1"/>
  <c r="F260" i="6"/>
  <c r="E260" i="6"/>
  <c r="D260" i="6"/>
  <c r="C260" i="6"/>
  <c r="B260" i="6"/>
  <c r="DW259" i="6"/>
  <c r="DS259" i="6"/>
  <c r="DM259" i="6"/>
  <c r="DV259" i="6" s="1"/>
  <c r="DL259" i="6"/>
  <c r="DK259" i="6"/>
  <c r="DN259" i="6" s="1"/>
  <c r="DJ259" i="6"/>
  <c r="DH259" i="6"/>
  <c r="DI259" i="6" s="1"/>
  <c r="DG259" i="6"/>
  <c r="DF259" i="6"/>
  <c r="DE259" i="6"/>
  <c r="DD259" i="6"/>
  <c r="DC259" i="6"/>
  <c r="DB259" i="6"/>
  <c r="DA259" i="6"/>
  <c r="CY259" i="6"/>
  <c r="CZ259" i="6" s="1"/>
  <c r="CX259" i="6"/>
  <c r="CW259" i="6"/>
  <c r="CV259" i="6"/>
  <c r="CT259" i="6"/>
  <c r="CU259" i="6" s="1"/>
  <c r="CR259" i="6"/>
  <c r="CQ259" i="6"/>
  <c r="DT259" i="6" s="1"/>
  <c r="CP259" i="6"/>
  <c r="CO259" i="6"/>
  <c r="CN259" i="6"/>
  <c r="CM259" i="6"/>
  <c r="CL259" i="6"/>
  <c r="CK259" i="6"/>
  <c r="CJ259" i="6"/>
  <c r="CI259" i="6"/>
  <c r="CG259" i="6"/>
  <c r="CH259" i="6" s="1"/>
  <c r="CE259" i="6"/>
  <c r="CD259" i="6"/>
  <c r="CF259" i="6" s="1"/>
  <c r="CC259" i="6"/>
  <c r="CB259" i="6"/>
  <c r="BZ259" i="6"/>
  <c r="BY259" i="6"/>
  <c r="BX259" i="6"/>
  <c r="BW259" i="6"/>
  <c r="CA259" i="6" s="1"/>
  <c r="BU259" i="6"/>
  <c r="BV259" i="6" s="1"/>
  <c r="BR259" i="6"/>
  <c r="BS259" i="6" s="1"/>
  <c r="BQ259" i="6"/>
  <c r="BO259" i="6"/>
  <c r="BP259" i="6" s="1"/>
  <c r="BN259" i="6"/>
  <c r="BM259" i="6"/>
  <c r="BL259" i="6"/>
  <c r="BK259" i="6"/>
  <c r="BJ259" i="6"/>
  <c r="BI259" i="6"/>
  <c r="BH259" i="6"/>
  <c r="BG259" i="6"/>
  <c r="BF259" i="6"/>
  <c r="BD259" i="6"/>
  <c r="BC259" i="6"/>
  <c r="BE259" i="6" s="1"/>
  <c r="BB259" i="6"/>
  <c r="AZ259" i="6"/>
  <c r="AY259" i="6"/>
  <c r="BA259" i="6" s="1"/>
  <c r="AW259" i="6"/>
  <c r="AV259" i="6"/>
  <c r="AX259" i="6" s="1"/>
  <c r="AU259" i="6"/>
  <c r="AT259" i="6"/>
  <c r="AS259" i="6"/>
  <c r="AR259" i="6"/>
  <c r="AQ259" i="6"/>
  <c r="AP259" i="6"/>
  <c r="AN259" i="6"/>
  <c r="AM259" i="6"/>
  <c r="AO259" i="6" s="1"/>
  <c r="AK259" i="6"/>
  <c r="AL259" i="6" s="1"/>
  <c r="AI259" i="6"/>
  <c r="AJ259" i="6" s="1"/>
  <c r="AG259" i="6"/>
  <c r="AE259" i="6"/>
  <c r="AD259" i="6"/>
  <c r="AC259" i="6"/>
  <c r="AF259" i="6" s="1"/>
  <c r="AA259" i="6"/>
  <c r="Z259" i="6"/>
  <c r="AB259" i="6" s="1"/>
  <c r="Y259" i="6"/>
  <c r="X259" i="6"/>
  <c r="W259" i="6"/>
  <c r="V259" i="6"/>
  <c r="T259" i="6"/>
  <c r="S259" i="6"/>
  <c r="R259" i="6"/>
  <c r="P259" i="6"/>
  <c r="O259" i="6"/>
  <c r="N259" i="6"/>
  <c r="M259" i="6"/>
  <c r="J259" i="6"/>
  <c r="H259" i="6"/>
  <c r="G259" i="6"/>
  <c r="I259" i="6" s="1"/>
  <c r="F259" i="6"/>
  <c r="E259" i="6"/>
  <c r="D259" i="6"/>
  <c r="C259" i="6"/>
  <c r="B259" i="6"/>
  <c r="DW258" i="6"/>
  <c r="DS258" i="6"/>
  <c r="DP258" i="6"/>
  <c r="DN258" i="6"/>
  <c r="DM258" i="6"/>
  <c r="DV258" i="6" s="1"/>
  <c r="DL258" i="6"/>
  <c r="DT258" i="6" s="1"/>
  <c r="DK258" i="6"/>
  <c r="DJ258" i="6"/>
  <c r="DH258" i="6"/>
  <c r="DI258" i="6" s="1"/>
  <c r="DG258" i="6"/>
  <c r="DF258" i="6"/>
  <c r="DE258" i="6"/>
  <c r="DD258" i="6"/>
  <c r="DC258" i="6"/>
  <c r="DB258" i="6"/>
  <c r="DA258" i="6"/>
  <c r="CY258" i="6"/>
  <c r="CX258" i="6"/>
  <c r="CW258" i="6"/>
  <c r="CV258" i="6"/>
  <c r="CT258" i="6"/>
  <c r="CU258" i="6" s="1"/>
  <c r="CR258" i="6"/>
  <c r="CQ258" i="6"/>
  <c r="CP258" i="6"/>
  <c r="CO258" i="6"/>
  <c r="CN258" i="6"/>
  <c r="CM258" i="6"/>
  <c r="CL258" i="6"/>
  <c r="CK258" i="6"/>
  <c r="CJ258" i="6"/>
  <c r="CI258" i="6"/>
  <c r="CG258" i="6"/>
  <c r="CH258" i="6" s="1"/>
  <c r="CE258" i="6"/>
  <c r="CD258" i="6"/>
  <c r="CF258" i="6" s="1"/>
  <c r="CC258" i="6"/>
  <c r="CB258" i="6"/>
  <c r="BZ258" i="6"/>
  <c r="BY258" i="6"/>
  <c r="BX258" i="6"/>
  <c r="BW258" i="6"/>
  <c r="CA258" i="6" s="1"/>
  <c r="BV258" i="6"/>
  <c r="BU258" i="6"/>
  <c r="BS258" i="6"/>
  <c r="BR258" i="6"/>
  <c r="BQ258" i="6"/>
  <c r="BO258" i="6"/>
  <c r="BP258" i="6" s="1"/>
  <c r="BN258" i="6"/>
  <c r="BM258" i="6"/>
  <c r="BL258" i="6"/>
  <c r="BK258" i="6"/>
  <c r="BJ258" i="6"/>
  <c r="BI258" i="6"/>
  <c r="BH258" i="6"/>
  <c r="BF258" i="6"/>
  <c r="BG258" i="6" s="1"/>
  <c r="BD258" i="6"/>
  <c r="BC258" i="6"/>
  <c r="BE258" i="6" s="1"/>
  <c r="BB258" i="6"/>
  <c r="AZ258" i="6"/>
  <c r="AY258" i="6"/>
  <c r="BA258" i="6" s="1"/>
  <c r="AW258" i="6"/>
  <c r="DU258" i="6" s="1"/>
  <c r="AV258" i="6"/>
  <c r="AX258" i="6" s="1"/>
  <c r="AU258" i="6"/>
  <c r="AT258" i="6"/>
  <c r="AS258" i="6"/>
  <c r="AR258" i="6"/>
  <c r="AQ258" i="6"/>
  <c r="AP258" i="6"/>
  <c r="AN258" i="6"/>
  <c r="AM258" i="6"/>
  <c r="AO258" i="6" s="1"/>
  <c r="AK258" i="6"/>
  <c r="AL258" i="6" s="1"/>
  <c r="AJ258" i="6"/>
  <c r="AI258" i="6"/>
  <c r="AG258" i="6"/>
  <c r="AE258" i="6"/>
  <c r="AD258" i="6"/>
  <c r="AC258" i="6"/>
  <c r="AF258" i="6" s="1"/>
  <c r="AA258" i="6"/>
  <c r="Z258" i="6"/>
  <c r="AB258" i="6" s="1"/>
  <c r="Y258" i="6"/>
  <c r="X258" i="6"/>
  <c r="W258" i="6"/>
  <c r="V258" i="6"/>
  <c r="T258" i="6"/>
  <c r="S258" i="6"/>
  <c r="R258" i="6"/>
  <c r="P258" i="6"/>
  <c r="O258" i="6"/>
  <c r="N258" i="6"/>
  <c r="M258" i="6"/>
  <c r="Q258" i="6" s="1"/>
  <c r="J258" i="6"/>
  <c r="H258" i="6"/>
  <c r="G258" i="6"/>
  <c r="F258" i="6"/>
  <c r="E258" i="6"/>
  <c r="I258" i="6" s="1"/>
  <c r="D258" i="6"/>
  <c r="C258" i="6"/>
  <c r="B258" i="6"/>
  <c r="DW257" i="6"/>
  <c r="DV257" i="6"/>
  <c r="DU257" i="6"/>
  <c r="DN257" i="6"/>
  <c r="DM257" i="6"/>
  <c r="DL257" i="6"/>
  <c r="DK257" i="6"/>
  <c r="DJ257" i="6"/>
  <c r="DH257" i="6"/>
  <c r="DI257" i="6" s="1"/>
  <c r="DG257" i="6"/>
  <c r="DF257" i="6"/>
  <c r="DE257" i="6"/>
  <c r="DD257" i="6"/>
  <c r="DC257" i="6"/>
  <c r="DB257" i="6"/>
  <c r="DA257" i="6"/>
  <c r="CZ257" i="6"/>
  <c r="CY257" i="6"/>
  <c r="CX257" i="6"/>
  <c r="CV257" i="6"/>
  <c r="CW257" i="6" s="1"/>
  <c r="CT257" i="6"/>
  <c r="CU257" i="6" s="1"/>
  <c r="CR257" i="6"/>
  <c r="CQ257" i="6"/>
  <c r="CP257" i="6"/>
  <c r="CS257" i="6" s="1"/>
  <c r="CO257" i="6"/>
  <c r="CN257" i="6"/>
  <c r="CM257" i="6"/>
  <c r="CL257" i="6"/>
  <c r="CK257" i="6"/>
  <c r="CJ257" i="6"/>
  <c r="CI257" i="6"/>
  <c r="CG257" i="6"/>
  <c r="CH257" i="6" s="1"/>
  <c r="CE257" i="6"/>
  <c r="CD257" i="6"/>
  <c r="CF257" i="6" s="1"/>
  <c r="CB257" i="6"/>
  <c r="CC257" i="6" s="1"/>
  <c r="CA257" i="6"/>
  <c r="BZ257" i="6"/>
  <c r="BY257" i="6"/>
  <c r="BX257" i="6"/>
  <c r="BW257" i="6"/>
  <c r="BV257" i="6"/>
  <c r="BU257" i="6"/>
  <c r="BR257" i="6"/>
  <c r="BS257" i="6" s="1"/>
  <c r="BQ257" i="6"/>
  <c r="BO257" i="6"/>
  <c r="BP257" i="6" s="1"/>
  <c r="BN257" i="6"/>
  <c r="BM257" i="6"/>
  <c r="BL257" i="6"/>
  <c r="BK257" i="6"/>
  <c r="BJ257" i="6"/>
  <c r="BI257" i="6"/>
  <c r="BH257" i="6"/>
  <c r="BF257" i="6"/>
  <c r="BG257" i="6" s="1"/>
  <c r="BD257" i="6"/>
  <c r="BC257" i="6"/>
  <c r="BB257" i="6"/>
  <c r="AZ257" i="6"/>
  <c r="DQ257" i="6" s="1"/>
  <c r="AY257" i="6"/>
  <c r="AX257" i="6"/>
  <c r="AW257" i="6"/>
  <c r="AV257" i="6"/>
  <c r="AU257" i="6"/>
  <c r="AT257" i="6"/>
  <c r="AS257" i="6"/>
  <c r="AR257" i="6"/>
  <c r="AQ257" i="6"/>
  <c r="AP257" i="6"/>
  <c r="AN257" i="6"/>
  <c r="AM257" i="6"/>
  <c r="AO257" i="6" s="1"/>
  <c r="AK257" i="6"/>
  <c r="AL257" i="6" s="1"/>
  <c r="AJ257" i="6"/>
  <c r="AI257" i="6"/>
  <c r="AG257" i="6"/>
  <c r="AE257" i="6"/>
  <c r="AD257" i="6"/>
  <c r="AC257" i="6"/>
  <c r="AA257" i="6"/>
  <c r="Z257" i="6"/>
  <c r="Y257" i="6"/>
  <c r="X257" i="6"/>
  <c r="W257" i="6"/>
  <c r="V257" i="6"/>
  <c r="T257" i="6"/>
  <c r="S257" i="6"/>
  <c r="R257" i="6"/>
  <c r="P257" i="6"/>
  <c r="O257" i="6"/>
  <c r="N257" i="6"/>
  <c r="M257" i="6"/>
  <c r="Q257" i="6" s="1"/>
  <c r="J257" i="6"/>
  <c r="H257" i="6"/>
  <c r="G257" i="6"/>
  <c r="F257" i="6"/>
  <c r="E257" i="6"/>
  <c r="D257" i="6"/>
  <c r="C257" i="6"/>
  <c r="B257" i="6"/>
  <c r="DW256" i="6"/>
  <c r="DV256" i="6"/>
  <c r="DT256" i="6"/>
  <c r="DS256" i="6"/>
  <c r="DN256" i="6"/>
  <c r="DM256" i="6"/>
  <c r="DL256" i="6"/>
  <c r="DK256" i="6"/>
  <c r="DJ256" i="6"/>
  <c r="DH256" i="6"/>
  <c r="DI256" i="6" s="1"/>
  <c r="DG256" i="6"/>
  <c r="DF256" i="6"/>
  <c r="DE256" i="6"/>
  <c r="DD256" i="6"/>
  <c r="DC256" i="6"/>
  <c r="DB256" i="6"/>
  <c r="DA256" i="6"/>
  <c r="CY256" i="6"/>
  <c r="CX256" i="6"/>
  <c r="CZ256" i="6" s="1"/>
  <c r="CV256" i="6"/>
  <c r="CW256" i="6" s="1"/>
  <c r="CT256" i="6"/>
  <c r="CU256" i="6" s="1"/>
  <c r="CS256" i="6"/>
  <c r="CR256" i="6"/>
  <c r="CQ256" i="6"/>
  <c r="CP256" i="6"/>
  <c r="CO256" i="6"/>
  <c r="CN256" i="6"/>
  <c r="CM256" i="6"/>
  <c r="CL256" i="6"/>
  <c r="CK256" i="6"/>
  <c r="CJ256" i="6"/>
  <c r="CI256" i="6"/>
  <c r="CG256" i="6"/>
  <c r="CH256" i="6" s="1"/>
  <c r="CE256" i="6"/>
  <c r="CD256" i="6"/>
  <c r="CF256" i="6" s="1"/>
  <c r="CB256" i="6"/>
  <c r="CC256" i="6" s="1"/>
  <c r="BZ256" i="6"/>
  <c r="BY256" i="6"/>
  <c r="BX256" i="6"/>
  <c r="BW256" i="6"/>
  <c r="CA256" i="6" s="1"/>
  <c r="BV256" i="6"/>
  <c r="BU256" i="6"/>
  <c r="BS256" i="6"/>
  <c r="BR256" i="6"/>
  <c r="BQ256" i="6"/>
  <c r="BO256" i="6"/>
  <c r="BP256" i="6" s="1"/>
  <c r="BN256" i="6"/>
  <c r="BM256" i="6"/>
  <c r="BL256" i="6"/>
  <c r="BK256" i="6"/>
  <c r="BJ256" i="6"/>
  <c r="BI256" i="6"/>
  <c r="BH256" i="6"/>
  <c r="BF256" i="6"/>
  <c r="BG256" i="6" s="1"/>
  <c r="BD256" i="6"/>
  <c r="BE256" i="6" s="1"/>
  <c r="BC256" i="6"/>
  <c r="BB256" i="6"/>
  <c r="AZ256" i="6"/>
  <c r="AY256" i="6"/>
  <c r="BA256" i="6" s="1"/>
  <c r="AW256" i="6"/>
  <c r="DU256" i="6" s="1"/>
  <c r="AV256" i="6"/>
  <c r="AU256" i="6"/>
  <c r="AT256" i="6"/>
  <c r="AS256" i="6"/>
  <c r="AR256" i="6"/>
  <c r="AQ256" i="6"/>
  <c r="AP256" i="6"/>
  <c r="AN256" i="6"/>
  <c r="AM256" i="6"/>
  <c r="AO256" i="6" s="1"/>
  <c r="AK256" i="6"/>
  <c r="AL256" i="6" s="1"/>
  <c r="AI256" i="6"/>
  <c r="AJ256" i="6" s="1"/>
  <c r="AG256" i="6"/>
  <c r="AE256" i="6"/>
  <c r="AD256" i="6"/>
  <c r="AC256" i="6"/>
  <c r="AA256" i="6"/>
  <c r="Z256" i="6"/>
  <c r="AB256" i="6" s="1"/>
  <c r="Y256" i="6"/>
  <c r="X256" i="6"/>
  <c r="W256" i="6"/>
  <c r="V256" i="6"/>
  <c r="T256" i="6"/>
  <c r="S256" i="6"/>
  <c r="R256" i="6"/>
  <c r="P256" i="6"/>
  <c r="O256" i="6"/>
  <c r="N256" i="6"/>
  <c r="M256" i="6"/>
  <c r="Q256" i="6" s="1"/>
  <c r="J256" i="6"/>
  <c r="H256" i="6"/>
  <c r="DQ256" i="6" s="1"/>
  <c r="G256" i="6"/>
  <c r="F256" i="6"/>
  <c r="E256" i="6"/>
  <c r="D256" i="6"/>
  <c r="C256" i="6"/>
  <c r="B256" i="6"/>
  <c r="DW255" i="6"/>
  <c r="DV255" i="6"/>
  <c r="DM255" i="6"/>
  <c r="DL255" i="6"/>
  <c r="DK255" i="6"/>
  <c r="DN255" i="6" s="1"/>
  <c r="DJ255" i="6"/>
  <c r="DH255" i="6"/>
  <c r="DI255" i="6" s="1"/>
  <c r="DG255" i="6"/>
  <c r="DF255" i="6"/>
  <c r="DE255" i="6"/>
  <c r="DD255" i="6"/>
  <c r="DC255" i="6"/>
  <c r="DB255" i="6"/>
  <c r="DA255" i="6"/>
  <c r="CY255" i="6"/>
  <c r="CX255" i="6"/>
  <c r="CW255" i="6"/>
  <c r="CV255" i="6"/>
  <c r="CT255" i="6"/>
  <c r="CU255" i="6" s="1"/>
  <c r="CS255" i="6"/>
  <c r="CR255" i="6"/>
  <c r="CQ255" i="6"/>
  <c r="CP255" i="6"/>
  <c r="CO255" i="6"/>
  <c r="CN255" i="6"/>
  <c r="CM255" i="6"/>
  <c r="CL255" i="6"/>
  <c r="CK255" i="6"/>
  <c r="CJ255" i="6"/>
  <c r="CI255" i="6"/>
  <c r="CG255" i="6"/>
  <c r="CH255" i="6" s="1"/>
  <c r="CE255" i="6"/>
  <c r="CD255" i="6"/>
  <c r="CF255" i="6" s="1"/>
  <c r="CC255" i="6"/>
  <c r="CB255" i="6"/>
  <c r="BZ255" i="6"/>
  <c r="BY255" i="6"/>
  <c r="BX255" i="6"/>
  <c r="BW255" i="6"/>
  <c r="BU255" i="6"/>
  <c r="BV255" i="6" s="1"/>
  <c r="BS255" i="6"/>
  <c r="BR255" i="6"/>
  <c r="BQ255" i="6"/>
  <c r="BO255" i="6"/>
  <c r="BP255" i="6" s="1"/>
  <c r="BN255" i="6"/>
  <c r="BM255" i="6"/>
  <c r="BL255" i="6"/>
  <c r="BK255" i="6"/>
  <c r="BJ255" i="6"/>
  <c r="BI255" i="6"/>
  <c r="BH255" i="6"/>
  <c r="BF255" i="6"/>
  <c r="BG255" i="6" s="1"/>
  <c r="BE255" i="6"/>
  <c r="BD255" i="6"/>
  <c r="BC255" i="6"/>
  <c r="BB255" i="6"/>
  <c r="BA255" i="6"/>
  <c r="AZ255" i="6"/>
  <c r="AY255" i="6"/>
  <c r="AW255" i="6"/>
  <c r="AV255" i="6"/>
  <c r="AX255" i="6" s="1"/>
  <c r="AU255" i="6"/>
  <c r="AT255" i="6"/>
  <c r="AS255" i="6"/>
  <c r="AR255" i="6"/>
  <c r="AQ255" i="6"/>
  <c r="AP255" i="6"/>
  <c r="AN255" i="6"/>
  <c r="AM255" i="6"/>
  <c r="AO255" i="6" s="1"/>
  <c r="AK255" i="6"/>
  <c r="AL255" i="6" s="1"/>
  <c r="AI255" i="6"/>
  <c r="AJ255" i="6" s="1"/>
  <c r="AG255" i="6"/>
  <c r="AE255" i="6"/>
  <c r="AD255" i="6"/>
  <c r="AC255" i="6"/>
  <c r="AA255" i="6"/>
  <c r="AB255" i="6" s="1"/>
  <c r="Z255" i="6"/>
  <c r="DT255" i="6" s="1"/>
  <c r="Y255" i="6"/>
  <c r="X255" i="6"/>
  <c r="W255" i="6"/>
  <c r="V255" i="6"/>
  <c r="T255" i="6"/>
  <c r="R255" i="6"/>
  <c r="S255" i="6" s="1"/>
  <c r="P255" i="6"/>
  <c r="O255" i="6"/>
  <c r="N255" i="6"/>
  <c r="M255" i="6"/>
  <c r="Q255" i="6" s="1"/>
  <c r="J255" i="6"/>
  <c r="H255" i="6"/>
  <c r="G255" i="6"/>
  <c r="F255" i="6"/>
  <c r="E255" i="6"/>
  <c r="D255" i="6"/>
  <c r="C255" i="6"/>
  <c r="B255" i="6"/>
  <c r="DW254" i="6"/>
  <c r="DM254" i="6"/>
  <c r="DV254" i="6" s="1"/>
  <c r="DL254" i="6"/>
  <c r="DK254" i="6"/>
  <c r="DN254" i="6" s="1"/>
  <c r="DJ254" i="6"/>
  <c r="DH254" i="6"/>
  <c r="DI254" i="6" s="1"/>
  <c r="DG254" i="6"/>
  <c r="DF254" i="6"/>
  <c r="DE254" i="6"/>
  <c r="DD254" i="6"/>
  <c r="DC254" i="6"/>
  <c r="DB254" i="6"/>
  <c r="DA254" i="6"/>
  <c r="CZ254" i="6"/>
  <c r="CY254" i="6"/>
  <c r="CX254" i="6"/>
  <c r="CV254" i="6"/>
  <c r="CW254" i="6" s="1"/>
  <c r="CT254" i="6"/>
  <c r="CU254" i="6" s="1"/>
  <c r="CR254" i="6"/>
  <c r="CQ254" i="6"/>
  <c r="CP254" i="6"/>
  <c r="CS254" i="6" s="1"/>
  <c r="CO254" i="6"/>
  <c r="CN254" i="6"/>
  <c r="CM254" i="6"/>
  <c r="CL254" i="6"/>
  <c r="CK254" i="6"/>
  <c r="CJ254" i="6"/>
  <c r="CI254" i="6"/>
  <c r="CG254" i="6"/>
  <c r="CH254" i="6" s="1"/>
  <c r="CE254" i="6"/>
  <c r="CD254" i="6"/>
  <c r="CF254" i="6" s="1"/>
  <c r="CC254" i="6"/>
  <c r="CB254" i="6"/>
  <c r="BZ254" i="6"/>
  <c r="CA254" i="6" s="1"/>
  <c r="BY254" i="6"/>
  <c r="BX254" i="6"/>
  <c r="BW254" i="6"/>
  <c r="BV254" i="6"/>
  <c r="BU254" i="6"/>
  <c r="BR254" i="6"/>
  <c r="BS254" i="6" s="1"/>
  <c r="BQ254" i="6"/>
  <c r="BO254" i="6"/>
  <c r="BP254" i="6" s="1"/>
  <c r="BN254" i="6"/>
  <c r="BM254" i="6"/>
  <c r="BL254" i="6"/>
  <c r="BK254" i="6"/>
  <c r="BJ254" i="6"/>
  <c r="BI254" i="6"/>
  <c r="BH254" i="6"/>
  <c r="BF254" i="6"/>
  <c r="BG254" i="6" s="1"/>
  <c r="BE254" i="6"/>
  <c r="BD254" i="6"/>
  <c r="BC254" i="6"/>
  <c r="BB254" i="6"/>
  <c r="AZ254" i="6"/>
  <c r="AY254" i="6"/>
  <c r="BA254" i="6" s="1"/>
  <c r="AX254" i="6"/>
  <c r="AW254" i="6"/>
  <c r="AV254" i="6"/>
  <c r="AU254" i="6"/>
  <c r="AT254" i="6"/>
  <c r="AS254" i="6"/>
  <c r="AR254" i="6"/>
  <c r="AQ254" i="6"/>
  <c r="AP254" i="6"/>
  <c r="AN254" i="6"/>
  <c r="AM254" i="6"/>
  <c r="AO254" i="6" s="1"/>
  <c r="AK254" i="6"/>
  <c r="AL254" i="6" s="1"/>
  <c r="AI254" i="6"/>
  <c r="AJ254" i="6" s="1"/>
  <c r="AG254" i="6"/>
  <c r="AE254" i="6"/>
  <c r="AD254" i="6"/>
  <c r="DR254" i="6" s="1"/>
  <c r="AC254" i="6"/>
  <c r="AA254" i="6"/>
  <c r="Z254" i="6"/>
  <c r="AB254" i="6" s="1"/>
  <c r="Y254" i="6"/>
  <c r="X254" i="6"/>
  <c r="W254" i="6"/>
  <c r="V254" i="6"/>
  <c r="T254" i="6"/>
  <c r="R254" i="6"/>
  <c r="S254" i="6" s="1"/>
  <c r="P254" i="6"/>
  <c r="O254" i="6"/>
  <c r="N254" i="6"/>
  <c r="M254" i="6"/>
  <c r="Q254" i="6" s="1"/>
  <c r="J254" i="6"/>
  <c r="H254" i="6"/>
  <c r="G254" i="6"/>
  <c r="F254" i="6"/>
  <c r="E254" i="6"/>
  <c r="DP254" i="6" s="1"/>
  <c r="D254" i="6"/>
  <c r="C254" i="6"/>
  <c r="B254" i="6"/>
  <c r="DW253" i="6"/>
  <c r="DV253" i="6"/>
  <c r="DM253" i="6"/>
  <c r="DL253" i="6"/>
  <c r="DK253" i="6"/>
  <c r="DJ253" i="6"/>
  <c r="DH253" i="6"/>
  <c r="DI253" i="6" s="1"/>
  <c r="DG253" i="6"/>
  <c r="DF253" i="6"/>
  <c r="DE253" i="6"/>
  <c r="DD253" i="6"/>
  <c r="DC253" i="6"/>
  <c r="DB253" i="6"/>
  <c r="DA253" i="6"/>
  <c r="CY253" i="6"/>
  <c r="CX253" i="6"/>
  <c r="CZ253" i="6" s="1"/>
  <c r="CW253" i="6"/>
  <c r="CV253" i="6"/>
  <c r="CT253" i="6"/>
  <c r="CU253" i="6" s="1"/>
  <c r="CR253" i="6"/>
  <c r="CQ253" i="6"/>
  <c r="CP253" i="6"/>
  <c r="CS253" i="6" s="1"/>
  <c r="CO253" i="6"/>
  <c r="CN253" i="6"/>
  <c r="CM253" i="6"/>
  <c r="CL253" i="6"/>
  <c r="CK253" i="6"/>
  <c r="CJ253" i="6"/>
  <c r="CI253" i="6"/>
  <c r="CG253" i="6"/>
  <c r="CH253" i="6" s="1"/>
  <c r="CE253" i="6"/>
  <c r="CD253" i="6"/>
  <c r="CF253" i="6" s="1"/>
  <c r="CC253" i="6"/>
  <c r="CB253" i="6"/>
  <c r="CA253" i="6"/>
  <c r="BZ253" i="6"/>
  <c r="BY253" i="6"/>
  <c r="BX253" i="6"/>
  <c r="BW253" i="6"/>
  <c r="BU253" i="6"/>
  <c r="BV253" i="6" s="1"/>
  <c r="BR253" i="6"/>
  <c r="BS253" i="6" s="1"/>
  <c r="BQ253" i="6"/>
  <c r="BO253" i="6"/>
  <c r="BP253" i="6" s="1"/>
  <c r="BN253" i="6"/>
  <c r="BM253" i="6"/>
  <c r="BL253" i="6"/>
  <c r="BK253" i="6"/>
  <c r="BJ253" i="6"/>
  <c r="BI253" i="6"/>
  <c r="BH253" i="6"/>
  <c r="BG253" i="6"/>
  <c r="BF253" i="6"/>
  <c r="BD253" i="6"/>
  <c r="BE253" i="6" s="1"/>
  <c r="BC253" i="6"/>
  <c r="BB253" i="6"/>
  <c r="BA253" i="6"/>
  <c r="AZ253" i="6"/>
  <c r="AY253" i="6"/>
  <c r="AW253" i="6"/>
  <c r="AV253" i="6"/>
  <c r="AX253" i="6" s="1"/>
  <c r="AU253" i="6"/>
  <c r="AT253" i="6"/>
  <c r="AS253" i="6"/>
  <c r="AR253" i="6"/>
  <c r="AQ253" i="6"/>
  <c r="AP253" i="6"/>
  <c r="AN253" i="6"/>
  <c r="AM253" i="6"/>
  <c r="AO253" i="6" s="1"/>
  <c r="AK253" i="6"/>
  <c r="AL253" i="6" s="1"/>
  <c r="AI253" i="6"/>
  <c r="AJ253" i="6" s="1"/>
  <c r="AG253" i="6"/>
  <c r="AF253" i="6"/>
  <c r="AE253" i="6"/>
  <c r="AD253" i="6"/>
  <c r="AC253" i="6"/>
  <c r="DS253" i="6" s="1"/>
  <c r="AB253" i="6"/>
  <c r="AA253" i="6"/>
  <c r="Z253" i="6"/>
  <c r="Y253" i="6"/>
  <c r="X253" i="6"/>
  <c r="W253" i="6"/>
  <c r="V253" i="6"/>
  <c r="T253" i="6"/>
  <c r="R253" i="6"/>
  <c r="S253" i="6" s="1"/>
  <c r="P253" i="6"/>
  <c r="O253" i="6"/>
  <c r="N253" i="6"/>
  <c r="M253" i="6"/>
  <c r="Q253" i="6" s="1"/>
  <c r="J253" i="6"/>
  <c r="H253" i="6"/>
  <c r="DQ253" i="6" s="1"/>
  <c r="G253" i="6"/>
  <c r="DU253" i="6" s="1"/>
  <c r="F253" i="6"/>
  <c r="E253" i="6"/>
  <c r="DP253" i="6" s="1"/>
  <c r="D253" i="6"/>
  <c r="C253" i="6"/>
  <c r="B253" i="6"/>
  <c r="DW252" i="6"/>
  <c r="DM252" i="6"/>
  <c r="DL252" i="6"/>
  <c r="DK252" i="6"/>
  <c r="DJ252" i="6"/>
  <c r="DH252" i="6"/>
  <c r="DI252" i="6" s="1"/>
  <c r="DG252" i="6"/>
  <c r="DF252" i="6"/>
  <c r="DE252" i="6"/>
  <c r="DD252" i="6"/>
  <c r="DC252" i="6"/>
  <c r="DB252" i="6"/>
  <c r="DA252" i="6"/>
  <c r="CZ252" i="6"/>
  <c r="CY252" i="6"/>
  <c r="CX252" i="6"/>
  <c r="CV252" i="6"/>
  <c r="CW252" i="6" s="1"/>
  <c r="CT252" i="6"/>
  <c r="CU252" i="6" s="1"/>
  <c r="CR252" i="6"/>
  <c r="CQ252" i="6"/>
  <c r="CP252" i="6"/>
  <c r="CS252" i="6" s="1"/>
  <c r="CO252" i="6"/>
  <c r="CN252" i="6"/>
  <c r="CM252" i="6"/>
  <c r="CL252" i="6"/>
  <c r="CK252" i="6"/>
  <c r="CJ252" i="6"/>
  <c r="CI252" i="6"/>
  <c r="CG252" i="6"/>
  <c r="CH252" i="6" s="1"/>
  <c r="CE252" i="6"/>
  <c r="CD252" i="6"/>
  <c r="CF252" i="6" s="1"/>
  <c r="CC252" i="6"/>
  <c r="CB252" i="6"/>
  <c r="CA252" i="6"/>
  <c r="BZ252" i="6"/>
  <c r="BY252" i="6"/>
  <c r="BX252" i="6"/>
  <c r="BW252" i="6"/>
  <c r="BU252" i="6"/>
  <c r="BV252" i="6" s="1"/>
  <c r="BR252" i="6"/>
  <c r="BS252" i="6" s="1"/>
  <c r="BQ252" i="6"/>
  <c r="BO252" i="6"/>
  <c r="BP252" i="6" s="1"/>
  <c r="BN252" i="6"/>
  <c r="BM252" i="6"/>
  <c r="BL252" i="6"/>
  <c r="BK252" i="6"/>
  <c r="BJ252" i="6"/>
  <c r="BI252" i="6"/>
  <c r="BH252" i="6"/>
  <c r="BG252" i="6"/>
  <c r="BF252" i="6"/>
  <c r="BD252" i="6"/>
  <c r="BC252" i="6"/>
  <c r="BE252" i="6" s="1"/>
  <c r="BB252" i="6"/>
  <c r="AZ252" i="6"/>
  <c r="AY252" i="6"/>
  <c r="BA252" i="6" s="1"/>
  <c r="AW252" i="6"/>
  <c r="AV252" i="6"/>
  <c r="AX252" i="6" s="1"/>
  <c r="AU252" i="6"/>
  <c r="AT252" i="6"/>
  <c r="AS252" i="6"/>
  <c r="AR252" i="6"/>
  <c r="AQ252" i="6"/>
  <c r="AP252" i="6"/>
  <c r="AN252" i="6"/>
  <c r="AM252" i="6"/>
  <c r="AO252" i="6" s="1"/>
  <c r="AK252" i="6"/>
  <c r="AL252" i="6" s="1"/>
  <c r="AJ252" i="6"/>
  <c r="AI252" i="6"/>
  <c r="AG252" i="6"/>
  <c r="AE252" i="6"/>
  <c r="AD252" i="6"/>
  <c r="AC252" i="6"/>
  <c r="AF252" i="6" s="1"/>
  <c r="AA252" i="6"/>
  <c r="Z252" i="6"/>
  <c r="AB252" i="6" s="1"/>
  <c r="Y252" i="6"/>
  <c r="X252" i="6"/>
  <c r="W252" i="6"/>
  <c r="V252" i="6"/>
  <c r="T252" i="6"/>
  <c r="S252" i="6"/>
  <c r="R252" i="6"/>
  <c r="P252" i="6"/>
  <c r="O252" i="6"/>
  <c r="N252" i="6"/>
  <c r="M252" i="6"/>
  <c r="Q252" i="6" s="1"/>
  <c r="J252" i="6"/>
  <c r="H252" i="6"/>
  <c r="DQ252" i="6" s="1"/>
  <c r="G252" i="6"/>
  <c r="F252" i="6"/>
  <c r="E252" i="6"/>
  <c r="D252" i="6"/>
  <c r="C252" i="6"/>
  <c r="B252" i="6"/>
  <c r="DW251" i="6"/>
  <c r="DS251" i="6"/>
  <c r="DM251" i="6"/>
  <c r="DV251" i="6" s="1"/>
  <c r="DL251" i="6"/>
  <c r="DK251" i="6"/>
  <c r="DJ251" i="6"/>
  <c r="DH251" i="6"/>
  <c r="DI251" i="6" s="1"/>
  <c r="DG251" i="6"/>
  <c r="DF251" i="6"/>
  <c r="DE251" i="6"/>
  <c r="DD251" i="6"/>
  <c r="DC251" i="6"/>
  <c r="DB251" i="6"/>
  <c r="DA251" i="6"/>
  <c r="CY251" i="6"/>
  <c r="CZ251" i="6" s="1"/>
  <c r="CX251" i="6"/>
  <c r="CV251" i="6"/>
  <c r="CW251" i="6" s="1"/>
  <c r="CT251" i="6"/>
  <c r="CU251" i="6" s="1"/>
  <c r="CR251" i="6"/>
  <c r="CQ251" i="6"/>
  <c r="CP251" i="6"/>
  <c r="DQ251" i="6" s="1"/>
  <c r="CO251" i="6"/>
  <c r="CN251" i="6"/>
  <c r="CM251" i="6"/>
  <c r="CL251" i="6"/>
  <c r="CK251" i="6"/>
  <c r="CJ251" i="6"/>
  <c r="CI251" i="6"/>
  <c r="CG251" i="6"/>
  <c r="CH251" i="6" s="1"/>
  <c r="CE251" i="6"/>
  <c r="CD251" i="6"/>
  <c r="CF251" i="6" s="1"/>
  <c r="CC251" i="6"/>
  <c r="CB251" i="6"/>
  <c r="BZ251" i="6"/>
  <c r="BY251" i="6"/>
  <c r="BX251" i="6"/>
  <c r="BW251" i="6"/>
  <c r="CA251" i="6" s="1"/>
  <c r="BU251" i="6"/>
  <c r="BV251" i="6" s="1"/>
  <c r="BR251" i="6"/>
  <c r="BS251" i="6" s="1"/>
  <c r="BQ251" i="6"/>
  <c r="BO251" i="6"/>
  <c r="BP251" i="6" s="1"/>
  <c r="BN251" i="6"/>
  <c r="BM251" i="6"/>
  <c r="BL251" i="6"/>
  <c r="BK251" i="6"/>
  <c r="BJ251" i="6"/>
  <c r="BI251" i="6"/>
  <c r="BH251" i="6"/>
  <c r="BF251" i="6"/>
  <c r="BG251" i="6" s="1"/>
  <c r="BE251" i="6"/>
  <c r="BD251" i="6"/>
  <c r="BC251" i="6"/>
  <c r="BB251" i="6"/>
  <c r="AZ251" i="6"/>
  <c r="AY251" i="6"/>
  <c r="BA251" i="6" s="1"/>
  <c r="AW251" i="6"/>
  <c r="AV251" i="6"/>
  <c r="AX251" i="6" s="1"/>
  <c r="AU251" i="6"/>
  <c r="AT251" i="6"/>
  <c r="AS251" i="6"/>
  <c r="AR251" i="6"/>
  <c r="AQ251" i="6"/>
  <c r="AP251" i="6"/>
  <c r="AN251" i="6"/>
  <c r="AM251" i="6"/>
  <c r="AO251" i="6" s="1"/>
  <c r="AK251" i="6"/>
  <c r="AL251" i="6" s="1"/>
  <c r="AI251" i="6"/>
  <c r="AJ251" i="6" s="1"/>
  <c r="AG251" i="6"/>
  <c r="AF251" i="6"/>
  <c r="AE251" i="6"/>
  <c r="AD251" i="6"/>
  <c r="AC251" i="6"/>
  <c r="AA251" i="6"/>
  <c r="Z251" i="6"/>
  <c r="AB251" i="6" s="1"/>
  <c r="Y251" i="6"/>
  <c r="X251" i="6"/>
  <c r="W251" i="6"/>
  <c r="V251" i="6"/>
  <c r="T251" i="6"/>
  <c r="S251" i="6"/>
  <c r="R251" i="6"/>
  <c r="P251" i="6"/>
  <c r="O251" i="6"/>
  <c r="N251" i="6"/>
  <c r="M251" i="6"/>
  <c r="J251" i="6"/>
  <c r="H251" i="6"/>
  <c r="G251" i="6"/>
  <c r="I251" i="6" s="1"/>
  <c r="F251" i="6"/>
  <c r="E251" i="6"/>
  <c r="D251" i="6"/>
  <c r="C251" i="6"/>
  <c r="B251" i="6"/>
  <c r="DW250" i="6"/>
  <c r="DU250" i="6"/>
  <c r="DS250" i="6"/>
  <c r="DP250" i="6"/>
  <c r="DM250" i="6"/>
  <c r="DV250" i="6" s="1"/>
  <c r="DL250" i="6"/>
  <c r="DK250" i="6"/>
  <c r="DN250" i="6" s="1"/>
  <c r="DJ250" i="6"/>
  <c r="DH250" i="6"/>
  <c r="DI250" i="6" s="1"/>
  <c r="DG250" i="6"/>
  <c r="DF250" i="6"/>
  <c r="DE250" i="6"/>
  <c r="DD250" i="6"/>
  <c r="DC250" i="6"/>
  <c r="DB250" i="6"/>
  <c r="DA250" i="6"/>
  <c r="CY250" i="6"/>
  <c r="CZ250" i="6" s="1"/>
  <c r="CX250" i="6"/>
  <c r="CV250" i="6"/>
  <c r="CW250" i="6" s="1"/>
  <c r="CT250" i="6"/>
  <c r="CU250" i="6" s="1"/>
  <c r="CR250" i="6"/>
  <c r="CQ250" i="6"/>
  <c r="CS250" i="6" s="1"/>
  <c r="CP250" i="6"/>
  <c r="CO250" i="6"/>
  <c r="CN250" i="6"/>
  <c r="CM250" i="6"/>
  <c r="CL250" i="6"/>
  <c r="CK250" i="6"/>
  <c r="CJ250" i="6"/>
  <c r="CI250" i="6"/>
  <c r="CG250" i="6"/>
  <c r="CH250" i="6" s="1"/>
  <c r="CE250" i="6"/>
  <c r="CD250" i="6"/>
  <c r="CF250" i="6" s="1"/>
  <c r="CB250" i="6"/>
  <c r="CC250" i="6" s="1"/>
  <c r="BZ250" i="6"/>
  <c r="BY250" i="6"/>
  <c r="BX250" i="6"/>
  <c r="BW250" i="6"/>
  <c r="CA250" i="6" s="1"/>
  <c r="BU250" i="6"/>
  <c r="BV250" i="6" s="1"/>
  <c r="BS250" i="6"/>
  <c r="BR250" i="6"/>
  <c r="BQ250" i="6"/>
  <c r="BO250" i="6"/>
  <c r="BP250" i="6" s="1"/>
  <c r="BM250" i="6"/>
  <c r="BL250" i="6"/>
  <c r="BK250" i="6"/>
  <c r="BJ250" i="6"/>
  <c r="BN250" i="6" s="1"/>
  <c r="BI250" i="6"/>
  <c r="BH250" i="6"/>
  <c r="BG250" i="6"/>
  <c r="BF250" i="6"/>
  <c r="BD250" i="6"/>
  <c r="BC250" i="6"/>
  <c r="BE250" i="6" s="1"/>
  <c r="BB250" i="6"/>
  <c r="AZ250" i="6"/>
  <c r="AY250" i="6"/>
  <c r="BA250" i="6" s="1"/>
  <c r="AW250" i="6"/>
  <c r="AV250" i="6"/>
  <c r="AX250" i="6" s="1"/>
  <c r="AU250" i="6"/>
  <c r="AT250" i="6"/>
  <c r="AS250" i="6"/>
  <c r="AR250" i="6"/>
  <c r="AQ250" i="6"/>
  <c r="AP250" i="6"/>
  <c r="AN250" i="6"/>
  <c r="AM250" i="6"/>
  <c r="AO250" i="6" s="1"/>
  <c r="AK250" i="6"/>
  <c r="AL250" i="6" s="1"/>
  <c r="AJ250" i="6"/>
  <c r="AI250" i="6"/>
  <c r="AG250" i="6"/>
  <c r="AE250" i="6"/>
  <c r="AD250" i="6"/>
  <c r="AC250" i="6"/>
  <c r="AF250" i="6" s="1"/>
  <c r="AA250" i="6"/>
  <c r="Z250" i="6"/>
  <c r="AB250" i="6" s="1"/>
  <c r="Y250" i="6"/>
  <c r="X250" i="6"/>
  <c r="W250" i="6"/>
  <c r="V250" i="6"/>
  <c r="T250" i="6"/>
  <c r="S250" i="6"/>
  <c r="R250" i="6"/>
  <c r="P250" i="6"/>
  <c r="O250" i="6"/>
  <c r="N250" i="6"/>
  <c r="M250" i="6"/>
  <c r="Q250" i="6" s="1"/>
  <c r="J250" i="6"/>
  <c r="I250" i="6"/>
  <c r="H250" i="6"/>
  <c r="G250" i="6"/>
  <c r="F250" i="6"/>
  <c r="E250" i="6"/>
  <c r="D250" i="6"/>
  <c r="C250" i="6"/>
  <c r="B250" i="6"/>
  <c r="DW249" i="6"/>
  <c r="DP249" i="6"/>
  <c r="DM249" i="6"/>
  <c r="DV249" i="6" s="1"/>
  <c r="DL249" i="6"/>
  <c r="DK249" i="6"/>
  <c r="DJ249" i="6"/>
  <c r="DH249" i="6"/>
  <c r="DI249" i="6" s="1"/>
  <c r="DG249" i="6"/>
  <c r="DF249" i="6"/>
  <c r="DE249" i="6"/>
  <c r="DD249" i="6"/>
  <c r="DC249" i="6"/>
  <c r="DB249" i="6"/>
  <c r="DA249" i="6"/>
  <c r="CY249" i="6"/>
  <c r="CX249" i="6"/>
  <c r="DQ249" i="6" s="1"/>
  <c r="CV249" i="6"/>
  <c r="CW249" i="6" s="1"/>
  <c r="CT249" i="6"/>
  <c r="CU249" i="6" s="1"/>
  <c r="CR249" i="6"/>
  <c r="CQ249" i="6"/>
  <c r="CP249" i="6"/>
  <c r="CO249" i="6"/>
  <c r="CN249" i="6"/>
  <c r="CM249" i="6"/>
  <c r="CL249" i="6"/>
  <c r="CK249" i="6"/>
  <c r="CJ249" i="6"/>
  <c r="CI249" i="6"/>
  <c r="CG249" i="6"/>
  <c r="CH249" i="6" s="1"/>
  <c r="CE249" i="6"/>
  <c r="CD249" i="6"/>
  <c r="CF249" i="6" s="1"/>
  <c r="CB249" i="6"/>
  <c r="CC249" i="6" s="1"/>
  <c r="BZ249" i="6"/>
  <c r="BY249" i="6"/>
  <c r="BX249" i="6"/>
  <c r="DS249" i="6" s="1"/>
  <c r="BW249" i="6"/>
  <c r="BV249" i="6"/>
  <c r="BU249" i="6"/>
  <c r="BR249" i="6"/>
  <c r="BS249" i="6" s="1"/>
  <c r="BQ249" i="6"/>
  <c r="BO249" i="6"/>
  <c r="BP249" i="6" s="1"/>
  <c r="BM249" i="6"/>
  <c r="BL249" i="6"/>
  <c r="BK249" i="6"/>
  <c r="BJ249" i="6"/>
  <c r="BN249" i="6" s="1"/>
  <c r="BI249" i="6"/>
  <c r="BH249" i="6"/>
  <c r="BF249" i="6"/>
  <c r="BG249" i="6" s="1"/>
  <c r="BD249" i="6"/>
  <c r="BC249" i="6"/>
  <c r="BE249" i="6" s="1"/>
  <c r="BB249" i="6"/>
  <c r="AZ249" i="6"/>
  <c r="AY249" i="6"/>
  <c r="BA249" i="6" s="1"/>
  <c r="AX249" i="6"/>
  <c r="AW249" i="6"/>
  <c r="AV249" i="6"/>
  <c r="AU249" i="6"/>
  <c r="AT249" i="6"/>
  <c r="AS249" i="6"/>
  <c r="AR249" i="6"/>
  <c r="AQ249" i="6"/>
  <c r="AP249" i="6"/>
  <c r="AN249" i="6"/>
  <c r="AM249" i="6"/>
  <c r="AO249" i="6" s="1"/>
  <c r="AK249" i="6"/>
  <c r="AL249" i="6" s="1"/>
  <c r="AJ249" i="6"/>
  <c r="AI249" i="6"/>
  <c r="AG249" i="6"/>
  <c r="AE249" i="6"/>
  <c r="AD249" i="6"/>
  <c r="AC249" i="6"/>
  <c r="AF249" i="6" s="1"/>
  <c r="AA249" i="6"/>
  <c r="Z249" i="6"/>
  <c r="AB249" i="6" s="1"/>
  <c r="Y249" i="6"/>
  <c r="X249" i="6"/>
  <c r="W249" i="6"/>
  <c r="V249" i="6"/>
  <c r="T249" i="6"/>
  <c r="S249" i="6"/>
  <c r="R249" i="6"/>
  <c r="P249" i="6"/>
  <c r="O249" i="6"/>
  <c r="N249" i="6"/>
  <c r="M249" i="6"/>
  <c r="Q249" i="6" s="1"/>
  <c r="J249" i="6"/>
  <c r="H249" i="6"/>
  <c r="G249" i="6"/>
  <c r="F249" i="6"/>
  <c r="E249" i="6"/>
  <c r="I249" i="6" s="1"/>
  <c r="D249" i="6"/>
  <c r="C249" i="6"/>
  <c r="B249" i="6"/>
  <c r="DW248" i="6"/>
  <c r="DV248" i="6"/>
  <c r="DP248" i="6"/>
  <c r="DN248" i="6"/>
  <c r="DM248" i="6"/>
  <c r="DL248" i="6"/>
  <c r="DK248" i="6"/>
  <c r="DJ248" i="6"/>
  <c r="DH248" i="6"/>
  <c r="DI248" i="6" s="1"/>
  <c r="DG248" i="6"/>
  <c r="DF248" i="6"/>
  <c r="DE248" i="6"/>
  <c r="DD248" i="6"/>
  <c r="DC248" i="6"/>
  <c r="DB248" i="6"/>
  <c r="DA248" i="6"/>
  <c r="CZ248" i="6"/>
  <c r="CY248" i="6"/>
  <c r="CX248" i="6"/>
  <c r="CW248" i="6"/>
  <c r="CV248" i="6"/>
  <c r="CT248" i="6"/>
  <c r="CU248" i="6" s="1"/>
  <c r="CR248" i="6"/>
  <c r="CQ248" i="6"/>
  <c r="CS248" i="6" s="1"/>
  <c r="CP248" i="6"/>
  <c r="CO248" i="6"/>
  <c r="CN248" i="6"/>
  <c r="CM248" i="6"/>
  <c r="CL248" i="6"/>
  <c r="CK248" i="6"/>
  <c r="CJ248" i="6"/>
  <c r="CI248" i="6"/>
  <c r="CG248" i="6"/>
  <c r="CH248" i="6" s="1"/>
  <c r="CE248" i="6"/>
  <c r="CD248" i="6"/>
  <c r="CF248" i="6" s="1"/>
  <c r="CB248" i="6"/>
  <c r="CC248" i="6" s="1"/>
  <c r="BZ248" i="6"/>
  <c r="BY248" i="6"/>
  <c r="BX248" i="6"/>
  <c r="BW248" i="6"/>
  <c r="CA248" i="6" s="1"/>
  <c r="BV248" i="6"/>
  <c r="BU248" i="6"/>
  <c r="BS248" i="6"/>
  <c r="BR248" i="6"/>
  <c r="BQ248" i="6"/>
  <c r="BO248" i="6"/>
  <c r="BP248" i="6" s="1"/>
  <c r="BM248" i="6"/>
  <c r="BL248" i="6"/>
  <c r="BK248" i="6"/>
  <c r="BJ248" i="6"/>
  <c r="BN248" i="6" s="1"/>
  <c r="BI248" i="6"/>
  <c r="BH248" i="6"/>
  <c r="BF248" i="6"/>
  <c r="BG248" i="6" s="1"/>
  <c r="BD248" i="6"/>
  <c r="BC248" i="6"/>
  <c r="BE248" i="6" s="1"/>
  <c r="BB248" i="6"/>
  <c r="AZ248" i="6"/>
  <c r="AY248" i="6"/>
  <c r="BA248" i="6" s="1"/>
  <c r="AX248" i="6"/>
  <c r="AW248" i="6"/>
  <c r="AV248" i="6"/>
  <c r="AU248" i="6"/>
  <c r="AT248" i="6"/>
  <c r="AS248" i="6"/>
  <c r="AR248" i="6"/>
  <c r="AQ248" i="6"/>
  <c r="AP248" i="6"/>
  <c r="AN248" i="6"/>
  <c r="AM248" i="6"/>
  <c r="AO248" i="6" s="1"/>
  <c r="AK248" i="6"/>
  <c r="AL248" i="6" s="1"/>
  <c r="AI248" i="6"/>
  <c r="AJ248" i="6" s="1"/>
  <c r="AG248" i="6"/>
  <c r="AE248" i="6"/>
  <c r="AD248" i="6"/>
  <c r="AC248" i="6"/>
  <c r="AA248" i="6"/>
  <c r="DU248" i="6" s="1"/>
  <c r="Z248" i="6"/>
  <c r="Y248" i="6"/>
  <c r="X248" i="6"/>
  <c r="W248" i="6"/>
  <c r="V248" i="6"/>
  <c r="T248" i="6"/>
  <c r="S248" i="6"/>
  <c r="R248" i="6"/>
  <c r="P248" i="6"/>
  <c r="O248" i="6"/>
  <c r="N248" i="6"/>
  <c r="M248" i="6"/>
  <c r="Q248" i="6" s="1"/>
  <c r="J248" i="6"/>
  <c r="H248" i="6"/>
  <c r="G248" i="6"/>
  <c r="F248" i="6"/>
  <c r="E248" i="6"/>
  <c r="I248" i="6" s="1"/>
  <c r="D248" i="6"/>
  <c r="C248" i="6"/>
  <c r="B248" i="6"/>
  <c r="DW247" i="6"/>
  <c r="DV247" i="6"/>
  <c r="DT247" i="6"/>
  <c r="DS247" i="6"/>
  <c r="DQ247" i="6"/>
  <c r="DM247" i="6"/>
  <c r="DL247" i="6"/>
  <c r="DN247" i="6" s="1"/>
  <c r="DK247" i="6"/>
  <c r="DJ247" i="6"/>
  <c r="DH247" i="6"/>
  <c r="DI247" i="6" s="1"/>
  <c r="DG247" i="6"/>
  <c r="DF247" i="6"/>
  <c r="DE247" i="6"/>
  <c r="DD247" i="6"/>
  <c r="DC247" i="6"/>
  <c r="DB247" i="6"/>
  <c r="DA247" i="6"/>
  <c r="CZ247" i="6"/>
  <c r="CY247" i="6"/>
  <c r="CX247" i="6"/>
  <c r="CV247" i="6"/>
  <c r="CW247" i="6" s="1"/>
  <c r="CT247" i="6"/>
  <c r="CU247" i="6" s="1"/>
  <c r="CR247" i="6"/>
  <c r="CS247" i="6" s="1"/>
  <c r="CQ247" i="6"/>
  <c r="CP247" i="6"/>
  <c r="CO247" i="6"/>
  <c r="CN247" i="6"/>
  <c r="CM247" i="6"/>
  <c r="CL247" i="6"/>
  <c r="CK247" i="6"/>
  <c r="CJ247" i="6"/>
  <c r="CI247" i="6"/>
  <c r="CG247" i="6"/>
  <c r="CH247" i="6" s="1"/>
  <c r="CE247" i="6"/>
  <c r="CD247" i="6"/>
  <c r="CF247" i="6" s="1"/>
  <c r="CC247" i="6"/>
  <c r="CB247" i="6"/>
  <c r="CA247" i="6"/>
  <c r="BZ247" i="6"/>
  <c r="BY247" i="6"/>
  <c r="BX247" i="6"/>
  <c r="BW247" i="6"/>
  <c r="BU247" i="6"/>
  <c r="BS247" i="6"/>
  <c r="BR247" i="6"/>
  <c r="BQ247" i="6"/>
  <c r="BO247" i="6"/>
  <c r="BP247" i="6" s="1"/>
  <c r="BM247" i="6"/>
  <c r="BL247" i="6"/>
  <c r="BK247" i="6"/>
  <c r="BJ247" i="6"/>
  <c r="BN247" i="6" s="1"/>
  <c r="BI247" i="6"/>
  <c r="BH247" i="6"/>
  <c r="BG247" i="6"/>
  <c r="BF247" i="6"/>
  <c r="BD247" i="6"/>
  <c r="BC247" i="6"/>
  <c r="BE247" i="6" s="1"/>
  <c r="BB247" i="6"/>
  <c r="AZ247" i="6"/>
  <c r="AY247" i="6"/>
  <c r="BA247" i="6" s="1"/>
  <c r="AW247" i="6"/>
  <c r="AV247" i="6"/>
  <c r="AX247" i="6" s="1"/>
  <c r="AU247" i="6"/>
  <c r="AT247" i="6"/>
  <c r="AS247" i="6"/>
  <c r="AR247" i="6"/>
  <c r="AQ247" i="6"/>
  <c r="AP247" i="6"/>
  <c r="AN247" i="6"/>
  <c r="AM247" i="6"/>
  <c r="AO247" i="6" s="1"/>
  <c r="AK247" i="6"/>
  <c r="AL247" i="6" s="1"/>
  <c r="AI247" i="6"/>
  <c r="AJ247" i="6" s="1"/>
  <c r="AG247" i="6"/>
  <c r="AE247" i="6"/>
  <c r="AD247" i="6"/>
  <c r="AC247" i="6"/>
  <c r="AB247" i="6"/>
  <c r="AA247" i="6"/>
  <c r="Z247" i="6"/>
  <c r="Y247" i="6"/>
  <c r="X247" i="6"/>
  <c r="W247" i="6"/>
  <c r="V247" i="6"/>
  <c r="T247" i="6"/>
  <c r="S247" i="6"/>
  <c r="R247" i="6"/>
  <c r="P247" i="6"/>
  <c r="O247" i="6"/>
  <c r="N247" i="6"/>
  <c r="M247" i="6"/>
  <c r="Q247" i="6" s="1"/>
  <c r="J247" i="6"/>
  <c r="H247" i="6"/>
  <c r="G247" i="6"/>
  <c r="F247" i="6"/>
  <c r="E247" i="6"/>
  <c r="D247" i="6"/>
  <c r="C247" i="6"/>
  <c r="B247" i="6"/>
  <c r="DW246" i="6"/>
  <c r="DM246" i="6"/>
  <c r="DL246" i="6"/>
  <c r="DK246" i="6"/>
  <c r="DN246" i="6" s="1"/>
  <c r="DJ246" i="6"/>
  <c r="DH246" i="6"/>
  <c r="DI246" i="6" s="1"/>
  <c r="DG246" i="6"/>
  <c r="DF246" i="6"/>
  <c r="DE246" i="6"/>
  <c r="DD246" i="6"/>
  <c r="DC246" i="6"/>
  <c r="DB246" i="6"/>
  <c r="DA246" i="6"/>
  <c r="CY246" i="6"/>
  <c r="CZ246" i="6" s="1"/>
  <c r="CX246" i="6"/>
  <c r="CW246" i="6"/>
  <c r="CV246" i="6"/>
  <c r="CT246" i="6"/>
  <c r="CU246" i="6" s="1"/>
  <c r="CR246" i="6"/>
  <c r="CQ246" i="6"/>
  <c r="CP246" i="6"/>
  <c r="CS246" i="6" s="1"/>
  <c r="CO246" i="6"/>
  <c r="CN246" i="6"/>
  <c r="CM246" i="6"/>
  <c r="CL246" i="6"/>
  <c r="CK246" i="6"/>
  <c r="CJ246" i="6"/>
  <c r="CI246" i="6"/>
  <c r="CG246" i="6"/>
  <c r="CH246" i="6" s="1"/>
  <c r="CE246" i="6"/>
  <c r="CD246" i="6"/>
  <c r="CF246" i="6" s="1"/>
  <c r="CC246" i="6"/>
  <c r="CB246" i="6"/>
  <c r="BZ246" i="6"/>
  <c r="CA246" i="6" s="1"/>
  <c r="BY246" i="6"/>
  <c r="BX246" i="6"/>
  <c r="BW246" i="6"/>
  <c r="BU246" i="6"/>
  <c r="BV246" i="6" s="1"/>
  <c r="BR246" i="6"/>
  <c r="BS246" i="6" s="1"/>
  <c r="BQ246" i="6"/>
  <c r="BO246" i="6"/>
  <c r="BP246" i="6" s="1"/>
  <c r="BM246" i="6"/>
  <c r="BL246" i="6"/>
  <c r="BK246" i="6"/>
  <c r="BJ246" i="6"/>
  <c r="BN246" i="6" s="1"/>
  <c r="BI246" i="6"/>
  <c r="BH246" i="6"/>
  <c r="BG246" i="6"/>
  <c r="BF246" i="6"/>
  <c r="BE246" i="6"/>
  <c r="BD246" i="6"/>
  <c r="BC246" i="6"/>
  <c r="BB246" i="6"/>
  <c r="BA246" i="6"/>
  <c r="AZ246" i="6"/>
  <c r="AY246" i="6"/>
  <c r="AW246" i="6"/>
  <c r="AV246" i="6"/>
  <c r="AX246" i="6" s="1"/>
  <c r="AU246" i="6"/>
  <c r="AT246" i="6"/>
  <c r="AS246" i="6"/>
  <c r="AR246" i="6"/>
  <c r="AQ246" i="6"/>
  <c r="AP246" i="6"/>
  <c r="AN246" i="6"/>
  <c r="AM246" i="6"/>
  <c r="AO246" i="6" s="1"/>
  <c r="AK246" i="6"/>
  <c r="AL246" i="6" s="1"/>
  <c r="AI246" i="6"/>
  <c r="AG246" i="6"/>
  <c r="AF246" i="6"/>
  <c r="AE246" i="6"/>
  <c r="AD246" i="6"/>
  <c r="AC246" i="6"/>
  <c r="DS246" i="6" s="1"/>
  <c r="AB246" i="6"/>
  <c r="AA246" i="6"/>
  <c r="Z246" i="6"/>
  <c r="Y246" i="6"/>
  <c r="X246" i="6"/>
  <c r="W246" i="6"/>
  <c r="V246" i="6"/>
  <c r="T246" i="6"/>
  <c r="R246" i="6"/>
  <c r="S246" i="6" s="1"/>
  <c r="P246" i="6"/>
  <c r="O246" i="6"/>
  <c r="N246" i="6"/>
  <c r="M246" i="6"/>
  <c r="Q246" i="6" s="1"/>
  <c r="J246" i="6"/>
  <c r="H246" i="6"/>
  <c r="G246" i="6"/>
  <c r="DU246" i="6" s="1"/>
  <c r="F246" i="6"/>
  <c r="DV246" i="6" s="1"/>
  <c r="E246" i="6"/>
  <c r="D246" i="6"/>
  <c r="C246" i="6"/>
  <c r="B246" i="6"/>
  <c r="DW245" i="6"/>
  <c r="DM245" i="6"/>
  <c r="DL245" i="6"/>
  <c r="DK245" i="6"/>
  <c r="DJ245" i="6"/>
  <c r="DH245" i="6"/>
  <c r="DI245" i="6" s="1"/>
  <c r="DG245" i="6"/>
  <c r="DF245" i="6"/>
  <c r="DE245" i="6"/>
  <c r="DD245" i="6"/>
  <c r="DC245" i="6"/>
  <c r="DB245" i="6"/>
  <c r="DA245" i="6"/>
  <c r="CY245" i="6"/>
  <c r="CZ245" i="6" s="1"/>
  <c r="CX245" i="6"/>
  <c r="CV245" i="6"/>
  <c r="CW245" i="6" s="1"/>
  <c r="CT245" i="6"/>
  <c r="CU245" i="6" s="1"/>
  <c r="CR245" i="6"/>
  <c r="CS245" i="6" s="1"/>
  <c r="CQ245" i="6"/>
  <c r="CP245" i="6"/>
  <c r="CO245" i="6"/>
  <c r="CN245" i="6"/>
  <c r="CM245" i="6"/>
  <c r="CL245" i="6"/>
  <c r="CK245" i="6"/>
  <c r="CJ245" i="6"/>
  <c r="CI245" i="6"/>
  <c r="CG245" i="6"/>
  <c r="CH245" i="6" s="1"/>
  <c r="CE245" i="6"/>
  <c r="CD245" i="6"/>
  <c r="CF245" i="6" s="1"/>
  <c r="CC245" i="6"/>
  <c r="CB245" i="6"/>
  <c r="BZ245" i="6"/>
  <c r="BY245" i="6"/>
  <c r="BX245" i="6"/>
  <c r="DS245" i="6" s="1"/>
  <c r="BW245" i="6"/>
  <c r="CA245" i="6" s="1"/>
  <c r="BU245" i="6"/>
  <c r="BV245" i="6" s="1"/>
  <c r="BR245" i="6"/>
  <c r="BS245" i="6" s="1"/>
  <c r="BQ245" i="6"/>
  <c r="BO245" i="6"/>
  <c r="BP245" i="6" s="1"/>
  <c r="BM245" i="6"/>
  <c r="BL245" i="6"/>
  <c r="BK245" i="6"/>
  <c r="BJ245" i="6"/>
  <c r="BN245" i="6" s="1"/>
  <c r="BI245" i="6"/>
  <c r="BH245" i="6"/>
  <c r="BF245" i="6"/>
  <c r="BG245" i="6" s="1"/>
  <c r="BE245" i="6"/>
  <c r="BD245" i="6"/>
  <c r="BC245" i="6"/>
  <c r="BB245" i="6"/>
  <c r="AZ245" i="6"/>
  <c r="AY245" i="6"/>
  <c r="BA245" i="6" s="1"/>
  <c r="AW245" i="6"/>
  <c r="AV245" i="6"/>
  <c r="AU245" i="6"/>
  <c r="AT245" i="6"/>
  <c r="AS245" i="6"/>
  <c r="AR245" i="6"/>
  <c r="AQ245" i="6"/>
  <c r="AP245" i="6"/>
  <c r="AN245" i="6"/>
  <c r="AM245" i="6"/>
  <c r="AO245" i="6" s="1"/>
  <c r="AK245" i="6"/>
  <c r="AL245" i="6" s="1"/>
  <c r="AI245" i="6"/>
  <c r="AJ245" i="6" s="1"/>
  <c r="AG245" i="6"/>
  <c r="AF245" i="6"/>
  <c r="AE245" i="6"/>
  <c r="AD245" i="6"/>
  <c r="AC245" i="6"/>
  <c r="AA245" i="6"/>
  <c r="Z245" i="6"/>
  <c r="AB245" i="6" s="1"/>
  <c r="Y245" i="6"/>
  <c r="X245" i="6"/>
  <c r="W245" i="6"/>
  <c r="V245" i="6"/>
  <c r="T245" i="6"/>
  <c r="R245" i="6"/>
  <c r="S245" i="6" s="1"/>
  <c r="P245" i="6"/>
  <c r="O245" i="6"/>
  <c r="N245" i="6"/>
  <c r="M245" i="6"/>
  <c r="Q245" i="6" s="1"/>
  <c r="J245" i="6"/>
  <c r="I245" i="6"/>
  <c r="H245" i="6"/>
  <c r="G245" i="6"/>
  <c r="F245" i="6"/>
  <c r="DV245" i="6" s="1"/>
  <c r="E245" i="6"/>
  <c r="D245" i="6"/>
  <c r="C245" i="6"/>
  <c r="B245" i="6"/>
  <c r="DW244" i="6"/>
  <c r="DV244" i="6"/>
  <c r="DM244" i="6"/>
  <c r="DL244" i="6"/>
  <c r="DK244" i="6"/>
  <c r="DN244" i="6" s="1"/>
  <c r="DJ244" i="6"/>
  <c r="DH244" i="6"/>
  <c r="DI244" i="6" s="1"/>
  <c r="DG244" i="6"/>
  <c r="DF244" i="6"/>
  <c r="DE244" i="6"/>
  <c r="DD244" i="6"/>
  <c r="DC244" i="6"/>
  <c r="DB244" i="6"/>
  <c r="DA244" i="6"/>
  <c r="CY244" i="6"/>
  <c r="CX244" i="6"/>
  <c r="CZ244" i="6" s="1"/>
  <c r="CW244" i="6"/>
  <c r="CV244" i="6"/>
  <c r="CT244" i="6"/>
  <c r="CU244" i="6" s="1"/>
  <c r="CS244" i="6"/>
  <c r="CR244" i="6"/>
  <c r="CQ244" i="6"/>
  <c r="CP244" i="6"/>
  <c r="CO244" i="6"/>
  <c r="CN244" i="6"/>
  <c r="CM244" i="6"/>
  <c r="CL244" i="6"/>
  <c r="CK244" i="6"/>
  <c r="CJ244" i="6"/>
  <c r="CI244" i="6"/>
  <c r="CG244" i="6"/>
  <c r="CH244" i="6" s="1"/>
  <c r="CE244" i="6"/>
  <c r="CD244" i="6"/>
  <c r="CF244" i="6" s="1"/>
  <c r="CB244" i="6"/>
  <c r="CC244" i="6" s="1"/>
  <c r="BZ244" i="6"/>
  <c r="BY244" i="6"/>
  <c r="BX244" i="6"/>
  <c r="CA244" i="6" s="1"/>
  <c r="BW244" i="6"/>
  <c r="BU244" i="6"/>
  <c r="BV244" i="6" s="1"/>
  <c r="BS244" i="6"/>
  <c r="BR244" i="6"/>
  <c r="BQ244" i="6"/>
  <c r="BO244" i="6"/>
  <c r="BP244" i="6" s="1"/>
  <c r="BM244" i="6"/>
  <c r="BL244" i="6"/>
  <c r="BK244" i="6"/>
  <c r="BJ244" i="6"/>
  <c r="BN244" i="6" s="1"/>
  <c r="BI244" i="6"/>
  <c r="BH244" i="6"/>
  <c r="BG244" i="6"/>
  <c r="BF244" i="6"/>
  <c r="BD244" i="6"/>
  <c r="BC244" i="6"/>
  <c r="BB244" i="6"/>
  <c r="BE244" i="6" s="1"/>
  <c r="AZ244" i="6"/>
  <c r="AY244" i="6"/>
  <c r="BA244" i="6" s="1"/>
  <c r="AW244" i="6"/>
  <c r="AV244" i="6"/>
  <c r="AX244" i="6" s="1"/>
  <c r="AU244" i="6"/>
  <c r="AT244" i="6"/>
  <c r="AS244" i="6"/>
  <c r="AR244" i="6"/>
  <c r="AQ244" i="6"/>
  <c r="AP244" i="6"/>
  <c r="AN244" i="6"/>
  <c r="AM244" i="6"/>
  <c r="AO244" i="6" s="1"/>
  <c r="AK244" i="6"/>
  <c r="AL244" i="6" s="1"/>
  <c r="AJ244" i="6"/>
  <c r="AI244" i="6"/>
  <c r="AG244" i="6"/>
  <c r="AE244" i="6"/>
  <c r="AD244" i="6"/>
  <c r="AC244" i="6"/>
  <c r="AA244" i="6"/>
  <c r="DU244" i="6" s="1"/>
  <c r="Z244" i="6"/>
  <c r="DT244" i="6" s="1"/>
  <c r="Y244" i="6"/>
  <c r="X244" i="6"/>
  <c r="W244" i="6"/>
  <c r="V244" i="6"/>
  <c r="T244" i="6"/>
  <c r="S244" i="6"/>
  <c r="R244" i="6"/>
  <c r="P244" i="6"/>
  <c r="O244" i="6"/>
  <c r="N244" i="6"/>
  <c r="M244" i="6"/>
  <c r="Q244" i="6" s="1"/>
  <c r="J244" i="6"/>
  <c r="H244" i="6"/>
  <c r="G244" i="6"/>
  <c r="I244" i="6" s="1"/>
  <c r="F244" i="6"/>
  <c r="E244" i="6"/>
  <c r="DP244" i="6" s="1"/>
  <c r="D244" i="6"/>
  <c r="C244" i="6"/>
  <c r="B244" i="6"/>
  <c r="DW243" i="6"/>
  <c r="DM243" i="6"/>
  <c r="DL243" i="6"/>
  <c r="DK243" i="6"/>
  <c r="DN243" i="6" s="1"/>
  <c r="DJ243" i="6"/>
  <c r="DH243" i="6"/>
  <c r="DI243" i="6" s="1"/>
  <c r="DF243" i="6"/>
  <c r="DG243" i="6" s="1"/>
  <c r="DE243" i="6"/>
  <c r="DD243" i="6"/>
  <c r="DC243" i="6"/>
  <c r="DB243" i="6"/>
  <c r="DA243" i="6"/>
  <c r="CY243" i="6"/>
  <c r="CZ243" i="6" s="1"/>
  <c r="CX243" i="6"/>
  <c r="CW243" i="6"/>
  <c r="CV243" i="6"/>
  <c r="CT243" i="6"/>
  <c r="CU243" i="6" s="1"/>
  <c r="CR243" i="6"/>
  <c r="CQ243" i="6"/>
  <c r="CP243" i="6"/>
  <c r="CS243" i="6" s="1"/>
  <c r="CO243" i="6"/>
  <c r="CN243" i="6"/>
  <c r="CM243" i="6"/>
  <c r="CL243" i="6"/>
  <c r="CJ243" i="6"/>
  <c r="CK243" i="6" s="1"/>
  <c r="CI243" i="6"/>
  <c r="CG243" i="6"/>
  <c r="CH243" i="6" s="1"/>
  <c r="CE243" i="6"/>
  <c r="CD243" i="6"/>
  <c r="CF243" i="6" s="1"/>
  <c r="CC243" i="6"/>
  <c r="CB243" i="6"/>
  <c r="BZ243" i="6"/>
  <c r="BY243" i="6"/>
  <c r="BX243" i="6"/>
  <c r="CA243" i="6" s="1"/>
  <c r="BW243" i="6"/>
  <c r="BU243" i="6"/>
  <c r="BV243" i="6" s="1"/>
  <c r="BR243" i="6"/>
  <c r="BS243" i="6" s="1"/>
  <c r="BQ243" i="6"/>
  <c r="BO243" i="6"/>
  <c r="BP243" i="6" s="1"/>
  <c r="BM243" i="6"/>
  <c r="BL243" i="6"/>
  <c r="BK243" i="6"/>
  <c r="BJ243" i="6"/>
  <c r="BN243" i="6" s="1"/>
  <c r="BI243" i="6"/>
  <c r="BH243" i="6"/>
  <c r="BF243" i="6"/>
  <c r="BG243" i="6" s="1"/>
  <c r="BD243" i="6"/>
  <c r="BC243" i="6"/>
  <c r="BE243" i="6" s="1"/>
  <c r="BB243" i="6"/>
  <c r="AZ243" i="6"/>
  <c r="AY243" i="6"/>
  <c r="BA243" i="6" s="1"/>
  <c r="AW243" i="6"/>
  <c r="AV243" i="6"/>
  <c r="AX243" i="6" s="1"/>
  <c r="AU243" i="6"/>
  <c r="AT243" i="6"/>
  <c r="AS243" i="6"/>
  <c r="AQ243" i="6"/>
  <c r="AR243" i="6" s="1"/>
  <c r="AP243" i="6"/>
  <c r="AN243" i="6"/>
  <c r="AM243" i="6"/>
  <c r="AO243" i="6" s="1"/>
  <c r="AK243" i="6"/>
  <c r="AL243" i="6" s="1"/>
  <c r="AI243" i="6"/>
  <c r="AJ243" i="6" s="1"/>
  <c r="AG243" i="6"/>
  <c r="AF243" i="6"/>
  <c r="AE243" i="6"/>
  <c r="AD243" i="6"/>
  <c r="AC243" i="6"/>
  <c r="DS243" i="6" s="1"/>
  <c r="AA243" i="6"/>
  <c r="Z243" i="6"/>
  <c r="AB243" i="6" s="1"/>
  <c r="Y243" i="6"/>
  <c r="W243" i="6"/>
  <c r="V243" i="6"/>
  <c r="X243" i="6" s="1"/>
  <c r="T243" i="6"/>
  <c r="S243" i="6"/>
  <c r="R243" i="6"/>
  <c r="P243" i="6"/>
  <c r="O243" i="6"/>
  <c r="N243" i="6"/>
  <c r="M243" i="6"/>
  <c r="Q243" i="6" s="1"/>
  <c r="J243" i="6"/>
  <c r="I243" i="6"/>
  <c r="H243" i="6"/>
  <c r="G243" i="6"/>
  <c r="DU243" i="6" s="1"/>
  <c r="F243" i="6"/>
  <c r="DV243" i="6" s="1"/>
  <c r="E243" i="6"/>
  <c r="D243" i="6"/>
  <c r="C243" i="6"/>
  <c r="B243" i="6"/>
  <c r="DW242" i="6"/>
  <c r="DM242" i="6"/>
  <c r="DL242" i="6"/>
  <c r="DN242" i="6" s="1"/>
  <c r="DK242" i="6"/>
  <c r="DJ242" i="6"/>
  <c r="DH242" i="6"/>
  <c r="DI242" i="6" s="1"/>
  <c r="DF242" i="6"/>
  <c r="DG242" i="6" s="1"/>
  <c r="DE242" i="6"/>
  <c r="DD242" i="6"/>
  <c r="DC242" i="6"/>
  <c r="DB242" i="6"/>
  <c r="DA242" i="6"/>
  <c r="CZ242" i="6"/>
  <c r="CY242" i="6"/>
  <c r="CX242" i="6"/>
  <c r="CV242" i="6"/>
  <c r="CW242" i="6" s="1"/>
  <c r="CT242" i="6"/>
  <c r="CU242" i="6" s="1"/>
  <c r="CR242" i="6"/>
  <c r="CQ242" i="6"/>
  <c r="CP242" i="6"/>
  <c r="CS242" i="6" s="1"/>
  <c r="CO242" i="6"/>
  <c r="CN242" i="6"/>
  <c r="CM242" i="6"/>
  <c r="CL242" i="6"/>
  <c r="CJ242" i="6"/>
  <c r="CK242" i="6" s="1"/>
  <c r="CI242" i="6"/>
  <c r="CG242" i="6"/>
  <c r="CH242" i="6" s="1"/>
  <c r="CE242" i="6"/>
  <c r="CD242" i="6"/>
  <c r="CF242" i="6" s="1"/>
  <c r="CB242" i="6"/>
  <c r="CC242" i="6" s="1"/>
  <c r="CA242" i="6"/>
  <c r="BZ242" i="6"/>
  <c r="BY242" i="6"/>
  <c r="BX242" i="6"/>
  <c r="BW242" i="6"/>
  <c r="BU242" i="6"/>
  <c r="BV242" i="6" s="1"/>
  <c r="BS242" i="6"/>
  <c r="BR242" i="6"/>
  <c r="BQ242" i="6"/>
  <c r="BO242" i="6"/>
  <c r="BP242" i="6" s="1"/>
  <c r="BM242" i="6"/>
  <c r="BL242" i="6"/>
  <c r="BK242" i="6"/>
  <c r="BJ242" i="6"/>
  <c r="BN242" i="6" s="1"/>
  <c r="BI242" i="6"/>
  <c r="BH242" i="6"/>
  <c r="BG242" i="6"/>
  <c r="BF242" i="6"/>
  <c r="BE242" i="6"/>
  <c r="BD242" i="6"/>
  <c r="BC242" i="6"/>
  <c r="BB242" i="6"/>
  <c r="BA242" i="6"/>
  <c r="AZ242" i="6"/>
  <c r="AY242" i="6"/>
  <c r="AW242" i="6"/>
  <c r="AV242" i="6"/>
  <c r="AX242" i="6" s="1"/>
  <c r="AT242" i="6"/>
  <c r="AS242" i="6"/>
  <c r="AU242" i="6" s="1"/>
  <c r="AQ242" i="6"/>
  <c r="AR242" i="6" s="1"/>
  <c r="AP242" i="6"/>
  <c r="AN242" i="6"/>
  <c r="AM242" i="6"/>
  <c r="AO242" i="6" s="1"/>
  <c r="AK242" i="6"/>
  <c r="AL242" i="6" s="1"/>
  <c r="AI242" i="6"/>
  <c r="AJ242" i="6" s="1"/>
  <c r="AG242" i="6"/>
  <c r="AE242" i="6"/>
  <c r="AD242" i="6"/>
  <c r="AC242" i="6"/>
  <c r="DS242" i="6" s="1"/>
  <c r="AA242" i="6"/>
  <c r="Z242" i="6"/>
  <c r="AB242" i="6" s="1"/>
  <c r="Y242" i="6"/>
  <c r="W242" i="6"/>
  <c r="V242" i="6"/>
  <c r="X242" i="6" s="1"/>
  <c r="T242" i="6"/>
  <c r="S242" i="6"/>
  <c r="R242" i="6"/>
  <c r="P242" i="6"/>
  <c r="O242" i="6"/>
  <c r="N242" i="6"/>
  <c r="M242" i="6"/>
  <c r="J242" i="6"/>
  <c r="H242" i="6"/>
  <c r="G242" i="6"/>
  <c r="DU242" i="6" s="1"/>
  <c r="F242" i="6"/>
  <c r="E242" i="6"/>
  <c r="D242" i="6"/>
  <c r="C242" i="6"/>
  <c r="B242" i="6"/>
  <c r="DW241" i="6"/>
  <c r="DP241" i="6"/>
  <c r="DN241" i="6"/>
  <c r="DM241" i="6"/>
  <c r="DL241" i="6"/>
  <c r="DK241" i="6"/>
  <c r="DJ241" i="6"/>
  <c r="DH241" i="6"/>
  <c r="DI241" i="6" s="1"/>
  <c r="DG241" i="6"/>
  <c r="DF241" i="6"/>
  <c r="DE241" i="6"/>
  <c r="DD241" i="6"/>
  <c r="DC241" i="6"/>
  <c r="DB241" i="6"/>
  <c r="DA241" i="6"/>
  <c r="CY241" i="6"/>
  <c r="CX241" i="6"/>
  <c r="CZ241" i="6" s="1"/>
  <c r="CV241" i="6"/>
  <c r="CW241" i="6" s="1"/>
  <c r="CU241" i="6"/>
  <c r="CT241" i="6"/>
  <c r="CR241" i="6"/>
  <c r="CQ241" i="6"/>
  <c r="CP241" i="6"/>
  <c r="CO241" i="6"/>
  <c r="CN241" i="6"/>
  <c r="CM241" i="6"/>
  <c r="CL241" i="6"/>
  <c r="CK241" i="6"/>
  <c r="CJ241" i="6"/>
  <c r="CI241" i="6"/>
  <c r="CG241" i="6"/>
  <c r="CH241" i="6" s="1"/>
  <c r="CE241" i="6"/>
  <c r="CD241" i="6"/>
  <c r="CF241" i="6" s="1"/>
  <c r="CC241" i="6"/>
  <c r="CB241" i="6"/>
  <c r="BZ241" i="6"/>
  <c r="BY241" i="6"/>
  <c r="BX241" i="6"/>
  <c r="DS241" i="6" s="1"/>
  <c r="BW241" i="6"/>
  <c r="CA241" i="6" s="1"/>
  <c r="BU241" i="6"/>
  <c r="BV241" i="6" s="1"/>
  <c r="BS241" i="6"/>
  <c r="BR241" i="6"/>
  <c r="BQ241" i="6"/>
  <c r="BO241" i="6"/>
  <c r="BP241" i="6" s="1"/>
  <c r="BN241" i="6"/>
  <c r="BM241" i="6"/>
  <c r="BL241" i="6"/>
  <c r="BK241" i="6"/>
  <c r="BJ241" i="6"/>
  <c r="BI241" i="6"/>
  <c r="BH241" i="6"/>
  <c r="BF241" i="6"/>
  <c r="BG241" i="6" s="1"/>
  <c r="BE241" i="6"/>
  <c r="BD241" i="6"/>
  <c r="BC241" i="6"/>
  <c r="BB241" i="6"/>
  <c r="AZ241" i="6"/>
  <c r="AY241" i="6"/>
  <c r="BA241" i="6" s="1"/>
  <c r="AW241" i="6"/>
  <c r="AV241" i="6"/>
  <c r="AX241" i="6" s="1"/>
  <c r="AT241" i="6"/>
  <c r="AS241" i="6"/>
  <c r="AU241" i="6" s="1"/>
  <c r="AR241" i="6"/>
  <c r="AQ241" i="6"/>
  <c r="AP241" i="6"/>
  <c r="AN241" i="6"/>
  <c r="AM241" i="6"/>
  <c r="AO241" i="6" s="1"/>
  <c r="AK241" i="6"/>
  <c r="AJ241" i="6"/>
  <c r="AI241" i="6"/>
  <c r="AG241" i="6"/>
  <c r="AF241" i="6"/>
  <c r="AE241" i="6"/>
  <c r="AD241" i="6"/>
  <c r="AC241" i="6"/>
  <c r="AA241" i="6"/>
  <c r="Z241" i="6"/>
  <c r="AB241" i="6" s="1"/>
  <c r="Y241" i="6"/>
  <c r="W241" i="6"/>
  <c r="V241" i="6"/>
  <c r="X241" i="6" s="1"/>
  <c r="T241" i="6"/>
  <c r="S241" i="6"/>
  <c r="R241" i="6"/>
  <c r="P241" i="6"/>
  <c r="O241" i="6"/>
  <c r="N241" i="6"/>
  <c r="M241" i="6"/>
  <c r="Q241" i="6" s="1"/>
  <c r="J241" i="6"/>
  <c r="H241" i="6"/>
  <c r="G241" i="6"/>
  <c r="DU241" i="6" s="1"/>
  <c r="F241" i="6"/>
  <c r="DV241" i="6" s="1"/>
  <c r="E241" i="6"/>
  <c r="D241" i="6"/>
  <c r="C241" i="6"/>
  <c r="B241" i="6"/>
  <c r="DW240" i="6"/>
  <c r="DV240" i="6"/>
  <c r="DP240" i="6"/>
  <c r="DM240" i="6"/>
  <c r="DL240" i="6"/>
  <c r="DK240" i="6"/>
  <c r="DN240" i="6" s="1"/>
  <c r="DJ240" i="6"/>
  <c r="DH240" i="6"/>
  <c r="DI240" i="6" s="1"/>
  <c r="DG240" i="6"/>
  <c r="DF240" i="6"/>
  <c r="DE240" i="6"/>
  <c r="DD240" i="6"/>
  <c r="DC240" i="6"/>
  <c r="DB240" i="6"/>
  <c r="DA240" i="6"/>
  <c r="CY240" i="6"/>
  <c r="CX240" i="6"/>
  <c r="CZ240" i="6" s="1"/>
  <c r="CV240" i="6"/>
  <c r="CW240" i="6" s="1"/>
  <c r="CT240" i="6"/>
  <c r="CU240" i="6" s="1"/>
  <c r="CS240" i="6"/>
  <c r="CR240" i="6"/>
  <c r="CQ240" i="6"/>
  <c r="CP240" i="6"/>
  <c r="CO240" i="6"/>
  <c r="CN240" i="6"/>
  <c r="CM240" i="6"/>
  <c r="CL240" i="6"/>
  <c r="CK240" i="6"/>
  <c r="CJ240" i="6"/>
  <c r="CI240" i="6"/>
  <c r="CG240" i="6"/>
  <c r="CH240" i="6" s="1"/>
  <c r="CE240" i="6"/>
  <c r="CD240" i="6"/>
  <c r="CF240" i="6" s="1"/>
  <c r="CC240" i="6"/>
  <c r="CB240" i="6"/>
  <c r="BZ240" i="6"/>
  <c r="BY240" i="6"/>
  <c r="BX240" i="6"/>
  <c r="DS240" i="6" s="1"/>
  <c r="BW240" i="6"/>
  <c r="CA240" i="6" s="1"/>
  <c r="BU240" i="6"/>
  <c r="BV240" i="6" s="1"/>
  <c r="BS240" i="6"/>
  <c r="BR240" i="6"/>
  <c r="BQ240" i="6"/>
  <c r="BO240" i="6"/>
  <c r="BP240" i="6" s="1"/>
  <c r="BN240" i="6"/>
  <c r="BM240" i="6"/>
  <c r="BL240" i="6"/>
  <c r="BK240" i="6"/>
  <c r="BJ240" i="6"/>
  <c r="BH240" i="6"/>
  <c r="BI240" i="6" s="1"/>
  <c r="BF240" i="6"/>
  <c r="BG240" i="6" s="1"/>
  <c r="BD240" i="6"/>
  <c r="BC240" i="6"/>
  <c r="BB240" i="6"/>
  <c r="BE240" i="6" s="1"/>
  <c r="AZ240" i="6"/>
  <c r="AY240" i="6"/>
  <c r="BA240" i="6" s="1"/>
  <c r="AW240" i="6"/>
  <c r="AV240" i="6"/>
  <c r="AT240" i="6"/>
  <c r="AS240" i="6"/>
  <c r="AU240" i="6" s="1"/>
  <c r="AR240" i="6"/>
  <c r="AQ240" i="6"/>
  <c r="AP240" i="6"/>
  <c r="AN240" i="6"/>
  <c r="AM240" i="6"/>
  <c r="AO240" i="6" s="1"/>
  <c r="AK240" i="6"/>
  <c r="AL240" i="6" s="1"/>
  <c r="AJ240" i="6"/>
  <c r="AI240" i="6"/>
  <c r="AG240" i="6"/>
  <c r="AE240" i="6"/>
  <c r="AD240" i="6"/>
  <c r="AC240" i="6"/>
  <c r="AF240" i="6" s="1"/>
  <c r="AA240" i="6"/>
  <c r="Z240" i="6"/>
  <c r="AB240" i="6" s="1"/>
  <c r="Y240" i="6"/>
  <c r="W240" i="6"/>
  <c r="V240" i="6"/>
  <c r="X240" i="6" s="1"/>
  <c r="U240" i="6"/>
  <c r="T240" i="6"/>
  <c r="S240" i="6"/>
  <c r="R240" i="6"/>
  <c r="P240" i="6"/>
  <c r="O240" i="6"/>
  <c r="N240" i="6"/>
  <c r="M240" i="6"/>
  <c r="Q240" i="6" s="1"/>
  <c r="J240" i="6"/>
  <c r="I240" i="6"/>
  <c r="H240" i="6"/>
  <c r="G240" i="6"/>
  <c r="F240" i="6"/>
  <c r="E240" i="6"/>
  <c r="D240" i="6"/>
  <c r="C240" i="6"/>
  <c r="B240" i="6"/>
  <c r="DW239" i="6"/>
  <c r="DV239" i="6"/>
  <c r="DP239" i="6"/>
  <c r="DM239" i="6"/>
  <c r="DL239" i="6"/>
  <c r="DN239" i="6" s="1"/>
  <c r="DK239" i="6"/>
  <c r="DJ239" i="6"/>
  <c r="DH239" i="6"/>
  <c r="DI239" i="6" s="1"/>
  <c r="DG239" i="6"/>
  <c r="DF239" i="6"/>
  <c r="DD239" i="6"/>
  <c r="DE239" i="6" s="1"/>
  <c r="DB239" i="6"/>
  <c r="DA239" i="6"/>
  <c r="DC239" i="6" s="1"/>
  <c r="CY239" i="6"/>
  <c r="CX239" i="6"/>
  <c r="CZ239" i="6" s="1"/>
  <c r="CV239" i="6"/>
  <c r="CW239" i="6" s="1"/>
  <c r="CT239" i="6"/>
  <c r="CU239" i="6" s="1"/>
  <c r="CR239" i="6"/>
  <c r="CQ239" i="6"/>
  <c r="CS239" i="6" s="1"/>
  <c r="CP239" i="6"/>
  <c r="CN239" i="6"/>
  <c r="CM239" i="6"/>
  <c r="CL239" i="6"/>
  <c r="CO239" i="6" s="1"/>
  <c r="CK239" i="6"/>
  <c r="CJ239" i="6"/>
  <c r="CI239" i="6"/>
  <c r="CH239" i="6"/>
  <c r="CG239" i="6"/>
  <c r="CE239" i="6"/>
  <c r="CD239" i="6"/>
  <c r="CC239" i="6"/>
  <c r="CB239" i="6"/>
  <c r="BZ239" i="6"/>
  <c r="BY239" i="6"/>
  <c r="BX239" i="6"/>
  <c r="CA239" i="6" s="1"/>
  <c r="BW239" i="6"/>
  <c r="BU239" i="6"/>
  <c r="BV239" i="6" s="1"/>
  <c r="BS239" i="6"/>
  <c r="BR239" i="6"/>
  <c r="BQ239" i="6"/>
  <c r="BO239" i="6"/>
  <c r="BP239" i="6" s="1"/>
  <c r="BM239" i="6"/>
  <c r="BL239" i="6"/>
  <c r="BK239" i="6"/>
  <c r="BJ239" i="6"/>
  <c r="BN239" i="6" s="1"/>
  <c r="BH239" i="6"/>
  <c r="BI239" i="6" s="1"/>
  <c r="BF239" i="6"/>
  <c r="BG239" i="6" s="1"/>
  <c r="BD239" i="6"/>
  <c r="BC239" i="6"/>
  <c r="DQ239" i="6" s="1"/>
  <c r="BB239" i="6"/>
  <c r="BE239" i="6" s="1"/>
  <c r="BA239" i="6"/>
  <c r="AZ239" i="6"/>
  <c r="AY239" i="6"/>
  <c r="AX239" i="6"/>
  <c r="AW239" i="6"/>
  <c r="AV239" i="6"/>
  <c r="AT239" i="6"/>
  <c r="AS239" i="6"/>
  <c r="AU239" i="6" s="1"/>
  <c r="AR239" i="6"/>
  <c r="AQ239" i="6"/>
  <c r="AP239" i="6"/>
  <c r="AO239" i="6"/>
  <c r="AN239" i="6"/>
  <c r="AM239" i="6"/>
  <c r="AK239" i="6"/>
  <c r="AL239" i="6" s="1"/>
  <c r="AI239" i="6"/>
  <c r="AJ239" i="6" s="1"/>
  <c r="AG239" i="6"/>
  <c r="AE239" i="6"/>
  <c r="AD239" i="6"/>
  <c r="AC239" i="6"/>
  <c r="AA239" i="6"/>
  <c r="DU239" i="6" s="1"/>
  <c r="Z239" i="6"/>
  <c r="Y239" i="6"/>
  <c r="W239" i="6"/>
  <c r="V239" i="6"/>
  <c r="X239" i="6" s="1"/>
  <c r="U239" i="6"/>
  <c r="T239" i="6"/>
  <c r="R239" i="6"/>
  <c r="S239" i="6" s="1"/>
  <c r="P239" i="6"/>
  <c r="O239" i="6"/>
  <c r="N239" i="6"/>
  <c r="M239" i="6"/>
  <c r="J239" i="6"/>
  <c r="H239" i="6"/>
  <c r="G239" i="6"/>
  <c r="F239" i="6"/>
  <c r="E239" i="6"/>
  <c r="I239" i="6" s="1"/>
  <c r="D239" i="6"/>
  <c r="C239" i="6"/>
  <c r="B239" i="6"/>
  <c r="DW238" i="6"/>
  <c r="DU238" i="6"/>
  <c r="DT238" i="6"/>
  <c r="DN238" i="6"/>
  <c r="DM238" i="6"/>
  <c r="DL238" i="6"/>
  <c r="DK238" i="6"/>
  <c r="DJ238" i="6"/>
  <c r="DI238" i="6"/>
  <c r="DH238" i="6"/>
  <c r="DG238" i="6"/>
  <c r="DF238" i="6"/>
  <c r="DE238" i="6"/>
  <c r="DD238" i="6"/>
  <c r="DB238" i="6"/>
  <c r="DA238" i="6"/>
  <c r="DC238" i="6" s="1"/>
  <c r="CY238" i="6"/>
  <c r="CX238" i="6"/>
  <c r="CV238" i="6"/>
  <c r="CW238" i="6" s="1"/>
  <c r="CT238" i="6"/>
  <c r="CU238" i="6" s="1"/>
  <c r="CS238" i="6"/>
  <c r="CR238" i="6"/>
  <c r="CQ238" i="6"/>
  <c r="CP238" i="6"/>
  <c r="CN238" i="6"/>
  <c r="CM238" i="6"/>
  <c r="CL238" i="6"/>
  <c r="CO238" i="6" s="1"/>
  <c r="CJ238" i="6"/>
  <c r="CI238" i="6"/>
  <c r="CK238" i="6" s="1"/>
  <c r="CH238" i="6"/>
  <c r="CG238" i="6"/>
  <c r="CF238" i="6"/>
  <c r="CE238" i="6"/>
  <c r="CD238" i="6"/>
  <c r="CB238" i="6"/>
  <c r="CC238" i="6" s="1"/>
  <c r="BZ238" i="6"/>
  <c r="BY238" i="6"/>
  <c r="BX238" i="6"/>
  <c r="BW238" i="6"/>
  <c r="BU238" i="6"/>
  <c r="BV238" i="6" s="1"/>
  <c r="BR238" i="6"/>
  <c r="BQ238" i="6"/>
  <c r="BS238" i="6" s="1"/>
  <c r="BP238" i="6"/>
  <c r="BO238" i="6"/>
  <c r="BM238" i="6"/>
  <c r="BL238" i="6"/>
  <c r="BK238" i="6"/>
  <c r="BJ238" i="6"/>
  <c r="BN238" i="6" s="1"/>
  <c r="BH238" i="6"/>
  <c r="BI238" i="6" s="1"/>
  <c r="BF238" i="6"/>
  <c r="BG238" i="6" s="1"/>
  <c r="BD238" i="6"/>
  <c r="BC238" i="6"/>
  <c r="BB238" i="6"/>
  <c r="BE238" i="6" s="1"/>
  <c r="AZ238" i="6"/>
  <c r="AY238" i="6"/>
  <c r="BA238" i="6" s="1"/>
  <c r="AX238" i="6"/>
  <c r="AW238" i="6"/>
  <c r="AV238" i="6"/>
  <c r="AT238" i="6"/>
  <c r="AS238" i="6"/>
  <c r="AU238" i="6" s="1"/>
  <c r="AQ238" i="6"/>
  <c r="AP238" i="6"/>
  <c r="AR238" i="6" s="1"/>
  <c r="AN238" i="6"/>
  <c r="AM238" i="6"/>
  <c r="AO238" i="6" s="1"/>
  <c r="AL238" i="6"/>
  <c r="AK238" i="6"/>
  <c r="AI238" i="6"/>
  <c r="AJ238" i="6" s="1"/>
  <c r="AG238" i="6"/>
  <c r="AF238" i="6"/>
  <c r="AE238" i="6"/>
  <c r="AD238" i="6"/>
  <c r="AC238" i="6"/>
  <c r="AA238" i="6"/>
  <c r="AB238" i="6" s="1"/>
  <c r="Z238" i="6"/>
  <c r="Y238" i="6"/>
  <c r="W238" i="6"/>
  <c r="V238" i="6"/>
  <c r="X238" i="6" s="1"/>
  <c r="U238" i="6"/>
  <c r="T238" i="6"/>
  <c r="S238" i="6"/>
  <c r="R238" i="6"/>
  <c r="P238" i="6"/>
  <c r="O238" i="6"/>
  <c r="N238" i="6"/>
  <c r="M238" i="6"/>
  <c r="J238" i="6"/>
  <c r="H238" i="6"/>
  <c r="G238" i="6"/>
  <c r="F238" i="6"/>
  <c r="I238" i="6" s="1"/>
  <c r="E238" i="6"/>
  <c r="DP238" i="6" s="1"/>
  <c r="D238" i="6"/>
  <c r="C238" i="6"/>
  <c r="B238" i="6"/>
  <c r="DW237" i="6"/>
  <c r="DN237" i="6"/>
  <c r="DM237" i="6"/>
  <c r="DL237" i="6"/>
  <c r="DK237" i="6"/>
  <c r="DJ237" i="6"/>
  <c r="DI237" i="6"/>
  <c r="DH237" i="6"/>
  <c r="DF237" i="6"/>
  <c r="DG237" i="6" s="1"/>
  <c r="DE237" i="6"/>
  <c r="DD237" i="6"/>
  <c r="DC237" i="6"/>
  <c r="DB237" i="6"/>
  <c r="DA237" i="6"/>
  <c r="CZ237" i="6"/>
  <c r="CY237" i="6"/>
  <c r="CX237" i="6"/>
  <c r="CV237" i="6"/>
  <c r="CW237" i="6" s="1"/>
  <c r="CT237" i="6"/>
  <c r="CU237" i="6" s="1"/>
  <c r="CS237" i="6"/>
  <c r="CR237" i="6"/>
  <c r="CQ237" i="6"/>
  <c r="CP237" i="6"/>
  <c r="CN237" i="6"/>
  <c r="CO237" i="6" s="1"/>
  <c r="CM237" i="6"/>
  <c r="CL237" i="6"/>
  <c r="CJ237" i="6"/>
  <c r="CI237" i="6"/>
  <c r="CK237" i="6" s="1"/>
  <c r="CG237" i="6"/>
  <c r="CH237" i="6" s="1"/>
  <c r="CE237" i="6"/>
  <c r="CD237" i="6"/>
  <c r="CB237" i="6"/>
  <c r="CC237" i="6" s="1"/>
  <c r="CA237" i="6"/>
  <c r="BZ237" i="6"/>
  <c r="BY237" i="6"/>
  <c r="BX237" i="6"/>
  <c r="BW237" i="6"/>
  <c r="BV237" i="6"/>
  <c r="BU237" i="6"/>
  <c r="BR237" i="6"/>
  <c r="BQ237" i="6"/>
  <c r="BS237" i="6" s="1"/>
  <c r="BP237" i="6"/>
  <c r="BO237" i="6"/>
  <c r="BM237" i="6"/>
  <c r="BL237" i="6"/>
  <c r="BK237" i="6"/>
  <c r="BJ237" i="6"/>
  <c r="BN237" i="6" s="1"/>
  <c r="BH237" i="6"/>
  <c r="BI237" i="6" s="1"/>
  <c r="BG237" i="6"/>
  <c r="BF237" i="6"/>
  <c r="BE237" i="6"/>
  <c r="BD237" i="6"/>
  <c r="BC237" i="6"/>
  <c r="BB237" i="6"/>
  <c r="BA237" i="6"/>
  <c r="AZ237" i="6"/>
  <c r="AY237" i="6"/>
  <c r="AW237" i="6"/>
  <c r="AV237" i="6"/>
  <c r="AX237" i="6" s="1"/>
  <c r="AU237" i="6"/>
  <c r="AT237" i="6"/>
  <c r="AS237" i="6"/>
  <c r="AQ237" i="6"/>
  <c r="AP237" i="6"/>
  <c r="AR237" i="6" s="1"/>
  <c r="AN237" i="6"/>
  <c r="AM237" i="6"/>
  <c r="AK237" i="6"/>
  <c r="AI237" i="6"/>
  <c r="AJ237" i="6" s="1"/>
  <c r="AG237" i="6"/>
  <c r="AE237" i="6"/>
  <c r="AD237" i="6"/>
  <c r="AC237" i="6"/>
  <c r="DS237" i="6" s="1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J237" i="6"/>
  <c r="H237" i="6"/>
  <c r="DQ237" i="6" s="1"/>
  <c r="G237" i="6"/>
  <c r="DU237" i="6" s="1"/>
  <c r="F237" i="6"/>
  <c r="DV237" i="6" s="1"/>
  <c r="E237" i="6"/>
  <c r="DP237" i="6" s="1"/>
  <c r="D237" i="6"/>
  <c r="C237" i="6"/>
  <c r="B237" i="6"/>
  <c r="DW236" i="6"/>
  <c r="DV236" i="6"/>
  <c r="DU236" i="6"/>
  <c r="DT236" i="6"/>
  <c r="DS236" i="6"/>
  <c r="DR236" i="6"/>
  <c r="DP236" i="6"/>
  <c r="DM236" i="6"/>
  <c r="DL236" i="6"/>
  <c r="DK236" i="6"/>
  <c r="DJ236" i="6"/>
  <c r="DN236" i="6" s="1"/>
  <c r="DI236" i="6"/>
  <c r="DH236" i="6"/>
  <c r="DF236" i="6"/>
  <c r="DG236" i="6" s="1"/>
  <c r="DD236" i="6"/>
  <c r="DE236" i="6" s="1"/>
  <c r="DB236" i="6"/>
  <c r="DA236" i="6"/>
  <c r="DC236" i="6" s="1"/>
  <c r="CY236" i="6"/>
  <c r="CZ236" i="6" s="1"/>
  <c r="CX236" i="6"/>
  <c r="CV236" i="6"/>
  <c r="CW236" i="6" s="1"/>
  <c r="CT236" i="6"/>
  <c r="CU236" i="6" s="1"/>
  <c r="CS236" i="6"/>
  <c r="CR236" i="6"/>
  <c r="CQ236" i="6"/>
  <c r="CP236" i="6"/>
  <c r="CO236" i="6"/>
  <c r="CN236" i="6"/>
  <c r="CM236" i="6"/>
  <c r="CL236" i="6"/>
  <c r="CJ236" i="6"/>
  <c r="CK236" i="6" s="1"/>
  <c r="CI236" i="6"/>
  <c r="CG236" i="6"/>
  <c r="CH236" i="6" s="1"/>
  <c r="CE236" i="6"/>
  <c r="CD236" i="6"/>
  <c r="CF236" i="6" s="1"/>
  <c r="CB236" i="6"/>
  <c r="CC236" i="6" s="1"/>
  <c r="BZ236" i="6"/>
  <c r="DQ236" i="6" s="1"/>
  <c r="BY236" i="6"/>
  <c r="BX236" i="6"/>
  <c r="BW236" i="6"/>
  <c r="CA236" i="6" s="1"/>
  <c r="BU236" i="6"/>
  <c r="BV236" i="6" s="1"/>
  <c r="BR236" i="6"/>
  <c r="BQ236" i="6"/>
  <c r="BS236" i="6" s="1"/>
  <c r="BO236" i="6"/>
  <c r="BP236" i="6" s="1"/>
  <c r="BM236" i="6"/>
  <c r="BL236" i="6"/>
  <c r="BK236" i="6"/>
  <c r="BJ236" i="6"/>
  <c r="BN236" i="6" s="1"/>
  <c r="BI236" i="6"/>
  <c r="BH236" i="6"/>
  <c r="BF236" i="6"/>
  <c r="BG236" i="6" s="1"/>
  <c r="BD236" i="6"/>
  <c r="BC236" i="6"/>
  <c r="BB236" i="6"/>
  <c r="BE236" i="6" s="1"/>
  <c r="BA236" i="6"/>
  <c r="AZ236" i="6"/>
  <c r="AY236" i="6"/>
  <c r="AW236" i="6"/>
  <c r="AV236" i="6"/>
  <c r="AX236" i="6" s="1"/>
  <c r="AU236" i="6"/>
  <c r="AT236" i="6"/>
  <c r="AS236" i="6"/>
  <c r="AQ236" i="6"/>
  <c r="AP236" i="6"/>
  <c r="AR236" i="6" s="1"/>
  <c r="AO236" i="6"/>
  <c r="AN236" i="6"/>
  <c r="AM236" i="6"/>
  <c r="AL236" i="6"/>
  <c r="AK236" i="6"/>
  <c r="AJ236" i="6"/>
  <c r="AI236" i="6"/>
  <c r="AG236" i="6"/>
  <c r="AE236" i="6"/>
  <c r="AD236" i="6"/>
  <c r="AC236" i="6"/>
  <c r="AF236" i="6" s="1"/>
  <c r="AA236" i="6"/>
  <c r="Z236" i="6"/>
  <c r="AB236" i="6" s="1"/>
  <c r="Y236" i="6"/>
  <c r="X236" i="6"/>
  <c r="W236" i="6"/>
  <c r="V236" i="6"/>
  <c r="U236" i="6"/>
  <c r="T236" i="6"/>
  <c r="R236" i="6"/>
  <c r="S236" i="6" s="1"/>
  <c r="P236" i="6"/>
  <c r="Q236" i="6" s="1"/>
  <c r="O236" i="6"/>
  <c r="N236" i="6"/>
  <c r="M236" i="6"/>
  <c r="J236" i="6"/>
  <c r="H236" i="6"/>
  <c r="G236" i="6"/>
  <c r="F236" i="6"/>
  <c r="E236" i="6"/>
  <c r="I236" i="6" s="1"/>
  <c r="D236" i="6"/>
  <c r="C236" i="6"/>
  <c r="B236" i="6"/>
  <c r="DW235" i="6"/>
  <c r="DQ235" i="6"/>
  <c r="DM235" i="6"/>
  <c r="DL235" i="6"/>
  <c r="DK235" i="6"/>
  <c r="DN235" i="6" s="1"/>
  <c r="DJ235" i="6"/>
  <c r="DH235" i="6"/>
  <c r="DI235" i="6" s="1"/>
  <c r="DF235" i="6"/>
  <c r="DG235" i="6" s="1"/>
  <c r="DD235" i="6"/>
  <c r="DE235" i="6" s="1"/>
  <c r="DC235" i="6"/>
  <c r="DB235" i="6"/>
  <c r="DA235" i="6"/>
  <c r="CZ235" i="6"/>
  <c r="CY235" i="6"/>
  <c r="CX235" i="6"/>
  <c r="CV235" i="6"/>
  <c r="CW235" i="6" s="1"/>
  <c r="CT235" i="6"/>
  <c r="CU235" i="6" s="1"/>
  <c r="CR235" i="6"/>
  <c r="CQ235" i="6"/>
  <c r="CP235" i="6"/>
  <c r="CS235" i="6" s="1"/>
  <c r="CO235" i="6"/>
  <c r="CN235" i="6"/>
  <c r="CM235" i="6"/>
  <c r="CL235" i="6"/>
  <c r="CJ235" i="6"/>
  <c r="CI235" i="6"/>
  <c r="CH235" i="6"/>
  <c r="CG235" i="6"/>
  <c r="CF235" i="6"/>
  <c r="CE235" i="6"/>
  <c r="CD235" i="6"/>
  <c r="CB235" i="6"/>
  <c r="CC235" i="6" s="1"/>
  <c r="CA235" i="6"/>
  <c r="BZ235" i="6"/>
  <c r="BY235" i="6"/>
  <c r="BX235" i="6"/>
  <c r="BW235" i="6"/>
  <c r="BU235" i="6"/>
  <c r="BV235" i="6" s="1"/>
  <c r="BS235" i="6"/>
  <c r="BR235" i="6"/>
  <c r="BQ235" i="6"/>
  <c r="BO235" i="6"/>
  <c r="BP235" i="6" s="1"/>
  <c r="BM235" i="6"/>
  <c r="BL235" i="6"/>
  <c r="BK235" i="6"/>
  <c r="BJ235" i="6"/>
  <c r="BH235" i="6"/>
  <c r="BI235" i="6" s="1"/>
  <c r="BG235" i="6"/>
  <c r="BF235" i="6"/>
  <c r="BE235" i="6"/>
  <c r="BD235" i="6"/>
  <c r="BC235" i="6"/>
  <c r="BB235" i="6"/>
  <c r="BA235" i="6"/>
  <c r="AZ235" i="6"/>
  <c r="AY235" i="6"/>
  <c r="AW235" i="6"/>
  <c r="AV235" i="6"/>
  <c r="AX235" i="6" s="1"/>
  <c r="AT235" i="6"/>
  <c r="AS235" i="6"/>
  <c r="AU235" i="6" s="1"/>
  <c r="AQ235" i="6"/>
  <c r="AP235" i="6"/>
  <c r="AR235" i="6" s="1"/>
  <c r="AN235" i="6"/>
  <c r="AM235" i="6"/>
  <c r="AO235" i="6" s="1"/>
  <c r="AL235" i="6"/>
  <c r="AK235" i="6"/>
  <c r="DR235" i="6" s="1"/>
  <c r="AJ235" i="6"/>
  <c r="AI235" i="6"/>
  <c r="AG235" i="6"/>
  <c r="AE235" i="6"/>
  <c r="AD235" i="6"/>
  <c r="AC235" i="6"/>
  <c r="AA235" i="6"/>
  <c r="Z235" i="6"/>
  <c r="AB235" i="6" s="1"/>
  <c r="Y235" i="6"/>
  <c r="W235" i="6"/>
  <c r="V235" i="6"/>
  <c r="X235" i="6" s="1"/>
  <c r="U235" i="6"/>
  <c r="T235" i="6"/>
  <c r="S235" i="6"/>
  <c r="R235" i="6"/>
  <c r="P235" i="6"/>
  <c r="O235" i="6"/>
  <c r="N235" i="6"/>
  <c r="M235" i="6"/>
  <c r="Q235" i="6" s="1"/>
  <c r="J235" i="6"/>
  <c r="I235" i="6"/>
  <c r="H235" i="6"/>
  <c r="G235" i="6"/>
  <c r="F235" i="6"/>
  <c r="DV235" i="6" s="1"/>
  <c r="E235" i="6"/>
  <c r="DP235" i="6" s="1"/>
  <c r="D235" i="6"/>
  <c r="C235" i="6"/>
  <c r="B235" i="6"/>
  <c r="DW234" i="6"/>
  <c r="DV234" i="6"/>
  <c r="DM234" i="6"/>
  <c r="DL234" i="6"/>
  <c r="DK234" i="6"/>
  <c r="DJ234" i="6"/>
  <c r="DN234" i="6" s="1"/>
  <c r="DI234" i="6"/>
  <c r="DH234" i="6"/>
  <c r="DF234" i="6"/>
  <c r="DG234" i="6" s="1"/>
  <c r="DE234" i="6"/>
  <c r="DD234" i="6"/>
  <c r="DS234" i="6" s="1"/>
  <c r="DB234" i="6"/>
  <c r="DA234" i="6"/>
  <c r="DC234" i="6" s="1"/>
  <c r="CY234" i="6"/>
  <c r="CZ234" i="6" s="1"/>
  <c r="CX234" i="6"/>
  <c r="CW234" i="6"/>
  <c r="CV234" i="6"/>
  <c r="CU234" i="6"/>
  <c r="CT234" i="6"/>
  <c r="CR234" i="6"/>
  <c r="CQ234" i="6"/>
  <c r="CP234" i="6"/>
  <c r="CS234" i="6" s="1"/>
  <c r="CN234" i="6"/>
  <c r="CM234" i="6"/>
  <c r="CO234" i="6" s="1"/>
  <c r="CL234" i="6"/>
  <c r="CJ234" i="6"/>
  <c r="CI234" i="6"/>
  <c r="CK234" i="6" s="1"/>
  <c r="CH234" i="6"/>
  <c r="CG234" i="6"/>
  <c r="CE234" i="6"/>
  <c r="CF234" i="6" s="1"/>
  <c r="CD234" i="6"/>
  <c r="CB234" i="6"/>
  <c r="CC234" i="6" s="1"/>
  <c r="BZ234" i="6"/>
  <c r="BY234" i="6"/>
  <c r="BX234" i="6"/>
  <c r="BW234" i="6"/>
  <c r="BU234" i="6"/>
  <c r="BV234" i="6" s="1"/>
  <c r="BR234" i="6"/>
  <c r="BQ234" i="6"/>
  <c r="BS234" i="6" s="1"/>
  <c r="BP234" i="6"/>
  <c r="BO234" i="6"/>
  <c r="BM234" i="6"/>
  <c r="BL234" i="6"/>
  <c r="BK234" i="6"/>
  <c r="BJ234" i="6"/>
  <c r="BN234" i="6" s="1"/>
  <c r="BI234" i="6"/>
  <c r="BH234" i="6"/>
  <c r="BF234" i="6"/>
  <c r="BG234" i="6" s="1"/>
  <c r="BD234" i="6"/>
  <c r="BC234" i="6"/>
  <c r="BB234" i="6"/>
  <c r="BA234" i="6"/>
  <c r="AZ234" i="6"/>
  <c r="AY234" i="6"/>
  <c r="AX234" i="6"/>
  <c r="AW234" i="6"/>
  <c r="AV234" i="6"/>
  <c r="AT234" i="6"/>
  <c r="AU234" i="6" s="1"/>
  <c r="AS234" i="6"/>
  <c r="AQ234" i="6"/>
  <c r="AP234" i="6"/>
  <c r="AN234" i="6"/>
  <c r="AM234" i="6"/>
  <c r="AO234" i="6" s="1"/>
  <c r="AK234" i="6"/>
  <c r="AJ234" i="6"/>
  <c r="AI234" i="6"/>
  <c r="AG234" i="6"/>
  <c r="AE234" i="6"/>
  <c r="AD234" i="6"/>
  <c r="AC234" i="6"/>
  <c r="AA234" i="6"/>
  <c r="Z234" i="6"/>
  <c r="AB234" i="6" s="1"/>
  <c r="Y234" i="6"/>
  <c r="W234" i="6"/>
  <c r="X234" i="6" s="1"/>
  <c r="V234" i="6"/>
  <c r="U234" i="6"/>
  <c r="T234" i="6"/>
  <c r="R234" i="6"/>
  <c r="S234" i="6" s="1"/>
  <c r="Q234" i="6"/>
  <c r="P234" i="6"/>
  <c r="O234" i="6"/>
  <c r="N234" i="6"/>
  <c r="M234" i="6"/>
  <c r="J234" i="6"/>
  <c r="H234" i="6"/>
  <c r="G234" i="6"/>
  <c r="F234" i="6"/>
  <c r="E234" i="6"/>
  <c r="DP234" i="6" s="1"/>
  <c r="D234" i="6"/>
  <c r="C234" i="6"/>
  <c r="B234" i="6"/>
  <c r="DW233" i="6"/>
  <c r="DM233" i="6"/>
  <c r="DL233" i="6"/>
  <c r="DK233" i="6"/>
  <c r="DJ233" i="6"/>
  <c r="DN233" i="6" s="1"/>
  <c r="DH233" i="6"/>
  <c r="DI233" i="6" s="1"/>
  <c r="DG233" i="6"/>
  <c r="DF233" i="6"/>
  <c r="DD233" i="6"/>
  <c r="DB233" i="6"/>
  <c r="DA233" i="6"/>
  <c r="DC233" i="6" s="1"/>
  <c r="CZ233" i="6"/>
  <c r="CY233" i="6"/>
  <c r="CX233" i="6"/>
  <c r="CV233" i="6"/>
  <c r="CW233" i="6" s="1"/>
  <c r="CT233" i="6"/>
  <c r="CU233" i="6" s="1"/>
  <c r="CR233" i="6"/>
  <c r="CQ233" i="6"/>
  <c r="CS233" i="6" s="1"/>
  <c r="CP233" i="6"/>
  <c r="CN233" i="6"/>
  <c r="CO233" i="6" s="1"/>
  <c r="CM233" i="6"/>
  <c r="CL233" i="6"/>
  <c r="CJ233" i="6"/>
  <c r="CK233" i="6" s="1"/>
  <c r="CI233" i="6"/>
  <c r="CG233" i="6"/>
  <c r="CH233" i="6" s="1"/>
  <c r="CF233" i="6"/>
  <c r="CE233" i="6"/>
  <c r="CD233" i="6"/>
  <c r="CB233" i="6"/>
  <c r="CC233" i="6" s="1"/>
  <c r="CA233" i="6"/>
  <c r="BZ233" i="6"/>
  <c r="BY233" i="6"/>
  <c r="BX233" i="6"/>
  <c r="BW233" i="6"/>
  <c r="BU233" i="6"/>
  <c r="BV233" i="6" s="1"/>
  <c r="BR233" i="6"/>
  <c r="BQ233" i="6"/>
  <c r="BS233" i="6" s="1"/>
  <c r="BO233" i="6"/>
  <c r="BP233" i="6" s="1"/>
  <c r="BM233" i="6"/>
  <c r="BL233" i="6"/>
  <c r="BK233" i="6"/>
  <c r="BJ233" i="6"/>
  <c r="BH233" i="6"/>
  <c r="BI233" i="6" s="1"/>
  <c r="BF233" i="6"/>
  <c r="BG233" i="6" s="1"/>
  <c r="BE233" i="6"/>
  <c r="BD233" i="6"/>
  <c r="BC233" i="6"/>
  <c r="BB233" i="6"/>
  <c r="BA233" i="6"/>
  <c r="AZ233" i="6"/>
  <c r="AY233" i="6"/>
  <c r="AW233" i="6"/>
  <c r="AV233" i="6"/>
  <c r="AX233" i="6" s="1"/>
  <c r="AU233" i="6"/>
  <c r="AT233" i="6"/>
  <c r="AS233" i="6"/>
  <c r="AQ233" i="6"/>
  <c r="AP233" i="6"/>
  <c r="AR233" i="6" s="1"/>
  <c r="AN233" i="6"/>
  <c r="AM233" i="6"/>
  <c r="AO233" i="6" s="1"/>
  <c r="AL233" i="6"/>
  <c r="AK233" i="6"/>
  <c r="AI233" i="6"/>
  <c r="AG233" i="6"/>
  <c r="AF233" i="6"/>
  <c r="AE233" i="6"/>
  <c r="AD233" i="6"/>
  <c r="AC233" i="6"/>
  <c r="AB233" i="6"/>
  <c r="AA233" i="6"/>
  <c r="Z233" i="6"/>
  <c r="Y233" i="6"/>
  <c r="X233" i="6"/>
  <c r="W233" i="6"/>
  <c r="V233" i="6"/>
  <c r="U233" i="6"/>
  <c r="T233" i="6"/>
  <c r="R233" i="6"/>
  <c r="S233" i="6" s="1"/>
  <c r="P233" i="6"/>
  <c r="O233" i="6"/>
  <c r="DU233" i="6" s="1"/>
  <c r="N233" i="6"/>
  <c r="DV233" i="6" s="1"/>
  <c r="M233" i="6"/>
  <c r="J233" i="6"/>
  <c r="I233" i="6"/>
  <c r="H233" i="6"/>
  <c r="G233" i="6"/>
  <c r="F233" i="6"/>
  <c r="E233" i="6"/>
  <c r="D233" i="6"/>
  <c r="C233" i="6"/>
  <c r="B233" i="6"/>
  <c r="DW232" i="6"/>
  <c r="DM232" i="6"/>
  <c r="DL232" i="6"/>
  <c r="DK232" i="6"/>
  <c r="DN232" i="6" s="1"/>
  <c r="DJ232" i="6"/>
  <c r="DH232" i="6"/>
  <c r="DI232" i="6" s="1"/>
  <c r="DF232" i="6"/>
  <c r="DG232" i="6" s="1"/>
  <c r="DE232" i="6"/>
  <c r="DD232" i="6"/>
  <c r="DB232" i="6"/>
  <c r="DA232" i="6"/>
  <c r="DC232" i="6" s="1"/>
  <c r="CY232" i="6"/>
  <c r="CZ232" i="6" s="1"/>
  <c r="CX232" i="6"/>
  <c r="CW232" i="6"/>
  <c r="CV232" i="6"/>
  <c r="CU232" i="6"/>
  <c r="CT232" i="6"/>
  <c r="CR232" i="6"/>
  <c r="CQ232" i="6"/>
  <c r="CP232" i="6"/>
  <c r="CS232" i="6" s="1"/>
  <c r="CN232" i="6"/>
  <c r="CM232" i="6"/>
  <c r="CL232" i="6"/>
  <c r="CO232" i="6" s="1"/>
  <c r="CJ232" i="6"/>
  <c r="CI232" i="6"/>
  <c r="CK232" i="6" s="1"/>
  <c r="CH232" i="6"/>
  <c r="CG232" i="6"/>
  <c r="CE232" i="6"/>
  <c r="CF232" i="6" s="1"/>
  <c r="CD232" i="6"/>
  <c r="CB232" i="6"/>
  <c r="CC232" i="6" s="1"/>
  <c r="CA232" i="6"/>
  <c r="BZ232" i="6"/>
  <c r="BY232" i="6"/>
  <c r="BX232" i="6"/>
  <c r="BW232" i="6"/>
  <c r="BU232" i="6"/>
  <c r="BV232" i="6" s="1"/>
  <c r="BS232" i="6"/>
  <c r="BR232" i="6"/>
  <c r="BQ232" i="6"/>
  <c r="BO232" i="6"/>
  <c r="BP232" i="6" s="1"/>
  <c r="BM232" i="6"/>
  <c r="BL232" i="6"/>
  <c r="BK232" i="6"/>
  <c r="BJ232" i="6"/>
  <c r="BN232" i="6" s="1"/>
  <c r="BI232" i="6"/>
  <c r="BH232" i="6"/>
  <c r="BG232" i="6"/>
  <c r="BF232" i="6"/>
  <c r="BE232" i="6"/>
  <c r="BD232" i="6"/>
  <c r="BC232" i="6"/>
  <c r="BB232" i="6"/>
  <c r="AZ232" i="6"/>
  <c r="BA232" i="6" s="1"/>
  <c r="AY232" i="6"/>
  <c r="AW232" i="6"/>
  <c r="AV232" i="6"/>
  <c r="AX232" i="6" s="1"/>
  <c r="AT232" i="6"/>
  <c r="AS232" i="6"/>
  <c r="AU232" i="6" s="1"/>
  <c r="AQ232" i="6"/>
  <c r="AP232" i="6"/>
  <c r="AR232" i="6" s="1"/>
  <c r="AN232" i="6"/>
  <c r="AM232" i="6"/>
  <c r="AO232" i="6" s="1"/>
  <c r="AK232" i="6"/>
  <c r="AL232" i="6" s="1"/>
  <c r="AJ232" i="6"/>
  <c r="AI232" i="6"/>
  <c r="AG232" i="6"/>
  <c r="AE232" i="6"/>
  <c r="AF232" i="6" s="1"/>
  <c r="AD232" i="6"/>
  <c r="AC232" i="6"/>
  <c r="DS232" i="6" s="1"/>
  <c r="AA232" i="6"/>
  <c r="Z232" i="6"/>
  <c r="AB232" i="6" s="1"/>
  <c r="Y232" i="6"/>
  <c r="W232" i="6"/>
  <c r="V232" i="6"/>
  <c r="X232" i="6" s="1"/>
  <c r="U232" i="6"/>
  <c r="T232" i="6"/>
  <c r="S232" i="6"/>
  <c r="R232" i="6"/>
  <c r="P232" i="6"/>
  <c r="O232" i="6"/>
  <c r="N232" i="6"/>
  <c r="DV232" i="6" s="1"/>
  <c r="M232" i="6"/>
  <c r="Q232" i="6" s="1"/>
  <c r="J232" i="6"/>
  <c r="I232" i="6"/>
  <c r="H232" i="6"/>
  <c r="DQ232" i="6" s="1"/>
  <c r="G232" i="6"/>
  <c r="F232" i="6"/>
  <c r="E232" i="6"/>
  <c r="DP232" i="6" s="1"/>
  <c r="D232" i="6"/>
  <c r="C232" i="6"/>
  <c r="B232" i="6"/>
  <c r="DW231" i="6"/>
  <c r="DV231" i="6"/>
  <c r="DM231" i="6"/>
  <c r="DL231" i="6"/>
  <c r="DK231" i="6"/>
  <c r="DJ231" i="6"/>
  <c r="DN231" i="6" s="1"/>
  <c r="DI231" i="6"/>
  <c r="DH231" i="6"/>
  <c r="DG231" i="6"/>
  <c r="DF231" i="6"/>
  <c r="DD231" i="6"/>
  <c r="DE231" i="6" s="1"/>
  <c r="DC231" i="6"/>
  <c r="DB231" i="6"/>
  <c r="DA231" i="6"/>
  <c r="CY231" i="6"/>
  <c r="CZ231" i="6" s="1"/>
  <c r="CX231" i="6"/>
  <c r="CV231" i="6"/>
  <c r="CW231" i="6" s="1"/>
  <c r="CT231" i="6"/>
  <c r="CU231" i="6" s="1"/>
  <c r="CR231" i="6"/>
  <c r="CQ231" i="6"/>
  <c r="CP231" i="6"/>
  <c r="CS231" i="6" s="1"/>
  <c r="CN231" i="6"/>
  <c r="CM231" i="6"/>
  <c r="CL231" i="6"/>
  <c r="CJ231" i="6"/>
  <c r="CI231" i="6"/>
  <c r="CK231" i="6" s="1"/>
  <c r="CH231" i="6"/>
  <c r="CG231" i="6"/>
  <c r="CE231" i="6"/>
  <c r="CD231" i="6"/>
  <c r="CF231" i="6" s="1"/>
  <c r="CC231" i="6"/>
  <c r="CB231" i="6"/>
  <c r="BZ231" i="6"/>
  <c r="CA231" i="6" s="1"/>
  <c r="BY231" i="6"/>
  <c r="BX231" i="6"/>
  <c r="BW231" i="6"/>
  <c r="BU231" i="6"/>
  <c r="BV231" i="6" s="1"/>
  <c r="BR231" i="6"/>
  <c r="BQ231" i="6"/>
  <c r="BS231" i="6" s="1"/>
  <c r="BO231" i="6"/>
  <c r="BP231" i="6" s="1"/>
  <c r="BM231" i="6"/>
  <c r="BL231" i="6"/>
  <c r="BK231" i="6"/>
  <c r="BN231" i="6" s="1"/>
  <c r="BJ231" i="6"/>
  <c r="BH231" i="6"/>
  <c r="BI231" i="6" s="1"/>
  <c r="BG231" i="6"/>
  <c r="BF231" i="6"/>
  <c r="BE231" i="6"/>
  <c r="BD231" i="6"/>
  <c r="BC231" i="6"/>
  <c r="BB231" i="6"/>
  <c r="BA231" i="6"/>
  <c r="AZ231" i="6"/>
  <c r="AY231" i="6"/>
  <c r="AW231" i="6"/>
  <c r="AV231" i="6"/>
  <c r="AX231" i="6" s="1"/>
  <c r="AT231" i="6"/>
  <c r="AS231" i="6"/>
  <c r="AU231" i="6" s="1"/>
  <c r="AQ231" i="6"/>
  <c r="AP231" i="6"/>
  <c r="AR231" i="6" s="1"/>
  <c r="AN231" i="6"/>
  <c r="AM231" i="6"/>
  <c r="AO231" i="6" s="1"/>
  <c r="AL231" i="6"/>
  <c r="AK231" i="6"/>
  <c r="AI231" i="6"/>
  <c r="AJ231" i="6" s="1"/>
  <c r="AG231" i="6"/>
  <c r="AF231" i="6"/>
  <c r="AE231" i="6"/>
  <c r="AD231" i="6"/>
  <c r="AC231" i="6"/>
  <c r="AA231" i="6"/>
  <c r="Z231" i="6"/>
  <c r="AB231" i="6" s="1"/>
  <c r="Y231" i="6"/>
  <c r="W231" i="6"/>
  <c r="V231" i="6"/>
  <c r="U231" i="6"/>
  <c r="T231" i="6"/>
  <c r="S231" i="6"/>
  <c r="R231" i="6"/>
  <c r="P231" i="6"/>
  <c r="O231" i="6"/>
  <c r="DU231" i="6" s="1"/>
  <c r="N231" i="6"/>
  <c r="M231" i="6"/>
  <c r="J231" i="6"/>
  <c r="H231" i="6"/>
  <c r="G231" i="6"/>
  <c r="F231" i="6"/>
  <c r="E231" i="6"/>
  <c r="I231" i="6" s="1"/>
  <c r="D231" i="6"/>
  <c r="C231" i="6"/>
  <c r="B231" i="6"/>
  <c r="DW230" i="6"/>
  <c r="DM230" i="6"/>
  <c r="DL230" i="6"/>
  <c r="DK230" i="6"/>
  <c r="DJ230" i="6"/>
  <c r="DN230" i="6" s="1"/>
  <c r="DH230" i="6"/>
  <c r="DI230" i="6" s="1"/>
  <c r="DF230" i="6"/>
  <c r="DG230" i="6" s="1"/>
  <c r="DE230" i="6"/>
  <c r="DD230" i="6"/>
  <c r="DB230" i="6"/>
  <c r="DC230" i="6" s="1"/>
  <c r="DA230" i="6"/>
  <c r="CY230" i="6"/>
  <c r="CZ230" i="6" s="1"/>
  <c r="CX230" i="6"/>
  <c r="CW230" i="6"/>
  <c r="CV230" i="6"/>
  <c r="CT230" i="6"/>
  <c r="CU230" i="6" s="1"/>
  <c r="CR230" i="6"/>
  <c r="CQ230" i="6"/>
  <c r="CP230" i="6"/>
  <c r="CS230" i="6" s="1"/>
  <c r="CN230" i="6"/>
  <c r="CM230" i="6"/>
  <c r="CL230" i="6"/>
  <c r="CJ230" i="6"/>
  <c r="CI230" i="6"/>
  <c r="CK230" i="6" s="1"/>
  <c r="CG230" i="6"/>
  <c r="CH230" i="6" s="1"/>
  <c r="CE230" i="6"/>
  <c r="CD230" i="6"/>
  <c r="CF230" i="6" s="1"/>
  <c r="CC230" i="6"/>
  <c r="CB230" i="6"/>
  <c r="CA230" i="6"/>
  <c r="BZ230" i="6"/>
  <c r="BY230" i="6"/>
  <c r="BX230" i="6"/>
  <c r="BW230" i="6"/>
  <c r="BU230" i="6"/>
  <c r="BV230" i="6" s="1"/>
  <c r="BR230" i="6"/>
  <c r="BQ230" i="6"/>
  <c r="BS230" i="6" s="1"/>
  <c r="BO230" i="6"/>
  <c r="BP230" i="6" s="1"/>
  <c r="BN230" i="6"/>
  <c r="BM230" i="6"/>
  <c r="BL230" i="6"/>
  <c r="BK230" i="6"/>
  <c r="BJ230" i="6"/>
  <c r="BH230" i="6"/>
  <c r="BI230" i="6" s="1"/>
  <c r="BF230" i="6"/>
  <c r="BG230" i="6" s="1"/>
  <c r="BD230" i="6"/>
  <c r="BC230" i="6"/>
  <c r="BB230" i="6"/>
  <c r="BE230" i="6" s="1"/>
  <c r="BA230" i="6"/>
  <c r="AZ230" i="6"/>
  <c r="AY230" i="6"/>
  <c r="AW230" i="6"/>
  <c r="AV230" i="6"/>
  <c r="AX230" i="6" s="1"/>
  <c r="AT230" i="6"/>
  <c r="AS230" i="6"/>
  <c r="AQ230" i="6"/>
  <c r="AP230" i="6"/>
  <c r="AR230" i="6" s="1"/>
  <c r="AO230" i="6"/>
  <c r="AN230" i="6"/>
  <c r="AM230" i="6"/>
  <c r="AK230" i="6"/>
  <c r="AL230" i="6" s="1"/>
  <c r="AJ230" i="6"/>
  <c r="AI230" i="6"/>
  <c r="AG230" i="6"/>
  <c r="AE230" i="6"/>
  <c r="AD230" i="6"/>
  <c r="AC230" i="6"/>
  <c r="AA230" i="6"/>
  <c r="Z230" i="6"/>
  <c r="AB230" i="6" s="1"/>
  <c r="Y230" i="6"/>
  <c r="X230" i="6"/>
  <c r="W230" i="6"/>
  <c r="DV230" i="6" s="1"/>
  <c r="V230" i="6"/>
  <c r="U230" i="6"/>
  <c r="T230" i="6"/>
  <c r="R230" i="6"/>
  <c r="S230" i="6" s="1"/>
  <c r="Q230" i="6"/>
  <c r="P230" i="6"/>
  <c r="O230" i="6"/>
  <c r="N230" i="6"/>
  <c r="M230" i="6"/>
  <c r="J230" i="6"/>
  <c r="H230" i="6"/>
  <c r="G230" i="6"/>
  <c r="F230" i="6"/>
  <c r="E230" i="6"/>
  <c r="I230" i="6" s="1"/>
  <c r="D230" i="6"/>
  <c r="C230" i="6"/>
  <c r="B230" i="6"/>
  <c r="DW229" i="6"/>
  <c r="DM229" i="6"/>
  <c r="DL229" i="6"/>
  <c r="DK229" i="6"/>
  <c r="DJ229" i="6"/>
  <c r="DH229" i="6"/>
  <c r="DI229" i="6" s="1"/>
  <c r="DF229" i="6"/>
  <c r="DG229" i="6" s="1"/>
  <c r="DD229" i="6"/>
  <c r="DE229" i="6" s="1"/>
  <c r="DC229" i="6"/>
  <c r="DB229" i="6"/>
  <c r="DA229" i="6"/>
  <c r="CZ229" i="6"/>
  <c r="CY229" i="6"/>
  <c r="CX229" i="6"/>
  <c r="CV229" i="6"/>
  <c r="CW229" i="6" s="1"/>
  <c r="CT229" i="6"/>
  <c r="CU229" i="6" s="1"/>
  <c r="CR229" i="6"/>
  <c r="CQ229" i="6"/>
  <c r="CP229" i="6"/>
  <c r="CS229" i="6" s="1"/>
  <c r="CN229" i="6"/>
  <c r="CM229" i="6"/>
  <c r="CL229" i="6"/>
  <c r="CO229" i="6" s="1"/>
  <c r="CK229" i="6"/>
  <c r="CJ229" i="6"/>
  <c r="CI229" i="6"/>
  <c r="CH229" i="6"/>
  <c r="CG229" i="6"/>
  <c r="CE229" i="6"/>
  <c r="CD229" i="6"/>
  <c r="CF229" i="6" s="1"/>
  <c r="CB229" i="6"/>
  <c r="CC229" i="6" s="1"/>
  <c r="CA229" i="6"/>
  <c r="BZ229" i="6"/>
  <c r="BY229" i="6"/>
  <c r="BX229" i="6"/>
  <c r="BW229" i="6"/>
  <c r="BU229" i="6"/>
  <c r="BV229" i="6" s="1"/>
  <c r="BR229" i="6"/>
  <c r="BQ229" i="6"/>
  <c r="BS229" i="6" s="1"/>
  <c r="BO229" i="6"/>
  <c r="BP229" i="6" s="1"/>
  <c r="BM229" i="6"/>
  <c r="BL229" i="6"/>
  <c r="BK229" i="6"/>
  <c r="BJ229" i="6"/>
  <c r="BN229" i="6" s="1"/>
  <c r="BI229" i="6"/>
  <c r="BH229" i="6"/>
  <c r="BG229" i="6"/>
  <c r="BF229" i="6"/>
  <c r="BD229" i="6"/>
  <c r="BC229" i="6"/>
  <c r="BE229" i="6" s="1"/>
  <c r="BB229" i="6"/>
  <c r="AZ229" i="6"/>
  <c r="AY229" i="6"/>
  <c r="BA229" i="6" s="1"/>
  <c r="AW229" i="6"/>
  <c r="AV229" i="6"/>
  <c r="AX229" i="6" s="1"/>
  <c r="AT229" i="6"/>
  <c r="AS229" i="6"/>
  <c r="AU229" i="6" s="1"/>
  <c r="AR229" i="6"/>
  <c r="AQ229" i="6"/>
  <c r="AP229" i="6"/>
  <c r="AN229" i="6"/>
  <c r="AM229" i="6"/>
  <c r="AO229" i="6" s="1"/>
  <c r="AK229" i="6"/>
  <c r="AL229" i="6" s="1"/>
  <c r="AI229" i="6"/>
  <c r="AJ229" i="6" s="1"/>
  <c r="AG229" i="6"/>
  <c r="AE229" i="6"/>
  <c r="AD229" i="6"/>
  <c r="DR229" i="6" s="1"/>
  <c r="AC229" i="6"/>
  <c r="AA229" i="6"/>
  <c r="Z229" i="6"/>
  <c r="AB229" i="6" s="1"/>
  <c r="Y229" i="6"/>
  <c r="X229" i="6"/>
  <c r="W229" i="6"/>
  <c r="V229" i="6"/>
  <c r="T229" i="6"/>
  <c r="R229" i="6"/>
  <c r="S229" i="6" s="1"/>
  <c r="P229" i="6"/>
  <c r="O229" i="6"/>
  <c r="N229" i="6"/>
  <c r="M229" i="6"/>
  <c r="J229" i="6"/>
  <c r="H229" i="6"/>
  <c r="G229" i="6"/>
  <c r="F229" i="6"/>
  <c r="E229" i="6"/>
  <c r="I229" i="6" s="1"/>
  <c r="D229" i="6"/>
  <c r="C229" i="6"/>
  <c r="B229" i="6"/>
  <c r="DW228" i="6"/>
  <c r="DT228" i="6"/>
  <c r="DS228" i="6"/>
  <c r="DQ228" i="6"/>
  <c r="DM228" i="6"/>
  <c r="DL228" i="6"/>
  <c r="DN228" i="6" s="1"/>
  <c r="DK228" i="6"/>
  <c r="DJ228" i="6"/>
  <c r="DH228" i="6"/>
  <c r="DI228" i="6" s="1"/>
  <c r="DF228" i="6"/>
  <c r="DG228" i="6" s="1"/>
  <c r="DD228" i="6"/>
  <c r="DE228" i="6" s="1"/>
  <c r="DB228" i="6"/>
  <c r="DA228" i="6"/>
  <c r="DC228" i="6" s="1"/>
  <c r="CY228" i="6"/>
  <c r="CZ228" i="6" s="1"/>
  <c r="CX228" i="6"/>
  <c r="CW228" i="6"/>
  <c r="CV228" i="6"/>
  <c r="CT228" i="6"/>
  <c r="CU228" i="6" s="1"/>
  <c r="CR228" i="6"/>
  <c r="CQ228" i="6"/>
  <c r="CP228" i="6"/>
  <c r="CN228" i="6"/>
  <c r="CM228" i="6"/>
  <c r="CL228" i="6"/>
  <c r="CO228" i="6" s="1"/>
  <c r="CJ228" i="6"/>
  <c r="CI228" i="6"/>
  <c r="CK228" i="6" s="1"/>
  <c r="CH228" i="6"/>
  <c r="CG228" i="6"/>
  <c r="CF228" i="6"/>
  <c r="CE228" i="6"/>
  <c r="CD228" i="6"/>
  <c r="CB228" i="6"/>
  <c r="CC228" i="6" s="1"/>
  <c r="BZ228" i="6"/>
  <c r="BY228" i="6"/>
  <c r="BX228" i="6"/>
  <c r="CA228" i="6" s="1"/>
  <c r="BW228" i="6"/>
  <c r="BU228" i="6"/>
  <c r="BV228" i="6" s="1"/>
  <c r="BR228" i="6"/>
  <c r="BQ228" i="6"/>
  <c r="BS228" i="6" s="1"/>
  <c r="BO228" i="6"/>
  <c r="BP228" i="6" s="1"/>
  <c r="BM228" i="6"/>
  <c r="BL228" i="6"/>
  <c r="BK228" i="6"/>
  <c r="BJ228" i="6"/>
  <c r="BN228" i="6" s="1"/>
  <c r="BH228" i="6"/>
  <c r="BI228" i="6" s="1"/>
  <c r="BF228" i="6"/>
  <c r="BG228" i="6" s="1"/>
  <c r="BD228" i="6"/>
  <c r="BC228" i="6"/>
  <c r="BB228" i="6"/>
  <c r="BA228" i="6"/>
  <c r="AZ228" i="6"/>
  <c r="AY228" i="6"/>
  <c r="AW228" i="6"/>
  <c r="AV228" i="6"/>
  <c r="AX228" i="6" s="1"/>
  <c r="AT228" i="6"/>
  <c r="AS228" i="6"/>
  <c r="AU228" i="6" s="1"/>
  <c r="AQ228" i="6"/>
  <c r="AP228" i="6"/>
  <c r="AR228" i="6" s="1"/>
  <c r="AO228" i="6"/>
  <c r="AN228" i="6"/>
  <c r="AM228" i="6"/>
  <c r="AL228" i="6"/>
  <c r="AK228" i="6"/>
  <c r="AI228" i="6"/>
  <c r="AJ228" i="6" s="1"/>
  <c r="AG228" i="6"/>
  <c r="AE228" i="6"/>
  <c r="AD228" i="6"/>
  <c r="AC228" i="6"/>
  <c r="AF228" i="6" s="1"/>
  <c r="AB228" i="6"/>
  <c r="AA228" i="6"/>
  <c r="Z228" i="6"/>
  <c r="Y228" i="6"/>
  <c r="W228" i="6"/>
  <c r="V228" i="6"/>
  <c r="X228" i="6" s="1"/>
  <c r="T228" i="6"/>
  <c r="R228" i="6"/>
  <c r="S228" i="6" s="1"/>
  <c r="Q228" i="6"/>
  <c r="P228" i="6"/>
  <c r="O228" i="6"/>
  <c r="N228" i="6"/>
  <c r="M228" i="6"/>
  <c r="K228" i="6"/>
  <c r="J228" i="6"/>
  <c r="H228" i="6"/>
  <c r="G228" i="6"/>
  <c r="F228" i="6"/>
  <c r="E228" i="6"/>
  <c r="DP228" i="6" s="1"/>
  <c r="D228" i="6"/>
  <c r="C228" i="6"/>
  <c r="B228" i="6"/>
  <c r="DW227" i="6"/>
  <c r="DM227" i="6"/>
  <c r="DL227" i="6"/>
  <c r="DK227" i="6"/>
  <c r="DJ227" i="6"/>
  <c r="DN227" i="6" s="1"/>
  <c r="DH227" i="6"/>
  <c r="DI227" i="6" s="1"/>
  <c r="DF227" i="6"/>
  <c r="DG227" i="6" s="1"/>
  <c r="DE227" i="6"/>
  <c r="DD227" i="6"/>
  <c r="DB227" i="6"/>
  <c r="DA227" i="6"/>
  <c r="DC227" i="6" s="1"/>
  <c r="CY227" i="6"/>
  <c r="CX227" i="6"/>
  <c r="CZ227" i="6" s="1"/>
  <c r="CV227" i="6"/>
  <c r="CW227" i="6" s="1"/>
  <c r="CU227" i="6"/>
  <c r="CT227" i="6"/>
  <c r="CR227" i="6"/>
  <c r="CQ227" i="6"/>
  <c r="CS227" i="6" s="1"/>
  <c r="CP227" i="6"/>
  <c r="CN227" i="6"/>
  <c r="CO227" i="6" s="1"/>
  <c r="CM227" i="6"/>
  <c r="CL227" i="6"/>
  <c r="CJ227" i="6"/>
  <c r="CI227" i="6"/>
  <c r="CG227" i="6"/>
  <c r="CF227" i="6"/>
  <c r="CE227" i="6"/>
  <c r="CD227" i="6"/>
  <c r="CC227" i="6"/>
  <c r="CB227" i="6"/>
  <c r="BZ227" i="6"/>
  <c r="BY227" i="6"/>
  <c r="CA227" i="6" s="1"/>
  <c r="BX227" i="6"/>
  <c r="BW227" i="6"/>
  <c r="BU227" i="6"/>
  <c r="BV227" i="6" s="1"/>
  <c r="BR227" i="6"/>
  <c r="BQ227" i="6"/>
  <c r="BS227" i="6" s="1"/>
  <c r="BO227" i="6"/>
  <c r="BP227" i="6" s="1"/>
  <c r="BM227" i="6"/>
  <c r="BL227" i="6"/>
  <c r="BK227" i="6"/>
  <c r="BJ227" i="6"/>
  <c r="BN227" i="6" s="1"/>
  <c r="BH227" i="6"/>
  <c r="BI227" i="6" s="1"/>
  <c r="BG227" i="6"/>
  <c r="BF227" i="6"/>
  <c r="BE227" i="6"/>
  <c r="BD227" i="6"/>
  <c r="BC227" i="6"/>
  <c r="BB227" i="6"/>
  <c r="AZ227" i="6"/>
  <c r="AY227" i="6"/>
  <c r="BA227" i="6" s="1"/>
  <c r="AW227" i="6"/>
  <c r="AV227" i="6"/>
  <c r="AX227" i="6" s="1"/>
  <c r="AU227" i="6"/>
  <c r="AT227" i="6"/>
  <c r="AS227" i="6"/>
  <c r="AQ227" i="6"/>
  <c r="AP227" i="6"/>
  <c r="AR227" i="6" s="1"/>
  <c r="AO227" i="6"/>
  <c r="AN227" i="6"/>
  <c r="AM227" i="6"/>
  <c r="AK227" i="6"/>
  <c r="AL227" i="6" s="1"/>
  <c r="AI227" i="6"/>
  <c r="AJ227" i="6" s="1"/>
  <c r="AG227" i="6"/>
  <c r="AF227" i="6"/>
  <c r="AE227" i="6"/>
  <c r="AD227" i="6"/>
  <c r="AC227" i="6"/>
  <c r="AA227" i="6"/>
  <c r="Z227" i="6"/>
  <c r="AB227" i="6" s="1"/>
  <c r="Y227" i="6"/>
  <c r="W227" i="6"/>
  <c r="V227" i="6"/>
  <c r="X227" i="6" s="1"/>
  <c r="T227" i="6"/>
  <c r="S227" i="6"/>
  <c r="R227" i="6"/>
  <c r="P227" i="6"/>
  <c r="O227" i="6"/>
  <c r="N227" i="6"/>
  <c r="DV227" i="6" s="1"/>
  <c r="M227" i="6"/>
  <c r="K227" i="6"/>
  <c r="J227" i="6"/>
  <c r="H227" i="6"/>
  <c r="DQ227" i="6" s="1"/>
  <c r="G227" i="6"/>
  <c r="F227" i="6"/>
  <c r="E227" i="6"/>
  <c r="DP227" i="6" s="1"/>
  <c r="D227" i="6"/>
  <c r="C227" i="6"/>
  <c r="B227" i="6"/>
  <c r="DW226" i="6"/>
  <c r="DN226" i="6"/>
  <c r="DM226" i="6"/>
  <c r="DL226" i="6"/>
  <c r="DK226" i="6"/>
  <c r="DJ226" i="6"/>
  <c r="DI226" i="6"/>
  <c r="DH226" i="6"/>
  <c r="DF226" i="6"/>
  <c r="DG226" i="6" s="1"/>
  <c r="DE226" i="6"/>
  <c r="DD226" i="6"/>
  <c r="DB226" i="6"/>
  <c r="DA226" i="6"/>
  <c r="DC226" i="6" s="1"/>
  <c r="CY226" i="6"/>
  <c r="CZ226" i="6" s="1"/>
  <c r="CX226" i="6"/>
  <c r="CV226" i="6"/>
  <c r="CW226" i="6" s="1"/>
  <c r="CU226" i="6"/>
  <c r="CT226" i="6"/>
  <c r="CS226" i="6"/>
  <c r="CR226" i="6"/>
  <c r="CQ226" i="6"/>
  <c r="CP226" i="6"/>
  <c r="CO226" i="6"/>
  <c r="CN226" i="6"/>
  <c r="CM226" i="6"/>
  <c r="CL226" i="6"/>
  <c r="CJ226" i="6"/>
  <c r="CI226" i="6"/>
  <c r="CK226" i="6" s="1"/>
  <c r="CH226" i="6"/>
  <c r="CG226" i="6"/>
  <c r="CF226" i="6"/>
  <c r="CE226" i="6"/>
  <c r="CD226" i="6"/>
  <c r="CB226" i="6"/>
  <c r="CC226" i="6" s="1"/>
  <c r="BZ226" i="6"/>
  <c r="BY226" i="6"/>
  <c r="BX226" i="6"/>
  <c r="BW226" i="6"/>
  <c r="CA226" i="6" s="1"/>
  <c r="BV226" i="6"/>
  <c r="BU226" i="6"/>
  <c r="BR226" i="6"/>
  <c r="BQ226" i="6"/>
  <c r="BS226" i="6" s="1"/>
  <c r="BP226" i="6"/>
  <c r="BO226" i="6"/>
  <c r="BM226" i="6"/>
  <c r="BL226" i="6"/>
  <c r="BK226" i="6"/>
  <c r="BN226" i="6" s="1"/>
  <c r="BJ226" i="6"/>
  <c r="BH226" i="6"/>
  <c r="BI226" i="6" s="1"/>
  <c r="BF226" i="6"/>
  <c r="BG226" i="6" s="1"/>
  <c r="BD226" i="6"/>
  <c r="BC226" i="6"/>
  <c r="BB226" i="6"/>
  <c r="BE226" i="6" s="1"/>
  <c r="AZ226" i="6"/>
  <c r="AY226" i="6"/>
  <c r="AW226" i="6"/>
  <c r="AX226" i="6" s="1"/>
  <c r="AV226" i="6"/>
  <c r="AU226" i="6"/>
  <c r="AT226" i="6"/>
  <c r="AS226" i="6"/>
  <c r="AQ226" i="6"/>
  <c r="AP226" i="6"/>
  <c r="AR226" i="6" s="1"/>
  <c r="AO226" i="6"/>
  <c r="AN226" i="6"/>
  <c r="AM226" i="6"/>
  <c r="AK226" i="6"/>
  <c r="AL226" i="6" s="1"/>
  <c r="AI226" i="6"/>
  <c r="AJ226" i="6" s="1"/>
  <c r="AG226" i="6"/>
  <c r="AE226" i="6"/>
  <c r="AD226" i="6"/>
  <c r="AC226" i="6"/>
  <c r="AA226" i="6"/>
  <c r="Z226" i="6"/>
  <c r="AB226" i="6" s="1"/>
  <c r="Y226" i="6"/>
  <c r="X226" i="6"/>
  <c r="W226" i="6"/>
  <c r="V226" i="6"/>
  <c r="T226" i="6"/>
  <c r="S226" i="6"/>
  <c r="R226" i="6"/>
  <c r="Q226" i="6"/>
  <c r="P226" i="6"/>
  <c r="O226" i="6"/>
  <c r="N226" i="6"/>
  <c r="M226" i="6"/>
  <c r="K226" i="6"/>
  <c r="J226" i="6"/>
  <c r="H226" i="6"/>
  <c r="G226" i="6"/>
  <c r="F226" i="6"/>
  <c r="E226" i="6"/>
  <c r="D226" i="6"/>
  <c r="C226" i="6"/>
  <c r="B226" i="6"/>
  <c r="DW225" i="6"/>
  <c r="DV225" i="6"/>
  <c r="DS225" i="6"/>
  <c r="DP225" i="6"/>
  <c r="DN225" i="6"/>
  <c r="DM225" i="6"/>
  <c r="DL225" i="6"/>
  <c r="DK225" i="6"/>
  <c r="DJ225" i="6"/>
  <c r="DI225" i="6"/>
  <c r="DH225" i="6"/>
  <c r="DF225" i="6"/>
  <c r="DG225" i="6" s="1"/>
  <c r="DE225" i="6"/>
  <c r="DD225" i="6"/>
  <c r="DB225" i="6"/>
  <c r="DA225" i="6"/>
  <c r="CY225" i="6"/>
  <c r="CX225" i="6"/>
  <c r="CV225" i="6"/>
  <c r="CW225" i="6" s="1"/>
  <c r="CT225" i="6"/>
  <c r="CU225" i="6" s="1"/>
  <c r="CR225" i="6"/>
  <c r="CQ225" i="6"/>
  <c r="CP225" i="6"/>
  <c r="CO225" i="6"/>
  <c r="CN225" i="6"/>
  <c r="CM225" i="6"/>
  <c r="CL225" i="6"/>
  <c r="CJ225" i="6"/>
  <c r="CI225" i="6"/>
  <c r="CK225" i="6" s="1"/>
  <c r="CH225" i="6"/>
  <c r="CG225" i="6"/>
  <c r="CF225" i="6"/>
  <c r="CE225" i="6"/>
  <c r="CD225" i="6"/>
  <c r="CC225" i="6"/>
  <c r="CB225" i="6"/>
  <c r="CA225" i="6"/>
  <c r="BZ225" i="6"/>
  <c r="BY225" i="6"/>
  <c r="BX225" i="6"/>
  <c r="BW225" i="6"/>
  <c r="BV225" i="6"/>
  <c r="BU225" i="6"/>
  <c r="BR225" i="6"/>
  <c r="BQ225" i="6"/>
  <c r="BS225" i="6" s="1"/>
  <c r="BP225" i="6"/>
  <c r="BO225" i="6"/>
  <c r="BM225" i="6"/>
  <c r="BL225" i="6"/>
  <c r="BK225" i="6"/>
  <c r="BJ225" i="6"/>
  <c r="BN225" i="6" s="1"/>
  <c r="BH225" i="6"/>
  <c r="BI225" i="6" s="1"/>
  <c r="BG225" i="6"/>
  <c r="BF225" i="6"/>
  <c r="BD225" i="6"/>
  <c r="BC225" i="6"/>
  <c r="BB225" i="6"/>
  <c r="AZ225" i="6"/>
  <c r="AY225" i="6"/>
  <c r="AX225" i="6"/>
  <c r="AW225" i="6"/>
  <c r="AV225" i="6"/>
  <c r="AT225" i="6"/>
  <c r="AS225" i="6"/>
  <c r="AU225" i="6" s="1"/>
  <c r="AQ225" i="6"/>
  <c r="AP225" i="6"/>
  <c r="AR225" i="6" s="1"/>
  <c r="AN225" i="6"/>
  <c r="AM225" i="6"/>
  <c r="AO225" i="6" s="1"/>
  <c r="AL225" i="6"/>
  <c r="AK225" i="6"/>
  <c r="AI225" i="6"/>
  <c r="AJ225" i="6" s="1"/>
  <c r="AG225" i="6"/>
  <c r="AE225" i="6"/>
  <c r="AD225" i="6"/>
  <c r="AC225" i="6"/>
  <c r="AF225" i="6" s="1"/>
  <c r="AA225" i="6"/>
  <c r="Z225" i="6"/>
  <c r="Y225" i="6"/>
  <c r="W225" i="6"/>
  <c r="V225" i="6"/>
  <c r="X225" i="6" s="1"/>
  <c r="T225" i="6"/>
  <c r="R225" i="6"/>
  <c r="S225" i="6" s="1"/>
  <c r="P225" i="6"/>
  <c r="O225" i="6"/>
  <c r="N225" i="6"/>
  <c r="M225" i="6"/>
  <c r="Q225" i="6" s="1"/>
  <c r="K225" i="6"/>
  <c r="J225" i="6"/>
  <c r="H225" i="6"/>
  <c r="G225" i="6"/>
  <c r="F225" i="6"/>
  <c r="E225" i="6"/>
  <c r="I225" i="6" s="1"/>
  <c r="D225" i="6"/>
  <c r="C225" i="6"/>
  <c r="B225" i="6"/>
  <c r="DW224" i="6"/>
  <c r="DM224" i="6"/>
  <c r="DL224" i="6"/>
  <c r="DK224" i="6"/>
  <c r="DJ224" i="6"/>
  <c r="DN224" i="6" s="1"/>
  <c r="DI224" i="6"/>
  <c r="DH224" i="6"/>
  <c r="DG224" i="6"/>
  <c r="DF224" i="6"/>
  <c r="DE224" i="6"/>
  <c r="DD224" i="6"/>
  <c r="DB224" i="6"/>
  <c r="DA224" i="6"/>
  <c r="DC224" i="6" s="1"/>
  <c r="CZ224" i="6"/>
  <c r="CY224" i="6"/>
  <c r="CX224" i="6"/>
  <c r="CV224" i="6"/>
  <c r="CW224" i="6" s="1"/>
  <c r="CU224" i="6"/>
  <c r="CT224" i="6"/>
  <c r="CR224" i="6"/>
  <c r="CS224" i="6" s="1"/>
  <c r="CQ224" i="6"/>
  <c r="CP224" i="6"/>
  <c r="CN224" i="6"/>
  <c r="CM224" i="6"/>
  <c r="CL224" i="6"/>
  <c r="CK224" i="6"/>
  <c r="CJ224" i="6"/>
  <c r="CI224" i="6"/>
  <c r="CH224" i="6"/>
  <c r="CG224" i="6"/>
  <c r="CF224" i="6"/>
  <c r="CE224" i="6"/>
  <c r="CD224" i="6"/>
  <c r="CB224" i="6"/>
  <c r="CC224" i="6" s="1"/>
  <c r="BZ224" i="6"/>
  <c r="BY224" i="6"/>
  <c r="BX224" i="6"/>
  <c r="BW224" i="6"/>
  <c r="CA224" i="6" s="1"/>
  <c r="BV224" i="6"/>
  <c r="BU224" i="6"/>
  <c r="BR224" i="6"/>
  <c r="BQ224" i="6"/>
  <c r="BS224" i="6" s="1"/>
  <c r="BP224" i="6"/>
  <c r="BO224" i="6"/>
  <c r="BM224" i="6"/>
  <c r="BL224" i="6"/>
  <c r="BK224" i="6"/>
  <c r="BJ224" i="6"/>
  <c r="BI224" i="6"/>
  <c r="BH224" i="6"/>
  <c r="BG224" i="6"/>
  <c r="BF224" i="6"/>
  <c r="BD224" i="6"/>
  <c r="BC224" i="6"/>
  <c r="BE224" i="6" s="1"/>
  <c r="BB224" i="6"/>
  <c r="AZ224" i="6"/>
  <c r="AY224" i="6"/>
  <c r="BA224" i="6" s="1"/>
  <c r="AW224" i="6"/>
  <c r="AV224" i="6"/>
  <c r="AX224" i="6" s="1"/>
  <c r="AT224" i="6"/>
  <c r="AS224" i="6"/>
  <c r="AU224" i="6" s="1"/>
  <c r="AQ224" i="6"/>
  <c r="AP224" i="6"/>
  <c r="AR224" i="6" s="1"/>
  <c r="AN224" i="6"/>
  <c r="AM224" i="6"/>
  <c r="AO224" i="6" s="1"/>
  <c r="AK224" i="6"/>
  <c r="AL224" i="6" s="1"/>
  <c r="AI224" i="6"/>
  <c r="AJ224" i="6" s="1"/>
  <c r="AG224" i="6"/>
  <c r="AE224" i="6"/>
  <c r="AD224" i="6"/>
  <c r="AC224" i="6"/>
  <c r="AA224" i="6"/>
  <c r="Z224" i="6"/>
  <c r="AB224" i="6" s="1"/>
  <c r="Y224" i="6"/>
  <c r="W224" i="6"/>
  <c r="V224" i="6"/>
  <c r="T224" i="6"/>
  <c r="R224" i="6"/>
  <c r="S224" i="6" s="1"/>
  <c r="P224" i="6"/>
  <c r="O224" i="6"/>
  <c r="N224" i="6"/>
  <c r="M224" i="6"/>
  <c r="Q224" i="6" s="1"/>
  <c r="K224" i="6"/>
  <c r="J224" i="6"/>
  <c r="H224" i="6"/>
  <c r="G224" i="6"/>
  <c r="F224" i="6"/>
  <c r="DV224" i="6" s="1"/>
  <c r="E224" i="6"/>
  <c r="I224" i="6" s="1"/>
  <c r="D224" i="6"/>
  <c r="C224" i="6"/>
  <c r="B224" i="6"/>
  <c r="DW223" i="6"/>
  <c r="DM223" i="6"/>
  <c r="DL223" i="6"/>
  <c r="DK223" i="6"/>
  <c r="DJ223" i="6"/>
  <c r="DN223" i="6" s="1"/>
  <c r="DI223" i="6"/>
  <c r="DH223" i="6"/>
  <c r="DF223" i="6"/>
  <c r="DG223" i="6" s="1"/>
  <c r="DD223" i="6"/>
  <c r="DE223" i="6" s="1"/>
  <c r="DB223" i="6"/>
  <c r="DA223" i="6"/>
  <c r="DC223" i="6" s="1"/>
  <c r="CY223" i="6"/>
  <c r="CZ223" i="6" s="1"/>
  <c r="CX223" i="6"/>
  <c r="CW223" i="6"/>
  <c r="CV223" i="6"/>
  <c r="CT223" i="6"/>
  <c r="CU223" i="6" s="1"/>
  <c r="CR223" i="6"/>
  <c r="CS223" i="6" s="1"/>
  <c r="CQ223" i="6"/>
  <c r="CP223" i="6"/>
  <c r="CN223" i="6"/>
  <c r="CM223" i="6"/>
  <c r="CO223" i="6" s="1"/>
  <c r="CL223" i="6"/>
  <c r="CJ223" i="6"/>
  <c r="CI223" i="6"/>
  <c r="CK223" i="6" s="1"/>
  <c r="CH223" i="6"/>
  <c r="CG223" i="6"/>
  <c r="CF223" i="6"/>
  <c r="CE223" i="6"/>
  <c r="CD223" i="6"/>
  <c r="CB223" i="6"/>
  <c r="CC223" i="6" s="1"/>
  <c r="BZ223" i="6"/>
  <c r="BY223" i="6"/>
  <c r="BX223" i="6"/>
  <c r="CA223" i="6" s="1"/>
  <c r="BW223" i="6"/>
  <c r="BU223" i="6"/>
  <c r="BV223" i="6" s="1"/>
  <c r="BS223" i="6"/>
  <c r="BR223" i="6"/>
  <c r="BQ223" i="6"/>
  <c r="BP223" i="6"/>
  <c r="BO223" i="6"/>
  <c r="BM223" i="6"/>
  <c r="BL223" i="6"/>
  <c r="BK223" i="6"/>
  <c r="BJ223" i="6"/>
  <c r="BN223" i="6" s="1"/>
  <c r="BI223" i="6"/>
  <c r="BH223" i="6"/>
  <c r="BF223" i="6"/>
  <c r="BG223" i="6" s="1"/>
  <c r="BD223" i="6"/>
  <c r="BC223" i="6"/>
  <c r="BB223" i="6"/>
  <c r="BE223" i="6" s="1"/>
  <c r="BA223" i="6"/>
  <c r="AZ223" i="6"/>
  <c r="AY223" i="6"/>
  <c r="AW223" i="6"/>
  <c r="AV223" i="6"/>
  <c r="AX223" i="6" s="1"/>
  <c r="AU223" i="6"/>
  <c r="AT223" i="6"/>
  <c r="AS223" i="6"/>
  <c r="AQ223" i="6"/>
  <c r="AP223" i="6"/>
  <c r="AR223" i="6" s="1"/>
  <c r="AN223" i="6"/>
  <c r="AM223" i="6"/>
  <c r="AO223" i="6" s="1"/>
  <c r="AL223" i="6"/>
  <c r="AK223" i="6"/>
  <c r="AI223" i="6"/>
  <c r="AJ223" i="6" s="1"/>
  <c r="AG223" i="6"/>
  <c r="AE223" i="6"/>
  <c r="AD223" i="6"/>
  <c r="AC223" i="6"/>
  <c r="AA223" i="6"/>
  <c r="Z223" i="6"/>
  <c r="Y223" i="6"/>
  <c r="W223" i="6"/>
  <c r="X223" i="6" s="1"/>
  <c r="V223" i="6"/>
  <c r="T223" i="6"/>
  <c r="R223" i="6"/>
  <c r="S223" i="6" s="1"/>
  <c r="P223" i="6"/>
  <c r="O223" i="6"/>
  <c r="Q223" i="6" s="1"/>
  <c r="N223" i="6"/>
  <c r="M223" i="6"/>
  <c r="K223" i="6"/>
  <c r="J223" i="6"/>
  <c r="H223" i="6"/>
  <c r="G223" i="6"/>
  <c r="F223" i="6"/>
  <c r="DV223" i="6" s="1"/>
  <c r="E223" i="6"/>
  <c r="D223" i="6"/>
  <c r="C223" i="6"/>
  <c r="B223" i="6"/>
  <c r="DW222" i="6"/>
  <c r="DV222" i="6"/>
  <c r="DS222" i="6"/>
  <c r="DM222" i="6"/>
  <c r="DL222" i="6"/>
  <c r="DK222" i="6"/>
  <c r="DJ222" i="6"/>
  <c r="DN222" i="6" s="1"/>
  <c r="DH222" i="6"/>
  <c r="DI222" i="6" s="1"/>
  <c r="DF222" i="6"/>
  <c r="DG222" i="6" s="1"/>
  <c r="DE222" i="6"/>
  <c r="DD222" i="6"/>
  <c r="DB222" i="6"/>
  <c r="DA222" i="6"/>
  <c r="DC222" i="6" s="1"/>
  <c r="CY222" i="6"/>
  <c r="CX222" i="6"/>
  <c r="CZ222" i="6" s="1"/>
  <c r="CV222" i="6"/>
  <c r="CW222" i="6" s="1"/>
  <c r="CU222" i="6"/>
  <c r="CT222" i="6"/>
  <c r="CR222" i="6"/>
  <c r="CQ222" i="6"/>
  <c r="CS222" i="6" s="1"/>
  <c r="CP222" i="6"/>
  <c r="CO222" i="6"/>
  <c r="CN222" i="6"/>
  <c r="CM222" i="6"/>
  <c r="CL222" i="6"/>
  <c r="CJ222" i="6"/>
  <c r="CI222" i="6"/>
  <c r="CK222" i="6" s="1"/>
  <c r="CH222" i="6"/>
  <c r="CG222" i="6"/>
  <c r="CE222" i="6"/>
  <c r="CD222" i="6"/>
  <c r="CF222" i="6" s="1"/>
  <c r="CC222" i="6"/>
  <c r="CB222" i="6"/>
  <c r="BZ222" i="6"/>
  <c r="CA222" i="6" s="1"/>
  <c r="BY222" i="6"/>
  <c r="BX222" i="6"/>
  <c r="BW222" i="6"/>
  <c r="BU222" i="6"/>
  <c r="BV222" i="6" s="1"/>
  <c r="BR222" i="6"/>
  <c r="BQ222" i="6"/>
  <c r="BS222" i="6" s="1"/>
  <c r="BO222" i="6"/>
  <c r="BP222" i="6" s="1"/>
  <c r="BM222" i="6"/>
  <c r="BN222" i="6" s="1"/>
  <c r="BL222" i="6"/>
  <c r="BK222" i="6"/>
  <c r="BJ222" i="6"/>
  <c r="BI222" i="6"/>
  <c r="BH222" i="6"/>
  <c r="BF222" i="6"/>
  <c r="BG222" i="6" s="1"/>
  <c r="BD222" i="6"/>
  <c r="BC222" i="6"/>
  <c r="BE222" i="6" s="1"/>
  <c r="BB222" i="6"/>
  <c r="AZ222" i="6"/>
  <c r="AY222" i="6"/>
  <c r="BA222" i="6" s="1"/>
  <c r="AW222" i="6"/>
  <c r="AV222" i="6"/>
  <c r="AX222" i="6" s="1"/>
  <c r="AU222" i="6"/>
  <c r="AT222" i="6"/>
  <c r="AS222" i="6"/>
  <c r="AQ222" i="6"/>
  <c r="DT222" i="6" s="1"/>
  <c r="AP222" i="6"/>
  <c r="AR222" i="6" s="1"/>
  <c r="AO222" i="6"/>
  <c r="AN222" i="6"/>
  <c r="AM222" i="6"/>
  <c r="AK222" i="6"/>
  <c r="AL222" i="6" s="1"/>
  <c r="AJ222" i="6"/>
  <c r="AI222" i="6"/>
  <c r="AG222" i="6"/>
  <c r="AF222" i="6"/>
  <c r="AE222" i="6"/>
  <c r="AD222" i="6"/>
  <c r="AC222" i="6"/>
  <c r="AB222" i="6"/>
  <c r="AA222" i="6"/>
  <c r="Z222" i="6"/>
  <c r="Y222" i="6"/>
  <c r="X222" i="6"/>
  <c r="W222" i="6"/>
  <c r="V222" i="6"/>
  <c r="T222" i="6"/>
  <c r="R222" i="6"/>
  <c r="Q222" i="6"/>
  <c r="P222" i="6"/>
  <c r="O222" i="6"/>
  <c r="N222" i="6"/>
  <c r="M222" i="6"/>
  <c r="K222" i="6"/>
  <c r="J222" i="6"/>
  <c r="H222" i="6"/>
  <c r="G222" i="6"/>
  <c r="F222" i="6"/>
  <c r="E222" i="6"/>
  <c r="D222" i="6"/>
  <c r="C222" i="6"/>
  <c r="B222" i="6"/>
  <c r="DW221" i="6"/>
  <c r="DQ221" i="6"/>
  <c r="DP221" i="6"/>
  <c r="DM221" i="6"/>
  <c r="DL221" i="6"/>
  <c r="DN221" i="6" s="1"/>
  <c r="DK221" i="6"/>
  <c r="DJ221" i="6"/>
  <c r="DI221" i="6"/>
  <c r="DH221" i="6"/>
  <c r="DF221" i="6"/>
  <c r="DG221" i="6" s="1"/>
  <c r="DE221" i="6"/>
  <c r="DD221" i="6"/>
  <c r="DB221" i="6"/>
  <c r="DA221" i="6"/>
  <c r="DC221" i="6" s="1"/>
  <c r="CY221" i="6"/>
  <c r="CZ221" i="6" s="1"/>
  <c r="CX221" i="6"/>
  <c r="CV221" i="6"/>
  <c r="CW221" i="6" s="1"/>
  <c r="CT221" i="6"/>
  <c r="CU221" i="6" s="1"/>
  <c r="CR221" i="6"/>
  <c r="CQ221" i="6"/>
  <c r="CP221" i="6"/>
  <c r="CN221" i="6"/>
  <c r="CM221" i="6"/>
  <c r="CO221" i="6" s="1"/>
  <c r="CL221" i="6"/>
  <c r="CJ221" i="6"/>
  <c r="CI221" i="6"/>
  <c r="CK221" i="6" s="1"/>
  <c r="CG221" i="6"/>
  <c r="CH221" i="6" s="1"/>
  <c r="CF221" i="6"/>
  <c r="CE221" i="6"/>
  <c r="CD221" i="6"/>
  <c r="CB221" i="6"/>
  <c r="CC221" i="6" s="1"/>
  <c r="BZ221" i="6"/>
  <c r="BY221" i="6"/>
  <c r="BX221" i="6"/>
  <c r="BW221" i="6"/>
  <c r="CA221" i="6" s="1"/>
  <c r="BV221" i="6"/>
  <c r="BU221" i="6"/>
  <c r="BR221" i="6"/>
  <c r="BQ221" i="6"/>
  <c r="BS221" i="6" s="1"/>
  <c r="BO221" i="6"/>
  <c r="BP221" i="6" s="1"/>
  <c r="BM221" i="6"/>
  <c r="BN221" i="6" s="1"/>
  <c r="BL221" i="6"/>
  <c r="BK221" i="6"/>
  <c r="BJ221" i="6"/>
  <c r="BH221" i="6"/>
  <c r="BI221" i="6" s="1"/>
  <c r="BF221" i="6"/>
  <c r="BG221" i="6" s="1"/>
  <c r="BE221" i="6"/>
  <c r="BD221" i="6"/>
  <c r="BC221" i="6"/>
  <c r="BB221" i="6"/>
  <c r="AZ221" i="6"/>
  <c r="AY221" i="6"/>
  <c r="BA221" i="6" s="1"/>
  <c r="AX221" i="6"/>
  <c r="AW221" i="6"/>
  <c r="AV221" i="6"/>
  <c r="AT221" i="6"/>
  <c r="AS221" i="6"/>
  <c r="AU221" i="6" s="1"/>
  <c r="AQ221" i="6"/>
  <c r="AR221" i="6" s="1"/>
  <c r="AP221" i="6"/>
  <c r="AN221" i="6"/>
  <c r="AM221" i="6"/>
  <c r="AO221" i="6" s="1"/>
  <c r="AL221" i="6"/>
  <c r="AK221" i="6"/>
  <c r="AI221" i="6"/>
  <c r="AJ221" i="6" s="1"/>
  <c r="AG221" i="6"/>
  <c r="AE221" i="6"/>
  <c r="AD221" i="6"/>
  <c r="AC221" i="6"/>
  <c r="AA221" i="6"/>
  <c r="Z221" i="6"/>
  <c r="AB221" i="6" s="1"/>
  <c r="Y221" i="6"/>
  <c r="X221" i="6"/>
  <c r="W221" i="6"/>
  <c r="V221" i="6"/>
  <c r="T221" i="6"/>
  <c r="R221" i="6"/>
  <c r="S221" i="6" s="1"/>
  <c r="P221" i="6"/>
  <c r="O221" i="6"/>
  <c r="N221" i="6"/>
  <c r="Q221" i="6" s="1"/>
  <c r="M221" i="6"/>
  <c r="K221" i="6"/>
  <c r="J221" i="6"/>
  <c r="H221" i="6"/>
  <c r="G221" i="6"/>
  <c r="DU221" i="6" s="1"/>
  <c r="F221" i="6"/>
  <c r="E221" i="6"/>
  <c r="I221" i="6" s="1"/>
  <c r="D221" i="6"/>
  <c r="C221" i="6"/>
  <c r="B221" i="6"/>
  <c r="DW220" i="6"/>
  <c r="DP220" i="6"/>
  <c r="DM220" i="6"/>
  <c r="DL220" i="6"/>
  <c r="DK220" i="6"/>
  <c r="DN220" i="6" s="1"/>
  <c r="DJ220" i="6"/>
  <c r="DH220" i="6"/>
  <c r="DI220" i="6" s="1"/>
  <c r="DF220" i="6"/>
  <c r="DG220" i="6" s="1"/>
  <c r="DE220" i="6"/>
  <c r="DD220" i="6"/>
  <c r="DC220" i="6"/>
  <c r="DB220" i="6"/>
  <c r="DA220" i="6"/>
  <c r="CZ220" i="6"/>
  <c r="CY220" i="6"/>
  <c r="CX220" i="6"/>
  <c r="CV220" i="6"/>
  <c r="CW220" i="6" s="1"/>
  <c r="CT220" i="6"/>
  <c r="CU220" i="6" s="1"/>
  <c r="CR220" i="6"/>
  <c r="CQ220" i="6"/>
  <c r="CP220" i="6"/>
  <c r="CS220" i="6" s="1"/>
  <c r="CN220" i="6"/>
  <c r="CO220" i="6" s="1"/>
  <c r="CM220" i="6"/>
  <c r="CL220" i="6"/>
  <c r="CK220" i="6"/>
  <c r="CJ220" i="6"/>
  <c r="CI220" i="6"/>
  <c r="CH220" i="6"/>
  <c r="CG220" i="6"/>
  <c r="CE220" i="6"/>
  <c r="CD220" i="6"/>
  <c r="CF220" i="6" s="1"/>
  <c r="CC220" i="6"/>
  <c r="CB220" i="6"/>
  <c r="BZ220" i="6"/>
  <c r="BY220" i="6"/>
  <c r="BX220" i="6"/>
  <c r="BW220" i="6"/>
  <c r="CA220" i="6" s="1"/>
  <c r="BU220" i="6"/>
  <c r="BV220" i="6" s="1"/>
  <c r="BR220" i="6"/>
  <c r="BQ220" i="6"/>
  <c r="BS220" i="6" s="1"/>
  <c r="BO220" i="6"/>
  <c r="BP220" i="6" s="1"/>
  <c r="BM220" i="6"/>
  <c r="BL220" i="6"/>
  <c r="BN220" i="6" s="1"/>
  <c r="BK220" i="6"/>
  <c r="BJ220" i="6"/>
  <c r="BH220" i="6"/>
  <c r="BI220" i="6" s="1"/>
  <c r="BG220" i="6"/>
  <c r="BF220" i="6"/>
  <c r="BD220" i="6"/>
  <c r="BC220" i="6"/>
  <c r="BB220" i="6"/>
  <c r="BE220" i="6" s="1"/>
  <c r="BA220" i="6"/>
  <c r="AZ220" i="6"/>
  <c r="AY220" i="6"/>
  <c r="AW220" i="6"/>
  <c r="AV220" i="6"/>
  <c r="AX220" i="6" s="1"/>
  <c r="AT220" i="6"/>
  <c r="AS220" i="6"/>
  <c r="AU220" i="6" s="1"/>
  <c r="AQ220" i="6"/>
  <c r="AP220" i="6"/>
  <c r="AR220" i="6" s="1"/>
  <c r="AN220" i="6"/>
  <c r="AO220" i="6" s="1"/>
  <c r="AM220" i="6"/>
  <c r="AK220" i="6"/>
  <c r="AL220" i="6" s="1"/>
  <c r="AJ220" i="6"/>
  <c r="AI220" i="6"/>
  <c r="AG220" i="6"/>
  <c r="AE220" i="6"/>
  <c r="AD220" i="6"/>
  <c r="AC220" i="6"/>
  <c r="AF220" i="6" s="1"/>
  <c r="AA220" i="6"/>
  <c r="Z220" i="6"/>
  <c r="Y220" i="6"/>
  <c r="W220" i="6"/>
  <c r="V220" i="6"/>
  <c r="T220" i="6"/>
  <c r="R220" i="6"/>
  <c r="S220" i="6" s="1"/>
  <c r="P220" i="6"/>
  <c r="O220" i="6"/>
  <c r="N220" i="6"/>
  <c r="M220" i="6"/>
  <c r="K220" i="6"/>
  <c r="J220" i="6"/>
  <c r="H220" i="6"/>
  <c r="G220" i="6"/>
  <c r="DU220" i="6" s="1"/>
  <c r="F220" i="6"/>
  <c r="DV220" i="6" s="1"/>
  <c r="E220" i="6"/>
  <c r="I220" i="6" s="1"/>
  <c r="D220" i="6"/>
  <c r="C220" i="6"/>
  <c r="B220" i="6"/>
  <c r="DW219" i="6"/>
  <c r="DV219" i="6"/>
  <c r="DS219" i="6"/>
  <c r="DP219" i="6"/>
  <c r="DM219" i="6"/>
  <c r="DL219" i="6"/>
  <c r="DN219" i="6" s="1"/>
  <c r="DK219" i="6"/>
  <c r="DJ219" i="6"/>
  <c r="DI219" i="6"/>
  <c r="DH219" i="6"/>
  <c r="DG219" i="6"/>
  <c r="DF219" i="6"/>
  <c r="DD219" i="6"/>
  <c r="DE219" i="6" s="1"/>
  <c r="DC219" i="6"/>
  <c r="DB219" i="6"/>
  <c r="DA219" i="6"/>
  <c r="CY219" i="6"/>
  <c r="CX219" i="6"/>
  <c r="CV219" i="6"/>
  <c r="DQ219" i="6" s="1"/>
  <c r="CU219" i="6"/>
  <c r="CT219" i="6"/>
  <c r="CS219" i="6"/>
  <c r="CR219" i="6"/>
  <c r="CQ219" i="6"/>
  <c r="CP219" i="6"/>
  <c r="CN219" i="6"/>
  <c r="CM219" i="6"/>
  <c r="CL219" i="6"/>
  <c r="CO219" i="6" s="1"/>
  <c r="CJ219" i="6"/>
  <c r="CI219" i="6"/>
  <c r="CK219" i="6" s="1"/>
  <c r="CG219" i="6"/>
  <c r="CH219" i="6" s="1"/>
  <c r="CE219" i="6"/>
  <c r="CD219" i="6"/>
  <c r="CF219" i="6" s="1"/>
  <c r="CB219" i="6"/>
  <c r="CC219" i="6" s="1"/>
  <c r="BZ219" i="6"/>
  <c r="BY219" i="6"/>
  <c r="BX219" i="6"/>
  <c r="BW219" i="6"/>
  <c r="CA219" i="6" s="1"/>
  <c r="BU219" i="6"/>
  <c r="BV219" i="6" s="1"/>
  <c r="BS219" i="6"/>
  <c r="BR219" i="6"/>
  <c r="BQ219" i="6"/>
  <c r="BP219" i="6"/>
  <c r="BO219" i="6"/>
  <c r="BM219" i="6"/>
  <c r="BL219" i="6"/>
  <c r="BK219" i="6"/>
  <c r="BJ219" i="6"/>
  <c r="BN219" i="6" s="1"/>
  <c r="BI219" i="6"/>
  <c r="BH219" i="6"/>
  <c r="BG219" i="6"/>
  <c r="BF219" i="6"/>
  <c r="BD219" i="6"/>
  <c r="BC219" i="6"/>
  <c r="BB219" i="6"/>
  <c r="BE219" i="6" s="1"/>
  <c r="AZ219" i="6"/>
  <c r="AY219" i="6"/>
  <c r="AX219" i="6"/>
  <c r="AW219" i="6"/>
  <c r="AV219" i="6"/>
  <c r="AT219" i="6"/>
  <c r="AS219" i="6"/>
  <c r="AU219" i="6" s="1"/>
  <c r="AQ219" i="6"/>
  <c r="AP219" i="6"/>
  <c r="AR219" i="6" s="1"/>
  <c r="AN219" i="6"/>
  <c r="AM219" i="6"/>
  <c r="AO219" i="6" s="1"/>
  <c r="AK219" i="6"/>
  <c r="AL219" i="6" s="1"/>
  <c r="AI219" i="6"/>
  <c r="AJ219" i="6" s="1"/>
  <c r="AG219" i="6"/>
  <c r="AF219" i="6"/>
  <c r="AE219" i="6"/>
  <c r="AD219" i="6"/>
  <c r="AC219" i="6"/>
  <c r="AA219" i="6"/>
  <c r="Z219" i="6"/>
  <c r="Y219" i="6"/>
  <c r="W219" i="6"/>
  <c r="V219" i="6"/>
  <c r="X219" i="6" s="1"/>
  <c r="T219" i="6"/>
  <c r="R219" i="6"/>
  <c r="S219" i="6" s="1"/>
  <c r="P219" i="6"/>
  <c r="O219" i="6"/>
  <c r="N219" i="6"/>
  <c r="M219" i="6"/>
  <c r="Q219" i="6" s="1"/>
  <c r="K219" i="6"/>
  <c r="J219" i="6"/>
  <c r="H219" i="6"/>
  <c r="G219" i="6"/>
  <c r="F219" i="6"/>
  <c r="E219" i="6"/>
  <c r="I219" i="6" s="1"/>
  <c r="D219" i="6"/>
  <c r="C219" i="6"/>
  <c r="B219" i="6"/>
  <c r="DW218" i="6"/>
  <c r="DM218" i="6"/>
  <c r="DL218" i="6"/>
  <c r="DK218" i="6"/>
  <c r="DJ218" i="6"/>
  <c r="DN218" i="6" s="1"/>
  <c r="DI218" i="6"/>
  <c r="DH218" i="6"/>
  <c r="DF218" i="6"/>
  <c r="DG218" i="6" s="1"/>
  <c r="DD218" i="6"/>
  <c r="DE218" i="6" s="1"/>
  <c r="DB218" i="6"/>
  <c r="DA218" i="6"/>
  <c r="DC218" i="6" s="1"/>
  <c r="CZ218" i="6"/>
  <c r="CY218" i="6"/>
  <c r="CX218" i="6"/>
  <c r="CV218" i="6"/>
  <c r="CW218" i="6" s="1"/>
  <c r="CU218" i="6"/>
  <c r="CT218" i="6"/>
  <c r="CR218" i="6"/>
  <c r="CQ218" i="6"/>
  <c r="CP218" i="6"/>
  <c r="CS218" i="6" s="1"/>
  <c r="CN218" i="6"/>
  <c r="CM218" i="6"/>
  <c r="CL218" i="6"/>
  <c r="CO218" i="6" s="1"/>
  <c r="CJ218" i="6"/>
  <c r="CK218" i="6" s="1"/>
  <c r="CI218" i="6"/>
  <c r="CG218" i="6"/>
  <c r="CH218" i="6" s="1"/>
  <c r="CE218" i="6"/>
  <c r="CD218" i="6"/>
  <c r="CF218" i="6" s="1"/>
  <c r="CC218" i="6"/>
  <c r="CB218" i="6"/>
  <c r="BZ218" i="6"/>
  <c r="BY218" i="6"/>
  <c r="CA218" i="6" s="1"/>
  <c r="BX218" i="6"/>
  <c r="BW218" i="6"/>
  <c r="BU218" i="6"/>
  <c r="BV218" i="6" s="1"/>
  <c r="BS218" i="6"/>
  <c r="BR218" i="6"/>
  <c r="BQ218" i="6"/>
  <c r="BP218" i="6"/>
  <c r="BO218" i="6"/>
  <c r="BM218" i="6"/>
  <c r="BL218" i="6"/>
  <c r="BK218" i="6"/>
  <c r="BN218" i="6" s="1"/>
  <c r="BJ218" i="6"/>
  <c r="BH218" i="6"/>
  <c r="BI218" i="6" s="1"/>
  <c r="BF218" i="6"/>
  <c r="BG218" i="6" s="1"/>
  <c r="BD218" i="6"/>
  <c r="BC218" i="6"/>
  <c r="BB218" i="6"/>
  <c r="BE218" i="6" s="1"/>
  <c r="AZ218" i="6"/>
  <c r="AY218" i="6"/>
  <c r="BA218" i="6" s="1"/>
  <c r="AW218" i="6"/>
  <c r="AV218" i="6"/>
  <c r="AX218" i="6" s="1"/>
  <c r="AT218" i="6"/>
  <c r="AS218" i="6"/>
  <c r="AU218" i="6" s="1"/>
  <c r="AR218" i="6"/>
  <c r="AQ218" i="6"/>
  <c r="AP218" i="6"/>
  <c r="AN218" i="6"/>
  <c r="AM218" i="6"/>
  <c r="AO218" i="6" s="1"/>
  <c r="AK218" i="6"/>
  <c r="AJ218" i="6"/>
  <c r="AI218" i="6"/>
  <c r="AG218" i="6"/>
  <c r="AE218" i="6"/>
  <c r="AF218" i="6" s="1"/>
  <c r="AD218" i="6"/>
  <c r="AC218" i="6"/>
  <c r="AA218" i="6"/>
  <c r="Z218" i="6"/>
  <c r="AB218" i="6" s="1"/>
  <c r="Y218" i="6"/>
  <c r="W218" i="6"/>
  <c r="DV218" i="6" s="1"/>
  <c r="V218" i="6"/>
  <c r="T218" i="6"/>
  <c r="R218" i="6"/>
  <c r="S218" i="6" s="1"/>
  <c r="P218" i="6"/>
  <c r="O218" i="6"/>
  <c r="Q218" i="6" s="1"/>
  <c r="N218" i="6"/>
  <c r="M218" i="6"/>
  <c r="K218" i="6"/>
  <c r="J218" i="6"/>
  <c r="H218" i="6"/>
  <c r="G218" i="6"/>
  <c r="F218" i="6"/>
  <c r="E218" i="6"/>
  <c r="DP218" i="6" s="1"/>
  <c r="D218" i="6"/>
  <c r="C218" i="6"/>
  <c r="B218" i="6"/>
  <c r="DW217" i="6"/>
  <c r="DM217" i="6"/>
  <c r="DL217" i="6"/>
  <c r="DK217" i="6"/>
  <c r="DJ217" i="6"/>
  <c r="DN217" i="6" s="1"/>
  <c r="DI217" i="6"/>
  <c r="DH217" i="6"/>
  <c r="DF217" i="6"/>
  <c r="DG217" i="6" s="1"/>
  <c r="DD217" i="6"/>
  <c r="DE217" i="6" s="1"/>
  <c r="DB217" i="6"/>
  <c r="DA217" i="6"/>
  <c r="DC217" i="6" s="1"/>
  <c r="CY217" i="6"/>
  <c r="CZ217" i="6" s="1"/>
  <c r="CX217" i="6"/>
  <c r="CV217" i="6"/>
  <c r="CW217" i="6" s="1"/>
  <c r="CT217" i="6"/>
  <c r="CU217" i="6" s="1"/>
  <c r="CR217" i="6"/>
  <c r="CS217" i="6" s="1"/>
  <c r="CQ217" i="6"/>
  <c r="CP217" i="6"/>
  <c r="CN217" i="6"/>
  <c r="CM217" i="6"/>
  <c r="CL217" i="6"/>
  <c r="CO217" i="6" s="1"/>
  <c r="CJ217" i="6"/>
  <c r="CI217" i="6"/>
  <c r="CK217" i="6" s="1"/>
  <c r="CH217" i="6"/>
  <c r="CG217" i="6"/>
  <c r="CE217" i="6"/>
  <c r="CD217" i="6"/>
  <c r="CF217" i="6" s="1"/>
  <c r="CC217" i="6"/>
  <c r="CB217" i="6"/>
  <c r="BZ217" i="6"/>
  <c r="BY217" i="6"/>
  <c r="BX217" i="6"/>
  <c r="BW217" i="6"/>
  <c r="BU217" i="6"/>
  <c r="BV217" i="6" s="1"/>
  <c r="BR217" i="6"/>
  <c r="BS217" i="6" s="1"/>
  <c r="BQ217" i="6"/>
  <c r="BO217" i="6"/>
  <c r="BP217" i="6" s="1"/>
  <c r="BM217" i="6"/>
  <c r="BL217" i="6"/>
  <c r="BK217" i="6"/>
  <c r="BN217" i="6" s="1"/>
  <c r="BJ217" i="6"/>
  <c r="BH217" i="6"/>
  <c r="BI217" i="6" s="1"/>
  <c r="BF217" i="6"/>
  <c r="BG217" i="6" s="1"/>
  <c r="BD217" i="6"/>
  <c r="BC217" i="6"/>
  <c r="BB217" i="6"/>
  <c r="BE217" i="6" s="1"/>
  <c r="AZ217" i="6"/>
  <c r="AY217" i="6"/>
  <c r="BA217" i="6" s="1"/>
  <c r="AX217" i="6"/>
  <c r="AW217" i="6"/>
  <c r="AV217" i="6"/>
  <c r="AT217" i="6"/>
  <c r="AS217" i="6"/>
  <c r="AU217" i="6" s="1"/>
  <c r="AQ217" i="6"/>
  <c r="AP217" i="6"/>
  <c r="AR217" i="6" s="1"/>
  <c r="AO217" i="6"/>
  <c r="AN217" i="6"/>
  <c r="AM217" i="6"/>
  <c r="AK217" i="6"/>
  <c r="AL217" i="6" s="1"/>
  <c r="AJ217" i="6"/>
  <c r="AI217" i="6"/>
  <c r="AG217" i="6"/>
  <c r="AE217" i="6"/>
  <c r="AF217" i="6" s="1"/>
  <c r="AD217" i="6"/>
  <c r="AC217" i="6"/>
  <c r="AA217" i="6"/>
  <c r="Z217" i="6"/>
  <c r="AB217" i="6" s="1"/>
  <c r="Y217" i="6"/>
  <c r="X217" i="6"/>
  <c r="W217" i="6"/>
  <c r="V217" i="6"/>
  <c r="T217" i="6"/>
  <c r="R217" i="6"/>
  <c r="S217" i="6" s="1"/>
  <c r="Q217" i="6"/>
  <c r="P217" i="6"/>
  <c r="O217" i="6"/>
  <c r="N217" i="6"/>
  <c r="M217" i="6"/>
  <c r="K217" i="6"/>
  <c r="J217" i="6"/>
  <c r="H217" i="6"/>
  <c r="G217" i="6"/>
  <c r="F217" i="6"/>
  <c r="DV217" i="6" s="1"/>
  <c r="E217" i="6"/>
  <c r="D217" i="6"/>
  <c r="C217" i="6"/>
  <c r="B217" i="6"/>
  <c r="DW216" i="6"/>
  <c r="DS216" i="6"/>
  <c r="DN216" i="6"/>
  <c r="DM216" i="6"/>
  <c r="DL216" i="6"/>
  <c r="DK216" i="6"/>
  <c r="DJ216" i="6"/>
  <c r="DH216" i="6"/>
  <c r="DI216" i="6" s="1"/>
  <c r="DG216" i="6"/>
  <c r="DF216" i="6"/>
  <c r="DE216" i="6"/>
  <c r="DD216" i="6"/>
  <c r="DB216" i="6"/>
  <c r="DA216" i="6"/>
  <c r="DC216" i="6" s="1"/>
  <c r="CY216" i="6"/>
  <c r="CZ216" i="6" s="1"/>
  <c r="CX216" i="6"/>
  <c r="CV216" i="6"/>
  <c r="CW216" i="6" s="1"/>
  <c r="CU216" i="6"/>
  <c r="CT216" i="6"/>
  <c r="CR216" i="6"/>
  <c r="CQ216" i="6"/>
  <c r="CS216" i="6" s="1"/>
  <c r="CP216" i="6"/>
  <c r="CN216" i="6"/>
  <c r="CM216" i="6"/>
  <c r="CL216" i="6"/>
  <c r="CO216" i="6" s="1"/>
  <c r="CJ216" i="6"/>
  <c r="CI216" i="6"/>
  <c r="CK216" i="6" s="1"/>
  <c r="CH216" i="6"/>
  <c r="CG216" i="6"/>
  <c r="CF216" i="6"/>
  <c r="CE216" i="6"/>
  <c r="CD216" i="6"/>
  <c r="CB216" i="6"/>
  <c r="CC216" i="6" s="1"/>
  <c r="BZ216" i="6"/>
  <c r="BY216" i="6"/>
  <c r="CA216" i="6" s="1"/>
  <c r="BX216" i="6"/>
  <c r="BW216" i="6"/>
  <c r="BU216" i="6"/>
  <c r="BV216" i="6" s="1"/>
  <c r="BR216" i="6"/>
  <c r="BQ216" i="6"/>
  <c r="BS216" i="6" s="1"/>
  <c r="BO216" i="6"/>
  <c r="BP216" i="6" s="1"/>
  <c r="BM216" i="6"/>
  <c r="BL216" i="6"/>
  <c r="DT216" i="6" s="1"/>
  <c r="BK216" i="6"/>
  <c r="BJ216" i="6"/>
  <c r="BI216" i="6"/>
  <c r="BH216" i="6"/>
  <c r="BG216" i="6"/>
  <c r="BF216" i="6"/>
  <c r="BE216" i="6"/>
  <c r="BD216" i="6"/>
  <c r="BC216" i="6"/>
  <c r="BB216" i="6"/>
  <c r="AZ216" i="6"/>
  <c r="AY216" i="6"/>
  <c r="BA216" i="6" s="1"/>
  <c r="AX216" i="6"/>
  <c r="AW216" i="6"/>
  <c r="AV216" i="6"/>
  <c r="AT216" i="6"/>
  <c r="AS216" i="6"/>
  <c r="AU216" i="6" s="1"/>
  <c r="AQ216" i="6"/>
  <c r="AP216" i="6"/>
  <c r="AR216" i="6" s="1"/>
  <c r="AO216" i="6"/>
  <c r="AN216" i="6"/>
  <c r="AM216" i="6"/>
  <c r="AL216" i="6"/>
  <c r="AK216" i="6"/>
  <c r="AJ216" i="6"/>
  <c r="AI216" i="6"/>
  <c r="AG216" i="6"/>
  <c r="AE216" i="6"/>
  <c r="AF216" i="6" s="1"/>
  <c r="AD216" i="6"/>
  <c r="AC216" i="6"/>
  <c r="AA216" i="6"/>
  <c r="AB216" i="6" s="1"/>
  <c r="Z216" i="6"/>
  <c r="Y216" i="6"/>
  <c r="W216" i="6"/>
  <c r="V216" i="6"/>
  <c r="X216" i="6" s="1"/>
  <c r="U216" i="6"/>
  <c r="T216" i="6"/>
  <c r="S216" i="6"/>
  <c r="R216" i="6"/>
  <c r="P216" i="6"/>
  <c r="O216" i="6"/>
  <c r="DU216" i="6" s="1"/>
  <c r="N216" i="6"/>
  <c r="DV216" i="6" s="1"/>
  <c r="M216" i="6"/>
  <c r="K216" i="6"/>
  <c r="J216" i="6"/>
  <c r="H216" i="6"/>
  <c r="G216" i="6"/>
  <c r="F216" i="6"/>
  <c r="E216" i="6"/>
  <c r="D216" i="6"/>
  <c r="C216" i="6"/>
  <c r="B216" i="6"/>
  <c r="DW215" i="6"/>
  <c r="DM215" i="6"/>
  <c r="DL215" i="6"/>
  <c r="DK215" i="6"/>
  <c r="DJ215" i="6"/>
  <c r="DI215" i="6"/>
  <c r="DH215" i="6"/>
  <c r="DG215" i="6"/>
  <c r="DF215" i="6"/>
  <c r="DE215" i="6"/>
  <c r="DD215" i="6"/>
  <c r="DB215" i="6"/>
  <c r="DA215" i="6"/>
  <c r="DC215" i="6" s="1"/>
  <c r="CY215" i="6"/>
  <c r="CZ215" i="6" s="1"/>
  <c r="CX215" i="6"/>
  <c r="CV215" i="6"/>
  <c r="CW215" i="6" s="1"/>
  <c r="CU215" i="6"/>
  <c r="CT215" i="6"/>
  <c r="CR215" i="6"/>
  <c r="CS215" i="6" s="1"/>
  <c r="CQ215" i="6"/>
  <c r="CP215" i="6"/>
  <c r="CN215" i="6"/>
  <c r="CM215" i="6"/>
  <c r="CL215" i="6"/>
  <c r="CO215" i="6" s="1"/>
  <c r="CJ215" i="6"/>
  <c r="CI215" i="6"/>
  <c r="CK215" i="6" s="1"/>
  <c r="CG215" i="6"/>
  <c r="CH215" i="6" s="1"/>
  <c r="CF215" i="6"/>
  <c r="CE215" i="6"/>
  <c r="CD215" i="6"/>
  <c r="CB215" i="6"/>
  <c r="CC215" i="6" s="1"/>
  <c r="BZ215" i="6"/>
  <c r="BY215" i="6"/>
  <c r="BX215" i="6"/>
  <c r="BW215" i="6"/>
  <c r="CA215" i="6" s="1"/>
  <c r="BU215" i="6"/>
  <c r="BV215" i="6" s="1"/>
  <c r="BR215" i="6"/>
  <c r="BS215" i="6" s="1"/>
  <c r="BQ215" i="6"/>
  <c r="BO215" i="6"/>
  <c r="BP215" i="6" s="1"/>
  <c r="BM215" i="6"/>
  <c r="BL215" i="6"/>
  <c r="BN215" i="6" s="1"/>
  <c r="BK215" i="6"/>
  <c r="BJ215" i="6"/>
  <c r="BI215" i="6"/>
  <c r="BH215" i="6"/>
  <c r="BF215" i="6"/>
  <c r="BG215" i="6" s="1"/>
  <c r="BD215" i="6"/>
  <c r="BC215" i="6"/>
  <c r="BB215" i="6"/>
  <c r="BE215" i="6" s="1"/>
  <c r="AZ215" i="6"/>
  <c r="AY215" i="6"/>
  <c r="BA215" i="6" s="1"/>
  <c r="AX215" i="6"/>
  <c r="AW215" i="6"/>
  <c r="AV215" i="6"/>
  <c r="AT215" i="6"/>
  <c r="AS215" i="6"/>
  <c r="AU215" i="6" s="1"/>
  <c r="AQ215" i="6"/>
  <c r="AP215" i="6"/>
  <c r="AR215" i="6" s="1"/>
  <c r="AN215" i="6"/>
  <c r="AM215" i="6"/>
  <c r="AO215" i="6" s="1"/>
  <c r="AL215" i="6"/>
  <c r="AK215" i="6"/>
  <c r="AI215" i="6"/>
  <c r="AJ215" i="6" s="1"/>
  <c r="AG215" i="6"/>
  <c r="AE215" i="6"/>
  <c r="AD215" i="6"/>
  <c r="AC215" i="6"/>
  <c r="AA215" i="6"/>
  <c r="Z215" i="6"/>
  <c r="AB215" i="6" s="1"/>
  <c r="Y215" i="6"/>
  <c r="X215" i="6"/>
  <c r="W215" i="6"/>
  <c r="V215" i="6"/>
  <c r="U215" i="6"/>
  <c r="T215" i="6"/>
  <c r="S215" i="6"/>
  <c r="R215" i="6"/>
  <c r="P215" i="6"/>
  <c r="O215" i="6"/>
  <c r="Q215" i="6" s="1"/>
  <c r="N215" i="6"/>
  <c r="M215" i="6"/>
  <c r="K215" i="6"/>
  <c r="J215" i="6"/>
  <c r="H215" i="6"/>
  <c r="G215" i="6"/>
  <c r="F215" i="6"/>
  <c r="DV215" i="6" s="1"/>
  <c r="E215" i="6"/>
  <c r="D215" i="6"/>
  <c r="C215" i="6"/>
  <c r="B215" i="6"/>
  <c r="DW214" i="6"/>
  <c r="DV214" i="6"/>
  <c r="DU214" i="6"/>
  <c r="DS214" i="6"/>
  <c r="DM214" i="6"/>
  <c r="DL214" i="6"/>
  <c r="DK214" i="6"/>
  <c r="DN214" i="6" s="1"/>
  <c r="DJ214" i="6"/>
  <c r="DH214" i="6"/>
  <c r="DI214" i="6" s="1"/>
  <c r="DF214" i="6"/>
  <c r="DG214" i="6" s="1"/>
  <c r="DE214" i="6"/>
  <c r="DD214" i="6"/>
  <c r="DB214" i="6"/>
  <c r="DA214" i="6"/>
  <c r="CY214" i="6"/>
  <c r="CZ214" i="6" s="1"/>
  <c r="CX214" i="6"/>
  <c r="CV214" i="6"/>
  <c r="CW214" i="6" s="1"/>
  <c r="CU214" i="6"/>
  <c r="CT214" i="6"/>
  <c r="CS214" i="6"/>
  <c r="CR214" i="6"/>
  <c r="CQ214" i="6"/>
  <c r="CP214" i="6"/>
  <c r="CO214" i="6"/>
  <c r="CN214" i="6"/>
  <c r="CM214" i="6"/>
  <c r="CL214" i="6"/>
  <c r="CJ214" i="6"/>
  <c r="CI214" i="6"/>
  <c r="CK214" i="6" s="1"/>
  <c r="CG214" i="6"/>
  <c r="CH214" i="6" s="1"/>
  <c r="CE214" i="6"/>
  <c r="CD214" i="6"/>
  <c r="CF214" i="6" s="1"/>
  <c r="CB214" i="6"/>
  <c r="CC214" i="6" s="1"/>
  <c r="CA214" i="6"/>
  <c r="BZ214" i="6"/>
  <c r="BY214" i="6"/>
  <c r="BX214" i="6"/>
  <c r="BW214" i="6"/>
  <c r="BU214" i="6"/>
  <c r="BV214" i="6" s="1"/>
  <c r="BS214" i="6"/>
  <c r="BR214" i="6"/>
  <c r="BQ214" i="6"/>
  <c r="BO214" i="6"/>
  <c r="BP214" i="6" s="1"/>
  <c r="BM214" i="6"/>
  <c r="BL214" i="6"/>
  <c r="BK214" i="6"/>
  <c r="BJ214" i="6"/>
  <c r="BN214" i="6" s="1"/>
  <c r="BH214" i="6"/>
  <c r="BI214" i="6" s="1"/>
  <c r="BF214" i="6"/>
  <c r="BG214" i="6" s="1"/>
  <c r="BD214" i="6"/>
  <c r="BC214" i="6"/>
  <c r="BB214" i="6"/>
  <c r="AZ214" i="6"/>
  <c r="DQ214" i="6" s="1"/>
  <c r="AY214" i="6"/>
  <c r="AW214" i="6"/>
  <c r="AV214" i="6"/>
  <c r="AX214" i="6" s="1"/>
  <c r="AT214" i="6"/>
  <c r="AS214" i="6"/>
  <c r="AU214" i="6" s="1"/>
  <c r="AQ214" i="6"/>
  <c r="AP214" i="6"/>
  <c r="AR214" i="6" s="1"/>
  <c r="AN214" i="6"/>
  <c r="AM214" i="6"/>
  <c r="AL214" i="6"/>
  <c r="AK214" i="6"/>
  <c r="AJ214" i="6"/>
  <c r="AI214" i="6"/>
  <c r="AG214" i="6"/>
  <c r="AE214" i="6"/>
  <c r="AD214" i="6"/>
  <c r="AC214" i="6"/>
  <c r="AF214" i="6" s="1"/>
  <c r="AA214" i="6"/>
  <c r="Z214" i="6"/>
  <c r="AB214" i="6" s="1"/>
  <c r="Y214" i="6"/>
  <c r="W214" i="6"/>
  <c r="V214" i="6"/>
  <c r="X214" i="6" s="1"/>
  <c r="U214" i="6"/>
  <c r="T214" i="6"/>
  <c r="S214" i="6"/>
  <c r="R214" i="6"/>
  <c r="P214" i="6"/>
  <c r="Q214" i="6" s="1"/>
  <c r="O214" i="6"/>
  <c r="N214" i="6"/>
  <c r="M214" i="6"/>
  <c r="DP214" i="6" s="1"/>
  <c r="K214" i="6"/>
  <c r="J214" i="6"/>
  <c r="H214" i="6"/>
  <c r="G214" i="6"/>
  <c r="F214" i="6"/>
  <c r="I214" i="6" s="1"/>
  <c r="E214" i="6"/>
  <c r="D214" i="6"/>
  <c r="C214" i="6"/>
  <c r="B214" i="6"/>
  <c r="DW213" i="6"/>
  <c r="DM213" i="6"/>
  <c r="DL213" i="6"/>
  <c r="DK213" i="6"/>
  <c r="DJ213" i="6"/>
  <c r="DH213" i="6"/>
  <c r="DI213" i="6" s="1"/>
  <c r="DF213" i="6"/>
  <c r="DG213" i="6" s="1"/>
  <c r="DE213" i="6"/>
  <c r="DD213" i="6"/>
  <c r="DC213" i="6"/>
  <c r="DB213" i="6"/>
  <c r="DA213" i="6"/>
  <c r="CZ213" i="6"/>
  <c r="CY213" i="6"/>
  <c r="CX213" i="6"/>
  <c r="CV213" i="6"/>
  <c r="CW213" i="6" s="1"/>
  <c r="CT213" i="6"/>
  <c r="CU213" i="6" s="1"/>
  <c r="CR213" i="6"/>
  <c r="CQ213" i="6"/>
  <c r="CP213" i="6"/>
  <c r="CS213" i="6" s="1"/>
  <c r="CN213" i="6"/>
  <c r="CM213" i="6"/>
  <c r="CL213" i="6"/>
  <c r="CJ213" i="6"/>
  <c r="CK213" i="6" s="1"/>
  <c r="CI213" i="6"/>
  <c r="CG213" i="6"/>
  <c r="CH213" i="6" s="1"/>
  <c r="CE213" i="6"/>
  <c r="CD213" i="6"/>
  <c r="CF213" i="6" s="1"/>
  <c r="CC213" i="6"/>
  <c r="CB213" i="6"/>
  <c r="BZ213" i="6"/>
  <c r="BY213" i="6"/>
  <c r="BX213" i="6"/>
  <c r="BW213" i="6"/>
  <c r="CA213" i="6" s="1"/>
  <c r="BU213" i="6"/>
  <c r="BV213" i="6" s="1"/>
  <c r="BS213" i="6"/>
  <c r="BR213" i="6"/>
  <c r="BQ213" i="6"/>
  <c r="BO213" i="6"/>
  <c r="BP213" i="6" s="1"/>
  <c r="BM213" i="6"/>
  <c r="BL213" i="6"/>
  <c r="BK213" i="6"/>
  <c r="BJ213" i="6"/>
  <c r="BN213" i="6" s="1"/>
  <c r="BH213" i="6"/>
  <c r="BI213" i="6" s="1"/>
  <c r="BG213" i="6"/>
  <c r="BF213" i="6"/>
  <c r="BD213" i="6"/>
  <c r="BC213" i="6"/>
  <c r="BB213" i="6"/>
  <c r="BE213" i="6" s="1"/>
  <c r="AZ213" i="6"/>
  <c r="BA213" i="6" s="1"/>
  <c r="AY213" i="6"/>
  <c r="AW213" i="6"/>
  <c r="AV213" i="6"/>
  <c r="AX213" i="6" s="1"/>
  <c r="AT213" i="6"/>
  <c r="AU213" i="6" s="1"/>
  <c r="AS213" i="6"/>
  <c r="AQ213" i="6"/>
  <c r="AP213" i="6"/>
  <c r="AR213" i="6" s="1"/>
  <c r="AN213" i="6"/>
  <c r="AO213" i="6" s="1"/>
  <c r="AM213" i="6"/>
  <c r="AK213" i="6"/>
  <c r="AL213" i="6" s="1"/>
  <c r="AJ213" i="6"/>
  <c r="AI213" i="6"/>
  <c r="AG213" i="6"/>
  <c r="AE213" i="6"/>
  <c r="AD213" i="6"/>
  <c r="AC213" i="6"/>
  <c r="DS213" i="6" s="1"/>
  <c r="AA213" i="6"/>
  <c r="Z213" i="6"/>
  <c r="AB213" i="6" s="1"/>
  <c r="Y213" i="6"/>
  <c r="W213" i="6"/>
  <c r="V213" i="6"/>
  <c r="U213" i="6"/>
  <c r="T213" i="6"/>
  <c r="R213" i="6"/>
  <c r="S213" i="6" s="1"/>
  <c r="Q213" i="6"/>
  <c r="P213" i="6"/>
  <c r="O213" i="6"/>
  <c r="N213" i="6"/>
  <c r="M213" i="6"/>
  <c r="K213" i="6"/>
  <c r="J213" i="6"/>
  <c r="H213" i="6"/>
  <c r="G213" i="6"/>
  <c r="F213" i="6"/>
  <c r="DV213" i="6" s="1"/>
  <c r="E213" i="6"/>
  <c r="I213" i="6" s="1"/>
  <c r="D213" i="6"/>
  <c r="C213" i="6"/>
  <c r="B213" i="6"/>
  <c r="DW212" i="6"/>
  <c r="DV212" i="6"/>
  <c r="DN212" i="6"/>
  <c r="DM212" i="6"/>
  <c r="DL212" i="6"/>
  <c r="DK212" i="6"/>
  <c r="DJ212" i="6"/>
  <c r="DI212" i="6"/>
  <c r="DH212" i="6"/>
  <c r="DF212" i="6"/>
  <c r="DG212" i="6" s="1"/>
  <c r="DD212" i="6"/>
  <c r="DE212" i="6" s="1"/>
  <c r="DB212" i="6"/>
  <c r="DA212" i="6"/>
  <c r="DC212" i="6" s="1"/>
  <c r="CY212" i="6"/>
  <c r="CX212" i="6"/>
  <c r="CW212" i="6"/>
  <c r="CV212" i="6"/>
  <c r="CT212" i="6"/>
  <c r="CU212" i="6" s="1"/>
  <c r="CS212" i="6"/>
  <c r="CR212" i="6"/>
  <c r="CQ212" i="6"/>
  <c r="CP212" i="6"/>
  <c r="CN212" i="6"/>
  <c r="CO212" i="6" s="1"/>
  <c r="CM212" i="6"/>
  <c r="CL212" i="6"/>
  <c r="CJ212" i="6"/>
  <c r="CI212" i="6"/>
  <c r="CK212" i="6" s="1"/>
  <c r="CG212" i="6"/>
  <c r="CH212" i="6" s="1"/>
  <c r="CE212" i="6"/>
  <c r="CD212" i="6"/>
  <c r="CF212" i="6" s="1"/>
  <c r="CC212" i="6"/>
  <c r="CB212" i="6"/>
  <c r="BZ212" i="6"/>
  <c r="BY212" i="6"/>
  <c r="BX212" i="6"/>
  <c r="BW212" i="6"/>
  <c r="CA212" i="6" s="1"/>
  <c r="BV212" i="6"/>
  <c r="BU212" i="6"/>
  <c r="BR212" i="6"/>
  <c r="BQ212" i="6"/>
  <c r="BS212" i="6" s="1"/>
  <c r="BP212" i="6"/>
  <c r="BO212" i="6"/>
  <c r="BM212" i="6"/>
  <c r="BL212" i="6"/>
  <c r="BK212" i="6"/>
  <c r="BJ212" i="6"/>
  <c r="BN212" i="6" s="1"/>
  <c r="BH212" i="6"/>
  <c r="BI212" i="6" s="1"/>
  <c r="BF212" i="6"/>
  <c r="BG212" i="6" s="1"/>
  <c r="BD212" i="6"/>
  <c r="BC212" i="6"/>
  <c r="BB212" i="6"/>
  <c r="BE212" i="6" s="1"/>
  <c r="AZ212" i="6"/>
  <c r="AY212" i="6"/>
  <c r="BA212" i="6" s="1"/>
  <c r="AX212" i="6"/>
  <c r="AW212" i="6"/>
  <c r="AV212" i="6"/>
  <c r="AU212" i="6"/>
  <c r="AT212" i="6"/>
  <c r="AS212" i="6"/>
  <c r="AQ212" i="6"/>
  <c r="AP212" i="6"/>
  <c r="AR212" i="6" s="1"/>
  <c r="AN212" i="6"/>
  <c r="AO212" i="6" s="1"/>
  <c r="AM212" i="6"/>
  <c r="AK212" i="6"/>
  <c r="AL212" i="6" s="1"/>
  <c r="AI212" i="6"/>
  <c r="AJ212" i="6" s="1"/>
  <c r="AG212" i="6"/>
  <c r="AE212" i="6"/>
  <c r="AD212" i="6"/>
  <c r="AC212" i="6"/>
  <c r="AA212" i="6"/>
  <c r="Z212" i="6"/>
  <c r="Y212" i="6"/>
  <c r="X212" i="6"/>
  <c r="W212" i="6"/>
  <c r="V212" i="6"/>
  <c r="U212" i="6"/>
  <c r="T212" i="6"/>
  <c r="R212" i="6"/>
  <c r="S212" i="6" s="1"/>
  <c r="P212" i="6"/>
  <c r="O212" i="6"/>
  <c r="N212" i="6"/>
  <c r="M212" i="6"/>
  <c r="K212" i="6"/>
  <c r="J212" i="6"/>
  <c r="H212" i="6"/>
  <c r="G212" i="6"/>
  <c r="F212" i="6"/>
  <c r="E212" i="6"/>
  <c r="D212" i="6"/>
  <c r="C212" i="6"/>
  <c r="B212" i="6"/>
  <c r="DW211" i="6"/>
  <c r="DM211" i="6"/>
  <c r="DL211" i="6"/>
  <c r="DK211" i="6"/>
  <c r="DJ211" i="6"/>
  <c r="DH211" i="6"/>
  <c r="DI211" i="6" s="1"/>
  <c r="DF211" i="6"/>
  <c r="DG211" i="6" s="1"/>
  <c r="DE211" i="6"/>
  <c r="DD211" i="6"/>
  <c r="DB211" i="6"/>
  <c r="DA211" i="6"/>
  <c r="DC211" i="6" s="1"/>
  <c r="CY211" i="6"/>
  <c r="CZ211" i="6" s="1"/>
  <c r="CX211" i="6"/>
  <c r="CW211" i="6"/>
  <c r="CV211" i="6"/>
  <c r="CT211" i="6"/>
  <c r="CU211" i="6" s="1"/>
  <c r="CR211" i="6"/>
  <c r="CQ211" i="6"/>
  <c r="CP211" i="6"/>
  <c r="CS211" i="6" s="1"/>
  <c r="CN211" i="6"/>
  <c r="CM211" i="6"/>
  <c r="CL211" i="6"/>
  <c r="CO211" i="6" s="1"/>
  <c r="CJ211" i="6"/>
  <c r="CK211" i="6" s="1"/>
  <c r="CI211" i="6"/>
  <c r="CG211" i="6"/>
  <c r="CH211" i="6" s="1"/>
  <c r="CE211" i="6"/>
  <c r="CF211" i="6" s="1"/>
  <c r="CD211" i="6"/>
  <c r="CB211" i="6"/>
  <c r="CC211" i="6" s="1"/>
  <c r="CA211" i="6"/>
  <c r="BZ211" i="6"/>
  <c r="BY211" i="6"/>
  <c r="BX211" i="6"/>
  <c r="BW211" i="6"/>
  <c r="BU211" i="6"/>
  <c r="BV211" i="6" s="1"/>
  <c r="BR211" i="6"/>
  <c r="BQ211" i="6"/>
  <c r="BS211" i="6" s="1"/>
  <c r="BO211" i="6"/>
  <c r="BP211" i="6" s="1"/>
  <c r="BM211" i="6"/>
  <c r="BL211" i="6"/>
  <c r="BK211" i="6"/>
  <c r="BJ211" i="6"/>
  <c r="BN211" i="6" s="1"/>
  <c r="BI211" i="6"/>
  <c r="BH211" i="6"/>
  <c r="BF211" i="6"/>
  <c r="BG211" i="6" s="1"/>
  <c r="BE211" i="6"/>
  <c r="BD211" i="6"/>
  <c r="BC211" i="6"/>
  <c r="BB211" i="6"/>
  <c r="AZ211" i="6"/>
  <c r="AY211" i="6"/>
  <c r="BA211" i="6" s="1"/>
  <c r="AW211" i="6"/>
  <c r="AV211" i="6"/>
  <c r="AX211" i="6" s="1"/>
  <c r="AT211" i="6"/>
  <c r="AU211" i="6" s="1"/>
  <c r="AS211" i="6"/>
  <c r="AQ211" i="6"/>
  <c r="AP211" i="6"/>
  <c r="AR211" i="6" s="1"/>
  <c r="AN211" i="6"/>
  <c r="AM211" i="6"/>
  <c r="AO211" i="6" s="1"/>
  <c r="AL211" i="6"/>
  <c r="AK211" i="6"/>
  <c r="AI211" i="6"/>
  <c r="AJ211" i="6" s="1"/>
  <c r="AG211" i="6"/>
  <c r="AE211" i="6"/>
  <c r="AD211" i="6"/>
  <c r="AC211" i="6"/>
  <c r="DS211" i="6" s="1"/>
  <c r="AA211" i="6"/>
  <c r="AB211" i="6" s="1"/>
  <c r="Z211" i="6"/>
  <c r="Y211" i="6"/>
  <c r="W211" i="6"/>
  <c r="DV211" i="6" s="1"/>
  <c r="V211" i="6"/>
  <c r="U211" i="6"/>
  <c r="T211" i="6"/>
  <c r="R211" i="6"/>
  <c r="S211" i="6" s="1"/>
  <c r="P211" i="6"/>
  <c r="O211" i="6"/>
  <c r="N211" i="6"/>
  <c r="M211" i="6"/>
  <c r="K211" i="6"/>
  <c r="J211" i="6"/>
  <c r="H211" i="6"/>
  <c r="G211" i="6"/>
  <c r="F211" i="6"/>
  <c r="E211" i="6"/>
  <c r="I211" i="6" s="1"/>
  <c r="D211" i="6"/>
  <c r="C211" i="6"/>
  <c r="B211" i="6"/>
  <c r="DW210" i="6"/>
  <c r="DM210" i="6"/>
  <c r="DL210" i="6"/>
  <c r="DK210" i="6"/>
  <c r="DN210" i="6" s="1"/>
  <c r="DJ210" i="6"/>
  <c r="DH210" i="6"/>
  <c r="DI210" i="6" s="1"/>
  <c r="DG210" i="6"/>
  <c r="DF210" i="6"/>
  <c r="DD210" i="6"/>
  <c r="DE210" i="6" s="1"/>
  <c r="DB210" i="6"/>
  <c r="DA210" i="6"/>
  <c r="DC210" i="6" s="1"/>
  <c r="CY210" i="6"/>
  <c r="CZ210" i="6" s="1"/>
  <c r="CX210" i="6"/>
  <c r="CW210" i="6"/>
  <c r="CV210" i="6"/>
  <c r="CT210" i="6"/>
  <c r="CU210" i="6" s="1"/>
  <c r="CR210" i="6"/>
  <c r="CQ210" i="6"/>
  <c r="CS210" i="6" s="1"/>
  <c r="CP210" i="6"/>
  <c r="CO210" i="6"/>
  <c r="CN210" i="6"/>
  <c r="CM210" i="6"/>
  <c r="CL210" i="6"/>
  <c r="CK210" i="6"/>
  <c r="CJ210" i="6"/>
  <c r="CI210" i="6"/>
  <c r="CG210" i="6"/>
  <c r="CH210" i="6" s="1"/>
  <c r="CF210" i="6"/>
  <c r="CE210" i="6"/>
  <c r="CD210" i="6"/>
  <c r="CB210" i="6"/>
  <c r="CC210" i="6" s="1"/>
  <c r="CA210" i="6"/>
  <c r="BZ210" i="6"/>
  <c r="BY210" i="6"/>
  <c r="BX210" i="6"/>
  <c r="BW210" i="6"/>
  <c r="BV210" i="6"/>
  <c r="BU210" i="6"/>
  <c r="BS210" i="6"/>
  <c r="BR210" i="6"/>
  <c r="BQ210" i="6"/>
  <c r="BO210" i="6"/>
  <c r="BP210" i="6" s="1"/>
  <c r="BN210" i="6"/>
  <c r="BM210" i="6"/>
  <c r="BL210" i="6"/>
  <c r="BK210" i="6"/>
  <c r="BJ210" i="6"/>
  <c r="BI210" i="6"/>
  <c r="BH210" i="6"/>
  <c r="BF210" i="6"/>
  <c r="BG210" i="6" s="1"/>
  <c r="BD210" i="6"/>
  <c r="BC210" i="6"/>
  <c r="BB210" i="6"/>
  <c r="BE210" i="6" s="1"/>
  <c r="AZ210" i="6"/>
  <c r="BA210" i="6" s="1"/>
  <c r="AY210" i="6"/>
  <c r="AX210" i="6"/>
  <c r="AW210" i="6"/>
  <c r="AV210" i="6"/>
  <c r="AT210" i="6"/>
  <c r="AS210" i="6"/>
  <c r="AU210" i="6" s="1"/>
  <c r="AR210" i="6"/>
  <c r="AQ210" i="6"/>
  <c r="AP210" i="6"/>
  <c r="AN210" i="6"/>
  <c r="AM210" i="6"/>
  <c r="AO210" i="6" s="1"/>
  <c r="AL210" i="6"/>
  <c r="AK210" i="6"/>
  <c r="AI210" i="6"/>
  <c r="AJ210" i="6" s="1"/>
  <c r="AG210" i="6"/>
  <c r="AE210" i="6"/>
  <c r="AD210" i="6"/>
  <c r="AC210" i="6"/>
  <c r="AB210" i="6"/>
  <c r="AA210" i="6"/>
  <c r="Z210" i="6"/>
  <c r="DT210" i="6" s="1"/>
  <c r="Y210" i="6"/>
  <c r="W210" i="6"/>
  <c r="V210" i="6"/>
  <c r="X210" i="6" s="1"/>
  <c r="U210" i="6"/>
  <c r="T210" i="6"/>
  <c r="R210" i="6"/>
  <c r="S210" i="6" s="1"/>
  <c r="P210" i="6"/>
  <c r="O210" i="6"/>
  <c r="N210" i="6"/>
  <c r="M210" i="6"/>
  <c r="Q210" i="6" s="1"/>
  <c r="K210" i="6"/>
  <c r="J210" i="6"/>
  <c r="H210" i="6"/>
  <c r="DQ210" i="6" s="1"/>
  <c r="G210" i="6"/>
  <c r="F210" i="6"/>
  <c r="DV210" i="6" s="1"/>
  <c r="E210" i="6"/>
  <c r="DP210" i="6" s="1"/>
  <c r="D210" i="6"/>
  <c r="C210" i="6"/>
  <c r="B210" i="6"/>
  <c r="DW209" i="6"/>
  <c r="DV209" i="6"/>
  <c r="DM209" i="6"/>
  <c r="DL209" i="6"/>
  <c r="DK209" i="6"/>
  <c r="DJ209" i="6"/>
  <c r="DN209" i="6" s="1"/>
  <c r="DI209" i="6"/>
  <c r="DH209" i="6"/>
  <c r="DF209" i="6"/>
  <c r="DG209" i="6" s="1"/>
  <c r="DE209" i="6"/>
  <c r="DD209" i="6"/>
  <c r="DB209" i="6"/>
  <c r="DC209" i="6" s="1"/>
  <c r="DA209" i="6"/>
  <c r="CZ209" i="6"/>
  <c r="CY209" i="6"/>
  <c r="CX209" i="6"/>
  <c r="CV209" i="6"/>
  <c r="CW209" i="6" s="1"/>
  <c r="CU209" i="6"/>
  <c r="CT209" i="6"/>
  <c r="CR209" i="6"/>
  <c r="CQ209" i="6"/>
  <c r="CP209" i="6"/>
  <c r="CS209" i="6" s="1"/>
  <c r="CN209" i="6"/>
  <c r="CM209" i="6"/>
  <c r="CL209" i="6"/>
  <c r="CJ209" i="6"/>
  <c r="CI209" i="6"/>
  <c r="CH209" i="6"/>
  <c r="CG209" i="6"/>
  <c r="CF209" i="6"/>
  <c r="CE209" i="6"/>
  <c r="CD209" i="6"/>
  <c r="CC209" i="6"/>
  <c r="CB209" i="6"/>
  <c r="BZ209" i="6"/>
  <c r="CA209" i="6" s="1"/>
  <c r="BY209" i="6"/>
  <c r="BX209" i="6"/>
  <c r="BW209" i="6"/>
  <c r="BU209" i="6"/>
  <c r="BV209" i="6" s="1"/>
  <c r="BS209" i="6"/>
  <c r="BR209" i="6"/>
  <c r="BQ209" i="6"/>
  <c r="BO209" i="6"/>
  <c r="BP209" i="6" s="1"/>
  <c r="BM209" i="6"/>
  <c r="BL209" i="6"/>
  <c r="BK209" i="6"/>
  <c r="BJ209" i="6"/>
  <c r="BN209" i="6" s="1"/>
  <c r="BI209" i="6"/>
  <c r="BH209" i="6"/>
  <c r="BG209" i="6"/>
  <c r="BF209" i="6"/>
  <c r="BD209" i="6"/>
  <c r="BC209" i="6"/>
  <c r="BB209" i="6"/>
  <c r="BE209" i="6" s="1"/>
  <c r="AZ209" i="6"/>
  <c r="AY209" i="6"/>
  <c r="BA209" i="6" s="1"/>
  <c r="AW209" i="6"/>
  <c r="AV209" i="6"/>
  <c r="AX209" i="6" s="1"/>
  <c r="AT209" i="6"/>
  <c r="AS209" i="6"/>
  <c r="AU209" i="6" s="1"/>
  <c r="AQ209" i="6"/>
  <c r="AR209" i="6" s="1"/>
  <c r="AP209" i="6"/>
  <c r="AO209" i="6"/>
  <c r="AN209" i="6"/>
  <c r="AM209" i="6"/>
  <c r="AL209" i="6"/>
  <c r="AK209" i="6"/>
  <c r="AJ209" i="6"/>
  <c r="AI209" i="6"/>
  <c r="AG209" i="6"/>
  <c r="AF209" i="6"/>
  <c r="AE209" i="6"/>
  <c r="AD209" i="6"/>
  <c r="AC209" i="6"/>
  <c r="AA209" i="6"/>
  <c r="Z209" i="6"/>
  <c r="AB209" i="6" s="1"/>
  <c r="Y209" i="6"/>
  <c r="W209" i="6"/>
  <c r="V209" i="6"/>
  <c r="U209" i="6"/>
  <c r="T209" i="6"/>
  <c r="R209" i="6"/>
  <c r="S209" i="6" s="1"/>
  <c r="P209" i="6"/>
  <c r="O209" i="6"/>
  <c r="N209" i="6"/>
  <c r="M209" i="6"/>
  <c r="Q209" i="6" s="1"/>
  <c r="K209" i="6"/>
  <c r="J209" i="6"/>
  <c r="I209" i="6"/>
  <c r="H209" i="6"/>
  <c r="G209" i="6"/>
  <c r="F209" i="6"/>
  <c r="E209" i="6"/>
  <c r="D209" i="6"/>
  <c r="C209" i="6"/>
  <c r="B209" i="6"/>
  <c r="DW208" i="6"/>
  <c r="DM208" i="6"/>
  <c r="DL208" i="6"/>
  <c r="DK208" i="6"/>
  <c r="DJ208" i="6"/>
  <c r="DN208" i="6" s="1"/>
  <c r="DI208" i="6"/>
  <c r="DH208" i="6"/>
  <c r="DF208" i="6"/>
  <c r="DG208" i="6" s="1"/>
  <c r="DE208" i="6"/>
  <c r="DD208" i="6"/>
  <c r="DB208" i="6"/>
  <c r="DA208" i="6"/>
  <c r="DC208" i="6" s="1"/>
  <c r="CZ208" i="6"/>
  <c r="CY208" i="6"/>
  <c r="CX208" i="6"/>
  <c r="CV208" i="6"/>
  <c r="CW208" i="6" s="1"/>
  <c r="CT208" i="6"/>
  <c r="CU208" i="6" s="1"/>
  <c r="CR208" i="6"/>
  <c r="CQ208" i="6"/>
  <c r="CP208" i="6"/>
  <c r="CS208" i="6" s="1"/>
  <c r="CN208" i="6"/>
  <c r="CM208" i="6"/>
  <c r="CO208" i="6" s="1"/>
  <c r="CL208" i="6"/>
  <c r="CJ208" i="6"/>
  <c r="CK208" i="6" s="1"/>
  <c r="CI208" i="6"/>
  <c r="CG208" i="6"/>
  <c r="CH208" i="6" s="1"/>
  <c r="CE208" i="6"/>
  <c r="CD208" i="6"/>
  <c r="CF208" i="6" s="1"/>
  <c r="CC208" i="6"/>
  <c r="CB208" i="6"/>
  <c r="BZ208" i="6"/>
  <c r="CA208" i="6" s="1"/>
  <c r="BY208" i="6"/>
  <c r="BX208" i="6"/>
  <c r="BW208" i="6"/>
  <c r="BU208" i="6"/>
  <c r="BV208" i="6" s="1"/>
  <c r="BR208" i="6"/>
  <c r="BQ208" i="6"/>
  <c r="BS208" i="6" s="1"/>
  <c r="BP208" i="6"/>
  <c r="BO208" i="6"/>
  <c r="BM208" i="6"/>
  <c r="BN208" i="6" s="1"/>
  <c r="BL208" i="6"/>
  <c r="BK208" i="6"/>
  <c r="BJ208" i="6"/>
  <c r="BH208" i="6"/>
  <c r="BI208" i="6" s="1"/>
  <c r="BG208" i="6"/>
  <c r="BF208" i="6"/>
  <c r="BD208" i="6"/>
  <c r="BC208" i="6"/>
  <c r="BB208" i="6"/>
  <c r="BA208" i="6"/>
  <c r="AZ208" i="6"/>
  <c r="AY208" i="6"/>
  <c r="AW208" i="6"/>
  <c r="AX208" i="6" s="1"/>
  <c r="AV208" i="6"/>
  <c r="AU208" i="6"/>
  <c r="AT208" i="6"/>
  <c r="AS208" i="6"/>
  <c r="AQ208" i="6"/>
  <c r="AR208" i="6" s="1"/>
  <c r="AP208" i="6"/>
  <c r="AN208" i="6"/>
  <c r="AM208" i="6"/>
  <c r="AO208" i="6" s="1"/>
  <c r="AK208" i="6"/>
  <c r="AL208" i="6" s="1"/>
  <c r="AJ208" i="6"/>
  <c r="AI208" i="6"/>
  <c r="AG208" i="6"/>
  <c r="AE208" i="6"/>
  <c r="AD208" i="6"/>
  <c r="DR208" i="6" s="1"/>
  <c r="AC208" i="6"/>
  <c r="AA208" i="6"/>
  <c r="Z208" i="6"/>
  <c r="Y208" i="6"/>
  <c r="W208" i="6"/>
  <c r="X208" i="6" s="1"/>
  <c r="V208" i="6"/>
  <c r="U208" i="6"/>
  <c r="T208" i="6"/>
  <c r="S208" i="6"/>
  <c r="R208" i="6"/>
  <c r="P208" i="6"/>
  <c r="O208" i="6"/>
  <c r="N208" i="6"/>
  <c r="M208" i="6"/>
  <c r="Q208" i="6" s="1"/>
  <c r="K208" i="6"/>
  <c r="J208" i="6"/>
  <c r="H208" i="6"/>
  <c r="DQ208" i="6" s="1"/>
  <c r="G208" i="6"/>
  <c r="F208" i="6"/>
  <c r="DV208" i="6" s="1"/>
  <c r="E208" i="6"/>
  <c r="D208" i="6"/>
  <c r="C208" i="6"/>
  <c r="B208" i="6"/>
  <c r="DW207" i="6"/>
  <c r="DV207" i="6"/>
  <c r="DU207" i="6"/>
  <c r="DM207" i="6"/>
  <c r="DL207" i="6"/>
  <c r="DK207" i="6"/>
  <c r="DJ207" i="6"/>
  <c r="DN207" i="6" s="1"/>
  <c r="DI207" i="6"/>
  <c r="DH207" i="6"/>
  <c r="DG207" i="6"/>
  <c r="DF207" i="6"/>
  <c r="DD207" i="6"/>
  <c r="DE207" i="6" s="1"/>
  <c r="DB207" i="6"/>
  <c r="DC207" i="6" s="1"/>
  <c r="DA207" i="6"/>
  <c r="CY207" i="6"/>
  <c r="CZ207" i="6" s="1"/>
  <c r="CX207" i="6"/>
  <c r="CW207" i="6"/>
  <c r="CV207" i="6"/>
  <c r="CT207" i="6"/>
  <c r="CU207" i="6" s="1"/>
  <c r="CS207" i="6"/>
  <c r="CR207" i="6"/>
  <c r="CQ207" i="6"/>
  <c r="CP207" i="6"/>
  <c r="CN207" i="6"/>
  <c r="CM207" i="6"/>
  <c r="CL207" i="6"/>
  <c r="CO207" i="6" s="1"/>
  <c r="CJ207" i="6"/>
  <c r="CI207" i="6"/>
  <c r="CK207" i="6" s="1"/>
  <c r="CH207" i="6"/>
  <c r="CG207" i="6"/>
  <c r="CE207" i="6"/>
  <c r="CD207" i="6"/>
  <c r="CF207" i="6" s="1"/>
  <c r="CB207" i="6"/>
  <c r="CC207" i="6" s="1"/>
  <c r="CA207" i="6"/>
  <c r="BZ207" i="6"/>
  <c r="BY207" i="6"/>
  <c r="BX207" i="6"/>
  <c r="BW207" i="6"/>
  <c r="BU207" i="6"/>
  <c r="BV207" i="6" s="1"/>
  <c r="BR207" i="6"/>
  <c r="BQ207" i="6"/>
  <c r="BS207" i="6" s="1"/>
  <c r="BP207" i="6"/>
  <c r="BO207" i="6"/>
  <c r="BM207" i="6"/>
  <c r="BL207" i="6"/>
  <c r="BK207" i="6"/>
  <c r="BJ207" i="6"/>
  <c r="BI207" i="6"/>
  <c r="BH207" i="6"/>
  <c r="BG207" i="6"/>
  <c r="BF207" i="6"/>
  <c r="BE207" i="6"/>
  <c r="BD207" i="6"/>
  <c r="BC207" i="6"/>
  <c r="BB207" i="6"/>
  <c r="BA207" i="6"/>
  <c r="AZ207" i="6"/>
  <c r="AY207" i="6"/>
  <c r="AW207" i="6"/>
  <c r="AV207" i="6"/>
  <c r="AX207" i="6" s="1"/>
  <c r="AU207" i="6"/>
  <c r="AT207" i="6"/>
  <c r="AS207" i="6"/>
  <c r="AQ207" i="6"/>
  <c r="AP207" i="6"/>
  <c r="AR207" i="6" s="1"/>
  <c r="AN207" i="6"/>
  <c r="AO207" i="6" s="1"/>
  <c r="AM207" i="6"/>
  <c r="AL207" i="6"/>
  <c r="AK207" i="6"/>
  <c r="AJ207" i="6"/>
  <c r="AI207" i="6"/>
  <c r="AG207" i="6"/>
  <c r="AE207" i="6"/>
  <c r="AD207" i="6"/>
  <c r="AC207" i="6"/>
  <c r="AA207" i="6"/>
  <c r="Z207" i="6"/>
  <c r="AB207" i="6" s="1"/>
  <c r="Y207" i="6"/>
  <c r="W207" i="6"/>
  <c r="X207" i="6" s="1"/>
  <c r="V207" i="6"/>
  <c r="U207" i="6"/>
  <c r="T207" i="6"/>
  <c r="R207" i="6"/>
  <c r="S207" i="6" s="1"/>
  <c r="P207" i="6"/>
  <c r="O207" i="6"/>
  <c r="N207" i="6"/>
  <c r="M207" i="6"/>
  <c r="K207" i="6"/>
  <c r="J207" i="6"/>
  <c r="H207" i="6"/>
  <c r="G207" i="6"/>
  <c r="F207" i="6"/>
  <c r="I207" i="6" s="1"/>
  <c r="E207" i="6"/>
  <c r="D207" i="6"/>
  <c r="C207" i="6"/>
  <c r="B207" i="6"/>
  <c r="DW206" i="6"/>
  <c r="DM206" i="6"/>
  <c r="DL206" i="6"/>
  <c r="DK206" i="6"/>
  <c r="DJ206" i="6"/>
  <c r="DN206" i="6" s="1"/>
  <c r="DH206" i="6"/>
  <c r="DI206" i="6" s="1"/>
  <c r="DG206" i="6"/>
  <c r="DF206" i="6"/>
  <c r="DD206" i="6"/>
  <c r="DE206" i="6" s="1"/>
  <c r="DC206" i="6"/>
  <c r="DB206" i="6"/>
  <c r="DA206" i="6"/>
  <c r="CY206" i="6"/>
  <c r="CZ206" i="6" s="1"/>
  <c r="CX206" i="6"/>
  <c r="CW206" i="6"/>
  <c r="CV206" i="6"/>
  <c r="CT206" i="6"/>
  <c r="CU206" i="6" s="1"/>
  <c r="CR206" i="6"/>
  <c r="CQ206" i="6"/>
  <c r="CP206" i="6"/>
  <c r="CS206" i="6" s="1"/>
  <c r="CO206" i="6"/>
  <c r="CN206" i="6"/>
  <c r="CM206" i="6"/>
  <c r="CL206" i="6"/>
  <c r="CK206" i="6"/>
  <c r="CJ206" i="6"/>
  <c r="CI206" i="6"/>
  <c r="CH206" i="6"/>
  <c r="CG206" i="6"/>
  <c r="CE206" i="6"/>
  <c r="CD206" i="6"/>
  <c r="CF206" i="6" s="1"/>
  <c r="CB206" i="6"/>
  <c r="CC206" i="6" s="1"/>
  <c r="BZ206" i="6"/>
  <c r="BY206" i="6"/>
  <c r="BX206" i="6"/>
  <c r="BW206" i="6"/>
  <c r="CA206" i="6" s="1"/>
  <c r="BU206" i="6"/>
  <c r="BV206" i="6" s="1"/>
  <c r="BR206" i="6"/>
  <c r="BQ206" i="6"/>
  <c r="BS206" i="6" s="1"/>
  <c r="BP206" i="6"/>
  <c r="BO206" i="6"/>
  <c r="BN206" i="6"/>
  <c r="BM206" i="6"/>
  <c r="BL206" i="6"/>
  <c r="BK206" i="6"/>
  <c r="BJ206" i="6"/>
  <c r="BH206" i="6"/>
  <c r="BI206" i="6" s="1"/>
  <c r="BF206" i="6"/>
  <c r="BG206" i="6" s="1"/>
  <c r="BD206" i="6"/>
  <c r="BC206" i="6"/>
  <c r="BB206" i="6"/>
  <c r="BE206" i="6" s="1"/>
  <c r="AZ206" i="6"/>
  <c r="AY206" i="6"/>
  <c r="BA206" i="6" s="1"/>
  <c r="AW206" i="6"/>
  <c r="AX206" i="6" s="1"/>
  <c r="AV206" i="6"/>
  <c r="AT206" i="6"/>
  <c r="AS206" i="6"/>
  <c r="AU206" i="6" s="1"/>
  <c r="AR206" i="6"/>
  <c r="AQ206" i="6"/>
  <c r="AP206" i="6"/>
  <c r="AO206" i="6"/>
  <c r="AN206" i="6"/>
  <c r="AM206" i="6"/>
  <c r="AK206" i="6"/>
  <c r="AL206" i="6" s="1"/>
  <c r="AI206" i="6"/>
  <c r="AJ206" i="6" s="1"/>
  <c r="AG206" i="6"/>
  <c r="AE206" i="6"/>
  <c r="AD206" i="6"/>
  <c r="AC206" i="6"/>
  <c r="AB206" i="6"/>
  <c r="AA206" i="6"/>
  <c r="Z206" i="6"/>
  <c r="Y206" i="6"/>
  <c r="W206" i="6"/>
  <c r="X206" i="6" s="1"/>
  <c r="V206" i="6"/>
  <c r="U206" i="6"/>
  <c r="T206" i="6"/>
  <c r="R206" i="6"/>
  <c r="S206" i="6" s="1"/>
  <c r="Q206" i="6"/>
  <c r="P206" i="6"/>
  <c r="O206" i="6"/>
  <c r="N206" i="6"/>
  <c r="M206" i="6"/>
  <c r="K206" i="6"/>
  <c r="J206" i="6"/>
  <c r="H206" i="6"/>
  <c r="DQ206" i="6" s="1"/>
  <c r="G206" i="6"/>
  <c r="DU206" i="6" s="1"/>
  <c r="F206" i="6"/>
  <c r="E206" i="6"/>
  <c r="D206" i="6"/>
  <c r="C206" i="6"/>
  <c r="B206" i="6"/>
  <c r="DW205" i="6"/>
  <c r="DV205" i="6"/>
  <c r="DN205" i="6"/>
  <c r="DM205" i="6"/>
  <c r="DL205" i="6"/>
  <c r="DK205" i="6"/>
  <c r="DJ205" i="6"/>
  <c r="DH205" i="6"/>
  <c r="DI205" i="6" s="1"/>
  <c r="DG205" i="6"/>
  <c r="DF205" i="6"/>
  <c r="DD205" i="6"/>
  <c r="DC205" i="6"/>
  <c r="DB205" i="6"/>
  <c r="DA205" i="6"/>
  <c r="CZ205" i="6"/>
  <c r="CY205" i="6"/>
  <c r="CX205" i="6"/>
  <c r="CV205" i="6"/>
  <c r="CW205" i="6" s="1"/>
  <c r="CU205" i="6"/>
  <c r="CT205" i="6"/>
  <c r="CR205" i="6"/>
  <c r="CQ205" i="6"/>
  <c r="CS205" i="6" s="1"/>
  <c r="CP205" i="6"/>
  <c r="CN205" i="6"/>
  <c r="CM205" i="6"/>
  <c r="CL205" i="6"/>
  <c r="CO205" i="6" s="1"/>
  <c r="CJ205" i="6"/>
  <c r="CI205" i="6"/>
  <c r="CK205" i="6" s="1"/>
  <c r="CG205" i="6"/>
  <c r="CH205" i="6" s="1"/>
  <c r="CE205" i="6"/>
  <c r="CD205" i="6"/>
  <c r="CF205" i="6" s="1"/>
  <c r="CC205" i="6"/>
  <c r="CB205" i="6"/>
  <c r="BZ205" i="6"/>
  <c r="BY205" i="6"/>
  <c r="CA205" i="6" s="1"/>
  <c r="BX205" i="6"/>
  <c r="BW205" i="6"/>
  <c r="BU205" i="6"/>
  <c r="BV205" i="6" s="1"/>
  <c r="BR205" i="6"/>
  <c r="BQ205" i="6"/>
  <c r="BS205" i="6" s="1"/>
  <c r="BO205" i="6"/>
  <c r="BP205" i="6" s="1"/>
  <c r="BM205" i="6"/>
  <c r="BL205" i="6"/>
  <c r="BK205" i="6"/>
  <c r="BJ205" i="6"/>
  <c r="BN205" i="6" s="1"/>
  <c r="BH205" i="6"/>
  <c r="BI205" i="6" s="1"/>
  <c r="BF205" i="6"/>
  <c r="BG205" i="6" s="1"/>
  <c r="BD205" i="6"/>
  <c r="DT205" i="6" s="1"/>
  <c r="BC205" i="6"/>
  <c r="BB205" i="6"/>
  <c r="BE205" i="6" s="1"/>
  <c r="AZ205" i="6"/>
  <c r="AY205" i="6"/>
  <c r="BA205" i="6" s="1"/>
  <c r="AX205" i="6"/>
  <c r="AW205" i="6"/>
  <c r="AV205" i="6"/>
  <c r="AT205" i="6"/>
  <c r="AS205" i="6"/>
  <c r="AU205" i="6" s="1"/>
  <c r="AQ205" i="6"/>
  <c r="AP205" i="6"/>
  <c r="AR205" i="6" s="1"/>
  <c r="AN205" i="6"/>
  <c r="AM205" i="6"/>
  <c r="AO205" i="6" s="1"/>
  <c r="AK205" i="6"/>
  <c r="AI205" i="6"/>
  <c r="AJ205" i="6" s="1"/>
  <c r="AG205" i="6"/>
  <c r="AE205" i="6"/>
  <c r="AF205" i="6" s="1"/>
  <c r="AD205" i="6"/>
  <c r="AC205" i="6"/>
  <c r="AA205" i="6"/>
  <c r="AB205" i="6" s="1"/>
  <c r="Z205" i="6"/>
  <c r="Y205" i="6"/>
  <c r="W205" i="6"/>
  <c r="V205" i="6"/>
  <c r="X205" i="6" s="1"/>
  <c r="U205" i="6"/>
  <c r="T205" i="6"/>
  <c r="R205" i="6"/>
  <c r="Q205" i="6"/>
  <c r="P205" i="6"/>
  <c r="O205" i="6"/>
  <c r="N205" i="6"/>
  <c r="M205" i="6"/>
  <c r="K205" i="6"/>
  <c r="J205" i="6"/>
  <c r="H205" i="6"/>
  <c r="G205" i="6"/>
  <c r="F205" i="6"/>
  <c r="E205" i="6"/>
  <c r="DP205" i="6" s="1"/>
  <c r="D205" i="6"/>
  <c r="C205" i="6"/>
  <c r="B205" i="6"/>
  <c r="DW204" i="6"/>
  <c r="DM204" i="6"/>
  <c r="DL204" i="6"/>
  <c r="DK204" i="6"/>
  <c r="DJ204" i="6"/>
  <c r="DN204" i="6" s="1"/>
  <c r="DI204" i="6"/>
  <c r="DH204" i="6"/>
  <c r="DF204" i="6"/>
  <c r="DG204" i="6" s="1"/>
  <c r="DE204" i="6"/>
  <c r="DD204" i="6"/>
  <c r="DB204" i="6"/>
  <c r="DC204" i="6" s="1"/>
  <c r="DA204" i="6"/>
  <c r="CY204" i="6"/>
  <c r="CZ204" i="6" s="1"/>
  <c r="CX204" i="6"/>
  <c r="CV204" i="6"/>
  <c r="CW204" i="6" s="1"/>
  <c r="CU204" i="6"/>
  <c r="CT204" i="6"/>
  <c r="CR204" i="6"/>
  <c r="CQ204" i="6"/>
  <c r="CP204" i="6"/>
  <c r="CN204" i="6"/>
  <c r="CM204" i="6"/>
  <c r="CL204" i="6"/>
  <c r="CK204" i="6"/>
  <c r="CJ204" i="6"/>
  <c r="CI204" i="6"/>
  <c r="CG204" i="6"/>
  <c r="CH204" i="6" s="1"/>
  <c r="CF204" i="6"/>
  <c r="CE204" i="6"/>
  <c r="CD204" i="6"/>
  <c r="CB204" i="6"/>
  <c r="CC204" i="6" s="1"/>
  <c r="BZ204" i="6"/>
  <c r="BY204" i="6"/>
  <c r="BX204" i="6"/>
  <c r="BW204" i="6"/>
  <c r="CA204" i="6" s="1"/>
  <c r="BU204" i="6"/>
  <c r="BV204" i="6" s="1"/>
  <c r="BR204" i="6"/>
  <c r="BQ204" i="6"/>
  <c r="BS204" i="6" s="1"/>
  <c r="BO204" i="6"/>
  <c r="BP204" i="6" s="1"/>
  <c r="BM204" i="6"/>
  <c r="BN204" i="6" s="1"/>
  <c r="BL204" i="6"/>
  <c r="BK204" i="6"/>
  <c r="BJ204" i="6"/>
  <c r="BI204" i="6"/>
  <c r="BH204" i="6"/>
  <c r="BF204" i="6"/>
  <c r="BG204" i="6" s="1"/>
  <c r="BD204" i="6"/>
  <c r="BC204" i="6"/>
  <c r="BB204" i="6"/>
  <c r="BE204" i="6" s="1"/>
  <c r="AZ204" i="6"/>
  <c r="AY204" i="6"/>
  <c r="AX204" i="6"/>
  <c r="AW204" i="6"/>
  <c r="AV204" i="6"/>
  <c r="AT204" i="6"/>
  <c r="AS204" i="6"/>
  <c r="AU204" i="6" s="1"/>
  <c r="AR204" i="6"/>
  <c r="AQ204" i="6"/>
  <c r="AP204" i="6"/>
  <c r="AN204" i="6"/>
  <c r="AM204" i="6"/>
  <c r="AO204" i="6" s="1"/>
  <c r="AL204" i="6"/>
  <c r="AK204" i="6"/>
  <c r="AI204" i="6"/>
  <c r="AJ204" i="6" s="1"/>
  <c r="AG204" i="6"/>
  <c r="AE204" i="6"/>
  <c r="AD204" i="6"/>
  <c r="AC204" i="6"/>
  <c r="AA204" i="6"/>
  <c r="Z204" i="6"/>
  <c r="AB204" i="6" s="1"/>
  <c r="Y204" i="6"/>
  <c r="X204" i="6"/>
  <c r="W204" i="6"/>
  <c r="V204" i="6"/>
  <c r="T204" i="6"/>
  <c r="R204" i="6"/>
  <c r="S204" i="6" s="1"/>
  <c r="P204" i="6"/>
  <c r="O204" i="6"/>
  <c r="N204" i="6"/>
  <c r="Q204" i="6" s="1"/>
  <c r="M204" i="6"/>
  <c r="K204" i="6"/>
  <c r="J204" i="6"/>
  <c r="H204" i="6"/>
  <c r="DQ204" i="6" s="1"/>
  <c r="G204" i="6"/>
  <c r="DU204" i="6" s="1"/>
  <c r="F204" i="6"/>
  <c r="E204" i="6"/>
  <c r="D204" i="6"/>
  <c r="C204" i="6"/>
  <c r="B204" i="6"/>
  <c r="DW203" i="6"/>
  <c r="DV203" i="6"/>
  <c r="DN203" i="6"/>
  <c r="DM203" i="6"/>
  <c r="DL203" i="6"/>
  <c r="DK203" i="6"/>
  <c r="DJ203" i="6"/>
  <c r="DH203" i="6"/>
  <c r="DI203" i="6" s="1"/>
  <c r="DF203" i="6"/>
  <c r="DG203" i="6" s="1"/>
  <c r="DE203" i="6"/>
  <c r="DD203" i="6"/>
  <c r="DB203" i="6"/>
  <c r="DA203" i="6"/>
  <c r="DC203" i="6" s="1"/>
  <c r="CY203" i="6"/>
  <c r="CZ203" i="6" s="1"/>
  <c r="CX203" i="6"/>
  <c r="CV203" i="6"/>
  <c r="CW203" i="6" s="1"/>
  <c r="CU203" i="6"/>
  <c r="CT203" i="6"/>
  <c r="CS203" i="6"/>
  <c r="CR203" i="6"/>
  <c r="CQ203" i="6"/>
  <c r="CP203" i="6"/>
  <c r="CO203" i="6"/>
  <c r="CN203" i="6"/>
  <c r="CM203" i="6"/>
  <c r="CL203" i="6"/>
  <c r="CJ203" i="6"/>
  <c r="CI203" i="6"/>
  <c r="CK203" i="6" s="1"/>
  <c r="CH203" i="6"/>
  <c r="CG203" i="6"/>
  <c r="CE203" i="6"/>
  <c r="CD203" i="6"/>
  <c r="CF203" i="6" s="1"/>
  <c r="CB203" i="6"/>
  <c r="CC203" i="6" s="1"/>
  <c r="BZ203" i="6"/>
  <c r="CA203" i="6" s="1"/>
  <c r="BY203" i="6"/>
  <c r="BX203" i="6"/>
  <c r="BW203" i="6"/>
  <c r="BV203" i="6"/>
  <c r="BU203" i="6"/>
  <c r="BR203" i="6"/>
  <c r="BS203" i="6" s="1"/>
  <c r="BQ203" i="6"/>
  <c r="BO203" i="6"/>
  <c r="BP203" i="6" s="1"/>
  <c r="BM203" i="6"/>
  <c r="BL203" i="6"/>
  <c r="BK203" i="6"/>
  <c r="BJ203" i="6"/>
  <c r="BN203" i="6" s="1"/>
  <c r="BH203" i="6"/>
  <c r="BG203" i="6"/>
  <c r="BF203" i="6"/>
  <c r="BE203" i="6"/>
  <c r="BD203" i="6"/>
  <c r="BC203" i="6"/>
  <c r="BB203" i="6"/>
  <c r="AZ203" i="6"/>
  <c r="AY203" i="6"/>
  <c r="BA203" i="6" s="1"/>
  <c r="AW203" i="6"/>
  <c r="AV203" i="6"/>
  <c r="AX203" i="6" s="1"/>
  <c r="AU203" i="6"/>
  <c r="AT203" i="6"/>
  <c r="AS203" i="6"/>
  <c r="AQ203" i="6"/>
  <c r="AP203" i="6"/>
  <c r="AR203" i="6" s="1"/>
  <c r="AN203" i="6"/>
  <c r="AM203" i="6"/>
  <c r="AO203" i="6" s="1"/>
  <c r="AK203" i="6"/>
  <c r="AL203" i="6" s="1"/>
  <c r="AI203" i="6"/>
  <c r="AJ203" i="6" s="1"/>
  <c r="AG203" i="6"/>
  <c r="AE203" i="6"/>
  <c r="DT203" i="6" s="1"/>
  <c r="AD203" i="6"/>
  <c r="AC203" i="6"/>
  <c r="AB203" i="6"/>
  <c r="AA203" i="6"/>
  <c r="Z203" i="6"/>
  <c r="Y203" i="6"/>
  <c r="X203" i="6"/>
  <c r="W203" i="6"/>
  <c r="V203" i="6"/>
  <c r="T203" i="6"/>
  <c r="R203" i="6"/>
  <c r="S203" i="6" s="1"/>
  <c r="P203" i="6"/>
  <c r="O203" i="6"/>
  <c r="N203" i="6"/>
  <c r="M203" i="6"/>
  <c r="K203" i="6"/>
  <c r="J203" i="6"/>
  <c r="H203" i="6"/>
  <c r="G203" i="6"/>
  <c r="F203" i="6"/>
  <c r="E203" i="6"/>
  <c r="D203" i="6"/>
  <c r="C203" i="6"/>
  <c r="B203" i="6"/>
  <c r="DW202" i="6"/>
  <c r="DM202" i="6"/>
  <c r="DL202" i="6"/>
  <c r="DK202" i="6"/>
  <c r="DJ202" i="6"/>
  <c r="DH202" i="6"/>
  <c r="DI202" i="6" s="1"/>
  <c r="DG202" i="6"/>
  <c r="DF202" i="6"/>
  <c r="DD202" i="6"/>
  <c r="DE202" i="6" s="1"/>
  <c r="DB202" i="6"/>
  <c r="DA202" i="6"/>
  <c r="DC202" i="6" s="1"/>
  <c r="CY202" i="6"/>
  <c r="CZ202" i="6" s="1"/>
  <c r="CX202" i="6"/>
  <c r="CW202" i="6"/>
  <c r="CV202" i="6"/>
  <c r="CU202" i="6"/>
  <c r="CT202" i="6"/>
  <c r="CR202" i="6"/>
  <c r="CQ202" i="6"/>
  <c r="CP202" i="6"/>
  <c r="CS202" i="6" s="1"/>
  <c r="CN202" i="6"/>
  <c r="CM202" i="6"/>
  <c r="CO202" i="6" s="1"/>
  <c r="CL202" i="6"/>
  <c r="CJ202" i="6"/>
  <c r="CI202" i="6"/>
  <c r="CK202" i="6" s="1"/>
  <c r="CH202" i="6"/>
  <c r="CG202" i="6"/>
  <c r="CF202" i="6"/>
  <c r="CE202" i="6"/>
  <c r="CD202" i="6"/>
  <c r="CB202" i="6"/>
  <c r="CC202" i="6" s="1"/>
  <c r="CA202" i="6"/>
  <c r="BZ202" i="6"/>
  <c r="BY202" i="6"/>
  <c r="BX202" i="6"/>
  <c r="BW202" i="6"/>
  <c r="BV202" i="6"/>
  <c r="BU202" i="6"/>
  <c r="BR202" i="6"/>
  <c r="BQ202" i="6"/>
  <c r="BS202" i="6" s="1"/>
  <c r="BO202" i="6"/>
  <c r="BP202" i="6" s="1"/>
  <c r="BM202" i="6"/>
  <c r="BL202" i="6"/>
  <c r="BK202" i="6"/>
  <c r="BJ202" i="6"/>
  <c r="BN202" i="6" s="1"/>
  <c r="BI202" i="6"/>
  <c r="BH202" i="6"/>
  <c r="BF202" i="6"/>
  <c r="BG202" i="6" s="1"/>
  <c r="BE202" i="6"/>
  <c r="BD202" i="6"/>
  <c r="BC202" i="6"/>
  <c r="BB202" i="6"/>
  <c r="AZ202" i="6"/>
  <c r="AY202" i="6"/>
  <c r="BA202" i="6" s="1"/>
  <c r="AW202" i="6"/>
  <c r="AV202" i="6"/>
  <c r="AX202" i="6" s="1"/>
  <c r="AT202" i="6"/>
  <c r="AS202" i="6"/>
  <c r="AU202" i="6" s="1"/>
  <c r="AQ202" i="6"/>
  <c r="AP202" i="6"/>
  <c r="AR202" i="6" s="1"/>
  <c r="AN202" i="6"/>
  <c r="AM202" i="6"/>
  <c r="AO202" i="6" s="1"/>
  <c r="AL202" i="6"/>
  <c r="AK202" i="6"/>
  <c r="AI202" i="6"/>
  <c r="AJ202" i="6" s="1"/>
  <c r="AG202" i="6"/>
  <c r="AE202" i="6"/>
  <c r="AD202" i="6"/>
  <c r="AC202" i="6"/>
  <c r="AB202" i="6"/>
  <c r="AA202" i="6"/>
  <c r="Z202" i="6"/>
  <c r="Y202" i="6"/>
  <c r="W202" i="6"/>
  <c r="V202" i="6"/>
  <c r="T202" i="6"/>
  <c r="S202" i="6"/>
  <c r="R202" i="6"/>
  <c r="P202" i="6"/>
  <c r="O202" i="6"/>
  <c r="N202" i="6"/>
  <c r="DV202" i="6" s="1"/>
  <c r="M202" i="6"/>
  <c r="K202" i="6"/>
  <c r="J202" i="6"/>
  <c r="I202" i="6"/>
  <c r="H202" i="6"/>
  <c r="G202" i="6"/>
  <c r="F202" i="6"/>
  <c r="E202" i="6"/>
  <c r="DP202" i="6" s="1"/>
  <c r="D202" i="6"/>
  <c r="C202" i="6"/>
  <c r="B202" i="6"/>
  <c r="DW201" i="6"/>
  <c r="DM201" i="6"/>
  <c r="DL201" i="6"/>
  <c r="DK201" i="6"/>
  <c r="DJ201" i="6"/>
  <c r="DN201" i="6" s="1"/>
  <c r="DH201" i="6"/>
  <c r="DI201" i="6" s="1"/>
  <c r="DG201" i="6"/>
  <c r="DF201" i="6"/>
  <c r="DD201" i="6"/>
  <c r="DE201" i="6" s="1"/>
  <c r="DB201" i="6"/>
  <c r="DA201" i="6"/>
  <c r="DC201" i="6" s="1"/>
  <c r="CY201" i="6"/>
  <c r="CZ201" i="6" s="1"/>
  <c r="CX201" i="6"/>
  <c r="CV201" i="6"/>
  <c r="CW201" i="6" s="1"/>
  <c r="CT201" i="6"/>
  <c r="CU201" i="6" s="1"/>
  <c r="CR201" i="6"/>
  <c r="CQ201" i="6"/>
  <c r="CP201" i="6"/>
  <c r="CS201" i="6" s="1"/>
  <c r="CN201" i="6"/>
  <c r="CO201" i="6" s="1"/>
  <c r="CM201" i="6"/>
  <c r="CL201" i="6"/>
  <c r="CK201" i="6"/>
  <c r="CJ201" i="6"/>
  <c r="CI201" i="6"/>
  <c r="CH201" i="6"/>
  <c r="CG201" i="6"/>
  <c r="CE201" i="6"/>
  <c r="CD201" i="6"/>
  <c r="CF201" i="6" s="1"/>
  <c r="CB201" i="6"/>
  <c r="CC201" i="6" s="1"/>
  <c r="CA201" i="6"/>
  <c r="BZ201" i="6"/>
  <c r="BY201" i="6"/>
  <c r="BX201" i="6"/>
  <c r="BW201" i="6"/>
  <c r="BV201" i="6"/>
  <c r="BU201" i="6"/>
  <c r="BR201" i="6"/>
  <c r="BQ201" i="6"/>
  <c r="BS201" i="6" s="1"/>
  <c r="BO201" i="6"/>
  <c r="BP201" i="6" s="1"/>
  <c r="BN201" i="6"/>
  <c r="BM201" i="6"/>
  <c r="BL201" i="6"/>
  <c r="BK201" i="6"/>
  <c r="BJ201" i="6"/>
  <c r="BH201" i="6"/>
  <c r="BI201" i="6" s="1"/>
  <c r="BF201" i="6"/>
  <c r="BG201" i="6" s="1"/>
  <c r="BD201" i="6"/>
  <c r="BC201" i="6"/>
  <c r="BB201" i="6"/>
  <c r="BE201" i="6" s="1"/>
  <c r="BA201" i="6"/>
  <c r="AZ201" i="6"/>
  <c r="AY201" i="6"/>
  <c r="AW201" i="6"/>
  <c r="AV201" i="6"/>
  <c r="AX201" i="6" s="1"/>
  <c r="AU201" i="6"/>
  <c r="AT201" i="6"/>
  <c r="AS201" i="6"/>
  <c r="AR201" i="6"/>
  <c r="AQ201" i="6"/>
  <c r="AP201" i="6"/>
  <c r="AN201" i="6"/>
  <c r="AM201" i="6"/>
  <c r="AO201" i="6" s="1"/>
  <c r="AL201" i="6"/>
  <c r="AK201" i="6"/>
  <c r="AI201" i="6"/>
  <c r="AJ201" i="6" s="1"/>
  <c r="AG201" i="6"/>
  <c r="AE201" i="6"/>
  <c r="AD201" i="6"/>
  <c r="AC201" i="6"/>
  <c r="DS201" i="6" s="1"/>
  <c r="AB201" i="6"/>
  <c r="AA201" i="6"/>
  <c r="Z201" i="6"/>
  <c r="Y201" i="6"/>
  <c r="X201" i="6"/>
  <c r="W201" i="6"/>
  <c r="V201" i="6"/>
  <c r="T201" i="6"/>
  <c r="S201" i="6"/>
  <c r="R201" i="6"/>
  <c r="P201" i="6"/>
  <c r="O201" i="6"/>
  <c r="N201" i="6"/>
  <c r="M201" i="6"/>
  <c r="Q201" i="6" s="1"/>
  <c r="K201" i="6"/>
  <c r="J201" i="6"/>
  <c r="H201" i="6"/>
  <c r="DQ201" i="6" s="1"/>
  <c r="G201" i="6"/>
  <c r="DU201" i="6" s="1"/>
  <c r="F201" i="6"/>
  <c r="DV201" i="6" s="1"/>
  <c r="E201" i="6"/>
  <c r="D201" i="6"/>
  <c r="C201" i="6"/>
  <c r="B201" i="6"/>
  <c r="DW200" i="6"/>
  <c r="DV200" i="6"/>
  <c r="DU200" i="6"/>
  <c r="DT200" i="6"/>
  <c r="DM200" i="6"/>
  <c r="DL200" i="6"/>
  <c r="DK200" i="6"/>
  <c r="DJ200" i="6"/>
  <c r="DN200" i="6" s="1"/>
  <c r="DH200" i="6"/>
  <c r="DI200" i="6" s="1"/>
  <c r="DF200" i="6"/>
  <c r="DG200" i="6" s="1"/>
  <c r="CY200" i="6"/>
  <c r="CZ200" i="6" s="1"/>
  <c r="CX200" i="6"/>
  <c r="CV200" i="6"/>
  <c r="CW200" i="6" s="1"/>
  <c r="CU200" i="6"/>
  <c r="CT200" i="6"/>
  <c r="CR200" i="6"/>
  <c r="CS200" i="6" s="1"/>
  <c r="CQ200" i="6"/>
  <c r="CP200" i="6"/>
  <c r="CO200" i="6"/>
  <c r="CN200" i="6"/>
  <c r="CM200" i="6"/>
  <c r="CL200" i="6"/>
  <c r="CJ200" i="6"/>
  <c r="CI200" i="6"/>
  <c r="CK200" i="6" s="1"/>
  <c r="CG200" i="6"/>
  <c r="CH200" i="6" s="1"/>
  <c r="CE200" i="6"/>
  <c r="CF200" i="6" s="1"/>
  <c r="CD200" i="6"/>
  <c r="CC200" i="6"/>
  <c r="CB200" i="6"/>
  <c r="BZ200" i="6"/>
  <c r="BY200" i="6"/>
  <c r="BX200" i="6"/>
  <c r="BW200" i="6"/>
  <c r="CA200" i="6" s="1"/>
  <c r="BV200" i="6"/>
  <c r="BU200" i="6"/>
  <c r="BS200" i="6"/>
  <c r="BR200" i="6"/>
  <c r="BQ200" i="6"/>
  <c r="BO200" i="6"/>
  <c r="BP200" i="6" s="1"/>
  <c r="BM200" i="6"/>
  <c r="BL200" i="6"/>
  <c r="BK200" i="6"/>
  <c r="BJ200" i="6"/>
  <c r="BN200" i="6" s="1"/>
  <c r="BI200" i="6"/>
  <c r="BH200" i="6"/>
  <c r="BF200" i="6"/>
  <c r="BG200" i="6" s="1"/>
  <c r="BD200" i="6"/>
  <c r="BE200" i="6" s="1"/>
  <c r="BC200" i="6"/>
  <c r="BB200" i="6"/>
  <c r="AZ200" i="6"/>
  <c r="AY200" i="6"/>
  <c r="BA200" i="6" s="1"/>
  <c r="AW200" i="6"/>
  <c r="AV200" i="6"/>
  <c r="AX200" i="6" s="1"/>
  <c r="AU200" i="6"/>
  <c r="AT200" i="6"/>
  <c r="AS200" i="6"/>
  <c r="AQ200" i="6"/>
  <c r="AP200" i="6"/>
  <c r="AR200" i="6" s="1"/>
  <c r="AN200" i="6"/>
  <c r="AM200" i="6"/>
  <c r="AO200" i="6" s="1"/>
  <c r="AL200" i="6"/>
  <c r="AK200" i="6"/>
  <c r="AJ200" i="6"/>
  <c r="AI200" i="6"/>
  <c r="AG200" i="6"/>
  <c r="AE200" i="6"/>
  <c r="AD200" i="6"/>
  <c r="AC200" i="6"/>
  <c r="AB200" i="6"/>
  <c r="AA200" i="6"/>
  <c r="Z200" i="6"/>
  <c r="Y200" i="6"/>
  <c r="X200" i="6"/>
  <c r="W200" i="6"/>
  <c r="V200" i="6"/>
  <c r="T200" i="6"/>
  <c r="R200" i="6"/>
  <c r="S200" i="6" s="1"/>
  <c r="P200" i="6"/>
  <c r="O200" i="6"/>
  <c r="N200" i="6"/>
  <c r="M200" i="6"/>
  <c r="Q200" i="6" s="1"/>
  <c r="K200" i="6"/>
  <c r="J200" i="6"/>
  <c r="I200" i="6"/>
  <c r="H200" i="6"/>
  <c r="G200" i="6"/>
  <c r="F200" i="6"/>
  <c r="E200" i="6"/>
  <c r="D200" i="6"/>
  <c r="C200" i="6"/>
  <c r="B200" i="6"/>
  <c r="DW199" i="6"/>
  <c r="DM199" i="6"/>
  <c r="DL199" i="6"/>
  <c r="DK199" i="6"/>
  <c r="DJ199" i="6"/>
  <c r="DH199" i="6"/>
  <c r="DI199" i="6" s="1"/>
  <c r="DF199" i="6"/>
  <c r="DG199" i="6" s="1"/>
  <c r="CZ199" i="6"/>
  <c r="CY199" i="6"/>
  <c r="CX199" i="6"/>
  <c r="CV199" i="6"/>
  <c r="CW199" i="6" s="1"/>
  <c r="CT199" i="6"/>
  <c r="CU199" i="6" s="1"/>
  <c r="CS199" i="6"/>
  <c r="CR199" i="6"/>
  <c r="CQ199" i="6"/>
  <c r="CP199" i="6"/>
  <c r="CN199" i="6"/>
  <c r="CM199" i="6"/>
  <c r="CL199" i="6"/>
  <c r="CO199" i="6" s="1"/>
  <c r="CJ199" i="6"/>
  <c r="CI199" i="6"/>
  <c r="CK199" i="6" s="1"/>
  <c r="CG199" i="6"/>
  <c r="CH199" i="6" s="1"/>
  <c r="CE199" i="6"/>
  <c r="CD199" i="6"/>
  <c r="CF199" i="6" s="1"/>
  <c r="CB199" i="6"/>
  <c r="CC199" i="6" s="1"/>
  <c r="CA199" i="6"/>
  <c r="BZ199" i="6"/>
  <c r="BY199" i="6"/>
  <c r="BX199" i="6"/>
  <c r="BW199" i="6"/>
  <c r="BV199" i="6"/>
  <c r="BU199" i="6"/>
  <c r="BR199" i="6"/>
  <c r="BQ199" i="6"/>
  <c r="BS199" i="6" s="1"/>
  <c r="BP199" i="6"/>
  <c r="BO199" i="6"/>
  <c r="BM199" i="6"/>
  <c r="BL199" i="6"/>
  <c r="BK199" i="6"/>
  <c r="BJ199" i="6"/>
  <c r="BH199" i="6"/>
  <c r="BI199" i="6" s="1"/>
  <c r="BF199" i="6"/>
  <c r="BG199" i="6" s="1"/>
  <c r="BD199" i="6"/>
  <c r="BC199" i="6"/>
  <c r="BE199" i="6" s="1"/>
  <c r="BB199" i="6"/>
  <c r="BA199" i="6"/>
  <c r="AZ199" i="6"/>
  <c r="AY199" i="6"/>
  <c r="AW199" i="6"/>
  <c r="AX199" i="6" s="1"/>
  <c r="AV199" i="6"/>
  <c r="AT199" i="6"/>
  <c r="AU199" i="6" s="1"/>
  <c r="AS199" i="6"/>
  <c r="AQ199" i="6"/>
  <c r="AP199" i="6"/>
  <c r="AR199" i="6" s="1"/>
  <c r="AO199" i="6"/>
  <c r="AN199" i="6"/>
  <c r="AM199" i="6"/>
  <c r="AK199" i="6"/>
  <c r="AL199" i="6" s="1"/>
  <c r="AI199" i="6"/>
  <c r="AJ199" i="6" s="1"/>
  <c r="AG199" i="6"/>
  <c r="AF199" i="6"/>
  <c r="AE199" i="6"/>
  <c r="AD199" i="6"/>
  <c r="AC199" i="6"/>
  <c r="DS199" i="6" s="1"/>
  <c r="AA199" i="6"/>
  <c r="Z199" i="6"/>
  <c r="AB199" i="6" s="1"/>
  <c r="Y199" i="6"/>
  <c r="W199" i="6"/>
  <c r="X199" i="6" s="1"/>
  <c r="V199" i="6"/>
  <c r="DT199" i="6" s="1"/>
  <c r="T199" i="6"/>
  <c r="S199" i="6"/>
  <c r="R199" i="6"/>
  <c r="P199" i="6"/>
  <c r="O199" i="6"/>
  <c r="N199" i="6"/>
  <c r="Q199" i="6" s="1"/>
  <c r="M199" i="6"/>
  <c r="K199" i="6"/>
  <c r="J199" i="6"/>
  <c r="H199" i="6"/>
  <c r="G199" i="6"/>
  <c r="F199" i="6"/>
  <c r="E199" i="6"/>
  <c r="DP199" i="6" s="1"/>
  <c r="D199" i="6"/>
  <c r="C199" i="6"/>
  <c r="B199" i="6"/>
  <c r="DW198" i="6"/>
  <c r="DM198" i="6"/>
  <c r="DL198" i="6"/>
  <c r="DK198" i="6"/>
  <c r="DJ198" i="6"/>
  <c r="DN198" i="6" s="1"/>
  <c r="DI198" i="6"/>
  <c r="DH198" i="6"/>
  <c r="DF198" i="6"/>
  <c r="DG198" i="6" s="1"/>
  <c r="CZ198" i="6"/>
  <c r="CY198" i="6"/>
  <c r="CX198" i="6"/>
  <c r="CW198" i="6"/>
  <c r="CV198" i="6"/>
  <c r="CT198" i="6"/>
  <c r="CU198" i="6" s="1"/>
  <c r="CR198" i="6"/>
  <c r="CQ198" i="6"/>
  <c r="CP198" i="6"/>
  <c r="CS198" i="6" s="1"/>
  <c r="CN198" i="6"/>
  <c r="CM198" i="6"/>
  <c r="CL198" i="6"/>
  <c r="CO198" i="6" s="1"/>
  <c r="CJ198" i="6"/>
  <c r="CI198" i="6"/>
  <c r="CH198" i="6"/>
  <c r="CG198" i="6"/>
  <c r="CE198" i="6"/>
  <c r="CF198" i="6" s="1"/>
  <c r="CD198" i="6"/>
  <c r="CB198" i="6"/>
  <c r="CC198" i="6" s="1"/>
  <c r="CA198" i="6"/>
  <c r="BZ198" i="6"/>
  <c r="BY198" i="6"/>
  <c r="BX198" i="6"/>
  <c r="BW198" i="6"/>
  <c r="BU198" i="6"/>
  <c r="BV198" i="6" s="1"/>
  <c r="BR198" i="6"/>
  <c r="BQ198" i="6"/>
  <c r="BS198" i="6" s="1"/>
  <c r="BO198" i="6"/>
  <c r="BP198" i="6" s="1"/>
  <c r="BM198" i="6"/>
  <c r="BL198" i="6"/>
  <c r="BK198" i="6"/>
  <c r="BJ198" i="6"/>
  <c r="BN198" i="6" s="1"/>
  <c r="BI198" i="6"/>
  <c r="BH198" i="6"/>
  <c r="BG198" i="6"/>
  <c r="BF198" i="6"/>
  <c r="BE198" i="6"/>
  <c r="BD198" i="6"/>
  <c r="BC198" i="6"/>
  <c r="BB198" i="6"/>
  <c r="AZ198" i="6"/>
  <c r="AY198" i="6"/>
  <c r="BA198" i="6" s="1"/>
  <c r="AX198" i="6"/>
  <c r="AW198" i="6"/>
  <c r="AV198" i="6"/>
  <c r="AT198" i="6"/>
  <c r="AU198" i="6" s="1"/>
  <c r="AS198" i="6"/>
  <c r="AR198" i="6"/>
  <c r="AQ198" i="6"/>
  <c r="AP198" i="6"/>
  <c r="AN198" i="6"/>
  <c r="AM198" i="6"/>
  <c r="AO198" i="6" s="1"/>
  <c r="AL198" i="6"/>
  <c r="AK198" i="6"/>
  <c r="AI198" i="6"/>
  <c r="AJ198" i="6" s="1"/>
  <c r="AG198" i="6"/>
  <c r="AE198" i="6"/>
  <c r="AD198" i="6"/>
  <c r="AF198" i="6" s="1"/>
  <c r="AC198" i="6"/>
  <c r="AA198" i="6"/>
  <c r="Z198" i="6"/>
  <c r="AB198" i="6" s="1"/>
  <c r="Y198" i="6"/>
  <c r="W198" i="6"/>
  <c r="X198" i="6" s="1"/>
  <c r="V198" i="6"/>
  <c r="T198" i="6"/>
  <c r="S198" i="6"/>
  <c r="R198" i="6"/>
  <c r="Q198" i="6"/>
  <c r="P198" i="6"/>
  <c r="O198" i="6"/>
  <c r="N198" i="6"/>
  <c r="M198" i="6"/>
  <c r="DP198" i="6" s="1"/>
  <c r="K198" i="6"/>
  <c r="J198" i="6"/>
  <c r="I198" i="6"/>
  <c r="H198" i="6"/>
  <c r="DQ198" i="6" s="1"/>
  <c r="G198" i="6"/>
  <c r="DU198" i="6" s="1"/>
  <c r="F198" i="6"/>
  <c r="E198" i="6"/>
  <c r="D198" i="6"/>
  <c r="C198" i="6"/>
  <c r="B198" i="6"/>
  <c r="DW197" i="6"/>
  <c r="DS197" i="6"/>
  <c r="DP197" i="6"/>
  <c r="DM197" i="6"/>
  <c r="DL197" i="6"/>
  <c r="DK197" i="6"/>
  <c r="DJ197" i="6"/>
  <c r="DN197" i="6" s="1"/>
  <c r="DI197" i="6"/>
  <c r="DH197" i="6"/>
  <c r="DG197" i="6"/>
  <c r="DF197" i="6"/>
  <c r="CZ197" i="6"/>
  <c r="CY197" i="6"/>
  <c r="CX197" i="6"/>
  <c r="CT197" i="6"/>
  <c r="CU197" i="6" s="1"/>
  <c r="CR197" i="6"/>
  <c r="CQ197" i="6"/>
  <c r="CP197" i="6"/>
  <c r="CS197" i="6" s="1"/>
  <c r="CN197" i="6"/>
  <c r="CM197" i="6"/>
  <c r="CL197" i="6"/>
  <c r="CO197" i="6" s="1"/>
  <c r="CJ197" i="6"/>
  <c r="CK197" i="6" s="1"/>
  <c r="CI197" i="6"/>
  <c r="CG197" i="6"/>
  <c r="CH197" i="6" s="1"/>
  <c r="CF197" i="6"/>
  <c r="CE197" i="6"/>
  <c r="CD197" i="6"/>
  <c r="CC197" i="6"/>
  <c r="CB197" i="6"/>
  <c r="BZ197" i="6"/>
  <c r="BY197" i="6"/>
  <c r="BX197" i="6"/>
  <c r="BW197" i="6"/>
  <c r="CA197" i="6" s="1"/>
  <c r="BU197" i="6"/>
  <c r="BV197" i="6" s="1"/>
  <c r="BS197" i="6"/>
  <c r="BR197" i="6"/>
  <c r="BQ197" i="6"/>
  <c r="BP197" i="6"/>
  <c r="BO197" i="6"/>
  <c r="BM197" i="6"/>
  <c r="BL197" i="6"/>
  <c r="DT197" i="6" s="1"/>
  <c r="BK197" i="6"/>
  <c r="BJ197" i="6"/>
  <c r="BI197" i="6"/>
  <c r="BH197" i="6"/>
  <c r="BG197" i="6"/>
  <c r="BF197" i="6"/>
  <c r="BE197" i="6"/>
  <c r="BD197" i="6"/>
  <c r="BC197" i="6"/>
  <c r="BB197" i="6"/>
  <c r="AZ197" i="6"/>
  <c r="AY197" i="6"/>
  <c r="BA197" i="6" s="1"/>
  <c r="AW197" i="6"/>
  <c r="AV197" i="6"/>
  <c r="AX197" i="6" s="1"/>
  <c r="AU197" i="6"/>
  <c r="AT197" i="6"/>
  <c r="AS197" i="6"/>
  <c r="AR197" i="6"/>
  <c r="AQ197" i="6"/>
  <c r="AP197" i="6"/>
  <c r="AN197" i="6"/>
  <c r="AM197" i="6"/>
  <c r="AK197" i="6"/>
  <c r="AL197" i="6" s="1"/>
  <c r="AI197" i="6"/>
  <c r="AJ197" i="6" s="1"/>
  <c r="AG197" i="6"/>
  <c r="AE197" i="6"/>
  <c r="AD197" i="6"/>
  <c r="AC197" i="6"/>
  <c r="AF197" i="6" s="1"/>
  <c r="AA197" i="6"/>
  <c r="Z197" i="6"/>
  <c r="AB197" i="6" s="1"/>
  <c r="Y197" i="6"/>
  <c r="W197" i="6"/>
  <c r="V197" i="6"/>
  <c r="T197" i="6"/>
  <c r="R197" i="6"/>
  <c r="S197" i="6" s="1"/>
  <c r="P197" i="6"/>
  <c r="O197" i="6"/>
  <c r="Q197" i="6" s="1"/>
  <c r="N197" i="6"/>
  <c r="M197" i="6"/>
  <c r="K197" i="6"/>
  <c r="J197" i="6"/>
  <c r="H197" i="6"/>
  <c r="G197" i="6"/>
  <c r="F197" i="6"/>
  <c r="E197" i="6"/>
  <c r="I197" i="6" s="1"/>
  <c r="D197" i="6"/>
  <c r="C197" i="6"/>
  <c r="B197" i="6"/>
  <c r="DW196" i="6"/>
  <c r="DQ196" i="6"/>
  <c r="DP196" i="6"/>
  <c r="DN196" i="6"/>
  <c r="DM196" i="6"/>
  <c r="DL196" i="6"/>
  <c r="DK196" i="6"/>
  <c r="DJ196" i="6"/>
  <c r="DI196" i="6"/>
  <c r="DH196" i="6"/>
  <c r="DG196" i="6"/>
  <c r="DF196" i="6"/>
  <c r="CY196" i="6"/>
  <c r="CZ196" i="6" s="1"/>
  <c r="CX196" i="6"/>
  <c r="CU196" i="6"/>
  <c r="CT196" i="6"/>
  <c r="CR196" i="6"/>
  <c r="CQ196" i="6"/>
  <c r="CP196" i="6"/>
  <c r="CN196" i="6"/>
  <c r="CM196" i="6"/>
  <c r="CL196" i="6"/>
  <c r="CO196" i="6" s="1"/>
  <c r="CJ196" i="6"/>
  <c r="DR196" i="6" s="1"/>
  <c r="CI196" i="6"/>
  <c r="DS196" i="6" s="1"/>
  <c r="CH196" i="6"/>
  <c r="CG196" i="6"/>
  <c r="CF196" i="6"/>
  <c r="CE196" i="6"/>
  <c r="CD196" i="6"/>
  <c r="CB196" i="6"/>
  <c r="CC196" i="6" s="1"/>
  <c r="BZ196" i="6"/>
  <c r="BY196" i="6"/>
  <c r="CA196" i="6" s="1"/>
  <c r="BX196" i="6"/>
  <c r="BW196" i="6"/>
  <c r="BV196" i="6"/>
  <c r="BU196" i="6"/>
  <c r="BS196" i="6"/>
  <c r="BR196" i="6"/>
  <c r="BQ196" i="6"/>
  <c r="BO196" i="6"/>
  <c r="BP196" i="6" s="1"/>
  <c r="BM196" i="6"/>
  <c r="BL196" i="6"/>
  <c r="BK196" i="6"/>
  <c r="BJ196" i="6"/>
  <c r="BI196" i="6"/>
  <c r="BH196" i="6"/>
  <c r="BG196" i="6"/>
  <c r="BF196" i="6"/>
  <c r="BD196" i="6"/>
  <c r="BC196" i="6"/>
  <c r="BB196" i="6"/>
  <c r="BE196" i="6" s="1"/>
  <c r="AZ196" i="6"/>
  <c r="AY196" i="6"/>
  <c r="BA196" i="6" s="1"/>
  <c r="AW196" i="6"/>
  <c r="AX196" i="6" s="1"/>
  <c r="AV196" i="6"/>
  <c r="AU196" i="6"/>
  <c r="AT196" i="6"/>
  <c r="AS196" i="6"/>
  <c r="AQ196" i="6"/>
  <c r="AP196" i="6"/>
  <c r="AR196" i="6" s="1"/>
  <c r="AO196" i="6"/>
  <c r="AN196" i="6"/>
  <c r="AM196" i="6"/>
  <c r="AK196" i="6"/>
  <c r="AL196" i="6" s="1"/>
  <c r="AI196" i="6"/>
  <c r="AJ196" i="6" s="1"/>
  <c r="AG196" i="6"/>
  <c r="AE196" i="6"/>
  <c r="AF196" i="6" s="1"/>
  <c r="AD196" i="6"/>
  <c r="AC196" i="6"/>
  <c r="AB196" i="6"/>
  <c r="AA196" i="6"/>
  <c r="DU196" i="6" s="1"/>
  <c r="Z196" i="6"/>
  <c r="DT196" i="6" s="1"/>
  <c r="Y196" i="6"/>
  <c r="W196" i="6"/>
  <c r="X196" i="6" s="1"/>
  <c r="V196" i="6"/>
  <c r="T196" i="6"/>
  <c r="R196" i="6"/>
  <c r="S196" i="6" s="1"/>
  <c r="Q196" i="6"/>
  <c r="P196" i="6"/>
  <c r="O196" i="6"/>
  <c r="N196" i="6"/>
  <c r="M196" i="6"/>
  <c r="K196" i="6"/>
  <c r="J196" i="6"/>
  <c r="H196" i="6"/>
  <c r="G196" i="6"/>
  <c r="F196" i="6"/>
  <c r="E196" i="6"/>
  <c r="I196" i="6" s="1"/>
  <c r="D196" i="6"/>
  <c r="C196" i="6"/>
  <c r="B196" i="6"/>
  <c r="DW195" i="6"/>
  <c r="DV195" i="6"/>
  <c r="DT195" i="6"/>
  <c r="DS195" i="6"/>
  <c r="DN195" i="6"/>
  <c r="DM195" i="6"/>
  <c r="DL195" i="6"/>
  <c r="DK195" i="6"/>
  <c r="DJ195" i="6"/>
  <c r="DI195" i="6"/>
  <c r="DH195" i="6"/>
  <c r="DF195" i="6"/>
  <c r="DG195" i="6" s="1"/>
  <c r="CY195" i="6"/>
  <c r="CZ195" i="6" s="1"/>
  <c r="CX195" i="6"/>
  <c r="CT195" i="6"/>
  <c r="CU195" i="6" s="1"/>
  <c r="CR195" i="6"/>
  <c r="CQ195" i="6"/>
  <c r="CP195" i="6"/>
  <c r="CN195" i="6"/>
  <c r="CM195" i="6"/>
  <c r="CL195" i="6"/>
  <c r="CO195" i="6" s="1"/>
  <c r="CK195" i="6"/>
  <c r="CJ195" i="6"/>
  <c r="CI195" i="6"/>
  <c r="CH195" i="6"/>
  <c r="CG195" i="6"/>
  <c r="CE195" i="6"/>
  <c r="CD195" i="6"/>
  <c r="CF195" i="6" s="1"/>
  <c r="CB195" i="6"/>
  <c r="CC195" i="6" s="1"/>
  <c r="BZ195" i="6"/>
  <c r="BY195" i="6"/>
  <c r="BX195" i="6"/>
  <c r="BW195" i="6"/>
  <c r="CA195" i="6" s="1"/>
  <c r="BU195" i="6"/>
  <c r="BV195" i="6" s="1"/>
  <c r="BR195" i="6"/>
  <c r="BS195" i="6" s="1"/>
  <c r="BQ195" i="6"/>
  <c r="BO195" i="6"/>
  <c r="BP195" i="6" s="1"/>
  <c r="BM195" i="6"/>
  <c r="BL195" i="6"/>
  <c r="BK195" i="6"/>
  <c r="BJ195" i="6"/>
  <c r="BH195" i="6"/>
  <c r="BI195" i="6" s="1"/>
  <c r="BG195" i="6"/>
  <c r="BF195" i="6"/>
  <c r="BD195" i="6"/>
  <c r="BE195" i="6" s="1"/>
  <c r="BC195" i="6"/>
  <c r="BB195" i="6"/>
  <c r="AZ195" i="6"/>
  <c r="AY195" i="6"/>
  <c r="BA195" i="6" s="1"/>
  <c r="AW195" i="6"/>
  <c r="AV195" i="6"/>
  <c r="AU195" i="6"/>
  <c r="AT195" i="6"/>
  <c r="AS195" i="6"/>
  <c r="AR195" i="6"/>
  <c r="AQ195" i="6"/>
  <c r="AP195" i="6"/>
  <c r="AN195" i="6"/>
  <c r="AO195" i="6" s="1"/>
  <c r="AM195" i="6"/>
  <c r="AK195" i="6"/>
  <c r="AL195" i="6" s="1"/>
  <c r="AI195" i="6"/>
  <c r="AJ195" i="6" s="1"/>
  <c r="AG195" i="6"/>
  <c r="AE195" i="6"/>
  <c r="AD195" i="6"/>
  <c r="AC195" i="6"/>
  <c r="AF195" i="6" s="1"/>
  <c r="AA195" i="6"/>
  <c r="Z195" i="6"/>
  <c r="AB195" i="6" s="1"/>
  <c r="Y195" i="6"/>
  <c r="W195" i="6"/>
  <c r="V195" i="6"/>
  <c r="X195" i="6" s="1"/>
  <c r="T195" i="6"/>
  <c r="S195" i="6"/>
  <c r="R195" i="6"/>
  <c r="P195" i="6"/>
  <c r="O195" i="6"/>
  <c r="N195" i="6"/>
  <c r="Q195" i="6" s="1"/>
  <c r="M195" i="6"/>
  <c r="K195" i="6"/>
  <c r="J195" i="6"/>
  <c r="H195" i="6"/>
  <c r="G195" i="6"/>
  <c r="F195" i="6"/>
  <c r="E195" i="6"/>
  <c r="I195" i="6" s="1"/>
  <c r="D195" i="6"/>
  <c r="C195" i="6"/>
  <c r="B195" i="6"/>
  <c r="DW194" i="6"/>
  <c r="DP194" i="6"/>
  <c r="DM194" i="6"/>
  <c r="DL194" i="6"/>
  <c r="DK194" i="6"/>
  <c r="DJ194" i="6"/>
  <c r="DN194" i="6" s="1"/>
  <c r="DI194" i="6"/>
  <c r="DH194" i="6"/>
  <c r="DG194" i="6"/>
  <c r="DF194" i="6"/>
  <c r="CY194" i="6"/>
  <c r="CX194" i="6"/>
  <c r="CZ194" i="6" s="1"/>
  <c r="CT194" i="6"/>
  <c r="CU194" i="6" s="1"/>
  <c r="CS194" i="6"/>
  <c r="CR194" i="6"/>
  <c r="CQ194" i="6"/>
  <c r="CP194" i="6"/>
  <c r="CN194" i="6"/>
  <c r="CO194" i="6" s="1"/>
  <c r="CM194" i="6"/>
  <c r="CL194" i="6"/>
  <c r="CJ194" i="6"/>
  <c r="CI194" i="6"/>
  <c r="CK194" i="6" s="1"/>
  <c r="CG194" i="6"/>
  <c r="CH194" i="6" s="1"/>
  <c r="CE194" i="6"/>
  <c r="CD194" i="6"/>
  <c r="CF194" i="6" s="1"/>
  <c r="CB194" i="6"/>
  <c r="CC194" i="6" s="1"/>
  <c r="BZ194" i="6"/>
  <c r="BY194" i="6"/>
  <c r="BX194" i="6"/>
  <c r="BW194" i="6"/>
  <c r="CA194" i="6" s="1"/>
  <c r="BV194" i="6"/>
  <c r="BU194" i="6"/>
  <c r="BR194" i="6"/>
  <c r="BQ194" i="6"/>
  <c r="BP194" i="6"/>
  <c r="BO194" i="6"/>
  <c r="BM194" i="6"/>
  <c r="BL194" i="6"/>
  <c r="BK194" i="6"/>
  <c r="BJ194" i="6"/>
  <c r="BN194" i="6" s="1"/>
  <c r="BI194" i="6"/>
  <c r="BH194" i="6"/>
  <c r="BF194" i="6"/>
  <c r="BG194" i="6" s="1"/>
  <c r="BD194" i="6"/>
  <c r="BC194" i="6"/>
  <c r="BB194" i="6"/>
  <c r="AZ194" i="6"/>
  <c r="AY194" i="6"/>
  <c r="BA194" i="6" s="1"/>
  <c r="AW194" i="6"/>
  <c r="AV194" i="6"/>
  <c r="AU194" i="6"/>
  <c r="AT194" i="6"/>
  <c r="AS194" i="6"/>
  <c r="AQ194" i="6"/>
  <c r="AP194" i="6"/>
  <c r="AR194" i="6" s="1"/>
  <c r="AN194" i="6"/>
  <c r="AM194" i="6"/>
  <c r="AO194" i="6" s="1"/>
  <c r="AK194" i="6"/>
  <c r="AL194" i="6" s="1"/>
  <c r="AI194" i="6"/>
  <c r="AJ194" i="6" s="1"/>
  <c r="AG194" i="6"/>
  <c r="AE194" i="6"/>
  <c r="AD194" i="6"/>
  <c r="AC194" i="6"/>
  <c r="DS194" i="6" s="1"/>
  <c r="AA194" i="6"/>
  <c r="Z194" i="6"/>
  <c r="AB194" i="6" s="1"/>
  <c r="Y194" i="6"/>
  <c r="W194" i="6"/>
  <c r="DV194" i="6" s="1"/>
  <c r="V194" i="6"/>
  <c r="T194" i="6"/>
  <c r="R194" i="6"/>
  <c r="S194" i="6" s="1"/>
  <c r="P194" i="6"/>
  <c r="O194" i="6"/>
  <c r="N194" i="6"/>
  <c r="M194" i="6"/>
  <c r="Q194" i="6" s="1"/>
  <c r="K194" i="6"/>
  <c r="J194" i="6"/>
  <c r="H194" i="6"/>
  <c r="G194" i="6"/>
  <c r="F194" i="6"/>
  <c r="E194" i="6"/>
  <c r="D194" i="6"/>
  <c r="C194" i="6"/>
  <c r="B194" i="6"/>
  <c r="DW193" i="6"/>
  <c r="DM193" i="6"/>
  <c r="DL193" i="6"/>
  <c r="DK193" i="6"/>
  <c r="DN193" i="6" s="1"/>
  <c r="DJ193" i="6"/>
  <c r="DH193" i="6"/>
  <c r="DI193" i="6" s="1"/>
  <c r="DF193" i="6"/>
  <c r="DG193" i="6" s="1"/>
  <c r="CY193" i="6"/>
  <c r="CZ193" i="6" s="1"/>
  <c r="CX193" i="6"/>
  <c r="CT193" i="6"/>
  <c r="CU193" i="6" s="1"/>
  <c r="CS193" i="6"/>
  <c r="CR193" i="6"/>
  <c r="CQ193" i="6"/>
  <c r="CP193" i="6"/>
  <c r="CN193" i="6"/>
  <c r="CO193" i="6" s="1"/>
  <c r="CM193" i="6"/>
  <c r="CL193" i="6"/>
  <c r="CJ193" i="6"/>
  <c r="CI193" i="6"/>
  <c r="CK193" i="6" s="1"/>
  <c r="CH193" i="6"/>
  <c r="CG193" i="6"/>
  <c r="CE193" i="6"/>
  <c r="CD193" i="6"/>
  <c r="CF193" i="6" s="1"/>
  <c r="CB193" i="6"/>
  <c r="CC193" i="6" s="1"/>
  <c r="CA193" i="6"/>
  <c r="BZ193" i="6"/>
  <c r="BY193" i="6"/>
  <c r="BX193" i="6"/>
  <c r="BW193" i="6"/>
  <c r="BU193" i="6"/>
  <c r="BV193" i="6" s="1"/>
  <c r="BS193" i="6"/>
  <c r="BR193" i="6"/>
  <c r="BQ193" i="6"/>
  <c r="BO193" i="6"/>
  <c r="BP193" i="6" s="1"/>
  <c r="BM193" i="6"/>
  <c r="BL193" i="6"/>
  <c r="BK193" i="6"/>
  <c r="BN193" i="6" s="1"/>
  <c r="BJ193" i="6"/>
  <c r="BH193" i="6"/>
  <c r="BI193" i="6" s="1"/>
  <c r="BF193" i="6"/>
  <c r="BG193" i="6" s="1"/>
  <c r="BD193" i="6"/>
  <c r="BC193" i="6"/>
  <c r="BB193" i="6"/>
  <c r="AZ193" i="6"/>
  <c r="BA193" i="6" s="1"/>
  <c r="AY193" i="6"/>
  <c r="AX193" i="6"/>
  <c r="AW193" i="6"/>
  <c r="AV193" i="6"/>
  <c r="AU193" i="6"/>
  <c r="AT193" i="6"/>
  <c r="AS193" i="6"/>
  <c r="AQ193" i="6"/>
  <c r="AP193" i="6"/>
  <c r="AR193" i="6" s="1"/>
  <c r="AO193" i="6"/>
  <c r="AN193" i="6"/>
  <c r="AM193" i="6"/>
  <c r="AK193" i="6"/>
  <c r="AL193" i="6" s="1"/>
  <c r="AI193" i="6"/>
  <c r="AJ193" i="6" s="1"/>
  <c r="AG193" i="6"/>
  <c r="AE193" i="6"/>
  <c r="AD193" i="6"/>
  <c r="DR193" i="6" s="1"/>
  <c r="AC193" i="6"/>
  <c r="AB193" i="6"/>
  <c r="AA193" i="6"/>
  <c r="Z193" i="6"/>
  <c r="Y193" i="6"/>
  <c r="X193" i="6"/>
  <c r="W193" i="6"/>
  <c r="V193" i="6"/>
  <c r="U193" i="6"/>
  <c r="T193" i="6"/>
  <c r="R193" i="6"/>
  <c r="S193" i="6" s="1"/>
  <c r="P193" i="6"/>
  <c r="O193" i="6"/>
  <c r="N193" i="6"/>
  <c r="M193" i="6"/>
  <c r="Q193" i="6" s="1"/>
  <c r="K193" i="6"/>
  <c r="J193" i="6"/>
  <c r="H193" i="6"/>
  <c r="G193" i="6"/>
  <c r="DU193" i="6" s="1"/>
  <c r="F193" i="6"/>
  <c r="DV193" i="6" s="1"/>
  <c r="E193" i="6"/>
  <c r="D193" i="6"/>
  <c r="C193" i="6"/>
  <c r="B193" i="6"/>
  <c r="DW192" i="6"/>
  <c r="DM192" i="6"/>
  <c r="DL192" i="6"/>
  <c r="DK192" i="6"/>
  <c r="DJ192" i="6"/>
  <c r="DN192" i="6" s="1"/>
  <c r="DH192" i="6"/>
  <c r="DI192" i="6" s="1"/>
  <c r="DF192" i="6"/>
  <c r="DG192" i="6" s="1"/>
  <c r="CY192" i="6"/>
  <c r="CX192" i="6"/>
  <c r="CT192" i="6"/>
  <c r="CU192" i="6" s="1"/>
  <c r="CR192" i="6"/>
  <c r="CQ192" i="6"/>
  <c r="CS192" i="6" s="1"/>
  <c r="CP192" i="6"/>
  <c r="CN192" i="6"/>
  <c r="CM192" i="6"/>
  <c r="CL192" i="6"/>
  <c r="CO192" i="6" s="1"/>
  <c r="CJ192" i="6"/>
  <c r="CK192" i="6" s="1"/>
  <c r="CI192" i="6"/>
  <c r="CG192" i="6"/>
  <c r="CH192" i="6" s="1"/>
  <c r="CE192" i="6"/>
  <c r="CD192" i="6"/>
  <c r="CB192" i="6"/>
  <c r="CC192" i="6" s="1"/>
  <c r="BZ192" i="6"/>
  <c r="BY192" i="6"/>
  <c r="BX192" i="6"/>
  <c r="BW192" i="6"/>
  <c r="CA192" i="6" s="1"/>
  <c r="BV192" i="6"/>
  <c r="BU192" i="6"/>
  <c r="BR192" i="6"/>
  <c r="BQ192" i="6"/>
  <c r="BS192" i="6" s="1"/>
  <c r="BO192" i="6"/>
  <c r="BP192" i="6" s="1"/>
  <c r="BM192" i="6"/>
  <c r="BL192" i="6"/>
  <c r="BK192" i="6"/>
  <c r="BJ192" i="6"/>
  <c r="BN192" i="6" s="1"/>
  <c r="BH192" i="6"/>
  <c r="BI192" i="6" s="1"/>
  <c r="BF192" i="6"/>
  <c r="BG192" i="6" s="1"/>
  <c r="BD192" i="6"/>
  <c r="BC192" i="6"/>
  <c r="BB192" i="6"/>
  <c r="BE192" i="6" s="1"/>
  <c r="BA192" i="6"/>
  <c r="AZ192" i="6"/>
  <c r="AY192" i="6"/>
  <c r="AX192" i="6"/>
  <c r="AW192" i="6"/>
  <c r="AV192" i="6"/>
  <c r="AT192" i="6"/>
  <c r="AS192" i="6"/>
  <c r="AU192" i="6" s="1"/>
  <c r="AQ192" i="6"/>
  <c r="AP192" i="6"/>
  <c r="AR192" i="6" s="1"/>
  <c r="AN192" i="6"/>
  <c r="AM192" i="6"/>
  <c r="AO192" i="6" s="1"/>
  <c r="AK192" i="6"/>
  <c r="AL192" i="6" s="1"/>
  <c r="AI192" i="6"/>
  <c r="AJ192" i="6" s="1"/>
  <c r="AG192" i="6"/>
  <c r="AE192" i="6"/>
  <c r="AD192" i="6"/>
  <c r="AC192" i="6"/>
  <c r="AA192" i="6"/>
  <c r="Z192" i="6"/>
  <c r="Y192" i="6"/>
  <c r="W192" i="6"/>
  <c r="V192" i="6"/>
  <c r="T192" i="6"/>
  <c r="S192" i="6"/>
  <c r="R192" i="6"/>
  <c r="P192" i="6"/>
  <c r="O192" i="6"/>
  <c r="N192" i="6"/>
  <c r="M192" i="6"/>
  <c r="Q192" i="6" s="1"/>
  <c r="K192" i="6"/>
  <c r="J192" i="6"/>
  <c r="H192" i="6"/>
  <c r="G192" i="6"/>
  <c r="F192" i="6"/>
  <c r="DV192" i="6" s="1"/>
  <c r="E192" i="6"/>
  <c r="DP192" i="6" s="1"/>
  <c r="D192" i="6"/>
  <c r="C192" i="6"/>
  <c r="B192" i="6"/>
  <c r="DW191" i="6"/>
  <c r="DM191" i="6"/>
  <c r="DL191" i="6"/>
  <c r="DK191" i="6"/>
  <c r="DJ191" i="6"/>
  <c r="DN191" i="6" s="1"/>
  <c r="DH191" i="6"/>
  <c r="DI191" i="6" s="1"/>
  <c r="DF191" i="6"/>
  <c r="DG191" i="6" s="1"/>
  <c r="CY191" i="6"/>
  <c r="CX191" i="6"/>
  <c r="CU191" i="6"/>
  <c r="CT191" i="6"/>
  <c r="CS191" i="6"/>
  <c r="CR191" i="6"/>
  <c r="CQ191" i="6"/>
  <c r="CP191" i="6"/>
  <c r="CN191" i="6"/>
  <c r="CM191" i="6"/>
  <c r="CL191" i="6"/>
  <c r="CO191" i="6" s="1"/>
  <c r="CJ191" i="6"/>
  <c r="CI191" i="6"/>
  <c r="CK191" i="6" s="1"/>
  <c r="CG191" i="6"/>
  <c r="CH191" i="6" s="1"/>
  <c r="CE191" i="6"/>
  <c r="CD191" i="6"/>
  <c r="CF191" i="6" s="1"/>
  <c r="CC191" i="6"/>
  <c r="CB191" i="6"/>
  <c r="BZ191" i="6"/>
  <c r="CA191" i="6" s="1"/>
  <c r="BY191" i="6"/>
  <c r="BX191" i="6"/>
  <c r="BW191" i="6"/>
  <c r="BV191" i="6"/>
  <c r="BU191" i="6"/>
  <c r="BR191" i="6"/>
  <c r="BS191" i="6" s="1"/>
  <c r="BQ191" i="6"/>
  <c r="BO191" i="6"/>
  <c r="BP191" i="6" s="1"/>
  <c r="BM191" i="6"/>
  <c r="BL191" i="6"/>
  <c r="BK191" i="6"/>
  <c r="BJ191" i="6"/>
  <c r="BN191" i="6" s="1"/>
  <c r="BH191" i="6"/>
  <c r="BI191" i="6" s="1"/>
  <c r="BF191" i="6"/>
  <c r="BG191" i="6" s="1"/>
  <c r="BD191" i="6"/>
  <c r="BC191" i="6"/>
  <c r="BB191" i="6"/>
  <c r="AZ191" i="6"/>
  <c r="BA191" i="6" s="1"/>
  <c r="AY191" i="6"/>
  <c r="AW191" i="6"/>
  <c r="AV191" i="6"/>
  <c r="AX191" i="6" s="1"/>
  <c r="AT191" i="6"/>
  <c r="AS191" i="6"/>
  <c r="AU191" i="6" s="1"/>
  <c r="AQ191" i="6"/>
  <c r="AP191" i="6"/>
  <c r="AR191" i="6" s="1"/>
  <c r="AN191" i="6"/>
  <c r="AM191" i="6"/>
  <c r="AL191" i="6"/>
  <c r="AK191" i="6"/>
  <c r="AJ191" i="6"/>
  <c r="AI191" i="6"/>
  <c r="AG191" i="6"/>
  <c r="AE191" i="6"/>
  <c r="AD191" i="6"/>
  <c r="AC191" i="6"/>
  <c r="AA191" i="6"/>
  <c r="Z191" i="6"/>
  <c r="AB191" i="6" s="1"/>
  <c r="Y191" i="6"/>
  <c r="W191" i="6"/>
  <c r="V191" i="6"/>
  <c r="T191" i="6"/>
  <c r="R191" i="6"/>
  <c r="S191" i="6" s="1"/>
  <c r="P191" i="6"/>
  <c r="O191" i="6"/>
  <c r="N191" i="6"/>
  <c r="M191" i="6"/>
  <c r="K191" i="6"/>
  <c r="J191" i="6"/>
  <c r="H191" i="6"/>
  <c r="G191" i="6"/>
  <c r="F191" i="6"/>
  <c r="E191" i="6"/>
  <c r="D191" i="6"/>
  <c r="C191" i="6"/>
  <c r="B191" i="6"/>
  <c r="DW190" i="6"/>
  <c r="DM190" i="6"/>
  <c r="DL190" i="6"/>
  <c r="DK190" i="6"/>
  <c r="DJ190" i="6"/>
  <c r="DN190" i="6" s="1"/>
  <c r="DI190" i="6"/>
  <c r="DH190" i="6"/>
  <c r="DG190" i="6"/>
  <c r="DF190" i="6"/>
  <c r="CY190" i="6"/>
  <c r="CX190" i="6"/>
  <c r="CZ190" i="6" s="1"/>
  <c r="CU190" i="6"/>
  <c r="CT190" i="6"/>
  <c r="CR190" i="6"/>
  <c r="CQ190" i="6"/>
  <c r="CP190" i="6"/>
  <c r="CS190" i="6" s="1"/>
  <c r="CN190" i="6"/>
  <c r="CM190" i="6"/>
  <c r="CL190" i="6"/>
  <c r="CO190" i="6" s="1"/>
  <c r="CJ190" i="6"/>
  <c r="CI190" i="6"/>
  <c r="CK190" i="6" s="1"/>
  <c r="CG190" i="6"/>
  <c r="CH190" i="6" s="1"/>
  <c r="CE190" i="6"/>
  <c r="CD190" i="6"/>
  <c r="CF190" i="6" s="1"/>
  <c r="CB190" i="6"/>
  <c r="CC190" i="6" s="1"/>
  <c r="BZ190" i="6"/>
  <c r="BY190" i="6"/>
  <c r="BX190" i="6"/>
  <c r="BW190" i="6"/>
  <c r="BU190" i="6"/>
  <c r="BV190" i="6" s="1"/>
  <c r="BR190" i="6"/>
  <c r="BQ190" i="6"/>
  <c r="BS190" i="6" s="1"/>
  <c r="BO190" i="6"/>
  <c r="BP190" i="6" s="1"/>
  <c r="BM190" i="6"/>
  <c r="BL190" i="6"/>
  <c r="BK190" i="6"/>
  <c r="BJ190" i="6"/>
  <c r="BN190" i="6" s="1"/>
  <c r="BH190" i="6"/>
  <c r="BI190" i="6" s="1"/>
  <c r="BF190" i="6"/>
  <c r="BG190" i="6" s="1"/>
  <c r="BD190" i="6"/>
  <c r="BC190" i="6"/>
  <c r="BB190" i="6"/>
  <c r="BE190" i="6" s="1"/>
  <c r="AZ190" i="6"/>
  <c r="AY190" i="6"/>
  <c r="BA190" i="6" s="1"/>
  <c r="AW190" i="6"/>
  <c r="AV190" i="6"/>
  <c r="AX190" i="6" s="1"/>
  <c r="AT190" i="6"/>
  <c r="AS190" i="6"/>
  <c r="AU190" i="6" s="1"/>
  <c r="AQ190" i="6"/>
  <c r="AP190" i="6"/>
  <c r="AR190" i="6" s="1"/>
  <c r="AN190" i="6"/>
  <c r="AM190" i="6"/>
  <c r="AO190" i="6" s="1"/>
  <c r="AL190" i="6"/>
  <c r="AK190" i="6"/>
  <c r="AJ190" i="6"/>
  <c r="AI190" i="6"/>
  <c r="AG190" i="6"/>
  <c r="AE190" i="6"/>
  <c r="AF190" i="6" s="1"/>
  <c r="AD190" i="6"/>
  <c r="AC190" i="6"/>
  <c r="AA190" i="6"/>
  <c r="Z190" i="6"/>
  <c r="AB190" i="6" s="1"/>
  <c r="Y190" i="6"/>
  <c r="W190" i="6"/>
  <c r="V190" i="6"/>
  <c r="T190" i="6"/>
  <c r="R190" i="6"/>
  <c r="S190" i="6" s="1"/>
  <c r="P190" i="6"/>
  <c r="O190" i="6"/>
  <c r="Q190" i="6" s="1"/>
  <c r="N190" i="6"/>
  <c r="M190" i="6"/>
  <c r="K190" i="6"/>
  <c r="J190" i="6"/>
  <c r="H190" i="6"/>
  <c r="G190" i="6"/>
  <c r="F190" i="6"/>
  <c r="E190" i="6"/>
  <c r="D190" i="6"/>
  <c r="C190" i="6"/>
  <c r="B190" i="6"/>
  <c r="DW189" i="6"/>
  <c r="DM189" i="6"/>
  <c r="DL189" i="6"/>
  <c r="DK189" i="6"/>
  <c r="DJ189" i="6"/>
  <c r="DN189" i="6" s="1"/>
  <c r="DI189" i="6"/>
  <c r="DH189" i="6"/>
  <c r="DG189" i="6"/>
  <c r="DF189" i="6"/>
  <c r="CY189" i="6"/>
  <c r="CZ189" i="6" s="1"/>
  <c r="CX189" i="6"/>
  <c r="CU189" i="6"/>
  <c r="CT189" i="6"/>
  <c r="CR189" i="6"/>
  <c r="CQ189" i="6"/>
  <c r="CP189" i="6"/>
  <c r="CS189" i="6" s="1"/>
  <c r="CN189" i="6"/>
  <c r="CM189" i="6"/>
  <c r="CL189" i="6"/>
  <c r="CO189" i="6" s="1"/>
  <c r="CK189" i="6"/>
  <c r="CJ189" i="6"/>
  <c r="CI189" i="6"/>
  <c r="CG189" i="6"/>
  <c r="CH189" i="6" s="1"/>
  <c r="CE189" i="6"/>
  <c r="CD189" i="6"/>
  <c r="CC189" i="6"/>
  <c r="CB189" i="6"/>
  <c r="CA189" i="6"/>
  <c r="BZ189" i="6"/>
  <c r="BY189" i="6"/>
  <c r="BX189" i="6"/>
  <c r="BW189" i="6"/>
  <c r="BU189" i="6"/>
  <c r="BV189" i="6" s="1"/>
  <c r="BR189" i="6"/>
  <c r="BQ189" i="6"/>
  <c r="BS189" i="6" s="1"/>
  <c r="BO189" i="6"/>
  <c r="BP189" i="6" s="1"/>
  <c r="BM189" i="6"/>
  <c r="BL189" i="6"/>
  <c r="BK189" i="6"/>
  <c r="BN189" i="6" s="1"/>
  <c r="BJ189" i="6"/>
  <c r="BH189" i="6"/>
  <c r="BI189" i="6" s="1"/>
  <c r="BF189" i="6"/>
  <c r="BG189" i="6" s="1"/>
  <c r="BD189" i="6"/>
  <c r="BE189" i="6" s="1"/>
  <c r="BC189" i="6"/>
  <c r="BB189" i="6"/>
  <c r="AZ189" i="6"/>
  <c r="AY189" i="6"/>
  <c r="BA189" i="6" s="1"/>
  <c r="AW189" i="6"/>
  <c r="AX189" i="6" s="1"/>
  <c r="AV189" i="6"/>
  <c r="AT189" i="6"/>
  <c r="AS189" i="6"/>
  <c r="AU189" i="6" s="1"/>
  <c r="AR189" i="6"/>
  <c r="AQ189" i="6"/>
  <c r="AP189" i="6"/>
  <c r="AN189" i="6"/>
  <c r="AO189" i="6" s="1"/>
  <c r="AM189" i="6"/>
  <c r="AL189" i="6"/>
  <c r="AK189" i="6"/>
  <c r="AI189" i="6"/>
  <c r="AJ189" i="6" s="1"/>
  <c r="AG189" i="6"/>
  <c r="AE189" i="6"/>
  <c r="AD189" i="6"/>
  <c r="AC189" i="6"/>
  <c r="AF189" i="6" s="1"/>
  <c r="AA189" i="6"/>
  <c r="Z189" i="6"/>
  <c r="AB189" i="6" s="1"/>
  <c r="Y189" i="6"/>
  <c r="W189" i="6"/>
  <c r="V189" i="6"/>
  <c r="DT189" i="6" s="1"/>
  <c r="T189" i="6"/>
  <c r="R189" i="6"/>
  <c r="S189" i="6" s="1"/>
  <c r="Q189" i="6"/>
  <c r="P189" i="6"/>
  <c r="O189" i="6"/>
  <c r="N189" i="6"/>
  <c r="M189" i="6"/>
  <c r="K189" i="6"/>
  <c r="J189" i="6"/>
  <c r="I189" i="6"/>
  <c r="H189" i="6"/>
  <c r="G189" i="6"/>
  <c r="F189" i="6"/>
  <c r="DV189" i="6" s="1"/>
  <c r="E189" i="6"/>
  <c r="DP189" i="6" s="1"/>
  <c r="D189" i="6"/>
  <c r="C189" i="6"/>
  <c r="B189" i="6"/>
  <c r="DW188" i="6"/>
  <c r="DQ188" i="6"/>
  <c r="DP188" i="6"/>
  <c r="DN188" i="6"/>
  <c r="DM188" i="6"/>
  <c r="DL188" i="6"/>
  <c r="DK188" i="6"/>
  <c r="DJ188" i="6"/>
  <c r="DH188" i="6"/>
  <c r="DI188" i="6" s="1"/>
  <c r="DG188" i="6"/>
  <c r="DF188" i="6"/>
  <c r="CY188" i="6"/>
  <c r="CZ188" i="6" s="1"/>
  <c r="CX188" i="6"/>
  <c r="CU188" i="6"/>
  <c r="CT188" i="6"/>
  <c r="CR188" i="6"/>
  <c r="CQ188" i="6"/>
  <c r="CP188" i="6"/>
  <c r="CS188" i="6" s="1"/>
  <c r="CN188" i="6"/>
  <c r="CM188" i="6"/>
  <c r="CL188" i="6"/>
  <c r="CO188" i="6" s="1"/>
  <c r="CJ188" i="6"/>
  <c r="CI188" i="6"/>
  <c r="CK188" i="6" s="1"/>
  <c r="CH188" i="6"/>
  <c r="CG188" i="6"/>
  <c r="CE188" i="6"/>
  <c r="CD188" i="6"/>
  <c r="CF188" i="6" s="1"/>
  <c r="CC188" i="6"/>
  <c r="CB188" i="6"/>
  <c r="CA188" i="6"/>
  <c r="BZ188" i="6"/>
  <c r="BY188" i="6"/>
  <c r="BX188" i="6"/>
  <c r="BW188" i="6"/>
  <c r="BV188" i="6"/>
  <c r="BU188" i="6"/>
  <c r="BR188" i="6"/>
  <c r="BQ188" i="6"/>
  <c r="BS188" i="6" s="1"/>
  <c r="BO188" i="6"/>
  <c r="BP188" i="6" s="1"/>
  <c r="BM188" i="6"/>
  <c r="BL188" i="6"/>
  <c r="BK188" i="6"/>
  <c r="BJ188" i="6"/>
  <c r="BI188" i="6"/>
  <c r="BH188" i="6"/>
  <c r="BG188" i="6"/>
  <c r="BF188" i="6"/>
  <c r="BD188" i="6"/>
  <c r="BC188" i="6"/>
  <c r="BB188" i="6"/>
  <c r="BE188" i="6" s="1"/>
  <c r="AZ188" i="6"/>
  <c r="AY188" i="6"/>
  <c r="BA188" i="6" s="1"/>
  <c r="AW188" i="6"/>
  <c r="AV188" i="6"/>
  <c r="AX188" i="6" s="1"/>
  <c r="AT188" i="6"/>
  <c r="AS188" i="6"/>
  <c r="AU188" i="6" s="1"/>
  <c r="AQ188" i="6"/>
  <c r="AP188" i="6"/>
  <c r="AR188" i="6" s="1"/>
  <c r="AN188" i="6"/>
  <c r="AM188" i="6"/>
  <c r="AO188" i="6" s="1"/>
  <c r="AK188" i="6"/>
  <c r="AL188" i="6" s="1"/>
  <c r="AJ188" i="6"/>
  <c r="AI188" i="6"/>
  <c r="AG188" i="6"/>
  <c r="AE188" i="6"/>
  <c r="AD188" i="6"/>
  <c r="AC188" i="6"/>
  <c r="AF188" i="6" s="1"/>
  <c r="AA188" i="6"/>
  <c r="Z188" i="6"/>
  <c r="AB188" i="6" s="1"/>
  <c r="Y188" i="6"/>
  <c r="W188" i="6"/>
  <c r="V188" i="6"/>
  <c r="T188" i="6"/>
  <c r="R188" i="6"/>
  <c r="S188" i="6" s="1"/>
  <c r="P188" i="6"/>
  <c r="O188" i="6"/>
  <c r="N188" i="6"/>
  <c r="M188" i="6"/>
  <c r="Q188" i="6" s="1"/>
  <c r="K188" i="6"/>
  <c r="J188" i="6"/>
  <c r="H188" i="6"/>
  <c r="G188" i="6"/>
  <c r="F188" i="6"/>
  <c r="DV188" i="6" s="1"/>
  <c r="E188" i="6"/>
  <c r="I188" i="6" s="1"/>
  <c r="D188" i="6"/>
  <c r="C188" i="6"/>
  <c r="B188" i="6"/>
  <c r="DW187" i="6"/>
  <c r="DP187" i="6"/>
  <c r="DM187" i="6"/>
  <c r="DL187" i="6"/>
  <c r="DK187" i="6"/>
  <c r="DJ187" i="6"/>
  <c r="DN187" i="6" s="1"/>
  <c r="DH187" i="6"/>
  <c r="DI187" i="6" s="1"/>
  <c r="DF187" i="6"/>
  <c r="DG187" i="6" s="1"/>
  <c r="CY187" i="6"/>
  <c r="CZ187" i="6" s="1"/>
  <c r="CX187" i="6"/>
  <c r="CU187" i="6"/>
  <c r="CT187" i="6"/>
  <c r="CR187" i="6"/>
  <c r="CQ187" i="6"/>
  <c r="CP187" i="6"/>
  <c r="CS187" i="6" s="1"/>
  <c r="CN187" i="6"/>
  <c r="CM187" i="6"/>
  <c r="CL187" i="6"/>
  <c r="CO187" i="6" s="1"/>
  <c r="CJ187" i="6"/>
  <c r="CI187" i="6"/>
  <c r="CH187" i="6"/>
  <c r="CG187" i="6"/>
  <c r="CF187" i="6"/>
  <c r="CE187" i="6"/>
  <c r="CD187" i="6"/>
  <c r="CB187" i="6"/>
  <c r="CC187" i="6" s="1"/>
  <c r="CA187" i="6"/>
  <c r="BZ187" i="6"/>
  <c r="BY187" i="6"/>
  <c r="BX187" i="6"/>
  <c r="BW187" i="6"/>
  <c r="BV187" i="6"/>
  <c r="BU187" i="6"/>
  <c r="BR187" i="6"/>
  <c r="BQ187" i="6"/>
  <c r="BS187" i="6" s="1"/>
  <c r="BO187" i="6"/>
  <c r="BM187" i="6"/>
  <c r="BL187" i="6"/>
  <c r="BN187" i="6" s="1"/>
  <c r="BK187" i="6"/>
  <c r="BJ187" i="6"/>
  <c r="BI187" i="6"/>
  <c r="BH187" i="6"/>
  <c r="BF187" i="6"/>
  <c r="BG187" i="6" s="1"/>
  <c r="BD187" i="6"/>
  <c r="BE187" i="6" s="1"/>
  <c r="BC187" i="6"/>
  <c r="BB187" i="6"/>
  <c r="AZ187" i="6"/>
  <c r="AY187" i="6"/>
  <c r="BA187" i="6" s="1"/>
  <c r="AW187" i="6"/>
  <c r="AV187" i="6"/>
  <c r="AX187" i="6" s="1"/>
  <c r="AU187" i="6"/>
  <c r="AT187" i="6"/>
  <c r="AS187" i="6"/>
  <c r="AQ187" i="6"/>
  <c r="AR187" i="6" s="1"/>
  <c r="AP187" i="6"/>
  <c r="AO187" i="6"/>
  <c r="AN187" i="6"/>
  <c r="AM187" i="6"/>
  <c r="AL187" i="6"/>
  <c r="AK187" i="6"/>
  <c r="AI187" i="6"/>
  <c r="AJ187" i="6" s="1"/>
  <c r="AG187" i="6"/>
  <c r="AE187" i="6"/>
  <c r="AD187" i="6"/>
  <c r="AC187" i="6"/>
  <c r="AF187" i="6" s="1"/>
  <c r="AA187" i="6"/>
  <c r="Z187" i="6"/>
  <c r="AB187" i="6" s="1"/>
  <c r="Y187" i="6"/>
  <c r="W187" i="6"/>
  <c r="V187" i="6"/>
  <c r="T187" i="6"/>
  <c r="R187" i="6"/>
  <c r="S187" i="6" s="1"/>
  <c r="P187" i="6"/>
  <c r="O187" i="6"/>
  <c r="N187" i="6"/>
  <c r="Q187" i="6" s="1"/>
  <c r="M187" i="6"/>
  <c r="K187" i="6"/>
  <c r="J187" i="6"/>
  <c r="H187" i="6"/>
  <c r="G187" i="6"/>
  <c r="I187" i="6" s="1"/>
  <c r="F187" i="6"/>
  <c r="E187" i="6"/>
  <c r="D187" i="6"/>
  <c r="C187" i="6"/>
  <c r="B187" i="6"/>
  <c r="DW186" i="6"/>
  <c r="DP186" i="6"/>
  <c r="DN186" i="6"/>
  <c r="DM186" i="6"/>
  <c r="DL186" i="6"/>
  <c r="DK186" i="6"/>
  <c r="DJ186" i="6"/>
  <c r="DI186" i="6"/>
  <c r="DH186" i="6"/>
  <c r="DF186" i="6"/>
  <c r="DG186" i="6" s="1"/>
  <c r="CY186" i="6"/>
  <c r="CZ186" i="6" s="1"/>
  <c r="CX186" i="6"/>
  <c r="CT186" i="6"/>
  <c r="CU186" i="6" s="1"/>
  <c r="CR186" i="6"/>
  <c r="CQ186" i="6"/>
  <c r="CP186" i="6"/>
  <c r="CN186" i="6"/>
  <c r="CM186" i="6"/>
  <c r="CO186" i="6" s="1"/>
  <c r="CL186" i="6"/>
  <c r="CJ186" i="6"/>
  <c r="CI186" i="6"/>
  <c r="DS186" i="6" s="1"/>
  <c r="CG186" i="6"/>
  <c r="CH186" i="6" s="1"/>
  <c r="CE186" i="6"/>
  <c r="CD186" i="6"/>
  <c r="CF186" i="6" s="1"/>
  <c r="CC186" i="6"/>
  <c r="CB186" i="6"/>
  <c r="CA186" i="6"/>
  <c r="BZ186" i="6"/>
  <c r="BY186" i="6"/>
  <c r="BX186" i="6"/>
  <c r="BW186" i="6"/>
  <c r="BU186" i="6"/>
  <c r="BV186" i="6" s="1"/>
  <c r="BS186" i="6"/>
  <c r="BR186" i="6"/>
  <c r="BQ186" i="6"/>
  <c r="BP186" i="6"/>
  <c r="BO186" i="6"/>
  <c r="BN186" i="6"/>
  <c r="BM186" i="6"/>
  <c r="BL186" i="6"/>
  <c r="BK186" i="6"/>
  <c r="BJ186" i="6"/>
  <c r="BH186" i="6"/>
  <c r="BI186" i="6" s="1"/>
  <c r="BF186" i="6"/>
  <c r="BG186" i="6" s="1"/>
  <c r="BD186" i="6"/>
  <c r="BC186" i="6"/>
  <c r="BB186" i="6"/>
  <c r="BE186" i="6" s="1"/>
  <c r="AZ186" i="6"/>
  <c r="AY186" i="6"/>
  <c r="BA186" i="6" s="1"/>
  <c r="AW186" i="6"/>
  <c r="AV186" i="6"/>
  <c r="AX186" i="6" s="1"/>
  <c r="AT186" i="6"/>
  <c r="AS186" i="6"/>
  <c r="AU186" i="6" s="1"/>
  <c r="AQ186" i="6"/>
  <c r="AP186" i="6"/>
  <c r="AR186" i="6" s="1"/>
  <c r="AN186" i="6"/>
  <c r="AO186" i="6" s="1"/>
  <c r="AM186" i="6"/>
  <c r="AK186" i="6"/>
  <c r="AL186" i="6" s="1"/>
  <c r="AI186" i="6"/>
  <c r="AJ186" i="6" s="1"/>
  <c r="AG186" i="6"/>
  <c r="AF186" i="6"/>
  <c r="AE186" i="6"/>
  <c r="AD186" i="6"/>
  <c r="AC186" i="6"/>
  <c r="AA186" i="6"/>
  <c r="Z186" i="6"/>
  <c r="Y186" i="6"/>
  <c r="W186" i="6"/>
  <c r="V186" i="6"/>
  <c r="T186" i="6"/>
  <c r="S186" i="6"/>
  <c r="R186" i="6"/>
  <c r="Q186" i="6"/>
  <c r="P186" i="6"/>
  <c r="O186" i="6"/>
  <c r="N186" i="6"/>
  <c r="M186" i="6"/>
  <c r="K186" i="6"/>
  <c r="J186" i="6"/>
  <c r="H186" i="6"/>
  <c r="G186" i="6"/>
  <c r="F186" i="6"/>
  <c r="I186" i="6" s="1"/>
  <c r="E186" i="6"/>
  <c r="D186" i="6"/>
  <c r="C186" i="6"/>
  <c r="B186" i="6"/>
  <c r="DW185" i="6"/>
  <c r="DV185" i="6"/>
  <c r="DM185" i="6"/>
  <c r="DL185" i="6"/>
  <c r="DN185" i="6" s="1"/>
  <c r="DK185" i="6"/>
  <c r="DJ185" i="6"/>
  <c r="DI185" i="6"/>
  <c r="DH185" i="6"/>
  <c r="DF185" i="6"/>
  <c r="DG185" i="6" s="1"/>
  <c r="CY185" i="6"/>
  <c r="CZ185" i="6" s="1"/>
  <c r="CX185" i="6"/>
  <c r="CT185" i="6"/>
  <c r="CU185" i="6" s="1"/>
  <c r="CR185" i="6"/>
  <c r="CQ185" i="6"/>
  <c r="CP185" i="6"/>
  <c r="CS185" i="6" s="1"/>
  <c r="CN185" i="6"/>
  <c r="CM185" i="6"/>
  <c r="CL185" i="6"/>
  <c r="CJ185" i="6"/>
  <c r="CI185" i="6"/>
  <c r="CH185" i="6"/>
  <c r="CG185" i="6"/>
  <c r="CE185" i="6"/>
  <c r="CD185" i="6"/>
  <c r="CF185" i="6" s="1"/>
  <c r="CB185" i="6"/>
  <c r="CC185" i="6" s="1"/>
  <c r="BZ185" i="6"/>
  <c r="BY185" i="6"/>
  <c r="BX185" i="6"/>
  <c r="BW185" i="6"/>
  <c r="CA185" i="6" s="1"/>
  <c r="BU185" i="6"/>
  <c r="BV185" i="6" s="1"/>
  <c r="BR185" i="6"/>
  <c r="BQ185" i="6"/>
  <c r="BS185" i="6" s="1"/>
  <c r="BP185" i="6"/>
  <c r="BO185" i="6"/>
  <c r="BM185" i="6"/>
  <c r="BN185" i="6" s="1"/>
  <c r="BL185" i="6"/>
  <c r="BK185" i="6"/>
  <c r="BJ185" i="6"/>
  <c r="BH185" i="6"/>
  <c r="BI185" i="6" s="1"/>
  <c r="BF185" i="6"/>
  <c r="BG185" i="6" s="1"/>
  <c r="BD185" i="6"/>
  <c r="BE185" i="6" s="1"/>
  <c r="BC185" i="6"/>
  <c r="BB185" i="6"/>
  <c r="AZ185" i="6"/>
  <c r="AY185" i="6"/>
  <c r="AW185" i="6"/>
  <c r="AV185" i="6"/>
  <c r="AX185" i="6" s="1"/>
  <c r="AT185" i="6"/>
  <c r="AS185" i="6"/>
  <c r="AU185" i="6" s="1"/>
  <c r="AQ185" i="6"/>
  <c r="AP185" i="6"/>
  <c r="AN185" i="6"/>
  <c r="AM185" i="6"/>
  <c r="AO185" i="6" s="1"/>
  <c r="AL185" i="6"/>
  <c r="AK185" i="6"/>
  <c r="AI185" i="6"/>
  <c r="AJ185" i="6" s="1"/>
  <c r="AG185" i="6"/>
  <c r="AE185" i="6"/>
  <c r="AD185" i="6"/>
  <c r="AC185" i="6"/>
  <c r="AA185" i="6"/>
  <c r="Z185" i="6"/>
  <c r="Y185" i="6"/>
  <c r="W185" i="6"/>
  <c r="V185" i="6"/>
  <c r="X185" i="6" s="1"/>
  <c r="T185" i="6"/>
  <c r="R185" i="6"/>
  <c r="S185" i="6" s="1"/>
  <c r="P185" i="6"/>
  <c r="O185" i="6"/>
  <c r="Q185" i="6" s="1"/>
  <c r="N185" i="6"/>
  <c r="M185" i="6"/>
  <c r="K185" i="6"/>
  <c r="J185" i="6"/>
  <c r="H185" i="6"/>
  <c r="G185" i="6"/>
  <c r="F185" i="6"/>
  <c r="E185" i="6"/>
  <c r="D185" i="6"/>
  <c r="C185" i="6"/>
  <c r="B185" i="6"/>
  <c r="DW184" i="6"/>
  <c r="DP184" i="6"/>
  <c r="DN184" i="6"/>
  <c r="DM184" i="6"/>
  <c r="DL184" i="6"/>
  <c r="DK184" i="6"/>
  <c r="DJ184" i="6"/>
  <c r="DH184" i="6"/>
  <c r="DI184" i="6" s="1"/>
  <c r="DG184" i="6"/>
  <c r="DF184" i="6"/>
  <c r="CY184" i="6"/>
  <c r="CZ184" i="6" s="1"/>
  <c r="CX184" i="6"/>
  <c r="CU184" i="6"/>
  <c r="CT184" i="6"/>
  <c r="CR184" i="6"/>
  <c r="CQ184" i="6"/>
  <c r="CP184" i="6"/>
  <c r="CN184" i="6"/>
  <c r="CM184" i="6"/>
  <c r="CO184" i="6" s="1"/>
  <c r="CL184" i="6"/>
  <c r="CK184" i="6"/>
  <c r="CJ184" i="6"/>
  <c r="CI184" i="6"/>
  <c r="CH184" i="6"/>
  <c r="CG184" i="6"/>
  <c r="CE184" i="6"/>
  <c r="CD184" i="6"/>
  <c r="CF184" i="6" s="1"/>
  <c r="CB184" i="6"/>
  <c r="CC184" i="6" s="1"/>
  <c r="BZ184" i="6"/>
  <c r="BY184" i="6"/>
  <c r="BX184" i="6"/>
  <c r="DS184" i="6" s="1"/>
  <c r="BW184" i="6"/>
  <c r="CA184" i="6" s="1"/>
  <c r="BV184" i="6"/>
  <c r="BU184" i="6"/>
  <c r="BR184" i="6"/>
  <c r="BQ184" i="6"/>
  <c r="BS184" i="6" s="1"/>
  <c r="BP184" i="6"/>
  <c r="BO184" i="6"/>
  <c r="BN184" i="6"/>
  <c r="BM184" i="6"/>
  <c r="BL184" i="6"/>
  <c r="BK184" i="6"/>
  <c r="BJ184" i="6"/>
  <c r="BH184" i="6"/>
  <c r="BI184" i="6" s="1"/>
  <c r="BG184" i="6"/>
  <c r="BF184" i="6"/>
  <c r="BD184" i="6"/>
  <c r="BC184" i="6"/>
  <c r="BB184" i="6"/>
  <c r="BE184" i="6" s="1"/>
  <c r="AZ184" i="6"/>
  <c r="DQ184" i="6" s="1"/>
  <c r="AY184" i="6"/>
  <c r="BA184" i="6" s="1"/>
  <c r="AX184" i="6"/>
  <c r="AW184" i="6"/>
  <c r="DU184" i="6" s="1"/>
  <c r="AV184" i="6"/>
  <c r="AT184" i="6"/>
  <c r="AS184" i="6"/>
  <c r="AU184" i="6" s="1"/>
  <c r="AR184" i="6"/>
  <c r="AQ184" i="6"/>
  <c r="AP184" i="6"/>
  <c r="AO184" i="6"/>
  <c r="AN184" i="6"/>
  <c r="AM184" i="6"/>
  <c r="AK184" i="6"/>
  <c r="AL184" i="6" s="1"/>
  <c r="AI184" i="6"/>
  <c r="AJ184" i="6" s="1"/>
  <c r="AG184" i="6"/>
  <c r="AE184" i="6"/>
  <c r="AD184" i="6"/>
  <c r="AC184" i="6"/>
  <c r="AA184" i="6"/>
  <c r="Z184" i="6"/>
  <c r="AB184" i="6" s="1"/>
  <c r="Y184" i="6"/>
  <c r="W184" i="6"/>
  <c r="DV184" i="6" s="1"/>
  <c r="V184" i="6"/>
  <c r="DT184" i="6" s="1"/>
  <c r="T184" i="6"/>
  <c r="R184" i="6"/>
  <c r="S184" i="6" s="1"/>
  <c r="P184" i="6"/>
  <c r="O184" i="6"/>
  <c r="N184" i="6"/>
  <c r="M184" i="6"/>
  <c r="Q184" i="6" s="1"/>
  <c r="K184" i="6"/>
  <c r="J184" i="6"/>
  <c r="H184" i="6"/>
  <c r="G184" i="6"/>
  <c r="F184" i="6"/>
  <c r="E184" i="6"/>
  <c r="D184" i="6"/>
  <c r="C184" i="6"/>
  <c r="B184" i="6"/>
  <c r="DW183" i="6"/>
  <c r="DM183" i="6"/>
  <c r="DN183" i="6" s="1"/>
  <c r="DL183" i="6"/>
  <c r="DK183" i="6"/>
  <c r="DJ183" i="6"/>
  <c r="DF183" i="6"/>
  <c r="DG183" i="6" s="1"/>
  <c r="CY183" i="6"/>
  <c r="CZ183" i="6" s="1"/>
  <c r="CX183" i="6"/>
  <c r="CT183" i="6"/>
  <c r="CU183" i="6" s="1"/>
  <c r="CR183" i="6"/>
  <c r="CQ183" i="6"/>
  <c r="CP183" i="6"/>
  <c r="CN183" i="6"/>
  <c r="CM183" i="6"/>
  <c r="CO183" i="6" s="1"/>
  <c r="CL183" i="6"/>
  <c r="CK183" i="6"/>
  <c r="CJ183" i="6"/>
  <c r="CI183" i="6"/>
  <c r="CH183" i="6"/>
  <c r="CG183" i="6"/>
  <c r="CE183" i="6"/>
  <c r="CD183" i="6"/>
  <c r="CF183" i="6" s="1"/>
  <c r="CB183" i="6"/>
  <c r="CC183" i="6" s="1"/>
  <c r="BZ183" i="6"/>
  <c r="BY183" i="6"/>
  <c r="BX183" i="6"/>
  <c r="BW183" i="6"/>
  <c r="BU183" i="6"/>
  <c r="BV183" i="6" s="1"/>
  <c r="BS183" i="6"/>
  <c r="BR183" i="6"/>
  <c r="BQ183" i="6"/>
  <c r="BP183" i="6"/>
  <c r="BO183" i="6"/>
  <c r="BN183" i="6"/>
  <c r="BM183" i="6"/>
  <c r="BL183" i="6"/>
  <c r="BK183" i="6"/>
  <c r="BJ183" i="6"/>
  <c r="BH183" i="6"/>
  <c r="BI183" i="6" s="1"/>
  <c r="BF183" i="6"/>
  <c r="BG183" i="6" s="1"/>
  <c r="BD183" i="6"/>
  <c r="BC183" i="6"/>
  <c r="BB183" i="6"/>
  <c r="BE183" i="6" s="1"/>
  <c r="BA183" i="6"/>
  <c r="AZ183" i="6"/>
  <c r="AY183" i="6"/>
  <c r="AX183" i="6"/>
  <c r="AW183" i="6"/>
  <c r="AV183" i="6"/>
  <c r="AT183" i="6"/>
  <c r="AU183" i="6" s="1"/>
  <c r="AS183" i="6"/>
  <c r="AR183" i="6"/>
  <c r="AQ183" i="6"/>
  <c r="AP183" i="6"/>
  <c r="AN183" i="6"/>
  <c r="AO183" i="6" s="1"/>
  <c r="AM183" i="6"/>
  <c r="AL183" i="6"/>
  <c r="AK183" i="6"/>
  <c r="AI183" i="6"/>
  <c r="AJ183" i="6" s="1"/>
  <c r="AG183" i="6"/>
  <c r="AE183" i="6"/>
  <c r="AD183" i="6"/>
  <c r="AC183" i="6"/>
  <c r="AF183" i="6" s="1"/>
  <c r="AB183" i="6"/>
  <c r="AA183" i="6"/>
  <c r="Z183" i="6"/>
  <c r="Y183" i="6"/>
  <c r="X183" i="6"/>
  <c r="W183" i="6"/>
  <c r="DV183" i="6" s="1"/>
  <c r="V183" i="6"/>
  <c r="T183" i="6"/>
  <c r="R183" i="6"/>
  <c r="S183" i="6" s="1"/>
  <c r="P183" i="6"/>
  <c r="Q183" i="6" s="1"/>
  <c r="O183" i="6"/>
  <c r="N183" i="6"/>
  <c r="M183" i="6"/>
  <c r="K183" i="6"/>
  <c r="J183" i="6"/>
  <c r="H183" i="6"/>
  <c r="G183" i="6"/>
  <c r="DU183" i="6" s="1"/>
  <c r="F183" i="6"/>
  <c r="E183" i="6"/>
  <c r="D183" i="6"/>
  <c r="C183" i="6"/>
  <c r="B183" i="6"/>
  <c r="DW182" i="6"/>
  <c r="DM182" i="6"/>
  <c r="DL182" i="6"/>
  <c r="DK182" i="6"/>
  <c r="DJ182" i="6"/>
  <c r="DN182" i="6" s="1"/>
  <c r="DF182" i="6"/>
  <c r="DG182" i="6" s="1"/>
  <c r="CY182" i="6"/>
  <c r="CZ182" i="6" s="1"/>
  <c r="CX182" i="6"/>
  <c r="CU182" i="6"/>
  <c r="CT182" i="6"/>
  <c r="CS182" i="6"/>
  <c r="CR182" i="6"/>
  <c r="CQ182" i="6"/>
  <c r="CP182" i="6"/>
  <c r="CN182" i="6"/>
  <c r="CO182" i="6" s="1"/>
  <c r="CM182" i="6"/>
  <c r="CL182" i="6"/>
  <c r="CK182" i="6"/>
  <c r="CJ182" i="6"/>
  <c r="CI182" i="6"/>
  <c r="CG182" i="6"/>
  <c r="CH182" i="6" s="1"/>
  <c r="CE182" i="6"/>
  <c r="CD182" i="6"/>
  <c r="CF182" i="6" s="1"/>
  <c r="CB182" i="6"/>
  <c r="CC182" i="6" s="1"/>
  <c r="BZ182" i="6"/>
  <c r="BY182" i="6"/>
  <c r="BX182" i="6"/>
  <c r="BW182" i="6"/>
  <c r="CA182" i="6" s="1"/>
  <c r="BU182" i="6"/>
  <c r="BV182" i="6" s="1"/>
  <c r="BS182" i="6"/>
  <c r="BR182" i="6"/>
  <c r="BQ182" i="6"/>
  <c r="BO182" i="6"/>
  <c r="BP182" i="6" s="1"/>
  <c r="BN182" i="6"/>
  <c r="BM182" i="6"/>
  <c r="BL182" i="6"/>
  <c r="BK182" i="6"/>
  <c r="BJ182" i="6"/>
  <c r="BH182" i="6"/>
  <c r="BI182" i="6" s="1"/>
  <c r="BF182" i="6"/>
  <c r="BG182" i="6" s="1"/>
  <c r="BD182" i="6"/>
  <c r="BC182" i="6"/>
  <c r="BB182" i="6"/>
  <c r="BE182" i="6" s="1"/>
  <c r="AZ182" i="6"/>
  <c r="AY182" i="6"/>
  <c r="AW182" i="6"/>
  <c r="AV182" i="6"/>
  <c r="AT182" i="6"/>
  <c r="AS182" i="6"/>
  <c r="AU182" i="6" s="1"/>
  <c r="AR182" i="6"/>
  <c r="AQ182" i="6"/>
  <c r="AP182" i="6"/>
  <c r="AN182" i="6"/>
  <c r="AM182" i="6"/>
  <c r="AO182" i="6" s="1"/>
  <c r="AK182" i="6"/>
  <c r="AL182" i="6" s="1"/>
  <c r="AI182" i="6"/>
  <c r="AJ182" i="6" s="1"/>
  <c r="AG182" i="6"/>
  <c r="AE182" i="6"/>
  <c r="AD182" i="6"/>
  <c r="AC182" i="6"/>
  <c r="AA182" i="6"/>
  <c r="Z182" i="6"/>
  <c r="Y182" i="6"/>
  <c r="W182" i="6"/>
  <c r="V182" i="6"/>
  <c r="T182" i="6"/>
  <c r="R182" i="6"/>
  <c r="S182" i="6" s="1"/>
  <c r="P182" i="6"/>
  <c r="O182" i="6"/>
  <c r="N182" i="6"/>
  <c r="M182" i="6"/>
  <c r="Q182" i="6" s="1"/>
  <c r="K182" i="6"/>
  <c r="J182" i="6"/>
  <c r="H182" i="6"/>
  <c r="G182" i="6"/>
  <c r="F182" i="6"/>
  <c r="DV182" i="6" s="1"/>
  <c r="E182" i="6"/>
  <c r="D182" i="6"/>
  <c r="C182" i="6"/>
  <c r="B182" i="6"/>
  <c r="DW181" i="6"/>
  <c r="DQ181" i="6"/>
  <c r="DM181" i="6"/>
  <c r="DL181" i="6"/>
  <c r="DK181" i="6"/>
  <c r="DN181" i="6" s="1"/>
  <c r="DJ181" i="6"/>
  <c r="DF181" i="6"/>
  <c r="DG181" i="6" s="1"/>
  <c r="CY181" i="6"/>
  <c r="CZ181" i="6" s="1"/>
  <c r="CX181" i="6"/>
  <c r="CU181" i="6"/>
  <c r="CT181" i="6"/>
  <c r="CR181" i="6"/>
  <c r="CQ181" i="6"/>
  <c r="CS181" i="6" s="1"/>
  <c r="CP181" i="6"/>
  <c r="CO181" i="6"/>
  <c r="CN181" i="6"/>
  <c r="CM181" i="6"/>
  <c r="CL181" i="6"/>
  <c r="CK181" i="6"/>
  <c r="CJ181" i="6"/>
  <c r="CI181" i="6"/>
  <c r="CG181" i="6"/>
  <c r="CH181" i="6" s="1"/>
  <c r="CF181" i="6"/>
  <c r="CE181" i="6"/>
  <c r="CD181" i="6"/>
  <c r="CB181" i="6"/>
  <c r="CC181" i="6" s="1"/>
  <c r="BZ181" i="6"/>
  <c r="BY181" i="6"/>
  <c r="BX181" i="6"/>
  <c r="BW181" i="6"/>
  <c r="CA181" i="6" s="1"/>
  <c r="BV181" i="6"/>
  <c r="BU181" i="6"/>
  <c r="BR181" i="6"/>
  <c r="BQ181" i="6"/>
  <c r="BS181" i="6" s="1"/>
  <c r="BO181" i="6"/>
  <c r="BP181" i="6" s="1"/>
  <c r="BN181" i="6"/>
  <c r="BM181" i="6"/>
  <c r="BL181" i="6"/>
  <c r="BK181" i="6"/>
  <c r="BJ181" i="6"/>
  <c r="BI181" i="6"/>
  <c r="BH181" i="6"/>
  <c r="BF181" i="6"/>
  <c r="BG181" i="6" s="1"/>
  <c r="BD181" i="6"/>
  <c r="BC181" i="6"/>
  <c r="BB181" i="6"/>
  <c r="BE181" i="6" s="1"/>
  <c r="AZ181" i="6"/>
  <c r="BA181" i="6" s="1"/>
  <c r="AY181" i="6"/>
  <c r="AW181" i="6"/>
  <c r="AV181" i="6"/>
  <c r="AT181" i="6"/>
  <c r="AS181" i="6"/>
  <c r="AU181" i="6" s="1"/>
  <c r="AR181" i="6"/>
  <c r="AQ181" i="6"/>
  <c r="AP181" i="6"/>
  <c r="AN181" i="6"/>
  <c r="AM181" i="6"/>
  <c r="AO181" i="6" s="1"/>
  <c r="AK181" i="6"/>
  <c r="AL181" i="6" s="1"/>
  <c r="AI181" i="6"/>
  <c r="AJ181" i="6" s="1"/>
  <c r="AG181" i="6"/>
  <c r="AE181" i="6"/>
  <c r="AD181" i="6"/>
  <c r="DR181" i="6" s="1"/>
  <c r="AC181" i="6"/>
  <c r="AB181" i="6"/>
  <c r="AA181" i="6"/>
  <c r="Z181" i="6"/>
  <c r="Y181" i="6"/>
  <c r="X181" i="6"/>
  <c r="W181" i="6"/>
  <c r="V181" i="6"/>
  <c r="T181" i="6"/>
  <c r="R181" i="6"/>
  <c r="S181" i="6" s="1"/>
  <c r="P181" i="6"/>
  <c r="O181" i="6"/>
  <c r="Q181" i="6" s="1"/>
  <c r="N181" i="6"/>
  <c r="M181" i="6"/>
  <c r="K181" i="6"/>
  <c r="J181" i="6"/>
  <c r="H181" i="6"/>
  <c r="G181" i="6"/>
  <c r="DU181" i="6" s="1"/>
  <c r="F181" i="6"/>
  <c r="DV181" i="6" s="1"/>
  <c r="E181" i="6"/>
  <c r="D181" i="6"/>
  <c r="C181" i="6"/>
  <c r="B181" i="6"/>
  <c r="DW180" i="6"/>
  <c r="DT180" i="6"/>
  <c r="DS180" i="6"/>
  <c r="DM180" i="6"/>
  <c r="DL180" i="6"/>
  <c r="DK180" i="6"/>
  <c r="DN180" i="6" s="1"/>
  <c r="DJ180" i="6"/>
  <c r="DF180" i="6"/>
  <c r="DG180" i="6" s="1"/>
  <c r="CY180" i="6"/>
  <c r="CX180" i="6"/>
  <c r="CZ180" i="6" s="1"/>
  <c r="CT180" i="6"/>
  <c r="CU180" i="6" s="1"/>
  <c r="CR180" i="6"/>
  <c r="CS180" i="6" s="1"/>
  <c r="CQ180" i="6"/>
  <c r="CP180" i="6"/>
  <c r="CN180" i="6"/>
  <c r="CM180" i="6"/>
  <c r="CL180" i="6"/>
  <c r="CO180" i="6" s="1"/>
  <c r="CK180" i="6"/>
  <c r="CJ180" i="6"/>
  <c r="CI180" i="6"/>
  <c r="CH180" i="6"/>
  <c r="CG180" i="6"/>
  <c r="CF180" i="6"/>
  <c r="CE180" i="6"/>
  <c r="CD180" i="6"/>
  <c r="CB180" i="6"/>
  <c r="CC180" i="6" s="1"/>
  <c r="BZ180" i="6"/>
  <c r="BY180" i="6"/>
  <c r="BX180" i="6"/>
  <c r="BW180" i="6"/>
  <c r="BV180" i="6"/>
  <c r="BU180" i="6"/>
  <c r="BS180" i="6"/>
  <c r="BR180" i="6"/>
  <c r="BQ180" i="6"/>
  <c r="BP180" i="6"/>
  <c r="BO180" i="6"/>
  <c r="BN180" i="6"/>
  <c r="BM180" i="6"/>
  <c r="BL180" i="6"/>
  <c r="BK180" i="6"/>
  <c r="BJ180" i="6"/>
  <c r="BI180" i="6"/>
  <c r="BH180" i="6"/>
  <c r="BF180" i="6"/>
  <c r="BG180" i="6" s="1"/>
  <c r="BD180" i="6"/>
  <c r="BC180" i="6"/>
  <c r="BB180" i="6"/>
  <c r="BE180" i="6" s="1"/>
  <c r="AZ180" i="6"/>
  <c r="BA180" i="6" s="1"/>
  <c r="AY180" i="6"/>
  <c r="AW180" i="6"/>
  <c r="AX180" i="6" s="1"/>
  <c r="AV180" i="6"/>
  <c r="AU180" i="6"/>
  <c r="AT180" i="6"/>
  <c r="AS180" i="6"/>
  <c r="AR180" i="6"/>
  <c r="AQ180" i="6"/>
  <c r="AP180" i="6"/>
  <c r="AN180" i="6"/>
  <c r="AM180" i="6"/>
  <c r="AO180" i="6" s="1"/>
  <c r="AL180" i="6"/>
  <c r="AK180" i="6"/>
  <c r="AI180" i="6"/>
  <c r="AJ180" i="6" s="1"/>
  <c r="AG180" i="6"/>
  <c r="AE180" i="6"/>
  <c r="AD180" i="6"/>
  <c r="AC180" i="6"/>
  <c r="AA180" i="6"/>
  <c r="Z180" i="6"/>
  <c r="Y180" i="6"/>
  <c r="W180" i="6"/>
  <c r="X180" i="6" s="1"/>
  <c r="V180" i="6"/>
  <c r="U180" i="6"/>
  <c r="T180" i="6"/>
  <c r="S180" i="6"/>
  <c r="R180" i="6"/>
  <c r="P180" i="6"/>
  <c r="Q180" i="6" s="1"/>
  <c r="O180" i="6"/>
  <c r="N180" i="6"/>
  <c r="M180" i="6"/>
  <c r="K180" i="6"/>
  <c r="J180" i="6"/>
  <c r="H180" i="6"/>
  <c r="DQ180" i="6" s="1"/>
  <c r="G180" i="6"/>
  <c r="F180" i="6"/>
  <c r="DV180" i="6" s="1"/>
  <c r="E180" i="6"/>
  <c r="D180" i="6"/>
  <c r="C180" i="6"/>
  <c r="B180" i="6"/>
  <c r="DW179" i="6"/>
  <c r="DS179" i="6"/>
  <c r="DM179" i="6"/>
  <c r="DL179" i="6"/>
  <c r="DN179" i="6" s="1"/>
  <c r="DK179" i="6"/>
  <c r="DJ179" i="6"/>
  <c r="DF179" i="6"/>
  <c r="DG179" i="6" s="1"/>
  <c r="CY179" i="6"/>
  <c r="CZ179" i="6" s="1"/>
  <c r="CX179" i="6"/>
  <c r="CT179" i="6"/>
  <c r="CU179" i="6" s="1"/>
  <c r="CR179" i="6"/>
  <c r="CQ179" i="6"/>
  <c r="CP179" i="6"/>
  <c r="CS179" i="6" s="1"/>
  <c r="CN179" i="6"/>
  <c r="CM179" i="6"/>
  <c r="CL179" i="6"/>
  <c r="CJ179" i="6"/>
  <c r="CK179" i="6" s="1"/>
  <c r="CI179" i="6"/>
  <c r="CH179" i="6"/>
  <c r="CG179" i="6"/>
  <c r="CE179" i="6"/>
  <c r="CF179" i="6" s="1"/>
  <c r="CD179" i="6"/>
  <c r="CC179" i="6"/>
  <c r="CB179" i="6"/>
  <c r="BZ179" i="6"/>
  <c r="BY179" i="6"/>
  <c r="BX179" i="6"/>
  <c r="BW179" i="6"/>
  <c r="BU179" i="6"/>
  <c r="BV179" i="6" s="1"/>
  <c r="BR179" i="6"/>
  <c r="BQ179" i="6"/>
  <c r="BS179" i="6" s="1"/>
  <c r="BO179" i="6"/>
  <c r="BP179" i="6" s="1"/>
  <c r="BM179" i="6"/>
  <c r="BL179" i="6"/>
  <c r="BK179" i="6"/>
  <c r="BN179" i="6" s="1"/>
  <c r="BJ179" i="6"/>
  <c r="BH179" i="6"/>
  <c r="BI179" i="6" s="1"/>
  <c r="BF179" i="6"/>
  <c r="BG179" i="6" s="1"/>
  <c r="BD179" i="6"/>
  <c r="BC179" i="6"/>
  <c r="BB179" i="6"/>
  <c r="AZ179" i="6"/>
  <c r="AY179" i="6"/>
  <c r="BA179" i="6" s="1"/>
  <c r="AW179" i="6"/>
  <c r="AX179" i="6" s="1"/>
  <c r="AV179" i="6"/>
  <c r="AT179" i="6"/>
  <c r="AS179" i="6"/>
  <c r="AU179" i="6" s="1"/>
  <c r="AQ179" i="6"/>
  <c r="AP179" i="6"/>
  <c r="AR179" i="6" s="1"/>
  <c r="AO179" i="6"/>
  <c r="AN179" i="6"/>
  <c r="AM179" i="6"/>
  <c r="AK179" i="6"/>
  <c r="AL179" i="6" s="1"/>
  <c r="AI179" i="6"/>
  <c r="AJ179" i="6" s="1"/>
  <c r="AG179" i="6"/>
  <c r="AE179" i="6"/>
  <c r="AD179" i="6"/>
  <c r="AC179" i="6"/>
  <c r="AF179" i="6" s="1"/>
  <c r="AB179" i="6"/>
  <c r="AA179" i="6"/>
  <c r="Z179" i="6"/>
  <c r="Y179" i="6"/>
  <c r="W179" i="6"/>
  <c r="X179" i="6" s="1"/>
  <c r="V179" i="6"/>
  <c r="U179" i="6"/>
  <c r="T179" i="6"/>
  <c r="R179" i="6"/>
  <c r="S179" i="6" s="1"/>
  <c r="P179" i="6"/>
  <c r="Q179" i="6" s="1"/>
  <c r="O179" i="6"/>
  <c r="N179" i="6"/>
  <c r="M179" i="6"/>
  <c r="K179" i="6"/>
  <c r="J179" i="6"/>
  <c r="H179" i="6"/>
  <c r="DQ179" i="6" s="1"/>
  <c r="G179" i="6"/>
  <c r="DU179" i="6" s="1"/>
  <c r="F179" i="6"/>
  <c r="DV179" i="6" s="1"/>
  <c r="E179" i="6"/>
  <c r="D179" i="6"/>
  <c r="C179" i="6"/>
  <c r="B179" i="6"/>
  <c r="DW178" i="6"/>
  <c r="DM178" i="6"/>
  <c r="DL178" i="6"/>
  <c r="DK178" i="6"/>
  <c r="DN178" i="6" s="1"/>
  <c r="DJ178" i="6"/>
  <c r="DF178" i="6"/>
  <c r="DG178" i="6" s="1"/>
  <c r="CY178" i="6"/>
  <c r="CZ178" i="6" s="1"/>
  <c r="CX178" i="6"/>
  <c r="CT178" i="6"/>
  <c r="CU178" i="6" s="1"/>
  <c r="CR178" i="6"/>
  <c r="CQ178" i="6"/>
  <c r="CP178" i="6"/>
  <c r="CN178" i="6"/>
  <c r="CO178" i="6" s="1"/>
  <c r="CM178" i="6"/>
  <c r="CL178" i="6"/>
  <c r="CJ178" i="6"/>
  <c r="CI178" i="6"/>
  <c r="CK178" i="6" s="1"/>
  <c r="CG178" i="6"/>
  <c r="CH178" i="6" s="1"/>
  <c r="CF178" i="6"/>
  <c r="CE178" i="6"/>
  <c r="CD178" i="6"/>
  <c r="CB178" i="6"/>
  <c r="CC178" i="6" s="1"/>
  <c r="BZ178" i="6"/>
  <c r="BY178" i="6"/>
  <c r="BX178" i="6"/>
  <c r="CA178" i="6" s="1"/>
  <c r="BW178" i="6"/>
  <c r="BU178" i="6"/>
  <c r="BV178" i="6" s="1"/>
  <c r="BR178" i="6"/>
  <c r="BQ178" i="6"/>
  <c r="BS178" i="6" s="1"/>
  <c r="BP178" i="6"/>
  <c r="BO178" i="6"/>
  <c r="BM178" i="6"/>
  <c r="BL178" i="6"/>
  <c r="BK178" i="6"/>
  <c r="BJ178" i="6"/>
  <c r="BN178" i="6" s="1"/>
  <c r="BI178" i="6"/>
  <c r="BH178" i="6"/>
  <c r="BG178" i="6"/>
  <c r="BF178" i="6"/>
  <c r="BD178" i="6"/>
  <c r="BC178" i="6"/>
  <c r="BB178" i="6"/>
  <c r="AZ178" i="6"/>
  <c r="AY178" i="6"/>
  <c r="BA178" i="6" s="1"/>
  <c r="AW178" i="6"/>
  <c r="AV178" i="6"/>
  <c r="AX178" i="6" s="1"/>
  <c r="AT178" i="6"/>
  <c r="AU178" i="6" s="1"/>
  <c r="AS178" i="6"/>
  <c r="AQ178" i="6"/>
  <c r="AP178" i="6"/>
  <c r="AR178" i="6" s="1"/>
  <c r="AN178" i="6"/>
  <c r="AM178" i="6"/>
  <c r="AO178" i="6" s="1"/>
  <c r="AK178" i="6"/>
  <c r="AL178" i="6" s="1"/>
  <c r="AI178" i="6"/>
  <c r="AJ178" i="6" s="1"/>
  <c r="AG178" i="6"/>
  <c r="AE178" i="6"/>
  <c r="DT178" i="6" s="1"/>
  <c r="AD178" i="6"/>
  <c r="AC178" i="6"/>
  <c r="DS178" i="6" s="1"/>
  <c r="AA178" i="6"/>
  <c r="Z178" i="6"/>
  <c r="AB178" i="6" s="1"/>
  <c r="Y178" i="6"/>
  <c r="X178" i="6"/>
  <c r="W178" i="6"/>
  <c r="V178" i="6"/>
  <c r="U178" i="6"/>
  <c r="T178" i="6"/>
  <c r="S178" i="6"/>
  <c r="R178" i="6"/>
  <c r="P178" i="6"/>
  <c r="O178" i="6"/>
  <c r="N178" i="6"/>
  <c r="Q178" i="6" s="1"/>
  <c r="M178" i="6"/>
  <c r="K178" i="6"/>
  <c r="J178" i="6"/>
  <c r="H178" i="6"/>
  <c r="DQ178" i="6" s="1"/>
  <c r="G178" i="6"/>
  <c r="DU178" i="6" s="1"/>
  <c r="F178" i="6"/>
  <c r="DV178" i="6" s="1"/>
  <c r="E178" i="6"/>
  <c r="D178" i="6"/>
  <c r="C178" i="6"/>
  <c r="B178" i="6"/>
  <c r="DW177" i="6"/>
  <c r="DV177" i="6"/>
  <c r="DM177" i="6"/>
  <c r="DL177" i="6"/>
  <c r="DK177" i="6"/>
  <c r="DJ177" i="6"/>
  <c r="DN177" i="6" s="1"/>
  <c r="DF177" i="6"/>
  <c r="DG177" i="6" s="1"/>
  <c r="CY177" i="6"/>
  <c r="CZ177" i="6" s="1"/>
  <c r="CX177" i="6"/>
  <c r="CT177" i="6"/>
  <c r="CU177" i="6" s="1"/>
  <c r="CR177" i="6"/>
  <c r="CQ177" i="6"/>
  <c r="CS177" i="6" s="1"/>
  <c r="CP177" i="6"/>
  <c r="CO177" i="6"/>
  <c r="CN177" i="6"/>
  <c r="CM177" i="6"/>
  <c r="CL177" i="6"/>
  <c r="CJ177" i="6"/>
  <c r="CK177" i="6" s="1"/>
  <c r="CI177" i="6"/>
  <c r="CG177" i="6"/>
  <c r="CH177" i="6" s="1"/>
  <c r="CF177" i="6"/>
  <c r="CE177" i="6"/>
  <c r="CD177" i="6"/>
  <c r="CB177" i="6"/>
  <c r="CC177" i="6" s="1"/>
  <c r="BZ177" i="6"/>
  <c r="BY177" i="6"/>
  <c r="BX177" i="6"/>
  <c r="BW177" i="6"/>
  <c r="CA177" i="6" s="1"/>
  <c r="BU177" i="6"/>
  <c r="BV177" i="6" s="1"/>
  <c r="BR177" i="6"/>
  <c r="DU177" i="6" s="1"/>
  <c r="BQ177" i="6"/>
  <c r="BS177" i="6" s="1"/>
  <c r="BP177" i="6"/>
  <c r="BO177" i="6"/>
  <c r="BM177" i="6"/>
  <c r="BL177" i="6"/>
  <c r="BK177" i="6"/>
  <c r="BJ177" i="6"/>
  <c r="BN177" i="6" s="1"/>
  <c r="BH177" i="6"/>
  <c r="BI177" i="6" s="1"/>
  <c r="BF177" i="6"/>
  <c r="BG177" i="6" s="1"/>
  <c r="BE177" i="6"/>
  <c r="BD177" i="6"/>
  <c r="BC177" i="6"/>
  <c r="BB177" i="6"/>
  <c r="AZ177" i="6"/>
  <c r="BA177" i="6" s="1"/>
  <c r="AY177" i="6"/>
  <c r="AW177" i="6"/>
  <c r="AV177" i="6"/>
  <c r="AX177" i="6" s="1"/>
  <c r="AU177" i="6"/>
  <c r="AT177" i="6"/>
  <c r="AS177" i="6"/>
  <c r="AQ177" i="6"/>
  <c r="AP177" i="6"/>
  <c r="AR177" i="6" s="1"/>
  <c r="AO177" i="6"/>
  <c r="AN177" i="6"/>
  <c r="AM177" i="6"/>
  <c r="AL177" i="6"/>
  <c r="AK177" i="6"/>
  <c r="AI177" i="6"/>
  <c r="AG177" i="6"/>
  <c r="AF177" i="6"/>
  <c r="AE177" i="6"/>
  <c r="AD177" i="6"/>
  <c r="AC177" i="6"/>
  <c r="DS177" i="6" s="1"/>
  <c r="AA177" i="6"/>
  <c r="AB177" i="6" s="1"/>
  <c r="Z177" i="6"/>
  <c r="Y177" i="6"/>
  <c r="X177" i="6"/>
  <c r="W177" i="6"/>
  <c r="V177" i="6"/>
  <c r="U177" i="6"/>
  <c r="T177" i="6"/>
  <c r="R177" i="6"/>
  <c r="S177" i="6" s="1"/>
  <c r="Q177" i="6"/>
  <c r="P177" i="6"/>
  <c r="O177" i="6"/>
  <c r="N177" i="6"/>
  <c r="M177" i="6"/>
  <c r="K177" i="6"/>
  <c r="J177" i="6"/>
  <c r="H177" i="6"/>
  <c r="DQ177" i="6" s="1"/>
  <c r="G177" i="6"/>
  <c r="F177" i="6"/>
  <c r="E177" i="6"/>
  <c r="DP177" i="6" s="1"/>
  <c r="D177" i="6"/>
  <c r="C177" i="6"/>
  <c r="B177" i="6"/>
  <c r="DW176" i="6"/>
  <c r="DM176" i="6"/>
  <c r="DL176" i="6"/>
  <c r="DK176" i="6"/>
  <c r="DN176" i="6" s="1"/>
  <c r="DJ176" i="6"/>
  <c r="CT176" i="6"/>
  <c r="CU176" i="6" s="1"/>
  <c r="CN176" i="6"/>
  <c r="CM176" i="6"/>
  <c r="CL176" i="6"/>
  <c r="CO176" i="6" s="1"/>
  <c r="CJ176" i="6"/>
  <c r="CI176" i="6"/>
  <c r="CK176" i="6" s="1"/>
  <c r="CH176" i="6"/>
  <c r="CG176" i="6"/>
  <c r="CF176" i="6"/>
  <c r="CE176" i="6"/>
  <c r="CD176" i="6"/>
  <c r="CB176" i="6"/>
  <c r="CC176" i="6" s="1"/>
  <c r="BZ176" i="6"/>
  <c r="BY176" i="6"/>
  <c r="BX176" i="6"/>
  <c r="BW176" i="6"/>
  <c r="CA176" i="6" s="1"/>
  <c r="BU176" i="6"/>
  <c r="BV176" i="6" s="1"/>
  <c r="BR176" i="6"/>
  <c r="BS176" i="6" s="1"/>
  <c r="BQ176" i="6"/>
  <c r="BO176" i="6"/>
  <c r="BP176" i="6" s="1"/>
  <c r="BM176" i="6"/>
  <c r="BL176" i="6"/>
  <c r="BK176" i="6"/>
  <c r="BJ176" i="6"/>
  <c r="BI176" i="6"/>
  <c r="BH176" i="6"/>
  <c r="BG176" i="6"/>
  <c r="BF176" i="6"/>
  <c r="BD176" i="6"/>
  <c r="BC176" i="6"/>
  <c r="BE176" i="6" s="1"/>
  <c r="BB176" i="6"/>
  <c r="AZ176" i="6"/>
  <c r="BA176" i="6" s="1"/>
  <c r="AY176" i="6"/>
  <c r="AW176" i="6"/>
  <c r="AV176" i="6"/>
  <c r="AT176" i="6"/>
  <c r="AS176" i="6"/>
  <c r="AU176" i="6" s="1"/>
  <c r="AQ176" i="6"/>
  <c r="AP176" i="6"/>
  <c r="AR176" i="6" s="1"/>
  <c r="AN176" i="6"/>
  <c r="AM176" i="6"/>
  <c r="AO176" i="6" s="1"/>
  <c r="AK176" i="6"/>
  <c r="AL176" i="6" s="1"/>
  <c r="AI176" i="6"/>
  <c r="AJ176" i="6" s="1"/>
  <c r="AG176" i="6"/>
  <c r="AE176" i="6"/>
  <c r="AD176" i="6"/>
  <c r="AC176" i="6"/>
  <c r="AA176" i="6"/>
  <c r="Z176" i="6"/>
  <c r="AB176" i="6" s="1"/>
  <c r="Y176" i="6"/>
  <c r="X176" i="6"/>
  <c r="W176" i="6"/>
  <c r="DV176" i="6" s="1"/>
  <c r="V176" i="6"/>
  <c r="U176" i="6"/>
  <c r="T176" i="6"/>
  <c r="R176" i="6"/>
  <c r="DU176" i="6" s="1"/>
  <c r="P176" i="6"/>
  <c r="Q176" i="6" s="1"/>
  <c r="O176" i="6"/>
  <c r="N176" i="6"/>
  <c r="M176" i="6"/>
  <c r="K176" i="6"/>
  <c r="J176" i="6"/>
  <c r="H176" i="6"/>
  <c r="DQ176" i="6" s="1"/>
  <c r="G176" i="6"/>
  <c r="F176" i="6"/>
  <c r="E176" i="6"/>
  <c r="DP176" i="6" s="1"/>
  <c r="D176" i="6"/>
  <c r="C176" i="6"/>
  <c r="B176" i="6"/>
  <c r="DW175" i="6"/>
  <c r="DS175" i="6"/>
  <c r="DP175" i="6"/>
  <c r="DM175" i="6"/>
  <c r="DL175" i="6"/>
  <c r="DK175" i="6"/>
  <c r="DJ175" i="6"/>
  <c r="DN175" i="6" s="1"/>
  <c r="CT175" i="6"/>
  <c r="CU175" i="6" s="1"/>
  <c r="CN175" i="6"/>
  <c r="CM175" i="6"/>
  <c r="CL175" i="6"/>
  <c r="CJ175" i="6"/>
  <c r="CK175" i="6" s="1"/>
  <c r="CI175" i="6"/>
  <c r="CH175" i="6"/>
  <c r="CG175" i="6"/>
  <c r="CE175" i="6"/>
  <c r="CD175" i="6"/>
  <c r="CF175" i="6" s="1"/>
  <c r="CB175" i="6"/>
  <c r="CC175" i="6" s="1"/>
  <c r="BZ175" i="6"/>
  <c r="BY175" i="6"/>
  <c r="CA175" i="6" s="1"/>
  <c r="BX175" i="6"/>
  <c r="BW175" i="6"/>
  <c r="BU175" i="6"/>
  <c r="BV175" i="6" s="1"/>
  <c r="BR175" i="6"/>
  <c r="BQ175" i="6"/>
  <c r="BS175" i="6" s="1"/>
  <c r="BP175" i="6"/>
  <c r="BO175" i="6"/>
  <c r="BM175" i="6"/>
  <c r="BL175" i="6"/>
  <c r="BK175" i="6"/>
  <c r="BN175" i="6" s="1"/>
  <c r="BJ175" i="6"/>
  <c r="BH175" i="6"/>
  <c r="BI175" i="6" s="1"/>
  <c r="BF175" i="6"/>
  <c r="BG175" i="6" s="1"/>
  <c r="BE175" i="6"/>
  <c r="BD175" i="6"/>
  <c r="BC175" i="6"/>
  <c r="BB175" i="6"/>
  <c r="AZ175" i="6"/>
  <c r="AY175" i="6"/>
  <c r="BA175" i="6" s="1"/>
  <c r="AX175" i="6"/>
  <c r="AW175" i="6"/>
  <c r="AV175" i="6"/>
  <c r="AU175" i="6"/>
  <c r="AT175" i="6"/>
  <c r="AS175" i="6"/>
  <c r="AQ175" i="6"/>
  <c r="AR175" i="6" s="1"/>
  <c r="AP175" i="6"/>
  <c r="AO175" i="6"/>
  <c r="AN175" i="6"/>
  <c r="AM175" i="6"/>
  <c r="AL175" i="6"/>
  <c r="AK175" i="6"/>
  <c r="AI175" i="6"/>
  <c r="AJ175" i="6" s="1"/>
  <c r="AG175" i="6"/>
  <c r="AE175" i="6"/>
  <c r="AD175" i="6"/>
  <c r="AC175" i="6"/>
  <c r="AA175" i="6"/>
  <c r="Z175" i="6"/>
  <c r="Y175" i="6"/>
  <c r="W175" i="6"/>
  <c r="X175" i="6" s="1"/>
  <c r="V175" i="6"/>
  <c r="T175" i="6"/>
  <c r="S175" i="6"/>
  <c r="R175" i="6"/>
  <c r="Q175" i="6"/>
  <c r="P175" i="6"/>
  <c r="O175" i="6"/>
  <c r="N175" i="6"/>
  <c r="M175" i="6"/>
  <c r="K175" i="6"/>
  <c r="J175" i="6"/>
  <c r="H175" i="6"/>
  <c r="G175" i="6"/>
  <c r="F175" i="6"/>
  <c r="DV175" i="6" s="1"/>
  <c r="E175" i="6"/>
  <c r="D175" i="6"/>
  <c r="C175" i="6"/>
  <c r="B175" i="6"/>
  <c r="DW174" i="6"/>
  <c r="DU174" i="6"/>
  <c r="DT174" i="6"/>
  <c r="DS174" i="6"/>
  <c r="DM174" i="6"/>
  <c r="DL174" i="6"/>
  <c r="DK174" i="6"/>
  <c r="DJ174" i="6"/>
  <c r="DN174" i="6" s="1"/>
  <c r="CT174" i="6"/>
  <c r="CU174" i="6" s="1"/>
  <c r="CN174" i="6"/>
  <c r="CM174" i="6"/>
  <c r="CL174" i="6"/>
  <c r="CO174" i="6" s="1"/>
  <c r="CJ174" i="6"/>
  <c r="CI174" i="6"/>
  <c r="CK174" i="6" s="1"/>
  <c r="CH174" i="6"/>
  <c r="CG174" i="6"/>
  <c r="CF174" i="6"/>
  <c r="CE174" i="6"/>
  <c r="CD174" i="6"/>
  <c r="CC174" i="6"/>
  <c r="CB174" i="6"/>
  <c r="BZ174" i="6"/>
  <c r="BY174" i="6"/>
  <c r="CA174" i="6" s="1"/>
  <c r="BX174" i="6"/>
  <c r="BW174" i="6"/>
  <c r="BV174" i="6"/>
  <c r="BU174" i="6"/>
  <c r="BR174" i="6"/>
  <c r="BQ174" i="6"/>
  <c r="BS174" i="6" s="1"/>
  <c r="BP174" i="6"/>
  <c r="BO174" i="6"/>
  <c r="BM174" i="6"/>
  <c r="BL174" i="6"/>
  <c r="BK174" i="6"/>
  <c r="BJ174" i="6"/>
  <c r="BN174" i="6" s="1"/>
  <c r="BI174" i="6"/>
  <c r="BH174" i="6"/>
  <c r="BG174" i="6"/>
  <c r="BF174" i="6"/>
  <c r="BD174" i="6"/>
  <c r="BC174" i="6"/>
  <c r="BB174" i="6"/>
  <c r="BE174" i="6" s="1"/>
  <c r="AZ174" i="6"/>
  <c r="AY174" i="6"/>
  <c r="BA174" i="6" s="1"/>
  <c r="AW174" i="6"/>
  <c r="AV174" i="6"/>
  <c r="AX174" i="6" s="1"/>
  <c r="AT174" i="6"/>
  <c r="AS174" i="6"/>
  <c r="AU174" i="6" s="1"/>
  <c r="AR174" i="6"/>
  <c r="AQ174" i="6"/>
  <c r="AP174" i="6"/>
  <c r="AN174" i="6"/>
  <c r="AM174" i="6"/>
  <c r="AO174" i="6" s="1"/>
  <c r="AK174" i="6"/>
  <c r="AJ174" i="6"/>
  <c r="AI174" i="6"/>
  <c r="AG174" i="6"/>
  <c r="AE174" i="6"/>
  <c r="AF174" i="6" s="1"/>
  <c r="AD174" i="6"/>
  <c r="AC174" i="6"/>
  <c r="AA174" i="6"/>
  <c r="Z174" i="6"/>
  <c r="AB174" i="6" s="1"/>
  <c r="Y174" i="6"/>
  <c r="X174" i="6"/>
  <c r="W174" i="6"/>
  <c r="DV174" i="6" s="1"/>
  <c r="V174" i="6"/>
  <c r="T174" i="6"/>
  <c r="R174" i="6"/>
  <c r="S174" i="6" s="1"/>
  <c r="Q174" i="6"/>
  <c r="P174" i="6"/>
  <c r="O174" i="6"/>
  <c r="N174" i="6"/>
  <c r="M174" i="6"/>
  <c r="DP174" i="6" s="1"/>
  <c r="K174" i="6"/>
  <c r="J174" i="6"/>
  <c r="H174" i="6"/>
  <c r="G174" i="6"/>
  <c r="I174" i="6" s="1"/>
  <c r="F174" i="6"/>
  <c r="E174" i="6"/>
  <c r="D174" i="6"/>
  <c r="C174" i="6"/>
  <c r="B174" i="6"/>
  <c r="DW173" i="6"/>
  <c r="DQ173" i="6"/>
  <c r="DM173" i="6"/>
  <c r="DL173" i="6"/>
  <c r="DN173" i="6" s="1"/>
  <c r="DK173" i="6"/>
  <c r="DJ173" i="6"/>
  <c r="CU173" i="6"/>
  <c r="CT173" i="6"/>
  <c r="CN173" i="6"/>
  <c r="CM173" i="6"/>
  <c r="CL173" i="6"/>
  <c r="CO173" i="6" s="1"/>
  <c r="CJ173" i="6"/>
  <c r="CI173" i="6"/>
  <c r="CK173" i="6" s="1"/>
  <c r="CG173" i="6"/>
  <c r="CH173" i="6" s="1"/>
  <c r="CE173" i="6"/>
  <c r="CD173" i="6"/>
  <c r="CC173" i="6"/>
  <c r="CB173" i="6"/>
  <c r="BZ173" i="6"/>
  <c r="BY173" i="6"/>
  <c r="BX173" i="6"/>
  <c r="DS173" i="6" s="1"/>
  <c r="BW173" i="6"/>
  <c r="BV173" i="6"/>
  <c r="BU173" i="6"/>
  <c r="BR173" i="6"/>
  <c r="BQ173" i="6"/>
  <c r="BS173" i="6" s="1"/>
  <c r="BO173" i="6"/>
  <c r="BP173" i="6" s="1"/>
  <c r="BM173" i="6"/>
  <c r="BL173" i="6"/>
  <c r="BK173" i="6"/>
  <c r="BJ173" i="6"/>
  <c r="BN173" i="6" s="1"/>
  <c r="BI173" i="6"/>
  <c r="BH173" i="6"/>
  <c r="BG173" i="6"/>
  <c r="BF173" i="6"/>
  <c r="BD173" i="6"/>
  <c r="BC173" i="6"/>
  <c r="BB173" i="6"/>
  <c r="BE173" i="6" s="1"/>
  <c r="AZ173" i="6"/>
  <c r="AY173" i="6"/>
  <c r="BA173" i="6" s="1"/>
  <c r="AX173" i="6"/>
  <c r="AW173" i="6"/>
  <c r="AV173" i="6"/>
  <c r="AT173" i="6"/>
  <c r="AS173" i="6"/>
  <c r="AU173" i="6" s="1"/>
  <c r="AQ173" i="6"/>
  <c r="AP173" i="6"/>
  <c r="AR173" i="6" s="1"/>
  <c r="AN173" i="6"/>
  <c r="AM173" i="6"/>
  <c r="AO173" i="6" s="1"/>
  <c r="AK173" i="6"/>
  <c r="AL173" i="6" s="1"/>
  <c r="AJ173" i="6"/>
  <c r="AI173" i="6"/>
  <c r="AG173" i="6"/>
  <c r="AE173" i="6"/>
  <c r="AD173" i="6"/>
  <c r="AC173" i="6"/>
  <c r="AA173" i="6"/>
  <c r="AB173" i="6" s="1"/>
  <c r="Z173" i="6"/>
  <c r="Y173" i="6"/>
  <c r="W173" i="6"/>
  <c r="V173" i="6"/>
  <c r="X173" i="6" s="1"/>
  <c r="T173" i="6"/>
  <c r="R173" i="6"/>
  <c r="S173" i="6" s="1"/>
  <c r="P173" i="6"/>
  <c r="O173" i="6"/>
  <c r="N173" i="6"/>
  <c r="M173" i="6"/>
  <c r="Q173" i="6" s="1"/>
  <c r="K173" i="6"/>
  <c r="J173" i="6"/>
  <c r="H173" i="6"/>
  <c r="G173" i="6"/>
  <c r="F173" i="6"/>
  <c r="E173" i="6"/>
  <c r="D173" i="6"/>
  <c r="C173" i="6"/>
  <c r="B173" i="6"/>
  <c r="DW172" i="6"/>
  <c r="DM172" i="6"/>
  <c r="DL172" i="6"/>
  <c r="DK172" i="6"/>
  <c r="DJ172" i="6"/>
  <c r="CT172" i="6"/>
  <c r="CU172" i="6" s="1"/>
  <c r="CN172" i="6"/>
  <c r="CM172" i="6"/>
  <c r="CL172" i="6"/>
  <c r="CO172" i="6" s="1"/>
  <c r="CJ172" i="6"/>
  <c r="CI172" i="6"/>
  <c r="CK172" i="6" s="1"/>
  <c r="CH172" i="6"/>
  <c r="CG172" i="6"/>
  <c r="CE172" i="6"/>
  <c r="CF172" i="6" s="1"/>
  <c r="CD172" i="6"/>
  <c r="CC172" i="6"/>
  <c r="CB172" i="6"/>
  <c r="BZ172" i="6"/>
  <c r="BY172" i="6"/>
  <c r="BX172" i="6"/>
  <c r="BW172" i="6"/>
  <c r="CA172" i="6" s="1"/>
  <c r="BU172" i="6"/>
  <c r="BV172" i="6" s="1"/>
  <c r="BS172" i="6"/>
  <c r="BR172" i="6"/>
  <c r="BQ172" i="6"/>
  <c r="BP172" i="6"/>
  <c r="BO172" i="6"/>
  <c r="BM172" i="6"/>
  <c r="BL172" i="6"/>
  <c r="BK172" i="6"/>
  <c r="BJ172" i="6"/>
  <c r="BH172" i="6"/>
  <c r="BI172" i="6" s="1"/>
  <c r="BF172" i="6"/>
  <c r="BG172" i="6" s="1"/>
  <c r="BD172" i="6"/>
  <c r="BC172" i="6"/>
  <c r="BB172" i="6"/>
  <c r="BE172" i="6" s="1"/>
  <c r="AZ172" i="6"/>
  <c r="AY172" i="6"/>
  <c r="BA172" i="6" s="1"/>
  <c r="AX172" i="6"/>
  <c r="AW172" i="6"/>
  <c r="AV172" i="6"/>
  <c r="AT172" i="6"/>
  <c r="AS172" i="6"/>
  <c r="AU172" i="6" s="1"/>
  <c r="AQ172" i="6"/>
  <c r="AP172" i="6"/>
  <c r="AR172" i="6" s="1"/>
  <c r="AO172" i="6"/>
  <c r="AN172" i="6"/>
  <c r="AM172" i="6"/>
  <c r="AL172" i="6"/>
  <c r="AK172" i="6"/>
  <c r="AJ172" i="6"/>
  <c r="AI172" i="6"/>
  <c r="AG172" i="6"/>
  <c r="AE172" i="6"/>
  <c r="AD172" i="6"/>
  <c r="AC172" i="6"/>
  <c r="AA172" i="6"/>
  <c r="AB172" i="6" s="1"/>
  <c r="Z172" i="6"/>
  <c r="Y172" i="6"/>
  <c r="W172" i="6"/>
  <c r="V172" i="6"/>
  <c r="T172" i="6"/>
  <c r="S172" i="6"/>
  <c r="R172" i="6"/>
  <c r="Q172" i="6"/>
  <c r="P172" i="6"/>
  <c r="O172" i="6"/>
  <c r="N172" i="6"/>
  <c r="M172" i="6"/>
  <c r="K172" i="6"/>
  <c r="J172" i="6"/>
  <c r="H172" i="6"/>
  <c r="DQ172" i="6" s="1"/>
  <c r="G172" i="6"/>
  <c r="F172" i="6"/>
  <c r="E172" i="6"/>
  <c r="D172" i="6"/>
  <c r="C172" i="6"/>
  <c r="B172" i="6"/>
  <c r="FR171" i="6"/>
  <c r="DW171" i="6"/>
  <c r="DS171" i="6"/>
  <c r="DQ171" i="6"/>
  <c r="DP171" i="6"/>
  <c r="DN171" i="6"/>
  <c r="DM171" i="6"/>
  <c r="DV171" i="6" s="1"/>
  <c r="DL171" i="6"/>
  <c r="DK171" i="6"/>
  <c r="DJ171" i="6"/>
  <c r="CT171" i="6"/>
  <c r="CU171" i="6" s="1"/>
  <c r="CN171" i="6"/>
  <c r="CM171" i="6"/>
  <c r="CL171" i="6"/>
  <c r="CO171" i="6" s="1"/>
  <c r="CJ171" i="6"/>
  <c r="CI171" i="6"/>
  <c r="CK171" i="6" s="1"/>
  <c r="CH171" i="6"/>
  <c r="CG171" i="6"/>
  <c r="CE171" i="6"/>
  <c r="CD171" i="6"/>
  <c r="CF171" i="6" s="1"/>
  <c r="CB171" i="6"/>
  <c r="CC171" i="6" s="1"/>
  <c r="CA171" i="6"/>
  <c r="BZ171" i="6"/>
  <c r="BY171" i="6"/>
  <c r="BX171" i="6"/>
  <c r="BW171" i="6"/>
  <c r="BV171" i="6"/>
  <c r="BU171" i="6"/>
  <c r="BS171" i="6"/>
  <c r="BR171" i="6"/>
  <c r="BQ171" i="6"/>
  <c r="BP171" i="6"/>
  <c r="BO171" i="6"/>
  <c r="BM171" i="6"/>
  <c r="BL171" i="6"/>
  <c r="BK171" i="6"/>
  <c r="BJ171" i="6"/>
  <c r="BN171" i="6" s="1"/>
  <c r="BI171" i="6"/>
  <c r="BH171" i="6"/>
  <c r="BF171" i="6"/>
  <c r="BG171" i="6" s="1"/>
  <c r="BD171" i="6"/>
  <c r="BC171" i="6"/>
  <c r="BB171" i="6"/>
  <c r="AZ171" i="6"/>
  <c r="AY171" i="6"/>
  <c r="BA171" i="6" s="1"/>
  <c r="AW171" i="6"/>
  <c r="AX171" i="6" s="1"/>
  <c r="AV171" i="6"/>
  <c r="AT171" i="6"/>
  <c r="AS171" i="6"/>
  <c r="AU171" i="6" s="1"/>
  <c r="AQ171" i="6"/>
  <c r="AP171" i="6"/>
  <c r="AN171" i="6"/>
  <c r="AM171" i="6"/>
  <c r="AK171" i="6"/>
  <c r="AL171" i="6" s="1"/>
  <c r="AI171" i="6"/>
  <c r="AJ171" i="6" s="1"/>
  <c r="AG171" i="6"/>
  <c r="AE171" i="6"/>
  <c r="AD171" i="6"/>
  <c r="AC171" i="6"/>
  <c r="AA171" i="6"/>
  <c r="Z171" i="6"/>
  <c r="AB171" i="6" s="1"/>
  <c r="Y171" i="6"/>
  <c r="W171" i="6"/>
  <c r="V171" i="6"/>
  <c r="X171" i="6" s="1"/>
  <c r="T171" i="6"/>
  <c r="S171" i="6"/>
  <c r="R171" i="6"/>
  <c r="DU171" i="6" s="1"/>
  <c r="P171" i="6"/>
  <c r="O171" i="6"/>
  <c r="N171" i="6"/>
  <c r="M171" i="6"/>
  <c r="Q171" i="6" s="1"/>
  <c r="K171" i="6"/>
  <c r="J171" i="6"/>
  <c r="H171" i="6"/>
  <c r="G171" i="6"/>
  <c r="I171" i="6" s="1"/>
  <c r="F171" i="6"/>
  <c r="E171" i="6"/>
  <c r="D171" i="6"/>
  <c r="C171" i="6"/>
  <c r="B171" i="6"/>
  <c r="FR170" i="6"/>
  <c r="DW170" i="6"/>
  <c r="DM170" i="6"/>
  <c r="DL170" i="6"/>
  <c r="DK170" i="6"/>
  <c r="DN170" i="6" s="1"/>
  <c r="DJ170" i="6"/>
  <c r="CT170" i="6"/>
  <c r="CU170" i="6" s="1"/>
  <c r="CO170" i="6"/>
  <c r="CN170" i="6"/>
  <c r="CM170" i="6"/>
  <c r="CL170" i="6"/>
  <c r="CJ170" i="6"/>
  <c r="CI170" i="6"/>
  <c r="CK170" i="6" s="1"/>
  <c r="CG170" i="6"/>
  <c r="CH170" i="6" s="1"/>
  <c r="CE170" i="6"/>
  <c r="CD170" i="6"/>
  <c r="CF170" i="6" s="1"/>
  <c r="CB170" i="6"/>
  <c r="CC170" i="6" s="1"/>
  <c r="BZ170" i="6"/>
  <c r="BY170" i="6"/>
  <c r="CA170" i="6" s="1"/>
  <c r="BX170" i="6"/>
  <c r="BW170" i="6"/>
  <c r="BU170" i="6"/>
  <c r="BV170" i="6" s="1"/>
  <c r="BR170" i="6"/>
  <c r="BQ170" i="6"/>
  <c r="BS170" i="6" s="1"/>
  <c r="BP170" i="6"/>
  <c r="BO170" i="6"/>
  <c r="BM170" i="6"/>
  <c r="BL170" i="6"/>
  <c r="BK170" i="6"/>
  <c r="BJ170" i="6"/>
  <c r="BN170" i="6" s="1"/>
  <c r="BH170" i="6"/>
  <c r="BI170" i="6" s="1"/>
  <c r="BG170" i="6"/>
  <c r="BF170" i="6"/>
  <c r="BD170" i="6"/>
  <c r="BC170" i="6"/>
  <c r="BB170" i="6"/>
  <c r="BA170" i="6"/>
  <c r="AZ170" i="6"/>
  <c r="AY170" i="6"/>
  <c r="AX170" i="6"/>
  <c r="AW170" i="6"/>
  <c r="AV170" i="6"/>
  <c r="AU170" i="6"/>
  <c r="AT170" i="6"/>
  <c r="AS170" i="6"/>
  <c r="AQ170" i="6"/>
  <c r="AP170" i="6"/>
  <c r="AR170" i="6" s="1"/>
  <c r="AN170" i="6"/>
  <c r="AO170" i="6" s="1"/>
  <c r="AM170" i="6"/>
  <c r="AK170" i="6"/>
  <c r="AL170" i="6" s="1"/>
  <c r="AI170" i="6"/>
  <c r="AJ170" i="6" s="1"/>
  <c r="AG170" i="6"/>
  <c r="AF170" i="6"/>
  <c r="AE170" i="6"/>
  <c r="AD170" i="6"/>
  <c r="AC170" i="6"/>
  <c r="DS170" i="6" s="1"/>
  <c r="AA170" i="6"/>
  <c r="Z170" i="6"/>
  <c r="Y170" i="6"/>
  <c r="W170" i="6"/>
  <c r="V170" i="6"/>
  <c r="T170" i="6"/>
  <c r="R170" i="6"/>
  <c r="S170" i="6" s="1"/>
  <c r="P170" i="6"/>
  <c r="O170" i="6"/>
  <c r="N170" i="6"/>
  <c r="M170" i="6"/>
  <c r="Q170" i="6" s="1"/>
  <c r="K170" i="6"/>
  <c r="J170" i="6"/>
  <c r="H170" i="6"/>
  <c r="G170" i="6"/>
  <c r="F170" i="6"/>
  <c r="E170" i="6"/>
  <c r="DP170" i="6" s="1"/>
  <c r="D170" i="6"/>
  <c r="C170" i="6"/>
  <c r="B170" i="6"/>
  <c r="FR169" i="6"/>
  <c r="DW169" i="6"/>
  <c r="DU169" i="6"/>
  <c r="DM169" i="6"/>
  <c r="DL169" i="6"/>
  <c r="DN169" i="6" s="1"/>
  <c r="DK169" i="6"/>
  <c r="DJ169" i="6"/>
  <c r="CU169" i="6"/>
  <c r="CT169" i="6"/>
  <c r="CN169" i="6"/>
  <c r="CM169" i="6"/>
  <c r="CL169" i="6"/>
  <c r="CJ169" i="6"/>
  <c r="CK169" i="6" s="1"/>
  <c r="CI169" i="6"/>
  <c r="CG169" i="6"/>
  <c r="CH169" i="6" s="1"/>
  <c r="CF169" i="6"/>
  <c r="CE169" i="6"/>
  <c r="CD169" i="6"/>
  <c r="CC169" i="6"/>
  <c r="CB169" i="6"/>
  <c r="BZ169" i="6"/>
  <c r="BY169" i="6"/>
  <c r="BX169" i="6"/>
  <c r="CA169" i="6" s="1"/>
  <c r="BW169" i="6"/>
  <c r="BU169" i="6"/>
  <c r="BV169" i="6" s="1"/>
  <c r="BR169" i="6"/>
  <c r="BQ169" i="6"/>
  <c r="BS169" i="6" s="1"/>
  <c r="BP169" i="6"/>
  <c r="BO169" i="6"/>
  <c r="BN169" i="6"/>
  <c r="BM169" i="6"/>
  <c r="BL169" i="6"/>
  <c r="BK169" i="6"/>
  <c r="BJ169" i="6"/>
  <c r="BH169" i="6"/>
  <c r="BI169" i="6" s="1"/>
  <c r="BF169" i="6"/>
  <c r="BD169" i="6"/>
  <c r="BC169" i="6"/>
  <c r="BE169" i="6" s="1"/>
  <c r="BB169" i="6"/>
  <c r="BA169" i="6"/>
  <c r="AZ169" i="6"/>
  <c r="AY169" i="6"/>
  <c r="AW169" i="6"/>
  <c r="AV169" i="6"/>
  <c r="AX169" i="6" s="1"/>
  <c r="AT169" i="6"/>
  <c r="DS169" i="6" s="1"/>
  <c r="AS169" i="6"/>
  <c r="AR169" i="6"/>
  <c r="AQ169" i="6"/>
  <c r="AP169" i="6"/>
  <c r="AO169" i="6"/>
  <c r="AN169" i="6"/>
  <c r="AM169" i="6"/>
  <c r="AL169" i="6"/>
  <c r="AK169" i="6"/>
  <c r="AJ169" i="6"/>
  <c r="AI169" i="6"/>
  <c r="AG169" i="6"/>
  <c r="AE169" i="6"/>
  <c r="AD169" i="6"/>
  <c r="AF169" i="6" s="1"/>
  <c r="AC169" i="6"/>
  <c r="AA169" i="6"/>
  <c r="Z169" i="6"/>
  <c r="AB169" i="6" s="1"/>
  <c r="Y169" i="6"/>
  <c r="W169" i="6"/>
  <c r="DV169" i="6" s="1"/>
  <c r="V169" i="6"/>
  <c r="T169" i="6"/>
  <c r="S169" i="6"/>
  <c r="R169" i="6"/>
  <c r="P169" i="6"/>
  <c r="O169" i="6"/>
  <c r="Q169" i="6" s="1"/>
  <c r="N169" i="6"/>
  <c r="M169" i="6"/>
  <c r="DP169" i="6" s="1"/>
  <c r="K169" i="6"/>
  <c r="J169" i="6"/>
  <c r="H169" i="6"/>
  <c r="G169" i="6"/>
  <c r="F169" i="6"/>
  <c r="I169" i="6" s="1"/>
  <c r="E169" i="6"/>
  <c r="D169" i="6"/>
  <c r="C169" i="6"/>
  <c r="B169" i="6"/>
  <c r="FR168" i="6"/>
  <c r="DW168" i="6"/>
  <c r="DT168" i="6"/>
  <c r="DM168" i="6"/>
  <c r="DL168" i="6"/>
  <c r="DK168" i="6"/>
  <c r="DJ168" i="6"/>
  <c r="DN168" i="6" s="1"/>
  <c r="CU168" i="6"/>
  <c r="CT168" i="6"/>
  <c r="CN168" i="6"/>
  <c r="CM168" i="6"/>
  <c r="CO168" i="6" s="1"/>
  <c r="CL168" i="6"/>
  <c r="CK168" i="6"/>
  <c r="CJ168" i="6"/>
  <c r="CI168" i="6"/>
  <c r="CH168" i="6"/>
  <c r="CG168" i="6"/>
  <c r="CE168" i="6"/>
  <c r="CD168" i="6"/>
  <c r="CF168" i="6" s="1"/>
  <c r="CB168" i="6"/>
  <c r="CC168" i="6" s="1"/>
  <c r="BZ168" i="6"/>
  <c r="BY168" i="6"/>
  <c r="BX168" i="6"/>
  <c r="BW168" i="6"/>
  <c r="CA168" i="6" s="1"/>
  <c r="BU168" i="6"/>
  <c r="BV168" i="6" s="1"/>
  <c r="BS168" i="6"/>
  <c r="BR168" i="6"/>
  <c r="BQ168" i="6"/>
  <c r="BP168" i="6"/>
  <c r="BO168" i="6"/>
  <c r="BN168" i="6"/>
  <c r="BM168" i="6"/>
  <c r="BL168" i="6"/>
  <c r="BK168" i="6"/>
  <c r="BJ168" i="6"/>
  <c r="BH168" i="6"/>
  <c r="BI168" i="6" s="1"/>
  <c r="BF168" i="6"/>
  <c r="BG168" i="6" s="1"/>
  <c r="BD168" i="6"/>
  <c r="BC168" i="6"/>
  <c r="BB168" i="6"/>
  <c r="BE168" i="6" s="1"/>
  <c r="AZ168" i="6"/>
  <c r="AY168" i="6"/>
  <c r="BA168" i="6" s="1"/>
  <c r="AX168" i="6"/>
  <c r="AW168" i="6"/>
  <c r="AV168" i="6"/>
  <c r="AT168" i="6"/>
  <c r="AU168" i="6" s="1"/>
  <c r="AS168" i="6"/>
  <c r="AR168" i="6"/>
  <c r="AQ168" i="6"/>
  <c r="AP168" i="6"/>
  <c r="AN168" i="6"/>
  <c r="AM168" i="6"/>
  <c r="AO168" i="6" s="1"/>
  <c r="AK168" i="6"/>
  <c r="AL168" i="6" s="1"/>
  <c r="AJ168" i="6"/>
  <c r="AI168" i="6"/>
  <c r="AG168" i="6"/>
  <c r="AE168" i="6"/>
  <c r="AD168" i="6"/>
  <c r="AC168" i="6"/>
  <c r="AB168" i="6"/>
  <c r="AA168" i="6"/>
  <c r="Z168" i="6"/>
  <c r="Y168" i="6"/>
  <c r="W168" i="6"/>
  <c r="X168" i="6" s="1"/>
  <c r="V168" i="6"/>
  <c r="T168" i="6"/>
  <c r="S168" i="6"/>
  <c r="R168" i="6"/>
  <c r="P168" i="6"/>
  <c r="O168" i="6"/>
  <c r="DU168" i="6" s="1"/>
  <c r="N168" i="6"/>
  <c r="M168" i="6"/>
  <c r="J168" i="6"/>
  <c r="H168" i="6"/>
  <c r="G168" i="6"/>
  <c r="F168" i="6"/>
  <c r="E168" i="6"/>
  <c r="DP168" i="6" s="1"/>
  <c r="D168" i="6"/>
  <c r="C168" i="6"/>
  <c r="B168" i="6"/>
  <c r="FR167" i="6"/>
  <c r="DW167" i="6"/>
  <c r="DP167" i="6"/>
  <c r="DM167" i="6"/>
  <c r="DL167" i="6"/>
  <c r="DK167" i="6"/>
  <c r="DJ167" i="6"/>
  <c r="DN167" i="6" s="1"/>
  <c r="CU167" i="6"/>
  <c r="CT167" i="6"/>
  <c r="CN167" i="6"/>
  <c r="CM167" i="6"/>
  <c r="CL167" i="6"/>
  <c r="CJ167" i="6"/>
  <c r="CK167" i="6" s="1"/>
  <c r="CI167" i="6"/>
  <c r="CG167" i="6"/>
  <c r="CH167" i="6" s="1"/>
  <c r="CF167" i="6"/>
  <c r="CE167" i="6"/>
  <c r="CD167" i="6"/>
  <c r="CC167" i="6"/>
  <c r="CB167" i="6"/>
  <c r="CA167" i="6"/>
  <c r="BZ167" i="6"/>
  <c r="BY167" i="6"/>
  <c r="BX167" i="6"/>
  <c r="BW167" i="6"/>
  <c r="BU167" i="6"/>
  <c r="BV167" i="6" s="1"/>
  <c r="BR167" i="6"/>
  <c r="BQ167" i="6"/>
  <c r="BS167" i="6" s="1"/>
  <c r="BP167" i="6"/>
  <c r="BO167" i="6"/>
  <c r="BM167" i="6"/>
  <c r="BL167" i="6"/>
  <c r="BK167" i="6"/>
  <c r="BN167" i="6" s="1"/>
  <c r="BJ167" i="6"/>
  <c r="BI167" i="6"/>
  <c r="BH167" i="6"/>
  <c r="BF167" i="6"/>
  <c r="BG167" i="6" s="1"/>
  <c r="BD167" i="6"/>
  <c r="BE167" i="6" s="1"/>
  <c r="BC167" i="6"/>
  <c r="BB167" i="6"/>
  <c r="AZ167" i="6"/>
  <c r="AY167" i="6"/>
  <c r="BA167" i="6" s="1"/>
  <c r="AW167" i="6"/>
  <c r="AV167" i="6"/>
  <c r="AX167" i="6" s="1"/>
  <c r="AU167" i="6"/>
  <c r="AT167" i="6"/>
  <c r="AS167" i="6"/>
  <c r="AQ167" i="6"/>
  <c r="AP167" i="6"/>
  <c r="AR167" i="6" s="1"/>
  <c r="AO167" i="6"/>
  <c r="AN167" i="6"/>
  <c r="AM167" i="6"/>
  <c r="AL167" i="6"/>
  <c r="AK167" i="6"/>
  <c r="AJ167" i="6"/>
  <c r="AI167" i="6"/>
  <c r="AG167" i="6"/>
  <c r="AE167" i="6"/>
  <c r="AD167" i="6"/>
  <c r="AC167" i="6"/>
  <c r="DS167" i="6" s="1"/>
  <c r="AA167" i="6"/>
  <c r="Z167" i="6"/>
  <c r="AB167" i="6" s="1"/>
  <c r="Y167" i="6"/>
  <c r="X167" i="6"/>
  <c r="W167" i="6"/>
  <c r="DV167" i="6" s="1"/>
  <c r="V167" i="6"/>
  <c r="T167" i="6"/>
  <c r="R167" i="6"/>
  <c r="S167" i="6" s="1"/>
  <c r="P167" i="6"/>
  <c r="O167" i="6"/>
  <c r="N167" i="6"/>
  <c r="M167" i="6"/>
  <c r="J167" i="6"/>
  <c r="H167" i="6"/>
  <c r="G167" i="6"/>
  <c r="F167" i="6"/>
  <c r="E167" i="6"/>
  <c r="I167" i="6" s="1"/>
  <c r="D167" i="6"/>
  <c r="C167" i="6"/>
  <c r="B167" i="6"/>
  <c r="FR166" i="6"/>
  <c r="DW166" i="6"/>
  <c r="DV166" i="6"/>
  <c r="DU166" i="6"/>
  <c r="DT166" i="6"/>
  <c r="DN166" i="6"/>
  <c r="DM166" i="6"/>
  <c r="DL166" i="6"/>
  <c r="DK166" i="6"/>
  <c r="DJ166" i="6"/>
  <c r="CU166" i="6"/>
  <c r="CT166" i="6"/>
  <c r="CN166" i="6"/>
  <c r="CM166" i="6"/>
  <c r="CO166" i="6" s="1"/>
  <c r="CL166" i="6"/>
  <c r="CJ166" i="6"/>
  <c r="CI166" i="6"/>
  <c r="CK166" i="6" s="1"/>
  <c r="CG166" i="6"/>
  <c r="CH166" i="6" s="1"/>
  <c r="CE166" i="6"/>
  <c r="CD166" i="6"/>
  <c r="CC166" i="6"/>
  <c r="CB166" i="6"/>
  <c r="BZ166" i="6"/>
  <c r="CA166" i="6" s="1"/>
  <c r="BY166" i="6"/>
  <c r="BX166" i="6"/>
  <c r="BW166" i="6"/>
  <c r="BV166" i="6"/>
  <c r="BU166" i="6"/>
  <c r="BR166" i="6"/>
  <c r="BS166" i="6" s="1"/>
  <c r="BQ166" i="6"/>
  <c r="BP166" i="6"/>
  <c r="BO166" i="6"/>
  <c r="BM166" i="6"/>
  <c r="BL166" i="6"/>
  <c r="BK166" i="6"/>
  <c r="BJ166" i="6"/>
  <c r="BN166" i="6" s="1"/>
  <c r="BI166" i="6"/>
  <c r="BH166" i="6"/>
  <c r="BF166" i="6"/>
  <c r="BG166" i="6" s="1"/>
  <c r="BD166" i="6"/>
  <c r="BC166" i="6"/>
  <c r="BB166" i="6"/>
  <c r="BA166" i="6"/>
  <c r="AZ166" i="6"/>
  <c r="AY166" i="6"/>
  <c r="AW166" i="6"/>
  <c r="AV166" i="6"/>
  <c r="AX166" i="6" s="1"/>
  <c r="AT166" i="6"/>
  <c r="AU166" i="6" s="1"/>
  <c r="AS166" i="6"/>
  <c r="AQ166" i="6"/>
  <c r="AP166" i="6"/>
  <c r="AR166" i="6" s="1"/>
  <c r="AN166" i="6"/>
  <c r="AM166" i="6"/>
  <c r="AK166" i="6"/>
  <c r="AL166" i="6" s="1"/>
  <c r="AJ166" i="6"/>
  <c r="AI166" i="6"/>
  <c r="AG166" i="6"/>
  <c r="AE166" i="6"/>
  <c r="AD166" i="6"/>
  <c r="AC166" i="6"/>
  <c r="AB166" i="6"/>
  <c r="AA166" i="6"/>
  <c r="Z166" i="6"/>
  <c r="Y166" i="6"/>
  <c r="W166" i="6"/>
  <c r="X166" i="6" s="1"/>
  <c r="V166" i="6"/>
  <c r="T166" i="6"/>
  <c r="S166" i="6"/>
  <c r="R166" i="6"/>
  <c r="P166" i="6"/>
  <c r="O166" i="6"/>
  <c r="N166" i="6"/>
  <c r="M166" i="6"/>
  <c r="J166" i="6"/>
  <c r="H166" i="6"/>
  <c r="G166" i="6"/>
  <c r="F166" i="6"/>
  <c r="E166" i="6"/>
  <c r="I166" i="6" s="1"/>
  <c r="D166" i="6"/>
  <c r="C166" i="6"/>
  <c r="B166" i="6"/>
  <c r="FR165" i="6"/>
  <c r="DW165" i="6"/>
  <c r="DM165" i="6"/>
  <c r="DL165" i="6"/>
  <c r="DK165" i="6"/>
  <c r="DJ165" i="6"/>
  <c r="CT165" i="6"/>
  <c r="CU165" i="6" s="1"/>
  <c r="CN165" i="6"/>
  <c r="CM165" i="6"/>
  <c r="CL165" i="6"/>
  <c r="CK165" i="6"/>
  <c r="CJ165" i="6"/>
  <c r="CI165" i="6"/>
  <c r="CH165" i="6"/>
  <c r="CG165" i="6"/>
  <c r="CE165" i="6"/>
  <c r="CF165" i="6" s="1"/>
  <c r="CD165" i="6"/>
  <c r="CC165" i="6"/>
  <c r="CB165" i="6"/>
  <c r="BZ165" i="6"/>
  <c r="BY165" i="6"/>
  <c r="BX165" i="6"/>
  <c r="BW165" i="6"/>
  <c r="CA165" i="6" s="1"/>
  <c r="BU165" i="6"/>
  <c r="BV165" i="6" s="1"/>
  <c r="BS165" i="6"/>
  <c r="BR165" i="6"/>
  <c r="BQ165" i="6"/>
  <c r="BP165" i="6"/>
  <c r="BO165" i="6"/>
  <c r="BM165" i="6"/>
  <c r="BL165" i="6"/>
  <c r="BK165" i="6"/>
  <c r="BN165" i="6" s="1"/>
  <c r="BJ165" i="6"/>
  <c r="BH165" i="6"/>
  <c r="BI165" i="6" s="1"/>
  <c r="BF165" i="6"/>
  <c r="BG165" i="6" s="1"/>
  <c r="BD165" i="6"/>
  <c r="BC165" i="6"/>
  <c r="BB165" i="6"/>
  <c r="BE165" i="6" s="1"/>
  <c r="AZ165" i="6"/>
  <c r="AY165" i="6"/>
  <c r="AW165" i="6"/>
  <c r="AV165" i="6"/>
  <c r="AX165" i="6" s="1"/>
  <c r="AT165" i="6"/>
  <c r="AS165" i="6"/>
  <c r="AU165" i="6" s="1"/>
  <c r="AQ165" i="6"/>
  <c r="AP165" i="6"/>
  <c r="AR165" i="6" s="1"/>
  <c r="AO165" i="6"/>
  <c r="AN165" i="6"/>
  <c r="AM165" i="6"/>
  <c r="AL165" i="6"/>
  <c r="AK165" i="6"/>
  <c r="AJ165" i="6"/>
  <c r="AI165" i="6"/>
  <c r="AG165" i="6"/>
  <c r="AE165" i="6"/>
  <c r="AD165" i="6"/>
  <c r="AC165" i="6"/>
  <c r="AB165" i="6"/>
  <c r="AA165" i="6"/>
  <c r="Z165" i="6"/>
  <c r="Y165" i="6"/>
  <c r="W165" i="6"/>
  <c r="V165" i="6"/>
  <c r="T165" i="6"/>
  <c r="S165" i="6"/>
  <c r="R165" i="6"/>
  <c r="Q165" i="6"/>
  <c r="P165" i="6"/>
  <c r="O165" i="6"/>
  <c r="N165" i="6"/>
  <c r="M165" i="6"/>
  <c r="J165" i="6"/>
  <c r="H165" i="6"/>
  <c r="G165" i="6"/>
  <c r="DU165" i="6" s="1"/>
  <c r="F165" i="6"/>
  <c r="DV165" i="6" s="1"/>
  <c r="E165" i="6"/>
  <c r="I165" i="6" s="1"/>
  <c r="D165" i="6"/>
  <c r="C165" i="6"/>
  <c r="B165" i="6"/>
  <c r="FR164" i="6"/>
  <c r="DW164" i="6"/>
  <c r="DM164" i="6"/>
  <c r="DL164" i="6"/>
  <c r="DN164" i="6" s="1"/>
  <c r="DK164" i="6"/>
  <c r="DJ164" i="6"/>
  <c r="CU164" i="6"/>
  <c r="CT164" i="6"/>
  <c r="CO164" i="6"/>
  <c r="CN164" i="6"/>
  <c r="CM164" i="6"/>
  <c r="CL164" i="6"/>
  <c r="CJ164" i="6"/>
  <c r="CI164" i="6"/>
  <c r="CK164" i="6" s="1"/>
  <c r="CH164" i="6"/>
  <c r="CG164" i="6"/>
  <c r="CF164" i="6"/>
  <c r="CE164" i="6"/>
  <c r="CD164" i="6"/>
  <c r="CB164" i="6"/>
  <c r="CC164" i="6" s="1"/>
  <c r="BV164" i="6"/>
  <c r="BU164" i="6"/>
  <c r="BO164" i="6"/>
  <c r="BP164" i="6" s="1"/>
  <c r="BM164" i="6"/>
  <c r="BL164" i="6"/>
  <c r="BK164" i="6"/>
  <c r="BJ164" i="6"/>
  <c r="BN164" i="6" s="1"/>
  <c r="BH164" i="6"/>
  <c r="BI164" i="6" s="1"/>
  <c r="BG164" i="6"/>
  <c r="BF164" i="6"/>
  <c r="BD164" i="6"/>
  <c r="BC164" i="6"/>
  <c r="BB164" i="6"/>
  <c r="BE164" i="6" s="1"/>
  <c r="AZ164" i="6"/>
  <c r="BA164" i="6" s="1"/>
  <c r="AY164" i="6"/>
  <c r="AX164" i="6"/>
  <c r="AW164" i="6"/>
  <c r="AV164" i="6"/>
  <c r="AT164" i="6"/>
  <c r="AS164" i="6"/>
  <c r="AU164" i="6" s="1"/>
  <c r="AQ164" i="6"/>
  <c r="AP164" i="6"/>
  <c r="AR164" i="6" s="1"/>
  <c r="AN164" i="6"/>
  <c r="AO164" i="6" s="1"/>
  <c r="AM164" i="6"/>
  <c r="AK164" i="6"/>
  <c r="AL164" i="6" s="1"/>
  <c r="AI164" i="6"/>
  <c r="AJ164" i="6" s="1"/>
  <c r="AG164" i="6"/>
  <c r="AE164" i="6"/>
  <c r="AD164" i="6"/>
  <c r="AC164" i="6"/>
  <c r="AA164" i="6"/>
  <c r="Z164" i="6"/>
  <c r="AB164" i="6" s="1"/>
  <c r="Y164" i="6"/>
  <c r="W164" i="6"/>
  <c r="V164" i="6"/>
  <c r="T164" i="6"/>
  <c r="R164" i="6"/>
  <c r="S164" i="6" s="1"/>
  <c r="P164" i="6"/>
  <c r="O164" i="6"/>
  <c r="N164" i="6"/>
  <c r="M164" i="6"/>
  <c r="Q164" i="6" s="1"/>
  <c r="J164" i="6"/>
  <c r="H164" i="6"/>
  <c r="G164" i="6"/>
  <c r="F164" i="6"/>
  <c r="E164" i="6"/>
  <c r="D164" i="6"/>
  <c r="C164" i="6"/>
  <c r="B164" i="6"/>
  <c r="FR163" i="6"/>
  <c r="DW163" i="6"/>
  <c r="DS163" i="6"/>
  <c r="DQ163" i="6"/>
  <c r="DM163" i="6"/>
  <c r="DL163" i="6"/>
  <c r="DK163" i="6"/>
  <c r="DN163" i="6" s="1"/>
  <c r="DJ163" i="6"/>
  <c r="CT163" i="6"/>
  <c r="CU163" i="6" s="1"/>
  <c r="CN163" i="6"/>
  <c r="CM163" i="6"/>
  <c r="CL163" i="6"/>
  <c r="CK163" i="6"/>
  <c r="CJ163" i="6"/>
  <c r="CI163" i="6"/>
  <c r="CG163" i="6"/>
  <c r="CH163" i="6" s="1"/>
  <c r="CF163" i="6"/>
  <c r="CE163" i="6"/>
  <c r="CD163" i="6"/>
  <c r="CC163" i="6"/>
  <c r="CB163" i="6"/>
  <c r="BV163" i="6"/>
  <c r="BU163" i="6"/>
  <c r="BP163" i="6"/>
  <c r="BO163" i="6"/>
  <c r="BN163" i="6"/>
  <c r="BM163" i="6"/>
  <c r="BL163" i="6"/>
  <c r="BK163" i="6"/>
  <c r="BJ163" i="6"/>
  <c r="BH163" i="6"/>
  <c r="BI163" i="6" s="1"/>
  <c r="BF163" i="6"/>
  <c r="BG163" i="6" s="1"/>
  <c r="BD163" i="6"/>
  <c r="DT163" i="6" s="1"/>
  <c r="BC163" i="6"/>
  <c r="BB163" i="6"/>
  <c r="AZ163" i="6"/>
  <c r="AY163" i="6"/>
  <c r="BA163" i="6" s="1"/>
  <c r="AW163" i="6"/>
  <c r="AX163" i="6" s="1"/>
  <c r="AV163" i="6"/>
  <c r="AT163" i="6"/>
  <c r="AU163" i="6" s="1"/>
  <c r="AS163" i="6"/>
  <c r="AR163" i="6"/>
  <c r="AQ163" i="6"/>
  <c r="AP163" i="6"/>
  <c r="AN163" i="6"/>
  <c r="AM163" i="6"/>
  <c r="AO163" i="6" s="1"/>
  <c r="AK163" i="6"/>
  <c r="AL163" i="6" s="1"/>
  <c r="AJ163" i="6"/>
  <c r="AI163" i="6"/>
  <c r="AG163" i="6"/>
  <c r="AE163" i="6"/>
  <c r="AD163" i="6"/>
  <c r="DR163" i="6" s="1"/>
  <c r="AC163" i="6"/>
  <c r="AA163" i="6"/>
  <c r="Z163" i="6"/>
  <c r="AB163" i="6" s="1"/>
  <c r="Y163" i="6"/>
  <c r="W163" i="6"/>
  <c r="X163" i="6" s="1"/>
  <c r="V163" i="6"/>
  <c r="T163" i="6"/>
  <c r="R163" i="6"/>
  <c r="S163" i="6" s="1"/>
  <c r="P163" i="6"/>
  <c r="O163" i="6"/>
  <c r="N163" i="6"/>
  <c r="M163" i="6"/>
  <c r="Q163" i="6" s="1"/>
  <c r="J163" i="6"/>
  <c r="H163" i="6"/>
  <c r="G163" i="6"/>
  <c r="F163" i="6"/>
  <c r="E163" i="6"/>
  <c r="D163" i="6"/>
  <c r="C163" i="6"/>
  <c r="B163" i="6"/>
  <c r="FR162" i="6"/>
  <c r="DW162" i="6"/>
  <c r="DM162" i="6"/>
  <c r="DL162" i="6"/>
  <c r="DK162" i="6"/>
  <c r="DJ162" i="6"/>
  <c r="DN162" i="6" s="1"/>
  <c r="CU162" i="6"/>
  <c r="CT162" i="6"/>
  <c r="CN162" i="6"/>
  <c r="CM162" i="6"/>
  <c r="CO162" i="6" s="1"/>
  <c r="CL162" i="6"/>
  <c r="CJ162" i="6"/>
  <c r="CK162" i="6" s="1"/>
  <c r="CI162" i="6"/>
  <c r="CH162" i="6"/>
  <c r="CG162" i="6"/>
  <c r="CF162" i="6"/>
  <c r="CE162" i="6"/>
  <c r="CD162" i="6"/>
  <c r="CC162" i="6"/>
  <c r="CB162" i="6"/>
  <c r="BV162" i="6"/>
  <c r="BU162" i="6"/>
  <c r="BO162" i="6"/>
  <c r="BP162" i="6" s="1"/>
  <c r="BM162" i="6"/>
  <c r="BL162" i="6"/>
  <c r="BK162" i="6"/>
  <c r="BJ162" i="6"/>
  <c r="BI162" i="6"/>
  <c r="BH162" i="6"/>
  <c r="BF162" i="6"/>
  <c r="BG162" i="6" s="1"/>
  <c r="BD162" i="6"/>
  <c r="BC162" i="6"/>
  <c r="BB162" i="6"/>
  <c r="BA162" i="6"/>
  <c r="AZ162" i="6"/>
  <c r="AY162" i="6"/>
  <c r="AW162" i="6"/>
  <c r="AV162" i="6"/>
  <c r="AX162" i="6" s="1"/>
  <c r="AT162" i="6"/>
  <c r="AS162" i="6"/>
  <c r="AU162" i="6" s="1"/>
  <c r="AQ162" i="6"/>
  <c r="AP162" i="6"/>
  <c r="AR162" i="6" s="1"/>
  <c r="AO162" i="6"/>
  <c r="AN162" i="6"/>
  <c r="AM162" i="6"/>
  <c r="AL162" i="6"/>
  <c r="AK162" i="6"/>
  <c r="AJ162" i="6"/>
  <c r="AI162" i="6"/>
  <c r="AG162" i="6"/>
  <c r="AF162" i="6"/>
  <c r="AE162" i="6"/>
  <c r="AD162" i="6"/>
  <c r="AC162" i="6"/>
  <c r="DS162" i="6" s="1"/>
  <c r="AA162" i="6"/>
  <c r="AB162" i="6" s="1"/>
  <c r="Z162" i="6"/>
  <c r="Y162" i="6"/>
  <c r="W162" i="6"/>
  <c r="V162" i="6"/>
  <c r="DT162" i="6" s="1"/>
  <c r="T162" i="6"/>
  <c r="R162" i="6"/>
  <c r="S162" i="6" s="1"/>
  <c r="P162" i="6"/>
  <c r="O162" i="6"/>
  <c r="DU162" i="6" s="1"/>
  <c r="N162" i="6"/>
  <c r="Q162" i="6" s="1"/>
  <c r="M162" i="6"/>
  <c r="J162" i="6"/>
  <c r="H162" i="6"/>
  <c r="G162" i="6"/>
  <c r="F162" i="6"/>
  <c r="E162" i="6"/>
  <c r="DP162" i="6" s="1"/>
  <c r="D162" i="6"/>
  <c r="C162" i="6"/>
  <c r="B162" i="6"/>
  <c r="FR161" i="6"/>
  <c r="EV161" i="6"/>
  <c r="DW161" i="6"/>
  <c r="DM161" i="6"/>
  <c r="DL161" i="6"/>
  <c r="DK161" i="6"/>
  <c r="DN161" i="6" s="1"/>
  <c r="DJ161" i="6"/>
  <c r="CT161" i="6"/>
  <c r="CU161" i="6" s="1"/>
  <c r="CN161" i="6"/>
  <c r="CM161" i="6"/>
  <c r="CO161" i="6" s="1"/>
  <c r="CL161" i="6"/>
  <c r="CK161" i="6"/>
  <c r="CJ161" i="6"/>
  <c r="CI161" i="6"/>
  <c r="CH161" i="6"/>
  <c r="CG161" i="6"/>
  <c r="CF161" i="6"/>
  <c r="CE161" i="6"/>
  <c r="CD161" i="6"/>
  <c r="CC161" i="6"/>
  <c r="CB161" i="6"/>
  <c r="BU161" i="6"/>
  <c r="BV161" i="6" s="1"/>
  <c r="BP161" i="6"/>
  <c r="BO161" i="6"/>
  <c r="BM161" i="6"/>
  <c r="BL161" i="6"/>
  <c r="BK161" i="6"/>
  <c r="BJ161" i="6"/>
  <c r="BN161" i="6" s="1"/>
  <c r="BI161" i="6"/>
  <c r="BH161" i="6"/>
  <c r="BF161" i="6"/>
  <c r="BG161" i="6" s="1"/>
  <c r="BD161" i="6"/>
  <c r="BC161" i="6"/>
  <c r="BE161" i="6" s="1"/>
  <c r="BB161" i="6"/>
  <c r="BA161" i="6"/>
  <c r="AZ161" i="6"/>
  <c r="AY161" i="6"/>
  <c r="AW161" i="6"/>
  <c r="AV161" i="6"/>
  <c r="AX161" i="6" s="1"/>
  <c r="AU161" i="6"/>
  <c r="AT161" i="6"/>
  <c r="AS161" i="6"/>
  <c r="AR161" i="6"/>
  <c r="AQ161" i="6"/>
  <c r="AP161" i="6"/>
  <c r="AN161" i="6"/>
  <c r="AO161" i="6" s="1"/>
  <c r="AM161" i="6"/>
  <c r="AK161" i="6"/>
  <c r="AL161" i="6" s="1"/>
  <c r="AJ161" i="6"/>
  <c r="AI161" i="6"/>
  <c r="AG161" i="6"/>
  <c r="AE161" i="6"/>
  <c r="AD161" i="6"/>
  <c r="AF161" i="6" s="1"/>
  <c r="AC161" i="6"/>
  <c r="DS161" i="6" s="1"/>
  <c r="AA161" i="6"/>
  <c r="Z161" i="6"/>
  <c r="AB161" i="6" s="1"/>
  <c r="Y161" i="6"/>
  <c r="W161" i="6"/>
  <c r="V161" i="6"/>
  <c r="T161" i="6"/>
  <c r="S161" i="6"/>
  <c r="R161" i="6"/>
  <c r="P161" i="6"/>
  <c r="O161" i="6"/>
  <c r="N161" i="6"/>
  <c r="M161" i="6"/>
  <c r="DP161" i="6" s="1"/>
  <c r="J161" i="6"/>
  <c r="H161" i="6"/>
  <c r="G161" i="6"/>
  <c r="F161" i="6"/>
  <c r="E161" i="6"/>
  <c r="I161" i="6" s="1"/>
  <c r="D161" i="6"/>
  <c r="C161" i="6"/>
  <c r="B161" i="6"/>
  <c r="FR160" i="6"/>
  <c r="DW160" i="6"/>
  <c r="DS160" i="6"/>
  <c r="DP160" i="6"/>
  <c r="DM160" i="6"/>
  <c r="DL160" i="6"/>
  <c r="DK160" i="6"/>
  <c r="DJ160" i="6"/>
  <c r="CT160" i="6"/>
  <c r="CU160" i="6" s="1"/>
  <c r="CO160" i="6"/>
  <c r="CN160" i="6"/>
  <c r="CM160" i="6"/>
  <c r="CL160" i="6"/>
  <c r="CJ160" i="6"/>
  <c r="CK160" i="6" s="1"/>
  <c r="CI160" i="6"/>
  <c r="CG160" i="6"/>
  <c r="CH160" i="6" s="1"/>
  <c r="CE160" i="6"/>
  <c r="CD160" i="6"/>
  <c r="CF160" i="6" s="1"/>
  <c r="CB160" i="6"/>
  <c r="DR160" i="6" s="1"/>
  <c r="BV160" i="6"/>
  <c r="BU160" i="6"/>
  <c r="BO160" i="6"/>
  <c r="BP160" i="6" s="1"/>
  <c r="BM160" i="6"/>
  <c r="BL160" i="6"/>
  <c r="BK160" i="6"/>
  <c r="BJ160" i="6"/>
  <c r="BN160" i="6" s="1"/>
  <c r="BI160" i="6"/>
  <c r="BH160" i="6"/>
  <c r="BG160" i="6"/>
  <c r="BF160" i="6"/>
  <c r="BE160" i="6"/>
  <c r="BD160" i="6"/>
  <c r="BC160" i="6"/>
  <c r="BB160" i="6"/>
  <c r="AZ160" i="6"/>
  <c r="AY160" i="6"/>
  <c r="BA160" i="6" s="1"/>
  <c r="AW160" i="6"/>
  <c r="AV160" i="6"/>
  <c r="AX160" i="6" s="1"/>
  <c r="AT160" i="6"/>
  <c r="AS160" i="6"/>
  <c r="AU160" i="6" s="1"/>
  <c r="AR160" i="6"/>
  <c r="AQ160" i="6"/>
  <c r="AP160" i="6"/>
  <c r="AN160" i="6"/>
  <c r="AO160" i="6" s="1"/>
  <c r="AM160" i="6"/>
  <c r="AK160" i="6"/>
  <c r="AL160" i="6" s="1"/>
  <c r="AI160" i="6"/>
  <c r="AJ160" i="6" s="1"/>
  <c r="AG160" i="6"/>
  <c r="AE160" i="6"/>
  <c r="AD160" i="6"/>
  <c r="AC160" i="6"/>
  <c r="AF160" i="6" s="1"/>
  <c r="AA160" i="6"/>
  <c r="Z160" i="6"/>
  <c r="AB160" i="6" s="1"/>
  <c r="X160" i="6"/>
  <c r="W160" i="6"/>
  <c r="DV160" i="6" s="1"/>
  <c r="V160" i="6"/>
  <c r="T160" i="6"/>
  <c r="S160" i="6"/>
  <c r="R160" i="6"/>
  <c r="Q160" i="6"/>
  <c r="P160" i="6"/>
  <c r="O160" i="6"/>
  <c r="N160" i="6"/>
  <c r="M160" i="6"/>
  <c r="J160" i="6"/>
  <c r="H160" i="6"/>
  <c r="G160" i="6"/>
  <c r="F160" i="6"/>
  <c r="E160" i="6"/>
  <c r="I160" i="6" s="1"/>
  <c r="D160" i="6"/>
  <c r="C160" i="6"/>
  <c r="B160" i="6"/>
  <c r="FR159" i="6"/>
  <c r="DW159" i="6"/>
  <c r="DP159" i="6"/>
  <c r="DM159" i="6"/>
  <c r="DL159" i="6"/>
  <c r="DK159" i="6"/>
  <c r="DJ159" i="6"/>
  <c r="DS159" i="6" s="1"/>
  <c r="CU159" i="6"/>
  <c r="CT159" i="6"/>
  <c r="CN159" i="6"/>
  <c r="CM159" i="6"/>
  <c r="CO159" i="6" s="1"/>
  <c r="CL159" i="6"/>
  <c r="CJ159" i="6"/>
  <c r="CI159" i="6"/>
  <c r="CK159" i="6" s="1"/>
  <c r="CG159" i="6"/>
  <c r="CH159" i="6" s="1"/>
  <c r="CE159" i="6"/>
  <c r="CD159" i="6"/>
  <c r="CF159" i="6" s="1"/>
  <c r="CC159" i="6"/>
  <c r="CB159" i="6"/>
  <c r="BU159" i="6"/>
  <c r="BV159" i="6" s="1"/>
  <c r="BO159" i="6"/>
  <c r="BP159" i="6" s="1"/>
  <c r="BN159" i="6"/>
  <c r="BM159" i="6"/>
  <c r="BL159" i="6"/>
  <c r="BK159" i="6"/>
  <c r="BJ159" i="6"/>
  <c r="BH159" i="6"/>
  <c r="BI159" i="6" s="1"/>
  <c r="BG159" i="6"/>
  <c r="BF159" i="6"/>
  <c r="BD159" i="6"/>
  <c r="BC159" i="6"/>
  <c r="BB159" i="6"/>
  <c r="BE159" i="6" s="1"/>
  <c r="BA159" i="6"/>
  <c r="AZ159" i="6"/>
  <c r="AY159" i="6"/>
  <c r="AW159" i="6"/>
  <c r="AV159" i="6"/>
  <c r="AX159" i="6" s="1"/>
  <c r="AT159" i="6"/>
  <c r="AS159" i="6"/>
  <c r="AU159" i="6" s="1"/>
  <c r="AQ159" i="6"/>
  <c r="AR159" i="6" s="1"/>
  <c r="AP159" i="6"/>
  <c r="AN159" i="6"/>
  <c r="AO159" i="6" s="1"/>
  <c r="AM159" i="6"/>
  <c r="AL159" i="6"/>
  <c r="AK159" i="6"/>
  <c r="AI159" i="6"/>
  <c r="AJ159" i="6" s="1"/>
  <c r="AG159" i="6"/>
  <c r="AE159" i="6"/>
  <c r="AD159" i="6"/>
  <c r="DR159" i="6" s="1"/>
  <c r="AC159" i="6"/>
  <c r="AB159" i="6"/>
  <c r="Y159" i="6"/>
  <c r="W159" i="6"/>
  <c r="DV159" i="6" s="1"/>
  <c r="V159" i="6"/>
  <c r="T159" i="6"/>
  <c r="S159" i="6"/>
  <c r="R159" i="6"/>
  <c r="Q159" i="6"/>
  <c r="P159" i="6"/>
  <c r="O159" i="6"/>
  <c r="N159" i="6"/>
  <c r="M159" i="6"/>
  <c r="J159" i="6"/>
  <c r="H159" i="6"/>
  <c r="G159" i="6"/>
  <c r="F159" i="6"/>
  <c r="E159" i="6"/>
  <c r="I159" i="6" s="1"/>
  <c r="D159" i="6"/>
  <c r="C159" i="6"/>
  <c r="B159" i="6"/>
  <c r="FR158" i="6"/>
  <c r="DW158" i="6"/>
  <c r="DV158" i="6"/>
  <c r="DT158" i="6"/>
  <c r="DS158" i="6"/>
  <c r="DP158" i="6"/>
  <c r="DM158" i="6"/>
  <c r="DL158" i="6"/>
  <c r="DK158" i="6"/>
  <c r="DJ158" i="6"/>
  <c r="DN158" i="6" s="1"/>
  <c r="CU158" i="6"/>
  <c r="CT158" i="6"/>
  <c r="CN158" i="6"/>
  <c r="CM158" i="6"/>
  <c r="CO158" i="6" s="1"/>
  <c r="CL158" i="6"/>
  <c r="CJ158" i="6"/>
  <c r="CI158" i="6"/>
  <c r="CK158" i="6" s="1"/>
  <c r="CG158" i="6"/>
  <c r="CH158" i="6" s="1"/>
  <c r="CF158" i="6"/>
  <c r="CE158" i="6"/>
  <c r="CD158" i="6"/>
  <c r="CC158" i="6"/>
  <c r="CB158" i="6"/>
  <c r="BU158" i="6"/>
  <c r="BV158" i="6" s="1"/>
  <c r="BP158" i="6"/>
  <c r="BO158" i="6"/>
  <c r="BN158" i="6"/>
  <c r="BM158" i="6"/>
  <c r="BL158" i="6"/>
  <c r="BK158" i="6"/>
  <c r="BJ158" i="6"/>
  <c r="BH158" i="6"/>
  <c r="BI158" i="6" s="1"/>
  <c r="BF158" i="6"/>
  <c r="BG158" i="6" s="1"/>
  <c r="BD158" i="6"/>
  <c r="BC158" i="6"/>
  <c r="BB158" i="6"/>
  <c r="BE158" i="6" s="1"/>
  <c r="AZ158" i="6"/>
  <c r="AY158" i="6"/>
  <c r="BA158" i="6" s="1"/>
  <c r="AX158" i="6"/>
  <c r="AW158" i="6"/>
  <c r="AV158" i="6"/>
  <c r="AT158" i="6"/>
  <c r="AS158" i="6"/>
  <c r="AU158" i="6" s="1"/>
  <c r="AQ158" i="6"/>
  <c r="AR158" i="6" s="1"/>
  <c r="AP158" i="6"/>
  <c r="AN158" i="6"/>
  <c r="AO158" i="6" s="1"/>
  <c r="AM158" i="6"/>
  <c r="AL158" i="6"/>
  <c r="AK158" i="6"/>
  <c r="AI158" i="6"/>
  <c r="AJ158" i="6" s="1"/>
  <c r="AG158" i="6"/>
  <c r="AE158" i="6"/>
  <c r="AD158" i="6"/>
  <c r="AC158" i="6"/>
  <c r="AB158" i="6"/>
  <c r="Y158" i="6"/>
  <c r="W158" i="6"/>
  <c r="V158" i="6"/>
  <c r="X158" i="6" s="1"/>
  <c r="T158" i="6"/>
  <c r="R158" i="6"/>
  <c r="Q158" i="6"/>
  <c r="P158" i="6"/>
  <c r="O158" i="6"/>
  <c r="N158" i="6"/>
  <c r="M158" i="6"/>
  <c r="J158" i="6"/>
  <c r="H158" i="6"/>
  <c r="G158" i="6"/>
  <c r="F158" i="6"/>
  <c r="E158" i="6"/>
  <c r="I158" i="6" s="1"/>
  <c r="D158" i="6"/>
  <c r="C158" i="6"/>
  <c r="B158" i="6"/>
  <c r="FR157" i="6"/>
  <c r="DW157" i="6"/>
  <c r="DP157" i="6"/>
  <c r="DM157" i="6"/>
  <c r="DL157" i="6"/>
  <c r="DN157" i="6" s="1"/>
  <c r="DK157" i="6"/>
  <c r="DJ157" i="6"/>
  <c r="CU157" i="6"/>
  <c r="CT157" i="6"/>
  <c r="CN157" i="6"/>
  <c r="CM157" i="6"/>
  <c r="CL157" i="6"/>
  <c r="CO157" i="6" s="1"/>
  <c r="CJ157" i="6"/>
  <c r="CI157" i="6"/>
  <c r="CK157" i="6" s="1"/>
  <c r="CH157" i="6"/>
  <c r="CG157" i="6"/>
  <c r="CF157" i="6"/>
  <c r="CE157" i="6"/>
  <c r="CD157" i="6"/>
  <c r="CB157" i="6"/>
  <c r="CC157" i="6" s="1"/>
  <c r="BU157" i="6"/>
  <c r="BV157" i="6" s="1"/>
  <c r="BO157" i="6"/>
  <c r="BP157" i="6" s="1"/>
  <c r="BM157" i="6"/>
  <c r="BL157" i="6"/>
  <c r="BK157" i="6"/>
  <c r="BJ157" i="6"/>
  <c r="BN157" i="6" s="1"/>
  <c r="BH157" i="6"/>
  <c r="BI157" i="6" s="1"/>
  <c r="BG157" i="6"/>
  <c r="BF157" i="6"/>
  <c r="BD157" i="6"/>
  <c r="BC157" i="6"/>
  <c r="DQ157" i="6" s="1"/>
  <c r="BB157" i="6"/>
  <c r="BA157" i="6"/>
  <c r="AZ157" i="6"/>
  <c r="AY157" i="6"/>
  <c r="AX157" i="6"/>
  <c r="AW157" i="6"/>
  <c r="DU157" i="6" s="1"/>
  <c r="AV157" i="6"/>
  <c r="AT157" i="6"/>
  <c r="AS157" i="6"/>
  <c r="AU157" i="6" s="1"/>
  <c r="AQ157" i="6"/>
  <c r="AP157" i="6"/>
  <c r="AR157" i="6" s="1"/>
  <c r="AN157" i="6"/>
  <c r="AO157" i="6" s="1"/>
  <c r="AM157" i="6"/>
  <c r="AK157" i="6"/>
  <c r="AL157" i="6" s="1"/>
  <c r="AI157" i="6"/>
  <c r="AJ157" i="6" s="1"/>
  <c r="AG157" i="6"/>
  <c r="AE157" i="6"/>
  <c r="DT157" i="6" s="1"/>
  <c r="AD157" i="6"/>
  <c r="AC157" i="6"/>
  <c r="AB157" i="6"/>
  <c r="Y157" i="6"/>
  <c r="X157" i="6"/>
  <c r="W157" i="6"/>
  <c r="V157" i="6"/>
  <c r="T157" i="6"/>
  <c r="S157" i="6"/>
  <c r="R157" i="6"/>
  <c r="P157" i="6"/>
  <c r="O157" i="6"/>
  <c r="N157" i="6"/>
  <c r="Q157" i="6" s="1"/>
  <c r="M157" i="6"/>
  <c r="J157" i="6"/>
  <c r="H157" i="6"/>
  <c r="G157" i="6"/>
  <c r="F157" i="6"/>
  <c r="DV157" i="6" s="1"/>
  <c r="E157" i="6"/>
  <c r="D157" i="6"/>
  <c r="C157" i="6"/>
  <c r="B157" i="6"/>
  <c r="FR156" i="6"/>
  <c r="DW156" i="6"/>
  <c r="DP156" i="6"/>
  <c r="DN156" i="6"/>
  <c r="DM156" i="6"/>
  <c r="DL156" i="6"/>
  <c r="DK156" i="6"/>
  <c r="DJ156" i="6"/>
  <c r="CU156" i="6"/>
  <c r="CT156" i="6"/>
  <c r="CN156" i="6"/>
  <c r="CM156" i="6"/>
  <c r="CL156" i="6"/>
  <c r="CO156" i="6" s="1"/>
  <c r="CJ156" i="6"/>
  <c r="CI156" i="6"/>
  <c r="CK156" i="6" s="1"/>
  <c r="CH156" i="6"/>
  <c r="CG156" i="6"/>
  <c r="CE156" i="6"/>
  <c r="CD156" i="6"/>
  <c r="CF156" i="6" s="1"/>
  <c r="CB156" i="6"/>
  <c r="BU156" i="6"/>
  <c r="BV156" i="6" s="1"/>
  <c r="BP156" i="6"/>
  <c r="BO156" i="6"/>
  <c r="BM156" i="6"/>
  <c r="BL156" i="6"/>
  <c r="BN156" i="6" s="1"/>
  <c r="BK156" i="6"/>
  <c r="BJ156" i="6"/>
  <c r="BI156" i="6"/>
  <c r="BH156" i="6"/>
  <c r="BF156" i="6"/>
  <c r="BG156" i="6" s="1"/>
  <c r="BD156" i="6"/>
  <c r="BC156" i="6"/>
  <c r="BB156" i="6"/>
  <c r="BE156" i="6" s="1"/>
  <c r="AZ156" i="6"/>
  <c r="DQ156" i="6" s="1"/>
  <c r="AY156" i="6"/>
  <c r="AW156" i="6"/>
  <c r="AV156" i="6"/>
  <c r="AX156" i="6" s="1"/>
  <c r="AU156" i="6"/>
  <c r="AT156" i="6"/>
  <c r="AS156" i="6"/>
  <c r="AQ156" i="6"/>
  <c r="AP156" i="6"/>
  <c r="AR156" i="6" s="1"/>
  <c r="AN156" i="6"/>
  <c r="AM156" i="6"/>
  <c r="AO156" i="6" s="1"/>
  <c r="AK156" i="6"/>
  <c r="AL156" i="6" s="1"/>
  <c r="AJ156" i="6"/>
  <c r="AI156" i="6"/>
  <c r="AG156" i="6"/>
  <c r="AE156" i="6"/>
  <c r="AD156" i="6"/>
  <c r="AC156" i="6"/>
  <c r="AF156" i="6" s="1"/>
  <c r="AA156" i="6"/>
  <c r="Z156" i="6"/>
  <c r="Y156" i="6"/>
  <c r="X156" i="6"/>
  <c r="W156" i="6"/>
  <c r="V156" i="6"/>
  <c r="T156" i="6"/>
  <c r="R156" i="6"/>
  <c r="S156" i="6" s="1"/>
  <c r="P156" i="6"/>
  <c r="O156" i="6"/>
  <c r="N156" i="6"/>
  <c r="M156" i="6"/>
  <c r="Q156" i="6" s="1"/>
  <c r="J156" i="6"/>
  <c r="H156" i="6"/>
  <c r="G156" i="6"/>
  <c r="F156" i="6"/>
  <c r="E156" i="6"/>
  <c r="D156" i="6"/>
  <c r="C156" i="6"/>
  <c r="B156" i="6"/>
  <c r="FR155" i="6"/>
  <c r="DW155" i="6"/>
  <c r="DM155" i="6"/>
  <c r="DL155" i="6"/>
  <c r="DK155" i="6"/>
  <c r="DJ155" i="6"/>
  <c r="DN155" i="6" s="1"/>
  <c r="CT155" i="6"/>
  <c r="CU155" i="6" s="1"/>
  <c r="CN155" i="6"/>
  <c r="CM155" i="6"/>
  <c r="CL155" i="6"/>
  <c r="CO155" i="6" s="1"/>
  <c r="CK155" i="6"/>
  <c r="CJ155" i="6"/>
  <c r="CI155" i="6"/>
  <c r="CH155" i="6"/>
  <c r="CG155" i="6"/>
  <c r="CE155" i="6"/>
  <c r="CD155" i="6"/>
  <c r="CF155" i="6" s="1"/>
  <c r="CC155" i="6"/>
  <c r="CB155" i="6"/>
  <c r="BV155" i="6"/>
  <c r="BU155" i="6"/>
  <c r="BP155" i="6"/>
  <c r="BO155" i="6"/>
  <c r="BM155" i="6"/>
  <c r="BL155" i="6"/>
  <c r="BK155" i="6"/>
  <c r="BJ155" i="6"/>
  <c r="BN155" i="6" s="1"/>
  <c r="BH155" i="6"/>
  <c r="BI155" i="6" s="1"/>
  <c r="BF155" i="6"/>
  <c r="BG155" i="6" s="1"/>
  <c r="BD155" i="6"/>
  <c r="DT155" i="6" s="1"/>
  <c r="BC155" i="6"/>
  <c r="BB155" i="6"/>
  <c r="AZ155" i="6"/>
  <c r="AY155" i="6"/>
  <c r="BA155" i="6" s="1"/>
  <c r="AW155" i="6"/>
  <c r="AV155" i="6"/>
  <c r="AX155" i="6" s="1"/>
  <c r="AT155" i="6"/>
  <c r="AU155" i="6" s="1"/>
  <c r="AS155" i="6"/>
  <c r="AQ155" i="6"/>
  <c r="AP155" i="6"/>
  <c r="AR155" i="6" s="1"/>
  <c r="AN155" i="6"/>
  <c r="AM155" i="6"/>
  <c r="AK155" i="6"/>
  <c r="AL155" i="6" s="1"/>
  <c r="AJ155" i="6"/>
  <c r="AI155" i="6"/>
  <c r="AG155" i="6"/>
  <c r="AE155" i="6"/>
  <c r="AD155" i="6"/>
  <c r="AC155" i="6"/>
  <c r="DS155" i="6" s="1"/>
  <c r="AB155" i="6"/>
  <c r="AA155" i="6"/>
  <c r="Z155" i="6"/>
  <c r="Y155" i="6"/>
  <c r="W155" i="6"/>
  <c r="X155" i="6" s="1"/>
  <c r="V155" i="6"/>
  <c r="T155" i="6"/>
  <c r="S155" i="6"/>
  <c r="R155" i="6"/>
  <c r="P155" i="6"/>
  <c r="O155" i="6"/>
  <c r="N155" i="6"/>
  <c r="M155" i="6"/>
  <c r="J155" i="6"/>
  <c r="H155" i="6"/>
  <c r="G155" i="6"/>
  <c r="DU155" i="6" s="1"/>
  <c r="F155" i="6"/>
  <c r="DV155" i="6" s="1"/>
  <c r="E155" i="6"/>
  <c r="D155" i="6"/>
  <c r="C155" i="6"/>
  <c r="B155" i="6"/>
  <c r="FR154" i="6"/>
  <c r="DW154" i="6"/>
  <c r="DM154" i="6"/>
  <c r="DL154" i="6"/>
  <c r="DK154" i="6"/>
  <c r="DJ154" i="6"/>
  <c r="CT154" i="6"/>
  <c r="CU154" i="6" s="1"/>
  <c r="CN154" i="6"/>
  <c r="CM154" i="6"/>
  <c r="CL154" i="6"/>
  <c r="CO154" i="6" s="1"/>
  <c r="CJ154" i="6"/>
  <c r="CI154" i="6"/>
  <c r="CK154" i="6" s="1"/>
  <c r="CH154" i="6"/>
  <c r="CG154" i="6"/>
  <c r="CE154" i="6"/>
  <c r="CF154" i="6" s="1"/>
  <c r="CD154" i="6"/>
  <c r="CC154" i="6"/>
  <c r="CB154" i="6"/>
  <c r="BU154" i="6"/>
  <c r="BV154" i="6" s="1"/>
  <c r="BO154" i="6"/>
  <c r="BP154" i="6" s="1"/>
  <c r="BM154" i="6"/>
  <c r="BL154" i="6"/>
  <c r="BK154" i="6"/>
  <c r="BJ154" i="6"/>
  <c r="BN154" i="6" s="1"/>
  <c r="BH154" i="6"/>
  <c r="BI154" i="6" s="1"/>
  <c r="BF154" i="6"/>
  <c r="BG154" i="6" s="1"/>
  <c r="BD154" i="6"/>
  <c r="BC154" i="6"/>
  <c r="BE154" i="6" s="1"/>
  <c r="BB154" i="6"/>
  <c r="AZ154" i="6"/>
  <c r="BA154" i="6" s="1"/>
  <c r="AY154" i="6"/>
  <c r="AX154" i="6"/>
  <c r="AW154" i="6"/>
  <c r="AV154" i="6"/>
  <c r="AT154" i="6"/>
  <c r="AS154" i="6"/>
  <c r="AU154" i="6" s="1"/>
  <c r="AR154" i="6"/>
  <c r="AQ154" i="6"/>
  <c r="AP154" i="6"/>
  <c r="AO154" i="6"/>
  <c r="AN154" i="6"/>
  <c r="AM154" i="6"/>
  <c r="AL154" i="6"/>
  <c r="AK154" i="6"/>
  <c r="AI154" i="6"/>
  <c r="AJ154" i="6" s="1"/>
  <c r="AG154" i="6"/>
  <c r="AF154" i="6"/>
  <c r="AE154" i="6"/>
  <c r="AD154" i="6"/>
  <c r="AC154" i="6"/>
  <c r="AA154" i="6"/>
  <c r="AB154" i="6" s="1"/>
  <c r="Z154" i="6"/>
  <c r="Y154" i="6"/>
  <c r="W154" i="6"/>
  <c r="V154" i="6"/>
  <c r="T154" i="6"/>
  <c r="S154" i="6"/>
  <c r="R154" i="6"/>
  <c r="P154" i="6"/>
  <c r="O154" i="6"/>
  <c r="N154" i="6"/>
  <c r="M154" i="6"/>
  <c r="Q154" i="6" s="1"/>
  <c r="J154" i="6"/>
  <c r="I154" i="6"/>
  <c r="H154" i="6"/>
  <c r="G154" i="6"/>
  <c r="DU154" i="6" s="1"/>
  <c r="F154" i="6"/>
  <c r="DV154" i="6" s="1"/>
  <c r="E154" i="6"/>
  <c r="DP154" i="6" s="1"/>
  <c r="D154" i="6"/>
  <c r="C154" i="6"/>
  <c r="B154" i="6"/>
  <c r="FR153" i="6"/>
  <c r="DW153" i="6"/>
  <c r="DM153" i="6"/>
  <c r="DN153" i="6" s="1"/>
  <c r="DL153" i="6"/>
  <c r="DK153" i="6"/>
  <c r="DJ153" i="6"/>
  <c r="CU153" i="6"/>
  <c r="CT153" i="6"/>
  <c r="CN153" i="6"/>
  <c r="CM153" i="6"/>
  <c r="CL153" i="6"/>
  <c r="CJ153" i="6"/>
  <c r="CI153" i="6"/>
  <c r="CK153" i="6" s="1"/>
  <c r="CG153" i="6"/>
  <c r="CH153" i="6" s="1"/>
  <c r="CE153" i="6"/>
  <c r="CD153" i="6"/>
  <c r="CF153" i="6" s="1"/>
  <c r="CB153" i="6"/>
  <c r="CC153" i="6" s="1"/>
  <c r="BV153" i="6"/>
  <c r="BU153" i="6"/>
  <c r="BO153" i="6"/>
  <c r="BP153" i="6" s="1"/>
  <c r="BM153" i="6"/>
  <c r="BL153" i="6"/>
  <c r="BK153" i="6"/>
  <c r="BJ153" i="6"/>
  <c r="BN153" i="6" s="1"/>
  <c r="BI153" i="6"/>
  <c r="BH153" i="6"/>
  <c r="BG153" i="6"/>
  <c r="BF153" i="6"/>
  <c r="BD153" i="6"/>
  <c r="BC153" i="6"/>
  <c r="BB153" i="6"/>
  <c r="BE153" i="6" s="1"/>
  <c r="AZ153" i="6"/>
  <c r="AY153" i="6"/>
  <c r="BA153" i="6" s="1"/>
  <c r="AW153" i="6"/>
  <c r="AV153" i="6"/>
  <c r="AX153" i="6" s="1"/>
  <c r="AT153" i="6"/>
  <c r="AS153" i="6"/>
  <c r="AU153" i="6" s="1"/>
  <c r="AQ153" i="6"/>
  <c r="AP153" i="6"/>
  <c r="AR153" i="6" s="1"/>
  <c r="AN153" i="6"/>
  <c r="AM153" i="6"/>
  <c r="AK153" i="6"/>
  <c r="AJ153" i="6"/>
  <c r="AI153" i="6"/>
  <c r="AG153" i="6"/>
  <c r="AE153" i="6"/>
  <c r="AF153" i="6" s="1"/>
  <c r="AD153" i="6"/>
  <c r="AC153" i="6"/>
  <c r="AA153" i="6"/>
  <c r="Z153" i="6"/>
  <c r="AB153" i="6" s="1"/>
  <c r="Y153" i="6"/>
  <c r="X153" i="6"/>
  <c r="W153" i="6"/>
  <c r="V153" i="6"/>
  <c r="T153" i="6"/>
  <c r="R153" i="6"/>
  <c r="S153" i="6" s="1"/>
  <c r="P153" i="6"/>
  <c r="O153" i="6"/>
  <c r="N153" i="6"/>
  <c r="M153" i="6"/>
  <c r="J153" i="6"/>
  <c r="H153" i="6"/>
  <c r="G153" i="6"/>
  <c r="F153" i="6"/>
  <c r="I153" i="6" s="1"/>
  <c r="E153" i="6"/>
  <c r="D153" i="6"/>
  <c r="C153" i="6"/>
  <c r="B153" i="6"/>
  <c r="FR152" i="6"/>
  <c r="DW152" i="6"/>
  <c r="DQ152" i="6"/>
  <c r="CT152" i="6"/>
  <c r="CU152" i="6" s="1"/>
  <c r="CN152" i="6"/>
  <c r="CM152" i="6"/>
  <c r="CL152" i="6"/>
  <c r="CO152" i="6" s="1"/>
  <c r="CK152" i="6"/>
  <c r="CJ152" i="6"/>
  <c r="CI152" i="6"/>
  <c r="CH152" i="6"/>
  <c r="CG152" i="6"/>
  <c r="CF152" i="6"/>
  <c r="CE152" i="6"/>
  <c r="CD152" i="6"/>
  <c r="CC152" i="6"/>
  <c r="CB152" i="6"/>
  <c r="BU152" i="6"/>
  <c r="BV152" i="6" s="1"/>
  <c r="BP152" i="6"/>
  <c r="BO152" i="6"/>
  <c r="BM152" i="6"/>
  <c r="BL152" i="6"/>
  <c r="BK152" i="6"/>
  <c r="BJ152" i="6"/>
  <c r="BN152" i="6" s="1"/>
  <c r="BH152" i="6"/>
  <c r="BI152" i="6" s="1"/>
  <c r="BF152" i="6"/>
  <c r="BG152" i="6" s="1"/>
  <c r="BD152" i="6"/>
  <c r="BC152" i="6"/>
  <c r="BE152" i="6" s="1"/>
  <c r="BB152" i="6"/>
  <c r="BA152" i="6"/>
  <c r="AZ152" i="6"/>
  <c r="AY152" i="6"/>
  <c r="AW152" i="6"/>
  <c r="AV152" i="6"/>
  <c r="AX152" i="6" s="1"/>
  <c r="AU152" i="6"/>
  <c r="AT152" i="6"/>
  <c r="DS152" i="6" s="1"/>
  <c r="AS152" i="6"/>
  <c r="AR152" i="6"/>
  <c r="AQ152" i="6"/>
  <c r="AP152" i="6"/>
  <c r="AN152" i="6"/>
  <c r="AM152" i="6"/>
  <c r="AL152" i="6"/>
  <c r="AK152" i="6"/>
  <c r="AJ152" i="6"/>
  <c r="AI152" i="6"/>
  <c r="AG152" i="6"/>
  <c r="AE152" i="6"/>
  <c r="AD152" i="6"/>
  <c r="AF152" i="6" s="1"/>
  <c r="AC152" i="6"/>
  <c r="AA152" i="6"/>
  <c r="Z152" i="6"/>
  <c r="AB152" i="6" s="1"/>
  <c r="Y152" i="6"/>
  <c r="W152" i="6"/>
  <c r="V152" i="6"/>
  <c r="T152" i="6"/>
  <c r="S152" i="6"/>
  <c r="R152" i="6"/>
  <c r="P152" i="6"/>
  <c r="O152" i="6"/>
  <c r="N152" i="6"/>
  <c r="M152" i="6"/>
  <c r="Q152" i="6" s="1"/>
  <c r="J152" i="6"/>
  <c r="H152" i="6"/>
  <c r="G152" i="6"/>
  <c r="F152" i="6"/>
  <c r="E152" i="6"/>
  <c r="I152" i="6" s="1"/>
  <c r="D152" i="6"/>
  <c r="C152" i="6"/>
  <c r="B152" i="6"/>
  <c r="FR151" i="6"/>
  <c r="DW151" i="6"/>
  <c r="DS151" i="6"/>
  <c r="DP151" i="6"/>
  <c r="CU151" i="6"/>
  <c r="CT151" i="6"/>
  <c r="CO151" i="6"/>
  <c r="CN151" i="6"/>
  <c r="CM151" i="6"/>
  <c r="CL151" i="6"/>
  <c r="DQ151" i="6" s="1"/>
  <c r="CK151" i="6"/>
  <c r="CJ151" i="6"/>
  <c r="CI151" i="6"/>
  <c r="CG151" i="6"/>
  <c r="CH151" i="6" s="1"/>
  <c r="CE151" i="6"/>
  <c r="CF151" i="6" s="1"/>
  <c r="CD151" i="6"/>
  <c r="CB151" i="6"/>
  <c r="CC151" i="6" s="1"/>
  <c r="BU151" i="6"/>
  <c r="BV151" i="6" s="1"/>
  <c r="BP151" i="6"/>
  <c r="BO151" i="6"/>
  <c r="BM151" i="6"/>
  <c r="BL151" i="6"/>
  <c r="BK151" i="6"/>
  <c r="BJ151" i="6"/>
  <c r="BI151" i="6"/>
  <c r="BH151" i="6"/>
  <c r="BF151" i="6"/>
  <c r="BG151" i="6" s="1"/>
  <c r="BE151" i="6"/>
  <c r="BD151" i="6"/>
  <c r="BC151" i="6"/>
  <c r="BB151" i="6"/>
  <c r="AZ151" i="6"/>
  <c r="BA151" i="6" s="1"/>
  <c r="AY151" i="6"/>
  <c r="AW151" i="6"/>
  <c r="AV151" i="6"/>
  <c r="AX151" i="6" s="1"/>
  <c r="AT151" i="6"/>
  <c r="AS151" i="6"/>
  <c r="AQ151" i="6"/>
  <c r="AP151" i="6"/>
  <c r="AR151" i="6" s="1"/>
  <c r="AN151" i="6"/>
  <c r="AM151" i="6"/>
  <c r="AO151" i="6" s="1"/>
  <c r="AL151" i="6"/>
  <c r="AK151" i="6"/>
  <c r="AI151" i="6"/>
  <c r="AJ151" i="6" s="1"/>
  <c r="AE151" i="6"/>
  <c r="AD151" i="6"/>
  <c r="AF151" i="6" s="1"/>
  <c r="AC151" i="6"/>
  <c r="AB151" i="6"/>
  <c r="AA151" i="6"/>
  <c r="Z151" i="6"/>
  <c r="Y151" i="6"/>
  <c r="W151" i="6"/>
  <c r="V151" i="6"/>
  <c r="T151" i="6"/>
  <c r="S151" i="6"/>
  <c r="R151" i="6"/>
  <c r="P151" i="6"/>
  <c r="O151" i="6"/>
  <c r="N151" i="6"/>
  <c r="DV151" i="6" s="1"/>
  <c r="M151" i="6"/>
  <c r="Q151" i="6" s="1"/>
  <c r="J151" i="6"/>
  <c r="I151" i="6"/>
  <c r="H151" i="6"/>
  <c r="G151" i="6"/>
  <c r="DU151" i="6" s="1"/>
  <c r="F151" i="6"/>
  <c r="E151" i="6"/>
  <c r="D151" i="6"/>
  <c r="C151" i="6"/>
  <c r="B151" i="6"/>
  <c r="FR150" i="6"/>
  <c r="DW150" i="6"/>
  <c r="CU150" i="6"/>
  <c r="CT150" i="6"/>
  <c r="CO150" i="6"/>
  <c r="CN150" i="6"/>
  <c r="CM150" i="6"/>
  <c r="CL150" i="6"/>
  <c r="CK150" i="6"/>
  <c r="CJ150" i="6"/>
  <c r="CI150" i="6"/>
  <c r="CH150" i="6"/>
  <c r="CG150" i="6"/>
  <c r="BU150" i="6"/>
  <c r="BV150" i="6" s="1"/>
  <c r="BO150" i="6"/>
  <c r="BP150" i="6" s="1"/>
  <c r="BM150" i="6"/>
  <c r="BL150" i="6"/>
  <c r="BK150" i="6"/>
  <c r="BJ150" i="6"/>
  <c r="BN150" i="6" s="1"/>
  <c r="BI150" i="6"/>
  <c r="BH150" i="6"/>
  <c r="BF150" i="6"/>
  <c r="BG150" i="6" s="1"/>
  <c r="BD150" i="6"/>
  <c r="BC150" i="6"/>
  <c r="BB150" i="6"/>
  <c r="BE150" i="6" s="1"/>
  <c r="BA150" i="6"/>
  <c r="AZ150" i="6"/>
  <c r="AY150" i="6"/>
  <c r="AX150" i="6"/>
  <c r="AW150" i="6"/>
  <c r="AV150" i="6"/>
  <c r="AU150" i="6"/>
  <c r="AT150" i="6"/>
  <c r="AS150" i="6"/>
  <c r="AQ150" i="6"/>
  <c r="AP150" i="6"/>
  <c r="AR150" i="6" s="1"/>
  <c r="AN150" i="6"/>
  <c r="AM150" i="6"/>
  <c r="AO150" i="6" s="1"/>
  <c r="AL150" i="6"/>
  <c r="AK150" i="6"/>
  <c r="AJ150" i="6"/>
  <c r="AI150" i="6"/>
  <c r="AG150" i="6"/>
  <c r="AE150" i="6"/>
  <c r="AD150" i="6"/>
  <c r="AC150" i="6"/>
  <c r="AB150" i="6"/>
  <c r="AA150" i="6"/>
  <c r="Z150" i="6"/>
  <c r="Y150" i="6"/>
  <c r="W150" i="6"/>
  <c r="V150" i="6"/>
  <c r="X150" i="6" s="1"/>
  <c r="T150" i="6"/>
  <c r="R150" i="6"/>
  <c r="S150" i="6" s="1"/>
  <c r="P150" i="6"/>
  <c r="O150" i="6"/>
  <c r="N150" i="6"/>
  <c r="M150" i="6"/>
  <c r="J150" i="6"/>
  <c r="H150" i="6"/>
  <c r="DQ150" i="6" s="1"/>
  <c r="G150" i="6"/>
  <c r="DU150" i="6" s="1"/>
  <c r="F150" i="6"/>
  <c r="E150" i="6"/>
  <c r="DP150" i="6" s="1"/>
  <c r="D150" i="6"/>
  <c r="C150" i="6"/>
  <c r="B150" i="6"/>
  <c r="FR149" i="6"/>
  <c r="DW149" i="6"/>
  <c r="CT149" i="6"/>
  <c r="CU149" i="6" s="1"/>
  <c r="CN149" i="6"/>
  <c r="CM149" i="6"/>
  <c r="CL149" i="6"/>
  <c r="CJ149" i="6"/>
  <c r="CI149" i="6"/>
  <c r="CK149" i="6" s="1"/>
  <c r="CG149" i="6"/>
  <c r="CH149" i="6" s="1"/>
  <c r="BV149" i="6"/>
  <c r="BU149" i="6"/>
  <c r="BO149" i="6"/>
  <c r="BP149" i="6" s="1"/>
  <c r="BN149" i="6"/>
  <c r="BM149" i="6"/>
  <c r="BL149" i="6"/>
  <c r="BK149" i="6"/>
  <c r="BJ149" i="6"/>
  <c r="BI149" i="6"/>
  <c r="BH149" i="6"/>
  <c r="BF149" i="6"/>
  <c r="BG149" i="6" s="1"/>
  <c r="BD149" i="6"/>
  <c r="BC149" i="6"/>
  <c r="BB149" i="6"/>
  <c r="BA149" i="6"/>
  <c r="AZ149" i="6"/>
  <c r="DQ149" i="6" s="1"/>
  <c r="AY149" i="6"/>
  <c r="AW149" i="6"/>
  <c r="AV149" i="6"/>
  <c r="AX149" i="6" s="1"/>
  <c r="AT149" i="6"/>
  <c r="AS149" i="6"/>
  <c r="AU149" i="6" s="1"/>
  <c r="AR149" i="6"/>
  <c r="AQ149" i="6"/>
  <c r="AP149" i="6"/>
  <c r="AN149" i="6"/>
  <c r="AM149" i="6"/>
  <c r="AO149" i="6" s="1"/>
  <c r="AL149" i="6"/>
  <c r="AK149" i="6"/>
  <c r="AJ149" i="6"/>
  <c r="AI149" i="6"/>
  <c r="AG149" i="6"/>
  <c r="AE149" i="6"/>
  <c r="AD149" i="6"/>
  <c r="AC149" i="6"/>
  <c r="AB149" i="6"/>
  <c r="AA149" i="6"/>
  <c r="Z149" i="6"/>
  <c r="Y149" i="6"/>
  <c r="W149" i="6"/>
  <c r="V149" i="6"/>
  <c r="T149" i="6"/>
  <c r="S149" i="6"/>
  <c r="R149" i="6"/>
  <c r="P149" i="6"/>
  <c r="O149" i="6"/>
  <c r="Q149" i="6" s="1"/>
  <c r="N149" i="6"/>
  <c r="M149" i="6"/>
  <c r="H149" i="6"/>
  <c r="G149" i="6"/>
  <c r="DU149" i="6" s="1"/>
  <c r="F149" i="6"/>
  <c r="DV149" i="6" s="1"/>
  <c r="E149" i="6"/>
  <c r="D149" i="6"/>
  <c r="C149" i="6"/>
  <c r="B149" i="6"/>
  <c r="FR148" i="6"/>
  <c r="DW148" i="6"/>
  <c r="DS148" i="6"/>
  <c r="DP148" i="6"/>
  <c r="CU148" i="6"/>
  <c r="CT148" i="6"/>
  <c r="CN148" i="6"/>
  <c r="CM148" i="6"/>
  <c r="CL148" i="6"/>
  <c r="CO148" i="6" s="1"/>
  <c r="CJ148" i="6"/>
  <c r="CI148" i="6"/>
  <c r="CK148" i="6" s="1"/>
  <c r="CG148" i="6"/>
  <c r="CH148" i="6" s="1"/>
  <c r="BU148" i="6"/>
  <c r="BV148" i="6" s="1"/>
  <c r="BP148" i="6"/>
  <c r="BO148" i="6"/>
  <c r="BM148" i="6"/>
  <c r="BL148" i="6"/>
  <c r="BK148" i="6"/>
  <c r="BJ148" i="6"/>
  <c r="BH148" i="6"/>
  <c r="BI148" i="6" s="1"/>
  <c r="BG148" i="6"/>
  <c r="BF148" i="6"/>
  <c r="BD148" i="6"/>
  <c r="BC148" i="6"/>
  <c r="BB148" i="6"/>
  <c r="BE148" i="6" s="1"/>
  <c r="AZ148" i="6"/>
  <c r="AY148" i="6"/>
  <c r="BA148" i="6" s="1"/>
  <c r="AW148" i="6"/>
  <c r="AV148" i="6"/>
  <c r="AX148" i="6" s="1"/>
  <c r="AR148" i="6"/>
  <c r="AQ148" i="6"/>
  <c r="AP148" i="6"/>
  <c r="DR148" i="6" s="1"/>
  <c r="AO148" i="6"/>
  <c r="AN148" i="6"/>
  <c r="AM148" i="6"/>
  <c r="AL148" i="6"/>
  <c r="AK148" i="6"/>
  <c r="AJ148" i="6"/>
  <c r="AI148" i="6"/>
  <c r="AG148" i="6"/>
  <c r="AE148" i="6"/>
  <c r="AD148" i="6"/>
  <c r="AF148" i="6" s="1"/>
  <c r="AC148" i="6"/>
  <c r="AB148" i="6"/>
  <c r="AA148" i="6"/>
  <c r="Z148" i="6"/>
  <c r="Y148" i="6"/>
  <c r="W148" i="6"/>
  <c r="V148" i="6"/>
  <c r="R148" i="6"/>
  <c r="S148" i="6" s="1"/>
  <c r="P148" i="6"/>
  <c r="DQ148" i="6" s="1"/>
  <c r="O148" i="6"/>
  <c r="DU148" i="6" s="1"/>
  <c r="N148" i="6"/>
  <c r="M148" i="6"/>
  <c r="H148" i="6"/>
  <c r="G148" i="6"/>
  <c r="F148" i="6"/>
  <c r="E148" i="6"/>
  <c r="D148" i="6"/>
  <c r="C148" i="6"/>
  <c r="B148" i="6"/>
  <c r="FR147" i="6"/>
  <c r="DW147" i="6"/>
  <c r="DP147" i="6"/>
  <c r="CT147" i="6"/>
  <c r="CU147" i="6" s="1"/>
  <c r="CN147" i="6"/>
  <c r="CM147" i="6"/>
  <c r="CL147" i="6"/>
  <c r="CG147" i="6"/>
  <c r="CH147" i="6" s="1"/>
  <c r="BV147" i="6"/>
  <c r="BU147" i="6"/>
  <c r="BM147" i="6"/>
  <c r="BL147" i="6"/>
  <c r="BK147" i="6"/>
  <c r="BJ147" i="6"/>
  <c r="BN147" i="6" s="1"/>
  <c r="BH147" i="6"/>
  <c r="BI147" i="6" s="1"/>
  <c r="BG147" i="6"/>
  <c r="BF147" i="6"/>
  <c r="BD147" i="6"/>
  <c r="BC147" i="6"/>
  <c r="BE147" i="6" s="1"/>
  <c r="BB147" i="6"/>
  <c r="AZ147" i="6"/>
  <c r="BA147" i="6" s="1"/>
  <c r="AY147" i="6"/>
  <c r="AX147" i="6"/>
  <c r="AW147" i="6"/>
  <c r="AV147" i="6"/>
  <c r="AQ147" i="6"/>
  <c r="AP147" i="6"/>
  <c r="AR147" i="6" s="1"/>
  <c r="AO147" i="6"/>
  <c r="AN147" i="6"/>
  <c r="AM147" i="6"/>
  <c r="AK147" i="6"/>
  <c r="AI147" i="6"/>
  <c r="AJ147" i="6" s="1"/>
  <c r="AE147" i="6"/>
  <c r="AD147" i="6"/>
  <c r="AC147" i="6"/>
  <c r="AF147" i="6" s="1"/>
  <c r="AA147" i="6"/>
  <c r="Z147" i="6"/>
  <c r="AB147" i="6" s="1"/>
  <c r="Y147" i="6"/>
  <c r="W147" i="6"/>
  <c r="V147" i="6"/>
  <c r="R147" i="6"/>
  <c r="S147" i="6" s="1"/>
  <c r="P147" i="6"/>
  <c r="O147" i="6"/>
  <c r="DU147" i="6" s="1"/>
  <c r="N147" i="6"/>
  <c r="M147" i="6"/>
  <c r="H147" i="6"/>
  <c r="G147" i="6"/>
  <c r="F147" i="6"/>
  <c r="E147" i="6"/>
  <c r="D147" i="6"/>
  <c r="C147" i="6"/>
  <c r="B147" i="6"/>
  <c r="FR146" i="6"/>
  <c r="DW146" i="6"/>
  <c r="DP146" i="6"/>
  <c r="CU146" i="6"/>
  <c r="CT146" i="6"/>
  <c r="CN146" i="6"/>
  <c r="CM146" i="6"/>
  <c r="CO146" i="6" s="1"/>
  <c r="CL146" i="6"/>
  <c r="CH146" i="6"/>
  <c r="CG146" i="6"/>
  <c r="BV146" i="6"/>
  <c r="BU146" i="6"/>
  <c r="BM146" i="6"/>
  <c r="BL146" i="6"/>
  <c r="BK146" i="6"/>
  <c r="BN146" i="6" s="1"/>
  <c r="BJ146" i="6"/>
  <c r="BI146" i="6"/>
  <c r="BH146" i="6"/>
  <c r="BF146" i="6"/>
  <c r="BG146" i="6" s="1"/>
  <c r="BD146" i="6"/>
  <c r="BC146" i="6"/>
  <c r="BB146" i="6"/>
  <c r="BA146" i="6"/>
  <c r="AZ146" i="6"/>
  <c r="DQ146" i="6" s="1"/>
  <c r="AY146" i="6"/>
  <c r="AW146" i="6"/>
  <c r="AV146" i="6"/>
  <c r="AX146" i="6" s="1"/>
  <c r="AR146" i="6"/>
  <c r="AQ146" i="6"/>
  <c r="AP146" i="6"/>
  <c r="AO146" i="6"/>
  <c r="AN146" i="6"/>
  <c r="AM146" i="6"/>
  <c r="AL146" i="6"/>
  <c r="AK146" i="6"/>
  <c r="AJ146" i="6"/>
  <c r="AI146" i="6"/>
  <c r="AE146" i="6"/>
  <c r="AD146" i="6"/>
  <c r="AF146" i="6" s="1"/>
  <c r="AA146" i="6"/>
  <c r="Z146" i="6"/>
  <c r="AB146" i="6" s="1"/>
  <c r="Y146" i="6"/>
  <c r="W146" i="6"/>
  <c r="V146" i="6"/>
  <c r="S146" i="6"/>
  <c r="R146" i="6"/>
  <c r="Q146" i="6"/>
  <c r="P146" i="6"/>
  <c r="O146" i="6"/>
  <c r="N146" i="6"/>
  <c r="M146" i="6"/>
  <c r="H146" i="6"/>
  <c r="G146" i="6"/>
  <c r="F146" i="6"/>
  <c r="E146" i="6"/>
  <c r="D146" i="6"/>
  <c r="B146" i="6"/>
  <c r="FR145" i="6"/>
  <c r="DW145" i="6"/>
  <c r="DV145" i="6"/>
  <c r="DP145" i="6"/>
  <c r="CO145" i="6"/>
  <c r="CN145" i="6"/>
  <c r="CM145" i="6"/>
  <c r="CL145" i="6"/>
  <c r="CG145" i="6"/>
  <c r="BV145" i="6"/>
  <c r="BU145" i="6"/>
  <c r="BM145" i="6"/>
  <c r="BL145" i="6"/>
  <c r="BK145" i="6"/>
  <c r="BN145" i="6" s="1"/>
  <c r="BJ145" i="6"/>
  <c r="BH145" i="6"/>
  <c r="BI145" i="6" s="1"/>
  <c r="BF145" i="6"/>
  <c r="BG145" i="6" s="1"/>
  <c r="BD145" i="6"/>
  <c r="BC145" i="6"/>
  <c r="BB145" i="6"/>
  <c r="AZ145" i="6"/>
  <c r="BA145" i="6" s="1"/>
  <c r="AY145" i="6"/>
  <c r="AW145" i="6"/>
  <c r="AV145" i="6"/>
  <c r="AX145" i="6" s="1"/>
  <c r="AR145" i="6"/>
  <c r="AQ145" i="6"/>
  <c r="AP145" i="6"/>
  <c r="AO145" i="6"/>
  <c r="AN145" i="6"/>
  <c r="AM145" i="6"/>
  <c r="AL145" i="6"/>
  <c r="AK145" i="6"/>
  <c r="AI145" i="6"/>
  <c r="AJ145" i="6" s="1"/>
  <c r="AE145" i="6"/>
  <c r="AF145" i="6" s="1"/>
  <c r="AD145" i="6"/>
  <c r="AA145" i="6"/>
  <c r="Z145" i="6"/>
  <c r="Y145" i="6"/>
  <c r="W145" i="6"/>
  <c r="V145" i="6"/>
  <c r="S145" i="6"/>
  <c r="R145" i="6"/>
  <c r="P145" i="6"/>
  <c r="O145" i="6"/>
  <c r="Q145" i="6" s="1"/>
  <c r="N145" i="6"/>
  <c r="M145" i="6"/>
  <c r="H145" i="6"/>
  <c r="G145" i="6"/>
  <c r="F145" i="6"/>
  <c r="E145" i="6"/>
  <c r="D145" i="6"/>
  <c r="B145" i="6"/>
  <c r="FR144" i="6"/>
  <c r="DW144" i="6"/>
  <c r="CN144" i="6"/>
  <c r="CM144" i="6"/>
  <c r="CL144" i="6"/>
  <c r="CO144" i="6" s="1"/>
  <c r="CG144" i="6"/>
  <c r="CH144" i="6" s="1"/>
  <c r="BN144" i="6"/>
  <c r="BM144" i="6"/>
  <c r="BL144" i="6"/>
  <c r="BK144" i="6"/>
  <c r="BJ144" i="6"/>
  <c r="BI144" i="6"/>
  <c r="BH144" i="6"/>
  <c r="BG144" i="6"/>
  <c r="BF144" i="6"/>
  <c r="BE144" i="6"/>
  <c r="BD144" i="6"/>
  <c r="BC144" i="6"/>
  <c r="BB144" i="6"/>
  <c r="BA144" i="6"/>
  <c r="AZ144" i="6"/>
  <c r="AY144" i="6"/>
  <c r="AW144" i="6"/>
  <c r="AV144" i="6"/>
  <c r="AX144" i="6" s="1"/>
  <c r="AQ144" i="6"/>
  <c r="AP144" i="6"/>
  <c r="AR144" i="6" s="1"/>
  <c r="AN144" i="6"/>
  <c r="AM144" i="6"/>
  <c r="AL144" i="6"/>
  <c r="AK144" i="6"/>
  <c r="AJ144" i="6"/>
  <c r="AI144" i="6"/>
  <c r="AF144" i="6"/>
  <c r="AE144" i="6"/>
  <c r="AD144" i="6"/>
  <c r="AB144" i="6"/>
  <c r="AA144" i="6"/>
  <c r="Z144" i="6"/>
  <c r="Y144" i="6"/>
  <c r="W144" i="6"/>
  <c r="X144" i="6" s="1"/>
  <c r="V144" i="6"/>
  <c r="R144" i="6"/>
  <c r="S144" i="6" s="1"/>
  <c r="H144" i="6"/>
  <c r="DQ144" i="6" s="1"/>
  <c r="G144" i="6"/>
  <c r="F144" i="6"/>
  <c r="E144" i="6"/>
  <c r="B144" i="6"/>
  <c r="FR143" i="6"/>
  <c r="DW143" i="6"/>
  <c r="CN143" i="6"/>
  <c r="CM143" i="6"/>
  <c r="CL143" i="6"/>
  <c r="CO143" i="6" s="1"/>
  <c r="CH143" i="6"/>
  <c r="CG143" i="6"/>
  <c r="BM143" i="6"/>
  <c r="BL143" i="6"/>
  <c r="BK143" i="6"/>
  <c r="BJ143" i="6"/>
  <c r="BH143" i="6"/>
  <c r="BI143" i="6" s="1"/>
  <c r="BF143" i="6"/>
  <c r="BG143" i="6" s="1"/>
  <c r="BE143" i="6"/>
  <c r="BD143" i="6"/>
  <c r="BC143" i="6"/>
  <c r="BB143" i="6"/>
  <c r="AZ143" i="6"/>
  <c r="AY143" i="6"/>
  <c r="BA143" i="6" s="1"/>
  <c r="AX143" i="6"/>
  <c r="AW143" i="6"/>
  <c r="AV143" i="6"/>
  <c r="AR143" i="6"/>
  <c r="AQ143" i="6"/>
  <c r="AP143" i="6"/>
  <c r="AN143" i="6"/>
  <c r="AO143" i="6" s="1"/>
  <c r="AM143" i="6"/>
  <c r="AK143" i="6"/>
  <c r="AI143" i="6"/>
  <c r="AJ143" i="6" s="1"/>
  <c r="AE143" i="6"/>
  <c r="AD143" i="6"/>
  <c r="AF143" i="6" s="1"/>
  <c r="AA143" i="6"/>
  <c r="Z143" i="6"/>
  <c r="AB143" i="6" s="1"/>
  <c r="Y143" i="6"/>
  <c r="X143" i="6"/>
  <c r="W143" i="6"/>
  <c r="V143" i="6"/>
  <c r="DT143" i="6" s="1"/>
  <c r="S143" i="6"/>
  <c r="R143" i="6"/>
  <c r="I143" i="6"/>
  <c r="H143" i="6"/>
  <c r="G143" i="6"/>
  <c r="DU143" i="6" s="1"/>
  <c r="F143" i="6"/>
  <c r="E143" i="6"/>
  <c r="DP143" i="6" s="1"/>
  <c r="B143" i="6"/>
  <c r="FR142" i="6"/>
  <c r="DW142" i="6"/>
  <c r="DV142" i="6"/>
  <c r="DR142" i="6"/>
  <c r="DQ142" i="6"/>
  <c r="CG142" i="6"/>
  <c r="CH142" i="6" s="1"/>
  <c r="BM142" i="6"/>
  <c r="BL142" i="6"/>
  <c r="BK142" i="6"/>
  <c r="BJ142" i="6"/>
  <c r="BH142" i="6"/>
  <c r="BI142" i="6" s="1"/>
  <c r="BG142" i="6"/>
  <c r="BF142" i="6"/>
  <c r="BD142" i="6"/>
  <c r="BC142" i="6"/>
  <c r="BB142" i="6"/>
  <c r="BE142" i="6" s="1"/>
  <c r="AZ142" i="6"/>
  <c r="AY142" i="6"/>
  <c r="AW142" i="6"/>
  <c r="AV142" i="6"/>
  <c r="AQ142" i="6"/>
  <c r="AP142" i="6"/>
  <c r="AR142" i="6" s="1"/>
  <c r="AN142" i="6"/>
  <c r="AO142" i="6" s="1"/>
  <c r="AM142" i="6"/>
  <c r="AK142" i="6"/>
  <c r="AL142" i="6" s="1"/>
  <c r="AI142" i="6"/>
  <c r="AE142" i="6"/>
  <c r="AF142" i="6" s="1"/>
  <c r="AD142" i="6"/>
  <c r="AB142" i="6"/>
  <c r="AA142" i="6"/>
  <c r="Z142" i="6"/>
  <c r="Y142" i="6"/>
  <c r="X142" i="6"/>
  <c r="W142" i="6"/>
  <c r="V142" i="6"/>
  <c r="R142" i="6"/>
  <c r="DU142" i="6" s="1"/>
  <c r="H142" i="6"/>
  <c r="G142" i="6"/>
  <c r="F142" i="6"/>
  <c r="E142" i="6"/>
  <c r="DP142" i="6" s="1"/>
  <c r="B142" i="6"/>
  <c r="FR141" i="6"/>
  <c r="DW141" i="6"/>
  <c r="DV141" i="6"/>
  <c r="CG141" i="6"/>
  <c r="CH141" i="6" s="1"/>
  <c r="BM141" i="6"/>
  <c r="BL141" i="6"/>
  <c r="BK141" i="6"/>
  <c r="BN141" i="6" s="1"/>
  <c r="BJ141" i="6"/>
  <c r="BI141" i="6"/>
  <c r="BH141" i="6"/>
  <c r="BF141" i="6"/>
  <c r="BG141" i="6" s="1"/>
  <c r="AZ141" i="6"/>
  <c r="BA141" i="6" s="1"/>
  <c r="AY141" i="6"/>
  <c r="AX141" i="6"/>
  <c r="AW141" i="6"/>
  <c r="AV141" i="6"/>
  <c r="AQ141" i="6"/>
  <c r="AR141" i="6" s="1"/>
  <c r="AP141" i="6"/>
  <c r="AO141" i="6"/>
  <c r="AN141" i="6"/>
  <c r="AM141" i="6"/>
  <c r="AK141" i="6"/>
  <c r="AL141" i="6" s="1"/>
  <c r="AI141" i="6"/>
  <c r="AJ141" i="6" s="1"/>
  <c r="AF141" i="6"/>
  <c r="AE141" i="6"/>
  <c r="AD141" i="6"/>
  <c r="AB141" i="6"/>
  <c r="AA141" i="6"/>
  <c r="Z141" i="6"/>
  <c r="DT141" i="6" s="1"/>
  <c r="Y141" i="6"/>
  <c r="R141" i="6"/>
  <c r="S141" i="6" s="1"/>
  <c r="H141" i="6"/>
  <c r="G141" i="6"/>
  <c r="F141" i="6"/>
  <c r="E141" i="6"/>
  <c r="DP141" i="6" s="1"/>
  <c r="B141" i="6"/>
  <c r="FR140" i="6"/>
  <c r="DW140" i="6"/>
  <c r="DV140" i="6"/>
  <c r="DU140" i="6"/>
  <c r="DT140" i="6"/>
  <c r="BN140" i="6"/>
  <c r="BM140" i="6"/>
  <c r="BL140" i="6"/>
  <c r="BK140" i="6"/>
  <c r="BJ140" i="6"/>
  <c r="BI140" i="6"/>
  <c r="BH140" i="6"/>
  <c r="BG140" i="6"/>
  <c r="BF140" i="6"/>
  <c r="AZ140" i="6"/>
  <c r="AY140" i="6"/>
  <c r="BA140" i="6" s="1"/>
  <c r="AW140" i="6"/>
  <c r="AV140" i="6"/>
  <c r="AR140" i="6"/>
  <c r="AQ140" i="6"/>
  <c r="AP140" i="6"/>
  <c r="AL140" i="6"/>
  <c r="AK140" i="6"/>
  <c r="AJ140" i="6"/>
  <c r="AI140" i="6"/>
  <c r="AB140" i="6"/>
  <c r="AA140" i="6"/>
  <c r="Z140" i="6"/>
  <c r="Y140" i="6"/>
  <c r="R140" i="6"/>
  <c r="S140" i="6" s="1"/>
  <c r="H140" i="6"/>
  <c r="DQ140" i="6" s="1"/>
  <c r="G140" i="6"/>
  <c r="F140" i="6"/>
  <c r="E140" i="6"/>
  <c r="DP140" i="6" s="1"/>
  <c r="B140" i="6"/>
  <c r="FR139" i="6"/>
  <c r="DW139" i="6"/>
  <c r="DV139" i="6"/>
  <c r="BM139" i="6"/>
  <c r="BL139" i="6"/>
  <c r="BK139" i="6"/>
  <c r="BJ139" i="6"/>
  <c r="BN139" i="6" s="1"/>
  <c r="BI139" i="6"/>
  <c r="BH139" i="6"/>
  <c r="BF139" i="6"/>
  <c r="BG139" i="6" s="1"/>
  <c r="AZ139" i="6"/>
  <c r="BA139" i="6" s="1"/>
  <c r="AY139" i="6"/>
  <c r="AW139" i="6"/>
  <c r="DU139" i="6" s="1"/>
  <c r="AV139" i="6"/>
  <c r="AX139" i="6" s="1"/>
  <c r="AQ139" i="6"/>
  <c r="AP139" i="6"/>
  <c r="AK139" i="6"/>
  <c r="AL139" i="6" s="1"/>
  <c r="AJ139" i="6"/>
  <c r="AI139" i="6"/>
  <c r="AA139" i="6"/>
  <c r="AB139" i="6" s="1"/>
  <c r="Z139" i="6"/>
  <c r="Y139" i="6"/>
  <c r="S139" i="6"/>
  <c r="R139" i="6"/>
  <c r="H139" i="6"/>
  <c r="G139" i="6"/>
  <c r="F139" i="6"/>
  <c r="E139" i="6"/>
  <c r="B139" i="6"/>
  <c r="FR138" i="6"/>
  <c r="DW138" i="6"/>
  <c r="BM138" i="6"/>
  <c r="BL138" i="6"/>
  <c r="BK138" i="6"/>
  <c r="BJ138" i="6"/>
  <c r="BH138" i="6"/>
  <c r="BI138" i="6" s="1"/>
  <c r="BA138" i="6"/>
  <c r="AZ138" i="6"/>
  <c r="AY138" i="6"/>
  <c r="AW138" i="6"/>
  <c r="AV138" i="6"/>
  <c r="AX138" i="6" s="1"/>
  <c r="AR138" i="6"/>
  <c r="AQ138" i="6"/>
  <c r="DT138" i="6" s="1"/>
  <c r="AP138" i="6"/>
  <c r="AK138" i="6"/>
  <c r="AJ138" i="6"/>
  <c r="AI138" i="6"/>
  <c r="AB138" i="6"/>
  <c r="AA138" i="6"/>
  <c r="Z138" i="6"/>
  <c r="Y138" i="6"/>
  <c r="R138" i="6"/>
  <c r="S138" i="6" s="1"/>
  <c r="H138" i="6"/>
  <c r="DQ138" i="6" s="1"/>
  <c r="G138" i="6"/>
  <c r="DU138" i="6" s="1"/>
  <c r="F138" i="6"/>
  <c r="E138" i="6"/>
  <c r="DP138" i="6" s="1"/>
  <c r="B138" i="6"/>
  <c r="FR137" i="6"/>
  <c r="DW137" i="6"/>
  <c r="BM137" i="6"/>
  <c r="BL137" i="6"/>
  <c r="BK137" i="6"/>
  <c r="BN137" i="6" s="1"/>
  <c r="BJ137" i="6"/>
  <c r="BI137" i="6"/>
  <c r="BH137" i="6"/>
  <c r="AZ137" i="6"/>
  <c r="BA137" i="6" s="1"/>
  <c r="AY137" i="6"/>
  <c r="AX137" i="6"/>
  <c r="AW137" i="6"/>
  <c r="AV137" i="6"/>
  <c r="AR137" i="6"/>
  <c r="AQ137" i="6"/>
  <c r="AP137" i="6"/>
  <c r="AK137" i="6"/>
  <c r="AJ137" i="6"/>
  <c r="AI137" i="6"/>
  <c r="AA137" i="6"/>
  <c r="Z137" i="6"/>
  <c r="DT137" i="6" s="1"/>
  <c r="Y137" i="6"/>
  <c r="S137" i="6"/>
  <c r="R137" i="6"/>
  <c r="H137" i="6"/>
  <c r="G137" i="6"/>
  <c r="F137" i="6"/>
  <c r="DV137" i="6" s="1"/>
  <c r="E137" i="6"/>
  <c r="B137" i="6"/>
  <c r="FR136" i="6"/>
  <c r="DW136" i="6"/>
  <c r="DR136" i="6"/>
  <c r="BM136" i="6"/>
  <c r="BL136" i="6"/>
  <c r="BK136" i="6"/>
  <c r="BJ136" i="6"/>
  <c r="BN136" i="6" s="1"/>
  <c r="BH136" i="6"/>
  <c r="BI136" i="6" s="1"/>
  <c r="AZ136" i="6"/>
  <c r="BA136" i="6" s="1"/>
  <c r="AY136" i="6"/>
  <c r="AW136" i="6"/>
  <c r="AX136" i="6" s="1"/>
  <c r="AV136" i="6"/>
  <c r="AR136" i="6"/>
  <c r="AQ136" i="6"/>
  <c r="AP136" i="6"/>
  <c r="AK136" i="6"/>
  <c r="AL136" i="6" s="1"/>
  <c r="AI136" i="6"/>
  <c r="AJ136" i="6" s="1"/>
  <c r="AB136" i="6"/>
  <c r="AA136" i="6"/>
  <c r="Z136" i="6"/>
  <c r="Y136" i="6"/>
  <c r="R136" i="6"/>
  <c r="S136" i="6" s="1"/>
  <c r="H136" i="6"/>
  <c r="G136" i="6"/>
  <c r="F136" i="6"/>
  <c r="DV136" i="6" s="1"/>
  <c r="E136" i="6"/>
  <c r="B136" i="6"/>
  <c r="FR135" i="6"/>
  <c r="DW135" i="6"/>
  <c r="DR135" i="6"/>
  <c r="BN135" i="6"/>
  <c r="BM135" i="6"/>
  <c r="BL135" i="6"/>
  <c r="BK135" i="6"/>
  <c r="BJ135" i="6"/>
  <c r="BH135" i="6"/>
  <c r="BI135" i="6" s="1"/>
  <c r="BA135" i="6"/>
  <c r="AZ135" i="6"/>
  <c r="AY135" i="6"/>
  <c r="AW135" i="6"/>
  <c r="AV135" i="6"/>
  <c r="AX135" i="6" s="1"/>
  <c r="AL135" i="6"/>
  <c r="AK135" i="6"/>
  <c r="AI135" i="6"/>
  <c r="AJ135" i="6" s="1"/>
  <c r="AA135" i="6"/>
  <c r="Z135" i="6"/>
  <c r="Y135" i="6"/>
  <c r="R135" i="6"/>
  <c r="S135" i="6" s="1"/>
  <c r="H135" i="6"/>
  <c r="G135" i="6"/>
  <c r="F135" i="6"/>
  <c r="DV135" i="6" s="1"/>
  <c r="E135" i="6"/>
  <c r="B135" i="6"/>
  <c r="FR134" i="6"/>
  <c r="DW134" i="6"/>
  <c r="DT134" i="6"/>
  <c r="DP134" i="6"/>
  <c r="BM134" i="6"/>
  <c r="BL134" i="6"/>
  <c r="BK134" i="6"/>
  <c r="BJ134" i="6"/>
  <c r="BN134" i="6" s="1"/>
  <c r="BI134" i="6"/>
  <c r="BH134" i="6"/>
  <c r="AZ134" i="6"/>
  <c r="AY134" i="6"/>
  <c r="AW134" i="6"/>
  <c r="AV134" i="6"/>
  <c r="AL134" i="6"/>
  <c r="AK134" i="6"/>
  <c r="AI134" i="6"/>
  <c r="AJ134" i="6" s="1"/>
  <c r="AA134" i="6"/>
  <c r="Z134" i="6"/>
  <c r="AB134" i="6" s="1"/>
  <c r="Y134" i="6"/>
  <c r="R134" i="6"/>
  <c r="S134" i="6" s="1"/>
  <c r="I134" i="6"/>
  <c r="H134" i="6"/>
  <c r="G134" i="6"/>
  <c r="F134" i="6"/>
  <c r="DV134" i="6" s="1"/>
  <c r="E134" i="6"/>
  <c r="B134" i="6"/>
  <c r="FR133" i="6"/>
  <c r="DW133" i="6"/>
  <c r="DU133" i="6"/>
  <c r="DR133" i="6"/>
  <c r="DQ133" i="6"/>
  <c r="BM133" i="6"/>
  <c r="BL133" i="6"/>
  <c r="BK133" i="6"/>
  <c r="BJ133" i="6"/>
  <c r="BI133" i="6"/>
  <c r="BH133" i="6"/>
  <c r="BA133" i="6"/>
  <c r="AZ133" i="6"/>
  <c r="AY133" i="6"/>
  <c r="AW133" i="6"/>
  <c r="AV133" i="6"/>
  <c r="AL133" i="6"/>
  <c r="AK133" i="6"/>
  <c r="AJ133" i="6"/>
  <c r="AI133" i="6"/>
  <c r="AA133" i="6"/>
  <c r="Z133" i="6"/>
  <c r="Y133" i="6"/>
  <c r="R133" i="6"/>
  <c r="S133" i="6" s="1"/>
  <c r="I133" i="6"/>
  <c r="H133" i="6"/>
  <c r="G133" i="6"/>
  <c r="F133" i="6"/>
  <c r="DV133" i="6" s="1"/>
  <c r="E133" i="6"/>
  <c r="DP133" i="6" s="1"/>
  <c r="B133" i="6"/>
  <c r="FR132" i="6"/>
  <c r="DW132" i="6"/>
  <c r="DT132" i="6"/>
  <c r="DP132" i="6"/>
  <c r="BM132" i="6"/>
  <c r="BL132" i="6"/>
  <c r="BN132" i="6" s="1"/>
  <c r="BK132" i="6"/>
  <c r="BJ132" i="6"/>
  <c r="BH132" i="6"/>
  <c r="BI132" i="6" s="1"/>
  <c r="AZ132" i="6"/>
  <c r="BA132" i="6" s="1"/>
  <c r="AY132" i="6"/>
  <c r="AX132" i="6"/>
  <c r="AW132" i="6"/>
  <c r="AV132" i="6"/>
  <c r="AK132" i="6"/>
  <c r="AI132" i="6"/>
  <c r="AJ132" i="6" s="1"/>
  <c r="AA132" i="6"/>
  <c r="Z132" i="6"/>
  <c r="Y132" i="6"/>
  <c r="R132" i="6"/>
  <c r="S132" i="6" s="1"/>
  <c r="H132" i="6"/>
  <c r="DQ132" i="6" s="1"/>
  <c r="G132" i="6"/>
  <c r="F132" i="6"/>
  <c r="DV132" i="6" s="1"/>
  <c r="E132" i="6"/>
  <c r="B132" i="6"/>
  <c r="FR131" i="6"/>
  <c r="DW131" i="6"/>
  <c r="DV131" i="6"/>
  <c r="DU131" i="6"/>
  <c r="DR131" i="6"/>
  <c r="DQ131" i="6"/>
  <c r="BN131" i="6"/>
  <c r="BM131" i="6"/>
  <c r="BL131" i="6"/>
  <c r="BK131" i="6"/>
  <c r="BJ131" i="6"/>
  <c r="BI131" i="6"/>
  <c r="BH131" i="6"/>
  <c r="AZ131" i="6"/>
  <c r="AY131" i="6"/>
  <c r="BA131" i="6" s="1"/>
  <c r="AW131" i="6"/>
  <c r="AV131" i="6"/>
  <c r="AX131" i="6" s="1"/>
  <c r="AL131" i="6"/>
  <c r="AK131" i="6"/>
  <c r="AI131" i="6"/>
  <c r="AJ131" i="6" s="1"/>
  <c r="AA131" i="6"/>
  <c r="Z131" i="6"/>
  <c r="AB131" i="6" s="1"/>
  <c r="Y131" i="6"/>
  <c r="S131" i="6"/>
  <c r="R131" i="6"/>
  <c r="H131" i="6"/>
  <c r="G131" i="6"/>
  <c r="F131" i="6"/>
  <c r="E131" i="6"/>
  <c r="DP131" i="6" s="1"/>
  <c r="B131" i="6"/>
  <c r="FR130" i="6"/>
  <c r="DW130" i="6"/>
  <c r="DV130" i="6"/>
  <c r="BM130" i="6"/>
  <c r="BL130" i="6"/>
  <c r="BK130" i="6"/>
  <c r="BJ130" i="6"/>
  <c r="BN130" i="6" s="1"/>
  <c r="BH130" i="6"/>
  <c r="BI130" i="6" s="1"/>
  <c r="AZ130" i="6"/>
  <c r="AY130" i="6"/>
  <c r="BA130" i="6" s="1"/>
  <c r="AW130" i="6"/>
  <c r="AX130" i="6" s="1"/>
  <c r="AV130" i="6"/>
  <c r="AK130" i="6"/>
  <c r="AJ130" i="6"/>
  <c r="AI130" i="6"/>
  <c r="AA130" i="6"/>
  <c r="AB130" i="6" s="1"/>
  <c r="Z130" i="6"/>
  <c r="Y130" i="6"/>
  <c r="S130" i="6"/>
  <c r="R130" i="6"/>
  <c r="H130" i="6"/>
  <c r="DQ130" i="6" s="1"/>
  <c r="G130" i="6"/>
  <c r="F130" i="6"/>
  <c r="E130" i="6"/>
  <c r="B130" i="6"/>
  <c r="FR129" i="6"/>
  <c r="DW129" i="6"/>
  <c r="DU129" i="6"/>
  <c r="DQ129" i="6"/>
  <c r="BM129" i="6"/>
  <c r="BL129" i="6"/>
  <c r="BK129" i="6"/>
  <c r="BJ129" i="6"/>
  <c r="BN129" i="6" s="1"/>
  <c r="BI129" i="6"/>
  <c r="BH129" i="6"/>
  <c r="BA129" i="6"/>
  <c r="AZ129" i="6"/>
  <c r="AY129" i="6"/>
  <c r="AW129" i="6"/>
  <c r="AX129" i="6" s="1"/>
  <c r="AV129" i="6"/>
  <c r="AL129" i="6"/>
  <c r="AK129" i="6"/>
  <c r="AJ129" i="6"/>
  <c r="AI129" i="6"/>
  <c r="AB129" i="6"/>
  <c r="AA129" i="6"/>
  <c r="Z129" i="6"/>
  <c r="Y129" i="6"/>
  <c r="S129" i="6"/>
  <c r="R129" i="6"/>
  <c r="H129" i="6"/>
  <c r="G129" i="6"/>
  <c r="F129" i="6"/>
  <c r="DV129" i="6" s="1"/>
  <c r="E129" i="6"/>
  <c r="DP129" i="6" s="1"/>
  <c r="B129" i="6"/>
  <c r="FR128" i="6"/>
  <c r="DW128" i="6"/>
  <c r="DV128" i="6"/>
  <c r="DP128" i="6"/>
  <c r="BN128" i="6"/>
  <c r="BM128" i="6"/>
  <c r="BL128" i="6"/>
  <c r="BK128" i="6"/>
  <c r="BJ128" i="6"/>
  <c r="BH128" i="6"/>
  <c r="BI128" i="6" s="1"/>
  <c r="BA128" i="6"/>
  <c r="AZ128" i="6"/>
  <c r="AY128" i="6"/>
  <c r="AX128" i="6"/>
  <c r="AW128" i="6"/>
  <c r="AV128" i="6"/>
  <c r="AK128" i="6"/>
  <c r="DR128" i="6" s="1"/>
  <c r="AI128" i="6"/>
  <c r="AJ128" i="6" s="1"/>
  <c r="AB128" i="6"/>
  <c r="AA128" i="6"/>
  <c r="Z128" i="6"/>
  <c r="DT128" i="6" s="1"/>
  <c r="Y128" i="6"/>
  <c r="R128" i="6"/>
  <c r="H128" i="6"/>
  <c r="I128" i="6" s="1"/>
  <c r="G128" i="6"/>
  <c r="F128" i="6"/>
  <c r="E128" i="6"/>
  <c r="B128" i="6"/>
  <c r="FR127" i="6"/>
  <c r="DW127" i="6"/>
  <c r="DP127" i="6"/>
  <c r="BM127" i="6"/>
  <c r="BL127" i="6"/>
  <c r="BK127" i="6"/>
  <c r="BJ127" i="6"/>
  <c r="BH127" i="6"/>
  <c r="BI127" i="6" s="1"/>
  <c r="BA127" i="6"/>
  <c r="AZ127" i="6"/>
  <c r="AY127" i="6"/>
  <c r="AW127" i="6"/>
  <c r="AV127" i="6"/>
  <c r="AX127" i="6" s="1"/>
  <c r="AL127" i="6"/>
  <c r="AK127" i="6"/>
  <c r="AI127" i="6"/>
  <c r="AJ127" i="6" s="1"/>
  <c r="AB127" i="6"/>
  <c r="AA127" i="6"/>
  <c r="Z127" i="6"/>
  <c r="Y127" i="6"/>
  <c r="R127" i="6"/>
  <c r="S127" i="6" s="1"/>
  <c r="H127" i="6"/>
  <c r="G127" i="6"/>
  <c r="F127" i="6"/>
  <c r="DV127" i="6" s="1"/>
  <c r="E127" i="6"/>
  <c r="B127" i="6"/>
  <c r="FR126" i="6"/>
  <c r="DW126" i="6"/>
  <c r="DV126" i="6"/>
  <c r="BM126" i="6"/>
  <c r="BL126" i="6"/>
  <c r="DT126" i="6" s="1"/>
  <c r="BK126" i="6"/>
  <c r="DQ126" i="6" s="1"/>
  <c r="BJ126" i="6"/>
  <c r="BH126" i="6"/>
  <c r="BI126" i="6" s="1"/>
  <c r="AW126" i="6"/>
  <c r="AV126" i="6"/>
  <c r="DR126" i="6" s="1"/>
  <c r="AL126" i="6"/>
  <c r="AK126" i="6"/>
  <c r="AJ126" i="6"/>
  <c r="AI126" i="6"/>
  <c r="AA126" i="6"/>
  <c r="AB126" i="6" s="1"/>
  <c r="Z126" i="6"/>
  <c r="Y126" i="6"/>
  <c r="S126" i="6"/>
  <c r="R126" i="6"/>
  <c r="H126" i="6"/>
  <c r="G126" i="6"/>
  <c r="F126" i="6"/>
  <c r="E126" i="6"/>
  <c r="B126" i="6"/>
  <c r="FR125" i="6"/>
  <c r="DW125" i="6"/>
  <c r="DU125" i="6"/>
  <c r="BN125" i="6"/>
  <c r="BM125" i="6"/>
  <c r="BL125" i="6"/>
  <c r="BK125" i="6"/>
  <c r="BJ125" i="6"/>
  <c r="BH125" i="6"/>
  <c r="BI125" i="6" s="1"/>
  <c r="AW125" i="6"/>
  <c r="AX125" i="6" s="1"/>
  <c r="AV125" i="6"/>
  <c r="AL125" i="6"/>
  <c r="AK125" i="6"/>
  <c r="DR125" i="6" s="1"/>
  <c r="AJ125" i="6"/>
  <c r="AI125" i="6"/>
  <c r="AA125" i="6"/>
  <c r="Z125" i="6"/>
  <c r="Y125" i="6"/>
  <c r="S125" i="6"/>
  <c r="R125" i="6"/>
  <c r="H125" i="6"/>
  <c r="DQ125" i="6" s="1"/>
  <c r="G125" i="6"/>
  <c r="F125" i="6"/>
  <c r="DV125" i="6" s="1"/>
  <c r="E125" i="6"/>
  <c r="I125" i="6" s="1"/>
  <c r="B125" i="6"/>
  <c r="FR124" i="6"/>
  <c r="DW124" i="6"/>
  <c r="DP124" i="6"/>
  <c r="BN124" i="6"/>
  <c r="BM124" i="6"/>
  <c r="BL124" i="6"/>
  <c r="BK124" i="6"/>
  <c r="BJ124" i="6"/>
  <c r="BH124" i="6"/>
  <c r="BI124" i="6" s="1"/>
  <c r="AX124" i="6"/>
  <c r="AW124" i="6"/>
  <c r="AV124" i="6"/>
  <c r="AK124" i="6"/>
  <c r="AI124" i="6"/>
  <c r="AJ124" i="6" s="1"/>
  <c r="AA124" i="6"/>
  <c r="Z124" i="6"/>
  <c r="AB124" i="6" s="1"/>
  <c r="Y124" i="6"/>
  <c r="S124" i="6"/>
  <c r="R124" i="6"/>
  <c r="H124" i="6"/>
  <c r="DQ124" i="6" s="1"/>
  <c r="G124" i="6"/>
  <c r="F124" i="6"/>
  <c r="DV124" i="6" s="1"/>
  <c r="E124" i="6"/>
  <c r="B124" i="6"/>
  <c r="FR123" i="6"/>
  <c r="DW123" i="6"/>
  <c r="DR123" i="6"/>
  <c r="DQ123" i="6"/>
  <c r="BM123" i="6"/>
  <c r="BL123" i="6"/>
  <c r="BK123" i="6"/>
  <c r="BJ123" i="6"/>
  <c r="AW123" i="6"/>
  <c r="AV123" i="6"/>
  <c r="AX123" i="6" s="1"/>
  <c r="AK123" i="6"/>
  <c r="AL123" i="6" s="1"/>
  <c r="AJ123" i="6"/>
  <c r="AI123" i="6"/>
  <c r="AA123" i="6"/>
  <c r="Z123" i="6"/>
  <c r="AB123" i="6" s="1"/>
  <c r="R123" i="6"/>
  <c r="I123" i="6"/>
  <c r="H123" i="6"/>
  <c r="G123" i="6"/>
  <c r="F123" i="6"/>
  <c r="DV123" i="6" s="1"/>
  <c r="E123" i="6"/>
  <c r="DP123" i="6" s="1"/>
  <c r="B123" i="6"/>
  <c r="FR122" i="6"/>
  <c r="DW122" i="6"/>
  <c r="BM122" i="6"/>
  <c r="BL122" i="6"/>
  <c r="DT122" i="6" s="1"/>
  <c r="BK122" i="6"/>
  <c r="BJ122" i="6"/>
  <c r="AW122" i="6"/>
  <c r="AV122" i="6"/>
  <c r="AK122" i="6"/>
  <c r="AL122" i="6" s="1"/>
  <c r="AJ122" i="6"/>
  <c r="AI122" i="6"/>
  <c r="AB122" i="6"/>
  <c r="AA122" i="6"/>
  <c r="Z122" i="6"/>
  <c r="R122" i="6"/>
  <c r="S122" i="6" s="1"/>
  <c r="H122" i="6"/>
  <c r="DQ122" i="6" s="1"/>
  <c r="G122" i="6"/>
  <c r="DU122" i="6" s="1"/>
  <c r="F122" i="6"/>
  <c r="DV122" i="6" s="1"/>
  <c r="E122" i="6"/>
  <c r="B122" i="6"/>
  <c r="FR121" i="6"/>
  <c r="DW121" i="6"/>
  <c r="DT121" i="6"/>
  <c r="DR121" i="6"/>
  <c r="BM121" i="6"/>
  <c r="BL121" i="6"/>
  <c r="BK121" i="6"/>
  <c r="BJ121" i="6"/>
  <c r="BN121" i="6" s="1"/>
  <c r="AW121" i="6"/>
  <c r="AV121" i="6"/>
  <c r="AX121" i="6" s="1"/>
  <c r="AL121" i="6"/>
  <c r="AK121" i="6"/>
  <c r="AJ121" i="6"/>
  <c r="AI121" i="6"/>
  <c r="AA121" i="6"/>
  <c r="DU121" i="6" s="1"/>
  <c r="Z121" i="6"/>
  <c r="AB121" i="6" s="1"/>
  <c r="S121" i="6"/>
  <c r="R121" i="6"/>
  <c r="H121" i="6"/>
  <c r="DQ121" i="6" s="1"/>
  <c r="G121" i="6"/>
  <c r="F121" i="6"/>
  <c r="DV121" i="6" s="1"/>
  <c r="E121" i="6"/>
  <c r="I121" i="6" s="1"/>
  <c r="B121" i="6"/>
  <c r="FR120" i="6"/>
  <c r="DW120" i="6"/>
  <c r="DV120" i="6"/>
  <c r="DP120" i="6"/>
  <c r="BM120" i="6"/>
  <c r="BN120" i="6" s="1"/>
  <c r="BL120" i="6"/>
  <c r="BK120" i="6"/>
  <c r="BJ120" i="6"/>
  <c r="AW120" i="6"/>
  <c r="AX120" i="6" s="1"/>
  <c r="AV120" i="6"/>
  <c r="AK120" i="6"/>
  <c r="AI120" i="6"/>
  <c r="DT120" i="6" s="1"/>
  <c r="AA120" i="6"/>
  <c r="Z120" i="6"/>
  <c r="AB120" i="6" s="1"/>
  <c r="R120" i="6"/>
  <c r="S120" i="6" s="1"/>
  <c r="I120" i="6"/>
  <c r="H120" i="6"/>
  <c r="DQ120" i="6" s="1"/>
  <c r="G120" i="6"/>
  <c r="F120" i="6"/>
  <c r="E120" i="6"/>
  <c r="B120" i="6"/>
  <c r="FR119" i="6"/>
  <c r="DW119" i="6"/>
  <c r="DV119" i="6"/>
  <c r="DP119" i="6"/>
  <c r="BM119" i="6"/>
  <c r="BN119" i="6" s="1"/>
  <c r="BL119" i="6"/>
  <c r="BK119" i="6"/>
  <c r="BJ119" i="6"/>
  <c r="AW119" i="6"/>
  <c r="AX119" i="6" s="1"/>
  <c r="AV119" i="6"/>
  <c r="AK119" i="6"/>
  <c r="AI119" i="6"/>
  <c r="AA119" i="6"/>
  <c r="Z119" i="6"/>
  <c r="AB119" i="6" s="1"/>
  <c r="R119" i="6"/>
  <c r="H119" i="6"/>
  <c r="G119" i="6"/>
  <c r="F119" i="6"/>
  <c r="E119" i="6"/>
  <c r="B119" i="6"/>
  <c r="FR118" i="6"/>
  <c r="DW118" i="6"/>
  <c r="DV118" i="6"/>
  <c r="DT118" i="6"/>
  <c r="DP118" i="6"/>
  <c r="BN118" i="6"/>
  <c r="BM118" i="6"/>
  <c r="BL118" i="6"/>
  <c r="BK118" i="6"/>
  <c r="BJ118" i="6"/>
  <c r="AW118" i="6"/>
  <c r="AX118" i="6" s="1"/>
  <c r="AV118" i="6"/>
  <c r="AL118" i="6"/>
  <c r="AK118" i="6"/>
  <c r="DR118" i="6" s="1"/>
  <c r="AI118" i="6"/>
  <c r="AJ118" i="6" s="1"/>
  <c r="AA118" i="6"/>
  <c r="Z118" i="6"/>
  <c r="AB118" i="6" s="1"/>
  <c r="R118" i="6"/>
  <c r="DU118" i="6" s="1"/>
  <c r="H118" i="6"/>
  <c r="DQ118" i="6" s="1"/>
  <c r="G118" i="6"/>
  <c r="F118" i="6"/>
  <c r="E118" i="6"/>
  <c r="I118" i="6" s="1"/>
  <c r="B118" i="6"/>
  <c r="FR117" i="6"/>
  <c r="DW117" i="6"/>
  <c r="BN117" i="6"/>
  <c r="BM117" i="6"/>
  <c r="BL117" i="6"/>
  <c r="BK117" i="6"/>
  <c r="BJ117" i="6"/>
  <c r="AK117" i="6"/>
  <c r="DR117" i="6" s="1"/>
  <c r="AI117" i="6"/>
  <c r="AJ117" i="6" s="1"/>
  <c r="AA117" i="6"/>
  <c r="Z117" i="6"/>
  <c r="DT117" i="6" s="1"/>
  <c r="R117" i="6"/>
  <c r="S117" i="6" s="1"/>
  <c r="H117" i="6"/>
  <c r="DQ117" i="6" s="1"/>
  <c r="G117" i="6"/>
  <c r="F117" i="6"/>
  <c r="DV117" i="6" s="1"/>
  <c r="E117" i="6"/>
  <c r="B117" i="6"/>
  <c r="FR116" i="6"/>
  <c r="DW116" i="6"/>
  <c r="DT116" i="6"/>
  <c r="DR116" i="6"/>
  <c r="DQ116" i="6"/>
  <c r="DP116" i="6"/>
  <c r="BM116" i="6"/>
  <c r="BL116" i="6"/>
  <c r="BK116" i="6"/>
  <c r="BN116" i="6" s="1"/>
  <c r="BJ116" i="6"/>
  <c r="AL116" i="6"/>
  <c r="AK116" i="6"/>
  <c r="AI116" i="6"/>
  <c r="AJ116" i="6" s="1"/>
  <c r="AA116" i="6"/>
  <c r="AB116" i="6" s="1"/>
  <c r="Z116" i="6"/>
  <c r="R116" i="6"/>
  <c r="I116" i="6"/>
  <c r="H116" i="6"/>
  <c r="G116" i="6"/>
  <c r="F116" i="6"/>
  <c r="DV116" i="6" s="1"/>
  <c r="E116" i="6"/>
  <c r="B116" i="6"/>
  <c r="FR115" i="6"/>
  <c r="DW115" i="6"/>
  <c r="DV115" i="6"/>
  <c r="BN115" i="6"/>
  <c r="BM115" i="6"/>
  <c r="DU115" i="6" s="1"/>
  <c r="BL115" i="6"/>
  <c r="BK115" i="6"/>
  <c r="BJ115" i="6"/>
  <c r="AK115" i="6"/>
  <c r="AI115" i="6"/>
  <c r="DT115" i="6" s="1"/>
  <c r="AA115" i="6"/>
  <c r="Z115" i="6"/>
  <c r="AB115" i="6" s="1"/>
  <c r="R115" i="6"/>
  <c r="S115" i="6" s="1"/>
  <c r="H115" i="6"/>
  <c r="DQ115" i="6" s="1"/>
  <c r="G115" i="6"/>
  <c r="F115" i="6"/>
  <c r="E115" i="6"/>
  <c r="B115" i="6"/>
  <c r="FR114" i="6"/>
  <c r="DW114" i="6"/>
  <c r="DV114" i="6"/>
  <c r="DQ114" i="6"/>
  <c r="BM114" i="6"/>
  <c r="BL114" i="6"/>
  <c r="BK114" i="6"/>
  <c r="BJ114" i="6"/>
  <c r="BN114" i="6" s="1"/>
  <c r="AL114" i="6"/>
  <c r="AK114" i="6"/>
  <c r="AI114" i="6"/>
  <c r="AJ114" i="6" s="1"/>
  <c r="AA114" i="6"/>
  <c r="Z114" i="6"/>
  <c r="DT114" i="6" s="1"/>
  <c r="S114" i="6"/>
  <c r="R114" i="6"/>
  <c r="H114" i="6"/>
  <c r="G114" i="6"/>
  <c r="DU114" i="6" s="1"/>
  <c r="F114" i="6"/>
  <c r="E114" i="6"/>
  <c r="B114" i="6"/>
  <c r="FR113" i="6"/>
  <c r="DW113" i="6"/>
  <c r="DV113" i="6"/>
  <c r="BN113" i="6"/>
  <c r="BM113" i="6"/>
  <c r="BL113" i="6"/>
  <c r="BK113" i="6"/>
  <c r="BJ113" i="6"/>
  <c r="AK113" i="6"/>
  <c r="DR113" i="6" s="1"/>
  <c r="AJ113" i="6"/>
  <c r="AI113" i="6"/>
  <c r="DT113" i="6" s="1"/>
  <c r="AA113" i="6"/>
  <c r="AB113" i="6" s="1"/>
  <c r="Z113" i="6"/>
  <c r="R113" i="6"/>
  <c r="S113" i="6" s="1"/>
  <c r="I113" i="6"/>
  <c r="H113" i="6"/>
  <c r="G113" i="6"/>
  <c r="F113" i="6"/>
  <c r="E113" i="6"/>
  <c r="DP113" i="6" s="1"/>
  <c r="B113" i="6"/>
  <c r="FR112" i="6"/>
  <c r="DW112" i="6"/>
  <c r="BM112" i="6"/>
  <c r="BL112" i="6"/>
  <c r="BK112" i="6"/>
  <c r="BJ112" i="6"/>
  <c r="BN112" i="6" s="1"/>
  <c r="AL112" i="6"/>
  <c r="AK112" i="6"/>
  <c r="AI112" i="6"/>
  <c r="AJ112" i="6" s="1"/>
  <c r="AA112" i="6"/>
  <c r="Z112" i="6"/>
  <c r="R112" i="6"/>
  <c r="S112" i="6" s="1"/>
  <c r="H112" i="6"/>
  <c r="DQ112" i="6" s="1"/>
  <c r="G112" i="6"/>
  <c r="DU112" i="6" s="1"/>
  <c r="F112" i="6"/>
  <c r="DV112" i="6" s="1"/>
  <c r="E112" i="6"/>
  <c r="B112" i="6"/>
  <c r="FR111" i="6"/>
  <c r="DW111" i="6"/>
  <c r="DV111" i="6"/>
  <c r="DQ111" i="6"/>
  <c r="DP111" i="6"/>
  <c r="BM111" i="6"/>
  <c r="BL111" i="6"/>
  <c r="BN111" i="6" s="1"/>
  <c r="BK111" i="6"/>
  <c r="BJ111" i="6"/>
  <c r="AK111" i="6"/>
  <c r="AJ111" i="6"/>
  <c r="AI111" i="6"/>
  <c r="AB111" i="6"/>
  <c r="AA111" i="6"/>
  <c r="Z111" i="6"/>
  <c r="R111" i="6"/>
  <c r="S111" i="6" s="1"/>
  <c r="I111" i="6"/>
  <c r="H111" i="6"/>
  <c r="G111" i="6"/>
  <c r="F111" i="6"/>
  <c r="E111" i="6"/>
  <c r="B111" i="6"/>
  <c r="FR110" i="6"/>
  <c r="DW110" i="6"/>
  <c r="DV110" i="6"/>
  <c r="DR110" i="6"/>
  <c r="BM110" i="6"/>
  <c r="BL110" i="6"/>
  <c r="BN110" i="6" s="1"/>
  <c r="BK110" i="6"/>
  <c r="BJ110" i="6"/>
  <c r="AL110" i="6"/>
  <c r="AK110" i="6"/>
  <c r="AJ110" i="6"/>
  <c r="AI110" i="6"/>
  <c r="AA110" i="6"/>
  <c r="Z110" i="6"/>
  <c r="AB110" i="6" s="1"/>
  <c r="S110" i="6"/>
  <c r="R110" i="6"/>
  <c r="H110" i="6"/>
  <c r="DQ110" i="6" s="1"/>
  <c r="G110" i="6"/>
  <c r="DU110" i="6" s="1"/>
  <c r="F110" i="6"/>
  <c r="E110" i="6"/>
  <c r="B110" i="6"/>
  <c r="FR109" i="6"/>
  <c r="DW109" i="6"/>
  <c r="DT109" i="6"/>
  <c r="DP109" i="6"/>
  <c r="BM109" i="6"/>
  <c r="BL109" i="6"/>
  <c r="BK109" i="6"/>
  <c r="DQ109" i="6" s="1"/>
  <c r="BJ109" i="6"/>
  <c r="AL109" i="6"/>
  <c r="AK109" i="6"/>
  <c r="AI109" i="6"/>
  <c r="AJ109" i="6" s="1"/>
  <c r="AA109" i="6"/>
  <c r="AB109" i="6" s="1"/>
  <c r="Z109" i="6"/>
  <c r="S109" i="6"/>
  <c r="R109" i="6"/>
  <c r="DU109" i="6" s="1"/>
  <c r="H109" i="6"/>
  <c r="I109" i="6" s="1"/>
  <c r="G109" i="6"/>
  <c r="F109" i="6"/>
  <c r="DV109" i="6" s="1"/>
  <c r="E109" i="6"/>
  <c r="B109" i="6"/>
  <c r="FR108" i="6"/>
  <c r="DW108" i="6"/>
  <c r="BM108" i="6"/>
  <c r="BL108" i="6"/>
  <c r="DT108" i="6" s="1"/>
  <c r="BK108" i="6"/>
  <c r="BN108" i="6" s="1"/>
  <c r="BJ108" i="6"/>
  <c r="AK108" i="6"/>
  <c r="AJ108" i="6"/>
  <c r="AI108" i="6"/>
  <c r="AA108" i="6"/>
  <c r="Z108" i="6"/>
  <c r="AB108" i="6" s="1"/>
  <c r="R108" i="6"/>
  <c r="S108" i="6" s="1"/>
  <c r="H108" i="6"/>
  <c r="G108" i="6"/>
  <c r="DU108" i="6" s="1"/>
  <c r="F108" i="6"/>
  <c r="DV108" i="6" s="1"/>
  <c r="E108" i="6"/>
  <c r="B108" i="6"/>
  <c r="FR107" i="6"/>
  <c r="DW107" i="6"/>
  <c r="DV107" i="6"/>
  <c r="DT107" i="6"/>
  <c r="DQ107" i="6"/>
  <c r="BM107" i="6"/>
  <c r="BL107" i="6"/>
  <c r="BK107" i="6"/>
  <c r="BJ107" i="6"/>
  <c r="BN107" i="6" s="1"/>
  <c r="AK107" i="6"/>
  <c r="AI107" i="6"/>
  <c r="AJ107" i="6" s="1"/>
  <c r="AA107" i="6"/>
  <c r="Z107" i="6"/>
  <c r="AB107" i="6" s="1"/>
  <c r="S107" i="6"/>
  <c r="R107" i="6"/>
  <c r="H107" i="6"/>
  <c r="G107" i="6"/>
  <c r="F107" i="6"/>
  <c r="E107" i="6"/>
  <c r="B107" i="6"/>
  <c r="FR106" i="6"/>
  <c r="DW106" i="6"/>
  <c r="DP106" i="6"/>
  <c r="BM106" i="6"/>
  <c r="BL106" i="6"/>
  <c r="BN106" i="6" s="1"/>
  <c r="BK106" i="6"/>
  <c r="BJ106" i="6"/>
  <c r="AK106" i="6"/>
  <c r="AI106" i="6"/>
  <c r="AB106" i="6"/>
  <c r="AA106" i="6"/>
  <c r="Z106" i="6"/>
  <c r="R106" i="6"/>
  <c r="I106" i="6"/>
  <c r="H106" i="6"/>
  <c r="DQ106" i="6" s="1"/>
  <c r="G106" i="6"/>
  <c r="F106" i="6"/>
  <c r="DV106" i="6" s="1"/>
  <c r="E106" i="6"/>
  <c r="B106" i="6"/>
  <c r="FR105" i="6"/>
  <c r="DW105" i="6"/>
  <c r="BM105" i="6"/>
  <c r="BL105" i="6"/>
  <c r="BK105" i="6"/>
  <c r="BJ105" i="6"/>
  <c r="AL105" i="6"/>
  <c r="AK105" i="6"/>
  <c r="DR105" i="6" s="1"/>
  <c r="AI105" i="6"/>
  <c r="AJ105" i="6" s="1"/>
  <c r="AA105" i="6"/>
  <c r="Z105" i="6"/>
  <c r="S105" i="6"/>
  <c r="R105" i="6"/>
  <c r="H105" i="6"/>
  <c r="DQ105" i="6" s="1"/>
  <c r="G105" i="6"/>
  <c r="F105" i="6"/>
  <c r="DV105" i="6" s="1"/>
  <c r="E105" i="6"/>
  <c r="B105" i="6"/>
  <c r="FR104" i="6"/>
  <c r="DW104" i="6"/>
  <c r="DT104" i="6"/>
  <c r="DR104" i="6"/>
  <c r="DQ104" i="6"/>
  <c r="BM104" i="6"/>
  <c r="BL104" i="6"/>
  <c r="BK104" i="6"/>
  <c r="BJ104" i="6"/>
  <c r="BN104" i="6" s="1"/>
  <c r="AL104" i="6"/>
  <c r="AK104" i="6"/>
  <c r="AJ104" i="6"/>
  <c r="AI104" i="6"/>
  <c r="AA104" i="6"/>
  <c r="Z104" i="6"/>
  <c r="AB104" i="6" s="1"/>
  <c r="R104" i="6"/>
  <c r="I104" i="6"/>
  <c r="H104" i="6"/>
  <c r="G104" i="6"/>
  <c r="F104" i="6"/>
  <c r="DV104" i="6" s="1"/>
  <c r="E104" i="6"/>
  <c r="DP104" i="6" s="1"/>
  <c r="B104" i="6"/>
  <c r="FR103" i="6"/>
  <c r="DW103" i="6"/>
  <c r="DT103" i="6"/>
  <c r="BM103" i="6"/>
  <c r="BN103" i="6" s="1"/>
  <c r="BL103" i="6"/>
  <c r="BK103" i="6"/>
  <c r="BJ103" i="6"/>
  <c r="AK103" i="6"/>
  <c r="DR103" i="6" s="1"/>
  <c r="AI103" i="6"/>
  <c r="AJ103" i="6" s="1"/>
  <c r="AA103" i="6"/>
  <c r="AB103" i="6" s="1"/>
  <c r="Z103" i="6"/>
  <c r="R103" i="6"/>
  <c r="S103" i="6" s="1"/>
  <c r="H103" i="6"/>
  <c r="DQ103" i="6" s="1"/>
  <c r="G103" i="6"/>
  <c r="F103" i="6"/>
  <c r="DV103" i="6" s="1"/>
  <c r="E103" i="6"/>
  <c r="B103" i="6"/>
  <c r="FR102" i="6"/>
  <c r="DW102" i="6"/>
  <c r="DT102" i="6"/>
  <c r="DR102" i="6"/>
  <c r="BM102" i="6"/>
  <c r="BL102" i="6"/>
  <c r="BK102" i="6"/>
  <c r="DQ102" i="6" s="1"/>
  <c r="BJ102" i="6"/>
  <c r="BN102" i="6" s="1"/>
  <c r="AL102" i="6"/>
  <c r="AK102" i="6"/>
  <c r="AJ102" i="6"/>
  <c r="AI102" i="6"/>
  <c r="AA102" i="6"/>
  <c r="Z102" i="6"/>
  <c r="AB102" i="6" s="1"/>
  <c r="S102" i="6"/>
  <c r="R102" i="6"/>
  <c r="DU102" i="6" s="1"/>
  <c r="H102" i="6"/>
  <c r="G102" i="6"/>
  <c r="F102" i="6"/>
  <c r="DV102" i="6" s="1"/>
  <c r="E102" i="6"/>
  <c r="B102" i="6"/>
  <c r="FR101" i="6"/>
  <c r="DW101" i="6"/>
  <c r="DP101" i="6"/>
  <c r="BM101" i="6"/>
  <c r="BL101" i="6"/>
  <c r="BK101" i="6"/>
  <c r="BJ101" i="6"/>
  <c r="AL101" i="6"/>
  <c r="AK101" i="6"/>
  <c r="DR101" i="6" s="1"/>
  <c r="AJ101" i="6"/>
  <c r="AI101" i="6"/>
  <c r="AA101" i="6"/>
  <c r="Z101" i="6"/>
  <c r="AB101" i="6" s="1"/>
  <c r="S101" i="6"/>
  <c r="R101" i="6"/>
  <c r="H101" i="6"/>
  <c r="DQ101" i="6" s="1"/>
  <c r="G101" i="6"/>
  <c r="DU101" i="6" s="1"/>
  <c r="F101" i="6"/>
  <c r="I101" i="6" s="1"/>
  <c r="E101" i="6"/>
  <c r="B101" i="6"/>
  <c r="FR100" i="6"/>
  <c r="DW100" i="6"/>
  <c r="DR100" i="6"/>
  <c r="DQ100" i="6"/>
  <c r="BM100" i="6"/>
  <c r="BL100" i="6"/>
  <c r="DT100" i="6" s="1"/>
  <c r="BK100" i="6"/>
  <c r="BJ100" i="6"/>
  <c r="AL100" i="6"/>
  <c r="AK100" i="6"/>
  <c r="AI100" i="6"/>
  <c r="AJ100" i="6" s="1"/>
  <c r="AA100" i="6"/>
  <c r="DU100" i="6" s="1"/>
  <c r="Z100" i="6"/>
  <c r="R100" i="6"/>
  <c r="S100" i="6" s="1"/>
  <c r="H100" i="6"/>
  <c r="G100" i="6"/>
  <c r="F100" i="6"/>
  <c r="DV100" i="6" s="1"/>
  <c r="E100" i="6"/>
  <c r="B100" i="6"/>
  <c r="FR99" i="6"/>
  <c r="DW99" i="6"/>
  <c r="DV99" i="6"/>
  <c r="DR99" i="6"/>
  <c r="DP99" i="6"/>
  <c r="BM99" i="6"/>
  <c r="BL99" i="6"/>
  <c r="BN99" i="6" s="1"/>
  <c r="BK99" i="6"/>
  <c r="BJ99" i="6"/>
  <c r="AK99" i="6"/>
  <c r="AL99" i="6" s="1"/>
  <c r="AI99" i="6"/>
  <c r="AJ99" i="6" s="1"/>
  <c r="AB99" i="6"/>
  <c r="AA99" i="6"/>
  <c r="Z99" i="6"/>
  <c r="R99" i="6"/>
  <c r="S99" i="6" s="1"/>
  <c r="H99" i="6"/>
  <c r="DQ99" i="6" s="1"/>
  <c r="G99" i="6"/>
  <c r="F99" i="6"/>
  <c r="E99" i="6"/>
  <c r="FR98" i="6"/>
  <c r="DW98" i="6"/>
  <c r="DV98" i="6"/>
  <c r="DR98" i="6"/>
  <c r="DQ98" i="6"/>
  <c r="DP98" i="6"/>
  <c r="BM98" i="6"/>
  <c r="BL98" i="6"/>
  <c r="BK98" i="6"/>
  <c r="BJ98" i="6"/>
  <c r="BN98" i="6" s="1"/>
  <c r="AK98" i="6"/>
  <c r="AL98" i="6" s="1"/>
  <c r="AI98" i="6"/>
  <c r="AJ98" i="6" s="1"/>
  <c r="AB98" i="6"/>
  <c r="AA98" i="6"/>
  <c r="Z98" i="6"/>
  <c r="DT98" i="6" s="1"/>
  <c r="S98" i="6"/>
  <c r="R98" i="6"/>
  <c r="H98" i="6"/>
  <c r="G98" i="6"/>
  <c r="DU98" i="6" s="1"/>
  <c r="F98" i="6"/>
  <c r="E98" i="6"/>
  <c r="I98" i="6" s="1"/>
  <c r="FR97" i="6"/>
  <c r="DW97" i="6"/>
  <c r="DV97" i="6"/>
  <c r="BM97" i="6"/>
  <c r="BN97" i="6" s="1"/>
  <c r="BL97" i="6"/>
  <c r="BK97" i="6"/>
  <c r="BJ97" i="6"/>
  <c r="AK97" i="6"/>
  <c r="DR97" i="6" s="1"/>
  <c r="AI97" i="6"/>
  <c r="AA97" i="6"/>
  <c r="Z97" i="6"/>
  <c r="AB97" i="6" s="1"/>
  <c r="R97" i="6"/>
  <c r="S97" i="6" s="1"/>
  <c r="H97" i="6"/>
  <c r="DQ97" i="6" s="1"/>
  <c r="G97" i="6"/>
  <c r="F97" i="6"/>
  <c r="E97" i="6"/>
  <c r="FR96" i="6"/>
  <c r="DW96" i="6"/>
  <c r="DV96" i="6"/>
  <c r="DQ96" i="6"/>
  <c r="DP96" i="6"/>
  <c r="BM96" i="6"/>
  <c r="BN96" i="6" s="1"/>
  <c r="BL96" i="6"/>
  <c r="BK96" i="6"/>
  <c r="BJ96" i="6"/>
  <c r="AK96" i="6"/>
  <c r="AJ96" i="6"/>
  <c r="AI96" i="6"/>
  <c r="AA96" i="6"/>
  <c r="Z96" i="6"/>
  <c r="R96" i="6"/>
  <c r="S96" i="6" s="1"/>
  <c r="H96" i="6"/>
  <c r="G96" i="6"/>
  <c r="I96" i="6" s="1"/>
  <c r="F96" i="6"/>
  <c r="E96" i="6"/>
  <c r="FR95" i="6"/>
  <c r="DW95" i="6"/>
  <c r="DU95" i="6"/>
  <c r="DR95" i="6"/>
  <c r="BM95" i="6"/>
  <c r="BL95" i="6"/>
  <c r="BK95" i="6"/>
  <c r="DQ95" i="6" s="1"/>
  <c r="BJ95" i="6"/>
  <c r="AK95" i="6"/>
  <c r="AL95" i="6" s="1"/>
  <c r="AI95" i="6"/>
  <c r="AJ95" i="6" s="1"/>
  <c r="AA95" i="6"/>
  <c r="Z95" i="6"/>
  <c r="S95" i="6"/>
  <c r="R95" i="6"/>
  <c r="H95" i="6"/>
  <c r="G95" i="6"/>
  <c r="F95" i="6"/>
  <c r="DV95" i="6" s="1"/>
  <c r="E95" i="6"/>
  <c r="FR94" i="6"/>
  <c r="DW94" i="6"/>
  <c r="DV94" i="6"/>
  <c r="BM94" i="6"/>
  <c r="BL94" i="6"/>
  <c r="BN94" i="6" s="1"/>
  <c r="BK94" i="6"/>
  <c r="BJ94" i="6"/>
  <c r="AK94" i="6"/>
  <c r="AI94" i="6"/>
  <c r="AB94" i="6"/>
  <c r="AA94" i="6"/>
  <c r="Z94" i="6"/>
  <c r="R94" i="6"/>
  <c r="S94" i="6" s="1"/>
  <c r="H94" i="6"/>
  <c r="G94" i="6"/>
  <c r="DU94" i="6" s="1"/>
  <c r="F94" i="6"/>
  <c r="E94" i="6"/>
  <c r="DP94" i="6" s="1"/>
  <c r="FR93" i="6"/>
  <c r="DW93" i="6"/>
  <c r="DR93" i="6"/>
  <c r="DQ93" i="6"/>
  <c r="BM93" i="6"/>
  <c r="BL93" i="6"/>
  <c r="BK93" i="6"/>
  <c r="BJ93" i="6"/>
  <c r="BN93" i="6" s="1"/>
  <c r="AL93" i="6"/>
  <c r="AK93" i="6"/>
  <c r="AI93" i="6"/>
  <c r="AJ93" i="6" s="1"/>
  <c r="AA93" i="6"/>
  <c r="AB93" i="6" s="1"/>
  <c r="Z93" i="6"/>
  <c r="S93" i="6"/>
  <c r="R93" i="6"/>
  <c r="DU93" i="6" s="1"/>
  <c r="H93" i="6"/>
  <c r="G93" i="6"/>
  <c r="F93" i="6"/>
  <c r="DV93" i="6" s="1"/>
  <c r="E93" i="6"/>
  <c r="FR92" i="6"/>
  <c r="DW92" i="6"/>
  <c r="DQ92" i="6"/>
  <c r="BM92" i="6"/>
  <c r="BL92" i="6"/>
  <c r="BK92" i="6"/>
  <c r="BJ92" i="6"/>
  <c r="BN92" i="6" s="1"/>
  <c r="AL92" i="6"/>
  <c r="AK92" i="6"/>
  <c r="DR92" i="6" s="1"/>
  <c r="AJ92" i="6"/>
  <c r="AI92" i="6"/>
  <c r="AA92" i="6"/>
  <c r="AB92" i="6" s="1"/>
  <c r="Z92" i="6"/>
  <c r="DT92" i="6" s="1"/>
  <c r="S92" i="6"/>
  <c r="R92" i="6"/>
  <c r="H92" i="6"/>
  <c r="G92" i="6"/>
  <c r="F92" i="6"/>
  <c r="DV92" i="6" s="1"/>
  <c r="E92" i="6"/>
  <c r="FR91" i="6"/>
  <c r="DW91" i="6"/>
  <c r="DV91" i="6"/>
  <c r="DP91" i="6"/>
  <c r="AK91" i="6"/>
  <c r="AL91" i="6" s="1"/>
  <c r="AJ91" i="6"/>
  <c r="AI91" i="6"/>
  <c r="AA91" i="6"/>
  <c r="Z91" i="6"/>
  <c r="R91" i="6"/>
  <c r="S91" i="6" s="1"/>
  <c r="H91" i="6"/>
  <c r="DQ91" i="6" s="1"/>
  <c r="G91" i="6"/>
  <c r="F91" i="6"/>
  <c r="E91" i="6"/>
  <c r="FR90" i="6"/>
  <c r="DW90" i="6"/>
  <c r="DU90" i="6"/>
  <c r="DR90" i="6"/>
  <c r="AL90" i="6"/>
  <c r="AK90" i="6"/>
  <c r="AI90" i="6"/>
  <c r="DT90" i="6" s="1"/>
  <c r="AA90" i="6"/>
  <c r="Z90" i="6"/>
  <c r="AB90" i="6" s="1"/>
  <c r="S90" i="6"/>
  <c r="R90" i="6"/>
  <c r="I90" i="6"/>
  <c r="H90" i="6"/>
  <c r="DQ90" i="6" s="1"/>
  <c r="G90" i="6"/>
  <c r="F90" i="6"/>
  <c r="DV90" i="6" s="1"/>
  <c r="E90" i="6"/>
  <c r="DP90" i="6" s="1"/>
  <c r="FR89" i="6"/>
  <c r="DW89" i="6"/>
  <c r="DT89" i="6"/>
  <c r="DR89" i="6"/>
  <c r="AL89" i="6"/>
  <c r="AK89" i="6"/>
  <c r="AJ89" i="6"/>
  <c r="AI89" i="6"/>
  <c r="AB89" i="6"/>
  <c r="AA89" i="6"/>
  <c r="DU89" i="6" s="1"/>
  <c r="Z89" i="6"/>
  <c r="S89" i="6"/>
  <c r="R89" i="6"/>
  <c r="H89" i="6"/>
  <c r="DQ89" i="6" s="1"/>
  <c r="G89" i="6"/>
  <c r="F89" i="6"/>
  <c r="DV89" i="6" s="1"/>
  <c r="E89" i="6"/>
  <c r="DP89" i="6" s="1"/>
  <c r="FR88" i="6"/>
  <c r="DW88" i="6"/>
  <c r="DU88" i="6"/>
  <c r="DQ88" i="6"/>
  <c r="AL88" i="6"/>
  <c r="AK88" i="6"/>
  <c r="DR88" i="6" s="1"/>
  <c r="AJ88" i="6"/>
  <c r="AI88" i="6"/>
  <c r="AA88" i="6"/>
  <c r="Z88" i="6"/>
  <c r="S88" i="6"/>
  <c r="R88" i="6"/>
  <c r="H88" i="6"/>
  <c r="G88" i="6"/>
  <c r="F88" i="6"/>
  <c r="DV88" i="6" s="1"/>
  <c r="E88" i="6"/>
  <c r="DP88" i="6" s="1"/>
  <c r="FR87" i="6"/>
  <c r="DW87" i="6"/>
  <c r="DU87" i="6"/>
  <c r="DT87" i="6"/>
  <c r="DQ87" i="6"/>
  <c r="DP87" i="6"/>
  <c r="AL87" i="6"/>
  <c r="AK87" i="6"/>
  <c r="DR87" i="6" s="1"/>
  <c r="AJ87" i="6"/>
  <c r="AI87" i="6"/>
  <c r="AB87" i="6"/>
  <c r="AA87" i="6"/>
  <c r="Z87" i="6"/>
  <c r="R87" i="6"/>
  <c r="S87" i="6" s="1"/>
  <c r="H87" i="6"/>
  <c r="G87" i="6"/>
  <c r="F87" i="6"/>
  <c r="I87" i="6" s="1"/>
  <c r="E87" i="6"/>
  <c r="FR86" i="6"/>
  <c r="DW86" i="6"/>
  <c r="DU86" i="6"/>
  <c r="DT86" i="6"/>
  <c r="DR86" i="6"/>
  <c r="DQ86" i="6"/>
  <c r="DP86" i="6"/>
  <c r="AK86" i="6"/>
  <c r="AL86" i="6" s="1"/>
  <c r="AI86" i="6"/>
  <c r="AJ86" i="6" s="1"/>
  <c r="AA86" i="6"/>
  <c r="AB86" i="6" s="1"/>
  <c r="Z86" i="6"/>
  <c r="S86" i="6"/>
  <c r="R86" i="6"/>
  <c r="H86" i="6"/>
  <c r="G86" i="6"/>
  <c r="F86" i="6"/>
  <c r="E86" i="6"/>
  <c r="FR85" i="6"/>
  <c r="DW85" i="6"/>
  <c r="DR85" i="6"/>
  <c r="DP85" i="6"/>
  <c r="AL85" i="6"/>
  <c r="AK85" i="6"/>
  <c r="AJ85" i="6"/>
  <c r="AI85" i="6"/>
  <c r="AB85" i="6"/>
  <c r="AA85" i="6"/>
  <c r="Z85" i="6"/>
  <c r="DT85" i="6" s="1"/>
  <c r="R85" i="6"/>
  <c r="S85" i="6" s="1"/>
  <c r="I85" i="6"/>
  <c r="H85" i="6"/>
  <c r="DQ85" i="6" s="1"/>
  <c r="G85" i="6"/>
  <c r="DU85" i="6" s="1"/>
  <c r="F85" i="6"/>
  <c r="DV85" i="6" s="1"/>
  <c r="E85" i="6"/>
  <c r="DW84" i="6"/>
  <c r="DT84" i="6"/>
  <c r="DP84" i="6"/>
  <c r="AK84" i="6"/>
  <c r="DR84" i="6" s="1"/>
  <c r="AJ84" i="6"/>
  <c r="AI84" i="6"/>
  <c r="AA84" i="6"/>
  <c r="AB84" i="6" s="1"/>
  <c r="Z84" i="6"/>
  <c r="R84" i="6"/>
  <c r="H84" i="6"/>
  <c r="DQ84" i="6" s="1"/>
  <c r="G84" i="6"/>
  <c r="F84" i="6"/>
  <c r="I84" i="6" s="1"/>
  <c r="E84" i="6"/>
  <c r="DW83" i="6"/>
  <c r="DV83" i="6"/>
  <c r="DT83" i="6"/>
  <c r="AK83" i="6"/>
  <c r="AL83" i="6" s="1"/>
  <c r="AJ83" i="6"/>
  <c r="AI83" i="6"/>
  <c r="AB83" i="6"/>
  <c r="AA83" i="6"/>
  <c r="Z83" i="6"/>
  <c r="R83" i="6"/>
  <c r="S83" i="6" s="1"/>
  <c r="H83" i="6"/>
  <c r="DQ83" i="6" s="1"/>
  <c r="G83" i="6"/>
  <c r="F83" i="6"/>
  <c r="E83" i="6"/>
  <c r="DW82" i="6"/>
  <c r="DV82" i="6"/>
  <c r="DR82" i="6"/>
  <c r="DQ82" i="6"/>
  <c r="DP82" i="6"/>
  <c r="AL82" i="6"/>
  <c r="AK82" i="6"/>
  <c r="AI82" i="6"/>
  <c r="AB82" i="6"/>
  <c r="AA82" i="6"/>
  <c r="DU82" i="6" s="1"/>
  <c r="Z82" i="6"/>
  <c r="R82" i="6"/>
  <c r="S82" i="6" s="1"/>
  <c r="I82" i="6"/>
  <c r="H82" i="6"/>
  <c r="G82" i="6"/>
  <c r="F82" i="6"/>
  <c r="E82" i="6"/>
  <c r="DW81" i="6"/>
  <c r="DP81" i="6"/>
  <c r="AK81" i="6"/>
  <c r="DR81" i="6" s="1"/>
  <c r="AJ81" i="6"/>
  <c r="AI81" i="6"/>
  <c r="AA81" i="6"/>
  <c r="Z81" i="6"/>
  <c r="AB81" i="6" s="1"/>
  <c r="R81" i="6"/>
  <c r="S81" i="6" s="1"/>
  <c r="H81" i="6"/>
  <c r="DQ81" i="6" s="1"/>
  <c r="G81" i="6"/>
  <c r="DU81" i="6" s="1"/>
  <c r="F81" i="6"/>
  <c r="DV81" i="6" s="1"/>
  <c r="E81" i="6"/>
  <c r="I81" i="6" s="1"/>
  <c r="DW80" i="6"/>
  <c r="DV80" i="6"/>
  <c r="DU80" i="6"/>
  <c r="DQ80" i="6"/>
  <c r="DP80" i="6"/>
  <c r="AK80" i="6"/>
  <c r="DR80" i="6" s="1"/>
  <c r="AJ80" i="6"/>
  <c r="AI80" i="6"/>
  <c r="DT80" i="6" s="1"/>
  <c r="AB80" i="6"/>
  <c r="AA80" i="6"/>
  <c r="Z80" i="6"/>
  <c r="S80" i="6"/>
  <c r="R80" i="6"/>
  <c r="I80" i="6"/>
  <c r="H80" i="6"/>
  <c r="G80" i="6"/>
  <c r="F80" i="6"/>
  <c r="E80" i="6"/>
  <c r="DW79" i="6"/>
  <c r="DR79" i="6"/>
  <c r="DP79" i="6"/>
  <c r="AK79" i="6"/>
  <c r="AL79" i="6" s="1"/>
  <c r="AI79" i="6"/>
  <c r="AJ79" i="6" s="1"/>
  <c r="AB79" i="6"/>
  <c r="AA79" i="6"/>
  <c r="Z79" i="6"/>
  <c r="R79" i="6"/>
  <c r="S79" i="6" s="1"/>
  <c r="H79" i="6"/>
  <c r="DQ79" i="6" s="1"/>
  <c r="G79" i="6"/>
  <c r="DU79" i="6" s="1"/>
  <c r="F79" i="6"/>
  <c r="E79" i="6"/>
  <c r="DW78" i="6"/>
  <c r="DV78" i="6"/>
  <c r="DU78" i="6"/>
  <c r="DX78" i="6" s="1"/>
  <c r="EH78" i="6" s="1"/>
  <c r="DT78" i="6"/>
  <c r="DQ78" i="6"/>
  <c r="DP78" i="6"/>
  <c r="AK78" i="6"/>
  <c r="DR78" i="6" s="1"/>
  <c r="AJ78" i="6"/>
  <c r="AI78" i="6"/>
  <c r="AA78" i="6"/>
  <c r="AB78" i="6" s="1"/>
  <c r="Z78" i="6"/>
  <c r="S78" i="6"/>
  <c r="R78" i="6"/>
  <c r="H78" i="6"/>
  <c r="G78" i="6"/>
  <c r="F78" i="6"/>
  <c r="E78" i="6"/>
  <c r="DW77" i="6"/>
  <c r="DR77" i="6"/>
  <c r="DP77" i="6"/>
  <c r="AL77" i="6"/>
  <c r="AK77" i="6"/>
  <c r="AJ77" i="6"/>
  <c r="AI77" i="6"/>
  <c r="AA77" i="6"/>
  <c r="Z77" i="6"/>
  <c r="S77" i="6"/>
  <c r="R77" i="6"/>
  <c r="I77" i="6"/>
  <c r="H77" i="6"/>
  <c r="DQ77" i="6" s="1"/>
  <c r="G77" i="6"/>
  <c r="F77" i="6"/>
  <c r="DV77" i="6" s="1"/>
  <c r="E77" i="6"/>
  <c r="DW76" i="6"/>
  <c r="DP76" i="6"/>
  <c r="AL76" i="6"/>
  <c r="AK76" i="6"/>
  <c r="DR76" i="6" s="1"/>
  <c r="AI76" i="6"/>
  <c r="AJ76" i="6" s="1"/>
  <c r="AA76" i="6"/>
  <c r="Z76" i="6"/>
  <c r="AB76" i="6" s="1"/>
  <c r="R76" i="6"/>
  <c r="S76" i="6" s="1"/>
  <c r="H76" i="6"/>
  <c r="DQ76" i="6" s="1"/>
  <c r="G76" i="6"/>
  <c r="DU76" i="6" s="1"/>
  <c r="F76" i="6"/>
  <c r="E76" i="6"/>
  <c r="DW75" i="6"/>
  <c r="DT75" i="6"/>
  <c r="DR75" i="6"/>
  <c r="DQ75" i="6"/>
  <c r="AL75" i="6"/>
  <c r="AK75" i="6"/>
  <c r="AI75" i="6"/>
  <c r="AJ75" i="6" s="1"/>
  <c r="AA75" i="6"/>
  <c r="Z75" i="6"/>
  <c r="AB75" i="6" s="1"/>
  <c r="R75" i="6"/>
  <c r="S75" i="6" s="1"/>
  <c r="H75" i="6"/>
  <c r="G75" i="6"/>
  <c r="DU75" i="6" s="1"/>
  <c r="F75" i="6"/>
  <c r="E75" i="6"/>
  <c r="DP75" i="6" s="1"/>
  <c r="DW74" i="6"/>
  <c r="DT74" i="6"/>
  <c r="DR74" i="6"/>
  <c r="DP74" i="6"/>
  <c r="AL74" i="6"/>
  <c r="AK74" i="6"/>
  <c r="AI74" i="6"/>
  <c r="AJ74" i="6" s="1"/>
  <c r="AA74" i="6"/>
  <c r="Z74" i="6"/>
  <c r="AB74" i="6" s="1"/>
  <c r="S74" i="6"/>
  <c r="R74" i="6"/>
  <c r="H74" i="6"/>
  <c r="DQ74" i="6" s="1"/>
  <c r="G74" i="6"/>
  <c r="F74" i="6"/>
  <c r="E74" i="6"/>
  <c r="DW73" i="6"/>
  <c r="DV73" i="6"/>
  <c r="DT73" i="6"/>
  <c r="AK73" i="6"/>
  <c r="DR73" i="6" s="1"/>
  <c r="AJ73" i="6"/>
  <c r="AI73" i="6"/>
  <c r="AB73" i="6"/>
  <c r="AA73" i="6"/>
  <c r="Z73" i="6"/>
  <c r="S73" i="6"/>
  <c r="R73" i="6"/>
  <c r="H73" i="6"/>
  <c r="DQ73" i="6" s="1"/>
  <c r="G73" i="6"/>
  <c r="DU73" i="6" s="1"/>
  <c r="F73" i="6"/>
  <c r="E73" i="6"/>
  <c r="DW72" i="6"/>
  <c r="DV72" i="6"/>
  <c r="DT72" i="6"/>
  <c r="DR72" i="6"/>
  <c r="DQ72" i="6"/>
  <c r="AK72" i="6"/>
  <c r="AL72" i="6" s="1"/>
  <c r="AJ72" i="6"/>
  <c r="AI72" i="6"/>
  <c r="AB72" i="6"/>
  <c r="AA72" i="6"/>
  <c r="Z72" i="6"/>
  <c r="R72" i="6"/>
  <c r="S72" i="6" s="1"/>
  <c r="H72" i="6"/>
  <c r="G72" i="6"/>
  <c r="DU72" i="6" s="1"/>
  <c r="F72" i="6"/>
  <c r="E72" i="6"/>
  <c r="DW71" i="6"/>
  <c r="DV71" i="6"/>
  <c r="DR71" i="6"/>
  <c r="DQ71" i="6"/>
  <c r="DP71" i="6"/>
  <c r="AL71" i="6"/>
  <c r="AK71" i="6"/>
  <c r="AI71" i="6"/>
  <c r="DT71" i="6" s="1"/>
  <c r="AA71" i="6"/>
  <c r="AB71" i="6" s="1"/>
  <c r="Z71" i="6"/>
  <c r="R71" i="6"/>
  <c r="S71" i="6" s="1"/>
  <c r="H71" i="6"/>
  <c r="G71" i="6"/>
  <c r="F71" i="6"/>
  <c r="E71" i="6"/>
  <c r="DW70" i="6"/>
  <c r="AK70" i="6"/>
  <c r="AJ70" i="6"/>
  <c r="AI70" i="6"/>
  <c r="AA70" i="6"/>
  <c r="DU70" i="6" s="1"/>
  <c r="Z70" i="6"/>
  <c r="DT70" i="6" s="1"/>
  <c r="R70" i="6"/>
  <c r="S70" i="6" s="1"/>
  <c r="H70" i="6"/>
  <c r="DQ70" i="6" s="1"/>
  <c r="G70" i="6"/>
  <c r="F70" i="6"/>
  <c r="DV70" i="6" s="1"/>
  <c r="E70" i="6"/>
  <c r="DW69" i="6"/>
  <c r="DT69" i="6"/>
  <c r="DR69" i="6"/>
  <c r="AL69" i="6"/>
  <c r="AK69" i="6"/>
  <c r="AJ69" i="6"/>
  <c r="AI69" i="6"/>
  <c r="AA69" i="6"/>
  <c r="Z69" i="6"/>
  <c r="AB69" i="6" s="1"/>
  <c r="R69" i="6"/>
  <c r="I69" i="6"/>
  <c r="H69" i="6"/>
  <c r="DQ69" i="6" s="1"/>
  <c r="G69" i="6"/>
  <c r="F69" i="6"/>
  <c r="DV69" i="6" s="1"/>
  <c r="E69" i="6"/>
  <c r="DP69" i="6" s="1"/>
  <c r="DX68" i="6"/>
  <c r="DW68" i="6"/>
  <c r="DV68" i="6"/>
  <c r="DU68" i="6"/>
  <c r="DT68" i="6"/>
  <c r="EE68" i="6" s="1"/>
  <c r="DQ68" i="6"/>
  <c r="DP68" i="6"/>
  <c r="AK68" i="6"/>
  <c r="DR68" i="6" s="1"/>
  <c r="AJ68" i="6"/>
  <c r="AI68" i="6"/>
  <c r="AA68" i="6"/>
  <c r="AB68" i="6" s="1"/>
  <c r="Z68" i="6"/>
  <c r="R68" i="6"/>
  <c r="S68" i="6" s="1"/>
  <c r="H68" i="6"/>
  <c r="G68" i="6"/>
  <c r="F68" i="6"/>
  <c r="I68" i="6" s="1"/>
  <c r="E68" i="6"/>
  <c r="DW67" i="6"/>
  <c r="DR67" i="6"/>
  <c r="DQ67" i="6"/>
  <c r="DP67" i="6"/>
  <c r="AK67" i="6"/>
  <c r="AL67" i="6" s="1"/>
  <c r="AI67" i="6"/>
  <c r="AJ67" i="6" s="1"/>
  <c r="AA67" i="6"/>
  <c r="Z67" i="6"/>
  <c r="DT67" i="6" s="1"/>
  <c r="R67" i="6"/>
  <c r="DU67" i="6" s="1"/>
  <c r="H67" i="6"/>
  <c r="G67" i="6"/>
  <c r="F67" i="6"/>
  <c r="DV67" i="6" s="1"/>
  <c r="E67" i="6"/>
  <c r="DW66" i="6"/>
  <c r="DT66" i="6"/>
  <c r="DR66" i="6"/>
  <c r="DP66" i="6"/>
  <c r="AI66" i="6"/>
  <c r="AJ66" i="6" s="1"/>
  <c r="AA66" i="6"/>
  <c r="AB66" i="6" s="1"/>
  <c r="Z66" i="6"/>
  <c r="R66" i="6"/>
  <c r="S66" i="6" s="1"/>
  <c r="H66" i="6"/>
  <c r="DQ66" i="6" s="1"/>
  <c r="G66" i="6"/>
  <c r="F66" i="6"/>
  <c r="DV66" i="6" s="1"/>
  <c r="E66" i="6"/>
  <c r="DW65" i="6"/>
  <c r="DV65" i="6"/>
  <c r="DU65" i="6"/>
  <c r="DR65" i="6"/>
  <c r="DQ65" i="6"/>
  <c r="AI65" i="6"/>
  <c r="DT65" i="6" s="1"/>
  <c r="AB65" i="6"/>
  <c r="AA65" i="6"/>
  <c r="Z65" i="6"/>
  <c r="S65" i="6"/>
  <c r="R65" i="6"/>
  <c r="I65" i="6"/>
  <c r="H65" i="6"/>
  <c r="G65" i="6"/>
  <c r="F65" i="6"/>
  <c r="E65" i="6"/>
  <c r="DP65" i="6" s="1"/>
  <c r="DW64" i="6"/>
  <c r="DR64" i="6"/>
  <c r="DP64" i="6"/>
  <c r="AJ64" i="6"/>
  <c r="AI64" i="6"/>
  <c r="AB64" i="6"/>
  <c r="AA64" i="6"/>
  <c r="Z64" i="6"/>
  <c r="DT64" i="6" s="1"/>
  <c r="R64" i="6"/>
  <c r="S64" i="6" s="1"/>
  <c r="H64" i="6"/>
  <c r="DQ64" i="6" s="1"/>
  <c r="G64" i="6"/>
  <c r="F64" i="6"/>
  <c r="DV64" i="6" s="1"/>
  <c r="E64" i="6"/>
  <c r="DW63" i="6"/>
  <c r="DV63" i="6"/>
  <c r="DU63" i="6"/>
  <c r="DT63" i="6"/>
  <c r="DR63" i="6"/>
  <c r="DP63" i="6"/>
  <c r="AA63" i="6"/>
  <c r="Z63" i="6"/>
  <c r="AB63" i="6" s="1"/>
  <c r="H63" i="6"/>
  <c r="DQ63" i="6" s="1"/>
  <c r="G63" i="6"/>
  <c r="I63" i="6" s="1"/>
  <c r="F63" i="6"/>
  <c r="E63" i="6"/>
  <c r="DW62" i="6"/>
  <c r="DT62" i="6"/>
  <c r="DR62" i="6"/>
  <c r="AB62" i="6"/>
  <c r="AA62" i="6"/>
  <c r="Z62" i="6"/>
  <c r="H62" i="6"/>
  <c r="DQ62" i="6" s="1"/>
  <c r="G62" i="6"/>
  <c r="DU62" i="6" s="1"/>
  <c r="F62" i="6"/>
  <c r="DV62" i="6" s="1"/>
  <c r="E62" i="6"/>
  <c r="DP62" i="6" s="1"/>
  <c r="DW61" i="6"/>
  <c r="DV61" i="6"/>
  <c r="DT61" i="6"/>
  <c r="DR61" i="6"/>
  <c r="DQ61" i="6"/>
  <c r="AB61" i="6"/>
  <c r="AA61" i="6"/>
  <c r="Z61" i="6"/>
  <c r="I61" i="6"/>
  <c r="H61" i="6"/>
  <c r="G61" i="6"/>
  <c r="DU61" i="6" s="1"/>
  <c r="F61" i="6"/>
  <c r="E61" i="6"/>
  <c r="DP61" i="6" s="1"/>
  <c r="DW60" i="6"/>
  <c r="DR60" i="6"/>
  <c r="DP60" i="6"/>
  <c r="AA60" i="6"/>
  <c r="Z60" i="6"/>
  <c r="DT60" i="6" s="1"/>
  <c r="H60" i="6"/>
  <c r="DQ60" i="6" s="1"/>
  <c r="G60" i="6"/>
  <c r="DU60" i="6" s="1"/>
  <c r="F60" i="6"/>
  <c r="DV60" i="6" s="1"/>
  <c r="E60" i="6"/>
  <c r="DW59" i="6"/>
  <c r="DV59" i="6"/>
  <c r="DR59" i="6"/>
  <c r="DQ59" i="6"/>
  <c r="AA59" i="6"/>
  <c r="Z59" i="6"/>
  <c r="H59" i="6"/>
  <c r="G59" i="6"/>
  <c r="F59" i="6"/>
  <c r="E59" i="6"/>
  <c r="DW58" i="6"/>
  <c r="DU58" i="6"/>
  <c r="DT58" i="6"/>
  <c r="DR58" i="6"/>
  <c r="AA58" i="6"/>
  <c r="AB58" i="6" s="1"/>
  <c r="Z58" i="6"/>
  <c r="H58" i="6"/>
  <c r="DQ58" i="6" s="1"/>
  <c r="G58" i="6"/>
  <c r="F58" i="6"/>
  <c r="DV58" i="6" s="1"/>
  <c r="E58" i="6"/>
  <c r="DW57" i="6"/>
  <c r="DT57" i="6"/>
  <c r="DR57" i="6"/>
  <c r="DP57" i="6"/>
  <c r="AA57" i="6"/>
  <c r="DU57" i="6" s="1"/>
  <c r="Z57" i="6"/>
  <c r="H57" i="6"/>
  <c r="DQ57" i="6" s="1"/>
  <c r="G57" i="6"/>
  <c r="F57" i="6"/>
  <c r="DV57" i="6" s="1"/>
  <c r="E57" i="6"/>
  <c r="I57" i="6" s="1"/>
  <c r="DW56" i="6"/>
  <c r="DR56" i="6"/>
  <c r="DQ56" i="6"/>
  <c r="AA56" i="6"/>
  <c r="Z56" i="6"/>
  <c r="H56" i="6"/>
  <c r="G56" i="6"/>
  <c r="F56" i="6"/>
  <c r="DV56" i="6" s="1"/>
  <c r="E56" i="6"/>
  <c r="DW55" i="6"/>
  <c r="DU55" i="6"/>
  <c r="DR55" i="6"/>
  <c r="DQ55" i="6"/>
  <c r="AB55" i="6"/>
  <c r="AA55" i="6"/>
  <c r="Z55" i="6"/>
  <c r="DT55" i="6" s="1"/>
  <c r="H55" i="6"/>
  <c r="G55" i="6"/>
  <c r="F55" i="6"/>
  <c r="DV55" i="6" s="1"/>
  <c r="E55" i="6"/>
  <c r="DX54" i="6"/>
  <c r="EC54" i="6" s="1"/>
  <c r="DW54" i="6"/>
  <c r="DU54" i="6"/>
  <c r="DR54" i="6"/>
  <c r="DQ54" i="6"/>
  <c r="DP54" i="6"/>
  <c r="AA54" i="6"/>
  <c r="AB54" i="6" s="1"/>
  <c r="Z54" i="6"/>
  <c r="DT54" i="6" s="1"/>
  <c r="H54" i="6"/>
  <c r="G54" i="6"/>
  <c r="F54" i="6"/>
  <c r="DV54" i="6" s="1"/>
  <c r="E54" i="6"/>
  <c r="DW53" i="6"/>
  <c r="DV53" i="6"/>
  <c r="DR53" i="6"/>
  <c r="AB53" i="6"/>
  <c r="AA53" i="6"/>
  <c r="Z53" i="6"/>
  <c r="DT53" i="6" s="1"/>
  <c r="I53" i="6"/>
  <c r="H53" i="6"/>
  <c r="DQ53" i="6" s="1"/>
  <c r="G53" i="6"/>
  <c r="F53" i="6"/>
  <c r="E53" i="6"/>
  <c r="DP53" i="6" s="1"/>
  <c r="DW52" i="6"/>
  <c r="DV52" i="6"/>
  <c r="DU52" i="6"/>
  <c r="DR52" i="6"/>
  <c r="DP52" i="6"/>
  <c r="AA52" i="6"/>
  <c r="Z52" i="6"/>
  <c r="H52" i="6"/>
  <c r="DQ52" i="6" s="1"/>
  <c r="G52" i="6"/>
  <c r="F52" i="6"/>
  <c r="I52" i="6" s="1"/>
  <c r="E52" i="6"/>
  <c r="DW51" i="6"/>
  <c r="DV51" i="6"/>
  <c r="DR51" i="6"/>
  <c r="DQ51" i="6"/>
  <c r="DP51" i="6"/>
  <c r="AA51" i="6"/>
  <c r="Z51" i="6"/>
  <c r="H51" i="6"/>
  <c r="G51" i="6"/>
  <c r="DU51" i="6" s="1"/>
  <c r="F51" i="6"/>
  <c r="E51" i="6"/>
  <c r="DW50" i="6"/>
  <c r="DR50" i="6"/>
  <c r="AA50" i="6"/>
  <c r="Z50" i="6"/>
  <c r="AB50" i="6" s="1"/>
  <c r="H50" i="6"/>
  <c r="DQ50" i="6" s="1"/>
  <c r="G50" i="6"/>
  <c r="DU50" i="6" s="1"/>
  <c r="F50" i="6"/>
  <c r="E50" i="6"/>
  <c r="DP50" i="6" s="1"/>
  <c r="DW49" i="6"/>
  <c r="DV49" i="6"/>
  <c r="DT49" i="6"/>
  <c r="DR49" i="6"/>
  <c r="DQ49" i="6"/>
  <c r="H49" i="6"/>
  <c r="G49" i="6"/>
  <c r="DU49" i="6" s="1"/>
  <c r="F49" i="6"/>
  <c r="E49" i="6"/>
  <c r="DW48" i="6"/>
  <c r="DT48" i="6"/>
  <c r="DR48" i="6"/>
  <c r="DP48" i="6"/>
  <c r="H48" i="6"/>
  <c r="DQ48" i="6" s="1"/>
  <c r="G48" i="6"/>
  <c r="DU48" i="6" s="1"/>
  <c r="F48" i="6"/>
  <c r="E48" i="6"/>
  <c r="DW47" i="6"/>
  <c r="DV47" i="6"/>
  <c r="DT47" i="6"/>
  <c r="DR47" i="6"/>
  <c r="DQ47" i="6"/>
  <c r="H47" i="6"/>
  <c r="G47" i="6"/>
  <c r="DU47" i="6" s="1"/>
  <c r="F47" i="6"/>
  <c r="E47" i="6"/>
  <c r="DW46" i="6"/>
  <c r="DT46" i="6"/>
  <c r="DR46" i="6"/>
  <c r="DP46" i="6"/>
  <c r="I46" i="6"/>
  <c r="H46" i="6"/>
  <c r="DQ46" i="6" s="1"/>
  <c r="G46" i="6"/>
  <c r="DU46" i="6" s="1"/>
  <c r="F46" i="6"/>
  <c r="DV46" i="6" s="1"/>
  <c r="E46" i="6"/>
  <c r="DW45" i="6"/>
  <c r="DV45" i="6"/>
  <c r="DT45" i="6"/>
  <c r="DR45" i="6"/>
  <c r="DQ45" i="6"/>
  <c r="H45" i="6"/>
  <c r="G45" i="6"/>
  <c r="DU45" i="6" s="1"/>
  <c r="F45" i="6"/>
  <c r="E45" i="6"/>
  <c r="DW44" i="6"/>
  <c r="DT44" i="6"/>
  <c r="DR44" i="6"/>
  <c r="DP44" i="6"/>
  <c r="I44" i="6"/>
  <c r="H44" i="6"/>
  <c r="DQ44" i="6" s="1"/>
  <c r="G44" i="6"/>
  <c r="DU44" i="6" s="1"/>
  <c r="F44" i="6"/>
  <c r="DV44" i="6" s="1"/>
  <c r="E44" i="6"/>
  <c r="DW43" i="6"/>
  <c r="DV43" i="6"/>
  <c r="DT43" i="6"/>
  <c r="DR43" i="6"/>
  <c r="DQ43" i="6"/>
  <c r="H43" i="6"/>
  <c r="G43" i="6"/>
  <c r="DU43" i="6" s="1"/>
  <c r="F43" i="6"/>
  <c r="E43" i="6"/>
  <c r="DW42" i="6"/>
  <c r="DT42" i="6"/>
  <c r="DR42" i="6"/>
  <c r="DP42" i="6"/>
  <c r="H42" i="6"/>
  <c r="DQ42" i="6" s="1"/>
  <c r="G42" i="6"/>
  <c r="DU42" i="6" s="1"/>
  <c r="F42" i="6"/>
  <c r="DV42" i="6" s="1"/>
  <c r="E42" i="6"/>
  <c r="DW41" i="6"/>
  <c r="DV41" i="6"/>
  <c r="DT41" i="6"/>
  <c r="DR41" i="6"/>
  <c r="DQ41" i="6"/>
  <c r="H41" i="6"/>
  <c r="G41" i="6"/>
  <c r="DU41" i="6" s="1"/>
  <c r="F41" i="6"/>
  <c r="E41" i="6"/>
  <c r="DW40" i="6"/>
  <c r="DT40" i="6"/>
  <c r="DR40" i="6"/>
  <c r="DP40" i="6"/>
  <c r="H40" i="6"/>
  <c r="DQ40" i="6" s="1"/>
  <c r="G40" i="6"/>
  <c r="DU40" i="6" s="1"/>
  <c r="F40" i="6"/>
  <c r="E40" i="6"/>
  <c r="DW39" i="6"/>
  <c r="DV39" i="6"/>
  <c r="DT39" i="6"/>
  <c r="DR39" i="6"/>
  <c r="DQ39" i="6"/>
  <c r="H39" i="6"/>
  <c r="G39" i="6"/>
  <c r="DU39" i="6" s="1"/>
  <c r="F39" i="6"/>
  <c r="E39" i="6"/>
  <c r="DW38" i="6"/>
  <c r="DT38" i="6"/>
  <c r="DR38" i="6"/>
  <c r="DP38" i="6"/>
  <c r="H38" i="6"/>
  <c r="DQ38" i="6" s="1"/>
  <c r="G38" i="6"/>
  <c r="DU38" i="6" s="1"/>
  <c r="F38" i="6"/>
  <c r="DV38" i="6" s="1"/>
  <c r="E38" i="6"/>
  <c r="DW37" i="6"/>
  <c r="DV37" i="6"/>
  <c r="DT37" i="6"/>
  <c r="DR37" i="6"/>
  <c r="DQ37" i="6"/>
  <c r="H37" i="6"/>
  <c r="G37" i="6"/>
  <c r="DU37" i="6" s="1"/>
  <c r="F37" i="6"/>
  <c r="E37" i="6"/>
  <c r="DW36" i="6"/>
  <c r="DT36" i="6"/>
  <c r="DR36" i="6"/>
  <c r="DP36" i="6"/>
  <c r="H36" i="6"/>
  <c r="DQ36" i="6" s="1"/>
  <c r="G36" i="6"/>
  <c r="DU36" i="6" s="1"/>
  <c r="F36" i="6"/>
  <c r="DV36" i="6" s="1"/>
  <c r="E36" i="6"/>
  <c r="DW35" i="6"/>
  <c r="DV35" i="6"/>
  <c r="DT35" i="6"/>
  <c r="DR35" i="6"/>
  <c r="DQ35" i="6"/>
  <c r="H35" i="6"/>
  <c r="G35" i="6"/>
  <c r="DU35" i="6" s="1"/>
  <c r="F35" i="6"/>
  <c r="E35" i="6"/>
  <c r="DW34" i="6"/>
  <c r="DT34" i="6"/>
  <c r="DR34" i="6"/>
  <c r="DP34" i="6"/>
  <c r="H34" i="6"/>
  <c r="DQ34" i="6" s="1"/>
  <c r="G34" i="6"/>
  <c r="DU34" i="6" s="1"/>
  <c r="F34" i="6"/>
  <c r="DV34" i="6" s="1"/>
  <c r="E34" i="6"/>
  <c r="DW33" i="6"/>
  <c r="DV33" i="6"/>
  <c r="DT33" i="6"/>
  <c r="DR33" i="6"/>
  <c r="DQ33" i="6"/>
  <c r="H33" i="6"/>
  <c r="G33" i="6"/>
  <c r="DU33" i="6" s="1"/>
  <c r="F33" i="6"/>
  <c r="E33" i="6"/>
  <c r="DW32" i="6"/>
  <c r="DT32" i="6"/>
  <c r="DR32" i="6"/>
  <c r="DP32" i="6"/>
  <c r="H32" i="6"/>
  <c r="DQ32" i="6" s="1"/>
  <c r="G32" i="6"/>
  <c r="DU32" i="6" s="1"/>
  <c r="F32" i="6"/>
  <c r="DV32" i="6" s="1"/>
  <c r="E32" i="6"/>
  <c r="DW31" i="6"/>
  <c r="DV31" i="6"/>
  <c r="DT31" i="6"/>
  <c r="DR31" i="6"/>
  <c r="DQ31" i="6"/>
  <c r="H31" i="6"/>
  <c r="G31" i="6"/>
  <c r="DU31" i="6" s="1"/>
  <c r="F31" i="6"/>
  <c r="E31" i="6"/>
  <c r="DW30" i="6"/>
  <c r="DT30" i="6"/>
  <c r="DR30" i="6"/>
  <c r="DP30" i="6"/>
  <c r="I30" i="6"/>
  <c r="H30" i="6"/>
  <c r="DQ30" i="6" s="1"/>
  <c r="G30" i="6"/>
  <c r="DU30" i="6" s="1"/>
  <c r="F30" i="6"/>
  <c r="DV30" i="6" s="1"/>
  <c r="E30" i="6"/>
  <c r="DW29" i="6"/>
  <c r="DV29" i="6"/>
  <c r="DT29" i="6"/>
  <c r="DR29" i="6"/>
  <c r="DQ29" i="6"/>
  <c r="H29" i="6"/>
  <c r="G29" i="6"/>
  <c r="DU29" i="6" s="1"/>
  <c r="F29" i="6"/>
  <c r="E29" i="6"/>
  <c r="DW28" i="6"/>
  <c r="DT28" i="6"/>
  <c r="DR28" i="6"/>
  <c r="DP28" i="6"/>
  <c r="I28" i="6"/>
  <c r="H28" i="6"/>
  <c r="DQ28" i="6" s="1"/>
  <c r="G28" i="6"/>
  <c r="DU28" i="6" s="1"/>
  <c r="F28" i="6"/>
  <c r="DV28" i="6" s="1"/>
  <c r="E28" i="6"/>
  <c r="DW27" i="6"/>
  <c r="DV27" i="6"/>
  <c r="DT27" i="6"/>
  <c r="DR27" i="6"/>
  <c r="DQ27" i="6"/>
  <c r="H27" i="6"/>
  <c r="G27" i="6"/>
  <c r="DU27" i="6" s="1"/>
  <c r="F27" i="6"/>
  <c r="E27" i="6"/>
  <c r="DW26" i="6"/>
  <c r="DT26" i="6"/>
  <c r="DR26" i="6"/>
  <c r="DP26" i="6"/>
  <c r="I26" i="6"/>
  <c r="H26" i="6"/>
  <c r="DQ26" i="6" s="1"/>
  <c r="G26" i="6"/>
  <c r="DU26" i="6" s="1"/>
  <c r="F26" i="6"/>
  <c r="DV26" i="6" s="1"/>
  <c r="E26" i="6"/>
  <c r="DW25" i="6"/>
  <c r="DV25" i="6"/>
  <c r="DT25" i="6"/>
  <c r="DR25" i="6"/>
  <c r="DQ25" i="6"/>
  <c r="H25" i="6"/>
  <c r="G25" i="6"/>
  <c r="DU25" i="6" s="1"/>
  <c r="F25" i="6"/>
  <c r="E25" i="6"/>
  <c r="DW24" i="6"/>
  <c r="DT24" i="6"/>
  <c r="DR24" i="6"/>
  <c r="DP24" i="6"/>
  <c r="I24" i="6"/>
  <c r="H24" i="6"/>
  <c r="DQ24" i="6" s="1"/>
  <c r="G24" i="6"/>
  <c r="DU24" i="6" s="1"/>
  <c r="F24" i="6"/>
  <c r="DV24" i="6" s="1"/>
  <c r="E24" i="6"/>
  <c r="DW23" i="6"/>
  <c r="DV23" i="6"/>
  <c r="DT23" i="6"/>
  <c r="DR23" i="6"/>
  <c r="DQ23" i="6"/>
  <c r="H23" i="6"/>
  <c r="G23" i="6"/>
  <c r="DU23" i="6" s="1"/>
  <c r="F23" i="6"/>
  <c r="E23" i="6"/>
  <c r="DW22" i="6"/>
  <c r="DT22" i="6"/>
  <c r="DR22" i="6"/>
  <c r="DP22" i="6"/>
  <c r="I22" i="6"/>
  <c r="H22" i="6"/>
  <c r="DQ22" i="6" s="1"/>
  <c r="G22" i="6"/>
  <c r="DU22" i="6" s="1"/>
  <c r="F22" i="6"/>
  <c r="DV22" i="6" s="1"/>
  <c r="E22" i="6"/>
  <c r="DW21" i="6"/>
  <c r="DV21" i="6"/>
  <c r="DT21" i="6"/>
  <c r="DR21" i="6"/>
  <c r="DQ21" i="6"/>
  <c r="H21" i="6"/>
  <c r="G21" i="6"/>
  <c r="DU21" i="6" s="1"/>
  <c r="F21" i="6"/>
  <c r="E21" i="6"/>
  <c r="DW20" i="6"/>
  <c r="DT20" i="6"/>
  <c r="DR20" i="6"/>
  <c r="DP20" i="6"/>
  <c r="I20" i="6"/>
  <c r="H20" i="6"/>
  <c r="DQ20" i="6" s="1"/>
  <c r="G20" i="6"/>
  <c r="DU20" i="6" s="1"/>
  <c r="F20" i="6"/>
  <c r="DV20" i="6" s="1"/>
  <c r="E20" i="6"/>
  <c r="DW19" i="6"/>
  <c r="DV19" i="6"/>
  <c r="DT19" i="6"/>
  <c r="DR19" i="6"/>
  <c r="DQ19" i="6"/>
  <c r="H19" i="6"/>
  <c r="G19" i="6"/>
  <c r="DU19" i="6" s="1"/>
  <c r="F19" i="6"/>
  <c r="E19" i="6"/>
  <c r="DW18" i="6"/>
  <c r="DT18" i="6"/>
  <c r="DR18" i="6"/>
  <c r="DP18" i="6"/>
  <c r="I18" i="6"/>
  <c r="H18" i="6"/>
  <c r="DQ18" i="6" s="1"/>
  <c r="G18" i="6"/>
  <c r="DU18" i="6" s="1"/>
  <c r="F18" i="6"/>
  <c r="DV18" i="6" s="1"/>
  <c r="E18" i="6"/>
  <c r="DW17" i="6"/>
  <c r="DV17" i="6"/>
  <c r="DT17" i="6"/>
  <c r="DR17" i="6"/>
  <c r="DQ17" i="6"/>
  <c r="H17" i="6"/>
  <c r="G17" i="6"/>
  <c r="DU17" i="6" s="1"/>
  <c r="F17" i="6"/>
  <c r="E17" i="6"/>
  <c r="DW16" i="6"/>
  <c r="DT16" i="6"/>
  <c r="DR16" i="6"/>
  <c r="DP16" i="6"/>
  <c r="I16" i="6"/>
  <c r="H16" i="6"/>
  <c r="DQ16" i="6" s="1"/>
  <c r="G16" i="6"/>
  <c r="DU16" i="6" s="1"/>
  <c r="F16" i="6"/>
  <c r="DV16" i="6" s="1"/>
  <c r="E16" i="6"/>
  <c r="DW15" i="6"/>
  <c r="DV15" i="6"/>
  <c r="DT15" i="6"/>
  <c r="DR15" i="6"/>
  <c r="DQ15" i="6"/>
  <c r="H15" i="6"/>
  <c r="G15" i="6"/>
  <c r="DU15" i="6" s="1"/>
  <c r="F15" i="6"/>
  <c r="E15" i="6"/>
  <c r="DW14" i="6"/>
  <c r="DT14" i="6"/>
  <c r="DR14" i="6"/>
  <c r="DP14" i="6"/>
  <c r="I14" i="6"/>
  <c r="H14" i="6"/>
  <c r="DQ14" i="6" s="1"/>
  <c r="G14" i="6"/>
  <c r="DU14" i="6" s="1"/>
  <c r="F14" i="6"/>
  <c r="DV14" i="6" s="1"/>
  <c r="E14" i="6"/>
  <c r="DW13" i="6"/>
  <c r="DV13" i="6"/>
  <c r="DT13" i="6"/>
  <c r="DR13" i="6"/>
  <c r="DQ13" i="6"/>
  <c r="H13" i="6"/>
  <c r="G13" i="6"/>
  <c r="DU13" i="6" s="1"/>
  <c r="F13" i="6"/>
  <c r="E13" i="6"/>
  <c r="DW12" i="6"/>
  <c r="DT12" i="6"/>
  <c r="DR12" i="6"/>
  <c r="DP12" i="6"/>
  <c r="I12" i="6"/>
  <c r="H12" i="6"/>
  <c r="DQ12" i="6" s="1"/>
  <c r="G12" i="6"/>
  <c r="DU12" i="6" s="1"/>
  <c r="F12" i="6"/>
  <c r="DV12" i="6" s="1"/>
  <c r="E12" i="6"/>
  <c r="GF3" i="6"/>
  <c r="GE3" i="6"/>
  <c r="GD3" i="6"/>
  <c r="DN3" i="6"/>
  <c r="DC3" i="6"/>
  <c r="CZ3" i="6"/>
  <c r="CW3" i="6"/>
  <c r="CU3" i="6"/>
  <c r="CS3" i="6"/>
  <c r="CO3" i="6"/>
  <c r="CK3" i="6"/>
  <c r="CH3" i="6"/>
  <c r="CF3" i="6"/>
  <c r="CC3" i="6"/>
  <c r="CA3" i="6"/>
  <c r="BV3" i="6"/>
  <c r="BS3" i="6"/>
  <c r="BP3" i="6"/>
  <c r="BN3" i="6"/>
  <c r="BI3" i="6"/>
  <c r="BG3" i="6"/>
  <c r="BE3" i="6"/>
  <c r="BA3" i="6"/>
  <c r="AX3" i="6"/>
  <c r="AU3" i="6"/>
  <c r="AT3" i="6"/>
  <c r="AR3" i="6"/>
  <c r="AO3" i="6"/>
  <c r="AL3" i="6"/>
  <c r="AJ3" i="6"/>
  <c r="AF3" i="6"/>
  <c r="AB3" i="6"/>
  <c r="X3" i="6"/>
  <c r="S3" i="6"/>
  <c r="Q3" i="6"/>
  <c r="I3" i="6"/>
  <c r="CP1" i="6"/>
  <c r="CL1" i="6"/>
  <c r="BI504" i="5"/>
  <c r="BD504" i="5"/>
  <c r="BC504" i="5"/>
  <c r="GE495" i="6" s="1"/>
  <c r="BB504" i="5"/>
  <c r="GD495" i="6" s="1"/>
  <c r="AZ504" i="5"/>
  <c r="AY504" i="5"/>
  <c r="AW504" i="5"/>
  <c r="AT504" i="5"/>
  <c r="AS504" i="5"/>
  <c r="AR504" i="5"/>
  <c r="AQ504" i="5"/>
  <c r="AP504" i="5"/>
  <c r="AO504" i="5"/>
  <c r="AN504" i="5"/>
  <c r="AL504" i="5"/>
  <c r="AK504" i="5"/>
  <c r="AJ504" i="5"/>
  <c r="AI504" i="5"/>
  <c r="AH504" i="5"/>
  <c r="AG504" i="5"/>
  <c r="AF504" i="5"/>
  <c r="AE504" i="5"/>
  <c r="AD504" i="5"/>
  <c r="AC504" i="5"/>
  <c r="AB504" i="5"/>
  <c r="AA504" i="5"/>
  <c r="Z504" i="5"/>
  <c r="Y504" i="5"/>
  <c r="X504" i="5"/>
  <c r="W504" i="5"/>
  <c r="V504" i="5"/>
  <c r="T504" i="5"/>
  <c r="S504" i="5"/>
  <c r="Q504" i="5"/>
  <c r="P504" i="5"/>
  <c r="N504" i="5"/>
  <c r="K504" i="5"/>
  <c r="J504" i="5"/>
  <c r="I504" i="5"/>
  <c r="H504" i="5"/>
  <c r="G504" i="5"/>
  <c r="F504" i="5"/>
  <c r="E504" i="5"/>
  <c r="D504" i="5"/>
  <c r="B504" i="5"/>
  <c r="BI503" i="5"/>
  <c r="BD503" i="5"/>
  <c r="GF494" i="6" s="1"/>
  <c r="BC503" i="5"/>
  <c r="GE494" i="6" s="1"/>
  <c r="BB503" i="5"/>
  <c r="GD494" i="6" s="1"/>
  <c r="AZ503" i="5"/>
  <c r="AY503" i="5"/>
  <c r="AW503" i="5"/>
  <c r="AT503" i="5"/>
  <c r="AS503" i="5"/>
  <c r="AR503" i="5"/>
  <c r="AQ503" i="5"/>
  <c r="AP503" i="5"/>
  <c r="AO503" i="5"/>
  <c r="AN503" i="5"/>
  <c r="AL503" i="5"/>
  <c r="AK503" i="5"/>
  <c r="AJ503" i="5"/>
  <c r="AI503" i="5"/>
  <c r="AH503" i="5"/>
  <c r="AG503" i="5"/>
  <c r="AF503" i="5"/>
  <c r="AE503" i="5"/>
  <c r="AD503" i="5"/>
  <c r="AC503" i="5"/>
  <c r="AB503" i="5"/>
  <c r="AA503" i="5"/>
  <c r="Z503" i="5"/>
  <c r="Y503" i="5"/>
  <c r="X503" i="5"/>
  <c r="W503" i="5"/>
  <c r="V503" i="5"/>
  <c r="T503" i="5"/>
  <c r="S503" i="5"/>
  <c r="Q503" i="5"/>
  <c r="P503" i="5"/>
  <c r="N503" i="5"/>
  <c r="K503" i="5"/>
  <c r="J503" i="5"/>
  <c r="I503" i="5"/>
  <c r="H503" i="5"/>
  <c r="G503" i="5"/>
  <c r="F503" i="5"/>
  <c r="E503" i="5"/>
  <c r="D503" i="5"/>
  <c r="B503" i="5"/>
  <c r="BI502" i="5"/>
  <c r="BD502" i="5"/>
  <c r="GF493" i="6" s="1"/>
  <c r="BC502" i="5"/>
  <c r="GE493" i="6" s="1"/>
  <c r="BB502" i="5"/>
  <c r="GD493" i="6" s="1"/>
  <c r="AZ502" i="5"/>
  <c r="AY502" i="5"/>
  <c r="AW502" i="5"/>
  <c r="AT502" i="5"/>
  <c r="AS502" i="5"/>
  <c r="AR502" i="5"/>
  <c r="AQ502" i="5"/>
  <c r="AP502" i="5"/>
  <c r="AO502" i="5"/>
  <c r="AN502" i="5"/>
  <c r="AL502" i="5"/>
  <c r="AK502" i="5"/>
  <c r="AJ502" i="5"/>
  <c r="AI502" i="5"/>
  <c r="AH502" i="5"/>
  <c r="AG502" i="5"/>
  <c r="AF502" i="5"/>
  <c r="AE502" i="5"/>
  <c r="AD502" i="5"/>
  <c r="AC502" i="5"/>
  <c r="AB502" i="5"/>
  <c r="AA502" i="5"/>
  <c r="Z502" i="5"/>
  <c r="Y502" i="5"/>
  <c r="X502" i="5"/>
  <c r="W502" i="5"/>
  <c r="V502" i="5"/>
  <c r="T502" i="5"/>
  <c r="S502" i="5"/>
  <c r="Q502" i="5"/>
  <c r="P502" i="5"/>
  <c r="N502" i="5"/>
  <c r="K502" i="5"/>
  <c r="J502" i="5"/>
  <c r="I502" i="5"/>
  <c r="H502" i="5"/>
  <c r="G502" i="5"/>
  <c r="F502" i="5"/>
  <c r="E502" i="5"/>
  <c r="D502" i="5"/>
  <c r="B502" i="5"/>
  <c r="BI501" i="5"/>
  <c r="BD501" i="5"/>
  <c r="BC501" i="5"/>
  <c r="GE492" i="6" s="1"/>
  <c r="BB501" i="5"/>
  <c r="GD492" i="6" s="1"/>
  <c r="AZ501" i="5"/>
  <c r="AY501" i="5"/>
  <c r="AW501" i="5"/>
  <c r="AT501" i="5"/>
  <c r="AS501" i="5"/>
  <c r="AR501" i="5"/>
  <c r="AQ501" i="5"/>
  <c r="AP501" i="5"/>
  <c r="AO501" i="5"/>
  <c r="AN501" i="5"/>
  <c r="AL501" i="5"/>
  <c r="AK501" i="5"/>
  <c r="AJ501" i="5"/>
  <c r="AI501" i="5"/>
  <c r="AH501" i="5"/>
  <c r="AG501" i="5"/>
  <c r="AF501" i="5"/>
  <c r="AE501" i="5"/>
  <c r="AD501" i="5"/>
  <c r="AC501" i="5"/>
  <c r="AB501" i="5"/>
  <c r="AA501" i="5"/>
  <c r="Z501" i="5"/>
  <c r="Y501" i="5"/>
  <c r="X501" i="5"/>
  <c r="W501" i="5"/>
  <c r="V501" i="5"/>
  <c r="T501" i="5"/>
  <c r="S501" i="5"/>
  <c r="Q501" i="5"/>
  <c r="P501" i="5"/>
  <c r="N501" i="5"/>
  <c r="K501" i="5"/>
  <c r="J501" i="5"/>
  <c r="I501" i="5"/>
  <c r="H501" i="5"/>
  <c r="G501" i="5"/>
  <c r="F501" i="5"/>
  <c r="E501" i="5"/>
  <c r="D501" i="5"/>
  <c r="B501" i="5"/>
  <c r="BI500" i="5"/>
  <c r="BD500" i="5"/>
  <c r="GF491" i="6" s="1"/>
  <c r="BC500" i="5"/>
  <c r="GE491" i="6" s="1"/>
  <c r="BB500" i="5"/>
  <c r="GD491" i="6" s="1"/>
  <c r="AZ500" i="5"/>
  <c r="AY500" i="5"/>
  <c r="AW500" i="5"/>
  <c r="AT500" i="5"/>
  <c r="AS500" i="5"/>
  <c r="AR500" i="5"/>
  <c r="AQ500" i="5"/>
  <c r="AP500" i="5"/>
  <c r="AO500" i="5"/>
  <c r="AN500" i="5"/>
  <c r="AL500" i="5"/>
  <c r="AK500" i="5"/>
  <c r="AJ500" i="5"/>
  <c r="AI500" i="5"/>
  <c r="AH500" i="5"/>
  <c r="AG500" i="5"/>
  <c r="AF500" i="5"/>
  <c r="AE500" i="5"/>
  <c r="AD500" i="5"/>
  <c r="AC500" i="5"/>
  <c r="AB500" i="5"/>
  <c r="AA500" i="5"/>
  <c r="Z500" i="5"/>
  <c r="Y500" i="5"/>
  <c r="X500" i="5"/>
  <c r="W500" i="5"/>
  <c r="V500" i="5"/>
  <c r="T500" i="5"/>
  <c r="S500" i="5"/>
  <c r="Q500" i="5"/>
  <c r="P500" i="5"/>
  <c r="N500" i="5"/>
  <c r="K500" i="5"/>
  <c r="J500" i="5"/>
  <c r="I500" i="5"/>
  <c r="H500" i="5"/>
  <c r="G500" i="5"/>
  <c r="F500" i="5"/>
  <c r="E500" i="5"/>
  <c r="D500" i="5"/>
  <c r="B500" i="5"/>
  <c r="BI499" i="5"/>
  <c r="BD499" i="5"/>
  <c r="GF490" i="6" s="1"/>
  <c r="BC499" i="5"/>
  <c r="GE490" i="6" s="1"/>
  <c r="BB499" i="5"/>
  <c r="GD490" i="6" s="1"/>
  <c r="AZ499" i="5"/>
  <c r="AY499" i="5"/>
  <c r="AW499" i="5"/>
  <c r="AT499" i="5"/>
  <c r="AS499" i="5"/>
  <c r="AR499" i="5"/>
  <c r="AQ499" i="5"/>
  <c r="AP499" i="5"/>
  <c r="AO499" i="5"/>
  <c r="AN499" i="5"/>
  <c r="AL499" i="5"/>
  <c r="AK499" i="5"/>
  <c r="AJ499" i="5"/>
  <c r="AI499" i="5"/>
  <c r="AH499" i="5"/>
  <c r="AG499" i="5"/>
  <c r="AF499" i="5"/>
  <c r="AE499" i="5"/>
  <c r="AD499" i="5"/>
  <c r="AC499" i="5"/>
  <c r="AB499" i="5"/>
  <c r="AA499" i="5"/>
  <c r="Z499" i="5"/>
  <c r="Y499" i="5"/>
  <c r="X499" i="5"/>
  <c r="W499" i="5"/>
  <c r="V499" i="5"/>
  <c r="T499" i="5"/>
  <c r="S499" i="5"/>
  <c r="Q499" i="5"/>
  <c r="P499" i="5"/>
  <c r="N499" i="5"/>
  <c r="K499" i="5"/>
  <c r="J499" i="5"/>
  <c r="I499" i="5"/>
  <c r="H499" i="5"/>
  <c r="G499" i="5"/>
  <c r="F499" i="5"/>
  <c r="E499" i="5"/>
  <c r="D499" i="5"/>
  <c r="B499" i="5"/>
  <c r="BI498" i="5"/>
  <c r="BD498" i="5"/>
  <c r="GF489" i="6" s="1"/>
  <c r="BC498" i="5"/>
  <c r="BB498" i="5"/>
  <c r="GD489" i="6" s="1"/>
  <c r="AZ498" i="5"/>
  <c r="AY498" i="5"/>
  <c r="AW498" i="5"/>
  <c r="AT498" i="5"/>
  <c r="AS498" i="5"/>
  <c r="AR498" i="5"/>
  <c r="AQ498" i="5"/>
  <c r="AP498" i="5"/>
  <c r="AO498" i="5"/>
  <c r="AN498" i="5"/>
  <c r="AL498" i="5"/>
  <c r="AK498" i="5"/>
  <c r="AJ498" i="5"/>
  <c r="AI498" i="5"/>
  <c r="AH498" i="5"/>
  <c r="AG498" i="5"/>
  <c r="AF498" i="5"/>
  <c r="AE498" i="5"/>
  <c r="AD498" i="5"/>
  <c r="AC498" i="5"/>
  <c r="AB498" i="5"/>
  <c r="AA498" i="5"/>
  <c r="Z498" i="5"/>
  <c r="Y498" i="5"/>
  <c r="X498" i="5"/>
  <c r="W498" i="5"/>
  <c r="V498" i="5"/>
  <c r="T498" i="5"/>
  <c r="S498" i="5"/>
  <c r="Q498" i="5"/>
  <c r="P498" i="5"/>
  <c r="N498" i="5"/>
  <c r="K498" i="5"/>
  <c r="J498" i="5"/>
  <c r="I498" i="5"/>
  <c r="H498" i="5"/>
  <c r="G498" i="5"/>
  <c r="F498" i="5"/>
  <c r="E498" i="5"/>
  <c r="D498" i="5"/>
  <c r="B498" i="5"/>
  <c r="BI497" i="5"/>
  <c r="BD497" i="5"/>
  <c r="GF488" i="6" s="1"/>
  <c r="BC497" i="5"/>
  <c r="GE488" i="6" s="1"/>
  <c r="BB497" i="5"/>
  <c r="GD488" i="6" s="1"/>
  <c r="AZ497" i="5"/>
  <c r="AY497" i="5"/>
  <c r="AW497" i="5"/>
  <c r="AT497" i="5"/>
  <c r="AS497" i="5"/>
  <c r="AR497" i="5"/>
  <c r="AQ497" i="5"/>
  <c r="AP497" i="5"/>
  <c r="AO497" i="5"/>
  <c r="AN497" i="5"/>
  <c r="AL497" i="5"/>
  <c r="AK497" i="5"/>
  <c r="AJ497" i="5"/>
  <c r="AI497" i="5"/>
  <c r="AH497" i="5"/>
  <c r="AG497" i="5"/>
  <c r="AF497" i="5"/>
  <c r="AE497" i="5"/>
  <c r="AD497" i="5"/>
  <c r="AC497" i="5"/>
  <c r="AB497" i="5"/>
  <c r="AA497" i="5"/>
  <c r="Z497" i="5"/>
  <c r="Y497" i="5"/>
  <c r="X497" i="5"/>
  <c r="W497" i="5"/>
  <c r="V497" i="5"/>
  <c r="T497" i="5"/>
  <c r="S497" i="5"/>
  <c r="Q497" i="5"/>
  <c r="P497" i="5"/>
  <c r="N497" i="5"/>
  <c r="K497" i="5"/>
  <c r="J497" i="5"/>
  <c r="I497" i="5"/>
  <c r="H497" i="5"/>
  <c r="G497" i="5"/>
  <c r="F497" i="5"/>
  <c r="E497" i="5"/>
  <c r="D497" i="5"/>
  <c r="B497" i="5"/>
  <c r="BI496" i="5"/>
  <c r="BD496" i="5"/>
  <c r="GF487" i="6" s="1"/>
  <c r="BC496" i="5"/>
  <c r="GE487" i="6" s="1"/>
  <c r="BB496" i="5"/>
  <c r="GD487" i="6" s="1"/>
  <c r="AZ496" i="5"/>
  <c r="AY496" i="5"/>
  <c r="AW496" i="5"/>
  <c r="AT496" i="5"/>
  <c r="AS496" i="5"/>
  <c r="AR496" i="5"/>
  <c r="AQ496" i="5"/>
  <c r="AP496" i="5"/>
  <c r="AO496" i="5"/>
  <c r="AN496" i="5"/>
  <c r="AL496" i="5"/>
  <c r="AK496" i="5"/>
  <c r="AJ496" i="5"/>
  <c r="AI496" i="5"/>
  <c r="AH496" i="5"/>
  <c r="AG496" i="5"/>
  <c r="AF496" i="5"/>
  <c r="AE496" i="5"/>
  <c r="AD496" i="5"/>
  <c r="AC496" i="5"/>
  <c r="AB496" i="5"/>
  <c r="AA496" i="5"/>
  <c r="Z496" i="5"/>
  <c r="Y496" i="5"/>
  <c r="X496" i="5"/>
  <c r="W496" i="5"/>
  <c r="V496" i="5"/>
  <c r="T496" i="5"/>
  <c r="S496" i="5"/>
  <c r="Q496" i="5"/>
  <c r="P496" i="5"/>
  <c r="N496" i="5"/>
  <c r="K496" i="5"/>
  <c r="J496" i="5"/>
  <c r="I496" i="5"/>
  <c r="H496" i="5"/>
  <c r="G496" i="5"/>
  <c r="F496" i="5"/>
  <c r="E496" i="5"/>
  <c r="D496" i="5"/>
  <c r="B496" i="5"/>
  <c r="BI495" i="5"/>
  <c r="BD495" i="5"/>
  <c r="GF486" i="6" s="1"/>
  <c r="BC495" i="5"/>
  <c r="GE486" i="6" s="1"/>
  <c r="BB495" i="5"/>
  <c r="GD486" i="6" s="1"/>
  <c r="AZ495" i="5"/>
  <c r="AY495" i="5"/>
  <c r="AW495" i="5"/>
  <c r="AT495" i="5"/>
  <c r="AS495" i="5"/>
  <c r="AR495" i="5"/>
  <c r="AQ495" i="5"/>
  <c r="AP495" i="5"/>
  <c r="AO495" i="5"/>
  <c r="AN495" i="5"/>
  <c r="AL495" i="5"/>
  <c r="AK495" i="5"/>
  <c r="AJ495" i="5"/>
  <c r="AI495" i="5"/>
  <c r="AH495" i="5"/>
  <c r="AG495" i="5"/>
  <c r="AF495" i="5"/>
  <c r="AE495" i="5"/>
  <c r="AD495" i="5"/>
  <c r="AC495" i="5"/>
  <c r="AB495" i="5"/>
  <c r="AA495" i="5"/>
  <c r="Z495" i="5"/>
  <c r="Y495" i="5"/>
  <c r="X495" i="5"/>
  <c r="W495" i="5"/>
  <c r="V495" i="5"/>
  <c r="T495" i="5"/>
  <c r="S495" i="5"/>
  <c r="Q495" i="5"/>
  <c r="P495" i="5"/>
  <c r="N495" i="5"/>
  <c r="K495" i="5"/>
  <c r="J495" i="5"/>
  <c r="I495" i="5"/>
  <c r="H495" i="5"/>
  <c r="G495" i="5"/>
  <c r="F495" i="5"/>
  <c r="E495" i="5"/>
  <c r="D495" i="5"/>
  <c r="B495" i="5"/>
  <c r="BI494" i="5"/>
  <c r="BD494" i="5"/>
  <c r="GF485" i="6" s="1"/>
  <c r="BC494" i="5"/>
  <c r="GE485" i="6" s="1"/>
  <c r="BB494" i="5"/>
  <c r="GD485" i="6" s="1"/>
  <c r="AZ494" i="5"/>
  <c r="AY494" i="5"/>
  <c r="AW494" i="5"/>
  <c r="AT494" i="5"/>
  <c r="AS494" i="5"/>
  <c r="AR494" i="5"/>
  <c r="AQ494" i="5"/>
  <c r="AP494" i="5"/>
  <c r="AO494" i="5"/>
  <c r="AN494" i="5"/>
  <c r="AL494" i="5"/>
  <c r="AK494" i="5"/>
  <c r="AJ494" i="5"/>
  <c r="AI494" i="5"/>
  <c r="AH494" i="5"/>
  <c r="AG494" i="5"/>
  <c r="AF494" i="5"/>
  <c r="AE494" i="5"/>
  <c r="AD494" i="5"/>
  <c r="AC494" i="5"/>
  <c r="AB494" i="5"/>
  <c r="AA494" i="5"/>
  <c r="Z494" i="5"/>
  <c r="Y494" i="5"/>
  <c r="X494" i="5"/>
  <c r="W494" i="5"/>
  <c r="V494" i="5"/>
  <c r="T494" i="5"/>
  <c r="S494" i="5"/>
  <c r="Q494" i="5"/>
  <c r="P494" i="5"/>
  <c r="N494" i="5"/>
  <c r="K494" i="5"/>
  <c r="J494" i="5"/>
  <c r="I494" i="5"/>
  <c r="H494" i="5"/>
  <c r="G494" i="5"/>
  <c r="F494" i="5"/>
  <c r="E494" i="5"/>
  <c r="D494" i="5"/>
  <c r="B494" i="5"/>
  <c r="BI493" i="5"/>
  <c r="BD493" i="5"/>
  <c r="GF484" i="6" s="1"/>
  <c r="BC493" i="5"/>
  <c r="GE484" i="6" s="1"/>
  <c r="BB493" i="5"/>
  <c r="GD484" i="6" s="1"/>
  <c r="AZ493" i="5"/>
  <c r="AY493" i="5"/>
  <c r="AW493" i="5"/>
  <c r="AT493" i="5"/>
  <c r="AS493" i="5"/>
  <c r="AR493" i="5"/>
  <c r="AQ493" i="5"/>
  <c r="AP493" i="5"/>
  <c r="AO493" i="5"/>
  <c r="AN493" i="5"/>
  <c r="AL493" i="5"/>
  <c r="AK493" i="5"/>
  <c r="AJ493" i="5"/>
  <c r="AI493" i="5"/>
  <c r="AH493" i="5"/>
  <c r="AG493" i="5"/>
  <c r="AF493" i="5"/>
  <c r="AE493" i="5"/>
  <c r="AD493" i="5"/>
  <c r="AC493" i="5"/>
  <c r="AB493" i="5"/>
  <c r="AA493" i="5"/>
  <c r="Z493" i="5"/>
  <c r="Y493" i="5"/>
  <c r="X493" i="5"/>
  <c r="W493" i="5"/>
  <c r="V493" i="5"/>
  <c r="T493" i="5"/>
  <c r="S493" i="5"/>
  <c r="Q493" i="5"/>
  <c r="P493" i="5"/>
  <c r="N493" i="5"/>
  <c r="K493" i="5"/>
  <c r="J493" i="5"/>
  <c r="I493" i="5"/>
  <c r="H493" i="5"/>
  <c r="G493" i="5"/>
  <c r="F493" i="5"/>
  <c r="E493" i="5"/>
  <c r="D493" i="5"/>
  <c r="B493" i="5"/>
  <c r="BI492" i="5"/>
  <c r="BD492" i="5"/>
  <c r="GF483" i="6" s="1"/>
  <c r="BC492" i="5"/>
  <c r="GE483" i="6" s="1"/>
  <c r="BB492" i="5"/>
  <c r="GD483" i="6" s="1"/>
  <c r="AZ492" i="5"/>
  <c r="AY492" i="5"/>
  <c r="AW492" i="5"/>
  <c r="AT492" i="5"/>
  <c r="AS492" i="5"/>
  <c r="AR492" i="5"/>
  <c r="AQ492" i="5"/>
  <c r="AP492" i="5"/>
  <c r="AO492" i="5"/>
  <c r="AN492" i="5"/>
  <c r="AL492" i="5"/>
  <c r="AK492" i="5"/>
  <c r="AJ492" i="5"/>
  <c r="AI492" i="5"/>
  <c r="AH492" i="5"/>
  <c r="AG492" i="5"/>
  <c r="AF492" i="5"/>
  <c r="AE492" i="5"/>
  <c r="AD492" i="5"/>
  <c r="AC492" i="5"/>
  <c r="AB492" i="5"/>
  <c r="AA492" i="5"/>
  <c r="Z492" i="5"/>
  <c r="Y492" i="5"/>
  <c r="X492" i="5"/>
  <c r="W492" i="5"/>
  <c r="V492" i="5"/>
  <c r="T492" i="5"/>
  <c r="S492" i="5"/>
  <c r="Q492" i="5"/>
  <c r="P492" i="5"/>
  <c r="N492" i="5"/>
  <c r="K492" i="5"/>
  <c r="J492" i="5"/>
  <c r="I492" i="5"/>
  <c r="H492" i="5"/>
  <c r="G492" i="5"/>
  <c r="F492" i="5"/>
  <c r="E492" i="5"/>
  <c r="D492" i="5"/>
  <c r="B492" i="5"/>
  <c r="BI491" i="5"/>
  <c r="BD491" i="5"/>
  <c r="GF482" i="6" s="1"/>
  <c r="BC491" i="5"/>
  <c r="GE482" i="6" s="1"/>
  <c r="BB491" i="5"/>
  <c r="GD482" i="6" s="1"/>
  <c r="AZ491" i="5"/>
  <c r="AY491" i="5"/>
  <c r="AW491" i="5"/>
  <c r="AT491" i="5"/>
  <c r="AS491" i="5"/>
  <c r="AR491" i="5"/>
  <c r="AQ491" i="5"/>
  <c r="AP491" i="5"/>
  <c r="AO491" i="5"/>
  <c r="AN491" i="5"/>
  <c r="AL491" i="5"/>
  <c r="AK491" i="5"/>
  <c r="AJ491" i="5"/>
  <c r="AI491" i="5"/>
  <c r="AH491" i="5"/>
  <c r="AG491" i="5"/>
  <c r="AF491" i="5"/>
  <c r="AE491" i="5"/>
  <c r="AD491" i="5"/>
  <c r="AC491" i="5"/>
  <c r="AB491" i="5"/>
  <c r="AA491" i="5"/>
  <c r="Z491" i="5"/>
  <c r="Y491" i="5"/>
  <c r="X491" i="5"/>
  <c r="W491" i="5"/>
  <c r="V491" i="5"/>
  <c r="T491" i="5"/>
  <c r="S491" i="5"/>
  <c r="Q491" i="5"/>
  <c r="P491" i="5"/>
  <c r="N491" i="5"/>
  <c r="K491" i="5"/>
  <c r="J491" i="5"/>
  <c r="I491" i="5"/>
  <c r="H491" i="5"/>
  <c r="G491" i="5"/>
  <c r="F491" i="5"/>
  <c r="E491" i="5"/>
  <c r="D491" i="5"/>
  <c r="B491" i="5"/>
  <c r="BI490" i="5"/>
  <c r="BD490" i="5"/>
  <c r="GF481" i="6" s="1"/>
  <c r="BC490" i="5"/>
  <c r="GE481" i="6" s="1"/>
  <c r="BB490" i="5"/>
  <c r="GD481" i="6" s="1"/>
  <c r="AZ490" i="5"/>
  <c r="AY490" i="5"/>
  <c r="AW490" i="5"/>
  <c r="AT490" i="5"/>
  <c r="AS490" i="5"/>
  <c r="AR490" i="5"/>
  <c r="AQ490" i="5"/>
  <c r="AP490" i="5"/>
  <c r="AO490" i="5"/>
  <c r="AN490" i="5"/>
  <c r="AL490" i="5"/>
  <c r="AK490" i="5"/>
  <c r="AJ490" i="5"/>
  <c r="AI490" i="5"/>
  <c r="AH490" i="5"/>
  <c r="AG490" i="5"/>
  <c r="AF490" i="5"/>
  <c r="AE490" i="5"/>
  <c r="AD490" i="5"/>
  <c r="AC490" i="5"/>
  <c r="AB490" i="5"/>
  <c r="AA490" i="5"/>
  <c r="Z490" i="5"/>
  <c r="Y490" i="5"/>
  <c r="X490" i="5"/>
  <c r="W490" i="5"/>
  <c r="V490" i="5"/>
  <c r="T490" i="5"/>
  <c r="S490" i="5"/>
  <c r="Q490" i="5"/>
  <c r="P490" i="5"/>
  <c r="N490" i="5"/>
  <c r="K490" i="5"/>
  <c r="J490" i="5"/>
  <c r="I490" i="5"/>
  <c r="H490" i="5"/>
  <c r="G490" i="5"/>
  <c r="F490" i="5"/>
  <c r="E490" i="5"/>
  <c r="D490" i="5"/>
  <c r="B490" i="5"/>
  <c r="BI489" i="5"/>
  <c r="BD489" i="5"/>
  <c r="GF480" i="6" s="1"/>
  <c r="BC489" i="5"/>
  <c r="GE480" i="6" s="1"/>
  <c r="BB489" i="5"/>
  <c r="GD480" i="6" s="1"/>
  <c r="AZ489" i="5"/>
  <c r="AY489" i="5"/>
  <c r="AW489" i="5"/>
  <c r="AT489" i="5"/>
  <c r="AS489" i="5"/>
  <c r="AR489" i="5"/>
  <c r="AQ489" i="5"/>
  <c r="AP489" i="5"/>
  <c r="AO489" i="5"/>
  <c r="AN489" i="5"/>
  <c r="AL489" i="5"/>
  <c r="AK489" i="5"/>
  <c r="AJ489" i="5"/>
  <c r="AI489" i="5"/>
  <c r="AH489" i="5"/>
  <c r="AG489" i="5"/>
  <c r="AF489" i="5"/>
  <c r="AE489" i="5"/>
  <c r="AD489" i="5"/>
  <c r="AC489" i="5"/>
  <c r="AB489" i="5"/>
  <c r="AA489" i="5"/>
  <c r="Z489" i="5"/>
  <c r="Y489" i="5"/>
  <c r="X489" i="5"/>
  <c r="W489" i="5"/>
  <c r="V489" i="5"/>
  <c r="T489" i="5"/>
  <c r="S489" i="5"/>
  <c r="Q489" i="5"/>
  <c r="P489" i="5"/>
  <c r="N489" i="5"/>
  <c r="K489" i="5"/>
  <c r="J489" i="5"/>
  <c r="I489" i="5"/>
  <c r="H489" i="5"/>
  <c r="G489" i="5"/>
  <c r="F489" i="5"/>
  <c r="E489" i="5"/>
  <c r="D489" i="5"/>
  <c r="B489" i="5"/>
  <c r="BI488" i="5"/>
  <c r="BD488" i="5"/>
  <c r="GF479" i="6" s="1"/>
  <c r="BC488" i="5"/>
  <c r="BB488" i="5"/>
  <c r="GD479" i="6" s="1"/>
  <c r="AZ488" i="5"/>
  <c r="AY488" i="5"/>
  <c r="AW488" i="5"/>
  <c r="AT488" i="5"/>
  <c r="AS488" i="5"/>
  <c r="AR488" i="5"/>
  <c r="AQ488" i="5"/>
  <c r="AP488" i="5"/>
  <c r="AO488" i="5"/>
  <c r="AN488" i="5"/>
  <c r="AL488" i="5"/>
  <c r="AK488" i="5"/>
  <c r="AJ488" i="5"/>
  <c r="AI488" i="5"/>
  <c r="AH488" i="5"/>
  <c r="AG488" i="5"/>
  <c r="AF488" i="5"/>
  <c r="AE488" i="5"/>
  <c r="AD488" i="5"/>
  <c r="AC488" i="5"/>
  <c r="AB488" i="5"/>
  <c r="AA488" i="5"/>
  <c r="Z488" i="5"/>
  <c r="Y488" i="5"/>
  <c r="X488" i="5"/>
  <c r="W488" i="5"/>
  <c r="V488" i="5"/>
  <c r="T488" i="5"/>
  <c r="S488" i="5"/>
  <c r="Q488" i="5"/>
  <c r="P488" i="5"/>
  <c r="N488" i="5"/>
  <c r="K488" i="5"/>
  <c r="J488" i="5"/>
  <c r="I488" i="5"/>
  <c r="H488" i="5"/>
  <c r="G488" i="5"/>
  <c r="F488" i="5"/>
  <c r="E488" i="5"/>
  <c r="D488" i="5"/>
  <c r="B488" i="5"/>
  <c r="BI487" i="5"/>
  <c r="BD487" i="5"/>
  <c r="GF478" i="6" s="1"/>
  <c r="BC487" i="5"/>
  <c r="GE478" i="6" s="1"/>
  <c r="BB487" i="5"/>
  <c r="AZ487" i="5"/>
  <c r="AY487" i="5"/>
  <c r="AW487" i="5"/>
  <c r="AT487" i="5"/>
  <c r="AS487" i="5"/>
  <c r="AR487" i="5"/>
  <c r="AQ487" i="5"/>
  <c r="AP487" i="5"/>
  <c r="AO487" i="5"/>
  <c r="AN487" i="5"/>
  <c r="AL487" i="5"/>
  <c r="AK487" i="5"/>
  <c r="AJ487" i="5"/>
  <c r="AI487" i="5"/>
  <c r="AH487" i="5"/>
  <c r="AG487" i="5"/>
  <c r="AF487" i="5"/>
  <c r="AE487" i="5"/>
  <c r="AD487" i="5"/>
  <c r="AC487" i="5"/>
  <c r="AB487" i="5"/>
  <c r="AA487" i="5"/>
  <c r="Z487" i="5"/>
  <c r="Y487" i="5"/>
  <c r="X487" i="5"/>
  <c r="W487" i="5"/>
  <c r="V487" i="5"/>
  <c r="T487" i="5"/>
  <c r="S487" i="5"/>
  <c r="Q487" i="5"/>
  <c r="P487" i="5"/>
  <c r="N487" i="5"/>
  <c r="K487" i="5"/>
  <c r="J487" i="5"/>
  <c r="I487" i="5"/>
  <c r="H487" i="5"/>
  <c r="G487" i="5"/>
  <c r="F487" i="5"/>
  <c r="E487" i="5"/>
  <c r="D487" i="5"/>
  <c r="B487" i="5"/>
  <c r="BI486" i="5"/>
  <c r="BD486" i="5"/>
  <c r="BC486" i="5"/>
  <c r="GE477" i="6" s="1"/>
  <c r="BB486" i="5"/>
  <c r="GD477" i="6" s="1"/>
  <c r="AZ486" i="5"/>
  <c r="AY486" i="5"/>
  <c r="AW486" i="5"/>
  <c r="AT486" i="5"/>
  <c r="AS486" i="5"/>
  <c r="AR486" i="5"/>
  <c r="AQ486" i="5"/>
  <c r="AP486" i="5"/>
  <c r="AO486" i="5"/>
  <c r="AN486" i="5"/>
  <c r="AL486" i="5"/>
  <c r="AK486" i="5"/>
  <c r="AJ486" i="5"/>
  <c r="AI486" i="5"/>
  <c r="AH486" i="5"/>
  <c r="AG486" i="5"/>
  <c r="AF486" i="5"/>
  <c r="AE486" i="5"/>
  <c r="AD486" i="5"/>
  <c r="AC486" i="5"/>
  <c r="AB486" i="5"/>
  <c r="AA486" i="5"/>
  <c r="Z486" i="5"/>
  <c r="Y486" i="5"/>
  <c r="X486" i="5"/>
  <c r="W486" i="5"/>
  <c r="V486" i="5"/>
  <c r="T486" i="5"/>
  <c r="S486" i="5"/>
  <c r="Q486" i="5"/>
  <c r="P486" i="5"/>
  <c r="N486" i="5"/>
  <c r="K486" i="5"/>
  <c r="J486" i="5"/>
  <c r="I486" i="5"/>
  <c r="H486" i="5"/>
  <c r="G486" i="5"/>
  <c r="F486" i="5"/>
  <c r="E486" i="5"/>
  <c r="D486" i="5"/>
  <c r="B486" i="5"/>
  <c r="BI485" i="5"/>
  <c r="BD485" i="5"/>
  <c r="GF476" i="6" s="1"/>
  <c r="BC485" i="5"/>
  <c r="BB485" i="5"/>
  <c r="GD476" i="6" s="1"/>
  <c r="AZ485" i="5"/>
  <c r="AY485" i="5"/>
  <c r="AW485" i="5"/>
  <c r="AT485" i="5"/>
  <c r="AS485" i="5"/>
  <c r="AR485" i="5"/>
  <c r="AQ485" i="5"/>
  <c r="AP485" i="5"/>
  <c r="AO485" i="5"/>
  <c r="AN485" i="5"/>
  <c r="AL485" i="5"/>
  <c r="AK485" i="5"/>
  <c r="AJ485" i="5"/>
  <c r="AI485" i="5"/>
  <c r="AH485" i="5"/>
  <c r="AG485" i="5"/>
  <c r="AF485" i="5"/>
  <c r="AE485" i="5"/>
  <c r="AD485" i="5"/>
  <c r="AC485" i="5"/>
  <c r="AB485" i="5"/>
  <c r="AA485" i="5"/>
  <c r="Z485" i="5"/>
  <c r="Y485" i="5"/>
  <c r="X485" i="5"/>
  <c r="W485" i="5"/>
  <c r="V485" i="5"/>
  <c r="T485" i="5"/>
  <c r="S485" i="5"/>
  <c r="Q485" i="5"/>
  <c r="P485" i="5"/>
  <c r="N485" i="5"/>
  <c r="K485" i="5"/>
  <c r="J485" i="5"/>
  <c r="I485" i="5"/>
  <c r="H485" i="5"/>
  <c r="G485" i="5"/>
  <c r="F485" i="5"/>
  <c r="E485" i="5"/>
  <c r="D485" i="5"/>
  <c r="B485" i="5"/>
  <c r="BI484" i="5"/>
  <c r="BD484" i="5"/>
  <c r="GF475" i="6" s="1"/>
  <c r="BC484" i="5"/>
  <c r="GE475" i="6" s="1"/>
  <c r="BB484" i="5"/>
  <c r="GD475" i="6" s="1"/>
  <c r="AZ484" i="5"/>
  <c r="AY484" i="5"/>
  <c r="AW484" i="5"/>
  <c r="AT484" i="5"/>
  <c r="AS484" i="5"/>
  <c r="AR484" i="5"/>
  <c r="AQ484" i="5"/>
  <c r="AP484" i="5"/>
  <c r="AO484" i="5"/>
  <c r="AN484" i="5"/>
  <c r="AL484" i="5"/>
  <c r="AK484" i="5"/>
  <c r="AJ484" i="5"/>
  <c r="AI484" i="5"/>
  <c r="AH484" i="5"/>
  <c r="AG484" i="5"/>
  <c r="AF484" i="5"/>
  <c r="AE484" i="5"/>
  <c r="AD484" i="5"/>
  <c r="AC484" i="5"/>
  <c r="AB484" i="5"/>
  <c r="AA484" i="5"/>
  <c r="Z484" i="5"/>
  <c r="Y484" i="5"/>
  <c r="X484" i="5"/>
  <c r="W484" i="5"/>
  <c r="V484" i="5"/>
  <c r="T484" i="5"/>
  <c r="S484" i="5"/>
  <c r="Q484" i="5"/>
  <c r="P484" i="5"/>
  <c r="N484" i="5"/>
  <c r="K484" i="5"/>
  <c r="J484" i="5"/>
  <c r="I484" i="5"/>
  <c r="H484" i="5"/>
  <c r="G484" i="5"/>
  <c r="F484" i="5"/>
  <c r="E484" i="5"/>
  <c r="D484" i="5"/>
  <c r="B484" i="5"/>
  <c r="BI483" i="5"/>
  <c r="BD483" i="5"/>
  <c r="GF474" i="6" s="1"/>
  <c r="BC483" i="5"/>
  <c r="BB483" i="5"/>
  <c r="GD474" i="6" s="1"/>
  <c r="AZ483" i="5"/>
  <c r="AY483" i="5"/>
  <c r="AW483" i="5"/>
  <c r="AT483" i="5"/>
  <c r="AS483" i="5"/>
  <c r="AR483" i="5"/>
  <c r="AQ483" i="5"/>
  <c r="AP483" i="5"/>
  <c r="AO483" i="5"/>
  <c r="AN483" i="5"/>
  <c r="AL483" i="5"/>
  <c r="AK483" i="5"/>
  <c r="AJ483" i="5"/>
  <c r="AI483" i="5"/>
  <c r="AH483" i="5"/>
  <c r="AG483" i="5"/>
  <c r="AF483" i="5"/>
  <c r="AE483" i="5"/>
  <c r="AD483" i="5"/>
  <c r="AC483" i="5"/>
  <c r="AB483" i="5"/>
  <c r="AA483" i="5"/>
  <c r="Z483" i="5"/>
  <c r="Y483" i="5"/>
  <c r="X483" i="5"/>
  <c r="W483" i="5"/>
  <c r="V483" i="5"/>
  <c r="T483" i="5"/>
  <c r="S483" i="5"/>
  <c r="Q483" i="5"/>
  <c r="P483" i="5"/>
  <c r="N483" i="5"/>
  <c r="K483" i="5"/>
  <c r="J483" i="5"/>
  <c r="I483" i="5"/>
  <c r="H483" i="5"/>
  <c r="G483" i="5"/>
  <c r="F483" i="5"/>
  <c r="E483" i="5"/>
  <c r="D483" i="5"/>
  <c r="B483" i="5"/>
  <c r="BI482" i="5"/>
  <c r="BD482" i="5"/>
  <c r="GF473" i="6" s="1"/>
  <c r="BC482" i="5"/>
  <c r="BB482" i="5"/>
  <c r="GD473" i="6" s="1"/>
  <c r="AZ482" i="5"/>
  <c r="AY482" i="5"/>
  <c r="AW482" i="5"/>
  <c r="AT482" i="5"/>
  <c r="AS482" i="5"/>
  <c r="AR482" i="5"/>
  <c r="AQ482" i="5"/>
  <c r="AP482" i="5"/>
  <c r="AO482" i="5"/>
  <c r="AN482" i="5"/>
  <c r="AL482" i="5"/>
  <c r="AK482" i="5"/>
  <c r="AJ482" i="5"/>
  <c r="AI482" i="5"/>
  <c r="AH482" i="5"/>
  <c r="AG482" i="5"/>
  <c r="AF482" i="5"/>
  <c r="AE482" i="5"/>
  <c r="AD482" i="5"/>
  <c r="AC482" i="5"/>
  <c r="AB482" i="5"/>
  <c r="AA482" i="5"/>
  <c r="Z482" i="5"/>
  <c r="Y482" i="5"/>
  <c r="X482" i="5"/>
  <c r="W482" i="5"/>
  <c r="V482" i="5"/>
  <c r="T482" i="5"/>
  <c r="S482" i="5"/>
  <c r="Q482" i="5"/>
  <c r="P482" i="5"/>
  <c r="N482" i="5"/>
  <c r="K482" i="5"/>
  <c r="J482" i="5"/>
  <c r="I482" i="5"/>
  <c r="H482" i="5"/>
  <c r="G482" i="5"/>
  <c r="F482" i="5"/>
  <c r="E482" i="5"/>
  <c r="D482" i="5"/>
  <c r="B482" i="5"/>
  <c r="BI481" i="5"/>
  <c r="BD481" i="5"/>
  <c r="GF472" i="6" s="1"/>
  <c r="BC481" i="5"/>
  <c r="GE472" i="6" s="1"/>
  <c r="BB481" i="5"/>
  <c r="GD472" i="6" s="1"/>
  <c r="AZ481" i="5"/>
  <c r="AY481" i="5"/>
  <c r="AW481" i="5"/>
  <c r="AT481" i="5"/>
  <c r="AS481" i="5"/>
  <c r="AR481" i="5"/>
  <c r="AQ481" i="5"/>
  <c r="AP481" i="5"/>
  <c r="AO481" i="5"/>
  <c r="AN481" i="5"/>
  <c r="AL481" i="5"/>
  <c r="AK481" i="5"/>
  <c r="AJ481" i="5"/>
  <c r="AI481" i="5"/>
  <c r="AH481" i="5"/>
  <c r="AG481" i="5"/>
  <c r="AF481" i="5"/>
  <c r="AE481" i="5"/>
  <c r="AD481" i="5"/>
  <c r="AC481" i="5"/>
  <c r="AB481" i="5"/>
  <c r="AA481" i="5"/>
  <c r="Z481" i="5"/>
  <c r="Y481" i="5"/>
  <c r="X481" i="5"/>
  <c r="W481" i="5"/>
  <c r="V481" i="5"/>
  <c r="T481" i="5"/>
  <c r="S481" i="5"/>
  <c r="Q481" i="5"/>
  <c r="P481" i="5"/>
  <c r="N481" i="5"/>
  <c r="K481" i="5"/>
  <c r="J481" i="5"/>
  <c r="I481" i="5"/>
  <c r="H481" i="5"/>
  <c r="G481" i="5"/>
  <c r="F481" i="5"/>
  <c r="E481" i="5"/>
  <c r="D481" i="5"/>
  <c r="B481" i="5"/>
  <c r="BI480" i="5"/>
  <c r="BD480" i="5"/>
  <c r="GF471" i="6" s="1"/>
  <c r="BC480" i="5"/>
  <c r="GE471" i="6" s="1"/>
  <c r="BB480" i="5"/>
  <c r="GD471" i="6" s="1"/>
  <c r="AZ480" i="5"/>
  <c r="AY480" i="5"/>
  <c r="AW480" i="5"/>
  <c r="AT480" i="5"/>
  <c r="AS480" i="5"/>
  <c r="AR480" i="5"/>
  <c r="AQ480" i="5"/>
  <c r="AP480" i="5"/>
  <c r="AO480" i="5"/>
  <c r="AN480" i="5"/>
  <c r="AL480" i="5"/>
  <c r="AK480" i="5"/>
  <c r="AJ480" i="5"/>
  <c r="AI480" i="5"/>
  <c r="AH480" i="5"/>
  <c r="AG480" i="5"/>
  <c r="AF480" i="5"/>
  <c r="AE480" i="5"/>
  <c r="AD480" i="5"/>
  <c r="AC480" i="5"/>
  <c r="AB480" i="5"/>
  <c r="AA480" i="5"/>
  <c r="Z480" i="5"/>
  <c r="Y480" i="5"/>
  <c r="X480" i="5"/>
  <c r="W480" i="5"/>
  <c r="V480" i="5"/>
  <c r="T480" i="5"/>
  <c r="S480" i="5"/>
  <c r="Q480" i="5"/>
  <c r="P480" i="5"/>
  <c r="N480" i="5"/>
  <c r="K480" i="5"/>
  <c r="J480" i="5"/>
  <c r="I480" i="5"/>
  <c r="H480" i="5"/>
  <c r="G480" i="5"/>
  <c r="F480" i="5"/>
  <c r="E480" i="5"/>
  <c r="D480" i="5"/>
  <c r="B480" i="5"/>
  <c r="BI479" i="5"/>
  <c r="BD479" i="5"/>
  <c r="BC479" i="5"/>
  <c r="GE470" i="6" s="1"/>
  <c r="BB479" i="5"/>
  <c r="GD470" i="6" s="1"/>
  <c r="AZ479" i="5"/>
  <c r="AY479" i="5"/>
  <c r="AW479" i="5"/>
  <c r="AT479" i="5"/>
  <c r="AS479" i="5"/>
  <c r="AR479" i="5"/>
  <c r="AQ479" i="5"/>
  <c r="AP479" i="5"/>
  <c r="AO479" i="5"/>
  <c r="AN479" i="5"/>
  <c r="AL479" i="5"/>
  <c r="AK479" i="5"/>
  <c r="AJ479" i="5"/>
  <c r="AI479" i="5"/>
  <c r="AH479" i="5"/>
  <c r="AG479" i="5"/>
  <c r="AF479" i="5"/>
  <c r="AE479" i="5"/>
  <c r="AD479" i="5"/>
  <c r="AC479" i="5"/>
  <c r="AB479" i="5"/>
  <c r="AA479" i="5"/>
  <c r="Z479" i="5"/>
  <c r="Y479" i="5"/>
  <c r="X479" i="5"/>
  <c r="W479" i="5"/>
  <c r="V479" i="5"/>
  <c r="T479" i="5"/>
  <c r="S479" i="5"/>
  <c r="Q479" i="5"/>
  <c r="P479" i="5"/>
  <c r="N479" i="5"/>
  <c r="K479" i="5"/>
  <c r="J479" i="5"/>
  <c r="I479" i="5"/>
  <c r="H479" i="5"/>
  <c r="G479" i="5"/>
  <c r="F479" i="5"/>
  <c r="E479" i="5"/>
  <c r="D479" i="5"/>
  <c r="B479" i="5"/>
  <c r="BI478" i="5"/>
  <c r="BD478" i="5"/>
  <c r="GF469" i="6" s="1"/>
  <c r="BC478" i="5"/>
  <c r="GE469" i="6" s="1"/>
  <c r="BB478" i="5"/>
  <c r="GD469" i="6" s="1"/>
  <c r="AZ478" i="5"/>
  <c r="AY478" i="5"/>
  <c r="AW478" i="5"/>
  <c r="AT478" i="5"/>
  <c r="AS478" i="5"/>
  <c r="AR478" i="5"/>
  <c r="AQ478" i="5"/>
  <c r="AP478" i="5"/>
  <c r="AO478" i="5"/>
  <c r="AN478" i="5"/>
  <c r="AL478" i="5"/>
  <c r="AK478" i="5"/>
  <c r="AJ478" i="5"/>
  <c r="AI478" i="5"/>
  <c r="AH478" i="5"/>
  <c r="AG478" i="5"/>
  <c r="AF478" i="5"/>
  <c r="AE478" i="5"/>
  <c r="AD478" i="5"/>
  <c r="AC478" i="5"/>
  <c r="AB478" i="5"/>
  <c r="AA478" i="5"/>
  <c r="Z478" i="5"/>
  <c r="Y478" i="5"/>
  <c r="X478" i="5"/>
  <c r="W478" i="5"/>
  <c r="V478" i="5"/>
  <c r="T478" i="5"/>
  <c r="S478" i="5"/>
  <c r="Q478" i="5"/>
  <c r="P478" i="5"/>
  <c r="N478" i="5"/>
  <c r="K478" i="5"/>
  <c r="J478" i="5"/>
  <c r="I478" i="5"/>
  <c r="H478" i="5"/>
  <c r="G478" i="5"/>
  <c r="F478" i="5"/>
  <c r="E478" i="5"/>
  <c r="D478" i="5"/>
  <c r="B478" i="5"/>
  <c r="BI477" i="5"/>
  <c r="BD477" i="5"/>
  <c r="GF468" i="6" s="1"/>
  <c r="BC477" i="5"/>
  <c r="GE468" i="6" s="1"/>
  <c r="BB477" i="5"/>
  <c r="GD468" i="6" s="1"/>
  <c r="AZ477" i="5"/>
  <c r="AY477" i="5"/>
  <c r="AW477" i="5"/>
  <c r="AT477" i="5"/>
  <c r="AS477" i="5"/>
  <c r="AR477" i="5"/>
  <c r="AQ477" i="5"/>
  <c r="AP477" i="5"/>
  <c r="AO477" i="5"/>
  <c r="AN477" i="5"/>
  <c r="AL477" i="5"/>
  <c r="AK477" i="5"/>
  <c r="AJ477" i="5"/>
  <c r="AI477" i="5"/>
  <c r="AH477" i="5"/>
  <c r="AG477" i="5"/>
  <c r="AF477" i="5"/>
  <c r="AE477" i="5"/>
  <c r="AD477" i="5"/>
  <c r="AC477" i="5"/>
  <c r="AB477" i="5"/>
  <c r="AA477" i="5"/>
  <c r="Z477" i="5"/>
  <c r="Y477" i="5"/>
  <c r="X477" i="5"/>
  <c r="W477" i="5"/>
  <c r="V477" i="5"/>
  <c r="T477" i="5"/>
  <c r="S477" i="5"/>
  <c r="Q477" i="5"/>
  <c r="P477" i="5"/>
  <c r="N477" i="5"/>
  <c r="K477" i="5"/>
  <c r="J477" i="5"/>
  <c r="I477" i="5"/>
  <c r="H477" i="5"/>
  <c r="G477" i="5"/>
  <c r="F477" i="5"/>
  <c r="E477" i="5"/>
  <c r="D477" i="5"/>
  <c r="B477" i="5"/>
  <c r="BI476" i="5"/>
  <c r="BD476" i="5"/>
  <c r="GF467" i="6" s="1"/>
  <c r="BC476" i="5"/>
  <c r="GE467" i="6" s="1"/>
  <c r="BB476" i="5"/>
  <c r="GD467" i="6" s="1"/>
  <c r="AZ476" i="5"/>
  <c r="AY476" i="5"/>
  <c r="AW476" i="5"/>
  <c r="AT476" i="5"/>
  <c r="AS476" i="5"/>
  <c r="AR476" i="5"/>
  <c r="AQ476" i="5"/>
  <c r="AP476" i="5"/>
  <c r="AO476" i="5"/>
  <c r="AN476" i="5"/>
  <c r="AL476" i="5"/>
  <c r="AK476" i="5"/>
  <c r="AJ476" i="5"/>
  <c r="AI476" i="5"/>
  <c r="AH476" i="5"/>
  <c r="AG476" i="5"/>
  <c r="AF476" i="5"/>
  <c r="AE476" i="5"/>
  <c r="AD476" i="5"/>
  <c r="AC476" i="5"/>
  <c r="AB476" i="5"/>
  <c r="AA476" i="5"/>
  <c r="Z476" i="5"/>
  <c r="Y476" i="5"/>
  <c r="X476" i="5"/>
  <c r="W476" i="5"/>
  <c r="V476" i="5"/>
  <c r="T476" i="5"/>
  <c r="S476" i="5"/>
  <c r="Q476" i="5"/>
  <c r="P476" i="5"/>
  <c r="N476" i="5"/>
  <c r="K476" i="5"/>
  <c r="J476" i="5"/>
  <c r="I476" i="5"/>
  <c r="H476" i="5"/>
  <c r="G476" i="5"/>
  <c r="F476" i="5"/>
  <c r="E476" i="5"/>
  <c r="D476" i="5"/>
  <c r="B476" i="5"/>
  <c r="BI475" i="5"/>
  <c r="BD475" i="5"/>
  <c r="GF466" i="6" s="1"/>
  <c r="BC475" i="5"/>
  <c r="GE466" i="6" s="1"/>
  <c r="BB475" i="5"/>
  <c r="GD466" i="6" s="1"/>
  <c r="AZ475" i="5"/>
  <c r="AY475" i="5"/>
  <c r="AW475" i="5"/>
  <c r="AT475" i="5"/>
  <c r="AS475" i="5"/>
  <c r="AR475" i="5"/>
  <c r="AQ475" i="5"/>
  <c r="AP475" i="5"/>
  <c r="AO475" i="5"/>
  <c r="AN475" i="5"/>
  <c r="AL475" i="5"/>
  <c r="AK475" i="5"/>
  <c r="AJ475" i="5"/>
  <c r="AI475" i="5"/>
  <c r="AH475" i="5"/>
  <c r="AG475" i="5"/>
  <c r="AF475" i="5"/>
  <c r="AE475" i="5"/>
  <c r="AD475" i="5"/>
  <c r="AC475" i="5"/>
  <c r="AB475" i="5"/>
  <c r="AA475" i="5"/>
  <c r="Z475" i="5"/>
  <c r="Y475" i="5"/>
  <c r="X475" i="5"/>
  <c r="W475" i="5"/>
  <c r="V475" i="5"/>
  <c r="T475" i="5"/>
  <c r="S475" i="5"/>
  <c r="Q475" i="5"/>
  <c r="P475" i="5"/>
  <c r="N475" i="5"/>
  <c r="K475" i="5"/>
  <c r="J475" i="5"/>
  <c r="I475" i="5"/>
  <c r="H475" i="5"/>
  <c r="G475" i="5"/>
  <c r="F475" i="5"/>
  <c r="E475" i="5"/>
  <c r="D475" i="5"/>
  <c r="B475" i="5"/>
  <c r="BI474" i="5"/>
  <c r="BD474" i="5"/>
  <c r="BC474" i="5"/>
  <c r="GE465" i="6" s="1"/>
  <c r="BB474" i="5"/>
  <c r="GD465" i="6" s="1"/>
  <c r="AZ474" i="5"/>
  <c r="AY474" i="5"/>
  <c r="AW474" i="5"/>
  <c r="AT474" i="5"/>
  <c r="AS474" i="5"/>
  <c r="AR474" i="5"/>
  <c r="AQ474" i="5"/>
  <c r="AP474" i="5"/>
  <c r="AO474" i="5"/>
  <c r="AN474" i="5"/>
  <c r="AL474" i="5"/>
  <c r="AK474" i="5"/>
  <c r="AJ474" i="5"/>
  <c r="AI474" i="5"/>
  <c r="AH474" i="5"/>
  <c r="AG474" i="5"/>
  <c r="AF474" i="5"/>
  <c r="AE474" i="5"/>
  <c r="AD474" i="5"/>
  <c r="AC474" i="5"/>
  <c r="AB474" i="5"/>
  <c r="AA474" i="5"/>
  <c r="Z474" i="5"/>
  <c r="Y474" i="5"/>
  <c r="X474" i="5"/>
  <c r="W474" i="5"/>
  <c r="V474" i="5"/>
  <c r="T474" i="5"/>
  <c r="S474" i="5"/>
  <c r="Q474" i="5"/>
  <c r="P474" i="5"/>
  <c r="N474" i="5"/>
  <c r="K474" i="5"/>
  <c r="J474" i="5"/>
  <c r="I474" i="5"/>
  <c r="H474" i="5"/>
  <c r="G474" i="5"/>
  <c r="F474" i="5"/>
  <c r="E474" i="5"/>
  <c r="D474" i="5"/>
  <c r="B474" i="5"/>
  <c r="BI473" i="5"/>
  <c r="BD473" i="5"/>
  <c r="GF464" i="6" s="1"/>
  <c r="BC473" i="5"/>
  <c r="GE464" i="6" s="1"/>
  <c r="BB473" i="5"/>
  <c r="GD464" i="6" s="1"/>
  <c r="AZ473" i="5"/>
  <c r="AY473" i="5"/>
  <c r="AW473" i="5"/>
  <c r="AT473" i="5"/>
  <c r="AS473" i="5"/>
  <c r="AR473" i="5"/>
  <c r="AQ473" i="5"/>
  <c r="AP473" i="5"/>
  <c r="AO473" i="5"/>
  <c r="AN473" i="5"/>
  <c r="AL473" i="5"/>
  <c r="AK473" i="5"/>
  <c r="AJ473" i="5"/>
  <c r="AI473" i="5"/>
  <c r="AH473" i="5"/>
  <c r="AG473" i="5"/>
  <c r="AF473" i="5"/>
  <c r="AE473" i="5"/>
  <c r="AD473" i="5"/>
  <c r="AC473" i="5"/>
  <c r="AB473" i="5"/>
  <c r="AA473" i="5"/>
  <c r="Z473" i="5"/>
  <c r="Y473" i="5"/>
  <c r="X473" i="5"/>
  <c r="W473" i="5"/>
  <c r="V473" i="5"/>
  <c r="T473" i="5"/>
  <c r="S473" i="5"/>
  <c r="Q473" i="5"/>
  <c r="P473" i="5"/>
  <c r="N473" i="5"/>
  <c r="K473" i="5"/>
  <c r="J473" i="5"/>
  <c r="I473" i="5"/>
  <c r="H473" i="5"/>
  <c r="G473" i="5"/>
  <c r="F473" i="5"/>
  <c r="E473" i="5"/>
  <c r="D473" i="5"/>
  <c r="B473" i="5"/>
  <c r="BI472" i="5"/>
  <c r="BD472" i="5"/>
  <c r="GF463" i="6" s="1"/>
  <c r="BC472" i="5"/>
  <c r="GE463" i="6" s="1"/>
  <c r="BB472" i="5"/>
  <c r="GD463" i="6" s="1"/>
  <c r="AZ472" i="5"/>
  <c r="AY472" i="5"/>
  <c r="AW472" i="5"/>
  <c r="AT472" i="5"/>
  <c r="AS472" i="5"/>
  <c r="AR472" i="5"/>
  <c r="AQ472" i="5"/>
  <c r="AP472" i="5"/>
  <c r="AO472" i="5"/>
  <c r="AN472" i="5"/>
  <c r="AL472" i="5"/>
  <c r="AK472" i="5"/>
  <c r="AJ472" i="5"/>
  <c r="AI472" i="5"/>
  <c r="AH472" i="5"/>
  <c r="AG472" i="5"/>
  <c r="AF472" i="5"/>
  <c r="AE472" i="5"/>
  <c r="AD472" i="5"/>
  <c r="AC472" i="5"/>
  <c r="AB472" i="5"/>
  <c r="AA472" i="5"/>
  <c r="Z472" i="5"/>
  <c r="Y472" i="5"/>
  <c r="X472" i="5"/>
  <c r="W472" i="5"/>
  <c r="V472" i="5"/>
  <c r="T472" i="5"/>
  <c r="S472" i="5"/>
  <c r="Q472" i="5"/>
  <c r="P472" i="5"/>
  <c r="N472" i="5"/>
  <c r="K472" i="5"/>
  <c r="J472" i="5"/>
  <c r="I472" i="5"/>
  <c r="H472" i="5"/>
  <c r="G472" i="5"/>
  <c r="F472" i="5"/>
  <c r="E472" i="5"/>
  <c r="D472" i="5"/>
  <c r="B472" i="5"/>
  <c r="BI471" i="5"/>
  <c r="BD471" i="5"/>
  <c r="GF462" i="6" s="1"/>
  <c r="BC471" i="5"/>
  <c r="GE462" i="6" s="1"/>
  <c r="BB471" i="5"/>
  <c r="GD462" i="6" s="1"/>
  <c r="AZ471" i="5"/>
  <c r="AY471" i="5"/>
  <c r="AW471" i="5"/>
  <c r="AT471" i="5"/>
  <c r="AS471" i="5"/>
  <c r="AR471" i="5"/>
  <c r="AQ471" i="5"/>
  <c r="AP471" i="5"/>
  <c r="AO471" i="5"/>
  <c r="AN471" i="5"/>
  <c r="AL471" i="5"/>
  <c r="AK471" i="5"/>
  <c r="AJ471" i="5"/>
  <c r="AI471" i="5"/>
  <c r="AH471" i="5"/>
  <c r="AG471" i="5"/>
  <c r="AF471" i="5"/>
  <c r="AE471" i="5"/>
  <c r="AD471" i="5"/>
  <c r="AC471" i="5"/>
  <c r="AB471" i="5"/>
  <c r="AA471" i="5"/>
  <c r="Z471" i="5"/>
  <c r="Y471" i="5"/>
  <c r="X471" i="5"/>
  <c r="W471" i="5"/>
  <c r="V471" i="5"/>
  <c r="T471" i="5"/>
  <c r="S471" i="5"/>
  <c r="Q471" i="5"/>
  <c r="P471" i="5"/>
  <c r="N471" i="5"/>
  <c r="K471" i="5"/>
  <c r="J471" i="5"/>
  <c r="I471" i="5"/>
  <c r="H471" i="5"/>
  <c r="G471" i="5"/>
  <c r="F471" i="5"/>
  <c r="E471" i="5"/>
  <c r="D471" i="5"/>
  <c r="B471" i="5"/>
  <c r="BI470" i="5"/>
  <c r="BD470" i="5"/>
  <c r="GF461" i="6" s="1"/>
  <c r="BC470" i="5"/>
  <c r="BB470" i="5"/>
  <c r="GD461" i="6" s="1"/>
  <c r="AZ470" i="5"/>
  <c r="AY470" i="5"/>
  <c r="AW470" i="5"/>
  <c r="AT470" i="5"/>
  <c r="AS470" i="5"/>
  <c r="AR470" i="5"/>
  <c r="AQ470" i="5"/>
  <c r="AP470" i="5"/>
  <c r="AO470" i="5"/>
  <c r="AN470" i="5"/>
  <c r="AL470" i="5"/>
  <c r="AK470" i="5"/>
  <c r="AJ470" i="5"/>
  <c r="AI470" i="5"/>
  <c r="AH470" i="5"/>
  <c r="AG470" i="5"/>
  <c r="AF470" i="5"/>
  <c r="AE470" i="5"/>
  <c r="AD470" i="5"/>
  <c r="AC470" i="5"/>
  <c r="AB470" i="5"/>
  <c r="AA470" i="5"/>
  <c r="Z470" i="5"/>
  <c r="Y470" i="5"/>
  <c r="X470" i="5"/>
  <c r="W470" i="5"/>
  <c r="V470" i="5"/>
  <c r="T470" i="5"/>
  <c r="S470" i="5"/>
  <c r="Q470" i="5"/>
  <c r="P470" i="5"/>
  <c r="N470" i="5"/>
  <c r="K470" i="5"/>
  <c r="J470" i="5"/>
  <c r="I470" i="5"/>
  <c r="H470" i="5"/>
  <c r="G470" i="5"/>
  <c r="F470" i="5"/>
  <c r="E470" i="5"/>
  <c r="D470" i="5"/>
  <c r="B470" i="5"/>
  <c r="BI469" i="5"/>
  <c r="BD469" i="5"/>
  <c r="BC469" i="5"/>
  <c r="GE460" i="6" s="1"/>
  <c r="BB469" i="5"/>
  <c r="GD460" i="6" s="1"/>
  <c r="AZ469" i="5"/>
  <c r="AY469" i="5"/>
  <c r="AW469" i="5"/>
  <c r="AT469" i="5"/>
  <c r="AS469" i="5"/>
  <c r="AR469" i="5"/>
  <c r="AQ469" i="5"/>
  <c r="AP469" i="5"/>
  <c r="AO469" i="5"/>
  <c r="AN469" i="5"/>
  <c r="AL469" i="5"/>
  <c r="AK469" i="5"/>
  <c r="AJ469" i="5"/>
  <c r="AI469" i="5"/>
  <c r="AH469" i="5"/>
  <c r="AG469" i="5"/>
  <c r="AF469" i="5"/>
  <c r="AE469" i="5"/>
  <c r="AD469" i="5"/>
  <c r="AC469" i="5"/>
  <c r="AB469" i="5"/>
  <c r="AA469" i="5"/>
  <c r="Z469" i="5"/>
  <c r="Y469" i="5"/>
  <c r="X469" i="5"/>
  <c r="W469" i="5"/>
  <c r="V469" i="5"/>
  <c r="T469" i="5"/>
  <c r="S469" i="5"/>
  <c r="Q469" i="5"/>
  <c r="P469" i="5"/>
  <c r="N469" i="5"/>
  <c r="K469" i="5"/>
  <c r="J469" i="5"/>
  <c r="I469" i="5"/>
  <c r="H469" i="5"/>
  <c r="G469" i="5"/>
  <c r="F469" i="5"/>
  <c r="E469" i="5"/>
  <c r="D469" i="5"/>
  <c r="B469" i="5"/>
  <c r="BI468" i="5"/>
  <c r="BD468" i="5"/>
  <c r="GF459" i="6" s="1"/>
  <c r="BC468" i="5"/>
  <c r="GE459" i="6" s="1"/>
  <c r="BB468" i="5"/>
  <c r="GD459" i="6" s="1"/>
  <c r="AZ468" i="5"/>
  <c r="AY468" i="5"/>
  <c r="AW468" i="5"/>
  <c r="AT468" i="5"/>
  <c r="AS468" i="5"/>
  <c r="AR468" i="5"/>
  <c r="AQ468" i="5"/>
  <c r="AP468" i="5"/>
  <c r="AO468" i="5"/>
  <c r="AN468" i="5"/>
  <c r="AL468" i="5"/>
  <c r="AK468" i="5"/>
  <c r="AJ468" i="5"/>
  <c r="AI468" i="5"/>
  <c r="AH468" i="5"/>
  <c r="AG468" i="5"/>
  <c r="AF468" i="5"/>
  <c r="AE468" i="5"/>
  <c r="AD468" i="5"/>
  <c r="AC468" i="5"/>
  <c r="AB468" i="5"/>
  <c r="AA468" i="5"/>
  <c r="Z468" i="5"/>
  <c r="Y468" i="5"/>
  <c r="X468" i="5"/>
  <c r="W468" i="5"/>
  <c r="V468" i="5"/>
  <c r="T468" i="5"/>
  <c r="S468" i="5"/>
  <c r="Q468" i="5"/>
  <c r="P468" i="5"/>
  <c r="N468" i="5"/>
  <c r="K468" i="5"/>
  <c r="J468" i="5"/>
  <c r="I468" i="5"/>
  <c r="H468" i="5"/>
  <c r="G468" i="5"/>
  <c r="F468" i="5"/>
  <c r="E468" i="5"/>
  <c r="D468" i="5"/>
  <c r="B468" i="5"/>
  <c r="BI467" i="5"/>
  <c r="BD467" i="5"/>
  <c r="GF458" i="6" s="1"/>
  <c r="BC467" i="5"/>
  <c r="GE458" i="6" s="1"/>
  <c r="BB467" i="5"/>
  <c r="GD458" i="6" s="1"/>
  <c r="AZ467" i="5"/>
  <c r="AY467" i="5"/>
  <c r="AW467" i="5"/>
  <c r="AT467" i="5"/>
  <c r="AS467" i="5"/>
  <c r="AR467" i="5"/>
  <c r="AQ467" i="5"/>
  <c r="AP467" i="5"/>
  <c r="AO467" i="5"/>
  <c r="AN467" i="5"/>
  <c r="AL467" i="5"/>
  <c r="AK467" i="5"/>
  <c r="AJ467" i="5"/>
  <c r="AI467" i="5"/>
  <c r="AH467" i="5"/>
  <c r="AG467" i="5"/>
  <c r="AF467" i="5"/>
  <c r="AE467" i="5"/>
  <c r="AD467" i="5"/>
  <c r="AC467" i="5"/>
  <c r="AB467" i="5"/>
  <c r="AA467" i="5"/>
  <c r="Z467" i="5"/>
  <c r="Y467" i="5"/>
  <c r="X467" i="5"/>
  <c r="W467" i="5"/>
  <c r="V467" i="5"/>
  <c r="T467" i="5"/>
  <c r="S467" i="5"/>
  <c r="Q467" i="5"/>
  <c r="P467" i="5"/>
  <c r="N467" i="5"/>
  <c r="K467" i="5"/>
  <c r="J467" i="5"/>
  <c r="I467" i="5"/>
  <c r="H467" i="5"/>
  <c r="G467" i="5"/>
  <c r="F467" i="5"/>
  <c r="E467" i="5"/>
  <c r="D467" i="5"/>
  <c r="B467" i="5"/>
  <c r="BI466" i="5"/>
  <c r="BD466" i="5"/>
  <c r="GF457" i="6" s="1"/>
  <c r="BC466" i="5"/>
  <c r="GE457" i="6" s="1"/>
  <c r="BB466" i="5"/>
  <c r="GD457" i="6" s="1"/>
  <c r="AZ466" i="5"/>
  <c r="AY466" i="5"/>
  <c r="AW466" i="5"/>
  <c r="AT466" i="5"/>
  <c r="AS466" i="5"/>
  <c r="AR466" i="5"/>
  <c r="AQ466" i="5"/>
  <c r="AP466" i="5"/>
  <c r="AO466" i="5"/>
  <c r="AN466" i="5"/>
  <c r="AL466" i="5"/>
  <c r="AK466" i="5"/>
  <c r="AJ466" i="5"/>
  <c r="AI466" i="5"/>
  <c r="AH466" i="5"/>
  <c r="AG466" i="5"/>
  <c r="AF466" i="5"/>
  <c r="AE466" i="5"/>
  <c r="AD466" i="5"/>
  <c r="AC466" i="5"/>
  <c r="AB466" i="5"/>
  <c r="AA466" i="5"/>
  <c r="Z466" i="5"/>
  <c r="Y466" i="5"/>
  <c r="X466" i="5"/>
  <c r="W466" i="5"/>
  <c r="V466" i="5"/>
  <c r="T466" i="5"/>
  <c r="S466" i="5"/>
  <c r="Q466" i="5"/>
  <c r="P466" i="5"/>
  <c r="N466" i="5"/>
  <c r="K466" i="5"/>
  <c r="J466" i="5"/>
  <c r="I466" i="5"/>
  <c r="H466" i="5"/>
  <c r="G466" i="5"/>
  <c r="F466" i="5"/>
  <c r="E466" i="5"/>
  <c r="D466" i="5"/>
  <c r="B466" i="5"/>
  <c r="BI465" i="5"/>
  <c r="BD465" i="5"/>
  <c r="GF456" i="6" s="1"/>
  <c r="BC465" i="5"/>
  <c r="GE456" i="6" s="1"/>
  <c r="BB465" i="5"/>
  <c r="GD456" i="6" s="1"/>
  <c r="AZ465" i="5"/>
  <c r="AY465" i="5"/>
  <c r="AW465" i="5"/>
  <c r="AT465" i="5"/>
  <c r="AS465" i="5"/>
  <c r="AR465" i="5"/>
  <c r="AQ465" i="5"/>
  <c r="AP465" i="5"/>
  <c r="AO465" i="5"/>
  <c r="AN465" i="5"/>
  <c r="AL465" i="5"/>
  <c r="AK465" i="5"/>
  <c r="AJ465" i="5"/>
  <c r="AI465" i="5"/>
  <c r="AH465" i="5"/>
  <c r="AG465" i="5"/>
  <c r="AF465" i="5"/>
  <c r="AE465" i="5"/>
  <c r="AD465" i="5"/>
  <c r="AC465" i="5"/>
  <c r="AB465" i="5"/>
  <c r="AA465" i="5"/>
  <c r="Z465" i="5"/>
  <c r="Y465" i="5"/>
  <c r="X465" i="5"/>
  <c r="W465" i="5"/>
  <c r="V465" i="5"/>
  <c r="T465" i="5"/>
  <c r="S465" i="5"/>
  <c r="Q465" i="5"/>
  <c r="P465" i="5"/>
  <c r="N465" i="5"/>
  <c r="K465" i="5"/>
  <c r="J465" i="5"/>
  <c r="I465" i="5"/>
  <c r="H465" i="5"/>
  <c r="G465" i="5"/>
  <c r="F465" i="5"/>
  <c r="E465" i="5"/>
  <c r="D465" i="5"/>
  <c r="B465" i="5"/>
  <c r="BI464" i="5"/>
  <c r="BD464" i="5"/>
  <c r="BC464" i="5"/>
  <c r="GE455" i="6" s="1"/>
  <c r="BB464" i="5"/>
  <c r="GD455" i="6" s="1"/>
  <c r="AZ464" i="5"/>
  <c r="AY464" i="5"/>
  <c r="AW464" i="5"/>
  <c r="AT464" i="5"/>
  <c r="AS464" i="5"/>
  <c r="AR464" i="5"/>
  <c r="AQ464" i="5"/>
  <c r="AP464" i="5"/>
  <c r="AO464" i="5"/>
  <c r="AN464" i="5"/>
  <c r="AL464" i="5"/>
  <c r="AK464" i="5"/>
  <c r="AJ464" i="5"/>
  <c r="AI464" i="5"/>
  <c r="AH464" i="5"/>
  <c r="AG464" i="5"/>
  <c r="AF464" i="5"/>
  <c r="AE464" i="5"/>
  <c r="AD464" i="5"/>
  <c r="AC464" i="5"/>
  <c r="AB464" i="5"/>
  <c r="AA464" i="5"/>
  <c r="Z464" i="5"/>
  <c r="Y464" i="5"/>
  <c r="X464" i="5"/>
  <c r="W464" i="5"/>
  <c r="V464" i="5"/>
  <c r="T464" i="5"/>
  <c r="S464" i="5"/>
  <c r="Q464" i="5"/>
  <c r="P464" i="5"/>
  <c r="N464" i="5"/>
  <c r="K464" i="5"/>
  <c r="J464" i="5"/>
  <c r="I464" i="5"/>
  <c r="H464" i="5"/>
  <c r="G464" i="5"/>
  <c r="F464" i="5"/>
  <c r="E464" i="5"/>
  <c r="D464" i="5"/>
  <c r="B464" i="5"/>
  <c r="BI463" i="5"/>
  <c r="BD463" i="5"/>
  <c r="GF454" i="6" s="1"/>
  <c r="BC463" i="5"/>
  <c r="GE454" i="6" s="1"/>
  <c r="BB463" i="5"/>
  <c r="GD454" i="6" s="1"/>
  <c r="AZ463" i="5"/>
  <c r="AY463" i="5"/>
  <c r="AW463" i="5"/>
  <c r="AT463" i="5"/>
  <c r="AS463" i="5"/>
  <c r="AR463" i="5"/>
  <c r="AQ463" i="5"/>
  <c r="AP463" i="5"/>
  <c r="AO463" i="5"/>
  <c r="AN463" i="5"/>
  <c r="AL463" i="5"/>
  <c r="AK463" i="5"/>
  <c r="AJ463" i="5"/>
  <c r="AI463" i="5"/>
  <c r="AH463" i="5"/>
  <c r="AG463" i="5"/>
  <c r="AF463" i="5"/>
  <c r="AE463" i="5"/>
  <c r="AD463" i="5"/>
  <c r="AC463" i="5"/>
  <c r="AB463" i="5"/>
  <c r="AA463" i="5"/>
  <c r="Z463" i="5"/>
  <c r="Y463" i="5"/>
  <c r="X463" i="5"/>
  <c r="W463" i="5"/>
  <c r="V463" i="5"/>
  <c r="T463" i="5"/>
  <c r="S463" i="5"/>
  <c r="Q463" i="5"/>
  <c r="P463" i="5"/>
  <c r="N463" i="5"/>
  <c r="K463" i="5"/>
  <c r="J463" i="5"/>
  <c r="I463" i="5"/>
  <c r="H463" i="5"/>
  <c r="G463" i="5"/>
  <c r="F463" i="5"/>
  <c r="E463" i="5"/>
  <c r="D463" i="5"/>
  <c r="B463" i="5"/>
  <c r="BI462" i="5"/>
  <c r="BD462" i="5"/>
  <c r="GF453" i="6" s="1"/>
  <c r="BC462" i="5"/>
  <c r="GE453" i="6" s="1"/>
  <c r="BB462" i="5"/>
  <c r="GD453" i="6" s="1"/>
  <c r="AZ462" i="5"/>
  <c r="AY462" i="5"/>
  <c r="AW462" i="5"/>
  <c r="AT462" i="5"/>
  <c r="AS462" i="5"/>
  <c r="AR462" i="5"/>
  <c r="AQ462" i="5"/>
  <c r="AP462" i="5"/>
  <c r="AO462" i="5"/>
  <c r="AN462" i="5"/>
  <c r="AL462" i="5"/>
  <c r="AK462" i="5"/>
  <c r="AJ462" i="5"/>
  <c r="AI462" i="5"/>
  <c r="AH462" i="5"/>
  <c r="AG462" i="5"/>
  <c r="AF462" i="5"/>
  <c r="AE462" i="5"/>
  <c r="AD462" i="5"/>
  <c r="AC462" i="5"/>
  <c r="AB462" i="5"/>
  <c r="AA462" i="5"/>
  <c r="Z462" i="5"/>
  <c r="Y462" i="5"/>
  <c r="X462" i="5"/>
  <c r="W462" i="5"/>
  <c r="V462" i="5"/>
  <c r="T462" i="5"/>
  <c r="S462" i="5"/>
  <c r="Q462" i="5"/>
  <c r="P462" i="5"/>
  <c r="N462" i="5"/>
  <c r="K462" i="5"/>
  <c r="J462" i="5"/>
  <c r="I462" i="5"/>
  <c r="H462" i="5"/>
  <c r="G462" i="5"/>
  <c r="F462" i="5"/>
  <c r="E462" i="5"/>
  <c r="D462" i="5"/>
  <c r="B462" i="5"/>
  <c r="BI461" i="5"/>
  <c r="BD461" i="5"/>
  <c r="GF452" i="6" s="1"/>
  <c r="BC461" i="5"/>
  <c r="BB461" i="5"/>
  <c r="GD452" i="6" s="1"/>
  <c r="AZ461" i="5"/>
  <c r="AY461" i="5"/>
  <c r="AW461" i="5"/>
  <c r="AT461" i="5"/>
  <c r="AS461" i="5"/>
  <c r="AR461" i="5"/>
  <c r="AQ461" i="5"/>
  <c r="AP461" i="5"/>
  <c r="AO461" i="5"/>
  <c r="AN461" i="5"/>
  <c r="AL461" i="5"/>
  <c r="AK461" i="5"/>
  <c r="AJ461" i="5"/>
  <c r="AI461" i="5"/>
  <c r="AH461" i="5"/>
  <c r="AG461" i="5"/>
  <c r="AF461" i="5"/>
  <c r="AE461" i="5"/>
  <c r="AD461" i="5"/>
  <c r="AC461" i="5"/>
  <c r="AB461" i="5"/>
  <c r="AA461" i="5"/>
  <c r="Z461" i="5"/>
  <c r="Y461" i="5"/>
  <c r="X461" i="5"/>
  <c r="W461" i="5"/>
  <c r="V461" i="5"/>
  <c r="T461" i="5"/>
  <c r="S461" i="5"/>
  <c r="Q461" i="5"/>
  <c r="P461" i="5"/>
  <c r="N461" i="5"/>
  <c r="K461" i="5"/>
  <c r="J461" i="5"/>
  <c r="I461" i="5"/>
  <c r="H461" i="5"/>
  <c r="G461" i="5"/>
  <c r="F461" i="5"/>
  <c r="E461" i="5"/>
  <c r="D461" i="5"/>
  <c r="B461" i="5"/>
  <c r="BI460" i="5"/>
  <c r="BD460" i="5"/>
  <c r="GF451" i="6" s="1"/>
  <c r="BC460" i="5"/>
  <c r="GE451" i="6" s="1"/>
  <c r="BB460" i="5"/>
  <c r="GD451" i="6" s="1"/>
  <c r="AZ460" i="5"/>
  <c r="AY460" i="5"/>
  <c r="AW460" i="5"/>
  <c r="AT460" i="5"/>
  <c r="AS460" i="5"/>
  <c r="AR460" i="5"/>
  <c r="AQ460" i="5"/>
  <c r="AP460" i="5"/>
  <c r="AO460" i="5"/>
  <c r="AN460" i="5"/>
  <c r="AL460" i="5"/>
  <c r="AK460" i="5"/>
  <c r="AJ460" i="5"/>
  <c r="AI460" i="5"/>
  <c r="AH460" i="5"/>
  <c r="AG460" i="5"/>
  <c r="AF460" i="5"/>
  <c r="AE460" i="5"/>
  <c r="AD460" i="5"/>
  <c r="AC460" i="5"/>
  <c r="AB460" i="5"/>
  <c r="AA460" i="5"/>
  <c r="Z460" i="5"/>
  <c r="Y460" i="5"/>
  <c r="X460" i="5"/>
  <c r="W460" i="5"/>
  <c r="V460" i="5"/>
  <c r="T460" i="5"/>
  <c r="S460" i="5"/>
  <c r="Q460" i="5"/>
  <c r="P460" i="5"/>
  <c r="N460" i="5"/>
  <c r="K460" i="5"/>
  <c r="J460" i="5"/>
  <c r="I460" i="5"/>
  <c r="H460" i="5"/>
  <c r="G460" i="5"/>
  <c r="F460" i="5"/>
  <c r="E460" i="5"/>
  <c r="D460" i="5"/>
  <c r="B460" i="5"/>
  <c r="BI459" i="5"/>
  <c r="BD459" i="5"/>
  <c r="GF450" i="6" s="1"/>
  <c r="BC459" i="5"/>
  <c r="GE450" i="6" s="1"/>
  <c r="BB459" i="5"/>
  <c r="GD450" i="6" s="1"/>
  <c r="AZ459" i="5"/>
  <c r="AY459" i="5"/>
  <c r="AW459" i="5"/>
  <c r="AT459" i="5"/>
  <c r="AS459" i="5"/>
  <c r="AR459" i="5"/>
  <c r="AQ459" i="5"/>
  <c r="AP459" i="5"/>
  <c r="AO459" i="5"/>
  <c r="AN459" i="5"/>
  <c r="AL459" i="5"/>
  <c r="AK459" i="5"/>
  <c r="AJ459" i="5"/>
  <c r="AI459" i="5"/>
  <c r="AH459" i="5"/>
  <c r="AG459" i="5"/>
  <c r="AF459" i="5"/>
  <c r="AE459" i="5"/>
  <c r="AD459" i="5"/>
  <c r="AC459" i="5"/>
  <c r="AB459" i="5"/>
  <c r="AA459" i="5"/>
  <c r="Z459" i="5"/>
  <c r="Y459" i="5"/>
  <c r="X459" i="5"/>
  <c r="W459" i="5"/>
  <c r="V459" i="5"/>
  <c r="T459" i="5"/>
  <c r="S459" i="5"/>
  <c r="Q459" i="5"/>
  <c r="P459" i="5"/>
  <c r="N459" i="5"/>
  <c r="K459" i="5"/>
  <c r="J459" i="5"/>
  <c r="I459" i="5"/>
  <c r="H459" i="5"/>
  <c r="G459" i="5"/>
  <c r="F459" i="5"/>
  <c r="E459" i="5"/>
  <c r="D459" i="5"/>
  <c r="B459" i="5"/>
  <c r="BI458" i="5"/>
  <c r="BD458" i="5"/>
  <c r="GF449" i="6" s="1"/>
  <c r="BC458" i="5"/>
  <c r="GE449" i="6" s="1"/>
  <c r="BB458" i="5"/>
  <c r="GD449" i="6" s="1"/>
  <c r="AZ458" i="5"/>
  <c r="AY458" i="5"/>
  <c r="AW458" i="5"/>
  <c r="AT458" i="5"/>
  <c r="AS458" i="5"/>
  <c r="AR458" i="5"/>
  <c r="AQ458" i="5"/>
  <c r="AP458" i="5"/>
  <c r="AO458" i="5"/>
  <c r="AN458" i="5"/>
  <c r="AL458" i="5"/>
  <c r="AK458" i="5"/>
  <c r="AJ458" i="5"/>
  <c r="AI458" i="5"/>
  <c r="AH458" i="5"/>
  <c r="AG458" i="5"/>
  <c r="AF458" i="5"/>
  <c r="AE458" i="5"/>
  <c r="AD458" i="5"/>
  <c r="AC458" i="5"/>
  <c r="AB458" i="5"/>
  <c r="AA458" i="5"/>
  <c r="Z458" i="5"/>
  <c r="Y458" i="5"/>
  <c r="X458" i="5"/>
  <c r="W458" i="5"/>
  <c r="V458" i="5"/>
  <c r="T458" i="5"/>
  <c r="S458" i="5"/>
  <c r="Q458" i="5"/>
  <c r="P458" i="5"/>
  <c r="N458" i="5"/>
  <c r="K458" i="5"/>
  <c r="J458" i="5"/>
  <c r="I458" i="5"/>
  <c r="H458" i="5"/>
  <c r="G458" i="5"/>
  <c r="F458" i="5"/>
  <c r="E458" i="5"/>
  <c r="D458" i="5"/>
  <c r="B458" i="5"/>
  <c r="BI457" i="5"/>
  <c r="BD457" i="5"/>
  <c r="BC457" i="5"/>
  <c r="GE448" i="6" s="1"/>
  <c r="BB457" i="5"/>
  <c r="GD448" i="6" s="1"/>
  <c r="AZ457" i="5"/>
  <c r="AY457" i="5"/>
  <c r="AW457" i="5"/>
  <c r="AT457" i="5"/>
  <c r="AS457" i="5"/>
  <c r="AR457" i="5"/>
  <c r="AQ457" i="5"/>
  <c r="AP457" i="5"/>
  <c r="AO457" i="5"/>
  <c r="AN457" i="5"/>
  <c r="AL457" i="5"/>
  <c r="AK457" i="5"/>
  <c r="AJ457" i="5"/>
  <c r="AI457" i="5"/>
  <c r="AH457" i="5"/>
  <c r="AG457" i="5"/>
  <c r="AF457" i="5"/>
  <c r="AE457" i="5"/>
  <c r="AD457" i="5"/>
  <c r="AC457" i="5"/>
  <c r="AB457" i="5"/>
  <c r="AA457" i="5"/>
  <c r="Z457" i="5"/>
  <c r="Y457" i="5"/>
  <c r="X457" i="5"/>
  <c r="W457" i="5"/>
  <c r="V457" i="5"/>
  <c r="T457" i="5"/>
  <c r="S457" i="5"/>
  <c r="Q457" i="5"/>
  <c r="P457" i="5"/>
  <c r="N457" i="5"/>
  <c r="K457" i="5"/>
  <c r="J457" i="5"/>
  <c r="I457" i="5"/>
  <c r="H457" i="5"/>
  <c r="G457" i="5"/>
  <c r="F457" i="5"/>
  <c r="E457" i="5"/>
  <c r="D457" i="5"/>
  <c r="B457" i="5"/>
  <c r="BI456" i="5"/>
  <c r="BD456" i="5"/>
  <c r="GF447" i="6" s="1"/>
  <c r="BC456" i="5"/>
  <c r="GE447" i="6" s="1"/>
  <c r="BB456" i="5"/>
  <c r="GD447" i="6" s="1"/>
  <c r="AZ456" i="5"/>
  <c r="AY456" i="5"/>
  <c r="AW456" i="5"/>
  <c r="AT456" i="5"/>
  <c r="AS456" i="5"/>
  <c r="AR456" i="5"/>
  <c r="AQ456" i="5"/>
  <c r="AP456" i="5"/>
  <c r="AO456" i="5"/>
  <c r="AN456" i="5"/>
  <c r="AL456" i="5"/>
  <c r="AK456" i="5"/>
  <c r="AJ456" i="5"/>
  <c r="AI456" i="5"/>
  <c r="AH456" i="5"/>
  <c r="AG456" i="5"/>
  <c r="AF456" i="5"/>
  <c r="AE456" i="5"/>
  <c r="AD456" i="5"/>
  <c r="AC456" i="5"/>
  <c r="AB456" i="5"/>
  <c r="AA456" i="5"/>
  <c r="Z456" i="5"/>
  <c r="Y456" i="5"/>
  <c r="X456" i="5"/>
  <c r="W456" i="5"/>
  <c r="V456" i="5"/>
  <c r="T456" i="5"/>
  <c r="S456" i="5"/>
  <c r="Q456" i="5"/>
  <c r="P456" i="5"/>
  <c r="N456" i="5"/>
  <c r="K456" i="5"/>
  <c r="J456" i="5"/>
  <c r="I456" i="5"/>
  <c r="H456" i="5"/>
  <c r="G456" i="5"/>
  <c r="F456" i="5"/>
  <c r="E456" i="5"/>
  <c r="D456" i="5"/>
  <c r="B456" i="5"/>
  <c r="BI455" i="5"/>
  <c r="BD455" i="5"/>
  <c r="BC455" i="5"/>
  <c r="GE446" i="6" s="1"/>
  <c r="BB455" i="5"/>
  <c r="GD446" i="6" s="1"/>
  <c r="AZ455" i="5"/>
  <c r="AY455" i="5"/>
  <c r="AW455" i="5"/>
  <c r="AT455" i="5"/>
  <c r="AS455" i="5"/>
  <c r="AR455" i="5"/>
  <c r="AQ455" i="5"/>
  <c r="AP455" i="5"/>
  <c r="AO455" i="5"/>
  <c r="AN455" i="5"/>
  <c r="AL455" i="5"/>
  <c r="AK455" i="5"/>
  <c r="AJ455" i="5"/>
  <c r="AI455" i="5"/>
  <c r="AH455" i="5"/>
  <c r="AG455" i="5"/>
  <c r="AF455" i="5"/>
  <c r="AE455" i="5"/>
  <c r="AD455" i="5"/>
  <c r="AC455" i="5"/>
  <c r="AB455" i="5"/>
  <c r="AA455" i="5"/>
  <c r="Z455" i="5"/>
  <c r="Y455" i="5"/>
  <c r="X455" i="5"/>
  <c r="W455" i="5"/>
  <c r="V455" i="5"/>
  <c r="T455" i="5"/>
  <c r="S455" i="5"/>
  <c r="Q455" i="5"/>
  <c r="P455" i="5"/>
  <c r="N455" i="5"/>
  <c r="K455" i="5"/>
  <c r="J455" i="5"/>
  <c r="I455" i="5"/>
  <c r="H455" i="5"/>
  <c r="G455" i="5"/>
  <c r="F455" i="5"/>
  <c r="E455" i="5"/>
  <c r="D455" i="5"/>
  <c r="B455" i="5"/>
  <c r="BI454" i="5"/>
  <c r="BD454" i="5"/>
  <c r="GF445" i="6" s="1"/>
  <c r="BC454" i="5"/>
  <c r="BB454" i="5"/>
  <c r="GD445" i="6" s="1"/>
  <c r="AZ454" i="5"/>
  <c r="AY454" i="5"/>
  <c r="AW454" i="5"/>
  <c r="AT454" i="5"/>
  <c r="AS454" i="5"/>
  <c r="AR454" i="5"/>
  <c r="AQ454" i="5"/>
  <c r="AP454" i="5"/>
  <c r="AO454" i="5"/>
  <c r="AN454" i="5"/>
  <c r="AL454" i="5"/>
  <c r="AK454" i="5"/>
  <c r="AJ454" i="5"/>
  <c r="AI454" i="5"/>
  <c r="AH454" i="5"/>
  <c r="AG454" i="5"/>
  <c r="AF454" i="5"/>
  <c r="AE454" i="5"/>
  <c r="AD454" i="5"/>
  <c r="AC454" i="5"/>
  <c r="AB454" i="5"/>
  <c r="AA454" i="5"/>
  <c r="Z454" i="5"/>
  <c r="Y454" i="5"/>
  <c r="X454" i="5"/>
  <c r="W454" i="5"/>
  <c r="V454" i="5"/>
  <c r="T454" i="5"/>
  <c r="S454" i="5"/>
  <c r="Q454" i="5"/>
  <c r="P454" i="5"/>
  <c r="N454" i="5"/>
  <c r="K454" i="5"/>
  <c r="J454" i="5"/>
  <c r="I454" i="5"/>
  <c r="H454" i="5"/>
  <c r="G454" i="5"/>
  <c r="F454" i="5"/>
  <c r="E454" i="5"/>
  <c r="D454" i="5"/>
  <c r="B454" i="5"/>
  <c r="BI453" i="5"/>
  <c r="BD453" i="5"/>
  <c r="GF444" i="6" s="1"/>
  <c r="BC453" i="5"/>
  <c r="GE444" i="6" s="1"/>
  <c r="BB453" i="5"/>
  <c r="GD444" i="6" s="1"/>
  <c r="AZ453" i="5"/>
  <c r="AY453" i="5"/>
  <c r="AW453" i="5"/>
  <c r="AT453" i="5"/>
  <c r="AS453" i="5"/>
  <c r="AR453" i="5"/>
  <c r="AQ453" i="5"/>
  <c r="AP453" i="5"/>
  <c r="AO453" i="5"/>
  <c r="AN453" i="5"/>
  <c r="AL453" i="5"/>
  <c r="AK453" i="5"/>
  <c r="AJ453" i="5"/>
  <c r="AI453" i="5"/>
  <c r="AH453" i="5"/>
  <c r="AG453" i="5"/>
  <c r="AF453" i="5"/>
  <c r="AE453" i="5"/>
  <c r="AD453" i="5"/>
  <c r="AC453" i="5"/>
  <c r="AB453" i="5"/>
  <c r="AA453" i="5"/>
  <c r="Z453" i="5"/>
  <c r="Y453" i="5"/>
  <c r="X453" i="5"/>
  <c r="W453" i="5"/>
  <c r="V453" i="5"/>
  <c r="T453" i="5"/>
  <c r="S453" i="5"/>
  <c r="Q453" i="5"/>
  <c r="P453" i="5"/>
  <c r="N453" i="5"/>
  <c r="K453" i="5"/>
  <c r="J453" i="5"/>
  <c r="I453" i="5"/>
  <c r="H453" i="5"/>
  <c r="G453" i="5"/>
  <c r="F453" i="5"/>
  <c r="E453" i="5"/>
  <c r="D453" i="5"/>
  <c r="B453" i="5"/>
  <c r="BI452" i="5"/>
  <c r="BD452" i="5"/>
  <c r="BC452" i="5"/>
  <c r="GE443" i="6" s="1"/>
  <c r="BB452" i="5"/>
  <c r="GD443" i="6" s="1"/>
  <c r="AZ452" i="5"/>
  <c r="AY452" i="5"/>
  <c r="AW452" i="5"/>
  <c r="AT452" i="5"/>
  <c r="AS452" i="5"/>
  <c r="AR452" i="5"/>
  <c r="AQ452" i="5"/>
  <c r="AP452" i="5"/>
  <c r="AO452" i="5"/>
  <c r="AN452" i="5"/>
  <c r="AL452" i="5"/>
  <c r="AK452" i="5"/>
  <c r="AJ452" i="5"/>
  <c r="AI452" i="5"/>
  <c r="AH452" i="5"/>
  <c r="AG452" i="5"/>
  <c r="AF452" i="5"/>
  <c r="AE452" i="5"/>
  <c r="AD452" i="5"/>
  <c r="AC452" i="5"/>
  <c r="AB452" i="5"/>
  <c r="AA452" i="5"/>
  <c r="Z452" i="5"/>
  <c r="Y452" i="5"/>
  <c r="X452" i="5"/>
  <c r="W452" i="5"/>
  <c r="V452" i="5"/>
  <c r="T452" i="5"/>
  <c r="S452" i="5"/>
  <c r="Q452" i="5"/>
  <c r="P452" i="5"/>
  <c r="N452" i="5"/>
  <c r="K452" i="5"/>
  <c r="J452" i="5"/>
  <c r="I452" i="5"/>
  <c r="H452" i="5"/>
  <c r="G452" i="5"/>
  <c r="F452" i="5"/>
  <c r="E452" i="5"/>
  <c r="D452" i="5"/>
  <c r="B452" i="5"/>
  <c r="BI451" i="5"/>
  <c r="BD451" i="5"/>
  <c r="GF442" i="6" s="1"/>
  <c r="BC451" i="5"/>
  <c r="GE442" i="6" s="1"/>
  <c r="BB451" i="5"/>
  <c r="GD442" i="6" s="1"/>
  <c r="AZ451" i="5"/>
  <c r="AY451" i="5"/>
  <c r="AW451" i="5"/>
  <c r="AT451" i="5"/>
  <c r="AS451" i="5"/>
  <c r="AR451" i="5"/>
  <c r="AQ451" i="5"/>
  <c r="AP451" i="5"/>
  <c r="AO451" i="5"/>
  <c r="AN451" i="5"/>
  <c r="AL451" i="5"/>
  <c r="AK451" i="5"/>
  <c r="AJ451" i="5"/>
  <c r="AI451" i="5"/>
  <c r="AH451" i="5"/>
  <c r="AG451" i="5"/>
  <c r="AF451" i="5"/>
  <c r="AE451" i="5"/>
  <c r="AD451" i="5"/>
  <c r="AC451" i="5"/>
  <c r="AB451" i="5"/>
  <c r="AA451" i="5"/>
  <c r="Z451" i="5"/>
  <c r="Y451" i="5"/>
  <c r="X451" i="5"/>
  <c r="W451" i="5"/>
  <c r="V451" i="5"/>
  <c r="T451" i="5"/>
  <c r="S451" i="5"/>
  <c r="Q451" i="5"/>
  <c r="P451" i="5"/>
  <c r="N451" i="5"/>
  <c r="K451" i="5"/>
  <c r="J451" i="5"/>
  <c r="I451" i="5"/>
  <c r="H451" i="5"/>
  <c r="G451" i="5"/>
  <c r="F451" i="5"/>
  <c r="E451" i="5"/>
  <c r="D451" i="5"/>
  <c r="B451" i="5"/>
  <c r="BI450" i="5"/>
  <c r="BD450" i="5"/>
  <c r="BC450" i="5"/>
  <c r="GE441" i="6" s="1"/>
  <c r="BB450" i="5"/>
  <c r="GD441" i="6" s="1"/>
  <c r="AZ450" i="5"/>
  <c r="AY450" i="5"/>
  <c r="AW450" i="5"/>
  <c r="AT450" i="5"/>
  <c r="AS450" i="5"/>
  <c r="AR450" i="5"/>
  <c r="AQ450" i="5"/>
  <c r="AP450" i="5"/>
  <c r="AO450" i="5"/>
  <c r="AN450" i="5"/>
  <c r="AL450" i="5"/>
  <c r="AK450" i="5"/>
  <c r="AJ450" i="5"/>
  <c r="AI450" i="5"/>
  <c r="AH450" i="5"/>
  <c r="AG450" i="5"/>
  <c r="AF450" i="5"/>
  <c r="AE450" i="5"/>
  <c r="AD450" i="5"/>
  <c r="AC450" i="5"/>
  <c r="AB450" i="5"/>
  <c r="AA450" i="5"/>
  <c r="Z450" i="5"/>
  <c r="Y450" i="5"/>
  <c r="X450" i="5"/>
  <c r="W450" i="5"/>
  <c r="V450" i="5"/>
  <c r="T450" i="5"/>
  <c r="S450" i="5"/>
  <c r="Q450" i="5"/>
  <c r="P450" i="5"/>
  <c r="N450" i="5"/>
  <c r="K450" i="5"/>
  <c r="J450" i="5"/>
  <c r="I450" i="5"/>
  <c r="H450" i="5"/>
  <c r="G450" i="5"/>
  <c r="F450" i="5"/>
  <c r="E450" i="5"/>
  <c r="D450" i="5"/>
  <c r="B450" i="5"/>
  <c r="BI449" i="5"/>
  <c r="BD449" i="5"/>
  <c r="GF440" i="6" s="1"/>
  <c r="BC449" i="5"/>
  <c r="GE440" i="6" s="1"/>
  <c r="BB449" i="5"/>
  <c r="GD440" i="6" s="1"/>
  <c r="AZ449" i="5"/>
  <c r="AY449" i="5"/>
  <c r="AW449" i="5"/>
  <c r="AT449" i="5"/>
  <c r="AS449" i="5"/>
  <c r="AR449" i="5"/>
  <c r="AQ449" i="5"/>
  <c r="AP449" i="5"/>
  <c r="AO449" i="5"/>
  <c r="AN449" i="5"/>
  <c r="AL449" i="5"/>
  <c r="AK449" i="5"/>
  <c r="AJ449" i="5"/>
  <c r="AI449" i="5"/>
  <c r="AH449" i="5"/>
  <c r="AG449" i="5"/>
  <c r="AF449" i="5"/>
  <c r="AE449" i="5"/>
  <c r="AD449" i="5"/>
  <c r="AC449" i="5"/>
  <c r="AB449" i="5"/>
  <c r="AA449" i="5"/>
  <c r="Z449" i="5"/>
  <c r="Y449" i="5"/>
  <c r="X449" i="5"/>
  <c r="W449" i="5"/>
  <c r="V449" i="5"/>
  <c r="T449" i="5"/>
  <c r="S449" i="5"/>
  <c r="Q449" i="5"/>
  <c r="P449" i="5"/>
  <c r="N449" i="5"/>
  <c r="K449" i="5"/>
  <c r="J449" i="5"/>
  <c r="I449" i="5"/>
  <c r="H449" i="5"/>
  <c r="G449" i="5"/>
  <c r="F449" i="5"/>
  <c r="E449" i="5"/>
  <c r="D449" i="5"/>
  <c r="B449" i="5"/>
  <c r="BI448" i="5"/>
  <c r="BD448" i="5"/>
  <c r="BC448" i="5"/>
  <c r="GE439" i="6" s="1"/>
  <c r="BB448" i="5"/>
  <c r="GD439" i="6" s="1"/>
  <c r="AZ448" i="5"/>
  <c r="AY448" i="5"/>
  <c r="AW448" i="5"/>
  <c r="AT448" i="5"/>
  <c r="AS448" i="5"/>
  <c r="AR448" i="5"/>
  <c r="AQ448" i="5"/>
  <c r="AP448" i="5"/>
  <c r="AO448" i="5"/>
  <c r="AN448" i="5"/>
  <c r="AL448" i="5"/>
  <c r="AK448" i="5"/>
  <c r="AJ448" i="5"/>
  <c r="AI448" i="5"/>
  <c r="AH448" i="5"/>
  <c r="AG448" i="5"/>
  <c r="AF448" i="5"/>
  <c r="AE448" i="5"/>
  <c r="AD448" i="5"/>
  <c r="AC448" i="5"/>
  <c r="AB448" i="5"/>
  <c r="AA448" i="5"/>
  <c r="Z448" i="5"/>
  <c r="Y448" i="5"/>
  <c r="X448" i="5"/>
  <c r="W448" i="5"/>
  <c r="V448" i="5"/>
  <c r="T448" i="5"/>
  <c r="S448" i="5"/>
  <c r="Q448" i="5"/>
  <c r="P448" i="5"/>
  <c r="N448" i="5"/>
  <c r="K448" i="5"/>
  <c r="J448" i="5"/>
  <c r="I448" i="5"/>
  <c r="H448" i="5"/>
  <c r="G448" i="5"/>
  <c r="F448" i="5"/>
  <c r="E448" i="5"/>
  <c r="D448" i="5"/>
  <c r="B448" i="5"/>
  <c r="BI447" i="5"/>
  <c r="BD447" i="5"/>
  <c r="GF438" i="6" s="1"/>
  <c r="BC447" i="5"/>
  <c r="GE438" i="6" s="1"/>
  <c r="BB447" i="5"/>
  <c r="GD438" i="6" s="1"/>
  <c r="AZ447" i="5"/>
  <c r="AY447" i="5"/>
  <c r="AW447" i="5"/>
  <c r="AT447" i="5"/>
  <c r="AS447" i="5"/>
  <c r="AR447" i="5"/>
  <c r="AQ447" i="5"/>
  <c r="AP447" i="5"/>
  <c r="AO447" i="5"/>
  <c r="AN447" i="5"/>
  <c r="AL447" i="5"/>
  <c r="AK447" i="5"/>
  <c r="AJ447" i="5"/>
  <c r="AI447" i="5"/>
  <c r="AH447" i="5"/>
  <c r="AG447" i="5"/>
  <c r="AF447" i="5"/>
  <c r="AE447" i="5"/>
  <c r="AD447" i="5"/>
  <c r="AC447" i="5"/>
  <c r="AB447" i="5"/>
  <c r="AA447" i="5"/>
  <c r="Z447" i="5"/>
  <c r="Y447" i="5"/>
  <c r="X447" i="5"/>
  <c r="W447" i="5"/>
  <c r="V447" i="5"/>
  <c r="T447" i="5"/>
  <c r="S447" i="5"/>
  <c r="Q447" i="5"/>
  <c r="P447" i="5"/>
  <c r="N447" i="5"/>
  <c r="K447" i="5"/>
  <c r="J447" i="5"/>
  <c r="I447" i="5"/>
  <c r="H447" i="5"/>
  <c r="G447" i="5"/>
  <c r="F447" i="5"/>
  <c r="E447" i="5"/>
  <c r="D447" i="5"/>
  <c r="B447" i="5"/>
  <c r="BI446" i="5"/>
  <c r="BD446" i="5"/>
  <c r="GF437" i="6" s="1"/>
  <c r="BC446" i="5"/>
  <c r="GE437" i="6" s="1"/>
  <c r="BB446" i="5"/>
  <c r="GD437" i="6" s="1"/>
  <c r="AZ446" i="5"/>
  <c r="AY446" i="5"/>
  <c r="AW446" i="5"/>
  <c r="AT446" i="5"/>
  <c r="AS446" i="5"/>
  <c r="AR446" i="5"/>
  <c r="AQ446" i="5"/>
  <c r="AP446" i="5"/>
  <c r="AO446" i="5"/>
  <c r="AN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Y446" i="5"/>
  <c r="X446" i="5"/>
  <c r="W446" i="5"/>
  <c r="V446" i="5"/>
  <c r="T446" i="5"/>
  <c r="S446" i="5"/>
  <c r="Q446" i="5"/>
  <c r="P446" i="5"/>
  <c r="N446" i="5"/>
  <c r="K446" i="5"/>
  <c r="J446" i="5"/>
  <c r="I446" i="5"/>
  <c r="H446" i="5"/>
  <c r="G446" i="5"/>
  <c r="F446" i="5"/>
  <c r="E446" i="5"/>
  <c r="D446" i="5"/>
  <c r="B446" i="5"/>
  <c r="BI445" i="5"/>
  <c r="BD445" i="5"/>
  <c r="GF436" i="6" s="1"/>
  <c r="BC445" i="5"/>
  <c r="GE436" i="6" s="1"/>
  <c r="BB445" i="5"/>
  <c r="GD436" i="6" s="1"/>
  <c r="AZ445" i="5"/>
  <c r="AY445" i="5"/>
  <c r="AW445" i="5"/>
  <c r="AT445" i="5"/>
  <c r="AS445" i="5"/>
  <c r="AR445" i="5"/>
  <c r="AQ445" i="5"/>
  <c r="AP445" i="5"/>
  <c r="AO445" i="5"/>
  <c r="AN445" i="5"/>
  <c r="AL445" i="5"/>
  <c r="AK445" i="5"/>
  <c r="AJ445" i="5"/>
  <c r="AI445" i="5"/>
  <c r="AH445" i="5"/>
  <c r="AG445" i="5"/>
  <c r="AF445" i="5"/>
  <c r="AE445" i="5"/>
  <c r="AD445" i="5"/>
  <c r="AC445" i="5"/>
  <c r="AB445" i="5"/>
  <c r="AA445" i="5"/>
  <c r="Z445" i="5"/>
  <c r="Y445" i="5"/>
  <c r="X445" i="5"/>
  <c r="W445" i="5"/>
  <c r="V445" i="5"/>
  <c r="T445" i="5"/>
  <c r="S445" i="5"/>
  <c r="Q445" i="5"/>
  <c r="P445" i="5"/>
  <c r="N445" i="5"/>
  <c r="K445" i="5"/>
  <c r="J445" i="5"/>
  <c r="I445" i="5"/>
  <c r="H445" i="5"/>
  <c r="G445" i="5"/>
  <c r="F445" i="5"/>
  <c r="E445" i="5"/>
  <c r="D445" i="5"/>
  <c r="B445" i="5"/>
  <c r="BI444" i="5"/>
  <c r="BD444" i="5"/>
  <c r="BC444" i="5"/>
  <c r="GE435" i="6" s="1"/>
  <c r="BB444" i="5"/>
  <c r="GD435" i="6" s="1"/>
  <c r="AZ444" i="5"/>
  <c r="AY444" i="5"/>
  <c r="AW444" i="5"/>
  <c r="AT444" i="5"/>
  <c r="AS444" i="5"/>
  <c r="AR444" i="5"/>
  <c r="AQ444" i="5"/>
  <c r="AP444" i="5"/>
  <c r="AO444" i="5"/>
  <c r="AN444" i="5"/>
  <c r="AL444" i="5"/>
  <c r="AK444" i="5"/>
  <c r="AJ444" i="5"/>
  <c r="AI444" i="5"/>
  <c r="AH444" i="5"/>
  <c r="AG444" i="5"/>
  <c r="AF444" i="5"/>
  <c r="AE444" i="5"/>
  <c r="AD444" i="5"/>
  <c r="AC444" i="5"/>
  <c r="AB444" i="5"/>
  <c r="AA444" i="5"/>
  <c r="Z444" i="5"/>
  <c r="Y444" i="5"/>
  <c r="X444" i="5"/>
  <c r="W444" i="5"/>
  <c r="V444" i="5"/>
  <c r="T444" i="5"/>
  <c r="S444" i="5"/>
  <c r="Q444" i="5"/>
  <c r="P444" i="5"/>
  <c r="N444" i="5"/>
  <c r="K444" i="5"/>
  <c r="J444" i="5"/>
  <c r="I444" i="5"/>
  <c r="H444" i="5"/>
  <c r="G444" i="5"/>
  <c r="F444" i="5"/>
  <c r="E444" i="5"/>
  <c r="D444" i="5"/>
  <c r="B444" i="5"/>
  <c r="BI443" i="5"/>
  <c r="BD443" i="5"/>
  <c r="GF434" i="6" s="1"/>
  <c r="BC443" i="5"/>
  <c r="GE434" i="6" s="1"/>
  <c r="BB443" i="5"/>
  <c r="GD434" i="6" s="1"/>
  <c r="AZ443" i="5"/>
  <c r="AY443" i="5"/>
  <c r="AW443" i="5"/>
  <c r="AT443" i="5"/>
  <c r="AS443" i="5"/>
  <c r="AR443" i="5"/>
  <c r="AQ443" i="5"/>
  <c r="AP443" i="5"/>
  <c r="AO443" i="5"/>
  <c r="AN443" i="5"/>
  <c r="AL443" i="5"/>
  <c r="AK443" i="5"/>
  <c r="AJ443" i="5"/>
  <c r="AI443" i="5"/>
  <c r="AH443" i="5"/>
  <c r="AG443" i="5"/>
  <c r="AF443" i="5"/>
  <c r="AE443" i="5"/>
  <c r="AD443" i="5"/>
  <c r="AC443" i="5"/>
  <c r="AB443" i="5"/>
  <c r="AA443" i="5"/>
  <c r="Z443" i="5"/>
  <c r="Y443" i="5"/>
  <c r="X443" i="5"/>
  <c r="W443" i="5"/>
  <c r="V443" i="5"/>
  <c r="T443" i="5"/>
  <c r="S443" i="5"/>
  <c r="Q443" i="5"/>
  <c r="P443" i="5"/>
  <c r="N443" i="5"/>
  <c r="K443" i="5"/>
  <c r="J443" i="5"/>
  <c r="I443" i="5"/>
  <c r="H443" i="5"/>
  <c r="G443" i="5"/>
  <c r="F443" i="5"/>
  <c r="E443" i="5"/>
  <c r="D443" i="5"/>
  <c r="B443" i="5"/>
  <c r="BI442" i="5"/>
  <c r="BD442" i="5"/>
  <c r="BC442" i="5"/>
  <c r="GE433" i="6" s="1"/>
  <c r="BB442" i="5"/>
  <c r="GD433" i="6" s="1"/>
  <c r="AZ442" i="5"/>
  <c r="AY442" i="5"/>
  <c r="AW442" i="5"/>
  <c r="AT442" i="5"/>
  <c r="AS442" i="5"/>
  <c r="AR442" i="5"/>
  <c r="AQ442" i="5"/>
  <c r="AP442" i="5"/>
  <c r="AO442" i="5"/>
  <c r="AN442" i="5"/>
  <c r="AL442" i="5"/>
  <c r="AK442" i="5"/>
  <c r="AJ442" i="5"/>
  <c r="AI442" i="5"/>
  <c r="AH442" i="5"/>
  <c r="AG442" i="5"/>
  <c r="AF442" i="5"/>
  <c r="AE442" i="5"/>
  <c r="AD442" i="5"/>
  <c r="AC442" i="5"/>
  <c r="AB442" i="5"/>
  <c r="AA442" i="5"/>
  <c r="Z442" i="5"/>
  <c r="Y442" i="5"/>
  <c r="X442" i="5"/>
  <c r="W442" i="5"/>
  <c r="V442" i="5"/>
  <c r="T442" i="5"/>
  <c r="S442" i="5"/>
  <c r="Q442" i="5"/>
  <c r="P442" i="5"/>
  <c r="N442" i="5"/>
  <c r="K442" i="5"/>
  <c r="J442" i="5"/>
  <c r="I442" i="5"/>
  <c r="H442" i="5"/>
  <c r="G442" i="5"/>
  <c r="F442" i="5"/>
  <c r="E442" i="5"/>
  <c r="D442" i="5"/>
  <c r="B442" i="5"/>
  <c r="BI441" i="5"/>
  <c r="BD441" i="5"/>
  <c r="GF432" i="6" s="1"/>
  <c r="BC441" i="5"/>
  <c r="BB441" i="5"/>
  <c r="GD432" i="6" s="1"/>
  <c r="AZ441" i="5"/>
  <c r="AY441" i="5"/>
  <c r="AW441" i="5"/>
  <c r="AT441" i="5"/>
  <c r="AS441" i="5"/>
  <c r="AR441" i="5"/>
  <c r="AQ441" i="5"/>
  <c r="AP441" i="5"/>
  <c r="AO441" i="5"/>
  <c r="AN441" i="5"/>
  <c r="AL441" i="5"/>
  <c r="AK441" i="5"/>
  <c r="AJ441" i="5"/>
  <c r="AI441" i="5"/>
  <c r="AH441" i="5"/>
  <c r="AG441" i="5"/>
  <c r="AF441" i="5"/>
  <c r="AE441" i="5"/>
  <c r="AD441" i="5"/>
  <c r="AC441" i="5"/>
  <c r="AB441" i="5"/>
  <c r="AA441" i="5"/>
  <c r="Z441" i="5"/>
  <c r="Y441" i="5"/>
  <c r="X441" i="5"/>
  <c r="W441" i="5"/>
  <c r="V441" i="5"/>
  <c r="T441" i="5"/>
  <c r="S441" i="5"/>
  <c r="Q441" i="5"/>
  <c r="P441" i="5"/>
  <c r="N441" i="5"/>
  <c r="K441" i="5"/>
  <c r="J441" i="5"/>
  <c r="I441" i="5"/>
  <c r="H441" i="5"/>
  <c r="G441" i="5"/>
  <c r="F441" i="5"/>
  <c r="E441" i="5"/>
  <c r="D441" i="5"/>
  <c r="B441" i="5"/>
  <c r="BI440" i="5"/>
  <c r="BD440" i="5"/>
  <c r="GF431" i="6" s="1"/>
  <c r="BC440" i="5"/>
  <c r="GE431" i="6" s="1"/>
  <c r="BB440" i="5"/>
  <c r="GD431" i="6" s="1"/>
  <c r="AZ440" i="5"/>
  <c r="AY440" i="5"/>
  <c r="AW440" i="5"/>
  <c r="AT440" i="5"/>
  <c r="AS440" i="5"/>
  <c r="AR440" i="5"/>
  <c r="AQ440" i="5"/>
  <c r="AP440" i="5"/>
  <c r="AO440" i="5"/>
  <c r="AN440" i="5"/>
  <c r="AL440" i="5"/>
  <c r="AK440" i="5"/>
  <c r="AJ440" i="5"/>
  <c r="AI440" i="5"/>
  <c r="AH440" i="5"/>
  <c r="AG440" i="5"/>
  <c r="AF440" i="5"/>
  <c r="AE440" i="5"/>
  <c r="AD440" i="5"/>
  <c r="AC440" i="5"/>
  <c r="AB440" i="5"/>
  <c r="AA440" i="5"/>
  <c r="Z440" i="5"/>
  <c r="Y440" i="5"/>
  <c r="X440" i="5"/>
  <c r="W440" i="5"/>
  <c r="V440" i="5"/>
  <c r="T440" i="5"/>
  <c r="S440" i="5"/>
  <c r="Q440" i="5"/>
  <c r="P440" i="5"/>
  <c r="N440" i="5"/>
  <c r="K440" i="5"/>
  <c r="J440" i="5"/>
  <c r="I440" i="5"/>
  <c r="H440" i="5"/>
  <c r="G440" i="5"/>
  <c r="F440" i="5"/>
  <c r="E440" i="5"/>
  <c r="D440" i="5"/>
  <c r="B440" i="5"/>
  <c r="BI439" i="5"/>
  <c r="BD439" i="5"/>
  <c r="GF430" i="6" s="1"/>
  <c r="BC439" i="5"/>
  <c r="BB439" i="5"/>
  <c r="GD430" i="6" s="1"/>
  <c r="AZ439" i="5"/>
  <c r="AY439" i="5"/>
  <c r="AW439" i="5"/>
  <c r="AT439" i="5"/>
  <c r="AS439" i="5"/>
  <c r="AR439" i="5"/>
  <c r="AQ439" i="5"/>
  <c r="AP439" i="5"/>
  <c r="AO439" i="5"/>
  <c r="AN439" i="5"/>
  <c r="AL439" i="5"/>
  <c r="AK439" i="5"/>
  <c r="AJ439" i="5"/>
  <c r="AI439" i="5"/>
  <c r="AH439" i="5"/>
  <c r="AG439" i="5"/>
  <c r="AF439" i="5"/>
  <c r="AE439" i="5"/>
  <c r="AD439" i="5"/>
  <c r="AC439" i="5"/>
  <c r="AB439" i="5"/>
  <c r="AA439" i="5"/>
  <c r="Z439" i="5"/>
  <c r="Y439" i="5"/>
  <c r="X439" i="5"/>
  <c r="W439" i="5"/>
  <c r="V439" i="5"/>
  <c r="T439" i="5"/>
  <c r="S439" i="5"/>
  <c r="Q439" i="5"/>
  <c r="P439" i="5"/>
  <c r="N439" i="5"/>
  <c r="K439" i="5"/>
  <c r="J439" i="5"/>
  <c r="I439" i="5"/>
  <c r="H439" i="5"/>
  <c r="G439" i="5"/>
  <c r="F439" i="5"/>
  <c r="E439" i="5"/>
  <c r="D439" i="5"/>
  <c r="B439" i="5"/>
  <c r="BI438" i="5"/>
  <c r="BD438" i="5"/>
  <c r="GF429" i="6" s="1"/>
  <c r="BC438" i="5"/>
  <c r="GE429" i="6" s="1"/>
  <c r="BB438" i="5"/>
  <c r="GD429" i="6" s="1"/>
  <c r="AZ438" i="5"/>
  <c r="AY438" i="5"/>
  <c r="AW438" i="5"/>
  <c r="AT438" i="5"/>
  <c r="AS438" i="5"/>
  <c r="AR438" i="5"/>
  <c r="AQ438" i="5"/>
  <c r="AP438" i="5"/>
  <c r="AO438" i="5"/>
  <c r="AN438" i="5"/>
  <c r="AL438" i="5"/>
  <c r="AK438" i="5"/>
  <c r="AJ438" i="5"/>
  <c r="AI438" i="5"/>
  <c r="AH438" i="5"/>
  <c r="AG438" i="5"/>
  <c r="AF438" i="5"/>
  <c r="AE438" i="5"/>
  <c r="AD438" i="5"/>
  <c r="AC438" i="5"/>
  <c r="AB438" i="5"/>
  <c r="AA438" i="5"/>
  <c r="Z438" i="5"/>
  <c r="Y438" i="5"/>
  <c r="X438" i="5"/>
  <c r="W438" i="5"/>
  <c r="V438" i="5"/>
  <c r="T438" i="5"/>
  <c r="S438" i="5"/>
  <c r="Q438" i="5"/>
  <c r="P438" i="5"/>
  <c r="N438" i="5"/>
  <c r="K438" i="5"/>
  <c r="J438" i="5"/>
  <c r="I438" i="5"/>
  <c r="H438" i="5"/>
  <c r="G438" i="5"/>
  <c r="F438" i="5"/>
  <c r="E438" i="5"/>
  <c r="D438" i="5"/>
  <c r="B438" i="5"/>
  <c r="BI437" i="5"/>
  <c r="BD437" i="5"/>
  <c r="GF428" i="6" s="1"/>
  <c r="BC437" i="5"/>
  <c r="GE428" i="6" s="1"/>
  <c r="BB437" i="5"/>
  <c r="GD428" i="6" s="1"/>
  <c r="AZ437" i="5"/>
  <c r="AY437" i="5"/>
  <c r="AW437" i="5"/>
  <c r="AT437" i="5"/>
  <c r="AS437" i="5"/>
  <c r="AR437" i="5"/>
  <c r="AQ437" i="5"/>
  <c r="AP437" i="5"/>
  <c r="AO437" i="5"/>
  <c r="AN437" i="5"/>
  <c r="AL437" i="5"/>
  <c r="AK437" i="5"/>
  <c r="AJ437" i="5"/>
  <c r="AI437" i="5"/>
  <c r="AH437" i="5"/>
  <c r="AG437" i="5"/>
  <c r="AF437" i="5"/>
  <c r="AE437" i="5"/>
  <c r="AD437" i="5"/>
  <c r="AC437" i="5"/>
  <c r="AB437" i="5"/>
  <c r="AA437" i="5"/>
  <c r="Z437" i="5"/>
  <c r="Y437" i="5"/>
  <c r="X437" i="5"/>
  <c r="W437" i="5"/>
  <c r="V437" i="5"/>
  <c r="T437" i="5"/>
  <c r="S437" i="5"/>
  <c r="Q437" i="5"/>
  <c r="P437" i="5"/>
  <c r="N437" i="5"/>
  <c r="K437" i="5"/>
  <c r="J437" i="5"/>
  <c r="I437" i="5"/>
  <c r="H437" i="5"/>
  <c r="G437" i="5"/>
  <c r="F437" i="5"/>
  <c r="E437" i="5"/>
  <c r="D437" i="5"/>
  <c r="B437" i="5"/>
  <c r="BI436" i="5"/>
  <c r="BD436" i="5"/>
  <c r="GF427" i="6" s="1"/>
  <c r="BC436" i="5"/>
  <c r="GE427" i="6" s="1"/>
  <c r="BB436" i="5"/>
  <c r="GD427" i="6" s="1"/>
  <c r="AZ436" i="5"/>
  <c r="AY436" i="5"/>
  <c r="AW436" i="5"/>
  <c r="AT436" i="5"/>
  <c r="AS436" i="5"/>
  <c r="AR436" i="5"/>
  <c r="AQ436" i="5"/>
  <c r="AP436" i="5"/>
  <c r="AO436" i="5"/>
  <c r="AN436" i="5"/>
  <c r="AL436" i="5"/>
  <c r="AK436" i="5"/>
  <c r="AJ436" i="5"/>
  <c r="AI436" i="5"/>
  <c r="AH436" i="5"/>
  <c r="AG436" i="5"/>
  <c r="AF436" i="5"/>
  <c r="AE436" i="5"/>
  <c r="AD436" i="5"/>
  <c r="AC436" i="5"/>
  <c r="AB436" i="5"/>
  <c r="AA436" i="5"/>
  <c r="Z436" i="5"/>
  <c r="Y436" i="5"/>
  <c r="X436" i="5"/>
  <c r="W436" i="5"/>
  <c r="V436" i="5"/>
  <c r="T436" i="5"/>
  <c r="S436" i="5"/>
  <c r="Q436" i="5"/>
  <c r="P436" i="5"/>
  <c r="N436" i="5"/>
  <c r="K436" i="5"/>
  <c r="J436" i="5"/>
  <c r="I436" i="5"/>
  <c r="H436" i="5"/>
  <c r="G436" i="5"/>
  <c r="F436" i="5"/>
  <c r="E436" i="5"/>
  <c r="D436" i="5"/>
  <c r="B436" i="5"/>
  <c r="BI435" i="5"/>
  <c r="BD435" i="5"/>
  <c r="BC435" i="5"/>
  <c r="GE426" i="6" s="1"/>
  <c r="BB435" i="5"/>
  <c r="GD426" i="6" s="1"/>
  <c r="AZ435" i="5"/>
  <c r="AY435" i="5"/>
  <c r="AW435" i="5"/>
  <c r="AT435" i="5"/>
  <c r="AS435" i="5"/>
  <c r="AR435" i="5"/>
  <c r="AQ435" i="5"/>
  <c r="AP435" i="5"/>
  <c r="AO435" i="5"/>
  <c r="AN435" i="5"/>
  <c r="AL435" i="5"/>
  <c r="AK435" i="5"/>
  <c r="AJ435" i="5"/>
  <c r="AI435" i="5"/>
  <c r="AH435" i="5"/>
  <c r="AG435" i="5"/>
  <c r="AF435" i="5"/>
  <c r="AE435" i="5"/>
  <c r="AD435" i="5"/>
  <c r="AC435" i="5"/>
  <c r="AB435" i="5"/>
  <c r="AA435" i="5"/>
  <c r="Z435" i="5"/>
  <c r="Y435" i="5"/>
  <c r="X435" i="5"/>
  <c r="W435" i="5"/>
  <c r="V435" i="5"/>
  <c r="T435" i="5"/>
  <c r="S435" i="5"/>
  <c r="Q435" i="5"/>
  <c r="P435" i="5"/>
  <c r="N435" i="5"/>
  <c r="K435" i="5"/>
  <c r="J435" i="5"/>
  <c r="I435" i="5"/>
  <c r="H435" i="5"/>
  <c r="G435" i="5"/>
  <c r="F435" i="5"/>
  <c r="E435" i="5"/>
  <c r="D435" i="5"/>
  <c r="B435" i="5"/>
  <c r="BI434" i="5"/>
  <c r="BD434" i="5"/>
  <c r="GF425" i="6" s="1"/>
  <c r="BC434" i="5"/>
  <c r="GE425" i="6" s="1"/>
  <c r="BB434" i="5"/>
  <c r="GD425" i="6" s="1"/>
  <c r="AZ434" i="5"/>
  <c r="AY434" i="5"/>
  <c r="AW434" i="5"/>
  <c r="AT434" i="5"/>
  <c r="AS434" i="5"/>
  <c r="AR434" i="5"/>
  <c r="AQ434" i="5"/>
  <c r="AP434" i="5"/>
  <c r="AO434" i="5"/>
  <c r="AN434" i="5"/>
  <c r="AL434" i="5"/>
  <c r="AK434" i="5"/>
  <c r="AJ434" i="5"/>
  <c r="AI434" i="5"/>
  <c r="AH434" i="5"/>
  <c r="AG434" i="5"/>
  <c r="AF434" i="5"/>
  <c r="AE434" i="5"/>
  <c r="AD434" i="5"/>
  <c r="AC434" i="5"/>
  <c r="AB434" i="5"/>
  <c r="AA434" i="5"/>
  <c r="Z434" i="5"/>
  <c r="Y434" i="5"/>
  <c r="X434" i="5"/>
  <c r="W434" i="5"/>
  <c r="V434" i="5"/>
  <c r="T434" i="5"/>
  <c r="S434" i="5"/>
  <c r="Q434" i="5"/>
  <c r="P434" i="5"/>
  <c r="N434" i="5"/>
  <c r="K434" i="5"/>
  <c r="J434" i="5"/>
  <c r="I434" i="5"/>
  <c r="H434" i="5"/>
  <c r="G434" i="5"/>
  <c r="F434" i="5"/>
  <c r="E434" i="5"/>
  <c r="D434" i="5"/>
  <c r="B434" i="5"/>
  <c r="BI433" i="5"/>
  <c r="BD433" i="5"/>
  <c r="GF424" i="6" s="1"/>
  <c r="BC433" i="5"/>
  <c r="GE424" i="6" s="1"/>
  <c r="BB433" i="5"/>
  <c r="GD424" i="6" s="1"/>
  <c r="AZ433" i="5"/>
  <c r="AY433" i="5"/>
  <c r="AW433" i="5"/>
  <c r="AT433" i="5"/>
  <c r="AS433" i="5"/>
  <c r="AR433" i="5"/>
  <c r="AQ433" i="5"/>
  <c r="AP433" i="5"/>
  <c r="AO433" i="5"/>
  <c r="AN433" i="5"/>
  <c r="AL433" i="5"/>
  <c r="AK433" i="5"/>
  <c r="AJ433" i="5"/>
  <c r="AI433" i="5"/>
  <c r="AH433" i="5"/>
  <c r="AG433" i="5"/>
  <c r="AF433" i="5"/>
  <c r="AE433" i="5"/>
  <c r="AD433" i="5"/>
  <c r="AC433" i="5"/>
  <c r="AB433" i="5"/>
  <c r="AA433" i="5"/>
  <c r="Z433" i="5"/>
  <c r="Y433" i="5"/>
  <c r="X433" i="5"/>
  <c r="W433" i="5"/>
  <c r="V433" i="5"/>
  <c r="T433" i="5"/>
  <c r="S433" i="5"/>
  <c r="Q433" i="5"/>
  <c r="P433" i="5"/>
  <c r="N433" i="5"/>
  <c r="K433" i="5"/>
  <c r="J433" i="5"/>
  <c r="I433" i="5"/>
  <c r="H433" i="5"/>
  <c r="G433" i="5"/>
  <c r="F433" i="5"/>
  <c r="E433" i="5"/>
  <c r="D433" i="5"/>
  <c r="B433" i="5"/>
  <c r="BI432" i="5"/>
  <c r="BD432" i="5"/>
  <c r="GF423" i="6" s="1"/>
  <c r="BC432" i="5"/>
  <c r="GE423" i="6" s="1"/>
  <c r="BB432" i="5"/>
  <c r="GD423" i="6" s="1"/>
  <c r="AZ432" i="5"/>
  <c r="AY432" i="5"/>
  <c r="AW432" i="5"/>
  <c r="AT432" i="5"/>
  <c r="AS432" i="5"/>
  <c r="AR432" i="5"/>
  <c r="AQ432" i="5"/>
  <c r="AP432" i="5"/>
  <c r="AO432" i="5"/>
  <c r="AN432" i="5"/>
  <c r="AL432" i="5"/>
  <c r="AK432" i="5"/>
  <c r="AJ432" i="5"/>
  <c r="AI432" i="5"/>
  <c r="AH432" i="5"/>
  <c r="AG432" i="5"/>
  <c r="AF432" i="5"/>
  <c r="AE432" i="5"/>
  <c r="AD432" i="5"/>
  <c r="AC432" i="5"/>
  <c r="AB432" i="5"/>
  <c r="AA432" i="5"/>
  <c r="Z432" i="5"/>
  <c r="Y432" i="5"/>
  <c r="X432" i="5"/>
  <c r="W432" i="5"/>
  <c r="V432" i="5"/>
  <c r="T432" i="5"/>
  <c r="S432" i="5"/>
  <c r="Q432" i="5"/>
  <c r="P432" i="5"/>
  <c r="N432" i="5"/>
  <c r="K432" i="5"/>
  <c r="J432" i="5"/>
  <c r="I432" i="5"/>
  <c r="H432" i="5"/>
  <c r="G432" i="5"/>
  <c r="F432" i="5"/>
  <c r="E432" i="5"/>
  <c r="D432" i="5"/>
  <c r="B432" i="5"/>
  <c r="BI431" i="5"/>
  <c r="BD431" i="5"/>
  <c r="GF422" i="6" s="1"/>
  <c r="BC431" i="5"/>
  <c r="GE422" i="6" s="1"/>
  <c r="BB431" i="5"/>
  <c r="GD422" i="6" s="1"/>
  <c r="AZ431" i="5"/>
  <c r="AY431" i="5"/>
  <c r="AW431" i="5"/>
  <c r="AT431" i="5"/>
  <c r="AS431" i="5"/>
  <c r="AR431" i="5"/>
  <c r="AQ431" i="5"/>
  <c r="AP431" i="5"/>
  <c r="AO431" i="5"/>
  <c r="AN431" i="5"/>
  <c r="AL431" i="5"/>
  <c r="AK431" i="5"/>
  <c r="AJ431" i="5"/>
  <c r="AI431" i="5"/>
  <c r="AH431" i="5"/>
  <c r="AG431" i="5"/>
  <c r="AF431" i="5"/>
  <c r="AE431" i="5"/>
  <c r="AD431" i="5"/>
  <c r="AC431" i="5"/>
  <c r="AB431" i="5"/>
  <c r="AA431" i="5"/>
  <c r="Z431" i="5"/>
  <c r="Y431" i="5"/>
  <c r="X431" i="5"/>
  <c r="W431" i="5"/>
  <c r="V431" i="5"/>
  <c r="T431" i="5"/>
  <c r="S431" i="5"/>
  <c r="Q431" i="5"/>
  <c r="P431" i="5"/>
  <c r="N431" i="5"/>
  <c r="K431" i="5"/>
  <c r="J431" i="5"/>
  <c r="I431" i="5"/>
  <c r="H431" i="5"/>
  <c r="G431" i="5"/>
  <c r="F431" i="5"/>
  <c r="E431" i="5"/>
  <c r="D431" i="5"/>
  <c r="B431" i="5"/>
  <c r="BI430" i="5"/>
  <c r="BD430" i="5"/>
  <c r="GF421" i="6" s="1"/>
  <c r="BC430" i="5"/>
  <c r="GE421" i="6" s="1"/>
  <c r="BB430" i="5"/>
  <c r="GD421" i="6" s="1"/>
  <c r="AZ430" i="5"/>
  <c r="AY430" i="5"/>
  <c r="AW430" i="5"/>
  <c r="AT430" i="5"/>
  <c r="AS430" i="5"/>
  <c r="AR430" i="5"/>
  <c r="AQ430" i="5"/>
  <c r="AP430" i="5"/>
  <c r="AO430" i="5"/>
  <c r="AN430" i="5"/>
  <c r="AL430" i="5"/>
  <c r="AK430" i="5"/>
  <c r="AJ430" i="5"/>
  <c r="AI430" i="5"/>
  <c r="AH430" i="5"/>
  <c r="AG430" i="5"/>
  <c r="AF430" i="5"/>
  <c r="AE430" i="5"/>
  <c r="AD430" i="5"/>
  <c r="AC430" i="5"/>
  <c r="AB430" i="5"/>
  <c r="AA430" i="5"/>
  <c r="Z430" i="5"/>
  <c r="Y430" i="5"/>
  <c r="X430" i="5"/>
  <c r="W430" i="5"/>
  <c r="V430" i="5"/>
  <c r="T430" i="5"/>
  <c r="S430" i="5"/>
  <c r="Q430" i="5"/>
  <c r="P430" i="5"/>
  <c r="N430" i="5"/>
  <c r="K430" i="5"/>
  <c r="J430" i="5"/>
  <c r="I430" i="5"/>
  <c r="H430" i="5"/>
  <c r="G430" i="5"/>
  <c r="F430" i="5"/>
  <c r="E430" i="5"/>
  <c r="D430" i="5"/>
  <c r="B430" i="5"/>
  <c r="BI429" i="5"/>
  <c r="BD429" i="5"/>
  <c r="GF420" i="6" s="1"/>
  <c r="BC429" i="5"/>
  <c r="GE420" i="6" s="1"/>
  <c r="BB429" i="5"/>
  <c r="GD420" i="6" s="1"/>
  <c r="AZ429" i="5"/>
  <c r="AY429" i="5"/>
  <c r="AW429" i="5"/>
  <c r="AT429" i="5"/>
  <c r="AS429" i="5"/>
  <c r="AR429" i="5"/>
  <c r="AQ429" i="5"/>
  <c r="AP429" i="5"/>
  <c r="AO429" i="5"/>
  <c r="AN429" i="5"/>
  <c r="AL429" i="5"/>
  <c r="AK429" i="5"/>
  <c r="AJ429" i="5"/>
  <c r="AI429" i="5"/>
  <c r="AH429" i="5"/>
  <c r="AG429" i="5"/>
  <c r="AF429" i="5"/>
  <c r="AE429" i="5"/>
  <c r="AD429" i="5"/>
  <c r="AC429" i="5"/>
  <c r="AB429" i="5"/>
  <c r="AA429" i="5"/>
  <c r="Z429" i="5"/>
  <c r="Y429" i="5"/>
  <c r="X429" i="5"/>
  <c r="W429" i="5"/>
  <c r="V429" i="5"/>
  <c r="T429" i="5"/>
  <c r="S429" i="5"/>
  <c r="Q429" i="5"/>
  <c r="P429" i="5"/>
  <c r="N429" i="5"/>
  <c r="K429" i="5"/>
  <c r="J429" i="5"/>
  <c r="I429" i="5"/>
  <c r="H429" i="5"/>
  <c r="G429" i="5"/>
  <c r="F429" i="5"/>
  <c r="E429" i="5"/>
  <c r="D429" i="5"/>
  <c r="B429" i="5"/>
  <c r="BI428" i="5"/>
  <c r="BD428" i="5"/>
  <c r="GF419" i="6" s="1"/>
  <c r="BC428" i="5"/>
  <c r="GE419" i="6" s="1"/>
  <c r="BB428" i="5"/>
  <c r="GD419" i="6" s="1"/>
  <c r="AZ428" i="5"/>
  <c r="AY428" i="5"/>
  <c r="AW428" i="5"/>
  <c r="AT428" i="5"/>
  <c r="AS428" i="5"/>
  <c r="AR428" i="5"/>
  <c r="AQ428" i="5"/>
  <c r="AP428" i="5"/>
  <c r="AO428" i="5"/>
  <c r="AN428" i="5"/>
  <c r="AL428" i="5"/>
  <c r="AK428" i="5"/>
  <c r="AJ428" i="5"/>
  <c r="AI428" i="5"/>
  <c r="AH428" i="5"/>
  <c r="AG428" i="5"/>
  <c r="AF428" i="5"/>
  <c r="AE428" i="5"/>
  <c r="AD428" i="5"/>
  <c r="AC428" i="5"/>
  <c r="AB428" i="5"/>
  <c r="AA428" i="5"/>
  <c r="Z428" i="5"/>
  <c r="Y428" i="5"/>
  <c r="X428" i="5"/>
  <c r="W428" i="5"/>
  <c r="V428" i="5"/>
  <c r="T428" i="5"/>
  <c r="S428" i="5"/>
  <c r="Q428" i="5"/>
  <c r="P428" i="5"/>
  <c r="N428" i="5"/>
  <c r="K428" i="5"/>
  <c r="J428" i="5"/>
  <c r="I428" i="5"/>
  <c r="H428" i="5"/>
  <c r="G428" i="5"/>
  <c r="F428" i="5"/>
  <c r="E428" i="5"/>
  <c r="D428" i="5"/>
  <c r="B428" i="5"/>
  <c r="BI427" i="5"/>
  <c r="BD427" i="5"/>
  <c r="GF418" i="6" s="1"/>
  <c r="BC427" i="5"/>
  <c r="GE418" i="6" s="1"/>
  <c r="BB427" i="5"/>
  <c r="GD418" i="6" s="1"/>
  <c r="AZ427" i="5"/>
  <c r="AY427" i="5"/>
  <c r="AW427" i="5"/>
  <c r="AT427" i="5"/>
  <c r="AS427" i="5"/>
  <c r="AR427" i="5"/>
  <c r="AQ427" i="5"/>
  <c r="AP427" i="5"/>
  <c r="AO427" i="5"/>
  <c r="AN427" i="5"/>
  <c r="AL427" i="5"/>
  <c r="AK427" i="5"/>
  <c r="AJ427" i="5"/>
  <c r="AI427" i="5"/>
  <c r="AH427" i="5"/>
  <c r="AG427" i="5"/>
  <c r="AF427" i="5"/>
  <c r="AE427" i="5"/>
  <c r="AD427" i="5"/>
  <c r="AC427" i="5"/>
  <c r="AB427" i="5"/>
  <c r="AA427" i="5"/>
  <c r="Z427" i="5"/>
  <c r="Y427" i="5"/>
  <c r="X427" i="5"/>
  <c r="W427" i="5"/>
  <c r="V427" i="5"/>
  <c r="T427" i="5"/>
  <c r="S427" i="5"/>
  <c r="Q427" i="5"/>
  <c r="P427" i="5"/>
  <c r="N427" i="5"/>
  <c r="K427" i="5"/>
  <c r="J427" i="5"/>
  <c r="I427" i="5"/>
  <c r="H427" i="5"/>
  <c r="G427" i="5"/>
  <c r="F427" i="5"/>
  <c r="E427" i="5"/>
  <c r="D427" i="5"/>
  <c r="B427" i="5"/>
  <c r="BI426" i="5"/>
  <c r="BD426" i="5"/>
  <c r="BC426" i="5"/>
  <c r="GE417" i="6" s="1"/>
  <c r="BB426" i="5"/>
  <c r="GD417" i="6" s="1"/>
  <c r="AZ426" i="5"/>
  <c r="AY426" i="5"/>
  <c r="AW426" i="5"/>
  <c r="AT426" i="5"/>
  <c r="AS426" i="5"/>
  <c r="AR426" i="5"/>
  <c r="AQ426" i="5"/>
  <c r="AP426" i="5"/>
  <c r="AO426" i="5"/>
  <c r="AN426" i="5"/>
  <c r="AL426" i="5"/>
  <c r="AK426" i="5"/>
  <c r="AJ426" i="5"/>
  <c r="AI426" i="5"/>
  <c r="AH426" i="5"/>
  <c r="AG426" i="5"/>
  <c r="AF426" i="5"/>
  <c r="AE426" i="5"/>
  <c r="AD426" i="5"/>
  <c r="AC426" i="5"/>
  <c r="AB426" i="5"/>
  <c r="AA426" i="5"/>
  <c r="Z426" i="5"/>
  <c r="Y426" i="5"/>
  <c r="X426" i="5"/>
  <c r="W426" i="5"/>
  <c r="V426" i="5"/>
  <c r="T426" i="5"/>
  <c r="S426" i="5"/>
  <c r="Q426" i="5"/>
  <c r="P426" i="5"/>
  <c r="N426" i="5"/>
  <c r="K426" i="5"/>
  <c r="J426" i="5"/>
  <c r="I426" i="5"/>
  <c r="H426" i="5"/>
  <c r="G426" i="5"/>
  <c r="F426" i="5"/>
  <c r="E426" i="5"/>
  <c r="D426" i="5"/>
  <c r="B426" i="5"/>
  <c r="BI425" i="5"/>
  <c r="BD425" i="5"/>
  <c r="BC425" i="5"/>
  <c r="GE416" i="6" s="1"/>
  <c r="BB425" i="5"/>
  <c r="GD416" i="6" s="1"/>
  <c r="AZ425" i="5"/>
  <c r="AY425" i="5"/>
  <c r="AW425" i="5"/>
  <c r="AT425" i="5"/>
  <c r="AS425" i="5"/>
  <c r="AR425" i="5"/>
  <c r="AQ425" i="5"/>
  <c r="AP425" i="5"/>
  <c r="AO425" i="5"/>
  <c r="AN425" i="5"/>
  <c r="AL425" i="5"/>
  <c r="AK425" i="5"/>
  <c r="AJ425" i="5"/>
  <c r="AI425" i="5"/>
  <c r="AH425" i="5"/>
  <c r="AG425" i="5"/>
  <c r="AF425" i="5"/>
  <c r="AE425" i="5"/>
  <c r="AD425" i="5"/>
  <c r="AC425" i="5"/>
  <c r="AB425" i="5"/>
  <c r="AA425" i="5"/>
  <c r="Z425" i="5"/>
  <c r="Y425" i="5"/>
  <c r="X425" i="5"/>
  <c r="W425" i="5"/>
  <c r="V425" i="5"/>
  <c r="T425" i="5"/>
  <c r="S425" i="5"/>
  <c r="Q425" i="5"/>
  <c r="P425" i="5"/>
  <c r="N425" i="5"/>
  <c r="K425" i="5"/>
  <c r="J425" i="5"/>
  <c r="I425" i="5"/>
  <c r="H425" i="5"/>
  <c r="G425" i="5"/>
  <c r="F425" i="5"/>
  <c r="E425" i="5"/>
  <c r="D425" i="5"/>
  <c r="B425" i="5"/>
  <c r="BI424" i="5"/>
  <c r="BD424" i="5"/>
  <c r="BC424" i="5"/>
  <c r="GE415" i="6" s="1"/>
  <c r="BB424" i="5"/>
  <c r="GD415" i="6" s="1"/>
  <c r="AZ424" i="5"/>
  <c r="AY424" i="5"/>
  <c r="AW424" i="5"/>
  <c r="AT424" i="5"/>
  <c r="AS424" i="5"/>
  <c r="AR424" i="5"/>
  <c r="AQ424" i="5"/>
  <c r="AP424" i="5"/>
  <c r="AO424" i="5"/>
  <c r="AN424" i="5"/>
  <c r="AL424" i="5"/>
  <c r="AK424" i="5"/>
  <c r="AJ424" i="5"/>
  <c r="AI424" i="5"/>
  <c r="AH424" i="5"/>
  <c r="AG424" i="5"/>
  <c r="AF424" i="5"/>
  <c r="AE424" i="5"/>
  <c r="AD424" i="5"/>
  <c r="AC424" i="5"/>
  <c r="AB424" i="5"/>
  <c r="AA424" i="5"/>
  <c r="Z424" i="5"/>
  <c r="Y424" i="5"/>
  <c r="X424" i="5"/>
  <c r="W424" i="5"/>
  <c r="V424" i="5"/>
  <c r="T424" i="5"/>
  <c r="S424" i="5"/>
  <c r="Q424" i="5"/>
  <c r="P424" i="5"/>
  <c r="N424" i="5"/>
  <c r="K424" i="5"/>
  <c r="J424" i="5"/>
  <c r="I424" i="5"/>
  <c r="H424" i="5"/>
  <c r="G424" i="5"/>
  <c r="F424" i="5"/>
  <c r="E424" i="5"/>
  <c r="D424" i="5"/>
  <c r="B424" i="5"/>
  <c r="BI423" i="5"/>
  <c r="BD423" i="5"/>
  <c r="BC423" i="5"/>
  <c r="GE414" i="6" s="1"/>
  <c r="BB423" i="5"/>
  <c r="GD414" i="6" s="1"/>
  <c r="AZ423" i="5"/>
  <c r="AY423" i="5"/>
  <c r="AW423" i="5"/>
  <c r="AT423" i="5"/>
  <c r="AS423" i="5"/>
  <c r="AR423" i="5"/>
  <c r="AQ423" i="5"/>
  <c r="AP423" i="5"/>
  <c r="AO423" i="5"/>
  <c r="AN423" i="5"/>
  <c r="AL423" i="5"/>
  <c r="AK423" i="5"/>
  <c r="AJ423" i="5"/>
  <c r="AI423" i="5"/>
  <c r="AH423" i="5"/>
  <c r="AG423" i="5"/>
  <c r="AF423" i="5"/>
  <c r="AE423" i="5"/>
  <c r="AD423" i="5"/>
  <c r="AC423" i="5"/>
  <c r="AB423" i="5"/>
  <c r="AA423" i="5"/>
  <c r="Z423" i="5"/>
  <c r="Y423" i="5"/>
  <c r="X423" i="5"/>
  <c r="W423" i="5"/>
  <c r="V423" i="5"/>
  <c r="T423" i="5"/>
  <c r="S423" i="5"/>
  <c r="Q423" i="5"/>
  <c r="P423" i="5"/>
  <c r="N423" i="5"/>
  <c r="K423" i="5"/>
  <c r="J423" i="5"/>
  <c r="I423" i="5"/>
  <c r="H423" i="5"/>
  <c r="G423" i="5"/>
  <c r="F423" i="5"/>
  <c r="E423" i="5"/>
  <c r="D423" i="5"/>
  <c r="B423" i="5"/>
  <c r="BI422" i="5"/>
  <c r="BD422" i="5"/>
  <c r="GF413" i="6" s="1"/>
  <c r="BC422" i="5"/>
  <c r="GE413" i="6" s="1"/>
  <c r="BB422" i="5"/>
  <c r="GD413" i="6" s="1"/>
  <c r="AZ422" i="5"/>
  <c r="AY422" i="5"/>
  <c r="AW422" i="5"/>
  <c r="AT422" i="5"/>
  <c r="AS422" i="5"/>
  <c r="AR422" i="5"/>
  <c r="AQ422" i="5"/>
  <c r="AP422" i="5"/>
  <c r="AO422" i="5"/>
  <c r="AN422" i="5"/>
  <c r="AL422" i="5"/>
  <c r="AK422" i="5"/>
  <c r="AJ422" i="5"/>
  <c r="AI422" i="5"/>
  <c r="AH422" i="5"/>
  <c r="AG422" i="5"/>
  <c r="AF422" i="5"/>
  <c r="AE422" i="5"/>
  <c r="AD422" i="5"/>
  <c r="AC422" i="5"/>
  <c r="AB422" i="5"/>
  <c r="AA422" i="5"/>
  <c r="Z422" i="5"/>
  <c r="Y422" i="5"/>
  <c r="X422" i="5"/>
  <c r="W422" i="5"/>
  <c r="V422" i="5"/>
  <c r="T422" i="5"/>
  <c r="S422" i="5"/>
  <c r="Q422" i="5"/>
  <c r="P422" i="5"/>
  <c r="N422" i="5"/>
  <c r="K422" i="5"/>
  <c r="J422" i="5"/>
  <c r="I422" i="5"/>
  <c r="H422" i="5"/>
  <c r="G422" i="5"/>
  <c r="F422" i="5"/>
  <c r="E422" i="5"/>
  <c r="D422" i="5"/>
  <c r="B422" i="5"/>
  <c r="BI421" i="5"/>
  <c r="BD421" i="5"/>
  <c r="GF412" i="6" s="1"/>
  <c r="BC421" i="5"/>
  <c r="GE412" i="6" s="1"/>
  <c r="BB421" i="5"/>
  <c r="GD412" i="6" s="1"/>
  <c r="AZ421" i="5"/>
  <c r="AY421" i="5"/>
  <c r="AW421" i="5"/>
  <c r="AT421" i="5"/>
  <c r="AS421" i="5"/>
  <c r="AR421" i="5"/>
  <c r="AQ421" i="5"/>
  <c r="AP421" i="5"/>
  <c r="AO421" i="5"/>
  <c r="AN421" i="5"/>
  <c r="AL421" i="5"/>
  <c r="AK421" i="5"/>
  <c r="AJ421" i="5"/>
  <c r="AI421" i="5"/>
  <c r="AH421" i="5"/>
  <c r="AG421" i="5"/>
  <c r="AF421" i="5"/>
  <c r="AE421" i="5"/>
  <c r="AD421" i="5"/>
  <c r="AC421" i="5"/>
  <c r="AB421" i="5"/>
  <c r="AA421" i="5"/>
  <c r="Z421" i="5"/>
  <c r="Y421" i="5"/>
  <c r="X421" i="5"/>
  <c r="W421" i="5"/>
  <c r="V421" i="5"/>
  <c r="T421" i="5"/>
  <c r="S421" i="5"/>
  <c r="Q421" i="5"/>
  <c r="P421" i="5"/>
  <c r="N421" i="5"/>
  <c r="K421" i="5"/>
  <c r="J421" i="5"/>
  <c r="I421" i="5"/>
  <c r="H421" i="5"/>
  <c r="G421" i="5"/>
  <c r="F421" i="5"/>
  <c r="E421" i="5"/>
  <c r="D421" i="5"/>
  <c r="B421" i="5"/>
  <c r="BI420" i="5"/>
  <c r="BD420" i="5"/>
  <c r="BC420" i="5"/>
  <c r="GE411" i="6" s="1"/>
  <c r="BB420" i="5"/>
  <c r="GD411" i="6" s="1"/>
  <c r="AZ420" i="5"/>
  <c r="AY420" i="5"/>
  <c r="AW420" i="5"/>
  <c r="AT420" i="5"/>
  <c r="AS420" i="5"/>
  <c r="AR420" i="5"/>
  <c r="AQ420" i="5"/>
  <c r="AP420" i="5"/>
  <c r="AO420" i="5"/>
  <c r="AN420" i="5"/>
  <c r="AL420" i="5"/>
  <c r="AK420" i="5"/>
  <c r="AJ420" i="5"/>
  <c r="AI420" i="5"/>
  <c r="AH420" i="5"/>
  <c r="AG420" i="5"/>
  <c r="AF420" i="5"/>
  <c r="AE420" i="5"/>
  <c r="AD420" i="5"/>
  <c r="AC420" i="5"/>
  <c r="AB420" i="5"/>
  <c r="AA420" i="5"/>
  <c r="Z420" i="5"/>
  <c r="Y420" i="5"/>
  <c r="X420" i="5"/>
  <c r="W420" i="5"/>
  <c r="V420" i="5"/>
  <c r="T420" i="5"/>
  <c r="S420" i="5"/>
  <c r="Q420" i="5"/>
  <c r="P420" i="5"/>
  <c r="N420" i="5"/>
  <c r="K420" i="5"/>
  <c r="J420" i="5"/>
  <c r="I420" i="5"/>
  <c r="H420" i="5"/>
  <c r="G420" i="5"/>
  <c r="F420" i="5"/>
  <c r="E420" i="5"/>
  <c r="D420" i="5"/>
  <c r="B420" i="5"/>
  <c r="BI419" i="5"/>
  <c r="BD419" i="5"/>
  <c r="GF410" i="6" s="1"/>
  <c r="BC419" i="5"/>
  <c r="GE410" i="6" s="1"/>
  <c r="BB419" i="5"/>
  <c r="GD410" i="6" s="1"/>
  <c r="AZ419" i="5"/>
  <c r="AY419" i="5"/>
  <c r="AW419" i="5"/>
  <c r="AT419" i="5"/>
  <c r="AS419" i="5"/>
  <c r="AR419" i="5"/>
  <c r="AQ419" i="5"/>
  <c r="AP419" i="5"/>
  <c r="AO419" i="5"/>
  <c r="AN419" i="5"/>
  <c r="AL419" i="5"/>
  <c r="AK419" i="5"/>
  <c r="AJ419" i="5"/>
  <c r="AI419" i="5"/>
  <c r="AH419" i="5"/>
  <c r="AG419" i="5"/>
  <c r="AF419" i="5"/>
  <c r="AE419" i="5"/>
  <c r="AD419" i="5"/>
  <c r="AC419" i="5"/>
  <c r="AB419" i="5"/>
  <c r="AA419" i="5"/>
  <c r="Z419" i="5"/>
  <c r="Y419" i="5"/>
  <c r="X419" i="5"/>
  <c r="W419" i="5"/>
  <c r="V419" i="5"/>
  <c r="T419" i="5"/>
  <c r="S419" i="5"/>
  <c r="Q419" i="5"/>
  <c r="P419" i="5"/>
  <c r="N419" i="5"/>
  <c r="K419" i="5"/>
  <c r="J419" i="5"/>
  <c r="I419" i="5"/>
  <c r="H419" i="5"/>
  <c r="G419" i="5"/>
  <c r="F419" i="5"/>
  <c r="E419" i="5"/>
  <c r="D419" i="5"/>
  <c r="B419" i="5"/>
  <c r="BI418" i="5"/>
  <c r="BD418" i="5"/>
  <c r="GF409" i="6" s="1"/>
  <c r="BC418" i="5"/>
  <c r="GE409" i="6" s="1"/>
  <c r="BB418" i="5"/>
  <c r="GD409" i="6" s="1"/>
  <c r="AZ418" i="5"/>
  <c r="AY418" i="5"/>
  <c r="AW418" i="5"/>
  <c r="AT418" i="5"/>
  <c r="AS418" i="5"/>
  <c r="AR418" i="5"/>
  <c r="AQ418" i="5"/>
  <c r="AP418" i="5"/>
  <c r="AO418" i="5"/>
  <c r="AN418" i="5"/>
  <c r="AL418" i="5"/>
  <c r="AK418" i="5"/>
  <c r="AJ418" i="5"/>
  <c r="AI418" i="5"/>
  <c r="AH418" i="5"/>
  <c r="AG418" i="5"/>
  <c r="AF418" i="5"/>
  <c r="AE418" i="5"/>
  <c r="AD418" i="5"/>
  <c r="AC418" i="5"/>
  <c r="AB418" i="5"/>
  <c r="AA418" i="5"/>
  <c r="Z418" i="5"/>
  <c r="Y418" i="5"/>
  <c r="X418" i="5"/>
  <c r="W418" i="5"/>
  <c r="V418" i="5"/>
  <c r="T418" i="5"/>
  <c r="S418" i="5"/>
  <c r="Q418" i="5"/>
  <c r="P418" i="5"/>
  <c r="N418" i="5"/>
  <c r="K418" i="5"/>
  <c r="J418" i="5"/>
  <c r="I418" i="5"/>
  <c r="H418" i="5"/>
  <c r="G418" i="5"/>
  <c r="F418" i="5"/>
  <c r="E418" i="5"/>
  <c r="D418" i="5"/>
  <c r="B418" i="5"/>
  <c r="BI417" i="5"/>
  <c r="BD417" i="5"/>
  <c r="GF408" i="6" s="1"/>
  <c r="BC417" i="5"/>
  <c r="BB417" i="5"/>
  <c r="GD408" i="6" s="1"/>
  <c r="AZ417" i="5"/>
  <c r="AY417" i="5"/>
  <c r="AW417" i="5"/>
  <c r="AT417" i="5"/>
  <c r="AS417" i="5"/>
  <c r="AR417" i="5"/>
  <c r="AQ417" i="5"/>
  <c r="AP417" i="5"/>
  <c r="AO417" i="5"/>
  <c r="AN417" i="5"/>
  <c r="AL417" i="5"/>
  <c r="AK417" i="5"/>
  <c r="AJ417" i="5"/>
  <c r="AI417" i="5"/>
  <c r="AH417" i="5"/>
  <c r="AG417" i="5"/>
  <c r="AF417" i="5"/>
  <c r="AE417" i="5"/>
  <c r="AD417" i="5"/>
  <c r="AC417" i="5"/>
  <c r="AB417" i="5"/>
  <c r="AA417" i="5"/>
  <c r="Z417" i="5"/>
  <c r="Y417" i="5"/>
  <c r="X417" i="5"/>
  <c r="W417" i="5"/>
  <c r="V417" i="5"/>
  <c r="T417" i="5"/>
  <c r="S417" i="5"/>
  <c r="Q417" i="5"/>
  <c r="P417" i="5"/>
  <c r="N417" i="5"/>
  <c r="K417" i="5"/>
  <c r="J417" i="5"/>
  <c r="I417" i="5"/>
  <c r="H417" i="5"/>
  <c r="G417" i="5"/>
  <c r="F417" i="5"/>
  <c r="E417" i="5"/>
  <c r="D417" i="5"/>
  <c r="B417" i="5"/>
  <c r="BI416" i="5"/>
  <c r="BD416" i="5"/>
  <c r="GF407" i="6" s="1"/>
  <c r="BC416" i="5"/>
  <c r="GE407" i="6" s="1"/>
  <c r="BB416" i="5"/>
  <c r="GD407" i="6" s="1"/>
  <c r="AZ416" i="5"/>
  <c r="AY416" i="5"/>
  <c r="AW416" i="5"/>
  <c r="AT416" i="5"/>
  <c r="AS416" i="5"/>
  <c r="AR416" i="5"/>
  <c r="AQ416" i="5"/>
  <c r="AP416" i="5"/>
  <c r="AO416" i="5"/>
  <c r="AN416" i="5"/>
  <c r="AL416" i="5"/>
  <c r="AK416" i="5"/>
  <c r="AJ416" i="5"/>
  <c r="AI416" i="5"/>
  <c r="AH416" i="5"/>
  <c r="AG416" i="5"/>
  <c r="AF416" i="5"/>
  <c r="AE416" i="5"/>
  <c r="AD416" i="5"/>
  <c r="AC416" i="5"/>
  <c r="AB416" i="5"/>
  <c r="AA416" i="5"/>
  <c r="Z416" i="5"/>
  <c r="Y416" i="5"/>
  <c r="X416" i="5"/>
  <c r="W416" i="5"/>
  <c r="V416" i="5"/>
  <c r="T416" i="5"/>
  <c r="S416" i="5"/>
  <c r="Q416" i="5"/>
  <c r="P416" i="5"/>
  <c r="N416" i="5"/>
  <c r="K416" i="5"/>
  <c r="J416" i="5"/>
  <c r="I416" i="5"/>
  <c r="H416" i="5"/>
  <c r="G416" i="5"/>
  <c r="F416" i="5"/>
  <c r="E416" i="5"/>
  <c r="D416" i="5"/>
  <c r="B416" i="5"/>
  <c r="BI415" i="5"/>
  <c r="BD415" i="5"/>
  <c r="GF406" i="6" s="1"/>
  <c r="BC415" i="5"/>
  <c r="GE406" i="6" s="1"/>
  <c r="BB415" i="5"/>
  <c r="GD406" i="6" s="1"/>
  <c r="AZ415" i="5"/>
  <c r="AY415" i="5"/>
  <c r="AW415" i="5"/>
  <c r="AT415" i="5"/>
  <c r="AS415" i="5"/>
  <c r="AR415" i="5"/>
  <c r="AQ415" i="5"/>
  <c r="AP415" i="5"/>
  <c r="AO415" i="5"/>
  <c r="AN415" i="5"/>
  <c r="AL415" i="5"/>
  <c r="AK415" i="5"/>
  <c r="AJ415" i="5"/>
  <c r="AI415" i="5"/>
  <c r="AH415" i="5"/>
  <c r="AG415" i="5"/>
  <c r="AF415" i="5"/>
  <c r="AE415" i="5"/>
  <c r="AD415" i="5"/>
  <c r="AC415" i="5"/>
  <c r="AB415" i="5"/>
  <c r="AA415" i="5"/>
  <c r="Z415" i="5"/>
  <c r="Y415" i="5"/>
  <c r="X415" i="5"/>
  <c r="W415" i="5"/>
  <c r="V415" i="5"/>
  <c r="T415" i="5"/>
  <c r="S415" i="5"/>
  <c r="Q415" i="5"/>
  <c r="P415" i="5"/>
  <c r="N415" i="5"/>
  <c r="K415" i="5"/>
  <c r="J415" i="5"/>
  <c r="I415" i="5"/>
  <c r="H415" i="5"/>
  <c r="G415" i="5"/>
  <c r="F415" i="5"/>
  <c r="E415" i="5"/>
  <c r="D415" i="5"/>
  <c r="B415" i="5"/>
  <c r="BI414" i="5"/>
  <c r="BD414" i="5"/>
  <c r="BC414" i="5"/>
  <c r="GE405" i="6" s="1"/>
  <c r="BB414" i="5"/>
  <c r="GD405" i="6" s="1"/>
  <c r="AZ414" i="5"/>
  <c r="AY414" i="5"/>
  <c r="AW414" i="5"/>
  <c r="AT414" i="5"/>
  <c r="AS414" i="5"/>
  <c r="AR414" i="5"/>
  <c r="AQ414" i="5"/>
  <c r="AP414" i="5"/>
  <c r="AO414" i="5"/>
  <c r="AN414" i="5"/>
  <c r="AL414" i="5"/>
  <c r="AK414" i="5"/>
  <c r="AJ414" i="5"/>
  <c r="AI414" i="5"/>
  <c r="AH414" i="5"/>
  <c r="AG414" i="5"/>
  <c r="AF414" i="5"/>
  <c r="AE414" i="5"/>
  <c r="AD414" i="5"/>
  <c r="AC414" i="5"/>
  <c r="AB414" i="5"/>
  <c r="AA414" i="5"/>
  <c r="Z414" i="5"/>
  <c r="Y414" i="5"/>
  <c r="X414" i="5"/>
  <c r="W414" i="5"/>
  <c r="V414" i="5"/>
  <c r="T414" i="5"/>
  <c r="S414" i="5"/>
  <c r="Q414" i="5"/>
  <c r="P414" i="5"/>
  <c r="N414" i="5"/>
  <c r="K414" i="5"/>
  <c r="J414" i="5"/>
  <c r="I414" i="5"/>
  <c r="H414" i="5"/>
  <c r="G414" i="5"/>
  <c r="F414" i="5"/>
  <c r="E414" i="5"/>
  <c r="D414" i="5"/>
  <c r="B414" i="5"/>
  <c r="BI413" i="5"/>
  <c r="BD413" i="5"/>
  <c r="BC413" i="5"/>
  <c r="GE404" i="6" s="1"/>
  <c r="BB413" i="5"/>
  <c r="GD404" i="6" s="1"/>
  <c r="AZ413" i="5"/>
  <c r="AY413" i="5"/>
  <c r="AW413" i="5"/>
  <c r="AT413" i="5"/>
  <c r="AS413" i="5"/>
  <c r="AR413" i="5"/>
  <c r="AQ413" i="5"/>
  <c r="AP413" i="5"/>
  <c r="AO413" i="5"/>
  <c r="AN413" i="5"/>
  <c r="AL413" i="5"/>
  <c r="AK413" i="5"/>
  <c r="AJ413" i="5"/>
  <c r="AI413" i="5"/>
  <c r="AH413" i="5"/>
  <c r="AG413" i="5"/>
  <c r="AF413" i="5"/>
  <c r="AE413" i="5"/>
  <c r="AD413" i="5"/>
  <c r="AC413" i="5"/>
  <c r="AB413" i="5"/>
  <c r="AA413" i="5"/>
  <c r="Z413" i="5"/>
  <c r="Y413" i="5"/>
  <c r="X413" i="5"/>
  <c r="W413" i="5"/>
  <c r="V413" i="5"/>
  <c r="T413" i="5"/>
  <c r="S413" i="5"/>
  <c r="Q413" i="5"/>
  <c r="P413" i="5"/>
  <c r="N413" i="5"/>
  <c r="K413" i="5"/>
  <c r="J413" i="5"/>
  <c r="I413" i="5"/>
  <c r="H413" i="5"/>
  <c r="G413" i="5"/>
  <c r="F413" i="5"/>
  <c r="E413" i="5"/>
  <c r="D413" i="5"/>
  <c r="B413" i="5"/>
  <c r="BI412" i="5"/>
  <c r="BD412" i="5"/>
  <c r="BC412" i="5"/>
  <c r="GE403" i="6" s="1"/>
  <c r="BB412" i="5"/>
  <c r="GD403" i="6" s="1"/>
  <c r="AZ412" i="5"/>
  <c r="AY412" i="5"/>
  <c r="AW412" i="5"/>
  <c r="AT412" i="5"/>
  <c r="AS412" i="5"/>
  <c r="AR412" i="5"/>
  <c r="AQ412" i="5"/>
  <c r="AP412" i="5"/>
  <c r="AO412" i="5"/>
  <c r="AN412" i="5"/>
  <c r="AL412" i="5"/>
  <c r="AK412" i="5"/>
  <c r="AJ412" i="5"/>
  <c r="AI412" i="5"/>
  <c r="AH412" i="5"/>
  <c r="AG412" i="5"/>
  <c r="AF412" i="5"/>
  <c r="AE412" i="5"/>
  <c r="AD412" i="5"/>
  <c r="AC412" i="5"/>
  <c r="AB412" i="5"/>
  <c r="AA412" i="5"/>
  <c r="Z412" i="5"/>
  <c r="Y412" i="5"/>
  <c r="X412" i="5"/>
  <c r="W412" i="5"/>
  <c r="V412" i="5"/>
  <c r="T412" i="5"/>
  <c r="S412" i="5"/>
  <c r="Q412" i="5"/>
  <c r="P412" i="5"/>
  <c r="N412" i="5"/>
  <c r="K412" i="5"/>
  <c r="J412" i="5"/>
  <c r="I412" i="5"/>
  <c r="H412" i="5"/>
  <c r="G412" i="5"/>
  <c r="F412" i="5"/>
  <c r="E412" i="5"/>
  <c r="D412" i="5"/>
  <c r="B412" i="5"/>
  <c r="BI411" i="5"/>
  <c r="BD411" i="5"/>
  <c r="GF402" i="6" s="1"/>
  <c r="BC411" i="5"/>
  <c r="GE402" i="6" s="1"/>
  <c r="BB411" i="5"/>
  <c r="GD402" i="6" s="1"/>
  <c r="AZ411" i="5"/>
  <c r="AY411" i="5"/>
  <c r="AW411" i="5"/>
  <c r="AT411" i="5"/>
  <c r="AS411" i="5"/>
  <c r="AR411" i="5"/>
  <c r="AQ411" i="5"/>
  <c r="AP411" i="5"/>
  <c r="AO411" i="5"/>
  <c r="AN411" i="5"/>
  <c r="AL411" i="5"/>
  <c r="AK411" i="5"/>
  <c r="AJ411" i="5"/>
  <c r="AI411" i="5"/>
  <c r="AH411" i="5"/>
  <c r="AG411" i="5"/>
  <c r="AF411" i="5"/>
  <c r="AE411" i="5"/>
  <c r="AD411" i="5"/>
  <c r="AC411" i="5"/>
  <c r="AB411" i="5"/>
  <c r="AA411" i="5"/>
  <c r="Z411" i="5"/>
  <c r="Y411" i="5"/>
  <c r="X411" i="5"/>
  <c r="W411" i="5"/>
  <c r="V411" i="5"/>
  <c r="T411" i="5"/>
  <c r="S411" i="5"/>
  <c r="Q411" i="5"/>
  <c r="P411" i="5"/>
  <c r="N411" i="5"/>
  <c r="K411" i="5"/>
  <c r="J411" i="5"/>
  <c r="I411" i="5"/>
  <c r="H411" i="5"/>
  <c r="G411" i="5"/>
  <c r="F411" i="5"/>
  <c r="E411" i="5"/>
  <c r="D411" i="5"/>
  <c r="B411" i="5"/>
  <c r="BI410" i="5"/>
  <c r="BD410" i="5"/>
  <c r="BC410" i="5"/>
  <c r="GE401" i="6" s="1"/>
  <c r="BB410" i="5"/>
  <c r="GD401" i="6" s="1"/>
  <c r="AZ410" i="5"/>
  <c r="AY410" i="5"/>
  <c r="AW410" i="5"/>
  <c r="AT410" i="5"/>
  <c r="AS410" i="5"/>
  <c r="AR410" i="5"/>
  <c r="AQ410" i="5"/>
  <c r="AP410" i="5"/>
  <c r="AO410" i="5"/>
  <c r="AN410" i="5"/>
  <c r="AL410" i="5"/>
  <c r="AK410" i="5"/>
  <c r="AJ410" i="5"/>
  <c r="AI410" i="5"/>
  <c r="AH410" i="5"/>
  <c r="AG410" i="5"/>
  <c r="AF410" i="5"/>
  <c r="AE410" i="5"/>
  <c r="AD410" i="5"/>
  <c r="AC410" i="5"/>
  <c r="AB410" i="5"/>
  <c r="AA410" i="5"/>
  <c r="Z410" i="5"/>
  <c r="Y410" i="5"/>
  <c r="X410" i="5"/>
  <c r="W410" i="5"/>
  <c r="V410" i="5"/>
  <c r="T410" i="5"/>
  <c r="S410" i="5"/>
  <c r="Q410" i="5"/>
  <c r="P410" i="5"/>
  <c r="N410" i="5"/>
  <c r="K410" i="5"/>
  <c r="J410" i="5"/>
  <c r="I410" i="5"/>
  <c r="H410" i="5"/>
  <c r="G410" i="5"/>
  <c r="F410" i="5"/>
  <c r="E410" i="5"/>
  <c r="D410" i="5"/>
  <c r="B410" i="5"/>
  <c r="BI409" i="5"/>
  <c r="BD409" i="5"/>
  <c r="GF400" i="6" s="1"/>
  <c r="BC409" i="5"/>
  <c r="GE400" i="6" s="1"/>
  <c r="BB409" i="5"/>
  <c r="GD400" i="6" s="1"/>
  <c r="AZ409" i="5"/>
  <c r="AY409" i="5"/>
  <c r="AW409" i="5"/>
  <c r="AT409" i="5"/>
  <c r="AS409" i="5"/>
  <c r="AR409" i="5"/>
  <c r="AQ409" i="5"/>
  <c r="AP409" i="5"/>
  <c r="AO409" i="5"/>
  <c r="AN409" i="5"/>
  <c r="AL409" i="5"/>
  <c r="AK409" i="5"/>
  <c r="AJ409" i="5"/>
  <c r="AI409" i="5"/>
  <c r="AH409" i="5"/>
  <c r="AG409" i="5"/>
  <c r="AF409" i="5"/>
  <c r="AE409" i="5"/>
  <c r="AD409" i="5"/>
  <c r="AC409" i="5"/>
  <c r="AB409" i="5"/>
  <c r="AA409" i="5"/>
  <c r="Z409" i="5"/>
  <c r="Y409" i="5"/>
  <c r="X409" i="5"/>
  <c r="W409" i="5"/>
  <c r="V409" i="5"/>
  <c r="T409" i="5"/>
  <c r="S409" i="5"/>
  <c r="Q409" i="5"/>
  <c r="P409" i="5"/>
  <c r="N409" i="5"/>
  <c r="K409" i="5"/>
  <c r="J409" i="5"/>
  <c r="I409" i="5"/>
  <c r="H409" i="5"/>
  <c r="G409" i="5"/>
  <c r="F409" i="5"/>
  <c r="E409" i="5"/>
  <c r="D409" i="5"/>
  <c r="B409" i="5"/>
  <c r="BI408" i="5"/>
  <c r="BD408" i="5"/>
  <c r="GF399" i="6" s="1"/>
  <c r="BC408" i="5"/>
  <c r="GE399" i="6" s="1"/>
  <c r="BB408" i="5"/>
  <c r="GD399" i="6" s="1"/>
  <c r="AZ408" i="5"/>
  <c r="AY408" i="5"/>
  <c r="AW408" i="5"/>
  <c r="AT408" i="5"/>
  <c r="AS408" i="5"/>
  <c r="AR408" i="5"/>
  <c r="AQ408" i="5"/>
  <c r="AP408" i="5"/>
  <c r="AO408" i="5"/>
  <c r="AN408" i="5"/>
  <c r="AL408" i="5"/>
  <c r="AK408" i="5"/>
  <c r="AJ408" i="5"/>
  <c r="AI408" i="5"/>
  <c r="AH408" i="5"/>
  <c r="AG408" i="5"/>
  <c r="AF408" i="5"/>
  <c r="AE408" i="5"/>
  <c r="AD408" i="5"/>
  <c r="AC408" i="5"/>
  <c r="AB408" i="5"/>
  <c r="AA408" i="5"/>
  <c r="Z408" i="5"/>
  <c r="Y408" i="5"/>
  <c r="X408" i="5"/>
  <c r="W408" i="5"/>
  <c r="V408" i="5"/>
  <c r="T408" i="5"/>
  <c r="S408" i="5"/>
  <c r="Q408" i="5"/>
  <c r="P408" i="5"/>
  <c r="N408" i="5"/>
  <c r="K408" i="5"/>
  <c r="J408" i="5"/>
  <c r="I408" i="5"/>
  <c r="H408" i="5"/>
  <c r="G408" i="5"/>
  <c r="F408" i="5"/>
  <c r="E408" i="5"/>
  <c r="D408" i="5"/>
  <c r="B408" i="5"/>
  <c r="BI407" i="5"/>
  <c r="BD407" i="5"/>
  <c r="GF398" i="6" s="1"/>
  <c r="BC407" i="5"/>
  <c r="GE398" i="6" s="1"/>
  <c r="BB407" i="5"/>
  <c r="AZ407" i="5"/>
  <c r="AY407" i="5"/>
  <c r="AW407" i="5"/>
  <c r="AT407" i="5"/>
  <c r="AS407" i="5"/>
  <c r="AR407" i="5"/>
  <c r="AQ407" i="5"/>
  <c r="AP407" i="5"/>
  <c r="AO407" i="5"/>
  <c r="AN407" i="5"/>
  <c r="AL407" i="5"/>
  <c r="AK407" i="5"/>
  <c r="AJ407" i="5"/>
  <c r="AI407" i="5"/>
  <c r="AH407" i="5"/>
  <c r="AG407" i="5"/>
  <c r="AF407" i="5"/>
  <c r="AE407" i="5"/>
  <c r="AD407" i="5"/>
  <c r="AC407" i="5"/>
  <c r="AB407" i="5"/>
  <c r="AA407" i="5"/>
  <c r="Z407" i="5"/>
  <c r="Y407" i="5"/>
  <c r="X407" i="5"/>
  <c r="W407" i="5"/>
  <c r="V407" i="5"/>
  <c r="T407" i="5"/>
  <c r="S407" i="5"/>
  <c r="Q407" i="5"/>
  <c r="P407" i="5"/>
  <c r="N407" i="5"/>
  <c r="K407" i="5"/>
  <c r="J407" i="5"/>
  <c r="I407" i="5"/>
  <c r="H407" i="5"/>
  <c r="G407" i="5"/>
  <c r="F407" i="5"/>
  <c r="E407" i="5"/>
  <c r="D407" i="5"/>
  <c r="B407" i="5"/>
  <c r="BI406" i="5"/>
  <c r="BD406" i="5"/>
  <c r="GF397" i="6" s="1"/>
  <c r="BC406" i="5"/>
  <c r="GE397" i="6" s="1"/>
  <c r="BB406" i="5"/>
  <c r="GD397" i="6" s="1"/>
  <c r="AZ406" i="5"/>
  <c r="AY406" i="5"/>
  <c r="AW406" i="5"/>
  <c r="AT406" i="5"/>
  <c r="AS406" i="5"/>
  <c r="AR406" i="5"/>
  <c r="AQ406" i="5"/>
  <c r="AP406" i="5"/>
  <c r="AO406" i="5"/>
  <c r="AN406" i="5"/>
  <c r="AL406" i="5"/>
  <c r="AK406" i="5"/>
  <c r="AJ406" i="5"/>
  <c r="AI406" i="5"/>
  <c r="AH406" i="5"/>
  <c r="AG406" i="5"/>
  <c r="AF406" i="5"/>
  <c r="AE406" i="5"/>
  <c r="AD406" i="5"/>
  <c r="AC406" i="5"/>
  <c r="AB406" i="5"/>
  <c r="AA406" i="5"/>
  <c r="Z406" i="5"/>
  <c r="Y406" i="5"/>
  <c r="X406" i="5"/>
  <c r="W406" i="5"/>
  <c r="V406" i="5"/>
  <c r="T406" i="5"/>
  <c r="S406" i="5"/>
  <c r="Q406" i="5"/>
  <c r="P406" i="5"/>
  <c r="N406" i="5"/>
  <c r="K406" i="5"/>
  <c r="J406" i="5"/>
  <c r="I406" i="5"/>
  <c r="H406" i="5"/>
  <c r="G406" i="5"/>
  <c r="F406" i="5"/>
  <c r="E406" i="5"/>
  <c r="D406" i="5"/>
  <c r="B406" i="5"/>
  <c r="BI405" i="5"/>
  <c r="BD405" i="5"/>
  <c r="GF396" i="6" s="1"/>
  <c r="BC405" i="5"/>
  <c r="GE396" i="6" s="1"/>
  <c r="BB405" i="5"/>
  <c r="GD396" i="6" s="1"/>
  <c r="AZ405" i="5"/>
  <c r="AY405" i="5"/>
  <c r="AW405" i="5"/>
  <c r="AT405" i="5"/>
  <c r="AS405" i="5"/>
  <c r="AR405" i="5"/>
  <c r="AQ405" i="5"/>
  <c r="AP405" i="5"/>
  <c r="AO405" i="5"/>
  <c r="AN405" i="5"/>
  <c r="AL405" i="5"/>
  <c r="AK405" i="5"/>
  <c r="AJ405" i="5"/>
  <c r="AI405" i="5"/>
  <c r="AH405" i="5"/>
  <c r="AG405" i="5"/>
  <c r="AF405" i="5"/>
  <c r="AE405" i="5"/>
  <c r="AD405" i="5"/>
  <c r="AC405" i="5"/>
  <c r="AB405" i="5"/>
  <c r="AA405" i="5"/>
  <c r="Z405" i="5"/>
  <c r="Y405" i="5"/>
  <c r="X405" i="5"/>
  <c r="W405" i="5"/>
  <c r="V405" i="5"/>
  <c r="T405" i="5"/>
  <c r="S405" i="5"/>
  <c r="Q405" i="5"/>
  <c r="P405" i="5"/>
  <c r="N405" i="5"/>
  <c r="K405" i="5"/>
  <c r="J405" i="5"/>
  <c r="I405" i="5"/>
  <c r="H405" i="5"/>
  <c r="G405" i="5"/>
  <c r="F405" i="5"/>
  <c r="E405" i="5"/>
  <c r="D405" i="5"/>
  <c r="B405" i="5"/>
  <c r="BI404" i="5"/>
  <c r="BD404" i="5"/>
  <c r="GF395" i="6" s="1"/>
  <c r="BC404" i="5"/>
  <c r="GE395" i="6" s="1"/>
  <c r="BB404" i="5"/>
  <c r="GD395" i="6" s="1"/>
  <c r="AZ404" i="5"/>
  <c r="AY404" i="5"/>
  <c r="AW404" i="5"/>
  <c r="AT404" i="5"/>
  <c r="AS404" i="5"/>
  <c r="AR404" i="5"/>
  <c r="AQ404" i="5"/>
  <c r="AP404" i="5"/>
  <c r="AO404" i="5"/>
  <c r="AN404" i="5"/>
  <c r="AL404" i="5"/>
  <c r="AK404" i="5"/>
  <c r="AJ404" i="5"/>
  <c r="AI404" i="5"/>
  <c r="AH404" i="5"/>
  <c r="AG404" i="5"/>
  <c r="AF404" i="5"/>
  <c r="AE404" i="5"/>
  <c r="AD404" i="5"/>
  <c r="AC404" i="5"/>
  <c r="AB404" i="5"/>
  <c r="AA404" i="5"/>
  <c r="Z404" i="5"/>
  <c r="Y404" i="5"/>
  <c r="X404" i="5"/>
  <c r="W404" i="5"/>
  <c r="V404" i="5"/>
  <c r="T404" i="5"/>
  <c r="S404" i="5"/>
  <c r="Q404" i="5"/>
  <c r="P404" i="5"/>
  <c r="N404" i="5"/>
  <c r="K404" i="5"/>
  <c r="J404" i="5"/>
  <c r="I404" i="5"/>
  <c r="H404" i="5"/>
  <c r="G404" i="5"/>
  <c r="F404" i="5"/>
  <c r="E404" i="5"/>
  <c r="D404" i="5"/>
  <c r="B404" i="5"/>
  <c r="BI403" i="5"/>
  <c r="BD403" i="5"/>
  <c r="BC403" i="5"/>
  <c r="GE394" i="6" s="1"/>
  <c r="BB403" i="5"/>
  <c r="GD394" i="6" s="1"/>
  <c r="AZ403" i="5"/>
  <c r="AY403" i="5"/>
  <c r="AW403" i="5"/>
  <c r="AT403" i="5"/>
  <c r="AS403" i="5"/>
  <c r="AR403" i="5"/>
  <c r="AQ403" i="5"/>
  <c r="AP403" i="5"/>
  <c r="AO403" i="5"/>
  <c r="AN403" i="5"/>
  <c r="AL403" i="5"/>
  <c r="AK403" i="5"/>
  <c r="AJ403" i="5"/>
  <c r="AI403" i="5"/>
  <c r="AH403" i="5"/>
  <c r="AG403" i="5"/>
  <c r="AF403" i="5"/>
  <c r="AE403" i="5"/>
  <c r="AD403" i="5"/>
  <c r="AC403" i="5"/>
  <c r="AB403" i="5"/>
  <c r="AA403" i="5"/>
  <c r="Z403" i="5"/>
  <c r="Y403" i="5"/>
  <c r="X403" i="5"/>
  <c r="W403" i="5"/>
  <c r="V403" i="5"/>
  <c r="T403" i="5"/>
  <c r="S403" i="5"/>
  <c r="Q403" i="5"/>
  <c r="P403" i="5"/>
  <c r="N403" i="5"/>
  <c r="K403" i="5"/>
  <c r="J403" i="5"/>
  <c r="I403" i="5"/>
  <c r="H403" i="5"/>
  <c r="G403" i="5"/>
  <c r="F403" i="5"/>
  <c r="E403" i="5"/>
  <c r="D403" i="5"/>
  <c r="B403" i="5"/>
  <c r="BI402" i="5"/>
  <c r="BD402" i="5"/>
  <c r="GF393" i="6" s="1"/>
  <c r="BC402" i="5"/>
  <c r="GE393" i="6" s="1"/>
  <c r="BB402" i="5"/>
  <c r="GD393" i="6" s="1"/>
  <c r="AZ402" i="5"/>
  <c r="AY402" i="5"/>
  <c r="AW402" i="5"/>
  <c r="AT402" i="5"/>
  <c r="AS402" i="5"/>
  <c r="AR402" i="5"/>
  <c r="AQ402" i="5"/>
  <c r="AP402" i="5"/>
  <c r="AO402" i="5"/>
  <c r="AN402" i="5"/>
  <c r="AL402" i="5"/>
  <c r="AK402" i="5"/>
  <c r="AJ402" i="5"/>
  <c r="AI402" i="5"/>
  <c r="AH402" i="5"/>
  <c r="AG402" i="5"/>
  <c r="AF402" i="5"/>
  <c r="AE402" i="5"/>
  <c r="AD402" i="5"/>
  <c r="AC402" i="5"/>
  <c r="AB402" i="5"/>
  <c r="AA402" i="5"/>
  <c r="Z402" i="5"/>
  <c r="Y402" i="5"/>
  <c r="X402" i="5"/>
  <c r="W402" i="5"/>
  <c r="V402" i="5"/>
  <c r="T402" i="5"/>
  <c r="S402" i="5"/>
  <c r="Q402" i="5"/>
  <c r="P402" i="5"/>
  <c r="N402" i="5"/>
  <c r="K402" i="5"/>
  <c r="J402" i="5"/>
  <c r="I402" i="5"/>
  <c r="H402" i="5"/>
  <c r="G402" i="5"/>
  <c r="F402" i="5"/>
  <c r="E402" i="5"/>
  <c r="D402" i="5"/>
  <c r="B402" i="5"/>
  <c r="BI401" i="5"/>
  <c r="BD401" i="5"/>
  <c r="BC401" i="5"/>
  <c r="GE392" i="6" s="1"/>
  <c r="BB401" i="5"/>
  <c r="GD392" i="6" s="1"/>
  <c r="AZ401" i="5"/>
  <c r="AY401" i="5"/>
  <c r="AW401" i="5"/>
  <c r="AT401" i="5"/>
  <c r="AS401" i="5"/>
  <c r="AR401" i="5"/>
  <c r="AQ401" i="5"/>
  <c r="AP401" i="5"/>
  <c r="AO401" i="5"/>
  <c r="AN401" i="5"/>
  <c r="AL401" i="5"/>
  <c r="AK401" i="5"/>
  <c r="AJ401" i="5"/>
  <c r="AI401" i="5"/>
  <c r="AH401" i="5"/>
  <c r="AG401" i="5"/>
  <c r="AF401" i="5"/>
  <c r="AE401" i="5"/>
  <c r="AD401" i="5"/>
  <c r="AC401" i="5"/>
  <c r="AB401" i="5"/>
  <c r="AA401" i="5"/>
  <c r="Z401" i="5"/>
  <c r="Y401" i="5"/>
  <c r="X401" i="5"/>
  <c r="W401" i="5"/>
  <c r="V401" i="5"/>
  <c r="T401" i="5"/>
  <c r="S401" i="5"/>
  <c r="Q401" i="5"/>
  <c r="P401" i="5"/>
  <c r="N401" i="5"/>
  <c r="K401" i="5"/>
  <c r="J401" i="5"/>
  <c r="I401" i="5"/>
  <c r="H401" i="5"/>
  <c r="G401" i="5"/>
  <c r="F401" i="5"/>
  <c r="E401" i="5"/>
  <c r="D401" i="5"/>
  <c r="B401" i="5"/>
  <c r="BI400" i="5"/>
  <c r="BD400" i="5"/>
  <c r="BC400" i="5"/>
  <c r="GE391" i="6" s="1"/>
  <c r="BB400" i="5"/>
  <c r="GD391" i="6" s="1"/>
  <c r="AZ400" i="5"/>
  <c r="AY400" i="5"/>
  <c r="AW400" i="5"/>
  <c r="AT400" i="5"/>
  <c r="AS400" i="5"/>
  <c r="AR400" i="5"/>
  <c r="AQ400" i="5"/>
  <c r="AP400" i="5"/>
  <c r="AO400" i="5"/>
  <c r="AN400" i="5"/>
  <c r="AL400" i="5"/>
  <c r="AK400" i="5"/>
  <c r="AJ400" i="5"/>
  <c r="AI400" i="5"/>
  <c r="AH400" i="5"/>
  <c r="AG400" i="5"/>
  <c r="AF400" i="5"/>
  <c r="AE400" i="5"/>
  <c r="AD400" i="5"/>
  <c r="AC400" i="5"/>
  <c r="AB400" i="5"/>
  <c r="AA400" i="5"/>
  <c r="Z400" i="5"/>
  <c r="Y400" i="5"/>
  <c r="X400" i="5"/>
  <c r="W400" i="5"/>
  <c r="V400" i="5"/>
  <c r="T400" i="5"/>
  <c r="S400" i="5"/>
  <c r="Q400" i="5"/>
  <c r="P400" i="5"/>
  <c r="N400" i="5"/>
  <c r="K400" i="5"/>
  <c r="J400" i="5"/>
  <c r="I400" i="5"/>
  <c r="H400" i="5"/>
  <c r="G400" i="5"/>
  <c r="F400" i="5"/>
  <c r="E400" i="5"/>
  <c r="D400" i="5"/>
  <c r="B400" i="5"/>
  <c r="BI399" i="5"/>
  <c r="BD399" i="5"/>
  <c r="GF390" i="6" s="1"/>
  <c r="BC399" i="5"/>
  <c r="BB399" i="5"/>
  <c r="GD390" i="6" s="1"/>
  <c r="AZ399" i="5"/>
  <c r="AY399" i="5"/>
  <c r="AW399" i="5"/>
  <c r="AT399" i="5"/>
  <c r="AS399" i="5"/>
  <c r="AR399" i="5"/>
  <c r="AQ399" i="5"/>
  <c r="AP399" i="5"/>
  <c r="AO399" i="5"/>
  <c r="AN399" i="5"/>
  <c r="AL399" i="5"/>
  <c r="AK399" i="5"/>
  <c r="AJ399" i="5"/>
  <c r="AI399" i="5"/>
  <c r="AH399" i="5"/>
  <c r="AG399" i="5"/>
  <c r="AF399" i="5"/>
  <c r="AE399" i="5"/>
  <c r="AD399" i="5"/>
  <c r="AC399" i="5"/>
  <c r="AB399" i="5"/>
  <c r="AA399" i="5"/>
  <c r="Z399" i="5"/>
  <c r="Y399" i="5"/>
  <c r="X399" i="5"/>
  <c r="W399" i="5"/>
  <c r="V399" i="5"/>
  <c r="T399" i="5"/>
  <c r="S399" i="5"/>
  <c r="Q399" i="5"/>
  <c r="P399" i="5"/>
  <c r="N399" i="5"/>
  <c r="K399" i="5"/>
  <c r="J399" i="5"/>
  <c r="I399" i="5"/>
  <c r="H399" i="5"/>
  <c r="G399" i="5"/>
  <c r="F399" i="5"/>
  <c r="E399" i="5"/>
  <c r="D399" i="5"/>
  <c r="B399" i="5"/>
  <c r="BI398" i="5"/>
  <c r="BD398" i="5"/>
  <c r="BC398" i="5"/>
  <c r="GE389" i="6" s="1"/>
  <c r="BB398" i="5"/>
  <c r="GD389" i="6" s="1"/>
  <c r="AZ398" i="5"/>
  <c r="AY398" i="5"/>
  <c r="AW398" i="5"/>
  <c r="AT398" i="5"/>
  <c r="AS398" i="5"/>
  <c r="AR398" i="5"/>
  <c r="AQ398" i="5"/>
  <c r="AP398" i="5"/>
  <c r="AO398" i="5"/>
  <c r="AN398" i="5"/>
  <c r="AL398" i="5"/>
  <c r="AK398" i="5"/>
  <c r="AJ398" i="5"/>
  <c r="AI398" i="5"/>
  <c r="AH398" i="5"/>
  <c r="AG398" i="5"/>
  <c r="AF398" i="5"/>
  <c r="AE398" i="5"/>
  <c r="AD398" i="5"/>
  <c r="AC398" i="5"/>
  <c r="AB398" i="5"/>
  <c r="AA398" i="5"/>
  <c r="Z398" i="5"/>
  <c r="Y398" i="5"/>
  <c r="X398" i="5"/>
  <c r="W398" i="5"/>
  <c r="V398" i="5"/>
  <c r="T398" i="5"/>
  <c r="S398" i="5"/>
  <c r="Q398" i="5"/>
  <c r="P398" i="5"/>
  <c r="N398" i="5"/>
  <c r="K398" i="5"/>
  <c r="J398" i="5"/>
  <c r="I398" i="5"/>
  <c r="H398" i="5"/>
  <c r="G398" i="5"/>
  <c r="F398" i="5"/>
  <c r="E398" i="5"/>
  <c r="D398" i="5"/>
  <c r="B398" i="5"/>
  <c r="BI397" i="5"/>
  <c r="BD397" i="5"/>
  <c r="GF388" i="6" s="1"/>
  <c r="BC397" i="5"/>
  <c r="GE388" i="6" s="1"/>
  <c r="BB397" i="5"/>
  <c r="GD388" i="6" s="1"/>
  <c r="AZ397" i="5"/>
  <c r="AY397" i="5"/>
  <c r="AW397" i="5"/>
  <c r="AT397" i="5"/>
  <c r="AS397" i="5"/>
  <c r="AR397" i="5"/>
  <c r="AQ397" i="5"/>
  <c r="AP397" i="5"/>
  <c r="AO397" i="5"/>
  <c r="AN397" i="5"/>
  <c r="AL397" i="5"/>
  <c r="AK397" i="5"/>
  <c r="AJ397" i="5"/>
  <c r="AI397" i="5"/>
  <c r="AH397" i="5"/>
  <c r="AG397" i="5"/>
  <c r="AF397" i="5"/>
  <c r="AE397" i="5"/>
  <c r="AD397" i="5"/>
  <c r="AC397" i="5"/>
  <c r="AB397" i="5"/>
  <c r="AA397" i="5"/>
  <c r="Z397" i="5"/>
  <c r="Y397" i="5"/>
  <c r="X397" i="5"/>
  <c r="W397" i="5"/>
  <c r="V397" i="5"/>
  <c r="T397" i="5"/>
  <c r="S397" i="5"/>
  <c r="Q397" i="5"/>
  <c r="P397" i="5"/>
  <c r="N397" i="5"/>
  <c r="K397" i="5"/>
  <c r="J397" i="5"/>
  <c r="I397" i="5"/>
  <c r="H397" i="5"/>
  <c r="G397" i="5"/>
  <c r="F397" i="5"/>
  <c r="E397" i="5"/>
  <c r="D397" i="5"/>
  <c r="B397" i="5"/>
  <c r="BI396" i="5"/>
  <c r="BD396" i="5"/>
  <c r="GF387" i="6" s="1"/>
  <c r="BC396" i="5"/>
  <c r="GE387" i="6" s="1"/>
  <c r="BB396" i="5"/>
  <c r="GD387" i="6" s="1"/>
  <c r="AZ396" i="5"/>
  <c r="AY396" i="5"/>
  <c r="AW396" i="5"/>
  <c r="AT396" i="5"/>
  <c r="AS396" i="5"/>
  <c r="AR396" i="5"/>
  <c r="AQ396" i="5"/>
  <c r="AP396" i="5"/>
  <c r="AO396" i="5"/>
  <c r="AN396" i="5"/>
  <c r="AL396" i="5"/>
  <c r="AK396" i="5"/>
  <c r="AJ396" i="5"/>
  <c r="AI396" i="5"/>
  <c r="AH396" i="5"/>
  <c r="AG396" i="5"/>
  <c r="AF396" i="5"/>
  <c r="AE396" i="5"/>
  <c r="AD396" i="5"/>
  <c r="AC396" i="5"/>
  <c r="AB396" i="5"/>
  <c r="AA396" i="5"/>
  <c r="Z396" i="5"/>
  <c r="Y396" i="5"/>
  <c r="X396" i="5"/>
  <c r="W396" i="5"/>
  <c r="V396" i="5"/>
  <c r="T396" i="5"/>
  <c r="S396" i="5"/>
  <c r="Q396" i="5"/>
  <c r="P396" i="5"/>
  <c r="N396" i="5"/>
  <c r="K396" i="5"/>
  <c r="J396" i="5"/>
  <c r="I396" i="5"/>
  <c r="H396" i="5"/>
  <c r="G396" i="5"/>
  <c r="F396" i="5"/>
  <c r="E396" i="5"/>
  <c r="D396" i="5"/>
  <c r="B396" i="5"/>
  <c r="BI395" i="5"/>
  <c r="BD395" i="5"/>
  <c r="GF386" i="6" s="1"/>
  <c r="BC395" i="5"/>
  <c r="BB395" i="5"/>
  <c r="GD386" i="6" s="1"/>
  <c r="AZ395" i="5"/>
  <c r="AY395" i="5"/>
  <c r="AW395" i="5"/>
  <c r="AT395" i="5"/>
  <c r="AS395" i="5"/>
  <c r="AR395" i="5"/>
  <c r="AQ395" i="5"/>
  <c r="AP395" i="5"/>
  <c r="AO395" i="5"/>
  <c r="AN395" i="5"/>
  <c r="AL395" i="5"/>
  <c r="AK395" i="5"/>
  <c r="AJ395" i="5"/>
  <c r="AI395" i="5"/>
  <c r="AH395" i="5"/>
  <c r="AG395" i="5"/>
  <c r="AF395" i="5"/>
  <c r="AE395" i="5"/>
  <c r="AD395" i="5"/>
  <c r="AC395" i="5"/>
  <c r="AB395" i="5"/>
  <c r="AA395" i="5"/>
  <c r="Z395" i="5"/>
  <c r="Y395" i="5"/>
  <c r="X395" i="5"/>
  <c r="W395" i="5"/>
  <c r="V395" i="5"/>
  <c r="T395" i="5"/>
  <c r="S395" i="5"/>
  <c r="Q395" i="5"/>
  <c r="P395" i="5"/>
  <c r="N395" i="5"/>
  <c r="K395" i="5"/>
  <c r="J395" i="5"/>
  <c r="I395" i="5"/>
  <c r="H395" i="5"/>
  <c r="G395" i="5"/>
  <c r="F395" i="5"/>
  <c r="E395" i="5"/>
  <c r="D395" i="5"/>
  <c r="B395" i="5"/>
  <c r="BI394" i="5"/>
  <c r="BD394" i="5"/>
  <c r="BC394" i="5"/>
  <c r="GE385" i="6" s="1"/>
  <c r="BB394" i="5"/>
  <c r="GD385" i="6" s="1"/>
  <c r="AZ394" i="5"/>
  <c r="AY394" i="5"/>
  <c r="AW394" i="5"/>
  <c r="AT394" i="5"/>
  <c r="AS394" i="5"/>
  <c r="AR394" i="5"/>
  <c r="AQ394" i="5"/>
  <c r="AP394" i="5"/>
  <c r="AO394" i="5"/>
  <c r="AN394" i="5"/>
  <c r="AL394" i="5"/>
  <c r="AK394" i="5"/>
  <c r="AJ394" i="5"/>
  <c r="AI394" i="5"/>
  <c r="AH394" i="5"/>
  <c r="AG394" i="5"/>
  <c r="AF394" i="5"/>
  <c r="AE394" i="5"/>
  <c r="AD394" i="5"/>
  <c r="AC394" i="5"/>
  <c r="AB394" i="5"/>
  <c r="AA394" i="5"/>
  <c r="Z394" i="5"/>
  <c r="Y394" i="5"/>
  <c r="X394" i="5"/>
  <c r="W394" i="5"/>
  <c r="V394" i="5"/>
  <c r="T394" i="5"/>
  <c r="S394" i="5"/>
  <c r="Q394" i="5"/>
  <c r="P394" i="5"/>
  <c r="N394" i="5"/>
  <c r="K394" i="5"/>
  <c r="J394" i="5"/>
  <c r="I394" i="5"/>
  <c r="H394" i="5"/>
  <c r="G394" i="5"/>
  <c r="F394" i="5"/>
  <c r="E394" i="5"/>
  <c r="D394" i="5"/>
  <c r="B394" i="5"/>
  <c r="BI393" i="5"/>
  <c r="BD393" i="5"/>
  <c r="GF384" i="6" s="1"/>
  <c r="BC393" i="5"/>
  <c r="GE384" i="6" s="1"/>
  <c r="BB393" i="5"/>
  <c r="GD384" i="6" s="1"/>
  <c r="AZ393" i="5"/>
  <c r="AY393" i="5"/>
  <c r="AW393" i="5"/>
  <c r="AT393" i="5"/>
  <c r="AS393" i="5"/>
  <c r="AR393" i="5"/>
  <c r="AQ393" i="5"/>
  <c r="AP393" i="5"/>
  <c r="AO393" i="5"/>
  <c r="AN393" i="5"/>
  <c r="AL393" i="5"/>
  <c r="AK393" i="5"/>
  <c r="AJ393" i="5"/>
  <c r="AI393" i="5"/>
  <c r="AH393" i="5"/>
  <c r="AG393" i="5"/>
  <c r="AF393" i="5"/>
  <c r="AE393" i="5"/>
  <c r="AD393" i="5"/>
  <c r="AC393" i="5"/>
  <c r="AB393" i="5"/>
  <c r="AA393" i="5"/>
  <c r="Z393" i="5"/>
  <c r="Y393" i="5"/>
  <c r="X393" i="5"/>
  <c r="W393" i="5"/>
  <c r="V393" i="5"/>
  <c r="T393" i="5"/>
  <c r="S393" i="5"/>
  <c r="Q393" i="5"/>
  <c r="P393" i="5"/>
  <c r="N393" i="5"/>
  <c r="K393" i="5"/>
  <c r="J393" i="5"/>
  <c r="I393" i="5"/>
  <c r="H393" i="5"/>
  <c r="G393" i="5"/>
  <c r="F393" i="5"/>
  <c r="E393" i="5"/>
  <c r="D393" i="5"/>
  <c r="B393" i="5"/>
  <c r="BI392" i="5"/>
  <c r="BD392" i="5"/>
  <c r="GF383" i="6" s="1"/>
  <c r="BC392" i="5"/>
  <c r="GE383" i="6" s="1"/>
  <c r="BB392" i="5"/>
  <c r="GD383" i="6" s="1"/>
  <c r="AZ392" i="5"/>
  <c r="AY392" i="5"/>
  <c r="AW392" i="5"/>
  <c r="AT392" i="5"/>
  <c r="AS392" i="5"/>
  <c r="AR392" i="5"/>
  <c r="AQ392" i="5"/>
  <c r="AP392" i="5"/>
  <c r="AO392" i="5"/>
  <c r="AN392" i="5"/>
  <c r="AL392" i="5"/>
  <c r="AK392" i="5"/>
  <c r="AJ392" i="5"/>
  <c r="AI392" i="5"/>
  <c r="AH392" i="5"/>
  <c r="AG392" i="5"/>
  <c r="AF392" i="5"/>
  <c r="AE392" i="5"/>
  <c r="AD392" i="5"/>
  <c r="AC392" i="5"/>
  <c r="AB392" i="5"/>
  <c r="AA392" i="5"/>
  <c r="Z392" i="5"/>
  <c r="Y392" i="5"/>
  <c r="X392" i="5"/>
  <c r="W392" i="5"/>
  <c r="V392" i="5"/>
  <c r="T392" i="5"/>
  <c r="S392" i="5"/>
  <c r="Q392" i="5"/>
  <c r="P392" i="5"/>
  <c r="N392" i="5"/>
  <c r="K392" i="5"/>
  <c r="J392" i="5"/>
  <c r="I392" i="5"/>
  <c r="H392" i="5"/>
  <c r="G392" i="5"/>
  <c r="F392" i="5"/>
  <c r="E392" i="5"/>
  <c r="D392" i="5"/>
  <c r="B392" i="5"/>
  <c r="BI391" i="5"/>
  <c r="BD391" i="5"/>
  <c r="BC391" i="5"/>
  <c r="GE382" i="6" s="1"/>
  <c r="BB391" i="5"/>
  <c r="GD382" i="6" s="1"/>
  <c r="AZ391" i="5"/>
  <c r="AY391" i="5"/>
  <c r="AW391" i="5"/>
  <c r="AT391" i="5"/>
  <c r="AS391" i="5"/>
  <c r="AR391" i="5"/>
  <c r="AQ391" i="5"/>
  <c r="AP391" i="5"/>
  <c r="AO391" i="5"/>
  <c r="AN391" i="5"/>
  <c r="AL391" i="5"/>
  <c r="AK391" i="5"/>
  <c r="AJ391" i="5"/>
  <c r="AI391" i="5"/>
  <c r="AH391" i="5"/>
  <c r="AG391" i="5"/>
  <c r="AF391" i="5"/>
  <c r="AE391" i="5"/>
  <c r="AD391" i="5"/>
  <c r="AC391" i="5"/>
  <c r="AB391" i="5"/>
  <c r="AA391" i="5"/>
  <c r="Z391" i="5"/>
  <c r="Y391" i="5"/>
  <c r="X391" i="5"/>
  <c r="W391" i="5"/>
  <c r="V391" i="5"/>
  <c r="T391" i="5"/>
  <c r="S391" i="5"/>
  <c r="Q391" i="5"/>
  <c r="P391" i="5"/>
  <c r="N391" i="5"/>
  <c r="K391" i="5"/>
  <c r="J391" i="5"/>
  <c r="I391" i="5"/>
  <c r="H391" i="5"/>
  <c r="G391" i="5"/>
  <c r="F391" i="5"/>
  <c r="E391" i="5"/>
  <c r="D391" i="5"/>
  <c r="B391" i="5"/>
  <c r="BI390" i="5"/>
  <c r="BD390" i="5"/>
  <c r="GF381" i="6" s="1"/>
  <c r="BC390" i="5"/>
  <c r="GE381" i="6" s="1"/>
  <c r="BB390" i="5"/>
  <c r="GD381" i="6" s="1"/>
  <c r="AZ390" i="5"/>
  <c r="AY390" i="5"/>
  <c r="AW390" i="5"/>
  <c r="AT390" i="5"/>
  <c r="AS390" i="5"/>
  <c r="AR390" i="5"/>
  <c r="AQ390" i="5"/>
  <c r="AP390" i="5"/>
  <c r="AO390" i="5"/>
  <c r="AN390" i="5"/>
  <c r="AL390" i="5"/>
  <c r="AK390" i="5"/>
  <c r="AJ390" i="5"/>
  <c r="AI390" i="5"/>
  <c r="AH390" i="5"/>
  <c r="AG390" i="5"/>
  <c r="AF390" i="5"/>
  <c r="AE390" i="5"/>
  <c r="AD390" i="5"/>
  <c r="AC390" i="5"/>
  <c r="AB390" i="5"/>
  <c r="AA390" i="5"/>
  <c r="Z390" i="5"/>
  <c r="Y390" i="5"/>
  <c r="X390" i="5"/>
  <c r="W390" i="5"/>
  <c r="V390" i="5"/>
  <c r="T390" i="5"/>
  <c r="S390" i="5"/>
  <c r="Q390" i="5"/>
  <c r="P390" i="5"/>
  <c r="N390" i="5"/>
  <c r="K390" i="5"/>
  <c r="J390" i="5"/>
  <c r="I390" i="5"/>
  <c r="H390" i="5"/>
  <c r="G390" i="5"/>
  <c r="F390" i="5"/>
  <c r="E390" i="5"/>
  <c r="D390" i="5"/>
  <c r="B390" i="5"/>
  <c r="BI389" i="5"/>
  <c r="BD389" i="5"/>
  <c r="GF380" i="6" s="1"/>
  <c r="BC389" i="5"/>
  <c r="GE380" i="6" s="1"/>
  <c r="BB389" i="5"/>
  <c r="GD380" i="6" s="1"/>
  <c r="AZ389" i="5"/>
  <c r="AY389" i="5"/>
  <c r="AW389" i="5"/>
  <c r="AT389" i="5"/>
  <c r="AS389" i="5"/>
  <c r="AR389" i="5"/>
  <c r="AQ389" i="5"/>
  <c r="AP389" i="5"/>
  <c r="AO389" i="5"/>
  <c r="AN389" i="5"/>
  <c r="AL389" i="5"/>
  <c r="AK389" i="5"/>
  <c r="AJ389" i="5"/>
  <c r="AI389" i="5"/>
  <c r="AH389" i="5"/>
  <c r="AG389" i="5"/>
  <c r="AF389" i="5"/>
  <c r="AE389" i="5"/>
  <c r="AD389" i="5"/>
  <c r="AC389" i="5"/>
  <c r="AB389" i="5"/>
  <c r="AA389" i="5"/>
  <c r="Z389" i="5"/>
  <c r="Y389" i="5"/>
  <c r="X389" i="5"/>
  <c r="W389" i="5"/>
  <c r="V389" i="5"/>
  <c r="T389" i="5"/>
  <c r="S389" i="5"/>
  <c r="Q389" i="5"/>
  <c r="P389" i="5"/>
  <c r="N389" i="5"/>
  <c r="K389" i="5"/>
  <c r="J389" i="5"/>
  <c r="I389" i="5"/>
  <c r="H389" i="5"/>
  <c r="G389" i="5"/>
  <c r="F389" i="5"/>
  <c r="E389" i="5"/>
  <c r="D389" i="5"/>
  <c r="B389" i="5"/>
  <c r="BI388" i="5"/>
  <c r="BD388" i="5"/>
  <c r="GF379" i="6" s="1"/>
  <c r="BC388" i="5"/>
  <c r="GE379" i="6" s="1"/>
  <c r="BB388" i="5"/>
  <c r="AZ388" i="5"/>
  <c r="AY388" i="5"/>
  <c r="AW388" i="5"/>
  <c r="AT388" i="5"/>
  <c r="AS388" i="5"/>
  <c r="AR388" i="5"/>
  <c r="AQ388" i="5"/>
  <c r="AP388" i="5"/>
  <c r="AO388" i="5"/>
  <c r="AN388" i="5"/>
  <c r="AL388" i="5"/>
  <c r="AK388" i="5"/>
  <c r="AJ388" i="5"/>
  <c r="AI388" i="5"/>
  <c r="AH388" i="5"/>
  <c r="AG388" i="5"/>
  <c r="AF388" i="5"/>
  <c r="AE388" i="5"/>
  <c r="AD388" i="5"/>
  <c r="AC388" i="5"/>
  <c r="AB388" i="5"/>
  <c r="AA388" i="5"/>
  <c r="Z388" i="5"/>
  <c r="Y388" i="5"/>
  <c r="X388" i="5"/>
  <c r="W388" i="5"/>
  <c r="V388" i="5"/>
  <c r="T388" i="5"/>
  <c r="S388" i="5"/>
  <c r="Q388" i="5"/>
  <c r="P388" i="5"/>
  <c r="N388" i="5"/>
  <c r="K388" i="5"/>
  <c r="J388" i="5"/>
  <c r="I388" i="5"/>
  <c r="H388" i="5"/>
  <c r="G388" i="5"/>
  <c r="F388" i="5"/>
  <c r="E388" i="5"/>
  <c r="D388" i="5"/>
  <c r="B388" i="5"/>
  <c r="BI387" i="5"/>
  <c r="BD387" i="5"/>
  <c r="GF378" i="6" s="1"/>
  <c r="BC387" i="5"/>
  <c r="GE378" i="6" s="1"/>
  <c r="BB387" i="5"/>
  <c r="GD378" i="6" s="1"/>
  <c r="AZ387" i="5"/>
  <c r="AY387" i="5"/>
  <c r="AW387" i="5"/>
  <c r="AT387" i="5"/>
  <c r="AS387" i="5"/>
  <c r="AR387" i="5"/>
  <c r="AQ387" i="5"/>
  <c r="AP387" i="5"/>
  <c r="AO387" i="5"/>
  <c r="AN387" i="5"/>
  <c r="AL387" i="5"/>
  <c r="AK387" i="5"/>
  <c r="AJ387" i="5"/>
  <c r="AI387" i="5"/>
  <c r="AH387" i="5"/>
  <c r="AG387" i="5"/>
  <c r="AF387" i="5"/>
  <c r="AE387" i="5"/>
  <c r="AD387" i="5"/>
  <c r="AC387" i="5"/>
  <c r="AB387" i="5"/>
  <c r="AA387" i="5"/>
  <c r="Z387" i="5"/>
  <c r="Y387" i="5"/>
  <c r="X387" i="5"/>
  <c r="W387" i="5"/>
  <c r="V387" i="5"/>
  <c r="T387" i="5"/>
  <c r="S387" i="5"/>
  <c r="Q387" i="5"/>
  <c r="P387" i="5"/>
  <c r="N387" i="5"/>
  <c r="K387" i="5"/>
  <c r="J387" i="5"/>
  <c r="I387" i="5"/>
  <c r="H387" i="5"/>
  <c r="G387" i="5"/>
  <c r="F387" i="5"/>
  <c r="E387" i="5"/>
  <c r="D387" i="5"/>
  <c r="B387" i="5"/>
  <c r="BI386" i="5"/>
  <c r="BD386" i="5"/>
  <c r="BC386" i="5"/>
  <c r="GE377" i="6" s="1"/>
  <c r="BB386" i="5"/>
  <c r="GD377" i="6" s="1"/>
  <c r="AZ386" i="5"/>
  <c r="AY386" i="5"/>
  <c r="AW386" i="5"/>
  <c r="AT386" i="5"/>
  <c r="AS386" i="5"/>
  <c r="AR386" i="5"/>
  <c r="AQ386" i="5"/>
  <c r="AP386" i="5"/>
  <c r="AO386" i="5"/>
  <c r="AN386" i="5"/>
  <c r="AL386" i="5"/>
  <c r="AK386" i="5"/>
  <c r="AJ386" i="5"/>
  <c r="AI386" i="5"/>
  <c r="AH386" i="5"/>
  <c r="AG386" i="5"/>
  <c r="AF386" i="5"/>
  <c r="AE386" i="5"/>
  <c r="AD386" i="5"/>
  <c r="AC386" i="5"/>
  <c r="AB386" i="5"/>
  <c r="AA386" i="5"/>
  <c r="Z386" i="5"/>
  <c r="Y386" i="5"/>
  <c r="X386" i="5"/>
  <c r="W386" i="5"/>
  <c r="V386" i="5"/>
  <c r="T386" i="5"/>
  <c r="S386" i="5"/>
  <c r="Q386" i="5"/>
  <c r="P386" i="5"/>
  <c r="N386" i="5"/>
  <c r="K386" i="5"/>
  <c r="J386" i="5"/>
  <c r="I386" i="5"/>
  <c r="H386" i="5"/>
  <c r="G386" i="5"/>
  <c r="F386" i="5"/>
  <c r="E386" i="5"/>
  <c r="D386" i="5"/>
  <c r="B386" i="5"/>
  <c r="BI385" i="5"/>
  <c r="BD385" i="5"/>
  <c r="GF376" i="6" s="1"/>
  <c r="BC385" i="5"/>
  <c r="GE376" i="6" s="1"/>
  <c r="BB385" i="5"/>
  <c r="GD376" i="6" s="1"/>
  <c r="AZ385" i="5"/>
  <c r="AY385" i="5"/>
  <c r="AW385" i="5"/>
  <c r="AT385" i="5"/>
  <c r="AS385" i="5"/>
  <c r="AR385" i="5"/>
  <c r="AQ385" i="5"/>
  <c r="AP385" i="5"/>
  <c r="AO385" i="5"/>
  <c r="AN385" i="5"/>
  <c r="AL385" i="5"/>
  <c r="AK385" i="5"/>
  <c r="AJ385" i="5"/>
  <c r="AI385" i="5"/>
  <c r="AH385" i="5"/>
  <c r="AG385" i="5"/>
  <c r="AF385" i="5"/>
  <c r="AE385" i="5"/>
  <c r="AD385" i="5"/>
  <c r="AC385" i="5"/>
  <c r="AB385" i="5"/>
  <c r="AA385" i="5"/>
  <c r="Z385" i="5"/>
  <c r="Y385" i="5"/>
  <c r="X385" i="5"/>
  <c r="W385" i="5"/>
  <c r="V385" i="5"/>
  <c r="T385" i="5"/>
  <c r="S385" i="5"/>
  <c r="Q385" i="5"/>
  <c r="P385" i="5"/>
  <c r="N385" i="5"/>
  <c r="K385" i="5"/>
  <c r="J385" i="5"/>
  <c r="I385" i="5"/>
  <c r="H385" i="5"/>
  <c r="G385" i="5"/>
  <c r="F385" i="5"/>
  <c r="E385" i="5"/>
  <c r="D385" i="5"/>
  <c r="B385" i="5"/>
  <c r="BI384" i="5"/>
  <c r="BD384" i="5"/>
  <c r="BC384" i="5"/>
  <c r="GE375" i="6" s="1"/>
  <c r="BB384" i="5"/>
  <c r="GD375" i="6" s="1"/>
  <c r="AZ384" i="5"/>
  <c r="AY384" i="5"/>
  <c r="AW384" i="5"/>
  <c r="AT384" i="5"/>
  <c r="AS384" i="5"/>
  <c r="AR384" i="5"/>
  <c r="AQ384" i="5"/>
  <c r="AP384" i="5"/>
  <c r="AO384" i="5"/>
  <c r="AN384" i="5"/>
  <c r="AL384" i="5"/>
  <c r="AK384" i="5"/>
  <c r="AJ384" i="5"/>
  <c r="AI384" i="5"/>
  <c r="AH384" i="5"/>
  <c r="AG384" i="5"/>
  <c r="AF384" i="5"/>
  <c r="AE384" i="5"/>
  <c r="AD384" i="5"/>
  <c r="AC384" i="5"/>
  <c r="AB384" i="5"/>
  <c r="AA384" i="5"/>
  <c r="Z384" i="5"/>
  <c r="Y384" i="5"/>
  <c r="X384" i="5"/>
  <c r="W384" i="5"/>
  <c r="V384" i="5"/>
  <c r="T384" i="5"/>
  <c r="S384" i="5"/>
  <c r="Q384" i="5"/>
  <c r="P384" i="5"/>
  <c r="N384" i="5"/>
  <c r="K384" i="5"/>
  <c r="J384" i="5"/>
  <c r="I384" i="5"/>
  <c r="H384" i="5"/>
  <c r="G384" i="5"/>
  <c r="F384" i="5"/>
  <c r="E384" i="5"/>
  <c r="D384" i="5"/>
  <c r="B384" i="5"/>
  <c r="BI383" i="5"/>
  <c r="BD383" i="5"/>
  <c r="GF374" i="6" s="1"/>
  <c r="BC383" i="5"/>
  <c r="BB383" i="5"/>
  <c r="GD374" i="6" s="1"/>
  <c r="AZ383" i="5"/>
  <c r="AY383" i="5"/>
  <c r="AW383" i="5"/>
  <c r="AT383" i="5"/>
  <c r="AS383" i="5"/>
  <c r="AR383" i="5"/>
  <c r="AQ383" i="5"/>
  <c r="AP383" i="5"/>
  <c r="AO383" i="5"/>
  <c r="AN383" i="5"/>
  <c r="AL383" i="5"/>
  <c r="AK383" i="5"/>
  <c r="AJ383" i="5"/>
  <c r="AI383" i="5"/>
  <c r="AH383" i="5"/>
  <c r="AG383" i="5"/>
  <c r="AF383" i="5"/>
  <c r="AE383" i="5"/>
  <c r="AD383" i="5"/>
  <c r="AC383" i="5"/>
  <c r="AB383" i="5"/>
  <c r="AA383" i="5"/>
  <c r="Z383" i="5"/>
  <c r="Y383" i="5"/>
  <c r="X383" i="5"/>
  <c r="W383" i="5"/>
  <c r="V383" i="5"/>
  <c r="T383" i="5"/>
  <c r="S383" i="5"/>
  <c r="Q383" i="5"/>
  <c r="P383" i="5"/>
  <c r="N383" i="5"/>
  <c r="K383" i="5"/>
  <c r="J383" i="5"/>
  <c r="I383" i="5"/>
  <c r="H383" i="5"/>
  <c r="G383" i="5"/>
  <c r="F383" i="5"/>
  <c r="E383" i="5"/>
  <c r="D383" i="5"/>
  <c r="B383" i="5"/>
  <c r="BI382" i="5"/>
  <c r="BD382" i="5"/>
  <c r="GF373" i="6" s="1"/>
  <c r="BC382" i="5"/>
  <c r="GE373" i="6" s="1"/>
  <c r="BB382" i="5"/>
  <c r="GD373" i="6" s="1"/>
  <c r="AZ382" i="5"/>
  <c r="AY382" i="5"/>
  <c r="AW382" i="5"/>
  <c r="AT382" i="5"/>
  <c r="AS382" i="5"/>
  <c r="AR382" i="5"/>
  <c r="AQ382" i="5"/>
  <c r="AP382" i="5"/>
  <c r="AO382" i="5"/>
  <c r="AN382" i="5"/>
  <c r="AL382" i="5"/>
  <c r="AK382" i="5"/>
  <c r="AJ382" i="5"/>
  <c r="AI382" i="5"/>
  <c r="AH382" i="5"/>
  <c r="AG382" i="5"/>
  <c r="AF382" i="5"/>
  <c r="AE382" i="5"/>
  <c r="AD382" i="5"/>
  <c r="AC382" i="5"/>
  <c r="AB382" i="5"/>
  <c r="AA382" i="5"/>
  <c r="Z382" i="5"/>
  <c r="Y382" i="5"/>
  <c r="X382" i="5"/>
  <c r="W382" i="5"/>
  <c r="V382" i="5"/>
  <c r="T382" i="5"/>
  <c r="S382" i="5"/>
  <c r="Q382" i="5"/>
  <c r="P382" i="5"/>
  <c r="N382" i="5"/>
  <c r="K382" i="5"/>
  <c r="J382" i="5"/>
  <c r="I382" i="5"/>
  <c r="H382" i="5"/>
  <c r="G382" i="5"/>
  <c r="F382" i="5"/>
  <c r="E382" i="5"/>
  <c r="D382" i="5"/>
  <c r="B382" i="5"/>
  <c r="BI381" i="5"/>
  <c r="BD381" i="5"/>
  <c r="BC381" i="5"/>
  <c r="GE372" i="6" s="1"/>
  <c r="BB381" i="5"/>
  <c r="GD372" i="6" s="1"/>
  <c r="AZ381" i="5"/>
  <c r="AY381" i="5"/>
  <c r="AW381" i="5"/>
  <c r="AT381" i="5"/>
  <c r="AS381" i="5"/>
  <c r="AR381" i="5"/>
  <c r="AQ381" i="5"/>
  <c r="AP381" i="5"/>
  <c r="AO381" i="5"/>
  <c r="AN381" i="5"/>
  <c r="AL381" i="5"/>
  <c r="AK381" i="5"/>
  <c r="AJ381" i="5"/>
  <c r="AI381" i="5"/>
  <c r="AH381" i="5"/>
  <c r="AG381" i="5"/>
  <c r="AF381" i="5"/>
  <c r="AE381" i="5"/>
  <c r="AD381" i="5"/>
  <c r="AC381" i="5"/>
  <c r="AB381" i="5"/>
  <c r="AA381" i="5"/>
  <c r="Z381" i="5"/>
  <c r="Y381" i="5"/>
  <c r="X381" i="5"/>
  <c r="W381" i="5"/>
  <c r="V381" i="5"/>
  <c r="T381" i="5"/>
  <c r="S381" i="5"/>
  <c r="Q381" i="5"/>
  <c r="P381" i="5"/>
  <c r="N381" i="5"/>
  <c r="K381" i="5"/>
  <c r="J381" i="5"/>
  <c r="I381" i="5"/>
  <c r="H381" i="5"/>
  <c r="G381" i="5"/>
  <c r="F381" i="5"/>
  <c r="E381" i="5"/>
  <c r="D381" i="5"/>
  <c r="B381" i="5"/>
  <c r="BI380" i="5"/>
  <c r="BD380" i="5"/>
  <c r="GF371" i="6" s="1"/>
  <c r="BC380" i="5"/>
  <c r="GE371" i="6" s="1"/>
  <c r="BB380" i="5"/>
  <c r="GD371" i="6" s="1"/>
  <c r="AZ380" i="5"/>
  <c r="AY380" i="5"/>
  <c r="AW380" i="5"/>
  <c r="AT380" i="5"/>
  <c r="AS380" i="5"/>
  <c r="AR380" i="5"/>
  <c r="AQ380" i="5"/>
  <c r="AP380" i="5"/>
  <c r="AO380" i="5"/>
  <c r="AN380" i="5"/>
  <c r="AL380" i="5"/>
  <c r="AK380" i="5"/>
  <c r="AJ380" i="5"/>
  <c r="AI380" i="5"/>
  <c r="AH380" i="5"/>
  <c r="AG380" i="5"/>
  <c r="AF380" i="5"/>
  <c r="AE380" i="5"/>
  <c r="AD380" i="5"/>
  <c r="AC380" i="5"/>
  <c r="AB380" i="5"/>
  <c r="AA380" i="5"/>
  <c r="Z380" i="5"/>
  <c r="Y380" i="5"/>
  <c r="X380" i="5"/>
  <c r="W380" i="5"/>
  <c r="V380" i="5"/>
  <c r="T380" i="5"/>
  <c r="S380" i="5"/>
  <c r="Q380" i="5"/>
  <c r="P380" i="5"/>
  <c r="N380" i="5"/>
  <c r="K380" i="5"/>
  <c r="J380" i="5"/>
  <c r="I380" i="5"/>
  <c r="H380" i="5"/>
  <c r="G380" i="5"/>
  <c r="F380" i="5"/>
  <c r="E380" i="5"/>
  <c r="D380" i="5"/>
  <c r="B380" i="5"/>
  <c r="BI379" i="5"/>
  <c r="BD379" i="5"/>
  <c r="GF370" i="6" s="1"/>
  <c r="BC379" i="5"/>
  <c r="GE370" i="6" s="1"/>
  <c r="BB379" i="5"/>
  <c r="GD370" i="6" s="1"/>
  <c r="AZ379" i="5"/>
  <c r="AY379" i="5"/>
  <c r="AW379" i="5"/>
  <c r="AT379" i="5"/>
  <c r="AS379" i="5"/>
  <c r="AR379" i="5"/>
  <c r="AQ379" i="5"/>
  <c r="AP379" i="5"/>
  <c r="AO379" i="5"/>
  <c r="AN379" i="5"/>
  <c r="AL379" i="5"/>
  <c r="AK379" i="5"/>
  <c r="AJ379" i="5"/>
  <c r="AI379" i="5"/>
  <c r="AH379" i="5"/>
  <c r="AG379" i="5"/>
  <c r="AF379" i="5"/>
  <c r="AE379" i="5"/>
  <c r="AD379" i="5"/>
  <c r="AC379" i="5"/>
  <c r="AB379" i="5"/>
  <c r="AA379" i="5"/>
  <c r="Z379" i="5"/>
  <c r="Y379" i="5"/>
  <c r="X379" i="5"/>
  <c r="W379" i="5"/>
  <c r="V379" i="5"/>
  <c r="T379" i="5"/>
  <c r="S379" i="5"/>
  <c r="Q379" i="5"/>
  <c r="P379" i="5"/>
  <c r="N379" i="5"/>
  <c r="K379" i="5"/>
  <c r="J379" i="5"/>
  <c r="I379" i="5"/>
  <c r="H379" i="5"/>
  <c r="G379" i="5"/>
  <c r="F379" i="5"/>
  <c r="E379" i="5"/>
  <c r="D379" i="5"/>
  <c r="B379" i="5"/>
  <c r="BI378" i="5"/>
  <c r="BD378" i="5"/>
  <c r="GF369" i="6" s="1"/>
  <c r="BC378" i="5"/>
  <c r="GE369" i="6" s="1"/>
  <c r="BB378" i="5"/>
  <c r="AZ378" i="5"/>
  <c r="AY378" i="5"/>
  <c r="AW378" i="5"/>
  <c r="AT378" i="5"/>
  <c r="AS378" i="5"/>
  <c r="AR378" i="5"/>
  <c r="AQ378" i="5"/>
  <c r="AP378" i="5"/>
  <c r="AO378" i="5"/>
  <c r="AN378" i="5"/>
  <c r="AL378" i="5"/>
  <c r="AK378" i="5"/>
  <c r="AJ378" i="5"/>
  <c r="AI378" i="5"/>
  <c r="AH378" i="5"/>
  <c r="AG378" i="5"/>
  <c r="AF378" i="5"/>
  <c r="AE378" i="5"/>
  <c r="AD378" i="5"/>
  <c r="AC378" i="5"/>
  <c r="AB378" i="5"/>
  <c r="AA378" i="5"/>
  <c r="Z378" i="5"/>
  <c r="Y378" i="5"/>
  <c r="X378" i="5"/>
  <c r="W378" i="5"/>
  <c r="V378" i="5"/>
  <c r="T378" i="5"/>
  <c r="S378" i="5"/>
  <c r="Q378" i="5"/>
  <c r="P378" i="5"/>
  <c r="N378" i="5"/>
  <c r="K378" i="5"/>
  <c r="J378" i="5"/>
  <c r="I378" i="5"/>
  <c r="H378" i="5"/>
  <c r="G378" i="5"/>
  <c r="F378" i="5"/>
  <c r="E378" i="5"/>
  <c r="D378" i="5"/>
  <c r="B378" i="5"/>
  <c r="BI377" i="5"/>
  <c r="BD377" i="5"/>
  <c r="GF368" i="6" s="1"/>
  <c r="BC377" i="5"/>
  <c r="GE368" i="6" s="1"/>
  <c r="BB377" i="5"/>
  <c r="GD368" i="6" s="1"/>
  <c r="AZ377" i="5"/>
  <c r="AY377" i="5"/>
  <c r="AW377" i="5"/>
  <c r="AT377" i="5"/>
  <c r="AS377" i="5"/>
  <c r="AR377" i="5"/>
  <c r="AQ377" i="5"/>
  <c r="AP377" i="5"/>
  <c r="AO377" i="5"/>
  <c r="AN377" i="5"/>
  <c r="AL377" i="5"/>
  <c r="AK377" i="5"/>
  <c r="AJ377" i="5"/>
  <c r="AI377" i="5"/>
  <c r="AH377" i="5"/>
  <c r="AG377" i="5"/>
  <c r="AF377" i="5"/>
  <c r="AE377" i="5"/>
  <c r="AD377" i="5"/>
  <c r="AC377" i="5"/>
  <c r="AB377" i="5"/>
  <c r="AA377" i="5"/>
  <c r="Z377" i="5"/>
  <c r="Y377" i="5"/>
  <c r="X377" i="5"/>
  <c r="W377" i="5"/>
  <c r="V377" i="5"/>
  <c r="T377" i="5"/>
  <c r="S377" i="5"/>
  <c r="Q377" i="5"/>
  <c r="P377" i="5"/>
  <c r="N377" i="5"/>
  <c r="K377" i="5"/>
  <c r="J377" i="5"/>
  <c r="I377" i="5"/>
  <c r="H377" i="5"/>
  <c r="G377" i="5"/>
  <c r="F377" i="5"/>
  <c r="E377" i="5"/>
  <c r="D377" i="5"/>
  <c r="B377" i="5"/>
  <c r="BI376" i="5"/>
  <c r="BD376" i="5"/>
  <c r="BC376" i="5"/>
  <c r="GE367" i="6" s="1"/>
  <c r="BB376" i="5"/>
  <c r="GD367" i="6" s="1"/>
  <c r="AZ376" i="5"/>
  <c r="AY376" i="5"/>
  <c r="AW376" i="5"/>
  <c r="AT376" i="5"/>
  <c r="AS376" i="5"/>
  <c r="AR376" i="5"/>
  <c r="AQ376" i="5"/>
  <c r="AP376" i="5"/>
  <c r="AO376" i="5"/>
  <c r="AN376" i="5"/>
  <c r="AL376" i="5"/>
  <c r="AK376" i="5"/>
  <c r="AJ376" i="5"/>
  <c r="AI376" i="5"/>
  <c r="AH376" i="5"/>
  <c r="AG376" i="5"/>
  <c r="AF376" i="5"/>
  <c r="AE376" i="5"/>
  <c r="AD376" i="5"/>
  <c r="AC376" i="5"/>
  <c r="AB376" i="5"/>
  <c r="AA376" i="5"/>
  <c r="Z376" i="5"/>
  <c r="Y376" i="5"/>
  <c r="X376" i="5"/>
  <c r="W376" i="5"/>
  <c r="V376" i="5"/>
  <c r="T376" i="5"/>
  <c r="S376" i="5"/>
  <c r="Q376" i="5"/>
  <c r="P376" i="5"/>
  <c r="N376" i="5"/>
  <c r="K376" i="5"/>
  <c r="J376" i="5"/>
  <c r="I376" i="5"/>
  <c r="H376" i="5"/>
  <c r="G376" i="5"/>
  <c r="F376" i="5"/>
  <c r="E376" i="5"/>
  <c r="D376" i="5"/>
  <c r="B376" i="5"/>
  <c r="BI375" i="5"/>
  <c r="BD375" i="5"/>
  <c r="GF366" i="6" s="1"/>
  <c r="BC375" i="5"/>
  <c r="GE366" i="6" s="1"/>
  <c r="BB375" i="5"/>
  <c r="GD366" i="6" s="1"/>
  <c r="AZ375" i="5"/>
  <c r="AY375" i="5"/>
  <c r="AW375" i="5"/>
  <c r="AT375" i="5"/>
  <c r="AS375" i="5"/>
  <c r="AR375" i="5"/>
  <c r="AQ375" i="5"/>
  <c r="AP375" i="5"/>
  <c r="AO375" i="5"/>
  <c r="AN375" i="5"/>
  <c r="AL375" i="5"/>
  <c r="AK375" i="5"/>
  <c r="AJ375" i="5"/>
  <c r="AI375" i="5"/>
  <c r="AH375" i="5"/>
  <c r="AG375" i="5"/>
  <c r="AF375" i="5"/>
  <c r="AE375" i="5"/>
  <c r="AD375" i="5"/>
  <c r="AC375" i="5"/>
  <c r="AB375" i="5"/>
  <c r="AA375" i="5"/>
  <c r="Z375" i="5"/>
  <c r="Y375" i="5"/>
  <c r="X375" i="5"/>
  <c r="W375" i="5"/>
  <c r="V375" i="5"/>
  <c r="T375" i="5"/>
  <c r="S375" i="5"/>
  <c r="Q375" i="5"/>
  <c r="P375" i="5"/>
  <c r="N375" i="5"/>
  <c r="K375" i="5"/>
  <c r="J375" i="5"/>
  <c r="I375" i="5"/>
  <c r="H375" i="5"/>
  <c r="G375" i="5"/>
  <c r="F375" i="5"/>
  <c r="E375" i="5"/>
  <c r="D375" i="5"/>
  <c r="B375" i="5"/>
  <c r="BI374" i="5"/>
  <c r="BD374" i="5"/>
  <c r="GF365" i="6" s="1"/>
  <c r="BC374" i="5"/>
  <c r="GE365" i="6" s="1"/>
  <c r="BB374" i="5"/>
  <c r="GD365" i="6" s="1"/>
  <c r="AZ374" i="5"/>
  <c r="AY374" i="5"/>
  <c r="AW374" i="5"/>
  <c r="AT374" i="5"/>
  <c r="AS374" i="5"/>
  <c r="AR374" i="5"/>
  <c r="AQ374" i="5"/>
  <c r="AP374" i="5"/>
  <c r="AO374" i="5"/>
  <c r="AN374" i="5"/>
  <c r="AL374" i="5"/>
  <c r="AK374" i="5"/>
  <c r="AJ374" i="5"/>
  <c r="AI374" i="5"/>
  <c r="AH374" i="5"/>
  <c r="AG374" i="5"/>
  <c r="AF374" i="5"/>
  <c r="AE374" i="5"/>
  <c r="AD374" i="5"/>
  <c r="AC374" i="5"/>
  <c r="AB374" i="5"/>
  <c r="AA374" i="5"/>
  <c r="Z374" i="5"/>
  <c r="Y374" i="5"/>
  <c r="X374" i="5"/>
  <c r="W374" i="5"/>
  <c r="V374" i="5"/>
  <c r="T374" i="5"/>
  <c r="S374" i="5"/>
  <c r="Q374" i="5"/>
  <c r="P374" i="5"/>
  <c r="N374" i="5"/>
  <c r="K374" i="5"/>
  <c r="J374" i="5"/>
  <c r="I374" i="5"/>
  <c r="H374" i="5"/>
  <c r="G374" i="5"/>
  <c r="F374" i="5"/>
  <c r="E374" i="5"/>
  <c r="D374" i="5"/>
  <c r="B374" i="5"/>
  <c r="BI373" i="5"/>
  <c r="BD373" i="5"/>
  <c r="GF364" i="6" s="1"/>
  <c r="BC373" i="5"/>
  <c r="BB373" i="5"/>
  <c r="GD364" i="6" s="1"/>
  <c r="AZ373" i="5"/>
  <c r="AY373" i="5"/>
  <c r="AW373" i="5"/>
  <c r="AT373" i="5"/>
  <c r="AS373" i="5"/>
  <c r="AR373" i="5"/>
  <c r="AQ373" i="5"/>
  <c r="AP373" i="5"/>
  <c r="AO373" i="5"/>
  <c r="AN373" i="5"/>
  <c r="AL373" i="5"/>
  <c r="AK373" i="5"/>
  <c r="AJ373" i="5"/>
  <c r="AI373" i="5"/>
  <c r="AH373" i="5"/>
  <c r="AG373" i="5"/>
  <c r="AF373" i="5"/>
  <c r="AE373" i="5"/>
  <c r="AD373" i="5"/>
  <c r="AC373" i="5"/>
  <c r="AB373" i="5"/>
  <c r="AA373" i="5"/>
  <c r="Z373" i="5"/>
  <c r="Y373" i="5"/>
  <c r="X373" i="5"/>
  <c r="W373" i="5"/>
  <c r="V373" i="5"/>
  <c r="T373" i="5"/>
  <c r="S373" i="5"/>
  <c r="Q373" i="5"/>
  <c r="P373" i="5"/>
  <c r="N373" i="5"/>
  <c r="K373" i="5"/>
  <c r="J373" i="5"/>
  <c r="I373" i="5"/>
  <c r="H373" i="5"/>
  <c r="G373" i="5"/>
  <c r="F373" i="5"/>
  <c r="E373" i="5"/>
  <c r="D373" i="5"/>
  <c r="B373" i="5"/>
  <c r="BI372" i="5"/>
  <c r="BD372" i="5"/>
  <c r="GF363" i="6" s="1"/>
  <c r="BC372" i="5"/>
  <c r="GE363" i="6" s="1"/>
  <c r="BB372" i="5"/>
  <c r="GD363" i="6" s="1"/>
  <c r="AZ372" i="5"/>
  <c r="AY372" i="5"/>
  <c r="AW372" i="5"/>
  <c r="AT372" i="5"/>
  <c r="AS372" i="5"/>
  <c r="AR372" i="5"/>
  <c r="AQ372" i="5"/>
  <c r="AP372" i="5"/>
  <c r="AO372" i="5"/>
  <c r="AN372" i="5"/>
  <c r="AL372" i="5"/>
  <c r="AK372" i="5"/>
  <c r="AJ372" i="5"/>
  <c r="AI372" i="5"/>
  <c r="AH372" i="5"/>
  <c r="AG372" i="5"/>
  <c r="AF372" i="5"/>
  <c r="AE372" i="5"/>
  <c r="AD372" i="5"/>
  <c r="AC372" i="5"/>
  <c r="AB372" i="5"/>
  <c r="AA372" i="5"/>
  <c r="Z372" i="5"/>
  <c r="Y372" i="5"/>
  <c r="X372" i="5"/>
  <c r="W372" i="5"/>
  <c r="V372" i="5"/>
  <c r="T372" i="5"/>
  <c r="S372" i="5"/>
  <c r="Q372" i="5"/>
  <c r="P372" i="5"/>
  <c r="N372" i="5"/>
  <c r="K372" i="5"/>
  <c r="J372" i="5"/>
  <c r="I372" i="5"/>
  <c r="H372" i="5"/>
  <c r="G372" i="5"/>
  <c r="F372" i="5"/>
  <c r="E372" i="5"/>
  <c r="D372" i="5"/>
  <c r="B372" i="5"/>
  <c r="BI371" i="5"/>
  <c r="BD371" i="5"/>
  <c r="GF362" i="6" s="1"/>
  <c r="BC371" i="5"/>
  <c r="GE362" i="6" s="1"/>
  <c r="BB371" i="5"/>
  <c r="GD362" i="6" s="1"/>
  <c r="AZ371" i="5"/>
  <c r="AY371" i="5"/>
  <c r="AW371" i="5"/>
  <c r="AT371" i="5"/>
  <c r="AS371" i="5"/>
  <c r="AR371" i="5"/>
  <c r="AQ371" i="5"/>
  <c r="AP371" i="5"/>
  <c r="AO371" i="5"/>
  <c r="AN371" i="5"/>
  <c r="AL371" i="5"/>
  <c r="AK371" i="5"/>
  <c r="AJ371" i="5"/>
  <c r="AI371" i="5"/>
  <c r="AH371" i="5"/>
  <c r="AG371" i="5"/>
  <c r="AF371" i="5"/>
  <c r="AE371" i="5"/>
  <c r="AD371" i="5"/>
  <c r="AC371" i="5"/>
  <c r="AB371" i="5"/>
  <c r="AA371" i="5"/>
  <c r="Z371" i="5"/>
  <c r="Y371" i="5"/>
  <c r="X371" i="5"/>
  <c r="W371" i="5"/>
  <c r="V371" i="5"/>
  <c r="T371" i="5"/>
  <c r="S371" i="5"/>
  <c r="Q371" i="5"/>
  <c r="P371" i="5"/>
  <c r="N371" i="5"/>
  <c r="K371" i="5"/>
  <c r="J371" i="5"/>
  <c r="I371" i="5"/>
  <c r="H371" i="5"/>
  <c r="G371" i="5"/>
  <c r="F371" i="5"/>
  <c r="E371" i="5"/>
  <c r="D371" i="5"/>
  <c r="B371" i="5"/>
  <c r="BI370" i="5"/>
  <c r="BD370" i="5"/>
  <c r="BC370" i="5"/>
  <c r="GE361" i="6" s="1"/>
  <c r="BB370" i="5"/>
  <c r="GD361" i="6" s="1"/>
  <c r="AZ370" i="5"/>
  <c r="AY370" i="5"/>
  <c r="AW370" i="5"/>
  <c r="AT370" i="5"/>
  <c r="AS370" i="5"/>
  <c r="AR370" i="5"/>
  <c r="AQ370" i="5"/>
  <c r="AP370" i="5"/>
  <c r="AO370" i="5"/>
  <c r="AN370" i="5"/>
  <c r="AL370" i="5"/>
  <c r="AK370" i="5"/>
  <c r="AJ370" i="5"/>
  <c r="AI370" i="5"/>
  <c r="AH370" i="5"/>
  <c r="AG370" i="5"/>
  <c r="AF370" i="5"/>
  <c r="AE370" i="5"/>
  <c r="AD370" i="5"/>
  <c r="AC370" i="5"/>
  <c r="AB370" i="5"/>
  <c r="AA370" i="5"/>
  <c r="Z370" i="5"/>
  <c r="Y370" i="5"/>
  <c r="X370" i="5"/>
  <c r="W370" i="5"/>
  <c r="V370" i="5"/>
  <c r="T370" i="5"/>
  <c r="S370" i="5"/>
  <c r="Q370" i="5"/>
  <c r="P370" i="5"/>
  <c r="N370" i="5"/>
  <c r="K370" i="5"/>
  <c r="J370" i="5"/>
  <c r="I370" i="5"/>
  <c r="H370" i="5"/>
  <c r="G370" i="5"/>
  <c r="F370" i="5"/>
  <c r="E370" i="5"/>
  <c r="D370" i="5"/>
  <c r="B370" i="5"/>
  <c r="BI369" i="5"/>
  <c r="BD369" i="5"/>
  <c r="BC369" i="5"/>
  <c r="GE360" i="6" s="1"/>
  <c r="BB369" i="5"/>
  <c r="GD360" i="6" s="1"/>
  <c r="AZ369" i="5"/>
  <c r="AY369" i="5"/>
  <c r="AW369" i="5"/>
  <c r="AT369" i="5"/>
  <c r="AS369" i="5"/>
  <c r="AR369" i="5"/>
  <c r="AQ369" i="5"/>
  <c r="AP369" i="5"/>
  <c r="AO369" i="5"/>
  <c r="AN369" i="5"/>
  <c r="AL369" i="5"/>
  <c r="AK369" i="5"/>
  <c r="AJ369" i="5"/>
  <c r="AI369" i="5"/>
  <c r="AH369" i="5"/>
  <c r="AG369" i="5"/>
  <c r="AF369" i="5"/>
  <c r="AE369" i="5"/>
  <c r="AD369" i="5"/>
  <c r="AC369" i="5"/>
  <c r="AB369" i="5"/>
  <c r="AA369" i="5"/>
  <c r="Z369" i="5"/>
  <c r="Y369" i="5"/>
  <c r="X369" i="5"/>
  <c r="W369" i="5"/>
  <c r="V369" i="5"/>
  <c r="T369" i="5"/>
  <c r="S369" i="5"/>
  <c r="Q369" i="5"/>
  <c r="P369" i="5"/>
  <c r="N369" i="5"/>
  <c r="K369" i="5"/>
  <c r="J369" i="5"/>
  <c r="I369" i="5"/>
  <c r="H369" i="5"/>
  <c r="G369" i="5"/>
  <c r="F369" i="5"/>
  <c r="E369" i="5"/>
  <c r="D369" i="5"/>
  <c r="B369" i="5"/>
  <c r="BI368" i="5"/>
  <c r="BD368" i="5"/>
  <c r="GF359" i="6" s="1"/>
  <c r="BC368" i="5"/>
  <c r="BB368" i="5"/>
  <c r="GD359" i="6" s="1"/>
  <c r="AZ368" i="5"/>
  <c r="AY368" i="5"/>
  <c r="BA368" i="5" s="1"/>
  <c r="AW368" i="5"/>
  <c r="AT368" i="5"/>
  <c r="AS368" i="5"/>
  <c r="AR368" i="5"/>
  <c r="AQ368" i="5"/>
  <c r="AP368" i="5"/>
  <c r="AO368" i="5"/>
  <c r="AN368" i="5"/>
  <c r="AL368" i="5"/>
  <c r="AK368" i="5"/>
  <c r="AJ368" i="5"/>
  <c r="AI368" i="5"/>
  <c r="AH368" i="5"/>
  <c r="AG368" i="5"/>
  <c r="AF368" i="5"/>
  <c r="AE368" i="5"/>
  <c r="AD368" i="5"/>
  <c r="AC368" i="5"/>
  <c r="AB368" i="5"/>
  <c r="AA368" i="5"/>
  <c r="Z368" i="5"/>
  <c r="Y368" i="5"/>
  <c r="X368" i="5"/>
  <c r="W368" i="5"/>
  <c r="V368" i="5"/>
  <c r="T368" i="5"/>
  <c r="S368" i="5"/>
  <c r="Q368" i="5"/>
  <c r="P368" i="5"/>
  <c r="N368" i="5"/>
  <c r="K368" i="5"/>
  <c r="J368" i="5"/>
  <c r="I368" i="5"/>
  <c r="H368" i="5"/>
  <c r="G368" i="5"/>
  <c r="F368" i="5"/>
  <c r="E368" i="5"/>
  <c r="D368" i="5"/>
  <c r="B368" i="5"/>
  <c r="BI367" i="5"/>
  <c r="BD367" i="5"/>
  <c r="GF358" i="6" s="1"/>
  <c r="BC367" i="5"/>
  <c r="GE358" i="6" s="1"/>
  <c r="BB367" i="5"/>
  <c r="GD358" i="6" s="1"/>
  <c r="AZ367" i="5"/>
  <c r="AY367" i="5"/>
  <c r="AW367" i="5"/>
  <c r="AT367" i="5"/>
  <c r="AS367" i="5"/>
  <c r="AR367" i="5"/>
  <c r="AQ367" i="5"/>
  <c r="AP367" i="5"/>
  <c r="AO367" i="5"/>
  <c r="AN367" i="5"/>
  <c r="AL367" i="5"/>
  <c r="AK367" i="5"/>
  <c r="AJ367" i="5"/>
  <c r="AI367" i="5"/>
  <c r="AH367" i="5"/>
  <c r="AG367" i="5"/>
  <c r="AF367" i="5"/>
  <c r="AE367" i="5"/>
  <c r="AD367" i="5"/>
  <c r="AC367" i="5"/>
  <c r="AB367" i="5"/>
  <c r="AA367" i="5"/>
  <c r="Z367" i="5"/>
  <c r="Y367" i="5"/>
  <c r="X367" i="5"/>
  <c r="W367" i="5"/>
  <c r="V367" i="5"/>
  <c r="T367" i="5"/>
  <c r="S367" i="5"/>
  <c r="Q367" i="5"/>
  <c r="P367" i="5"/>
  <c r="N367" i="5"/>
  <c r="K367" i="5"/>
  <c r="J367" i="5"/>
  <c r="I367" i="5"/>
  <c r="H367" i="5"/>
  <c r="G367" i="5"/>
  <c r="F367" i="5"/>
  <c r="E367" i="5"/>
  <c r="D367" i="5"/>
  <c r="B367" i="5"/>
  <c r="BI366" i="5"/>
  <c r="BD366" i="5"/>
  <c r="BC366" i="5"/>
  <c r="GE357" i="6" s="1"/>
  <c r="BB366" i="5"/>
  <c r="GD357" i="6" s="1"/>
  <c r="AZ366" i="5"/>
  <c r="AY366" i="5"/>
  <c r="AW366" i="5"/>
  <c r="AT366" i="5"/>
  <c r="AS366" i="5"/>
  <c r="AR366" i="5"/>
  <c r="AQ366" i="5"/>
  <c r="AP366" i="5"/>
  <c r="AO366" i="5"/>
  <c r="AN366" i="5"/>
  <c r="AL366" i="5"/>
  <c r="AK366" i="5"/>
  <c r="AJ366" i="5"/>
  <c r="AI366" i="5"/>
  <c r="AH366" i="5"/>
  <c r="AG366" i="5"/>
  <c r="AF366" i="5"/>
  <c r="AE366" i="5"/>
  <c r="AD366" i="5"/>
  <c r="AC366" i="5"/>
  <c r="AB366" i="5"/>
  <c r="AA366" i="5"/>
  <c r="Z366" i="5"/>
  <c r="Y366" i="5"/>
  <c r="X366" i="5"/>
  <c r="W366" i="5"/>
  <c r="V366" i="5"/>
  <c r="T366" i="5"/>
  <c r="S366" i="5"/>
  <c r="Q366" i="5"/>
  <c r="P366" i="5"/>
  <c r="N366" i="5"/>
  <c r="K366" i="5"/>
  <c r="J366" i="5"/>
  <c r="I366" i="5"/>
  <c r="H366" i="5"/>
  <c r="G366" i="5"/>
  <c r="F366" i="5"/>
  <c r="E366" i="5"/>
  <c r="D366" i="5"/>
  <c r="B366" i="5"/>
  <c r="BI365" i="5"/>
  <c r="BD365" i="5"/>
  <c r="BC365" i="5"/>
  <c r="GE356" i="6" s="1"/>
  <c r="BB365" i="5"/>
  <c r="GD356" i="6" s="1"/>
  <c r="AZ365" i="5"/>
  <c r="AY365" i="5"/>
  <c r="AW365" i="5"/>
  <c r="AT365" i="5"/>
  <c r="AS365" i="5"/>
  <c r="AR365" i="5"/>
  <c r="AQ365" i="5"/>
  <c r="AP365" i="5"/>
  <c r="AO365" i="5"/>
  <c r="AN365" i="5"/>
  <c r="AL365" i="5"/>
  <c r="AK365" i="5"/>
  <c r="AJ365" i="5"/>
  <c r="AI365" i="5"/>
  <c r="AH365" i="5"/>
  <c r="AG365" i="5"/>
  <c r="AF365" i="5"/>
  <c r="AE365" i="5"/>
  <c r="AD365" i="5"/>
  <c r="AC365" i="5"/>
  <c r="AB365" i="5"/>
  <c r="AA365" i="5"/>
  <c r="Z365" i="5"/>
  <c r="Y365" i="5"/>
  <c r="X365" i="5"/>
  <c r="W365" i="5"/>
  <c r="V365" i="5"/>
  <c r="T365" i="5"/>
  <c r="S365" i="5"/>
  <c r="Q365" i="5"/>
  <c r="P365" i="5"/>
  <c r="N365" i="5"/>
  <c r="K365" i="5"/>
  <c r="J365" i="5"/>
  <c r="I365" i="5"/>
  <c r="H365" i="5"/>
  <c r="G365" i="5"/>
  <c r="F365" i="5"/>
  <c r="E365" i="5"/>
  <c r="D365" i="5"/>
  <c r="B365" i="5"/>
  <c r="BI364" i="5"/>
  <c r="BD364" i="5"/>
  <c r="BC364" i="5"/>
  <c r="GE355" i="6" s="1"/>
  <c r="BB364" i="5"/>
  <c r="GD355" i="6" s="1"/>
  <c r="AZ364" i="5"/>
  <c r="AY364" i="5"/>
  <c r="AW364" i="5"/>
  <c r="AT364" i="5"/>
  <c r="AS364" i="5"/>
  <c r="AR364" i="5"/>
  <c r="AQ364" i="5"/>
  <c r="AP364" i="5"/>
  <c r="AO364" i="5"/>
  <c r="AN364" i="5"/>
  <c r="AL364" i="5"/>
  <c r="AK364" i="5"/>
  <c r="AJ364" i="5"/>
  <c r="AI364" i="5"/>
  <c r="AH364" i="5"/>
  <c r="AG364" i="5"/>
  <c r="AF364" i="5"/>
  <c r="AE364" i="5"/>
  <c r="AD364" i="5"/>
  <c r="AC364" i="5"/>
  <c r="AB364" i="5"/>
  <c r="AA364" i="5"/>
  <c r="Z364" i="5"/>
  <c r="Y364" i="5"/>
  <c r="X364" i="5"/>
  <c r="W364" i="5"/>
  <c r="V364" i="5"/>
  <c r="T364" i="5"/>
  <c r="S364" i="5"/>
  <c r="Q364" i="5"/>
  <c r="P364" i="5"/>
  <c r="N364" i="5"/>
  <c r="K364" i="5"/>
  <c r="J364" i="5"/>
  <c r="I364" i="5"/>
  <c r="H364" i="5"/>
  <c r="G364" i="5"/>
  <c r="F364" i="5"/>
  <c r="E364" i="5"/>
  <c r="D364" i="5"/>
  <c r="B364" i="5"/>
  <c r="BI363" i="5"/>
  <c r="BD363" i="5"/>
  <c r="GF354" i="6" s="1"/>
  <c r="BC363" i="5"/>
  <c r="GE354" i="6" s="1"/>
  <c r="BB363" i="5"/>
  <c r="GD354" i="6" s="1"/>
  <c r="AZ363" i="5"/>
  <c r="AY363" i="5"/>
  <c r="AW363" i="5"/>
  <c r="AT363" i="5"/>
  <c r="AS363" i="5"/>
  <c r="AR363" i="5"/>
  <c r="AQ363" i="5"/>
  <c r="AP363" i="5"/>
  <c r="AO363" i="5"/>
  <c r="AN363" i="5"/>
  <c r="AL363" i="5"/>
  <c r="AK363" i="5"/>
  <c r="AJ363" i="5"/>
  <c r="AI363" i="5"/>
  <c r="AH363" i="5"/>
  <c r="AG363" i="5"/>
  <c r="AF363" i="5"/>
  <c r="AE363" i="5"/>
  <c r="AD363" i="5"/>
  <c r="AC363" i="5"/>
  <c r="AB363" i="5"/>
  <c r="AA363" i="5"/>
  <c r="Z363" i="5"/>
  <c r="Y363" i="5"/>
  <c r="X363" i="5"/>
  <c r="W363" i="5"/>
  <c r="V363" i="5"/>
  <c r="T363" i="5"/>
  <c r="S363" i="5"/>
  <c r="Q363" i="5"/>
  <c r="P363" i="5"/>
  <c r="N363" i="5"/>
  <c r="K363" i="5"/>
  <c r="J363" i="5"/>
  <c r="I363" i="5"/>
  <c r="H363" i="5"/>
  <c r="G363" i="5"/>
  <c r="F363" i="5"/>
  <c r="E363" i="5"/>
  <c r="D363" i="5"/>
  <c r="B363" i="5"/>
  <c r="BI362" i="5"/>
  <c r="BD362" i="5"/>
  <c r="GF353" i="6" s="1"/>
  <c r="BC362" i="5"/>
  <c r="GE353" i="6" s="1"/>
  <c r="BB362" i="5"/>
  <c r="GD353" i="6" s="1"/>
  <c r="AZ362" i="5"/>
  <c r="AY362" i="5"/>
  <c r="AW362" i="5"/>
  <c r="AT362" i="5"/>
  <c r="AS362" i="5"/>
  <c r="AR362" i="5"/>
  <c r="AQ362" i="5"/>
  <c r="AP362" i="5"/>
  <c r="AO362" i="5"/>
  <c r="AN362" i="5"/>
  <c r="AL362" i="5"/>
  <c r="AK362" i="5"/>
  <c r="AJ362" i="5"/>
  <c r="AI362" i="5"/>
  <c r="AH362" i="5"/>
  <c r="AG362" i="5"/>
  <c r="AF362" i="5"/>
  <c r="AE362" i="5"/>
  <c r="AD362" i="5"/>
  <c r="AC362" i="5"/>
  <c r="AB362" i="5"/>
  <c r="AA362" i="5"/>
  <c r="Z362" i="5"/>
  <c r="Y362" i="5"/>
  <c r="X362" i="5"/>
  <c r="W362" i="5"/>
  <c r="V362" i="5"/>
  <c r="T362" i="5"/>
  <c r="S362" i="5"/>
  <c r="Q362" i="5"/>
  <c r="P362" i="5"/>
  <c r="N362" i="5"/>
  <c r="K362" i="5"/>
  <c r="J362" i="5"/>
  <c r="I362" i="5"/>
  <c r="H362" i="5"/>
  <c r="G362" i="5"/>
  <c r="F362" i="5"/>
  <c r="E362" i="5"/>
  <c r="D362" i="5"/>
  <c r="B362" i="5"/>
  <c r="BI361" i="5"/>
  <c r="BD361" i="5"/>
  <c r="GF352" i="6" s="1"/>
  <c r="BC361" i="5"/>
  <c r="GE352" i="6" s="1"/>
  <c r="BB361" i="5"/>
  <c r="GD352" i="6" s="1"/>
  <c r="AZ361" i="5"/>
  <c r="AY361" i="5"/>
  <c r="AW361" i="5"/>
  <c r="AT361" i="5"/>
  <c r="AS361" i="5"/>
  <c r="AR361" i="5"/>
  <c r="AQ361" i="5"/>
  <c r="AP361" i="5"/>
  <c r="AO361" i="5"/>
  <c r="AN361" i="5"/>
  <c r="AL361" i="5"/>
  <c r="AK361" i="5"/>
  <c r="AJ361" i="5"/>
  <c r="AI361" i="5"/>
  <c r="AH361" i="5"/>
  <c r="AG361" i="5"/>
  <c r="AF361" i="5"/>
  <c r="AE361" i="5"/>
  <c r="AD361" i="5"/>
  <c r="AC361" i="5"/>
  <c r="AB361" i="5"/>
  <c r="AA361" i="5"/>
  <c r="Z361" i="5"/>
  <c r="Y361" i="5"/>
  <c r="X361" i="5"/>
  <c r="W361" i="5"/>
  <c r="V361" i="5"/>
  <c r="T361" i="5"/>
  <c r="S361" i="5"/>
  <c r="Q361" i="5"/>
  <c r="P361" i="5"/>
  <c r="N361" i="5"/>
  <c r="K361" i="5"/>
  <c r="J361" i="5"/>
  <c r="I361" i="5"/>
  <c r="H361" i="5"/>
  <c r="G361" i="5"/>
  <c r="F361" i="5"/>
  <c r="E361" i="5"/>
  <c r="D361" i="5"/>
  <c r="B361" i="5"/>
  <c r="BI360" i="5"/>
  <c r="BD360" i="5"/>
  <c r="GF351" i="6" s="1"/>
  <c r="BC360" i="5"/>
  <c r="GE351" i="6" s="1"/>
  <c r="BB360" i="5"/>
  <c r="GD351" i="6" s="1"/>
  <c r="AZ360" i="5"/>
  <c r="AY360" i="5"/>
  <c r="AW360" i="5"/>
  <c r="AT360" i="5"/>
  <c r="AS360" i="5"/>
  <c r="AR360" i="5"/>
  <c r="AQ360" i="5"/>
  <c r="AP360" i="5"/>
  <c r="AO360" i="5"/>
  <c r="AN360" i="5"/>
  <c r="AL360" i="5"/>
  <c r="AK360" i="5"/>
  <c r="AJ360" i="5"/>
  <c r="AI360" i="5"/>
  <c r="AH360" i="5"/>
  <c r="AG360" i="5"/>
  <c r="AF360" i="5"/>
  <c r="AE360" i="5"/>
  <c r="AD360" i="5"/>
  <c r="AC360" i="5"/>
  <c r="AB360" i="5"/>
  <c r="AA360" i="5"/>
  <c r="Z360" i="5"/>
  <c r="Y360" i="5"/>
  <c r="X360" i="5"/>
  <c r="W360" i="5"/>
  <c r="V360" i="5"/>
  <c r="T360" i="5"/>
  <c r="S360" i="5"/>
  <c r="Q360" i="5"/>
  <c r="P360" i="5"/>
  <c r="N360" i="5"/>
  <c r="K360" i="5"/>
  <c r="J360" i="5"/>
  <c r="I360" i="5"/>
  <c r="H360" i="5"/>
  <c r="G360" i="5"/>
  <c r="F360" i="5"/>
  <c r="E360" i="5"/>
  <c r="D360" i="5"/>
  <c r="B360" i="5"/>
  <c r="BI359" i="5"/>
  <c r="BD359" i="5"/>
  <c r="BC359" i="5"/>
  <c r="GE350" i="6" s="1"/>
  <c r="BB359" i="5"/>
  <c r="GD350" i="6" s="1"/>
  <c r="AZ359" i="5"/>
  <c r="AY359" i="5"/>
  <c r="AW359" i="5"/>
  <c r="AT359" i="5"/>
  <c r="AS359" i="5"/>
  <c r="AR359" i="5"/>
  <c r="AQ359" i="5"/>
  <c r="AP359" i="5"/>
  <c r="AO359" i="5"/>
  <c r="AN359" i="5"/>
  <c r="AL359" i="5"/>
  <c r="AK359" i="5"/>
  <c r="AJ359" i="5"/>
  <c r="AI359" i="5"/>
  <c r="AH359" i="5"/>
  <c r="AG359" i="5"/>
  <c r="AF359" i="5"/>
  <c r="AE359" i="5"/>
  <c r="AD359" i="5"/>
  <c r="AC359" i="5"/>
  <c r="AB359" i="5"/>
  <c r="AA359" i="5"/>
  <c r="Z359" i="5"/>
  <c r="Y359" i="5"/>
  <c r="X359" i="5"/>
  <c r="W359" i="5"/>
  <c r="V359" i="5"/>
  <c r="T359" i="5"/>
  <c r="S359" i="5"/>
  <c r="Q359" i="5"/>
  <c r="P359" i="5"/>
  <c r="N359" i="5"/>
  <c r="K359" i="5"/>
  <c r="J359" i="5"/>
  <c r="I359" i="5"/>
  <c r="H359" i="5"/>
  <c r="G359" i="5"/>
  <c r="F359" i="5"/>
  <c r="E359" i="5"/>
  <c r="D359" i="5"/>
  <c r="B359" i="5"/>
  <c r="BI358" i="5"/>
  <c r="BD358" i="5"/>
  <c r="GF349" i="6" s="1"/>
  <c r="BC358" i="5"/>
  <c r="GE349" i="6" s="1"/>
  <c r="BB358" i="5"/>
  <c r="GD349" i="6" s="1"/>
  <c r="AZ358" i="5"/>
  <c r="AY358" i="5"/>
  <c r="AW358" i="5"/>
  <c r="AT358" i="5"/>
  <c r="AS358" i="5"/>
  <c r="AR358" i="5"/>
  <c r="AQ358" i="5"/>
  <c r="AP358" i="5"/>
  <c r="AO358" i="5"/>
  <c r="AN358" i="5"/>
  <c r="AL358" i="5"/>
  <c r="AK358" i="5"/>
  <c r="AJ358" i="5"/>
  <c r="AI358" i="5"/>
  <c r="AH358" i="5"/>
  <c r="AG358" i="5"/>
  <c r="AF358" i="5"/>
  <c r="AE358" i="5"/>
  <c r="AD358" i="5"/>
  <c r="AC358" i="5"/>
  <c r="AB358" i="5"/>
  <c r="AA358" i="5"/>
  <c r="Z358" i="5"/>
  <c r="Y358" i="5"/>
  <c r="X358" i="5"/>
  <c r="W358" i="5"/>
  <c r="V358" i="5"/>
  <c r="T358" i="5"/>
  <c r="S358" i="5"/>
  <c r="Q358" i="5"/>
  <c r="P358" i="5"/>
  <c r="N358" i="5"/>
  <c r="K358" i="5"/>
  <c r="J358" i="5"/>
  <c r="I358" i="5"/>
  <c r="H358" i="5"/>
  <c r="G358" i="5"/>
  <c r="F358" i="5"/>
  <c r="E358" i="5"/>
  <c r="D358" i="5"/>
  <c r="B358" i="5"/>
  <c r="BI357" i="5"/>
  <c r="BD357" i="5"/>
  <c r="GF348" i="6" s="1"/>
  <c r="BC357" i="5"/>
  <c r="GE348" i="6" s="1"/>
  <c r="BB357" i="5"/>
  <c r="GD348" i="6" s="1"/>
  <c r="AZ357" i="5"/>
  <c r="AY357" i="5"/>
  <c r="AW357" i="5"/>
  <c r="AT357" i="5"/>
  <c r="AS357" i="5"/>
  <c r="AR357" i="5"/>
  <c r="AQ357" i="5"/>
  <c r="AP357" i="5"/>
  <c r="AO357" i="5"/>
  <c r="AN357" i="5"/>
  <c r="AL357" i="5"/>
  <c r="AK357" i="5"/>
  <c r="AJ357" i="5"/>
  <c r="AI357" i="5"/>
  <c r="AH357" i="5"/>
  <c r="AG357" i="5"/>
  <c r="AF357" i="5"/>
  <c r="AE357" i="5"/>
  <c r="AD357" i="5"/>
  <c r="AC357" i="5"/>
  <c r="AB357" i="5"/>
  <c r="AA357" i="5"/>
  <c r="Z357" i="5"/>
  <c r="Y357" i="5"/>
  <c r="X357" i="5"/>
  <c r="W357" i="5"/>
  <c r="V357" i="5"/>
  <c r="T357" i="5"/>
  <c r="S357" i="5"/>
  <c r="Q357" i="5"/>
  <c r="P357" i="5"/>
  <c r="N357" i="5"/>
  <c r="K357" i="5"/>
  <c r="J357" i="5"/>
  <c r="I357" i="5"/>
  <c r="H357" i="5"/>
  <c r="G357" i="5"/>
  <c r="F357" i="5"/>
  <c r="E357" i="5"/>
  <c r="D357" i="5"/>
  <c r="B357" i="5"/>
  <c r="BI356" i="5"/>
  <c r="BD356" i="5"/>
  <c r="BC356" i="5"/>
  <c r="GE347" i="6" s="1"/>
  <c r="BB356" i="5"/>
  <c r="GD347" i="6" s="1"/>
  <c r="AZ356" i="5"/>
  <c r="AY356" i="5"/>
  <c r="AW356" i="5"/>
  <c r="AT356" i="5"/>
  <c r="AS356" i="5"/>
  <c r="AR356" i="5"/>
  <c r="AQ356" i="5"/>
  <c r="AP356" i="5"/>
  <c r="AO356" i="5"/>
  <c r="AN356" i="5"/>
  <c r="AL356" i="5"/>
  <c r="AK356" i="5"/>
  <c r="AJ356" i="5"/>
  <c r="AI356" i="5"/>
  <c r="AH356" i="5"/>
  <c r="AG356" i="5"/>
  <c r="AF356" i="5"/>
  <c r="AE356" i="5"/>
  <c r="AD356" i="5"/>
  <c r="AC356" i="5"/>
  <c r="AB356" i="5"/>
  <c r="AA356" i="5"/>
  <c r="Z356" i="5"/>
  <c r="Y356" i="5"/>
  <c r="X356" i="5"/>
  <c r="W356" i="5"/>
  <c r="V356" i="5"/>
  <c r="T356" i="5"/>
  <c r="S356" i="5"/>
  <c r="Q356" i="5"/>
  <c r="P356" i="5"/>
  <c r="N356" i="5"/>
  <c r="K356" i="5"/>
  <c r="J356" i="5"/>
  <c r="I356" i="5"/>
  <c r="H356" i="5"/>
  <c r="G356" i="5"/>
  <c r="F356" i="5"/>
  <c r="E356" i="5"/>
  <c r="D356" i="5"/>
  <c r="B356" i="5"/>
  <c r="BI355" i="5"/>
  <c r="BD355" i="5"/>
  <c r="BC355" i="5"/>
  <c r="GE346" i="6" s="1"/>
  <c r="BB355" i="5"/>
  <c r="GD346" i="6" s="1"/>
  <c r="AZ355" i="5"/>
  <c r="AY355" i="5"/>
  <c r="AW355" i="5"/>
  <c r="AT355" i="5"/>
  <c r="AS355" i="5"/>
  <c r="AR355" i="5"/>
  <c r="AQ355" i="5"/>
  <c r="AP355" i="5"/>
  <c r="AO355" i="5"/>
  <c r="AN355" i="5"/>
  <c r="AL355" i="5"/>
  <c r="AK355" i="5"/>
  <c r="AJ355" i="5"/>
  <c r="AI355" i="5"/>
  <c r="AH355" i="5"/>
  <c r="AG355" i="5"/>
  <c r="AF355" i="5"/>
  <c r="AE355" i="5"/>
  <c r="AD355" i="5"/>
  <c r="AC355" i="5"/>
  <c r="AB355" i="5"/>
  <c r="AA355" i="5"/>
  <c r="Z355" i="5"/>
  <c r="Y355" i="5"/>
  <c r="X355" i="5"/>
  <c r="W355" i="5"/>
  <c r="V355" i="5"/>
  <c r="T355" i="5"/>
  <c r="S355" i="5"/>
  <c r="Q355" i="5"/>
  <c r="P355" i="5"/>
  <c r="N355" i="5"/>
  <c r="K355" i="5"/>
  <c r="J355" i="5"/>
  <c r="I355" i="5"/>
  <c r="H355" i="5"/>
  <c r="G355" i="5"/>
  <c r="F355" i="5"/>
  <c r="E355" i="5"/>
  <c r="D355" i="5"/>
  <c r="B355" i="5"/>
  <c r="BI354" i="5"/>
  <c r="BD354" i="5"/>
  <c r="BC354" i="5"/>
  <c r="GE345" i="6" s="1"/>
  <c r="BB354" i="5"/>
  <c r="GD345" i="6" s="1"/>
  <c r="AZ354" i="5"/>
  <c r="AY354" i="5"/>
  <c r="AW354" i="5"/>
  <c r="AT354" i="5"/>
  <c r="AS354" i="5"/>
  <c r="AR354" i="5"/>
  <c r="AQ354" i="5"/>
  <c r="AP354" i="5"/>
  <c r="AO354" i="5"/>
  <c r="AN354" i="5"/>
  <c r="AL354" i="5"/>
  <c r="AK354" i="5"/>
  <c r="AJ354" i="5"/>
  <c r="AI354" i="5"/>
  <c r="AH354" i="5"/>
  <c r="AG354" i="5"/>
  <c r="AF354" i="5"/>
  <c r="AE354" i="5"/>
  <c r="AD354" i="5"/>
  <c r="AC354" i="5"/>
  <c r="AB354" i="5"/>
  <c r="AA354" i="5"/>
  <c r="Z354" i="5"/>
  <c r="Y354" i="5"/>
  <c r="X354" i="5"/>
  <c r="W354" i="5"/>
  <c r="V354" i="5"/>
  <c r="T354" i="5"/>
  <c r="S354" i="5"/>
  <c r="Q354" i="5"/>
  <c r="P354" i="5"/>
  <c r="N354" i="5"/>
  <c r="K354" i="5"/>
  <c r="J354" i="5"/>
  <c r="I354" i="5"/>
  <c r="H354" i="5"/>
  <c r="G354" i="5"/>
  <c r="F354" i="5"/>
  <c r="E354" i="5"/>
  <c r="D354" i="5"/>
  <c r="B354" i="5"/>
  <c r="BI353" i="5"/>
  <c r="BD353" i="5"/>
  <c r="GF344" i="6" s="1"/>
  <c r="BC353" i="5"/>
  <c r="GE344" i="6" s="1"/>
  <c r="BB353" i="5"/>
  <c r="GD344" i="6" s="1"/>
  <c r="AZ353" i="5"/>
  <c r="AY353" i="5"/>
  <c r="AW353" i="5"/>
  <c r="AT353" i="5"/>
  <c r="AS353" i="5"/>
  <c r="AR353" i="5"/>
  <c r="AQ353" i="5"/>
  <c r="AP353" i="5"/>
  <c r="AO353" i="5"/>
  <c r="AN353" i="5"/>
  <c r="AL353" i="5"/>
  <c r="AK353" i="5"/>
  <c r="AJ353" i="5"/>
  <c r="AI353" i="5"/>
  <c r="AH353" i="5"/>
  <c r="AG353" i="5"/>
  <c r="AF353" i="5"/>
  <c r="AE353" i="5"/>
  <c r="AD353" i="5"/>
  <c r="AC353" i="5"/>
  <c r="AB353" i="5"/>
  <c r="AA353" i="5"/>
  <c r="Z353" i="5"/>
  <c r="Y353" i="5"/>
  <c r="X353" i="5"/>
  <c r="W353" i="5"/>
  <c r="V353" i="5"/>
  <c r="T353" i="5"/>
  <c r="S353" i="5"/>
  <c r="Q353" i="5"/>
  <c r="P353" i="5"/>
  <c r="N353" i="5"/>
  <c r="K353" i="5"/>
  <c r="J353" i="5"/>
  <c r="I353" i="5"/>
  <c r="H353" i="5"/>
  <c r="G353" i="5"/>
  <c r="F353" i="5"/>
  <c r="E353" i="5"/>
  <c r="D353" i="5"/>
  <c r="B353" i="5"/>
  <c r="BI352" i="5"/>
  <c r="BD352" i="5"/>
  <c r="GF343" i="6" s="1"/>
  <c r="BC352" i="5"/>
  <c r="GE343" i="6" s="1"/>
  <c r="BB352" i="5"/>
  <c r="GD343" i="6" s="1"/>
  <c r="AZ352" i="5"/>
  <c r="AY352" i="5"/>
  <c r="AW352" i="5"/>
  <c r="AT352" i="5"/>
  <c r="AS352" i="5"/>
  <c r="AR352" i="5"/>
  <c r="AQ352" i="5"/>
  <c r="AP352" i="5"/>
  <c r="AO352" i="5"/>
  <c r="AN352" i="5"/>
  <c r="AL352" i="5"/>
  <c r="AK352" i="5"/>
  <c r="AJ352" i="5"/>
  <c r="AI352" i="5"/>
  <c r="AH352" i="5"/>
  <c r="AG352" i="5"/>
  <c r="AF352" i="5"/>
  <c r="AE352" i="5"/>
  <c r="AD352" i="5"/>
  <c r="AC352" i="5"/>
  <c r="AB352" i="5"/>
  <c r="AA352" i="5"/>
  <c r="Z352" i="5"/>
  <c r="Y352" i="5"/>
  <c r="X352" i="5"/>
  <c r="W352" i="5"/>
  <c r="V352" i="5"/>
  <c r="T352" i="5"/>
  <c r="S352" i="5"/>
  <c r="Q352" i="5"/>
  <c r="P352" i="5"/>
  <c r="N352" i="5"/>
  <c r="K352" i="5"/>
  <c r="J352" i="5"/>
  <c r="I352" i="5"/>
  <c r="H352" i="5"/>
  <c r="G352" i="5"/>
  <c r="F352" i="5"/>
  <c r="E352" i="5"/>
  <c r="D352" i="5"/>
  <c r="B352" i="5"/>
  <c r="BI351" i="5"/>
  <c r="BD351" i="5"/>
  <c r="GF342" i="6" s="1"/>
  <c r="BC351" i="5"/>
  <c r="BB351" i="5"/>
  <c r="GD342" i="6" s="1"/>
  <c r="AZ351" i="5"/>
  <c r="AY351" i="5"/>
  <c r="AW351" i="5"/>
  <c r="AT351" i="5"/>
  <c r="AS351" i="5"/>
  <c r="AR351" i="5"/>
  <c r="AQ351" i="5"/>
  <c r="AP351" i="5"/>
  <c r="AO351" i="5"/>
  <c r="AN351" i="5"/>
  <c r="AL351" i="5"/>
  <c r="AK351" i="5"/>
  <c r="AJ351" i="5"/>
  <c r="AI351" i="5"/>
  <c r="AH351" i="5"/>
  <c r="AG351" i="5"/>
  <c r="AF351" i="5"/>
  <c r="AE351" i="5"/>
  <c r="AD351" i="5"/>
  <c r="AC351" i="5"/>
  <c r="AB351" i="5"/>
  <c r="AA351" i="5"/>
  <c r="Z351" i="5"/>
  <c r="Y351" i="5"/>
  <c r="X351" i="5"/>
  <c r="W351" i="5"/>
  <c r="V351" i="5"/>
  <c r="T351" i="5"/>
  <c r="S351" i="5"/>
  <c r="Q351" i="5"/>
  <c r="P351" i="5"/>
  <c r="N351" i="5"/>
  <c r="K351" i="5"/>
  <c r="J351" i="5"/>
  <c r="I351" i="5"/>
  <c r="H351" i="5"/>
  <c r="G351" i="5"/>
  <c r="F351" i="5"/>
  <c r="E351" i="5"/>
  <c r="D351" i="5"/>
  <c r="B351" i="5"/>
  <c r="BI350" i="5"/>
  <c r="BD350" i="5"/>
  <c r="GF341" i="6" s="1"/>
  <c r="BC350" i="5"/>
  <c r="GE341" i="6" s="1"/>
  <c r="BB350" i="5"/>
  <c r="GD341" i="6" s="1"/>
  <c r="AZ350" i="5"/>
  <c r="AY350" i="5"/>
  <c r="AW350" i="5"/>
  <c r="AT350" i="5"/>
  <c r="AS350" i="5"/>
  <c r="AR350" i="5"/>
  <c r="AQ350" i="5"/>
  <c r="AP350" i="5"/>
  <c r="AO350" i="5"/>
  <c r="AN350" i="5"/>
  <c r="AL350" i="5"/>
  <c r="AK350" i="5"/>
  <c r="AJ350" i="5"/>
  <c r="AI350" i="5"/>
  <c r="AH350" i="5"/>
  <c r="AG350" i="5"/>
  <c r="AF350" i="5"/>
  <c r="AE350" i="5"/>
  <c r="AD350" i="5"/>
  <c r="AC350" i="5"/>
  <c r="AB350" i="5"/>
  <c r="AA350" i="5"/>
  <c r="Z350" i="5"/>
  <c r="Y350" i="5"/>
  <c r="X350" i="5"/>
  <c r="W350" i="5"/>
  <c r="V350" i="5"/>
  <c r="T350" i="5"/>
  <c r="S350" i="5"/>
  <c r="Q350" i="5"/>
  <c r="P350" i="5"/>
  <c r="N350" i="5"/>
  <c r="K350" i="5"/>
  <c r="J350" i="5"/>
  <c r="I350" i="5"/>
  <c r="H350" i="5"/>
  <c r="G350" i="5"/>
  <c r="F350" i="5"/>
  <c r="E350" i="5"/>
  <c r="D350" i="5"/>
  <c r="B350" i="5"/>
  <c r="BI349" i="5"/>
  <c r="BD349" i="5"/>
  <c r="GF340" i="6" s="1"/>
  <c r="BC349" i="5"/>
  <c r="GE340" i="6" s="1"/>
  <c r="BB349" i="5"/>
  <c r="GD340" i="6" s="1"/>
  <c r="AZ349" i="5"/>
  <c r="AY349" i="5"/>
  <c r="AW349" i="5"/>
  <c r="AT349" i="5"/>
  <c r="AS349" i="5"/>
  <c r="AR349" i="5"/>
  <c r="AQ349" i="5"/>
  <c r="AP349" i="5"/>
  <c r="AO349" i="5"/>
  <c r="AN349" i="5"/>
  <c r="AL349" i="5"/>
  <c r="AK349" i="5"/>
  <c r="AJ349" i="5"/>
  <c r="AI349" i="5"/>
  <c r="AH349" i="5"/>
  <c r="AG349" i="5"/>
  <c r="AF349" i="5"/>
  <c r="AE349" i="5"/>
  <c r="AD349" i="5"/>
  <c r="AC349" i="5"/>
  <c r="AB349" i="5"/>
  <c r="AA349" i="5"/>
  <c r="Z349" i="5"/>
  <c r="Y349" i="5"/>
  <c r="X349" i="5"/>
  <c r="W349" i="5"/>
  <c r="V349" i="5"/>
  <c r="T349" i="5"/>
  <c r="S349" i="5"/>
  <c r="Q349" i="5"/>
  <c r="P349" i="5"/>
  <c r="N349" i="5"/>
  <c r="K349" i="5"/>
  <c r="J349" i="5"/>
  <c r="I349" i="5"/>
  <c r="H349" i="5"/>
  <c r="G349" i="5"/>
  <c r="F349" i="5"/>
  <c r="E349" i="5"/>
  <c r="D349" i="5"/>
  <c r="B349" i="5"/>
  <c r="BI348" i="5"/>
  <c r="BD348" i="5"/>
  <c r="GF339" i="6" s="1"/>
  <c r="BC348" i="5"/>
  <c r="GE339" i="6" s="1"/>
  <c r="BB348" i="5"/>
  <c r="GD339" i="6" s="1"/>
  <c r="AZ348" i="5"/>
  <c r="AY348" i="5"/>
  <c r="AW348" i="5"/>
  <c r="AT348" i="5"/>
  <c r="AS348" i="5"/>
  <c r="AR348" i="5"/>
  <c r="AQ348" i="5"/>
  <c r="AP348" i="5"/>
  <c r="AO348" i="5"/>
  <c r="AN348" i="5"/>
  <c r="AL348" i="5"/>
  <c r="AK348" i="5"/>
  <c r="AJ348" i="5"/>
  <c r="AI348" i="5"/>
  <c r="AH348" i="5"/>
  <c r="AG348" i="5"/>
  <c r="AF348" i="5"/>
  <c r="AE348" i="5"/>
  <c r="AD348" i="5"/>
  <c r="AC348" i="5"/>
  <c r="AB348" i="5"/>
  <c r="AA348" i="5"/>
  <c r="Z348" i="5"/>
  <c r="Y348" i="5"/>
  <c r="X348" i="5"/>
  <c r="W348" i="5"/>
  <c r="V348" i="5"/>
  <c r="T348" i="5"/>
  <c r="S348" i="5"/>
  <c r="Q348" i="5"/>
  <c r="P348" i="5"/>
  <c r="N348" i="5"/>
  <c r="K348" i="5"/>
  <c r="J348" i="5"/>
  <c r="I348" i="5"/>
  <c r="H348" i="5"/>
  <c r="G348" i="5"/>
  <c r="F348" i="5"/>
  <c r="E348" i="5"/>
  <c r="D348" i="5"/>
  <c r="B348" i="5"/>
  <c r="BI347" i="5"/>
  <c r="BD347" i="5"/>
  <c r="GF338" i="6" s="1"/>
  <c r="BC347" i="5"/>
  <c r="GE338" i="6" s="1"/>
  <c r="BB347" i="5"/>
  <c r="GD338" i="6" s="1"/>
  <c r="AZ347" i="5"/>
  <c r="AY347" i="5"/>
  <c r="AW347" i="5"/>
  <c r="AT347" i="5"/>
  <c r="AS347" i="5"/>
  <c r="AR347" i="5"/>
  <c r="AQ347" i="5"/>
  <c r="AP347" i="5"/>
  <c r="AO347" i="5"/>
  <c r="AN347" i="5"/>
  <c r="AL347" i="5"/>
  <c r="AK347" i="5"/>
  <c r="AJ347" i="5"/>
  <c r="AI347" i="5"/>
  <c r="AH347" i="5"/>
  <c r="AG347" i="5"/>
  <c r="AF347" i="5"/>
  <c r="AE347" i="5"/>
  <c r="AD347" i="5"/>
  <c r="AC347" i="5"/>
  <c r="AB347" i="5"/>
  <c r="AA347" i="5"/>
  <c r="Z347" i="5"/>
  <c r="Y347" i="5"/>
  <c r="X347" i="5"/>
  <c r="W347" i="5"/>
  <c r="V347" i="5"/>
  <c r="T347" i="5"/>
  <c r="S347" i="5"/>
  <c r="Q347" i="5"/>
  <c r="P347" i="5"/>
  <c r="N347" i="5"/>
  <c r="K347" i="5"/>
  <c r="J347" i="5"/>
  <c r="I347" i="5"/>
  <c r="H347" i="5"/>
  <c r="G347" i="5"/>
  <c r="F347" i="5"/>
  <c r="E347" i="5"/>
  <c r="D347" i="5"/>
  <c r="B347" i="5"/>
  <c r="BI346" i="5"/>
  <c r="BD346" i="5"/>
  <c r="GF337" i="6" s="1"/>
  <c r="BC346" i="5"/>
  <c r="GE337" i="6" s="1"/>
  <c r="BB346" i="5"/>
  <c r="GD337" i="6" s="1"/>
  <c r="AZ346" i="5"/>
  <c r="AY346" i="5"/>
  <c r="AW346" i="5"/>
  <c r="AT346" i="5"/>
  <c r="AS346" i="5"/>
  <c r="AR346" i="5"/>
  <c r="AQ346" i="5"/>
  <c r="AP346" i="5"/>
  <c r="AO346" i="5"/>
  <c r="AN346" i="5"/>
  <c r="AL346" i="5"/>
  <c r="AK346" i="5"/>
  <c r="AJ346" i="5"/>
  <c r="AI346" i="5"/>
  <c r="AH346" i="5"/>
  <c r="AG346" i="5"/>
  <c r="AF346" i="5"/>
  <c r="AE346" i="5"/>
  <c r="AD346" i="5"/>
  <c r="AC346" i="5"/>
  <c r="AB346" i="5"/>
  <c r="AA346" i="5"/>
  <c r="Z346" i="5"/>
  <c r="Y346" i="5"/>
  <c r="X346" i="5"/>
  <c r="W346" i="5"/>
  <c r="V346" i="5"/>
  <c r="T346" i="5"/>
  <c r="S346" i="5"/>
  <c r="Q346" i="5"/>
  <c r="P346" i="5"/>
  <c r="N346" i="5"/>
  <c r="K346" i="5"/>
  <c r="J346" i="5"/>
  <c r="I346" i="5"/>
  <c r="H346" i="5"/>
  <c r="G346" i="5"/>
  <c r="F346" i="5"/>
  <c r="E346" i="5"/>
  <c r="D346" i="5"/>
  <c r="B346" i="5"/>
  <c r="BI345" i="5"/>
  <c r="BD345" i="5"/>
  <c r="GF336" i="6" s="1"/>
  <c r="BC345" i="5"/>
  <c r="GE336" i="6" s="1"/>
  <c r="BB345" i="5"/>
  <c r="GD336" i="6" s="1"/>
  <c r="AZ345" i="5"/>
  <c r="AY345" i="5"/>
  <c r="AW345" i="5"/>
  <c r="AT345" i="5"/>
  <c r="AS345" i="5"/>
  <c r="AR345" i="5"/>
  <c r="AQ345" i="5"/>
  <c r="AP345" i="5"/>
  <c r="AO345" i="5"/>
  <c r="AN345" i="5"/>
  <c r="AL345" i="5"/>
  <c r="AK345" i="5"/>
  <c r="AJ345" i="5"/>
  <c r="AI345" i="5"/>
  <c r="AH345" i="5"/>
  <c r="AG345" i="5"/>
  <c r="AF345" i="5"/>
  <c r="AE345" i="5"/>
  <c r="AD345" i="5"/>
  <c r="AC345" i="5"/>
  <c r="AB345" i="5"/>
  <c r="AA345" i="5"/>
  <c r="Z345" i="5"/>
  <c r="Y345" i="5"/>
  <c r="X345" i="5"/>
  <c r="W345" i="5"/>
  <c r="V345" i="5"/>
  <c r="T345" i="5"/>
  <c r="S345" i="5"/>
  <c r="Q345" i="5"/>
  <c r="P345" i="5"/>
  <c r="N345" i="5"/>
  <c r="K345" i="5"/>
  <c r="J345" i="5"/>
  <c r="I345" i="5"/>
  <c r="H345" i="5"/>
  <c r="G345" i="5"/>
  <c r="F345" i="5"/>
  <c r="E345" i="5"/>
  <c r="D345" i="5"/>
  <c r="B345" i="5"/>
  <c r="BI344" i="5"/>
  <c r="BD344" i="5"/>
  <c r="GF335" i="6" s="1"/>
  <c r="BC344" i="5"/>
  <c r="BB344" i="5"/>
  <c r="GD335" i="6" s="1"/>
  <c r="AZ344" i="5"/>
  <c r="AY344" i="5"/>
  <c r="AW344" i="5"/>
  <c r="AT344" i="5"/>
  <c r="AS344" i="5"/>
  <c r="AR344" i="5"/>
  <c r="AQ344" i="5"/>
  <c r="AP344" i="5"/>
  <c r="AO344" i="5"/>
  <c r="AN344" i="5"/>
  <c r="AL344" i="5"/>
  <c r="AK344" i="5"/>
  <c r="AJ344" i="5"/>
  <c r="AI344" i="5"/>
  <c r="AH344" i="5"/>
  <c r="AG344" i="5"/>
  <c r="AF344" i="5"/>
  <c r="AE344" i="5"/>
  <c r="AD344" i="5"/>
  <c r="AC344" i="5"/>
  <c r="AB344" i="5"/>
  <c r="AA344" i="5"/>
  <c r="Z344" i="5"/>
  <c r="Y344" i="5"/>
  <c r="X344" i="5"/>
  <c r="W344" i="5"/>
  <c r="V344" i="5"/>
  <c r="T344" i="5"/>
  <c r="S344" i="5"/>
  <c r="Q344" i="5"/>
  <c r="P344" i="5"/>
  <c r="N344" i="5"/>
  <c r="K344" i="5"/>
  <c r="J344" i="5"/>
  <c r="I344" i="5"/>
  <c r="H344" i="5"/>
  <c r="G344" i="5"/>
  <c r="F344" i="5"/>
  <c r="E344" i="5"/>
  <c r="D344" i="5"/>
  <c r="B344" i="5"/>
  <c r="BI343" i="5"/>
  <c r="BD343" i="5"/>
  <c r="GF334" i="6" s="1"/>
  <c r="BC343" i="5"/>
  <c r="GE334" i="6" s="1"/>
  <c r="BB343" i="5"/>
  <c r="AZ343" i="5"/>
  <c r="AY343" i="5"/>
  <c r="AW343" i="5"/>
  <c r="AT343" i="5"/>
  <c r="AS343" i="5"/>
  <c r="AR343" i="5"/>
  <c r="AQ343" i="5"/>
  <c r="AP343" i="5"/>
  <c r="AO343" i="5"/>
  <c r="AN343" i="5"/>
  <c r="AL343" i="5"/>
  <c r="AK343" i="5"/>
  <c r="AJ343" i="5"/>
  <c r="AI343" i="5"/>
  <c r="AH343" i="5"/>
  <c r="AG343" i="5"/>
  <c r="AF343" i="5"/>
  <c r="AE343" i="5"/>
  <c r="AD343" i="5"/>
  <c r="AC343" i="5"/>
  <c r="AB343" i="5"/>
  <c r="AA343" i="5"/>
  <c r="Z343" i="5"/>
  <c r="Y343" i="5"/>
  <c r="X343" i="5"/>
  <c r="W343" i="5"/>
  <c r="V343" i="5"/>
  <c r="T343" i="5"/>
  <c r="S343" i="5"/>
  <c r="Q343" i="5"/>
  <c r="P343" i="5"/>
  <c r="N343" i="5"/>
  <c r="K343" i="5"/>
  <c r="J343" i="5"/>
  <c r="I343" i="5"/>
  <c r="H343" i="5"/>
  <c r="G343" i="5"/>
  <c r="F343" i="5"/>
  <c r="E343" i="5"/>
  <c r="D343" i="5"/>
  <c r="B343" i="5"/>
  <c r="BI342" i="5"/>
  <c r="BD342" i="5"/>
  <c r="GF333" i="6" s="1"/>
  <c r="BC342" i="5"/>
  <c r="GE333" i="6" s="1"/>
  <c r="BB342" i="5"/>
  <c r="AZ342" i="5"/>
  <c r="AY342" i="5"/>
  <c r="AW342" i="5"/>
  <c r="AT342" i="5"/>
  <c r="AS342" i="5"/>
  <c r="AR342" i="5"/>
  <c r="AQ342" i="5"/>
  <c r="AP342" i="5"/>
  <c r="AO342" i="5"/>
  <c r="AN342" i="5"/>
  <c r="AL342" i="5"/>
  <c r="AK342" i="5"/>
  <c r="AJ342" i="5"/>
  <c r="AI342" i="5"/>
  <c r="AH342" i="5"/>
  <c r="AG342" i="5"/>
  <c r="AF342" i="5"/>
  <c r="AE342" i="5"/>
  <c r="AD342" i="5"/>
  <c r="AC342" i="5"/>
  <c r="AB342" i="5"/>
  <c r="AA342" i="5"/>
  <c r="Z342" i="5"/>
  <c r="Y342" i="5"/>
  <c r="X342" i="5"/>
  <c r="W342" i="5"/>
  <c r="V342" i="5"/>
  <c r="T342" i="5"/>
  <c r="S342" i="5"/>
  <c r="Q342" i="5"/>
  <c r="P342" i="5"/>
  <c r="N342" i="5"/>
  <c r="K342" i="5"/>
  <c r="J342" i="5"/>
  <c r="I342" i="5"/>
  <c r="H342" i="5"/>
  <c r="G342" i="5"/>
  <c r="F342" i="5"/>
  <c r="E342" i="5"/>
  <c r="D342" i="5"/>
  <c r="B342" i="5"/>
  <c r="BI341" i="5"/>
  <c r="BD341" i="5"/>
  <c r="GF332" i="6" s="1"/>
  <c r="BC341" i="5"/>
  <c r="GE332" i="6" s="1"/>
  <c r="BB341" i="5"/>
  <c r="GD332" i="6" s="1"/>
  <c r="AZ341" i="5"/>
  <c r="AY341" i="5"/>
  <c r="AW341" i="5"/>
  <c r="AT341" i="5"/>
  <c r="AS341" i="5"/>
  <c r="AR341" i="5"/>
  <c r="AQ341" i="5"/>
  <c r="AP341" i="5"/>
  <c r="AO341" i="5"/>
  <c r="AN341" i="5"/>
  <c r="AL341" i="5"/>
  <c r="AK341" i="5"/>
  <c r="AJ341" i="5"/>
  <c r="AI341" i="5"/>
  <c r="AH341" i="5"/>
  <c r="AG341" i="5"/>
  <c r="AF341" i="5"/>
  <c r="AE341" i="5"/>
  <c r="AD341" i="5"/>
  <c r="AC341" i="5"/>
  <c r="AB341" i="5"/>
  <c r="AA341" i="5"/>
  <c r="Z341" i="5"/>
  <c r="Y341" i="5"/>
  <c r="X341" i="5"/>
  <c r="W341" i="5"/>
  <c r="V341" i="5"/>
  <c r="T341" i="5"/>
  <c r="S341" i="5"/>
  <c r="Q341" i="5"/>
  <c r="P341" i="5"/>
  <c r="N341" i="5"/>
  <c r="K341" i="5"/>
  <c r="J341" i="5"/>
  <c r="I341" i="5"/>
  <c r="H341" i="5"/>
  <c r="G341" i="5"/>
  <c r="F341" i="5"/>
  <c r="E341" i="5"/>
  <c r="D341" i="5"/>
  <c r="B341" i="5"/>
  <c r="BI340" i="5"/>
  <c r="BD340" i="5"/>
  <c r="GF331" i="6" s="1"/>
  <c r="BC340" i="5"/>
  <c r="GE331" i="6" s="1"/>
  <c r="BB340" i="5"/>
  <c r="GD331" i="6" s="1"/>
  <c r="AZ340" i="5"/>
  <c r="AY340" i="5"/>
  <c r="AW340" i="5"/>
  <c r="AT340" i="5"/>
  <c r="AS340" i="5"/>
  <c r="AR340" i="5"/>
  <c r="AQ340" i="5"/>
  <c r="AP340" i="5"/>
  <c r="AO340" i="5"/>
  <c r="AN340" i="5"/>
  <c r="AL340" i="5"/>
  <c r="AK340" i="5"/>
  <c r="AJ340" i="5"/>
  <c r="AI340" i="5"/>
  <c r="AH340" i="5"/>
  <c r="AG340" i="5"/>
  <c r="AF340" i="5"/>
  <c r="AE340" i="5"/>
  <c r="AD340" i="5"/>
  <c r="AC340" i="5"/>
  <c r="AB340" i="5"/>
  <c r="AA340" i="5"/>
  <c r="Z340" i="5"/>
  <c r="Y340" i="5"/>
  <c r="X340" i="5"/>
  <c r="W340" i="5"/>
  <c r="V340" i="5"/>
  <c r="T340" i="5"/>
  <c r="S340" i="5"/>
  <c r="Q340" i="5"/>
  <c r="P340" i="5"/>
  <c r="N340" i="5"/>
  <c r="K340" i="5"/>
  <c r="J340" i="5"/>
  <c r="I340" i="5"/>
  <c r="H340" i="5"/>
  <c r="G340" i="5"/>
  <c r="F340" i="5"/>
  <c r="E340" i="5"/>
  <c r="D340" i="5"/>
  <c r="B340" i="5"/>
  <c r="BI339" i="5"/>
  <c r="BD339" i="5"/>
  <c r="GF330" i="6" s="1"/>
  <c r="BC339" i="5"/>
  <c r="GE330" i="6" s="1"/>
  <c r="BB339" i="5"/>
  <c r="GD330" i="6" s="1"/>
  <c r="AZ339" i="5"/>
  <c r="AY339" i="5"/>
  <c r="AW339" i="5"/>
  <c r="AT339" i="5"/>
  <c r="AS339" i="5"/>
  <c r="AR339" i="5"/>
  <c r="AQ339" i="5"/>
  <c r="AP339" i="5"/>
  <c r="AO339" i="5"/>
  <c r="AN339" i="5"/>
  <c r="AL339" i="5"/>
  <c r="AK339" i="5"/>
  <c r="AJ339" i="5"/>
  <c r="AI339" i="5"/>
  <c r="AH339" i="5"/>
  <c r="AG339" i="5"/>
  <c r="AF339" i="5"/>
  <c r="AE339" i="5"/>
  <c r="AD339" i="5"/>
  <c r="AC339" i="5"/>
  <c r="AB339" i="5"/>
  <c r="AA339" i="5"/>
  <c r="Z339" i="5"/>
  <c r="Y339" i="5"/>
  <c r="X339" i="5"/>
  <c r="W339" i="5"/>
  <c r="V339" i="5"/>
  <c r="T339" i="5"/>
  <c r="S339" i="5"/>
  <c r="Q339" i="5"/>
  <c r="P339" i="5"/>
  <c r="N339" i="5"/>
  <c r="K339" i="5"/>
  <c r="J339" i="5"/>
  <c r="I339" i="5"/>
  <c r="H339" i="5"/>
  <c r="G339" i="5"/>
  <c r="F339" i="5"/>
  <c r="E339" i="5"/>
  <c r="D339" i="5"/>
  <c r="B339" i="5"/>
  <c r="BI338" i="5"/>
  <c r="BD338" i="5"/>
  <c r="GF329" i="6" s="1"/>
  <c r="BC338" i="5"/>
  <c r="GE329" i="6" s="1"/>
  <c r="BB338" i="5"/>
  <c r="GD329" i="6" s="1"/>
  <c r="AZ338" i="5"/>
  <c r="AY338" i="5"/>
  <c r="AW338" i="5"/>
  <c r="AT338" i="5"/>
  <c r="AS338" i="5"/>
  <c r="AR338" i="5"/>
  <c r="AQ338" i="5"/>
  <c r="AP338" i="5"/>
  <c r="AO338" i="5"/>
  <c r="AN338" i="5"/>
  <c r="AL338" i="5"/>
  <c r="AK338" i="5"/>
  <c r="AJ338" i="5"/>
  <c r="AI338" i="5"/>
  <c r="AH338" i="5"/>
  <c r="AG338" i="5"/>
  <c r="AF338" i="5"/>
  <c r="AE338" i="5"/>
  <c r="AD338" i="5"/>
  <c r="AC338" i="5"/>
  <c r="AB338" i="5"/>
  <c r="AA338" i="5"/>
  <c r="Z338" i="5"/>
  <c r="Y338" i="5"/>
  <c r="X338" i="5"/>
  <c r="W338" i="5"/>
  <c r="V338" i="5"/>
  <c r="T338" i="5"/>
  <c r="S338" i="5"/>
  <c r="Q338" i="5"/>
  <c r="P338" i="5"/>
  <c r="N338" i="5"/>
  <c r="K338" i="5"/>
  <c r="J338" i="5"/>
  <c r="I338" i="5"/>
  <c r="H338" i="5"/>
  <c r="G338" i="5"/>
  <c r="F338" i="5"/>
  <c r="E338" i="5"/>
  <c r="D338" i="5"/>
  <c r="B338" i="5"/>
  <c r="BI337" i="5"/>
  <c r="BD337" i="5"/>
  <c r="GF328" i="6" s="1"/>
  <c r="BC337" i="5"/>
  <c r="GE328" i="6" s="1"/>
  <c r="BB337" i="5"/>
  <c r="GD328" i="6" s="1"/>
  <c r="AZ337" i="5"/>
  <c r="AY337" i="5"/>
  <c r="AW337" i="5"/>
  <c r="AT337" i="5"/>
  <c r="AS337" i="5"/>
  <c r="AR337" i="5"/>
  <c r="AQ337" i="5"/>
  <c r="AP337" i="5"/>
  <c r="AO337" i="5"/>
  <c r="AN337" i="5"/>
  <c r="AL337" i="5"/>
  <c r="AK337" i="5"/>
  <c r="AJ337" i="5"/>
  <c r="AI337" i="5"/>
  <c r="AH337" i="5"/>
  <c r="AG337" i="5"/>
  <c r="AF337" i="5"/>
  <c r="AE337" i="5"/>
  <c r="AD337" i="5"/>
  <c r="AC337" i="5"/>
  <c r="AB337" i="5"/>
  <c r="AA337" i="5"/>
  <c r="Z337" i="5"/>
  <c r="Y337" i="5"/>
  <c r="X337" i="5"/>
  <c r="W337" i="5"/>
  <c r="V337" i="5"/>
  <c r="T337" i="5"/>
  <c r="S337" i="5"/>
  <c r="Q337" i="5"/>
  <c r="P337" i="5"/>
  <c r="N337" i="5"/>
  <c r="K337" i="5"/>
  <c r="J337" i="5"/>
  <c r="I337" i="5"/>
  <c r="H337" i="5"/>
  <c r="G337" i="5"/>
  <c r="F337" i="5"/>
  <c r="E337" i="5"/>
  <c r="D337" i="5"/>
  <c r="B337" i="5"/>
  <c r="BI336" i="5"/>
  <c r="BD336" i="5"/>
  <c r="GF327" i="6" s="1"/>
  <c r="BC336" i="5"/>
  <c r="BB336" i="5"/>
  <c r="GD327" i="6" s="1"/>
  <c r="AZ336" i="5"/>
  <c r="AY336" i="5"/>
  <c r="AW336" i="5"/>
  <c r="AT336" i="5"/>
  <c r="AS336" i="5"/>
  <c r="AR336" i="5"/>
  <c r="AQ336" i="5"/>
  <c r="AP336" i="5"/>
  <c r="AO336" i="5"/>
  <c r="AN336" i="5"/>
  <c r="AL336" i="5"/>
  <c r="AK336" i="5"/>
  <c r="AJ336" i="5"/>
  <c r="AI336" i="5"/>
  <c r="AH336" i="5"/>
  <c r="AG336" i="5"/>
  <c r="AF336" i="5"/>
  <c r="AE336" i="5"/>
  <c r="AD336" i="5"/>
  <c r="AC336" i="5"/>
  <c r="AB336" i="5"/>
  <c r="AA336" i="5"/>
  <c r="Z336" i="5"/>
  <c r="Y336" i="5"/>
  <c r="X336" i="5"/>
  <c r="W336" i="5"/>
  <c r="V336" i="5"/>
  <c r="T336" i="5"/>
  <c r="S336" i="5"/>
  <c r="Q336" i="5"/>
  <c r="P336" i="5"/>
  <c r="N336" i="5"/>
  <c r="K336" i="5"/>
  <c r="J336" i="5"/>
  <c r="I336" i="5"/>
  <c r="H336" i="5"/>
  <c r="G336" i="5"/>
  <c r="F336" i="5"/>
  <c r="E336" i="5"/>
  <c r="D336" i="5"/>
  <c r="B336" i="5"/>
  <c r="BI335" i="5"/>
  <c r="BD335" i="5"/>
  <c r="BC335" i="5"/>
  <c r="GE326" i="6" s="1"/>
  <c r="BB335" i="5"/>
  <c r="GD326" i="6" s="1"/>
  <c r="AZ335" i="5"/>
  <c r="AY335" i="5"/>
  <c r="AW335" i="5"/>
  <c r="AT335" i="5"/>
  <c r="AS335" i="5"/>
  <c r="AR335" i="5"/>
  <c r="AQ335" i="5"/>
  <c r="AP335" i="5"/>
  <c r="AO335" i="5"/>
  <c r="AN335" i="5"/>
  <c r="AL335" i="5"/>
  <c r="AK335" i="5"/>
  <c r="AJ335" i="5"/>
  <c r="AI335" i="5"/>
  <c r="AH335" i="5"/>
  <c r="AG335" i="5"/>
  <c r="AF335" i="5"/>
  <c r="AE335" i="5"/>
  <c r="AD335" i="5"/>
  <c r="AC335" i="5"/>
  <c r="AB335" i="5"/>
  <c r="AA335" i="5"/>
  <c r="Z335" i="5"/>
  <c r="Y335" i="5"/>
  <c r="X335" i="5"/>
  <c r="W335" i="5"/>
  <c r="V335" i="5"/>
  <c r="T335" i="5"/>
  <c r="S335" i="5"/>
  <c r="Q335" i="5"/>
  <c r="P335" i="5"/>
  <c r="N335" i="5"/>
  <c r="K335" i="5"/>
  <c r="J335" i="5"/>
  <c r="I335" i="5"/>
  <c r="H335" i="5"/>
  <c r="G335" i="5"/>
  <c r="F335" i="5"/>
  <c r="E335" i="5"/>
  <c r="D335" i="5"/>
  <c r="B335" i="5"/>
  <c r="BI334" i="5"/>
  <c r="BD334" i="5"/>
  <c r="GF325" i="6" s="1"/>
  <c r="BC334" i="5"/>
  <c r="GE325" i="6" s="1"/>
  <c r="BB334" i="5"/>
  <c r="GD325" i="6" s="1"/>
  <c r="AZ334" i="5"/>
  <c r="AY334" i="5"/>
  <c r="AW334" i="5"/>
  <c r="AT334" i="5"/>
  <c r="AS334" i="5"/>
  <c r="AR334" i="5"/>
  <c r="AQ334" i="5"/>
  <c r="AP334" i="5"/>
  <c r="AO334" i="5"/>
  <c r="AN334" i="5"/>
  <c r="AL334" i="5"/>
  <c r="AK334" i="5"/>
  <c r="AJ334" i="5"/>
  <c r="AI334" i="5"/>
  <c r="AH334" i="5"/>
  <c r="AG334" i="5"/>
  <c r="AF334" i="5"/>
  <c r="AE334" i="5"/>
  <c r="AD334" i="5"/>
  <c r="AC334" i="5"/>
  <c r="AB334" i="5"/>
  <c r="AA334" i="5"/>
  <c r="Z334" i="5"/>
  <c r="Y334" i="5"/>
  <c r="X334" i="5"/>
  <c r="W334" i="5"/>
  <c r="V334" i="5"/>
  <c r="T334" i="5"/>
  <c r="S334" i="5"/>
  <c r="Q334" i="5"/>
  <c r="P334" i="5"/>
  <c r="N334" i="5"/>
  <c r="K334" i="5"/>
  <c r="J334" i="5"/>
  <c r="I334" i="5"/>
  <c r="H334" i="5"/>
  <c r="G334" i="5"/>
  <c r="F334" i="5"/>
  <c r="E334" i="5"/>
  <c r="D334" i="5"/>
  <c r="B334" i="5"/>
  <c r="BI333" i="5"/>
  <c r="BD333" i="5"/>
  <c r="GF324" i="6" s="1"/>
  <c r="BC333" i="5"/>
  <c r="GE324" i="6" s="1"/>
  <c r="BB333" i="5"/>
  <c r="GD324" i="6" s="1"/>
  <c r="AZ333" i="5"/>
  <c r="AY333" i="5"/>
  <c r="AW333" i="5"/>
  <c r="AT333" i="5"/>
  <c r="AS333" i="5"/>
  <c r="AR333" i="5"/>
  <c r="AQ333" i="5"/>
  <c r="AP333" i="5"/>
  <c r="AO333" i="5"/>
  <c r="AN333" i="5"/>
  <c r="AL333" i="5"/>
  <c r="AK333" i="5"/>
  <c r="AJ333" i="5"/>
  <c r="AI333" i="5"/>
  <c r="AH333" i="5"/>
  <c r="AG333" i="5"/>
  <c r="AF333" i="5"/>
  <c r="AE333" i="5"/>
  <c r="AD333" i="5"/>
  <c r="AC333" i="5"/>
  <c r="AB333" i="5"/>
  <c r="AA333" i="5"/>
  <c r="Z333" i="5"/>
  <c r="Y333" i="5"/>
  <c r="X333" i="5"/>
  <c r="W333" i="5"/>
  <c r="V333" i="5"/>
  <c r="T333" i="5"/>
  <c r="S333" i="5"/>
  <c r="Q333" i="5"/>
  <c r="P333" i="5"/>
  <c r="N333" i="5"/>
  <c r="K333" i="5"/>
  <c r="J333" i="5"/>
  <c r="I333" i="5"/>
  <c r="H333" i="5"/>
  <c r="G333" i="5"/>
  <c r="F333" i="5"/>
  <c r="E333" i="5"/>
  <c r="D333" i="5"/>
  <c r="B333" i="5"/>
  <c r="BI332" i="5"/>
  <c r="BD332" i="5"/>
  <c r="BC332" i="5"/>
  <c r="GE323" i="6" s="1"/>
  <c r="BB332" i="5"/>
  <c r="GD323" i="6" s="1"/>
  <c r="AZ332" i="5"/>
  <c r="AY332" i="5"/>
  <c r="AW332" i="5"/>
  <c r="AT332" i="5"/>
  <c r="AS332" i="5"/>
  <c r="AR332" i="5"/>
  <c r="AQ332" i="5"/>
  <c r="AP332" i="5"/>
  <c r="AO332" i="5"/>
  <c r="AN332" i="5"/>
  <c r="AL332" i="5"/>
  <c r="AK332" i="5"/>
  <c r="AJ332" i="5"/>
  <c r="AI332" i="5"/>
  <c r="AH332" i="5"/>
  <c r="AG332" i="5"/>
  <c r="AF332" i="5"/>
  <c r="AE332" i="5"/>
  <c r="AD332" i="5"/>
  <c r="AC332" i="5"/>
  <c r="AB332" i="5"/>
  <c r="AA332" i="5"/>
  <c r="Z332" i="5"/>
  <c r="Y332" i="5"/>
  <c r="X332" i="5"/>
  <c r="W332" i="5"/>
  <c r="V332" i="5"/>
  <c r="T332" i="5"/>
  <c r="S332" i="5"/>
  <c r="Q332" i="5"/>
  <c r="P332" i="5"/>
  <c r="N332" i="5"/>
  <c r="K332" i="5"/>
  <c r="J332" i="5"/>
  <c r="I332" i="5"/>
  <c r="H332" i="5"/>
  <c r="G332" i="5"/>
  <c r="F332" i="5"/>
  <c r="E332" i="5"/>
  <c r="D332" i="5"/>
  <c r="B332" i="5"/>
  <c r="BI331" i="5"/>
  <c r="BD331" i="5"/>
  <c r="GF322" i="6" s="1"/>
  <c r="BC331" i="5"/>
  <c r="BB331" i="5"/>
  <c r="GD322" i="6" s="1"/>
  <c r="AZ331" i="5"/>
  <c r="AY331" i="5"/>
  <c r="AW331" i="5"/>
  <c r="AT331" i="5"/>
  <c r="AS331" i="5"/>
  <c r="AR331" i="5"/>
  <c r="AQ331" i="5"/>
  <c r="AP331" i="5"/>
  <c r="AO331" i="5"/>
  <c r="AN331" i="5"/>
  <c r="AL331" i="5"/>
  <c r="AK331" i="5"/>
  <c r="AJ331" i="5"/>
  <c r="AI331" i="5"/>
  <c r="AH331" i="5"/>
  <c r="AG331" i="5"/>
  <c r="AF331" i="5"/>
  <c r="AE331" i="5"/>
  <c r="AD331" i="5"/>
  <c r="AC331" i="5"/>
  <c r="AB331" i="5"/>
  <c r="AA331" i="5"/>
  <c r="Z331" i="5"/>
  <c r="Y331" i="5"/>
  <c r="X331" i="5"/>
  <c r="W331" i="5"/>
  <c r="V331" i="5"/>
  <c r="T331" i="5"/>
  <c r="S331" i="5"/>
  <c r="Q331" i="5"/>
  <c r="P331" i="5"/>
  <c r="N331" i="5"/>
  <c r="K331" i="5"/>
  <c r="J331" i="5"/>
  <c r="I331" i="5"/>
  <c r="H331" i="5"/>
  <c r="G331" i="5"/>
  <c r="F331" i="5"/>
  <c r="E331" i="5"/>
  <c r="D331" i="5"/>
  <c r="B331" i="5"/>
  <c r="BI330" i="5"/>
  <c r="BD330" i="5"/>
  <c r="GF321" i="6" s="1"/>
  <c r="BC330" i="5"/>
  <c r="GE321" i="6" s="1"/>
  <c r="BB330" i="5"/>
  <c r="GD321" i="6" s="1"/>
  <c r="AZ330" i="5"/>
  <c r="AY330" i="5"/>
  <c r="AW330" i="5"/>
  <c r="AT330" i="5"/>
  <c r="AS330" i="5"/>
  <c r="AR330" i="5"/>
  <c r="AQ330" i="5"/>
  <c r="AP330" i="5"/>
  <c r="AO330" i="5"/>
  <c r="AN330" i="5"/>
  <c r="AL330" i="5"/>
  <c r="AK330" i="5"/>
  <c r="AJ330" i="5"/>
  <c r="AI330" i="5"/>
  <c r="AH330" i="5"/>
  <c r="AG330" i="5"/>
  <c r="AF330" i="5"/>
  <c r="AE330" i="5"/>
  <c r="AD330" i="5"/>
  <c r="AC330" i="5"/>
  <c r="AB330" i="5"/>
  <c r="AA330" i="5"/>
  <c r="Z330" i="5"/>
  <c r="Y330" i="5"/>
  <c r="X330" i="5"/>
  <c r="W330" i="5"/>
  <c r="V330" i="5"/>
  <c r="T330" i="5"/>
  <c r="S330" i="5"/>
  <c r="Q330" i="5"/>
  <c r="P330" i="5"/>
  <c r="N330" i="5"/>
  <c r="K330" i="5"/>
  <c r="J330" i="5"/>
  <c r="I330" i="5"/>
  <c r="H330" i="5"/>
  <c r="G330" i="5"/>
  <c r="F330" i="5"/>
  <c r="E330" i="5"/>
  <c r="D330" i="5"/>
  <c r="B330" i="5"/>
  <c r="BI329" i="5"/>
  <c r="BD329" i="5"/>
  <c r="BC329" i="5"/>
  <c r="GE320" i="6" s="1"/>
  <c r="BB329" i="5"/>
  <c r="GD320" i="6" s="1"/>
  <c r="AZ329" i="5"/>
  <c r="AY329" i="5"/>
  <c r="AW329" i="5"/>
  <c r="AT329" i="5"/>
  <c r="AS329" i="5"/>
  <c r="AR329" i="5"/>
  <c r="AQ329" i="5"/>
  <c r="AP329" i="5"/>
  <c r="AO329" i="5"/>
  <c r="AN329" i="5"/>
  <c r="AL329" i="5"/>
  <c r="AK329" i="5"/>
  <c r="AJ329" i="5"/>
  <c r="AI329" i="5"/>
  <c r="AH329" i="5"/>
  <c r="AG329" i="5"/>
  <c r="AF329" i="5"/>
  <c r="AE329" i="5"/>
  <c r="AD329" i="5"/>
  <c r="AC329" i="5"/>
  <c r="AB329" i="5"/>
  <c r="AA329" i="5"/>
  <c r="Z329" i="5"/>
  <c r="Y329" i="5"/>
  <c r="X329" i="5"/>
  <c r="W329" i="5"/>
  <c r="V329" i="5"/>
  <c r="T329" i="5"/>
  <c r="S329" i="5"/>
  <c r="Q329" i="5"/>
  <c r="P329" i="5"/>
  <c r="N329" i="5"/>
  <c r="K329" i="5"/>
  <c r="J329" i="5"/>
  <c r="I329" i="5"/>
  <c r="H329" i="5"/>
  <c r="G329" i="5"/>
  <c r="F329" i="5"/>
  <c r="E329" i="5"/>
  <c r="D329" i="5"/>
  <c r="B329" i="5"/>
  <c r="BI328" i="5"/>
  <c r="BD328" i="5"/>
  <c r="GF319" i="6" s="1"/>
  <c r="BC328" i="5"/>
  <c r="BB328" i="5"/>
  <c r="GD319" i="6" s="1"/>
  <c r="AZ328" i="5"/>
  <c r="AY328" i="5"/>
  <c r="AW328" i="5"/>
  <c r="AT328" i="5"/>
  <c r="AS328" i="5"/>
  <c r="AR328" i="5"/>
  <c r="AQ328" i="5"/>
  <c r="AP328" i="5"/>
  <c r="AO328" i="5"/>
  <c r="AN328" i="5"/>
  <c r="AL328" i="5"/>
  <c r="AK328" i="5"/>
  <c r="AJ328" i="5"/>
  <c r="AI328" i="5"/>
  <c r="AH328" i="5"/>
  <c r="AG328" i="5"/>
  <c r="AF328" i="5"/>
  <c r="AE328" i="5"/>
  <c r="AD328" i="5"/>
  <c r="AC328" i="5"/>
  <c r="AB328" i="5"/>
  <c r="AA328" i="5"/>
  <c r="Z328" i="5"/>
  <c r="Y328" i="5"/>
  <c r="X328" i="5"/>
  <c r="W328" i="5"/>
  <c r="V328" i="5"/>
  <c r="T328" i="5"/>
  <c r="S328" i="5"/>
  <c r="Q328" i="5"/>
  <c r="P328" i="5"/>
  <c r="N328" i="5"/>
  <c r="K328" i="5"/>
  <c r="J328" i="5"/>
  <c r="I328" i="5"/>
  <c r="H328" i="5"/>
  <c r="G328" i="5"/>
  <c r="F328" i="5"/>
  <c r="E328" i="5"/>
  <c r="D328" i="5"/>
  <c r="B328" i="5"/>
  <c r="BI327" i="5"/>
  <c r="BD327" i="5"/>
  <c r="BC327" i="5"/>
  <c r="GE318" i="6" s="1"/>
  <c r="BB327" i="5"/>
  <c r="GD318" i="6" s="1"/>
  <c r="AZ327" i="5"/>
  <c r="AY327" i="5"/>
  <c r="AW327" i="5"/>
  <c r="AT327" i="5"/>
  <c r="AS327" i="5"/>
  <c r="AR327" i="5"/>
  <c r="AQ327" i="5"/>
  <c r="AP327" i="5"/>
  <c r="AO327" i="5"/>
  <c r="AN327" i="5"/>
  <c r="AL327" i="5"/>
  <c r="AK327" i="5"/>
  <c r="AJ327" i="5"/>
  <c r="AI327" i="5"/>
  <c r="AH327" i="5"/>
  <c r="AG327" i="5"/>
  <c r="AF327" i="5"/>
  <c r="AE327" i="5"/>
  <c r="AD327" i="5"/>
  <c r="AC327" i="5"/>
  <c r="AB327" i="5"/>
  <c r="AA327" i="5"/>
  <c r="Z327" i="5"/>
  <c r="Y327" i="5"/>
  <c r="X327" i="5"/>
  <c r="W327" i="5"/>
  <c r="V327" i="5"/>
  <c r="T327" i="5"/>
  <c r="S327" i="5"/>
  <c r="Q327" i="5"/>
  <c r="P327" i="5"/>
  <c r="N327" i="5"/>
  <c r="K327" i="5"/>
  <c r="J327" i="5"/>
  <c r="I327" i="5"/>
  <c r="H327" i="5"/>
  <c r="G327" i="5"/>
  <c r="F327" i="5"/>
  <c r="E327" i="5"/>
  <c r="D327" i="5"/>
  <c r="B327" i="5"/>
  <c r="BI326" i="5"/>
  <c r="BD326" i="5"/>
  <c r="GF317" i="6" s="1"/>
  <c r="BC326" i="5"/>
  <c r="BB326" i="5"/>
  <c r="GD317" i="6" s="1"/>
  <c r="AZ326" i="5"/>
  <c r="AY326" i="5"/>
  <c r="AW326" i="5"/>
  <c r="AT326" i="5"/>
  <c r="AS326" i="5"/>
  <c r="AR326" i="5"/>
  <c r="AQ326" i="5"/>
  <c r="AP326" i="5"/>
  <c r="AO326" i="5"/>
  <c r="AN326" i="5"/>
  <c r="AL326" i="5"/>
  <c r="AK326" i="5"/>
  <c r="AJ326" i="5"/>
  <c r="AI326" i="5"/>
  <c r="AH326" i="5"/>
  <c r="AG326" i="5"/>
  <c r="AF326" i="5"/>
  <c r="AE326" i="5"/>
  <c r="AD326" i="5"/>
  <c r="AC326" i="5"/>
  <c r="AB326" i="5"/>
  <c r="AA326" i="5"/>
  <c r="Z326" i="5"/>
  <c r="Y326" i="5"/>
  <c r="X326" i="5"/>
  <c r="W326" i="5"/>
  <c r="V326" i="5"/>
  <c r="T326" i="5"/>
  <c r="S326" i="5"/>
  <c r="Q326" i="5"/>
  <c r="P326" i="5"/>
  <c r="N326" i="5"/>
  <c r="K326" i="5"/>
  <c r="J326" i="5"/>
  <c r="I326" i="5"/>
  <c r="H326" i="5"/>
  <c r="G326" i="5"/>
  <c r="F326" i="5"/>
  <c r="E326" i="5"/>
  <c r="D326" i="5"/>
  <c r="B326" i="5"/>
  <c r="BI325" i="5"/>
  <c r="BD325" i="5"/>
  <c r="GF316" i="6" s="1"/>
  <c r="BC325" i="5"/>
  <c r="GE316" i="6" s="1"/>
  <c r="BB325" i="5"/>
  <c r="GD316" i="6" s="1"/>
  <c r="AZ325" i="5"/>
  <c r="AY325" i="5"/>
  <c r="AW325" i="5"/>
  <c r="AT325" i="5"/>
  <c r="AS325" i="5"/>
  <c r="AR325" i="5"/>
  <c r="AQ325" i="5"/>
  <c r="AP325" i="5"/>
  <c r="AO325" i="5"/>
  <c r="AN325" i="5"/>
  <c r="AL325" i="5"/>
  <c r="AK325" i="5"/>
  <c r="AJ325" i="5"/>
  <c r="AI325" i="5"/>
  <c r="AH325" i="5"/>
  <c r="AG325" i="5"/>
  <c r="AF325" i="5"/>
  <c r="AE325" i="5"/>
  <c r="AD325" i="5"/>
  <c r="AC325" i="5"/>
  <c r="AB325" i="5"/>
  <c r="AA325" i="5"/>
  <c r="Z325" i="5"/>
  <c r="Y325" i="5"/>
  <c r="X325" i="5"/>
  <c r="W325" i="5"/>
  <c r="V325" i="5"/>
  <c r="T325" i="5"/>
  <c r="S325" i="5"/>
  <c r="Q325" i="5"/>
  <c r="P325" i="5"/>
  <c r="N325" i="5"/>
  <c r="K325" i="5"/>
  <c r="J325" i="5"/>
  <c r="I325" i="5"/>
  <c r="H325" i="5"/>
  <c r="G325" i="5"/>
  <c r="F325" i="5"/>
  <c r="E325" i="5"/>
  <c r="D325" i="5"/>
  <c r="B325" i="5"/>
  <c r="BI324" i="5"/>
  <c r="BD324" i="5"/>
  <c r="GF315" i="6" s="1"/>
  <c r="BC324" i="5"/>
  <c r="GE315" i="6" s="1"/>
  <c r="BB324" i="5"/>
  <c r="GD315" i="6" s="1"/>
  <c r="AZ324" i="5"/>
  <c r="AY324" i="5"/>
  <c r="AW324" i="5"/>
  <c r="AT324" i="5"/>
  <c r="AS324" i="5"/>
  <c r="AR324" i="5"/>
  <c r="AQ324" i="5"/>
  <c r="AP324" i="5"/>
  <c r="AO324" i="5"/>
  <c r="AN324" i="5"/>
  <c r="AL324" i="5"/>
  <c r="AK324" i="5"/>
  <c r="AJ324" i="5"/>
  <c r="AI324" i="5"/>
  <c r="AH324" i="5"/>
  <c r="AG324" i="5"/>
  <c r="AF324" i="5"/>
  <c r="AE324" i="5"/>
  <c r="AD324" i="5"/>
  <c r="AC324" i="5"/>
  <c r="AB324" i="5"/>
  <c r="AA324" i="5"/>
  <c r="Z324" i="5"/>
  <c r="Y324" i="5"/>
  <c r="X324" i="5"/>
  <c r="W324" i="5"/>
  <c r="V324" i="5"/>
  <c r="T324" i="5"/>
  <c r="S324" i="5"/>
  <c r="Q324" i="5"/>
  <c r="P324" i="5"/>
  <c r="N324" i="5"/>
  <c r="K324" i="5"/>
  <c r="J324" i="5"/>
  <c r="I324" i="5"/>
  <c r="H324" i="5"/>
  <c r="G324" i="5"/>
  <c r="F324" i="5"/>
  <c r="E324" i="5"/>
  <c r="D324" i="5"/>
  <c r="B324" i="5"/>
  <c r="BI323" i="5"/>
  <c r="BD323" i="5"/>
  <c r="GF314" i="6" s="1"/>
  <c r="BC323" i="5"/>
  <c r="GE314" i="6" s="1"/>
  <c r="BB323" i="5"/>
  <c r="GD314" i="6" s="1"/>
  <c r="AZ323" i="5"/>
  <c r="AY323" i="5"/>
  <c r="AW323" i="5"/>
  <c r="AT323" i="5"/>
  <c r="AS323" i="5"/>
  <c r="AR323" i="5"/>
  <c r="AQ323" i="5"/>
  <c r="AP323" i="5"/>
  <c r="AO323" i="5"/>
  <c r="AN323" i="5"/>
  <c r="AL323" i="5"/>
  <c r="AK323" i="5"/>
  <c r="AJ323" i="5"/>
  <c r="AI323" i="5"/>
  <c r="AH323" i="5"/>
  <c r="AG323" i="5"/>
  <c r="AF323" i="5"/>
  <c r="AE323" i="5"/>
  <c r="AD323" i="5"/>
  <c r="AC323" i="5"/>
  <c r="AB323" i="5"/>
  <c r="AA323" i="5"/>
  <c r="Z323" i="5"/>
  <c r="Y323" i="5"/>
  <c r="X323" i="5"/>
  <c r="W323" i="5"/>
  <c r="V323" i="5"/>
  <c r="T323" i="5"/>
  <c r="S323" i="5"/>
  <c r="Q323" i="5"/>
  <c r="P323" i="5"/>
  <c r="N323" i="5"/>
  <c r="K323" i="5"/>
  <c r="J323" i="5"/>
  <c r="I323" i="5"/>
  <c r="H323" i="5"/>
  <c r="G323" i="5"/>
  <c r="F323" i="5"/>
  <c r="E323" i="5"/>
  <c r="D323" i="5"/>
  <c r="B323" i="5"/>
  <c r="BI322" i="5"/>
  <c r="BD322" i="5"/>
  <c r="BC322" i="5"/>
  <c r="GE313" i="6" s="1"/>
  <c r="BB322" i="5"/>
  <c r="GD313" i="6" s="1"/>
  <c r="AZ322" i="5"/>
  <c r="AY322" i="5"/>
  <c r="AW322" i="5"/>
  <c r="AT322" i="5"/>
  <c r="AS322" i="5"/>
  <c r="AR322" i="5"/>
  <c r="AQ322" i="5"/>
  <c r="AP322" i="5"/>
  <c r="AO322" i="5"/>
  <c r="AN322" i="5"/>
  <c r="AL322" i="5"/>
  <c r="AK322" i="5"/>
  <c r="AJ322" i="5"/>
  <c r="AI322" i="5"/>
  <c r="AH322" i="5"/>
  <c r="AG322" i="5"/>
  <c r="AF322" i="5"/>
  <c r="AE322" i="5"/>
  <c r="AD322" i="5"/>
  <c r="AC322" i="5"/>
  <c r="AB322" i="5"/>
  <c r="AA322" i="5"/>
  <c r="Z322" i="5"/>
  <c r="Y322" i="5"/>
  <c r="X322" i="5"/>
  <c r="W322" i="5"/>
  <c r="V322" i="5"/>
  <c r="T322" i="5"/>
  <c r="S322" i="5"/>
  <c r="Q322" i="5"/>
  <c r="P322" i="5"/>
  <c r="N322" i="5"/>
  <c r="K322" i="5"/>
  <c r="J322" i="5"/>
  <c r="I322" i="5"/>
  <c r="H322" i="5"/>
  <c r="G322" i="5"/>
  <c r="F322" i="5"/>
  <c r="E322" i="5"/>
  <c r="D322" i="5"/>
  <c r="B322" i="5"/>
  <c r="BI321" i="5"/>
  <c r="BD321" i="5"/>
  <c r="GF312" i="6" s="1"/>
  <c r="BC321" i="5"/>
  <c r="GE312" i="6" s="1"/>
  <c r="BB321" i="5"/>
  <c r="GD312" i="6" s="1"/>
  <c r="AZ321" i="5"/>
  <c r="AY321" i="5"/>
  <c r="AW321" i="5"/>
  <c r="AT321" i="5"/>
  <c r="AS321" i="5"/>
  <c r="AR321" i="5"/>
  <c r="AQ321" i="5"/>
  <c r="AP321" i="5"/>
  <c r="AO321" i="5"/>
  <c r="AN321" i="5"/>
  <c r="AL321" i="5"/>
  <c r="AK321" i="5"/>
  <c r="AJ321" i="5"/>
  <c r="AI321" i="5"/>
  <c r="AH321" i="5"/>
  <c r="AG321" i="5"/>
  <c r="AF321" i="5"/>
  <c r="AE321" i="5"/>
  <c r="AD321" i="5"/>
  <c r="AC321" i="5"/>
  <c r="AB321" i="5"/>
  <c r="AA321" i="5"/>
  <c r="Z321" i="5"/>
  <c r="Y321" i="5"/>
  <c r="X321" i="5"/>
  <c r="W321" i="5"/>
  <c r="V321" i="5"/>
  <c r="T321" i="5"/>
  <c r="S321" i="5"/>
  <c r="Q321" i="5"/>
  <c r="P321" i="5"/>
  <c r="N321" i="5"/>
  <c r="K321" i="5"/>
  <c r="J321" i="5"/>
  <c r="I321" i="5"/>
  <c r="H321" i="5"/>
  <c r="G321" i="5"/>
  <c r="F321" i="5"/>
  <c r="E321" i="5"/>
  <c r="D321" i="5"/>
  <c r="B321" i="5"/>
  <c r="BI320" i="5"/>
  <c r="BD320" i="5"/>
  <c r="GF311" i="6" s="1"/>
  <c r="BC320" i="5"/>
  <c r="GE311" i="6" s="1"/>
  <c r="BB320" i="5"/>
  <c r="GD311" i="6" s="1"/>
  <c r="AZ320" i="5"/>
  <c r="AY320" i="5"/>
  <c r="AW320" i="5"/>
  <c r="AT320" i="5"/>
  <c r="AS320" i="5"/>
  <c r="AR320" i="5"/>
  <c r="AQ320" i="5"/>
  <c r="AP320" i="5"/>
  <c r="AO320" i="5"/>
  <c r="AN320" i="5"/>
  <c r="AL320" i="5"/>
  <c r="AK320" i="5"/>
  <c r="AJ320" i="5"/>
  <c r="AI320" i="5"/>
  <c r="AH320" i="5"/>
  <c r="AG320" i="5"/>
  <c r="AF320" i="5"/>
  <c r="AE320" i="5"/>
  <c r="AD320" i="5"/>
  <c r="AC320" i="5"/>
  <c r="AB320" i="5"/>
  <c r="AA320" i="5"/>
  <c r="Z320" i="5"/>
  <c r="Y320" i="5"/>
  <c r="X320" i="5"/>
  <c r="W320" i="5"/>
  <c r="V320" i="5"/>
  <c r="T320" i="5"/>
  <c r="S320" i="5"/>
  <c r="Q320" i="5"/>
  <c r="P320" i="5"/>
  <c r="N320" i="5"/>
  <c r="K320" i="5"/>
  <c r="J320" i="5"/>
  <c r="I320" i="5"/>
  <c r="H320" i="5"/>
  <c r="G320" i="5"/>
  <c r="F320" i="5"/>
  <c r="E320" i="5"/>
  <c r="D320" i="5"/>
  <c r="B320" i="5"/>
  <c r="BI319" i="5"/>
  <c r="BD319" i="5"/>
  <c r="GF310" i="6" s="1"/>
  <c r="BC319" i="5"/>
  <c r="GE310" i="6" s="1"/>
  <c r="BB319" i="5"/>
  <c r="GD310" i="6" s="1"/>
  <c r="AZ319" i="5"/>
  <c r="AY319" i="5"/>
  <c r="AW319" i="5"/>
  <c r="AT319" i="5"/>
  <c r="AS319" i="5"/>
  <c r="AR319" i="5"/>
  <c r="AQ319" i="5"/>
  <c r="AP319" i="5"/>
  <c r="AO319" i="5"/>
  <c r="AN319" i="5"/>
  <c r="AL319" i="5"/>
  <c r="AK319" i="5"/>
  <c r="AJ319" i="5"/>
  <c r="AI319" i="5"/>
  <c r="AH319" i="5"/>
  <c r="AG319" i="5"/>
  <c r="AF319" i="5"/>
  <c r="AE319" i="5"/>
  <c r="AD319" i="5"/>
  <c r="AC319" i="5"/>
  <c r="AB319" i="5"/>
  <c r="AA319" i="5"/>
  <c r="Z319" i="5"/>
  <c r="Y319" i="5"/>
  <c r="X319" i="5"/>
  <c r="W319" i="5"/>
  <c r="V319" i="5"/>
  <c r="T319" i="5"/>
  <c r="S319" i="5"/>
  <c r="Q319" i="5"/>
  <c r="P319" i="5"/>
  <c r="N319" i="5"/>
  <c r="K319" i="5"/>
  <c r="J319" i="5"/>
  <c r="I319" i="5"/>
  <c r="H319" i="5"/>
  <c r="G319" i="5"/>
  <c r="F319" i="5"/>
  <c r="E319" i="5"/>
  <c r="D319" i="5"/>
  <c r="B319" i="5"/>
  <c r="BI318" i="5"/>
  <c r="BD318" i="5"/>
  <c r="GF309" i="6" s="1"/>
  <c r="BC318" i="5"/>
  <c r="GE309" i="6" s="1"/>
  <c r="BB318" i="5"/>
  <c r="GD309" i="6" s="1"/>
  <c r="AZ318" i="5"/>
  <c r="AY318" i="5"/>
  <c r="AW318" i="5"/>
  <c r="AT318" i="5"/>
  <c r="AS318" i="5"/>
  <c r="AR318" i="5"/>
  <c r="AQ318" i="5"/>
  <c r="AP318" i="5"/>
  <c r="AO318" i="5"/>
  <c r="AN318" i="5"/>
  <c r="AL318" i="5"/>
  <c r="AK318" i="5"/>
  <c r="AJ318" i="5"/>
  <c r="AI318" i="5"/>
  <c r="AH318" i="5"/>
  <c r="AG318" i="5"/>
  <c r="AF318" i="5"/>
  <c r="AE318" i="5"/>
  <c r="AD318" i="5"/>
  <c r="AC318" i="5"/>
  <c r="AB318" i="5"/>
  <c r="AA318" i="5"/>
  <c r="Z318" i="5"/>
  <c r="Y318" i="5"/>
  <c r="X318" i="5"/>
  <c r="W318" i="5"/>
  <c r="V318" i="5"/>
  <c r="T318" i="5"/>
  <c r="S318" i="5"/>
  <c r="Q318" i="5"/>
  <c r="P318" i="5"/>
  <c r="N318" i="5"/>
  <c r="K318" i="5"/>
  <c r="J318" i="5"/>
  <c r="I318" i="5"/>
  <c r="H318" i="5"/>
  <c r="G318" i="5"/>
  <c r="F318" i="5"/>
  <c r="E318" i="5"/>
  <c r="D318" i="5"/>
  <c r="B318" i="5"/>
  <c r="BI317" i="5"/>
  <c r="BD317" i="5"/>
  <c r="BC317" i="5"/>
  <c r="GE308" i="6" s="1"/>
  <c r="BB317" i="5"/>
  <c r="GD308" i="6" s="1"/>
  <c r="AZ317" i="5"/>
  <c r="AY317" i="5"/>
  <c r="AW317" i="5"/>
  <c r="AT317" i="5"/>
  <c r="AS317" i="5"/>
  <c r="AR317" i="5"/>
  <c r="AQ317" i="5"/>
  <c r="AP317" i="5"/>
  <c r="AO317" i="5"/>
  <c r="AN317" i="5"/>
  <c r="AL317" i="5"/>
  <c r="AK317" i="5"/>
  <c r="AJ317" i="5"/>
  <c r="AI317" i="5"/>
  <c r="AH317" i="5"/>
  <c r="AG317" i="5"/>
  <c r="AF317" i="5"/>
  <c r="AE317" i="5"/>
  <c r="AD317" i="5"/>
  <c r="AC317" i="5"/>
  <c r="AB317" i="5"/>
  <c r="AA317" i="5"/>
  <c r="Z317" i="5"/>
  <c r="Y317" i="5"/>
  <c r="X317" i="5"/>
  <c r="W317" i="5"/>
  <c r="V317" i="5"/>
  <c r="T317" i="5"/>
  <c r="S317" i="5"/>
  <c r="Q317" i="5"/>
  <c r="P317" i="5"/>
  <c r="N317" i="5"/>
  <c r="K317" i="5"/>
  <c r="J317" i="5"/>
  <c r="I317" i="5"/>
  <c r="H317" i="5"/>
  <c r="G317" i="5"/>
  <c r="F317" i="5"/>
  <c r="E317" i="5"/>
  <c r="D317" i="5"/>
  <c r="B317" i="5"/>
  <c r="BI316" i="5"/>
  <c r="BD316" i="5"/>
  <c r="GF307" i="6" s="1"/>
  <c r="BC316" i="5"/>
  <c r="GE307" i="6" s="1"/>
  <c r="BB316" i="5"/>
  <c r="AZ316" i="5"/>
  <c r="AY316" i="5"/>
  <c r="AW316" i="5"/>
  <c r="AT316" i="5"/>
  <c r="AS316" i="5"/>
  <c r="AR316" i="5"/>
  <c r="AQ316" i="5"/>
  <c r="AP316" i="5"/>
  <c r="AO316" i="5"/>
  <c r="AN316" i="5"/>
  <c r="AL316" i="5"/>
  <c r="AK316" i="5"/>
  <c r="AJ316" i="5"/>
  <c r="AI316" i="5"/>
  <c r="AH316" i="5"/>
  <c r="AG316" i="5"/>
  <c r="AF316" i="5"/>
  <c r="AE316" i="5"/>
  <c r="AD316" i="5"/>
  <c r="AC316" i="5"/>
  <c r="AB316" i="5"/>
  <c r="AA316" i="5"/>
  <c r="Z316" i="5"/>
  <c r="Y316" i="5"/>
  <c r="X316" i="5"/>
  <c r="W316" i="5"/>
  <c r="V316" i="5"/>
  <c r="T316" i="5"/>
  <c r="S316" i="5"/>
  <c r="Q316" i="5"/>
  <c r="P316" i="5"/>
  <c r="N316" i="5"/>
  <c r="K316" i="5"/>
  <c r="J316" i="5"/>
  <c r="I316" i="5"/>
  <c r="H316" i="5"/>
  <c r="G316" i="5"/>
  <c r="F316" i="5"/>
  <c r="E316" i="5"/>
  <c r="D316" i="5"/>
  <c r="B316" i="5"/>
  <c r="BI315" i="5"/>
  <c r="BD315" i="5"/>
  <c r="GF306" i="6" s="1"/>
  <c r="BC315" i="5"/>
  <c r="BB315" i="5"/>
  <c r="GD306" i="6" s="1"/>
  <c r="AZ315" i="5"/>
  <c r="AY315" i="5"/>
  <c r="AW315" i="5"/>
  <c r="AT315" i="5"/>
  <c r="AS315" i="5"/>
  <c r="AR315" i="5"/>
  <c r="AQ315" i="5"/>
  <c r="AP315" i="5"/>
  <c r="AO315" i="5"/>
  <c r="AN315" i="5"/>
  <c r="AL315" i="5"/>
  <c r="AK315" i="5"/>
  <c r="AJ315" i="5"/>
  <c r="AI315" i="5"/>
  <c r="AH315" i="5"/>
  <c r="AG315" i="5"/>
  <c r="AF315" i="5"/>
  <c r="AE315" i="5"/>
  <c r="AD315" i="5"/>
  <c r="AC315" i="5"/>
  <c r="AB315" i="5"/>
  <c r="AA315" i="5"/>
  <c r="Z315" i="5"/>
  <c r="Y315" i="5"/>
  <c r="X315" i="5"/>
  <c r="W315" i="5"/>
  <c r="V315" i="5"/>
  <c r="T315" i="5"/>
  <c r="S315" i="5"/>
  <c r="Q315" i="5"/>
  <c r="P315" i="5"/>
  <c r="N315" i="5"/>
  <c r="K315" i="5"/>
  <c r="J315" i="5"/>
  <c r="I315" i="5"/>
  <c r="H315" i="5"/>
  <c r="G315" i="5"/>
  <c r="F315" i="5"/>
  <c r="E315" i="5"/>
  <c r="D315" i="5"/>
  <c r="B315" i="5"/>
  <c r="BI314" i="5"/>
  <c r="BD314" i="5"/>
  <c r="GF305" i="6" s="1"/>
  <c r="BC314" i="5"/>
  <c r="BB314" i="5"/>
  <c r="GD305" i="6" s="1"/>
  <c r="AZ314" i="5"/>
  <c r="AY314" i="5"/>
  <c r="AW314" i="5"/>
  <c r="AT314" i="5"/>
  <c r="AS314" i="5"/>
  <c r="AR314" i="5"/>
  <c r="AQ314" i="5"/>
  <c r="AP314" i="5"/>
  <c r="AO314" i="5"/>
  <c r="AN314" i="5"/>
  <c r="AL314" i="5"/>
  <c r="AK314" i="5"/>
  <c r="AJ314" i="5"/>
  <c r="AI314" i="5"/>
  <c r="AH314" i="5"/>
  <c r="AG314" i="5"/>
  <c r="AF314" i="5"/>
  <c r="AE314" i="5"/>
  <c r="AD314" i="5"/>
  <c r="AC314" i="5"/>
  <c r="AB314" i="5"/>
  <c r="AA314" i="5"/>
  <c r="Z314" i="5"/>
  <c r="Y314" i="5"/>
  <c r="X314" i="5"/>
  <c r="W314" i="5"/>
  <c r="V314" i="5"/>
  <c r="T314" i="5"/>
  <c r="S314" i="5"/>
  <c r="Q314" i="5"/>
  <c r="P314" i="5"/>
  <c r="N314" i="5"/>
  <c r="K314" i="5"/>
  <c r="J314" i="5"/>
  <c r="I314" i="5"/>
  <c r="H314" i="5"/>
  <c r="G314" i="5"/>
  <c r="F314" i="5"/>
  <c r="E314" i="5"/>
  <c r="D314" i="5"/>
  <c r="B314" i="5"/>
  <c r="BI313" i="5"/>
  <c r="BD313" i="5"/>
  <c r="GF304" i="6" s="1"/>
  <c r="BC313" i="5"/>
  <c r="GE304" i="6" s="1"/>
  <c r="BB313" i="5"/>
  <c r="GD304" i="6" s="1"/>
  <c r="AZ313" i="5"/>
  <c r="AY313" i="5"/>
  <c r="AW313" i="5"/>
  <c r="AT313" i="5"/>
  <c r="AS313" i="5"/>
  <c r="AR313" i="5"/>
  <c r="AQ313" i="5"/>
  <c r="AP313" i="5"/>
  <c r="AO313" i="5"/>
  <c r="AN313" i="5"/>
  <c r="AL313" i="5"/>
  <c r="AK313" i="5"/>
  <c r="AJ313" i="5"/>
  <c r="AI313" i="5"/>
  <c r="AH313" i="5"/>
  <c r="AG313" i="5"/>
  <c r="AF313" i="5"/>
  <c r="AE313" i="5"/>
  <c r="AD313" i="5"/>
  <c r="AC313" i="5"/>
  <c r="AB313" i="5"/>
  <c r="AA313" i="5"/>
  <c r="Z313" i="5"/>
  <c r="Y313" i="5"/>
  <c r="X313" i="5"/>
  <c r="W313" i="5"/>
  <c r="V313" i="5"/>
  <c r="T313" i="5"/>
  <c r="S313" i="5"/>
  <c r="Q313" i="5"/>
  <c r="P313" i="5"/>
  <c r="N313" i="5"/>
  <c r="K313" i="5"/>
  <c r="J313" i="5"/>
  <c r="I313" i="5"/>
  <c r="H313" i="5"/>
  <c r="G313" i="5"/>
  <c r="F313" i="5"/>
  <c r="E313" i="5"/>
  <c r="D313" i="5"/>
  <c r="B313" i="5"/>
  <c r="BI312" i="5"/>
  <c r="BD312" i="5"/>
  <c r="BC312" i="5"/>
  <c r="GE303" i="6" s="1"/>
  <c r="BB312" i="5"/>
  <c r="GD303" i="6" s="1"/>
  <c r="AZ312" i="5"/>
  <c r="AY312" i="5"/>
  <c r="AW312" i="5"/>
  <c r="AT312" i="5"/>
  <c r="AS312" i="5"/>
  <c r="AR312" i="5"/>
  <c r="AQ312" i="5"/>
  <c r="AP312" i="5"/>
  <c r="AO312" i="5"/>
  <c r="AN312" i="5"/>
  <c r="AL312" i="5"/>
  <c r="AK312" i="5"/>
  <c r="AJ312" i="5"/>
  <c r="AI312" i="5"/>
  <c r="AH312" i="5"/>
  <c r="AG312" i="5"/>
  <c r="AF312" i="5"/>
  <c r="AE312" i="5"/>
  <c r="AD312" i="5"/>
  <c r="AC312" i="5"/>
  <c r="AB312" i="5"/>
  <c r="AA312" i="5"/>
  <c r="Z312" i="5"/>
  <c r="Y312" i="5"/>
  <c r="X312" i="5"/>
  <c r="W312" i="5"/>
  <c r="V312" i="5"/>
  <c r="T312" i="5"/>
  <c r="S312" i="5"/>
  <c r="Q312" i="5"/>
  <c r="P312" i="5"/>
  <c r="N312" i="5"/>
  <c r="K312" i="5"/>
  <c r="J312" i="5"/>
  <c r="I312" i="5"/>
  <c r="H312" i="5"/>
  <c r="G312" i="5"/>
  <c r="F312" i="5"/>
  <c r="E312" i="5"/>
  <c r="D312" i="5"/>
  <c r="B312" i="5"/>
  <c r="BI311" i="5"/>
  <c r="BD311" i="5"/>
  <c r="BC311" i="5"/>
  <c r="GE302" i="6" s="1"/>
  <c r="BB311" i="5"/>
  <c r="GD302" i="6" s="1"/>
  <c r="AZ311" i="5"/>
  <c r="AY311" i="5"/>
  <c r="AW311" i="5"/>
  <c r="AT311" i="5"/>
  <c r="AS311" i="5"/>
  <c r="AR311" i="5"/>
  <c r="AQ311" i="5"/>
  <c r="AP311" i="5"/>
  <c r="AO311" i="5"/>
  <c r="AN311" i="5"/>
  <c r="AL311" i="5"/>
  <c r="AK311" i="5"/>
  <c r="AJ311" i="5"/>
  <c r="AI311" i="5"/>
  <c r="AH311" i="5"/>
  <c r="AG311" i="5"/>
  <c r="AF311" i="5"/>
  <c r="AE311" i="5"/>
  <c r="AD311" i="5"/>
  <c r="AC311" i="5"/>
  <c r="AB311" i="5"/>
  <c r="AA311" i="5"/>
  <c r="Z311" i="5"/>
  <c r="Y311" i="5"/>
  <c r="X311" i="5"/>
  <c r="W311" i="5"/>
  <c r="V311" i="5"/>
  <c r="T311" i="5"/>
  <c r="S311" i="5"/>
  <c r="Q311" i="5"/>
  <c r="P311" i="5"/>
  <c r="N311" i="5"/>
  <c r="K311" i="5"/>
  <c r="J311" i="5"/>
  <c r="I311" i="5"/>
  <c r="H311" i="5"/>
  <c r="G311" i="5"/>
  <c r="F311" i="5"/>
  <c r="E311" i="5"/>
  <c r="D311" i="5"/>
  <c r="B311" i="5"/>
  <c r="BI310" i="5"/>
  <c r="BD310" i="5"/>
  <c r="GF301" i="6" s="1"/>
  <c r="BC310" i="5"/>
  <c r="GE301" i="6" s="1"/>
  <c r="BB310" i="5"/>
  <c r="GD301" i="6" s="1"/>
  <c r="AZ310" i="5"/>
  <c r="AY310" i="5"/>
  <c r="AW310" i="5"/>
  <c r="AT310" i="5"/>
  <c r="AS310" i="5"/>
  <c r="AR310" i="5"/>
  <c r="AQ310" i="5"/>
  <c r="AP310" i="5"/>
  <c r="AO310" i="5"/>
  <c r="AN310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Z310" i="5"/>
  <c r="Y310" i="5"/>
  <c r="X310" i="5"/>
  <c r="W310" i="5"/>
  <c r="V310" i="5"/>
  <c r="T310" i="5"/>
  <c r="S310" i="5"/>
  <c r="Q310" i="5"/>
  <c r="P310" i="5"/>
  <c r="N310" i="5"/>
  <c r="K310" i="5"/>
  <c r="J310" i="5"/>
  <c r="I310" i="5"/>
  <c r="H310" i="5"/>
  <c r="G310" i="5"/>
  <c r="F310" i="5"/>
  <c r="E310" i="5"/>
  <c r="D310" i="5"/>
  <c r="B310" i="5"/>
  <c r="BI309" i="5"/>
  <c r="BD309" i="5"/>
  <c r="BC309" i="5"/>
  <c r="GE300" i="6" s="1"/>
  <c r="BB309" i="5"/>
  <c r="GD300" i="6" s="1"/>
  <c r="AZ309" i="5"/>
  <c r="AY309" i="5"/>
  <c r="BA309" i="5" s="1"/>
  <c r="AW309" i="5"/>
  <c r="AT309" i="5"/>
  <c r="AS309" i="5"/>
  <c r="AR309" i="5"/>
  <c r="AQ309" i="5"/>
  <c r="AP309" i="5"/>
  <c r="AO309" i="5"/>
  <c r="AN309" i="5"/>
  <c r="AL309" i="5"/>
  <c r="AK309" i="5"/>
  <c r="AJ309" i="5"/>
  <c r="AI309" i="5"/>
  <c r="AH309" i="5"/>
  <c r="AG309" i="5"/>
  <c r="AF309" i="5"/>
  <c r="AE309" i="5"/>
  <c r="AD309" i="5"/>
  <c r="AC309" i="5"/>
  <c r="AB309" i="5"/>
  <c r="AA309" i="5"/>
  <c r="Z309" i="5"/>
  <c r="Y309" i="5"/>
  <c r="X309" i="5"/>
  <c r="W309" i="5"/>
  <c r="V309" i="5"/>
  <c r="T309" i="5"/>
  <c r="S309" i="5"/>
  <c r="Q309" i="5"/>
  <c r="P309" i="5"/>
  <c r="N309" i="5"/>
  <c r="K309" i="5"/>
  <c r="J309" i="5"/>
  <c r="I309" i="5"/>
  <c r="H309" i="5"/>
  <c r="G309" i="5"/>
  <c r="F309" i="5"/>
  <c r="E309" i="5"/>
  <c r="D309" i="5"/>
  <c r="B309" i="5"/>
  <c r="BI308" i="5"/>
  <c r="BD308" i="5"/>
  <c r="GF299" i="6" s="1"/>
  <c r="BC308" i="5"/>
  <c r="GE299" i="6" s="1"/>
  <c r="BB308" i="5"/>
  <c r="GD299" i="6" s="1"/>
  <c r="AZ308" i="5"/>
  <c r="AY308" i="5"/>
  <c r="AW308" i="5"/>
  <c r="AT308" i="5"/>
  <c r="AS308" i="5"/>
  <c r="AR308" i="5"/>
  <c r="AQ308" i="5"/>
  <c r="AP308" i="5"/>
  <c r="AO308" i="5"/>
  <c r="AN308" i="5"/>
  <c r="AL308" i="5"/>
  <c r="AK308" i="5"/>
  <c r="AJ308" i="5"/>
  <c r="AI308" i="5"/>
  <c r="AH308" i="5"/>
  <c r="AG308" i="5"/>
  <c r="AF308" i="5"/>
  <c r="AE308" i="5"/>
  <c r="AD308" i="5"/>
  <c r="AC308" i="5"/>
  <c r="AB308" i="5"/>
  <c r="AA308" i="5"/>
  <c r="Z308" i="5"/>
  <c r="Y308" i="5"/>
  <c r="X308" i="5"/>
  <c r="W308" i="5"/>
  <c r="V308" i="5"/>
  <c r="T308" i="5"/>
  <c r="S308" i="5"/>
  <c r="Q308" i="5"/>
  <c r="P308" i="5"/>
  <c r="N308" i="5"/>
  <c r="K308" i="5"/>
  <c r="J308" i="5"/>
  <c r="I308" i="5"/>
  <c r="H308" i="5"/>
  <c r="G308" i="5"/>
  <c r="F308" i="5"/>
  <c r="E308" i="5"/>
  <c r="D308" i="5"/>
  <c r="B308" i="5"/>
  <c r="BI307" i="5"/>
  <c r="BD307" i="5"/>
  <c r="BC307" i="5"/>
  <c r="GE298" i="6" s="1"/>
  <c r="BB307" i="5"/>
  <c r="GD298" i="6" s="1"/>
  <c r="AZ307" i="5"/>
  <c r="AY307" i="5"/>
  <c r="AW307" i="5"/>
  <c r="AT307" i="5"/>
  <c r="AS307" i="5"/>
  <c r="AR307" i="5"/>
  <c r="AQ307" i="5"/>
  <c r="AP307" i="5"/>
  <c r="AO307" i="5"/>
  <c r="AN307" i="5"/>
  <c r="AL307" i="5"/>
  <c r="AK307" i="5"/>
  <c r="AJ307" i="5"/>
  <c r="AI307" i="5"/>
  <c r="AH307" i="5"/>
  <c r="AG307" i="5"/>
  <c r="AF307" i="5"/>
  <c r="AE307" i="5"/>
  <c r="AD307" i="5"/>
  <c r="AC307" i="5"/>
  <c r="AB307" i="5"/>
  <c r="AA307" i="5"/>
  <c r="Z307" i="5"/>
  <c r="Y307" i="5"/>
  <c r="X307" i="5"/>
  <c r="W307" i="5"/>
  <c r="V307" i="5"/>
  <c r="T307" i="5"/>
  <c r="S307" i="5"/>
  <c r="Q307" i="5"/>
  <c r="P307" i="5"/>
  <c r="N307" i="5"/>
  <c r="K307" i="5"/>
  <c r="J307" i="5"/>
  <c r="I307" i="5"/>
  <c r="H307" i="5"/>
  <c r="G307" i="5"/>
  <c r="F307" i="5"/>
  <c r="E307" i="5"/>
  <c r="D307" i="5"/>
  <c r="B307" i="5"/>
  <c r="BI306" i="5"/>
  <c r="BD306" i="5"/>
  <c r="BC306" i="5"/>
  <c r="GE297" i="6" s="1"/>
  <c r="BB306" i="5"/>
  <c r="GD297" i="6" s="1"/>
  <c r="AZ306" i="5"/>
  <c r="AY306" i="5"/>
  <c r="AW306" i="5"/>
  <c r="AT306" i="5"/>
  <c r="AS306" i="5"/>
  <c r="AR306" i="5"/>
  <c r="AQ306" i="5"/>
  <c r="AP306" i="5"/>
  <c r="AO306" i="5"/>
  <c r="AN306" i="5"/>
  <c r="AL306" i="5"/>
  <c r="AK306" i="5"/>
  <c r="AJ306" i="5"/>
  <c r="AI306" i="5"/>
  <c r="AH306" i="5"/>
  <c r="AG306" i="5"/>
  <c r="AF306" i="5"/>
  <c r="AE306" i="5"/>
  <c r="AD306" i="5"/>
  <c r="AC306" i="5"/>
  <c r="AB306" i="5"/>
  <c r="AA306" i="5"/>
  <c r="Z306" i="5"/>
  <c r="Y306" i="5"/>
  <c r="X306" i="5"/>
  <c r="W306" i="5"/>
  <c r="V306" i="5"/>
  <c r="T306" i="5"/>
  <c r="S306" i="5"/>
  <c r="Q306" i="5"/>
  <c r="P306" i="5"/>
  <c r="N306" i="5"/>
  <c r="K306" i="5"/>
  <c r="J306" i="5"/>
  <c r="I306" i="5"/>
  <c r="H306" i="5"/>
  <c r="G306" i="5"/>
  <c r="F306" i="5"/>
  <c r="E306" i="5"/>
  <c r="D306" i="5"/>
  <c r="B306" i="5"/>
  <c r="BI305" i="5"/>
  <c r="BD305" i="5"/>
  <c r="BC305" i="5"/>
  <c r="GE296" i="6" s="1"/>
  <c r="BB305" i="5"/>
  <c r="GD296" i="6" s="1"/>
  <c r="AZ305" i="5"/>
  <c r="AY305" i="5"/>
  <c r="AW305" i="5"/>
  <c r="AT305" i="5"/>
  <c r="AS305" i="5"/>
  <c r="AR305" i="5"/>
  <c r="AQ305" i="5"/>
  <c r="AP305" i="5"/>
  <c r="AO305" i="5"/>
  <c r="AN305" i="5"/>
  <c r="AL305" i="5"/>
  <c r="AK305" i="5"/>
  <c r="AJ305" i="5"/>
  <c r="AI305" i="5"/>
  <c r="AH305" i="5"/>
  <c r="AG305" i="5"/>
  <c r="AF305" i="5"/>
  <c r="AE305" i="5"/>
  <c r="AD305" i="5"/>
  <c r="AC305" i="5"/>
  <c r="AB305" i="5"/>
  <c r="AA305" i="5"/>
  <c r="Z305" i="5"/>
  <c r="Y305" i="5"/>
  <c r="X305" i="5"/>
  <c r="W305" i="5"/>
  <c r="V305" i="5"/>
  <c r="T305" i="5"/>
  <c r="S305" i="5"/>
  <c r="Q305" i="5"/>
  <c r="P305" i="5"/>
  <c r="N305" i="5"/>
  <c r="K305" i="5"/>
  <c r="J305" i="5"/>
  <c r="I305" i="5"/>
  <c r="H305" i="5"/>
  <c r="G305" i="5"/>
  <c r="F305" i="5"/>
  <c r="E305" i="5"/>
  <c r="D305" i="5"/>
  <c r="B305" i="5"/>
  <c r="BI304" i="5"/>
  <c r="BD304" i="5"/>
  <c r="GF295" i="6" s="1"/>
  <c r="BC304" i="5"/>
  <c r="BB304" i="5"/>
  <c r="GD295" i="6" s="1"/>
  <c r="AZ304" i="5"/>
  <c r="AY304" i="5"/>
  <c r="AW304" i="5"/>
  <c r="AT304" i="5"/>
  <c r="AS304" i="5"/>
  <c r="AR304" i="5"/>
  <c r="AQ304" i="5"/>
  <c r="AP304" i="5"/>
  <c r="AO304" i="5"/>
  <c r="AN304" i="5"/>
  <c r="AL304" i="5"/>
  <c r="AK304" i="5"/>
  <c r="AJ304" i="5"/>
  <c r="AI304" i="5"/>
  <c r="AH304" i="5"/>
  <c r="AG304" i="5"/>
  <c r="AF304" i="5"/>
  <c r="AE304" i="5"/>
  <c r="AD304" i="5"/>
  <c r="AC304" i="5"/>
  <c r="AB304" i="5"/>
  <c r="AA304" i="5"/>
  <c r="Z304" i="5"/>
  <c r="Y304" i="5"/>
  <c r="X304" i="5"/>
  <c r="W304" i="5"/>
  <c r="V304" i="5"/>
  <c r="T304" i="5"/>
  <c r="S304" i="5"/>
  <c r="Q304" i="5"/>
  <c r="P304" i="5"/>
  <c r="N304" i="5"/>
  <c r="K304" i="5"/>
  <c r="J304" i="5"/>
  <c r="I304" i="5"/>
  <c r="H304" i="5"/>
  <c r="G304" i="5"/>
  <c r="F304" i="5"/>
  <c r="E304" i="5"/>
  <c r="D304" i="5"/>
  <c r="B304" i="5"/>
  <c r="BI303" i="5"/>
  <c r="BD303" i="5"/>
  <c r="BC303" i="5"/>
  <c r="GE294" i="6" s="1"/>
  <c r="BB303" i="5"/>
  <c r="GD294" i="6" s="1"/>
  <c r="AZ303" i="5"/>
  <c r="AY303" i="5"/>
  <c r="AW303" i="5"/>
  <c r="AT303" i="5"/>
  <c r="AS303" i="5"/>
  <c r="AR303" i="5"/>
  <c r="AQ303" i="5"/>
  <c r="AP303" i="5"/>
  <c r="AO303" i="5"/>
  <c r="AN303" i="5"/>
  <c r="AL303" i="5"/>
  <c r="AK303" i="5"/>
  <c r="AJ303" i="5"/>
  <c r="AI303" i="5"/>
  <c r="AH303" i="5"/>
  <c r="AG303" i="5"/>
  <c r="AF303" i="5"/>
  <c r="AE303" i="5"/>
  <c r="AD303" i="5"/>
  <c r="AC303" i="5"/>
  <c r="AB303" i="5"/>
  <c r="AA303" i="5"/>
  <c r="Z303" i="5"/>
  <c r="Y303" i="5"/>
  <c r="X303" i="5"/>
  <c r="W303" i="5"/>
  <c r="V303" i="5"/>
  <c r="T303" i="5"/>
  <c r="S303" i="5"/>
  <c r="Q303" i="5"/>
  <c r="P303" i="5"/>
  <c r="N303" i="5"/>
  <c r="K303" i="5"/>
  <c r="J303" i="5"/>
  <c r="I303" i="5"/>
  <c r="H303" i="5"/>
  <c r="G303" i="5"/>
  <c r="F303" i="5"/>
  <c r="E303" i="5"/>
  <c r="D303" i="5"/>
  <c r="B303" i="5"/>
  <c r="BI302" i="5"/>
  <c r="BD302" i="5"/>
  <c r="GF293" i="6" s="1"/>
  <c r="BC302" i="5"/>
  <c r="GE293" i="6" s="1"/>
  <c r="BB302" i="5"/>
  <c r="GD293" i="6" s="1"/>
  <c r="AZ302" i="5"/>
  <c r="AY302" i="5"/>
  <c r="AW302" i="5"/>
  <c r="AT302" i="5"/>
  <c r="AS302" i="5"/>
  <c r="AR302" i="5"/>
  <c r="AQ302" i="5"/>
  <c r="AP302" i="5"/>
  <c r="AO302" i="5"/>
  <c r="AN302" i="5"/>
  <c r="AL302" i="5"/>
  <c r="AK302" i="5"/>
  <c r="AJ302" i="5"/>
  <c r="AI302" i="5"/>
  <c r="AH302" i="5"/>
  <c r="AG302" i="5"/>
  <c r="AF302" i="5"/>
  <c r="AE302" i="5"/>
  <c r="AD302" i="5"/>
  <c r="AC302" i="5"/>
  <c r="AB302" i="5"/>
  <c r="AA302" i="5"/>
  <c r="Z302" i="5"/>
  <c r="Y302" i="5"/>
  <c r="X302" i="5"/>
  <c r="W302" i="5"/>
  <c r="V302" i="5"/>
  <c r="T302" i="5"/>
  <c r="S302" i="5"/>
  <c r="Q302" i="5"/>
  <c r="P302" i="5"/>
  <c r="N302" i="5"/>
  <c r="K302" i="5"/>
  <c r="J302" i="5"/>
  <c r="I302" i="5"/>
  <c r="H302" i="5"/>
  <c r="G302" i="5"/>
  <c r="F302" i="5"/>
  <c r="E302" i="5"/>
  <c r="D302" i="5"/>
  <c r="B302" i="5"/>
  <c r="BI301" i="5"/>
  <c r="BD301" i="5"/>
  <c r="GF292" i="6" s="1"/>
  <c r="BC301" i="5"/>
  <c r="GE292" i="6" s="1"/>
  <c r="BB301" i="5"/>
  <c r="GD292" i="6" s="1"/>
  <c r="AZ301" i="5"/>
  <c r="AY301" i="5"/>
  <c r="AW301" i="5"/>
  <c r="AT301" i="5"/>
  <c r="AS301" i="5"/>
  <c r="AR301" i="5"/>
  <c r="AQ301" i="5"/>
  <c r="AP301" i="5"/>
  <c r="AO301" i="5"/>
  <c r="AN301" i="5"/>
  <c r="AL301" i="5"/>
  <c r="AK301" i="5"/>
  <c r="AJ301" i="5"/>
  <c r="AI301" i="5"/>
  <c r="AH301" i="5"/>
  <c r="AG301" i="5"/>
  <c r="AF301" i="5"/>
  <c r="AE301" i="5"/>
  <c r="AD301" i="5"/>
  <c r="AC301" i="5"/>
  <c r="AB301" i="5"/>
  <c r="AA301" i="5"/>
  <c r="Z301" i="5"/>
  <c r="Y301" i="5"/>
  <c r="X301" i="5"/>
  <c r="W301" i="5"/>
  <c r="V301" i="5"/>
  <c r="T301" i="5"/>
  <c r="S301" i="5"/>
  <c r="Q301" i="5"/>
  <c r="P301" i="5"/>
  <c r="N301" i="5"/>
  <c r="K301" i="5"/>
  <c r="J301" i="5"/>
  <c r="I301" i="5"/>
  <c r="H301" i="5"/>
  <c r="G301" i="5"/>
  <c r="F301" i="5"/>
  <c r="E301" i="5"/>
  <c r="D301" i="5"/>
  <c r="B301" i="5"/>
  <c r="BI300" i="5"/>
  <c r="BD300" i="5"/>
  <c r="GF291" i="6" s="1"/>
  <c r="BC300" i="5"/>
  <c r="GE291" i="6" s="1"/>
  <c r="GG291" i="6" s="1"/>
  <c r="BB300" i="5"/>
  <c r="GD291" i="6" s="1"/>
  <c r="AZ300" i="5"/>
  <c r="AY300" i="5"/>
  <c r="AW300" i="5"/>
  <c r="AT300" i="5"/>
  <c r="AS300" i="5"/>
  <c r="AR300" i="5"/>
  <c r="AQ300" i="5"/>
  <c r="AP300" i="5"/>
  <c r="AO300" i="5"/>
  <c r="AN300" i="5"/>
  <c r="AL300" i="5"/>
  <c r="AK300" i="5"/>
  <c r="AJ300" i="5"/>
  <c r="AI300" i="5"/>
  <c r="AH300" i="5"/>
  <c r="AG300" i="5"/>
  <c r="AF300" i="5"/>
  <c r="AE300" i="5"/>
  <c r="AD300" i="5"/>
  <c r="AC300" i="5"/>
  <c r="AB300" i="5"/>
  <c r="AA300" i="5"/>
  <c r="Z300" i="5"/>
  <c r="Y300" i="5"/>
  <c r="X300" i="5"/>
  <c r="W300" i="5"/>
  <c r="V300" i="5"/>
  <c r="T300" i="5"/>
  <c r="S300" i="5"/>
  <c r="Q300" i="5"/>
  <c r="P300" i="5"/>
  <c r="N300" i="5"/>
  <c r="K300" i="5"/>
  <c r="J300" i="5"/>
  <c r="I300" i="5"/>
  <c r="H300" i="5"/>
  <c r="G300" i="5"/>
  <c r="F300" i="5"/>
  <c r="E300" i="5"/>
  <c r="D300" i="5"/>
  <c r="B300" i="5"/>
  <c r="BI299" i="5"/>
  <c r="BD299" i="5"/>
  <c r="GF290" i="6" s="1"/>
  <c r="BC299" i="5"/>
  <c r="GE290" i="6" s="1"/>
  <c r="GG290" i="6" s="1"/>
  <c r="BB299" i="5"/>
  <c r="AZ299" i="5"/>
  <c r="AY299" i="5"/>
  <c r="AW299" i="5"/>
  <c r="AT299" i="5"/>
  <c r="AS299" i="5"/>
  <c r="AR299" i="5"/>
  <c r="AQ299" i="5"/>
  <c r="AP299" i="5"/>
  <c r="AO299" i="5"/>
  <c r="AN299" i="5"/>
  <c r="AL299" i="5"/>
  <c r="AK299" i="5"/>
  <c r="AJ299" i="5"/>
  <c r="AI299" i="5"/>
  <c r="AH299" i="5"/>
  <c r="AG299" i="5"/>
  <c r="AF299" i="5"/>
  <c r="AE299" i="5"/>
  <c r="AD299" i="5"/>
  <c r="AC299" i="5"/>
  <c r="AB299" i="5"/>
  <c r="AA299" i="5"/>
  <c r="Z299" i="5"/>
  <c r="Y299" i="5"/>
  <c r="X299" i="5"/>
  <c r="W299" i="5"/>
  <c r="V299" i="5"/>
  <c r="T299" i="5"/>
  <c r="S299" i="5"/>
  <c r="Q299" i="5"/>
  <c r="P299" i="5"/>
  <c r="N299" i="5"/>
  <c r="K299" i="5"/>
  <c r="J299" i="5"/>
  <c r="I299" i="5"/>
  <c r="H299" i="5"/>
  <c r="G299" i="5"/>
  <c r="F299" i="5"/>
  <c r="E299" i="5"/>
  <c r="D299" i="5"/>
  <c r="B299" i="5"/>
  <c r="BI298" i="5"/>
  <c r="BD298" i="5"/>
  <c r="BC298" i="5"/>
  <c r="GE289" i="6" s="1"/>
  <c r="BB298" i="5"/>
  <c r="GD289" i="6" s="1"/>
  <c r="AZ298" i="5"/>
  <c r="AY298" i="5"/>
  <c r="AW298" i="5"/>
  <c r="AT298" i="5"/>
  <c r="AS298" i="5"/>
  <c r="AR298" i="5"/>
  <c r="AQ298" i="5"/>
  <c r="AP298" i="5"/>
  <c r="AO298" i="5"/>
  <c r="AN298" i="5"/>
  <c r="AL298" i="5"/>
  <c r="AK298" i="5"/>
  <c r="AJ298" i="5"/>
  <c r="AI298" i="5"/>
  <c r="AH298" i="5"/>
  <c r="AG298" i="5"/>
  <c r="AF298" i="5"/>
  <c r="AE298" i="5"/>
  <c r="AD298" i="5"/>
  <c r="AC298" i="5"/>
  <c r="AB298" i="5"/>
  <c r="AA298" i="5"/>
  <c r="Z298" i="5"/>
  <c r="Y298" i="5"/>
  <c r="X298" i="5"/>
  <c r="W298" i="5"/>
  <c r="V298" i="5"/>
  <c r="T298" i="5"/>
  <c r="S298" i="5"/>
  <c r="Q298" i="5"/>
  <c r="P298" i="5"/>
  <c r="N298" i="5"/>
  <c r="K298" i="5"/>
  <c r="J298" i="5"/>
  <c r="I298" i="5"/>
  <c r="H298" i="5"/>
  <c r="G298" i="5"/>
  <c r="F298" i="5"/>
  <c r="E298" i="5"/>
  <c r="D298" i="5"/>
  <c r="B298" i="5"/>
  <c r="BI297" i="5"/>
  <c r="BD297" i="5"/>
  <c r="GF288" i="6" s="1"/>
  <c r="BC297" i="5"/>
  <c r="GE288" i="6" s="1"/>
  <c r="BB297" i="5"/>
  <c r="GD288" i="6" s="1"/>
  <c r="AZ297" i="5"/>
  <c r="AY297" i="5"/>
  <c r="AW297" i="5"/>
  <c r="AT297" i="5"/>
  <c r="AS297" i="5"/>
  <c r="AR297" i="5"/>
  <c r="AQ297" i="5"/>
  <c r="AP297" i="5"/>
  <c r="AO297" i="5"/>
  <c r="AN297" i="5"/>
  <c r="AL297" i="5"/>
  <c r="AK297" i="5"/>
  <c r="AJ297" i="5"/>
  <c r="AI297" i="5"/>
  <c r="AH297" i="5"/>
  <c r="AG297" i="5"/>
  <c r="AF297" i="5"/>
  <c r="AE297" i="5"/>
  <c r="AD297" i="5"/>
  <c r="AC297" i="5"/>
  <c r="AB297" i="5"/>
  <c r="AA297" i="5"/>
  <c r="Z297" i="5"/>
  <c r="Y297" i="5"/>
  <c r="X297" i="5"/>
  <c r="W297" i="5"/>
  <c r="V297" i="5"/>
  <c r="T297" i="5"/>
  <c r="S297" i="5"/>
  <c r="Q297" i="5"/>
  <c r="P297" i="5"/>
  <c r="N297" i="5"/>
  <c r="K297" i="5"/>
  <c r="J297" i="5"/>
  <c r="I297" i="5"/>
  <c r="H297" i="5"/>
  <c r="G297" i="5"/>
  <c r="F297" i="5"/>
  <c r="E297" i="5"/>
  <c r="D297" i="5"/>
  <c r="B297" i="5"/>
  <c r="BI296" i="5"/>
  <c r="BD296" i="5"/>
  <c r="BC296" i="5"/>
  <c r="GE287" i="6" s="1"/>
  <c r="BB296" i="5"/>
  <c r="GD287" i="6" s="1"/>
  <c r="AZ296" i="5"/>
  <c r="AY296" i="5"/>
  <c r="AW296" i="5"/>
  <c r="AT296" i="5"/>
  <c r="AS296" i="5"/>
  <c r="AR296" i="5"/>
  <c r="AQ296" i="5"/>
  <c r="AP296" i="5"/>
  <c r="AO296" i="5"/>
  <c r="AN296" i="5"/>
  <c r="AL296" i="5"/>
  <c r="AK296" i="5"/>
  <c r="AJ296" i="5"/>
  <c r="AI296" i="5"/>
  <c r="AH296" i="5"/>
  <c r="AG296" i="5"/>
  <c r="AF296" i="5"/>
  <c r="AE296" i="5"/>
  <c r="AD296" i="5"/>
  <c r="AC296" i="5"/>
  <c r="AB296" i="5"/>
  <c r="AA296" i="5"/>
  <c r="Z296" i="5"/>
  <c r="Y296" i="5"/>
  <c r="X296" i="5"/>
  <c r="W296" i="5"/>
  <c r="V296" i="5"/>
  <c r="T296" i="5"/>
  <c r="S296" i="5"/>
  <c r="Q296" i="5"/>
  <c r="P296" i="5"/>
  <c r="N296" i="5"/>
  <c r="K296" i="5"/>
  <c r="J296" i="5"/>
  <c r="I296" i="5"/>
  <c r="H296" i="5"/>
  <c r="G296" i="5"/>
  <c r="F296" i="5"/>
  <c r="E296" i="5"/>
  <c r="D296" i="5"/>
  <c r="B296" i="5"/>
  <c r="BI295" i="5"/>
  <c r="BD295" i="5"/>
  <c r="BC295" i="5"/>
  <c r="GE286" i="6" s="1"/>
  <c r="BB295" i="5"/>
  <c r="GD286" i="6" s="1"/>
  <c r="AZ295" i="5"/>
  <c r="AY295" i="5"/>
  <c r="AW295" i="5"/>
  <c r="AT295" i="5"/>
  <c r="AS295" i="5"/>
  <c r="AR295" i="5"/>
  <c r="AQ295" i="5"/>
  <c r="AP295" i="5"/>
  <c r="AO295" i="5"/>
  <c r="AN295" i="5"/>
  <c r="AL295" i="5"/>
  <c r="AK295" i="5"/>
  <c r="AJ295" i="5"/>
  <c r="AI295" i="5"/>
  <c r="AH295" i="5"/>
  <c r="AG295" i="5"/>
  <c r="AF295" i="5"/>
  <c r="AE295" i="5"/>
  <c r="AD295" i="5"/>
  <c r="AC295" i="5"/>
  <c r="AB295" i="5"/>
  <c r="AA295" i="5"/>
  <c r="Z295" i="5"/>
  <c r="Y295" i="5"/>
  <c r="X295" i="5"/>
  <c r="W295" i="5"/>
  <c r="V295" i="5"/>
  <c r="T295" i="5"/>
  <c r="S295" i="5"/>
  <c r="Q295" i="5"/>
  <c r="P295" i="5"/>
  <c r="N295" i="5"/>
  <c r="K295" i="5"/>
  <c r="J295" i="5"/>
  <c r="I295" i="5"/>
  <c r="H295" i="5"/>
  <c r="G295" i="5"/>
  <c r="F295" i="5"/>
  <c r="E295" i="5"/>
  <c r="D295" i="5"/>
  <c r="B295" i="5"/>
  <c r="BI294" i="5"/>
  <c r="BD294" i="5"/>
  <c r="BC294" i="5"/>
  <c r="GE285" i="6" s="1"/>
  <c r="BB294" i="5"/>
  <c r="GD285" i="6" s="1"/>
  <c r="AZ294" i="5"/>
  <c r="AY294" i="5"/>
  <c r="AW294" i="5"/>
  <c r="AT294" i="5"/>
  <c r="AS294" i="5"/>
  <c r="AR294" i="5"/>
  <c r="AQ294" i="5"/>
  <c r="AP294" i="5"/>
  <c r="AO294" i="5"/>
  <c r="AN294" i="5"/>
  <c r="AL294" i="5"/>
  <c r="AK294" i="5"/>
  <c r="AJ294" i="5"/>
  <c r="AI294" i="5"/>
  <c r="AH294" i="5"/>
  <c r="AG294" i="5"/>
  <c r="AF294" i="5"/>
  <c r="AE294" i="5"/>
  <c r="AD294" i="5"/>
  <c r="AC294" i="5"/>
  <c r="AB294" i="5"/>
  <c r="AA294" i="5"/>
  <c r="Z294" i="5"/>
  <c r="Y294" i="5"/>
  <c r="X294" i="5"/>
  <c r="W294" i="5"/>
  <c r="V294" i="5"/>
  <c r="T294" i="5"/>
  <c r="S294" i="5"/>
  <c r="Q294" i="5"/>
  <c r="P294" i="5"/>
  <c r="N294" i="5"/>
  <c r="K294" i="5"/>
  <c r="J294" i="5"/>
  <c r="I294" i="5"/>
  <c r="H294" i="5"/>
  <c r="G294" i="5"/>
  <c r="F294" i="5"/>
  <c r="E294" i="5"/>
  <c r="D294" i="5"/>
  <c r="B294" i="5"/>
  <c r="BI293" i="5"/>
  <c r="BD293" i="5"/>
  <c r="GF284" i="6" s="1"/>
  <c r="BC293" i="5"/>
  <c r="GE284" i="6" s="1"/>
  <c r="BB293" i="5"/>
  <c r="GD284" i="6" s="1"/>
  <c r="AZ293" i="5"/>
  <c r="AY293" i="5"/>
  <c r="AW293" i="5"/>
  <c r="AT293" i="5"/>
  <c r="AS293" i="5"/>
  <c r="AR293" i="5"/>
  <c r="AQ293" i="5"/>
  <c r="AP293" i="5"/>
  <c r="AO293" i="5"/>
  <c r="AN293" i="5"/>
  <c r="AL293" i="5"/>
  <c r="AK293" i="5"/>
  <c r="AJ293" i="5"/>
  <c r="AI293" i="5"/>
  <c r="AH293" i="5"/>
  <c r="AG293" i="5"/>
  <c r="AF293" i="5"/>
  <c r="AE293" i="5"/>
  <c r="AD293" i="5"/>
  <c r="AC293" i="5"/>
  <c r="AB293" i="5"/>
  <c r="AA293" i="5"/>
  <c r="Z293" i="5"/>
  <c r="Y293" i="5"/>
  <c r="X293" i="5"/>
  <c r="W293" i="5"/>
  <c r="V293" i="5"/>
  <c r="T293" i="5"/>
  <c r="S293" i="5"/>
  <c r="Q293" i="5"/>
  <c r="P293" i="5"/>
  <c r="N293" i="5"/>
  <c r="K293" i="5"/>
  <c r="J293" i="5"/>
  <c r="I293" i="5"/>
  <c r="H293" i="5"/>
  <c r="G293" i="5"/>
  <c r="F293" i="5"/>
  <c r="E293" i="5"/>
  <c r="D293" i="5"/>
  <c r="B293" i="5"/>
  <c r="BI292" i="5"/>
  <c r="BD292" i="5"/>
  <c r="GF283" i="6" s="1"/>
  <c r="BC292" i="5"/>
  <c r="BB292" i="5"/>
  <c r="GD283" i="6" s="1"/>
  <c r="AZ292" i="5"/>
  <c r="AY292" i="5"/>
  <c r="AW292" i="5"/>
  <c r="AT292" i="5"/>
  <c r="AS292" i="5"/>
  <c r="AR292" i="5"/>
  <c r="AQ292" i="5"/>
  <c r="AP292" i="5"/>
  <c r="AO292" i="5"/>
  <c r="AN292" i="5"/>
  <c r="AL292" i="5"/>
  <c r="AK292" i="5"/>
  <c r="AJ292" i="5"/>
  <c r="AI292" i="5"/>
  <c r="AH292" i="5"/>
  <c r="AG292" i="5"/>
  <c r="AF292" i="5"/>
  <c r="AE292" i="5"/>
  <c r="AD292" i="5"/>
  <c r="AC292" i="5"/>
  <c r="AB292" i="5"/>
  <c r="AA292" i="5"/>
  <c r="Z292" i="5"/>
  <c r="Y292" i="5"/>
  <c r="X292" i="5"/>
  <c r="W292" i="5"/>
  <c r="V292" i="5"/>
  <c r="T292" i="5"/>
  <c r="S292" i="5"/>
  <c r="Q292" i="5"/>
  <c r="P292" i="5"/>
  <c r="N292" i="5"/>
  <c r="K292" i="5"/>
  <c r="J292" i="5"/>
  <c r="I292" i="5"/>
  <c r="H292" i="5"/>
  <c r="G292" i="5"/>
  <c r="F292" i="5"/>
  <c r="E292" i="5"/>
  <c r="D292" i="5"/>
  <c r="B292" i="5"/>
  <c r="BI291" i="5"/>
  <c r="BD291" i="5"/>
  <c r="BC291" i="5"/>
  <c r="GE282" i="6" s="1"/>
  <c r="BB291" i="5"/>
  <c r="GD282" i="6" s="1"/>
  <c r="AZ291" i="5"/>
  <c r="AY291" i="5"/>
  <c r="AW291" i="5"/>
  <c r="AT291" i="5"/>
  <c r="AS291" i="5"/>
  <c r="AR291" i="5"/>
  <c r="AQ291" i="5"/>
  <c r="AP291" i="5"/>
  <c r="AO291" i="5"/>
  <c r="AN291" i="5"/>
  <c r="AL291" i="5"/>
  <c r="AK291" i="5"/>
  <c r="AJ291" i="5"/>
  <c r="AI291" i="5"/>
  <c r="AH291" i="5"/>
  <c r="AG291" i="5"/>
  <c r="AF291" i="5"/>
  <c r="AE291" i="5"/>
  <c r="AD291" i="5"/>
  <c r="AC291" i="5"/>
  <c r="AB291" i="5"/>
  <c r="AA291" i="5"/>
  <c r="Z291" i="5"/>
  <c r="Y291" i="5"/>
  <c r="X291" i="5"/>
  <c r="W291" i="5"/>
  <c r="V291" i="5"/>
  <c r="T291" i="5"/>
  <c r="S291" i="5"/>
  <c r="Q291" i="5"/>
  <c r="P291" i="5"/>
  <c r="N291" i="5"/>
  <c r="K291" i="5"/>
  <c r="J291" i="5"/>
  <c r="I291" i="5"/>
  <c r="H291" i="5"/>
  <c r="G291" i="5"/>
  <c r="F291" i="5"/>
  <c r="E291" i="5"/>
  <c r="D291" i="5"/>
  <c r="B291" i="5"/>
  <c r="BI290" i="5"/>
  <c r="BD290" i="5"/>
  <c r="GF281" i="6" s="1"/>
  <c r="BC290" i="5"/>
  <c r="GE281" i="6" s="1"/>
  <c r="BB290" i="5"/>
  <c r="GD281" i="6" s="1"/>
  <c r="AZ290" i="5"/>
  <c r="AY290" i="5"/>
  <c r="AW290" i="5"/>
  <c r="AT290" i="5"/>
  <c r="AS290" i="5"/>
  <c r="AR290" i="5"/>
  <c r="AQ290" i="5"/>
  <c r="AP290" i="5"/>
  <c r="AO290" i="5"/>
  <c r="AN290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Z290" i="5"/>
  <c r="Y290" i="5"/>
  <c r="X290" i="5"/>
  <c r="W290" i="5"/>
  <c r="V290" i="5"/>
  <c r="T290" i="5"/>
  <c r="S290" i="5"/>
  <c r="Q290" i="5"/>
  <c r="P290" i="5"/>
  <c r="N290" i="5"/>
  <c r="K290" i="5"/>
  <c r="J290" i="5"/>
  <c r="I290" i="5"/>
  <c r="H290" i="5"/>
  <c r="G290" i="5"/>
  <c r="F290" i="5"/>
  <c r="E290" i="5"/>
  <c r="D290" i="5"/>
  <c r="B290" i="5"/>
  <c r="BI289" i="5"/>
  <c r="BD289" i="5"/>
  <c r="GF280" i="6" s="1"/>
  <c r="BC289" i="5"/>
  <c r="GE280" i="6" s="1"/>
  <c r="BB289" i="5"/>
  <c r="GD280" i="6" s="1"/>
  <c r="AZ289" i="5"/>
  <c r="AY289" i="5"/>
  <c r="AW289" i="5"/>
  <c r="AT289" i="5"/>
  <c r="AS289" i="5"/>
  <c r="AR289" i="5"/>
  <c r="AQ289" i="5"/>
  <c r="AP289" i="5"/>
  <c r="AO289" i="5"/>
  <c r="AN289" i="5"/>
  <c r="AL289" i="5"/>
  <c r="AK289" i="5"/>
  <c r="AJ289" i="5"/>
  <c r="AI289" i="5"/>
  <c r="AH289" i="5"/>
  <c r="AG289" i="5"/>
  <c r="AF289" i="5"/>
  <c r="AE289" i="5"/>
  <c r="AD289" i="5"/>
  <c r="AC289" i="5"/>
  <c r="AB289" i="5"/>
  <c r="AA289" i="5"/>
  <c r="Z289" i="5"/>
  <c r="Y289" i="5"/>
  <c r="X289" i="5"/>
  <c r="W289" i="5"/>
  <c r="V289" i="5"/>
  <c r="T289" i="5"/>
  <c r="S289" i="5"/>
  <c r="Q289" i="5"/>
  <c r="P289" i="5"/>
  <c r="N289" i="5"/>
  <c r="K289" i="5"/>
  <c r="J289" i="5"/>
  <c r="I289" i="5"/>
  <c r="H289" i="5"/>
  <c r="G289" i="5"/>
  <c r="F289" i="5"/>
  <c r="E289" i="5"/>
  <c r="D289" i="5"/>
  <c r="B289" i="5"/>
  <c r="CH288" i="5"/>
  <c r="CD288" i="5"/>
  <c r="CC288" i="5"/>
  <c r="CB288" i="5"/>
  <c r="BU288" i="5"/>
  <c r="BQ288" i="5"/>
  <c r="BI288" i="5"/>
  <c r="BD288" i="5"/>
  <c r="GF279" i="6" s="1"/>
  <c r="BC288" i="5"/>
  <c r="GE279" i="6" s="1"/>
  <c r="BB288" i="5"/>
  <c r="AZ288" i="5"/>
  <c r="AY288" i="5"/>
  <c r="AW288" i="5"/>
  <c r="AT288" i="5"/>
  <c r="AS288" i="5"/>
  <c r="AR288" i="5"/>
  <c r="AQ288" i="5"/>
  <c r="AP288" i="5"/>
  <c r="AO288" i="5"/>
  <c r="AN288" i="5"/>
  <c r="AL288" i="5"/>
  <c r="AK288" i="5"/>
  <c r="AJ288" i="5"/>
  <c r="AI288" i="5"/>
  <c r="AH288" i="5"/>
  <c r="AG288" i="5"/>
  <c r="AF288" i="5"/>
  <c r="AE288" i="5"/>
  <c r="AD288" i="5"/>
  <c r="AC288" i="5"/>
  <c r="AB288" i="5"/>
  <c r="AA288" i="5"/>
  <c r="Z288" i="5"/>
  <c r="Y288" i="5"/>
  <c r="X288" i="5"/>
  <c r="W288" i="5"/>
  <c r="V288" i="5"/>
  <c r="T288" i="5"/>
  <c r="S288" i="5"/>
  <c r="Q288" i="5"/>
  <c r="P288" i="5"/>
  <c r="N288" i="5"/>
  <c r="K288" i="5"/>
  <c r="J288" i="5"/>
  <c r="I288" i="5"/>
  <c r="H288" i="5"/>
  <c r="G288" i="5"/>
  <c r="F288" i="5"/>
  <c r="E288" i="5"/>
  <c r="D288" i="5"/>
  <c r="B288" i="5"/>
  <c r="CH287" i="5"/>
  <c r="CD287" i="5"/>
  <c r="CC287" i="5"/>
  <c r="CB287" i="5"/>
  <c r="BU287" i="5"/>
  <c r="BQ287" i="5"/>
  <c r="BI287" i="5"/>
  <c r="BD287" i="5"/>
  <c r="GF278" i="6" s="1"/>
  <c r="BC287" i="5"/>
  <c r="BB287" i="5"/>
  <c r="GD278" i="6" s="1"/>
  <c r="AZ287" i="5"/>
  <c r="AY287" i="5"/>
  <c r="AW287" i="5"/>
  <c r="AT287" i="5"/>
  <c r="AS287" i="5"/>
  <c r="AR287" i="5"/>
  <c r="AQ287" i="5"/>
  <c r="AP287" i="5"/>
  <c r="AO287" i="5"/>
  <c r="AN287" i="5"/>
  <c r="AL287" i="5"/>
  <c r="AK287" i="5"/>
  <c r="AJ287" i="5"/>
  <c r="AI287" i="5"/>
  <c r="AH287" i="5"/>
  <c r="AG287" i="5"/>
  <c r="AF287" i="5"/>
  <c r="AE287" i="5"/>
  <c r="AD287" i="5"/>
  <c r="AC287" i="5"/>
  <c r="AB287" i="5"/>
  <c r="AA287" i="5"/>
  <c r="Z287" i="5"/>
  <c r="Y287" i="5"/>
  <c r="X287" i="5"/>
  <c r="W287" i="5"/>
  <c r="V287" i="5"/>
  <c r="T287" i="5"/>
  <c r="S287" i="5"/>
  <c r="Q287" i="5"/>
  <c r="P287" i="5"/>
  <c r="N287" i="5"/>
  <c r="K287" i="5"/>
  <c r="J287" i="5"/>
  <c r="I287" i="5"/>
  <c r="H287" i="5"/>
  <c r="G287" i="5"/>
  <c r="F287" i="5"/>
  <c r="E287" i="5"/>
  <c r="D287" i="5"/>
  <c r="B287" i="5"/>
  <c r="CH286" i="5"/>
  <c r="CD286" i="5"/>
  <c r="CC286" i="5"/>
  <c r="CB286" i="5"/>
  <c r="BU286" i="5"/>
  <c r="BQ286" i="5"/>
  <c r="BI286" i="5"/>
  <c r="BD286" i="5"/>
  <c r="GF277" i="6" s="1"/>
  <c r="BC286" i="5"/>
  <c r="GE277" i="6" s="1"/>
  <c r="BB286" i="5"/>
  <c r="GD277" i="6" s="1"/>
  <c r="AZ286" i="5"/>
  <c r="AY286" i="5"/>
  <c r="AW286" i="5"/>
  <c r="AT286" i="5"/>
  <c r="AS286" i="5"/>
  <c r="AR286" i="5"/>
  <c r="AQ286" i="5"/>
  <c r="AP286" i="5"/>
  <c r="AO286" i="5"/>
  <c r="AN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T286" i="5"/>
  <c r="S286" i="5"/>
  <c r="Q286" i="5"/>
  <c r="P286" i="5"/>
  <c r="N286" i="5"/>
  <c r="K286" i="5"/>
  <c r="J286" i="5"/>
  <c r="I286" i="5"/>
  <c r="H286" i="5"/>
  <c r="G286" i="5"/>
  <c r="F286" i="5"/>
  <c r="E286" i="5"/>
  <c r="D286" i="5"/>
  <c r="B286" i="5"/>
  <c r="CH285" i="5"/>
  <c r="CD285" i="5"/>
  <c r="CC285" i="5"/>
  <c r="CB285" i="5"/>
  <c r="BU285" i="5"/>
  <c r="BQ285" i="5"/>
  <c r="BI285" i="5"/>
  <c r="BD285" i="5"/>
  <c r="BC285" i="5"/>
  <c r="GE276" i="6" s="1"/>
  <c r="BB285" i="5"/>
  <c r="GD276" i="6" s="1"/>
  <c r="AZ285" i="5"/>
  <c r="AY285" i="5"/>
  <c r="AW285" i="5"/>
  <c r="AT285" i="5"/>
  <c r="AS285" i="5"/>
  <c r="AR285" i="5"/>
  <c r="AQ285" i="5"/>
  <c r="AP285" i="5"/>
  <c r="AO285" i="5"/>
  <c r="AN285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Z285" i="5"/>
  <c r="Y285" i="5"/>
  <c r="X285" i="5"/>
  <c r="W285" i="5"/>
  <c r="V285" i="5"/>
  <c r="T285" i="5"/>
  <c r="S285" i="5"/>
  <c r="Q285" i="5"/>
  <c r="P285" i="5"/>
  <c r="N285" i="5"/>
  <c r="K285" i="5"/>
  <c r="J285" i="5"/>
  <c r="I285" i="5"/>
  <c r="H285" i="5"/>
  <c r="G285" i="5"/>
  <c r="F285" i="5"/>
  <c r="E285" i="5"/>
  <c r="D285" i="5"/>
  <c r="B285" i="5"/>
  <c r="CH284" i="5"/>
  <c r="CD284" i="5"/>
  <c r="CC284" i="5"/>
  <c r="CB284" i="5"/>
  <c r="BU284" i="5"/>
  <c r="BQ284" i="5"/>
  <c r="BI284" i="5"/>
  <c r="BD284" i="5"/>
  <c r="BC284" i="5"/>
  <c r="GE275" i="6" s="1"/>
  <c r="BB284" i="5"/>
  <c r="GD275" i="6" s="1"/>
  <c r="AZ284" i="5"/>
  <c r="AY284" i="5"/>
  <c r="AW284" i="5"/>
  <c r="AT284" i="5"/>
  <c r="AS284" i="5"/>
  <c r="AR284" i="5"/>
  <c r="AQ284" i="5"/>
  <c r="AP284" i="5"/>
  <c r="AO284" i="5"/>
  <c r="AN284" i="5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T284" i="5"/>
  <c r="S284" i="5"/>
  <c r="Q284" i="5"/>
  <c r="P284" i="5"/>
  <c r="N284" i="5"/>
  <c r="K284" i="5"/>
  <c r="J284" i="5"/>
  <c r="I284" i="5"/>
  <c r="H284" i="5"/>
  <c r="G284" i="5"/>
  <c r="F284" i="5"/>
  <c r="E284" i="5"/>
  <c r="D284" i="5"/>
  <c r="B284" i="5"/>
  <c r="CH283" i="5"/>
  <c r="CD283" i="5"/>
  <c r="CC283" i="5"/>
  <c r="CB283" i="5"/>
  <c r="BU283" i="5"/>
  <c r="BQ283" i="5"/>
  <c r="BI283" i="5"/>
  <c r="BD283" i="5"/>
  <c r="BC283" i="5"/>
  <c r="GE274" i="6" s="1"/>
  <c r="BB283" i="5"/>
  <c r="GD274" i="6" s="1"/>
  <c r="AZ283" i="5"/>
  <c r="AY283" i="5"/>
  <c r="AW283" i="5"/>
  <c r="AT283" i="5"/>
  <c r="AS283" i="5"/>
  <c r="AR283" i="5"/>
  <c r="AQ283" i="5"/>
  <c r="AP283" i="5"/>
  <c r="AO283" i="5"/>
  <c r="AN283" i="5"/>
  <c r="AL283" i="5"/>
  <c r="AK283" i="5"/>
  <c r="AJ283" i="5"/>
  <c r="AI283" i="5"/>
  <c r="AH283" i="5"/>
  <c r="AG283" i="5"/>
  <c r="AF283" i="5"/>
  <c r="AE283" i="5"/>
  <c r="AD283" i="5"/>
  <c r="AC283" i="5"/>
  <c r="AB283" i="5"/>
  <c r="AA283" i="5"/>
  <c r="Z283" i="5"/>
  <c r="Y283" i="5"/>
  <c r="X283" i="5"/>
  <c r="W283" i="5"/>
  <c r="V283" i="5"/>
  <c r="T283" i="5"/>
  <c r="S283" i="5"/>
  <c r="Q283" i="5"/>
  <c r="P283" i="5"/>
  <c r="N283" i="5"/>
  <c r="K283" i="5"/>
  <c r="J283" i="5"/>
  <c r="I283" i="5"/>
  <c r="H283" i="5"/>
  <c r="G283" i="5"/>
  <c r="F283" i="5"/>
  <c r="E283" i="5"/>
  <c r="D283" i="5"/>
  <c r="B283" i="5"/>
  <c r="CH282" i="5"/>
  <c r="CD282" i="5"/>
  <c r="CC282" i="5"/>
  <c r="CB282" i="5"/>
  <c r="BU282" i="5"/>
  <c r="BQ282" i="5"/>
  <c r="BI282" i="5"/>
  <c r="BD282" i="5"/>
  <c r="BC282" i="5"/>
  <c r="GE273" i="6" s="1"/>
  <c r="BB282" i="5"/>
  <c r="GD273" i="6" s="1"/>
  <c r="AZ282" i="5"/>
  <c r="AY282" i="5"/>
  <c r="AW282" i="5"/>
  <c r="AT282" i="5"/>
  <c r="AS282" i="5"/>
  <c r="AR282" i="5"/>
  <c r="AQ282" i="5"/>
  <c r="AP282" i="5"/>
  <c r="AO282" i="5"/>
  <c r="AN282" i="5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Z282" i="5"/>
  <c r="Y282" i="5"/>
  <c r="X282" i="5"/>
  <c r="W282" i="5"/>
  <c r="V282" i="5"/>
  <c r="T282" i="5"/>
  <c r="S282" i="5"/>
  <c r="Q282" i="5"/>
  <c r="P282" i="5"/>
  <c r="N282" i="5"/>
  <c r="K282" i="5"/>
  <c r="J282" i="5"/>
  <c r="I282" i="5"/>
  <c r="H282" i="5"/>
  <c r="G282" i="5"/>
  <c r="F282" i="5"/>
  <c r="E282" i="5"/>
  <c r="D282" i="5"/>
  <c r="B282" i="5"/>
  <c r="CH281" i="5"/>
  <c r="CD281" i="5"/>
  <c r="CC281" i="5"/>
  <c r="CB281" i="5"/>
  <c r="BU281" i="5"/>
  <c r="BQ281" i="5"/>
  <c r="BI281" i="5"/>
  <c r="BD281" i="5"/>
  <c r="GF272" i="6" s="1"/>
  <c r="BC281" i="5"/>
  <c r="GE272" i="6" s="1"/>
  <c r="BB281" i="5"/>
  <c r="GD272" i="6" s="1"/>
  <c r="AZ281" i="5"/>
  <c r="AY281" i="5"/>
  <c r="AW281" i="5"/>
  <c r="AT281" i="5"/>
  <c r="AS281" i="5"/>
  <c r="AR281" i="5"/>
  <c r="AQ281" i="5"/>
  <c r="AP281" i="5"/>
  <c r="AO281" i="5"/>
  <c r="AN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Z281" i="5"/>
  <c r="Y281" i="5"/>
  <c r="X281" i="5"/>
  <c r="W281" i="5"/>
  <c r="V281" i="5"/>
  <c r="T281" i="5"/>
  <c r="S281" i="5"/>
  <c r="Q281" i="5"/>
  <c r="P281" i="5"/>
  <c r="N281" i="5"/>
  <c r="K281" i="5"/>
  <c r="J281" i="5"/>
  <c r="I281" i="5"/>
  <c r="H281" i="5"/>
  <c r="G281" i="5"/>
  <c r="F281" i="5"/>
  <c r="E281" i="5"/>
  <c r="D281" i="5"/>
  <c r="B281" i="5"/>
  <c r="CH280" i="5"/>
  <c r="CD280" i="5"/>
  <c r="CC280" i="5"/>
  <c r="CB280" i="5"/>
  <c r="BU280" i="5"/>
  <c r="BQ280" i="5"/>
  <c r="BI280" i="5"/>
  <c r="BD280" i="5"/>
  <c r="GF271" i="6" s="1"/>
  <c r="BC280" i="5"/>
  <c r="GE271" i="6" s="1"/>
  <c r="BB280" i="5"/>
  <c r="GD271" i="6" s="1"/>
  <c r="AZ280" i="5"/>
  <c r="AY280" i="5"/>
  <c r="AW280" i="5"/>
  <c r="AT280" i="5"/>
  <c r="AS280" i="5"/>
  <c r="AR280" i="5"/>
  <c r="AQ280" i="5"/>
  <c r="AP280" i="5"/>
  <c r="AO280" i="5"/>
  <c r="AN280" i="5"/>
  <c r="AL280" i="5"/>
  <c r="AK280" i="5"/>
  <c r="AJ280" i="5"/>
  <c r="AI280" i="5"/>
  <c r="AH280" i="5"/>
  <c r="AG280" i="5"/>
  <c r="AF280" i="5"/>
  <c r="AE280" i="5"/>
  <c r="AD280" i="5"/>
  <c r="AC280" i="5"/>
  <c r="AB280" i="5"/>
  <c r="AA280" i="5"/>
  <c r="Z280" i="5"/>
  <c r="Y280" i="5"/>
  <c r="X280" i="5"/>
  <c r="W280" i="5"/>
  <c r="V280" i="5"/>
  <c r="T280" i="5"/>
  <c r="S280" i="5"/>
  <c r="Q280" i="5"/>
  <c r="P280" i="5"/>
  <c r="N280" i="5"/>
  <c r="K280" i="5"/>
  <c r="J280" i="5"/>
  <c r="I280" i="5"/>
  <c r="H280" i="5"/>
  <c r="G280" i="5"/>
  <c r="F280" i="5"/>
  <c r="E280" i="5"/>
  <c r="D280" i="5"/>
  <c r="B280" i="5"/>
  <c r="CH279" i="5"/>
  <c r="CD279" i="5"/>
  <c r="CC279" i="5"/>
  <c r="CB279" i="5"/>
  <c r="BU279" i="5"/>
  <c r="BR279" i="5"/>
  <c r="BQ279" i="5"/>
  <c r="BI279" i="5"/>
  <c r="BD279" i="5"/>
  <c r="GF270" i="6" s="1"/>
  <c r="BC279" i="5"/>
  <c r="GE270" i="6" s="1"/>
  <c r="BB279" i="5"/>
  <c r="GD270" i="6" s="1"/>
  <c r="AZ279" i="5"/>
  <c r="AY279" i="5"/>
  <c r="AW279" i="5"/>
  <c r="AT279" i="5"/>
  <c r="AS279" i="5"/>
  <c r="AR279" i="5"/>
  <c r="AQ279" i="5"/>
  <c r="AP279" i="5"/>
  <c r="AO279" i="5"/>
  <c r="AN279" i="5"/>
  <c r="AL279" i="5"/>
  <c r="AK279" i="5"/>
  <c r="AJ279" i="5"/>
  <c r="AI279" i="5"/>
  <c r="AH279" i="5"/>
  <c r="AG279" i="5"/>
  <c r="AF279" i="5"/>
  <c r="AE279" i="5"/>
  <c r="AD279" i="5"/>
  <c r="AC279" i="5"/>
  <c r="AB279" i="5"/>
  <c r="AA279" i="5"/>
  <c r="Z279" i="5"/>
  <c r="Y279" i="5"/>
  <c r="X279" i="5"/>
  <c r="W279" i="5"/>
  <c r="V279" i="5"/>
  <c r="T279" i="5"/>
  <c r="S279" i="5"/>
  <c r="Q279" i="5"/>
  <c r="P279" i="5"/>
  <c r="N279" i="5"/>
  <c r="K279" i="5"/>
  <c r="J279" i="5"/>
  <c r="I279" i="5"/>
  <c r="H279" i="5"/>
  <c r="G279" i="5"/>
  <c r="F279" i="5"/>
  <c r="E279" i="5"/>
  <c r="D279" i="5"/>
  <c r="B279" i="5"/>
  <c r="CH278" i="5"/>
  <c r="CD278" i="5"/>
  <c r="CC278" i="5"/>
  <c r="CB278" i="5"/>
  <c r="BU278" i="5"/>
  <c r="BR278" i="5"/>
  <c r="BQ278" i="5"/>
  <c r="BI278" i="5"/>
  <c r="BD278" i="5"/>
  <c r="GF269" i="6" s="1"/>
  <c r="BC278" i="5"/>
  <c r="GE269" i="6" s="1"/>
  <c r="BB278" i="5"/>
  <c r="GD269" i="6" s="1"/>
  <c r="AZ278" i="5"/>
  <c r="AY278" i="5"/>
  <c r="AW278" i="5"/>
  <c r="AT278" i="5"/>
  <c r="AS278" i="5"/>
  <c r="AR278" i="5"/>
  <c r="AQ278" i="5"/>
  <c r="AP278" i="5"/>
  <c r="AO278" i="5"/>
  <c r="AN278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Z278" i="5"/>
  <c r="Y278" i="5"/>
  <c r="X278" i="5"/>
  <c r="W278" i="5"/>
  <c r="V278" i="5"/>
  <c r="T278" i="5"/>
  <c r="S278" i="5"/>
  <c r="Q278" i="5"/>
  <c r="P278" i="5"/>
  <c r="N278" i="5"/>
  <c r="K278" i="5"/>
  <c r="J278" i="5"/>
  <c r="I278" i="5"/>
  <c r="H278" i="5"/>
  <c r="G278" i="5"/>
  <c r="F278" i="5"/>
  <c r="E278" i="5"/>
  <c r="D278" i="5"/>
  <c r="B278" i="5"/>
  <c r="CH277" i="5"/>
  <c r="CD277" i="5"/>
  <c r="CC277" i="5"/>
  <c r="CB277" i="5"/>
  <c r="BU277" i="5"/>
  <c r="BR277" i="5"/>
  <c r="BQ277" i="5"/>
  <c r="BI277" i="5"/>
  <c r="BD277" i="5"/>
  <c r="GF268" i="6" s="1"/>
  <c r="BC277" i="5"/>
  <c r="GE268" i="6" s="1"/>
  <c r="BB277" i="5"/>
  <c r="GD268" i="6" s="1"/>
  <c r="AZ277" i="5"/>
  <c r="AY277" i="5"/>
  <c r="AW277" i="5"/>
  <c r="AT277" i="5"/>
  <c r="AS277" i="5"/>
  <c r="AR277" i="5"/>
  <c r="AQ277" i="5"/>
  <c r="AP277" i="5"/>
  <c r="AO277" i="5"/>
  <c r="AN277" i="5"/>
  <c r="AL277" i="5"/>
  <c r="AK277" i="5"/>
  <c r="AJ277" i="5"/>
  <c r="AI277" i="5"/>
  <c r="AH277" i="5"/>
  <c r="AG277" i="5"/>
  <c r="AF277" i="5"/>
  <c r="AE277" i="5"/>
  <c r="AD277" i="5"/>
  <c r="AC277" i="5"/>
  <c r="AB277" i="5"/>
  <c r="AA277" i="5"/>
  <c r="Z277" i="5"/>
  <c r="Y277" i="5"/>
  <c r="X277" i="5"/>
  <c r="W277" i="5"/>
  <c r="V277" i="5"/>
  <c r="T277" i="5"/>
  <c r="S277" i="5"/>
  <c r="Q277" i="5"/>
  <c r="P277" i="5"/>
  <c r="N277" i="5"/>
  <c r="K277" i="5"/>
  <c r="J277" i="5"/>
  <c r="I277" i="5"/>
  <c r="H277" i="5"/>
  <c r="G277" i="5"/>
  <c r="F277" i="5"/>
  <c r="E277" i="5"/>
  <c r="D277" i="5"/>
  <c r="B277" i="5"/>
  <c r="CH276" i="5"/>
  <c r="CD276" i="5"/>
  <c r="CC276" i="5"/>
  <c r="CB276" i="5"/>
  <c r="BU276" i="5"/>
  <c r="BQ276" i="5"/>
  <c r="BI276" i="5"/>
  <c r="BD276" i="5"/>
  <c r="GF267" i="6" s="1"/>
  <c r="BC276" i="5"/>
  <c r="GE267" i="6" s="1"/>
  <c r="BB276" i="5"/>
  <c r="GD267" i="6" s="1"/>
  <c r="AZ276" i="5"/>
  <c r="AY276" i="5"/>
  <c r="AW276" i="5"/>
  <c r="AT276" i="5"/>
  <c r="AS276" i="5"/>
  <c r="AR276" i="5"/>
  <c r="AQ276" i="5"/>
  <c r="AP276" i="5"/>
  <c r="AO276" i="5"/>
  <c r="AN276" i="5"/>
  <c r="AL276" i="5"/>
  <c r="AK276" i="5"/>
  <c r="AJ276" i="5"/>
  <c r="AI276" i="5"/>
  <c r="AH276" i="5"/>
  <c r="AG276" i="5"/>
  <c r="AF276" i="5"/>
  <c r="AE276" i="5"/>
  <c r="AD276" i="5"/>
  <c r="AC276" i="5"/>
  <c r="AB276" i="5"/>
  <c r="AA276" i="5"/>
  <c r="Z276" i="5"/>
  <c r="Y276" i="5"/>
  <c r="X276" i="5"/>
  <c r="W276" i="5"/>
  <c r="V276" i="5"/>
  <c r="T276" i="5"/>
  <c r="S276" i="5"/>
  <c r="Q276" i="5"/>
  <c r="P276" i="5"/>
  <c r="N276" i="5"/>
  <c r="K276" i="5"/>
  <c r="J276" i="5"/>
  <c r="I276" i="5"/>
  <c r="H276" i="5"/>
  <c r="G276" i="5"/>
  <c r="F276" i="5"/>
  <c r="E276" i="5"/>
  <c r="D276" i="5"/>
  <c r="B276" i="5"/>
  <c r="CH275" i="5"/>
  <c r="CD275" i="5"/>
  <c r="CC275" i="5"/>
  <c r="CB275" i="5"/>
  <c r="BU275" i="5"/>
  <c r="BQ275" i="5"/>
  <c r="BI275" i="5"/>
  <c r="BD275" i="5"/>
  <c r="GF266" i="6" s="1"/>
  <c r="BC275" i="5"/>
  <c r="BB275" i="5"/>
  <c r="GD266" i="6" s="1"/>
  <c r="AZ275" i="5"/>
  <c r="AY275" i="5"/>
  <c r="AW275" i="5"/>
  <c r="AT275" i="5"/>
  <c r="AS275" i="5"/>
  <c r="AR275" i="5"/>
  <c r="AQ275" i="5"/>
  <c r="AP275" i="5"/>
  <c r="AO275" i="5"/>
  <c r="AN275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Z275" i="5"/>
  <c r="Y275" i="5"/>
  <c r="X275" i="5"/>
  <c r="W275" i="5"/>
  <c r="V275" i="5"/>
  <c r="T275" i="5"/>
  <c r="S275" i="5"/>
  <c r="Q275" i="5"/>
  <c r="P275" i="5"/>
  <c r="N275" i="5"/>
  <c r="K275" i="5"/>
  <c r="J275" i="5"/>
  <c r="I275" i="5"/>
  <c r="H275" i="5"/>
  <c r="G275" i="5"/>
  <c r="F275" i="5"/>
  <c r="E275" i="5"/>
  <c r="D275" i="5"/>
  <c r="B275" i="5"/>
  <c r="CH274" i="5"/>
  <c r="CD274" i="5"/>
  <c r="CC274" i="5"/>
  <c r="CB274" i="5"/>
  <c r="BU274" i="5"/>
  <c r="BQ274" i="5"/>
  <c r="BI274" i="5"/>
  <c r="BD274" i="5"/>
  <c r="BC274" i="5"/>
  <c r="GE265" i="6" s="1"/>
  <c r="BB274" i="5"/>
  <c r="GD265" i="6" s="1"/>
  <c r="AZ274" i="5"/>
  <c r="AY274" i="5"/>
  <c r="AW274" i="5"/>
  <c r="AT274" i="5"/>
  <c r="AS274" i="5"/>
  <c r="AR274" i="5"/>
  <c r="AQ274" i="5"/>
  <c r="AP274" i="5"/>
  <c r="AO274" i="5"/>
  <c r="AN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Y274" i="5"/>
  <c r="X274" i="5"/>
  <c r="W274" i="5"/>
  <c r="V274" i="5"/>
  <c r="T274" i="5"/>
  <c r="S274" i="5"/>
  <c r="Q274" i="5"/>
  <c r="P274" i="5"/>
  <c r="N274" i="5"/>
  <c r="K274" i="5"/>
  <c r="J274" i="5"/>
  <c r="I274" i="5"/>
  <c r="H274" i="5"/>
  <c r="G274" i="5"/>
  <c r="F274" i="5"/>
  <c r="E274" i="5"/>
  <c r="D274" i="5"/>
  <c r="B274" i="5"/>
  <c r="CH273" i="5"/>
  <c r="CD273" i="5"/>
  <c r="CC273" i="5"/>
  <c r="CB273" i="5"/>
  <c r="BU273" i="5"/>
  <c r="BQ273" i="5"/>
  <c r="BI273" i="5"/>
  <c r="BD273" i="5"/>
  <c r="BC273" i="5"/>
  <c r="GE264" i="6" s="1"/>
  <c r="BB273" i="5"/>
  <c r="GD264" i="6" s="1"/>
  <c r="AZ273" i="5"/>
  <c r="AY273" i="5"/>
  <c r="AW273" i="5"/>
  <c r="AT273" i="5"/>
  <c r="AS273" i="5"/>
  <c r="AR273" i="5"/>
  <c r="AQ273" i="5"/>
  <c r="AP273" i="5"/>
  <c r="AO273" i="5"/>
  <c r="AN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T273" i="5"/>
  <c r="S273" i="5"/>
  <c r="Q273" i="5"/>
  <c r="P273" i="5"/>
  <c r="N273" i="5"/>
  <c r="K273" i="5"/>
  <c r="J273" i="5"/>
  <c r="I273" i="5"/>
  <c r="H273" i="5"/>
  <c r="G273" i="5"/>
  <c r="F273" i="5"/>
  <c r="E273" i="5"/>
  <c r="D273" i="5"/>
  <c r="B273" i="5"/>
  <c r="CH272" i="5"/>
  <c r="CD272" i="5"/>
  <c r="CC272" i="5"/>
  <c r="CB272" i="5"/>
  <c r="BU272" i="5"/>
  <c r="BQ272" i="5"/>
  <c r="BI272" i="5"/>
  <c r="BD272" i="5"/>
  <c r="BC272" i="5"/>
  <c r="GE263" i="6" s="1"/>
  <c r="BB272" i="5"/>
  <c r="GD263" i="6" s="1"/>
  <c r="AZ272" i="5"/>
  <c r="AY272" i="5"/>
  <c r="AW272" i="5"/>
  <c r="AT272" i="5"/>
  <c r="AS272" i="5"/>
  <c r="AR272" i="5"/>
  <c r="AQ272" i="5"/>
  <c r="AP272" i="5"/>
  <c r="AO272" i="5"/>
  <c r="AN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T272" i="5"/>
  <c r="S272" i="5"/>
  <c r="Q272" i="5"/>
  <c r="P272" i="5"/>
  <c r="N272" i="5"/>
  <c r="K272" i="5"/>
  <c r="J272" i="5"/>
  <c r="I272" i="5"/>
  <c r="H272" i="5"/>
  <c r="G272" i="5"/>
  <c r="F272" i="5"/>
  <c r="E272" i="5"/>
  <c r="D272" i="5"/>
  <c r="B272" i="5"/>
  <c r="CH271" i="5"/>
  <c r="CD271" i="5"/>
  <c r="CC271" i="5"/>
  <c r="CB271" i="5"/>
  <c r="BU271" i="5"/>
  <c r="BQ271" i="5"/>
  <c r="BI271" i="5"/>
  <c r="BD271" i="5"/>
  <c r="GF262" i="6" s="1"/>
  <c r="BC271" i="5"/>
  <c r="GE262" i="6" s="1"/>
  <c r="BB271" i="5"/>
  <c r="GD262" i="6" s="1"/>
  <c r="AZ271" i="5"/>
  <c r="AY271" i="5"/>
  <c r="AW271" i="5"/>
  <c r="AT271" i="5"/>
  <c r="AS271" i="5"/>
  <c r="AR271" i="5"/>
  <c r="AQ271" i="5"/>
  <c r="AP271" i="5"/>
  <c r="AO271" i="5"/>
  <c r="AN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T271" i="5"/>
  <c r="S271" i="5"/>
  <c r="Q271" i="5"/>
  <c r="P271" i="5"/>
  <c r="N271" i="5"/>
  <c r="K271" i="5"/>
  <c r="J271" i="5"/>
  <c r="I271" i="5"/>
  <c r="H271" i="5"/>
  <c r="G271" i="5"/>
  <c r="F271" i="5"/>
  <c r="E271" i="5"/>
  <c r="D271" i="5"/>
  <c r="B271" i="5"/>
  <c r="CH270" i="5"/>
  <c r="CD270" i="5"/>
  <c r="CC270" i="5"/>
  <c r="CB270" i="5"/>
  <c r="BU270" i="5"/>
  <c r="BQ270" i="5"/>
  <c r="BI270" i="5"/>
  <c r="BD270" i="5"/>
  <c r="BC270" i="5"/>
  <c r="GE261" i="6" s="1"/>
  <c r="BB270" i="5"/>
  <c r="GD261" i="6" s="1"/>
  <c r="AZ270" i="5"/>
  <c r="AY270" i="5"/>
  <c r="AW270" i="5"/>
  <c r="AT270" i="5"/>
  <c r="AS270" i="5"/>
  <c r="AR270" i="5"/>
  <c r="AQ270" i="5"/>
  <c r="AP270" i="5"/>
  <c r="AO270" i="5"/>
  <c r="AN270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Z270" i="5"/>
  <c r="Y270" i="5"/>
  <c r="X270" i="5"/>
  <c r="W270" i="5"/>
  <c r="V270" i="5"/>
  <c r="T270" i="5"/>
  <c r="S270" i="5"/>
  <c r="Q270" i="5"/>
  <c r="P270" i="5"/>
  <c r="N270" i="5"/>
  <c r="K270" i="5"/>
  <c r="J270" i="5"/>
  <c r="I270" i="5"/>
  <c r="H270" i="5"/>
  <c r="G270" i="5"/>
  <c r="F270" i="5"/>
  <c r="E270" i="5"/>
  <c r="D270" i="5"/>
  <c r="B270" i="5"/>
  <c r="CH269" i="5"/>
  <c r="CD269" i="5"/>
  <c r="CC269" i="5"/>
  <c r="CB269" i="5"/>
  <c r="BU269" i="5"/>
  <c r="BQ269" i="5"/>
  <c r="BI269" i="5"/>
  <c r="BD269" i="5"/>
  <c r="GF260" i="6" s="1"/>
  <c r="BC269" i="5"/>
  <c r="GE260" i="6" s="1"/>
  <c r="BB269" i="5"/>
  <c r="GD260" i="6" s="1"/>
  <c r="AZ269" i="5"/>
  <c r="AY269" i="5"/>
  <c r="AW269" i="5"/>
  <c r="AT269" i="5"/>
  <c r="AS269" i="5"/>
  <c r="AR269" i="5"/>
  <c r="AQ269" i="5"/>
  <c r="AP269" i="5"/>
  <c r="AO269" i="5"/>
  <c r="AN269" i="5"/>
  <c r="AL269" i="5"/>
  <c r="AK269" i="5"/>
  <c r="AJ269" i="5"/>
  <c r="AI269" i="5"/>
  <c r="AH269" i="5"/>
  <c r="AG269" i="5"/>
  <c r="AF269" i="5"/>
  <c r="AE269" i="5"/>
  <c r="AD269" i="5"/>
  <c r="AC269" i="5"/>
  <c r="AB269" i="5"/>
  <c r="AA269" i="5"/>
  <c r="Z269" i="5"/>
  <c r="Y269" i="5"/>
  <c r="X269" i="5"/>
  <c r="W269" i="5"/>
  <c r="V269" i="5"/>
  <c r="T269" i="5"/>
  <c r="S269" i="5"/>
  <c r="Q269" i="5"/>
  <c r="P269" i="5"/>
  <c r="N269" i="5"/>
  <c r="K269" i="5"/>
  <c r="J269" i="5"/>
  <c r="I269" i="5"/>
  <c r="H269" i="5"/>
  <c r="G269" i="5"/>
  <c r="F269" i="5"/>
  <c r="E269" i="5"/>
  <c r="D269" i="5"/>
  <c r="B269" i="5"/>
  <c r="CH268" i="5"/>
  <c r="CD268" i="5"/>
  <c r="CC268" i="5"/>
  <c r="CB268" i="5"/>
  <c r="BU268" i="5"/>
  <c r="BQ268" i="5"/>
  <c r="BI268" i="5"/>
  <c r="BD268" i="5"/>
  <c r="BC268" i="5"/>
  <c r="GE259" i="6" s="1"/>
  <c r="BB268" i="5"/>
  <c r="GD259" i="6" s="1"/>
  <c r="AZ268" i="5"/>
  <c r="AY268" i="5"/>
  <c r="AW268" i="5"/>
  <c r="AT268" i="5"/>
  <c r="AS268" i="5"/>
  <c r="AR268" i="5"/>
  <c r="AQ268" i="5"/>
  <c r="AP268" i="5"/>
  <c r="AO268" i="5"/>
  <c r="AN268" i="5"/>
  <c r="AL268" i="5"/>
  <c r="AK268" i="5"/>
  <c r="AJ268" i="5"/>
  <c r="AI268" i="5"/>
  <c r="AH268" i="5"/>
  <c r="AG268" i="5"/>
  <c r="AF268" i="5"/>
  <c r="AE268" i="5"/>
  <c r="AD268" i="5"/>
  <c r="AC268" i="5"/>
  <c r="AB268" i="5"/>
  <c r="AA268" i="5"/>
  <c r="Z268" i="5"/>
  <c r="Y268" i="5"/>
  <c r="X268" i="5"/>
  <c r="W268" i="5"/>
  <c r="V268" i="5"/>
  <c r="T268" i="5"/>
  <c r="S268" i="5"/>
  <c r="Q268" i="5"/>
  <c r="P268" i="5"/>
  <c r="N268" i="5"/>
  <c r="K268" i="5"/>
  <c r="J268" i="5"/>
  <c r="I268" i="5"/>
  <c r="H268" i="5"/>
  <c r="G268" i="5"/>
  <c r="F268" i="5"/>
  <c r="E268" i="5"/>
  <c r="D268" i="5"/>
  <c r="B268" i="5"/>
  <c r="CH267" i="5"/>
  <c r="CD267" i="5"/>
  <c r="CC267" i="5"/>
  <c r="CB267" i="5"/>
  <c r="BU267" i="5"/>
  <c r="BR267" i="5"/>
  <c r="BQ267" i="5"/>
  <c r="BI267" i="5"/>
  <c r="BD267" i="5"/>
  <c r="GF258" i="6" s="1"/>
  <c r="BC267" i="5"/>
  <c r="GE258" i="6" s="1"/>
  <c r="BB267" i="5"/>
  <c r="GD258" i="6" s="1"/>
  <c r="AZ267" i="5"/>
  <c r="AY267" i="5"/>
  <c r="AW267" i="5"/>
  <c r="AT267" i="5"/>
  <c r="AS267" i="5"/>
  <c r="AR267" i="5"/>
  <c r="AQ267" i="5"/>
  <c r="AP267" i="5"/>
  <c r="AO267" i="5"/>
  <c r="AN267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T267" i="5"/>
  <c r="S267" i="5"/>
  <c r="Q267" i="5"/>
  <c r="P267" i="5"/>
  <c r="N267" i="5"/>
  <c r="K267" i="5"/>
  <c r="J267" i="5"/>
  <c r="I267" i="5"/>
  <c r="H267" i="5"/>
  <c r="G267" i="5"/>
  <c r="F267" i="5"/>
  <c r="E267" i="5"/>
  <c r="D267" i="5"/>
  <c r="B267" i="5"/>
  <c r="CH266" i="5"/>
  <c r="CD266" i="5"/>
  <c r="CC266" i="5"/>
  <c r="CB266" i="5"/>
  <c r="BU266" i="5"/>
  <c r="BR266" i="5"/>
  <c r="BQ266" i="5"/>
  <c r="BI266" i="5"/>
  <c r="BD266" i="5"/>
  <c r="GF257" i="6" s="1"/>
  <c r="BC266" i="5"/>
  <c r="GE257" i="6" s="1"/>
  <c r="BB266" i="5"/>
  <c r="GD257" i="6" s="1"/>
  <c r="AZ266" i="5"/>
  <c r="AY266" i="5"/>
  <c r="AW266" i="5"/>
  <c r="AT266" i="5"/>
  <c r="AS266" i="5"/>
  <c r="AR266" i="5"/>
  <c r="AQ266" i="5"/>
  <c r="AP266" i="5"/>
  <c r="AO266" i="5"/>
  <c r="AN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Y266" i="5"/>
  <c r="X266" i="5"/>
  <c r="W266" i="5"/>
  <c r="V266" i="5"/>
  <c r="T266" i="5"/>
  <c r="S266" i="5"/>
  <c r="Q266" i="5"/>
  <c r="P266" i="5"/>
  <c r="N266" i="5"/>
  <c r="K266" i="5"/>
  <c r="J266" i="5"/>
  <c r="I266" i="5"/>
  <c r="H266" i="5"/>
  <c r="G266" i="5"/>
  <c r="F266" i="5"/>
  <c r="E266" i="5"/>
  <c r="D266" i="5"/>
  <c r="B266" i="5"/>
  <c r="CH265" i="5"/>
  <c r="CD265" i="5"/>
  <c r="CC265" i="5"/>
  <c r="CB265" i="5"/>
  <c r="BU265" i="5"/>
  <c r="BR265" i="5"/>
  <c r="BQ265" i="5"/>
  <c r="BI265" i="5"/>
  <c r="BD265" i="5"/>
  <c r="GF256" i="6" s="1"/>
  <c r="BC265" i="5"/>
  <c r="GE256" i="6" s="1"/>
  <c r="BB265" i="5"/>
  <c r="GD256" i="6" s="1"/>
  <c r="AZ265" i="5"/>
  <c r="AY265" i="5"/>
  <c r="AW265" i="5"/>
  <c r="AT265" i="5"/>
  <c r="AS265" i="5"/>
  <c r="AR265" i="5"/>
  <c r="AQ265" i="5"/>
  <c r="AP265" i="5"/>
  <c r="AO265" i="5"/>
  <c r="AN265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Z265" i="5"/>
  <c r="Y265" i="5"/>
  <c r="X265" i="5"/>
  <c r="W265" i="5"/>
  <c r="V265" i="5"/>
  <c r="T265" i="5"/>
  <c r="S265" i="5"/>
  <c r="Q265" i="5"/>
  <c r="P265" i="5"/>
  <c r="N265" i="5"/>
  <c r="K265" i="5"/>
  <c r="J265" i="5"/>
  <c r="I265" i="5"/>
  <c r="H265" i="5"/>
  <c r="G265" i="5"/>
  <c r="F265" i="5"/>
  <c r="E265" i="5"/>
  <c r="D265" i="5"/>
  <c r="B265" i="5"/>
  <c r="CH264" i="5"/>
  <c r="CD264" i="5"/>
  <c r="CC264" i="5"/>
  <c r="CB264" i="5"/>
  <c r="BU264" i="5"/>
  <c r="BQ264" i="5"/>
  <c r="BI264" i="5"/>
  <c r="BD264" i="5"/>
  <c r="GF255" i="6" s="1"/>
  <c r="BC264" i="5"/>
  <c r="GE255" i="6" s="1"/>
  <c r="BB264" i="5"/>
  <c r="GD255" i="6" s="1"/>
  <c r="AZ264" i="5"/>
  <c r="AY264" i="5"/>
  <c r="AW264" i="5"/>
  <c r="AT264" i="5"/>
  <c r="AS264" i="5"/>
  <c r="AR264" i="5"/>
  <c r="AQ264" i="5"/>
  <c r="AP264" i="5"/>
  <c r="AO264" i="5"/>
  <c r="AN264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T264" i="5"/>
  <c r="S264" i="5"/>
  <c r="Q264" i="5"/>
  <c r="P264" i="5"/>
  <c r="N264" i="5"/>
  <c r="K264" i="5"/>
  <c r="J264" i="5"/>
  <c r="I264" i="5"/>
  <c r="H264" i="5"/>
  <c r="G264" i="5"/>
  <c r="F264" i="5"/>
  <c r="E264" i="5"/>
  <c r="D264" i="5"/>
  <c r="B264" i="5"/>
  <c r="CH263" i="5"/>
  <c r="CD263" i="5"/>
  <c r="CC263" i="5"/>
  <c r="CB263" i="5"/>
  <c r="BU263" i="5"/>
  <c r="BQ263" i="5"/>
  <c r="BI263" i="5"/>
  <c r="BD263" i="5"/>
  <c r="BC263" i="5"/>
  <c r="GE254" i="6" s="1"/>
  <c r="BB263" i="5"/>
  <c r="GD254" i="6" s="1"/>
  <c r="AZ263" i="5"/>
  <c r="AY263" i="5"/>
  <c r="AW263" i="5"/>
  <c r="AT263" i="5"/>
  <c r="AS263" i="5"/>
  <c r="AR263" i="5"/>
  <c r="AQ263" i="5"/>
  <c r="AP263" i="5"/>
  <c r="AO263" i="5"/>
  <c r="AN263" i="5"/>
  <c r="AL263" i="5"/>
  <c r="AK263" i="5"/>
  <c r="AJ263" i="5"/>
  <c r="AI263" i="5"/>
  <c r="AH263" i="5"/>
  <c r="AG263" i="5"/>
  <c r="AF263" i="5"/>
  <c r="AE263" i="5"/>
  <c r="AD263" i="5"/>
  <c r="AC263" i="5"/>
  <c r="AB263" i="5"/>
  <c r="AA263" i="5"/>
  <c r="Z263" i="5"/>
  <c r="Y263" i="5"/>
  <c r="X263" i="5"/>
  <c r="W263" i="5"/>
  <c r="V263" i="5"/>
  <c r="T263" i="5"/>
  <c r="S263" i="5"/>
  <c r="Q263" i="5"/>
  <c r="P263" i="5"/>
  <c r="N263" i="5"/>
  <c r="K263" i="5"/>
  <c r="J263" i="5"/>
  <c r="I263" i="5"/>
  <c r="H263" i="5"/>
  <c r="G263" i="5"/>
  <c r="F263" i="5"/>
  <c r="E263" i="5"/>
  <c r="D263" i="5"/>
  <c r="B263" i="5"/>
  <c r="CH262" i="5"/>
  <c r="CD262" i="5"/>
  <c r="CC262" i="5"/>
  <c r="CB262" i="5"/>
  <c r="BU262" i="5"/>
  <c r="BQ262" i="5"/>
  <c r="BI262" i="5"/>
  <c r="BD262" i="5"/>
  <c r="BC262" i="5"/>
  <c r="GE253" i="6" s="1"/>
  <c r="BB262" i="5"/>
  <c r="GD253" i="6" s="1"/>
  <c r="AZ262" i="5"/>
  <c r="AY262" i="5"/>
  <c r="AW262" i="5"/>
  <c r="AT262" i="5"/>
  <c r="AS262" i="5"/>
  <c r="AR262" i="5"/>
  <c r="AQ262" i="5"/>
  <c r="AP262" i="5"/>
  <c r="AO262" i="5"/>
  <c r="AN262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Z262" i="5"/>
  <c r="Y262" i="5"/>
  <c r="X262" i="5"/>
  <c r="W262" i="5"/>
  <c r="V262" i="5"/>
  <c r="T262" i="5"/>
  <c r="S262" i="5"/>
  <c r="Q262" i="5"/>
  <c r="P262" i="5"/>
  <c r="N262" i="5"/>
  <c r="K262" i="5"/>
  <c r="J262" i="5"/>
  <c r="I262" i="5"/>
  <c r="H262" i="5"/>
  <c r="G262" i="5"/>
  <c r="F262" i="5"/>
  <c r="E262" i="5"/>
  <c r="D262" i="5"/>
  <c r="B262" i="5"/>
  <c r="CH261" i="5"/>
  <c r="CD261" i="5"/>
  <c r="CC261" i="5"/>
  <c r="CB261" i="5"/>
  <c r="BU261" i="5"/>
  <c r="BQ261" i="5"/>
  <c r="BI261" i="5"/>
  <c r="BD261" i="5"/>
  <c r="GF252" i="6" s="1"/>
  <c r="BC261" i="5"/>
  <c r="GE252" i="6" s="1"/>
  <c r="BB261" i="5"/>
  <c r="GD252" i="6" s="1"/>
  <c r="AZ261" i="5"/>
  <c r="AY261" i="5"/>
  <c r="AW261" i="5"/>
  <c r="AT261" i="5"/>
  <c r="AS261" i="5"/>
  <c r="AR261" i="5"/>
  <c r="AQ261" i="5"/>
  <c r="AP261" i="5"/>
  <c r="AO261" i="5"/>
  <c r="AN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Z261" i="5"/>
  <c r="Y261" i="5"/>
  <c r="X261" i="5"/>
  <c r="W261" i="5"/>
  <c r="V261" i="5"/>
  <c r="T261" i="5"/>
  <c r="S261" i="5"/>
  <c r="Q261" i="5"/>
  <c r="P261" i="5"/>
  <c r="N261" i="5"/>
  <c r="K261" i="5"/>
  <c r="J261" i="5"/>
  <c r="I261" i="5"/>
  <c r="H261" i="5"/>
  <c r="G261" i="5"/>
  <c r="F261" i="5"/>
  <c r="E261" i="5"/>
  <c r="D261" i="5"/>
  <c r="B261" i="5"/>
  <c r="CH260" i="5"/>
  <c r="CD260" i="5"/>
  <c r="CC260" i="5"/>
  <c r="CB260" i="5"/>
  <c r="BU260" i="5"/>
  <c r="BQ260" i="5"/>
  <c r="BI260" i="5"/>
  <c r="BD260" i="5"/>
  <c r="BC260" i="5"/>
  <c r="GE251" i="6" s="1"/>
  <c r="BB260" i="5"/>
  <c r="GD251" i="6" s="1"/>
  <c r="AZ260" i="5"/>
  <c r="AY260" i="5"/>
  <c r="AW260" i="5"/>
  <c r="AT260" i="5"/>
  <c r="AS260" i="5"/>
  <c r="AR260" i="5"/>
  <c r="AQ260" i="5"/>
  <c r="AP260" i="5"/>
  <c r="AO260" i="5"/>
  <c r="AN260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T260" i="5"/>
  <c r="S260" i="5"/>
  <c r="Q260" i="5"/>
  <c r="P260" i="5"/>
  <c r="N260" i="5"/>
  <c r="K260" i="5"/>
  <c r="J260" i="5"/>
  <c r="I260" i="5"/>
  <c r="H260" i="5"/>
  <c r="G260" i="5"/>
  <c r="F260" i="5"/>
  <c r="E260" i="5"/>
  <c r="D260" i="5"/>
  <c r="B260" i="5"/>
  <c r="CH259" i="5"/>
  <c r="CD259" i="5"/>
  <c r="CC259" i="5"/>
  <c r="CB259" i="5"/>
  <c r="BU259" i="5"/>
  <c r="BQ259" i="5"/>
  <c r="BI259" i="5"/>
  <c r="BD259" i="5"/>
  <c r="GF250" i="6" s="1"/>
  <c r="BC259" i="5"/>
  <c r="GE250" i="6" s="1"/>
  <c r="BB259" i="5"/>
  <c r="GD250" i="6" s="1"/>
  <c r="AZ259" i="5"/>
  <c r="AY259" i="5"/>
  <c r="AW259" i="5"/>
  <c r="AT259" i="5"/>
  <c r="AS259" i="5"/>
  <c r="AR259" i="5"/>
  <c r="AQ259" i="5"/>
  <c r="AP259" i="5"/>
  <c r="AO259" i="5"/>
  <c r="AN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T259" i="5"/>
  <c r="S259" i="5"/>
  <c r="Q259" i="5"/>
  <c r="P259" i="5"/>
  <c r="N259" i="5"/>
  <c r="K259" i="5"/>
  <c r="J259" i="5"/>
  <c r="I259" i="5"/>
  <c r="H259" i="5"/>
  <c r="G259" i="5"/>
  <c r="F259" i="5"/>
  <c r="E259" i="5"/>
  <c r="D259" i="5"/>
  <c r="B259" i="5"/>
  <c r="CH258" i="5"/>
  <c r="CD258" i="5"/>
  <c r="CC258" i="5"/>
  <c r="CB258" i="5"/>
  <c r="BU258" i="5"/>
  <c r="BQ258" i="5"/>
  <c r="BI258" i="5"/>
  <c r="BD258" i="5"/>
  <c r="GF249" i="6" s="1"/>
  <c r="BC258" i="5"/>
  <c r="GE249" i="6" s="1"/>
  <c r="BB258" i="5"/>
  <c r="GD249" i="6" s="1"/>
  <c r="AZ258" i="5"/>
  <c r="AY258" i="5"/>
  <c r="AW258" i="5"/>
  <c r="AT258" i="5"/>
  <c r="AS258" i="5"/>
  <c r="AR258" i="5"/>
  <c r="AQ258" i="5"/>
  <c r="AP258" i="5"/>
  <c r="AO258" i="5"/>
  <c r="AN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T258" i="5"/>
  <c r="S258" i="5"/>
  <c r="Q258" i="5"/>
  <c r="P258" i="5"/>
  <c r="N258" i="5"/>
  <c r="K258" i="5"/>
  <c r="J258" i="5"/>
  <c r="I258" i="5"/>
  <c r="H258" i="5"/>
  <c r="G258" i="5"/>
  <c r="F258" i="5"/>
  <c r="E258" i="5"/>
  <c r="D258" i="5"/>
  <c r="B258" i="5"/>
  <c r="CH257" i="5"/>
  <c r="CD257" i="5"/>
  <c r="CC257" i="5"/>
  <c r="CB257" i="5"/>
  <c r="BU257" i="5"/>
  <c r="BQ257" i="5"/>
  <c r="BI257" i="5"/>
  <c r="BD257" i="5"/>
  <c r="BC257" i="5"/>
  <c r="GE248" i="6" s="1"/>
  <c r="BB257" i="5"/>
  <c r="GD248" i="6" s="1"/>
  <c r="AZ257" i="5"/>
  <c r="AY257" i="5"/>
  <c r="AW257" i="5"/>
  <c r="AT257" i="5"/>
  <c r="AS257" i="5"/>
  <c r="AR257" i="5"/>
  <c r="AQ257" i="5"/>
  <c r="AP257" i="5"/>
  <c r="AO257" i="5"/>
  <c r="AN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Z257" i="5"/>
  <c r="Y257" i="5"/>
  <c r="X257" i="5"/>
  <c r="W257" i="5"/>
  <c r="V257" i="5"/>
  <c r="T257" i="5"/>
  <c r="S257" i="5"/>
  <c r="Q257" i="5"/>
  <c r="P257" i="5"/>
  <c r="N257" i="5"/>
  <c r="K257" i="5"/>
  <c r="J257" i="5"/>
  <c r="I257" i="5"/>
  <c r="H257" i="5"/>
  <c r="G257" i="5"/>
  <c r="F257" i="5"/>
  <c r="E257" i="5"/>
  <c r="D257" i="5"/>
  <c r="B257" i="5"/>
  <c r="CH256" i="5"/>
  <c r="CD256" i="5"/>
  <c r="CC256" i="5"/>
  <c r="CB256" i="5"/>
  <c r="BU256" i="5"/>
  <c r="BQ256" i="5"/>
  <c r="BI256" i="5"/>
  <c r="BD256" i="5"/>
  <c r="GF247" i="6" s="1"/>
  <c r="BC256" i="5"/>
  <c r="GE247" i="6" s="1"/>
  <c r="BB256" i="5"/>
  <c r="GD247" i="6" s="1"/>
  <c r="AZ256" i="5"/>
  <c r="AY256" i="5"/>
  <c r="AW256" i="5"/>
  <c r="AT256" i="5"/>
  <c r="AS256" i="5"/>
  <c r="AR256" i="5"/>
  <c r="AQ256" i="5"/>
  <c r="AP256" i="5"/>
  <c r="AO256" i="5"/>
  <c r="AN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T256" i="5"/>
  <c r="S256" i="5"/>
  <c r="Q256" i="5"/>
  <c r="P256" i="5"/>
  <c r="N256" i="5"/>
  <c r="K256" i="5"/>
  <c r="J256" i="5"/>
  <c r="I256" i="5"/>
  <c r="H256" i="5"/>
  <c r="G256" i="5"/>
  <c r="F256" i="5"/>
  <c r="E256" i="5"/>
  <c r="D256" i="5"/>
  <c r="B256" i="5"/>
  <c r="CH255" i="5"/>
  <c r="CD255" i="5"/>
  <c r="CC255" i="5"/>
  <c r="CB255" i="5"/>
  <c r="BU255" i="5"/>
  <c r="BR255" i="5"/>
  <c r="BQ255" i="5"/>
  <c r="BI255" i="5"/>
  <c r="BD255" i="5"/>
  <c r="GF246" i="6" s="1"/>
  <c r="BC255" i="5"/>
  <c r="BB255" i="5"/>
  <c r="GD246" i="6" s="1"/>
  <c r="AZ255" i="5"/>
  <c r="AY255" i="5"/>
  <c r="AW255" i="5"/>
  <c r="AT255" i="5"/>
  <c r="AS255" i="5"/>
  <c r="AR255" i="5"/>
  <c r="AQ255" i="5"/>
  <c r="AP255" i="5"/>
  <c r="AO255" i="5"/>
  <c r="AN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Z255" i="5"/>
  <c r="Y255" i="5"/>
  <c r="X255" i="5"/>
  <c r="W255" i="5"/>
  <c r="V255" i="5"/>
  <c r="T255" i="5"/>
  <c r="S255" i="5"/>
  <c r="Q255" i="5"/>
  <c r="P255" i="5"/>
  <c r="N255" i="5"/>
  <c r="K255" i="5"/>
  <c r="J255" i="5"/>
  <c r="I255" i="5"/>
  <c r="H255" i="5"/>
  <c r="G255" i="5"/>
  <c r="F255" i="5"/>
  <c r="E255" i="5"/>
  <c r="D255" i="5"/>
  <c r="B255" i="5"/>
  <c r="CH254" i="5"/>
  <c r="CD254" i="5"/>
  <c r="CC254" i="5"/>
  <c r="CB254" i="5"/>
  <c r="BU254" i="5"/>
  <c r="BR254" i="5"/>
  <c r="BQ254" i="5"/>
  <c r="BI254" i="5"/>
  <c r="BD254" i="5"/>
  <c r="GF245" i="6" s="1"/>
  <c r="BC254" i="5"/>
  <c r="GE245" i="6" s="1"/>
  <c r="BB254" i="5"/>
  <c r="GD245" i="6" s="1"/>
  <c r="AZ254" i="5"/>
  <c r="AY254" i="5"/>
  <c r="AW254" i="5"/>
  <c r="AT254" i="5"/>
  <c r="AS254" i="5"/>
  <c r="AR254" i="5"/>
  <c r="AQ254" i="5"/>
  <c r="AP254" i="5"/>
  <c r="AO254" i="5"/>
  <c r="AN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T254" i="5"/>
  <c r="S254" i="5"/>
  <c r="Q254" i="5"/>
  <c r="P254" i="5"/>
  <c r="N254" i="5"/>
  <c r="K254" i="5"/>
  <c r="J254" i="5"/>
  <c r="I254" i="5"/>
  <c r="H254" i="5"/>
  <c r="G254" i="5"/>
  <c r="F254" i="5"/>
  <c r="E254" i="5"/>
  <c r="D254" i="5"/>
  <c r="B254" i="5"/>
  <c r="CH253" i="5"/>
  <c r="CD253" i="5"/>
  <c r="CC253" i="5"/>
  <c r="CB253" i="5"/>
  <c r="BU253" i="5"/>
  <c r="BR253" i="5"/>
  <c r="BQ253" i="5"/>
  <c r="BI253" i="5"/>
  <c r="BD253" i="5"/>
  <c r="GF244" i="6" s="1"/>
  <c r="BC253" i="5"/>
  <c r="GE244" i="6" s="1"/>
  <c r="BB253" i="5"/>
  <c r="GD244" i="6" s="1"/>
  <c r="AZ253" i="5"/>
  <c r="AY253" i="5"/>
  <c r="AW253" i="5"/>
  <c r="AT253" i="5"/>
  <c r="AS253" i="5"/>
  <c r="AR253" i="5"/>
  <c r="AQ253" i="5"/>
  <c r="AP253" i="5"/>
  <c r="AO253" i="5"/>
  <c r="AN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T253" i="5"/>
  <c r="S253" i="5"/>
  <c r="Q253" i="5"/>
  <c r="P253" i="5"/>
  <c r="N253" i="5"/>
  <c r="K253" i="5"/>
  <c r="J253" i="5"/>
  <c r="I253" i="5"/>
  <c r="H253" i="5"/>
  <c r="G253" i="5"/>
  <c r="F253" i="5"/>
  <c r="E253" i="5"/>
  <c r="D253" i="5"/>
  <c r="B253" i="5"/>
  <c r="CH252" i="5"/>
  <c r="CD252" i="5"/>
  <c r="CC252" i="5"/>
  <c r="CB252" i="5"/>
  <c r="BU252" i="5"/>
  <c r="BQ252" i="5"/>
  <c r="BI252" i="5"/>
  <c r="BD252" i="5"/>
  <c r="BC252" i="5"/>
  <c r="GE243" i="6" s="1"/>
  <c r="BB252" i="5"/>
  <c r="GD243" i="6" s="1"/>
  <c r="AZ252" i="5"/>
  <c r="AY252" i="5"/>
  <c r="AW252" i="5"/>
  <c r="AT252" i="5"/>
  <c r="AS252" i="5"/>
  <c r="AR252" i="5"/>
  <c r="AQ252" i="5"/>
  <c r="AP252" i="5"/>
  <c r="AO252" i="5"/>
  <c r="AN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T252" i="5"/>
  <c r="S252" i="5"/>
  <c r="Q252" i="5"/>
  <c r="P252" i="5"/>
  <c r="N252" i="5"/>
  <c r="K252" i="5"/>
  <c r="J252" i="5"/>
  <c r="I252" i="5"/>
  <c r="H252" i="5"/>
  <c r="G252" i="5"/>
  <c r="F252" i="5"/>
  <c r="E252" i="5"/>
  <c r="D252" i="5"/>
  <c r="B252" i="5"/>
  <c r="CH251" i="5"/>
  <c r="CD251" i="5"/>
  <c r="CC251" i="5"/>
  <c r="CB251" i="5"/>
  <c r="BU251" i="5"/>
  <c r="BQ251" i="5"/>
  <c r="BI251" i="5"/>
  <c r="BD251" i="5"/>
  <c r="BC251" i="5"/>
  <c r="GE242" i="6" s="1"/>
  <c r="BB251" i="5"/>
  <c r="GD242" i="6" s="1"/>
  <c r="AZ251" i="5"/>
  <c r="AY251" i="5"/>
  <c r="AW251" i="5"/>
  <c r="AT251" i="5"/>
  <c r="AS251" i="5"/>
  <c r="AR251" i="5"/>
  <c r="AQ251" i="5"/>
  <c r="AP251" i="5"/>
  <c r="AO251" i="5"/>
  <c r="AN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T251" i="5"/>
  <c r="S251" i="5"/>
  <c r="Q251" i="5"/>
  <c r="P251" i="5"/>
  <c r="N251" i="5"/>
  <c r="K251" i="5"/>
  <c r="J251" i="5"/>
  <c r="I251" i="5"/>
  <c r="H251" i="5"/>
  <c r="G251" i="5"/>
  <c r="F251" i="5"/>
  <c r="E251" i="5"/>
  <c r="D251" i="5"/>
  <c r="B251" i="5"/>
  <c r="CH250" i="5"/>
  <c r="CD250" i="5"/>
  <c r="CC250" i="5"/>
  <c r="CB250" i="5"/>
  <c r="BU250" i="5"/>
  <c r="BQ250" i="5"/>
  <c r="BI250" i="5"/>
  <c r="BD250" i="5"/>
  <c r="GF241" i="6" s="1"/>
  <c r="BC250" i="5"/>
  <c r="GE241" i="6" s="1"/>
  <c r="BB250" i="5"/>
  <c r="GD241" i="6" s="1"/>
  <c r="AZ250" i="5"/>
  <c r="AY250" i="5"/>
  <c r="AW250" i="5"/>
  <c r="AT250" i="5"/>
  <c r="AS250" i="5"/>
  <c r="AR250" i="5"/>
  <c r="AQ250" i="5"/>
  <c r="AP250" i="5"/>
  <c r="AO250" i="5"/>
  <c r="AN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T250" i="5"/>
  <c r="S250" i="5"/>
  <c r="Q250" i="5"/>
  <c r="P250" i="5"/>
  <c r="N250" i="5"/>
  <c r="K250" i="5"/>
  <c r="J250" i="5"/>
  <c r="I250" i="5"/>
  <c r="H250" i="5"/>
  <c r="G250" i="5"/>
  <c r="F250" i="5"/>
  <c r="E250" i="5"/>
  <c r="D250" i="5"/>
  <c r="B250" i="5"/>
  <c r="CH249" i="5"/>
  <c r="CD249" i="5"/>
  <c r="CC249" i="5"/>
  <c r="CB249" i="5"/>
  <c r="BU249" i="5"/>
  <c r="BQ249" i="5"/>
  <c r="BI249" i="5"/>
  <c r="BD249" i="5"/>
  <c r="BC249" i="5"/>
  <c r="GE240" i="6" s="1"/>
  <c r="BB249" i="5"/>
  <c r="GD240" i="6" s="1"/>
  <c r="AZ249" i="5"/>
  <c r="AY249" i="5"/>
  <c r="AW249" i="5"/>
  <c r="AT249" i="5"/>
  <c r="AS249" i="5"/>
  <c r="AR249" i="5"/>
  <c r="AQ249" i="5"/>
  <c r="AP249" i="5"/>
  <c r="AO249" i="5"/>
  <c r="AN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T249" i="5"/>
  <c r="S249" i="5"/>
  <c r="Q249" i="5"/>
  <c r="P249" i="5"/>
  <c r="N249" i="5"/>
  <c r="K249" i="5"/>
  <c r="J249" i="5"/>
  <c r="I249" i="5"/>
  <c r="H249" i="5"/>
  <c r="G249" i="5"/>
  <c r="F249" i="5"/>
  <c r="E249" i="5"/>
  <c r="D249" i="5"/>
  <c r="B249" i="5"/>
  <c r="CH248" i="5"/>
  <c r="CD248" i="5"/>
  <c r="CC248" i="5"/>
  <c r="CB248" i="5"/>
  <c r="BU248" i="5"/>
  <c r="BQ248" i="5"/>
  <c r="BI248" i="5"/>
  <c r="BD248" i="5"/>
  <c r="GF239" i="6" s="1"/>
  <c r="BC248" i="5"/>
  <c r="GE239" i="6" s="1"/>
  <c r="BB248" i="5"/>
  <c r="GD239" i="6" s="1"/>
  <c r="AZ248" i="5"/>
  <c r="AY248" i="5"/>
  <c r="AW248" i="5"/>
  <c r="AT248" i="5"/>
  <c r="AS248" i="5"/>
  <c r="AR248" i="5"/>
  <c r="AQ248" i="5"/>
  <c r="AP248" i="5"/>
  <c r="AO248" i="5"/>
  <c r="AN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T248" i="5"/>
  <c r="S248" i="5"/>
  <c r="Q248" i="5"/>
  <c r="P248" i="5"/>
  <c r="N248" i="5"/>
  <c r="K248" i="5"/>
  <c r="J248" i="5"/>
  <c r="I248" i="5"/>
  <c r="H248" i="5"/>
  <c r="G248" i="5"/>
  <c r="F248" i="5"/>
  <c r="E248" i="5"/>
  <c r="D248" i="5"/>
  <c r="B248" i="5"/>
  <c r="CH247" i="5"/>
  <c r="CD247" i="5"/>
  <c r="CC247" i="5"/>
  <c r="CB247" i="5"/>
  <c r="BU247" i="5"/>
  <c r="BQ247" i="5"/>
  <c r="BI247" i="5"/>
  <c r="BD247" i="5"/>
  <c r="GF238" i="6" s="1"/>
  <c r="BC247" i="5"/>
  <c r="BB247" i="5"/>
  <c r="GD238" i="6" s="1"/>
  <c r="AZ247" i="5"/>
  <c r="AY247" i="5"/>
  <c r="AW247" i="5"/>
  <c r="AT247" i="5"/>
  <c r="AS247" i="5"/>
  <c r="AR247" i="5"/>
  <c r="AQ247" i="5"/>
  <c r="AP247" i="5"/>
  <c r="AO247" i="5"/>
  <c r="AN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T247" i="5"/>
  <c r="S247" i="5"/>
  <c r="Q247" i="5"/>
  <c r="P247" i="5"/>
  <c r="N247" i="5"/>
  <c r="K247" i="5"/>
  <c r="J247" i="5"/>
  <c r="I247" i="5"/>
  <c r="H247" i="5"/>
  <c r="G247" i="5"/>
  <c r="F247" i="5"/>
  <c r="E247" i="5"/>
  <c r="D247" i="5"/>
  <c r="B247" i="5"/>
  <c r="CH246" i="5"/>
  <c r="CD246" i="5"/>
  <c r="CC246" i="5"/>
  <c r="CB246" i="5"/>
  <c r="BU246" i="5"/>
  <c r="BQ246" i="5"/>
  <c r="BI246" i="5"/>
  <c r="BD246" i="5"/>
  <c r="BC246" i="5"/>
  <c r="GE237" i="6" s="1"/>
  <c r="BB246" i="5"/>
  <c r="GD237" i="6" s="1"/>
  <c r="AZ246" i="5"/>
  <c r="AY246" i="5"/>
  <c r="AW246" i="5"/>
  <c r="AT246" i="5"/>
  <c r="AS246" i="5"/>
  <c r="AR246" i="5"/>
  <c r="AQ246" i="5"/>
  <c r="AP246" i="5"/>
  <c r="AO246" i="5"/>
  <c r="AN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T246" i="5"/>
  <c r="S246" i="5"/>
  <c r="Q246" i="5"/>
  <c r="P246" i="5"/>
  <c r="N246" i="5"/>
  <c r="K246" i="5"/>
  <c r="J246" i="5"/>
  <c r="I246" i="5"/>
  <c r="H246" i="5"/>
  <c r="G246" i="5"/>
  <c r="F246" i="5"/>
  <c r="E246" i="5"/>
  <c r="D246" i="5"/>
  <c r="B246" i="5"/>
  <c r="CH245" i="5"/>
  <c r="CD245" i="5"/>
  <c r="CC245" i="5"/>
  <c r="CB245" i="5"/>
  <c r="BU245" i="5"/>
  <c r="BQ245" i="5"/>
  <c r="BI245" i="5"/>
  <c r="BD245" i="5"/>
  <c r="GF236" i="6" s="1"/>
  <c r="BC245" i="5"/>
  <c r="GE236" i="6" s="1"/>
  <c r="BB245" i="5"/>
  <c r="GD236" i="6" s="1"/>
  <c r="AZ245" i="5"/>
  <c r="AY245" i="5"/>
  <c r="AW245" i="5"/>
  <c r="AT245" i="5"/>
  <c r="AS245" i="5"/>
  <c r="AR245" i="5"/>
  <c r="AQ245" i="5"/>
  <c r="AP245" i="5"/>
  <c r="AO245" i="5"/>
  <c r="AN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T245" i="5"/>
  <c r="S245" i="5"/>
  <c r="Q245" i="5"/>
  <c r="P245" i="5"/>
  <c r="N245" i="5"/>
  <c r="K245" i="5"/>
  <c r="J245" i="5"/>
  <c r="I245" i="5"/>
  <c r="H245" i="5"/>
  <c r="G245" i="5"/>
  <c r="F245" i="5"/>
  <c r="E245" i="5"/>
  <c r="D245" i="5"/>
  <c r="B245" i="5"/>
  <c r="CH244" i="5"/>
  <c r="CD244" i="5"/>
  <c r="CC244" i="5"/>
  <c r="CB244" i="5"/>
  <c r="BU244" i="5"/>
  <c r="BQ244" i="5"/>
  <c r="BI244" i="5"/>
  <c r="BD244" i="5"/>
  <c r="GF235" i="6" s="1"/>
  <c r="BC244" i="5"/>
  <c r="GE235" i="6" s="1"/>
  <c r="BB244" i="5"/>
  <c r="GD235" i="6" s="1"/>
  <c r="AZ244" i="5"/>
  <c r="AY244" i="5"/>
  <c r="AW244" i="5"/>
  <c r="AT244" i="5"/>
  <c r="AS244" i="5"/>
  <c r="AR244" i="5"/>
  <c r="AQ244" i="5"/>
  <c r="AP244" i="5"/>
  <c r="AO244" i="5"/>
  <c r="AN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T244" i="5"/>
  <c r="S244" i="5"/>
  <c r="Q244" i="5"/>
  <c r="P244" i="5"/>
  <c r="N244" i="5"/>
  <c r="K244" i="5"/>
  <c r="J244" i="5"/>
  <c r="I244" i="5"/>
  <c r="H244" i="5"/>
  <c r="G244" i="5"/>
  <c r="F244" i="5"/>
  <c r="E244" i="5"/>
  <c r="D244" i="5"/>
  <c r="B244" i="5"/>
  <c r="CH243" i="5"/>
  <c r="CD243" i="5"/>
  <c r="CC243" i="5"/>
  <c r="CB243" i="5"/>
  <c r="BU243" i="5"/>
  <c r="BR243" i="5"/>
  <c r="BQ243" i="5"/>
  <c r="BI243" i="5"/>
  <c r="BD243" i="5"/>
  <c r="BC243" i="5"/>
  <c r="GE234" i="6" s="1"/>
  <c r="BB243" i="5"/>
  <c r="GD234" i="6" s="1"/>
  <c r="AZ243" i="5"/>
  <c r="AY243" i="5"/>
  <c r="AW243" i="5"/>
  <c r="AT243" i="5"/>
  <c r="AS243" i="5"/>
  <c r="AR243" i="5"/>
  <c r="AQ243" i="5"/>
  <c r="AP243" i="5"/>
  <c r="AO243" i="5"/>
  <c r="AN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T243" i="5"/>
  <c r="S243" i="5"/>
  <c r="Q243" i="5"/>
  <c r="P243" i="5"/>
  <c r="N243" i="5"/>
  <c r="K243" i="5"/>
  <c r="J243" i="5"/>
  <c r="I243" i="5"/>
  <c r="H243" i="5"/>
  <c r="G243" i="5"/>
  <c r="F243" i="5"/>
  <c r="E243" i="5"/>
  <c r="D243" i="5"/>
  <c r="B243" i="5"/>
  <c r="CH242" i="5"/>
  <c r="CD242" i="5"/>
  <c r="CC242" i="5"/>
  <c r="CB242" i="5"/>
  <c r="BU242" i="5"/>
  <c r="BR242" i="5"/>
  <c r="BQ242" i="5"/>
  <c r="BI242" i="5"/>
  <c r="BD242" i="5"/>
  <c r="GF233" i="6" s="1"/>
  <c r="BC242" i="5"/>
  <c r="GE233" i="6" s="1"/>
  <c r="BB242" i="5"/>
  <c r="GD233" i="6" s="1"/>
  <c r="AZ242" i="5"/>
  <c r="AY242" i="5"/>
  <c r="AW242" i="5"/>
  <c r="AT242" i="5"/>
  <c r="AS242" i="5"/>
  <c r="AR242" i="5"/>
  <c r="AQ242" i="5"/>
  <c r="AP242" i="5"/>
  <c r="AO242" i="5"/>
  <c r="AN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T242" i="5"/>
  <c r="S242" i="5"/>
  <c r="Q242" i="5"/>
  <c r="P242" i="5"/>
  <c r="N242" i="5"/>
  <c r="K242" i="5"/>
  <c r="J242" i="5"/>
  <c r="I242" i="5"/>
  <c r="H242" i="5"/>
  <c r="G242" i="5"/>
  <c r="F242" i="5"/>
  <c r="E242" i="5"/>
  <c r="D242" i="5"/>
  <c r="B242" i="5"/>
  <c r="CH241" i="5"/>
  <c r="CD241" i="5"/>
  <c r="CC241" i="5"/>
  <c r="CB241" i="5"/>
  <c r="BU241" i="5"/>
  <c r="BR241" i="5"/>
  <c r="BQ241" i="5"/>
  <c r="BI241" i="5"/>
  <c r="BD241" i="5"/>
  <c r="BC241" i="5"/>
  <c r="GE232" i="6" s="1"/>
  <c r="BB241" i="5"/>
  <c r="GD232" i="6" s="1"/>
  <c r="AZ241" i="5"/>
  <c r="AY241" i="5"/>
  <c r="AW241" i="5"/>
  <c r="AT241" i="5"/>
  <c r="AS241" i="5"/>
  <c r="AR241" i="5"/>
  <c r="AQ241" i="5"/>
  <c r="AP241" i="5"/>
  <c r="AO241" i="5"/>
  <c r="AN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V241" i="5"/>
  <c r="T241" i="5"/>
  <c r="S241" i="5"/>
  <c r="Q241" i="5"/>
  <c r="P241" i="5"/>
  <c r="N241" i="5"/>
  <c r="K241" i="5"/>
  <c r="J241" i="5"/>
  <c r="I241" i="5"/>
  <c r="H241" i="5"/>
  <c r="G241" i="5"/>
  <c r="F241" i="5"/>
  <c r="E241" i="5"/>
  <c r="D241" i="5"/>
  <c r="B241" i="5"/>
  <c r="CH240" i="5"/>
  <c r="CD240" i="5"/>
  <c r="CC240" i="5"/>
  <c r="CB240" i="5"/>
  <c r="BU240" i="5"/>
  <c r="BQ240" i="5"/>
  <c r="BI240" i="5"/>
  <c r="BD240" i="5"/>
  <c r="GF231" i="6" s="1"/>
  <c r="BC240" i="5"/>
  <c r="GE231" i="6" s="1"/>
  <c r="BB240" i="5"/>
  <c r="GD231" i="6" s="1"/>
  <c r="AZ240" i="5"/>
  <c r="AY240" i="5"/>
  <c r="AW240" i="5"/>
  <c r="AT240" i="5"/>
  <c r="AS240" i="5"/>
  <c r="AR240" i="5"/>
  <c r="AQ240" i="5"/>
  <c r="AP240" i="5"/>
  <c r="AO240" i="5"/>
  <c r="AN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T240" i="5"/>
  <c r="S240" i="5"/>
  <c r="Q240" i="5"/>
  <c r="P240" i="5"/>
  <c r="N240" i="5"/>
  <c r="K240" i="5"/>
  <c r="J240" i="5"/>
  <c r="I240" i="5"/>
  <c r="H240" i="5"/>
  <c r="G240" i="5"/>
  <c r="F240" i="5"/>
  <c r="E240" i="5"/>
  <c r="D240" i="5"/>
  <c r="B240" i="5"/>
  <c r="CH239" i="5"/>
  <c r="CD239" i="5"/>
  <c r="CC239" i="5"/>
  <c r="CB239" i="5"/>
  <c r="BU239" i="5"/>
  <c r="BQ239" i="5"/>
  <c r="BI239" i="5"/>
  <c r="BD239" i="5"/>
  <c r="GF230" i="6" s="1"/>
  <c r="BC239" i="5"/>
  <c r="GE230" i="6" s="1"/>
  <c r="BB239" i="5"/>
  <c r="GD230" i="6" s="1"/>
  <c r="AZ239" i="5"/>
  <c r="AY239" i="5"/>
  <c r="AW239" i="5"/>
  <c r="AT239" i="5"/>
  <c r="AS239" i="5"/>
  <c r="AR239" i="5"/>
  <c r="AQ239" i="5"/>
  <c r="AP239" i="5"/>
  <c r="AO239" i="5"/>
  <c r="AN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T239" i="5"/>
  <c r="S239" i="5"/>
  <c r="Q239" i="5"/>
  <c r="P239" i="5"/>
  <c r="N239" i="5"/>
  <c r="K239" i="5"/>
  <c r="J239" i="5"/>
  <c r="I239" i="5"/>
  <c r="H239" i="5"/>
  <c r="G239" i="5"/>
  <c r="F239" i="5"/>
  <c r="E239" i="5"/>
  <c r="D239" i="5"/>
  <c r="B239" i="5"/>
  <c r="CH238" i="5"/>
  <c r="CD238" i="5"/>
  <c r="CC238" i="5"/>
  <c r="CB238" i="5"/>
  <c r="BU238" i="5"/>
  <c r="BQ238" i="5"/>
  <c r="BI238" i="5"/>
  <c r="BD238" i="5"/>
  <c r="GF229" i="6" s="1"/>
  <c r="BC238" i="5"/>
  <c r="GE229" i="6" s="1"/>
  <c r="BB238" i="5"/>
  <c r="GD229" i="6" s="1"/>
  <c r="AZ238" i="5"/>
  <c r="AY238" i="5"/>
  <c r="AW238" i="5"/>
  <c r="AT238" i="5"/>
  <c r="AS238" i="5"/>
  <c r="AR238" i="5"/>
  <c r="AQ238" i="5"/>
  <c r="AP238" i="5"/>
  <c r="AO238" i="5"/>
  <c r="AN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T238" i="5"/>
  <c r="S238" i="5"/>
  <c r="Q238" i="5"/>
  <c r="P238" i="5"/>
  <c r="N238" i="5"/>
  <c r="K238" i="5"/>
  <c r="J238" i="5"/>
  <c r="I238" i="5"/>
  <c r="H238" i="5"/>
  <c r="G238" i="5"/>
  <c r="F238" i="5"/>
  <c r="E238" i="5"/>
  <c r="D238" i="5"/>
  <c r="B238" i="5"/>
  <c r="CH237" i="5"/>
  <c r="CD237" i="5"/>
  <c r="CC237" i="5"/>
  <c r="CB237" i="5"/>
  <c r="BU237" i="5"/>
  <c r="BQ237" i="5"/>
  <c r="BI237" i="5"/>
  <c r="BD237" i="5"/>
  <c r="GF228" i="6" s="1"/>
  <c r="BC237" i="5"/>
  <c r="GE228" i="6" s="1"/>
  <c r="BB237" i="5"/>
  <c r="GD228" i="6" s="1"/>
  <c r="AZ237" i="5"/>
  <c r="AY237" i="5"/>
  <c r="AW237" i="5"/>
  <c r="AT237" i="5"/>
  <c r="AS237" i="5"/>
  <c r="AR237" i="5"/>
  <c r="AQ237" i="5"/>
  <c r="AP237" i="5"/>
  <c r="AO237" i="5"/>
  <c r="AN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T237" i="5"/>
  <c r="S237" i="5"/>
  <c r="Q237" i="5"/>
  <c r="P237" i="5"/>
  <c r="N237" i="5"/>
  <c r="K237" i="5"/>
  <c r="J237" i="5"/>
  <c r="I237" i="5"/>
  <c r="H237" i="5"/>
  <c r="G237" i="5"/>
  <c r="F237" i="5"/>
  <c r="E237" i="5"/>
  <c r="D237" i="5"/>
  <c r="B237" i="5"/>
  <c r="CH236" i="5"/>
  <c r="CD236" i="5"/>
  <c r="CC236" i="5"/>
  <c r="CB236" i="5"/>
  <c r="BU236" i="5"/>
  <c r="BQ236" i="5"/>
  <c r="BI236" i="5"/>
  <c r="BD236" i="5"/>
  <c r="GF227" i="6" s="1"/>
  <c r="BC236" i="5"/>
  <c r="GE227" i="6" s="1"/>
  <c r="BB236" i="5"/>
  <c r="GD227" i="6" s="1"/>
  <c r="AZ236" i="5"/>
  <c r="AY236" i="5"/>
  <c r="AW236" i="5"/>
  <c r="AT236" i="5"/>
  <c r="AS236" i="5"/>
  <c r="AR236" i="5"/>
  <c r="AQ236" i="5"/>
  <c r="AP236" i="5"/>
  <c r="AO236" i="5"/>
  <c r="AN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T236" i="5"/>
  <c r="S236" i="5"/>
  <c r="Q236" i="5"/>
  <c r="P236" i="5"/>
  <c r="N236" i="5"/>
  <c r="K236" i="5"/>
  <c r="J236" i="5"/>
  <c r="I236" i="5"/>
  <c r="H236" i="5"/>
  <c r="G236" i="5"/>
  <c r="F236" i="5"/>
  <c r="E236" i="5"/>
  <c r="D236" i="5"/>
  <c r="B236" i="5"/>
  <c r="CH235" i="5"/>
  <c r="CD235" i="5"/>
  <c r="CC235" i="5"/>
  <c r="CB235" i="5"/>
  <c r="BU235" i="5"/>
  <c r="BQ235" i="5"/>
  <c r="BI235" i="5"/>
  <c r="BD235" i="5"/>
  <c r="GF226" i="6" s="1"/>
  <c r="BC235" i="5"/>
  <c r="GE226" i="6" s="1"/>
  <c r="BB235" i="5"/>
  <c r="GD226" i="6" s="1"/>
  <c r="AZ235" i="5"/>
  <c r="AY235" i="5"/>
  <c r="AW235" i="5"/>
  <c r="AT235" i="5"/>
  <c r="AS235" i="5"/>
  <c r="AR235" i="5"/>
  <c r="AQ235" i="5"/>
  <c r="AP235" i="5"/>
  <c r="AO235" i="5"/>
  <c r="AN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T235" i="5"/>
  <c r="S235" i="5"/>
  <c r="Q235" i="5"/>
  <c r="P235" i="5"/>
  <c r="N235" i="5"/>
  <c r="K235" i="5"/>
  <c r="J235" i="5"/>
  <c r="I235" i="5"/>
  <c r="H235" i="5"/>
  <c r="G235" i="5"/>
  <c r="F235" i="5"/>
  <c r="E235" i="5"/>
  <c r="D235" i="5"/>
  <c r="B235" i="5"/>
  <c r="CH234" i="5"/>
  <c r="CD234" i="5"/>
  <c r="CC234" i="5"/>
  <c r="CB234" i="5"/>
  <c r="BU234" i="5"/>
  <c r="BQ234" i="5"/>
  <c r="BI234" i="5"/>
  <c r="BD234" i="5"/>
  <c r="GF225" i="6" s="1"/>
  <c r="BC234" i="5"/>
  <c r="BB234" i="5"/>
  <c r="GD225" i="6" s="1"/>
  <c r="AZ234" i="5"/>
  <c r="AY234" i="5"/>
  <c r="AW234" i="5"/>
  <c r="AT234" i="5"/>
  <c r="AS234" i="5"/>
  <c r="AR234" i="5"/>
  <c r="AQ234" i="5"/>
  <c r="AP234" i="5"/>
  <c r="AO234" i="5"/>
  <c r="AN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T234" i="5"/>
  <c r="S234" i="5"/>
  <c r="Q234" i="5"/>
  <c r="P234" i="5"/>
  <c r="N234" i="5"/>
  <c r="K234" i="5"/>
  <c r="J234" i="5"/>
  <c r="I234" i="5"/>
  <c r="H234" i="5"/>
  <c r="G234" i="5"/>
  <c r="F234" i="5"/>
  <c r="E234" i="5"/>
  <c r="D234" i="5"/>
  <c r="B234" i="5"/>
  <c r="CH233" i="5"/>
  <c r="CD233" i="5"/>
  <c r="CC233" i="5"/>
  <c r="CB233" i="5"/>
  <c r="BU233" i="5"/>
  <c r="BQ233" i="5"/>
  <c r="BI233" i="5"/>
  <c r="BD233" i="5"/>
  <c r="BC233" i="5"/>
  <c r="GE224" i="6" s="1"/>
  <c r="BB233" i="5"/>
  <c r="GD224" i="6" s="1"/>
  <c r="AZ233" i="5"/>
  <c r="AY233" i="5"/>
  <c r="AW233" i="5"/>
  <c r="AT233" i="5"/>
  <c r="AS233" i="5"/>
  <c r="AR233" i="5"/>
  <c r="AQ233" i="5"/>
  <c r="AP233" i="5"/>
  <c r="AO233" i="5"/>
  <c r="AN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V233" i="5"/>
  <c r="T233" i="5"/>
  <c r="S233" i="5"/>
  <c r="Q233" i="5"/>
  <c r="P233" i="5"/>
  <c r="N233" i="5"/>
  <c r="K233" i="5"/>
  <c r="J233" i="5"/>
  <c r="I233" i="5"/>
  <c r="H233" i="5"/>
  <c r="G233" i="5"/>
  <c r="F233" i="5"/>
  <c r="E233" i="5"/>
  <c r="D233" i="5"/>
  <c r="B233" i="5"/>
  <c r="CH232" i="5"/>
  <c r="CD232" i="5"/>
  <c r="CC232" i="5"/>
  <c r="CB232" i="5"/>
  <c r="BU232" i="5"/>
  <c r="BQ232" i="5"/>
  <c r="BI232" i="5"/>
  <c r="BD232" i="5"/>
  <c r="GF223" i="6" s="1"/>
  <c r="BC232" i="5"/>
  <c r="GE223" i="6" s="1"/>
  <c r="BB232" i="5"/>
  <c r="GD223" i="6" s="1"/>
  <c r="AZ232" i="5"/>
  <c r="AY232" i="5"/>
  <c r="AW232" i="5"/>
  <c r="AT232" i="5"/>
  <c r="AS232" i="5"/>
  <c r="AR232" i="5"/>
  <c r="AQ232" i="5"/>
  <c r="AP232" i="5"/>
  <c r="AO232" i="5"/>
  <c r="AN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T232" i="5"/>
  <c r="S232" i="5"/>
  <c r="Q232" i="5"/>
  <c r="P232" i="5"/>
  <c r="N232" i="5"/>
  <c r="K232" i="5"/>
  <c r="J232" i="5"/>
  <c r="I232" i="5"/>
  <c r="H232" i="5"/>
  <c r="G232" i="5"/>
  <c r="F232" i="5"/>
  <c r="E232" i="5"/>
  <c r="D232" i="5"/>
  <c r="B232" i="5"/>
  <c r="CH231" i="5"/>
  <c r="CD231" i="5"/>
  <c r="CC231" i="5"/>
  <c r="CB231" i="5"/>
  <c r="BU231" i="5"/>
  <c r="BR231" i="5"/>
  <c r="BQ231" i="5"/>
  <c r="BI231" i="5"/>
  <c r="BD231" i="5"/>
  <c r="BC231" i="5"/>
  <c r="GE222" i="6" s="1"/>
  <c r="BB231" i="5"/>
  <c r="GD222" i="6" s="1"/>
  <c r="AZ231" i="5"/>
  <c r="AY231" i="5"/>
  <c r="AW231" i="5"/>
  <c r="AT231" i="5"/>
  <c r="AS231" i="5"/>
  <c r="AR231" i="5"/>
  <c r="AQ231" i="5"/>
  <c r="AP231" i="5"/>
  <c r="AO231" i="5"/>
  <c r="AN231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T231" i="5"/>
  <c r="S231" i="5"/>
  <c r="Q231" i="5"/>
  <c r="P231" i="5"/>
  <c r="N231" i="5"/>
  <c r="K231" i="5"/>
  <c r="J231" i="5"/>
  <c r="I231" i="5"/>
  <c r="H231" i="5"/>
  <c r="G231" i="5"/>
  <c r="F231" i="5"/>
  <c r="E231" i="5"/>
  <c r="D231" i="5"/>
  <c r="B231" i="5"/>
  <c r="CH230" i="5"/>
  <c r="CD230" i="5"/>
  <c r="CC230" i="5"/>
  <c r="CB230" i="5"/>
  <c r="BU230" i="5"/>
  <c r="BR230" i="5"/>
  <c r="BQ230" i="5"/>
  <c r="BI230" i="5"/>
  <c r="BD230" i="5"/>
  <c r="BC230" i="5"/>
  <c r="GE221" i="6" s="1"/>
  <c r="BB230" i="5"/>
  <c r="GD221" i="6" s="1"/>
  <c r="AZ230" i="5"/>
  <c r="AY230" i="5"/>
  <c r="AW230" i="5"/>
  <c r="AT230" i="5"/>
  <c r="AS230" i="5"/>
  <c r="AR230" i="5"/>
  <c r="AQ230" i="5"/>
  <c r="AP230" i="5"/>
  <c r="AO230" i="5"/>
  <c r="AN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T230" i="5"/>
  <c r="S230" i="5"/>
  <c r="Q230" i="5"/>
  <c r="P230" i="5"/>
  <c r="N230" i="5"/>
  <c r="K230" i="5"/>
  <c r="J230" i="5"/>
  <c r="I230" i="5"/>
  <c r="H230" i="5"/>
  <c r="G230" i="5"/>
  <c r="F230" i="5"/>
  <c r="E230" i="5"/>
  <c r="D230" i="5"/>
  <c r="B230" i="5"/>
  <c r="CH229" i="5"/>
  <c r="CD229" i="5"/>
  <c r="CC229" i="5"/>
  <c r="CB229" i="5"/>
  <c r="BU229" i="5"/>
  <c r="BR229" i="5"/>
  <c r="BQ229" i="5"/>
  <c r="BI229" i="5"/>
  <c r="BD229" i="5"/>
  <c r="GF220" i="6" s="1"/>
  <c r="BC229" i="5"/>
  <c r="GE220" i="6" s="1"/>
  <c r="BB229" i="5"/>
  <c r="GD220" i="6" s="1"/>
  <c r="AZ229" i="5"/>
  <c r="AY229" i="5"/>
  <c r="AW229" i="5"/>
  <c r="AT229" i="5"/>
  <c r="AS229" i="5"/>
  <c r="AR229" i="5"/>
  <c r="AQ229" i="5"/>
  <c r="AP229" i="5"/>
  <c r="AO229" i="5"/>
  <c r="AN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T229" i="5"/>
  <c r="S229" i="5"/>
  <c r="Q229" i="5"/>
  <c r="P229" i="5"/>
  <c r="N229" i="5"/>
  <c r="K229" i="5"/>
  <c r="J229" i="5"/>
  <c r="I229" i="5"/>
  <c r="H229" i="5"/>
  <c r="G229" i="5"/>
  <c r="F229" i="5"/>
  <c r="E229" i="5"/>
  <c r="D229" i="5"/>
  <c r="B229" i="5"/>
  <c r="CH228" i="5"/>
  <c r="CD228" i="5"/>
  <c r="CC228" i="5"/>
  <c r="CB228" i="5"/>
  <c r="BU228" i="5"/>
  <c r="BQ228" i="5"/>
  <c r="BI228" i="5"/>
  <c r="BD228" i="5"/>
  <c r="GF219" i="6" s="1"/>
  <c r="BC228" i="5"/>
  <c r="GE219" i="6" s="1"/>
  <c r="BB228" i="5"/>
  <c r="GD219" i="6" s="1"/>
  <c r="AZ228" i="5"/>
  <c r="AY228" i="5"/>
  <c r="AW228" i="5"/>
  <c r="AT228" i="5"/>
  <c r="AS228" i="5"/>
  <c r="AR228" i="5"/>
  <c r="AQ228" i="5"/>
  <c r="AP228" i="5"/>
  <c r="AO228" i="5"/>
  <c r="AN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T228" i="5"/>
  <c r="S228" i="5"/>
  <c r="Q228" i="5"/>
  <c r="P228" i="5"/>
  <c r="N228" i="5"/>
  <c r="K228" i="5"/>
  <c r="J228" i="5"/>
  <c r="I228" i="5"/>
  <c r="H228" i="5"/>
  <c r="G228" i="5"/>
  <c r="F228" i="5"/>
  <c r="E228" i="5"/>
  <c r="D228" i="5"/>
  <c r="B228" i="5"/>
  <c r="CH227" i="5"/>
  <c r="CD227" i="5"/>
  <c r="CC227" i="5"/>
  <c r="CB227" i="5"/>
  <c r="BU227" i="5"/>
  <c r="BQ227" i="5"/>
  <c r="BI227" i="5"/>
  <c r="BD227" i="5"/>
  <c r="GF218" i="6" s="1"/>
  <c r="BC227" i="5"/>
  <c r="GE218" i="6" s="1"/>
  <c r="BB227" i="5"/>
  <c r="GD218" i="6" s="1"/>
  <c r="AZ227" i="5"/>
  <c r="AY227" i="5"/>
  <c r="AW227" i="5"/>
  <c r="AT227" i="5"/>
  <c r="AS227" i="5"/>
  <c r="AR227" i="5"/>
  <c r="AQ227" i="5"/>
  <c r="AP227" i="5"/>
  <c r="AO227" i="5"/>
  <c r="AN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T227" i="5"/>
  <c r="S227" i="5"/>
  <c r="Q227" i="5"/>
  <c r="P227" i="5"/>
  <c r="N227" i="5"/>
  <c r="K227" i="5"/>
  <c r="J227" i="5"/>
  <c r="I227" i="5"/>
  <c r="H227" i="5"/>
  <c r="G227" i="5"/>
  <c r="F227" i="5"/>
  <c r="E227" i="5"/>
  <c r="D227" i="5"/>
  <c r="B227" i="5"/>
  <c r="CH226" i="5"/>
  <c r="CD226" i="5"/>
  <c r="CC226" i="5"/>
  <c r="CB226" i="5"/>
  <c r="BU226" i="5"/>
  <c r="BQ226" i="5"/>
  <c r="BI226" i="5"/>
  <c r="BD226" i="5"/>
  <c r="BC226" i="5"/>
  <c r="GE217" i="6" s="1"/>
  <c r="BB226" i="5"/>
  <c r="GD217" i="6" s="1"/>
  <c r="AZ226" i="5"/>
  <c r="AY226" i="5"/>
  <c r="AW226" i="5"/>
  <c r="AT226" i="5"/>
  <c r="AS226" i="5"/>
  <c r="AR226" i="5"/>
  <c r="AQ226" i="5"/>
  <c r="AP226" i="5"/>
  <c r="AO226" i="5"/>
  <c r="AN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T226" i="5"/>
  <c r="S226" i="5"/>
  <c r="Q226" i="5"/>
  <c r="P226" i="5"/>
  <c r="N226" i="5"/>
  <c r="K226" i="5"/>
  <c r="J226" i="5"/>
  <c r="I226" i="5"/>
  <c r="H226" i="5"/>
  <c r="G226" i="5"/>
  <c r="F226" i="5"/>
  <c r="E226" i="5"/>
  <c r="D226" i="5"/>
  <c r="B226" i="5"/>
  <c r="CH225" i="5"/>
  <c r="CD225" i="5"/>
  <c r="CC225" i="5"/>
  <c r="CB225" i="5"/>
  <c r="BU225" i="5"/>
  <c r="BQ225" i="5"/>
  <c r="BI225" i="5"/>
  <c r="BD225" i="5"/>
  <c r="GF216" i="6" s="1"/>
  <c r="BC225" i="5"/>
  <c r="GE216" i="6" s="1"/>
  <c r="BB225" i="5"/>
  <c r="GD216" i="6" s="1"/>
  <c r="AZ225" i="5"/>
  <c r="AY225" i="5"/>
  <c r="AW225" i="5"/>
  <c r="AT225" i="5"/>
  <c r="AS225" i="5"/>
  <c r="AR225" i="5"/>
  <c r="AQ225" i="5"/>
  <c r="AP225" i="5"/>
  <c r="AO225" i="5"/>
  <c r="AN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T225" i="5"/>
  <c r="S225" i="5"/>
  <c r="Q225" i="5"/>
  <c r="P225" i="5"/>
  <c r="N225" i="5"/>
  <c r="K225" i="5"/>
  <c r="J225" i="5"/>
  <c r="I225" i="5"/>
  <c r="H225" i="5"/>
  <c r="G225" i="5"/>
  <c r="F225" i="5"/>
  <c r="E225" i="5"/>
  <c r="D225" i="5"/>
  <c r="B225" i="5"/>
  <c r="CH224" i="5"/>
  <c r="CD224" i="5"/>
  <c r="CC224" i="5"/>
  <c r="CB224" i="5"/>
  <c r="BU224" i="5"/>
  <c r="BQ224" i="5"/>
  <c r="BI224" i="5"/>
  <c r="BD224" i="5"/>
  <c r="BC224" i="5"/>
  <c r="GE215" i="6" s="1"/>
  <c r="BB224" i="5"/>
  <c r="GD215" i="6" s="1"/>
  <c r="AZ224" i="5"/>
  <c r="AY224" i="5"/>
  <c r="AW224" i="5"/>
  <c r="AT224" i="5"/>
  <c r="AS224" i="5"/>
  <c r="AR224" i="5"/>
  <c r="AQ224" i="5"/>
  <c r="AP224" i="5"/>
  <c r="AO224" i="5"/>
  <c r="AN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T224" i="5"/>
  <c r="S224" i="5"/>
  <c r="Q224" i="5"/>
  <c r="P224" i="5"/>
  <c r="N224" i="5"/>
  <c r="K224" i="5"/>
  <c r="J224" i="5"/>
  <c r="I224" i="5"/>
  <c r="H224" i="5"/>
  <c r="G224" i="5"/>
  <c r="F224" i="5"/>
  <c r="E224" i="5"/>
  <c r="D224" i="5"/>
  <c r="B224" i="5"/>
  <c r="CH223" i="5"/>
  <c r="CD223" i="5"/>
  <c r="CC223" i="5"/>
  <c r="CB223" i="5"/>
  <c r="BU223" i="5"/>
  <c r="BQ223" i="5"/>
  <c r="BI223" i="5"/>
  <c r="BD223" i="5"/>
  <c r="BC223" i="5"/>
  <c r="GE214" i="6" s="1"/>
  <c r="BB223" i="5"/>
  <c r="GD214" i="6" s="1"/>
  <c r="AZ223" i="5"/>
  <c r="AY223" i="5"/>
  <c r="AW223" i="5"/>
  <c r="AT223" i="5"/>
  <c r="AS223" i="5"/>
  <c r="AR223" i="5"/>
  <c r="AQ223" i="5"/>
  <c r="AP223" i="5"/>
  <c r="AO223" i="5"/>
  <c r="AN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T223" i="5"/>
  <c r="S223" i="5"/>
  <c r="Q223" i="5"/>
  <c r="P223" i="5"/>
  <c r="N223" i="5"/>
  <c r="K223" i="5"/>
  <c r="J223" i="5"/>
  <c r="I223" i="5"/>
  <c r="H223" i="5"/>
  <c r="G223" i="5"/>
  <c r="F223" i="5"/>
  <c r="E223" i="5"/>
  <c r="D223" i="5"/>
  <c r="B223" i="5"/>
  <c r="CH222" i="5"/>
  <c r="CD222" i="5"/>
  <c r="CC222" i="5"/>
  <c r="CB222" i="5"/>
  <c r="BU222" i="5"/>
  <c r="BQ222" i="5"/>
  <c r="BI222" i="5"/>
  <c r="BD222" i="5"/>
  <c r="GF213" i="6" s="1"/>
  <c r="BC222" i="5"/>
  <c r="GE213" i="6" s="1"/>
  <c r="BB222" i="5"/>
  <c r="GD213" i="6" s="1"/>
  <c r="AZ222" i="5"/>
  <c r="AY222" i="5"/>
  <c r="AW222" i="5"/>
  <c r="AT222" i="5"/>
  <c r="AS222" i="5"/>
  <c r="AR222" i="5"/>
  <c r="AQ222" i="5"/>
  <c r="AP222" i="5"/>
  <c r="AO222" i="5"/>
  <c r="AN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T222" i="5"/>
  <c r="S222" i="5"/>
  <c r="Q222" i="5"/>
  <c r="P222" i="5"/>
  <c r="N222" i="5"/>
  <c r="K222" i="5"/>
  <c r="J222" i="5"/>
  <c r="I222" i="5"/>
  <c r="H222" i="5"/>
  <c r="G222" i="5"/>
  <c r="F222" i="5"/>
  <c r="E222" i="5"/>
  <c r="D222" i="5"/>
  <c r="B222" i="5"/>
  <c r="CH221" i="5"/>
  <c r="CD221" i="5"/>
  <c r="CC221" i="5"/>
  <c r="CB221" i="5"/>
  <c r="BU221" i="5"/>
  <c r="BQ221" i="5"/>
  <c r="BI221" i="5"/>
  <c r="BD221" i="5"/>
  <c r="GF212" i="6" s="1"/>
  <c r="BC221" i="5"/>
  <c r="GE212" i="6" s="1"/>
  <c r="BB221" i="5"/>
  <c r="GD212" i="6" s="1"/>
  <c r="AZ221" i="5"/>
  <c r="AY221" i="5"/>
  <c r="AW221" i="5"/>
  <c r="AT221" i="5"/>
  <c r="AS221" i="5"/>
  <c r="AR221" i="5"/>
  <c r="AQ221" i="5"/>
  <c r="AP221" i="5"/>
  <c r="AO221" i="5"/>
  <c r="AN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T221" i="5"/>
  <c r="S221" i="5"/>
  <c r="Q221" i="5"/>
  <c r="P221" i="5"/>
  <c r="N221" i="5"/>
  <c r="K221" i="5"/>
  <c r="J221" i="5"/>
  <c r="I221" i="5"/>
  <c r="H221" i="5"/>
  <c r="G221" i="5"/>
  <c r="F221" i="5"/>
  <c r="E221" i="5"/>
  <c r="D221" i="5"/>
  <c r="B221" i="5"/>
  <c r="CH220" i="5"/>
  <c r="CD220" i="5"/>
  <c r="CC220" i="5"/>
  <c r="CB220" i="5"/>
  <c r="BU220" i="5"/>
  <c r="BQ220" i="5"/>
  <c r="BI220" i="5"/>
  <c r="BD220" i="5"/>
  <c r="GF211" i="6" s="1"/>
  <c r="BC220" i="5"/>
  <c r="GE211" i="6" s="1"/>
  <c r="BB220" i="5"/>
  <c r="GD211" i="6" s="1"/>
  <c r="AZ220" i="5"/>
  <c r="AY220" i="5"/>
  <c r="AW220" i="5"/>
  <c r="AT220" i="5"/>
  <c r="AS220" i="5"/>
  <c r="AR220" i="5"/>
  <c r="AQ220" i="5"/>
  <c r="AP220" i="5"/>
  <c r="AO220" i="5"/>
  <c r="AN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T220" i="5"/>
  <c r="S220" i="5"/>
  <c r="Q220" i="5"/>
  <c r="P220" i="5"/>
  <c r="N220" i="5"/>
  <c r="K220" i="5"/>
  <c r="J220" i="5"/>
  <c r="I220" i="5"/>
  <c r="H220" i="5"/>
  <c r="G220" i="5"/>
  <c r="F220" i="5"/>
  <c r="E220" i="5"/>
  <c r="D220" i="5"/>
  <c r="B220" i="5"/>
  <c r="CH219" i="5"/>
  <c r="CD219" i="5"/>
  <c r="CC219" i="5"/>
  <c r="CB219" i="5"/>
  <c r="BU219" i="5"/>
  <c r="BR219" i="5"/>
  <c r="BQ219" i="5"/>
  <c r="BI219" i="5"/>
  <c r="BD219" i="5"/>
  <c r="GF210" i="6" s="1"/>
  <c r="BC219" i="5"/>
  <c r="GE210" i="6" s="1"/>
  <c r="BB219" i="5"/>
  <c r="GD210" i="6" s="1"/>
  <c r="AZ219" i="5"/>
  <c r="AY219" i="5"/>
  <c r="AW219" i="5"/>
  <c r="AT219" i="5"/>
  <c r="AS219" i="5"/>
  <c r="AR219" i="5"/>
  <c r="AQ219" i="5"/>
  <c r="AP219" i="5"/>
  <c r="AO219" i="5"/>
  <c r="AN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T219" i="5"/>
  <c r="S219" i="5"/>
  <c r="Q219" i="5"/>
  <c r="P219" i="5"/>
  <c r="N219" i="5"/>
  <c r="K219" i="5"/>
  <c r="J219" i="5"/>
  <c r="I219" i="5"/>
  <c r="H219" i="5"/>
  <c r="G219" i="5"/>
  <c r="F219" i="5"/>
  <c r="E219" i="5"/>
  <c r="D219" i="5"/>
  <c r="B219" i="5"/>
  <c r="CH218" i="5"/>
  <c r="CD218" i="5"/>
  <c r="CC218" i="5"/>
  <c r="CB218" i="5"/>
  <c r="BU218" i="5"/>
  <c r="BR218" i="5"/>
  <c r="BQ218" i="5"/>
  <c r="BI218" i="5"/>
  <c r="BD218" i="5"/>
  <c r="BC218" i="5"/>
  <c r="GE209" i="6" s="1"/>
  <c r="BB218" i="5"/>
  <c r="GD209" i="6" s="1"/>
  <c r="AZ218" i="5"/>
  <c r="AY218" i="5"/>
  <c r="AW218" i="5"/>
  <c r="AT218" i="5"/>
  <c r="AS218" i="5"/>
  <c r="AR218" i="5"/>
  <c r="AQ218" i="5"/>
  <c r="AP218" i="5"/>
  <c r="AO218" i="5"/>
  <c r="AN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T218" i="5"/>
  <c r="S218" i="5"/>
  <c r="Q218" i="5"/>
  <c r="P218" i="5"/>
  <c r="N218" i="5"/>
  <c r="K218" i="5"/>
  <c r="J218" i="5"/>
  <c r="I218" i="5"/>
  <c r="H218" i="5"/>
  <c r="G218" i="5"/>
  <c r="F218" i="5"/>
  <c r="E218" i="5"/>
  <c r="D218" i="5"/>
  <c r="B218" i="5"/>
  <c r="CH217" i="5"/>
  <c r="CD217" i="5"/>
  <c r="CC217" i="5"/>
  <c r="CB217" i="5"/>
  <c r="BU217" i="5"/>
  <c r="BR217" i="5"/>
  <c r="BQ217" i="5"/>
  <c r="BI217" i="5"/>
  <c r="BD217" i="5"/>
  <c r="GF208" i="6" s="1"/>
  <c r="BC217" i="5"/>
  <c r="GE208" i="6" s="1"/>
  <c r="BB217" i="5"/>
  <c r="GD208" i="6" s="1"/>
  <c r="AZ217" i="5"/>
  <c r="AY217" i="5"/>
  <c r="AW217" i="5"/>
  <c r="AT217" i="5"/>
  <c r="AS217" i="5"/>
  <c r="AR217" i="5"/>
  <c r="AQ217" i="5"/>
  <c r="AP217" i="5"/>
  <c r="AO217" i="5"/>
  <c r="AN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T217" i="5"/>
  <c r="S217" i="5"/>
  <c r="Q217" i="5"/>
  <c r="P217" i="5"/>
  <c r="N217" i="5"/>
  <c r="K217" i="5"/>
  <c r="J217" i="5"/>
  <c r="I217" i="5"/>
  <c r="H217" i="5"/>
  <c r="G217" i="5"/>
  <c r="F217" i="5"/>
  <c r="E217" i="5"/>
  <c r="D217" i="5"/>
  <c r="B217" i="5"/>
  <c r="CH216" i="5"/>
  <c r="CD216" i="5"/>
  <c r="CC216" i="5"/>
  <c r="CB216" i="5"/>
  <c r="BU216" i="5"/>
  <c r="BQ216" i="5"/>
  <c r="BI216" i="5"/>
  <c r="BD216" i="5"/>
  <c r="BC216" i="5"/>
  <c r="GE207" i="6" s="1"/>
  <c r="BB216" i="5"/>
  <c r="GD207" i="6" s="1"/>
  <c r="AZ216" i="5"/>
  <c r="AY216" i="5"/>
  <c r="AW216" i="5"/>
  <c r="AT216" i="5"/>
  <c r="AS216" i="5"/>
  <c r="AR216" i="5"/>
  <c r="AQ216" i="5"/>
  <c r="AP216" i="5"/>
  <c r="AO216" i="5"/>
  <c r="AN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T216" i="5"/>
  <c r="S216" i="5"/>
  <c r="Q216" i="5"/>
  <c r="P216" i="5"/>
  <c r="N216" i="5"/>
  <c r="K216" i="5"/>
  <c r="J216" i="5"/>
  <c r="I216" i="5"/>
  <c r="H216" i="5"/>
  <c r="G216" i="5"/>
  <c r="F216" i="5"/>
  <c r="E216" i="5"/>
  <c r="D216" i="5"/>
  <c r="B216" i="5"/>
  <c r="CH215" i="5"/>
  <c r="CD215" i="5"/>
  <c r="CC215" i="5"/>
  <c r="CB215" i="5"/>
  <c r="BU215" i="5"/>
  <c r="BQ215" i="5"/>
  <c r="BI215" i="5"/>
  <c r="BD215" i="5"/>
  <c r="BC215" i="5"/>
  <c r="GE206" i="6" s="1"/>
  <c r="BB215" i="5"/>
  <c r="GD206" i="6" s="1"/>
  <c r="AZ215" i="5"/>
  <c r="AY215" i="5"/>
  <c r="AW215" i="5"/>
  <c r="AT215" i="5"/>
  <c r="AS215" i="5"/>
  <c r="AR215" i="5"/>
  <c r="AQ215" i="5"/>
  <c r="AP215" i="5"/>
  <c r="AO215" i="5"/>
  <c r="AN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T215" i="5"/>
  <c r="S215" i="5"/>
  <c r="Q215" i="5"/>
  <c r="P215" i="5"/>
  <c r="N215" i="5"/>
  <c r="K215" i="5"/>
  <c r="J215" i="5"/>
  <c r="I215" i="5"/>
  <c r="H215" i="5"/>
  <c r="G215" i="5"/>
  <c r="F215" i="5"/>
  <c r="E215" i="5"/>
  <c r="D215" i="5"/>
  <c r="B215" i="5"/>
  <c r="CH214" i="5"/>
  <c r="CD214" i="5"/>
  <c r="CC214" i="5"/>
  <c r="CB214" i="5"/>
  <c r="BU214" i="5"/>
  <c r="BQ214" i="5"/>
  <c r="BI214" i="5"/>
  <c r="BD214" i="5"/>
  <c r="GF205" i="6" s="1"/>
  <c r="BC214" i="5"/>
  <c r="GE205" i="6" s="1"/>
  <c r="BB214" i="5"/>
  <c r="GD205" i="6" s="1"/>
  <c r="AZ214" i="5"/>
  <c r="AY214" i="5"/>
  <c r="AW214" i="5"/>
  <c r="AT214" i="5"/>
  <c r="AS214" i="5"/>
  <c r="AR214" i="5"/>
  <c r="AQ214" i="5"/>
  <c r="AP214" i="5"/>
  <c r="AO214" i="5"/>
  <c r="AN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T214" i="5"/>
  <c r="S214" i="5"/>
  <c r="Q214" i="5"/>
  <c r="P214" i="5"/>
  <c r="N214" i="5"/>
  <c r="K214" i="5"/>
  <c r="J214" i="5"/>
  <c r="I214" i="5"/>
  <c r="H214" i="5"/>
  <c r="G214" i="5"/>
  <c r="F214" i="5"/>
  <c r="E214" i="5"/>
  <c r="D214" i="5"/>
  <c r="B214" i="5"/>
  <c r="CH213" i="5"/>
  <c r="CD213" i="5"/>
  <c r="CC213" i="5"/>
  <c r="CB213" i="5"/>
  <c r="BU213" i="5"/>
  <c r="BQ213" i="5"/>
  <c r="BI213" i="5"/>
  <c r="BD213" i="5"/>
  <c r="BC213" i="5"/>
  <c r="GE204" i="6" s="1"/>
  <c r="BB213" i="5"/>
  <c r="GD204" i="6" s="1"/>
  <c r="AZ213" i="5"/>
  <c r="AY213" i="5"/>
  <c r="AW213" i="5"/>
  <c r="AT213" i="5"/>
  <c r="AS213" i="5"/>
  <c r="AR213" i="5"/>
  <c r="AQ213" i="5"/>
  <c r="AP213" i="5"/>
  <c r="AO213" i="5"/>
  <c r="AN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T213" i="5"/>
  <c r="S213" i="5"/>
  <c r="Q213" i="5"/>
  <c r="P213" i="5"/>
  <c r="N213" i="5"/>
  <c r="K213" i="5"/>
  <c r="J213" i="5"/>
  <c r="I213" i="5"/>
  <c r="H213" i="5"/>
  <c r="G213" i="5"/>
  <c r="F213" i="5"/>
  <c r="E213" i="5"/>
  <c r="D213" i="5"/>
  <c r="B213" i="5"/>
  <c r="CH212" i="5"/>
  <c r="CD212" i="5"/>
  <c r="CC212" i="5"/>
  <c r="CB212" i="5"/>
  <c r="BU212" i="5"/>
  <c r="BQ212" i="5"/>
  <c r="BI212" i="5"/>
  <c r="BD212" i="5"/>
  <c r="BC212" i="5"/>
  <c r="GE203" i="6" s="1"/>
  <c r="BB212" i="5"/>
  <c r="GD203" i="6" s="1"/>
  <c r="AZ212" i="5"/>
  <c r="AY212" i="5"/>
  <c r="AW212" i="5"/>
  <c r="AT212" i="5"/>
  <c r="AS212" i="5"/>
  <c r="AR212" i="5"/>
  <c r="AQ212" i="5"/>
  <c r="AP212" i="5"/>
  <c r="AO212" i="5"/>
  <c r="AN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T212" i="5"/>
  <c r="S212" i="5"/>
  <c r="Q212" i="5"/>
  <c r="P212" i="5"/>
  <c r="N212" i="5"/>
  <c r="K212" i="5"/>
  <c r="J212" i="5"/>
  <c r="I212" i="5"/>
  <c r="H212" i="5"/>
  <c r="G212" i="5"/>
  <c r="F212" i="5"/>
  <c r="E212" i="5"/>
  <c r="D212" i="5"/>
  <c r="B212" i="5"/>
  <c r="CH211" i="5"/>
  <c r="CD211" i="5"/>
  <c r="CC211" i="5"/>
  <c r="CB211" i="5"/>
  <c r="BU211" i="5"/>
  <c r="BQ211" i="5"/>
  <c r="BI211" i="5"/>
  <c r="BD211" i="5"/>
  <c r="GF202" i="6" s="1"/>
  <c r="BC211" i="5"/>
  <c r="GE202" i="6" s="1"/>
  <c r="BB211" i="5"/>
  <c r="AZ211" i="5"/>
  <c r="AY211" i="5"/>
  <c r="AW211" i="5"/>
  <c r="AT211" i="5"/>
  <c r="AS211" i="5"/>
  <c r="AR211" i="5"/>
  <c r="AO211" i="5"/>
  <c r="AN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T211" i="5"/>
  <c r="S211" i="5"/>
  <c r="Q211" i="5"/>
  <c r="P211" i="5"/>
  <c r="N211" i="5"/>
  <c r="K211" i="5"/>
  <c r="J211" i="5"/>
  <c r="I211" i="5"/>
  <c r="H211" i="5"/>
  <c r="G211" i="5"/>
  <c r="F211" i="5"/>
  <c r="E211" i="5"/>
  <c r="D211" i="5"/>
  <c r="B211" i="5"/>
  <c r="CH210" i="5"/>
  <c r="CD210" i="5"/>
  <c r="CC210" i="5"/>
  <c r="CB210" i="5"/>
  <c r="BU210" i="5"/>
  <c r="BQ210" i="5"/>
  <c r="BI210" i="5"/>
  <c r="BD210" i="5"/>
  <c r="GF201" i="6" s="1"/>
  <c r="BC210" i="5"/>
  <c r="GE201" i="6" s="1"/>
  <c r="BB210" i="5"/>
  <c r="GD201" i="6" s="1"/>
  <c r="AZ210" i="5"/>
  <c r="AY210" i="5"/>
  <c r="AW210" i="5"/>
  <c r="AT210" i="5"/>
  <c r="AS210" i="5"/>
  <c r="AR210" i="5"/>
  <c r="AO210" i="5"/>
  <c r="AN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T210" i="5"/>
  <c r="S210" i="5"/>
  <c r="Q210" i="5"/>
  <c r="P210" i="5"/>
  <c r="N210" i="5"/>
  <c r="K210" i="5"/>
  <c r="J210" i="5"/>
  <c r="I210" i="5"/>
  <c r="H210" i="5"/>
  <c r="G210" i="5"/>
  <c r="F210" i="5"/>
  <c r="E210" i="5"/>
  <c r="D210" i="5"/>
  <c r="B210" i="5"/>
  <c r="CH209" i="5"/>
  <c r="CD209" i="5"/>
  <c r="CC209" i="5"/>
  <c r="CB209" i="5"/>
  <c r="BU209" i="5"/>
  <c r="BQ209" i="5"/>
  <c r="BI209" i="5"/>
  <c r="BD209" i="5"/>
  <c r="BC209" i="5"/>
  <c r="GE200" i="6" s="1"/>
  <c r="BB209" i="5"/>
  <c r="GD200" i="6" s="1"/>
  <c r="AZ209" i="5"/>
  <c r="AY209" i="5"/>
  <c r="AW209" i="5"/>
  <c r="AT209" i="5"/>
  <c r="AS209" i="5"/>
  <c r="AR209" i="5"/>
  <c r="AO209" i="5"/>
  <c r="AN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T209" i="5"/>
  <c r="S209" i="5"/>
  <c r="Q209" i="5"/>
  <c r="P209" i="5"/>
  <c r="N209" i="5"/>
  <c r="K209" i="5"/>
  <c r="J209" i="5"/>
  <c r="I209" i="5"/>
  <c r="H209" i="5"/>
  <c r="G209" i="5"/>
  <c r="F209" i="5"/>
  <c r="E209" i="5"/>
  <c r="D209" i="5"/>
  <c r="B209" i="5"/>
  <c r="CH208" i="5"/>
  <c r="CD208" i="5"/>
  <c r="CC208" i="5"/>
  <c r="CB208" i="5"/>
  <c r="BU208" i="5"/>
  <c r="BQ208" i="5"/>
  <c r="BI208" i="5"/>
  <c r="BD208" i="5"/>
  <c r="GF199" i="6" s="1"/>
  <c r="BC208" i="5"/>
  <c r="GE199" i="6" s="1"/>
  <c r="BB208" i="5"/>
  <c r="GD199" i="6" s="1"/>
  <c r="AZ208" i="5"/>
  <c r="AY208" i="5"/>
  <c r="AW208" i="5"/>
  <c r="AT208" i="5"/>
  <c r="AS208" i="5"/>
  <c r="AR208" i="5"/>
  <c r="AO208" i="5"/>
  <c r="AN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T208" i="5"/>
  <c r="S208" i="5"/>
  <c r="Q208" i="5"/>
  <c r="P208" i="5"/>
  <c r="N208" i="5"/>
  <c r="K208" i="5"/>
  <c r="J208" i="5"/>
  <c r="I208" i="5"/>
  <c r="H208" i="5"/>
  <c r="G208" i="5"/>
  <c r="F208" i="5"/>
  <c r="E208" i="5"/>
  <c r="D208" i="5"/>
  <c r="B208" i="5"/>
  <c r="CH207" i="5"/>
  <c r="CD207" i="5"/>
  <c r="CC207" i="5"/>
  <c r="CB207" i="5"/>
  <c r="BU207" i="5"/>
  <c r="BR207" i="5"/>
  <c r="BQ207" i="5"/>
  <c r="BS207" i="5" s="1"/>
  <c r="BI207" i="5"/>
  <c r="BD207" i="5"/>
  <c r="BC207" i="5"/>
  <c r="GE198" i="6" s="1"/>
  <c r="BB207" i="5"/>
  <c r="GD198" i="6" s="1"/>
  <c r="AZ207" i="5"/>
  <c r="AY207" i="5"/>
  <c r="AW207" i="5"/>
  <c r="AT207" i="5"/>
  <c r="AS207" i="5"/>
  <c r="AR207" i="5"/>
  <c r="AO207" i="5"/>
  <c r="AN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T207" i="5"/>
  <c r="S207" i="5"/>
  <c r="Q207" i="5"/>
  <c r="P207" i="5"/>
  <c r="N207" i="5"/>
  <c r="K207" i="5"/>
  <c r="J207" i="5"/>
  <c r="I207" i="5"/>
  <c r="H207" i="5"/>
  <c r="G207" i="5"/>
  <c r="F207" i="5"/>
  <c r="E207" i="5"/>
  <c r="D207" i="5"/>
  <c r="B207" i="5"/>
  <c r="CH206" i="5"/>
  <c r="CD206" i="5"/>
  <c r="CC206" i="5"/>
  <c r="CB206" i="5"/>
  <c r="BU206" i="5"/>
  <c r="BR206" i="5"/>
  <c r="BQ206" i="5"/>
  <c r="BI206" i="5"/>
  <c r="BD206" i="5"/>
  <c r="GF197" i="6" s="1"/>
  <c r="BC206" i="5"/>
  <c r="GE197" i="6" s="1"/>
  <c r="BB206" i="5"/>
  <c r="GD197" i="6" s="1"/>
  <c r="AZ206" i="5"/>
  <c r="AY206" i="5"/>
  <c r="AW206" i="5"/>
  <c r="AT206" i="5"/>
  <c r="AS206" i="5"/>
  <c r="AR206" i="5"/>
  <c r="AO206" i="5"/>
  <c r="AL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T206" i="5"/>
  <c r="S206" i="5"/>
  <c r="Q206" i="5"/>
  <c r="P206" i="5"/>
  <c r="N206" i="5"/>
  <c r="K206" i="5"/>
  <c r="J206" i="5"/>
  <c r="I206" i="5"/>
  <c r="H206" i="5"/>
  <c r="G206" i="5"/>
  <c r="F206" i="5"/>
  <c r="E206" i="5"/>
  <c r="D206" i="5"/>
  <c r="B206" i="5"/>
  <c r="CH205" i="5"/>
  <c r="CD205" i="5"/>
  <c r="CC205" i="5"/>
  <c r="CB205" i="5"/>
  <c r="BU205" i="5"/>
  <c r="BR205" i="5"/>
  <c r="BQ205" i="5"/>
  <c r="BI205" i="5"/>
  <c r="BD205" i="5"/>
  <c r="GF196" i="6" s="1"/>
  <c r="BC205" i="5"/>
  <c r="GE196" i="6" s="1"/>
  <c r="BB205" i="5"/>
  <c r="AZ205" i="5"/>
  <c r="AY205" i="5"/>
  <c r="AW205" i="5"/>
  <c r="AT205" i="5"/>
  <c r="AS205" i="5"/>
  <c r="AR205" i="5"/>
  <c r="AO205" i="5"/>
  <c r="AL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T205" i="5"/>
  <c r="S205" i="5"/>
  <c r="Q205" i="5"/>
  <c r="P205" i="5"/>
  <c r="N205" i="5"/>
  <c r="K205" i="5"/>
  <c r="J205" i="5"/>
  <c r="I205" i="5"/>
  <c r="H205" i="5"/>
  <c r="G205" i="5"/>
  <c r="F205" i="5"/>
  <c r="E205" i="5"/>
  <c r="D205" i="5"/>
  <c r="B205" i="5"/>
  <c r="CH204" i="5"/>
  <c r="CD204" i="5"/>
  <c r="CC204" i="5"/>
  <c r="CB204" i="5"/>
  <c r="BU204" i="5"/>
  <c r="BQ204" i="5"/>
  <c r="BI204" i="5"/>
  <c r="BD204" i="5"/>
  <c r="GF195" i="6" s="1"/>
  <c r="BC204" i="5"/>
  <c r="GE195" i="6" s="1"/>
  <c r="BB204" i="5"/>
  <c r="GD195" i="6" s="1"/>
  <c r="AZ204" i="5"/>
  <c r="AY204" i="5"/>
  <c r="AW204" i="5"/>
  <c r="AT204" i="5"/>
  <c r="AS204" i="5"/>
  <c r="AR204" i="5"/>
  <c r="AO204" i="5"/>
  <c r="AL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T204" i="5"/>
  <c r="S204" i="5"/>
  <c r="Q204" i="5"/>
  <c r="P204" i="5"/>
  <c r="N204" i="5"/>
  <c r="K204" i="5"/>
  <c r="J204" i="5"/>
  <c r="I204" i="5"/>
  <c r="H204" i="5"/>
  <c r="G204" i="5"/>
  <c r="F204" i="5"/>
  <c r="E204" i="5"/>
  <c r="D204" i="5"/>
  <c r="B204" i="5"/>
  <c r="CH203" i="5"/>
  <c r="CD203" i="5"/>
  <c r="CC203" i="5"/>
  <c r="CB203" i="5"/>
  <c r="BU203" i="5"/>
  <c r="BQ203" i="5"/>
  <c r="BI203" i="5"/>
  <c r="BD203" i="5"/>
  <c r="GF194" i="6" s="1"/>
  <c r="BC203" i="5"/>
  <c r="GE194" i="6" s="1"/>
  <c r="BB203" i="5"/>
  <c r="GD194" i="6" s="1"/>
  <c r="AZ203" i="5"/>
  <c r="AY203" i="5"/>
  <c r="AW203" i="5"/>
  <c r="AT203" i="5"/>
  <c r="AS203" i="5"/>
  <c r="AR203" i="5"/>
  <c r="AO203" i="5"/>
  <c r="AL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T203" i="5"/>
  <c r="S203" i="5"/>
  <c r="Q203" i="5"/>
  <c r="P203" i="5"/>
  <c r="N203" i="5"/>
  <c r="K203" i="5"/>
  <c r="J203" i="5"/>
  <c r="I203" i="5"/>
  <c r="H203" i="5"/>
  <c r="G203" i="5"/>
  <c r="F203" i="5"/>
  <c r="E203" i="5"/>
  <c r="D203" i="5"/>
  <c r="B203" i="5"/>
  <c r="CH202" i="5"/>
  <c r="CD202" i="5"/>
  <c r="CC202" i="5"/>
  <c r="CB202" i="5"/>
  <c r="BU202" i="5"/>
  <c r="BQ202" i="5"/>
  <c r="BI202" i="5"/>
  <c r="BD202" i="5"/>
  <c r="BC202" i="5"/>
  <c r="GE193" i="6" s="1"/>
  <c r="BB202" i="5"/>
  <c r="GD193" i="6" s="1"/>
  <c r="AZ202" i="5"/>
  <c r="AY202" i="5"/>
  <c r="AW202" i="5"/>
  <c r="AT202" i="5"/>
  <c r="AS202" i="5"/>
  <c r="AR202" i="5"/>
  <c r="AO202" i="5"/>
  <c r="AL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T202" i="5"/>
  <c r="S202" i="5"/>
  <c r="Q202" i="5"/>
  <c r="P202" i="5"/>
  <c r="N202" i="5"/>
  <c r="K202" i="5"/>
  <c r="J202" i="5"/>
  <c r="I202" i="5"/>
  <c r="H202" i="5"/>
  <c r="G202" i="5"/>
  <c r="F202" i="5"/>
  <c r="E202" i="5"/>
  <c r="D202" i="5"/>
  <c r="B202" i="5"/>
  <c r="CH201" i="5"/>
  <c r="CD201" i="5"/>
  <c r="CC201" i="5"/>
  <c r="CB201" i="5"/>
  <c r="BU201" i="5"/>
  <c r="BQ201" i="5"/>
  <c r="BI201" i="5"/>
  <c r="BD201" i="5"/>
  <c r="GF192" i="6" s="1"/>
  <c r="BC201" i="5"/>
  <c r="GE192" i="6" s="1"/>
  <c r="BB201" i="5"/>
  <c r="GD192" i="6" s="1"/>
  <c r="AZ201" i="5"/>
  <c r="AY201" i="5"/>
  <c r="AW201" i="5"/>
  <c r="AT201" i="5"/>
  <c r="AS201" i="5"/>
  <c r="AR201" i="5"/>
  <c r="AO201" i="5"/>
  <c r="AL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T201" i="5"/>
  <c r="S201" i="5"/>
  <c r="Q201" i="5"/>
  <c r="P201" i="5"/>
  <c r="N201" i="5"/>
  <c r="K201" i="5"/>
  <c r="J201" i="5"/>
  <c r="I201" i="5"/>
  <c r="H201" i="5"/>
  <c r="G201" i="5"/>
  <c r="F201" i="5"/>
  <c r="E201" i="5"/>
  <c r="D201" i="5"/>
  <c r="B201" i="5"/>
  <c r="CH200" i="5"/>
  <c r="CD200" i="5"/>
  <c r="CC200" i="5"/>
  <c r="CB200" i="5"/>
  <c r="BU200" i="5"/>
  <c r="BQ200" i="5"/>
  <c r="BI200" i="5"/>
  <c r="BD200" i="5"/>
  <c r="BC200" i="5"/>
  <c r="GE191" i="6" s="1"/>
  <c r="BB200" i="5"/>
  <c r="GD191" i="6" s="1"/>
  <c r="AZ200" i="5"/>
  <c r="AY200" i="5"/>
  <c r="AW200" i="5"/>
  <c r="AT200" i="5"/>
  <c r="AS200" i="5"/>
  <c r="AR200" i="5"/>
  <c r="AO200" i="5"/>
  <c r="AL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T200" i="5"/>
  <c r="S200" i="5"/>
  <c r="Q200" i="5"/>
  <c r="P200" i="5"/>
  <c r="N200" i="5"/>
  <c r="K200" i="5"/>
  <c r="J200" i="5"/>
  <c r="I200" i="5"/>
  <c r="H200" i="5"/>
  <c r="G200" i="5"/>
  <c r="F200" i="5"/>
  <c r="E200" i="5"/>
  <c r="D200" i="5"/>
  <c r="B200" i="5"/>
  <c r="CH199" i="5"/>
  <c r="CD199" i="5"/>
  <c r="CC199" i="5"/>
  <c r="CB199" i="5"/>
  <c r="BU199" i="5"/>
  <c r="BQ199" i="5"/>
  <c r="BI199" i="5"/>
  <c r="BD199" i="5"/>
  <c r="GF190" i="6" s="1"/>
  <c r="BC199" i="5"/>
  <c r="BB199" i="5"/>
  <c r="GD190" i="6" s="1"/>
  <c r="AZ199" i="5"/>
  <c r="AY199" i="5"/>
  <c r="AW199" i="5"/>
  <c r="AT199" i="5"/>
  <c r="AS199" i="5"/>
  <c r="AR199" i="5"/>
  <c r="AO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T199" i="5"/>
  <c r="S199" i="5"/>
  <c r="Q199" i="5"/>
  <c r="P199" i="5"/>
  <c r="N199" i="5"/>
  <c r="K199" i="5"/>
  <c r="J199" i="5"/>
  <c r="I199" i="5"/>
  <c r="H199" i="5"/>
  <c r="G199" i="5"/>
  <c r="F199" i="5"/>
  <c r="E199" i="5"/>
  <c r="D199" i="5"/>
  <c r="B199" i="5"/>
  <c r="CH198" i="5"/>
  <c r="CD198" i="5"/>
  <c r="CC198" i="5"/>
  <c r="CB198" i="5"/>
  <c r="BU198" i="5"/>
  <c r="BQ198" i="5"/>
  <c r="BI198" i="5"/>
  <c r="BD198" i="5"/>
  <c r="BC198" i="5"/>
  <c r="GE189" i="6" s="1"/>
  <c r="BB198" i="5"/>
  <c r="GD189" i="6" s="1"/>
  <c r="AZ198" i="5"/>
  <c r="AY198" i="5"/>
  <c r="AW198" i="5"/>
  <c r="AT198" i="5"/>
  <c r="AS198" i="5"/>
  <c r="AR198" i="5"/>
  <c r="AO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T198" i="5"/>
  <c r="S198" i="5"/>
  <c r="Q198" i="5"/>
  <c r="P198" i="5"/>
  <c r="N198" i="5"/>
  <c r="K198" i="5"/>
  <c r="J198" i="5"/>
  <c r="I198" i="5"/>
  <c r="H198" i="5"/>
  <c r="G198" i="5"/>
  <c r="F198" i="5"/>
  <c r="E198" i="5"/>
  <c r="D198" i="5"/>
  <c r="B198" i="5"/>
  <c r="CH197" i="5"/>
  <c r="CD197" i="5"/>
  <c r="CC197" i="5"/>
  <c r="CB197" i="5"/>
  <c r="BU197" i="5"/>
  <c r="BQ197" i="5"/>
  <c r="BI197" i="5"/>
  <c r="BD197" i="5"/>
  <c r="BC197" i="5"/>
  <c r="GE188" i="6" s="1"/>
  <c r="BB197" i="5"/>
  <c r="GD188" i="6" s="1"/>
  <c r="AZ197" i="5"/>
  <c r="AY197" i="5"/>
  <c r="AW197" i="5"/>
  <c r="AT197" i="5"/>
  <c r="AS197" i="5"/>
  <c r="AR197" i="5"/>
  <c r="AO197" i="5"/>
  <c r="AL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T197" i="5"/>
  <c r="S197" i="5"/>
  <c r="Q197" i="5"/>
  <c r="P197" i="5"/>
  <c r="N197" i="5"/>
  <c r="K197" i="5"/>
  <c r="J197" i="5"/>
  <c r="I197" i="5"/>
  <c r="H197" i="5"/>
  <c r="G197" i="5"/>
  <c r="F197" i="5"/>
  <c r="E197" i="5"/>
  <c r="D197" i="5"/>
  <c r="B197" i="5"/>
  <c r="CH196" i="5"/>
  <c r="CD196" i="5"/>
  <c r="CC196" i="5"/>
  <c r="CB196" i="5"/>
  <c r="BU196" i="5"/>
  <c r="BQ196" i="5"/>
  <c r="BI196" i="5"/>
  <c r="BD196" i="5"/>
  <c r="BC196" i="5"/>
  <c r="GE187" i="6" s="1"/>
  <c r="BB196" i="5"/>
  <c r="GD187" i="6" s="1"/>
  <c r="AZ196" i="5"/>
  <c r="AY196" i="5"/>
  <c r="AW196" i="5"/>
  <c r="AT196" i="5"/>
  <c r="AS196" i="5"/>
  <c r="AR196" i="5"/>
  <c r="AO196" i="5"/>
  <c r="AL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T196" i="5"/>
  <c r="S196" i="5"/>
  <c r="Q196" i="5"/>
  <c r="P196" i="5"/>
  <c r="N196" i="5"/>
  <c r="K196" i="5"/>
  <c r="J196" i="5"/>
  <c r="I196" i="5"/>
  <c r="H196" i="5"/>
  <c r="G196" i="5"/>
  <c r="F196" i="5"/>
  <c r="E196" i="5"/>
  <c r="D196" i="5"/>
  <c r="B196" i="5"/>
  <c r="CH195" i="5"/>
  <c r="CD195" i="5"/>
  <c r="CC195" i="5"/>
  <c r="CB195" i="5"/>
  <c r="BU195" i="5"/>
  <c r="BR195" i="5"/>
  <c r="BQ195" i="5"/>
  <c r="BI195" i="5"/>
  <c r="BD195" i="5"/>
  <c r="GF186" i="6" s="1"/>
  <c r="BC195" i="5"/>
  <c r="GE186" i="6" s="1"/>
  <c r="BB195" i="5"/>
  <c r="GD186" i="6" s="1"/>
  <c r="AZ195" i="5"/>
  <c r="AY195" i="5"/>
  <c r="AW195" i="5"/>
  <c r="AT195" i="5"/>
  <c r="AS195" i="5"/>
  <c r="AR195" i="5"/>
  <c r="AO195" i="5"/>
  <c r="AL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T195" i="5"/>
  <c r="S195" i="5"/>
  <c r="Q195" i="5"/>
  <c r="P195" i="5"/>
  <c r="N195" i="5"/>
  <c r="K195" i="5"/>
  <c r="J195" i="5"/>
  <c r="I195" i="5"/>
  <c r="H195" i="5"/>
  <c r="G195" i="5"/>
  <c r="F195" i="5"/>
  <c r="E195" i="5"/>
  <c r="D195" i="5"/>
  <c r="B195" i="5"/>
  <c r="CH194" i="5"/>
  <c r="CD194" i="5"/>
  <c r="CC194" i="5"/>
  <c r="CB194" i="5"/>
  <c r="BU194" i="5"/>
  <c r="BR194" i="5"/>
  <c r="BQ194" i="5"/>
  <c r="BI194" i="5"/>
  <c r="BD194" i="5"/>
  <c r="BC194" i="5"/>
  <c r="GE185" i="6" s="1"/>
  <c r="BB194" i="5"/>
  <c r="GD185" i="6" s="1"/>
  <c r="AZ194" i="5"/>
  <c r="AY194" i="5"/>
  <c r="AW194" i="5"/>
  <c r="AT194" i="5"/>
  <c r="AS194" i="5"/>
  <c r="AR194" i="5"/>
  <c r="AO194" i="5"/>
  <c r="AL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T194" i="5"/>
  <c r="S194" i="5"/>
  <c r="Q194" i="5"/>
  <c r="P194" i="5"/>
  <c r="N194" i="5"/>
  <c r="K194" i="5"/>
  <c r="J194" i="5"/>
  <c r="I194" i="5"/>
  <c r="H194" i="5"/>
  <c r="G194" i="5"/>
  <c r="F194" i="5"/>
  <c r="E194" i="5"/>
  <c r="D194" i="5"/>
  <c r="B194" i="5"/>
  <c r="CH193" i="5"/>
  <c r="CD193" i="5"/>
  <c r="CC193" i="5"/>
  <c r="CB193" i="5"/>
  <c r="BU193" i="5"/>
  <c r="BR193" i="5"/>
  <c r="BQ193" i="5"/>
  <c r="BI193" i="5"/>
  <c r="BD193" i="5"/>
  <c r="GF184" i="6" s="1"/>
  <c r="BC193" i="5"/>
  <c r="GE184" i="6" s="1"/>
  <c r="BB193" i="5"/>
  <c r="GD184" i="6" s="1"/>
  <c r="AZ193" i="5"/>
  <c r="AY193" i="5"/>
  <c r="AW193" i="5"/>
  <c r="AT193" i="5"/>
  <c r="AS193" i="5"/>
  <c r="AR193" i="5"/>
  <c r="AO193" i="5"/>
  <c r="AL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T193" i="5"/>
  <c r="S193" i="5"/>
  <c r="Q193" i="5"/>
  <c r="P193" i="5"/>
  <c r="N193" i="5"/>
  <c r="K193" i="5"/>
  <c r="J193" i="5"/>
  <c r="I193" i="5"/>
  <c r="H193" i="5"/>
  <c r="G193" i="5"/>
  <c r="F193" i="5"/>
  <c r="E193" i="5"/>
  <c r="D193" i="5"/>
  <c r="B193" i="5"/>
  <c r="CH192" i="5"/>
  <c r="CC192" i="5"/>
  <c r="CB192" i="5"/>
  <c r="BU192" i="5"/>
  <c r="BQ192" i="5"/>
  <c r="BI192" i="5"/>
  <c r="BD192" i="5"/>
  <c r="GF183" i="6" s="1"/>
  <c r="BC192" i="5"/>
  <c r="BB192" i="5"/>
  <c r="GD183" i="6" s="1"/>
  <c r="AZ192" i="5"/>
  <c r="AY192" i="5"/>
  <c r="AW192" i="5"/>
  <c r="AT192" i="5"/>
  <c r="AR192" i="5"/>
  <c r="AO192" i="5"/>
  <c r="AL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T192" i="5"/>
  <c r="S192" i="5"/>
  <c r="Q192" i="5"/>
  <c r="P192" i="5"/>
  <c r="N192" i="5"/>
  <c r="K192" i="5"/>
  <c r="J192" i="5"/>
  <c r="I192" i="5"/>
  <c r="H192" i="5"/>
  <c r="G192" i="5"/>
  <c r="F192" i="5"/>
  <c r="E192" i="5"/>
  <c r="D192" i="5"/>
  <c r="B192" i="5"/>
  <c r="CH191" i="5"/>
  <c r="CC191" i="5"/>
  <c r="CB191" i="5"/>
  <c r="BU191" i="5"/>
  <c r="BQ191" i="5"/>
  <c r="BI191" i="5"/>
  <c r="BD191" i="5"/>
  <c r="GF182" i="6" s="1"/>
  <c r="BC191" i="5"/>
  <c r="GE182" i="6" s="1"/>
  <c r="BB191" i="5"/>
  <c r="GD182" i="6" s="1"/>
  <c r="AZ191" i="5"/>
  <c r="AY191" i="5"/>
  <c r="AW191" i="5"/>
  <c r="AT191" i="5"/>
  <c r="AR191" i="5"/>
  <c r="AO191" i="5"/>
  <c r="AL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T191" i="5"/>
  <c r="S191" i="5"/>
  <c r="Q191" i="5"/>
  <c r="P191" i="5"/>
  <c r="N191" i="5"/>
  <c r="K191" i="5"/>
  <c r="J191" i="5"/>
  <c r="I191" i="5"/>
  <c r="H191" i="5"/>
  <c r="G191" i="5"/>
  <c r="F191" i="5"/>
  <c r="E191" i="5"/>
  <c r="D191" i="5"/>
  <c r="B191" i="5"/>
  <c r="CH190" i="5"/>
  <c r="CC190" i="5"/>
  <c r="CB190" i="5"/>
  <c r="BU190" i="5"/>
  <c r="BQ190" i="5"/>
  <c r="BI190" i="5"/>
  <c r="BD190" i="5"/>
  <c r="BC190" i="5"/>
  <c r="GE181" i="6" s="1"/>
  <c r="BB190" i="5"/>
  <c r="GD181" i="6" s="1"/>
  <c r="AZ190" i="5"/>
  <c r="AY190" i="5"/>
  <c r="AW190" i="5"/>
  <c r="AT190" i="5"/>
  <c r="AR190" i="5"/>
  <c r="AO190" i="5"/>
  <c r="AL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T190" i="5"/>
  <c r="S190" i="5"/>
  <c r="Q190" i="5"/>
  <c r="P190" i="5"/>
  <c r="N190" i="5"/>
  <c r="K190" i="5"/>
  <c r="J190" i="5"/>
  <c r="I190" i="5"/>
  <c r="H190" i="5"/>
  <c r="G190" i="5"/>
  <c r="F190" i="5"/>
  <c r="E190" i="5"/>
  <c r="D190" i="5"/>
  <c r="B190" i="5"/>
  <c r="CH189" i="5"/>
  <c r="CC189" i="5"/>
  <c r="CB189" i="5"/>
  <c r="BU189" i="5"/>
  <c r="BQ189" i="5"/>
  <c r="BI189" i="5"/>
  <c r="BD189" i="5"/>
  <c r="GF180" i="6" s="1"/>
  <c r="BC189" i="5"/>
  <c r="GE180" i="6" s="1"/>
  <c r="BB189" i="5"/>
  <c r="GD180" i="6" s="1"/>
  <c r="AZ189" i="5"/>
  <c r="AY189" i="5"/>
  <c r="AW189" i="5"/>
  <c r="AT189" i="5"/>
  <c r="AR189" i="5"/>
  <c r="AO189" i="5"/>
  <c r="AL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T189" i="5"/>
  <c r="S189" i="5"/>
  <c r="Q189" i="5"/>
  <c r="P189" i="5"/>
  <c r="N189" i="5"/>
  <c r="K189" i="5"/>
  <c r="J189" i="5"/>
  <c r="I189" i="5"/>
  <c r="H189" i="5"/>
  <c r="G189" i="5"/>
  <c r="F189" i="5"/>
  <c r="E189" i="5"/>
  <c r="D189" i="5"/>
  <c r="B189" i="5"/>
  <c r="CH188" i="5"/>
  <c r="CC188" i="5"/>
  <c r="CB188" i="5"/>
  <c r="BU188" i="5"/>
  <c r="BQ188" i="5"/>
  <c r="BI188" i="5"/>
  <c r="BD188" i="5"/>
  <c r="GF179" i="6" s="1"/>
  <c r="BC188" i="5"/>
  <c r="GE179" i="6" s="1"/>
  <c r="BB188" i="5"/>
  <c r="GD179" i="6" s="1"/>
  <c r="AZ188" i="5"/>
  <c r="AY188" i="5"/>
  <c r="AW188" i="5"/>
  <c r="AT188" i="5"/>
  <c r="AR188" i="5"/>
  <c r="AO188" i="5"/>
  <c r="AL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T188" i="5"/>
  <c r="S188" i="5"/>
  <c r="Q188" i="5"/>
  <c r="P188" i="5"/>
  <c r="N188" i="5"/>
  <c r="K188" i="5"/>
  <c r="J188" i="5"/>
  <c r="I188" i="5"/>
  <c r="H188" i="5"/>
  <c r="G188" i="5"/>
  <c r="F188" i="5"/>
  <c r="E188" i="5"/>
  <c r="D188" i="5"/>
  <c r="B188" i="5"/>
  <c r="CH187" i="5"/>
  <c r="CC187" i="5"/>
  <c r="CB187" i="5"/>
  <c r="BU187" i="5"/>
  <c r="BQ187" i="5"/>
  <c r="BI187" i="5"/>
  <c r="BD187" i="5"/>
  <c r="GF178" i="6" s="1"/>
  <c r="BC187" i="5"/>
  <c r="GE178" i="6" s="1"/>
  <c r="BB187" i="5"/>
  <c r="GD178" i="6" s="1"/>
  <c r="AZ187" i="5"/>
  <c r="AY187" i="5"/>
  <c r="AW187" i="5"/>
  <c r="AT187" i="5"/>
  <c r="AR187" i="5"/>
  <c r="AL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T187" i="5"/>
  <c r="S187" i="5"/>
  <c r="Q187" i="5"/>
  <c r="P187" i="5"/>
  <c r="N187" i="5"/>
  <c r="K187" i="5"/>
  <c r="J187" i="5"/>
  <c r="I187" i="5"/>
  <c r="H187" i="5"/>
  <c r="G187" i="5"/>
  <c r="F187" i="5"/>
  <c r="E187" i="5"/>
  <c r="D187" i="5"/>
  <c r="B187" i="5"/>
  <c r="CH186" i="5"/>
  <c r="CC186" i="5"/>
  <c r="CB186" i="5"/>
  <c r="BU186" i="5"/>
  <c r="BR186" i="5"/>
  <c r="BQ186" i="5"/>
  <c r="BI186" i="5"/>
  <c r="BD186" i="5"/>
  <c r="GF177" i="6" s="1"/>
  <c r="BC186" i="5"/>
  <c r="GE177" i="6" s="1"/>
  <c r="BB186" i="5"/>
  <c r="GD177" i="6" s="1"/>
  <c r="AZ186" i="5"/>
  <c r="AY186" i="5"/>
  <c r="AW186" i="5"/>
  <c r="AT186" i="5"/>
  <c r="AR186" i="5"/>
  <c r="AL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T186" i="5"/>
  <c r="S186" i="5"/>
  <c r="Q186" i="5"/>
  <c r="P186" i="5"/>
  <c r="N186" i="5"/>
  <c r="K186" i="5"/>
  <c r="J186" i="5"/>
  <c r="I186" i="5"/>
  <c r="H186" i="5"/>
  <c r="G186" i="5"/>
  <c r="F186" i="5"/>
  <c r="E186" i="5"/>
  <c r="D186" i="5"/>
  <c r="B186" i="5"/>
  <c r="CH185" i="5"/>
  <c r="CC185" i="5"/>
  <c r="CB185" i="5"/>
  <c r="CD185" i="5" s="1"/>
  <c r="BU185" i="5"/>
  <c r="BR185" i="5"/>
  <c r="BQ185" i="5"/>
  <c r="BI185" i="5"/>
  <c r="BD185" i="5"/>
  <c r="GF176" i="6" s="1"/>
  <c r="BC185" i="5"/>
  <c r="GE176" i="6" s="1"/>
  <c r="BB185" i="5"/>
  <c r="GD176" i="6" s="1"/>
  <c r="AZ185" i="5"/>
  <c r="AY185" i="5"/>
  <c r="AW185" i="5"/>
  <c r="AT185" i="5"/>
  <c r="AL185" i="5"/>
  <c r="AI185" i="5"/>
  <c r="AH185" i="5"/>
  <c r="AF185" i="5"/>
  <c r="AE185" i="5"/>
  <c r="AD185" i="5"/>
  <c r="AC185" i="5"/>
  <c r="AB185" i="5"/>
  <c r="AA185" i="5"/>
  <c r="Z185" i="5"/>
  <c r="Y185" i="5"/>
  <c r="X185" i="5"/>
  <c r="W185" i="5"/>
  <c r="T185" i="5"/>
  <c r="S185" i="5"/>
  <c r="Q185" i="5"/>
  <c r="P185" i="5"/>
  <c r="N185" i="5"/>
  <c r="K185" i="5"/>
  <c r="J185" i="5"/>
  <c r="I185" i="5"/>
  <c r="H185" i="5"/>
  <c r="G185" i="5"/>
  <c r="F185" i="5"/>
  <c r="E185" i="5"/>
  <c r="D185" i="5"/>
  <c r="B185" i="5"/>
  <c r="CH184" i="5"/>
  <c r="CC184" i="5"/>
  <c r="CB184" i="5"/>
  <c r="BU184" i="5"/>
  <c r="BR184" i="5"/>
  <c r="BQ184" i="5"/>
  <c r="BI184" i="5"/>
  <c r="BD184" i="5"/>
  <c r="BC184" i="5"/>
  <c r="GE175" i="6" s="1"/>
  <c r="BB184" i="5"/>
  <c r="GD175" i="6" s="1"/>
  <c r="AZ184" i="5"/>
  <c r="AY184" i="5"/>
  <c r="AW184" i="5"/>
  <c r="AL184" i="5"/>
  <c r="AI184" i="5"/>
  <c r="AH184" i="5"/>
  <c r="AF184" i="5"/>
  <c r="AE184" i="5"/>
  <c r="AD184" i="5"/>
  <c r="AC184" i="5"/>
  <c r="AB184" i="5"/>
  <c r="AA184" i="5"/>
  <c r="Z184" i="5"/>
  <c r="Y184" i="5"/>
  <c r="X184" i="5"/>
  <c r="W184" i="5"/>
  <c r="T184" i="5"/>
  <c r="S184" i="5"/>
  <c r="Q184" i="5"/>
  <c r="P184" i="5"/>
  <c r="N184" i="5"/>
  <c r="K184" i="5"/>
  <c r="J184" i="5"/>
  <c r="I184" i="5"/>
  <c r="H184" i="5"/>
  <c r="G184" i="5"/>
  <c r="F184" i="5"/>
  <c r="E184" i="5"/>
  <c r="D184" i="5"/>
  <c r="B184" i="5"/>
  <c r="CH183" i="5"/>
  <c r="CC183" i="5"/>
  <c r="CB183" i="5"/>
  <c r="BU183" i="5"/>
  <c r="BR183" i="5"/>
  <c r="BQ183" i="5"/>
  <c r="BI183" i="5"/>
  <c r="BD183" i="5"/>
  <c r="GF174" i="6" s="1"/>
  <c r="BC183" i="5"/>
  <c r="BB183" i="5"/>
  <c r="GD174" i="6" s="1"/>
  <c r="AZ183" i="5"/>
  <c r="AY183" i="5"/>
  <c r="AW183" i="5"/>
  <c r="AL183" i="5"/>
  <c r="AI183" i="5"/>
  <c r="AH183" i="5"/>
  <c r="AF183" i="5"/>
  <c r="AE183" i="5"/>
  <c r="AD183" i="5"/>
  <c r="AB183" i="5"/>
  <c r="AA183" i="5"/>
  <c r="Z183" i="5"/>
  <c r="Y183" i="5"/>
  <c r="X183" i="5"/>
  <c r="W183" i="5"/>
  <c r="T183" i="5"/>
  <c r="S183" i="5"/>
  <c r="Q183" i="5"/>
  <c r="P183" i="5"/>
  <c r="N183" i="5"/>
  <c r="K183" i="5"/>
  <c r="J183" i="5"/>
  <c r="I183" i="5"/>
  <c r="H183" i="5"/>
  <c r="G183" i="5"/>
  <c r="F183" i="5"/>
  <c r="E183" i="5"/>
  <c r="D183" i="5"/>
  <c r="B183" i="5"/>
  <c r="CH182" i="5"/>
  <c r="CC182" i="5"/>
  <c r="CB182" i="5"/>
  <c r="BU182" i="5"/>
  <c r="BR182" i="5"/>
  <c r="BQ182" i="5"/>
  <c r="BI182" i="5"/>
  <c r="BD182" i="5"/>
  <c r="GF173" i="6" s="1"/>
  <c r="BC182" i="5"/>
  <c r="GE173" i="6" s="1"/>
  <c r="BB182" i="5"/>
  <c r="GD173" i="6" s="1"/>
  <c r="AZ182" i="5"/>
  <c r="AY182" i="5"/>
  <c r="AW182" i="5"/>
  <c r="AL182" i="5"/>
  <c r="AI182" i="5"/>
  <c r="AH182" i="5"/>
  <c r="AF182" i="5"/>
  <c r="AE182" i="5"/>
  <c r="AD182" i="5"/>
  <c r="AB182" i="5"/>
  <c r="AA182" i="5"/>
  <c r="Z182" i="5"/>
  <c r="Y182" i="5"/>
  <c r="X182" i="5"/>
  <c r="W182" i="5"/>
  <c r="T182" i="5"/>
  <c r="S182" i="5"/>
  <c r="Q182" i="5"/>
  <c r="P182" i="5"/>
  <c r="N182" i="5"/>
  <c r="K182" i="5"/>
  <c r="J182" i="5"/>
  <c r="I182" i="5"/>
  <c r="H182" i="5"/>
  <c r="G182" i="5"/>
  <c r="F182" i="5"/>
  <c r="E182" i="5"/>
  <c r="D182" i="5"/>
  <c r="B182" i="5"/>
  <c r="CH181" i="5"/>
  <c r="CC181" i="5"/>
  <c r="CB181" i="5"/>
  <c r="BU181" i="5"/>
  <c r="BR181" i="5"/>
  <c r="BQ181" i="5"/>
  <c r="BI181" i="5"/>
  <c r="BD181" i="5"/>
  <c r="GF172" i="6" s="1"/>
  <c r="BC181" i="5"/>
  <c r="GE172" i="6" s="1"/>
  <c r="BB181" i="5"/>
  <c r="GD172" i="6" s="1"/>
  <c r="AZ181" i="5"/>
  <c r="AY181" i="5"/>
  <c r="AW181" i="5"/>
  <c r="AL181" i="5"/>
  <c r="AI181" i="5"/>
  <c r="AH181" i="5"/>
  <c r="AF181" i="5"/>
  <c r="AE181" i="5"/>
  <c r="AD181" i="5"/>
  <c r="AB181" i="5"/>
  <c r="AA181" i="5"/>
  <c r="Z181" i="5"/>
  <c r="Y181" i="5"/>
  <c r="X181" i="5"/>
  <c r="W181" i="5"/>
  <c r="T181" i="5"/>
  <c r="S181" i="5"/>
  <c r="Q181" i="5"/>
  <c r="P181" i="5"/>
  <c r="N181" i="5"/>
  <c r="K181" i="5"/>
  <c r="J181" i="5"/>
  <c r="I181" i="5"/>
  <c r="H181" i="5"/>
  <c r="G181" i="5"/>
  <c r="F181" i="5"/>
  <c r="E181" i="5"/>
  <c r="D181" i="5"/>
  <c r="B181" i="5"/>
  <c r="CH180" i="5"/>
  <c r="CC180" i="5"/>
  <c r="CB180" i="5"/>
  <c r="BU180" i="5"/>
  <c r="BR180" i="5"/>
  <c r="BQ180" i="5"/>
  <c r="BJ180" i="5"/>
  <c r="BI180" i="5"/>
  <c r="BD180" i="5"/>
  <c r="GF171" i="6" s="1"/>
  <c r="BC180" i="5"/>
  <c r="GE171" i="6" s="1"/>
  <c r="BB180" i="5"/>
  <c r="GD171" i="6" s="1"/>
  <c r="AZ180" i="5"/>
  <c r="AY180" i="5"/>
  <c r="AW180" i="5"/>
  <c r="AL180" i="5"/>
  <c r="AI180" i="5"/>
  <c r="AH180" i="5"/>
  <c r="AF180" i="5"/>
  <c r="AE180" i="5"/>
  <c r="AD180" i="5"/>
  <c r="AB180" i="5"/>
  <c r="AA180" i="5"/>
  <c r="Z180" i="5"/>
  <c r="Y180" i="5"/>
  <c r="X180" i="5"/>
  <c r="W180" i="5"/>
  <c r="T180" i="5"/>
  <c r="S180" i="5"/>
  <c r="Q180" i="5"/>
  <c r="P180" i="5"/>
  <c r="N180" i="5"/>
  <c r="K180" i="5"/>
  <c r="J180" i="5"/>
  <c r="H180" i="5"/>
  <c r="G180" i="5"/>
  <c r="E180" i="5"/>
  <c r="D180" i="5"/>
  <c r="B180" i="5"/>
  <c r="CH179" i="5"/>
  <c r="CC179" i="5"/>
  <c r="CB179" i="5"/>
  <c r="BU179" i="5"/>
  <c r="BR179" i="5"/>
  <c r="BQ179" i="5"/>
  <c r="BJ179" i="5"/>
  <c r="BI179" i="5"/>
  <c r="BD179" i="5"/>
  <c r="BC179" i="5"/>
  <c r="GE170" i="6" s="1"/>
  <c r="BB179" i="5"/>
  <c r="GD170" i="6" s="1"/>
  <c r="AZ179" i="5"/>
  <c r="AY179" i="5"/>
  <c r="AW179" i="5"/>
  <c r="AL179" i="5"/>
  <c r="AI179" i="5"/>
  <c r="AH179" i="5"/>
  <c r="AF179" i="5"/>
  <c r="AE179" i="5"/>
  <c r="AD179" i="5"/>
  <c r="AB179" i="5"/>
  <c r="AA179" i="5"/>
  <c r="Z179" i="5"/>
  <c r="Y179" i="5"/>
  <c r="X179" i="5"/>
  <c r="W179" i="5"/>
  <c r="T179" i="5"/>
  <c r="S179" i="5"/>
  <c r="Q179" i="5"/>
  <c r="P179" i="5"/>
  <c r="N179" i="5"/>
  <c r="K179" i="5"/>
  <c r="J179" i="5"/>
  <c r="H179" i="5"/>
  <c r="G179" i="5"/>
  <c r="E179" i="5"/>
  <c r="D179" i="5"/>
  <c r="B179" i="5"/>
  <c r="CH178" i="5"/>
  <c r="CC178" i="5"/>
  <c r="CB178" i="5"/>
  <c r="BU178" i="5"/>
  <c r="BR178" i="5"/>
  <c r="BQ178" i="5"/>
  <c r="BJ178" i="5"/>
  <c r="BI178" i="5"/>
  <c r="BD178" i="5"/>
  <c r="GF169" i="6" s="1"/>
  <c r="BC178" i="5"/>
  <c r="GE169" i="6" s="1"/>
  <c r="BB178" i="5"/>
  <c r="GD169" i="6" s="1"/>
  <c r="AZ178" i="5"/>
  <c r="AY178" i="5"/>
  <c r="AW178" i="5"/>
  <c r="AL178" i="5"/>
  <c r="AI178" i="5"/>
  <c r="AH178" i="5"/>
  <c r="AF178" i="5"/>
  <c r="AE178" i="5"/>
  <c r="AD178" i="5"/>
  <c r="AB178" i="5"/>
  <c r="AA178" i="5"/>
  <c r="Z178" i="5"/>
  <c r="Y178" i="5"/>
  <c r="X178" i="5"/>
  <c r="W178" i="5"/>
  <c r="T178" i="5"/>
  <c r="S178" i="5"/>
  <c r="Q178" i="5"/>
  <c r="P178" i="5"/>
  <c r="N178" i="5"/>
  <c r="K178" i="5"/>
  <c r="J178" i="5"/>
  <c r="H178" i="5"/>
  <c r="G178" i="5"/>
  <c r="E178" i="5"/>
  <c r="D178" i="5"/>
  <c r="B178" i="5"/>
  <c r="CH177" i="5"/>
  <c r="CC177" i="5"/>
  <c r="CB177" i="5"/>
  <c r="BU177" i="5"/>
  <c r="BR177" i="5"/>
  <c r="BQ177" i="5"/>
  <c r="BJ177" i="5"/>
  <c r="BI177" i="5"/>
  <c r="BD177" i="5"/>
  <c r="BC177" i="5"/>
  <c r="GE168" i="6" s="1"/>
  <c r="BB177" i="5"/>
  <c r="GD168" i="6" s="1"/>
  <c r="AZ177" i="5"/>
  <c r="AY177" i="5"/>
  <c r="AW177" i="5"/>
  <c r="AV177" i="5"/>
  <c r="AL177" i="5"/>
  <c r="AI177" i="5"/>
  <c r="AH177" i="5"/>
  <c r="AE177" i="5"/>
  <c r="AD177" i="5"/>
  <c r="AB177" i="5"/>
  <c r="AA177" i="5"/>
  <c r="Z177" i="5"/>
  <c r="Y177" i="5"/>
  <c r="X177" i="5"/>
  <c r="W177" i="5"/>
  <c r="T177" i="5"/>
  <c r="S177" i="5"/>
  <c r="Q177" i="5"/>
  <c r="P177" i="5"/>
  <c r="O177" i="5"/>
  <c r="N177" i="5"/>
  <c r="K177" i="5"/>
  <c r="J177" i="5"/>
  <c r="H177" i="5"/>
  <c r="G177" i="5"/>
  <c r="E177" i="5"/>
  <c r="D177" i="5"/>
  <c r="B177" i="5"/>
  <c r="CH176" i="5"/>
  <c r="CC176" i="5"/>
  <c r="CB176" i="5"/>
  <c r="BU176" i="5"/>
  <c r="BR176" i="5"/>
  <c r="BQ176" i="5"/>
  <c r="BJ176" i="5"/>
  <c r="BI176" i="5"/>
  <c r="BD176" i="5"/>
  <c r="BC176" i="5"/>
  <c r="GE167" i="6" s="1"/>
  <c r="BB176" i="5"/>
  <c r="GD167" i="6" s="1"/>
  <c r="AZ176" i="5"/>
  <c r="AY176" i="5"/>
  <c r="AW176" i="5"/>
  <c r="AL176" i="5"/>
  <c r="AI176" i="5"/>
  <c r="AH176" i="5"/>
  <c r="AF176" i="5"/>
  <c r="AE176" i="5"/>
  <c r="AD176" i="5"/>
  <c r="AB176" i="5"/>
  <c r="AA176" i="5"/>
  <c r="Z176" i="5"/>
  <c r="Y176" i="5"/>
  <c r="X176" i="5"/>
  <c r="W176" i="5"/>
  <c r="T176" i="5"/>
  <c r="S176" i="5"/>
  <c r="Q176" i="5"/>
  <c r="P176" i="5"/>
  <c r="O176" i="5"/>
  <c r="N176" i="5"/>
  <c r="K176" i="5"/>
  <c r="J176" i="5"/>
  <c r="H176" i="5"/>
  <c r="G176" i="5"/>
  <c r="E176" i="5"/>
  <c r="D176" i="5"/>
  <c r="B176" i="5"/>
  <c r="CH175" i="5"/>
  <c r="CC175" i="5"/>
  <c r="CB175" i="5"/>
  <c r="BU175" i="5"/>
  <c r="BR175" i="5"/>
  <c r="BQ175" i="5"/>
  <c r="BJ175" i="5"/>
  <c r="BI175" i="5"/>
  <c r="BD175" i="5"/>
  <c r="GF166" i="6" s="1"/>
  <c r="BC175" i="5"/>
  <c r="GE166" i="6" s="1"/>
  <c r="BB175" i="5"/>
  <c r="GD166" i="6" s="1"/>
  <c r="AZ175" i="5"/>
  <c r="AY175" i="5"/>
  <c r="AW175" i="5"/>
  <c r="AL175" i="5"/>
  <c r="AI175" i="5"/>
  <c r="AH175" i="5"/>
  <c r="AF175" i="5"/>
  <c r="AE175" i="5"/>
  <c r="AD175" i="5"/>
  <c r="AB175" i="5"/>
  <c r="AA175" i="5"/>
  <c r="Z175" i="5"/>
  <c r="Y175" i="5"/>
  <c r="X175" i="5"/>
  <c r="W175" i="5"/>
  <c r="T175" i="5"/>
  <c r="S175" i="5"/>
  <c r="Q175" i="5"/>
  <c r="P175" i="5"/>
  <c r="O175" i="5"/>
  <c r="N175" i="5"/>
  <c r="K175" i="5"/>
  <c r="J175" i="5"/>
  <c r="H175" i="5"/>
  <c r="G175" i="5"/>
  <c r="E175" i="5"/>
  <c r="D175" i="5"/>
  <c r="B175" i="5"/>
  <c r="CH174" i="5"/>
  <c r="CC174" i="5"/>
  <c r="CB174" i="5"/>
  <c r="BU174" i="5"/>
  <c r="BR174" i="5"/>
  <c r="BQ174" i="5"/>
  <c r="BJ174" i="5"/>
  <c r="BI174" i="5"/>
  <c r="BD174" i="5"/>
  <c r="GF165" i="6" s="1"/>
  <c r="BC174" i="5"/>
  <c r="GE165" i="6" s="1"/>
  <c r="BB174" i="5"/>
  <c r="GD165" i="6" s="1"/>
  <c r="AZ174" i="5"/>
  <c r="AY174" i="5"/>
  <c r="AW174" i="5"/>
  <c r="AL174" i="5"/>
  <c r="AI174" i="5"/>
  <c r="AF174" i="5"/>
  <c r="AE174" i="5"/>
  <c r="AD174" i="5"/>
  <c r="AA174" i="5"/>
  <c r="Z174" i="5"/>
  <c r="Y174" i="5"/>
  <c r="X174" i="5"/>
  <c r="W174" i="5"/>
  <c r="T174" i="5"/>
  <c r="S174" i="5"/>
  <c r="Q174" i="5"/>
  <c r="P174" i="5"/>
  <c r="O174" i="5"/>
  <c r="N174" i="5"/>
  <c r="K174" i="5"/>
  <c r="J174" i="5"/>
  <c r="H174" i="5"/>
  <c r="E174" i="5"/>
  <c r="D174" i="5"/>
  <c r="B174" i="5"/>
  <c r="CO173" i="5"/>
  <c r="CH173" i="5"/>
  <c r="CC173" i="5"/>
  <c r="CB173" i="5"/>
  <c r="BU173" i="5"/>
  <c r="BR173" i="5"/>
  <c r="BQ173" i="5"/>
  <c r="BJ173" i="5"/>
  <c r="BI173" i="5"/>
  <c r="BD173" i="5"/>
  <c r="GF164" i="6" s="1"/>
  <c r="BC173" i="5"/>
  <c r="GE164" i="6" s="1"/>
  <c r="BB173" i="5"/>
  <c r="GD164" i="6" s="1"/>
  <c r="AZ173" i="5"/>
  <c r="AY173" i="5"/>
  <c r="AW173" i="5"/>
  <c r="AI173" i="5"/>
  <c r="AF173" i="5"/>
  <c r="AE173" i="5"/>
  <c r="AD173" i="5"/>
  <c r="AA173" i="5"/>
  <c r="Y173" i="5"/>
  <c r="X173" i="5"/>
  <c r="W173" i="5"/>
  <c r="U173" i="5"/>
  <c r="T173" i="5"/>
  <c r="S173" i="5"/>
  <c r="Q173" i="5"/>
  <c r="P173" i="5"/>
  <c r="N173" i="5"/>
  <c r="K173" i="5"/>
  <c r="J173" i="5"/>
  <c r="H173" i="5"/>
  <c r="E173" i="5"/>
  <c r="D173" i="5"/>
  <c r="B173" i="5"/>
  <c r="CO172" i="5"/>
  <c r="CH172" i="5"/>
  <c r="CC172" i="5"/>
  <c r="CB172" i="5"/>
  <c r="BU172" i="5"/>
  <c r="BR172" i="5"/>
  <c r="BQ172" i="5"/>
  <c r="BJ172" i="5"/>
  <c r="BI172" i="5"/>
  <c r="BD172" i="5"/>
  <c r="BC172" i="5"/>
  <c r="GE163" i="6" s="1"/>
  <c r="BB172" i="5"/>
  <c r="GD163" i="6" s="1"/>
  <c r="AZ172" i="5"/>
  <c r="AY172" i="5"/>
  <c r="AW172" i="5"/>
  <c r="AI172" i="5"/>
  <c r="AF172" i="5"/>
  <c r="AE172" i="5"/>
  <c r="AD172" i="5"/>
  <c r="AA172" i="5"/>
  <c r="Y172" i="5"/>
  <c r="X172" i="5"/>
  <c r="W172" i="5"/>
  <c r="U172" i="5"/>
  <c r="T172" i="5"/>
  <c r="S172" i="5"/>
  <c r="Q172" i="5"/>
  <c r="P172" i="5"/>
  <c r="N172" i="5"/>
  <c r="K172" i="5"/>
  <c r="J172" i="5"/>
  <c r="H172" i="5"/>
  <c r="E172" i="5"/>
  <c r="D172" i="5"/>
  <c r="B172" i="5"/>
  <c r="CO171" i="5"/>
  <c r="CH171" i="5"/>
  <c r="CC171" i="5"/>
  <c r="CB171" i="5"/>
  <c r="BU171" i="5"/>
  <c r="BR171" i="5"/>
  <c r="BQ171" i="5"/>
  <c r="BJ171" i="5"/>
  <c r="BI171" i="5"/>
  <c r="BD171" i="5"/>
  <c r="BC171" i="5"/>
  <c r="GE162" i="6" s="1"/>
  <c r="BB171" i="5"/>
  <c r="GD162" i="6" s="1"/>
  <c r="AZ171" i="5"/>
  <c r="AY171" i="5"/>
  <c r="AW171" i="5"/>
  <c r="AI171" i="5"/>
  <c r="AF171" i="5"/>
  <c r="AE171" i="5"/>
  <c r="AD171" i="5"/>
  <c r="AA171" i="5"/>
  <c r="Y171" i="5"/>
  <c r="X171" i="5"/>
  <c r="W171" i="5"/>
  <c r="U171" i="5"/>
  <c r="T171" i="5"/>
  <c r="Q171" i="5"/>
  <c r="P171" i="5"/>
  <c r="N171" i="5"/>
  <c r="K171" i="5"/>
  <c r="J171" i="5"/>
  <c r="H171" i="5"/>
  <c r="E171" i="5"/>
  <c r="D171" i="5"/>
  <c r="C171" i="5"/>
  <c r="B171" i="5"/>
  <c r="CO170" i="5"/>
  <c r="CH170" i="5"/>
  <c r="CC170" i="5"/>
  <c r="CB170" i="5"/>
  <c r="BU170" i="5"/>
  <c r="BR170" i="5"/>
  <c r="BQ170" i="5"/>
  <c r="BJ170" i="5"/>
  <c r="BI170" i="5"/>
  <c r="BD170" i="5"/>
  <c r="BC170" i="5"/>
  <c r="GE161" i="6" s="1"/>
  <c r="BB170" i="5"/>
  <c r="GD161" i="6" s="1"/>
  <c r="AZ170" i="5"/>
  <c r="AY170" i="5"/>
  <c r="AW170" i="5"/>
  <c r="AI170" i="5"/>
  <c r="AF170" i="5"/>
  <c r="AE170" i="5"/>
  <c r="AD170" i="5"/>
  <c r="AA170" i="5"/>
  <c r="Y170" i="5"/>
  <c r="X170" i="5"/>
  <c r="W170" i="5"/>
  <c r="U170" i="5"/>
  <c r="T170" i="5"/>
  <c r="Q170" i="5"/>
  <c r="P170" i="5"/>
  <c r="N170" i="5"/>
  <c r="K170" i="5"/>
  <c r="J170" i="5"/>
  <c r="H170" i="5"/>
  <c r="E170" i="5"/>
  <c r="D170" i="5"/>
  <c r="C170" i="5"/>
  <c r="B170" i="5"/>
  <c r="CO169" i="5"/>
  <c r="CH169" i="5"/>
  <c r="CC169" i="5"/>
  <c r="CB169" i="5"/>
  <c r="BU169" i="5"/>
  <c r="BR169" i="5"/>
  <c r="BQ169" i="5"/>
  <c r="BJ169" i="5"/>
  <c r="BI169" i="5"/>
  <c r="BD169" i="5"/>
  <c r="BC169" i="5"/>
  <c r="GE160" i="6" s="1"/>
  <c r="BB169" i="5"/>
  <c r="GD160" i="6" s="1"/>
  <c r="AZ169" i="5"/>
  <c r="AY169" i="5"/>
  <c r="AW169" i="5"/>
  <c r="AI169" i="5"/>
  <c r="AF169" i="5"/>
  <c r="AE169" i="5"/>
  <c r="AD169" i="5"/>
  <c r="AA169" i="5"/>
  <c r="Y169" i="5"/>
  <c r="X169" i="5"/>
  <c r="W169" i="5"/>
  <c r="U169" i="5"/>
  <c r="T169" i="5"/>
  <c r="Q169" i="5"/>
  <c r="P169" i="5"/>
  <c r="N169" i="5"/>
  <c r="K169" i="5"/>
  <c r="J169" i="5"/>
  <c r="H169" i="5"/>
  <c r="E169" i="5"/>
  <c r="D169" i="5"/>
  <c r="C169" i="5"/>
  <c r="B169" i="5"/>
  <c r="CO168" i="5"/>
  <c r="CH168" i="5"/>
  <c r="CC168" i="5"/>
  <c r="CB168" i="5"/>
  <c r="BU168" i="5"/>
  <c r="BR168" i="5"/>
  <c r="BQ168" i="5"/>
  <c r="BJ168" i="5"/>
  <c r="BI168" i="5"/>
  <c r="BD168" i="5"/>
  <c r="GF159" i="6" s="1"/>
  <c r="BC168" i="5"/>
  <c r="GE159" i="6" s="1"/>
  <c r="BB168" i="5"/>
  <c r="GD159" i="6" s="1"/>
  <c r="AZ168" i="5"/>
  <c r="AY168" i="5"/>
  <c r="AW168" i="5"/>
  <c r="AI168" i="5"/>
  <c r="AF168" i="5"/>
  <c r="AE168" i="5"/>
  <c r="AD168" i="5"/>
  <c r="AA168" i="5"/>
  <c r="Y168" i="5"/>
  <c r="X168" i="5"/>
  <c r="W168" i="5"/>
  <c r="U168" i="5"/>
  <c r="T168" i="5"/>
  <c r="Q168" i="5"/>
  <c r="P168" i="5"/>
  <c r="N168" i="5"/>
  <c r="K168" i="5"/>
  <c r="J168" i="5"/>
  <c r="H168" i="5"/>
  <c r="E168" i="5"/>
  <c r="D168" i="5"/>
  <c r="C168" i="5"/>
  <c r="B168" i="5"/>
  <c r="CO167" i="5"/>
  <c r="CH167" i="5"/>
  <c r="CC167" i="5"/>
  <c r="CB167" i="5"/>
  <c r="BU167" i="5"/>
  <c r="BR167" i="5"/>
  <c r="BQ167" i="5"/>
  <c r="BJ167" i="5"/>
  <c r="BI167" i="5"/>
  <c r="BD167" i="5"/>
  <c r="BC167" i="5"/>
  <c r="GE158" i="6" s="1"/>
  <c r="BB167" i="5"/>
  <c r="GD158" i="6" s="1"/>
  <c r="AZ167" i="5"/>
  <c r="AY167" i="5"/>
  <c r="AW167" i="5"/>
  <c r="AI167" i="5"/>
  <c r="AF167" i="5"/>
  <c r="AE167" i="5"/>
  <c r="AA167" i="5"/>
  <c r="Y167" i="5"/>
  <c r="X167" i="5"/>
  <c r="W167" i="5"/>
  <c r="U167" i="5"/>
  <c r="T167" i="5"/>
  <c r="Q167" i="5"/>
  <c r="P167" i="5"/>
  <c r="N167" i="5"/>
  <c r="K167" i="5"/>
  <c r="J167" i="5"/>
  <c r="H167" i="5"/>
  <c r="E167" i="5"/>
  <c r="D167" i="5"/>
  <c r="C167" i="5"/>
  <c r="B167" i="5"/>
  <c r="CO166" i="5"/>
  <c r="CH166" i="5"/>
  <c r="CC166" i="5"/>
  <c r="CB166" i="5"/>
  <c r="BU166" i="5"/>
  <c r="BR166" i="5"/>
  <c r="BQ166" i="5"/>
  <c r="BJ166" i="5"/>
  <c r="BI166" i="5"/>
  <c r="BD166" i="5"/>
  <c r="GF157" i="6" s="1"/>
  <c r="BC166" i="5"/>
  <c r="BB166" i="5"/>
  <c r="GD157" i="6" s="1"/>
  <c r="AZ166" i="5"/>
  <c r="AY166" i="5"/>
  <c r="AW166" i="5"/>
  <c r="AF166" i="5"/>
  <c r="AE166" i="5"/>
  <c r="AD166" i="5"/>
  <c r="AA166" i="5"/>
  <c r="Y166" i="5"/>
  <c r="X166" i="5"/>
  <c r="W166" i="5"/>
  <c r="U166" i="5"/>
  <c r="T166" i="5"/>
  <c r="Q166" i="5"/>
  <c r="P166" i="5"/>
  <c r="N166" i="5"/>
  <c r="K166" i="5"/>
  <c r="J166" i="5"/>
  <c r="E166" i="5"/>
  <c r="D166" i="5"/>
  <c r="C166" i="5"/>
  <c r="B166" i="5"/>
  <c r="CO165" i="5"/>
  <c r="CH165" i="5"/>
  <c r="CC165" i="5"/>
  <c r="CB165" i="5"/>
  <c r="BU165" i="5"/>
  <c r="BR165" i="5"/>
  <c r="BQ165" i="5"/>
  <c r="BJ165" i="5"/>
  <c r="BI165" i="5"/>
  <c r="BD165" i="5"/>
  <c r="GF156" i="6" s="1"/>
  <c r="BC165" i="5"/>
  <c r="GE156" i="6" s="1"/>
  <c r="BB165" i="5"/>
  <c r="GD156" i="6" s="1"/>
  <c r="AZ165" i="5"/>
  <c r="AY165" i="5"/>
  <c r="AW165" i="5"/>
  <c r="AF165" i="5"/>
  <c r="AE165" i="5"/>
  <c r="AA165" i="5"/>
  <c r="Y165" i="5"/>
  <c r="X165" i="5"/>
  <c r="W165" i="5"/>
  <c r="U165" i="5"/>
  <c r="T165" i="5"/>
  <c r="N165" i="5"/>
  <c r="M165" i="5"/>
  <c r="K165" i="5"/>
  <c r="J165" i="5"/>
  <c r="E165" i="5"/>
  <c r="D165" i="5"/>
  <c r="C165" i="5"/>
  <c r="B165" i="5"/>
  <c r="CO164" i="5"/>
  <c r="CH164" i="5"/>
  <c r="CC164" i="5"/>
  <c r="CB164" i="5"/>
  <c r="BU164" i="5"/>
  <c r="BR164" i="5"/>
  <c r="BQ164" i="5"/>
  <c r="BJ164" i="5"/>
  <c r="BI164" i="5"/>
  <c r="BD164" i="5"/>
  <c r="GF155" i="6" s="1"/>
  <c r="BC164" i="5"/>
  <c r="GE155" i="6" s="1"/>
  <c r="BB164" i="5"/>
  <c r="GD155" i="6" s="1"/>
  <c r="AZ164" i="5"/>
  <c r="AY164" i="5"/>
  <c r="AW164" i="5"/>
  <c r="AV164" i="5"/>
  <c r="AF164" i="5"/>
  <c r="AE164" i="5"/>
  <c r="AA164" i="5"/>
  <c r="Y164" i="5"/>
  <c r="X164" i="5"/>
  <c r="W164" i="5"/>
  <c r="U164" i="5"/>
  <c r="T164" i="5"/>
  <c r="N164" i="5"/>
  <c r="M164" i="5"/>
  <c r="K164" i="5"/>
  <c r="J164" i="5"/>
  <c r="E164" i="5"/>
  <c r="D164" i="5"/>
  <c r="C164" i="5"/>
  <c r="B164" i="5"/>
  <c r="CO163" i="5"/>
  <c r="CH163" i="5"/>
  <c r="CC163" i="5"/>
  <c r="CB163" i="5"/>
  <c r="BU163" i="5"/>
  <c r="BR163" i="5"/>
  <c r="BQ163" i="5"/>
  <c r="BJ163" i="5"/>
  <c r="BI163" i="5"/>
  <c r="BD163" i="5"/>
  <c r="GF154" i="6" s="1"/>
  <c r="BC163" i="5"/>
  <c r="GE154" i="6" s="1"/>
  <c r="BB163" i="5"/>
  <c r="GD154" i="6" s="1"/>
  <c r="AZ163" i="5"/>
  <c r="AY163" i="5"/>
  <c r="BA163" i="5" s="1"/>
  <c r="AW163" i="5"/>
  <c r="AF163" i="5"/>
  <c r="AE163" i="5"/>
  <c r="AA163" i="5"/>
  <c r="Y163" i="5"/>
  <c r="X163" i="5"/>
  <c r="W163" i="5"/>
  <c r="U163" i="5"/>
  <c r="T163" i="5"/>
  <c r="N163" i="5"/>
  <c r="M163" i="5"/>
  <c r="K163" i="5"/>
  <c r="J163" i="5"/>
  <c r="E163" i="5"/>
  <c r="D163" i="5"/>
  <c r="C163" i="5"/>
  <c r="B163" i="5"/>
  <c r="CO162" i="5"/>
  <c r="CH162" i="5"/>
  <c r="CC162" i="5"/>
  <c r="CB162" i="5"/>
  <c r="BU162" i="5"/>
  <c r="BR162" i="5"/>
  <c r="BQ162" i="5"/>
  <c r="BN162" i="5"/>
  <c r="BJ162" i="5"/>
  <c r="BI162" i="5"/>
  <c r="BD162" i="5"/>
  <c r="GF153" i="6" s="1"/>
  <c r="BC162" i="5"/>
  <c r="BB162" i="5"/>
  <c r="GD153" i="6" s="1"/>
  <c r="AZ162" i="5"/>
  <c r="AY162" i="5"/>
  <c r="AW162" i="5"/>
  <c r="AF162" i="5"/>
  <c r="AE162" i="5"/>
  <c r="AA162" i="5"/>
  <c r="Y162" i="5"/>
  <c r="X162" i="5"/>
  <c r="W162" i="5"/>
  <c r="U162" i="5"/>
  <c r="T162" i="5"/>
  <c r="N162" i="5"/>
  <c r="M162" i="5"/>
  <c r="K162" i="5"/>
  <c r="J162" i="5"/>
  <c r="E162" i="5"/>
  <c r="D162" i="5"/>
  <c r="C162" i="5"/>
  <c r="B162" i="5"/>
  <c r="CO161" i="5"/>
  <c r="CH161" i="5"/>
  <c r="CC161" i="5"/>
  <c r="CB161" i="5"/>
  <c r="BU161" i="5"/>
  <c r="BR161" i="5"/>
  <c r="BQ161" i="5"/>
  <c r="BN161" i="5"/>
  <c r="BJ161" i="5"/>
  <c r="BI161" i="5"/>
  <c r="BD161" i="5"/>
  <c r="GF152" i="6" s="1"/>
  <c r="BC161" i="5"/>
  <c r="GE152" i="6" s="1"/>
  <c r="BB161" i="5"/>
  <c r="GD152" i="6" s="1"/>
  <c r="AZ161" i="5"/>
  <c r="AY161" i="5"/>
  <c r="AW161" i="5"/>
  <c r="AF161" i="5"/>
  <c r="AE161" i="5"/>
  <c r="AA161" i="5"/>
  <c r="Y161" i="5"/>
  <c r="X161" i="5"/>
  <c r="W161" i="5"/>
  <c r="U161" i="5"/>
  <c r="T161" i="5"/>
  <c r="N161" i="5"/>
  <c r="M161" i="5"/>
  <c r="K161" i="5"/>
  <c r="J161" i="5"/>
  <c r="E161" i="5"/>
  <c r="D161" i="5"/>
  <c r="C161" i="5"/>
  <c r="B161" i="5"/>
  <c r="CO160" i="5"/>
  <c r="CH160" i="5"/>
  <c r="CC160" i="5"/>
  <c r="CB160" i="5"/>
  <c r="BU160" i="5"/>
  <c r="BR160" i="5"/>
  <c r="BQ160" i="5"/>
  <c r="BS160" i="5" s="1"/>
  <c r="BN160" i="5"/>
  <c r="BJ160" i="5"/>
  <c r="BI160" i="5"/>
  <c r="BD160" i="5"/>
  <c r="GF151" i="6" s="1"/>
  <c r="BC160" i="5"/>
  <c r="GE151" i="6" s="1"/>
  <c r="BB160" i="5"/>
  <c r="GD151" i="6" s="1"/>
  <c r="AZ160" i="5"/>
  <c r="AY160" i="5"/>
  <c r="AW160" i="5"/>
  <c r="AF160" i="5"/>
  <c r="AE160" i="5"/>
  <c r="AA160" i="5"/>
  <c r="X160" i="5"/>
  <c r="W160" i="5"/>
  <c r="U160" i="5"/>
  <c r="T160" i="5"/>
  <c r="N160" i="5"/>
  <c r="M160" i="5"/>
  <c r="K160" i="5"/>
  <c r="J160" i="5"/>
  <c r="E160" i="5"/>
  <c r="D160" i="5"/>
  <c r="C160" i="5"/>
  <c r="B160" i="5"/>
  <c r="CO159" i="5"/>
  <c r="CH159" i="5"/>
  <c r="CC159" i="5"/>
  <c r="CB159" i="5"/>
  <c r="BU159" i="5"/>
  <c r="BR159" i="5"/>
  <c r="BQ159" i="5"/>
  <c r="BN159" i="5"/>
  <c r="BJ159" i="5"/>
  <c r="BI159" i="5"/>
  <c r="BD159" i="5"/>
  <c r="GF150" i="6" s="1"/>
  <c r="BC159" i="5"/>
  <c r="GE150" i="6" s="1"/>
  <c r="BB159" i="5"/>
  <c r="GD150" i="6" s="1"/>
  <c r="AZ159" i="5"/>
  <c r="AY159" i="5"/>
  <c r="AW159" i="5"/>
  <c r="AF159" i="5"/>
  <c r="AE159" i="5"/>
  <c r="X159" i="5"/>
  <c r="W159" i="5"/>
  <c r="U159" i="5"/>
  <c r="N159" i="5"/>
  <c r="K159" i="5"/>
  <c r="J159" i="5"/>
  <c r="E159" i="5"/>
  <c r="D159" i="5"/>
  <c r="C159" i="5"/>
  <c r="B159" i="5"/>
  <c r="CO158" i="5"/>
  <c r="CH158" i="5"/>
  <c r="CC158" i="5"/>
  <c r="CB158" i="5"/>
  <c r="BU158" i="5"/>
  <c r="BR158" i="5"/>
  <c r="BQ158" i="5"/>
  <c r="BN158" i="5"/>
  <c r="BJ158" i="5"/>
  <c r="BI158" i="5"/>
  <c r="BD158" i="5"/>
  <c r="GF149" i="6" s="1"/>
  <c r="BC158" i="5"/>
  <c r="GE149" i="6" s="1"/>
  <c r="BB158" i="5"/>
  <c r="GD149" i="6" s="1"/>
  <c r="AZ158" i="5"/>
  <c r="AY158" i="5"/>
  <c r="AW158" i="5"/>
  <c r="AF158" i="5"/>
  <c r="AE158" i="5"/>
  <c r="X158" i="5"/>
  <c r="W158" i="5"/>
  <c r="U158" i="5"/>
  <c r="N158" i="5"/>
  <c r="K158" i="5"/>
  <c r="J158" i="5"/>
  <c r="E158" i="5"/>
  <c r="D158" i="5"/>
  <c r="C158" i="5"/>
  <c r="B158" i="5"/>
  <c r="CO157" i="5"/>
  <c r="CH157" i="5"/>
  <c r="CC157" i="5"/>
  <c r="CB157" i="5"/>
  <c r="BU157" i="5"/>
  <c r="BR157" i="5"/>
  <c r="BQ157" i="5"/>
  <c r="BS157" i="5" s="1"/>
  <c r="BN157" i="5"/>
  <c r="BJ157" i="5"/>
  <c r="BI157" i="5"/>
  <c r="BD157" i="5"/>
  <c r="BC157" i="5"/>
  <c r="GE148" i="6" s="1"/>
  <c r="BB157" i="5"/>
  <c r="GD148" i="6" s="1"/>
  <c r="AZ157" i="5"/>
  <c r="AY157" i="5"/>
  <c r="AW157" i="5"/>
  <c r="AE157" i="5"/>
  <c r="X157" i="5"/>
  <c r="W157" i="5"/>
  <c r="U157" i="5"/>
  <c r="N157" i="5"/>
  <c r="K157" i="5"/>
  <c r="J157" i="5"/>
  <c r="E157" i="5"/>
  <c r="D157" i="5"/>
  <c r="B157" i="5"/>
  <c r="CH156" i="5"/>
  <c r="CC156" i="5"/>
  <c r="CB156" i="5"/>
  <c r="CD156" i="5" s="1"/>
  <c r="BU156" i="5"/>
  <c r="BR156" i="5"/>
  <c r="BQ156" i="5"/>
  <c r="BN156" i="5"/>
  <c r="BJ156" i="5"/>
  <c r="BI156" i="5"/>
  <c r="BD156" i="5"/>
  <c r="GF147" i="6" s="1"/>
  <c r="BC156" i="5"/>
  <c r="GE147" i="6" s="1"/>
  <c r="BB156" i="5"/>
  <c r="GD147" i="6" s="1"/>
  <c r="AZ156" i="5"/>
  <c r="AY156" i="5"/>
  <c r="AW156" i="5"/>
  <c r="AV156" i="5"/>
  <c r="AE156" i="5"/>
  <c r="X156" i="5"/>
  <c r="W156" i="5"/>
  <c r="N156" i="5"/>
  <c r="K156" i="5"/>
  <c r="J156" i="5"/>
  <c r="E156" i="5"/>
  <c r="D156" i="5"/>
  <c r="B156" i="5"/>
  <c r="CH155" i="5"/>
  <c r="CC155" i="5"/>
  <c r="CB155" i="5"/>
  <c r="BU155" i="5"/>
  <c r="BR155" i="5"/>
  <c r="BQ155" i="5"/>
  <c r="BN155" i="5"/>
  <c r="BJ155" i="5"/>
  <c r="BI155" i="5"/>
  <c r="BD155" i="5"/>
  <c r="GF146" i="6" s="1"/>
  <c r="BC155" i="5"/>
  <c r="GE146" i="6" s="1"/>
  <c r="BB155" i="5"/>
  <c r="GD146" i="6" s="1"/>
  <c r="AZ155" i="5"/>
  <c r="AY155" i="5"/>
  <c r="AW155" i="5"/>
  <c r="AE155" i="5"/>
  <c r="X155" i="5"/>
  <c r="W155" i="5"/>
  <c r="N155" i="5"/>
  <c r="J155" i="5"/>
  <c r="E155" i="5"/>
  <c r="D155" i="5"/>
  <c r="B155" i="5"/>
  <c r="CH154" i="5"/>
  <c r="CC154" i="5"/>
  <c r="CB154" i="5"/>
  <c r="BU154" i="5"/>
  <c r="BR154" i="5"/>
  <c r="BQ154" i="5"/>
  <c r="BN154" i="5"/>
  <c r="BJ154" i="5"/>
  <c r="BI154" i="5"/>
  <c r="BD154" i="5"/>
  <c r="GF145" i="6" s="1"/>
  <c r="BC154" i="5"/>
  <c r="GE145" i="6" s="1"/>
  <c r="BB154" i="5"/>
  <c r="GD145" i="6" s="1"/>
  <c r="AZ154" i="5"/>
  <c r="AY154" i="5"/>
  <c r="AW154" i="5"/>
  <c r="AE154" i="5"/>
  <c r="X154" i="5"/>
  <c r="W154" i="5"/>
  <c r="N154" i="5"/>
  <c r="J154" i="5"/>
  <c r="D154" i="5"/>
  <c r="B154" i="5"/>
  <c r="CH153" i="5"/>
  <c r="CC153" i="5"/>
  <c r="CB153" i="5"/>
  <c r="BU153" i="5"/>
  <c r="BR153" i="5"/>
  <c r="BQ153" i="5"/>
  <c r="BN153" i="5"/>
  <c r="BJ153" i="5"/>
  <c r="BI153" i="5"/>
  <c r="BD153" i="5"/>
  <c r="GF144" i="6" s="1"/>
  <c r="BC153" i="5"/>
  <c r="GE144" i="6" s="1"/>
  <c r="BB153" i="5"/>
  <c r="GD144" i="6" s="1"/>
  <c r="AZ153" i="5"/>
  <c r="AY153" i="5"/>
  <c r="AW153" i="5"/>
  <c r="AE153" i="5"/>
  <c r="X153" i="5"/>
  <c r="W153" i="5"/>
  <c r="N153" i="5"/>
  <c r="J153" i="5"/>
  <c r="D153" i="5"/>
  <c r="B153" i="5"/>
  <c r="CH152" i="5"/>
  <c r="CC152" i="5"/>
  <c r="CB152" i="5"/>
  <c r="BU152" i="5"/>
  <c r="BR152" i="5"/>
  <c r="BQ152" i="5"/>
  <c r="BN152" i="5"/>
  <c r="BJ152" i="5"/>
  <c r="BI152" i="5"/>
  <c r="BD152" i="5"/>
  <c r="GF143" i="6" s="1"/>
  <c r="BC152" i="5"/>
  <c r="GE143" i="6" s="1"/>
  <c r="BB152" i="5"/>
  <c r="GD143" i="6" s="1"/>
  <c r="AZ152" i="5"/>
  <c r="AY152" i="5"/>
  <c r="AW152" i="5"/>
  <c r="AE152" i="5"/>
  <c r="X152" i="5"/>
  <c r="W152" i="5"/>
  <c r="N152" i="5"/>
  <c r="J152" i="5"/>
  <c r="D152" i="5"/>
  <c r="B152" i="5"/>
  <c r="CH151" i="5"/>
  <c r="CC151" i="5"/>
  <c r="CB151" i="5"/>
  <c r="BU151" i="5"/>
  <c r="BR151" i="5"/>
  <c r="BQ151" i="5"/>
  <c r="BN151" i="5"/>
  <c r="BJ151" i="5"/>
  <c r="BI151" i="5"/>
  <c r="BD151" i="5"/>
  <c r="GF142" i="6" s="1"/>
  <c r="BC151" i="5"/>
  <c r="GE142" i="6" s="1"/>
  <c r="BB151" i="5"/>
  <c r="GD142" i="6" s="1"/>
  <c r="AZ151" i="5"/>
  <c r="AY151" i="5"/>
  <c r="AW151" i="5"/>
  <c r="AE151" i="5"/>
  <c r="X151" i="5"/>
  <c r="W151" i="5"/>
  <c r="N151" i="5"/>
  <c r="J151" i="5"/>
  <c r="D151" i="5"/>
  <c r="B151" i="5"/>
  <c r="CH150" i="5"/>
  <c r="CC150" i="5"/>
  <c r="CB150" i="5"/>
  <c r="BU150" i="5"/>
  <c r="BR150" i="5"/>
  <c r="BQ150" i="5"/>
  <c r="BN150" i="5"/>
  <c r="BJ150" i="5"/>
  <c r="BI150" i="5"/>
  <c r="BD150" i="5"/>
  <c r="GF141" i="6" s="1"/>
  <c r="BC150" i="5"/>
  <c r="GE141" i="6" s="1"/>
  <c r="BB150" i="5"/>
  <c r="GD141" i="6" s="1"/>
  <c r="AZ150" i="5"/>
  <c r="AY150" i="5"/>
  <c r="AW150" i="5"/>
  <c r="AE150" i="5"/>
  <c r="X150" i="5"/>
  <c r="W150" i="5"/>
  <c r="N150" i="5"/>
  <c r="J150" i="5"/>
  <c r="D150" i="5"/>
  <c r="B150" i="5"/>
  <c r="CH149" i="5"/>
  <c r="CC149" i="5"/>
  <c r="CB149" i="5"/>
  <c r="BU149" i="5"/>
  <c r="BR149" i="5"/>
  <c r="BQ149" i="5"/>
  <c r="BN149" i="5"/>
  <c r="BJ149" i="5"/>
  <c r="BI149" i="5"/>
  <c r="BD149" i="5"/>
  <c r="GF140" i="6" s="1"/>
  <c r="BC149" i="5"/>
  <c r="GE140" i="6" s="1"/>
  <c r="BB149" i="5"/>
  <c r="GD140" i="6" s="1"/>
  <c r="AZ149" i="5"/>
  <c r="AY149" i="5"/>
  <c r="AW149" i="5"/>
  <c r="AE149" i="5"/>
  <c r="X149" i="5"/>
  <c r="W149" i="5"/>
  <c r="N149" i="5"/>
  <c r="J149" i="5"/>
  <c r="D149" i="5"/>
  <c r="CH148" i="5"/>
  <c r="CC148" i="5"/>
  <c r="CB148" i="5"/>
  <c r="BU148" i="5"/>
  <c r="BR148" i="5"/>
  <c r="BQ148" i="5"/>
  <c r="BN148" i="5"/>
  <c r="BJ148" i="5"/>
  <c r="BI148" i="5"/>
  <c r="BD148" i="5"/>
  <c r="GF139" i="6" s="1"/>
  <c r="BC148" i="5"/>
  <c r="GE139" i="6" s="1"/>
  <c r="BB148" i="5"/>
  <c r="GD139" i="6" s="1"/>
  <c r="AZ148" i="5"/>
  <c r="AY148" i="5"/>
  <c r="AW148" i="5"/>
  <c r="X148" i="5"/>
  <c r="W148" i="5"/>
  <c r="N148" i="5"/>
  <c r="J148" i="5"/>
  <c r="D148" i="5"/>
  <c r="CH147" i="5"/>
  <c r="CC147" i="5"/>
  <c r="CB147" i="5"/>
  <c r="BU147" i="5"/>
  <c r="BR147" i="5"/>
  <c r="BQ147" i="5"/>
  <c r="BN147" i="5"/>
  <c r="BJ147" i="5"/>
  <c r="BI147" i="5"/>
  <c r="BD147" i="5"/>
  <c r="GF138" i="6" s="1"/>
  <c r="BC147" i="5"/>
  <c r="GE138" i="6" s="1"/>
  <c r="BB147" i="5"/>
  <c r="GD138" i="6" s="1"/>
  <c r="AZ147" i="5"/>
  <c r="AY147" i="5"/>
  <c r="AW147" i="5"/>
  <c r="X147" i="5"/>
  <c r="W147" i="5"/>
  <c r="N147" i="5"/>
  <c r="J147" i="5"/>
  <c r="D147" i="5"/>
  <c r="CH146" i="5"/>
  <c r="CC146" i="5"/>
  <c r="CB146" i="5"/>
  <c r="BU146" i="5"/>
  <c r="BR146" i="5"/>
  <c r="BQ146" i="5"/>
  <c r="BN146" i="5"/>
  <c r="BJ146" i="5"/>
  <c r="BI146" i="5"/>
  <c r="BD146" i="5"/>
  <c r="GF137" i="6" s="1"/>
  <c r="BC146" i="5"/>
  <c r="GE137" i="6" s="1"/>
  <c r="BB146" i="5"/>
  <c r="GD137" i="6" s="1"/>
  <c r="AZ146" i="5"/>
  <c r="AY146" i="5"/>
  <c r="AW146" i="5"/>
  <c r="W146" i="5"/>
  <c r="N146" i="5"/>
  <c r="J146" i="5"/>
  <c r="D146" i="5"/>
  <c r="CH145" i="5"/>
  <c r="CC145" i="5"/>
  <c r="CB145" i="5"/>
  <c r="BU145" i="5"/>
  <c r="BR145" i="5"/>
  <c r="BQ145" i="5"/>
  <c r="BN145" i="5"/>
  <c r="BJ145" i="5"/>
  <c r="BI145" i="5"/>
  <c r="BD145" i="5"/>
  <c r="GF136" i="6" s="1"/>
  <c r="BC145" i="5"/>
  <c r="GE136" i="6" s="1"/>
  <c r="BB145" i="5"/>
  <c r="GD136" i="6" s="1"/>
  <c r="AZ145" i="5"/>
  <c r="AY145" i="5"/>
  <c r="AW145" i="5"/>
  <c r="W145" i="5"/>
  <c r="N145" i="5"/>
  <c r="J145" i="5"/>
  <c r="D145" i="5"/>
  <c r="CH144" i="5"/>
  <c r="CC144" i="5"/>
  <c r="CB144" i="5"/>
  <c r="BU144" i="5"/>
  <c r="BR144" i="5"/>
  <c r="BQ144" i="5"/>
  <c r="BN144" i="5"/>
  <c r="BJ144" i="5"/>
  <c r="BI144" i="5"/>
  <c r="BD144" i="5"/>
  <c r="GF135" i="6" s="1"/>
  <c r="BC144" i="5"/>
  <c r="GE135" i="6" s="1"/>
  <c r="BB144" i="5"/>
  <c r="GD135" i="6" s="1"/>
  <c r="AZ144" i="5"/>
  <c r="AY144" i="5"/>
  <c r="AW144" i="5"/>
  <c r="W144" i="5"/>
  <c r="N144" i="5"/>
  <c r="D144" i="5"/>
  <c r="CH143" i="5"/>
  <c r="CC143" i="5"/>
  <c r="CB143" i="5"/>
  <c r="BU143" i="5"/>
  <c r="BR143" i="5"/>
  <c r="BQ143" i="5"/>
  <c r="BN143" i="5"/>
  <c r="BJ143" i="5"/>
  <c r="BI143" i="5"/>
  <c r="BD143" i="5"/>
  <c r="BC143" i="5"/>
  <c r="GE134" i="6" s="1"/>
  <c r="BB143" i="5"/>
  <c r="GD134" i="6" s="1"/>
  <c r="AZ143" i="5"/>
  <c r="AY143" i="5"/>
  <c r="AW143" i="5"/>
  <c r="W143" i="5"/>
  <c r="N143" i="5"/>
  <c r="D143" i="5"/>
  <c r="CH142" i="5"/>
  <c r="CC142" i="5"/>
  <c r="CB142" i="5"/>
  <c r="BU142" i="5"/>
  <c r="BR142" i="5"/>
  <c r="BQ142" i="5"/>
  <c r="BN142" i="5"/>
  <c r="BJ142" i="5"/>
  <c r="BI142" i="5"/>
  <c r="BD142" i="5"/>
  <c r="GF133" i="6" s="1"/>
  <c r="BC142" i="5"/>
  <c r="GE133" i="6" s="1"/>
  <c r="BB142" i="5"/>
  <c r="GD133" i="6" s="1"/>
  <c r="AZ142" i="5"/>
  <c r="AY142" i="5"/>
  <c r="AW142" i="5"/>
  <c r="W142" i="5"/>
  <c r="N142" i="5"/>
  <c r="D142" i="5"/>
  <c r="CH141" i="5"/>
  <c r="CC141" i="5"/>
  <c r="CB141" i="5"/>
  <c r="BU141" i="5"/>
  <c r="BR141" i="5"/>
  <c r="BQ141" i="5"/>
  <c r="BN141" i="5"/>
  <c r="BJ141" i="5"/>
  <c r="BI141" i="5"/>
  <c r="BD141" i="5"/>
  <c r="GF132" i="6" s="1"/>
  <c r="BC141" i="5"/>
  <c r="GE132" i="6" s="1"/>
  <c r="BB141" i="5"/>
  <c r="GD132" i="6" s="1"/>
  <c r="AZ141" i="5"/>
  <c r="AY141" i="5"/>
  <c r="AW141" i="5"/>
  <c r="W141" i="5"/>
  <c r="N141" i="5"/>
  <c r="D141" i="5"/>
  <c r="B141" i="5"/>
  <c r="CH140" i="5"/>
  <c r="CC140" i="5"/>
  <c r="CB140" i="5"/>
  <c r="CD140" i="5" s="1"/>
  <c r="BU140" i="5"/>
  <c r="BR140" i="5"/>
  <c r="BQ140" i="5"/>
  <c r="BN140" i="5"/>
  <c r="BJ140" i="5"/>
  <c r="BI140" i="5"/>
  <c r="BD140" i="5"/>
  <c r="GF131" i="6" s="1"/>
  <c r="BC140" i="5"/>
  <c r="GE131" i="6" s="1"/>
  <c r="BB140" i="5"/>
  <c r="GD131" i="6" s="1"/>
  <c r="AZ140" i="5"/>
  <c r="AY140" i="5"/>
  <c r="AW140" i="5"/>
  <c r="W140" i="5"/>
  <c r="N140" i="5"/>
  <c r="D140" i="5"/>
  <c r="B140" i="5"/>
  <c r="CH139" i="5"/>
  <c r="CC139" i="5"/>
  <c r="CB139" i="5"/>
  <c r="BU139" i="5"/>
  <c r="BR139" i="5"/>
  <c r="BQ139" i="5"/>
  <c r="BN139" i="5"/>
  <c r="BJ139" i="5"/>
  <c r="BI139" i="5"/>
  <c r="BD139" i="5"/>
  <c r="BC139" i="5"/>
  <c r="GE130" i="6" s="1"/>
  <c r="BB139" i="5"/>
  <c r="GD130" i="6" s="1"/>
  <c r="AZ139" i="5"/>
  <c r="AY139" i="5"/>
  <c r="AW139" i="5"/>
  <c r="W139" i="5"/>
  <c r="N139" i="5"/>
  <c r="D139" i="5"/>
  <c r="B139" i="5"/>
  <c r="CH138" i="5"/>
  <c r="CC138" i="5"/>
  <c r="CB138" i="5"/>
  <c r="BU138" i="5"/>
  <c r="BR138" i="5"/>
  <c r="BQ138" i="5"/>
  <c r="BN138" i="5"/>
  <c r="BJ138" i="5"/>
  <c r="BI138" i="5"/>
  <c r="BD138" i="5"/>
  <c r="GF129" i="6" s="1"/>
  <c r="BC138" i="5"/>
  <c r="GE129" i="6" s="1"/>
  <c r="BB138" i="5"/>
  <c r="GD129" i="6" s="1"/>
  <c r="AZ138" i="5"/>
  <c r="AY138" i="5"/>
  <c r="AW138" i="5"/>
  <c r="W138" i="5"/>
  <c r="O138" i="5"/>
  <c r="N138" i="5"/>
  <c r="D138" i="5"/>
  <c r="B138" i="5"/>
  <c r="CH137" i="5"/>
  <c r="CC137" i="5"/>
  <c r="CB137" i="5"/>
  <c r="BU137" i="5"/>
  <c r="BR137" i="5"/>
  <c r="BQ137" i="5"/>
  <c r="BN137" i="5"/>
  <c r="BJ137" i="5"/>
  <c r="BI137" i="5"/>
  <c r="BD137" i="5"/>
  <c r="GF128" i="6" s="1"/>
  <c r="BC137" i="5"/>
  <c r="GE128" i="6" s="1"/>
  <c r="GG128" i="6" s="1"/>
  <c r="BB137" i="5"/>
  <c r="GD128" i="6" s="1"/>
  <c r="AZ137" i="5"/>
  <c r="AY137" i="5"/>
  <c r="AW137" i="5"/>
  <c r="W137" i="5"/>
  <c r="O137" i="5"/>
  <c r="N137" i="5"/>
  <c r="D137" i="5"/>
  <c r="B137" i="5"/>
  <c r="CH136" i="5"/>
  <c r="CC136" i="5"/>
  <c r="CB136" i="5"/>
  <c r="BU136" i="5"/>
  <c r="BR136" i="5"/>
  <c r="BQ136" i="5"/>
  <c r="BN136" i="5"/>
  <c r="BJ136" i="5"/>
  <c r="BI136" i="5"/>
  <c r="BD136" i="5"/>
  <c r="BC136" i="5"/>
  <c r="GE127" i="6" s="1"/>
  <c r="BB136" i="5"/>
  <c r="GD127" i="6" s="1"/>
  <c r="AZ136" i="5"/>
  <c r="AY136" i="5"/>
  <c r="AW136" i="5"/>
  <c r="W136" i="5"/>
  <c r="O136" i="5"/>
  <c r="N136" i="5"/>
  <c r="D136" i="5"/>
  <c r="B136" i="5"/>
  <c r="CH135" i="5"/>
  <c r="CC135" i="5"/>
  <c r="CB135" i="5"/>
  <c r="BU135" i="5"/>
  <c r="BR135" i="5"/>
  <c r="BQ135" i="5"/>
  <c r="BN135" i="5"/>
  <c r="BJ135" i="5"/>
  <c r="BI135" i="5"/>
  <c r="BD135" i="5"/>
  <c r="GF126" i="6" s="1"/>
  <c r="BC135" i="5"/>
  <c r="GE126" i="6" s="1"/>
  <c r="BB135" i="5"/>
  <c r="GD126" i="6" s="1"/>
  <c r="AZ135" i="5"/>
  <c r="AY135" i="5"/>
  <c r="AW135" i="5"/>
  <c r="W135" i="5"/>
  <c r="N135" i="5"/>
  <c r="D135" i="5"/>
  <c r="B135" i="5"/>
  <c r="CH134" i="5"/>
  <c r="CC134" i="5"/>
  <c r="CB134" i="5"/>
  <c r="BU134" i="5"/>
  <c r="BR134" i="5"/>
  <c r="BQ134" i="5"/>
  <c r="BN134" i="5"/>
  <c r="BJ134" i="5"/>
  <c r="BI134" i="5"/>
  <c r="BD134" i="5"/>
  <c r="GF125" i="6" s="1"/>
  <c r="BC134" i="5"/>
  <c r="GE125" i="6" s="1"/>
  <c r="BB134" i="5"/>
  <c r="GD125" i="6" s="1"/>
  <c r="AZ134" i="5"/>
  <c r="AY134" i="5"/>
  <c r="AW134" i="5"/>
  <c r="W134" i="5"/>
  <c r="N134" i="5"/>
  <c r="D134" i="5"/>
  <c r="B134" i="5"/>
  <c r="CH133" i="5"/>
  <c r="CC133" i="5"/>
  <c r="CB133" i="5"/>
  <c r="BU133" i="5"/>
  <c r="BR133" i="5"/>
  <c r="BQ133" i="5"/>
  <c r="BJ133" i="5"/>
  <c r="BI133" i="5"/>
  <c r="BD133" i="5"/>
  <c r="GF124" i="6" s="1"/>
  <c r="BC133" i="5"/>
  <c r="BB133" i="5"/>
  <c r="GD124" i="6" s="1"/>
  <c r="AZ133" i="5"/>
  <c r="AY133" i="5"/>
  <c r="AW133" i="5"/>
  <c r="W133" i="5"/>
  <c r="N133" i="5"/>
  <c r="D133" i="5"/>
  <c r="B133" i="5"/>
  <c r="CH132" i="5"/>
  <c r="CC132" i="5"/>
  <c r="CB132" i="5"/>
  <c r="CD132" i="5" s="1"/>
  <c r="BU132" i="5"/>
  <c r="BR132" i="5"/>
  <c r="BQ132" i="5"/>
  <c r="BJ132" i="5"/>
  <c r="BI132" i="5"/>
  <c r="BD132" i="5"/>
  <c r="BC132" i="5"/>
  <c r="GE123" i="6" s="1"/>
  <c r="BB132" i="5"/>
  <c r="GD123" i="6" s="1"/>
  <c r="AZ132" i="5"/>
  <c r="AY132" i="5"/>
  <c r="AX132" i="5"/>
  <c r="AW132" i="5"/>
  <c r="W132" i="5"/>
  <c r="N132" i="5"/>
  <c r="D132" i="5"/>
  <c r="B132" i="5"/>
  <c r="CH131" i="5"/>
  <c r="CC131" i="5"/>
  <c r="CB131" i="5"/>
  <c r="BU131" i="5"/>
  <c r="BR131" i="5"/>
  <c r="BQ131" i="5"/>
  <c r="BJ131" i="5"/>
  <c r="BI131" i="5"/>
  <c r="BD131" i="5"/>
  <c r="GF122" i="6" s="1"/>
  <c r="BC131" i="5"/>
  <c r="GE122" i="6" s="1"/>
  <c r="BB131" i="5"/>
  <c r="GD122" i="6" s="1"/>
  <c r="AZ131" i="5"/>
  <c r="AY131" i="5"/>
  <c r="AX131" i="5"/>
  <c r="AW131" i="5"/>
  <c r="W131" i="5"/>
  <c r="N131" i="5"/>
  <c r="D131" i="5"/>
  <c r="B131" i="5"/>
  <c r="CH130" i="5"/>
  <c r="CC130" i="5"/>
  <c r="CB130" i="5"/>
  <c r="BU130" i="5"/>
  <c r="BR130" i="5"/>
  <c r="BQ130" i="5"/>
  <c r="BJ130" i="5"/>
  <c r="BI130" i="5"/>
  <c r="BD130" i="5"/>
  <c r="GF121" i="6" s="1"/>
  <c r="BC130" i="5"/>
  <c r="GE121" i="6" s="1"/>
  <c r="BB130" i="5"/>
  <c r="GD121" i="6" s="1"/>
  <c r="AZ130" i="5"/>
  <c r="AY130" i="5"/>
  <c r="BA130" i="5" s="1"/>
  <c r="AX130" i="5"/>
  <c r="AW130" i="5"/>
  <c r="W130" i="5"/>
  <c r="N130" i="5"/>
  <c r="D130" i="5"/>
  <c r="B130" i="5"/>
  <c r="CH129" i="5"/>
  <c r="CC129" i="5"/>
  <c r="CB129" i="5"/>
  <c r="BU129" i="5"/>
  <c r="BR129" i="5"/>
  <c r="BQ129" i="5"/>
  <c r="BJ129" i="5"/>
  <c r="BI129" i="5"/>
  <c r="BD129" i="5"/>
  <c r="GF120" i="6" s="1"/>
  <c r="BC129" i="5"/>
  <c r="GE120" i="6" s="1"/>
  <c r="BB129" i="5"/>
  <c r="AZ129" i="5"/>
  <c r="AY129" i="5"/>
  <c r="AX129" i="5"/>
  <c r="AW129" i="5"/>
  <c r="W129" i="5"/>
  <c r="N129" i="5"/>
  <c r="D129" i="5"/>
  <c r="B129" i="5"/>
  <c r="CH128" i="5"/>
  <c r="CC128" i="5"/>
  <c r="CB128" i="5"/>
  <c r="BU128" i="5"/>
  <c r="BR128" i="5"/>
  <c r="BQ128" i="5"/>
  <c r="BJ128" i="5"/>
  <c r="BI128" i="5"/>
  <c r="BD128" i="5"/>
  <c r="BC128" i="5"/>
  <c r="GE119" i="6" s="1"/>
  <c r="BB128" i="5"/>
  <c r="GD119" i="6" s="1"/>
  <c r="AZ128" i="5"/>
  <c r="AY128" i="5"/>
  <c r="BA128" i="5" s="1"/>
  <c r="AX128" i="5"/>
  <c r="AW128" i="5"/>
  <c r="W128" i="5"/>
  <c r="N128" i="5"/>
  <c r="D128" i="5"/>
  <c r="B128" i="5"/>
  <c r="CH127" i="5"/>
  <c r="CC127" i="5"/>
  <c r="CB127" i="5"/>
  <c r="BU127" i="5"/>
  <c r="BR127" i="5"/>
  <c r="BQ127" i="5"/>
  <c r="BJ127" i="5"/>
  <c r="BI127" i="5"/>
  <c r="BD127" i="5"/>
  <c r="GF118" i="6" s="1"/>
  <c r="BC127" i="5"/>
  <c r="GE118" i="6" s="1"/>
  <c r="BB127" i="5"/>
  <c r="GD118" i="6" s="1"/>
  <c r="AZ127" i="5"/>
  <c r="AY127" i="5"/>
  <c r="AX127" i="5"/>
  <c r="AW127" i="5"/>
  <c r="W127" i="5"/>
  <c r="N127" i="5"/>
  <c r="D127" i="5"/>
  <c r="B127" i="5"/>
  <c r="CH126" i="5"/>
  <c r="CC126" i="5"/>
  <c r="CB126" i="5"/>
  <c r="BU126" i="5"/>
  <c r="BR126" i="5"/>
  <c r="BQ126" i="5"/>
  <c r="BJ126" i="5"/>
  <c r="BI126" i="5"/>
  <c r="BD126" i="5"/>
  <c r="BC126" i="5"/>
  <c r="GE117" i="6" s="1"/>
  <c r="BB126" i="5"/>
  <c r="GD117" i="6" s="1"/>
  <c r="AZ126" i="5"/>
  <c r="AY126" i="5"/>
  <c r="AX126" i="5"/>
  <c r="AW126" i="5"/>
  <c r="W126" i="5"/>
  <c r="D126" i="5"/>
  <c r="B126" i="5"/>
  <c r="CH125" i="5"/>
  <c r="CC125" i="5"/>
  <c r="CB125" i="5"/>
  <c r="BU125" i="5"/>
  <c r="BR125" i="5"/>
  <c r="BQ125" i="5"/>
  <c r="BJ125" i="5"/>
  <c r="BI125" i="5"/>
  <c r="BD125" i="5"/>
  <c r="GF116" i="6" s="1"/>
  <c r="BC125" i="5"/>
  <c r="GE116" i="6" s="1"/>
  <c r="BB125" i="5"/>
  <c r="GD116" i="6" s="1"/>
  <c r="AZ125" i="5"/>
  <c r="AY125" i="5"/>
  <c r="AX125" i="5"/>
  <c r="AW125" i="5"/>
  <c r="W125" i="5"/>
  <c r="D125" i="5"/>
  <c r="B125" i="5"/>
  <c r="CH124" i="5"/>
  <c r="CC124" i="5"/>
  <c r="CB124" i="5"/>
  <c r="BU124" i="5"/>
  <c r="BR124" i="5"/>
  <c r="BQ124" i="5"/>
  <c r="BJ124" i="5"/>
  <c r="BI124" i="5"/>
  <c r="BD124" i="5"/>
  <c r="GF115" i="6" s="1"/>
  <c r="BC124" i="5"/>
  <c r="GE115" i="6" s="1"/>
  <c r="BB124" i="5"/>
  <c r="GD115" i="6" s="1"/>
  <c r="AZ124" i="5"/>
  <c r="AY124" i="5"/>
  <c r="AX124" i="5"/>
  <c r="AW124" i="5"/>
  <c r="W124" i="5"/>
  <c r="D124" i="5"/>
  <c r="B124" i="5"/>
  <c r="CH123" i="5"/>
  <c r="CC123" i="5"/>
  <c r="CB123" i="5"/>
  <c r="BU123" i="5"/>
  <c r="BR123" i="5"/>
  <c r="BQ123" i="5"/>
  <c r="BJ123" i="5"/>
  <c r="BI123" i="5"/>
  <c r="BD123" i="5"/>
  <c r="BC123" i="5"/>
  <c r="GE114" i="6" s="1"/>
  <c r="BB123" i="5"/>
  <c r="GD114" i="6" s="1"/>
  <c r="AZ123" i="5"/>
  <c r="AY123" i="5"/>
  <c r="AX123" i="5"/>
  <c r="AW123" i="5"/>
  <c r="W123" i="5"/>
  <c r="D123" i="5"/>
  <c r="B123" i="5"/>
  <c r="CH122" i="5"/>
  <c r="CC122" i="5"/>
  <c r="CB122" i="5"/>
  <c r="BU122" i="5"/>
  <c r="BR122" i="5"/>
  <c r="BQ122" i="5"/>
  <c r="BJ122" i="5"/>
  <c r="BI122" i="5"/>
  <c r="BD122" i="5"/>
  <c r="GF113" i="6" s="1"/>
  <c r="BC122" i="5"/>
  <c r="BB122" i="5"/>
  <c r="GD113" i="6" s="1"/>
  <c r="AZ122" i="5"/>
  <c r="AY122" i="5"/>
  <c r="BA122" i="5" s="1"/>
  <c r="AX122" i="5"/>
  <c r="AW122" i="5"/>
  <c r="W122" i="5"/>
  <c r="D122" i="5"/>
  <c r="B122" i="5"/>
  <c r="CH121" i="5"/>
  <c r="CC121" i="5"/>
  <c r="CB121" i="5"/>
  <c r="BU121" i="5"/>
  <c r="BR121" i="5"/>
  <c r="BQ121" i="5"/>
  <c r="BJ121" i="5"/>
  <c r="BI121" i="5"/>
  <c r="BD121" i="5"/>
  <c r="BC121" i="5"/>
  <c r="GE112" i="6" s="1"/>
  <c r="BB121" i="5"/>
  <c r="GD112" i="6" s="1"/>
  <c r="AZ121" i="5"/>
  <c r="AY121" i="5"/>
  <c r="AX121" i="5"/>
  <c r="AW121" i="5"/>
  <c r="W121" i="5"/>
  <c r="D121" i="5"/>
  <c r="B121" i="5"/>
  <c r="CH120" i="5"/>
  <c r="CC120" i="5"/>
  <c r="CB120" i="5"/>
  <c r="CD120" i="5" s="1"/>
  <c r="BU120" i="5"/>
  <c r="BR120" i="5"/>
  <c r="BQ120" i="5"/>
  <c r="BJ120" i="5"/>
  <c r="BI120" i="5"/>
  <c r="BD120" i="5"/>
  <c r="GF111" i="6" s="1"/>
  <c r="BC120" i="5"/>
  <c r="GE111" i="6" s="1"/>
  <c r="BB120" i="5"/>
  <c r="GD111" i="6" s="1"/>
  <c r="AZ120" i="5"/>
  <c r="AY120" i="5"/>
  <c r="AX120" i="5"/>
  <c r="AW120" i="5"/>
  <c r="W120" i="5"/>
  <c r="D120" i="5"/>
  <c r="B120" i="5"/>
  <c r="CH119" i="5"/>
  <c r="CC119" i="5"/>
  <c r="CB119" i="5"/>
  <c r="BU119" i="5"/>
  <c r="BR119" i="5"/>
  <c r="BQ119" i="5"/>
  <c r="BJ119" i="5"/>
  <c r="BI119" i="5"/>
  <c r="BD119" i="5"/>
  <c r="BC119" i="5"/>
  <c r="GE110" i="6" s="1"/>
  <c r="BB119" i="5"/>
  <c r="GD110" i="6" s="1"/>
  <c r="AZ119" i="5"/>
  <c r="AY119" i="5"/>
  <c r="AX119" i="5"/>
  <c r="AW119" i="5"/>
  <c r="W119" i="5"/>
  <c r="D119" i="5"/>
  <c r="B119" i="5"/>
  <c r="CH118" i="5"/>
  <c r="CC118" i="5"/>
  <c r="CB118" i="5"/>
  <c r="BU118" i="5"/>
  <c r="BR118" i="5"/>
  <c r="BQ118" i="5"/>
  <c r="BJ118" i="5"/>
  <c r="BI118" i="5"/>
  <c r="BD118" i="5"/>
  <c r="GF109" i="6" s="1"/>
  <c r="BC118" i="5"/>
  <c r="GE109" i="6" s="1"/>
  <c r="BB118" i="5"/>
  <c r="GD109" i="6" s="1"/>
  <c r="AZ118" i="5"/>
  <c r="AY118" i="5"/>
  <c r="AX118" i="5"/>
  <c r="AW118" i="5"/>
  <c r="W118" i="5"/>
  <c r="D118" i="5"/>
  <c r="B118" i="5"/>
  <c r="CH117" i="5"/>
  <c r="CC117" i="5"/>
  <c r="CB117" i="5"/>
  <c r="BU117" i="5"/>
  <c r="BR117" i="5"/>
  <c r="BQ117" i="5"/>
  <c r="BJ117" i="5"/>
  <c r="BI117" i="5"/>
  <c r="BD117" i="5"/>
  <c r="GF108" i="6" s="1"/>
  <c r="BC117" i="5"/>
  <c r="BB117" i="5"/>
  <c r="GD108" i="6" s="1"/>
  <c r="AZ117" i="5"/>
  <c r="AY117" i="5"/>
  <c r="AX117" i="5"/>
  <c r="AW117" i="5"/>
  <c r="W117" i="5"/>
  <c r="D117" i="5"/>
  <c r="B117" i="5"/>
  <c r="CH116" i="5"/>
  <c r="CC116" i="5"/>
  <c r="CB116" i="5"/>
  <c r="BU116" i="5"/>
  <c r="BR116" i="5"/>
  <c r="BQ116" i="5"/>
  <c r="BJ116" i="5"/>
  <c r="BI116" i="5"/>
  <c r="BD116" i="5"/>
  <c r="GF107" i="6" s="1"/>
  <c r="BC116" i="5"/>
  <c r="GE107" i="6" s="1"/>
  <c r="BB116" i="5"/>
  <c r="GD107" i="6" s="1"/>
  <c r="AZ116" i="5"/>
  <c r="AY116" i="5"/>
  <c r="AX116" i="5"/>
  <c r="AW116" i="5"/>
  <c r="W116" i="5"/>
  <c r="D116" i="5"/>
  <c r="B116" i="5"/>
  <c r="CH115" i="5"/>
  <c r="CC115" i="5"/>
  <c r="CB115" i="5"/>
  <c r="BU115" i="5"/>
  <c r="BR115" i="5"/>
  <c r="BQ115" i="5"/>
  <c r="BJ115" i="5"/>
  <c r="BI115" i="5"/>
  <c r="BD115" i="5"/>
  <c r="GF106" i="6" s="1"/>
  <c r="BC115" i="5"/>
  <c r="GE106" i="6" s="1"/>
  <c r="BB115" i="5"/>
  <c r="GD106" i="6" s="1"/>
  <c r="AZ115" i="5"/>
  <c r="AY115" i="5"/>
  <c r="AX115" i="5"/>
  <c r="AW115" i="5"/>
  <c r="W115" i="5"/>
  <c r="D115" i="5"/>
  <c r="B115" i="5"/>
  <c r="CH114" i="5"/>
  <c r="CC114" i="5"/>
  <c r="CB114" i="5"/>
  <c r="BU114" i="5"/>
  <c r="BR114" i="5"/>
  <c r="BQ114" i="5"/>
  <c r="BJ114" i="5"/>
  <c r="BI114" i="5"/>
  <c r="BD114" i="5"/>
  <c r="GF105" i="6" s="1"/>
  <c r="BC114" i="5"/>
  <c r="GE105" i="6" s="1"/>
  <c r="BB114" i="5"/>
  <c r="GD105" i="6" s="1"/>
  <c r="AZ114" i="5"/>
  <c r="AY114" i="5"/>
  <c r="AX114" i="5"/>
  <c r="AW114" i="5"/>
  <c r="W114" i="5"/>
  <c r="D114" i="5"/>
  <c r="B114" i="5"/>
  <c r="CH113" i="5"/>
  <c r="CC113" i="5"/>
  <c r="CB113" i="5"/>
  <c r="CD113" i="5" s="1"/>
  <c r="BU113" i="5"/>
  <c r="BR113" i="5"/>
  <c r="BQ113" i="5"/>
  <c r="BJ113" i="5"/>
  <c r="BI113" i="5"/>
  <c r="BD113" i="5"/>
  <c r="BC113" i="5"/>
  <c r="GE104" i="6" s="1"/>
  <c r="BB113" i="5"/>
  <c r="GD104" i="6" s="1"/>
  <c r="AZ113" i="5"/>
  <c r="AY113" i="5"/>
  <c r="AX113" i="5"/>
  <c r="AW113" i="5"/>
  <c r="W113" i="5"/>
  <c r="D113" i="5"/>
  <c r="B113" i="5"/>
  <c r="CH112" i="5"/>
  <c r="CC112" i="5"/>
  <c r="CB112" i="5"/>
  <c r="CD112" i="5" s="1"/>
  <c r="BU112" i="5"/>
  <c r="BR112" i="5"/>
  <c r="BQ112" i="5"/>
  <c r="BS112" i="5" s="1"/>
  <c r="BJ112" i="5"/>
  <c r="BI112" i="5"/>
  <c r="BD112" i="5"/>
  <c r="GF103" i="6" s="1"/>
  <c r="BC112" i="5"/>
  <c r="GE103" i="6" s="1"/>
  <c r="BB112" i="5"/>
  <c r="GD103" i="6" s="1"/>
  <c r="AZ112" i="5"/>
  <c r="AY112" i="5"/>
  <c r="AX112" i="5"/>
  <c r="AW112" i="5"/>
  <c r="W112" i="5"/>
  <c r="D112" i="5"/>
  <c r="B112" i="5"/>
  <c r="CH111" i="5"/>
  <c r="CC111" i="5"/>
  <c r="CB111" i="5"/>
  <c r="BU111" i="5"/>
  <c r="BR111" i="5"/>
  <c r="BQ111" i="5"/>
  <c r="BJ111" i="5"/>
  <c r="BI111" i="5"/>
  <c r="BD111" i="5"/>
  <c r="GF102" i="6" s="1"/>
  <c r="BC111" i="5"/>
  <c r="GE102" i="6" s="1"/>
  <c r="BB111" i="5"/>
  <c r="GD102" i="6" s="1"/>
  <c r="AZ111" i="5"/>
  <c r="AY111" i="5"/>
  <c r="AX111" i="5"/>
  <c r="AW111" i="5"/>
  <c r="W111" i="5"/>
  <c r="D111" i="5"/>
  <c r="B111" i="5"/>
  <c r="CH110" i="5"/>
  <c r="CC110" i="5"/>
  <c r="CB110" i="5"/>
  <c r="BU110" i="5"/>
  <c r="BR110" i="5"/>
  <c r="BQ110" i="5"/>
  <c r="BJ110" i="5"/>
  <c r="BI110" i="5"/>
  <c r="BD110" i="5"/>
  <c r="GF101" i="6" s="1"/>
  <c r="BC110" i="5"/>
  <c r="GE101" i="6" s="1"/>
  <c r="BB110" i="5"/>
  <c r="GD101" i="6" s="1"/>
  <c r="AZ110" i="5"/>
  <c r="AY110" i="5"/>
  <c r="AX110" i="5"/>
  <c r="AW110" i="5"/>
  <c r="W110" i="5"/>
  <c r="D110" i="5"/>
  <c r="B110" i="5"/>
  <c r="CH109" i="5"/>
  <c r="CC109" i="5"/>
  <c r="CB109" i="5"/>
  <c r="BU109" i="5"/>
  <c r="BR109" i="5"/>
  <c r="BQ109" i="5"/>
  <c r="BJ109" i="5"/>
  <c r="BI109" i="5"/>
  <c r="BD109" i="5"/>
  <c r="BC109" i="5"/>
  <c r="GE100" i="6" s="1"/>
  <c r="BB109" i="5"/>
  <c r="AZ109" i="5"/>
  <c r="AY109" i="5"/>
  <c r="AX109" i="5"/>
  <c r="AW109" i="5"/>
  <c r="W109" i="5"/>
  <c r="D109" i="5"/>
  <c r="B109" i="5"/>
  <c r="CH108" i="5"/>
  <c r="CC108" i="5"/>
  <c r="CB108" i="5"/>
  <c r="BU108" i="5"/>
  <c r="BR108" i="5"/>
  <c r="BQ108" i="5"/>
  <c r="BJ108" i="5"/>
  <c r="BI108" i="5"/>
  <c r="BD108" i="5"/>
  <c r="GF99" i="6" s="1"/>
  <c r="BC108" i="5"/>
  <c r="GE99" i="6" s="1"/>
  <c r="BB108" i="5"/>
  <c r="AZ108" i="5"/>
  <c r="AY108" i="5"/>
  <c r="AX108" i="5"/>
  <c r="AW108" i="5"/>
  <c r="W108" i="5"/>
  <c r="D108" i="5"/>
  <c r="B108" i="5"/>
  <c r="CH107" i="5"/>
  <c r="CC107" i="5"/>
  <c r="CB107" i="5"/>
  <c r="BU107" i="5"/>
  <c r="BR107" i="5"/>
  <c r="BQ107" i="5"/>
  <c r="BJ107" i="5"/>
  <c r="BI107" i="5"/>
  <c r="BD107" i="5"/>
  <c r="BC107" i="5"/>
  <c r="GE98" i="6" s="1"/>
  <c r="BB107" i="5"/>
  <c r="GD98" i="6" s="1"/>
  <c r="AZ107" i="5"/>
  <c r="AY107" i="5"/>
  <c r="AX107" i="5"/>
  <c r="AW107" i="5"/>
  <c r="W107" i="5"/>
  <c r="D107" i="5"/>
  <c r="B107" i="5"/>
  <c r="CH106" i="5"/>
  <c r="CC106" i="5"/>
  <c r="CB106" i="5"/>
  <c r="BU106" i="5"/>
  <c r="BR106" i="5"/>
  <c r="BQ106" i="5"/>
  <c r="BJ106" i="5"/>
  <c r="BI106" i="5"/>
  <c r="BD106" i="5"/>
  <c r="GF97" i="6" s="1"/>
  <c r="BC106" i="5"/>
  <c r="GE97" i="6" s="1"/>
  <c r="BB106" i="5"/>
  <c r="GD97" i="6" s="1"/>
  <c r="AZ106" i="5"/>
  <c r="AY106" i="5"/>
  <c r="AX106" i="5"/>
  <c r="AW106" i="5"/>
  <c r="W106" i="5"/>
  <c r="D106" i="5"/>
  <c r="B106" i="5"/>
  <c r="CH105" i="5"/>
  <c r="CC105" i="5"/>
  <c r="CB105" i="5"/>
  <c r="BU105" i="5"/>
  <c r="BR105" i="5"/>
  <c r="BQ105" i="5"/>
  <c r="BJ105" i="5"/>
  <c r="BI105" i="5"/>
  <c r="BD105" i="5"/>
  <c r="GF96" i="6" s="1"/>
  <c r="BC105" i="5"/>
  <c r="GE96" i="6" s="1"/>
  <c r="BB105" i="5"/>
  <c r="GD96" i="6" s="1"/>
  <c r="AZ105" i="5"/>
  <c r="AY105" i="5"/>
  <c r="AX105" i="5"/>
  <c r="AW105" i="5"/>
  <c r="W105" i="5"/>
  <c r="D105" i="5"/>
  <c r="B105" i="5"/>
  <c r="CH104" i="5"/>
  <c r="CC104" i="5"/>
  <c r="CB104" i="5"/>
  <c r="BU104" i="5"/>
  <c r="BR104" i="5"/>
  <c r="BQ104" i="5"/>
  <c r="BJ104" i="5"/>
  <c r="BI104" i="5"/>
  <c r="BD104" i="5"/>
  <c r="BC104" i="5"/>
  <c r="GE95" i="6" s="1"/>
  <c r="BB104" i="5"/>
  <c r="GD95" i="6" s="1"/>
  <c r="AZ104" i="5"/>
  <c r="AY104" i="5"/>
  <c r="AX104" i="5"/>
  <c r="AW104" i="5"/>
  <c r="W104" i="5"/>
  <c r="D104" i="5"/>
  <c r="B104" i="5"/>
  <c r="CH103" i="5"/>
  <c r="CC103" i="5"/>
  <c r="CB103" i="5"/>
  <c r="BU103" i="5"/>
  <c r="BR103" i="5"/>
  <c r="BQ103" i="5"/>
  <c r="BJ103" i="5"/>
  <c r="BI103" i="5"/>
  <c r="BD103" i="5"/>
  <c r="GF94" i="6" s="1"/>
  <c r="BC103" i="5"/>
  <c r="GE94" i="6" s="1"/>
  <c r="BB103" i="5"/>
  <c r="GD94" i="6" s="1"/>
  <c r="AZ103" i="5"/>
  <c r="AY103" i="5"/>
  <c r="AX103" i="5"/>
  <c r="AW103" i="5"/>
  <c r="W103" i="5"/>
  <c r="D103" i="5"/>
  <c r="B103" i="5"/>
  <c r="CH102" i="5"/>
  <c r="CC102" i="5"/>
  <c r="CB102" i="5"/>
  <c r="BU102" i="5"/>
  <c r="BR102" i="5"/>
  <c r="BQ102" i="5"/>
  <c r="BJ102" i="5"/>
  <c r="BI102" i="5"/>
  <c r="BD102" i="5"/>
  <c r="GF93" i="6" s="1"/>
  <c r="BC102" i="5"/>
  <c r="GE93" i="6" s="1"/>
  <c r="BB102" i="5"/>
  <c r="GD93" i="6" s="1"/>
  <c r="AZ102" i="5"/>
  <c r="AY102" i="5"/>
  <c r="AX102" i="5"/>
  <c r="AW102" i="5"/>
  <c r="W102" i="5"/>
  <c r="D102" i="5"/>
  <c r="B102" i="5"/>
  <c r="CH101" i="5"/>
  <c r="CC101" i="5"/>
  <c r="CB101" i="5"/>
  <c r="BU101" i="5"/>
  <c r="BR101" i="5"/>
  <c r="BQ101" i="5"/>
  <c r="BJ101" i="5"/>
  <c r="BI101" i="5"/>
  <c r="BD101" i="5"/>
  <c r="BC101" i="5"/>
  <c r="GE92" i="6" s="1"/>
  <c r="BB101" i="5"/>
  <c r="GD92" i="6" s="1"/>
  <c r="AZ101" i="5"/>
  <c r="AY101" i="5"/>
  <c r="AX101" i="5"/>
  <c r="AW101" i="5"/>
  <c r="W101" i="5"/>
  <c r="D101" i="5"/>
  <c r="B101" i="5"/>
  <c r="CH100" i="5"/>
  <c r="CC100" i="5"/>
  <c r="CB100" i="5"/>
  <c r="BU100" i="5"/>
  <c r="BR100" i="5"/>
  <c r="BQ100" i="5"/>
  <c r="BJ100" i="5"/>
  <c r="BI100" i="5"/>
  <c r="BD100" i="5"/>
  <c r="BC100" i="5"/>
  <c r="GE91" i="6" s="1"/>
  <c r="BB100" i="5"/>
  <c r="GD91" i="6" s="1"/>
  <c r="AZ100" i="5"/>
  <c r="AY100" i="5"/>
  <c r="AX100" i="5"/>
  <c r="AW100" i="5"/>
  <c r="D100" i="5"/>
  <c r="B100" i="5"/>
  <c r="CH99" i="5"/>
  <c r="CC99" i="5"/>
  <c r="CB99" i="5"/>
  <c r="BU99" i="5"/>
  <c r="BR99" i="5"/>
  <c r="BQ99" i="5"/>
  <c r="BJ99" i="5"/>
  <c r="BI99" i="5"/>
  <c r="BD99" i="5"/>
  <c r="GF90" i="6" s="1"/>
  <c r="BC99" i="5"/>
  <c r="GE90" i="6" s="1"/>
  <c r="BB99" i="5"/>
  <c r="AZ99" i="5"/>
  <c r="AY99" i="5"/>
  <c r="AX99" i="5"/>
  <c r="AW99" i="5"/>
  <c r="D99" i="5"/>
  <c r="B99" i="5"/>
  <c r="CH98" i="5"/>
  <c r="CC98" i="5"/>
  <c r="CB98" i="5"/>
  <c r="BU98" i="5"/>
  <c r="BR98" i="5"/>
  <c r="BQ98" i="5"/>
  <c r="BS98" i="5" s="1"/>
  <c r="BJ98" i="5"/>
  <c r="BI98" i="5"/>
  <c r="BD98" i="5"/>
  <c r="BC98" i="5"/>
  <c r="GE89" i="6" s="1"/>
  <c r="BB98" i="5"/>
  <c r="GD89" i="6" s="1"/>
  <c r="AZ98" i="5"/>
  <c r="AY98" i="5"/>
  <c r="AX98" i="5"/>
  <c r="AW98" i="5"/>
  <c r="D98" i="5"/>
  <c r="B98" i="5"/>
  <c r="CH97" i="5"/>
  <c r="CC97" i="5"/>
  <c r="CB97" i="5"/>
  <c r="CD97" i="5" s="1"/>
  <c r="BU97" i="5"/>
  <c r="BR97" i="5"/>
  <c r="BQ97" i="5"/>
  <c r="BJ97" i="5"/>
  <c r="BI97" i="5"/>
  <c r="BD97" i="5"/>
  <c r="BC97" i="5"/>
  <c r="GE88" i="6" s="1"/>
  <c r="BB97" i="5"/>
  <c r="GD88" i="6" s="1"/>
  <c r="AZ97" i="5"/>
  <c r="AY97" i="5"/>
  <c r="AX97" i="5"/>
  <c r="AW97" i="5"/>
  <c r="D97" i="5"/>
  <c r="B97" i="5"/>
  <c r="CH96" i="5"/>
  <c r="CC96" i="5"/>
  <c r="CB96" i="5"/>
  <c r="BU96" i="5"/>
  <c r="BR96" i="5"/>
  <c r="BQ96" i="5"/>
  <c r="BJ96" i="5"/>
  <c r="BI96" i="5"/>
  <c r="BD96" i="5"/>
  <c r="GF87" i="6" s="1"/>
  <c r="BC96" i="5"/>
  <c r="GE87" i="6" s="1"/>
  <c r="BB96" i="5"/>
  <c r="GD87" i="6" s="1"/>
  <c r="AZ96" i="5"/>
  <c r="AY96" i="5"/>
  <c r="AX96" i="5"/>
  <c r="AW96" i="5"/>
  <c r="D96" i="5"/>
  <c r="B96" i="5"/>
  <c r="CH95" i="5"/>
  <c r="CC95" i="5"/>
  <c r="CB95" i="5"/>
  <c r="BU95" i="5"/>
  <c r="BR95" i="5"/>
  <c r="BQ95" i="5"/>
  <c r="BJ95" i="5"/>
  <c r="BI95" i="5"/>
  <c r="BD95" i="5"/>
  <c r="GF86" i="6" s="1"/>
  <c r="BC95" i="5"/>
  <c r="GE86" i="6" s="1"/>
  <c r="BB95" i="5"/>
  <c r="GD86" i="6" s="1"/>
  <c r="AZ95" i="5"/>
  <c r="AY95" i="5"/>
  <c r="AX95" i="5"/>
  <c r="AW95" i="5"/>
  <c r="D95" i="5"/>
  <c r="B95" i="5"/>
  <c r="CH94" i="5"/>
  <c r="CC94" i="5"/>
  <c r="CB94" i="5"/>
  <c r="BU94" i="5"/>
  <c r="BR94" i="5"/>
  <c r="BQ94" i="5"/>
  <c r="BJ94" i="5"/>
  <c r="BI94" i="5"/>
  <c r="BD94" i="5"/>
  <c r="GF85" i="6" s="1"/>
  <c r="BC94" i="5"/>
  <c r="GE85" i="6" s="1"/>
  <c r="BB94" i="5"/>
  <c r="GD85" i="6" s="1"/>
  <c r="AZ94" i="5"/>
  <c r="AY94" i="5"/>
  <c r="AX94" i="5"/>
  <c r="AW94" i="5"/>
  <c r="D94" i="5"/>
  <c r="B94" i="5"/>
  <c r="CH93" i="5"/>
  <c r="CC93" i="5"/>
  <c r="CB93" i="5"/>
  <c r="BU93" i="5"/>
  <c r="BR93" i="5"/>
  <c r="BQ93" i="5"/>
  <c r="BJ93" i="5"/>
  <c r="BI93" i="5"/>
  <c r="BD93" i="5"/>
  <c r="GF84" i="6" s="1"/>
  <c r="BC93" i="5"/>
  <c r="GE84" i="6" s="1"/>
  <c r="BB93" i="5"/>
  <c r="GD84" i="6" s="1"/>
  <c r="AZ93" i="5"/>
  <c r="AY93" i="5"/>
  <c r="AX93" i="5"/>
  <c r="AW93" i="5"/>
  <c r="D93" i="5"/>
  <c r="B93" i="5"/>
  <c r="CH92" i="5"/>
  <c r="CC92" i="5"/>
  <c r="CB92" i="5"/>
  <c r="BU92" i="5"/>
  <c r="BR92" i="5"/>
  <c r="BQ92" i="5"/>
  <c r="BS92" i="5" s="1"/>
  <c r="BJ92" i="5"/>
  <c r="BI92" i="5"/>
  <c r="BD92" i="5"/>
  <c r="GF83" i="6" s="1"/>
  <c r="BC92" i="5"/>
  <c r="GE83" i="6" s="1"/>
  <c r="BB92" i="5"/>
  <c r="GD83" i="6" s="1"/>
  <c r="AZ92" i="5"/>
  <c r="AY92" i="5"/>
  <c r="AX92" i="5"/>
  <c r="AW92" i="5"/>
  <c r="D92" i="5"/>
  <c r="B92" i="5"/>
  <c r="CH91" i="5"/>
  <c r="CC91" i="5"/>
  <c r="CB91" i="5"/>
  <c r="BU91" i="5"/>
  <c r="BR91" i="5"/>
  <c r="BQ91" i="5"/>
  <c r="BJ91" i="5"/>
  <c r="BI91" i="5"/>
  <c r="BD91" i="5"/>
  <c r="GF82" i="6" s="1"/>
  <c r="BC91" i="5"/>
  <c r="GE82" i="6" s="1"/>
  <c r="BB91" i="5"/>
  <c r="GD82" i="6" s="1"/>
  <c r="AZ91" i="5"/>
  <c r="AY91" i="5"/>
  <c r="AX91" i="5"/>
  <c r="AW91" i="5"/>
  <c r="D91" i="5"/>
  <c r="B91" i="5"/>
  <c r="CH90" i="5"/>
  <c r="CC90" i="5"/>
  <c r="CB90" i="5"/>
  <c r="BU90" i="5"/>
  <c r="BR90" i="5"/>
  <c r="BQ90" i="5"/>
  <c r="BJ90" i="5"/>
  <c r="BI90" i="5"/>
  <c r="BD90" i="5"/>
  <c r="GF81" i="6" s="1"/>
  <c r="BC90" i="5"/>
  <c r="GE81" i="6" s="1"/>
  <c r="BB90" i="5"/>
  <c r="GD81" i="6" s="1"/>
  <c r="AZ90" i="5"/>
  <c r="AY90" i="5"/>
  <c r="AX90" i="5"/>
  <c r="AW90" i="5"/>
  <c r="D90" i="5"/>
  <c r="B90" i="5"/>
  <c r="CH89" i="5"/>
  <c r="CC89" i="5"/>
  <c r="CB89" i="5"/>
  <c r="BU89" i="5"/>
  <c r="BR89" i="5"/>
  <c r="BQ89" i="5"/>
  <c r="BJ89" i="5"/>
  <c r="BI89" i="5"/>
  <c r="BD89" i="5"/>
  <c r="BC89" i="5"/>
  <c r="GE80" i="6" s="1"/>
  <c r="BB89" i="5"/>
  <c r="GD80" i="6" s="1"/>
  <c r="AZ89" i="5"/>
  <c r="AY89" i="5"/>
  <c r="AX89" i="5"/>
  <c r="AW89" i="5"/>
  <c r="D89" i="5"/>
  <c r="B89" i="5"/>
  <c r="CH88" i="5"/>
  <c r="CC88" i="5"/>
  <c r="CB88" i="5"/>
  <c r="CD88" i="5" s="1"/>
  <c r="BU88" i="5"/>
  <c r="BR88" i="5"/>
  <c r="BQ88" i="5"/>
  <c r="BJ88" i="5"/>
  <c r="BI88" i="5"/>
  <c r="BD88" i="5"/>
  <c r="GF79" i="6" s="1"/>
  <c r="BC88" i="5"/>
  <c r="GE79" i="6" s="1"/>
  <c r="BB88" i="5"/>
  <c r="GD79" i="6" s="1"/>
  <c r="AZ88" i="5"/>
  <c r="AY88" i="5"/>
  <c r="AX88" i="5"/>
  <c r="AW88" i="5"/>
  <c r="D88" i="5"/>
  <c r="B88" i="5"/>
  <c r="CH87" i="5"/>
  <c r="CC87" i="5"/>
  <c r="CB87" i="5"/>
  <c r="BU87" i="5"/>
  <c r="BR87" i="5"/>
  <c r="BQ87" i="5"/>
  <c r="BJ87" i="5"/>
  <c r="BI87" i="5"/>
  <c r="BD87" i="5"/>
  <c r="GF78" i="6" s="1"/>
  <c r="BC87" i="5"/>
  <c r="GE78" i="6" s="1"/>
  <c r="BB87" i="5"/>
  <c r="GD78" i="6" s="1"/>
  <c r="AZ87" i="5"/>
  <c r="AY87" i="5"/>
  <c r="AX87" i="5"/>
  <c r="AW87" i="5"/>
  <c r="D87" i="5"/>
  <c r="B87" i="5"/>
  <c r="CH86" i="5"/>
  <c r="CC86" i="5"/>
  <c r="CB86" i="5"/>
  <c r="BU86" i="5"/>
  <c r="BR86" i="5"/>
  <c r="BQ86" i="5"/>
  <c r="BJ86" i="5"/>
  <c r="BI86" i="5"/>
  <c r="BD86" i="5"/>
  <c r="GF77" i="6" s="1"/>
  <c r="BC86" i="5"/>
  <c r="GE77" i="6" s="1"/>
  <c r="BB86" i="5"/>
  <c r="GD77" i="6" s="1"/>
  <c r="AZ86" i="5"/>
  <c r="AY86" i="5"/>
  <c r="AX86" i="5"/>
  <c r="AW86" i="5"/>
  <c r="D86" i="5"/>
  <c r="B86" i="5"/>
  <c r="CH85" i="5"/>
  <c r="CC85" i="5"/>
  <c r="CB85" i="5"/>
  <c r="BU85" i="5"/>
  <c r="BR85" i="5"/>
  <c r="BQ85" i="5"/>
  <c r="BS85" i="5" s="1"/>
  <c r="BJ85" i="5"/>
  <c r="BI85" i="5"/>
  <c r="BD85" i="5"/>
  <c r="GF76" i="6" s="1"/>
  <c r="BC85" i="5"/>
  <c r="GE76" i="6" s="1"/>
  <c r="BB85" i="5"/>
  <c r="AZ85" i="5"/>
  <c r="AY85" i="5"/>
  <c r="AX85" i="5"/>
  <c r="AW85" i="5"/>
  <c r="D85" i="5"/>
  <c r="B85" i="5"/>
  <c r="CH84" i="5"/>
  <c r="CC84" i="5"/>
  <c r="CB84" i="5"/>
  <c r="CD84" i="5" s="1"/>
  <c r="BU84" i="5"/>
  <c r="BR84" i="5"/>
  <c r="BQ84" i="5"/>
  <c r="BJ84" i="5"/>
  <c r="BI84" i="5"/>
  <c r="BD84" i="5"/>
  <c r="BC84" i="5"/>
  <c r="GE75" i="6" s="1"/>
  <c r="BB84" i="5"/>
  <c r="GD75" i="6" s="1"/>
  <c r="AZ84" i="5"/>
  <c r="AY84" i="5"/>
  <c r="AX84" i="5"/>
  <c r="AW84" i="5"/>
  <c r="D84" i="5"/>
  <c r="B84" i="5"/>
  <c r="CH83" i="5"/>
  <c r="CC83" i="5"/>
  <c r="CB83" i="5"/>
  <c r="BU83" i="5"/>
  <c r="BR83" i="5"/>
  <c r="BQ83" i="5"/>
  <c r="BJ83" i="5"/>
  <c r="BI83" i="5"/>
  <c r="BD83" i="5"/>
  <c r="GF74" i="6" s="1"/>
  <c r="BC83" i="5"/>
  <c r="GE74" i="6" s="1"/>
  <c r="BB83" i="5"/>
  <c r="AZ83" i="5"/>
  <c r="AY83" i="5"/>
  <c r="AX83" i="5"/>
  <c r="AW83" i="5"/>
  <c r="D83" i="5"/>
  <c r="B83" i="5"/>
  <c r="CH82" i="5"/>
  <c r="CC82" i="5"/>
  <c r="CB82" i="5"/>
  <c r="BU82" i="5"/>
  <c r="BR82" i="5"/>
  <c r="BQ82" i="5"/>
  <c r="BJ82" i="5"/>
  <c r="BI82" i="5"/>
  <c r="BD82" i="5"/>
  <c r="BC82" i="5"/>
  <c r="GE73" i="6" s="1"/>
  <c r="BB82" i="5"/>
  <c r="GD73" i="6" s="1"/>
  <c r="AZ82" i="5"/>
  <c r="AY82" i="5"/>
  <c r="AX82" i="5"/>
  <c r="AW82" i="5"/>
  <c r="D82" i="5"/>
  <c r="B82" i="5"/>
  <c r="CH81" i="5"/>
  <c r="CC81" i="5"/>
  <c r="CB81" i="5"/>
  <c r="BU81" i="5"/>
  <c r="BR81" i="5"/>
  <c r="BQ81" i="5"/>
  <c r="BJ81" i="5"/>
  <c r="BI81" i="5"/>
  <c r="BD81" i="5"/>
  <c r="GF72" i="6" s="1"/>
  <c r="BC81" i="5"/>
  <c r="GE72" i="6" s="1"/>
  <c r="BB81" i="5"/>
  <c r="AZ81" i="5"/>
  <c r="AY81" i="5"/>
  <c r="AX81" i="5"/>
  <c r="AW81" i="5"/>
  <c r="D81" i="5"/>
  <c r="B81" i="5"/>
  <c r="CH80" i="5"/>
  <c r="CC80" i="5"/>
  <c r="CB80" i="5"/>
  <c r="BU80" i="5"/>
  <c r="BR80" i="5"/>
  <c r="BQ80" i="5"/>
  <c r="BJ80" i="5"/>
  <c r="BI80" i="5"/>
  <c r="BD80" i="5"/>
  <c r="GF71" i="6" s="1"/>
  <c r="BC80" i="5"/>
  <c r="GE71" i="6" s="1"/>
  <c r="BB80" i="5"/>
  <c r="GD71" i="6" s="1"/>
  <c r="AZ80" i="5"/>
  <c r="AY80" i="5"/>
  <c r="AX80" i="5"/>
  <c r="AW80" i="5"/>
  <c r="D80" i="5"/>
  <c r="B80" i="5"/>
  <c r="CH79" i="5"/>
  <c r="CC79" i="5"/>
  <c r="CB79" i="5"/>
  <c r="BU79" i="5"/>
  <c r="BR79" i="5"/>
  <c r="BQ79" i="5"/>
  <c r="BS79" i="5" s="1"/>
  <c r="BJ79" i="5"/>
  <c r="BI79" i="5"/>
  <c r="BD79" i="5"/>
  <c r="GF70" i="6" s="1"/>
  <c r="BC79" i="5"/>
  <c r="GE70" i="6" s="1"/>
  <c r="BB79" i="5"/>
  <c r="GD70" i="6" s="1"/>
  <c r="AZ79" i="5"/>
  <c r="AY79" i="5"/>
  <c r="AX79" i="5"/>
  <c r="AW79" i="5"/>
  <c r="D79" i="5"/>
  <c r="B79" i="5"/>
  <c r="CH78" i="5"/>
  <c r="CC78" i="5"/>
  <c r="CB78" i="5"/>
  <c r="BU78" i="5"/>
  <c r="BR78" i="5"/>
  <c r="BQ78" i="5"/>
  <c r="BJ78" i="5"/>
  <c r="BI78" i="5"/>
  <c r="BD78" i="5"/>
  <c r="BC78" i="5"/>
  <c r="GE69" i="6" s="1"/>
  <c r="BB78" i="5"/>
  <c r="GD69" i="6" s="1"/>
  <c r="AZ78" i="5"/>
  <c r="AY78" i="5"/>
  <c r="AX78" i="5"/>
  <c r="AW78" i="5"/>
  <c r="D78" i="5"/>
  <c r="B78" i="5"/>
  <c r="CH77" i="5"/>
  <c r="CC77" i="5"/>
  <c r="CB77" i="5"/>
  <c r="BU77" i="5"/>
  <c r="BR77" i="5"/>
  <c r="BQ77" i="5"/>
  <c r="BJ77" i="5"/>
  <c r="BI77" i="5"/>
  <c r="BD77" i="5"/>
  <c r="BC77" i="5"/>
  <c r="GE68" i="6" s="1"/>
  <c r="BB77" i="5"/>
  <c r="GD68" i="6" s="1"/>
  <c r="AZ77" i="5"/>
  <c r="AY77" i="5"/>
  <c r="AX77" i="5"/>
  <c r="AW77" i="5"/>
  <c r="D77" i="5"/>
  <c r="B77" i="5"/>
  <c r="CH76" i="5"/>
  <c r="CC76" i="5"/>
  <c r="CB76" i="5"/>
  <c r="BU76" i="5"/>
  <c r="BR76" i="5"/>
  <c r="BQ76" i="5"/>
  <c r="BJ76" i="5"/>
  <c r="BI76" i="5"/>
  <c r="BD76" i="5"/>
  <c r="GF67" i="6" s="1"/>
  <c r="BC76" i="5"/>
  <c r="GE67" i="6" s="1"/>
  <c r="BB76" i="5"/>
  <c r="GD67" i="6" s="1"/>
  <c r="AZ76" i="5"/>
  <c r="AY76" i="5"/>
  <c r="AX76" i="5"/>
  <c r="AW76" i="5"/>
  <c r="D76" i="5"/>
  <c r="B76" i="5"/>
  <c r="CH75" i="5"/>
  <c r="CC75" i="5"/>
  <c r="CB75" i="5"/>
  <c r="BU75" i="5"/>
  <c r="BR75" i="5"/>
  <c r="BQ75" i="5"/>
  <c r="BJ75" i="5"/>
  <c r="BI75" i="5"/>
  <c r="BD75" i="5"/>
  <c r="GF66" i="6" s="1"/>
  <c r="BC75" i="5"/>
  <c r="GE66" i="6" s="1"/>
  <c r="BB75" i="5"/>
  <c r="GD66" i="6" s="1"/>
  <c r="AZ75" i="5"/>
  <c r="AY75" i="5"/>
  <c r="AX75" i="5"/>
  <c r="AW75" i="5"/>
  <c r="D75" i="5"/>
  <c r="B75" i="5"/>
  <c r="CH74" i="5"/>
  <c r="CC74" i="5"/>
  <c r="CB74" i="5"/>
  <c r="BU74" i="5"/>
  <c r="BR74" i="5"/>
  <c r="BQ74" i="5"/>
  <c r="BJ74" i="5"/>
  <c r="BI74" i="5"/>
  <c r="BD74" i="5"/>
  <c r="GF65" i="6" s="1"/>
  <c r="BC74" i="5"/>
  <c r="BB74" i="5"/>
  <c r="AZ74" i="5"/>
  <c r="AY74" i="5"/>
  <c r="AX74" i="5"/>
  <c r="AW74" i="5"/>
  <c r="D74" i="5"/>
  <c r="B74" i="5"/>
  <c r="CH73" i="5"/>
  <c r="CC73" i="5"/>
  <c r="CB73" i="5"/>
  <c r="BU73" i="5"/>
  <c r="BR73" i="5"/>
  <c r="BQ73" i="5"/>
  <c r="BJ73" i="5"/>
  <c r="BI73" i="5"/>
  <c r="BD73" i="5"/>
  <c r="BC73" i="5"/>
  <c r="GE64" i="6" s="1"/>
  <c r="BB73" i="5"/>
  <c r="GD64" i="6" s="1"/>
  <c r="AZ73" i="5"/>
  <c r="AY73" i="5"/>
  <c r="AX73" i="5"/>
  <c r="AW73" i="5"/>
  <c r="D73" i="5"/>
  <c r="B73" i="5"/>
  <c r="CH72" i="5"/>
  <c r="CC72" i="5"/>
  <c r="CB72" i="5"/>
  <c r="BU72" i="5"/>
  <c r="BR72" i="5"/>
  <c r="BQ72" i="5"/>
  <c r="BJ72" i="5"/>
  <c r="BI72" i="5"/>
  <c r="BD72" i="5"/>
  <c r="GF63" i="6" s="1"/>
  <c r="BC72" i="5"/>
  <c r="GE63" i="6" s="1"/>
  <c r="BB72" i="5"/>
  <c r="AZ72" i="5"/>
  <c r="AY72" i="5"/>
  <c r="AX72" i="5"/>
  <c r="AW72" i="5"/>
  <c r="B72" i="5"/>
  <c r="CH71" i="5"/>
  <c r="CC71" i="5"/>
  <c r="CB71" i="5"/>
  <c r="CD71" i="5" s="1"/>
  <c r="BU71" i="5"/>
  <c r="BR71" i="5"/>
  <c r="BQ71" i="5"/>
  <c r="BJ71" i="5"/>
  <c r="BI71" i="5"/>
  <c r="BD71" i="5"/>
  <c r="GF62" i="6" s="1"/>
  <c r="BC71" i="5"/>
  <c r="GE62" i="6" s="1"/>
  <c r="BB71" i="5"/>
  <c r="GD62" i="6" s="1"/>
  <c r="AZ71" i="5"/>
  <c r="AY71" i="5"/>
  <c r="AX71" i="5"/>
  <c r="AW71" i="5"/>
  <c r="B71" i="5"/>
  <c r="CH70" i="5"/>
  <c r="CC70" i="5"/>
  <c r="CB70" i="5"/>
  <c r="BU70" i="5"/>
  <c r="BR70" i="5"/>
  <c r="BQ70" i="5"/>
  <c r="BJ70" i="5"/>
  <c r="BI70" i="5"/>
  <c r="BD70" i="5"/>
  <c r="GF61" i="6" s="1"/>
  <c r="BC70" i="5"/>
  <c r="GE61" i="6" s="1"/>
  <c r="BB70" i="5"/>
  <c r="AZ70" i="5"/>
  <c r="AY70" i="5"/>
  <c r="AX70" i="5"/>
  <c r="AW70" i="5"/>
  <c r="B70" i="5"/>
  <c r="CH69" i="5"/>
  <c r="CC69" i="5"/>
  <c r="CB69" i="5"/>
  <c r="BU69" i="5"/>
  <c r="BR69" i="5"/>
  <c r="BQ69" i="5"/>
  <c r="BJ69" i="5"/>
  <c r="BI69" i="5"/>
  <c r="BD69" i="5"/>
  <c r="GF60" i="6" s="1"/>
  <c r="BC69" i="5"/>
  <c r="GE60" i="6" s="1"/>
  <c r="BB69" i="5"/>
  <c r="AZ69" i="5"/>
  <c r="AY69" i="5"/>
  <c r="AX69" i="5"/>
  <c r="AW69" i="5"/>
  <c r="B69" i="5"/>
  <c r="CH68" i="5"/>
  <c r="CC68" i="5"/>
  <c r="CB68" i="5"/>
  <c r="BU68" i="5"/>
  <c r="BR68" i="5"/>
  <c r="BQ68" i="5"/>
  <c r="BJ68" i="5"/>
  <c r="BI68" i="5"/>
  <c r="BD68" i="5"/>
  <c r="GF59" i="6" s="1"/>
  <c r="BC68" i="5"/>
  <c r="GE59" i="6" s="1"/>
  <c r="BB68" i="5"/>
  <c r="GD59" i="6" s="1"/>
  <c r="AZ68" i="5"/>
  <c r="AY68" i="5"/>
  <c r="AX68" i="5"/>
  <c r="AW68" i="5"/>
  <c r="B68" i="5"/>
  <c r="CH67" i="5"/>
  <c r="CC67" i="5"/>
  <c r="CB67" i="5"/>
  <c r="CD67" i="5" s="1"/>
  <c r="BU67" i="5"/>
  <c r="BR67" i="5"/>
  <c r="BQ67" i="5"/>
  <c r="BJ67" i="5"/>
  <c r="BI67" i="5"/>
  <c r="BD67" i="5"/>
  <c r="BC67" i="5"/>
  <c r="GE58" i="6" s="1"/>
  <c r="BB67" i="5"/>
  <c r="GD58" i="6" s="1"/>
  <c r="AZ67" i="5"/>
  <c r="AY67" i="5"/>
  <c r="AX67" i="5"/>
  <c r="AW67" i="5"/>
  <c r="B67" i="5"/>
  <c r="CH66" i="5"/>
  <c r="CC66" i="5"/>
  <c r="CB66" i="5"/>
  <c r="BU66" i="5"/>
  <c r="BR66" i="5"/>
  <c r="BQ66" i="5"/>
  <c r="BJ66" i="5"/>
  <c r="BI66" i="5"/>
  <c r="BD66" i="5"/>
  <c r="BC66" i="5"/>
  <c r="GE57" i="6" s="1"/>
  <c r="BB66" i="5"/>
  <c r="GD57" i="6" s="1"/>
  <c r="AZ66" i="5"/>
  <c r="AY66" i="5"/>
  <c r="AX66" i="5"/>
  <c r="AW66" i="5"/>
  <c r="B66" i="5"/>
  <c r="CH65" i="5"/>
  <c r="CC65" i="5"/>
  <c r="CB65" i="5"/>
  <c r="BU65" i="5"/>
  <c r="BR65" i="5"/>
  <c r="BQ65" i="5"/>
  <c r="BJ65" i="5"/>
  <c r="BI65" i="5"/>
  <c r="BD65" i="5"/>
  <c r="GF56" i="6" s="1"/>
  <c r="BC65" i="5"/>
  <c r="GE56" i="6" s="1"/>
  <c r="BB65" i="5"/>
  <c r="GD56" i="6" s="1"/>
  <c r="AZ65" i="5"/>
  <c r="AY65" i="5"/>
  <c r="AX65" i="5"/>
  <c r="AW65" i="5"/>
  <c r="B65" i="5"/>
  <c r="CH64" i="5"/>
  <c r="CC64" i="5"/>
  <c r="CB64" i="5"/>
  <c r="BU64" i="5"/>
  <c r="BR64" i="5"/>
  <c r="BQ64" i="5"/>
  <c r="BJ64" i="5"/>
  <c r="BI64" i="5"/>
  <c r="BD64" i="5"/>
  <c r="BC64" i="5"/>
  <c r="GE55" i="6" s="1"/>
  <c r="BB64" i="5"/>
  <c r="GD55" i="6" s="1"/>
  <c r="AZ64" i="5"/>
  <c r="AY64" i="5"/>
  <c r="AX64" i="5"/>
  <c r="AW64" i="5"/>
  <c r="B64" i="5"/>
  <c r="CH63" i="5"/>
  <c r="CC63" i="5"/>
  <c r="CB63" i="5"/>
  <c r="BU63" i="5"/>
  <c r="BR63" i="5"/>
  <c r="BQ63" i="5"/>
  <c r="BJ63" i="5"/>
  <c r="BI63" i="5"/>
  <c r="BD63" i="5"/>
  <c r="BC63" i="5"/>
  <c r="GE54" i="6" s="1"/>
  <c r="BB63" i="5"/>
  <c r="GD54" i="6" s="1"/>
  <c r="AZ63" i="5"/>
  <c r="AY63" i="5"/>
  <c r="AX63" i="5"/>
  <c r="AW63" i="5"/>
  <c r="B63" i="5"/>
  <c r="CH62" i="5"/>
  <c r="CC62" i="5"/>
  <c r="CB62" i="5"/>
  <c r="BU62" i="5"/>
  <c r="BR62" i="5"/>
  <c r="BQ62" i="5"/>
  <c r="BJ62" i="5"/>
  <c r="BI62" i="5"/>
  <c r="BD62" i="5"/>
  <c r="GF53" i="6" s="1"/>
  <c r="BC62" i="5"/>
  <c r="GE53" i="6" s="1"/>
  <c r="BB62" i="5"/>
  <c r="GD53" i="6" s="1"/>
  <c r="AZ62" i="5"/>
  <c r="AY62" i="5"/>
  <c r="AX62" i="5"/>
  <c r="AW62" i="5"/>
  <c r="B62" i="5"/>
  <c r="CH61" i="5"/>
  <c r="CC61" i="5"/>
  <c r="CB61" i="5"/>
  <c r="BU61" i="5"/>
  <c r="BR61" i="5"/>
  <c r="BQ61" i="5"/>
  <c r="BJ61" i="5"/>
  <c r="BI61" i="5"/>
  <c r="BD61" i="5"/>
  <c r="BC61" i="5"/>
  <c r="GE52" i="6" s="1"/>
  <c r="BB61" i="5"/>
  <c r="GD52" i="6" s="1"/>
  <c r="AZ61" i="5"/>
  <c r="AY61" i="5"/>
  <c r="AX61" i="5"/>
  <c r="AW61" i="5"/>
  <c r="B61" i="5"/>
  <c r="CH60" i="5"/>
  <c r="CC60" i="5"/>
  <c r="CB60" i="5"/>
  <c r="BU60" i="5"/>
  <c r="BR60" i="5"/>
  <c r="BQ60" i="5"/>
  <c r="BJ60" i="5"/>
  <c r="BI60" i="5"/>
  <c r="BD60" i="5"/>
  <c r="GF51" i="6" s="1"/>
  <c r="BC60" i="5"/>
  <c r="GE51" i="6" s="1"/>
  <c r="BB60" i="5"/>
  <c r="AZ60" i="5"/>
  <c r="AY60" i="5"/>
  <c r="AX60" i="5"/>
  <c r="AW60" i="5"/>
  <c r="B60" i="5"/>
  <c r="CH59" i="5"/>
  <c r="CC59" i="5"/>
  <c r="CB59" i="5"/>
  <c r="BU59" i="5"/>
  <c r="BR59" i="5"/>
  <c r="BQ59" i="5"/>
  <c r="BJ59" i="5"/>
  <c r="BI59" i="5"/>
  <c r="BD59" i="5"/>
  <c r="GF50" i="6" s="1"/>
  <c r="BC59" i="5"/>
  <c r="GE50" i="6" s="1"/>
  <c r="BB59" i="5"/>
  <c r="AZ59" i="5"/>
  <c r="AY59" i="5"/>
  <c r="AX59" i="5"/>
  <c r="AW59" i="5"/>
  <c r="B59" i="5"/>
  <c r="CH58" i="5"/>
  <c r="CC58" i="5"/>
  <c r="CB58" i="5"/>
  <c r="BU58" i="5"/>
  <c r="BR58" i="5"/>
  <c r="BQ58" i="5"/>
  <c r="BJ58" i="5"/>
  <c r="BI58" i="5"/>
  <c r="BD58" i="5"/>
  <c r="GF49" i="6" s="1"/>
  <c r="BC58" i="5"/>
  <c r="GE49" i="6" s="1"/>
  <c r="BB58" i="5"/>
  <c r="GD49" i="6" s="1"/>
  <c r="AZ58" i="5"/>
  <c r="AY58" i="5"/>
  <c r="AX58" i="5"/>
  <c r="AW58" i="5"/>
  <c r="B58" i="5"/>
  <c r="CH57" i="5"/>
  <c r="CC57" i="5"/>
  <c r="CB57" i="5"/>
  <c r="BU57" i="5"/>
  <c r="BR57" i="5"/>
  <c r="BQ57" i="5"/>
  <c r="BJ57" i="5"/>
  <c r="BI57" i="5"/>
  <c r="BD57" i="5"/>
  <c r="BC57" i="5"/>
  <c r="GE48" i="6" s="1"/>
  <c r="BB57" i="5"/>
  <c r="GD48" i="6" s="1"/>
  <c r="AZ57" i="5"/>
  <c r="AY57" i="5"/>
  <c r="AX57" i="5"/>
  <c r="AW57" i="5"/>
  <c r="B57" i="5"/>
  <c r="CH56" i="5"/>
  <c r="CC56" i="5"/>
  <c r="CB56" i="5"/>
  <c r="CD56" i="5" s="1"/>
  <c r="BU56" i="5"/>
  <c r="BR56" i="5"/>
  <c r="BQ56" i="5"/>
  <c r="BJ56" i="5"/>
  <c r="BI56" i="5"/>
  <c r="BD56" i="5"/>
  <c r="BC56" i="5"/>
  <c r="GE47" i="6" s="1"/>
  <c r="BB56" i="5"/>
  <c r="GD47" i="6" s="1"/>
  <c r="AZ56" i="5"/>
  <c r="AY56" i="5"/>
  <c r="AX56" i="5"/>
  <c r="AW56" i="5"/>
  <c r="B56" i="5"/>
  <c r="CH55" i="5"/>
  <c r="CC55" i="5"/>
  <c r="CB55" i="5"/>
  <c r="BU55" i="5"/>
  <c r="BR55" i="5"/>
  <c r="BQ55" i="5"/>
  <c r="BJ55" i="5"/>
  <c r="BI55" i="5"/>
  <c r="BD55" i="5"/>
  <c r="GF46" i="6" s="1"/>
  <c r="BC55" i="5"/>
  <c r="GE46" i="6" s="1"/>
  <c r="BB55" i="5"/>
  <c r="GD46" i="6" s="1"/>
  <c r="AZ55" i="5"/>
  <c r="AY55" i="5"/>
  <c r="AX55" i="5"/>
  <c r="AW55" i="5"/>
  <c r="B55" i="5"/>
  <c r="CH54" i="5"/>
  <c r="CC54" i="5"/>
  <c r="CB54" i="5"/>
  <c r="BU54" i="5"/>
  <c r="BR54" i="5"/>
  <c r="BQ54" i="5"/>
  <c r="BJ54" i="5"/>
  <c r="BI54" i="5"/>
  <c r="BD54" i="5"/>
  <c r="GF45" i="6" s="1"/>
  <c r="BC54" i="5"/>
  <c r="GE45" i="6" s="1"/>
  <c r="BB54" i="5"/>
  <c r="GD45" i="6" s="1"/>
  <c r="AZ54" i="5"/>
  <c r="AY54" i="5"/>
  <c r="AX54" i="5"/>
  <c r="AW54" i="5"/>
  <c r="B54" i="5"/>
  <c r="CH53" i="5"/>
  <c r="CC53" i="5"/>
  <c r="CB53" i="5"/>
  <c r="BU53" i="5"/>
  <c r="BR53" i="5"/>
  <c r="BQ53" i="5"/>
  <c r="BJ53" i="5"/>
  <c r="BI53" i="5"/>
  <c r="BD53" i="5"/>
  <c r="GF44" i="6" s="1"/>
  <c r="BC53" i="5"/>
  <c r="GE44" i="6" s="1"/>
  <c r="BB53" i="5"/>
  <c r="GD44" i="6" s="1"/>
  <c r="AZ53" i="5"/>
  <c r="AY53" i="5"/>
  <c r="AX53" i="5"/>
  <c r="AW53" i="5"/>
  <c r="B53" i="5"/>
  <c r="CH52" i="5"/>
  <c r="CC52" i="5"/>
  <c r="CB52" i="5"/>
  <c r="BU52" i="5"/>
  <c r="BR52" i="5"/>
  <c r="BQ52" i="5"/>
  <c r="BJ52" i="5"/>
  <c r="BI52" i="5"/>
  <c r="BD52" i="5"/>
  <c r="GF43" i="6" s="1"/>
  <c r="BC52" i="5"/>
  <c r="GE43" i="6" s="1"/>
  <c r="BB52" i="5"/>
  <c r="GD43" i="6" s="1"/>
  <c r="AZ52" i="5"/>
  <c r="AY52" i="5"/>
  <c r="AX52" i="5"/>
  <c r="AW52" i="5"/>
  <c r="B52" i="5"/>
  <c r="CH51" i="5"/>
  <c r="CC51" i="5"/>
  <c r="CB51" i="5"/>
  <c r="BU51" i="5"/>
  <c r="BR51" i="5"/>
  <c r="BQ51" i="5"/>
  <c r="BJ51" i="5"/>
  <c r="BI51" i="5"/>
  <c r="BD51" i="5"/>
  <c r="GF42" i="6" s="1"/>
  <c r="BC51" i="5"/>
  <c r="GE42" i="6" s="1"/>
  <c r="BB51" i="5"/>
  <c r="GD42" i="6" s="1"/>
  <c r="AZ51" i="5"/>
  <c r="AY51" i="5"/>
  <c r="AX51" i="5"/>
  <c r="AW51" i="5"/>
  <c r="B51" i="5"/>
  <c r="CH50" i="5"/>
  <c r="CC50" i="5"/>
  <c r="CB50" i="5"/>
  <c r="BU50" i="5"/>
  <c r="BR50" i="5"/>
  <c r="BQ50" i="5"/>
  <c r="BJ50" i="5"/>
  <c r="BI50" i="5"/>
  <c r="BD50" i="5"/>
  <c r="GF41" i="6" s="1"/>
  <c r="BC50" i="5"/>
  <c r="GE41" i="6" s="1"/>
  <c r="BB50" i="5"/>
  <c r="AZ50" i="5"/>
  <c r="AY50" i="5"/>
  <c r="AX50" i="5"/>
  <c r="AW50" i="5"/>
  <c r="B50" i="5"/>
  <c r="CH49" i="5"/>
  <c r="CC49" i="5"/>
  <c r="CB49" i="5"/>
  <c r="BU49" i="5"/>
  <c r="BR49" i="5"/>
  <c r="BQ49" i="5"/>
  <c r="BJ49" i="5"/>
  <c r="BI49" i="5"/>
  <c r="BD49" i="5"/>
  <c r="GF40" i="6" s="1"/>
  <c r="BC49" i="5"/>
  <c r="GE40" i="6" s="1"/>
  <c r="BB49" i="5"/>
  <c r="GD40" i="6" s="1"/>
  <c r="AZ49" i="5"/>
  <c r="AY49" i="5"/>
  <c r="AX49" i="5"/>
  <c r="AW49" i="5"/>
  <c r="B49" i="5"/>
  <c r="CH48" i="5"/>
  <c r="CC48" i="5"/>
  <c r="CB48" i="5"/>
  <c r="BU48" i="5"/>
  <c r="BR48" i="5"/>
  <c r="BQ48" i="5"/>
  <c r="BJ48" i="5"/>
  <c r="BI48" i="5"/>
  <c r="BD48" i="5"/>
  <c r="GF39" i="6" s="1"/>
  <c r="BC48" i="5"/>
  <c r="BB48" i="5"/>
  <c r="GD39" i="6" s="1"/>
  <c r="AZ48" i="5"/>
  <c r="AY48" i="5"/>
  <c r="AX48" i="5"/>
  <c r="AW48" i="5"/>
  <c r="B48" i="5"/>
  <c r="CH47" i="5"/>
  <c r="CC47" i="5"/>
  <c r="CB47" i="5"/>
  <c r="BU47" i="5"/>
  <c r="BR47" i="5"/>
  <c r="BQ47" i="5"/>
  <c r="BJ47" i="5"/>
  <c r="BI47" i="5"/>
  <c r="BD47" i="5"/>
  <c r="GF38" i="6" s="1"/>
  <c r="BC47" i="5"/>
  <c r="GE38" i="6" s="1"/>
  <c r="BB47" i="5"/>
  <c r="GD38" i="6" s="1"/>
  <c r="AZ47" i="5"/>
  <c r="AY47" i="5"/>
  <c r="AX47" i="5"/>
  <c r="AW47" i="5"/>
  <c r="B47" i="5"/>
  <c r="CH46" i="5"/>
  <c r="CC46" i="5"/>
  <c r="CB46" i="5"/>
  <c r="BU46" i="5"/>
  <c r="BR46" i="5"/>
  <c r="BQ46" i="5"/>
  <c r="BJ46" i="5"/>
  <c r="BI46" i="5"/>
  <c r="BD46" i="5"/>
  <c r="GF37" i="6" s="1"/>
  <c r="BC46" i="5"/>
  <c r="GE37" i="6" s="1"/>
  <c r="BB46" i="5"/>
  <c r="GD37" i="6" s="1"/>
  <c r="AZ46" i="5"/>
  <c r="AY46" i="5"/>
  <c r="AX46" i="5"/>
  <c r="AW46" i="5"/>
  <c r="B46" i="5"/>
  <c r="CH45" i="5"/>
  <c r="CC45" i="5"/>
  <c r="CB45" i="5"/>
  <c r="BU45" i="5"/>
  <c r="BR45" i="5"/>
  <c r="BQ45" i="5"/>
  <c r="BJ45" i="5"/>
  <c r="BI45" i="5"/>
  <c r="BD45" i="5"/>
  <c r="GF36" i="6" s="1"/>
  <c r="BC45" i="5"/>
  <c r="GE36" i="6" s="1"/>
  <c r="BB45" i="5"/>
  <c r="GD36" i="6" s="1"/>
  <c r="AZ45" i="5"/>
  <c r="AY45" i="5"/>
  <c r="AX45" i="5"/>
  <c r="AW45" i="5"/>
  <c r="B45" i="5"/>
  <c r="CH44" i="5"/>
  <c r="CC44" i="5"/>
  <c r="CB44" i="5"/>
  <c r="BU44" i="5"/>
  <c r="BR44" i="5"/>
  <c r="BQ44" i="5"/>
  <c r="BJ44" i="5"/>
  <c r="BI44" i="5"/>
  <c r="BD44" i="5"/>
  <c r="BC44" i="5"/>
  <c r="GE35" i="6" s="1"/>
  <c r="BB44" i="5"/>
  <c r="AZ44" i="5"/>
  <c r="AY44" i="5"/>
  <c r="AX44" i="5"/>
  <c r="AW44" i="5"/>
  <c r="B44" i="5"/>
  <c r="CH43" i="5"/>
  <c r="CC43" i="5"/>
  <c r="CB43" i="5"/>
  <c r="CD43" i="5" s="1"/>
  <c r="BU43" i="5"/>
  <c r="BR43" i="5"/>
  <c r="BQ43" i="5"/>
  <c r="BJ43" i="5"/>
  <c r="BI43" i="5"/>
  <c r="BD43" i="5"/>
  <c r="GF34" i="6" s="1"/>
  <c r="BC43" i="5"/>
  <c r="GE34" i="6" s="1"/>
  <c r="BB43" i="5"/>
  <c r="GD34" i="6" s="1"/>
  <c r="AZ43" i="5"/>
  <c r="AY43" i="5"/>
  <c r="AX43" i="5"/>
  <c r="AW43" i="5"/>
  <c r="B43" i="5"/>
  <c r="CH42" i="5"/>
  <c r="CC42" i="5"/>
  <c r="CB42" i="5"/>
  <c r="BU42" i="5"/>
  <c r="BR42" i="5"/>
  <c r="BQ42" i="5"/>
  <c r="BJ42" i="5"/>
  <c r="BI42" i="5"/>
  <c r="BD42" i="5"/>
  <c r="BC42" i="5"/>
  <c r="GE33" i="6" s="1"/>
  <c r="BB42" i="5"/>
  <c r="GD33" i="6" s="1"/>
  <c r="AZ42" i="5"/>
  <c r="AY42" i="5"/>
  <c r="AX42" i="5"/>
  <c r="AW42" i="5"/>
  <c r="B42" i="5"/>
  <c r="CH41" i="5"/>
  <c r="CC41" i="5"/>
  <c r="CB41" i="5"/>
  <c r="BU41" i="5"/>
  <c r="BR41" i="5"/>
  <c r="BQ41" i="5"/>
  <c r="BS41" i="5" s="1"/>
  <c r="BJ41" i="5"/>
  <c r="BI41" i="5"/>
  <c r="BD41" i="5"/>
  <c r="GF32" i="6" s="1"/>
  <c r="BC41" i="5"/>
  <c r="GE32" i="6" s="1"/>
  <c r="BB41" i="5"/>
  <c r="GD32" i="6" s="1"/>
  <c r="AZ41" i="5"/>
  <c r="AY41" i="5"/>
  <c r="AX41" i="5"/>
  <c r="AW41" i="5"/>
  <c r="B41" i="5"/>
  <c r="CH40" i="5"/>
  <c r="CC40" i="5"/>
  <c r="CB40" i="5"/>
  <c r="BU40" i="5"/>
  <c r="BR40" i="5"/>
  <c r="BQ40" i="5"/>
  <c r="BJ40" i="5"/>
  <c r="BI40" i="5"/>
  <c r="BD40" i="5"/>
  <c r="GF31" i="6" s="1"/>
  <c r="BC40" i="5"/>
  <c r="GE31" i="6" s="1"/>
  <c r="BB40" i="5"/>
  <c r="GD31" i="6" s="1"/>
  <c r="AZ40" i="5"/>
  <c r="AY40" i="5"/>
  <c r="AX40" i="5"/>
  <c r="AW40" i="5"/>
  <c r="B40" i="5"/>
  <c r="CH39" i="5"/>
  <c r="CC39" i="5"/>
  <c r="CB39" i="5"/>
  <c r="BU39" i="5"/>
  <c r="BR39" i="5"/>
  <c r="BQ39" i="5"/>
  <c r="BJ39" i="5"/>
  <c r="BI39" i="5"/>
  <c r="BD39" i="5"/>
  <c r="GF30" i="6" s="1"/>
  <c r="BC39" i="5"/>
  <c r="GE30" i="6" s="1"/>
  <c r="BB39" i="5"/>
  <c r="GD30" i="6" s="1"/>
  <c r="AZ39" i="5"/>
  <c r="AY39" i="5"/>
  <c r="AX39" i="5"/>
  <c r="AW39" i="5"/>
  <c r="B39" i="5"/>
  <c r="CH38" i="5"/>
  <c r="CC38" i="5"/>
  <c r="CB38" i="5"/>
  <c r="BU38" i="5"/>
  <c r="BR38" i="5"/>
  <c r="BQ38" i="5"/>
  <c r="BJ38" i="5"/>
  <c r="BI38" i="5"/>
  <c r="BD38" i="5"/>
  <c r="GF29" i="6" s="1"/>
  <c r="BC38" i="5"/>
  <c r="GE29" i="6" s="1"/>
  <c r="BB38" i="5"/>
  <c r="AZ38" i="5"/>
  <c r="AY38" i="5"/>
  <c r="AX38" i="5"/>
  <c r="AW38" i="5"/>
  <c r="B38" i="5"/>
  <c r="CH37" i="5"/>
  <c r="CC37" i="5"/>
  <c r="CB37" i="5"/>
  <c r="BU37" i="5"/>
  <c r="BR37" i="5"/>
  <c r="BQ37" i="5"/>
  <c r="BJ37" i="5"/>
  <c r="BI37" i="5"/>
  <c r="BD37" i="5"/>
  <c r="BC37" i="5"/>
  <c r="GE28" i="6" s="1"/>
  <c r="BB37" i="5"/>
  <c r="AZ37" i="5"/>
  <c r="AY37" i="5"/>
  <c r="AX37" i="5"/>
  <c r="AW37" i="5"/>
  <c r="B37" i="5"/>
  <c r="CH36" i="5"/>
  <c r="CC36" i="5"/>
  <c r="CB36" i="5"/>
  <c r="BU36" i="5"/>
  <c r="BR36" i="5"/>
  <c r="BQ36" i="5"/>
  <c r="BJ36" i="5"/>
  <c r="BI36" i="5"/>
  <c r="BD36" i="5"/>
  <c r="GF27" i="6" s="1"/>
  <c r="BC36" i="5"/>
  <c r="GE27" i="6" s="1"/>
  <c r="BB36" i="5"/>
  <c r="GD27" i="6" s="1"/>
  <c r="AZ36" i="5"/>
  <c r="AY36" i="5"/>
  <c r="AX36" i="5"/>
  <c r="AW36" i="5"/>
  <c r="B36" i="5"/>
  <c r="CH35" i="5"/>
  <c r="CC35" i="5"/>
  <c r="CB35" i="5"/>
  <c r="BU35" i="5"/>
  <c r="BR35" i="5"/>
  <c r="BQ35" i="5"/>
  <c r="BJ35" i="5"/>
  <c r="BI35" i="5"/>
  <c r="BD35" i="5"/>
  <c r="BC35" i="5"/>
  <c r="GE26" i="6" s="1"/>
  <c r="BB35" i="5"/>
  <c r="GD26" i="6" s="1"/>
  <c r="AZ35" i="5"/>
  <c r="AY35" i="5"/>
  <c r="AX35" i="5"/>
  <c r="AW35" i="5"/>
  <c r="B35" i="5"/>
  <c r="CH34" i="5"/>
  <c r="CC34" i="5"/>
  <c r="CB34" i="5"/>
  <c r="BU34" i="5"/>
  <c r="BR34" i="5"/>
  <c r="BQ34" i="5"/>
  <c r="BJ34" i="5"/>
  <c r="BI34" i="5"/>
  <c r="BD34" i="5"/>
  <c r="GF25" i="6" s="1"/>
  <c r="BC34" i="5"/>
  <c r="GE25" i="6" s="1"/>
  <c r="BB34" i="5"/>
  <c r="GD25" i="6" s="1"/>
  <c r="AZ34" i="5"/>
  <c r="AY34" i="5"/>
  <c r="AX34" i="5"/>
  <c r="AW34" i="5"/>
  <c r="B34" i="5"/>
  <c r="CH33" i="5"/>
  <c r="CC33" i="5"/>
  <c r="CB33" i="5"/>
  <c r="BU33" i="5"/>
  <c r="BR33" i="5"/>
  <c r="BQ33" i="5"/>
  <c r="BJ33" i="5"/>
  <c r="BI33" i="5"/>
  <c r="BD33" i="5"/>
  <c r="GF24" i="6" s="1"/>
  <c r="BC33" i="5"/>
  <c r="GE24" i="6" s="1"/>
  <c r="BB33" i="5"/>
  <c r="GD24" i="6" s="1"/>
  <c r="AZ33" i="5"/>
  <c r="AY33" i="5"/>
  <c r="AX33" i="5"/>
  <c r="AW33" i="5"/>
  <c r="B33" i="5"/>
  <c r="CH32" i="5"/>
  <c r="CC32" i="5"/>
  <c r="CB32" i="5"/>
  <c r="BU32" i="5"/>
  <c r="BR32" i="5"/>
  <c r="BQ32" i="5"/>
  <c r="BJ32" i="5"/>
  <c r="BI32" i="5"/>
  <c r="BD32" i="5"/>
  <c r="GF23" i="6" s="1"/>
  <c r="BC32" i="5"/>
  <c r="GE23" i="6" s="1"/>
  <c r="BB32" i="5"/>
  <c r="AZ32" i="5"/>
  <c r="AY32" i="5"/>
  <c r="AX32" i="5"/>
  <c r="AW32" i="5"/>
  <c r="B32" i="5"/>
  <c r="CH31" i="5"/>
  <c r="CC31" i="5"/>
  <c r="CB31" i="5"/>
  <c r="BU31" i="5"/>
  <c r="BR31" i="5"/>
  <c r="BQ31" i="5"/>
  <c r="BJ31" i="5"/>
  <c r="BI31" i="5"/>
  <c r="BD31" i="5"/>
  <c r="GF22" i="6" s="1"/>
  <c r="BC31" i="5"/>
  <c r="GE22" i="6" s="1"/>
  <c r="BB31" i="5"/>
  <c r="GD22" i="6" s="1"/>
  <c r="AZ31" i="5"/>
  <c r="AY31" i="5"/>
  <c r="AX31" i="5"/>
  <c r="AW31" i="5"/>
  <c r="B31" i="5"/>
  <c r="CH30" i="5"/>
  <c r="CC30" i="5"/>
  <c r="CB30" i="5"/>
  <c r="BU30" i="5"/>
  <c r="BR30" i="5"/>
  <c r="BQ30" i="5"/>
  <c r="BJ30" i="5"/>
  <c r="BI30" i="5"/>
  <c r="BD30" i="5"/>
  <c r="BC30" i="5"/>
  <c r="GE21" i="6" s="1"/>
  <c r="BB30" i="5"/>
  <c r="GD21" i="6" s="1"/>
  <c r="AZ30" i="5"/>
  <c r="AY30" i="5"/>
  <c r="AX30" i="5"/>
  <c r="AW30" i="5"/>
  <c r="B30" i="5"/>
  <c r="CH29" i="5"/>
  <c r="CC29" i="5"/>
  <c r="CB29" i="5"/>
  <c r="BU29" i="5"/>
  <c r="BR29" i="5"/>
  <c r="BQ29" i="5"/>
  <c r="BJ29" i="5"/>
  <c r="BI29" i="5"/>
  <c r="BD29" i="5"/>
  <c r="GF20" i="6" s="1"/>
  <c r="BC29" i="5"/>
  <c r="GE20" i="6" s="1"/>
  <c r="BB29" i="5"/>
  <c r="GD20" i="6" s="1"/>
  <c r="AZ29" i="5"/>
  <c r="AY29" i="5"/>
  <c r="AX29" i="5"/>
  <c r="AW29" i="5"/>
  <c r="B29" i="5"/>
  <c r="CH28" i="5"/>
  <c r="CC28" i="5"/>
  <c r="CB28" i="5"/>
  <c r="BU28" i="5"/>
  <c r="BR28" i="5"/>
  <c r="BQ28" i="5"/>
  <c r="BJ28" i="5"/>
  <c r="BI28" i="5"/>
  <c r="BD28" i="5"/>
  <c r="GF19" i="6" s="1"/>
  <c r="BC28" i="5"/>
  <c r="GE19" i="6" s="1"/>
  <c r="BB28" i="5"/>
  <c r="GD19" i="6" s="1"/>
  <c r="AZ28" i="5"/>
  <c r="AY28" i="5"/>
  <c r="AX28" i="5"/>
  <c r="AW28" i="5"/>
  <c r="B28" i="5"/>
  <c r="CH27" i="5"/>
  <c r="CC27" i="5"/>
  <c r="CB27" i="5"/>
  <c r="BU27" i="5"/>
  <c r="BR27" i="5"/>
  <c r="BQ27" i="5"/>
  <c r="BJ27" i="5"/>
  <c r="BI27" i="5"/>
  <c r="BD27" i="5"/>
  <c r="GF18" i="6" s="1"/>
  <c r="BC27" i="5"/>
  <c r="GE18" i="6" s="1"/>
  <c r="BB27" i="5"/>
  <c r="GD18" i="6" s="1"/>
  <c r="AZ27" i="5"/>
  <c r="AY27" i="5"/>
  <c r="AX27" i="5"/>
  <c r="AW27" i="5"/>
  <c r="B27" i="5"/>
  <c r="CH26" i="5"/>
  <c r="CC26" i="5"/>
  <c r="CB26" i="5"/>
  <c r="BU26" i="5"/>
  <c r="BR26" i="5"/>
  <c r="BQ26" i="5"/>
  <c r="BJ26" i="5"/>
  <c r="BI26" i="5"/>
  <c r="BD26" i="5"/>
  <c r="GF17" i="6" s="1"/>
  <c r="BC26" i="5"/>
  <c r="GE17" i="6" s="1"/>
  <c r="BB26" i="5"/>
  <c r="GD17" i="6" s="1"/>
  <c r="AZ26" i="5"/>
  <c r="AY26" i="5"/>
  <c r="AX26" i="5"/>
  <c r="AW26" i="5"/>
  <c r="B26" i="5"/>
  <c r="CH25" i="5"/>
  <c r="CC25" i="5"/>
  <c r="CB25" i="5"/>
  <c r="BU25" i="5"/>
  <c r="BR25" i="5"/>
  <c r="BQ25" i="5"/>
  <c r="BJ25" i="5"/>
  <c r="BI25" i="5"/>
  <c r="BD25" i="5"/>
  <c r="GF16" i="6" s="1"/>
  <c r="BC25" i="5"/>
  <c r="GE16" i="6" s="1"/>
  <c r="BB25" i="5"/>
  <c r="GD16" i="6" s="1"/>
  <c r="AZ25" i="5"/>
  <c r="AY25" i="5"/>
  <c r="AX25" i="5"/>
  <c r="AW25" i="5"/>
  <c r="B25" i="5"/>
  <c r="CH24" i="5"/>
  <c r="CC24" i="5"/>
  <c r="CB24" i="5"/>
  <c r="BU24" i="5"/>
  <c r="BR24" i="5"/>
  <c r="BQ24" i="5"/>
  <c r="BJ24" i="5"/>
  <c r="BI24" i="5"/>
  <c r="BD24" i="5"/>
  <c r="GF15" i="6" s="1"/>
  <c r="BC24" i="5"/>
  <c r="GE15" i="6" s="1"/>
  <c r="BB24" i="5"/>
  <c r="GD15" i="6" s="1"/>
  <c r="AZ24" i="5"/>
  <c r="AY24" i="5"/>
  <c r="AX24" i="5"/>
  <c r="AW24" i="5"/>
  <c r="B24" i="5"/>
  <c r="CH23" i="5"/>
  <c r="CC23" i="5"/>
  <c r="CB23" i="5"/>
  <c r="BU23" i="5"/>
  <c r="BR23" i="5"/>
  <c r="BQ23" i="5"/>
  <c r="BJ23" i="5"/>
  <c r="BI23" i="5"/>
  <c r="BD23" i="5"/>
  <c r="GF14" i="6" s="1"/>
  <c r="BC23" i="5"/>
  <c r="GE14" i="6" s="1"/>
  <c r="BB23" i="5"/>
  <c r="GD14" i="6" s="1"/>
  <c r="AZ23" i="5"/>
  <c r="AY23" i="5"/>
  <c r="AX23" i="5"/>
  <c r="AW23" i="5"/>
  <c r="B23" i="5"/>
  <c r="CH22" i="5"/>
  <c r="CC22" i="5"/>
  <c r="CB22" i="5"/>
  <c r="BU22" i="5"/>
  <c r="BR22" i="5"/>
  <c r="BQ22" i="5"/>
  <c r="BJ22" i="5"/>
  <c r="BI22" i="5"/>
  <c r="BD22" i="5"/>
  <c r="GF13" i="6" s="1"/>
  <c r="BC22" i="5"/>
  <c r="GE13" i="6" s="1"/>
  <c r="BB22" i="5"/>
  <c r="AZ22" i="5"/>
  <c r="AY22" i="5"/>
  <c r="AX22" i="5"/>
  <c r="AW22" i="5"/>
  <c r="B22" i="5"/>
  <c r="CH21" i="5"/>
  <c r="CC21" i="5"/>
  <c r="CB21" i="5"/>
  <c r="BU21" i="5"/>
  <c r="BR21" i="5"/>
  <c r="BQ21" i="5"/>
  <c r="BD21" i="5"/>
  <c r="GF12" i="6" s="1"/>
  <c r="BC21" i="5"/>
  <c r="GE12" i="6" s="1"/>
  <c r="BB21" i="5"/>
  <c r="GD12" i="6" s="1"/>
  <c r="AZ21" i="5"/>
  <c r="AY21" i="5"/>
  <c r="AX21" i="5"/>
  <c r="AW21" i="5"/>
  <c r="B21" i="5"/>
  <c r="CH20" i="5"/>
  <c r="CF20" i="5"/>
  <c r="CC20" i="5"/>
  <c r="CB20" i="5"/>
  <c r="CG20" i="5" s="1"/>
  <c r="BU20" i="5"/>
  <c r="BR20" i="5"/>
  <c r="BQ20" i="5"/>
  <c r="BD20" i="5"/>
  <c r="BC20" i="5"/>
  <c r="GE11" i="6" s="1"/>
  <c r="BB20" i="5"/>
  <c r="GD11" i="6" s="1"/>
  <c r="AZ20" i="5"/>
  <c r="AY20" i="5"/>
  <c r="CH19" i="5"/>
  <c r="CF19" i="5"/>
  <c r="CC19" i="5"/>
  <c r="CB19" i="5"/>
  <c r="BU19" i="5"/>
  <c r="BR19" i="5"/>
  <c r="BQ19" i="5"/>
  <c r="BD19" i="5"/>
  <c r="BC19" i="5"/>
  <c r="GE10" i="6" s="1"/>
  <c r="BB19" i="5"/>
  <c r="GD10" i="6" s="1"/>
  <c r="AZ19" i="5"/>
  <c r="AY19" i="5"/>
  <c r="CH18" i="5"/>
  <c r="CF18" i="5"/>
  <c r="CC18" i="5"/>
  <c r="CB18" i="5"/>
  <c r="CG18" i="5" s="1"/>
  <c r="BU18" i="5"/>
  <c r="BR18" i="5"/>
  <c r="BQ18" i="5"/>
  <c r="BD18" i="5"/>
  <c r="GF9" i="6" s="1"/>
  <c r="BC18" i="5"/>
  <c r="GE9" i="6" s="1"/>
  <c r="BB18" i="5"/>
  <c r="AZ18" i="5"/>
  <c r="AY18" i="5"/>
  <c r="CH17" i="5"/>
  <c r="CF17" i="5"/>
  <c r="CC17" i="5"/>
  <c r="CB17" i="5"/>
  <c r="BU17" i="5"/>
  <c r="BR17" i="5"/>
  <c r="BQ17" i="5"/>
  <c r="BD17" i="5"/>
  <c r="GF8" i="6" s="1"/>
  <c r="BC17" i="5"/>
  <c r="GE8" i="6" s="1"/>
  <c r="BB17" i="5"/>
  <c r="GD8" i="6" s="1"/>
  <c r="AZ17" i="5"/>
  <c r="AY17" i="5"/>
  <c r="CH16" i="5"/>
  <c r="CF16" i="5"/>
  <c r="CC16" i="5"/>
  <c r="CB16" i="5"/>
  <c r="BU16" i="5"/>
  <c r="BR16" i="5"/>
  <c r="BQ16" i="5"/>
  <c r="BD16" i="5"/>
  <c r="GF7" i="6" s="1"/>
  <c r="BC16" i="5"/>
  <c r="GE7" i="6" s="1"/>
  <c r="BB16" i="5"/>
  <c r="GD7" i="6" s="1"/>
  <c r="AZ16" i="5"/>
  <c r="AY16" i="5"/>
  <c r="CH15" i="5"/>
  <c r="CF15" i="5"/>
  <c r="CC15" i="5"/>
  <c r="CB15" i="5"/>
  <c r="BU15" i="5"/>
  <c r="BR15" i="5"/>
  <c r="BQ15" i="5"/>
  <c r="BD15" i="5"/>
  <c r="GF6" i="6" s="1"/>
  <c r="BC15" i="5"/>
  <c r="GE6" i="6" s="1"/>
  <c r="BB15" i="5"/>
  <c r="GD6" i="6" s="1"/>
  <c r="AZ15" i="5"/>
  <c r="AY15" i="5"/>
  <c r="CH14" i="5"/>
  <c r="CF14" i="5"/>
  <c r="CC14" i="5"/>
  <c r="CB14" i="5"/>
  <c r="CG14" i="5" s="1"/>
  <c r="BU14" i="5"/>
  <c r="BR14" i="5"/>
  <c r="BQ14" i="5"/>
  <c r="BD14" i="5"/>
  <c r="GF5" i="6" s="1"/>
  <c r="BC14" i="5"/>
  <c r="GE5" i="6" s="1"/>
  <c r="BB14" i="5"/>
  <c r="GD5" i="6" s="1"/>
  <c r="AZ14" i="5"/>
  <c r="AY14" i="5"/>
  <c r="CH13" i="5"/>
  <c r="CF13" i="5"/>
  <c r="CC13" i="5"/>
  <c r="CB13" i="5"/>
  <c r="BU13" i="5"/>
  <c r="BR13" i="5"/>
  <c r="BQ13" i="5"/>
  <c r="BD13" i="5"/>
  <c r="GF4" i="6" s="1"/>
  <c r="BC13" i="5"/>
  <c r="GE4" i="6" s="1"/>
  <c r="BB13" i="5"/>
  <c r="GD4" i="6" s="1"/>
  <c r="AZ13" i="5"/>
  <c r="AY13" i="5"/>
  <c r="N10" i="5"/>
  <c r="M10" i="5"/>
  <c r="V9" i="5"/>
  <c r="U9" i="5"/>
  <c r="AL8" i="5"/>
  <c r="A6" i="5"/>
  <c r="G4" i="5"/>
  <c r="E2" i="2"/>
  <c r="O152" i="12" l="1"/>
  <c r="J42" i="13"/>
  <c r="J55" i="13"/>
  <c r="J154" i="12"/>
  <c r="J18" i="13"/>
  <c r="J149" i="12"/>
  <c r="J181" i="12"/>
  <c r="J43" i="13"/>
  <c r="J34" i="13"/>
  <c r="J3" i="13"/>
  <c r="J36" i="13"/>
  <c r="K373" i="7"/>
  <c r="L373" i="7" s="1"/>
  <c r="K417" i="7"/>
  <c r="L417" i="7" s="1"/>
  <c r="BA115" i="5"/>
  <c r="CD137" i="5"/>
  <c r="BA141" i="5"/>
  <c r="BA148" i="5"/>
  <c r="K410" i="7"/>
  <c r="K432" i="7"/>
  <c r="L432" i="7" s="1"/>
  <c r="CD129" i="5"/>
  <c r="CD158" i="5"/>
  <c r="K92" i="7"/>
  <c r="L92" i="7" s="1"/>
  <c r="J152" i="12"/>
  <c r="BA291" i="5"/>
  <c r="K418" i="7"/>
  <c r="L418" i="7" s="1"/>
  <c r="BS51" i="5"/>
  <c r="J139" i="12"/>
  <c r="K404" i="7"/>
  <c r="L404" i="7" s="1"/>
  <c r="K426" i="7"/>
  <c r="L426" i="7" s="1"/>
  <c r="J143" i="12"/>
  <c r="J47" i="13"/>
  <c r="BS77" i="5"/>
  <c r="BV77" i="5" s="1"/>
  <c r="BA426" i="5"/>
  <c r="BA342" i="5"/>
  <c r="BA131" i="5"/>
  <c r="K259" i="7"/>
  <c r="L259" i="7" s="1"/>
  <c r="BS107" i="5"/>
  <c r="BS118" i="5"/>
  <c r="CD131" i="5"/>
  <c r="CD139" i="5"/>
  <c r="BS172" i="5"/>
  <c r="BV172" i="5" s="1"/>
  <c r="K497" i="7"/>
  <c r="L497" i="7" s="1"/>
  <c r="BS26" i="5"/>
  <c r="BS37" i="5"/>
  <c r="BS48" i="5"/>
  <c r="K205" i="7"/>
  <c r="L205" i="7" s="1"/>
  <c r="BA267" i="5"/>
  <c r="CD59" i="5"/>
  <c r="BS91" i="5"/>
  <c r="K358" i="7"/>
  <c r="L358" i="7" s="1"/>
  <c r="BA14" i="5"/>
  <c r="BF14" i="5" s="1"/>
  <c r="BX14" i="5" s="1"/>
  <c r="CD169" i="5"/>
  <c r="CD55" i="5"/>
  <c r="BS73" i="5"/>
  <c r="BV73" i="5" s="1"/>
  <c r="BA403" i="5"/>
  <c r="BA425" i="5"/>
  <c r="BA490" i="5"/>
  <c r="K181" i="7"/>
  <c r="L181" i="7" s="1"/>
  <c r="BA196" i="5"/>
  <c r="K255" i="7"/>
  <c r="L255" i="7" s="1"/>
  <c r="BA160" i="5"/>
  <c r="GG304" i="6"/>
  <c r="BA204" i="5"/>
  <c r="K248" i="7"/>
  <c r="L248" i="7" s="1"/>
  <c r="CD95" i="5"/>
  <c r="BS153" i="5"/>
  <c r="BS154" i="5"/>
  <c r="BV154" i="5" s="1"/>
  <c r="CD171" i="5"/>
  <c r="BA176" i="5"/>
  <c r="BS81" i="5"/>
  <c r="BV81" i="5" s="1"/>
  <c r="BS164" i="5"/>
  <c r="BV164" i="5" s="1"/>
  <c r="GG171" i="6"/>
  <c r="BS94" i="5"/>
  <c r="BV94" i="5" s="1"/>
  <c r="BA138" i="5"/>
  <c r="BA495" i="5"/>
  <c r="K146" i="7"/>
  <c r="L146" i="7" s="1"/>
  <c r="K168" i="7"/>
  <c r="L168" i="7" s="1"/>
  <c r="K188" i="7"/>
  <c r="L188" i="7" s="1"/>
  <c r="K202" i="7"/>
  <c r="L202" i="7" s="1"/>
  <c r="CD47" i="5"/>
  <c r="CD105" i="5"/>
  <c r="CD128" i="5"/>
  <c r="CD174" i="5"/>
  <c r="CD21" i="5"/>
  <c r="BS50" i="5"/>
  <c r="BV50" i="5" s="1"/>
  <c r="CD110" i="5"/>
  <c r="CD178" i="5"/>
  <c r="K57" i="7"/>
  <c r="L57" i="7" s="1"/>
  <c r="K222" i="7"/>
  <c r="L222" i="7" s="1"/>
  <c r="K339" i="7"/>
  <c r="L339" i="7" s="1"/>
  <c r="K361" i="7"/>
  <c r="L361" i="7" s="1"/>
  <c r="K383" i="7"/>
  <c r="L383" i="7" s="1"/>
  <c r="K456" i="7"/>
  <c r="L456" i="7" s="1"/>
  <c r="CD142" i="5"/>
  <c r="BA384" i="5"/>
  <c r="BA406" i="5"/>
  <c r="K65" i="7"/>
  <c r="L65" i="7" s="1"/>
  <c r="BA92" i="5"/>
  <c r="BE93" i="5"/>
  <c r="BA297" i="5"/>
  <c r="BA319" i="5"/>
  <c r="BS27" i="5"/>
  <c r="BV27" i="5" s="1"/>
  <c r="BS64" i="5"/>
  <c r="BS80" i="5"/>
  <c r="CD94" i="5"/>
  <c r="CD149" i="5"/>
  <c r="CD151" i="5"/>
  <c r="CD153" i="5"/>
  <c r="CD154" i="5"/>
  <c r="BA165" i="5"/>
  <c r="BA387" i="5"/>
  <c r="BA431" i="5"/>
  <c r="GG485" i="6"/>
  <c r="BA33" i="5"/>
  <c r="K210" i="7"/>
  <c r="L210" i="7" s="1"/>
  <c r="BS180" i="5"/>
  <c r="BV180" i="5" s="1"/>
  <c r="BS186" i="5"/>
  <c r="BV186" i="5" s="1"/>
  <c r="K103" i="7"/>
  <c r="L103" i="7" s="1"/>
  <c r="K169" i="7"/>
  <c r="L169" i="7" s="1"/>
  <c r="K203" i="7"/>
  <c r="L203" i="7" s="1"/>
  <c r="K133" i="7"/>
  <c r="L133" i="7" s="1"/>
  <c r="K140" i="7"/>
  <c r="L140" i="7" s="1"/>
  <c r="K173" i="7"/>
  <c r="L173" i="7" s="1"/>
  <c r="K82" i="7"/>
  <c r="Y80" i="8" s="1"/>
  <c r="K148" i="7"/>
  <c r="L148" i="7" s="1"/>
  <c r="CD15" i="5"/>
  <c r="BS22" i="5"/>
  <c r="CD41" i="5"/>
  <c r="BA54" i="5"/>
  <c r="BF54" i="5" s="1"/>
  <c r="BS70" i="5"/>
  <c r="BV70" i="5" s="1"/>
  <c r="CD145" i="5"/>
  <c r="BA306" i="5"/>
  <c r="GG339" i="6"/>
  <c r="BA350" i="5"/>
  <c r="BA233" i="5"/>
  <c r="BA21" i="5"/>
  <c r="BF21" i="5" s="1"/>
  <c r="BS129" i="5"/>
  <c r="BV129" i="5" s="1"/>
  <c r="BS137" i="5"/>
  <c r="BV137" i="5" s="1"/>
  <c r="BA308" i="5"/>
  <c r="GG450" i="6"/>
  <c r="K219" i="7"/>
  <c r="BA463" i="5"/>
  <c r="K62" i="7"/>
  <c r="L62" i="7" s="1"/>
  <c r="BA289" i="5"/>
  <c r="BA377" i="5"/>
  <c r="BA399" i="5"/>
  <c r="K171" i="7"/>
  <c r="L171" i="7" s="1"/>
  <c r="BE54" i="5"/>
  <c r="BA57" i="5"/>
  <c r="CD183" i="5"/>
  <c r="CG19" i="5"/>
  <c r="CD40" i="5"/>
  <c r="CD51" i="5"/>
  <c r="BS58" i="5"/>
  <c r="BS69" i="5"/>
  <c r="CD91" i="5"/>
  <c r="CD100" i="5"/>
  <c r="BA103" i="5"/>
  <c r="BA114" i="5"/>
  <c r="BS116" i="5"/>
  <c r="BV116" i="5" s="1"/>
  <c r="BS178" i="5"/>
  <c r="BV178" i="5" s="1"/>
  <c r="K56" i="7"/>
  <c r="L56" i="7" s="1"/>
  <c r="N84" i="13"/>
  <c r="N193" i="13"/>
  <c r="L193" i="13" s="1"/>
  <c r="BB3" i="5"/>
  <c r="BS44" i="5"/>
  <c r="BV44" i="5" s="1"/>
  <c r="BS87" i="5"/>
  <c r="BV87" i="5" s="1"/>
  <c r="BS96" i="5"/>
  <c r="BV96" i="5" s="1"/>
  <c r="BA134" i="5"/>
  <c r="BA127" i="5"/>
  <c r="BA142" i="5"/>
  <c r="CD176" i="5"/>
  <c r="BA369" i="5"/>
  <c r="BA391" i="5"/>
  <c r="K117" i="7"/>
  <c r="L117" i="7" s="1"/>
  <c r="BS78" i="5"/>
  <c r="BA276" i="5"/>
  <c r="BA304" i="5"/>
  <c r="K457" i="7"/>
  <c r="L457" i="7" s="1"/>
  <c r="BA31" i="5"/>
  <c r="CD96" i="5"/>
  <c r="BA126" i="5"/>
  <c r="GG125" i="6"/>
  <c r="GL125" i="6" s="1"/>
  <c r="BS136" i="5"/>
  <c r="CD172" i="5"/>
  <c r="BA327" i="5"/>
  <c r="BA460" i="5"/>
  <c r="BA504" i="5"/>
  <c r="K118" i="7"/>
  <c r="L118" i="7" s="1"/>
  <c r="K196" i="7"/>
  <c r="L196" i="7" s="1"/>
  <c r="K392" i="7"/>
  <c r="L392" i="7" s="1"/>
  <c r="K436" i="7"/>
  <c r="L436" i="7" s="1"/>
  <c r="K465" i="7"/>
  <c r="L465" i="7" s="1"/>
  <c r="BA500" i="5"/>
  <c r="K73" i="7"/>
  <c r="L73" i="7" s="1"/>
  <c r="K398" i="7"/>
  <c r="L398" i="7" s="1"/>
  <c r="BA153" i="5"/>
  <c r="K297" i="7"/>
  <c r="L297" i="7" s="1"/>
  <c r="K385" i="7"/>
  <c r="L385" i="7" s="1"/>
  <c r="K480" i="7"/>
  <c r="L480" i="7" s="1"/>
  <c r="BS54" i="5"/>
  <c r="BV54" i="5" s="1"/>
  <c r="BA64" i="5"/>
  <c r="BS65" i="5"/>
  <c r="BV65" i="5" s="1"/>
  <c r="BA375" i="5"/>
  <c r="K119" i="7"/>
  <c r="L119" i="7" s="1"/>
  <c r="K189" i="7"/>
  <c r="L189" i="7" s="1"/>
  <c r="K254" i="7"/>
  <c r="L254" i="7" s="1"/>
  <c r="K415" i="7"/>
  <c r="L415" i="7" s="1"/>
  <c r="K466" i="7"/>
  <c r="L466" i="7" s="1"/>
  <c r="K510" i="7"/>
  <c r="L510" i="7" s="1"/>
  <c r="K101" i="7"/>
  <c r="L101" i="7" s="1"/>
  <c r="BS63" i="5"/>
  <c r="BV63" i="5" s="1"/>
  <c r="K172" i="7"/>
  <c r="L172" i="7" s="1"/>
  <c r="CD102" i="5"/>
  <c r="BS101" i="5"/>
  <c r="BA151" i="5"/>
  <c r="BA249" i="5"/>
  <c r="GG475" i="6"/>
  <c r="K112" i="7"/>
  <c r="L112" i="7" s="1"/>
  <c r="K134" i="7"/>
  <c r="L134" i="7" s="1"/>
  <c r="K269" i="7"/>
  <c r="L269" i="7" s="1"/>
  <c r="K145" i="7"/>
  <c r="L145" i="7" s="1"/>
  <c r="BA28" i="5"/>
  <c r="BS18" i="5"/>
  <c r="BV18" i="5" s="1"/>
  <c r="BS35" i="5"/>
  <c r="BV35" i="5" s="1"/>
  <c r="BS61" i="5"/>
  <c r="BV61" i="5" s="1"/>
  <c r="K237" i="7"/>
  <c r="L237" i="7" s="1"/>
  <c r="K515" i="7"/>
  <c r="L515" i="7" s="1"/>
  <c r="BA483" i="5"/>
  <c r="BA30" i="5"/>
  <c r="BS46" i="5"/>
  <c r="BV46" i="5" s="1"/>
  <c r="CD65" i="5"/>
  <c r="BA356" i="5"/>
  <c r="BA378" i="5"/>
  <c r="BA422" i="5"/>
  <c r="BA466" i="5"/>
  <c r="G213" i="7"/>
  <c r="K416" i="7"/>
  <c r="L416" i="7" s="1"/>
  <c r="K489" i="7"/>
  <c r="L489" i="7" s="1"/>
  <c r="CD99" i="5"/>
  <c r="BS109" i="5"/>
  <c r="BV109" i="5" s="1"/>
  <c r="BA124" i="5"/>
  <c r="BA145" i="5"/>
  <c r="GG147" i="6"/>
  <c r="BA157" i="5"/>
  <c r="BA268" i="5"/>
  <c r="BA271" i="5"/>
  <c r="GG277" i="6"/>
  <c r="BA314" i="5"/>
  <c r="K263" i="7"/>
  <c r="L263" i="7" s="1"/>
  <c r="BS169" i="5"/>
  <c r="BV169" i="5" s="1"/>
  <c r="K143" i="7"/>
  <c r="L143" i="7" s="1"/>
  <c r="K193" i="7"/>
  <c r="L193" i="7" s="1"/>
  <c r="BA26" i="5"/>
  <c r="BS89" i="5"/>
  <c r="BV89" i="5" s="1"/>
  <c r="BA256" i="5"/>
  <c r="K322" i="7"/>
  <c r="L322" i="7" s="1"/>
  <c r="BA260" i="5"/>
  <c r="K287" i="7"/>
  <c r="L287" i="7" s="1"/>
  <c r="CD30" i="5"/>
  <c r="K485" i="7"/>
  <c r="L485" i="7" s="1"/>
  <c r="BA105" i="5"/>
  <c r="K471" i="7"/>
  <c r="L471" i="7" s="1"/>
  <c r="BS32" i="5"/>
  <c r="CD78" i="5"/>
  <c r="BS13" i="5"/>
  <c r="CD31" i="5"/>
  <c r="BS34" i="5"/>
  <c r="BV34" i="5" s="1"/>
  <c r="BA101" i="5"/>
  <c r="BA144" i="5"/>
  <c r="CD166" i="5"/>
  <c r="BS173" i="5"/>
  <c r="BV173" i="5" s="1"/>
  <c r="BS181" i="5"/>
  <c r="BV181" i="5" s="1"/>
  <c r="BA193" i="5"/>
  <c r="GG241" i="6"/>
  <c r="BA317" i="5"/>
  <c r="BA471" i="5"/>
  <c r="K190" i="7"/>
  <c r="L190" i="7" s="1"/>
  <c r="K498" i="7"/>
  <c r="L498" i="7" s="1"/>
  <c r="BS124" i="5"/>
  <c r="BS130" i="5"/>
  <c r="BV130" i="5" s="1"/>
  <c r="BA230" i="5"/>
  <c r="CD53" i="5"/>
  <c r="BS60" i="5"/>
  <c r="BV60" i="5" s="1"/>
  <c r="BS84" i="5"/>
  <c r="BV84" i="5" s="1"/>
  <c r="CD89" i="5"/>
  <c r="BA96" i="5"/>
  <c r="K85" i="7"/>
  <c r="L85" i="7" s="1"/>
  <c r="K100" i="7"/>
  <c r="L100" i="7" s="1"/>
  <c r="K463" i="7"/>
  <c r="L463" i="7" s="1"/>
  <c r="BA245" i="5"/>
  <c r="BA307" i="5"/>
  <c r="K502" i="7"/>
  <c r="L502" i="7" s="1"/>
  <c r="CD61" i="5"/>
  <c r="BA19" i="5"/>
  <c r="BF19" i="5" s="1"/>
  <c r="BE48" i="5"/>
  <c r="BS75" i="5"/>
  <c r="BV75" i="5" s="1"/>
  <c r="CD80" i="5"/>
  <c r="CD98" i="5"/>
  <c r="CD103" i="5"/>
  <c r="BA106" i="5"/>
  <c r="BS119" i="5"/>
  <c r="BV119" i="5" s="1"/>
  <c r="BA129" i="5"/>
  <c r="BS146" i="5"/>
  <c r="BV146" i="5" s="1"/>
  <c r="CD148" i="5"/>
  <c r="BA175" i="5"/>
  <c r="BA296" i="5"/>
  <c r="BA341" i="5"/>
  <c r="BA363" i="5"/>
  <c r="K535" i="7"/>
  <c r="L535" i="7" s="1"/>
  <c r="CD13" i="5"/>
  <c r="BS15" i="5"/>
  <c r="BV15" i="5" s="1"/>
  <c r="BS56" i="5"/>
  <c r="BS67" i="5"/>
  <c r="BV67" i="5" s="1"/>
  <c r="BA136" i="5"/>
  <c r="CD147" i="5"/>
  <c r="BA158" i="5"/>
  <c r="CD168" i="5"/>
  <c r="BS241" i="5"/>
  <c r="BV241" i="5" s="1"/>
  <c r="K86" i="7"/>
  <c r="L86" i="7" s="1"/>
  <c r="K208" i="7"/>
  <c r="L208" i="7" s="1"/>
  <c r="BS66" i="5"/>
  <c r="BV66" i="5" s="1"/>
  <c r="BA86" i="5"/>
  <c r="BS97" i="5"/>
  <c r="BA112" i="5"/>
  <c r="BS120" i="5"/>
  <c r="BV120" i="5" s="1"/>
  <c r="BA139" i="5"/>
  <c r="BA146" i="5"/>
  <c r="GG142" i="6"/>
  <c r="GL142" i="6" s="1"/>
  <c r="BA154" i="5"/>
  <c r="BS158" i="5"/>
  <c r="BS193" i="5"/>
  <c r="BV193" i="5" s="1"/>
  <c r="BA202" i="5"/>
  <c r="BA242" i="5"/>
  <c r="BA248" i="5"/>
  <c r="BA257" i="5"/>
  <c r="BA301" i="5"/>
  <c r="BA322" i="5"/>
  <c r="BA344" i="5"/>
  <c r="K164" i="7"/>
  <c r="L164" i="7" s="1"/>
  <c r="K192" i="7"/>
  <c r="L192" i="7" s="1"/>
  <c r="K204" i="7"/>
  <c r="L204" i="7" s="1"/>
  <c r="K217" i="7"/>
  <c r="K224" i="7"/>
  <c r="L224" i="7" s="1"/>
  <c r="K282" i="7"/>
  <c r="L282" i="7" s="1"/>
  <c r="K289" i="7"/>
  <c r="L289" i="7" s="1"/>
  <c r="K406" i="7"/>
  <c r="L406" i="7" s="1"/>
  <c r="K413" i="7"/>
  <c r="L413" i="7" s="1"/>
  <c r="K450" i="7"/>
  <c r="L450" i="7" s="1"/>
  <c r="BS31" i="5"/>
  <c r="BS39" i="5"/>
  <c r="BV39" i="5" s="1"/>
  <c r="CD74" i="5"/>
  <c r="CD83" i="5"/>
  <c r="BA100" i="5"/>
  <c r="BS102" i="5"/>
  <c r="BE148" i="5"/>
  <c r="BF148" i="5" s="1"/>
  <c r="BG148" i="5" s="1"/>
  <c r="BA155" i="5"/>
  <c r="BS175" i="5"/>
  <c r="BV175" i="5" s="1"/>
  <c r="BA178" i="5"/>
  <c r="CD188" i="5"/>
  <c r="CD192" i="5"/>
  <c r="BA195" i="5"/>
  <c r="BA477" i="5"/>
  <c r="BA498" i="5"/>
  <c r="K24" i="13"/>
  <c r="BE152" i="5"/>
  <c r="BA218" i="5"/>
  <c r="BA224" i="5"/>
  <c r="BA367" i="5"/>
  <c r="K253" i="7"/>
  <c r="L253" i="7" s="1"/>
  <c r="K275" i="7"/>
  <c r="L275" i="7" s="1"/>
  <c r="GG137" i="6"/>
  <c r="GL137" i="6" s="1"/>
  <c r="GG144" i="6"/>
  <c r="GL144" i="6" s="1"/>
  <c r="CD167" i="5"/>
  <c r="BS179" i="5"/>
  <c r="BS266" i="5"/>
  <c r="BS278" i="5"/>
  <c r="BV278" i="5" s="1"/>
  <c r="BA303" i="5"/>
  <c r="BE321" i="5"/>
  <c r="BA325" i="5"/>
  <c r="BA412" i="5"/>
  <c r="BA413" i="5"/>
  <c r="BA434" i="5"/>
  <c r="BA456" i="5"/>
  <c r="BA478" i="5"/>
  <c r="K165" i="7"/>
  <c r="L165" i="7" s="1"/>
  <c r="K174" i="7"/>
  <c r="L174" i="7" s="1"/>
  <c r="K198" i="7"/>
  <c r="L198" i="7" s="1"/>
  <c r="K232" i="7"/>
  <c r="L232" i="7" s="1"/>
  <c r="K86" i="12"/>
  <c r="BE103" i="5"/>
  <c r="BA49" i="5"/>
  <c r="BA68" i="5"/>
  <c r="BA90" i="5"/>
  <c r="CG13" i="5"/>
  <c r="CD23" i="5"/>
  <c r="BA41" i="5"/>
  <c r="CD62" i="5"/>
  <c r="CD87" i="5"/>
  <c r="GG86" i="6"/>
  <c r="GL86" i="6" s="1"/>
  <c r="CD114" i="5"/>
  <c r="BA123" i="5"/>
  <c r="BA156" i="5"/>
  <c r="CD175" i="5"/>
  <c r="BS254" i="5"/>
  <c r="BV254" i="5" s="1"/>
  <c r="BA273" i="5"/>
  <c r="BA279" i="5"/>
  <c r="GG293" i="6"/>
  <c r="BA326" i="5"/>
  <c r="K108" i="7"/>
  <c r="L108" i="7" s="1"/>
  <c r="K115" i="7"/>
  <c r="L115" i="7" s="1"/>
  <c r="K122" i="7"/>
  <c r="L122" i="7" s="1"/>
  <c r="K69" i="12"/>
  <c r="K157" i="12"/>
  <c r="K27" i="13"/>
  <c r="BS242" i="5"/>
  <c r="BV242" i="5" s="1"/>
  <c r="BE368" i="5"/>
  <c r="BF368" i="5" s="1"/>
  <c r="BA370" i="5"/>
  <c r="K144" i="7"/>
  <c r="L144" i="7" s="1"/>
  <c r="K349" i="7"/>
  <c r="L349" i="7" s="1"/>
  <c r="K437" i="7"/>
  <c r="L437" i="7" s="1"/>
  <c r="K488" i="7"/>
  <c r="L488" i="7" s="1"/>
  <c r="CD69" i="5"/>
  <c r="BA71" i="5"/>
  <c r="BS86" i="5"/>
  <c r="BV86" i="5" s="1"/>
  <c r="CD125" i="5"/>
  <c r="GG136" i="6"/>
  <c r="GL136" i="6" s="1"/>
  <c r="BS147" i="5"/>
  <c r="BV147" i="5" s="1"/>
  <c r="BS152" i="5"/>
  <c r="BV152" i="5" s="1"/>
  <c r="BS183" i="5"/>
  <c r="BV183" i="5" s="1"/>
  <c r="BS230" i="5"/>
  <c r="BV230" i="5" s="1"/>
  <c r="AA172" i="8"/>
  <c r="K13" i="12"/>
  <c r="K35" i="12"/>
  <c r="K123" i="12"/>
  <c r="K145" i="12"/>
  <c r="K87" i="7"/>
  <c r="L87" i="7" s="1"/>
  <c r="K109" i="7"/>
  <c r="L109" i="7" s="1"/>
  <c r="K116" i="7"/>
  <c r="L116" i="7" s="1"/>
  <c r="K187" i="7"/>
  <c r="L187" i="7" s="1"/>
  <c r="K213" i="7"/>
  <c r="K233" i="7"/>
  <c r="L233" i="7" s="1"/>
  <c r="K284" i="7"/>
  <c r="L284" i="7" s="1"/>
  <c r="K306" i="7"/>
  <c r="L306" i="7" s="1"/>
  <c r="K313" i="7"/>
  <c r="L313" i="7" s="1"/>
  <c r="K357" i="7"/>
  <c r="L357" i="7" s="1"/>
  <c r="K401" i="7"/>
  <c r="L401" i="7" s="1"/>
  <c r="K445" i="7"/>
  <c r="L445" i="7" s="1"/>
  <c r="K452" i="7"/>
  <c r="L452" i="7" s="1"/>
  <c r="K474" i="7"/>
  <c r="L474" i="7" s="1"/>
  <c r="K496" i="7"/>
  <c r="L496" i="7" s="1"/>
  <c r="K525" i="7"/>
  <c r="L525" i="7" s="1"/>
  <c r="H213" i="8"/>
  <c r="I213" i="8" s="1"/>
  <c r="BV124" i="5"/>
  <c r="BA177" i="5"/>
  <c r="BA237" i="5"/>
  <c r="BA246" i="5"/>
  <c r="BA351" i="5"/>
  <c r="BA373" i="5"/>
  <c r="BA484" i="5"/>
  <c r="K59" i="7"/>
  <c r="L59" i="7" s="1"/>
  <c r="K66" i="7"/>
  <c r="L66" i="7" s="1"/>
  <c r="K138" i="7"/>
  <c r="L138" i="7" s="1"/>
  <c r="K178" i="7"/>
  <c r="L178" i="7" s="1"/>
  <c r="K184" i="7"/>
  <c r="L184" i="7" s="1"/>
  <c r="K227" i="7"/>
  <c r="L227" i="7" s="1"/>
  <c r="K299" i="7"/>
  <c r="L299" i="7" s="1"/>
  <c r="K394" i="7"/>
  <c r="L394" i="7" s="1"/>
  <c r="K511" i="7"/>
  <c r="L511" i="7" s="1"/>
  <c r="BS42" i="5"/>
  <c r="BV42" i="5" s="1"/>
  <c r="CD17" i="5"/>
  <c r="BS19" i="5"/>
  <c r="BY19" i="5" s="1"/>
  <c r="BE49" i="5"/>
  <c r="CD42" i="5"/>
  <c r="CD77" i="5"/>
  <c r="CD86" i="5"/>
  <c r="BS100" i="5"/>
  <c r="BV100" i="5" s="1"/>
  <c r="BS106" i="5"/>
  <c r="CD124" i="5"/>
  <c r="BA135" i="5"/>
  <c r="BA143" i="5"/>
  <c r="CD152" i="5"/>
  <c r="BS155" i="5"/>
  <c r="BV155" i="5" s="1"/>
  <c r="CD159" i="5"/>
  <c r="BS171" i="5"/>
  <c r="BV171" i="5" s="1"/>
  <c r="GG164" i="6"/>
  <c r="GG173" i="6"/>
  <c r="BA213" i="5"/>
  <c r="BA219" i="5"/>
  <c r="BA396" i="5"/>
  <c r="BA418" i="5"/>
  <c r="CD19" i="5"/>
  <c r="CD22" i="5"/>
  <c r="BA24" i="5"/>
  <c r="CD34" i="5"/>
  <c r="CD38" i="5"/>
  <c r="BS76" i="5"/>
  <c r="BV76" i="5" s="1"/>
  <c r="BS90" i="5"/>
  <c r="BV90" i="5" s="1"/>
  <c r="CD118" i="5"/>
  <c r="BA121" i="5"/>
  <c r="BS145" i="5"/>
  <c r="BS166" i="5"/>
  <c r="BV166" i="5" s="1"/>
  <c r="BA181" i="5"/>
  <c r="BF181" i="5" s="1"/>
  <c r="BG181" i="5" s="1"/>
  <c r="GG219" i="6"/>
  <c r="BA286" i="5"/>
  <c r="BA290" i="5"/>
  <c r="BA397" i="5"/>
  <c r="BA441" i="5"/>
  <c r="BA485" i="5"/>
  <c r="K81" i="7"/>
  <c r="L81" i="7" s="1"/>
  <c r="K110" i="7"/>
  <c r="L110" i="7" s="1"/>
  <c r="K131" i="7"/>
  <c r="L131" i="7" s="1"/>
  <c r="K153" i="7"/>
  <c r="L153" i="7" s="1"/>
  <c r="K160" i="7"/>
  <c r="L160" i="7" s="1"/>
  <c r="K175" i="7"/>
  <c r="L175" i="7" s="1"/>
  <c r="K214" i="7"/>
  <c r="K365" i="7"/>
  <c r="L365" i="7" s="1"/>
  <c r="K460" i="7"/>
  <c r="L460" i="7" s="1"/>
  <c r="K482" i="7"/>
  <c r="L482" i="7" s="1"/>
  <c r="K504" i="7"/>
  <c r="L504" i="7" s="1"/>
  <c r="K526" i="7"/>
  <c r="L526" i="7" s="1"/>
  <c r="O170" i="12"/>
  <c r="P170" i="12" s="1"/>
  <c r="K13" i="13"/>
  <c r="BA88" i="5"/>
  <c r="K62" i="13"/>
  <c r="BE21" i="5"/>
  <c r="BS25" i="5"/>
  <c r="BV25" i="5" s="1"/>
  <c r="BS33" i="5"/>
  <c r="CD57" i="5"/>
  <c r="CD68" i="5"/>
  <c r="BS156" i="5"/>
  <c r="BV156" i="5" s="1"/>
  <c r="BS182" i="5"/>
  <c r="BS255" i="5"/>
  <c r="BV255" i="5" s="1"/>
  <c r="BA333" i="5"/>
  <c r="GG365" i="6"/>
  <c r="BA400" i="5"/>
  <c r="BA444" i="5"/>
  <c r="GG454" i="6"/>
  <c r="GN454" i="6" s="1"/>
  <c r="BA465" i="5"/>
  <c r="K351" i="7"/>
  <c r="L351" i="7" s="1"/>
  <c r="K264" i="7"/>
  <c r="L264" i="7" s="1"/>
  <c r="K70" i="12"/>
  <c r="K92" i="12"/>
  <c r="K28" i="13"/>
  <c r="K45" i="13"/>
  <c r="BV37" i="5"/>
  <c r="BA13" i="5"/>
  <c r="BF13" i="5" s="1"/>
  <c r="BS16" i="5"/>
  <c r="BV16" i="5" s="1"/>
  <c r="BA20" i="5"/>
  <c r="BF20" i="5" s="1"/>
  <c r="CD29" i="5"/>
  <c r="CD45" i="5"/>
  <c r="CD85" i="5"/>
  <c r="BS105" i="5"/>
  <c r="BV105" i="5" s="1"/>
  <c r="CD117" i="5"/>
  <c r="BE121" i="5"/>
  <c r="BS122" i="5"/>
  <c r="BV122" i="5" s="1"/>
  <c r="CD123" i="5"/>
  <c r="BS144" i="5"/>
  <c r="BV144" i="5" s="1"/>
  <c r="BA172" i="5"/>
  <c r="BS177" i="5"/>
  <c r="BV177" i="5" s="1"/>
  <c r="BA250" i="5"/>
  <c r="BE378" i="5"/>
  <c r="BA380" i="5"/>
  <c r="GG456" i="6"/>
  <c r="K61" i="7"/>
  <c r="L61" i="7" s="1"/>
  <c r="K68" i="7"/>
  <c r="L68" i="7" s="1"/>
  <c r="K104" i="7"/>
  <c r="L104" i="7" s="1"/>
  <c r="K154" i="7"/>
  <c r="L154" i="7" s="1"/>
  <c r="K161" i="7"/>
  <c r="L161" i="7" s="1"/>
  <c r="K191" i="7"/>
  <c r="L191" i="7" s="1"/>
  <c r="K194" i="7"/>
  <c r="L194" i="7" s="1"/>
  <c r="K447" i="7"/>
  <c r="L447" i="7" s="1"/>
  <c r="K454" i="7"/>
  <c r="L454" i="7" s="1"/>
  <c r="K520" i="7"/>
  <c r="L520" i="7" s="1"/>
  <c r="O156" i="12"/>
  <c r="P156" i="12" s="1"/>
  <c r="K33" i="13"/>
  <c r="K60" i="13"/>
  <c r="BA187" i="5"/>
  <c r="BA188" i="5"/>
  <c r="BA190" i="5"/>
  <c r="BA200" i="5"/>
  <c r="BA235" i="5"/>
  <c r="BA316" i="5"/>
  <c r="BA337" i="5"/>
  <c r="BA469" i="5"/>
  <c r="K76" i="7"/>
  <c r="L76" i="7" s="1"/>
  <c r="K126" i="7"/>
  <c r="L126" i="7" s="1"/>
  <c r="K155" i="7"/>
  <c r="L155" i="7" s="1"/>
  <c r="K162" i="7"/>
  <c r="L162" i="7" s="1"/>
  <c r="K182" i="7"/>
  <c r="L182" i="7" s="1"/>
  <c r="K215" i="7"/>
  <c r="K258" i="7"/>
  <c r="L258" i="7" s="1"/>
  <c r="K294" i="7"/>
  <c r="L294" i="7" s="1"/>
  <c r="K316" i="7"/>
  <c r="L316" i="7" s="1"/>
  <c r="K360" i="7"/>
  <c r="L360" i="7" s="1"/>
  <c r="K448" i="7"/>
  <c r="L448" i="7" s="1"/>
  <c r="K455" i="7"/>
  <c r="L455" i="7" s="1"/>
  <c r="BE36" i="5"/>
  <c r="BS24" i="5"/>
  <c r="BV24" i="5" s="1"/>
  <c r="BS28" i="5"/>
  <c r="BV28" i="5" s="1"/>
  <c r="BA39" i="5"/>
  <c r="BA87" i="5"/>
  <c r="BA125" i="5"/>
  <c r="BS127" i="5"/>
  <c r="BV127" i="5" s="1"/>
  <c r="BS135" i="5"/>
  <c r="BV135" i="5" s="1"/>
  <c r="BV136" i="5"/>
  <c r="BS143" i="5"/>
  <c r="BV143" i="5" s="1"/>
  <c r="CD162" i="5"/>
  <c r="CD177" i="5"/>
  <c r="BE180" i="5"/>
  <c r="BA220" i="5"/>
  <c r="BS265" i="5"/>
  <c r="BV265" i="5" s="1"/>
  <c r="BA493" i="5"/>
  <c r="K4" i="13"/>
  <c r="BA119" i="5"/>
  <c r="CD136" i="5"/>
  <c r="CD157" i="5"/>
  <c r="BV160" i="5"/>
  <c r="BA161" i="5"/>
  <c r="BE165" i="5"/>
  <c r="BE192" i="5"/>
  <c r="BA207" i="5"/>
  <c r="BS253" i="5"/>
  <c r="BV253" i="5" s="1"/>
  <c r="BA275" i="5"/>
  <c r="BA284" i="5"/>
  <c r="BA340" i="5"/>
  <c r="BA428" i="5"/>
  <c r="K98" i="7"/>
  <c r="L98" i="7" s="1"/>
  <c r="K223" i="7"/>
  <c r="L223" i="7" s="1"/>
  <c r="K251" i="7"/>
  <c r="L251" i="7" s="1"/>
  <c r="K266" i="7"/>
  <c r="L266" i="7" s="1"/>
  <c r="K273" i="7"/>
  <c r="L273" i="7" s="1"/>
  <c r="K295" i="7"/>
  <c r="L295" i="7" s="1"/>
  <c r="K390" i="7"/>
  <c r="L390" i="7" s="1"/>
  <c r="K412" i="7"/>
  <c r="L412" i="7" s="1"/>
  <c r="K492" i="7"/>
  <c r="L492" i="7" s="1"/>
  <c r="K507" i="7"/>
  <c r="L507" i="7" s="1"/>
  <c r="K514" i="7"/>
  <c r="L514" i="7" s="1"/>
  <c r="K29" i="12"/>
  <c r="K51" i="12"/>
  <c r="BE27" i="5"/>
  <c r="BE31" i="5"/>
  <c r="BF31" i="5" s="1"/>
  <c r="BE35" i="5"/>
  <c r="CD44" i="5"/>
  <c r="BS74" i="5"/>
  <c r="BV74" i="5" s="1"/>
  <c r="BV98" i="5"/>
  <c r="BA132" i="5"/>
  <c r="CD143" i="5"/>
  <c r="BA147" i="5"/>
  <c r="CD170" i="5"/>
  <c r="BA174" i="5"/>
  <c r="BS229" i="5"/>
  <c r="BV229" i="5" s="1"/>
  <c r="BA254" i="5"/>
  <c r="BA281" i="5"/>
  <c r="BA473" i="5"/>
  <c r="K63" i="7"/>
  <c r="L63" i="7" s="1"/>
  <c r="K70" i="7"/>
  <c r="L70" i="7" s="1"/>
  <c r="K106" i="7"/>
  <c r="L106" i="7" s="1"/>
  <c r="K120" i="7"/>
  <c r="L120" i="7" s="1"/>
  <c r="K149" i="7"/>
  <c r="L149" i="7" s="1"/>
  <c r="K156" i="7"/>
  <c r="L156" i="7" s="1"/>
  <c r="K163" i="7"/>
  <c r="L163" i="7" s="1"/>
  <c r="K281" i="7"/>
  <c r="L281" i="7" s="1"/>
  <c r="K310" i="7"/>
  <c r="L310" i="7" s="1"/>
  <c r="K427" i="7"/>
  <c r="L427" i="7" s="1"/>
  <c r="J547" i="7"/>
  <c r="K547" i="7" s="1"/>
  <c r="L547" i="7" s="1"/>
  <c r="K78" i="12"/>
  <c r="K30" i="12"/>
  <c r="K52" i="12"/>
  <c r="K59" i="12"/>
  <c r="K22" i="13"/>
  <c r="K62" i="12"/>
  <c r="K106" i="12"/>
  <c r="J8" i="13"/>
  <c r="K15" i="13"/>
  <c r="K32" i="13"/>
  <c r="K45" i="12"/>
  <c r="K150" i="12"/>
  <c r="K3" i="13"/>
  <c r="K6" i="12"/>
  <c r="O22" i="12"/>
  <c r="K94" i="12"/>
  <c r="J170" i="12"/>
  <c r="L170" i="12" s="1"/>
  <c r="B170" i="13" s="1"/>
  <c r="K177" i="12"/>
  <c r="K182" i="12"/>
  <c r="K65" i="12"/>
  <c r="K114" i="12"/>
  <c r="J168" i="12"/>
  <c r="J173" i="12"/>
  <c r="J28" i="13"/>
  <c r="K30" i="13"/>
  <c r="K35" i="13"/>
  <c r="K57" i="13"/>
  <c r="K9" i="12"/>
  <c r="K26" i="12"/>
  <c r="K31" i="12"/>
  <c r="K53" i="12"/>
  <c r="K75" i="12"/>
  <c r="K18" i="13"/>
  <c r="K40" i="13"/>
  <c r="K160" i="12"/>
  <c r="K58" i="12"/>
  <c r="K80" i="12"/>
  <c r="K102" i="12"/>
  <c r="J134" i="12"/>
  <c r="J12" i="12"/>
  <c r="K41" i="12"/>
  <c r="K85" i="12"/>
  <c r="K97" i="12"/>
  <c r="K151" i="12"/>
  <c r="J14" i="13"/>
  <c r="O18" i="12"/>
  <c r="K90" i="12"/>
  <c r="K146" i="12"/>
  <c r="K156" i="12"/>
  <c r="K178" i="12"/>
  <c r="K21" i="13"/>
  <c r="J10" i="13"/>
  <c r="K71" i="12"/>
  <c r="K7" i="12"/>
  <c r="K134" i="12"/>
  <c r="K9" i="13"/>
  <c r="K55" i="13"/>
  <c r="K165" i="12"/>
  <c r="K12" i="12"/>
  <c r="K95" i="12"/>
  <c r="K144" i="12"/>
  <c r="K122" i="12"/>
  <c r="K127" i="12"/>
  <c r="J159" i="12"/>
  <c r="L159" i="12" s="1"/>
  <c r="I159" i="13" s="1"/>
  <c r="K17" i="12"/>
  <c r="K22" i="12"/>
  <c r="K66" i="12"/>
  <c r="K105" i="12"/>
  <c r="K110" i="12"/>
  <c r="K132" i="12"/>
  <c r="K176" i="12"/>
  <c r="K73" i="12"/>
  <c r="K159" i="12"/>
  <c r="K36" i="13"/>
  <c r="K43" i="13"/>
  <c r="K169" i="12"/>
  <c r="K32" i="12"/>
  <c r="K67" i="12"/>
  <c r="J3" i="12"/>
  <c r="K10" i="12"/>
  <c r="K54" i="12"/>
  <c r="K88" i="12"/>
  <c r="K98" i="12"/>
  <c r="K164" i="12"/>
  <c r="J22" i="13"/>
  <c r="K81" i="12"/>
  <c r="J16" i="12"/>
  <c r="K18" i="12"/>
  <c r="K23" i="12"/>
  <c r="K103" i="12"/>
  <c r="O168" i="12"/>
  <c r="P168" i="12" s="1"/>
  <c r="K39" i="13"/>
  <c r="K44" i="13"/>
  <c r="K11" i="12"/>
  <c r="K33" i="12"/>
  <c r="K50" i="12"/>
  <c r="K57" i="12"/>
  <c r="K79" i="12"/>
  <c r="K96" i="12"/>
  <c r="K108" i="12"/>
  <c r="K115" i="12"/>
  <c r="K120" i="12"/>
  <c r="K149" i="12"/>
  <c r="L149" i="12" s="1"/>
  <c r="K158" i="12"/>
  <c r="K163" i="12"/>
  <c r="K37" i="13"/>
  <c r="K49" i="13"/>
  <c r="K61" i="13"/>
  <c r="K38" i="12"/>
  <c r="K101" i="12"/>
  <c r="J130" i="12"/>
  <c r="K137" i="12"/>
  <c r="K142" i="12"/>
  <c r="K168" i="12"/>
  <c r="K180" i="12"/>
  <c r="K6" i="13"/>
  <c r="K20" i="13"/>
  <c r="K25" i="13"/>
  <c r="K42" i="13"/>
  <c r="K54" i="13"/>
  <c r="J9" i="12"/>
  <c r="K60" i="12"/>
  <c r="K72" i="12"/>
  <c r="K173" i="12"/>
  <c r="L173" i="12" s="1"/>
  <c r="J178" i="12"/>
  <c r="K11" i="13"/>
  <c r="K4" i="12"/>
  <c r="J14" i="12"/>
  <c r="K16" i="12"/>
  <c r="L16" i="12" s="1"/>
  <c r="K21" i="12"/>
  <c r="K48" i="12"/>
  <c r="K84" i="12"/>
  <c r="K91" i="12"/>
  <c r="K113" i="12"/>
  <c r="K118" i="12"/>
  <c r="K130" i="12"/>
  <c r="O137" i="12"/>
  <c r="P137" i="12" s="1"/>
  <c r="K161" i="12"/>
  <c r="J52" i="13"/>
  <c r="K59" i="13"/>
  <c r="O140" i="12"/>
  <c r="P140" i="12" s="1"/>
  <c r="K154" i="12"/>
  <c r="L154" i="12" s="1"/>
  <c r="K23" i="13"/>
  <c r="K36" i="12"/>
  <c r="K19" i="12"/>
  <c r="K116" i="12"/>
  <c r="K128" i="12"/>
  <c r="J12" i="13"/>
  <c r="J22" i="12"/>
  <c r="K24" i="12"/>
  <c r="K46" i="12"/>
  <c r="K133" i="12"/>
  <c r="K138" i="12"/>
  <c r="K14" i="13"/>
  <c r="K50" i="13"/>
  <c r="O23" i="12"/>
  <c r="K39" i="12"/>
  <c r="K56" i="12"/>
  <c r="K121" i="12"/>
  <c r="O162" i="12"/>
  <c r="P162" i="12" s="1"/>
  <c r="J167" i="12"/>
  <c r="O178" i="12"/>
  <c r="P178" i="12" s="1"/>
  <c r="K19" i="13"/>
  <c r="J24" i="13"/>
  <c r="K26" i="13"/>
  <c r="J48" i="13"/>
  <c r="K47" i="13"/>
  <c r="K34" i="12"/>
  <c r="K63" i="12"/>
  <c r="O124" i="12"/>
  <c r="P124" i="12" s="1"/>
  <c r="P152" i="12"/>
  <c r="O174" i="12"/>
  <c r="P174" i="12" s="1"/>
  <c r="K7" i="13"/>
  <c r="K12" i="13"/>
  <c r="K77" i="12"/>
  <c r="K135" i="12"/>
  <c r="J145" i="12"/>
  <c r="L145" i="12" s="1"/>
  <c r="C145" i="13" s="1"/>
  <c r="J7" i="12"/>
  <c r="K52" i="13"/>
  <c r="K111" i="12"/>
  <c r="K5" i="12"/>
  <c r="L5" i="12" s="1"/>
  <c r="K44" i="12"/>
  <c r="O131" i="12"/>
  <c r="P131" i="12" s="1"/>
  <c r="O136" i="12"/>
  <c r="P136" i="12" s="1"/>
  <c r="K143" i="12"/>
  <c r="L143" i="12" s="1"/>
  <c r="K162" i="12"/>
  <c r="L162" i="12" s="1"/>
  <c r="K31" i="13"/>
  <c r="O128" i="12"/>
  <c r="P128" i="12" s="1"/>
  <c r="K14" i="12"/>
  <c r="K27" i="12"/>
  <c r="K119" i="12"/>
  <c r="K148" i="12"/>
  <c r="K155" i="12"/>
  <c r="K167" i="12"/>
  <c r="K48" i="13"/>
  <c r="K89" i="12"/>
  <c r="K152" i="12"/>
  <c r="K16" i="13"/>
  <c r="K37" i="12"/>
  <c r="K100" i="12"/>
  <c r="K107" i="12"/>
  <c r="K136" i="12"/>
  <c r="L136" i="12" s="1"/>
  <c r="E136" i="13" s="1"/>
  <c r="J146" i="12"/>
  <c r="K5" i="13"/>
  <c r="K17" i="13"/>
  <c r="K53" i="13"/>
  <c r="K93" i="12"/>
  <c r="O175" i="12"/>
  <c r="P175" i="12" s="1"/>
  <c r="K15" i="12"/>
  <c r="K42" i="12"/>
  <c r="K61" i="12"/>
  <c r="K83" i="12"/>
  <c r="K112" i="12"/>
  <c r="K126" i="12"/>
  <c r="K141" i="12"/>
  <c r="O146" i="12"/>
  <c r="P146" i="12" s="1"/>
  <c r="K179" i="12"/>
  <c r="K10" i="13"/>
  <c r="K29" i="13"/>
  <c r="K3" i="12"/>
  <c r="K47" i="12"/>
  <c r="K64" i="12"/>
  <c r="O122" i="12"/>
  <c r="P122" i="12" s="1"/>
  <c r="O134" i="12"/>
  <c r="P134" i="12" s="1"/>
  <c r="K172" i="12"/>
  <c r="K34" i="13"/>
  <c r="K58" i="13"/>
  <c r="K51" i="13"/>
  <c r="K139" i="12"/>
  <c r="L139" i="12" s="1"/>
  <c r="K8" i="13"/>
  <c r="K8" i="12"/>
  <c r="K20" i="12"/>
  <c r="K76" i="12"/>
  <c r="K117" i="12"/>
  <c r="K129" i="12"/>
  <c r="K153" i="12"/>
  <c r="J32" i="13"/>
  <c r="K41" i="13"/>
  <c r="K46" i="13"/>
  <c r="J171" i="12"/>
  <c r="J61" i="13"/>
  <c r="J183" i="12"/>
  <c r="O121" i="12"/>
  <c r="P121" i="12" s="1"/>
  <c r="O159" i="12"/>
  <c r="J164" i="12"/>
  <c r="O171" i="12"/>
  <c r="P171" i="12" s="1"/>
  <c r="O183" i="12"/>
  <c r="P183" i="12" s="1"/>
  <c r="J30" i="13"/>
  <c r="J35" i="13"/>
  <c r="J54" i="13"/>
  <c r="O143" i="12"/>
  <c r="P143" i="12" s="1"/>
  <c r="J148" i="12"/>
  <c r="J174" i="12"/>
  <c r="J40" i="13"/>
  <c r="O181" i="12"/>
  <c r="P181" i="12" s="1"/>
  <c r="O148" i="12"/>
  <c r="P148" i="12" s="1"/>
  <c r="J122" i="12"/>
  <c r="J26" i="13"/>
  <c r="J38" i="13"/>
  <c r="J50" i="13"/>
  <c r="O15" i="12"/>
  <c r="J19" i="12"/>
  <c r="J151" i="12"/>
  <c r="O20" i="12"/>
  <c r="O165" i="12"/>
  <c r="P165" i="12" s="1"/>
  <c r="J60" i="13"/>
  <c r="J13" i="13"/>
  <c r="J142" i="12"/>
  <c r="J156" i="12"/>
  <c r="O149" i="12"/>
  <c r="P149" i="12" s="1"/>
  <c r="J6" i="13"/>
  <c r="J46" i="13"/>
  <c r="O125" i="12"/>
  <c r="P125" i="12" s="1"/>
  <c r="J51" i="13"/>
  <c r="J140" i="12"/>
  <c r="J121" i="12"/>
  <c r="J4" i="13"/>
  <c r="J44" i="13"/>
  <c r="J56" i="13"/>
  <c r="K43" i="12"/>
  <c r="K49" i="12"/>
  <c r="K55" i="12"/>
  <c r="K140" i="12"/>
  <c r="J17" i="12"/>
  <c r="O139" i="12"/>
  <c r="P139" i="12" s="1"/>
  <c r="O145" i="12"/>
  <c r="P145" i="12" s="1"/>
  <c r="BV97" i="5"/>
  <c r="K28" i="12"/>
  <c r="K174" i="12"/>
  <c r="J33" i="13"/>
  <c r="J31" i="13"/>
  <c r="O10" i="12"/>
  <c r="O14" i="12"/>
  <c r="J23" i="12"/>
  <c r="O12" i="12"/>
  <c r="J13" i="12"/>
  <c r="L13" i="12" s="1"/>
  <c r="K40" i="12"/>
  <c r="K99" i="12"/>
  <c r="K109" i="12"/>
  <c r="K131" i="12"/>
  <c r="J25" i="13"/>
  <c r="K68" i="12"/>
  <c r="K125" i="12"/>
  <c r="L125" i="12" s="1"/>
  <c r="B125" i="13" s="1"/>
  <c r="BV112" i="5"/>
  <c r="J21" i="13"/>
  <c r="K171" i="12"/>
  <c r="K181" i="12"/>
  <c r="K183" i="12"/>
  <c r="J17" i="13"/>
  <c r="K25" i="12"/>
  <c r="J15" i="13"/>
  <c r="K175" i="12"/>
  <c r="O17" i="12"/>
  <c r="O19" i="12"/>
  <c r="O9" i="12"/>
  <c r="O13" i="12"/>
  <c r="J9" i="13"/>
  <c r="J53" i="13"/>
  <c r="N95" i="13"/>
  <c r="N184" i="13"/>
  <c r="N196" i="13" s="1"/>
  <c r="N91" i="13"/>
  <c r="N89" i="13"/>
  <c r="N98" i="13"/>
  <c r="N93" i="13"/>
  <c r="N191" i="13"/>
  <c r="N203" i="13" s="1"/>
  <c r="N96" i="13"/>
  <c r="N188" i="13"/>
  <c r="L188" i="13" s="1"/>
  <c r="N192" i="13"/>
  <c r="L192" i="13" s="1"/>
  <c r="N92" i="13"/>
  <c r="N185" i="13"/>
  <c r="L185" i="13" s="1"/>
  <c r="BA376" i="5"/>
  <c r="BA398" i="5"/>
  <c r="K341" i="7"/>
  <c r="L341" i="7" s="1"/>
  <c r="K363" i="7"/>
  <c r="L363" i="7" s="1"/>
  <c r="K407" i="7"/>
  <c r="L407" i="7" s="1"/>
  <c r="K551" i="7"/>
  <c r="L551" i="7" s="1"/>
  <c r="BA185" i="5"/>
  <c r="BA189" i="5"/>
  <c r="BA191" i="5"/>
  <c r="BA238" i="5"/>
  <c r="BA259" i="5"/>
  <c r="BA334" i="5"/>
  <c r="BA355" i="5"/>
  <c r="BA421" i="5"/>
  <c r="BA443" i="5"/>
  <c r="BA464" i="5"/>
  <c r="K305" i="7"/>
  <c r="L305" i="7" s="1"/>
  <c r="K312" i="7"/>
  <c r="L312" i="7" s="1"/>
  <c r="K356" i="7"/>
  <c r="L356" i="7" s="1"/>
  <c r="K473" i="7"/>
  <c r="L473" i="7" s="1"/>
  <c r="K539" i="7"/>
  <c r="L539" i="7" s="1"/>
  <c r="BA214" i="5"/>
  <c r="BA232" i="5"/>
  <c r="K459" i="7"/>
  <c r="L459" i="7" s="1"/>
  <c r="BE211" i="5"/>
  <c r="BA287" i="5"/>
  <c r="BA318" i="5"/>
  <c r="GE359" i="6"/>
  <c r="GG359" i="6" s="1"/>
  <c r="BA383" i="5"/>
  <c r="GG436" i="6"/>
  <c r="BA448" i="5"/>
  <c r="BA470" i="5"/>
  <c r="BA492" i="5"/>
  <c r="K256" i="7"/>
  <c r="L256" i="7" s="1"/>
  <c r="K278" i="7"/>
  <c r="L278" i="7" s="1"/>
  <c r="K380" i="7"/>
  <c r="L380" i="7" s="1"/>
  <c r="K424" i="7"/>
  <c r="L424" i="7" s="1"/>
  <c r="K519" i="7"/>
  <c r="L519" i="7" s="1"/>
  <c r="BA320" i="5"/>
  <c r="BE193" i="5"/>
  <c r="BE244" i="5"/>
  <c r="BA236" i="5"/>
  <c r="BA407" i="5"/>
  <c r="BA450" i="5"/>
  <c r="BA472" i="5"/>
  <c r="BA494" i="5"/>
  <c r="K344" i="7"/>
  <c r="L344" i="7" s="1"/>
  <c r="K366" i="7"/>
  <c r="L366" i="7" s="1"/>
  <c r="K483" i="7"/>
  <c r="L483" i="7" s="1"/>
  <c r="K527" i="7"/>
  <c r="L527" i="7" s="1"/>
  <c r="BA343" i="5"/>
  <c r="BA386" i="5"/>
  <c r="BA408" i="5"/>
  <c r="BE447" i="5"/>
  <c r="BA203" i="5"/>
  <c r="BA208" i="5"/>
  <c r="K352" i="7"/>
  <c r="L352" i="7" s="1"/>
  <c r="BA302" i="5"/>
  <c r="BA432" i="5"/>
  <c r="BA453" i="5"/>
  <c r="BA475" i="5"/>
  <c r="K323" i="7"/>
  <c r="L323" i="7" s="1"/>
  <c r="K367" i="7"/>
  <c r="L367" i="7" s="1"/>
  <c r="K411" i="7"/>
  <c r="L411" i="7" s="1"/>
  <c r="K462" i="7"/>
  <c r="L462" i="7" s="1"/>
  <c r="BA346" i="5"/>
  <c r="BA389" i="5"/>
  <c r="BA454" i="5"/>
  <c r="K499" i="7"/>
  <c r="L499" i="7" s="1"/>
  <c r="BA499" i="5"/>
  <c r="K470" i="7"/>
  <c r="L470" i="7" s="1"/>
  <c r="BA349" i="5"/>
  <c r="BA414" i="5"/>
  <c r="BA436" i="5"/>
  <c r="BA457" i="5"/>
  <c r="BA479" i="5"/>
  <c r="K405" i="7"/>
  <c r="L405" i="7" s="1"/>
  <c r="K500" i="7"/>
  <c r="L500" i="7" s="1"/>
  <c r="BA197" i="5"/>
  <c r="BA480" i="5"/>
  <c r="BA503" i="5"/>
  <c r="K347" i="7"/>
  <c r="L347" i="7" s="1"/>
  <c r="K464" i="7"/>
  <c r="L464" i="7" s="1"/>
  <c r="K486" i="7"/>
  <c r="L486" i="7" s="1"/>
  <c r="BA395" i="5"/>
  <c r="GG469" i="6"/>
  <c r="BA461" i="5"/>
  <c r="K246" i="7"/>
  <c r="L246" i="7" s="1"/>
  <c r="K311" i="7"/>
  <c r="L311" i="7" s="1"/>
  <c r="K333" i="7"/>
  <c r="L333" i="7" s="1"/>
  <c r="K377" i="7"/>
  <c r="L377" i="7" s="1"/>
  <c r="K399" i="7"/>
  <c r="L399" i="7" s="1"/>
  <c r="K443" i="7"/>
  <c r="L443" i="7" s="1"/>
  <c r="K494" i="7"/>
  <c r="L494" i="7" s="1"/>
  <c r="BV51" i="5"/>
  <c r="BV56" i="5"/>
  <c r="CD191" i="5"/>
  <c r="BE261" i="5"/>
  <c r="GG349" i="6"/>
  <c r="BE232" i="5"/>
  <c r="BE319" i="5"/>
  <c r="GG208" i="6"/>
  <c r="BE340" i="5"/>
  <c r="GG370" i="6"/>
  <c r="BA221" i="5"/>
  <c r="BA239" i="5"/>
  <c r="BE253" i="5"/>
  <c r="BA324" i="5"/>
  <c r="BA345" i="5"/>
  <c r="BA365" i="5"/>
  <c r="BA404" i="5"/>
  <c r="BA423" i="5"/>
  <c r="BE438" i="5"/>
  <c r="BE477" i="5"/>
  <c r="BA501" i="5"/>
  <c r="K243" i="7"/>
  <c r="L243" i="7" s="1"/>
  <c r="K386" i="7"/>
  <c r="L386" i="7" s="1"/>
  <c r="K400" i="7"/>
  <c r="L400" i="7" s="1"/>
  <c r="K414" i="7"/>
  <c r="L414" i="7" s="1"/>
  <c r="K421" i="7"/>
  <c r="L421" i="7" s="1"/>
  <c r="K442" i="7"/>
  <c r="L442" i="7" s="1"/>
  <c r="BE214" i="5"/>
  <c r="BE462" i="5"/>
  <c r="GG255" i="6"/>
  <c r="GG393" i="6"/>
  <c r="GG453" i="6"/>
  <c r="GG227" i="6"/>
  <c r="BE239" i="5"/>
  <c r="BA292" i="5"/>
  <c r="BA329" i="5"/>
  <c r="BA427" i="5"/>
  <c r="BA447" i="5"/>
  <c r="BA486" i="5"/>
  <c r="GG425" i="6"/>
  <c r="BS243" i="5"/>
  <c r="BV243" i="5" s="1"/>
  <c r="GG334" i="6"/>
  <c r="BA330" i="5"/>
  <c r="BA487" i="5"/>
  <c r="GG369" i="6"/>
  <c r="K374" i="7"/>
  <c r="L374" i="7" s="1"/>
  <c r="K444" i="7"/>
  <c r="L444" i="7" s="1"/>
  <c r="K451" i="7"/>
  <c r="L451" i="7" s="1"/>
  <c r="BE297" i="5"/>
  <c r="GG328" i="6"/>
  <c r="GG406" i="6"/>
  <c r="BE434" i="5"/>
  <c r="GG464" i="6"/>
  <c r="GG368" i="6"/>
  <c r="GG431" i="6"/>
  <c r="GG194" i="6"/>
  <c r="GG247" i="6"/>
  <c r="BA222" i="5"/>
  <c r="BA231" i="5"/>
  <c r="BA294" i="5"/>
  <c r="BA331" i="5"/>
  <c r="BA467" i="5"/>
  <c r="BA488" i="5"/>
  <c r="K238" i="7"/>
  <c r="L238" i="7" s="1"/>
  <c r="BA371" i="5"/>
  <c r="BA410" i="5"/>
  <c r="BA468" i="5"/>
  <c r="BE487" i="5"/>
  <c r="BA489" i="5"/>
  <c r="K260" i="7"/>
  <c r="L260" i="7" s="1"/>
  <c r="K267" i="7"/>
  <c r="L267" i="7" s="1"/>
  <c r="K346" i="7"/>
  <c r="L346" i="7" s="1"/>
  <c r="K396" i="7"/>
  <c r="L396" i="7" s="1"/>
  <c r="K430" i="7"/>
  <c r="L430" i="7" s="1"/>
  <c r="K458" i="7"/>
  <c r="L458" i="7" s="1"/>
  <c r="GG284" i="6"/>
  <c r="GG457" i="6"/>
  <c r="BE225" i="5"/>
  <c r="BE389" i="5"/>
  <c r="BE409" i="5"/>
  <c r="BE185" i="5"/>
  <c r="BE237" i="5"/>
  <c r="BF237" i="5" s="1"/>
  <c r="GG231" i="6"/>
  <c r="GG257" i="6"/>
  <c r="GG179" i="6"/>
  <c r="GG197" i="6"/>
  <c r="BE240" i="5"/>
  <c r="GG324" i="6"/>
  <c r="GG380" i="6"/>
  <c r="BA201" i="5"/>
  <c r="BA211" i="5"/>
  <c r="BS231" i="5"/>
  <c r="BV231" i="5" s="1"/>
  <c r="BA298" i="5"/>
  <c r="BA338" i="5"/>
  <c r="K262" i="7"/>
  <c r="L262" i="7" s="1"/>
  <c r="K276" i="7"/>
  <c r="L276" i="7" s="1"/>
  <c r="K319" i="7"/>
  <c r="L319" i="7" s="1"/>
  <c r="K467" i="7"/>
  <c r="L467" i="7" s="1"/>
  <c r="K503" i="7"/>
  <c r="L503" i="7" s="1"/>
  <c r="K531" i="7"/>
  <c r="L531" i="7" s="1"/>
  <c r="GF11" i="6"/>
  <c r="BE20" i="5"/>
  <c r="CD18" i="5"/>
  <c r="CD75" i="5"/>
  <c r="BS104" i="5"/>
  <c r="BV104" i="5" s="1"/>
  <c r="CD39" i="5"/>
  <c r="GF92" i="6"/>
  <c r="BE101" i="5"/>
  <c r="CD127" i="5"/>
  <c r="L338" i="7"/>
  <c r="GF28" i="6"/>
  <c r="BE37" i="5"/>
  <c r="GF69" i="6"/>
  <c r="BE78" i="5"/>
  <c r="GF167" i="6"/>
  <c r="GG167" i="6" s="1"/>
  <c r="BE176" i="5"/>
  <c r="BF176" i="5" s="1"/>
  <c r="BX176" i="5" s="1"/>
  <c r="BE42" i="5"/>
  <c r="GF33" i="6"/>
  <c r="GG33" i="6" s="1"/>
  <c r="CD70" i="5"/>
  <c r="GE124" i="6"/>
  <c r="GG124" i="6" s="1"/>
  <c r="GL124" i="6" s="1"/>
  <c r="BE133" i="5"/>
  <c r="BE424" i="5"/>
  <c r="GF415" i="6"/>
  <c r="GG415" i="6" s="1"/>
  <c r="GF234" i="6"/>
  <c r="GG234" i="6" s="1"/>
  <c r="BE243" i="5"/>
  <c r="GE190" i="6"/>
  <c r="GG190" i="6" s="1"/>
  <c r="BE199" i="5"/>
  <c r="CD92" i="5"/>
  <c r="GF114" i="6"/>
  <c r="GG114" i="6" s="1"/>
  <c r="BE123" i="5"/>
  <c r="L410" i="7"/>
  <c r="GE108" i="6"/>
  <c r="GG108" i="6" s="1"/>
  <c r="GL108" i="6" s="1"/>
  <c r="BE117" i="5"/>
  <c r="BA79" i="5"/>
  <c r="BA55" i="5"/>
  <c r="CD81" i="5"/>
  <c r="BE394" i="5"/>
  <c r="GF385" i="6"/>
  <c r="GG385" i="6" s="1"/>
  <c r="BV107" i="5"/>
  <c r="BE13" i="5"/>
  <c r="BS30" i="5"/>
  <c r="BV30" i="5" s="1"/>
  <c r="BA42" i="5"/>
  <c r="BE43" i="5"/>
  <c r="BE74" i="5"/>
  <c r="GE65" i="6"/>
  <c r="CD76" i="5"/>
  <c r="CD82" i="5"/>
  <c r="CD93" i="5"/>
  <c r="BS138" i="5"/>
  <c r="BE146" i="5"/>
  <c r="CD164" i="5"/>
  <c r="BA269" i="5"/>
  <c r="BA280" i="5"/>
  <c r="BA354" i="5"/>
  <c r="BA424" i="5"/>
  <c r="BA442" i="5"/>
  <c r="GG486" i="6"/>
  <c r="K96" i="7"/>
  <c r="L96" i="7" s="1"/>
  <c r="K199" i="7"/>
  <c r="L199" i="7" s="1"/>
  <c r="K218" i="7"/>
  <c r="GF95" i="6"/>
  <c r="GG95" i="6" s="1"/>
  <c r="GL95" i="6" s="1"/>
  <c r="BE104" i="5"/>
  <c r="BV48" i="5"/>
  <c r="BE111" i="5"/>
  <c r="GF168" i="6"/>
  <c r="GG168" i="6" s="1"/>
  <c r="BE177" i="5"/>
  <c r="GG213" i="6"/>
  <c r="GG226" i="6"/>
  <c r="BE266" i="5"/>
  <c r="BA283" i="5"/>
  <c r="BE422" i="5"/>
  <c r="BF422" i="5" s="1"/>
  <c r="GG488" i="6"/>
  <c r="G219" i="7"/>
  <c r="H217" i="8"/>
  <c r="I217" i="8" s="1"/>
  <c r="K345" i="7"/>
  <c r="L345" i="7" s="1"/>
  <c r="K359" i="7"/>
  <c r="L359" i="7" s="1"/>
  <c r="BA38" i="5"/>
  <c r="GD29" i="6"/>
  <c r="GG29" i="6" s="1"/>
  <c r="GF289" i="6"/>
  <c r="GG289" i="6" s="1"/>
  <c r="BE298" i="5"/>
  <c r="BF298" i="5" s="1"/>
  <c r="BA56" i="5"/>
  <c r="BA15" i="5"/>
  <c r="BF15" i="5" s="1"/>
  <c r="GG11" i="6"/>
  <c r="BS21" i="5"/>
  <c r="BV21" i="5" s="1"/>
  <c r="CD35" i="5"/>
  <c r="BS43" i="5"/>
  <c r="BV43" i="5" s="1"/>
  <c r="BA46" i="5"/>
  <c r="CD48" i="5"/>
  <c r="BS52" i="5"/>
  <c r="BS57" i="5"/>
  <c r="BV57" i="5" s="1"/>
  <c r="CD58" i="5"/>
  <c r="BE65" i="5"/>
  <c r="CD66" i="5"/>
  <c r="BS126" i="5"/>
  <c r="BV126" i="5" s="1"/>
  <c r="CD160" i="5"/>
  <c r="CD173" i="5"/>
  <c r="BA180" i="5"/>
  <c r="BF180" i="5" s="1"/>
  <c r="BA194" i="5"/>
  <c r="GF203" i="6"/>
  <c r="GG203" i="6" s="1"/>
  <c r="BE212" i="5"/>
  <c r="BE222" i="5"/>
  <c r="BA225" i="5"/>
  <c r="BE235" i="5"/>
  <c r="BA251" i="5"/>
  <c r="GG249" i="6"/>
  <c r="BE353" i="5"/>
  <c r="GF414" i="6"/>
  <c r="GG414" i="6" s="1"/>
  <c r="BE423" i="5"/>
  <c r="GE489" i="6"/>
  <c r="BE498" i="5"/>
  <c r="K90" i="7"/>
  <c r="L90" i="7" s="1"/>
  <c r="K206" i="7"/>
  <c r="L206" i="7" s="1"/>
  <c r="K247" i="7"/>
  <c r="L247" i="7" s="1"/>
  <c r="K331" i="7"/>
  <c r="L331" i="7" s="1"/>
  <c r="K477" i="7"/>
  <c r="L477" i="7" s="1"/>
  <c r="K484" i="7"/>
  <c r="L484" i="7" s="1"/>
  <c r="GF158" i="6"/>
  <c r="GG158" i="6" s="1"/>
  <c r="BE167" i="5"/>
  <c r="GG172" i="6"/>
  <c r="BA264" i="5"/>
  <c r="BE425" i="5"/>
  <c r="GF416" i="6"/>
  <c r="GG416" i="6" s="1"/>
  <c r="K83" i="7"/>
  <c r="L83" i="7" s="1"/>
  <c r="BS29" i="5"/>
  <c r="BV29" i="5" s="1"/>
  <c r="BA37" i="5"/>
  <c r="BF37" i="5" s="1"/>
  <c r="BY37" i="5" s="1"/>
  <c r="BS47" i="5"/>
  <c r="BV47" i="5" s="1"/>
  <c r="GG115" i="6"/>
  <c r="GL115" i="6" s="1"/>
  <c r="BE155" i="5"/>
  <c r="BE181" i="5"/>
  <c r="BA206" i="5"/>
  <c r="BA278" i="5"/>
  <c r="BE338" i="5"/>
  <c r="GF346" i="6"/>
  <c r="GG346" i="6" s="1"/>
  <c r="BE355" i="5"/>
  <c r="BE15" i="5"/>
  <c r="BA17" i="5"/>
  <c r="BF17" i="5" s="1"/>
  <c r="BS20" i="5"/>
  <c r="BV20" i="5" s="1"/>
  <c r="CD25" i="5"/>
  <c r="BS38" i="5"/>
  <c r="BV38" i="5" s="1"/>
  <c r="CD52" i="5"/>
  <c r="BV69" i="5"/>
  <c r="BE90" i="5"/>
  <c r="BA94" i="5"/>
  <c r="CD104" i="5"/>
  <c r="BS110" i="5"/>
  <c r="BV110" i="5" s="1"/>
  <c r="BS125" i="5"/>
  <c r="BV125" i="5" s="1"/>
  <c r="BS134" i="5"/>
  <c r="BV134" i="5" s="1"/>
  <c r="CD135" i="5"/>
  <c r="BE159" i="5"/>
  <c r="BA169" i="5"/>
  <c r="GG166" i="6"/>
  <c r="BE220" i="5"/>
  <c r="BA228" i="5"/>
  <c r="GG252" i="6"/>
  <c r="BA270" i="5"/>
  <c r="BE320" i="5"/>
  <c r="BE339" i="5"/>
  <c r="GF401" i="6"/>
  <c r="GG401" i="6" s="1"/>
  <c r="BE410" i="5"/>
  <c r="GF417" i="6"/>
  <c r="GG417" i="6" s="1"/>
  <c r="BE426" i="5"/>
  <c r="BF426" i="5" s="1"/>
  <c r="K409" i="7"/>
  <c r="L409" i="7" s="1"/>
  <c r="K429" i="7"/>
  <c r="L429" i="7" s="1"/>
  <c r="BA63" i="5"/>
  <c r="BE55" i="5"/>
  <c r="CD111" i="5"/>
  <c r="BS117" i="5"/>
  <c r="BV117" i="5" s="1"/>
  <c r="GE113" i="6"/>
  <c r="GG113" i="6" s="1"/>
  <c r="GL113" i="6" s="1"/>
  <c r="BE122" i="5"/>
  <c r="BF122" i="5" s="1"/>
  <c r="BG122" i="5" s="1"/>
  <c r="GD333" i="6"/>
  <c r="BE342" i="5"/>
  <c r="BF342" i="5" s="1"/>
  <c r="BE484" i="5"/>
  <c r="L242" i="7"/>
  <c r="BE236" i="5"/>
  <c r="GF403" i="6"/>
  <c r="GG403" i="6" s="1"/>
  <c r="BE412" i="5"/>
  <c r="GF80" i="6"/>
  <c r="BE89" i="5"/>
  <c r="BV33" i="5"/>
  <c r="GE476" i="6"/>
  <c r="GG476" i="6" s="1"/>
  <c r="BE485" i="5"/>
  <c r="GG85" i="6"/>
  <c r="GI85" i="6" s="1"/>
  <c r="BS17" i="5"/>
  <c r="BV17" i="5" s="1"/>
  <c r="CD33" i="5"/>
  <c r="BA35" i="5"/>
  <c r="CD79" i="5"/>
  <c r="BE94" i="5"/>
  <c r="BS95" i="5"/>
  <c r="BV95" i="5" s="1"/>
  <c r="BV102" i="5"/>
  <c r="BA107" i="5"/>
  <c r="BE115" i="5"/>
  <c r="BF115" i="5" s="1"/>
  <c r="FY106" i="6" s="1"/>
  <c r="BS123" i="5"/>
  <c r="BV123" i="5" s="1"/>
  <c r="CD133" i="5"/>
  <c r="BS142" i="5"/>
  <c r="BV142" i="5" s="1"/>
  <c r="BA162" i="5"/>
  <c r="CD163" i="5"/>
  <c r="BA164" i="5"/>
  <c r="BA166" i="5"/>
  <c r="GG165" i="6"/>
  <c r="BE218" i="5"/>
  <c r="GF209" i="6"/>
  <c r="GG209" i="6" s="1"/>
  <c r="BA234" i="5"/>
  <c r="BS267" i="5"/>
  <c r="BV267" i="5" s="1"/>
  <c r="GG272" i="6"/>
  <c r="BA310" i="5"/>
  <c r="BA382" i="5"/>
  <c r="K127" i="7"/>
  <c r="L127" i="7" s="1"/>
  <c r="K170" i="7"/>
  <c r="L170" i="7" s="1"/>
  <c r="K548" i="7"/>
  <c r="L548" i="7" s="1"/>
  <c r="BA45" i="5"/>
  <c r="BA36" i="5"/>
  <c r="BA59" i="5"/>
  <c r="GD50" i="6"/>
  <c r="GG50" i="6" s="1"/>
  <c r="GL50" i="6" s="1"/>
  <c r="BS167" i="5"/>
  <c r="GG258" i="6"/>
  <c r="BA40" i="5"/>
  <c r="CD24" i="5"/>
  <c r="BS55" i="5"/>
  <c r="BV55" i="5" s="1"/>
  <c r="BA58" i="5"/>
  <c r="BE59" i="5"/>
  <c r="CD60" i="5"/>
  <c r="BV64" i="5"/>
  <c r="GG62" i="6"/>
  <c r="GL62" i="6" s="1"/>
  <c r="BS72" i="5"/>
  <c r="BV72" i="5" s="1"/>
  <c r="BS83" i="5"/>
  <c r="BV83" i="5" s="1"/>
  <c r="CD90" i="5"/>
  <c r="GG84" i="6"/>
  <c r="GL84" i="6" s="1"/>
  <c r="BA120" i="5"/>
  <c r="GG121" i="6"/>
  <c r="GL121" i="6" s="1"/>
  <c r="BE131" i="5"/>
  <c r="BF131" i="5" s="1"/>
  <c r="FY122" i="6" s="1"/>
  <c r="BS132" i="5"/>
  <c r="BV132" i="5" s="1"/>
  <c r="CD155" i="5"/>
  <c r="CD161" i="5"/>
  <c r="BS195" i="5"/>
  <c r="BV195" i="5" s="1"/>
  <c r="BA252" i="5"/>
  <c r="BE308" i="5"/>
  <c r="BE399" i="5"/>
  <c r="GE390" i="6"/>
  <c r="GG390" i="6" s="1"/>
  <c r="GG459" i="6"/>
  <c r="K121" i="7"/>
  <c r="L121" i="7" s="1"/>
  <c r="K271" i="7"/>
  <c r="L271" i="7" s="1"/>
  <c r="K292" i="7"/>
  <c r="L292" i="7" s="1"/>
  <c r="BA293" i="5"/>
  <c r="BA113" i="5"/>
  <c r="BE140" i="5"/>
  <c r="GE157" i="6"/>
  <c r="GG157" i="6" s="1"/>
  <c r="BE166" i="5"/>
  <c r="BF239" i="5"/>
  <c r="GG442" i="6"/>
  <c r="GE461" i="6"/>
  <c r="GG461" i="6" s="1"/>
  <c r="BE470" i="5"/>
  <c r="K536" i="7"/>
  <c r="L536" i="7" s="1"/>
  <c r="BS23" i="5"/>
  <c r="BV23" i="5" s="1"/>
  <c r="CD28" i="5"/>
  <c r="CD37" i="5"/>
  <c r="BV41" i="5"/>
  <c r="BS45" i="5"/>
  <c r="BV45" i="5" s="1"/>
  <c r="CD46" i="5"/>
  <c r="CD50" i="5"/>
  <c r="GG53" i="6"/>
  <c r="CD64" i="5"/>
  <c r="BA75" i="5"/>
  <c r="GG78" i="6"/>
  <c r="GI78" i="6" s="1"/>
  <c r="BA98" i="5"/>
  <c r="BS108" i="5"/>
  <c r="BV108" i="5" s="1"/>
  <c r="BS115" i="5"/>
  <c r="CD116" i="5"/>
  <c r="BA137" i="5"/>
  <c r="BF137" i="5" s="1"/>
  <c r="BS141" i="5"/>
  <c r="BV141" i="5" s="1"/>
  <c r="BE162" i="5"/>
  <c r="BA168" i="5"/>
  <c r="BE276" i="5"/>
  <c r="BF276" i="5" s="1"/>
  <c r="GF372" i="6"/>
  <c r="GG372" i="6" s="1"/>
  <c r="BE381" i="5"/>
  <c r="GE153" i="6"/>
  <c r="GG153" i="6" s="1"/>
  <c r="K285" i="7"/>
  <c r="L285" i="7" s="1"/>
  <c r="K391" i="7"/>
  <c r="L391" i="7" s="1"/>
  <c r="K509" i="7"/>
  <c r="L509" i="7" s="1"/>
  <c r="BA385" i="5"/>
  <c r="GF391" i="6"/>
  <c r="GG391" i="6" s="1"/>
  <c r="BE400" i="5"/>
  <c r="K136" i="7"/>
  <c r="L136" i="7" s="1"/>
  <c r="K244" i="7"/>
  <c r="L244" i="7" s="1"/>
  <c r="K265" i="7"/>
  <c r="L265" i="7" s="1"/>
  <c r="K523" i="7"/>
  <c r="L523" i="7" s="1"/>
  <c r="K530" i="7"/>
  <c r="I542" i="7"/>
  <c r="K542" i="7" s="1"/>
  <c r="Y540" i="8" s="1"/>
  <c r="K549" i="7"/>
  <c r="L549" i="7" s="1"/>
  <c r="CD32" i="5"/>
  <c r="BA34" i="5"/>
  <c r="BS36" i="5"/>
  <c r="BV36" i="5" s="1"/>
  <c r="BS40" i="5"/>
  <c r="BV40" i="5" s="1"/>
  <c r="BA43" i="5"/>
  <c r="BE53" i="5"/>
  <c r="BE58" i="5"/>
  <c r="BS59" i="5"/>
  <c r="BV59" i="5" s="1"/>
  <c r="CD72" i="5"/>
  <c r="BS88" i="5"/>
  <c r="BV88" i="5" s="1"/>
  <c r="BS121" i="5"/>
  <c r="CD122" i="5"/>
  <c r="GG151" i="6"/>
  <c r="GG180" i="6"/>
  <c r="GE238" i="6"/>
  <c r="GG238" i="6" s="1"/>
  <c r="BE247" i="5"/>
  <c r="GG338" i="6"/>
  <c r="CD20" i="5"/>
  <c r="BS14" i="5"/>
  <c r="CD101" i="5"/>
  <c r="BS140" i="5"/>
  <c r="BV140" i="5" s="1"/>
  <c r="CD141" i="5"/>
  <c r="BE160" i="5"/>
  <c r="BF160" i="5" s="1"/>
  <c r="GG169" i="6"/>
  <c r="BS184" i="5"/>
  <c r="BV184" i="5" s="1"/>
  <c r="BA192" i="5"/>
  <c r="GG202" i="6"/>
  <c r="BE229" i="5"/>
  <c r="BA263" i="5"/>
  <c r="GF357" i="6"/>
  <c r="GG357" i="6" s="1"/>
  <c r="BE366" i="5"/>
  <c r="GG427" i="6"/>
  <c r="GG428" i="6"/>
  <c r="BA439" i="5"/>
  <c r="GF446" i="6"/>
  <c r="BE455" i="5"/>
  <c r="GG135" i="6"/>
  <c r="GL135" i="6" s="1"/>
  <c r="K364" i="7"/>
  <c r="L364" i="7" s="1"/>
  <c r="K371" i="7"/>
  <c r="L371" i="7" s="1"/>
  <c r="K378" i="7"/>
  <c r="L378" i="7" s="1"/>
  <c r="BS82" i="5"/>
  <c r="BA97" i="5"/>
  <c r="BA111" i="5"/>
  <c r="BA152" i="5"/>
  <c r="GF287" i="6"/>
  <c r="GG287" i="6" s="1"/>
  <c r="BE296" i="5"/>
  <c r="GF375" i="6"/>
  <c r="GG375" i="6" s="1"/>
  <c r="BE384" i="5"/>
  <c r="BA67" i="5"/>
  <c r="BE411" i="5"/>
  <c r="K179" i="7"/>
  <c r="L179" i="7" s="1"/>
  <c r="BE26" i="5"/>
  <c r="GG4" i="6"/>
  <c r="BA104" i="5"/>
  <c r="BE106" i="5"/>
  <c r="CD108" i="5"/>
  <c r="CD115" i="5"/>
  <c r="BE128" i="5"/>
  <c r="BF128" i="5" s="1"/>
  <c r="GF119" i="6"/>
  <c r="BV207" i="5"/>
  <c r="CD27" i="5"/>
  <c r="BA29" i="5"/>
  <c r="CD36" i="5"/>
  <c r="BA47" i="5"/>
  <c r="CD49" i="5"/>
  <c r="BS53" i="5"/>
  <c r="BV53" i="5" s="1"/>
  <c r="CD54" i="5"/>
  <c r="BA61" i="5"/>
  <c r="BS62" i="5"/>
  <c r="BV62" i="5" s="1"/>
  <c r="CD63" i="5"/>
  <c r="BA65" i="5"/>
  <c r="BA80" i="5"/>
  <c r="BA91" i="5"/>
  <c r="BS99" i="5"/>
  <c r="BV99" i="5" s="1"/>
  <c r="GG96" i="6"/>
  <c r="GL96" i="6" s="1"/>
  <c r="BA118" i="5"/>
  <c r="BE127" i="5"/>
  <c r="BF127" i="5" s="1"/>
  <c r="BE137" i="5"/>
  <c r="BS139" i="5"/>
  <c r="BV139" i="5" s="1"/>
  <c r="BA170" i="5"/>
  <c r="CD187" i="5"/>
  <c r="GG182" i="6"/>
  <c r="BA227" i="5"/>
  <c r="BE271" i="5"/>
  <c r="BA352" i="5"/>
  <c r="BE367" i="5"/>
  <c r="GG429" i="6"/>
  <c r="BE456" i="5"/>
  <c r="BA497" i="5"/>
  <c r="K95" i="7"/>
  <c r="L95" i="7" s="1"/>
  <c r="K211" i="7"/>
  <c r="L211" i="7" s="1"/>
  <c r="K280" i="7"/>
  <c r="L280" i="7" s="1"/>
  <c r="K379" i="7"/>
  <c r="L379" i="7" s="1"/>
  <c r="K517" i="7"/>
  <c r="L517" i="7" s="1"/>
  <c r="K524" i="7"/>
  <c r="L524" i="7" s="1"/>
  <c r="K550" i="7"/>
  <c r="L550" i="7" s="1"/>
  <c r="BF165" i="5"/>
  <c r="FY156" i="6" s="1"/>
  <c r="BA253" i="5"/>
  <c r="BA300" i="5"/>
  <c r="GD379" i="6"/>
  <c r="BE388" i="5"/>
  <c r="GG315" i="6"/>
  <c r="CD107" i="5"/>
  <c r="BA110" i="5"/>
  <c r="BS113" i="5"/>
  <c r="BV113" i="5" s="1"/>
  <c r="CD121" i="5"/>
  <c r="BS131" i="5"/>
  <c r="BV131" i="5" s="1"/>
  <c r="CD144" i="5"/>
  <c r="BV153" i="5"/>
  <c r="BA167" i="5"/>
  <c r="BS168" i="5"/>
  <c r="BV168" i="5" s="1"/>
  <c r="CD179" i="5"/>
  <c r="CD186" i="5"/>
  <c r="BS205" i="5"/>
  <c r="BV205" i="5" s="1"/>
  <c r="BA217" i="5"/>
  <c r="BS219" i="5"/>
  <c r="BV219" i="5" s="1"/>
  <c r="GG220" i="6"/>
  <c r="GG239" i="6"/>
  <c r="BA285" i="5"/>
  <c r="BE291" i="5"/>
  <c r="BF291" i="5" s="1"/>
  <c r="BE292" i="5"/>
  <c r="BA323" i="5"/>
  <c r="BA353" i="5"/>
  <c r="BA440" i="5"/>
  <c r="BE452" i="5"/>
  <c r="BA455" i="5"/>
  <c r="K128" i="7"/>
  <c r="L128" i="7" s="1"/>
  <c r="K135" i="7"/>
  <c r="L135" i="7" s="1"/>
  <c r="K212" i="7"/>
  <c r="AA210" i="8" s="1"/>
  <c r="K225" i="7"/>
  <c r="L225" i="7" s="1"/>
  <c r="K231" i="7"/>
  <c r="L231" i="7" s="1"/>
  <c r="K245" i="7"/>
  <c r="L245" i="7" s="1"/>
  <c r="K298" i="7"/>
  <c r="L298" i="7" s="1"/>
  <c r="K325" i="7"/>
  <c r="L325" i="7" s="1"/>
  <c r="K332" i="7"/>
  <c r="L332" i="7" s="1"/>
  <c r="K372" i="7"/>
  <c r="L372" i="7" s="1"/>
  <c r="K423" i="7"/>
  <c r="L423" i="7" s="1"/>
  <c r="K469" i="7"/>
  <c r="L469" i="7" s="1"/>
  <c r="K129" i="7"/>
  <c r="L129" i="7" s="1"/>
  <c r="K157" i="7"/>
  <c r="L157" i="7" s="1"/>
  <c r="K200" i="7"/>
  <c r="L200" i="7" s="1"/>
  <c r="K226" i="7"/>
  <c r="L226" i="7" s="1"/>
  <c r="K326" i="7"/>
  <c r="K353" i="7"/>
  <c r="L353" i="7" s="1"/>
  <c r="BS68" i="5"/>
  <c r="BV68" i="5" s="1"/>
  <c r="BA76" i="5"/>
  <c r="BA109" i="5"/>
  <c r="BS111" i="5"/>
  <c r="BV111" i="5" s="1"/>
  <c r="BS128" i="5"/>
  <c r="BV128" i="5" s="1"/>
  <c r="BA149" i="5"/>
  <c r="BA150" i="5"/>
  <c r="BS159" i="5"/>
  <c r="BV159" i="5" s="1"/>
  <c r="BS170" i="5"/>
  <c r="BV170" i="5" s="1"/>
  <c r="CD189" i="5"/>
  <c r="BA198" i="5"/>
  <c r="BS217" i="5"/>
  <c r="BV217" i="5" s="1"/>
  <c r="BA244" i="5"/>
  <c r="BF244" i="5" s="1"/>
  <c r="BA266" i="5"/>
  <c r="BE268" i="5"/>
  <c r="BA311" i="5"/>
  <c r="BA312" i="5"/>
  <c r="BE324" i="5"/>
  <c r="BA388" i="5"/>
  <c r="BA401" i="5"/>
  <c r="BA415" i="5"/>
  <c r="BA458" i="5"/>
  <c r="K71" i="7"/>
  <c r="L71" i="7" s="1"/>
  <c r="K78" i="7"/>
  <c r="L78" i="7" s="1"/>
  <c r="K97" i="7"/>
  <c r="L97" i="7" s="1"/>
  <c r="K123" i="7"/>
  <c r="L123" i="7" s="1"/>
  <c r="K137" i="7"/>
  <c r="L137" i="7" s="1"/>
  <c r="K293" i="7"/>
  <c r="L293" i="7" s="1"/>
  <c r="K393" i="7"/>
  <c r="L393" i="7" s="1"/>
  <c r="K425" i="7"/>
  <c r="L425" i="7" s="1"/>
  <c r="K431" i="7"/>
  <c r="L431" i="7" s="1"/>
  <c r="K438" i="7"/>
  <c r="L438" i="7" s="1"/>
  <c r="K478" i="7"/>
  <c r="L478" i="7" s="1"/>
  <c r="K505" i="7"/>
  <c r="L505" i="7" s="1"/>
  <c r="K518" i="7"/>
  <c r="BA288" i="5"/>
  <c r="BE309" i="5"/>
  <c r="BF309" i="5" s="1"/>
  <c r="GG301" i="6"/>
  <c r="BA313" i="5"/>
  <c r="GG331" i="6"/>
  <c r="GG376" i="6"/>
  <c r="BA402" i="5"/>
  <c r="BA416" i="5"/>
  <c r="BA459" i="5"/>
  <c r="K91" i="7"/>
  <c r="L91" i="7" s="1"/>
  <c r="K130" i="7"/>
  <c r="L130" i="7" s="1"/>
  <c r="K158" i="7"/>
  <c r="L158" i="7" s="1"/>
  <c r="K240" i="7"/>
  <c r="L240" i="7" s="1"/>
  <c r="K286" i="7"/>
  <c r="L286" i="7" s="1"/>
  <c r="K300" i="7"/>
  <c r="L300" i="7" s="1"/>
  <c r="K307" i="7"/>
  <c r="L307" i="7" s="1"/>
  <c r="K320" i="7"/>
  <c r="L320" i="7" s="1"/>
  <c r="K327" i="7"/>
  <c r="L327" i="7" s="1"/>
  <c r="K334" i="7"/>
  <c r="L334" i="7" s="1"/>
  <c r="K354" i="7"/>
  <c r="L354" i="7" s="1"/>
  <c r="BE311" i="5"/>
  <c r="BA328" i="5"/>
  <c r="BE414" i="5"/>
  <c r="K151" i="7"/>
  <c r="L151" i="7" s="1"/>
  <c r="K220" i="7"/>
  <c r="L220" i="7" s="1"/>
  <c r="K314" i="7"/>
  <c r="K387" i="7"/>
  <c r="L387" i="7" s="1"/>
  <c r="K439" i="7"/>
  <c r="L439" i="7" s="1"/>
  <c r="GG288" i="6"/>
  <c r="BA315" i="5"/>
  <c r="BA358" i="5"/>
  <c r="BA359" i="5"/>
  <c r="BA374" i="5"/>
  <c r="GG379" i="6"/>
  <c r="GP379" i="6" s="1"/>
  <c r="BA390" i="5"/>
  <c r="BA405" i="5"/>
  <c r="BA417" i="5"/>
  <c r="BA433" i="5"/>
  <c r="BA446" i="5"/>
  <c r="GG449" i="6"/>
  <c r="BA476" i="5"/>
  <c r="GG491" i="6"/>
  <c r="BA502" i="5"/>
  <c r="K124" i="7"/>
  <c r="L124" i="7" s="1"/>
  <c r="K186" i="7"/>
  <c r="L186" i="7" s="1"/>
  <c r="K195" i="7"/>
  <c r="L195" i="7" s="1"/>
  <c r="K241" i="7"/>
  <c r="L241" i="7" s="1"/>
  <c r="K301" i="7"/>
  <c r="L301" i="7" s="1"/>
  <c r="K321" i="7"/>
  <c r="L321" i="7" s="1"/>
  <c r="K328" i="7"/>
  <c r="L328" i="7" s="1"/>
  <c r="K348" i="7"/>
  <c r="L348" i="7" s="1"/>
  <c r="K355" i="7"/>
  <c r="L355" i="7" s="1"/>
  <c r="K419" i="7"/>
  <c r="L419" i="7" s="1"/>
  <c r="K472" i="7"/>
  <c r="L472" i="7" s="1"/>
  <c r="K479" i="7"/>
  <c r="L479" i="7" s="1"/>
  <c r="K493" i="7"/>
  <c r="L493" i="7" s="1"/>
  <c r="K506" i="7"/>
  <c r="GG262" i="6"/>
  <c r="BA274" i="5"/>
  <c r="BA299" i="5"/>
  <c r="K60" i="7"/>
  <c r="L60" i="7" s="1"/>
  <c r="K105" i="7"/>
  <c r="L105" i="7" s="1"/>
  <c r="K152" i="7"/>
  <c r="L152" i="7" s="1"/>
  <c r="K177" i="7"/>
  <c r="L177" i="7" s="1"/>
  <c r="K183" i="7"/>
  <c r="L183" i="7" s="1"/>
  <c r="K261" i="7"/>
  <c r="L261" i="7" s="1"/>
  <c r="K268" i="7"/>
  <c r="L268" i="7" s="1"/>
  <c r="K308" i="7"/>
  <c r="L308" i="7" s="1"/>
  <c r="K315" i="7"/>
  <c r="L315" i="7" s="1"/>
  <c r="K335" i="7"/>
  <c r="L335" i="7" s="1"/>
  <c r="K368" i="7"/>
  <c r="L368" i="7" s="1"/>
  <c r="K388" i="7"/>
  <c r="L388" i="7" s="1"/>
  <c r="K545" i="7"/>
  <c r="L545" i="7" s="1"/>
  <c r="BE316" i="5"/>
  <c r="BA361" i="5"/>
  <c r="GG395" i="6"/>
  <c r="BE416" i="5"/>
  <c r="BA419" i="5"/>
  <c r="BA420" i="5"/>
  <c r="BA462" i="5"/>
  <c r="BE474" i="5"/>
  <c r="BA491" i="5"/>
  <c r="BE500" i="5"/>
  <c r="K235" i="7"/>
  <c r="L235" i="7" s="1"/>
  <c r="K342" i="7"/>
  <c r="L342" i="7" s="1"/>
  <c r="K375" i="7"/>
  <c r="AA373" i="8" s="1"/>
  <c r="K395" i="7"/>
  <c r="L395" i="7" s="1"/>
  <c r="K433" i="7"/>
  <c r="L433" i="7" s="1"/>
  <c r="K440" i="7"/>
  <c r="L440" i="7" s="1"/>
  <c r="K487" i="7"/>
  <c r="L487" i="7" s="1"/>
  <c r="K513" i="7"/>
  <c r="L513" i="7" s="1"/>
  <c r="K540" i="7"/>
  <c r="L540" i="7" s="1"/>
  <c r="K67" i="7"/>
  <c r="L67" i="7" s="1"/>
  <c r="K99" i="7"/>
  <c r="L99" i="7" s="1"/>
  <c r="K125" i="7"/>
  <c r="L125" i="7" s="1"/>
  <c r="K132" i="7"/>
  <c r="L132" i="7" s="1"/>
  <c r="K139" i="7"/>
  <c r="L139" i="7" s="1"/>
  <c r="K166" i="7"/>
  <c r="L166" i="7" s="1"/>
  <c r="K209" i="7"/>
  <c r="L209" i="7" s="1"/>
  <c r="BV101" i="5"/>
  <c r="CD138" i="5"/>
  <c r="BS149" i="5"/>
  <c r="BS150" i="5"/>
  <c r="BV150" i="5" s="1"/>
  <c r="BE174" i="5"/>
  <c r="BS176" i="5"/>
  <c r="BA179" i="5"/>
  <c r="BA186" i="5"/>
  <c r="GG199" i="6"/>
  <c r="GG250" i="6"/>
  <c r="BE359" i="5"/>
  <c r="BA362" i="5"/>
  <c r="GG366" i="6"/>
  <c r="GG381" i="6"/>
  <c r="GG409" i="6"/>
  <c r="BE446" i="5"/>
  <c r="BE503" i="5"/>
  <c r="L215" i="7"/>
  <c r="K288" i="7"/>
  <c r="L288" i="7" s="1"/>
  <c r="K302" i="7"/>
  <c r="K329" i="7"/>
  <c r="L329" i="7" s="1"/>
  <c r="K420" i="7"/>
  <c r="L420" i="7" s="1"/>
  <c r="BE144" i="5"/>
  <c r="BS148" i="5"/>
  <c r="BS151" i="5"/>
  <c r="BV151" i="5" s="1"/>
  <c r="GG155" i="6"/>
  <c r="CD181" i="5"/>
  <c r="BA184" i="5"/>
  <c r="BS218" i="5"/>
  <c r="BV218" i="5" s="1"/>
  <c r="BV266" i="5"/>
  <c r="BE286" i="5"/>
  <c r="BA332" i="5"/>
  <c r="BA347" i="5"/>
  <c r="BE361" i="5"/>
  <c r="BE376" i="5"/>
  <c r="BE390" i="5"/>
  <c r="BA392" i="5"/>
  <c r="BA393" i="5"/>
  <c r="GG397" i="6"/>
  <c r="BA409" i="5"/>
  <c r="BE433" i="5"/>
  <c r="BA435" i="5"/>
  <c r="BA449" i="5"/>
  <c r="K74" i="7"/>
  <c r="L74" i="7" s="1"/>
  <c r="K167" i="7"/>
  <c r="L167" i="7" s="1"/>
  <c r="K197" i="7"/>
  <c r="L197" i="7" s="1"/>
  <c r="K236" i="7"/>
  <c r="L236" i="7" s="1"/>
  <c r="K249" i="7"/>
  <c r="L249" i="7" s="1"/>
  <c r="K336" i="7"/>
  <c r="L336" i="7" s="1"/>
  <c r="K343" i="7"/>
  <c r="L343" i="7" s="1"/>
  <c r="K369" i="7"/>
  <c r="AA367" i="8" s="1"/>
  <c r="K376" i="7"/>
  <c r="L376" i="7" s="1"/>
  <c r="K389" i="7"/>
  <c r="L389" i="7" s="1"/>
  <c r="K434" i="7"/>
  <c r="K441" i="7"/>
  <c r="L441" i="7" s="1"/>
  <c r="K481" i="7"/>
  <c r="L481" i="7" s="1"/>
  <c r="K501" i="7"/>
  <c r="L501" i="7" s="1"/>
  <c r="K521" i="7"/>
  <c r="L521" i="7" s="1"/>
  <c r="K546" i="7"/>
  <c r="L546" i="7" s="1"/>
  <c r="BA226" i="5"/>
  <c r="BA243" i="5"/>
  <c r="BA262" i="5"/>
  <c r="BA277" i="5"/>
  <c r="BE330" i="5"/>
  <c r="BE345" i="5"/>
  <c r="BA348" i="5"/>
  <c r="BA394" i="5"/>
  <c r="GG483" i="6"/>
  <c r="GF282" i="6"/>
  <c r="GG282" i="6" s="1"/>
  <c r="GF465" i="6"/>
  <c r="GG465" i="6" s="1"/>
  <c r="K94" i="7"/>
  <c r="L94" i="7" s="1"/>
  <c r="K147" i="7"/>
  <c r="L147" i="7" s="1"/>
  <c r="G216" i="7"/>
  <c r="K229" i="7"/>
  <c r="L229" i="7" s="1"/>
  <c r="K303" i="7"/>
  <c r="L303" i="7" s="1"/>
  <c r="K337" i="7"/>
  <c r="L337" i="7" s="1"/>
  <c r="K350" i="7"/>
  <c r="K370" i="7"/>
  <c r="L370" i="7" s="1"/>
  <c r="K402" i="7"/>
  <c r="L402" i="7" s="1"/>
  <c r="K408" i="7"/>
  <c r="L408" i="7" s="1"/>
  <c r="K495" i="7"/>
  <c r="L495" i="7" s="1"/>
  <c r="K508" i="7"/>
  <c r="L508" i="7" s="1"/>
  <c r="CD150" i="5"/>
  <c r="GG145" i="6"/>
  <c r="GL145" i="6" s="1"/>
  <c r="BS174" i="5"/>
  <c r="BV174" i="5" s="1"/>
  <c r="GG177" i="6"/>
  <c r="GG186" i="6"/>
  <c r="BA209" i="5"/>
  <c r="BA212" i="5"/>
  <c r="BE277" i="5"/>
  <c r="BA305" i="5"/>
  <c r="GG310" i="6"/>
  <c r="BE346" i="5"/>
  <c r="GG354" i="6"/>
  <c r="BA366" i="5"/>
  <c r="BA381" i="5"/>
  <c r="GG383" i="6"/>
  <c r="GG399" i="6"/>
  <c r="BA437" i="5"/>
  <c r="BE449" i="5"/>
  <c r="BA451" i="5"/>
  <c r="BE478" i="5"/>
  <c r="BA481" i="5"/>
  <c r="BE492" i="5"/>
  <c r="K522" i="7"/>
  <c r="L522" i="7" s="1"/>
  <c r="K528" i="7"/>
  <c r="L528" i="7" s="1"/>
  <c r="GG122" i="6"/>
  <c r="GL122" i="6" s="1"/>
  <c r="BS133" i="5"/>
  <c r="BV133" i="5" s="1"/>
  <c r="CD134" i="5"/>
  <c r="CD146" i="5"/>
  <c r="BE154" i="5"/>
  <c r="BF154" i="5" s="1"/>
  <c r="BG154" i="5" s="1"/>
  <c r="BA159" i="5"/>
  <c r="BS162" i="5"/>
  <c r="BV162" i="5" s="1"/>
  <c r="CD180" i="5"/>
  <c r="BA183" i="5"/>
  <c r="BS185" i="5"/>
  <c r="BA241" i="5"/>
  <c r="GG236" i="6"/>
  <c r="BE250" i="5"/>
  <c r="BA255" i="5"/>
  <c r="BA265" i="5"/>
  <c r="BE267" i="5"/>
  <c r="BS279" i="5"/>
  <c r="BV279" i="5" s="1"/>
  <c r="BA282" i="5"/>
  <c r="BE289" i="5"/>
  <c r="BE304" i="5"/>
  <c r="BF304" i="5" s="1"/>
  <c r="BA321" i="5"/>
  <c r="BA335" i="5"/>
  <c r="BA336" i="5"/>
  <c r="GG384" i="6"/>
  <c r="GG400" i="6"/>
  <c r="BA438" i="5"/>
  <c r="BA482" i="5"/>
  <c r="GE283" i="6"/>
  <c r="GG283" i="6" s="1"/>
  <c r="GD369" i="6"/>
  <c r="GF405" i="6"/>
  <c r="GG405" i="6" s="1"/>
  <c r="K141" i="7"/>
  <c r="L141" i="7" s="1"/>
  <c r="K257" i="7"/>
  <c r="L257" i="7" s="1"/>
  <c r="K270" i="7"/>
  <c r="L270" i="7" s="1"/>
  <c r="K277" i="7"/>
  <c r="L277" i="7" s="1"/>
  <c r="K290" i="7"/>
  <c r="K304" i="7"/>
  <c r="L304" i="7" s="1"/>
  <c r="K317" i="7"/>
  <c r="L317" i="7" s="1"/>
  <c r="K324" i="7"/>
  <c r="L324" i="7" s="1"/>
  <c r="K397" i="7"/>
  <c r="L397" i="7" s="1"/>
  <c r="K422" i="7"/>
  <c r="K435" i="7"/>
  <c r="L435" i="7" s="1"/>
  <c r="K449" i="7"/>
  <c r="L449" i="7" s="1"/>
  <c r="K468" i="7"/>
  <c r="L468" i="7" s="1"/>
  <c r="K475" i="7"/>
  <c r="L475" i="7" s="1"/>
  <c r="BJ181" i="5"/>
  <c r="FR172" i="6"/>
  <c r="AV169" i="5"/>
  <c r="BV78" i="5"/>
  <c r="BV158" i="5"/>
  <c r="GD51" i="6"/>
  <c r="GG51" i="6" s="1"/>
  <c r="GL51" i="6" s="1"/>
  <c r="BA60" i="5"/>
  <c r="GF98" i="6"/>
  <c r="GG98" i="6" s="1"/>
  <c r="GO98" i="6" s="1"/>
  <c r="BE107" i="5"/>
  <c r="GF110" i="6"/>
  <c r="GG110" i="6" s="1"/>
  <c r="GL110" i="6" s="1"/>
  <c r="BE119" i="5"/>
  <c r="GF175" i="6"/>
  <c r="GG175" i="6" s="1"/>
  <c r="BE184" i="5"/>
  <c r="BE197" i="5"/>
  <c r="GF188" i="6"/>
  <c r="GG188" i="6" s="1"/>
  <c r="GF214" i="6"/>
  <c r="GG214" i="6" s="1"/>
  <c r="BE223" i="5"/>
  <c r="GD76" i="6"/>
  <c r="GG76" i="6" s="1"/>
  <c r="GL76" i="6" s="1"/>
  <c r="BA85" i="5"/>
  <c r="BE95" i="5"/>
  <c r="GG233" i="6"/>
  <c r="BV82" i="5"/>
  <c r="GD23" i="6"/>
  <c r="GG23" i="6" s="1"/>
  <c r="BA32" i="5"/>
  <c r="GF88" i="6"/>
  <c r="GG88" i="6" s="1"/>
  <c r="GL88" i="6" s="1"/>
  <c r="BE97" i="5"/>
  <c r="GG228" i="6"/>
  <c r="BE280" i="5"/>
  <c r="BE182" i="5"/>
  <c r="BA23" i="5"/>
  <c r="BV26" i="5"/>
  <c r="BE60" i="5"/>
  <c r="GD60" i="6"/>
  <c r="GG60" i="6" s="1"/>
  <c r="GL60" i="6" s="1"/>
  <c r="BA69" i="5"/>
  <c r="BV80" i="5"/>
  <c r="BE105" i="5"/>
  <c r="GG97" i="6"/>
  <c r="GL97" i="6" s="1"/>
  <c r="BE242" i="5"/>
  <c r="GF296" i="6"/>
  <c r="GG296" i="6" s="1"/>
  <c r="BE305" i="5"/>
  <c r="GD398" i="6"/>
  <c r="BE407" i="5"/>
  <c r="GE432" i="6"/>
  <c r="GG432" i="6" s="1"/>
  <c r="BE441" i="5"/>
  <c r="BF441" i="5" s="1"/>
  <c r="GF52" i="6"/>
  <c r="GG52" i="6" s="1"/>
  <c r="GL52" i="6" s="1"/>
  <c r="BE61" i="5"/>
  <c r="GD61" i="6"/>
  <c r="GG61" i="6" s="1"/>
  <c r="GL61" i="6" s="1"/>
  <c r="BA70" i="5"/>
  <c r="BE375" i="5"/>
  <c r="GF181" i="6"/>
  <c r="GG181" i="6" s="1"/>
  <c r="BE190" i="5"/>
  <c r="BE40" i="5"/>
  <c r="GE174" i="6"/>
  <c r="GG174" i="6" s="1"/>
  <c r="BE183" i="5"/>
  <c r="CD26" i="5"/>
  <c r="BV79" i="5"/>
  <c r="BA140" i="5"/>
  <c r="BE203" i="5"/>
  <c r="GF356" i="6"/>
  <c r="GG356" i="6" s="1"/>
  <c r="BE365" i="5"/>
  <c r="BV13" i="5"/>
  <c r="GG422" i="6"/>
  <c r="BE179" i="5"/>
  <c r="GF170" i="6"/>
  <c r="GG170" i="6" s="1"/>
  <c r="GE266" i="6"/>
  <c r="GG266" i="6" s="1"/>
  <c r="BE275" i="5"/>
  <c r="GF21" i="6"/>
  <c r="GG21" i="6" s="1"/>
  <c r="BE30" i="5"/>
  <c r="BE360" i="5"/>
  <c r="BE22" i="5"/>
  <c r="BE29" i="5"/>
  <c r="BV31" i="5"/>
  <c r="BV52" i="5"/>
  <c r="BS93" i="5"/>
  <c r="BV93" i="5" s="1"/>
  <c r="BE138" i="5"/>
  <c r="GF130" i="6"/>
  <c r="GG130" i="6" s="1"/>
  <c r="GL130" i="6" s="1"/>
  <c r="BE139" i="5"/>
  <c r="GF148" i="6"/>
  <c r="GG148" i="6" s="1"/>
  <c r="BE157" i="5"/>
  <c r="BA171" i="5"/>
  <c r="BE39" i="5"/>
  <c r="BV148" i="5"/>
  <c r="BE151" i="5"/>
  <c r="BE38" i="5"/>
  <c r="BE431" i="5"/>
  <c r="BF431" i="5" s="1"/>
  <c r="GF439" i="6"/>
  <c r="GG439" i="6" s="1"/>
  <c r="BE448" i="5"/>
  <c r="BF448" i="5" s="1"/>
  <c r="GF285" i="6"/>
  <c r="GG285" i="6" s="1"/>
  <c r="BE294" i="5"/>
  <c r="BE178" i="5"/>
  <c r="BV182" i="5"/>
  <c r="BE201" i="5"/>
  <c r="BV179" i="5"/>
  <c r="BE116" i="5"/>
  <c r="GD74" i="6"/>
  <c r="GG74" i="6" s="1"/>
  <c r="GL74" i="6" s="1"/>
  <c r="BA83" i="5"/>
  <c r="GG351" i="6"/>
  <c r="GD9" i="6"/>
  <c r="GG9" i="6" s="1"/>
  <c r="BA18" i="5"/>
  <c r="BF18" i="5" s="1"/>
  <c r="CG16" i="5"/>
  <c r="CD16" i="5"/>
  <c r="BA62" i="5"/>
  <c r="GF54" i="6"/>
  <c r="GG54" i="6" s="1"/>
  <c r="GI54" i="6" s="1"/>
  <c r="BE63" i="5"/>
  <c r="GD63" i="6"/>
  <c r="GG63" i="6" s="1"/>
  <c r="GL63" i="6" s="1"/>
  <c r="BA72" i="5"/>
  <c r="BA82" i="5"/>
  <c r="GD90" i="6"/>
  <c r="BA99" i="5"/>
  <c r="BS114" i="5"/>
  <c r="GF123" i="6"/>
  <c r="GG123" i="6" s="1"/>
  <c r="GL123" i="6" s="1"/>
  <c r="BE132" i="5"/>
  <c r="GF200" i="6"/>
  <c r="GG200" i="6" s="1"/>
  <c r="BE209" i="5"/>
  <c r="BE57" i="5"/>
  <c r="BF57" i="5" s="1"/>
  <c r="BV92" i="5"/>
  <c r="BE126" i="5"/>
  <c r="GF117" i="6"/>
  <c r="GG117" i="6" s="1"/>
  <c r="GL117" i="6" s="1"/>
  <c r="BE385" i="5"/>
  <c r="GD72" i="6"/>
  <c r="GG72" i="6" s="1"/>
  <c r="GL72" i="6" s="1"/>
  <c r="BA81" i="5"/>
  <c r="BE82" i="5"/>
  <c r="GF73" i="6"/>
  <c r="GG73" i="6" s="1"/>
  <c r="GL73" i="6" s="1"/>
  <c r="BE217" i="5"/>
  <c r="BA247" i="5"/>
  <c r="BV58" i="5"/>
  <c r="BE62" i="5"/>
  <c r="GF58" i="6"/>
  <c r="GG58" i="6" s="1"/>
  <c r="GL58" i="6" s="1"/>
  <c r="BE67" i="5"/>
  <c r="BE109" i="5"/>
  <c r="GF100" i="6"/>
  <c r="GG100" i="6" s="1"/>
  <c r="GL100" i="6" s="1"/>
  <c r="BV138" i="5"/>
  <c r="BV157" i="5"/>
  <c r="GE306" i="6"/>
  <c r="GG306" i="6" s="1"/>
  <c r="BE315" i="5"/>
  <c r="GF448" i="6"/>
  <c r="GG448" i="6" s="1"/>
  <c r="BE457" i="5"/>
  <c r="GF460" i="6"/>
  <c r="GG460" i="6" s="1"/>
  <c r="BE469" i="5"/>
  <c r="GE473" i="6"/>
  <c r="GG473" i="6" s="1"/>
  <c r="BE482" i="5"/>
  <c r="GF222" i="6"/>
  <c r="GG222" i="6" s="1"/>
  <c r="BE231" i="5"/>
  <c r="BV22" i="5"/>
  <c r="GG116" i="6"/>
  <c r="GL116" i="6" s="1"/>
  <c r="GF261" i="6"/>
  <c r="GG261" i="6" s="1"/>
  <c r="BE270" i="5"/>
  <c r="BF270" i="5" s="1"/>
  <c r="GF10" i="6"/>
  <c r="GG10" i="6" s="1"/>
  <c r="BE19" i="5"/>
  <c r="GE246" i="6"/>
  <c r="GG246" i="6" s="1"/>
  <c r="BE255" i="5"/>
  <c r="GF254" i="6"/>
  <c r="GG254" i="6" s="1"/>
  <c r="BE263" i="5"/>
  <c r="GD290" i="6"/>
  <c r="BE299" i="5"/>
  <c r="GF243" i="6"/>
  <c r="GG243" i="6" s="1"/>
  <c r="BE252" i="5"/>
  <c r="GE278" i="6"/>
  <c r="GG278" i="6" s="1"/>
  <c r="BE287" i="5"/>
  <c r="GF495" i="6"/>
  <c r="GG495" i="6" s="1"/>
  <c r="BE504" i="5"/>
  <c r="GG37" i="6"/>
  <c r="GL37" i="6" s="1"/>
  <c r="GF47" i="6"/>
  <c r="GG47" i="6" s="1"/>
  <c r="BE56" i="5"/>
  <c r="CD73" i="5"/>
  <c r="BE80" i="5"/>
  <c r="BE81" i="5"/>
  <c r="GD99" i="6"/>
  <c r="BA108" i="5"/>
  <c r="BE124" i="5"/>
  <c r="GF251" i="6"/>
  <c r="GG251" i="6" s="1"/>
  <c r="BE260" i="5"/>
  <c r="BF260" i="5" s="1"/>
  <c r="GF347" i="6"/>
  <c r="GG347" i="6" s="1"/>
  <c r="BE356" i="5"/>
  <c r="BA411" i="5"/>
  <c r="GE479" i="6"/>
  <c r="GG479" i="6" s="1"/>
  <c r="BE488" i="5"/>
  <c r="CG17" i="5"/>
  <c r="GF55" i="6"/>
  <c r="GG55" i="6" s="1"/>
  <c r="BE64" i="5"/>
  <c r="BV91" i="5"/>
  <c r="BE233" i="5"/>
  <c r="GF326" i="6"/>
  <c r="GG326" i="6" s="1"/>
  <c r="BE335" i="5"/>
  <c r="GG341" i="6"/>
  <c r="GE474" i="6"/>
  <c r="GG474" i="6" s="1"/>
  <c r="BE483" i="5"/>
  <c r="GG330" i="6"/>
  <c r="GD13" i="6"/>
  <c r="BA22" i="5"/>
  <c r="GF75" i="6"/>
  <c r="GG75" i="6" s="1"/>
  <c r="GL75" i="6" s="1"/>
  <c r="BE84" i="5"/>
  <c r="BE96" i="5"/>
  <c r="BF96" i="5" s="1"/>
  <c r="GG109" i="6"/>
  <c r="GL109" i="6" s="1"/>
  <c r="BV145" i="5"/>
  <c r="GF273" i="6"/>
  <c r="GG273" i="6" s="1"/>
  <c r="BE282" i="5"/>
  <c r="BE284" i="5"/>
  <c r="GF275" i="6"/>
  <c r="GG275" i="6" s="1"/>
  <c r="GG281" i="6"/>
  <c r="BE295" i="5"/>
  <c r="GF286" i="6"/>
  <c r="GG286" i="6" s="1"/>
  <c r="BE310" i="5"/>
  <c r="BE350" i="5"/>
  <c r="BF350" i="5" s="1"/>
  <c r="BE473" i="5"/>
  <c r="GD100" i="6"/>
  <c r="J127" i="12"/>
  <c r="CD14" i="5"/>
  <c r="BE41" i="5"/>
  <c r="BF41" i="5" s="1"/>
  <c r="BE66" i="5"/>
  <c r="GG59" i="6"/>
  <c r="GL59" i="6" s="1"/>
  <c r="BE118" i="5"/>
  <c r="GG118" i="6"/>
  <c r="GL118" i="6" s="1"/>
  <c r="CD130" i="5"/>
  <c r="BE134" i="5"/>
  <c r="BF134" i="5" s="1"/>
  <c r="GG150" i="6"/>
  <c r="BA216" i="5"/>
  <c r="BE290" i="5"/>
  <c r="BF290" i="5" s="1"/>
  <c r="GE327" i="6"/>
  <c r="GG327" i="6" s="1"/>
  <c r="BE336" i="5"/>
  <c r="BA372" i="5"/>
  <c r="GG413" i="6"/>
  <c r="BE432" i="5"/>
  <c r="BA474" i="5"/>
  <c r="GG139" i="6"/>
  <c r="GL139" i="6" s="1"/>
  <c r="BE188" i="5"/>
  <c r="BE206" i="5"/>
  <c r="BF206" i="5" s="1"/>
  <c r="BE216" i="5"/>
  <c r="BE219" i="5"/>
  <c r="GG419" i="6"/>
  <c r="BE495" i="5"/>
  <c r="BF495" i="5" s="1"/>
  <c r="GE322" i="6"/>
  <c r="GG322" i="6" s="1"/>
  <c r="BE331" i="5"/>
  <c r="GF240" i="6"/>
  <c r="GG240" i="6" s="1"/>
  <c r="BE249" i="5"/>
  <c r="GF248" i="6"/>
  <c r="GG248" i="6" s="1"/>
  <c r="BE257" i="5"/>
  <c r="GE317" i="6"/>
  <c r="GG317" i="6" s="1"/>
  <c r="BE326" i="5"/>
  <c r="GE445" i="6"/>
  <c r="GG445" i="6" s="1"/>
  <c r="BE454" i="5"/>
  <c r="GF455" i="6"/>
  <c r="GG455" i="6" s="1"/>
  <c r="BE464" i="5"/>
  <c r="BA16" i="5"/>
  <c r="BF16" i="5" s="1"/>
  <c r="GG8" i="6"/>
  <c r="BE18" i="5"/>
  <c r="BE23" i="5"/>
  <c r="BA25" i="5"/>
  <c r="BE33" i="5"/>
  <c r="BA48" i="5"/>
  <c r="BE71" i="5"/>
  <c r="GG67" i="6"/>
  <c r="GL67" i="6" s="1"/>
  <c r="BA78" i="5"/>
  <c r="BA89" i="5"/>
  <c r="BF89" i="5" s="1"/>
  <c r="GG92" i="6"/>
  <c r="BA102" i="5"/>
  <c r="BV106" i="5"/>
  <c r="GG102" i="6"/>
  <c r="GL102" i="6" s="1"/>
  <c r="BE142" i="5"/>
  <c r="BF142" i="5" s="1"/>
  <c r="GG140" i="6"/>
  <c r="GL140" i="6" s="1"/>
  <c r="GF189" i="6"/>
  <c r="GG189" i="6" s="1"/>
  <c r="BE198" i="5"/>
  <c r="GF191" i="6"/>
  <c r="GG191" i="6" s="1"/>
  <c r="BE200" i="5"/>
  <c r="BE227" i="5"/>
  <c r="GF221" i="6"/>
  <c r="GG221" i="6" s="1"/>
  <c r="BE230" i="5"/>
  <c r="BF230" i="5" s="1"/>
  <c r="BA240" i="5"/>
  <c r="GF237" i="6"/>
  <c r="GG237" i="6" s="1"/>
  <c r="BE246" i="5"/>
  <c r="GF253" i="6"/>
  <c r="GG253" i="6" s="1"/>
  <c r="BE262" i="5"/>
  <c r="BS277" i="5"/>
  <c r="BE372" i="5"/>
  <c r="BE428" i="5"/>
  <c r="GE39" i="6"/>
  <c r="GG39" i="6" s="1"/>
  <c r="GL39" i="6" s="1"/>
  <c r="BA44" i="5"/>
  <c r="GD35" i="6"/>
  <c r="GF297" i="6"/>
  <c r="GG297" i="6" s="1"/>
  <c r="BE306" i="5"/>
  <c r="BF306" i="5" s="1"/>
  <c r="GG126" i="6"/>
  <c r="GL126" i="6" s="1"/>
  <c r="BE141" i="5"/>
  <c r="BF141" i="5" s="1"/>
  <c r="GF35" i="6"/>
  <c r="BE44" i="5"/>
  <c r="GD120" i="6"/>
  <c r="BE129" i="5"/>
  <c r="BF129" i="5" s="1"/>
  <c r="GD41" i="6"/>
  <c r="GG41" i="6" s="1"/>
  <c r="GL41" i="6" s="1"/>
  <c r="BA50" i="5"/>
  <c r="BA77" i="5"/>
  <c r="BE86" i="5"/>
  <c r="BE87" i="5"/>
  <c r="CD106" i="5"/>
  <c r="BE110" i="5"/>
  <c r="GF134" i="6"/>
  <c r="GG134" i="6" s="1"/>
  <c r="GL134" i="6" s="1"/>
  <c r="BE143" i="5"/>
  <c r="GG152" i="6"/>
  <c r="BS165" i="5"/>
  <c r="CD182" i="5"/>
  <c r="GF298" i="6"/>
  <c r="GG298" i="6" s="1"/>
  <c r="BE307" i="5"/>
  <c r="BE312" i="5"/>
  <c r="GF303" i="6"/>
  <c r="GG303" i="6" s="1"/>
  <c r="GG309" i="6"/>
  <c r="BE397" i="5"/>
  <c r="BA429" i="5"/>
  <c r="GG482" i="6"/>
  <c r="BE70" i="5"/>
  <c r="BE46" i="5"/>
  <c r="GF127" i="6"/>
  <c r="GG127" i="6" s="1"/>
  <c r="GL127" i="6" s="1"/>
  <c r="BE136" i="5"/>
  <c r="BE149" i="5"/>
  <c r="GF187" i="6"/>
  <c r="GG187" i="6" s="1"/>
  <c r="BE196" i="5"/>
  <c r="BF196" i="5" s="1"/>
  <c r="GF215" i="6"/>
  <c r="GG215" i="6" s="1"/>
  <c r="BE224" i="5"/>
  <c r="BF224" i="5" s="1"/>
  <c r="GD334" i="6"/>
  <c r="BE343" i="5"/>
  <c r="BE347" i="5"/>
  <c r="BE363" i="5"/>
  <c r="BF363" i="5" s="1"/>
  <c r="GF435" i="6"/>
  <c r="GG435" i="6" s="1"/>
  <c r="BE444" i="5"/>
  <c r="GE183" i="6"/>
  <c r="GG183" i="6" s="1"/>
  <c r="K58" i="7"/>
  <c r="L58" i="7" s="1"/>
  <c r="K64" i="7"/>
  <c r="L64" i="7" s="1"/>
  <c r="GF89" i="6"/>
  <c r="GG89" i="6" s="1"/>
  <c r="BE98" i="5"/>
  <c r="BF98" i="5" s="1"/>
  <c r="GE342" i="6"/>
  <c r="GG342" i="6" s="1"/>
  <c r="BE351" i="5"/>
  <c r="BE68" i="5"/>
  <c r="GF91" i="6"/>
  <c r="GG91" i="6" s="1"/>
  <c r="GL91" i="6" s="1"/>
  <c r="BE100" i="5"/>
  <c r="GF263" i="6"/>
  <c r="GG263" i="6" s="1"/>
  <c r="BE272" i="5"/>
  <c r="GF392" i="6"/>
  <c r="GG392" i="6" s="1"/>
  <c r="BE401" i="5"/>
  <c r="BE32" i="5"/>
  <c r="BE69" i="5"/>
  <c r="BE73" i="5"/>
  <c r="GF64" i="6"/>
  <c r="GG64" i="6" s="1"/>
  <c r="GL64" i="6" s="1"/>
  <c r="BE85" i="5"/>
  <c r="BE120" i="5"/>
  <c r="BE135" i="5"/>
  <c r="GG133" i="6"/>
  <c r="GL133" i="6" s="1"/>
  <c r="GG6" i="6"/>
  <c r="BE17" i="5"/>
  <c r="BE47" i="5"/>
  <c r="BA52" i="5"/>
  <c r="BS71" i="5"/>
  <c r="BE75" i="5"/>
  <c r="BF75" i="5" s="1"/>
  <c r="BE76" i="5"/>
  <c r="GG93" i="6"/>
  <c r="GL93" i="6" s="1"/>
  <c r="CD126" i="5"/>
  <c r="BE153" i="5"/>
  <c r="BE161" i="5"/>
  <c r="BF161" i="5" s="1"/>
  <c r="BA173" i="5"/>
  <c r="GF185" i="6"/>
  <c r="GG185" i="6" s="1"/>
  <c r="BE194" i="5"/>
  <c r="GG201" i="6"/>
  <c r="BE213" i="5"/>
  <c r="BA229" i="5"/>
  <c r="BE259" i="5"/>
  <c r="BF259" i="5" s="1"/>
  <c r="BE269" i="5"/>
  <c r="BE318" i="5"/>
  <c r="GF318" i="6"/>
  <c r="GG318" i="6" s="1"/>
  <c r="BE327" i="5"/>
  <c r="BE332" i="5"/>
  <c r="BA364" i="5"/>
  <c r="BE460" i="5"/>
  <c r="BE475" i="5"/>
  <c r="BE491" i="5"/>
  <c r="GF350" i="6"/>
  <c r="GG350" i="6" s="1"/>
  <c r="H215" i="8"/>
  <c r="I215" i="8" s="1"/>
  <c r="G217" i="7"/>
  <c r="BE34" i="5"/>
  <c r="BF103" i="5"/>
  <c r="BE16" i="5"/>
  <c r="BE25" i="5"/>
  <c r="GG43" i="6"/>
  <c r="GL43" i="6" s="1"/>
  <c r="BE77" i="5"/>
  <c r="GF68" i="6"/>
  <c r="GG68" i="6" s="1"/>
  <c r="GL68" i="6" s="1"/>
  <c r="BE102" i="5"/>
  <c r="BE113" i="5"/>
  <c r="GF104" i="6"/>
  <c r="GG104" i="6" s="1"/>
  <c r="GL104" i="6" s="1"/>
  <c r="BV118" i="5"/>
  <c r="BE156" i="5"/>
  <c r="BE210" i="5"/>
  <c r="GF313" i="6"/>
  <c r="GG313" i="6" s="1"/>
  <c r="BE322" i="5"/>
  <c r="GF394" i="6"/>
  <c r="GG394" i="6" s="1"/>
  <c r="BE403" i="5"/>
  <c r="GG410" i="6"/>
  <c r="GE430" i="6"/>
  <c r="GG430" i="6" s="1"/>
  <c r="BE439" i="5"/>
  <c r="GD28" i="6"/>
  <c r="GG79" i="6"/>
  <c r="GL79" i="6" s="1"/>
  <c r="GF367" i="6"/>
  <c r="GG367" i="6" s="1"/>
  <c r="BE45" i="5"/>
  <c r="BE24" i="5"/>
  <c r="BA27" i="5"/>
  <c r="BE51" i="5"/>
  <c r="BA53" i="5"/>
  <c r="GG82" i="6"/>
  <c r="GL82" i="6" s="1"/>
  <c r="BA93" i="5"/>
  <c r="BE130" i="5"/>
  <c r="BF130" i="5" s="1"/>
  <c r="BY130" i="5" s="1"/>
  <c r="BE164" i="5"/>
  <c r="CD184" i="5"/>
  <c r="BA205" i="5"/>
  <c r="BA215" i="5"/>
  <c r="BE221" i="5"/>
  <c r="GE225" i="6"/>
  <c r="GG225" i="6" s="1"/>
  <c r="BE234" i="5"/>
  <c r="GG267" i="6"/>
  <c r="BE281" i="5"/>
  <c r="BF281" i="5" s="1"/>
  <c r="BA339" i="5"/>
  <c r="GF404" i="6"/>
  <c r="GG404" i="6" s="1"/>
  <c r="BE413" i="5"/>
  <c r="BE419" i="5"/>
  <c r="GF441" i="6"/>
  <c r="GG441" i="6" s="1"/>
  <c r="BE450" i="5"/>
  <c r="GG132" i="6"/>
  <c r="GL132" i="6" s="1"/>
  <c r="GG229" i="6"/>
  <c r="GE408" i="6"/>
  <c r="GG408" i="6" s="1"/>
  <c r="BE417" i="5"/>
  <c r="GD65" i="6"/>
  <c r="BA74" i="5"/>
  <c r="BE204" i="5"/>
  <c r="BE238" i="5"/>
  <c r="GF232" i="6"/>
  <c r="GG232" i="6" s="1"/>
  <c r="BE241" i="5"/>
  <c r="GD279" i="6"/>
  <c r="BE288" i="5"/>
  <c r="GD307" i="6"/>
  <c r="GE305" i="6"/>
  <c r="GG305" i="6" s="1"/>
  <c r="BE314" i="5"/>
  <c r="GF26" i="6"/>
  <c r="GG26" i="6" s="1"/>
  <c r="GG176" i="6"/>
  <c r="GF204" i="6"/>
  <c r="GG204" i="6" s="1"/>
  <c r="GG5" i="6"/>
  <c r="BE52" i="5"/>
  <c r="GG45" i="6"/>
  <c r="GL45" i="6" s="1"/>
  <c r="BV85" i="5"/>
  <c r="GG105" i="6"/>
  <c r="GL105" i="6" s="1"/>
  <c r="CD119" i="5"/>
  <c r="BE145" i="5"/>
  <c r="BF145" i="5" s="1"/>
  <c r="BE186" i="5"/>
  <c r="GD196" i="6"/>
  <c r="BE205" i="5"/>
  <c r="GF217" i="6"/>
  <c r="GG217" i="6" s="1"/>
  <c r="BE226" i="5"/>
  <c r="BE248" i="5"/>
  <c r="GF276" i="6"/>
  <c r="GG276" i="6" s="1"/>
  <c r="BE285" i="5"/>
  <c r="GE319" i="6"/>
  <c r="GG319" i="6" s="1"/>
  <c r="BE328" i="5"/>
  <c r="GF355" i="6"/>
  <c r="GG355" i="6" s="1"/>
  <c r="BE364" i="5"/>
  <c r="BE379" i="5"/>
  <c r="BE445" i="5"/>
  <c r="BE466" i="5"/>
  <c r="GF477" i="6"/>
  <c r="GG477" i="6" s="1"/>
  <c r="BE486" i="5"/>
  <c r="GF57" i="6"/>
  <c r="GG57" i="6" s="1"/>
  <c r="GG69" i="6"/>
  <c r="GL69" i="6" s="1"/>
  <c r="GF224" i="6"/>
  <c r="GG224" i="6" s="1"/>
  <c r="GF323" i="6"/>
  <c r="GG323" i="6" s="1"/>
  <c r="GG447" i="6"/>
  <c r="BV32" i="5"/>
  <c r="BE14" i="5"/>
  <c r="BS49" i="5"/>
  <c r="BV49" i="5" s="1"/>
  <c r="BE79" i="5"/>
  <c r="GG71" i="6"/>
  <c r="GP71" i="6" s="1"/>
  <c r="BE91" i="5"/>
  <c r="BE92" i="5"/>
  <c r="BE114" i="5"/>
  <c r="GG106" i="6"/>
  <c r="GL106" i="6" s="1"/>
  <c r="BA116" i="5"/>
  <c r="BA117" i="5"/>
  <c r="BA133" i="5"/>
  <c r="BV149" i="5"/>
  <c r="BA258" i="5"/>
  <c r="GF294" i="6"/>
  <c r="GG294" i="6" s="1"/>
  <c r="BE303" i="5"/>
  <c r="BA360" i="5"/>
  <c r="GF207" i="6"/>
  <c r="GG207" i="6" s="1"/>
  <c r="BS103" i="5"/>
  <c r="BY103" i="5" s="1"/>
  <c r="CD109" i="5"/>
  <c r="BS161" i="5"/>
  <c r="BV161" i="5" s="1"/>
  <c r="GF206" i="6"/>
  <c r="GG206" i="6" s="1"/>
  <c r="BE215" i="5"/>
  <c r="GF264" i="6"/>
  <c r="GG264" i="6" s="1"/>
  <c r="GL264" i="6" s="1"/>
  <c r="BE273" i="5"/>
  <c r="GE335" i="6"/>
  <c r="GG335" i="6" s="1"/>
  <c r="BE344" i="5"/>
  <c r="GF345" i="6"/>
  <c r="GG345" i="6" s="1"/>
  <c r="BE354" i="5"/>
  <c r="GG311" i="6"/>
  <c r="GG440" i="6"/>
  <c r="GG211" i="6"/>
  <c r="BA223" i="5"/>
  <c r="GG218" i="6"/>
  <c r="BA272" i="5"/>
  <c r="BE435" i="5"/>
  <c r="GG444" i="6"/>
  <c r="GF48" i="6"/>
  <c r="GG48" i="6" s="1"/>
  <c r="GG299" i="6"/>
  <c r="J166" i="12"/>
  <c r="L166" i="12" s="1"/>
  <c r="B166" i="13" s="1"/>
  <c r="BA295" i="5"/>
  <c r="GG388" i="6"/>
  <c r="BE406" i="5"/>
  <c r="BA445" i="5"/>
  <c r="BE453" i="5"/>
  <c r="GE452" i="6"/>
  <c r="GG452" i="6" s="1"/>
  <c r="BE461" i="5"/>
  <c r="BA496" i="5"/>
  <c r="GD202" i="6"/>
  <c r="GG107" i="6"/>
  <c r="GL107" i="6" s="1"/>
  <c r="BS194" i="5"/>
  <c r="BS206" i="5"/>
  <c r="GG210" i="6"/>
  <c r="GI210" i="6" s="1"/>
  <c r="GG256" i="6"/>
  <c r="BA357" i="5"/>
  <c r="BE398" i="5"/>
  <c r="BF398" i="5" s="1"/>
  <c r="GG398" i="6"/>
  <c r="GF470" i="6"/>
  <c r="GG470" i="6" s="1"/>
  <c r="BE479" i="5"/>
  <c r="BF479" i="5" s="1"/>
  <c r="GG307" i="6"/>
  <c r="GF389" i="6"/>
  <c r="GG389" i="6" s="1"/>
  <c r="GE364" i="6"/>
  <c r="GG364" i="6" s="1"/>
  <c r="BE373" i="5"/>
  <c r="GG373" i="6"/>
  <c r="GF377" i="6"/>
  <c r="GG377" i="6" s="1"/>
  <c r="BE386" i="5"/>
  <c r="GG103" i="6"/>
  <c r="GL103" i="6" s="1"/>
  <c r="GG138" i="6"/>
  <c r="GL138" i="6" s="1"/>
  <c r="GG149" i="6"/>
  <c r="GG154" i="6"/>
  <c r="BE208" i="5"/>
  <c r="GF242" i="6"/>
  <c r="GG242" i="6" s="1"/>
  <c r="BE251" i="5"/>
  <c r="BA261" i="5"/>
  <c r="BE265" i="5"/>
  <c r="BE337" i="5"/>
  <c r="GF360" i="6"/>
  <c r="GG360" i="6" s="1"/>
  <c r="BE369" i="5"/>
  <c r="BF369" i="5" s="1"/>
  <c r="BE382" i="5"/>
  <c r="GG458" i="6"/>
  <c r="GF300" i="6"/>
  <c r="GG300" i="6" s="1"/>
  <c r="BA51" i="5"/>
  <c r="GG49" i="6"/>
  <c r="GL49" i="6" s="1"/>
  <c r="BE88" i="5"/>
  <c r="GG90" i="6"/>
  <c r="GL90" i="6" s="1"/>
  <c r="GG99" i="6"/>
  <c r="GL99" i="6" s="1"/>
  <c r="BE112" i="5"/>
  <c r="BE125" i="5"/>
  <c r="GG120" i="6"/>
  <c r="GL120" i="6" s="1"/>
  <c r="BE147" i="5"/>
  <c r="GG141" i="6"/>
  <c r="GL141" i="6" s="1"/>
  <c r="BE158" i="5"/>
  <c r="BE163" i="5"/>
  <c r="BF163" i="5" s="1"/>
  <c r="BE173" i="5"/>
  <c r="GG196" i="6"/>
  <c r="BE333" i="5"/>
  <c r="GG353" i="6"/>
  <c r="GF411" i="6"/>
  <c r="GG411" i="6" s="1"/>
  <c r="BE420" i="5"/>
  <c r="BE467" i="5"/>
  <c r="GG463" i="6"/>
  <c r="BE497" i="5"/>
  <c r="GF112" i="6"/>
  <c r="GG112" i="6" s="1"/>
  <c r="GL112" i="6" s="1"/>
  <c r="GF426" i="6"/>
  <c r="GG426" i="6" s="1"/>
  <c r="CG15" i="5"/>
  <c r="BE28" i="5"/>
  <c r="BE50" i="5"/>
  <c r="BA66" i="5"/>
  <c r="BE72" i="5"/>
  <c r="BA73" i="5"/>
  <c r="BE83" i="5"/>
  <c r="BA84" i="5"/>
  <c r="BE99" i="5"/>
  <c r="BE108" i="5"/>
  <c r="BE172" i="5"/>
  <c r="GF163" i="6"/>
  <c r="GG163" i="6" s="1"/>
  <c r="BE258" i="5"/>
  <c r="GF265" i="6"/>
  <c r="GG265" i="6" s="1"/>
  <c r="BE274" i="5"/>
  <c r="BE341" i="5"/>
  <c r="BF341" i="5" s="1"/>
  <c r="GG348" i="6"/>
  <c r="BE429" i="5"/>
  <c r="BE472" i="5"/>
  <c r="BA95" i="5"/>
  <c r="BE150" i="5"/>
  <c r="GG146" i="6"/>
  <c r="GL146" i="6" s="1"/>
  <c r="CD165" i="5"/>
  <c r="GF162" i="6"/>
  <c r="GG162" i="6" s="1"/>
  <c r="BE171" i="5"/>
  <c r="BA182" i="5"/>
  <c r="BE187" i="5"/>
  <c r="BE189" i="5"/>
  <c r="BE191" i="5"/>
  <c r="GG184" i="6"/>
  <c r="BA199" i="5"/>
  <c r="BF199" i="5" s="1"/>
  <c r="GG216" i="6"/>
  <c r="GG223" i="6"/>
  <c r="BE254" i="5"/>
  <c r="BE300" i="5"/>
  <c r="GG344" i="6"/>
  <c r="BE357" i="5"/>
  <c r="BE362" i="5"/>
  <c r="BA379" i="5"/>
  <c r="GE374" i="6"/>
  <c r="GG374" i="6" s="1"/>
  <c r="BE383" i="5"/>
  <c r="BE387" i="5"/>
  <c r="BF387" i="5" s="1"/>
  <c r="GG407" i="6"/>
  <c r="BA430" i="5"/>
  <c r="GG438" i="6"/>
  <c r="BE463" i="5"/>
  <c r="BE476" i="5"/>
  <c r="GF492" i="6"/>
  <c r="GG492" i="6" s="1"/>
  <c r="BE501" i="5"/>
  <c r="GF259" i="6"/>
  <c r="GG259" i="6" s="1"/>
  <c r="GE295" i="6"/>
  <c r="GG295" i="6" s="1"/>
  <c r="GG159" i="6"/>
  <c r="BE170" i="5"/>
  <c r="GF161" i="6"/>
  <c r="GG161" i="6" s="1"/>
  <c r="CD190" i="5"/>
  <c r="BA210" i="5"/>
  <c r="GF308" i="6"/>
  <c r="GG308" i="6" s="1"/>
  <c r="BE317" i="5"/>
  <c r="GF320" i="6"/>
  <c r="GG320" i="6" s="1"/>
  <c r="BE329" i="5"/>
  <c r="BE395" i="5"/>
  <c r="GE386" i="6"/>
  <c r="GG386" i="6" s="1"/>
  <c r="GF433" i="6"/>
  <c r="GG433" i="6" s="1"/>
  <c r="BE442" i="5"/>
  <c r="GG480" i="6"/>
  <c r="BE169" i="5"/>
  <c r="GF160" i="6"/>
  <c r="GG160" i="6" s="1"/>
  <c r="GF193" i="6"/>
  <c r="GG193" i="6" s="1"/>
  <c r="BE202" i="5"/>
  <c r="GG268" i="6"/>
  <c r="GF274" i="6"/>
  <c r="GG274" i="6" s="1"/>
  <c r="BE283" i="5"/>
  <c r="BF283" i="5" s="1"/>
  <c r="BE313" i="5"/>
  <c r="GG316" i="6"/>
  <c r="GG325" i="6"/>
  <c r="GF382" i="6"/>
  <c r="GG382" i="6" s="1"/>
  <c r="BE391" i="5"/>
  <c r="BE404" i="5"/>
  <c r="BE451" i="5"/>
  <c r="BE489" i="5"/>
  <c r="GG81" i="6"/>
  <c r="GL81" i="6" s="1"/>
  <c r="BS163" i="5"/>
  <c r="BE168" i="5"/>
  <c r="BE175" i="5"/>
  <c r="BE195" i="5"/>
  <c r="BE207" i="5"/>
  <c r="GF198" i="6"/>
  <c r="GG198" i="6" s="1"/>
  <c r="BE264" i="5"/>
  <c r="BE293" i="5"/>
  <c r="BE325" i="5"/>
  <c r="BE334" i="5"/>
  <c r="GG329" i="6"/>
  <c r="BE370" i="5"/>
  <c r="BF370" i="5" s="1"/>
  <c r="GG421" i="6"/>
  <c r="BA452" i="5"/>
  <c r="BE494" i="5"/>
  <c r="K69" i="7"/>
  <c r="L69" i="7" s="1"/>
  <c r="K114" i="7"/>
  <c r="L114" i="7" s="1"/>
  <c r="K384" i="7"/>
  <c r="L384" i="7" s="1"/>
  <c r="GG332" i="6"/>
  <c r="GG423" i="6"/>
  <c r="GF361" i="6"/>
  <c r="GG361" i="6" s="1"/>
  <c r="K340" i="7"/>
  <c r="L340" i="7" s="1"/>
  <c r="O147" i="12"/>
  <c r="P147" i="12" s="1"/>
  <c r="GG292" i="6"/>
  <c r="GG314" i="6"/>
  <c r="GG471" i="6"/>
  <c r="O161" i="12"/>
  <c r="P161" i="12" s="1"/>
  <c r="GG493" i="6"/>
  <c r="O138" i="12"/>
  <c r="P138" i="12" s="1"/>
  <c r="GG178" i="6"/>
  <c r="BE279" i="5"/>
  <c r="BE301" i="5"/>
  <c r="BE323" i="5"/>
  <c r="GG333" i="6"/>
  <c r="GG336" i="6"/>
  <c r="BE348" i="5"/>
  <c r="GG358" i="6"/>
  <c r="BE392" i="5"/>
  <c r="GG402" i="6"/>
  <c r="GG424" i="6"/>
  <c r="BE436" i="5"/>
  <c r="GG446" i="6"/>
  <c r="BE458" i="5"/>
  <c r="GG468" i="6"/>
  <c r="BE480" i="5"/>
  <c r="GG490" i="6"/>
  <c r="BE502" i="5"/>
  <c r="GG487" i="6"/>
  <c r="BE499" i="5"/>
  <c r="GF443" i="6"/>
  <c r="GG443" i="6" s="1"/>
  <c r="K553" i="7"/>
  <c r="L553" i="7" s="1"/>
  <c r="O155" i="12"/>
  <c r="P155" i="12" s="1"/>
  <c r="J155" i="12"/>
  <c r="GG269" i="6"/>
  <c r="GG280" i="6"/>
  <c r="GG352" i="6"/>
  <c r="GG396" i="6"/>
  <c r="BE408" i="5"/>
  <c r="GG418" i="6"/>
  <c r="BE430" i="5"/>
  <c r="GG437" i="6"/>
  <c r="GG462" i="6"/>
  <c r="GG484" i="6"/>
  <c r="BE496" i="5"/>
  <c r="GF302" i="6"/>
  <c r="GG302" i="6" s="1"/>
  <c r="BE405" i="5"/>
  <c r="BE427" i="5"/>
  <c r="BE471" i="5"/>
  <c r="BE493" i="5"/>
  <c r="K291" i="7"/>
  <c r="L291" i="7" s="1"/>
  <c r="K330" i="7"/>
  <c r="L330" i="7" s="1"/>
  <c r="K541" i="7"/>
  <c r="L541" i="7" s="1"/>
  <c r="BE228" i="5"/>
  <c r="GG230" i="6"/>
  <c r="BE245" i="5"/>
  <c r="BE256" i="5"/>
  <c r="BE278" i="5"/>
  <c r="GG321" i="6"/>
  <c r="BE358" i="5"/>
  <c r="BE380" i="5"/>
  <c r="BE402" i="5"/>
  <c r="GG412" i="6"/>
  <c r="GG434" i="6"/>
  <c r="BE468" i="5"/>
  <c r="GG478" i="6"/>
  <c r="BE490" i="5"/>
  <c r="GD478" i="6"/>
  <c r="BE377" i="5"/>
  <c r="BE421" i="5"/>
  <c r="BE443" i="5"/>
  <c r="BE465" i="5"/>
  <c r="GG279" i="6"/>
  <c r="BE352" i="5"/>
  <c r="BE374" i="5"/>
  <c r="BE396" i="5"/>
  <c r="BE418" i="5"/>
  <c r="BE440" i="5"/>
  <c r="GG494" i="6"/>
  <c r="GG156" i="6"/>
  <c r="GG192" i="6"/>
  <c r="GG235" i="6"/>
  <c r="BE302" i="5"/>
  <c r="GG312" i="6"/>
  <c r="GG337" i="6"/>
  <c r="BE349" i="5"/>
  <c r="BE371" i="5"/>
  <c r="GG378" i="6"/>
  <c r="BE393" i="5"/>
  <c r="BE415" i="5"/>
  <c r="BE437" i="5"/>
  <c r="BE459" i="5"/>
  <c r="BE481" i="5"/>
  <c r="K529" i="7"/>
  <c r="L529" i="7" s="1"/>
  <c r="K201" i="7"/>
  <c r="L201" i="7" s="1"/>
  <c r="J18" i="12"/>
  <c r="J20" i="12"/>
  <c r="O21" i="12"/>
  <c r="O127" i="12"/>
  <c r="P127" i="12" s="1"/>
  <c r="J172" i="12"/>
  <c r="J37" i="13"/>
  <c r="O129" i="12"/>
  <c r="P129" i="12" s="1"/>
  <c r="O135" i="12"/>
  <c r="P135" i="12" s="1"/>
  <c r="J153" i="12"/>
  <c r="K318" i="7"/>
  <c r="L318" i="7" s="1"/>
  <c r="K362" i="7"/>
  <c r="K537" i="7"/>
  <c r="L537" i="7" s="1"/>
  <c r="O120" i="12"/>
  <c r="P120" i="12" s="1"/>
  <c r="K77" i="7"/>
  <c r="L77" i="7" s="1"/>
  <c r="K88" i="7"/>
  <c r="L88" i="7" s="1"/>
  <c r="K176" i="7"/>
  <c r="L176" i="7" s="1"/>
  <c r="J120" i="12"/>
  <c r="O141" i="12"/>
  <c r="P141" i="12" s="1"/>
  <c r="J161" i="12"/>
  <c r="K72" i="7"/>
  <c r="L72" i="7" s="1"/>
  <c r="K221" i="7"/>
  <c r="L221" i="7" s="1"/>
  <c r="I544" i="7"/>
  <c r="K544" i="7" s="1"/>
  <c r="L544" i="7" s="1"/>
  <c r="K532" i="7"/>
  <c r="L532" i="7" s="1"/>
  <c r="J15" i="12"/>
  <c r="O16" i="12"/>
  <c r="J124" i="12"/>
  <c r="L124" i="12" s="1"/>
  <c r="C124" i="13" s="1"/>
  <c r="J141" i="12"/>
  <c r="I214" i="8"/>
  <c r="N214" i="8"/>
  <c r="Q214" i="8" s="1"/>
  <c r="U214" i="8" s="1"/>
  <c r="J21" i="12"/>
  <c r="J150" i="12"/>
  <c r="O158" i="12"/>
  <c r="P158" i="12" s="1"/>
  <c r="J158" i="12"/>
  <c r="J175" i="12"/>
  <c r="O177" i="12"/>
  <c r="P177" i="12" s="1"/>
  <c r="J177" i="12"/>
  <c r="K216" i="7"/>
  <c r="J179" i="12"/>
  <c r="K150" i="7"/>
  <c r="L150" i="7" s="1"/>
  <c r="J129" i="12"/>
  <c r="J138" i="12"/>
  <c r="O163" i="12"/>
  <c r="P163" i="12" s="1"/>
  <c r="K102" i="7"/>
  <c r="L102" i="7" s="1"/>
  <c r="K428" i="7"/>
  <c r="L428" i="7" s="1"/>
  <c r="J11" i="12"/>
  <c r="O133" i="12"/>
  <c r="P133" i="12" s="1"/>
  <c r="O150" i="12"/>
  <c r="P150" i="12" s="1"/>
  <c r="J163" i="12"/>
  <c r="O172" i="12"/>
  <c r="P172" i="12" s="1"/>
  <c r="H216" i="8"/>
  <c r="G218" i="7"/>
  <c r="K543" i="7"/>
  <c r="L543" i="7" s="1"/>
  <c r="J135" i="12"/>
  <c r="J147" i="12"/>
  <c r="L147" i="12" s="1"/>
  <c r="C147" i="13" s="1"/>
  <c r="P159" i="12"/>
  <c r="G214" i="7"/>
  <c r="K446" i="7"/>
  <c r="K516" i="7"/>
  <c r="L516" i="7" s="1"/>
  <c r="O126" i="12"/>
  <c r="P126" i="12" s="1"/>
  <c r="J133" i="12"/>
  <c r="O160" i="12"/>
  <c r="P160" i="12" s="1"/>
  <c r="K84" i="7"/>
  <c r="L84" i="7" s="1"/>
  <c r="K538" i="7"/>
  <c r="L538" i="7" s="1"/>
  <c r="AA475" i="8"/>
  <c r="J126" i="12"/>
  <c r="O169" i="12"/>
  <c r="P169" i="12" s="1"/>
  <c r="O130" i="12"/>
  <c r="P130" i="12" s="1"/>
  <c r="J169" i="12"/>
  <c r="O182" i="12"/>
  <c r="P182" i="12" s="1"/>
  <c r="J10" i="12"/>
  <c r="O11" i="12"/>
  <c r="O144" i="12"/>
  <c r="P144" i="12" s="1"/>
  <c r="O164" i="12"/>
  <c r="P164" i="12" s="1"/>
  <c r="J182" i="12"/>
  <c r="K533" i="7"/>
  <c r="L533" i="7" s="1"/>
  <c r="AA270" i="8"/>
  <c r="J4" i="12"/>
  <c r="L4" i="12" s="1"/>
  <c r="J6" i="12"/>
  <c r="L6" i="12" s="1"/>
  <c r="J8" i="12"/>
  <c r="O132" i="12"/>
  <c r="P132" i="12" s="1"/>
  <c r="J144" i="12"/>
  <c r="K80" i="7"/>
  <c r="L80" i="7" s="1"/>
  <c r="K230" i="7"/>
  <c r="K252" i="7"/>
  <c r="L252" i="7" s="1"/>
  <c r="K274" i="7"/>
  <c r="L274" i="7" s="1"/>
  <c r="K490" i="7"/>
  <c r="L490" i="7" s="1"/>
  <c r="J132" i="12"/>
  <c r="O123" i="12"/>
  <c r="P123" i="12" s="1"/>
  <c r="K296" i="7"/>
  <c r="L296" i="7" s="1"/>
  <c r="K534" i="7"/>
  <c r="L534" i="7" s="1"/>
  <c r="J123" i="12"/>
  <c r="O153" i="12"/>
  <c r="P153" i="12" s="1"/>
  <c r="O166" i="12"/>
  <c r="P166" i="12" s="1"/>
  <c r="O142" i="12"/>
  <c r="P142" i="12" s="1"/>
  <c r="O179" i="12"/>
  <c r="P179" i="12" s="1"/>
  <c r="I552" i="7"/>
  <c r="K552" i="7" s="1"/>
  <c r="L552" i="7" s="1"/>
  <c r="J160" i="12"/>
  <c r="O157" i="12"/>
  <c r="P157" i="12" s="1"/>
  <c r="O176" i="12"/>
  <c r="P176" i="12" s="1"/>
  <c r="AA77" i="8"/>
  <c r="O154" i="12"/>
  <c r="P154" i="12" s="1"/>
  <c r="O173" i="12"/>
  <c r="P173" i="12" s="1"/>
  <c r="J128" i="12"/>
  <c r="J131" i="12"/>
  <c r="O151" i="12"/>
  <c r="P151" i="12" s="1"/>
  <c r="Y73" i="8"/>
  <c r="N189" i="13"/>
  <c r="AA73" i="8"/>
  <c r="AA160" i="8"/>
  <c r="O167" i="12"/>
  <c r="P167" i="12" s="1"/>
  <c r="N88" i="13"/>
  <c r="J137" i="12"/>
  <c r="J157" i="12"/>
  <c r="J165" i="12"/>
  <c r="J176" i="12"/>
  <c r="J29" i="13"/>
  <c r="N94" i="13"/>
  <c r="J23" i="13"/>
  <c r="J7" i="13"/>
  <c r="J5" i="13"/>
  <c r="N97" i="13"/>
  <c r="N85" i="13"/>
  <c r="N83" i="13"/>
  <c r="N87" i="13"/>
  <c r="J39" i="13"/>
  <c r="J57" i="13"/>
  <c r="J49" i="13"/>
  <c r="J45" i="13"/>
  <c r="N86" i="13"/>
  <c r="J41" i="13"/>
  <c r="N195" i="13"/>
  <c r="N186" i="13"/>
  <c r="N190" i="13"/>
  <c r="N187" i="13"/>
  <c r="N194" i="13"/>
  <c r="AB57" i="6"/>
  <c r="EC71" i="6"/>
  <c r="DY20" i="6"/>
  <c r="DT159" i="6"/>
  <c r="DV50" i="6"/>
  <c r="I50" i="6"/>
  <c r="DV76" i="6"/>
  <c r="I76" i="6"/>
  <c r="GL114" i="6"/>
  <c r="DR157" i="6"/>
  <c r="DY16" i="6"/>
  <c r="DX74" i="6"/>
  <c r="EF54" i="6"/>
  <c r="EF50" i="6"/>
  <c r="GL53" i="6"/>
  <c r="EB63" i="6"/>
  <c r="AL111" i="6"/>
  <c r="DR111" i="6"/>
  <c r="DT59" i="6"/>
  <c r="AB59" i="6"/>
  <c r="DX89" i="6"/>
  <c r="I41" i="6"/>
  <c r="DP41" i="6"/>
  <c r="AL80" i="6"/>
  <c r="DT125" i="6"/>
  <c r="AB125" i="6"/>
  <c r="DR203" i="6"/>
  <c r="AF203" i="6"/>
  <c r="BI203" i="6"/>
  <c r="DU203" i="6"/>
  <c r="DX79" i="6"/>
  <c r="DP137" i="6"/>
  <c r="I137" i="6"/>
  <c r="I49" i="6"/>
  <c r="DP49" i="6"/>
  <c r="I71" i="6"/>
  <c r="DU71" i="6"/>
  <c r="DR96" i="6"/>
  <c r="AL96" i="6"/>
  <c r="BN109" i="6"/>
  <c r="DR109" i="6"/>
  <c r="DY30" i="6"/>
  <c r="AB100" i="6"/>
  <c r="EF75" i="6"/>
  <c r="DX109" i="6"/>
  <c r="EG80" i="6"/>
  <c r="EF87" i="6"/>
  <c r="AL107" i="6"/>
  <c r="DR107" i="6"/>
  <c r="S123" i="6"/>
  <c r="DU123" i="6"/>
  <c r="I75" i="6"/>
  <c r="DV75" i="6"/>
  <c r="EG78" i="6"/>
  <c r="DV40" i="6"/>
  <c r="I40" i="6"/>
  <c r="S84" i="6"/>
  <c r="DU84" i="6"/>
  <c r="I112" i="6"/>
  <c r="DP112" i="6"/>
  <c r="EA60" i="6"/>
  <c r="DX60" i="6"/>
  <c r="DV48" i="6"/>
  <c r="I48" i="6"/>
  <c r="DY44" i="6"/>
  <c r="AL124" i="6"/>
  <c r="DR124" i="6"/>
  <c r="EH54" i="6"/>
  <c r="S69" i="6"/>
  <c r="DU69" i="6"/>
  <c r="DU104" i="6"/>
  <c r="S104" i="6"/>
  <c r="AX140" i="6"/>
  <c r="DR140" i="6"/>
  <c r="I97" i="6"/>
  <c r="DP97" i="6"/>
  <c r="DY22" i="6"/>
  <c r="EF78" i="6"/>
  <c r="DQ119" i="6"/>
  <c r="I119" i="6"/>
  <c r="DY26" i="6"/>
  <c r="EB44" i="6"/>
  <c r="EG46" i="6"/>
  <c r="EG44" i="6"/>
  <c r="I45" i="6"/>
  <c r="DP45" i="6"/>
  <c r="EF68" i="6"/>
  <c r="DT119" i="6"/>
  <c r="AJ119" i="6"/>
  <c r="I122" i="6"/>
  <c r="DP122" i="6"/>
  <c r="DP155" i="6"/>
  <c r="I155" i="6"/>
  <c r="CC156" i="6"/>
  <c r="DR156" i="6"/>
  <c r="I47" i="6"/>
  <c r="DP47" i="6"/>
  <c r="AJ82" i="6"/>
  <c r="DY82" i="6" s="1"/>
  <c r="DT82" i="6"/>
  <c r="I103" i="6"/>
  <c r="DP103" i="6"/>
  <c r="GG13" i="6"/>
  <c r="GG15" i="6"/>
  <c r="GG17" i="6"/>
  <c r="GG19" i="6"/>
  <c r="GG25" i="6"/>
  <c r="GG27" i="6"/>
  <c r="GG31" i="6"/>
  <c r="I43" i="6"/>
  <c r="DP43" i="6"/>
  <c r="EG68" i="6"/>
  <c r="AB70" i="6"/>
  <c r="DP72" i="6"/>
  <c r="I72" i="6"/>
  <c r="DX75" i="6"/>
  <c r="EA75" i="6" s="1"/>
  <c r="DQ94" i="6"/>
  <c r="I94" i="6"/>
  <c r="DU103" i="6"/>
  <c r="DU106" i="6"/>
  <c r="S106" i="6"/>
  <c r="DQ108" i="6"/>
  <c r="DR119" i="6"/>
  <c r="AL119" i="6"/>
  <c r="EG38" i="6"/>
  <c r="EG36" i="6"/>
  <c r="I37" i="6"/>
  <c r="DP37" i="6"/>
  <c r="I42" i="6"/>
  <c r="DY42" i="6" s="1"/>
  <c r="EA44" i="6"/>
  <c r="DX44" i="6"/>
  <c r="EF44" i="6" s="1"/>
  <c r="DT50" i="6"/>
  <c r="EG66" i="6"/>
  <c r="DR70" i="6"/>
  <c r="AL70" i="6"/>
  <c r="DT164" i="6"/>
  <c r="X164" i="6"/>
  <c r="EH68" i="6"/>
  <c r="EA68" i="6"/>
  <c r="EG14" i="6"/>
  <c r="EG16" i="6"/>
  <c r="EG22" i="6"/>
  <c r="EG24" i="6"/>
  <c r="EG26" i="6"/>
  <c r="EG30" i="6"/>
  <c r="EG32" i="6"/>
  <c r="I35" i="6"/>
  <c r="DP35" i="6"/>
  <c r="EF36" i="6"/>
  <c r="EB38" i="6"/>
  <c r="DX42" i="6"/>
  <c r="DX52" i="6"/>
  <c r="EB52" i="6" s="1"/>
  <c r="DX64" i="6"/>
  <c r="DU66" i="6"/>
  <c r="DQ127" i="6"/>
  <c r="BN127" i="6"/>
  <c r="I13" i="6"/>
  <c r="DP13" i="6"/>
  <c r="I15" i="6"/>
  <c r="DP15" i="6"/>
  <c r="I17" i="6"/>
  <c r="DP17" i="6"/>
  <c r="I19" i="6"/>
  <c r="DP19" i="6"/>
  <c r="I21" i="6"/>
  <c r="DP21" i="6"/>
  <c r="I23" i="6"/>
  <c r="DP23" i="6"/>
  <c r="I25" i="6"/>
  <c r="DP25" i="6"/>
  <c r="I27" i="6"/>
  <c r="DP27" i="6"/>
  <c r="I29" i="6"/>
  <c r="DP29" i="6"/>
  <c r="I31" i="6"/>
  <c r="DP31" i="6"/>
  <c r="I33" i="6"/>
  <c r="DP33" i="6"/>
  <c r="EB36" i="6"/>
  <c r="I38" i="6"/>
  <c r="DY38" i="6" s="1"/>
  <c r="DX40" i="6"/>
  <c r="AB52" i="6"/>
  <c r="DT52" i="6"/>
  <c r="I79" i="6"/>
  <c r="DV79" i="6"/>
  <c r="DU99" i="6"/>
  <c r="I99" i="6"/>
  <c r="I105" i="6"/>
  <c r="DR106" i="6"/>
  <c r="AL106" i="6"/>
  <c r="DP125" i="6"/>
  <c r="I39" i="6"/>
  <c r="DP39" i="6"/>
  <c r="EB14" i="6"/>
  <c r="EB16" i="6"/>
  <c r="EB20" i="6"/>
  <c r="EB22" i="6"/>
  <c r="EB24" i="6"/>
  <c r="EB30" i="6"/>
  <c r="I36" i="6"/>
  <c r="EA38" i="6"/>
  <c r="DX38" i="6"/>
  <c r="DX99" i="6"/>
  <c r="EB99" i="6" s="1"/>
  <c r="I107" i="6"/>
  <c r="DP107" i="6"/>
  <c r="AL108" i="6"/>
  <c r="DR108" i="6"/>
  <c r="EB42" i="6"/>
  <c r="DX46" i="6"/>
  <c r="I32" i="6"/>
  <c r="I34" i="6"/>
  <c r="EA36" i="6"/>
  <c r="DX36" i="6"/>
  <c r="DP55" i="6"/>
  <c r="I55" i="6"/>
  <c r="DX88" i="6"/>
  <c r="DX90" i="6"/>
  <c r="DU105" i="6"/>
  <c r="DX24" i="6"/>
  <c r="DX32" i="6"/>
  <c r="DY57" i="6"/>
  <c r="AB95" i="6"/>
  <c r="DT95" i="6"/>
  <c r="EF52" i="6"/>
  <c r="EG57" i="6"/>
  <c r="EG60" i="6"/>
  <c r="DX61" i="6"/>
  <c r="EA61" i="6"/>
  <c r="DY68" i="6"/>
  <c r="EG71" i="6"/>
  <c r="DX20" i="6"/>
  <c r="EG20" i="6" s="1"/>
  <c r="DX30" i="6"/>
  <c r="EE54" i="6"/>
  <c r="DT212" i="6"/>
  <c r="CZ212" i="6"/>
  <c r="GG7" i="6"/>
  <c r="DX66" i="6"/>
  <c r="EA66" i="6" s="1"/>
  <c r="DX87" i="6"/>
  <c r="GG111" i="6"/>
  <c r="DX12" i="6"/>
  <c r="DX18" i="6"/>
  <c r="DX28" i="6"/>
  <c r="DX34" i="6"/>
  <c r="EB57" i="6"/>
  <c r="DU59" i="6"/>
  <c r="EA67" i="6"/>
  <c r="I88" i="6"/>
  <c r="EC90" i="6"/>
  <c r="DT105" i="6"/>
  <c r="AB105" i="6"/>
  <c r="DT147" i="6"/>
  <c r="X147" i="6"/>
  <c r="DX14" i="6"/>
  <c r="DX16" i="6"/>
  <c r="DX22" i="6"/>
  <c r="DX26" i="6"/>
  <c r="DX62" i="6"/>
  <c r="I100" i="6"/>
  <c r="DP100" i="6"/>
  <c r="I59" i="6"/>
  <c r="DT79" i="6"/>
  <c r="EA80" i="6"/>
  <c r="EA85" i="6"/>
  <c r="EG88" i="6"/>
  <c r="I114" i="6"/>
  <c r="DP114" i="6"/>
  <c r="DV138" i="6"/>
  <c r="I138" i="6"/>
  <c r="X148" i="6"/>
  <c r="DT148" i="6"/>
  <c r="DR158" i="6"/>
  <c r="EG214" i="6"/>
  <c r="DY52" i="6"/>
  <c r="DX65" i="6"/>
  <c r="EF89" i="6"/>
  <c r="GL92" i="6"/>
  <c r="DU97" i="6"/>
  <c r="I102" i="6"/>
  <c r="DP102" i="6"/>
  <c r="DT110" i="6"/>
  <c r="I117" i="6"/>
  <c r="DP117" i="6"/>
  <c r="S118" i="6"/>
  <c r="DU119" i="6"/>
  <c r="S119" i="6"/>
  <c r="DQ136" i="6"/>
  <c r="DX148" i="6"/>
  <c r="DN154" i="6"/>
  <c r="I156" i="6"/>
  <c r="DV156" i="6"/>
  <c r="DN159" i="6"/>
  <c r="AF185" i="6"/>
  <c r="DS185" i="6"/>
  <c r="I204" i="6"/>
  <c r="DP204" i="6"/>
  <c r="DP59" i="6"/>
  <c r="I74" i="6"/>
  <c r="DV74" i="6"/>
  <c r="DP83" i="6"/>
  <c r="I83" i="6"/>
  <c r="I86" i="6"/>
  <c r="DV86" i="6"/>
  <c r="EC89" i="6"/>
  <c r="AB91" i="6"/>
  <c r="DT91" i="6"/>
  <c r="DU117" i="6"/>
  <c r="AJ120" i="6"/>
  <c r="DU132" i="6"/>
  <c r="I132" i="6"/>
  <c r="DP267" i="6"/>
  <c r="I267" i="6"/>
  <c r="EG54" i="6"/>
  <c r="DT88" i="6"/>
  <c r="AB88" i="6"/>
  <c r="EE63" i="6"/>
  <c r="GP78" i="6"/>
  <c r="EC82" i="6"/>
  <c r="EE89" i="6"/>
  <c r="AB114" i="6"/>
  <c r="AB117" i="6"/>
  <c r="DR120" i="6"/>
  <c r="AL120" i="6"/>
  <c r="DU205" i="6"/>
  <c r="S205" i="6"/>
  <c r="DQ241" i="6"/>
  <c r="I241" i="6"/>
  <c r="DS265" i="6"/>
  <c r="AF265" i="6"/>
  <c r="I54" i="6"/>
  <c r="DY54" i="6" s="1"/>
  <c r="GG56" i="6"/>
  <c r="EE57" i="6"/>
  <c r="EG62" i="6"/>
  <c r="GL71" i="6"/>
  <c r="DU83" i="6"/>
  <c r="GG83" i="6"/>
  <c r="AL84" i="6"/>
  <c r="AJ115" i="6"/>
  <c r="BN122" i="6"/>
  <c r="DS172" i="6"/>
  <c r="AF172" i="6"/>
  <c r="BN197" i="6"/>
  <c r="DQ197" i="6"/>
  <c r="DU262" i="6"/>
  <c r="I262" i="6"/>
  <c r="AJ97" i="6"/>
  <c r="DT97" i="6"/>
  <c r="DU116" i="6"/>
  <c r="S116" i="6"/>
  <c r="I51" i="6"/>
  <c r="I56" i="6"/>
  <c r="I60" i="6"/>
  <c r="EG61" i="6"/>
  <c r="EF62" i="6"/>
  <c r="EG63" i="6"/>
  <c r="DU64" i="6"/>
  <c r="DX106" i="6"/>
  <c r="AL115" i="6"/>
  <c r="DR115" i="6"/>
  <c r="DR138" i="6"/>
  <c r="AL138" i="6"/>
  <c r="DR144" i="6"/>
  <c r="AO144" i="6"/>
  <c r="Q161" i="6"/>
  <c r="CO165" i="6"/>
  <c r="DU167" i="6"/>
  <c r="Q167" i="6"/>
  <c r="AB225" i="6"/>
  <c r="DU225" i="6"/>
  <c r="DX57" i="6"/>
  <c r="EA63" i="6"/>
  <c r="DT76" i="6"/>
  <c r="EA82" i="6"/>
  <c r="DP135" i="6"/>
  <c r="I135" i="6"/>
  <c r="DT51" i="6"/>
  <c r="DX51" i="6" s="1"/>
  <c r="AB51" i="6"/>
  <c r="EG52" i="6"/>
  <c r="EE65" i="6"/>
  <c r="I70" i="6"/>
  <c r="DP70" i="6"/>
  <c r="DY90" i="6"/>
  <c r="I92" i="6"/>
  <c r="I93" i="6"/>
  <c r="DP93" i="6"/>
  <c r="DT94" i="6"/>
  <c r="AJ94" i="6"/>
  <c r="EF98" i="6"/>
  <c r="EF142" i="6"/>
  <c r="X146" i="6"/>
  <c r="DT146" i="6"/>
  <c r="S158" i="6"/>
  <c r="DU158" i="6"/>
  <c r="CH227" i="6"/>
  <c r="DR227" i="6"/>
  <c r="DU56" i="6"/>
  <c r="I58" i="6"/>
  <c r="DP58" i="6"/>
  <c r="I62" i="6"/>
  <c r="DY62" i="6" s="1"/>
  <c r="DX63" i="6"/>
  <c r="DY63" i="6" s="1"/>
  <c r="I64" i="6"/>
  <c r="AJ65" i="6"/>
  <c r="DY65" i="6" s="1"/>
  <c r="S67" i="6"/>
  <c r="GG70" i="6"/>
  <c r="AJ71" i="6"/>
  <c r="DY80" i="6"/>
  <c r="EB85" i="6"/>
  <c r="EB88" i="6"/>
  <c r="DR94" i="6"/>
  <c r="AL94" i="6"/>
  <c r="BN101" i="6"/>
  <c r="AB135" i="6"/>
  <c r="DT135" i="6"/>
  <c r="S142" i="6"/>
  <c r="AL143" i="6"/>
  <c r="DR143" i="6"/>
  <c r="Q153" i="6"/>
  <c r="DP153" i="6"/>
  <c r="DQ165" i="6"/>
  <c r="DR192" i="6"/>
  <c r="DT207" i="6"/>
  <c r="EA54" i="6"/>
  <c r="EA57" i="6"/>
  <c r="EB60" i="6"/>
  <c r="EB65" i="6"/>
  <c r="EC68" i="6"/>
  <c r="DP73" i="6"/>
  <c r="I73" i="6"/>
  <c r="EE75" i="6"/>
  <c r="EC78" i="6"/>
  <c r="DU92" i="6"/>
  <c r="S128" i="6"/>
  <c r="DU128" i="6"/>
  <c r="DQ164" i="6"/>
  <c r="DT123" i="6"/>
  <c r="GG12" i="6"/>
  <c r="GG14" i="6"/>
  <c r="GG16" i="6"/>
  <c r="GG18" i="6"/>
  <c r="GG20" i="6"/>
  <c r="GG22" i="6"/>
  <c r="GG24" i="6"/>
  <c r="GG30" i="6"/>
  <c r="GG32" i="6"/>
  <c r="GG34" i="6"/>
  <c r="GG36" i="6"/>
  <c r="GG38" i="6"/>
  <c r="GG40" i="6"/>
  <c r="GG42" i="6"/>
  <c r="GG44" i="6"/>
  <c r="GG46" i="6"/>
  <c r="EB54" i="6"/>
  <c r="DT56" i="6"/>
  <c r="AB56" i="6"/>
  <c r="EE60" i="6"/>
  <c r="AL68" i="6"/>
  <c r="DT77" i="6"/>
  <c r="AB77" i="6"/>
  <c r="AL78" i="6"/>
  <c r="DR91" i="6"/>
  <c r="DX118" i="6"/>
  <c r="EA118" i="6" s="1"/>
  <c r="GG119" i="6"/>
  <c r="BG169" i="6"/>
  <c r="DR169" i="6"/>
  <c r="DX171" i="6"/>
  <c r="DP178" i="6"/>
  <c r="I178" i="6"/>
  <c r="EF65" i="6"/>
  <c r="AB67" i="6"/>
  <c r="EA71" i="6"/>
  <c r="EA78" i="6"/>
  <c r="GG80" i="6"/>
  <c r="DT81" i="6"/>
  <c r="DP95" i="6"/>
  <c r="I95" i="6"/>
  <c r="EF150" i="6"/>
  <c r="AB156" i="6"/>
  <c r="DT156" i="6"/>
  <c r="DQ175" i="6"/>
  <c r="I175" i="6"/>
  <c r="AF178" i="6"/>
  <c r="DU270" i="6"/>
  <c r="I270" i="6"/>
  <c r="DX50" i="6"/>
  <c r="DU53" i="6"/>
  <c r="DP56" i="6"/>
  <c r="AB60" i="6"/>
  <c r="EG65" i="6"/>
  <c r="EB68" i="6"/>
  <c r="DX71" i="6"/>
  <c r="EH71" i="6" s="1"/>
  <c r="EB78" i="6"/>
  <c r="DT111" i="6"/>
  <c r="AX126" i="6"/>
  <c r="CH145" i="6"/>
  <c r="DR145" i="6"/>
  <c r="DT99" i="6"/>
  <c r="DT106" i="6"/>
  <c r="DQ128" i="6"/>
  <c r="DY134" i="6"/>
  <c r="Q148" i="6"/>
  <c r="EC148" i="6"/>
  <c r="AO197" i="6"/>
  <c r="DR197" i="6"/>
  <c r="DS209" i="6"/>
  <c r="CK209" i="6"/>
  <c r="EE78" i="6"/>
  <c r="DV84" i="6"/>
  <c r="AJ106" i="6"/>
  <c r="AB112" i="6"/>
  <c r="GL128" i="6"/>
  <c r="DP130" i="6"/>
  <c r="I130" i="6"/>
  <c r="DP139" i="6"/>
  <c r="I139" i="6"/>
  <c r="DU163" i="6"/>
  <c r="AF182" i="6"/>
  <c r="DS182" i="6"/>
  <c r="CW219" i="6"/>
  <c r="I66" i="6"/>
  <c r="DV87" i="6"/>
  <c r="DU91" i="6"/>
  <c r="DT93" i="6"/>
  <c r="EA98" i="6"/>
  <c r="DX98" i="6"/>
  <c r="DU107" i="6"/>
  <c r="EE109" i="6"/>
  <c r="DR112" i="6"/>
  <c r="DQ145" i="6"/>
  <c r="I145" i="6"/>
  <c r="AL147" i="6"/>
  <c r="DR147" i="6"/>
  <c r="DV150" i="6"/>
  <c r="DR150" i="6"/>
  <c r="DR151" i="6"/>
  <c r="DV162" i="6"/>
  <c r="DU173" i="6"/>
  <c r="DR174" i="6"/>
  <c r="DX174" i="6" s="1"/>
  <c r="AL174" i="6"/>
  <c r="CO179" i="6"/>
  <c r="DT179" i="6"/>
  <c r="I78" i="6"/>
  <c r="DX80" i="6"/>
  <c r="EE80" i="6" s="1"/>
  <c r="DX82" i="6"/>
  <c r="EB82" i="6" s="1"/>
  <c r="GG87" i="6"/>
  <c r="BN95" i="6"/>
  <c r="EG109" i="6"/>
  <c r="DU127" i="6"/>
  <c r="AB132" i="6"/>
  <c r="DU137" i="6"/>
  <c r="DS166" i="6"/>
  <c r="AF166" i="6"/>
  <c r="BE171" i="6"/>
  <c r="BN172" i="6"/>
  <c r="DT175" i="6"/>
  <c r="AB175" i="6"/>
  <c r="DS193" i="6"/>
  <c r="AF193" i="6"/>
  <c r="AB96" i="6"/>
  <c r="DT96" i="6"/>
  <c r="EG98" i="6"/>
  <c r="DR122" i="6"/>
  <c r="AX134" i="6"/>
  <c r="DR134" i="6"/>
  <c r="DR166" i="6"/>
  <c r="DT239" i="6"/>
  <c r="AB239" i="6"/>
  <c r="AL73" i="6"/>
  <c r="AJ90" i="6"/>
  <c r="GG94" i="6"/>
  <c r="DX131" i="6"/>
  <c r="EC131" i="6" s="1"/>
  <c r="AJ142" i="6"/>
  <c r="DT142" i="6"/>
  <c r="DV163" i="6"/>
  <c r="I163" i="6"/>
  <c r="DR164" i="6"/>
  <c r="CF173" i="6"/>
  <c r="DT173" i="6"/>
  <c r="DP193" i="6"/>
  <c r="I193" i="6"/>
  <c r="ED225" i="6"/>
  <c r="GG77" i="6"/>
  <c r="AL81" i="6"/>
  <c r="DY98" i="6"/>
  <c r="BN100" i="6"/>
  <c r="DV101" i="6"/>
  <c r="DU111" i="6"/>
  <c r="DT112" i="6"/>
  <c r="DU113" i="6"/>
  <c r="DU120" i="6"/>
  <c r="DT130" i="6"/>
  <c r="DT139" i="6"/>
  <c r="AO152" i="6"/>
  <c r="AU169" i="6"/>
  <c r="DV170" i="6"/>
  <c r="AF239" i="6"/>
  <c r="DS239" i="6"/>
  <c r="DX67" i="6"/>
  <c r="DR83" i="6"/>
  <c r="EC88" i="6"/>
  <c r="I91" i="6"/>
  <c r="BN105" i="6"/>
  <c r="DQ113" i="6"/>
  <c r="I115" i="6"/>
  <c r="DP115" i="6"/>
  <c r="DU124" i="6"/>
  <c r="I126" i="6"/>
  <c r="DP126" i="6"/>
  <c r="BN126" i="6"/>
  <c r="DQ135" i="6"/>
  <c r="DT145" i="6"/>
  <c r="X145" i="6"/>
  <c r="AF155" i="6"/>
  <c r="DT169" i="6"/>
  <c r="X169" i="6"/>
  <c r="BN207" i="6"/>
  <c r="DS254" i="6"/>
  <c r="AF254" i="6"/>
  <c r="I67" i="6"/>
  <c r="DU74" i="6"/>
  <c r="DX85" i="6"/>
  <c r="I89" i="6"/>
  <c r="DY89" i="6" s="1"/>
  <c r="I124" i="6"/>
  <c r="DU126" i="6"/>
  <c r="I129" i="6"/>
  <c r="DT131" i="6"/>
  <c r="AR139" i="6"/>
  <c r="DR139" i="6"/>
  <c r="Q147" i="6"/>
  <c r="BN148" i="6"/>
  <c r="DS157" i="6"/>
  <c r="AF157" i="6"/>
  <c r="I170" i="6"/>
  <c r="DU180" i="6"/>
  <c r="AB180" i="6"/>
  <c r="DP207" i="6"/>
  <c r="Q207" i="6"/>
  <c r="DX214" i="6"/>
  <c r="DP110" i="6"/>
  <c r="I110" i="6"/>
  <c r="DR114" i="6"/>
  <c r="DR129" i="6"/>
  <c r="GG129" i="6"/>
  <c r="AB133" i="6"/>
  <c r="DT133" i="6"/>
  <c r="DV161" i="6"/>
  <c r="DT171" i="6"/>
  <c r="AF171" i="6"/>
  <c r="BV247" i="6"/>
  <c r="DU247" i="6"/>
  <c r="GG66" i="6"/>
  <c r="DU77" i="6"/>
  <c r="GG101" i="6"/>
  <c r="I108" i="6"/>
  <c r="DP108" i="6"/>
  <c r="GG131" i="6"/>
  <c r="DX142" i="6"/>
  <c r="EB142" i="6" s="1"/>
  <c r="DQ160" i="6"/>
  <c r="CC160" i="6"/>
  <c r="DR178" i="6"/>
  <c r="AL132" i="6"/>
  <c r="DR132" i="6"/>
  <c r="DU135" i="6"/>
  <c r="DQ143" i="6"/>
  <c r="DX143" i="6" s="1"/>
  <c r="EE143" i="6" s="1"/>
  <c r="DT152" i="6"/>
  <c r="DR153" i="6"/>
  <c r="DP172" i="6"/>
  <c r="I172" i="6"/>
  <c r="DV173" i="6"/>
  <c r="DS176" i="6"/>
  <c r="AF181" i="6"/>
  <c r="DS181" i="6"/>
  <c r="BS194" i="6"/>
  <c r="DS223" i="6"/>
  <c r="AF223" i="6"/>
  <c r="I278" i="6"/>
  <c r="DV278" i="6"/>
  <c r="AL278" i="6"/>
  <c r="DR278" i="6"/>
  <c r="AL113" i="6"/>
  <c r="AL128" i="6"/>
  <c r="DT149" i="6"/>
  <c r="X149" i="6"/>
  <c r="BN151" i="6"/>
  <c r="DU153" i="6"/>
  <c r="AL153" i="6"/>
  <c r="DS154" i="6"/>
  <c r="DV172" i="6"/>
  <c r="DU185" i="6"/>
  <c r="CO185" i="6"/>
  <c r="DQ185" i="6"/>
  <c r="DQ215" i="6"/>
  <c r="DV315" i="6"/>
  <c r="I315" i="6"/>
  <c r="DT101" i="6"/>
  <c r="DT127" i="6"/>
  <c r="AX133" i="6"/>
  <c r="GG143" i="6"/>
  <c r="X152" i="6"/>
  <c r="AO153" i="6"/>
  <c r="BA156" i="6"/>
  <c r="I157" i="6"/>
  <c r="ED160" i="6"/>
  <c r="BE162" i="6"/>
  <c r="DQ167" i="6"/>
  <c r="DR167" i="6"/>
  <c r="CO167" i="6"/>
  <c r="DQ168" i="6"/>
  <c r="DR180" i="6"/>
  <c r="X184" i="6"/>
  <c r="AB185" i="6"/>
  <c r="DT185" i="6"/>
  <c r="CA190" i="6"/>
  <c r="AB212" i="6"/>
  <c r="DU212" i="6"/>
  <c r="DT225" i="6"/>
  <c r="CS225" i="6"/>
  <c r="DT227" i="6"/>
  <c r="DT280" i="6"/>
  <c r="AF280" i="6"/>
  <c r="DT124" i="6"/>
  <c r="DR127" i="6"/>
  <c r="DT129" i="6"/>
  <c r="DU130" i="6"/>
  <c r="DU141" i="6"/>
  <c r="DS149" i="6"/>
  <c r="AF149" i="6"/>
  <c r="DQ153" i="6"/>
  <c r="DR154" i="6"/>
  <c r="DU159" i="6"/>
  <c r="CA173" i="6"/>
  <c r="DR173" i="6"/>
  <c r="DR209" i="6"/>
  <c r="DS210" i="6"/>
  <c r="AF210" i="6"/>
  <c r="CZ225" i="6"/>
  <c r="BE234" i="6"/>
  <c r="DP266" i="6"/>
  <c r="I266" i="6"/>
  <c r="DT272" i="6"/>
  <c r="X272" i="6"/>
  <c r="BN123" i="6"/>
  <c r="DP136" i="6"/>
  <c r="I136" i="6"/>
  <c r="DQ137" i="6"/>
  <c r="DQ139" i="6"/>
  <c r="DQ141" i="6"/>
  <c r="DS150" i="6"/>
  <c r="AF150" i="6"/>
  <c r="DR168" i="6"/>
  <c r="DQ182" i="6"/>
  <c r="BA182" i="6"/>
  <c r="DP92" i="6"/>
  <c r="DU96" i="6"/>
  <c r="AL97" i="6"/>
  <c r="AL103" i="6"/>
  <c r="DP105" i="6"/>
  <c r="AL117" i="6"/>
  <c r="BN133" i="6"/>
  <c r="I141" i="6"/>
  <c r="DY141" i="6" s="1"/>
  <c r="AX142" i="6"/>
  <c r="BN143" i="6"/>
  <c r="DY143" i="6" s="1"/>
  <c r="I144" i="6"/>
  <c r="I148" i="6"/>
  <c r="DV148" i="6"/>
  <c r="DN165" i="6"/>
  <c r="AO171" i="6"/>
  <c r="DR175" i="6"/>
  <c r="DU188" i="6"/>
  <c r="DX188" i="6" s="1"/>
  <c r="DU136" i="6"/>
  <c r="I142" i="6"/>
  <c r="DV144" i="6"/>
  <c r="CO147" i="6"/>
  <c r="DT160" i="6"/>
  <c r="I164" i="6"/>
  <c r="DP164" i="6"/>
  <c r="DP166" i="6"/>
  <c r="DT186" i="6"/>
  <c r="X186" i="6"/>
  <c r="CK187" i="6"/>
  <c r="DS187" i="6"/>
  <c r="BA225" i="6"/>
  <c r="DY225" i="6" s="1"/>
  <c r="DQ225" i="6"/>
  <c r="DV252" i="6"/>
  <c r="DN252" i="6"/>
  <c r="DU254" i="6"/>
  <c r="I254" i="6"/>
  <c r="DP121" i="6"/>
  <c r="I131" i="6"/>
  <c r="DY131" i="6" s="1"/>
  <c r="DX133" i="6"/>
  <c r="EF133" i="6" s="1"/>
  <c r="DU134" i="6"/>
  <c r="BA142" i="6"/>
  <c r="DU144" i="6"/>
  <c r="DP144" i="6"/>
  <c r="CO153" i="6"/>
  <c r="DQ162" i="6"/>
  <c r="BE163" i="6"/>
  <c r="DV164" i="6"/>
  <c r="AF175" i="6"/>
  <c r="I177" i="6"/>
  <c r="AJ177" i="6"/>
  <c r="DT177" i="6"/>
  <c r="DU192" i="6"/>
  <c r="AB192" i="6"/>
  <c r="BE225" i="6"/>
  <c r="DR225" i="6"/>
  <c r="Q242" i="6"/>
  <c r="DP242" i="6"/>
  <c r="GG244" i="6"/>
  <c r="CZ249" i="6"/>
  <c r="DQ254" i="6"/>
  <c r="BA257" i="6"/>
  <c r="DQ134" i="6"/>
  <c r="DX134" i="6" s="1"/>
  <c r="DP149" i="6"/>
  <c r="I149" i="6"/>
  <c r="DX150" i="6"/>
  <c r="EH150" i="6" s="1"/>
  <c r="DR152" i="6"/>
  <c r="BE155" i="6"/>
  <c r="DU164" i="6"/>
  <c r="DU175" i="6"/>
  <c r="BN195" i="6"/>
  <c r="DU195" i="6"/>
  <c r="DU210" i="6"/>
  <c r="EB214" i="6"/>
  <c r="Q233" i="6"/>
  <c r="CA249" i="6"/>
  <c r="DQ250" i="6"/>
  <c r="DN260" i="6"/>
  <c r="DR130" i="6"/>
  <c r="AL137" i="6"/>
  <c r="DR137" i="6"/>
  <c r="I150" i="6"/>
  <c r="DV152" i="6"/>
  <c r="DS153" i="6"/>
  <c r="DR155" i="6"/>
  <c r="DS156" i="6"/>
  <c r="BE157" i="6"/>
  <c r="BE166" i="6"/>
  <c r="DR179" i="6"/>
  <c r="BP187" i="6"/>
  <c r="DR187" i="6"/>
  <c r="DQ258" i="6"/>
  <c r="CS258" i="6"/>
  <c r="AX122" i="6"/>
  <c r="I127" i="6"/>
  <c r="AL130" i="6"/>
  <c r="DN160" i="6"/>
  <c r="CF166" i="6"/>
  <c r="DS168" i="6"/>
  <c r="DQ170" i="6"/>
  <c r="DX170" i="6" s="1"/>
  <c r="S222" i="6"/>
  <c r="DU222" i="6"/>
  <c r="DS233" i="6"/>
  <c r="DE233" i="6"/>
  <c r="BE145" i="6"/>
  <c r="BE146" i="6"/>
  <c r="Q150" i="6"/>
  <c r="DU161" i="6"/>
  <c r="DS164" i="6"/>
  <c r="DU170" i="6"/>
  <c r="DR171" i="6"/>
  <c r="DR172" i="6"/>
  <c r="BN176" i="6"/>
  <c r="CS178" i="6"/>
  <c r="DE205" i="6"/>
  <c r="DS205" i="6"/>
  <c r="DC214" i="6"/>
  <c r="DR216" i="6"/>
  <c r="DU219" i="6"/>
  <c r="CZ219" i="6"/>
  <c r="ED236" i="6"/>
  <c r="AX240" i="6"/>
  <c r="DR240" i="6"/>
  <c r="DU252" i="6"/>
  <c r="I252" i="6"/>
  <c r="CS312" i="6"/>
  <c r="DQ312" i="6"/>
  <c r="DR141" i="6"/>
  <c r="AB145" i="6"/>
  <c r="DQ154" i="6"/>
  <c r="DQ158" i="6"/>
  <c r="AF164" i="6"/>
  <c r="DU172" i="6"/>
  <c r="AX181" i="6"/>
  <c r="CS183" i="6"/>
  <c r="I185" i="6"/>
  <c r="DP185" i="6"/>
  <c r="AX194" i="6"/>
  <c r="DR195" i="6"/>
  <c r="AX195" i="6"/>
  <c r="Q216" i="6"/>
  <c r="I217" i="6"/>
  <c r="DP217" i="6"/>
  <c r="DT223" i="6"/>
  <c r="AB223" i="6"/>
  <c r="CO231" i="6"/>
  <c r="DT235" i="6"/>
  <c r="AF235" i="6"/>
  <c r="CK235" i="6"/>
  <c r="DS235" i="6"/>
  <c r="DX235" i="6" s="1"/>
  <c r="DQ240" i="6"/>
  <c r="AL241" i="6"/>
  <c r="DR241" i="6"/>
  <c r="DT136" i="6"/>
  <c r="DT153" i="6"/>
  <c r="AF158" i="6"/>
  <c r="DQ161" i="6"/>
  <c r="DR162" i="6"/>
  <c r="AF168" i="6"/>
  <c r="DQ169" i="6"/>
  <c r="DP203" i="6"/>
  <c r="I203" i="6"/>
  <c r="GG205" i="6"/>
  <c r="AF212" i="6"/>
  <c r="DS212" i="6"/>
  <c r="DQ217" i="6"/>
  <c r="AB219" i="6"/>
  <c r="DT219" i="6"/>
  <c r="DR255" i="6"/>
  <c r="DP263" i="6"/>
  <c r="I263" i="6"/>
  <c r="CZ272" i="6"/>
  <c r="BN138" i="6"/>
  <c r="DT144" i="6"/>
  <c r="DT165" i="6"/>
  <c r="X165" i="6"/>
  <c r="AF173" i="6"/>
  <c r="BE179" i="6"/>
  <c r="AF180" i="6"/>
  <c r="CS184" i="6"/>
  <c r="DT194" i="6"/>
  <c r="X194" i="6"/>
  <c r="BE208" i="6"/>
  <c r="DR212" i="6"/>
  <c r="DT214" i="6"/>
  <c r="DU240" i="6"/>
  <c r="DT248" i="6"/>
  <c r="AB248" i="6"/>
  <c r="DP261" i="6"/>
  <c r="I261" i="6"/>
  <c r="DQ155" i="6"/>
  <c r="DY160" i="6"/>
  <c r="DQ166" i="6"/>
  <c r="DR182" i="6"/>
  <c r="AR185" i="6"/>
  <c r="DR185" i="6"/>
  <c r="DQ202" i="6"/>
  <c r="DS206" i="6"/>
  <c r="AF206" i="6"/>
  <c r="DT208" i="6"/>
  <c r="AB208" i="6"/>
  <c r="DR211" i="6"/>
  <c r="DS272" i="6"/>
  <c r="AU272" i="6"/>
  <c r="DS283" i="6"/>
  <c r="CK283" i="6"/>
  <c r="AB137" i="6"/>
  <c r="DV143" i="6"/>
  <c r="I146" i="6"/>
  <c r="DV146" i="6"/>
  <c r="DX175" i="6"/>
  <c r="EA175" i="6"/>
  <c r="CZ192" i="6"/>
  <c r="DQ203" i="6"/>
  <c r="DR204" i="6"/>
  <c r="DU224" i="6"/>
  <c r="Q231" i="6"/>
  <c r="AJ261" i="6"/>
  <c r="DS274" i="6"/>
  <c r="DN274" i="6"/>
  <c r="DR283" i="6"/>
  <c r="DU146" i="6"/>
  <c r="DX146" i="6" s="1"/>
  <c r="AU151" i="6"/>
  <c r="Q155" i="6"/>
  <c r="AO155" i="6"/>
  <c r="X159" i="6"/>
  <c r="BA165" i="6"/>
  <c r="Q166" i="6"/>
  <c r="AO166" i="6"/>
  <c r="DT167" i="6"/>
  <c r="DV168" i="6"/>
  <c r="CO169" i="6"/>
  <c r="DT182" i="6"/>
  <c r="X182" i="6"/>
  <c r="AX182" i="6"/>
  <c r="CO204" i="6"/>
  <c r="CO213" i="6"/>
  <c r="DP223" i="6"/>
  <c r="I223" i="6"/>
  <c r="CF237" i="6"/>
  <c r="CS249" i="6"/>
  <c r="DN251" i="6"/>
  <c r="DQ261" i="6"/>
  <c r="DQ265" i="6"/>
  <c r="DT287" i="6"/>
  <c r="X287" i="6"/>
  <c r="DU145" i="6"/>
  <c r="CO149" i="6"/>
  <c r="DP152" i="6"/>
  <c r="DQ159" i="6"/>
  <c r="DT161" i="6"/>
  <c r="BN162" i="6"/>
  <c r="AF163" i="6"/>
  <c r="DT170" i="6"/>
  <c r="DP173" i="6"/>
  <c r="I173" i="6"/>
  <c r="DQ174" i="6"/>
  <c r="CF189" i="6"/>
  <c r="DR213" i="6"/>
  <c r="DN215" i="6"/>
  <c r="DT249" i="6"/>
  <c r="CK276" i="6"/>
  <c r="DS276" i="6"/>
  <c r="I140" i="6"/>
  <c r="DX141" i="6"/>
  <c r="I147" i="6"/>
  <c r="DV147" i="6"/>
  <c r="DR149" i="6"/>
  <c r="BE149" i="6"/>
  <c r="DU152" i="6"/>
  <c r="DU156" i="6"/>
  <c r="X161" i="6"/>
  <c r="I162" i="6"/>
  <c r="CO163" i="6"/>
  <c r="DS165" i="6"/>
  <c r="AF165" i="6"/>
  <c r="I168" i="6"/>
  <c r="X170" i="6"/>
  <c r="DX187" i="6"/>
  <c r="EH187" i="6" s="1"/>
  <c r="DR194" i="6"/>
  <c r="DV204" i="6"/>
  <c r="DP208" i="6"/>
  <c r="I208" i="6"/>
  <c r="I253" i="6"/>
  <c r="DT257" i="6"/>
  <c r="AB257" i="6"/>
  <c r="Q259" i="6"/>
  <c r="DP259" i="6"/>
  <c r="BN142" i="6"/>
  <c r="X151" i="6"/>
  <c r="DT151" i="6"/>
  <c r="DT154" i="6"/>
  <c r="AF159" i="6"/>
  <c r="DR165" i="6"/>
  <c r="DU182" i="6"/>
  <c r="DR184" i="6"/>
  <c r="DR188" i="6"/>
  <c r="CK196" i="6"/>
  <c r="DX197" i="6"/>
  <c r="EE197" i="6" s="1"/>
  <c r="DS215" i="6"/>
  <c r="AF215" i="6"/>
  <c r="DR228" i="6"/>
  <c r="AJ233" i="6"/>
  <c r="DT233" i="6"/>
  <c r="DT240" i="6"/>
  <c r="BA134" i="6"/>
  <c r="DQ147" i="6"/>
  <c r="DU160" i="6"/>
  <c r="DX160" i="6"/>
  <c r="DP163" i="6"/>
  <c r="Q168" i="6"/>
  <c r="AB170" i="6"/>
  <c r="BE170" i="6"/>
  <c r="DT172" i="6"/>
  <c r="X172" i="6"/>
  <c r="DP181" i="6"/>
  <c r="I181" i="6"/>
  <c r="AB182" i="6"/>
  <c r="AB186" i="6"/>
  <c r="CS195" i="6"/>
  <c r="DR205" i="6"/>
  <c r="DU208" i="6"/>
  <c r="DX225" i="6"/>
  <c r="EH225" i="6" s="1"/>
  <c r="CA234" i="6"/>
  <c r="DV242" i="6"/>
  <c r="I242" i="6"/>
  <c r="Q251" i="6"/>
  <c r="DP251" i="6"/>
  <c r="AX256" i="6"/>
  <c r="DR264" i="6"/>
  <c r="X277" i="6"/>
  <c r="DT277" i="6"/>
  <c r="AB295" i="6"/>
  <c r="Q191" i="6"/>
  <c r="CZ191" i="6"/>
  <c r="DQ194" i="6"/>
  <c r="DR206" i="6"/>
  <c r="DR210" i="6"/>
  <c r="DR219" i="6"/>
  <c r="DR223" i="6"/>
  <c r="DT226" i="6"/>
  <c r="DU227" i="6"/>
  <c r="I227" i="6"/>
  <c r="DR239" i="6"/>
  <c r="DX239" i="6" s="1"/>
  <c r="CS241" i="6"/>
  <c r="CA255" i="6"/>
  <c r="GG260" i="6"/>
  <c r="DR266" i="6"/>
  <c r="DS269" i="6"/>
  <c r="AF269" i="6"/>
  <c r="BS439" i="6"/>
  <c r="DR439" i="6"/>
  <c r="DT190" i="6"/>
  <c r="I206" i="6"/>
  <c r="DP206" i="6"/>
  <c r="EA210" i="6"/>
  <c r="DX210" i="6"/>
  <c r="EB210" i="6" s="1"/>
  <c r="BA214" i="6"/>
  <c r="DS217" i="6"/>
  <c r="BN224" i="6"/>
  <c r="BA226" i="6"/>
  <c r="DN229" i="6"/>
  <c r="DU249" i="6"/>
  <c r="CZ255" i="6"/>
  <c r="AF257" i="6"/>
  <c r="DS257" i="6"/>
  <c r="BE257" i="6"/>
  <c r="CS259" i="6"/>
  <c r="DQ259" i="6"/>
  <c r="EF264" i="6"/>
  <c r="I436" i="8"/>
  <c r="N436" i="8"/>
  <c r="DQ186" i="6"/>
  <c r="DR189" i="6"/>
  <c r="BE194" i="6"/>
  <c r="DS204" i="6"/>
  <c r="AF204" i="6"/>
  <c r="DV206" i="6"/>
  <c r="BE214" i="6"/>
  <c r="DU215" i="6"/>
  <c r="DR217" i="6"/>
  <c r="BA219" i="6"/>
  <c r="CO224" i="6"/>
  <c r="DN245" i="6"/>
  <c r="CS251" i="6"/>
  <c r="DR257" i="6"/>
  <c r="EB264" i="6"/>
  <c r="EG264" i="6"/>
  <c r="AF266" i="6"/>
  <c r="DR268" i="6"/>
  <c r="AU271" i="6"/>
  <c r="DR315" i="6"/>
  <c r="DQ187" i="6"/>
  <c r="DT201" i="6"/>
  <c r="I210" i="6"/>
  <c r="DY210" i="6" s="1"/>
  <c r="DU217" i="6"/>
  <c r="EB236" i="6"/>
  <c r="DQ248" i="6"/>
  <c r="DS255" i="6"/>
  <c r="I257" i="6"/>
  <c r="DP257" i="6"/>
  <c r="DP268" i="6"/>
  <c r="I268" i="6"/>
  <c r="DQ303" i="6"/>
  <c r="Q303" i="6"/>
  <c r="DT183" i="6"/>
  <c r="DR183" i="6"/>
  <c r="BE191" i="6"/>
  <c r="BN196" i="6"/>
  <c r="DP212" i="6"/>
  <c r="I212" i="6"/>
  <c r="AU230" i="6"/>
  <c r="EA237" i="6"/>
  <c r="DX237" i="6"/>
  <c r="EH237" i="6" s="1"/>
  <c r="DQ245" i="6"/>
  <c r="AF255" i="6"/>
  <c r="DR265" i="6"/>
  <c r="X197" i="6"/>
  <c r="DR201" i="6"/>
  <c r="DU202" i="6"/>
  <c r="CS204" i="6"/>
  <c r="DR214" i="6"/>
  <c r="DR220" i="6"/>
  <c r="EG237" i="6"/>
  <c r="AF248" i="6"/>
  <c r="DS248" i="6"/>
  <c r="DT250" i="6"/>
  <c r="DT303" i="6"/>
  <c r="X303" i="6"/>
  <c r="DP201" i="6"/>
  <c r="I201" i="6"/>
  <c r="EF237" i="6"/>
  <c r="DT237" i="6"/>
  <c r="DR248" i="6"/>
  <c r="DP255" i="6"/>
  <c r="I255" i="6"/>
  <c r="DT273" i="6"/>
  <c r="X273" i="6"/>
  <c r="DS191" i="6"/>
  <c r="AF191" i="6"/>
  <c r="DT192" i="6"/>
  <c r="DU194" i="6"/>
  <c r="DQ195" i="6"/>
  <c r="DV198" i="6"/>
  <c r="DS198" i="6"/>
  <c r="CK198" i="6"/>
  <c r="AF201" i="6"/>
  <c r="Q202" i="6"/>
  <c r="DQ209" i="6"/>
  <c r="DQ212" i="6"/>
  <c r="DR232" i="6"/>
  <c r="EB237" i="6"/>
  <c r="AF237" i="6"/>
  <c r="DT262" i="6"/>
  <c r="Q279" i="6"/>
  <c r="DV281" i="6"/>
  <c r="I281" i="6"/>
  <c r="DR339" i="6"/>
  <c r="AF339" i="6"/>
  <c r="DQ183" i="6"/>
  <c r="CK185" i="6"/>
  <c r="DU186" i="6"/>
  <c r="CF192" i="6"/>
  <c r="DS203" i="6"/>
  <c r="EF214" i="6"/>
  <c r="DX220" i="6"/>
  <c r="EH220" i="6" s="1"/>
  <c r="DT230" i="6"/>
  <c r="DX236" i="6"/>
  <c r="I237" i="6"/>
  <c r="AB244" i="6"/>
  <c r="DN249" i="6"/>
  <c r="DP252" i="6"/>
  <c r="DP265" i="6"/>
  <c r="I265" i="6"/>
  <c r="DN265" i="6"/>
  <c r="DR267" i="6"/>
  <c r="AR272" i="6"/>
  <c r="X291" i="6"/>
  <c r="CS302" i="6"/>
  <c r="DT340" i="6"/>
  <c r="Q341" i="6"/>
  <c r="DR170" i="6"/>
  <c r="AR171" i="6"/>
  <c r="DP180" i="6"/>
  <c r="I180" i="6"/>
  <c r="DT181" i="6"/>
  <c r="BN188" i="6"/>
  <c r="DT193" i="6"/>
  <c r="BN216" i="6"/>
  <c r="CS221" i="6"/>
  <c r="DQ231" i="6"/>
  <c r="BN233" i="6"/>
  <c r="EF236" i="6"/>
  <c r="CA238" i="6"/>
  <c r="CZ238" i="6"/>
  <c r="DQ242" i="6"/>
  <c r="DP246" i="6"/>
  <c r="I246" i="6"/>
  <c r="DQ260" i="6"/>
  <c r="DX260" i="6" s="1"/>
  <c r="DU272" i="6"/>
  <c r="DN172" i="6"/>
  <c r="DP179" i="6"/>
  <c r="I179" i="6"/>
  <c r="DS192" i="6"/>
  <c r="AF192" i="6"/>
  <c r="BE193" i="6"/>
  <c r="DX198" i="6"/>
  <c r="DS208" i="6"/>
  <c r="AF208" i="6"/>
  <c r="DU209" i="6"/>
  <c r="DN211" i="6"/>
  <c r="DN213" i="6"/>
  <c r="CK227" i="6"/>
  <c r="DS227" i="6"/>
  <c r="CS228" i="6"/>
  <c r="DU235" i="6"/>
  <c r="BN235" i="6"/>
  <c r="AX245" i="6"/>
  <c r="ED264" i="6"/>
  <c r="S272" i="6"/>
  <c r="DU274" i="6"/>
  <c r="DR176" i="6"/>
  <c r="CA183" i="6"/>
  <c r="DT191" i="6"/>
  <c r="DN202" i="6"/>
  <c r="CO209" i="6"/>
  <c r="DU213" i="6"/>
  <c r="I215" i="6"/>
  <c r="DR215" i="6"/>
  <c r="DT218" i="6"/>
  <c r="X218" i="6"/>
  <c r="DQ224" i="6"/>
  <c r="EG225" i="6"/>
  <c r="DS229" i="6"/>
  <c r="DV238" i="6"/>
  <c r="GG245" i="6"/>
  <c r="DT252" i="6"/>
  <c r="DN253" i="6"/>
  <c r="DN263" i="6"/>
  <c r="DX264" i="6"/>
  <c r="EH264" i="6" s="1"/>
  <c r="DT278" i="6"/>
  <c r="DU280" i="6"/>
  <c r="CK281" i="6"/>
  <c r="DS281" i="6"/>
  <c r="BN283" i="6"/>
  <c r="BN315" i="6"/>
  <c r="DT187" i="6"/>
  <c r="DR191" i="6"/>
  <c r="DU211" i="6"/>
  <c r="DQ220" i="6"/>
  <c r="DU223" i="6"/>
  <c r="DV229" i="6"/>
  <c r="DT234" i="6"/>
  <c r="DT246" i="6"/>
  <c r="DU255" i="6"/>
  <c r="DQ267" i="6"/>
  <c r="DQ268" i="6"/>
  <c r="DR269" i="6"/>
  <c r="DU276" i="6"/>
  <c r="CZ288" i="6"/>
  <c r="DT312" i="6"/>
  <c r="DN323" i="6"/>
  <c r="DR146" i="6"/>
  <c r="DS190" i="6"/>
  <c r="DR199" i="6"/>
  <c r="DT202" i="6"/>
  <c r="DQ211" i="6"/>
  <c r="DQ213" i="6"/>
  <c r="Q220" i="6"/>
  <c r="DQ223" i="6"/>
  <c r="DU229" i="6"/>
  <c r="DU232" i="6"/>
  <c r="AF234" i="6"/>
  <c r="DS244" i="6"/>
  <c r="DU245" i="6"/>
  <c r="DQ246" i="6"/>
  <c r="AJ246" i="6"/>
  <c r="DQ255" i="6"/>
  <c r="CZ258" i="6"/>
  <c r="DQ266" i="6"/>
  <c r="DP269" i="6"/>
  <c r="DT276" i="6"/>
  <c r="AX312" i="6"/>
  <c r="DT150" i="6"/>
  <c r="X154" i="6"/>
  <c r="DR161" i="6"/>
  <c r="DX161" i="6" s="1"/>
  <c r="DP182" i="6"/>
  <c r="I182" i="6"/>
  <c r="DR186" i="6"/>
  <c r="X187" i="6"/>
  <c r="DU189" i="6"/>
  <c r="DR190" i="6"/>
  <c r="DQ193" i="6"/>
  <c r="GG195" i="6"/>
  <c r="DQ205" i="6"/>
  <c r="DS207" i="6"/>
  <c r="DT209" i="6"/>
  <c r="X209" i="6"/>
  <c r="Q211" i="6"/>
  <c r="GG212" i="6"/>
  <c r="DS226" i="6"/>
  <c r="AF226" i="6"/>
  <c r="DQ229" i="6"/>
  <c r="DS230" i="6"/>
  <c r="DR237" i="6"/>
  <c r="DS238" i="6"/>
  <c r="DR244" i="6"/>
  <c r="DP245" i="6"/>
  <c r="I276" i="6"/>
  <c r="DR282" i="6"/>
  <c r="DR299" i="6"/>
  <c r="DS305" i="6"/>
  <c r="CK305" i="6"/>
  <c r="DS364" i="6"/>
  <c r="CA364" i="6"/>
  <c r="DS147" i="6"/>
  <c r="DP165" i="6"/>
  <c r="DP183" i="6"/>
  <c r="I183" i="6"/>
  <c r="DS183" i="6"/>
  <c r="AF184" i="6"/>
  <c r="CK186" i="6"/>
  <c r="DQ189" i="6"/>
  <c r="DP191" i="6"/>
  <c r="DQ192" i="6"/>
  <c r="I194" i="6"/>
  <c r="AF194" i="6"/>
  <c r="CS196" i="6"/>
  <c r="DV196" i="6"/>
  <c r="DV199" i="6"/>
  <c r="X202" i="6"/>
  <c r="Q203" i="6"/>
  <c r="DT204" i="6"/>
  <c r="I205" i="6"/>
  <c r="DR207" i="6"/>
  <c r="DP215" i="6"/>
  <c r="I226" i="6"/>
  <c r="DP226" i="6"/>
  <c r="DR226" i="6"/>
  <c r="DR230" i="6"/>
  <c r="AL237" i="6"/>
  <c r="DR238" i="6"/>
  <c r="DR243" i="6"/>
  <c r="DU269" i="6"/>
  <c r="X162" i="6"/>
  <c r="AF167" i="6"/>
  <c r="CA179" i="6"/>
  <c r="DP190" i="6"/>
  <c r="DV191" i="6"/>
  <c r="I192" i="6"/>
  <c r="DU199" i="6"/>
  <c r="DN199" i="6"/>
  <c r="DS200" i="6"/>
  <c r="DT206" i="6"/>
  <c r="DP216" i="6"/>
  <c r="DU218" i="6"/>
  <c r="DS218" i="6"/>
  <c r="Q227" i="6"/>
  <c r="Q229" i="6"/>
  <c r="DU234" i="6"/>
  <c r="I234" i="6"/>
  <c r="AO237" i="6"/>
  <c r="AF244" i="6"/>
  <c r="DR245" i="6"/>
  <c r="DQ269" i="6"/>
  <c r="DT270" i="6"/>
  <c r="BA270" i="6"/>
  <c r="DN273" i="6"/>
  <c r="Q276" i="6"/>
  <c r="AO276" i="6"/>
  <c r="DR276" i="6"/>
  <c r="DV153" i="6"/>
  <c r="DV190" i="6"/>
  <c r="DU191" i="6"/>
  <c r="DQ199" i="6"/>
  <c r="DR200" i="6"/>
  <c r="DQ218" i="6"/>
  <c r="DR218" i="6"/>
  <c r="DT220" i="6"/>
  <c r="DR234" i="6"/>
  <c r="DR256" i="6"/>
  <c r="AR277" i="6"/>
  <c r="DR277" i="6"/>
  <c r="DT288" i="6"/>
  <c r="X288" i="6"/>
  <c r="DX318" i="6"/>
  <c r="EA318" i="6" s="1"/>
  <c r="S176" i="6"/>
  <c r="I184" i="6"/>
  <c r="DU190" i="6"/>
  <c r="DQ191" i="6"/>
  <c r="I199" i="6"/>
  <c r="DP200" i="6"/>
  <c r="BA204" i="6"/>
  <c r="AL205" i="6"/>
  <c r="Q212" i="6"/>
  <c r="AL218" i="6"/>
  <c r="DR242" i="6"/>
  <c r="DP243" i="6"/>
  <c r="DQ244" i="6"/>
  <c r="CK273" i="6"/>
  <c r="DS273" i="6"/>
  <c r="DU277" i="6"/>
  <c r="CH280" i="6"/>
  <c r="DT282" i="6"/>
  <c r="DR297" i="6"/>
  <c r="DS297" i="6"/>
  <c r="EC318" i="6"/>
  <c r="DQ190" i="6"/>
  <c r="I191" i="6"/>
  <c r="DV197" i="6"/>
  <c r="BN199" i="6"/>
  <c r="AF200" i="6"/>
  <c r="DQ207" i="6"/>
  <c r="DT211" i="6"/>
  <c r="DT213" i="6"/>
  <c r="DQ216" i="6"/>
  <c r="X220" i="6"/>
  <c r="DS220" i="6"/>
  <c r="DQ238" i="6"/>
  <c r="DR247" i="6"/>
  <c r="DT253" i="6"/>
  <c r="DP256" i="6"/>
  <c r="I256" i="6"/>
  <c r="AF256" i="6"/>
  <c r="DS270" i="6"/>
  <c r="CK280" i="6"/>
  <c r="DS280" i="6"/>
  <c r="AX176" i="6"/>
  <c r="DR177" i="6"/>
  <c r="BE178" i="6"/>
  <c r="CA180" i="6"/>
  <c r="BA185" i="6"/>
  <c r="CS186" i="6"/>
  <c r="DT188" i="6"/>
  <c r="X188" i="6"/>
  <c r="I190" i="6"/>
  <c r="AO191" i="6"/>
  <c r="DP195" i="6"/>
  <c r="DU197" i="6"/>
  <c r="DS202" i="6"/>
  <c r="DP209" i="6"/>
  <c r="AO214" i="6"/>
  <c r="DY214" i="6" s="1"/>
  <c r="DT215" i="6"/>
  <c r="I216" i="6"/>
  <c r="DT217" i="6"/>
  <c r="DS224" i="6"/>
  <c r="AF242" i="6"/>
  <c r="DR270" i="6"/>
  <c r="Q274" i="6"/>
  <c r="Q277" i="6"/>
  <c r="DV282" i="6"/>
  <c r="I282" i="6"/>
  <c r="AF286" i="6"/>
  <c r="DR286" i="6"/>
  <c r="CO286" i="6"/>
  <c r="AB288" i="6"/>
  <c r="CK297" i="6"/>
  <c r="CO175" i="6"/>
  <c r="DT176" i="6"/>
  <c r="DV187" i="6"/>
  <c r="DT198" i="6"/>
  <c r="DQ200" i="6"/>
  <c r="DR202" i="6"/>
  <c r="X211" i="6"/>
  <c r="X213" i="6"/>
  <c r="CA217" i="6"/>
  <c r="AB220" i="6"/>
  <c r="DY220" i="6" s="1"/>
  <c r="DR224" i="6"/>
  <c r="DQ243" i="6"/>
  <c r="DP247" i="6"/>
  <c r="I247" i="6"/>
  <c r="AF247" i="6"/>
  <c r="DT263" i="6"/>
  <c r="DU279" i="6"/>
  <c r="AX287" i="6"/>
  <c r="DR287" i="6"/>
  <c r="DU288" i="6"/>
  <c r="AB300" i="6"/>
  <c r="DV186" i="6"/>
  <c r="DT221" i="6"/>
  <c r="DP222" i="6"/>
  <c r="DC225" i="6"/>
  <c r="DV226" i="6"/>
  <c r="BE228" i="6"/>
  <c r="DQ234" i="6"/>
  <c r="CF239" i="6"/>
  <c r="DT251" i="6"/>
  <c r="DU259" i="6"/>
  <c r="DR281" i="6"/>
  <c r="DQ282" i="6"/>
  <c r="DT302" i="6"/>
  <c r="DU315" i="6"/>
  <c r="DU187" i="6"/>
  <c r="DS188" i="6"/>
  <c r="DR198" i="6"/>
  <c r="DP213" i="6"/>
  <c r="DR222" i="6"/>
  <c r="DU226" i="6"/>
  <c r="DU230" i="6"/>
  <c r="DT231" i="6"/>
  <c r="X231" i="6"/>
  <c r="Q238" i="6"/>
  <c r="DT245" i="6"/>
  <c r="DR249" i="6"/>
  <c r="DU251" i="6"/>
  <c r="DR258" i="6"/>
  <c r="ED260" i="6"/>
  <c r="DP270" i="6"/>
  <c r="Q270" i="6"/>
  <c r="BN280" i="6"/>
  <c r="DS304" i="6"/>
  <c r="DQ315" i="6"/>
  <c r="X189" i="6"/>
  <c r="DQ226" i="6"/>
  <c r="DV228" i="6"/>
  <c r="DQ230" i="6"/>
  <c r="DT241" i="6"/>
  <c r="DS252" i="6"/>
  <c r="DT260" i="6"/>
  <c r="DV280" i="6"/>
  <c r="I280" i="6"/>
  <c r="DT386" i="6"/>
  <c r="X386" i="6"/>
  <c r="DS189" i="6"/>
  <c r="DP211" i="6"/>
  <c r="DQ222" i="6"/>
  <c r="DU228" i="6"/>
  <c r="AL234" i="6"/>
  <c r="DT242" i="6"/>
  <c r="DR250" i="6"/>
  <c r="DR279" i="6"/>
  <c r="DP282" i="6"/>
  <c r="Q282" i="6"/>
  <c r="DQ305" i="6"/>
  <c r="Q305" i="6"/>
  <c r="DQ317" i="6"/>
  <c r="BA338" i="6"/>
  <c r="DR338" i="6"/>
  <c r="DX338" i="6" s="1"/>
  <c r="X190" i="6"/>
  <c r="AF213" i="6"/>
  <c r="I222" i="6"/>
  <c r="DR259" i="6"/>
  <c r="DT266" i="6"/>
  <c r="DT267" i="6"/>
  <c r="DU273" i="6"/>
  <c r="DT274" i="6"/>
  <c r="X274" i="6"/>
  <c r="DU275" i="6"/>
  <c r="DS279" i="6"/>
  <c r="DS306" i="6"/>
  <c r="DU319" i="6"/>
  <c r="I176" i="6"/>
  <c r="AF176" i="6"/>
  <c r="I228" i="6"/>
  <c r="DT232" i="6"/>
  <c r="DT243" i="6"/>
  <c r="DR251" i="6"/>
  <c r="DT264" i="6"/>
  <c r="DT265" i="6"/>
  <c r="DV273" i="6"/>
  <c r="DQ275" i="6"/>
  <c r="CK275" i="6"/>
  <c r="DS275" i="6"/>
  <c r="DQ307" i="6"/>
  <c r="Q307" i="6"/>
  <c r="AX310" i="6"/>
  <c r="DR311" i="6"/>
  <c r="CS337" i="6"/>
  <c r="X191" i="6"/>
  <c r="AF202" i="6"/>
  <c r="AF211" i="6"/>
  <c r="DT229" i="6"/>
  <c r="DS231" i="6"/>
  <c r="Q239" i="6"/>
  <c r="DT268" i="6"/>
  <c r="CO272" i="6"/>
  <c r="AR273" i="6"/>
  <c r="I275" i="6"/>
  <c r="BN275" i="6"/>
  <c r="DP279" i="6"/>
  <c r="Q280" i="6"/>
  <c r="DR285" i="6"/>
  <c r="DQ289" i="6"/>
  <c r="Q289" i="6"/>
  <c r="DT329" i="6"/>
  <c r="X329" i="6"/>
  <c r="AO337" i="6"/>
  <c r="DR337" i="6"/>
  <c r="DS221" i="6"/>
  <c r="AF221" i="6"/>
  <c r="DT224" i="6"/>
  <c r="CO230" i="6"/>
  <c r="DR231" i="6"/>
  <c r="DP233" i="6"/>
  <c r="AR234" i="6"/>
  <c r="DT254" i="6"/>
  <c r="DX254" i="6" s="1"/>
  <c r="DR260" i="6"/>
  <c r="CO275" i="6"/>
  <c r="I279" i="6"/>
  <c r="DV279" i="6"/>
  <c r="DQ285" i="6"/>
  <c r="DQ287" i="6"/>
  <c r="CO306" i="6"/>
  <c r="DX355" i="6"/>
  <c r="EA355" i="6" s="1"/>
  <c r="BA361" i="6"/>
  <c r="X192" i="6"/>
  <c r="DR221" i="6"/>
  <c r="DR233" i="6"/>
  <c r="DR252" i="6"/>
  <c r="DR290" i="6"/>
  <c r="DN296" i="6"/>
  <c r="CS304" i="6"/>
  <c r="DP346" i="6"/>
  <c r="I346" i="6"/>
  <c r="DQ355" i="6"/>
  <c r="I218" i="6"/>
  <c r="X224" i="6"/>
  <c r="DR261" i="6"/>
  <c r="DR271" i="6"/>
  <c r="CS272" i="6"/>
  <c r="CS277" i="6"/>
  <c r="BN278" i="6"/>
  <c r="DQ279" i="6"/>
  <c r="AB286" i="6"/>
  <c r="EB292" i="6"/>
  <c r="DX311" i="6"/>
  <c r="EF343" i="6"/>
  <c r="EC355" i="6"/>
  <c r="AB356" i="6"/>
  <c r="DT356" i="6"/>
  <c r="AF207" i="6"/>
  <c r="DV221" i="6"/>
  <c r="DQ233" i="6"/>
  <c r="DR246" i="6"/>
  <c r="DR253" i="6"/>
  <c r="DR262" i="6"/>
  <c r="CA270" i="6"/>
  <c r="I285" i="6"/>
  <c r="DR296" i="6"/>
  <c r="DS296" i="6"/>
  <c r="CK296" i="6"/>
  <c r="DX298" i="6"/>
  <c r="EA298" i="6"/>
  <c r="AR304" i="6"/>
  <c r="BA271" i="6"/>
  <c r="CO274" i="6"/>
  <c r="DQ281" i="6"/>
  <c r="BN281" i="6"/>
  <c r="DP286" i="6"/>
  <c r="I286" i="6"/>
  <c r="DR298" i="6"/>
  <c r="DS298" i="6"/>
  <c r="CK298" i="6"/>
  <c r="DT300" i="6"/>
  <c r="CS303" i="6"/>
  <c r="DU306" i="6"/>
  <c r="GG270" i="6"/>
  <c r="DQ271" i="6"/>
  <c r="DR272" i="6"/>
  <c r="DU283" i="6"/>
  <c r="CZ287" i="6"/>
  <c r="DR288" i="6"/>
  <c r="AF288" i="6"/>
  <c r="DR295" i="6"/>
  <c r="DS295" i="6"/>
  <c r="DQ306" i="6"/>
  <c r="DR316" i="6"/>
  <c r="AR331" i="6"/>
  <c r="DT338" i="6"/>
  <c r="AB338" i="6"/>
  <c r="DT275" i="6"/>
  <c r="DQ283" i="6"/>
  <c r="DR294" i="6"/>
  <c r="DS294" i="6"/>
  <c r="DU297" i="6"/>
  <c r="DU299" i="6"/>
  <c r="Q306" i="6"/>
  <c r="DR284" i="6"/>
  <c r="DQ284" i="6"/>
  <c r="DP288" i="6"/>
  <c r="I288" i="6"/>
  <c r="DR289" i="6"/>
  <c r="DT290" i="6"/>
  <c r="CK295" i="6"/>
  <c r="DR300" i="6"/>
  <c r="DR309" i="6"/>
  <c r="DT311" i="6"/>
  <c r="Q315" i="6"/>
  <c r="DP315" i="6"/>
  <c r="DP224" i="6"/>
  <c r="DP229" i="6"/>
  <c r="GG271" i="6"/>
  <c r="DQ272" i="6"/>
  <c r="DR273" i="6"/>
  <c r="DX284" i="6"/>
  <c r="DV288" i="6"/>
  <c r="DN293" i="6"/>
  <c r="CK294" i="6"/>
  <c r="DX295" i="6"/>
  <c r="EA295" i="6" s="1"/>
  <c r="DU296" i="6"/>
  <c r="DT304" i="6"/>
  <c r="X304" i="6"/>
  <c r="DR308" i="6"/>
  <c r="AF352" i="6"/>
  <c r="DS352" i="6"/>
  <c r="DP230" i="6"/>
  <c r="CO270" i="6"/>
  <c r="BN271" i="6"/>
  <c r="BA275" i="6"/>
  <c r="AF284" i="6"/>
  <c r="X290" i="6"/>
  <c r="DR293" i="6"/>
  <c r="DS293" i="6"/>
  <c r="DT301" i="6"/>
  <c r="DV304" i="6"/>
  <c r="X311" i="6"/>
  <c r="DT330" i="6"/>
  <c r="X330" i="6"/>
  <c r="DR359" i="6"/>
  <c r="BA359" i="6"/>
  <c r="AX375" i="6"/>
  <c r="DR375" i="6"/>
  <c r="AJ376" i="6"/>
  <c r="DT376" i="6"/>
  <c r="DP231" i="6"/>
  <c r="CK271" i="6"/>
  <c r="DQ277" i="6"/>
  <c r="DU284" i="6"/>
  <c r="CS285" i="6"/>
  <c r="CS288" i="6"/>
  <c r="DS289" i="6"/>
  <c r="DQ291" i="6"/>
  <c r="CK292" i="6"/>
  <c r="DU295" i="6"/>
  <c r="DN307" i="6"/>
  <c r="DS308" i="6"/>
  <c r="CK308" i="6"/>
  <c r="DR310" i="6"/>
  <c r="AU316" i="6"/>
  <c r="DR334" i="6"/>
  <c r="CS334" i="6"/>
  <c r="AF224" i="6"/>
  <c r="AF229" i="6"/>
  <c r="DQ273" i="6"/>
  <c r="DR274" i="6"/>
  <c r="DT283" i="6"/>
  <c r="X283" i="6"/>
  <c r="DT286" i="6"/>
  <c r="DU292" i="6"/>
  <c r="DU294" i="6"/>
  <c r="DT318" i="6"/>
  <c r="X318" i="6"/>
  <c r="DR350" i="6"/>
  <c r="AF230" i="6"/>
  <c r="CO271" i="6"/>
  <c r="BN272" i="6"/>
  <c r="I284" i="6"/>
  <c r="BN289" i="6"/>
  <c r="CK289" i="6"/>
  <c r="BN308" i="6"/>
  <c r="DT313" i="6"/>
  <c r="AO334" i="6"/>
  <c r="AR271" i="6"/>
  <c r="CK272" i="6"/>
  <c r="DR275" i="6"/>
  <c r="DN277" i="6"/>
  <c r="X286" i="6"/>
  <c r="CA286" i="6"/>
  <c r="DP287" i="6"/>
  <c r="I287" i="6"/>
  <c r="DU289" i="6"/>
  <c r="DV293" i="6"/>
  <c r="DQ302" i="6"/>
  <c r="CK307" i="6"/>
  <c r="DU308" i="6"/>
  <c r="DU309" i="6"/>
  <c r="AF313" i="6"/>
  <c r="AX320" i="6"/>
  <c r="AX326" i="6"/>
  <c r="DQ274" i="6"/>
  <c r="DP276" i="6"/>
  <c r="DU293" i="6"/>
  <c r="BN307" i="6"/>
  <c r="DU310" i="6"/>
  <c r="DP313" i="6"/>
  <c r="I313" i="6"/>
  <c r="Q314" i="6"/>
  <c r="DR324" i="6"/>
  <c r="AO324" i="6"/>
  <c r="DV368" i="6"/>
  <c r="Q368" i="6"/>
  <c r="DV286" i="6"/>
  <c r="DV287" i="6"/>
  <c r="DU290" i="6"/>
  <c r="DR301" i="6"/>
  <c r="DT305" i="6"/>
  <c r="DS309" i="6"/>
  <c r="DS312" i="6"/>
  <c r="DV313" i="6"/>
  <c r="CK313" i="6"/>
  <c r="DR317" i="6"/>
  <c r="DR321" i="6"/>
  <c r="AO321" i="6"/>
  <c r="BN323" i="6"/>
  <c r="CO336" i="6"/>
  <c r="DQ336" i="6"/>
  <c r="DT292" i="6"/>
  <c r="DQ293" i="6"/>
  <c r="DQ294" i="6"/>
  <c r="DU300" i="6"/>
  <c r="DV305" i="6"/>
  <c r="DQ308" i="6"/>
  <c r="DU311" i="6"/>
  <c r="DU313" i="6"/>
  <c r="DC314" i="6"/>
  <c r="CA316" i="6"/>
  <c r="AB361" i="6"/>
  <c r="DT361" i="6"/>
  <c r="DS290" i="6"/>
  <c r="Q293" i="6"/>
  <c r="Q294" i="6"/>
  <c r="DQ295" i="6"/>
  <c r="DQ296" i="6"/>
  <c r="DQ297" i="6"/>
  <c r="DX297" i="6" s="1"/>
  <c r="DQ298" i="6"/>
  <c r="DS299" i="6"/>
  <c r="DR302" i="6"/>
  <c r="DT306" i="6"/>
  <c r="Q308" i="6"/>
  <c r="DV312" i="6"/>
  <c r="DQ313" i="6"/>
  <c r="DR333" i="6"/>
  <c r="DT337" i="6"/>
  <c r="X337" i="6"/>
  <c r="CW339" i="6"/>
  <c r="DQ339" i="6"/>
  <c r="DR340" i="6"/>
  <c r="DR351" i="6"/>
  <c r="CH351" i="6"/>
  <c r="AF375" i="6"/>
  <c r="DS375" i="6"/>
  <c r="ED401" i="6"/>
  <c r="CS289" i="6"/>
  <c r="DR291" i="6"/>
  <c r="X292" i="6"/>
  <c r="CS293" i="6"/>
  <c r="CS294" i="6"/>
  <c r="Q295" i="6"/>
  <c r="Q296" i="6"/>
  <c r="Q297" i="6"/>
  <c r="Q298" i="6"/>
  <c r="DU301" i="6"/>
  <c r="DV306" i="6"/>
  <c r="DQ309" i="6"/>
  <c r="DU312" i="6"/>
  <c r="DR314" i="6"/>
  <c r="DQ321" i="6"/>
  <c r="DT326" i="6"/>
  <c r="X326" i="6"/>
  <c r="DU333" i="6"/>
  <c r="DT289" i="6"/>
  <c r="CK290" i="6"/>
  <c r="CS295" i="6"/>
  <c r="CS296" i="6"/>
  <c r="CS297" i="6"/>
  <c r="CK299" i="6"/>
  <c r="DS300" i="6"/>
  <c r="DR303" i="6"/>
  <c r="X306" i="6"/>
  <c r="DT307" i="6"/>
  <c r="Q309" i="6"/>
  <c r="Q313" i="6"/>
  <c r="CA319" i="6"/>
  <c r="CA321" i="6"/>
  <c r="DS329" i="6"/>
  <c r="BS330" i="6"/>
  <c r="AO333" i="6"/>
  <c r="BP347" i="6"/>
  <c r="DR347" i="6"/>
  <c r="DT284" i="6"/>
  <c r="DV291" i="6"/>
  <c r="DU302" i="6"/>
  <c r="DX303" i="6"/>
  <c r="DV307" i="6"/>
  <c r="CS308" i="6"/>
  <c r="DQ310" i="6"/>
  <c r="AF314" i="6"/>
  <c r="DQ290" i="6"/>
  <c r="DX290" i="6" s="1"/>
  <c r="DU291" i="6"/>
  <c r="DT293" i="6"/>
  <c r="DT294" i="6"/>
  <c r="CS298" i="6"/>
  <c r="Q299" i="6"/>
  <c r="DS301" i="6"/>
  <c r="DR304" i="6"/>
  <c r="DT308" i="6"/>
  <c r="Q310" i="6"/>
  <c r="BN324" i="6"/>
  <c r="AU330" i="6"/>
  <c r="BS372" i="6"/>
  <c r="DU372" i="6"/>
  <c r="DP373" i="6"/>
  <c r="I373" i="6"/>
  <c r="DQ288" i="6"/>
  <c r="DT295" i="6"/>
  <c r="DT296" i="6"/>
  <c r="DT297" i="6"/>
  <c r="DT298" i="6"/>
  <c r="DQ300" i="6"/>
  <c r="DU303" i="6"/>
  <c r="DX304" i="6"/>
  <c r="DV308" i="6"/>
  <c r="CS309" i="6"/>
  <c r="DQ311" i="6"/>
  <c r="DP314" i="6"/>
  <c r="I314" i="6"/>
  <c r="DR336" i="6"/>
  <c r="BI406" i="6"/>
  <c r="DU406" i="6"/>
  <c r="CA289" i="6"/>
  <c r="DS291" i="6"/>
  <c r="DR305" i="6"/>
  <c r="DT309" i="6"/>
  <c r="DV314" i="6"/>
  <c r="DU335" i="6"/>
  <c r="DR335" i="6"/>
  <c r="AR401" i="6"/>
  <c r="DR401" i="6"/>
  <c r="DT285" i="6"/>
  <c r="CS290" i="6"/>
  <c r="DR292" i="6"/>
  <c r="X295" i="6"/>
  <c r="X296" i="6"/>
  <c r="X297" i="6"/>
  <c r="X298" i="6"/>
  <c r="CS299" i="6"/>
  <c r="DQ301" i="6"/>
  <c r="DU304" i="6"/>
  <c r="DV309" i="6"/>
  <c r="CS310" i="6"/>
  <c r="DU314" i="6"/>
  <c r="CK314" i="6"/>
  <c r="DS314" i="6"/>
  <c r="DR319" i="6"/>
  <c r="DQ335" i="6"/>
  <c r="DV387" i="6"/>
  <c r="I387" i="6"/>
  <c r="CZ283" i="6"/>
  <c r="CZ289" i="6"/>
  <c r="CK291" i="6"/>
  <c r="DX292" i="6"/>
  <c r="DT299" i="6"/>
  <c r="Q301" i="6"/>
  <c r="CK302" i="6"/>
  <c r="DS303" i="6"/>
  <c r="DR306" i="6"/>
  <c r="X309" i="6"/>
  <c r="DT310" i="6"/>
  <c r="DQ314" i="6"/>
  <c r="BN314" i="6"/>
  <c r="DR320" i="6"/>
  <c r="AO320" i="6"/>
  <c r="DU332" i="6"/>
  <c r="CO332" i="6"/>
  <c r="AO335" i="6"/>
  <c r="DN315" i="6"/>
  <c r="DT316" i="6"/>
  <c r="AX316" i="6"/>
  <c r="AB319" i="6"/>
  <c r="BN322" i="6"/>
  <c r="CS332" i="6"/>
  <c r="DQ333" i="6"/>
  <c r="DQ334" i="6"/>
  <c r="Q337" i="6"/>
  <c r="DU337" i="6"/>
  <c r="DQ341" i="6"/>
  <c r="CA343" i="6"/>
  <c r="DQ347" i="6"/>
  <c r="DT397" i="6"/>
  <c r="X397" i="6"/>
  <c r="BG424" i="6"/>
  <c r="DR424" i="6"/>
  <c r="AR314" i="6"/>
  <c r="DT315" i="6"/>
  <c r="Q322" i="6"/>
  <c r="DU323" i="6"/>
  <c r="DR323" i="6"/>
  <c r="DU325" i="6"/>
  <c r="DS351" i="6"/>
  <c r="AF351" i="6"/>
  <c r="DT362" i="6"/>
  <c r="AB362" i="6"/>
  <c r="CK367" i="6"/>
  <c r="DS367" i="6"/>
  <c r="DQ421" i="6"/>
  <c r="BA421" i="6"/>
  <c r="DS315" i="6"/>
  <c r="AF316" i="6"/>
  <c r="DY316" i="6" s="1"/>
  <c r="DQ323" i="6"/>
  <c r="DU324" i="6"/>
  <c r="DT331" i="6"/>
  <c r="DU340" i="6"/>
  <c r="Q349" i="6"/>
  <c r="DT360" i="6"/>
  <c r="AB360" i="6"/>
  <c r="CS314" i="6"/>
  <c r="DX316" i="6"/>
  <c r="DS317" i="6"/>
  <c r="BE320" i="6"/>
  <c r="DQ324" i="6"/>
  <c r="DT334" i="6"/>
  <c r="DP344" i="6"/>
  <c r="I344" i="6"/>
  <c r="AX352" i="6"/>
  <c r="DR352" i="6"/>
  <c r="DQ357" i="6"/>
  <c r="BA357" i="6"/>
  <c r="DQ374" i="6"/>
  <c r="BA374" i="6"/>
  <c r="DV316" i="6"/>
  <c r="DT317" i="6"/>
  <c r="DQ318" i="6"/>
  <c r="DQ319" i="6"/>
  <c r="DX319" i="6" s="1"/>
  <c r="BN319" i="6"/>
  <c r="DT319" i="6"/>
  <c r="DP339" i="6"/>
  <c r="DT341" i="6"/>
  <c r="DX341" i="6" s="1"/>
  <c r="CS313" i="6"/>
  <c r="DT314" i="6"/>
  <c r="I318" i="6"/>
  <c r="DY318" i="6" s="1"/>
  <c r="I319" i="6"/>
  <c r="DY319" i="6" s="1"/>
  <c r="BS323" i="6"/>
  <c r="BN327" i="6"/>
  <c r="DR328" i="6"/>
  <c r="DX328" i="6" s="1"/>
  <c r="DS330" i="6"/>
  <c r="DV339" i="6"/>
  <c r="DN342" i="6"/>
  <c r="DS342" i="6"/>
  <c r="S352" i="6"/>
  <c r="DU352" i="6"/>
  <c r="EC379" i="6"/>
  <c r="I290" i="6"/>
  <c r="I291" i="6"/>
  <c r="I292" i="6"/>
  <c r="I293" i="6"/>
  <c r="I294" i="6"/>
  <c r="I295" i="6"/>
  <c r="DY295" i="6" s="1"/>
  <c r="I296" i="6"/>
  <c r="I297" i="6"/>
  <c r="DY297" i="6" s="1"/>
  <c r="I298" i="6"/>
  <c r="DY298" i="6" s="1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AO318" i="6"/>
  <c r="DT322" i="6"/>
  <c r="BS326" i="6"/>
  <c r="DU327" i="6"/>
  <c r="DU328" i="6"/>
  <c r="DR329" i="6"/>
  <c r="AO329" i="6"/>
  <c r="DS321" i="6"/>
  <c r="DS331" i="6"/>
  <c r="BI365" i="6"/>
  <c r="DU365" i="6"/>
  <c r="CA366" i="6"/>
  <c r="DS366" i="6"/>
  <c r="DT367" i="6"/>
  <c r="EA319" i="6"/>
  <c r="X322" i="6"/>
  <c r="DQ329" i="6"/>
  <c r="GG340" i="6"/>
  <c r="CO342" i="6"/>
  <c r="DT349" i="6"/>
  <c r="X349" i="6"/>
  <c r="I356" i="6"/>
  <c r="DP356" i="6"/>
  <c r="DQ358" i="6"/>
  <c r="BA358" i="6"/>
  <c r="Q366" i="6"/>
  <c r="EG379" i="6"/>
  <c r="CO316" i="6"/>
  <c r="DU318" i="6"/>
  <c r="DS320" i="6"/>
  <c r="AF320" i="6"/>
  <c r="CO321" i="6"/>
  <c r="AU326" i="6"/>
  <c r="BN331" i="6"/>
  <c r="DN334" i="6"/>
  <c r="DQ338" i="6"/>
  <c r="DT345" i="6"/>
  <c r="DN352" i="6"/>
  <c r="CS371" i="6"/>
  <c r="GG387" i="6"/>
  <c r="AB388" i="6"/>
  <c r="DU388" i="6"/>
  <c r="I317" i="6"/>
  <c r="DT320" i="6"/>
  <c r="AF321" i="6"/>
  <c r="DN335" i="6"/>
  <c r="AO342" i="6"/>
  <c r="DR342" i="6"/>
  <c r="DR343" i="6"/>
  <c r="I376" i="6"/>
  <c r="DP376" i="6"/>
  <c r="CW379" i="6"/>
  <c r="DQ379" i="6"/>
  <c r="DV320" i="6"/>
  <c r="DN321" i="6"/>
  <c r="DV325" i="6"/>
  <c r="DT327" i="6"/>
  <c r="CS328" i="6"/>
  <c r="DU329" i="6"/>
  <c r="DT332" i="6"/>
  <c r="CS335" i="6"/>
  <c r="DX336" i="6"/>
  <c r="EH336" i="6" s="1"/>
  <c r="EA336" i="6"/>
  <c r="DS340" i="6"/>
  <c r="AF340" i="6"/>
  <c r="AX353" i="6"/>
  <c r="GG363" i="6"/>
  <c r="CA386" i="6"/>
  <c r="DS386" i="6"/>
  <c r="AO394" i="6"/>
  <c r="DQ320" i="6"/>
  <c r="DT323" i="6"/>
  <c r="DR325" i="6"/>
  <c r="DN325" i="6"/>
  <c r="DN329" i="6"/>
  <c r="DT333" i="6"/>
  <c r="Q342" i="6"/>
  <c r="DU342" i="6"/>
  <c r="CZ343" i="6"/>
  <c r="CA346" i="6"/>
  <c r="CZ346" i="6"/>
  <c r="DU355" i="6"/>
  <c r="BE356" i="6"/>
  <c r="DR356" i="6"/>
  <c r="DU361" i="6"/>
  <c r="BE366" i="6"/>
  <c r="DQ371" i="6"/>
  <c r="I320" i="6"/>
  <c r="DS322" i="6"/>
  <c r="BS347" i="6"/>
  <c r="CA373" i="6"/>
  <c r="DX377" i="6"/>
  <c r="ED377" i="6" s="1"/>
  <c r="AX378" i="6"/>
  <c r="DT380" i="6"/>
  <c r="BS383" i="6"/>
  <c r="DR383" i="6"/>
  <c r="BS401" i="6"/>
  <c r="Q482" i="6"/>
  <c r="DV482" i="6"/>
  <c r="DN319" i="6"/>
  <c r="DV326" i="6"/>
  <c r="DT328" i="6"/>
  <c r="DV330" i="6"/>
  <c r="X353" i="6"/>
  <c r="DT353" i="6"/>
  <c r="DU360" i="6"/>
  <c r="AF366" i="6"/>
  <c r="DR366" i="6"/>
  <c r="DU326" i="6"/>
  <c r="DS327" i="6"/>
  <c r="DU330" i="6"/>
  <c r="DS332" i="6"/>
  <c r="DT335" i="6"/>
  <c r="CZ339" i="6"/>
  <c r="DQ340" i="6"/>
  <c r="CZ344" i="6"/>
  <c r="DN345" i="6"/>
  <c r="DR348" i="6"/>
  <c r="DQ352" i="6"/>
  <c r="DS400" i="6"/>
  <c r="AF400" i="6"/>
  <c r="Q278" i="8"/>
  <c r="V278" i="8" s="1"/>
  <c r="DN320" i="6"/>
  <c r="DT321" i="6"/>
  <c r="DV322" i="6"/>
  <c r="DT324" i="6"/>
  <c r="CS325" i="6"/>
  <c r="DQ326" i="6"/>
  <c r="DR326" i="6"/>
  <c r="DN326" i="6"/>
  <c r="X328" i="6"/>
  <c r="DQ330" i="6"/>
  <c r="DR330" i="6"/>
  <c r="DX330" i="6" s="1"/>
  <c r="BS338" i="6"/>
  <c r="I340" i="6"/>
  <c r="DU349" i="6"/>
  <c r="CO358" i="6"/>
  <c r="DR363" i="6"/>
  <c r="DN378" i="6"/>
  <c r="AF386" i="6"/>
  <c r="DR386" i="6"/>
  <c r="DU322" i="6"/>
  <c r="DS323" i="6"/>
  <c r="DN330" i="6"/>
  <c r="DV331" i="6"/>
  <c r="DS333" i="6"/>
  <c r="DT336" i="6"/>
  <c r="DR345" i="6"/>
  <c r="DQ363" i="6"/>
  <c r="DU481" i="6"/>
  <c r="AB481" i="6"/>
  <c r="X315" i="6"/>
  <c r="X321" i="6"/>
  <c r="DQ322" i="6"/>
  <c r="DR322" i="6"/>
  <c r="DN322" i="6"/>
  <c r="X324" i="6"/>
  <c r="AO326" i="6"/>
  <c r="AB328" i="6"/>
  <c r="AO330" i="6"/>
  <c r="DU331" i="6"/>
  <c r="CO337" i="6"/>
  <c r="DU338" i="6"/>
  <c r="Q345" i="6"/>
  <c r="DS346" i="6"/>
  <c r="DX351" i="6"/>
  <c r="DU353" i="6"/>
  <c r="DQ354" i="6"/>
  <c r="CS356" i="6"/>
  <c r="BA363" i="6"/>
  <c r="DQ381" i="6"/>
  <c r="DR395" i="6"/>
  <c r="BA321" i="6"/>
  <c r="DV327" i="6"/>
  <c r="DQ331" i="6"/>
  <c r="DR331" i="6"/>
  <c r="DN331" i="6"/>
  <c r="DV332" i="6"/>
  <c r="DS334" i="6"/>
  <c r="AB335" i="6"/>
  <c r="DX337" i="6"/>
  <c r="DU341" i="6"/>
  <c r="DQ344" i="6"/>
  <c r="DQ345" i="6"/>
  <c r="DR346" i="6"/>
  <c r="X347" i="6"/>
  <c r="DU350" i="6"/>
  <c r="DP350" i="6"/>
  <c r="DR357" i="6"/>
  <c r="DR362" i="6"/>
  <c r="BA362" i="6"/>
  <c r="CA369" i="6"/>
  <c r="CO370" i="6"/>
  <c r="DQ380" i="6"/>
  <c r="BE321" i="6"/>
  <c r="DV323" i="6"/>
  <c r="DT325" i="6"/>
  <c r="CS326" i="6"/>
  <c r="DQ327" i="6"/>
  <c r="DR327" i="6"/>
  <c r="DN327" i="6"/>
  <c r="CS330" i="6"/>
  <c r="DQ332" i="6"/>
  <c r="DR332" i="6"/>
  <c r="DN332" i="6"/>
  <c r="DV333" i="6"/>
  <c r="DS335" i="6"/>
  <c r="AB336" i="6"/>
  <c r="I341" i="6"/>
  <c r="GG343" i="6"/>
  <c r="BS349" i="6"/>
  <c r="DR349" i="6"/>
  <c r="DQ351" i="6"/>
  <c r="DN359" i="6"/>
  <c r="DS376" i="6"/>
  <c r="DV328" i="6"/>
  <c r="AB329" i="6"/>
  <c r="DU334" i="6"/>
  <c r="CZ340" i="6"/>
  <c r="DX343" i="6"/>
  <c r="DS344" i="6"/>
  <c r="AF344" i="6"/>
  <c r="DN344" i="6"/>
  <c r="X352" i="6"/>
  <c r="DT352" i="6"/>
  <c r="BE352" i="6"/>
  <c r="AB357" i="6"/>
  <c r="DT357" i="6"/>
  <c r="AF371" i="6"/>
  <c r="CS376" i="6"/>
  <c r="DQ376" i="6"/>
  <c r="DT381" i="6"/>
  <c r="DX381" i="6" s="1"/>
  <c r="DR407" i="6"/>
  <c r="BE407" i="6"/>
  <c r="AO341" i="6"/>
  <c r="CA347" i="6"/>
  <c r="DX349" i="6"/>
  <c r="EH349" i="6" s="1"/>
  <c r="AB358" i="6"/>
  <c r="DT358" i="6"/>
  <c r="DN358" i="6"/>
  <c r="AB359" i="6"/>
  <c r="AF360" i="6"/>
  <c r="DS360" i="6"/>
  <c r="GG362" i="6"/>
  <c r="I372" i="6"/>
  <c r="DP372" i="6"/>
  <c r="Q394" i="6"/>
  <c r="DU394" i="6"/>
  <c r="DS336" i="6"/>
  <c r="CA349" i="6"/>
  <c r="AU351" i="6"/>
  <c r="DY351" i="6" s="1"/>
  <c r="DV356" i="6"/>
  <c r="I357" i="6"/>
  <c r="DX359" i="6"/>
  <c r="DQ360" i="6"/>
  <c r="DX360" i="6" s="1"/>
  <c r="DT366" i="6"/>
  <c r="CA390" i="6"/>
  <c r="DN392" i="6"/>
  <c r="DR423" i="6"/>
  <c r="AX423" i="6"/>
  <c r="DV343" i="6"/>
  <c r="DV357" i="6"/>
  <c r="DS358" i="6"/>
  <c r="AF369" i="6"/>
  <c r="DS369" i="6"/>
  <c r="AX390" i="6"/>
  <c r="DR390" i="6"/>
  <c r="DQ478" i="6"/>
  <c r="DU488" i="6"/>
  <c r="BV488" i="6"/>
  <c r="DU336" i="6"/>
  <c r="AX341" i="6"/>
  <c r="DR341" i="6"/>
  <c r="Q346" i="6"/>
  <c r="BE348" i="6"/>
  <c r="DT350" i="6"/>
  <c r="DV352" i="6"/>
  <c r="DS353" i="6"/>
  <c r="AF353" i="6"/>
  <c r="DV358" i="6"/>
  <c r="DU359" i="6"/>
  <c r="DP361" i="6"/>
  <c r="I364" i="6"/>
  <c r="AJ364" i="6"/>
  <c r="DT364" i="6"/>
  <c r="DR364" i="6"/>
  <c r="BN366" i="6"/>
  <c r="BN367" i="6"/>
  <c r="DR369" i="6"/>
  <c r="CO369" i="6"/>
  <c r="I399" i="6"/>
  <c r="DP399" i="6"/>
  <c r="DQ488" i="6"/>
  <c r="Q488" i="6"/>
  <c r="Q323" i="8"/>
  <c r="V323" i="8" s="1"/>
  <c r="T323" i="8"/>
  <c r="DV336" i="6"/>
  <c r="DV338" i="6"/>
  <c r="X341" i="6"/>
  <c r="I347" i="6"/>
  <c r="CA350" i="6"/>
  <c r="DR353" i="6"/>
  <c r="BS356" i="6"/>
  <c r="I362" i="6"/>
  <c r="DT363" i="6"/>
  <c r="CF373" i="6"/>
  <c r="DS374" i="6"/>
  <c r="AF374" i="6"/>
  <c r="AF380" i="6"/>
  <c r="AO382" i="6"/>
  <c r="DU390" i="6"/>
  <c r="S390" i="6"/>
  <c r="CZ393" i="6"/>
  <c r="DT396" i="6"/>
  <c r="X396" i="6"/>
  <c r="AF322" i="6"/>
  <c r="AF323" i="6"/>
  <c r="AF324" i="6"/>
  <c r="AF325" i="6"/>
  <c r="AF326" i="6"/>
  <c r="AF327" i="6"/>
  <c r="AF328" i="6"/>
  <c r="AF329" i="6"/>
  <c r="AF330" i="6"/>
  <c r="AF331" i="6"/>
  <c r="AF332" i="6"/>
  <c r="AF333" i="6"/>
  <c r="AF334" i="6"/>
  <c r="AF335" i="6"/>
  <c r="AO339" i="6"/>
  <c r="DV347" i="6"/>
  <c r="CA351" i="6"/>
  <c r="BE354" i="6"/>
  <c r="AU356" i="6"/>
  <c r="BS357" i="6"/>
  <c r="BS359" i="6"/>
  <c r="CS361" i="6"/>
  <c r="DU362" i="6"/>
  <c r="I363" i="6"/>
  <c r="DU364" i="6"/>
  <c r="DR365" i="6"/>
  <c r="DU366" i="6"/>
  <c r="DQ367" i="6"/>
  <c r="DR374" i="6"/>
  <c r="DR389" i="6"/>
  <c r="DU391" i="6"/>
  <c r="DR391" i="6"/>
  <c r="AL391" i="6"/>
  <c r="DU347" i="6"/>
  <c r="DS355" i="6"/>
  <c r="DU363" i="6"/>
  <c r="I365" i="6"/>
  <c r="DU368" i="6"/>
  <c r="DR380" i="6"/>
  <c r="DT39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8" i="6"/>
  <c r="DV342" i="6"/>
  <c r="DT344" i="6"/>
  <c r="DV345" i="6"/>
  <c r="DT355" i="6"/>
  <c r="AO365" i="6"/>
  <c r="I366" i="6"/>
  <c r="AL367" i="6"/>
  <c r="DR367" i="6"/>
  <c r="AL378" i="6"/>
  <c r="DR378" i="6"/>
  <c r="DS380" i="6"/>
  <c r="AX393" i="6"/>
  <c r="DU426" i="6"/>
  <c r="DV426" i="6"/>
  <c r="DV337" i="6"/>
  <c r="DV348" i="6"/>
  <c r="DV353" i="6"/>
  <c r="DS356" i="6"/>
  <c r="CZ359" i="6"/>
  <c r="Q364" i="6"/>
  <c r="DQ378" i="6"/>
  <c r="DT384" i="6"/>
  <c r="CK387" i="6"/>
  <c r="X340" i="6"/>
  <c r="CZ341" i="6"/>
  <c r="X344" i="6"/>
  <c r="DT346" i="6"/>
  <c r="DU348" i="6"/>
  <c r="AF354" i="6"/>
  <c r="CA355" i="6"/>
  <c r="DS357" i="6"/>
  <c r="Q382" i="6"/>
  <c r="AF384" i="6"/>
  <c r="DU386" i="6"/>
  <c r="DT392" i="6"/>
  <c r="DV404" i="6"/>
  <c r="Q404" i="6"/>
  <c r="CA344" i="6"/>
  <c r="AX346" i="6"/>
  <c r="Q347" i="6"/>
  <c r="I349" i="6"/>
  <c r="CF351" i="6"/>
  <c r="DQ353" i="6"/>
  <c r="DR354" i="6"/>
  <c r="BE355" i="6"/>
  <c r="DR360" i="6"/>
  <c r="AR367" i="6"/>
  <c r="DP384" i="6"/>
  <c r="I384" i="6"/>
  <c r="S386" i="6"/>
  <c r="EA378" i="6"/>
  <c r="DX378" i="6"/>
  <c r="EF378" i="6" s="1"/>
  <c r="DU384" i="6"/>
  <c r="DQ396" i="6"/>
  <c r="DU398" i="6"/>
  <c r="DQ399" i="6"/>
  <c r="DS370" i="6"/>
  <c r="CA374" i="6"/>
  <c r="DQ384" i="6"/>
  <c r="Q426" i="6"/>
  <c r="AF437" i="6"/>
  <c r="DS437" i="6"/>
  <c r="D512" i="8"/>
  <c r="R512" i="8" s="1"/>
  <c r="O512" i="8"/>
  <c r="I371" i="6"/>
  <c r="AU390" i="6"/>
  <c r="I406" i="6"/>
  <c r="DR418" i="6"/>
  <c r="DS424" i="6"/>
  <c r="DV430" i="6"/>
  <c r="Q430" i="6"/>
  <c r="CK431" i="6"/>
  <c r="BN351" i="6"/>
  <c r="CZ360" i="6"/>
  <c r="DC363" i="6"/>
  <c r="CZ366" i="6"/>
  <c r="X369" i="6"/>
  <c r="DR370" i="6"/>
  <c r="DP374" i="6"/>
  <c r="DX379" i="6"/>
  <c r="EH379" i="6" s="1"/>
  <c r="CA383" i="6"/>
  <c r="Q392" i="6"/>
  <c r="DT393" i="6"/>
  <c r="X393" i="6"/>
  <c r="DR400" i="6"/>
  <c r="DS402" i="6"/>
  <c r="EC454" i="6"/>
  <c r="DT370" i="6"/>
  <c r="DT383" i="6"/>
  <c r="DP388" i="6"/>
  <c r="Q388" i="6"/>
  <c r="DS425" i="6"/>
  <c r="AF425" i="6"/>
  <c r="DR429" i="6"/>
  <c r="DV354" i="6"/>
  <c r="DT368" i="6"/>
  <c r="X368" i="6"/>
  <c r="DS368" i="6"/>
  <c r="DQ369" i="6"/>
  <c r="AF370" i="6"/>
  <c r="DR372" i="6"/>
  <c r="DU374" i="6"/>
  <c r="DR403" i="6"/>
  <c r="AF403" i="6"/>
  <c r="DP409" i="6"/>
  <c r="Q409" i="6"/>
  <c r="DT418" i="6"/>
  <c r="X418" i="6"/>
  <c r="DQ429" i="6"/>
  <c r="AL429" i="6"/>
  <c r="DU354" i="6"/>
  <c r="AB369" i="6"/>
  <c r="BA369" i="6"/>
  <c r="DU370" i="6"/>
  <c r="DT375" i="6"/>
  <c r="X383" i="6"/>
  <c r="CZ409" i="6"/>
  <c r="I429" i="6"/>
  <c r="I355" i="6"/>
  <c r="DV359" i="6"/>
  <c r="DQ370" i="6"/>
  <c r="AF372" i="6"/>
  <c r="I374" i="6"/>
  <c r="X402" i="6"/>
  <c r="DT402" i="6"/>
  <c r="DT413" i="6"/>
  <c r="X413" i="6"/>
  <c r="DQ414" i="6"/>
  <c r="Q414" i="6"/>
  <c r="DP354" i="6"/>
  <c r="DU356" i="6"/>
  <c r="DU357" i="6"/>
  <c r="DU358" i="6"/>
  <c r="I359" i="6"/>
  <c r="DV365" i="6"/>
  <c r="DU379" i="6"/>
  <c r="AJ405" i="6"/>
  <c r="DT405" i="6"/>
  <c r="BN365" i="6"/>
  <c r="DP367" i="6"/>
  <c r="AB371" i="6"/>
  <c r="AB379" i="6"/>
  <c r="CA381" i="6"/>
  <c r="DS384" i="6"/>
  <c r="BA388" i="6"/>
  <c r="BV404" i="6"/>
  <c r="CZ404" i="6"/>
  <c r="DT404" i="6"/>
  <c r="I405" i="6"/>
  <c r="DR427" i="6"/>
  <c r="Q362" i="6"/>
  <c r="Q363" i="6"/>
  <c r="DN369" i="6"/>
  <c r="DR384" i="6"/>
  <c r="DT385" i="6"/>
  <c r="X385" i="6"/>
  <c r="DU396" i="6"/>
  <c r="CA404" i="6"/>
  <c r="AO405" i="6"/>
  <c r="DR405" i="6"/>
  <c r="DX405" i="6" s="1"/>
  <c r="DT416" i="6"/>
  <c r="X416" i="6"/>
  <c r="DT427" i="6"/>
  <c r="BA371" i="6"/>
  <c r="DS373" i="6"/>
  <c r="AF373" i="6"/>
  <c r="CZ373" i="6"/>
  <c r="Q376" i="6"/>
  <c r="DR387" i="6"/>
  <c r="CK389" i="6"/>
  <c r="BS394" i="6"/>
  <c r="BA396" i="6"/>
  <c r="DQ402" i="6"/>
  <c r="DR402" i="6"/>
  <c r="BS414" i="6"/>
  <c r="CS420" i="6"/>
  <c r="CZ427" i="6"/>
  <c r="DT377" i="6"/>
  <c r="DT425" i="6"/>
  <c r="DU428" i="6"/>
  <c r="I428" i="6"/>
  <c r="DU429" i="6"/>
  <c r="DS432" i="6"/>
  <c r="CK432" i="6"/>
  <c r="AO464" i="6"/>
  <c r="DR464" i="6"/>
  <c r="CS464" i="6"/>
  <c r="DQ464" i="6"/>
  <c r="AF473" i="6"/>
  <c r="DS473" i="6"/>
  <c r="CF375" i="6"/>
  <c r="DR385" i="6"/>
  <c r="DU441" i="6"/>
  <c r="I441" i="6"/>
  <c r="GG371" i="6"/>
  <c r="AL385" i="6"/>
  <c r="DR388" i="6"/>
  <c r="DS390" i="6"/>
  <c r="DV393" i="6"/>
  <c r="DR420" i="6"/>
  <c r="Q429" i="6"/>
  <c r="DR442" i="6"/>
  <c r="AX463" i="6"/>
  <c r="DR463" i="6"/>
  <c r="DU369" i="6"/>
  <c r="Q372" i="6"/>
  <c r="I375" i="6"/>
  <c r="AF383" i="6"/>
  <c r="DQ386" i="6"/>
  <c r="DU389" i="6"/>
  <c r="Q405" i="6"/>
  <c r="Q410" i="6"/>
  <c r="DT412" i="6"/>
  <c r="I425" i="6"/>
  <c r="BE465" i="6"/>
  <c r="I381" i="6"/>
  <c r="AF388" i="6"/>
  <c r="DV410" i="6"/>
  <c r="AO413" i="6"/>
  <c r="DT420" i="6"/>
  <c r="X420" i="6"/>
  <c r="AX420" i="6"/>
  <c r="DT374" i="6"/>
  <c r="DU375" i="6"/>
  <c r="I380" i="6"/>
  <c r="AO381" i="6"/>
  <c r="DN385" i="6"/>
  <c r="DS391" i="6"/>
  <c r="CK391" i="6"/>
  <c r="X392" i="6"/>
  <c r="DT407" i="6"/>
  <c r="BA424" i="6"/>
  <c r="DU445" i="6"/>
  <c r="I445" i="6"/>
  <c r="AL462" i="6"/>
  <c r="DR462" i="6"/>
  <c r="CA368" i="6"/>
  <c r="DR368" i="6"/>
  <c r="Q381" i="6"/>
  <c r="DU382" i="6"/>
  <c r="DU385" i="6"/>
  <c r="CS386" i="6"/>
  <c r="I403" i="6"/>
  <c r="AB406" i="6"/>
  <c r="DT406" i="6"/>
  <c r="DS408" i="6"/>
  <c r="CK408" i="6"/>
  <c r="DR412" i="6"/>
  <c r="CK415" i="6"/>
  <c r="DT417" i="6"/>
  <c r="X417" i="6"/>
  <c r="DC440" i="6"/>
  <c r="DT440" i="6"/>
  <c r="DQ382" i="6"/>
  <c r="DQ385" i="6"/>
  <c r="DQ388" i="6"/>
  <c r="DX401" i="6"/>
  <c r="BE422" i="6"/>
  <c r="DR422" i="6"/>
  <c r="Q375" i="6"/>
  <c r="I382" i="6"/>
  <c r="DR382" i="6"/>
  <c r="DU383" i="6"/>
  <c r="CO383" i="6"/>
  <c r="Q385" i="6"/>
  <c r="DN394" i="6"/>
  <c r="I398" i="6"/>
  <c r="DQ404" i="6"/>
  <c r="DQ407" i="6"/>
  <c r="DU409" i="6"/>
  <c r="BN415" i="6"/>
  <c r="DT424" i="6"/>
  <c r="X431" i="6"/>
  <c r="CA435" i="6"/>
  <c r="DP370" i="6"/>
  <c r="Q379" i="6"/>
  <c r="AU385" i="6"/>
  <c r="I391" i="6"/>
  <c r="DU393" i="6"/>
  <c r="DQ394" i="6"/>
  <c r="AO398" i="6"/>
  <c r="DR398" i="6"/>
  <c r="DX398" i="6" s="1"/>
  <c r="CS398" i="6"/>
  <c r="DS399" i="6"/>
  <c r="DR406" i="6"/>
  <c r="DX406" i="6" s="1"/>
  <c r="CK406" i="6"/>
  <c r="DS406" i="6"/>
  <c r="DN422" i="6"/>
  <c r="AX435" i="6"/>
  <c r="DR435" i="6"/>
  <c r="BE438" i="6"/>
  <c r="DR438" i="6"/>
  <c r="AU382" i="6"/>
  <c r="DV386" i="6"/>
  <c r="DT389" i="6"/>
  <c r="DN391" i="6"/>
  <c r="DQ393" i="6"/>
  <c r="DT394" i="6"/>
  <c r="DS396" i="6"/>
  <c r="AF396" i="6"/>
  <c r="CA397" i="6"/>
  <c r="CA405" i="6"/>
  <c r="CF413" i="6"/>
  <c r="BA420" i="6"/>
  <c r="GG420" i="6"/>
  <c r="DN421" i="6"/>
  <c r="I423" i="6"/>
  <c r="DQ425" i="6"/>
  <c r="DT428" i="6"/>
  <c r="DC428" i="6"/>
  <c r="DQ432" i="6"/>
  <c r="DQ445" i="6"/>
  <c r="DS393" i="6"/>
  <c r="DS397" i="6"/>
  <c r="DT408" i="6"/>
  <c r="DV416" i="6"/>
  <c r="DV423" i="6"/>
  <c r="DX423" i="6" s="1"/>
  <c r="AF430" i="6"/>
  <c r="DR430" i="6"/>
  <c r="DR393" i="6"/>
  <c r="CZ394" i="6"/>
  <c r="DV400" i="6"/>
  <c r="DT401" i="6"/>
  <c r="AJ407" i="6"/>
  <c r="AJ408" i="6"/>
  <c r="DT414" i="6"/>
  <c r="X414" i="6"/>
  <c r="BE419" i="6"/>
  <c r="DQ419" i="6"/>
  <c r="DQ424" i="6"/>
  <c r="DS434" i="6"/>
  <c r="AF434" i="6"/>
  <c r="EF454" i="6"/>
  <c r="DP467" i="6"/>
  <c r="Q467" i="6"/>
  <c r="DQ391" i="6"/>
  <c r="CK393" i="6"/>
  <c r="DQ395" i="6"/>
  <c r="DT398" i="6"/>
  <c r="DU400" i="6"/>
  <c r="DR410" i="6"/>
  <c r="DU420" i="6"/>
  <c r="DV422" i="6"/>
  <c r="DP422" i="6"/>
  <c r="EB438" i="6"/>
  <c r="DU443" i="6"/>
  <c r="CO388" i="6"/>
  <c r="DR392" i="6"/>
  <c r="AO393" i="6"/>
  <c r="CO393" i="6"/>
  <c r="AB394" i="6"/>
  <c r="Q395" i="6"/>
  <c r="DV396" i="6"/>
  <c r="AB401" i="6"/>
  <c r="I402" i="6"/>
  <c r="I407" i="6"/>
  <c r="DQ408" i="6"/>
  <c r="AL408" i="6"/>
  <c r="DQ415" i="6"/>
  <c r="DS420" i="6"/>
  <c r="AF420" i="6"/>
  <c r="DP421" i="6"/>
  <c r="DU422" i="6"/>
  <c r="CS423" i="6"/>
  <c r="DQ435" i="6"/>
  <c r="N24" i="8"/>
  <c r="L24" i="8"/>
  <c r="DS385" i="6"/>
  <c r="I390" i="6"/>
  <c r="DR396" i="6"/>
  <c r="AF397" i="6"/>
  <c r="DR397" i="6"/>
  <c r="X398" i="6"/>
  <c r="I408" i="6"/>
  <c r="DR409" i="6"/>
  <c r="DS413" i="6"/>
  <c r="DR421" i="6"/>
  <c r="CO421" i="6"/>
  <c r="DQ422" i="6"/>
  <c r="DP430" i="6"/>
  <c r="I430" i="6"/>
  <c r="BS384" i="6"/>
  <c r="DT387" i="6"/>
  <c r="AU388" i="6"/>
  <c r="DS394" i="6"/>
  <c r="S395" i="6"/>
  <c r="AL396" i="6"/>
  <c r="DN396" i="6"/>
  <c r="AO402" i="6"/>
  <c r="DP402" i="6"/>
  <c r="Q407" i="6"/>
  <c r="DT410" i="6"/>
  <c r="BI410" i="6"/>
  <c r="DV417" i="6"/>
  <c r="DV418" i="6"/>
  <c r="DU431" i="6"/>
  <c r="DR394" i="6"/>
  <c r="I397" i="6"/>
  <c r="DP397" i="6"/>
  <c r="DT403" i="6"/>
  <c r="DP408" i="6"/>
  <c r="Q408" i="6"/>
  <c r="DS414" i="6"/>
  <c r="DU417" i="6"/>
  <c r="DR428" i="6"/>
  <c r="CK429" i="6"/>
  <c r="BS431" i="6"/>
  <c r="DT391" i="6"/>
  <c r="DV392" i="6"/>
  <c r="DT395" i="6"/>
  <c r="DV401" i="6"/>
  <c r="DS409" i="6"/>
  <c r="Q412" i="6"/>
  <c r="DR426" i="6"/>
  <c r="DT450" i="6"/>
  <c r="X450" i="6"/>
  <c r="DV492" i="6"/>
  <c r="I492" i="6"/>
  <c r="Q177" i="8"/>
  <c r="V177" i="8" s="1"/>
  <c r="DT382" i="6"/>
  <c r="DU392" i="6"/>
  <c r="AX395" i="6"/>
  <c r="DU397" i="6"/>
  <c r="DT399" i="6"/>
  <c r="Q402" i="6"/>
  <c r="DR404" i="6"/>
  <c r="BN409" i="6"/>
  <c r="DT415" i="6"/>
  <c r="AX415" i="6"/>
  <c r="Q416" i="6"/>
  <c r="CS417" i="6"/>
  <c r="CO429" i="6"/>
  <c r="DR433" i="6"/>
  <c r="BN453" i="6"/>
  <c r="N14" i="8"/>
  <c r="L14" i="8"/>
  <c r="Q19" i="8"/>
  <c r="T19" i="8"/>
  <c r="DS389" i="6"/>
  <c r="AF389" i="6"/>
  <c r="AX391" i="6"/>
  <c r="CA391" i="6"/>
  <c r="DQ392" i="6"/>
  <c r="DS398" i="6"/>
  <c r="AF398" i="6"/>
  <c r="BN401" i="6"/>
  <c r="AU402" i="6"/>
  <c r="DQ409" i="6"/>
  <c r="DQ410" i="6"/>
  <c r="AO410" i="6"/>
  <c r="DT411" i="6"/>
  <c r="BN414" i="6"/>
  <c r="CO414" i="6"/>
  <c r="DU421" i="6"/>
  <c r="I427" i="6"/>
  <c r="DP427" i="6"/>
  <c r="BN429" i="6"/>
  <c r="DT453" i="6"/>
  <c r="CA418" i="6"/>
  <c r="CA419" i="6"/>
  <c r="DV425" i="6"/>
  <c r="DX429" i="6"/>
  <c r="DV432" i="6"/>
  <c r="Q432" i="6"/>
  <c r="CK442" i="6"/>
  <c r="DS448" i="6"/>
  <c r="AF448" i="6"/>
  <c r="AR406" i="6"/>
  <c r="DT409" i="6"/>
  <c r="CA417" i="6"/>
  <c r="BA418" i="6"/>
  <c r="AU436" i="6"/>
  <c r="DV441" i="6"/>
  <c r="Q441" i="6"/>
  <c r="AF452" i="6"/>
  <c r="DS452" i="6"/>
  <c r="DN454" i="6"/>
  <c r="X390" i="6"/>
  <c r="DP395" i="6"/>
  <c r="BE402" i="6"/>
  <c r="CO403" i="6"/>
  <c r="DS411" i="6"/>
  <c r="CK411" i="6"/>
  <c r="DS412" i="6"/>
  <c r="DR413" i="6"/>
  <c r="DR414" i="6"/>
  <c r="AB416" i="6"/>
  <c r="AB418" i="6"/>
  <c r="DR419" i="6"/>
  <c r="DV420" i="6"/>
  <c r="I420" i="6"/>
  <c r="DQ428" i="6"/>
  <c r="DS428" i="6"/>
  <c r="BE439" i="6"/>
  <c r="CK454" i="6"/>
  <c r="S472" i="6"/>
  <c r="DU472" i="6"/>
  <c r="AF477" i="6"/>
  <c r="DS477" i="6"/>
  <c r="DU412" i="6"/>
  <c r="DS415" i="6"/>
  <c r="DT436" i="6"/>
  <c r="X436" i="6"/>
  <c r="AF471" i="6"/>
  <c r="DS471" i="6"/>
  <c r="DQ471" i="6"/>
  <c r="CO471" i="6"/>
  <c r="DQ411" i="6"/>
  <c r="CO411" i="6"/>
  <c r="DQ412" i="6"/>
  <c r="CK412" i="6"/>
  <c r="DP413" i="6"/>
  <c r="DR415" i="6"/>
  <c r="DS416" i="6"/>
  <c r="AF416" i="6"/>
  <c r="DS418" i="6"/>
  <c r="AF418" i="6"/>
  <c r="I419" i="6"/>
  <c r="DP419" i="6"/>
  <c r="AF419" i="6"/>
  <c r="DQ420" i="6"/>
  <c r="I424" i="6"/>
  <c r="CK428" i="6"/>
  <c r="DT429" i="6"/>
  <c r="DS438" i="6"/>
  <c r="AF438" i="6"/>
  <c r="BA459" i="6"/>
  <c r="DP392" i="6"/>
  <c r="AF395" i="6"/>
  <c r="DC405" i="6"/>
  <c r="DR411" i="6"/>
  <c r="BN411" i="6"/>
  <c r="DN412" i="6"/>
  <c r="DR416" i="6"/>
  <c r="DV419" i="6"/>
  <c r="DT433" i="6"/>
  <c r="DQ450" i="6"/>
  <c r="DS451" i="6"/>
  <c r="CS461" i="6"/>
  <c r="DT488" i="6"/>
  <c r="DP391" i="6"/>
  <c r="AF394" i="6"/>
  <c r="I396" i="6"/>
  <c r="DN413" i="6"/>
  <c r="AF417" i="6"/>
  <c r="DR417" i="6"/>
  <c r="DU419" i="6"/>
  <c r="DU424" i="6"/>
  <c r="AF427" i="6"/>
  <c r="DS427" i="6"/>
  <c r="DQ434" i="6"/>
  <c r="V182" i="8"/>
  <c r="AA182" i="8" s="1"/>
  <c r="U182" i="8"/>
  <c r="Z182" i="8" s="1"/>
  <c r="BN404" i="6"/>
  <c r="DN414" i="6"/>
  <c r="DU415" i="6"/>
  <c r="I417" i="6"/>
  <c r="DP417" i="6"/>
  <c r="DQ437" i="6"/>
  <c r="I439" i="6"/>
  <c r="AF443" i="6"/>
  <c r="AF390" i="6"/>
  <c r="DU402" i="6"/>
  <c r="BN405" i="6"/>
  <c r="AR411" i="6"/>
  <c r="DN416" i="6"/>
  <c r="DU418" i="6"/>
  <c r="DT421" i="6"/>
  <c r="CA421" i="6"/>
  <c r="CZ421" i="6"/>
  <c r="DS422" i="6"/>
  <c r="AF422" i="6"/>
  <c r="DS429" i="6"/>
  <c r="AF429" i="6"/>
  <c r="DQ430" i="6"/>
  <c r="DN431" i="6"/>
  <c r="DN432" i="6"/>
  <c r="AX437" i="6"/>
  <c r="DU413" i="6"/>
  <c r="DV414" i="6"/>
  <c r="CO415" i="6"/>
  <c r="DQ418" i="6"/>
  <c r="DS419" i="6"/>
  <c r="DV421" i="6"/>
  <c r="DU427" i="6"/>
  <c r="CO427" i="6"/>
  <c r="DQ431" i="6"/>
  <c r="DR431" i="6"/>
  <c r="DT434" i="6"/>
  <c r="X460" i="6"/>
  <c r="DT460" i="6"/>
  <c r="Q479" i="6"/>
  <c r="DU479" i="6"/>
  <c r="Q88" i="8"/>
  <c r="V88" i="8" s="1"/>
  <c r="AA88" i="8" s="1"/>
  <c r="V99" i="8"/>
  <c r="R99" i="8"/>
  <c r="DS410" i="6"/>
  <c r="AU412" i="6"/>
  <c r="DU414" i="6"/>
  <c r="CS419" i="6"/>
  <c r="DP426" i="6"/>
  <c r="DQ427" i="6"/>
  <c r="BN432" i="6"/>
  <c r="DV434" i="6"/>
  <c r="DC442" i="6"/>
  <c r="DR447" i="6"/>
  <c r="I478" i="6"/>
  <c r="DP478" i="6"/>
  <c r="Q50" i="8"/>
  <c r="V50" i="8" s="1"/>
  <c r="Q81" i="8"/>
  <c r="BA434" i="6"/>
  <c r="CS453" i="6"/>
  <c r="CO428" i="6"/>
  <c r="DU430" i="6"/>
  <c r="DU433" i="6"/>
  <c r="DC435" i="6"/>
  <c r="AB446" i="6"/>
  <c r="DT446" i="6"/>
  <c r="CA449" i="6"/>
  <c r="DC449" i="6"/>
  <c r="DT469" i="6"/>
  <c r="DR434" i="6"/>
  <c r="DS435" i="6"/>
  <c r="AF435" i="6"/>
  <c r="DS446" i="6"/>
  <c r="DX465" i="6"/>
  <c r="DT483" i="6"/>
  <c r="X483" i="6"/>
  <c r="V9" i="8"/>
  <c r="U9" i="8"/>
  <c r="R9" i="8"/>
  <c r="DQ443" i="6"/>
  <c r="DR446" i="6"/>
  <c r="BA458" i="6"/>
  <c r="DN458" i="6"/>
  <c r="DS458" i="6"/>
  <c r="AU484" i="6"/>
  <c r="DS484" i="6"/>
  <c r="T9" i="8"/>
  <c r="W9" i="8" s="1"/>
  <c r="Q119" i="8"/>
  <c r="T119" i="8" s="1"/>
  <c r="AB412" i="6"/>
  <c r="DV433" i="6"/>
  <c r="DU438" i="6"/>
  <c r="DV440" i="6"/>
  <c r="X444" i="6"/>
  <c r="DT444" i="6"/>
  <c r="DT449" i="6"/>
  <c r="X449" i="6"/>
  <c r="BA449" i="6"/>
  <c r="DT458" i="6"/>
  <c r="AB458" i="6"/>
  <c r="DQ413" i="6"/>
  <c r="AF415" i="6"/>
  <c r="X428" i="6"/>
  <c r="DS431" i="6"/>
  <c r="DU434" i="6"/>
  <c r="DT439" i="6"/>
  <c r="DU440" i="6"/>
  <c r="DQ442" i="6"/>
  <c r="DR456" i="6"/>
  <c r="DT457" i="6"/>
  <c r="X457" i="6"/>
  <c r="I482" i="6"/>
  <c r="DP482" i="6"/>
  <c r="U114" i="8"/>
  <c r="AF414" i="6"/>
  <c r="AX426" i="6"/>
  <c r="DT430" i="6"/>
  <c r="DT432" i="6"/>
  <c r="X432" i="6"/>
  <c r="Q438" i="6"/>
  <c r="DX438" i="6"/>
  <c r="CA439" i="6"/>
  <c r="DQ440" i="6"/>
  <c r="CK441" i="6"/>
  <c r="DQ452" i="6"/>
  <c r="DT473" i="6"/>
  <c r="X473" i="6"/>
  <c r="CO483" i="6"/>
  <c r="DQ483" i="6"/>
  <c r="AF413" i="6"/>
  <c r="AX430" i="6"/>
  <c r="CO433" i="6"/>
  <c r="DU435" i="6"/>
  <c r="I440" i="6"/>
  <c r="DN445" i="6"/>
  <c r="AU468" i="6"/>
  <c r="DP431" i="6"/>
  <c r="CA459" i="6"/>
  <c r="CO475" i="6"/>
  <c r="DQ475" i="6"/>
  <c r="DV431" i="6"/>
  <c r="I431" i="6"/>
  <c r="DR436" i="6"/>
  <c r="I446" i="6"/>
  <c r="GG451" i="6"/>
  <c r="EF455" i="6"/>
  <c r="DQ467" i="6"/>
  <c r="DQ468" i="6"/>
  <c r="Q468" i="6"/>
  <c r="Q103" i="8"/>
  <c r="AF410" i="6"/>
  <c r="CA430" i="6"/>
  <c r="DS430" i="6"/>
  <c r="CS433" i="6"/>
  <c r="CO434" i="6"/>
  <c r="DT438" i="6"/>
  <c r="DR449" i="6"/>
  <c r="DQ455" i="6"/>
  <c r="DX455" i="6" s="1"/>
  <c r="DS456" i="6"/>
  <c r="AX459" i="6"/>
  <c r="DQ463" i="6"/>
  <c r="I467" i="6"/>
  <c r="DN471" i="6"/>
  <c r="V53" i="8"/>
  <c r="W53" i="8" s="1"/>
  <c r="U53" i="8"/>
  <c r="Q87" i="8"/>
  <c r="W104" i="8"/>
  <c r="BN446" i="6"/>
  <c r="DP464" i="6"/>
  <c r="I464" i="6"/>
  <c r="DV465" i="6"/>
  <c r="I465" i="6"/>
  <c r="DT477" i="6"/>
  <c r="CZ482" i="6"/>
  <c r="Q13" i="8"/>
  <c r="T13" i="8" s="1"/>
  <c r="U45" i="8"/>
  <c r="T154" i="8"/>
  <c r="Q154" i="8"/>
  <c r="V154" i="8" s="1"/>
  <c r="I435" i="6"/>
  <c r="CZ439" i="6"/>
  <c r="DT441" i="6"/>
  <c r="DS442" i="6"/>
  <c r="AF442" i="6"/>
  <c r="CO446" i="6"/>
  <c r="DS449" i="6"/>
  <c r="AF449" i="6"/>
  <c r="DR458" i="6"/>
  <c r="DC474" i="6"/>
  <c r="CO492" i="6"/>
  <c r="R35" i="8"/>
  <c r="O248" i="8"/>
  <c r="D248" i="8"/>
  <c r="Q457" i="8"/>
  <c r="V457" i="8" s="1"/>
  <c r="T457" i="8"/>
  <c r="DR437" i="6"/>
  <c r="CZ438" i="6"/>
  <c r="DR450" i="6"/>
  <c r="DV481" i="6"/>
  <c r="DN481" i="6"/>
  <c r="DP495" i="6"/>
  <c r="I495" i="6"/>
  <c r="Q72" i="8"/>
  <c r="V72" i="8" s="1"/>
  <c r="Q150" i="8"/>
  <c r="V150" i="8" s="1"/>
  <c r="DV438" i="6"/>
  <c r="DU456" i="6"/>
  <c r="I460" i="6"/>
  <c r="DT472" i="6"/>
  <c r="AF472" i="6"/>
  <c r="DU473" i="6"/>
  <c r="BA476" i="6"/>
  <c r="DR476" i="6"/>
  <c r="DQ482" i="6"/>
  <c r="T197" i="8"/>
  <c r="Q197" i="8"/>
  <c r="V197" i="8" s="1"/>
  <c r="BE436" i="6"/>
  <c r="I437" i="6"/>
  <c r="CZ441" i="6"/>
  <c r="DN444" i="6"/>
  <c r="AX448" i="6"/>
  <c r="I450" i="6"/>
  <c r="DP450" i="6"/>
  <c r="DT451" i="6"/>
  <c r="CA451" i="6"/>
  <c r="DR474" i="6"/>
  <c r="DQ490" i="6"/>
  <c r="V5" i="8"/>
  <c r="U5" i="8"/>
  <c r="N10" i="8"/>
  <c r="AF433" i="6"/>
  <c r="I436" i="6"/>
  <c r="DV437" i="6"/>
  <c r="CA441" i="6"/>
  <c r="DT448" i="6"/>
  <c r="X448" i="6"/>
  <c r="I456" i="6"/>
  <c r="DV470" i="6"/>
  <c r="I470" i="6"/>
  <c r="CA485" i="6"/>
  <c r="DT493" i="6"/>
  <c r="R5" i="8"/>
  <c r="DV436" i="6"/>
  <c r="DU437" i="6"/>
  <c r="DU450" i="6"/>
  <c r="AX451" i="6"/>
  <c r="DR451" i="6"/>
  <c r="S471" i="6"/>
  <c r="DU471" i="6"/>
  <c r="N83" i="8"/>
  <c r="L83" i="8"/>
  <c r="N124" i="8"/>
  <c r="L124" i="8"/>
  <c r="U179" i="8"/>
  <c r="Z179" i="8" s="1"/>
  <c r="Q179" i="8"/>
  <c r="DU436" i="6"/>
  <c r="DQ448" i="6"/>
  <c r="DP458" i="6"/>
  <c r="I458" i="6"/>
  <c r="DQ461" i="6"/>
  <c r="I474" i="6"/>
  <c r="DP474" i="6"/>
  <c r="AR489" i="6"/>
  <c r="DT491" i="6"/>
  <c r="X491" i="6"/>
  <c r="AX494" i="6"/>
  <c r="I432" i="6"/>
  <c r="DS440" i="6"/>
  <c r="AR442" i="6"/>
  <c r="DQ444" i="6"/>
  <c r="X471" i="6"/>
  <c r="DT471" i="6"/>
  <c r="T68" i="8"/>
  <c r="Q68" i="8"/>
  <c r="G207" i="8"/>
  <c r="N207" i="8"/>
  <c r="AO437" i="6"/>
  <c r="DR440" i="6"/>
  <c r="BA441" i="6"/>
  <c r="BE443" i="6"/>
  <c r="CS457" i="6"/>
  <c r="AR469" i="6"/>
  <c r="AX473" i="6"/>
  <c r="DR473" i="6"/>
  <c r="DE485" i="6"/>
  <c r="DS485" i="6"/>
  <c r="L195" i="8"/>
  <c r="Q437" i="6"/>
  <c r="DU442" i="6"/>
  <c r="BE451" i="6"/>
  <c r="DT454" i="6"/>
  <c r="DQ469" i="6"/>
  <c r="DP443" i="6"/>
  <c r="AU445" i="6"/>
  <c r="DV450" i="6"/>
  <c r="BE452" i="6"/>
  <c r="DT456" i="6"/>
  <c r="X456" i="6"/>
  <c r="CA456" i="6"/>
  <c r="BE457" i="6"/>
  <c r="CF460" i="6"/>
  <c r="CS465" i="6"/>
  <c r="DS468" i="6"/>
  <c r="AF468" i="6"/>
  <c r="DQ476" i="6"/>
  <c r="I476" i="6"/>
  <c r="DT481" i="6"/>
  <c r="AJ481" i="6"/>
  <c r="DT484" i="6"/>
  <c r="DT485" i="6"/>
  <c r="T20" i="8"/>
  <c r="Q20" i="8"/>
  <c r="V20" i="8" s="1"/>
  <c r="Q35" i="8"/>
  <c r="V35" i="8" s="1"/>
  <c r="T35" i="8"/>
  <c r="Q46" i="8"/>
  <c r="Q55" i="8"/>
  <c r="V55" i="8" s="1"/>
  <c r="AA55" i="8" s="1"/>
  <c r="T55" i="8"/>
  <c r="N159" i="8"/>
  <c r="L159" i="8"/>
  <c r="O317" i="8"/>
  <c r="G317" i="8"/>
  <c r="G487" i="8"/>
  <c r="N487" i="8"/>
  <c r="DR468" i="6"/>
  <c r="DQ474" i="6"/>
  <c r="Q475" i="6"/>
  <c r="DP475" i="6"/>
  <c r="DU486" i="6"/>
  <c r="I486" i="6"/>
  <c r="O131" i="8"/>
  <c r="L131" i="8"/>
  <c r="DV451" i="6"/>
  <c r="I451" i="6"/>
  <c r="DR452" i="6"/>
  <c r="BA461" i="6"/>
  <c r="AR470" i="6"/>
  <c r="DR470" i="6"/>
  <c r="DQ481" i="6"/>
  <c r="I481" i="6"/>
  <c r="DQ486" i="6"/>
  <c r="DV487" i="6"/>
  <c r="X487" i="6"/>
  <c r="DT494" i="6"/>
  <c r="N36" i="8"/>
  <c r="L36" i="8"/>
  <c r="AU442" i="6"/>
  <c r="DT442" i="6"/>
  <c r="BE444" i="6"/>
  <c r="DU448" i="6"/>
  <c r="DV449" i="6"/>
  <c r="CO449" i="6"/>
  <c r="AO450" i="6"/>
  <c r="CO450" i="6"/>
  <c r="DU451" i="6"/>
  <c r="AB453" i="6"/>
  <c r="CZ454" i="6"/>
  <c r="AF460" i="6"/>
  <c r="DT462" i="6"/>
  <c r="AB464" i="6"/>
  <c r="DT464" i="6"/>
  <c r="AR465" i="6"/>
  <c r="X467" i="6"/>
  <c r="DT467" i="6"/>
  <c r="AL471" i="6"/>
  <c r="DR471" i="6"/>
  <c r="BN473" i="6"/>
  <c r="CS473" i="6"/>
  <c r="DC486" i="6"/>
  <c r="BN489" i="6"/>
  <c r="N136" i="8"/>
  <c r="L136" i="8"/>
  <c r="O193" i="8"/>
  <c r="D193" i="8"/>
  <c r="Q290" i="8"/>
  <c r="V290" i="8" s="1"/>
  <c r="I443" i="6"/>
  <c r="DU449" i="6"/>
  <c r="DQ451" i="6"/>
  <c r="DX451" i="6" s="1"/>
  <c r="BE455" i="6"/>
  <c r="DR460" i="6"/>
  <c r="BN468" i="6"/>
  <c r="DQ472" i="6"/>
  <c r="AB487" i="6"/>
  <c r="DT487" i="6"/>
  <c r="Q41" i="8"/>
  <c r="O56" i="8"/>
  <c r="Q56" i="8" s="1"/>
  <c r="L56" i="8"/>
  <c r="O111" i="8"/>
  <c r="L111" i="8"/>
  <c r="I226" i="8"/>
  <c r="N226" i="8"/>
  <c r="O285" i="8"/>
  <c r="D285" i="8"/>
  <c r="DR441" i="6"/>
  <c r="CO443" i="6"/>
  <c r="DQ447" i="6"/>
  <c r="DP449" i="6"/>
  <c r="Q450" i="6"/>
  <c r="I452" i="6"/>
  <c r="BN452" i="6"/>
  <c r="DS453" i="6"/>
  <c r="DR457" i="6"/>
  <c r="DU465" i="6"/>
  <c r="GG466" i="6"/>
  <c r="CK469" i="6"/>
  <c r="I472" i="6"/>
  <c r="CF478" i="6"/>
  <c r="I480" i="6"/>
  <c r="GG481" i="6"/>
  <c r="CZ483" i="6"/>
  <c r="AU486" i="6"/>
  <c r="CO491" i="6"/>
  <c r="DQ491" i="6"/>
  <c r="Q51" i="8"/>
  <c r="Q61" i="8"/>
  <c r="T61" i="8" s="1"/>
  <c r="CF441" i="6"/>
  <c r="Q443" i="6"/>
  <c r="AO443" i="6"/>
  <c r="CS450" i="6"/>
  <c r="DN452" i="6"/>
  <c r="DU458" i="6"/>
  <c r="DT463" i="6"/>
  <c r="DU469" i="6"/>
  <c r="CA470" i="6"/>
  <c r="DQ480" i="6"/>
  <c r="DR485" i="6"/>
  <c r="DU489" i="6"/>
  <c r="CS489" i="6"/>
  <c r="V31" i="8"/>
  <c r="U31" i="8"/>
  <c r="T31" i="8"/>
  <c r="W31" i="8" s="1"/>
  <c r="O85" i="8"/>
  <c r="L85" i="8"/>
  <c r="DP444" i="6"/>
  <c r="DU452" i="6"/>
  <c r="DQ454" i="6"/>
  <c r="DR455" i="6"/>
  <c r="I457" i="6"/>
  <c r="S458" i="6"/>
  <c r="DU459" i="6"/>
  <c r="DN459" i="6"/>
  <c r="DT461" i="6"/>
  <c r="I463" i="6"/>
  <c r="AJ463" i="6"/>
  <c r="I466" i="6"/>
  <c r="DU466" i="6"/>
  <c r="AO468" i="6"/>
  <c r="DT470" i="6"/>
  <c r="DR487" i="6"/>
  <c r="DT490" i="6"/>
  <c r="X490" i="6"/>
  <c r="DQ494" i="6"/>
  <c r="R31" i="8"/>
  <c r="L66" i="8"/>
  <c r="N66" i="8"/>
  <c r="U142" i="8"/>
  <c r="U170" i="8"/>
  <c r="Z170" i="8" s="1"/>
  <c r="R243" i="8"/>
  <c r="N505" i="8"/>
  <c r="I505" i="8"/>
  <c r="DV444" i="6"/>
  <c r="I444" i="6"/>
  <c r="DV453" i="6"/>
  <c r="DN453" i="6"/>
  <c r="DX454" i="6"/>
  <c r="ED454" i="6" s="1"/>
  <c r="DV457" i="6"/>
  <c r="DQ459" i="6"/>
  <c r="AL459" i="6"/>
  <c r="DR459" i="6"/>
  <c r="DX459" i="6"/>
  <c r="DX460" i="6"/>
  <c r="EH460" i="6" s="1"/>
  <c r="DQ466" i="6"/>
  <c r="DS478" i="6"/>
  <c r="AF478" i="6"/>
  <c r="L32" i="8"/>
  <c r="N32" i="8"/>
  <c r="T42" i="8"/>
  <c r="Q42" i="8"/>
  <c r="V42" i="8" s="1"/>
  <c r="T75" i="8"/>
  <c r="Q75" i="8"/>
  <c r="V75" i="8" s="1"/>
  <c r="U161" i="8"/>
  <c r="DU444" i="6"/>
  <c r="CZ446" i="6"/>
  <c r="AU449" i="6"/>
  <c r="AF455" i="6"/>
  <c r="DP456" i="6"/>
  <c r="CA458" i="6"/>
  <c r="DS467" i="6"/>
  <c r="AF467" i="6"/>
  <c r="DR469" i="6"/>
  <c r="X470" i="6"/>
  <c r="DT476" i="6"/>
  <c r="DR478" i="6"/>
  <c r="DX493" i="6"/>
  <c r="EA493" i="6"/>
  <c r="BE495" i="6"/>
  <c r="V17" i="8"/>
  <c r="T17" i="8"/>
  <c r="W17" i="8" s="1"/>
  <c r="U17" i="8"/>
  <c r="U42" i="8"/>
  <c r="V122" i="8"/>
  <c r="T122" i="8"/>
  <c r="U156" i="8"/>
  <c r="D269" i="8"/>
  <c r="O269" i="8"/>
  <c r="DR445" i="6"/>
  <c r="DT447" i="6"/>
  <c r="BS451" i="6"/>
  <c r="DX452" i="6"/>
  <c r="I455" i="6"/>
  <c r="DQ457" i="6"/>
  <c r="DX457" i="6"/>
  <c r="DU460" i="6"/>
  <c r="CS460" i="6"/>
  <c r="ED460" i="6"/>
  <c r="DP461" i="6"/>
  <c r="I461" i="6"/>
  <c r="BS463" i="6"/>
  <c r="DR467" i="6"/>
  <c r="CF467" i="6"/>
  <c r="AX471" i="6"/>
  <c r="CA473" i="6"/>
  <c r="X474" i="6"/>
  <c r="DT474" i="6"/>
  <c r="AR480" i="6"/>
  <c r="DT482" i="6"/>
  <c r="L38" i="8"/>
  <c r="N38" i="8"/>
  <c r="L200" i="8"/>
  <c r="T231" i="8"/>
  <c r="Q231" i="8"/>
  <c r="V231" i="8" s="1"/>
  <c r="AA231" i="8" s="1"/>
  <c r="Q460" i="6"/>
  <c r="BN464" i="6"/>
  <c r="AB465" i="6"/>
  <c r="DT468" i="6"/>
  <c r="X468" i="6"/>
  <c r="AR471" i="6"/>
  <c r="CF474" i="6"/>
  <c r="DT478" i="6"/>
  <c r="DR480" i="6"/>
  <c r="Q64" i="8"/>
  <c r="T64" i="8"/>
  <c r="D212" i="8"/>
  <c r="O212" i="8"/>
  <c r="CO461" i="6"/>
  <c r="DN464" i="6"/>
  <c r="CS472" i="6"/>
  <c r="AF484" i="6"/>
  <c r="DR484" i="6"/>
  <c r="AO487" i="6"/>
  <c r="T6" i="8"/>
  <c r="Q6" i="8"/>
  <c r="V6" i="8" s="1"/>
  <c r="Q28" i="8"/>
  <c r="V28" i="8" s="1"/>
  <c r="L149" i="8"/>
  <c r="N149" i="8"/>
  <c r="I276" i="8"/>
  <c r="N276" i="8"/>
  <c r="AF453" i="6"/>
  <c r="DS457" i="6"/>
  <c r="CK458" i="6"/>
  <c r="AX472" i="6"/>
  <c r="GG472" i="6"/>
  <c r="AF474" i="6"/>
  <c r="X475" i="6"/>
  <c r="DT475" i="6"/>
  <c r="CO476" i="6"/>
  <c r="CA477" i="6"/>
  <c r="DU478" i="6"/>
  <c r="R20" i="8"/>
  <c r="R81" i="8"/>
  <c r="W90" i="8"/>
  <c r="U117" i="8"/>
  <c r="U154" i="8"/>
  <c r="N212" i="8"/>
  <c r="I212" i="8"/>
  <c r="O246" i="8"/>
  <c r="L246" i="8"/>
  <c r="D301" i="8"/>
  <c r="O301" i="8"/>
  <c r="AF450" i="6"/>
  <c r="AF457" i="6"/>
  <c r="AU461" i="6"/>
  <c r="AO462" i="6"/>
  <c r="DS464" i="6"/>
  <c r="DU470" i="6"/>
  <c r="DV471" i="6"/>
  <c r="DU474" i="6"/>
  <c r="BE475" i="6"/>
  <c r="BA477" i="6"/>
  <c r="CA480" i="6"/>
  <c r="DU484" i="6"/>
  <c r="DP485" i="6"/>
  <c r="GG489" i="6"/>
  <c r="U20" i="8"/>
  <c r="U81" i="8"/>
  <c r="T95" i="8"/>
  <c r="Q95" i="8"/>
  <c r="O163" i="8"/>
  <c r="D163" i="8"/>
  <c r="O263" i="8"/>
  <c r="D263" i="8"/>
  <c r="DQ465" i="6"/>
  <c r="DQ470" i="6"/>
  <c r="DV485" i="6"/>
  <c r="I485" i="6"/>
  <c r="V7" i="8"/>
  <c r="T7" i="8"/>
  <c r="V11" i="8"/>
  <c r="T11" i="8"/>
  <c r="Q118" i="8"/>
  <c r="T118" i="8" s="1"/>
  <c r="U132" i="8"/>
  <c r="Z132" i="8" s="1"/>
  <c r="R198" i="8"/>
  <c r="O304" i="8"/>
  <c r="D304" i="8"/>
  <c r="AF475" i="6"/>
  <c r="DS475" i="6"/>
  <c r="DU485" i="6"/>
  <c r="CZ487" i="6"/>
  <c r="DS489" i="6"/>
  <c r="AF489" i="6"/>
  <c r="DR490" i="6"/>
  <c r="AF491" i="6"/>
  <c r="DR491" i="6"/>
  <c r="DS495" i="6"/>
  <c r="U7" i="8"/>
  <c r="Q25" i="8"/>
  <c r="V25" i="8" s="1"/>
  <c r="V39" i="8"/>
  <c r="U39" i="8"/>
  <c r="Q43" i="8"/>
  <c r="U43" i="8" s="1"/>
  <c r="O57" i="8"/>
  <c r="L57" i="8"/>
  <c r="W73" i="8"/>
  <c r="V113" i="8"/>
  <c r="U113" i="8"/>
  <c r="T113" i="8"/>
  <c r="G247" i="8"/>
  <c r="N247" i="8"/>
  <c r="T327" i="8"/>
  <c r="Q327" i="8"/>
  <c r="V327" i="8" s="1"/>
  <c r="N329" i="8"/>
  <c r="L329" i="8"/>
  <c r="AF447" i="6"/>
  <c r="AR458" i="6"/>
  <c r="I459" i="6"/>
  <c r="X461" i="6"/>
  <c r="BN465" i="6"/>
  <c r="CK468" i="6"/>
  <c r="DS469" i="6"/>
  <c r="CK470" i="6"/>
  <c r="DS472" i="6"/>
  <c r="CF473" i="6"/>
  <c r="Q474" i="6"/>
  <c r="DR475" i="6"/>
  <c r="DR479" i="6"/>
  <c r="AF479" i="6"/>
  <c r="AR483" i="6"/>
  <c r="Q484" i="6"/>
  <c r="AB486" i="6"/>
  <c r="DT486" i="6"/>
  <c r="DU494" i="6"/>
  <c r="DN494" i="6"/>
  <c r="BN495" i="6"/>
  <c r="T8" i="8"/>
  <c r="W8" i="8" s="1"/>
  <c r="Q8" i="8"/>
  <c r="V8" i="8" s="1"/>
  <c r="T30" i="8"/>
  <c r="Q30" i="8"/>
  <c r="V30" i="8" s="1"/>
  <c r="T74" i="8"/>
  <c r="T88" i="8"/>
  <c r="R142" i="8"/>
  <c r="N188" i="8"/>
  <c r="L188" i="8"/>
  <c r="D252" i="8"/>
  <c r="T318" i="8"/>
  <c r="Q318" i="8"/>
  <c r="V318" i="8" s="1"/>
  <c r="AF446" i="6"/>
  <c r="Q465" i="6"/>
  <c r="AO465" i="6"/>
  <c r="DN470" i="6"/>
  <c r="DR472" i="6"/>
  <c r="CF472" i="6"/>
  <c r="DU476" i="6"/>
  <c r="BE480" i="6"/>
  <c r="Q483" i="6"/>
  <c r="CK486" i="6"/>
  <c r="DS486" i="6"/>
  <c r="BN492" i="6"/>
  <c r="DR493" i="6"/>
  <c r="BN493" i="6"/>
  <c r="DS494" i="6"/>
  <c r="R17" i="8"/>
  <c r="Q21" i="8"/>
  <c r="T39" i="8"/>
  <c r="W39" i="8" s="1"/>
  <c r="N44" i="8"/>
  <c r="L44" i="8"/>
  <c r="R74" i="8"/>
  <c r="N78" i="8"/>
  <c r="R88" i="8"/>
  <c r="Q142" i="8"/>
  <c r="O151" i="8"/>
  <c r="L151" i="8"/>
  <c r="N195" i="8"/>
  <c r="I195" i="8"/>
  <c r="U318" i="8"/>
  <c r="GG467" i="6"/>
  <c r="I469" i="6"/>
  <c r="DP469" i="6"/>
  <c r="DU475" i="6"/>
  <c r="CA476" i="6"/>
  <c r="BN486" i="6"/>
  <c r="DV490" i="6"/>
  <c r="DU491" i="6"/>
  <c r="CS491" i="6"/>
  <c r="DQ492" i="6"/>
  <c r="DR492" i="6"/>
  <c r="I493" i="6"/>
  <c r="DP494" i="6"/>
  <c r="I494" i="6"/>
  <c r="DU495" i="6"/>
  <c r="Q22" i="8"/>
  <c r="V22" i="8" s="1"/>
  <c r="U35" i="8"/>
  <c r="R40" i="8"/>
  <c r="Q54" i="8"/>
  <c r="Q58" i="8"/>
  <c r="T58" i="8" s="1"/>
  <c r="U67" i="8"/>
  <c r="Q71" i="8"/>
  <c r="U71" i="8" s="1"/>
  <c r="Z71" i="8" s="1"/>
  <c r="U75" i="8"/>
  <c r="N84" i="8"/>
  <c r="L84" i="8"/>
  <c r="V115" i="8"/>
  <c r="U115" i="8"/>
  <c r="Q134" i="8"/>
  <c r="V134" i="8" s="1"/>
  <c r="AA134" i="8" s="1"/>
  <c r="T134" i="8"/>
  <c r="AR457" i="6"/>
  <c r="DC464" i="6"/>
  <c r="DR466" i="6"/>
  <c r="AR468" i="6"/>
  <c r="AX474" i="6"/>
  <c r="AO475" i="6"/>
  <c r="DP477" i="6"/>
  <c r="I477" i="6"/>
  <c r="DQ479" i="6"/>
  <c r="DN480" i="6"/>
  <c r="DS487" i="6"/>
  <c r="DU490" i="6"/>
  <c r="BS493" i="6"/>
  <c r="DQ495" i="6"/>
  <c r="T40" i="8"/>
  <c r="W40" i="8" s="1"/>
  <c r="Q40" i="8"/>
  <c r="V40" i="8" s="1"/>
  <c r="Q45" i="8"/>
  <c r="L67" i="8"/>
  <c r="R67" i="8" s="1"/>
  <c r="U134" i="8"/>
  <c r="Z134" i="8" s="1"/>
  <c r="T189" i="8"/>
  <c r="Q189" i="8"/>
  <c r="Q209" i="8"/>
  <c r="R209" i="8" s="1"/>
  <c r="BN478" i="6"/>
  <c r="DU482" i="6"/>
  <c r="AU483" i="6"/>
  <c r="DQ485" i="6"/>
  <c r="DN485" i="6"/>
  <c r="DU493" i="6"/>
  <c r="DV494" i="6"/>
  <c r="L96" i="8"/>
  <c r="N96" i="8"/>
  <c r="N108" i="8"/>
  <c r="L108" i="8"/>
  <c r="W127" i="8"/>
  <c r="W135" i="8"/>
  <c r="N162" i="8"/>
  <c r="L162" i="8"/>
  <c r="G238" i="8"/>
  <c r="N238" i="8"/>
  <c r="N285" i="8"/>
  <c r="G285" i="8"/>
  <c r="O290" i="8"/>
  <c r="D290" i="8"/>
  <c r="BA481" i="6"/>
  <c r="CA483" i="6"/>
  <c r="BS492" i="6"/>
  <c r="Q47" i="8"/>
  <c r="U47" i="8" s="1"/>
  <c r="R75" i="8"/>
  <c r="Q132" i="8"/>
  <c r="T139" i="8"/>
  <c r="N223" i="8"/>
  <c r="I223" i="8"/>
  <c r="CZ476" i="6"/>
  <c r="DR486" i="6"/>
  <c r="DT489" i="6"/>
  <c r="X489" i="6"/>
  <c r="DT492" i="6"/>
  <c r="T18" i="8"/>
  <c r="W18" i="8" s="1"/>
  <c r="Q18" i="8"/>
  <c r="V18" i="8" s="1"/>
  <c r="U40" i="8"/>
  <c r="N48" i="8"/>
  <c r="L48" i="8"/>
  <c r="T97" i="8"/>
  <c r="Q97" i="8"/>
  <c r="L203" i="8"/>
  <c r="N203" i="8"/>
  <c r="U278" i="8"/>
  <c r="Z278" i="8" s="1"/>
  <c r="N317" i="8"/>
  <c r="I317" i="8"/>
  <c r="I473" i="6"/>
  <c r="DR481" i="6"/>
  <c r="CA484" i="6"/>
  <c r="CA491" i="6"/>
  <c r="DS491" i="6"/>
  <c r="CA492" i="6"/>
  <c r="R11" i="8"/>
  <c r="U18" i="8"/>
  <c r="N26" i="8"/>
  <c r="L26" i="8"/>
  <c r="Q29" i="8"/>
  <c r="U29" i="8" s="1"/>
  <c r="T69" i="8"/>
  <c r="V93" i="8"/>
  <c r="U93" i="8"/>
  <c r="U133" i="8"/>
  <c r="Q133" i="8"/>
  <c r="V133" i="8" s="1"/>
  <c r="D168" i="8"/>
  <c r="T186" i="8"/>
  <c r="N414" i="8"/>
  <c r="G414" i="8"/>
  <c r="DS482" i="6"/>
  <c r="AF482" i="6"/>
  <c r="AO486" i="6"/>
  <c r="DN487" i="6"/>
  <c r="DS488" i="6"/>
  <c r="BA489" i="6"/>
  <c r="AB490" i="6"/>
  <c r="DC490" i="6"/>
  <c r="X492" i="6"/>
  <c r="N4" i="8"/>
  <c r="L4" i="8"/>
  <c r="L22" i="8"/>
  <c r="R22" i="8" s="1"/>
  <c r="L55" i="8"/>
  <c r="N59" i="8"/>
  <c r="L59" i="8"/>
  <c r="R62" i="8"/>
  <c r="R121" i="8"/>
  <c r="T128" i="8"/>
  <c r="N140" i="8"/>
  <c r="L140" i="8"/>
  <c r="N219" i="8"/>
  <c r="G219" i="8"/>
  <c r="N305" i="8"/>
  <c r="I305" i="8"/>
  <c r="Q473" i="6"/>
  <c r="BN477" i="6"/>
  <c r="DV479" i="6"/>
  <c r="DR482" i="6"/>
  <c r="DV486" i="6"/>
  <c r="DQ487" i="6"/>
  <c r="BN487" i="6"/>
  <c r="DR488" i="6"/>
  <c r="DQ489" i="6"/>
  <c r="T37" i="8"/>
  <c r="T79" i="8"/>
  <c r="Q79" i="8"/>
  <c r="R86" i="8"/>
  <c r="W93" i="8"/>
  <c r="R101" i="8"/>
  <c r="Q105" i="8"/>
  <c r="Q109" i="8"/>
  <c r="U121" i="8"/>
  <c r="U128" i="8"/>
  <c r="DN479" i="6"/>
  <c r="CK480" i="6"/>
  <c r="DS483" i="6"/>
  <c r="AF483" i="6"/>
  <c r="I487" i="6"/>
  <c r="DS490" i="6"/>
  <c r="AF490" i="6"/>
  <c r="BA492" i="6"/>
  <c r="U11" i="8"/>
  <c r="T15" i="8"/>
  <c r="W15" i="8" s="1"/>
  <c r="Q33" i="8"/>
  <c r="U37" i="8"/>
  <c r="T52" i="8"/>
  <c r="Q52" i="8"/>
  <c r="V52" i="8" s="1"/>
  <c r="T62" i="8"/>
  <c r="U69" i="8"/>
  <c r="T76" i="8"/>
  <c r="Q101" i="8"/>
  <c r="Q121" i="8"/>
  <c r="V121" i="8" s="1"/>
  <c r="R134" i="8"/>
  <c r="N141" i="8"/>
  <c r="L141" i="8"/>
  <c r="Q145" i="8"/>
  <c r="N168" i="8"/>
  <c r="Q192" i="8"/>
  <c r="V192" i="8" s="1"/>
  <c r="T192" i="8"/>
  <c r="G226" i="8"/>
  <c r="BN471" i="6"/>
  <c r="DR489" i="6"/>
  <c r="CZ494" i="6"/>
  <c r="DR495" i="6"/>
  <c r="T23" i="8"/>
  <c r="R30" i="8"/>
  <c r="R34" i="8"/>
  <c r="U52" i="8"/>
  <c r="U94" i="8"/>
  <c r="Q110" i="8"/>
  <c r="T110" i="8" s="1"/>
  <c r="R150" i="8"/>
  <c r="R154" i="8"/>
  <c r="O294" i="8"/>
  <c r="D294" i="8"/>
  <c r="Q349" i="8"/>
  <c r="Q389" i="8"/>
  <c r="T389" i="8"/>
  <c r="CK471" i="6"/>
  <c r="BN476" i="6"/>
  <c r="CK483" i="6"/>
  <c r="I491" i="6"/>
  <c r="DP491" i="6"/>
  <c r="R8" i="8"/>
  <c r="T27" i="8"/>
  <c r="W27" i="8" s="1"/>
  <c r="U30" i="8"/>
  <c r="T34" i="8"/>
  <c r="W34" i="8" s="1"/>
  <c r="Q34" i="8"/>
  <c r="V34" i="8" s="1"/>
  <c r="U70" i="8"/>
  <c r="U110" i="8"/>
  <c r="T114" i="8"/>
  <c r="Q114" i="8"/>
  <c r="V114" i="8" s="1"/>
  <c r="O130" i="8"/>
  <c r="L130" i="8"/>
  <c r="Q146" i="8"/>
  <c r="T146" i="8"/>
  <c r="R157" i="8"/>
  <c r="U169" i="8"/>
  <c r="Z169" i="8" s="1"/>
  <c r="R231" i="8"/>
  <c r="T294" i="8"/>
  <c r="DV475" i="6"/>
  <c r="BS477" i="6"/>
  <c r="CS479" i="6"/>
  <c r="AO480" i="6"/>
  <c r="CS480" i="6"/>
  <c r="BN483" i="6"/>
  <c r="I484" i="6"/>
  <c r="DP484" i="6"/>
  <c r="BE485" i="6"/>
  <c r="X486" i="6"/>
  <c r="CZ486" i="6"/>
  <c r="DV491" i="6"/>
  <c r="BE493" i="6"/>
  <c r="T5" i="8"/>
  <c r="U8" i="8"/>
  <c r="Q12" i="8"/>
  <c r="T12" i="8" s="1"/>
  <c r="N16" i="8"/>
  <c r="Q23" i="8"/>
  <c r="R42" i="8"/>
  <c r="Q63" i="8"/>
  <c r="Q70" i="8"/>
  <c r="U80" i="8"/>
  <c r="U99" i="8"/>
  <c r="D207" i="8"/>
  <c r="N259" i="8"/>
  <c r="I259" i="8"/>
  <c r="T99" i="8"/>
  <c r="R139" i="8"/>
  <c r="T172" i="8"/>
  <c r="N205" i="8"/>
  <c r="G205" i="8"/>
  <c r="N252" i="8"/>
  <c r="G252" i="8"/>
  <c r="U270" i="8"/>
  <c r="Z270" i="8" s="1"/>
  <c r="O330" i="8"/>
  <c r="N444" i="8"/>
  <c r="I444" i="8"/>
  <c r="T67" i="8"/>
  <c r="R69" i="8"/>
  <c r="U76" i="8"/>
  <c r="N91" i="8"/>
  <c r="L91" i="8"/>
  <c r="U139" i="8"/>
  <c r="Z139" i="8" s="1"/>
  <c r="R146" i="8"/>
  <c r="O242" i="8"/>
  <c r="D242" i="8"/>
  <c r="G275" i="8"/>
  <c r="N275" i="8"/>
  <c r="N315" i="8"/>
  <c r="G315" i="8"/>
  <c r="Q480" i="6"/>
  <c r="AF494" i="6"/>
  <c r="U74" i="8"/>
  <c r="U86" i="8"/>
  <c r="Q86" i="8"/>
  <c r="Q116" i="8"/>
  <c r="N143" i="8"/>
  <c r="L143" i="8"/>
  <c r="Q166" i="8"/>
  <c r="T166" i="8" s="1"/>
  <c r="U22" i="8"/>
  <c r="Q94" i="8"/>
  <c r="Q157" i="8"/>
  <c r="T157" i="8"/>
  <c r="N167" i="8"/>
  <c r="L167" i="8"/>
  <c r="L176" i="8"/>
  <c r="N176" i="8"/>
  <c r="T183" i="8"/>
  <c r="Q183" i="8"/>
  <c r="V183" i="8" s="1"/>
  <c r="AA183" i="8" s="1"/>
  <c r="R186" i="8"/>
  <c r="N225" i="8"/>
  <c r="T227" i="8"/>
  <c r="Q227" i="8"/>
  <c r="V227" i="8" s="1"/>
  <c r="R234" i="8"/>
  <c r="Q246" i="8"/>
  <c r="V246" i="8" s="1"/>
  <c r="Q269" i="8"/>
  <c r="U281" i="8"/>
  <c r="Z281" i="8" s="1"/>
  <c r="N283" i="8"/>
  <c r="N129" i="8"/>
  <c r="L129" i="8"/>
  <c r="V137" i="8"/>
  <c r="AA137" i="8" s="1"/>
  <c r="U137" i="8"/>
  <c r="T137" i="8"/>
  <c r="N144" i="8"/>
  <c r="L144" i="8"/>
  <c r="O155" i="8"/>
  <c r="D155" i="8"/>
  <c r="U173" i="8"/>
  <c r="Q191" i="8"/>
  <c r="V191" i="8" s="1"/>
  <c r="AA191" i="8" s="1"/>
  <c r="T191" i="8"/>
  <c r="N213" i="8"/>
  <c r="O236" i="8"/>
  <c r="D236" i="8"/>
  <c r="O354" i="8"/>
  <c r="D354" i="8"/>
  <c r="O423" i="8"/>
  <c r="D423" i="8"/>
  <c r="L6" i="8"/>
  <c r="R6" i="8" s="1"/>
  <c r="L28" i="8"/>
  <c r="R28" i="8" s="1"/>
  <c r="L50" i="8"/>
  <c r="T60" i="8"/>
  <c r="T77" i="8"/>
  <c r="T94" i="8"/>
  <c r="L126" i="8"/>
  <c r="R126" i="8" s="1"/>
  <c r="R137" i="8"/>
  <c r="L173" i="8"/>
  <c r="R173" i="8" s="1"/>
  <c r="Q201" i="8"/>
  <c r="O217" i="8"/>
  <c r="L269" i="8"/>
  <c r="N309" i="8"/>
  <c r="G309" i="8"/>
  <c r="N354" i="8"/>
  <c r="G354" i="8"/>
  <c r="Q383" i="8"/>
  <c r="N423" i="8"/>
  <c r="G423" i="8"/>
  <c r="D485" i="8"/>
  <c r="O485" i="8"/>
  <c r="AF488" i="6"/>
  <c r="U60" i="8"/>
  <c r="R77" i="8"/>
  <c r="N82" i="8"/>
  <c r="L82" i="8"/>
  <c r="L87" i="8"/>
  <c r="R87" i="8" s="1"/>
  <c r="N92" i="8"/>
  <c r="L103" i="8"/>
  <c r="L114" i="8"/>
  <c r="R117" i="8"/>
  <c r="N120" i="8"/>
  <c r="L120" i="8"/>
  <c r="Q126" i="8"/>
  <c r="T160" i="8"/>
  <c r="R189" i="8"/>
  <c r="R323" i="8"/>
  <c r="T343" i="8"/>
  <c r="Q343" i="8"/>
  <c r="V343" i="8" s="1"/>
  <c r="N372" i="8"/>
  <c r="G372" i="8"/>
  <c r="I376" i="8"/>
  <c r="N376" i="8"/>
  <c r="AF487" i="6"/>
  <c r="U6" i="8"/>
  <c r="U28" i="8"/>
  <c r="U50" i="8"/>
  <c r="T65" i="8"/>
  <c r="U77" i="8"/>
  <c r="Z77" i="8" s="1"/>
  <c r="Q106" i="8"/>
  <c r="Q117" i="8"/>
  <c r="V117" i="8" s="1"/>
  <c r="N164" i="8"/>
  <c r="L164" i="8"/>
  <c r="R177" i="8"/>
  <c r="U243" i="8"/>
  <c r="N261" i="8"/>
  <c r="T267" i="8"/>
  <c r="V267" i="8"/>
  <c r="AA267" i="8" s="1"/>
  <c r="U267" i="8"/>
  <c r="Z267" i="8" s="1"/>
  <c r="D300" i="8"/>
  <c r="N307" i="8"/>
  <c r="G307" i="8"/>
  <c r="U34" i="8"/>
  <c r="U63" i="8"/>
  <c r="N98" i="8"/>
  <c r="L98" i="8"/>
  <c r="Q153" i="8"/>
  <c r="V153" i="8" s="1"/>
  <c r="AA153" i="8" s="1"/>
  <c r="T161" i="8"/>
  <c r="N184" i="8"/>
  <c r="I184" i="8"/>
  <c r="Q257" i="8"/>
  <c r="R257" i="8" s="1"/>
  <c r="U327" i="8"/>
  <c r="U73" i="8"/>
  <c r="Z73" i="8" s="1"/>
  <c r="O148" i="8"/>
  <c r="D148" i="8"/>
  <c r="D153" i="8"/>
  <c r="L165" i="8"/>
  <c r="N165" i="8"/>
  <c r="Q178" i="8"/>
  <c r="Q202" i="8"/>
  <c r="V202" i="8" s="1"/>
  <c r="AA202" i="8" s="1"/>
  <c r="Q228" i="8"/>
  <c r="D237" i="8"/>
  <c r="G264" i="8"/>
  <c r="N264" i="8"/>
  <c r="O296" i="8"/>
  <c r="D296" i="8"/>
  <c r="O303" i="8"/>
  <c r="D303" i="8"/>
  <c r="N89" i="8"/>
  <c r="L89" i="8"/>
  <c r="Q138" i="8"/>
  <c r="T138" i="8"/>
  <c r="N163" i="8"/>
  <c r="L163" i="8"/>
  <c r="Q170" i="8"/>
  <c r="V170" i="8" s="1"/>
  <c r="AA170" i="8" s="1"/>
  <c r="T170" i="8"/>
  <c r="U177" i="8"/>
  <c r="L191" i="8"/>
  <c r="R191" i="8" s="1"/>
  <c r="Q232" i="8"/>
  <c r="Q254" i="8"/>
  <c r="T254" i="8"/>
  <c r="N330" i="8"/>
  <c r="G330" i="8"/>
  <c r="L336" i="8"/>
  <c r="N336" i="8"/>
  <c r="N351" i="8"/>
  <c r="L351" i="8"/>
  <c r="O487" i="8"/>
  <c r="D487" i="8"/>
  <c r="N200" i="8"/>
  <c r="I200" i="8"/>
  <c r="L286" i="8"/>
  <c r="V345" i="8"/>
  <c r="U345" i="8"/>
  <c r="U389" i="8"/>
  <c r="T153" i="8"/>
  <c r="Q173" i="8"/>
  <c r="V173" i="8" s="1"/>
  <c r="U175" i="8"/>
  <c r="Q187" i="8"/>
  <c r="U194" i="8"/>
  <c r="U231" i="8"/>
  <c r="Z231" i="8" s="1"/>
  <c r="N316" i="8"/>
  <c r="G316" i="8"/>
  <c r="T133" i="8"/>
  <c r="N171" i="8"/>
  <c r="L171" i="8"/>
  <c r="D194" i="8"/>
  <c r="R194" i="8" s="1"/>
  <c r="G216" i="8"/>
  <c r="Q234" i="8"/>
  <c r="T234" i="8"/>
  <c r="L273" i="8"/>
  <c r="Q282" i="8"/>
  <c r="V282" i="8" s="1"/>
  <c r="N297" i="8"/>
  <c r="G297" i="8"/>
  <c r="D350" i="8"/>
  <c r="O350" i="8"/>
  <c r="Q350" i="8" s="1"/>
  <c r="L352" i="8"/>
  <c r="N352" i="8"/>
  <c r="R80" i="8"/>
  <c r="N102" i="8"/>
  <c r="L102" i="8"/>
  <c r="R113" i="8"/>
  <c r="Q185" i="8"/>
  <c r="V185" i="8" s="1"/>
  <c r="AA185" i="8" s="1"/>
  <c r="D188" i="8"/>
  <c r="O188" i="8"/>
  <c r="O206" i="8"/>
  <c r="D206" i="8"/>
  <c r="D222" i="8"/>
  <c r="O222" i="8"/>
  <c r="N229" i="8"/>
  <c r="I229" i="8"/>
  <c r="D244" i="8"/>
  <c r="O244" i="8"/>
  <c r="N260" i="8"/>
  <c r="G260" i="8"/>
  <c r="N344" i="8"/>
  <c r="I344" i="8"/>
  <c r="O425" i="8"/>
  <c r="D425" i="8"/>
  <c r="R468" i="8"/>
  <c r="L115" i="8"/>
  <c r="R115" i="8" s="1"/>
  <c r="Q125" i="8"/>
  <c r="L133" i="8"/>
  <c r="R133" i="8" s="1"/>
  <c r="Q169" i="8"/>
  <c r="T173" i="8"/>
  <c r="O176" i="8"/>
  <c r="N190" i="8"/>
  <c r="I190" i="8"/>
  <c r="T194" i="8"/>
  <c r="Q198" i="8"/>
  <c r="O202" i="8"/>
  <c r="L202" i="8"/>
  <c r="N208" i="8"/>
  <c r="N242" i="8"/>
  <c r="N244" i="8"/>
  <c r="G244" i="8"/>
  <c r="U256" i="8"/>
  <c r="O289" i="8"/>
  <c r="Q289" i="8" s="1"/>
  <c r="D289" i="8"/>
  <c r="Q303" i="8"/>
  <c r="V303" i="8" s="1"/>
  <c r="U324" i="8"/>
  <c r="U328" i="8"/>
  <c r="N335" i="8"/>
  <c r="G335" i="8"/>
  <c r="N425" i="8"/>
  <c r="G425" i="8"/>
  <c r="Q100" i="8"/>
  <c r="T100" i="8" s="1"/>
  <c r="L104" i="8"/>
  <c r="R104" i="8" s="1"/>
  <c r="D162" i="8"/>
  <c r="D176" i="8"/>
  <c r="I194" i="8"/>
  <c r="N196" i="8"/>
  <c r="L196" i="8"/>
  <c r="G213" i="8"/>
  <c r="Q240" i="8"/>
  <c r="T240" i="8" s="1"/>
  <c r="N249" i="8"/>
  <c r="O251" i="8"/>
  <c r="D251" i="8"/>
  <c r="N258" i="8"/>
  <c r="I258" i="8"/>
  <c r="Q262" i="8"/>
  <c r="O277" i="8"/>
  <c r="D395" i="8"/>
  <c r="R395" i="8" s="1"/>
  <c r="O395" i="8"/>
  <c r="Q473" i="8"/>
  <c r="W123" i="8"/>
  <c r="Q194" i="8"/>
  <c r="V194" i="8" s="1"/>
  <c r="O197" i="8"/>
  <c r="D199" i="8"/>
  <c r="O199" i="8"/>
  <c r="O203" i="8"/>
  <c r="D203" i="8"/>
  <c r="T224" i="8"/>
  <c r="O241" i="8"/>
  <c r="Q241" i="8" s="1"/>
  <c r="D241" i="8"/>
  <c r="O272" i="8"/>
  <c r="D272" i="8"/>
  <c r="N274" i="8"/>
  <c r="G274" i="8"/>
  <c r="Q331" i="8"/>
  <c r="T395" i="8"/>
  <c r="Q395" i="8"/>
  <c r="V395" i="8" s="1"/>
  <c r="N442" i="8"/>
  <c r="G442" i="8"/>
  <c r="Q495" i="8"/>
  <c r="U495" i="8" s="1"/>
  <c r="U123" i="8"/>
  <c r="R182" i="8"/>
  <c r="D197" i="8"/>
  <c r="N218" i="8"/>
  <c r="U224" i="8"/>
  <c r="N253" i="8"/>
  <c r="I331" i="8"/>
  <c r="I395" i="8"/>
  <c r="L70" i="8"/>
  <c r="R70" i="8" s="1"/>
  <c r="N112" i="8"/>
  <c r="L112" i="8"/>
  <c r="Q148" i="8"/>
  <c r="T156" i="8"/>
  <c r="D158" i="8"/>
  <c r="R158" i="8" s="1"/>
  <c r="U160" i="8"/>
  <c r="O165" i="8"/>
  <c r="D165" i="8"/>
  <c r="U172" i="8"/>
  <c r="U186" i="8"/>
  <c r="N199" i="8"/>
  <c r="I199" i="8"/>
  <c r="O208" i="8"/>
  <c r="O220" i="8"/>
  <c r="G224" i="8"/>
  <c r="R224" i="8" s="1"/>
  <c r="O230" i="8"/>
  <c r="D230" i="8"/>
  <c r="I235" i="8"/>
  <c r="N235" i="8"/>
  <c r="Q279" i="8"/>
  <c r="Q281" i="8"/>
  <c r="V281" i="8" s="1"/>
  <c r="AA281" i="8" s="1"/>
  <c r="N287" i="8"/>
  <c r="N308" i="8"/>
  <c r="I308" i="8"/>
  <c r="R319" i="8"/>
  <c r="R368" i="8"/>
  <c r="R377" i="8"/>
  <c r="O181" i="8"/>
  <c r="D181" i="8"/>
  <c r="T182" i="8"/>
  <c r="O196" i="8"/>
  <c r="Q245" i="8"/>
  <c r="G280" i="8"/>
  <c r="N280" i="8"/>
  <c r="Q302" i="8"/>
  <c r="N306" i="8"/>
  <c r="G306" i="8"/>
  <c r="O419" i="8"/>
  <c r="D419" i="8"/>
  <c r="T175" i="8"/>
  <c r="N237" i="8"/>
  <c r="L258" i="8"/>
  <c r="N299" i="8"/>
  <c r="G299" i="8"/>
  <c r="L304" i="8"/>
  <c r="N304" i="8"/>
  <c r="G325" i="8"/>
  <c r="N325" i="8"/>
  <c r="O343" i="8"/>
  <c r="D343" i="8"/>
  <c r="R343" i="8" s="1"/>
  <c r="G202" i="8"/>
  <c r="G206" i="8"/>
  <c r="G211" i="8"/>
  <c r="N211" i="8"/>
  <c r="O335" i="8"/>
  <c r="I339" i="8"/>
  <c r="N339" i="8"/>
  <c r="Q464" i="8"/>
  <c r="U464" i="8" s="1"/>
  <c r="L125" i="8"/>
  <c r="L145" i="8"/>
  <c r="Q175" i="8"/>
  <c r="V175" i="8" s="1"/>
  <c r="D184" i="8"/>
  <c r="L187" i="8"/>
  <c r="O205" i="8"/>
  <c r="N230" i="8"/>
  <c r="G230" i="8"/>
  <c r="N233" i="8"/>
  <c r="G233" i="8"/>
  <c r="U282" i="8"/>
  <c r="G310" i="8"/>
  <c r="G361" i="8"/>
  <c r="N375" i="8"/>
  <c r="G375" i="8"/>
  <c r="Q158" i="8"/>
  <c r="V158" i="8" s="1"/>
  <c r="R210" i="8"/>
  <c r="U227" i="8"/>
  <c r="N251" i="8"/>
  <c r="T268" i="8"/>
  <c r="O273" i="8"/>
  <c r="U323" i="8"/>
  <c r="N357" i="8"/>
  <c r="G357" i="8"/>
  <c r="O380" i="8"/>
  <c r="D380" i="8"/>
  <c r="V430" i="8"/>
  <c r="T430" i="8"/>
  <c r="Q460" i="8"/>
  <c r="V460" i="8" s="1"/>
  <c r="R135" i="8"/>
  <c r="I221" i="8"/>
  <c r="N221" i="8"/>
  <c r="O250" i="8"/>
  <c r="D250" i="8"/>
  <c r="U254" i="8"/>
  <c r="O259" i="8"/>
  <c r="D267" i="8"/>
  <c r="R267" i="8" s="1"/>
  <c r="D273" i="8"/>
  <c r="N284" i="8"/>
  <c r="N301" i="8"/>
  <c r="G491" i="8"/>
  <c r="N491" i="8"/>
  <c r="I493" i="8"/>
  <c r="N493" i="8"/>
  <c r="N107" i="8"/>
  <c r="L107" i="8"/>
  <c r="O147" i="8"/>
  <c r="N152" i="8"/>
  <c r="L152" i="8"/>
  <c r="L158" i="8"/>
  <c r="L172" i="8"/>
  <c r="R172" i="8" s="1"/>
  <c r="N174" i="8"/>
  <c r="L174" i="8"/>
  <c r="O192" i="8"/>
  <c r="D192" i="8"/>
  <c r="R192" i="8" s="1"/>
  <c r="O204" i="8"/>
  <c r="Q243" i="8"/>
  <c r="V243" i="8" s="1"/>
  <c r="N250" i="8"/>
  <c r="D259" i="8"/>
  <c r="L268" i="8"/>
  <c r="N273" i="8"/>
  <c r="Q294" i="8"/>
  <c r="V294" i="8" s="1"/>
  <c r="O298" i="8"/>
  <c r="D298" i="8"/>
  <c r="O310" i="8"/>
  <c r="I314" i="8"/>
  <c r="N314" i="8"/>
  <c r="N361" i="8"/>
  <c r="D366" i="8"/>
  <c r="O366" i="8"/>
  <c r="Q393" i="8"/>
  <c r="V393" i="8" s="1"/>
  <c r="T393" i="8"/>
  <c r="N453" i="8"/>
  <c r="I453" i="8"/>
  <c r="L127" i="8"/>
  <c r="R127" i="8" s="1"/>
  <c r="T158" i="8"/>
  <c r="L160" i="8"/>
  <c r="R160" i="8" s="1"/>
  <c r="O167" i="8"/>
  <c r="U183" i="8"/>
  <c r="Z183" i="8" s="1"/>
  <c r="L189" i="8"/>
  <c r="O195" i="8"/>
  <c r="D195" i="8"/>
  <c r="D204" i="8"/>
  <c r="I236" i="8"/>
  <c r="T243" i="8"/>
  <c r="O264" i="8"/>
  <c r="Q268" i="8"/>
  <c r="R268" i="8" s="1"/>
  <c r="Q271" i="8"/>
  <c r="R278" i="8"/>
  <c r="L310" i="8"/>
  <c r="G322" i="8"/>
  <c r="N322" i="8"/>
  <c r="D349" i="8"/>
  <c r="R349" i="8" s="1"/>
  <c r="O349" i="8"/>
  <c r="O402" i="8"/>
  <c r="T486" i="8"/>
  <c r="Q486" i="8"/>
  <c r="V486" i="8" s="1"/>
  <c r="L122" i="8"/>
  <c r="R122" i="8" s="1"/>
  <c r="O149" i="8"/>
  <c r="D167" i="8"/>
  <c r="L179" i="8"/>
  <c r="R179" i="8" s="1"/>
  <c r="D183" i="8"/>
  <c r="R183" i="8" s="1"/>
  <c r="N204" i="8"/>
  <c r="O221" i="8"/>
  <c r="G232" i="8"/>
  <c r="R232" i="8" s="1"/>
  <c r="D264" i="8"/>
  <c r="R281" i="8"/>
  <c r="N286" i="8"/>
  <c r="G286" i="8"/>
  <c r="N310" i="8"/>
  <c r="O312" i="8"/>
  <c r="Q326" i="8"/>
  <c r="T373" i="8"/>
  <c r="N378" i="8"/>
  <c r="G378" i="8"/>
  <c r="Q398" i="8"/>
  <c r="V398" i="8" s="1"/>
  <c r="Q400" i="8"/>
  <c r="W465" i="8"/>
  <c r="Q474" i="8"/>
  <c r="V474" i="8" s="1"/>
  <c r="AA474" i="8" s="1"/>
  <c r="O185" i="8"/>
  <c r="L204" i="8"/>
  <c r="N220" i="8"/>
  <c r="N255" i="8"/>
  <c r="G255" i="8"/>
  <c r="T256" i="8"/>
  <c r="T270" i="8"/>
  <c r="O295" i="8"/>
  <c r="D295" i="8"/>
  <c r="Q298" i="8"/>
  <c r="V298" i="8" s="1"/>
  <c r="N311" i="8"/>
  <c r="I311" i="8"/>
  <c r="Q324" i="8"/>
  <c r="L338" i="8"/>
  <c r="Q347" i="8"/>
  <c r="V347" i="8" s="1"/>
  <c r="AA347" i="8" s="1"/>
  <c r="T347" i="8"/>
  <c r="G431" i="8"/>
  <c r="N431" i="8"/>
  <c r="I300" i="8"/>
  <c r="N300" i="8"/>
  <c r="O358" i="8"/>
  <c r="D358" i="8"/>
  <c r="G374" i="8"/>
  <c r="N374" i="8"/>
  <c r="N404" i="8"/>
  <c r="G404" i="8"/>
  <c r="N408" i="8"/>
  <c r="G408" i="8"/>
  <c r="N455" i="8"/>
  <c r="G455" i="8"/>
  <c r="U486" i="8"/>
  <c r="T489" i="8"/>
  <c r="Q489" i="8"/>
  <c r="D205" i="8"/>
  <c r="N263" i="8"/>
  <c r="D280" i="8"/>
  <c r="O280" i="8"/>
  <c r="D299" i="8"/>
  <c r="O307" i="8"/>
  <c r="U320" i="8"/>
  <c r="Z320" i="8" s="1"/>
  <c r="Q333" i="8"/>
  <c r="N358" i="8"/>
  <c r="G462" i="8"/>
  <c r="N462" i="8"/>
  <c r="O496" i="8"/>
  <c r="D496" i="8"/>
  <c r="N498" i="8"/>
  <c r="G498" i="8"/>
  <c r="L251" i="8"/>
  <c r="T328" i="8"/>
  <c r="R346" i="8"/>
  <c r="G364" i="8"/>
  <c r="N364" i="8"/>
  <c r="Q388" i="8"/>
  <c r="O448" i="8"/>
  <c r="D448" i="8"/>
  <c r="L546" i="8"/>
  <c r="N546" i="8"/>
  <c r="N277" i="8"/>
  <c r="G277" i="8"/>
  <c r="O309" i="8"/>
  <c r="O340" i="8"/>
  <c r="D340" i="8"/>
  <c r="O351" i="8"/>
  <c r="L376" i="8"/>
  <c r="R415" i="8"/>
  <c r="D261" i="8"/>
  <c r="D288" i="8"/>
  <c r="D293" i="8"/>
  <c r="O306" i="8"/>
  <c r="D314" i="8"/>
  <c r="Q362" i="8"/>
  <c r="N422" i="8"/>
  <c r="G422" i="8"/>
  <c r="N429" i="8"/>
  <c r="G429" i="8"/>
  <c r="R533" i="8"/>
  <c r="N288" i="8"/>
  <c r="G288" i="8"/>
  <c r="N293" i="8"/>
  <c r="D308" i="8"/>
  <c r="D332" i="8"/>
  <c r="R348" i="8"/>
  <c r="O371" i="8"/>
  <c r="D371" i="8"/>
  <c r="D427" i="8"/>
  <c r="N451" i="8"/>
  <c r="L153" i="8"/>
  <c r="D170" i="8"/>
  <c r="L175" i="8"/>
  <c r="R175" i="8" s="1"/>
  <c r="G208" i="8"/>
  <c r="O239" i="8"/>
  <c r="G241" i="8"/>
  <c r="L262" i="8"/>
  <c r="R262" i="8" s="1"/>
  <c r="G271" i="8"/>
  <c r="R271" i="8" s="1"/>
  <c r="D276" i="8"/>
  <c r="L327" i="8"/>
  <c r="R327" i="8" s="1"/>
  <c r="N332" i="8"/>
  <c r="G332" i="8"/>
  <c r="Q348" i="8"/>
  <c r="O383" i="8"/>
  <c r="D387" i="8"/>
  <c r="O387" i="8"/>
  <c r="N427" i="8"/>
  <c r="G427" i="8"/>
  <c r="O431" i="8"/>
  <c r="T494" i="8"/>
  <c r="D161" i="8"/>
  <c r="R161" i="8" s="1"/>
  <c r="D239" i="8"/>
  <c r="L277" i="8"/>
  <c r="O283" i="8"/>
  <c r="G284" i="8"/>
  <c r="O292" i="8"/>
  <c r="O297" i="8"/>
  <c r="O329" i="8"/>
  <c r="D329" i="8"/>
  <c r="Q353" i="8"/>
  <c r="V353" i="8" s="1"/>
  <c r="O361" i="8"/>
  <c r="Q366" i="8"/>
  <c r="D383" i="8"/>
  <c r="Q387" i="8"/>
  <c r="O390" i="8"/>
  <c r="Q390" i="8" s="1"/>
  <c r="L390" i="8"/>
  <c r="T394" i="8"/>
  <c r="Q394" i="8"/>
  <c r="V394" i="8" s="1"/>
  <c r="D442" i="8"/>
  <c r="O442" i="8"/>
  <c r="G451" i="8"/>
  <c r="T467" i="8"/>
  <c r="U494" i="8"/>
  <c r="O219" i="8"/>
  <c r="N266" i="8"/>
  <c r="G266" i="8"/>
  <c r="O291" i="8"/>
  <c r="G313" i="8"/>
  <c r="N313" i="8"/>
  <c r="O321" i="8"/>
  <c r="D321" i="8"/>
  <c r="O342" i="8"/>
  <c r="D342" i="8"/>
  <c r="T399" i="8"/>
  <c r="U405" i="8"/>
  <c r="D219" i="8"/>
  <c r="N222" i="8"/>
  <c r="G222" i="8"/>
  <c r="G258" i="8"/>
  <c r="O265" i="8"/>
  <c r="O274" i="8"/>
  <c r="D274" i="8"/>
  <c r="R282" i="8"/>
  <c r="D291" i="8"/>
  <c r="O305" i="8"/>
  <c r="L316" i="8"/>
  <c r="R318" i="8"/>
  <c r="N321" i="8"/>
  <c r="G321" i="8"/>
  <c r="G342" i="8"/>
  <c r="N342" i="8"/>
  <c r="G391" i="8"/>
  <c r="N391" i="8"/>
  <c r="G397" i="8"/>
  <c r="O397" i="8"/>
  <c r="L405" i="8"/>
  <c r="O409" i="8"/>
  <c r="L434" i="8"/>
  <c r="N434" i="8"/>
  <c r="O444" i="8"/>
  <c r="N472" i="8"/>
  <c r="I472" i="8"/>
  <c r="O505" i="8"/>
  <c r="D505" i="8"/>
  <c r="O315" i="8"/>
  <c r="N369" i="8"/>
  <c r="N413" i="8"/>
  <c r="G413" i="8"/>
  <c r="G417" i="8"/>
  <c r="Q421" i="8"/>
  <c r="T421" i="8" s="1"/>
  <c r="N446" i="8"/>
  <c r="G446" i="8"/>
  <c r="G341" i="8"/>
  <c r="N341" i="8"/>
  <c r="R360" i="8"/>
  <c r="T415" i="8"/>
  <c r="Q415" i="8"/>
  <c r="V415" i="8" s="1"/>
  <c r="AA415" i="8" s="1"/>
  <c r="I470" i="8"/>
  <c r="N470" i="8"/>
  <c r="U474" i="8"/>
  <c r="Z474" i="8" s="1"/>
  <c r="R503" i="8"/>
  <c r="N508" i="8"/>
  <c r="G508" i="8"/>
  <c r="U524" i="8"/>
  <c r="Q544" i="8"/>
  <c r="V544" i="8" s="1"/>
  <c r="I350" i="8"/>
  <c r="T360" i="8"/>
  <c r="Q360" i="8"/>
  <c r="V360" i="8" s="1"/>
  <c r="G368" i="8"/>
  <c r="G371" i="8"/>
  <c r="N371" i="8"/>
  <c r="G377" i="8"/>
  <c r="N382" i="8"/>
  <c r="G382" i="8"/>
  <c r="O384" i="8"/>
  <c r="D384" i="8"/>
  <c r="I399" i="8"/>
  <c r="R399" i="8" s="1"/>
  <c r="N401" i="8"/>
  <c r="G401" i="8"/>
  <c r="N435" i="8"/>
  <c r="L435" i="8"/>
  <c r="T503" i="8"/>
  <c r="Q503" i="8"/>
  <c r="V503" i="8" s="1"/>
  <c r="R324" i="8"/>
  <c r="O347" i="8"/>
  <c r="U360" i="8"/>
  <c r="O375" i="8"/>
  <c r="G392" i="8"/>
  <c r="N392" i="8"/>
  <c r="N417" i="8"/>
  <c r="I437" i="8"/>
  <c r="N437" i="8"/>
  <c r="N449" i="8"/>
  <c r="I449" i="8"/>
  <c r="N483" i="8"/>
  <c r="G483" i="8"/>
  <c r="Q515" i="8"/>
  <c r="D420" i="8"/>
  <c r="O420" i="8"/>
  <c r="R430" i="8"/>
  <c r="N454" i="8"/>
  <c r="G454" i="8"/>
  <c r="L298" i="8"/>
  <c r="N334" i="8"/>
  <c r="U394" i="8"/>
  <c r="G412" i="8"/>
  <c r="T439" i="8"/>
  <c r="O447" i="8"/>
  <c r="D447" i="8"/>
  <c r="O466" i="8"/>
  <c r="L466" i="8"/>
  <c r="N501" i="8"/>
  <c r="G501" i="8"/>
  <c r="Q319" i="8"/>
  <c r="L320" i="8"/>
  <c r="R320" i="8" s="1"/>
  <c r="G349" i="8"/>
  <c r="G353" i="8"/>
  <c r="R353" i="8" s="1"/>
  <c r="R394" i="8"/>
  <c r="Q405" i="8"/>
  <c r="V405" i="8" s="1"/>
  <c r="O408" i="8"/>
  <c r="L408" i="8"/>
  <c r="O422" i="8"/>
  <c r="D422" i="8"/>
  <c r="U430" i="8"/>
  <c r="R439" i="8"/>
  <c r="G447" i="8"/>
  <c r="N447" i="8"/>
  <c r="Q494" i="8"/>
  <c r="R506" i="8"/>
  <c r="Q320" i="8"/>
  <c r="V320" i="8" s="1"/>
  <c r="AA320" i="8" s="1"/>
  <c r="N338" i="8"/>
  <c r="G338" i="8"/>
  <c r="U346" i="8"/>
  <c r="O359" i="8"/>
  <c r="D359" i="8"/>
  <c r="Q363" i="8"/>
  <c r="T363" i="8" s="1"/>
  <c r="T368" i="8"/>
  <c r="Q368" i="8"/>
  <c r="Q377" i="8"/>
  <c r="N379" i="8"/>
  <c r="N416" i="8"/>
  <c r="G416" i="8"/>
  <c r="N424" i="8"/>
  <c r="G424" i="8"/>
  <c r="N463" i="8"/>
  <c r="G463" i="8"/>
  <c r="T506" i="8"/>
  <c r="Q506" i="8"/>
  <c r="D337" i="8"/>
  <c r="N340" i="8"/>
  <c r="D344" i="8"/>
  <c r="O344" i="8"/>
  <c r="I345" i="8"/>
  <c r="R345" i="8" s="1"/>
  <c r="N359" i="8"/>
  <c r="O412" i="8"/>
  <c r="U439" i="8"/>
  <c r="U457" i="8"/>
  <c r="O501" i="8"/>
  <c r="L501" i="8"/>
  <c r="Q346" i="8"/>
  <c r="O353" i="8"/>
  <c r="N370" i="8"/>
  <c r="G379" i="8"/>
  <c r="N384" i="8"/>
  <c r="T412" i="8"/>
  <c r="O445" i="8"/>
  <c r="R457" i="8"/>
  <c r="O484" i="8"/>
  <c r="D484" i="8"/>
  <c r="Q513" i="8"/>
  <c r="V513" i="8" s="1"/>
  <c r="T513" i="8"/>
  <c r="O339" i="8"/>
  <c r="L353" i="8"/>
  <c r="O355" i="8"/>
  <c r="G359" i="8"/>
  <c r="G362" i="8"/>
  <c r="L366" i="8"/>
  <c r="D386" i="8"/>
  <c r="Q412" i="8"/>
  <c r="V412" i="8" s="1"/>
  <c r="N428" i="8"/>
  <c r="Q443" i="8"/>
  <c r="V443" i="8" s="1"/>
  <c r="Q445" i="8"/>
  <c r="V445" i="8" s="1"/>
  <c r="AA445" i="8" s="1"/>
  <c r="N499" i="8"/>
  <c r="G499" i="8"/>
  <c r="O511" i="8"/>
  <c r="N407" i="8"/>
  <c r="O411" i="8"/>
  <c r="Q485" i="8"/>
  <c r="U503" i="8"/>
  <c r="O508" i="8"/>
  <c r="D374" i="8"/>
  <c r="O374" i="8"/>
  <c r="O378" i="8"/>
  <c r="N386" i="8"/>
  <c r="N410" i="8"/>
  <c r="L411" i="8"/>
  <c r="N419" i="8"/>
  <c r="I419" i="8"/>
  <c r="O424" i="8"/>
  <c r="D424" i="8"/>
  <c r="O451" i="8"/>
  <c r="L451" i="8"/>
  <c r="L477" i="8"/>
  <c r="G479" i="8"/>
  <c r="N479" i="8"/>
  <c r="D483" i="8"/>
  <c r="O499" i="8"/>
  <c r="D508" i="8"/>
  <c r="G543" i="8"/>
  <c r="N543" i="8"/>
  <c r="O381" i="8"/>
  <c r="D381" i="8"/>
  <c r="O385" i="8"/>
  <c r="O418" i="8"/>
  <c r="R474" i="8"/>
  <c r="Y475" i="8"/>
  <c r="W475" i="8"/>
  <c r="L375" i="8"/>
  <c r="N381" i="8"/>
  <c r="G381" i="8"/>
  <c r="L401" i="8"/>
  <c r="D418" i="8"/>
  <c r="T468" i="8"/>
  <c r="O472" i="8"/>
  <c r="L472" i="8"/>
  <c r="T497" i="8"/>
  <c r="N385" i="8"/>
  <c r="G385" i="8"/>
  <c r="N403" i="8"/>
  <c r="N418" i="8"/>
  <c r="G418" i="8"/>
  <c r="N441" i="8"/>
  <c r="I441" i="8"/>
  <c r="D450" i="8"/>
  <c r="O450" i="8"/>
  <c r="N459" i="8"/>
  <c r="U468" i="8"/>
  <c r="O488" i="8"/>
  <c r="R492" i="8"/>
  <c r="U497" i="8"/>
  <c r="G400" i="8"/>
  <c r="R400" i="8" s="1"/>
  <c r="N406" i="8"/>
  <c r="L407" i="8"/>
  <c r="N426" i="8"/>
  <c r="N438" i="8"/>
  <c r="G443" i="8"/>
  <c r="G448" i="8"/>
  <c r="N450" i="8"/>
  <c r="G450" i="8"/>
  <c r="Q468" i="8"/>
  <c r="V468" i="8" s="1"/>
  <c r="D488" i="8"/>
  <c r="G490" i="8"/>
  <c r="N490" i="8"/>
  <c r="Q497" i="8"/>
  <c r="L506" i="8"/>
  <c r="O357" i="8"/>
  <c r="N365" i="8"/>
  <c r="G403" i="8"/>
  <c r="N409" i="8"/>
  <c r="N461" i="8"/>
  <c r="N420" i="8"/>
  <c r="N440" i="8"/>
  <c r="G440" i="8"/>
  <c r="N476" i="8"/>
  <c r="I476" i="8"/>
  <c r="I488" i="8"/>
  <c r="N488" i="8"/>
  <c r="O500" i="8"/>
  <c r="D500" i="8"/>
  <c r="O519" i="8"/>
  <c r="G519" i="8"/>
  <c r="N337" i="8"/>
  <c r="O356" i="8"/>
  <c r="U367" i="8"/>
  <c r="N396" i="8"/>
  <c r="U399" i="8"/>
  <c r="L400" i="8"/>
  <c r="O417" i="8"/>
  <c r="D433" i="8"/>
  <c r="O433" i="8"/>
  <c r="U460" i="8"/>
  <c r="U467" i="8"/>
  <c r="U473" i="8"/>
  <c r="O480" i="8"/>
  <c r="D480" i="8"/>
  <c r="O482" i="8"/>
  <c r="D482" i="8"/>
  <c r="N502" i="8"/>
  <c r="L502" i="8"/>
  <c r="O336" i="8"/>
  <c r="D356" i="8"/>
  <c r="I396" i="8"/>
  <c r="N402" i="8"/>
  <c r="R405" i="8"/>
  <c r="D417" i="8"/>
  <c r="G420" i="8"/>
  <c r="L431" i="8"/>
  <c r="O434" i="8"/>
  <c r="L467" i="8"/>
  <c r="R467" i="8" s="1"/>
  <c r="G469" i="8"/>
  <c r="N469" i="8"/>
  <c r="G473" i="8"/>
  <c r="L490" i="8"/>
  <c r="Q492" i="8"/>
  <c r="O507" i="8"/>
  <c r="Q507" i="8" s="1"/>
  <c r="D507" i="8"/>
  <c r="V517" i="8"/>
  <c r="U517" i="8"/>
  <c r="L412" i="8"/>
  <c r="L455" i="8"/>
  <c r="N527" i="8"/>
  <c r="N509" i="8"/>
  <c r="G509" i="8"/>
  <c r="G547" i="8"/>
  <c r="N547" i="8"/>
  <c r="D453" i="8"/>
  <c r="D456" i="8"/>
  <c r="O456" i="8"/>
  <c r="N466" i="8"/>
  <c r="Q482" i="8"/>
  <c r="V482" i="8" s="1"/>
  <c r="T482" i="8"/>
  <c r="L485" i="8"/>
  <c r="I495" i="8"/>
  <c r="G386" i="8"/>
  <c r="N456" i="8"/>
  <c r="Q519" i="8"/>
  <c r="V519" i="8" s="1"/>
  <c r="O535" i="8"/>
  <c r="Q535" i="8" s="1"/>
  <c r="D535" i="8"/>
  <c r="W540" i="8"/>
  <c r="G343" i="8"/>
  <c r="G365" i="8"/>
  <c r="G387" i="8"/>
  <c r="O478" i="8"/>
  <c r="Q478" i="8" s="1"/>
  <c r="D478" i="8"/>
  <c r="R478" i="8" s="1"/>
  <c r="G482" i="8"/>
  <c r="G456" i="8"/>
  <c r="I465" i="8"/>
  <c r="R465" i="8" s="1"/>
  <c r="G489" i="8"/>
  <c r="R489" i="8" s="1"/>
  <c r="N500" i="8"/>
  <c r="O516" i="8"/>
  <c r="D522" i="8"/>
  <c r="R524" i="8"/>
  <c r="I539" i="8"/>
  <c r="O432" i="8"/>
  <c r="O452" i="8"/>
  <c r="N458" i="8"/>
  <c r="N484" i="8"/>
  <c r="N504" i="8"/>
  <c r="N537" i="8"/>
  <c r="L537" i="8"/>
  <c r="U539" i="8"/>
  <c r="G395" i="8"/>
  <c r="D432" i="8"/>
  <c r="N433" i="8"/>
  <c r="D452" i="8"/>
  <c r="N471" i="8"/>
  <c r="U475" i="8"/>
  <c r="Z475" i="8" s="1"/>
  <c r="D481" i="8"/>
  <c r="N522" i="8"/>
  <c r="I522" i="8"/>
  <c r="Q539" i="8"/>
  <c r="V539" i="8" s="1"/>
  <c r="O410" i="8"/>
  <c r="N452" i="8"/>
  <c r="G458" i="8"/>
  <c r="U465" i="8"/>
  <c r="N477" i="8"/>
  <c r="N481" i="8"/>
  <c r="G481" i="8"/>
  <c r="G484" i="8"/>
  <c r="G504" i="8"/>
  <c r="U515" i="8"/>
  <c r="T524" i="8"/>
  <c r="N545" i="8"/>
  <c r="I545" i="8"/>
  <c r="O479" i="8"/>
  <c r="N480" i="8"/>
  <c r="N532" i="8"/>
  <c r="G532" i="8"/>
  <c r="D534" i="8"/>
  <c r="R534" i="8" s="1"/>
  <c r="D479" i="8"/>
  <c r="G503" i="8"/>
  <c r="G524" i="8"/>
  <c r="G526" i="8"/>
  <c r="O550" i="8"/>
  <c r="D550" i="8"/>
  <c r="D514" i="8"/>
  <c r="D521" i="8"/>
  <c r="R548" i="8"/>
  <c r="N514" i="8"/>
  <c r="G514" i="8"/>
  <c r="Q534" i="8"/>
  <c r="O509" i="8"/>
  <c r="O510" i="8"/>
  <c r="O513" i="8"/>
  <c r="N518" i="8"/>
  <c r="Q524" i="8"/>
  <c r="V524" i="8" s="1"/>
  <c r="N526" i="8"/>
  <c r="O462" i="8"/>
  <c r="D509" i="8"/>
  <c r="R513" i="8"/>
  <c r="O531" i="8"/>
  <c r="Q531" i="8" s="1"/>
  <c r="D531" i="8"/>
  <c r="G542" i="8"/>
  <c r="N542" i="8"/>
  <c r="L464" i="8"/>
  <c r="G486" i="8"/>
  <c r="R486" i="8" s="1"/>
  <c r="Q512" i="8"/>
  <c r="N516" i="8"/>
  <c r="N525" i="8"/>
  <c r="O542" i="8"/>
  <c r="G549" i="8"/>
  <c r="Q533" i="8"/>
  <c r="N538" i="8"/>
  <c r="L538" i="8"/>
  <c r="O541" i="8"/>
  <c r="L541" i="8"/>
  <c r="L508" i="8"/>
  <c r="G520" i="8"/>
  <c r="L543" i="8"/>
  <c r="N549" i="8"/>
  <c r="G507" i="8"/>
  <c r="G512" i="8"/>
  <c r="N521" i="8"/>
  <c r="O523" i="8"/>
  <c r="O537" i="8"/>
  <c r="D537" i="8"/>
  <c r="R540" i="8"/>
  <c r="N550" i="8"/>
  <c r="G550" i="8"/>
  <c r="U544" i="8"/>
  <c r="Q548" i="8"/>
  <c r="N510" i="8"/>
  <c r="N520" i="8"/>
  <c r="O532" i="8"/>
  <c r="D532" i="8"/>
  <c r="O536" i="8"/>
  <c r="N529" i="8"/>
  <c r="G529" i="8"/>
  <c r="D544" i="8"/>
  <c r="R544" i="8" s="1"/>
  <c r="O528" i="8"/>
  <c r="O549" i="8"/>
  <c r="N528" i="8"/>
  <c r="O547" i="8"/>
  <c r="D549" i="8"/>
  <c r="U540" i="8"/>
  <c r="O551" i="8"/>
  <c r="D530" i="8"/>
  <c r="D551" i="8"/>
  <c r="N530" i="8"/>
  <c r="L549" i="8"/>
  <c r="N551" i="8"/>
  <c r="G551" i="8"/>
  <c r="I536" i="8"/>
  <c r="L184" i="13" l="1"/>
  <c r="L181" i="12"/>
  <c r="H181" i="13" s="1"/>
  <c r="L122" i="12"/>
  <c r="F145" i="13"/>
  <c r="L3" i="12"/>
  <c r="L152" i="12"/>
  <c r="BX54" i="5"/>
  <c r="BG54" i="5"/>
  <c r="BF153" i="5"/>
  <c r="BY153" i="5" s="1"/>
  <c r="BF68" i="5"/>
  <c r="BF139" i="5"/>
  <c r="BY139" i="5" s="1"/>
  <c r="BF105" i="5"/>
  <c r="L168" i="12"/>
  <c r="N168" i="12" s="1"/>
  <c r="Z346" i="8"/>
  <c r="AA393" i="8"/>
  <c r="AA430" i="8"/>
  <c r="Z115" i="8"/>
  <c r="AA150" i="8"/>
  <c r="BF493" i="5"/>
  <c r="BF268" i="5"/>
  <c r="BF90" i="5"/>
  <c r="BX16" i="5"/>
  <c r="BF351" i="5"/>
  <c r="AA115" i="8"/>
  <c r="AB115" i="8" s="1"/>
  <c r="N145" i="12"/>
  <c r="BF339" i="5"/>
  <c r="BF267" i="5"/>
  <c r="BX267" i="5" s="1"/>
  <c r="BF35" i="5"/>
  <c r="L12" i="12"/>
  <c r="L213" i="7"/>
  <c r="Z104" i="8"/>
  <c r="BF303" i="5"/>
  <c r="GG28" i="6"/>
  <c r="Z90" i="8"/>
  <c r="AB90" i="8" s="1"/>
  <c r="BF302" i="5"/>
  <c r="E145" i="13"/>
  <c r="BF391" i="5"/>
  <c r="BF384" i="5"/>
  <c r="BF192" i="5"/>
  <c r="BF296" i="5"/>
  <c r="Z324" i="8"/>
  <c r="BF375" i="5"/>
  <c r="Y180" i="8"/>
  <c r="AB180" i="8" s="1"/>
  <c r="Z110" i="8"/>
  <c r="L157" i="12"/>
  <c r="G157" i="13" s="1"/>
  <c r="AA256" i="8"/>
  <c r="BF501" i="5"/>
  <c r="BF22" i="5"/>
  <c r="BY22" i="5" s="1"/>
  <c r="BF367" i="5"/>
  <c r="BF146" i="5"/>
  <c r="BY146" i="5" s="1"/>
  <c r="AA114" i="8"/>
  <c r="BF354" i="5"/>
  <c r="Z430" i="8"/>
  <c r="BF78" i="5"/>
  <c r="BY78" i="5" s="1"/>
  <c r="L7" i="12"/>
  <c r="Z495" i="8"/>
  <c r="BF249" i="5"/>
  <c r="L150" i="12"/>
  <c r="B150" i="13" s="1"/>
  <c r="BF135" i="5"/>
  <c r="BY135" i="5" s="1"/>
  <c r="BF500" i="5"/>
  <c r="Z256" i="8"/>
  <c r="AA180" i="8"/>
  <c r="AA90" i="8"/>
  <c r="BF112" i="5"/>
  <c r="BF80" i="5"/>
  <c r="BY80" i="5" s="1"/>
  <c r="L9" i="12"/>
  <c r="BF236" i="5"/>
  <c r="BF220" i="5"/>
  <c r="AA246" i="8"/>
  <c r="L11" i="12"/>
  <c r="BF373" i="5"/>
  <c r="Y115" i="8"/>
  <c r="AA123" i="8"/>
  <c r="BF88" i="5"/>
  <c r="BY88" i="5" s="1"/>
  <c r="BF151" i="5"/>
  <c r="FY142" i="6" s="1"/>
  <c r="AA104" i="8"/>
  <c r="AB104" i="8" s="1"/>
  <c r="BF246" i="5"/>
  <c r="BF33" i="5"/>
  <c r="EL24" i="6" s="1"/>
  <c r="BF473" i="5"/>
  <c r="BF484" i="5"/>
  <c r="BF204" i="5"/>
  <c r="BF71" i="5"/>
  <c r="BX71" i="5" s="1"/>
  <c r="BF38" i="5"/>
  <c r="Y104" i="8"/>
  <c r="BF175" i="5"/>
  <c r="BY54" i="5"/>
  <c r="Y90" i="8"/>
  <c r="Z180" i="8"/>
  <c r="BF219" i="5"/>
  <c r="BY219" i="5" s="1"/>
  <c r="Z160" i="8"/>
  <c r="AA343" i="8"/>
  <c r="BF27" i="5"/>
  <c r="BG27" i="5" s="1"/>
  <c r="BF233" i="5"/>
  <c r="BF42" i="5"/>
  <c r="C154" i="13"/>
  <c r="B154" i="13"/>
  <c r="N154" i="12"/>
  <c r="I154" i="13"/>
  <c r="H154" i="13"/>
  <c r="G154" i="13"/>
  <c r="F154" i="13"/>
  <c r="E154" i="13"/>
  <c r="Y517" i="8"/>
  <c r="Z117" i="8"/>
  <c r="GJ52" i="6"/>
  <c r="Z394" i="8"/>
  <c r="AA80" i="8"/>
  <c r="L217" i="7"/>
  <c r="BF432" i="5"/>
  <c r="BX148" i="5"/>
  <c r="BF333" i="5"/>
  <c r="Z94" i="8"/>
  <c r="Z122" i="8"/>
  <c r="Z214" i="8"/>
  <c r="L82" i="7"/>
  <c r="BF126" i="5"/>
  <c r="BY126" i="5" s="1"/>
  <c r="AA345" i="8"/>
  <c r="BF408" i="5"/>
  <c r="BF464" i="5"/>
  <c r="BF457" i="5"/>
  <c r="BF101" i="5"/>
  <c r="BF340" i="5"/>
  <c r="Z186" i="8"/>
  <c r="AA65" i="8"/>
  <c r="BF256" i="5"/>
  <c r="BF314" i="5"/>
  <c r="BF403" i="5"/>
  <c r="BF198" i="5"/>
  <c r="BY14" i="5"/>
  <c r="BF378" i="5"/>
  <c r="L132" i="12"/>
  <c r="N132" i="12" s="1"/>
  <c r="AA303" i="8"/>
  <c r="Z172" i="8"/>
  <c r="Z70" i="8"/>
  <c r="BF245" i="5"/>
  <c r="BF191" i="5"/>
  <c r="BF117" i="5"/>
  <c r="BX117" i="5" s="1"/>
  <c r="Y345" i="8"/>
  <c r="B159" i="13"/>
  <c r="BF471" i="5"/>
  <c r="GL85" i="6"/>
  <c r="L135" i="12"/>
  <c r="B135" i="13" s="1"/>
  <c r="BF334" i="5"/>
  <c r="BF326" i="5"/>
  <c r="BF389" i="5"/>
  <c r="N205" i="13"/>
  <c r="L205" i="13" s="1"/>
  <c r="BF443" i="5"/>
  <c r="BF138" i="5"/>
  <c r="BY138" i="5" s="1"/>
  <c r="BF214" i="5"/>
  <c r="AA394" i="8"/>
  <c r="BF261" i="5"/>
  <c r="BY137" i="5"/>
  <c r="Z254" i="8"/>
  <c r="BF421" i="5"/>
  <c r="AA517" i="8"/>
  <c r="Z194" i="8"/>
  <c r="AA194" i="8"/>
  <c r="BF480" i="5"/>
  <c r="GJ438" i="6"/>
  <c r="BF453" i="5"/>
  <c r="BF248" i="5"/>
  <c r="BF44" i="5"/>
  <c r="BX44" i="5" s="1"/>
  <c r="BF155" i="5"/>
  <c r="BF222" i="5"/>
  <c r="Z99" i="8"/>
  <c r="BF490" i="5"/>
  <c r="AA186" i="8"/>
  <c r="L131" i="12"/>
  <c r="B131" i="13" s="1"/>
  <c r="BF321" i="5"/>
  <c r="BF399" i="5"/>
  <c r="L178" i="12"/>
  <c r="I178" i="13" s="1"/>
  <c r="AA74" i="8"/>
  <c r="L120" i="12"/>
  <c r="B120" i="13" s="1"/>
  <c r="BF425" i="5"/>
  <c r="BF238" i="5"/>
  <c r="BF79" i="5"/>
  <c r="BY79" i="5" s="1"/>
  <c r="BF67" i="5"/>
  <c r="BX67" i="5" s="1"/>
  <c r="BF492" i="5"/>
  <c r="BF308" i="5"/>
  <c r="H149" i="13"/>
  <c r="I149" i="13"/>
  <c r="F149" i="13"/>
  <c r="C149" i="13"/>
  <c r="L176" i="12"/>
  <c r="C176" i="13" s="1"/>
  <c r="L20" i="12"/>
  <c r="L151" i="12"/>
  <c r="I151" i="13" s="1"/>
  <c r="L138" i="12"/>
  <c r="B138" i="13" s="1"/>
  <c r="L22" i="12"/>
  <c r="L18" i="12"/>
  <c r="L15" i="12"/>
  <c r="L123" i="12"/>
  <c r="N123" i="12" s="1"/>
  <c r="L8" i="12"/>
  <c r="L14" i="12"/>
  <c r="L146" i="12"/>
  <c r="N146" i="12" s="1"/>
  <c r="L156" i="12"/>
  <c r="N156" i="12" s="1"/>
  <c r="L158" i="12"/>
  <c r="C158" i="13" s="1"/>
  <c r="L161" i="12"/>
  <c r="B161" i="13" s="1"/>
  <c r="L155" i="12"/>
  <c r="C155" i="13" s="1"/>
  <c r="BX19" i="5"/>
  <c r="AA467" i="8"/>
  <c r="BF377" i="5"/>
  <c r="BF36" i="5"/>
  <c r="BF235" i="5"/>
  <c r="BX15" i="5"/>
  <c r="BX42" i="5"/>
  <c r="BF301" i="5"/>
  <c r="Z464" i="8"/>
  <c r="AA117" i="8"/>
  <c r="BF279" i="5"/>
  <c r="BX279" i="5" s="1"/>
  <c r="BF100" i="5"/>
  <c r="BY100" i="5" s="1"/>
  <c r="BF242" i="5"/>
  <c r="BX242" i="5" s="1"/>
  <c r="FY139" i="6"/>
  <c r="BY176" i="5"/>
  <c r="BF55" i="5"/>
  <c r="BY55" i="5" s="1"/>
  <c r="AA513" i="8"/>
  <c r="AA99" i="8"/>
  <c r="BF504" i="5"/>
  <c r="BF456" i="5"/>
  <c r="Z486" i="8"/>
  <c r="Z227" i="8"/>
  <c r="BF187" i="5"/>
  <c r="BF64" i="5"/>
  <c r="BG64" i="5" s="1"/>
  <c r="BX18" i="5"/>
  <c r="L214" i="7"/>
  <c r="Z399" i="8"/>
  <c r="Y127" i="8"/>
  <c r="Z161" i="8"/>
  <c r="GN98" i="6"/>
  <c r="BF325" i="5"/>
  <c r="BF460" i="5"/>
  <c r="BF284" i="5"/>
  <c r="BF40" i="5"/>
  <c r="BX40" i="5" s="1"/>
  <c r="BF144" i="5"/>
  <c r="FY135" i="6" s="1"/>
  <c r="BX115" i="5"/>
  <c r="BF319" i="5"/>
  <c r="AA158" i="8"/>
  <c r="AA282" i="8"/>
  <c r="Z60" i="8"/>
  <c r="Z86" i="8"/>
  <c r="GL98" i="6"/>
  <c r="Z373" i="8"/>
  <c r="BF202" i="5"/>
  <c r="BF476" i="5"/>
  <c r="BF114" i="5"/>
  <c r="BG114" i="5" s="1"/>
  <c r="BF190" i="5"/>
  <c r="BF485" i="5"/>
  <c r="BF297" i="5"/>
  <c r="BY20" i="5"/>
  <c r="BY75" i="5"/>
  <c r="BF454" i="5"/>
  <c r="AA122" i="8"/>
  <c r="AA540" i="8"/>
  <c r="AA60" i="8"/>
  <c r="BF396" i="5"/>
  <c r="BF463" i="5"/>
  <c r="BF92" i="5"/>
  <c r="BX92" i="5" s="1"/>
  <c r="BF252" i="5"/>
  <c r="BF271" i="5"/>
  <c r="BF26" i="5"/>
  <c r="BY26" i="5" s="1"/>
  <c r="BG165" i="5"/>
  <c r="FD156" i="6" s="1"/>
  <c r="AA177" i="8"/>
  <c r="AA197" i="8"/>
  <c r="AA399" i="8"/>
  <c r="BF66" i="5"/>
  <c r="EO57" i="6" s="1"/>
  <c r="BF327" i="5"/>
  <c r="BY148" i="5"/>
  <c r="BF30" i="5"/>
  <c r="BY30" i="5" s="1"/>
  <c r="BY13" i="5"/>
  <c r="Z63" i="8"/>
  <c r="BF207" i="5"/>
  <c r="BY207" i="5" s="1"/>
  <c r="BF169" i="5"/>
  <c r="BX169" i="5" s="1"/>
  <c r="BF156" i="5"/>
  <c r="BF307" i="5"/>
  <c r="BF411" i="5"/>
  <c r="BF299" i="5"/>
  <c r="BV176" i="5"/>
  <c r="AA161" i="8"/>
  <c r="BF195" i="5"/>
  <c r="BY195" i="5" s="1"/>
  <c r="BF28" i="5"/>
  <c r="BY28" i="5" s="1"/>
  <c r="BF406" i="5"/>
  <c r="BF273" i="5"/>
  <c r="BF444" i="5"/>
  <c r="BF257" i="5"/>
  <c r="BF356" i="5"/>
  <c r="BF39" i="5"/>
  <c r="EL30" i="6" s="1"/>
  <c r="BF275" i="5"/>
  <c r="BF317" i="5"/>
  <c r="Z282" i="8"/>
  <c r="AA278" i="8"/>
  <c r="BY175" i="5"/>
  <c r="BF442" i="5"/>
  <c r="BF503" i="5"/>
  <c r="L219" i="7"/>
  <c r="BF123" i="5"/>
  <c r="Z177" i="8"/>
  <c r="BY35" i="5"/>
  <c r="AA224" i="8"/>
  <c r="BF437" i="5"/>
  <c r="GG65" i="6"/>
  <c r="GL65" i="6" s="1"/>
  <c r="BF93" i="5"/>
  <c r="BG93" i="5" s="1"/>
  <c r="BF157" i="5"/>
  <c r="BY157" i="5" s="1"/>
  <c r="BF289" i="5"/>
  <c r="BF177" i="5"/>
  <c r="FY168" i="6" s="1"/>
  <c r="BF46" i="5"/>
  <c r="BY46" i="5" s="1"/>
  <c r="AA486" i="8"/>
  <c r="Z127" i="8"/>
  <c r="BY165" i="5"/>
  <c r="BF118" i="5"/>
  <c r="FY109" i="6" s="1"/>
  <c r="BF132" i="5"/>
  <c r="BY132" i="5" s="1"/>
  <c r="BF185" i="5"/>
  <c r="BX185" i="5" s="1"/>
  <c r="BF48" i="5"/>
  <c r="BG48" i="5" s="1"/>
  <c r="BF193" i="5"/>
  <c r="BY193" i="5" s="1"/>
  <c r="Z405" i="8"/>
  <c r="BF395" i="5"/>
  <c r="BF472" i="5"/>
  <c r="BF497" i="5"/>
  <c r="BF213" i="5"/>
  <c r="L191" i="13"/>
  <c r="N204" i="13"/>
  <c r="L204" i="13" s="1"/>
  <c r="BF254" i="5"/>
  <c r="BX254" i="5" s="1"/>
  <c r="BY90" i="5"/>
  <c r="AA128" i="8"/>
  <c r="BF494" i="5"/>
  <c r="EQ26" i="6"/>
  <c r="BF53" i="5"/>
  <c r="BY53" i="5" s="1"/>
  <c r="BY181" i="5"/>
  <c r="AA468" i="8"/>
  <c r="AA67" i="8"/>
  <c r="AA465" i="8"/>
  <c r="Z210" i="8"/>
  <c r="BF143" i="5"/>
  <c r="FY134" i="6" s="1"/>
  <c r="BF179" i="5"/>
  <c r="BY179" i="5" s="1"/>
  <c r="BG146" i="5"/>
  <c r="FI137" i="6" s="1"/>
  <c r="BF376" i="5"/>
  <c r="BF434" i="5"/>
  <c r="BY42" i="5"/>
  <c r="BF74" i="5"/>
  <c r="EP65" i="6" s="1"/>
  <c r="BF152" i="5"/>
  <c r="FY143" i="6" s="1"/>
  <c r="BF418" i="5"/>
  <c r="BF172" i="5"/>
  <c r="FY163" i="6" s="1"/>
  <c r="BF450" i="5"/>
  <c r="BF24" i="5"/>
  <c r="BX24" i="5" s="1"/>
  <c r="BV115" i="5"/>
  <c r="BF62" i="5"/>
  <c r="BY62" i="5" s="1"/>
  <c r="BF178" i="5"/>
  <c r="BX178" i="5" s="1"/>
  <c r="BX146" i="5"/>
  <c r="BX20" i="5"/>
  <c r="AA76" i="8"/>
  <c r="BF158" i="5"/>
  <c r="BY158" i="5" s="1"/>
  <c r="BF466" i="5"/>
  <c r="BF110" i="5"/>
  <c r="FY101" i="6" s="1"/>
  <c r="BF61" i="5"/>
  <c r="BY61" i="5" s="1"/>
  <c r="BY17" i="5"/>
  <c r="FY137" i="6"/>
  <c r="BF170" i="5"/>
  <c r="BG170" i="5" s="1"/>
  <c r="Z113" i="8"/>
  <c r="AA457" i="8"/>
  <c r="BY21" i="5"/>
  <c r="BG131" i="5"/>
  <c r="FZ122" i="6" s="1"/>
  <c r="AA443" i="8"/>
  <c r="AA192" i="8"/>
  <c r="BF124" i="5"/>
  <c r="BX124" i="5" s="1"/>
  <c r="BF250" i="5"/>
  <c r="BF292" i="5"/>
  <c r="BF218" i="5"/>
  <c r="BX218" i="5" s="1"/>
  <c r="BF343" i="5"/>
  <c r="BF478" i="5"/>
  <c r="BF469" i="5"/>
  <c r="AA412" i="8"/>
  <c r="Z135" i="8"/>
  <c r="BF147" i="5"/>
  <c r="BY147" i="5" s="1"/>
  <c r="BF413" i="5"/>
  <c r="BF87" i="5"/>
  <c r="BX87" i="5" s="1"/>
  <c r="BX122" i="5"/>
  <c r="BV14" i="5"/>
  <c r="BF286" i="5"/>
  <c r="BF414" i="5"/>
  <c r="BF253" i="5"/>
  <c r="BX253" i="5" s="1"/>
  <c r="BF232" i="5"/>
  <c r="BV19" i="5"/>
  <c r="BF251" i="5"/>
  <c r="BF380" i="5"/>
  <c r="BF264" i="5"/>
  <c r="BF86" i="5"/>
  <c r="BX86" i="5" s="1"/>
  <c r="BF197" i="5"/>
  <c r="BF106" i="5"/>
  <c r="BF412" i="5"/>
  <c r="BF211" i="5"/>
  <c r="AA113" i="8"/>
  <c r="BF499" i="5"/>
  <c r="Z74" i="8"/>
  <c r="AA539" i="8"/>
  <c r="GI82" i="6"/>
  <c r="AA405" i="8"/>
  <c r="BF428" i="5"/>
  <c r="Z457" i="8"/>
  <c r="Z494" i="8"/>
  <c r="AA460" i="8"/>
  <c r="Z173" i="8"/>
  <c r="Z128" i="8"/>
  <c r="BF125" i="5"/>
  <c r="FY116" i="6" s="1"/>
  <c r="BF461" i="5"/>
  <c r="BF136" i="5"/>
  <c r="BG136" i="5" s="1"/>
  <c r="BF184" i="5"/>
  <c r="BX184" i="5" s="1"/>
  <c r="Z62" i="8"/>
  <c r="BF76" i="5"/>
  <c r="EK67" i="6" s="1"/>
  <c r="BF346" i="5"/>
  <c r="Z539" i="8"/>
  <c r="BF150" i="5"/>
  <c r="FY141" i="6" s="1"/>
  <c r="BF50" i="5"/>
  <c r="BY50" i="5" s="1"/>
  <c r="BF240" i="5"/>
  <c r="BF188" i="5"/>
  <c r="BF483" i="5"/>
  <c r="BF203" i="5"/>
  <c r="BF119" i="5"/>
  <c r="BG119" i="5" s="1"/>
  <c r="BF498" i="5"/>
  <c r="BF318" i="5"/>
  <c r="BF337" i="5"/>
  <c r="BF316" i="5"/>
  <c r="Z121" i="8"/>
  <c r="Z497" i="8"/>
  <c r="AA175" i="8"/>
  <c r="AA133" i="8"/>
  <c r="BF344" i="5"/>
  <c r="BF29" i="5"/>
  <c r="EQ20" i="6" s="1"/>
  <c r="BF140" i="5"/>
  <c r="BY140" i="5" s="1"/>
  <c r="BF174" i="5"/>
  <c r="BF404" i="5"/>
  <c r="AA524" i="8"/>
  <c r="AA121" i="8"/>
  <c r="Z473" i="8"/>
  <c r="Z524" i="8"/>
  <c r="Z76" i="8"/>
  <c r="Z133" i="8"/>
  <c r="AA72" i="8"/>
  <c r="GK454" i="6"/>
  <c r="BF383" i="5"/>
  <c r="BY38" i="5"/>
  <c r="AA519" i="8"/>
  <c r="AA173" i="8"/>
  <c r="Z114" i="8"/>
  <c r="Y465" i="8"/>
  <c r="BF91" i="5"/>
  <c r="BY91" i="5" s="1"/>
  <c r="BF221" i="5"/>
  <c r="BF322" i="5"/>
  <c r="BF335" i="5"/>
  <c r="BF109" i="5"/>
  <c r="BY109" i="5" s="1"/>
  <c r="BX181" i="5"/>
  <c r="Z460" i="8"/>
  <c r="Z468" i="8"/>
  <c r="Z137" i="8"/>
  <c r="BF349" i="5"/>
  <c r="BF465" i="5"/>
  <c r="BF228" i="5"/>
  <c r="BF200" i="5"/>
  <c r="BX90" i="5"/>
  <c r="BY151" i="5"/>
  <c r="BF305" i="5"/>
  <c r="BY15" i="5"/>
  <c r="BF477" i="5"/>
  <c r="G139" i="13"/>
  <c r="I139" i="13"/>
  <c r="E139" i="13"/>
  <c r="H139" i="13"/>
  <c r="F139" i="13"/>
  <c r="B139" i="13"/>
  <c r="N139" i="12"/>
  <c r="C139" i="13"/>
  <c r="BX31" i="5"/>
  <c r="BG31" i="5"/>
  <c r="BY31" i="5"/>
  <c r="BX101" i="5"/>
  <c r="BY101" i="5"/>
  <c r="FY92" i="6"/>
  <c r="BG42" i="5"/>
  <c r="BF183" i="5"/>
  <c r="FY174" i="6" s="1"/>
  <c r="BF338" i="5"/>
  <c r="L17" i="12"/>
  <c r="BG115" i="5"/>
  <c r="FG106" i="6" s="1"/>
  <c r="Z142" i="8"/>
  <c r="BF436" i="5"/>
  <c r="EL22" i="6"/>
  <c r="L375" i="7"/>
  <c r="BF287" i="5"/>
  <c r="BG90" i="5"/>
  <c r="BY115" i="5"/>
  <c r="BF262" i="5"/>
  <c r="L164" i="12"/>
  <c r="BF97" i="5"/>
  <c r="BY97" i="5" s="1"/>
  <c r="BF409" i="5"/>
  <c r="BF201" i="5"/>
  <c r="Z224" i="8"/>
  <c r="GM75" i="6"/>
  <c r="GN75" i="6"/>
  <c r="BF445" i="5"/>
  <c r="AA127" i="8"/>
  <c r="BF43" i="5"/>
  <c r="BG43" i="5" s="1"/>
  <c r="BF107" i="5"/>
  <c r="EP98" i="6" s="1"/>
  <c r="BY122" i="5"/>
  <c r="BF34" i="5"/>
  <c r="BG34" i="5" s="1"/>
  <c r="BF168" i="5"/>
  <c r="BF330" i="5"/>
  <c r="BF470" i="5"/>
  <c r="L134" i="12"/>
  <c r="I134" i="13" s="1"/>
  <c r="GO71" i="6"/>
  <c r="AA139" i="8"/>
  <c r="L218" i="7"/>
  <c r="BF149" i="5"/>
  <c r="FY140" i="6" s="1"/>
  <c r="BF263" i="5"/>
  <c r="L183" i="12"/>
  <c r="F183" i="13" s="1"/>
  <c r="Z69" i="8"/>
  <c r="Y93" i="8"/>
  <c r="Z93" i="8"/>
  <c r="EQ22" i="6"/>
  <c r="AA69" i="8"/>
  <c r="BF313" i="5"/>
  <c r="AA439" i="8"/>
  <c r="AA93" i="8"/>
  <c r="BF427" i="5"/>
  <c r="Z81" i="8"/>
  <c r="Z154" i="8"/>
  <c r="BF468" i="5"/>
  <c r="Y210" i="8"/>
  <c r="AB210" i="8" s="1"/>
  <c r="BF189" i="5"/>
  <c r="BF208" i="5"/>
  <c r="BF56" i="5"/>
  <c r="BG56" i="5" s="1"/>
  <c r="BF49" i="5"/>
  <c r="BG49" i="5" s="1"/>
  <c r="BF440" i="5"/>
  <c r="BF47" i="5"/>
  <c r="BG47" i="5" s="1"/>
  <c r="BF266" i="5"/>
  <c r="BX266" i="5" s="1"/>
  <c r="Z75" i="8"/>
  <c r="AA353" i="8"/>
  <c r="L212" i="7"/>
  <c r="BF186" i="5"/>
  <c r="BY186" i="5" s="1"/>
  <c r="BF397" i="5"/>
  <c r="BF82" i="5"/>
  <c r="BY82" i="5" s="1"/>
  <c r="L167" i="12"/>
  <c r="I167" i="13" s="1"/>
  <c r="BF121" i="5"/>
  <c r="BX121" i="5" s="1"/>
  <c r="FY172" i="6"/>
  <c r="BF336" i="5"/>
  <c r="AA154" i="8"/>
  <c r="BF352" i="5"/>
  <c r="GK78" i="6"/>
  <c r="BF164" i="5"/>
  <c r="FY155" i="6" s="1"/>
  <c r="BF312" i="5"/>
  <c r="BF63" i="5"/>
  <c r="EP54" i="6" s="1"/>
  <c r="FY113" i="6"/>
  <c r="BX13" i="5"/>
  <c r="BF438" i="5"/>
  <c r="BF394" i="5"/>
  <c r="BF400" i="5"/>
  <c r="BF59" i="5"/>
  <c r="EP50" i="6" s="1"/>
  <c r="AA75" i="8"/>
  <c r="BF73" i="5"/>
  <c r="BY73" i="5" s="1"/>
  <c r="BF386" i="5"/>
  <c r="BF269" i="5"/>
  <c r="BF58" i="5"/>
  <c r="BY58" i="5" s="1"/>
  <c r="BF94" i="5"/>
  <c r="FY85" i="6" s="1"/>
  <c r="BF459" i="5"/>
  <c r="BF315" i="5"/>
  <c r="AA227" i="8"/>
  <c r="BF113" i="5"/>
  <c r="BY113" i="5" s="1"/>
  <c r="BF120" i="5"/>
  <c r="FY111" i="6" s="1"/>
  <c r="BF282" i="5"/>
  <c r="BF166" i="5"/>
  <c r="BX166" i="5" s="1"/>
  <c r="N149" i="12"/>
  <c r="B168" i="13"/>
  <c r="C168" i="13"/>
  <c r="F122" i="13"/>
  <c r="B122" i="13"/>
  <c r="C122" i="13"/>
  <c r="G122" i="13"/>
  <c r="I122" i="13"/>
  <c r="E122" i="13"/>
  <c r="N122" i="12"/>
  <c r="H122" i="13"/>
  <c r="L10" i="12"/>
  <c r="I145" i="13"/>
  <c r="L174" i="12"/>
  <c r="G174" i="13" s="1"/>
  <c r="L142" i="12"/>
  <c r="C125" i="13"/>
  <c r="J125" i="13" s="1"/>
  <c r="H145" i="13"/>
  <c r="L144" i="12"/>
  <c r="G144" i="13" s="1"/>
  <c r="L169" i="12"/>
  <c r="B169" i="13" s="1"/>
  <c r="L127" i="12"/>
  <c r="B127" i="13" s="1"/>
  <c r="L121" i="12"/>
  <c r="H121" i="13" s="1"/>
  <c r="C159" i="13"/>
  <c r="L177" i="12"/>
  <c r="B177" i="13" s="1"/>
  <c r="B151" i="13"/>
  <c r="N159" i="12"/>
  <c r="B145" i="13"/>
  <c r="J145" i="13" s="1"/>
  <c r="L128" i="12"/>
  <c r="C128" i="13" s="1"/>
  <c r="E159" i="13"/>
  <c r="G145" i="13"/>
  <c r="F159" i="13"/>
  <c r="L182" i="12"/>
  <c r="C182" i="13" s="1"/>
  <c r="G159" i="13"/>
  <c r="L165" i="12"/>
  <c r="B165" i="13" s="1"/>
  <c r="H159" i="13"/>
  <c r="L171" i="12"/>
  <c r="C171" i="13" s="1"/>
  <c r="L160" i="12"/>
  <c r="B160" i="13" s="1"/>
  <c r="I125" i="13"/>
  <c r="B162" i="13"/>
  <c r="E162" i="13"/>
  <c r="C162" i="13"/>
  <c r="H162" i="13"/>
  <c r="I162" i="13"/>
  <c r="G162" i="13"/>
  <c r="F162" i="13"/>
  <c r="N162" i="12"/>
  <c r="E143" i="13"/>
  <c r="F143" i="13"/>
  <c r="C143" i="13"/>
  <c r="G143" i="13"/>
  <c r="I143" i="13"/>
  <c r="N152" i="12"/>
  <c r="C152" i="13"/>
  <c r="H152" i="13"/>
  <c r="G152" i="13"/>
  <c r="F152" i="13"/>
  <c r="B152" i="13"/>
  <c r="E152" i="13"/>
  <c r="I152" i="13"/>
  <c r="H173" i="13"/>
  <c r="B173" i="13"/>
  <c r="F173" i="13"/>
  <c r="E173" i="13"/>
  <c r="G173" i="13"/>
  <c r="I173" i="13"/>
  <c r="C173" i="13"/>
  <c r="N173" i="12"/>
  <c r="L141" i="12"/>
  <c r="B141" i="13" s="1"/>
  <c r="L23" i="12"/>
  <c r="L129" i="12"/>
  <c r="B129" i="13" s="1"/>
  <c r="B136" i="13"/>
  <c r="L133" i="12"/>
  <c r="B133" i="13" s="1"/>
  <c r="C136" i="13"/>
  <c r="L163" i="12"/>
  <c r="C163" i="13" s="1"/>
  <c r="L179" i="12"/>
  <c r="B179" i="13" s="1"/>
  <c r="F136" i="13"/>
  <c r="B149" i="13"/>
  <c r="G136" i="13"/>
  <c r="L137" i="12"/>
  <c r="I137" i="13" s="1"/>
  <c r="N136" i="12"/>
  <c r="L126" i="12"/>
  <c r="B126" i="13" s="1"/>
  <c r="H136" i="13"/>
  <c r="N181" i="12"/>
  <c r="G181" i="13"/>
  <c r="L172" i="12"/>
  <c r="N172" i="12" s="1"/>
  <c r="E149" i="13"/>
  <c r="L21" i="12"/>
  <c r="L130" i="12"/>
  <c r="C181" i="13"/>
  <c r="G149" i="13"/>
  <c r="L153" i="12"/>
  <c r="B153" i="13" s="1"/>
  <c r="L148" i="12"/>
  <c r="C148" i="13" s="1"/>
  <c r="B181" i="13"/>
  <c r="L140" i="12"/>
  <c r="N140" i="12" s="1"/>
  <c r="H125" i="13"/>
  <c r="L19" i="12"/>
  <c r="B124" i="13"/>
  <c r="J124" i="13" s="1"/>
  <c r="I136" i="13"/>
  <c r="C170" i="13"/>
  <c r="J170" i="13" s="1"/>
  <c r="I170" i="13"/>
  <c r="N125" i="12"/>
  <c r="F125" i="13"/>
  <c r="G170" i="13"/>
  <c r="E181" i="13"/>
  <c r="C135" i="13"/>
  <c r="J135" i="13" s="1"/>
  <c r="G125" i="13"/>
  <c r="N170" i="12"/>
  <c r="I181" i="13"/>
  <c r="E125" i="13"/>
  <c r="E170" i="13"/>
  <c r="F181" i="13"/>
  <c r="L175" i="12"/>
  <c r="F175" i="13" s="1"/>
  <c r="B143" i="13"/>
  <c r="N143" i="12"/>
  <c r="H170" i="13"/>
  <c r="F170" i="13"/>
  <c r="H143" i="13"/>
  <c r="N200" i="13"/>
  <c r="N212" i="13" s="1"/>
  <c r="N197" i="13"/>
  <c r="L197" i="13" s="1"/>
  <c r="BF475" i="5"/>
  <c r="BF402" i="5"/>
  <c r="BF311" i="5"/>
  <c r="BF487" i="5"/>
  <c r="BF278" i="5"/>
  <c r="BY278" i="5" s="1"/>
  <c r="BF392" i="5"/>
  <c r="BF347" i="5"/>
  <c r="BF285" i="5"/>
  <c r="BF216" i="5"/>
  <c r="BF348" i="5"/>
  <c r="BF491" i="5"/>
  <c r="BF294" i="5"/>
  <c r="Z439" i="8"/>
  <c r="BF405" i="5"/>
  <c r="BF423" i="5"/>
  <c r="BF410" i="5"/>
  <c r="BF447" i="5"/>
  <c r="BF210" i="5"/>
  <c r="BF265" i="5"/>
  <c r="BX265" i="5" s="1"/>
  <c r="BF223" i="5"/>
  <c r="BF407" i="5"/>
  <c r="BF361" i="5"/>
  <c r="BF320" i="5"/>
  <c r="BF355" i="5"/>
  <c r="BF424" i="5"/>
  <c r="BF452" i="5"/>
  <c r="BF226" i="5"/>
  <c r="BF358" i="5"/>
  <c r="BF288" i="5"/>
  <c r="BF331" i="5"/>
  <c r="Z515" i="8"/>
  <c r="AA544" i="8"/>
  <c r="BF415" i="5"/>
  <c r="BF365" i="5"/>
  <c r="AA323" i="8"/>
  <c r="BF323" i="5"/>
  <c r="AA503" i="8"/>
  <c r="GO379" i="6"/>
  <c r="GN236" i="6"/>
  <c r="BF374" i="5"/>
  <c r="BF451" i="5"/>
  <c r="BF467" i="5"/>
  <c r="BF359" i="5"/>
  <c r="BF488" i="5"/>
  <c r="BF243" i="5"/>
  <c r="BX243" i="5" s="1"/>
  <c r="GK379" i="6"/>
  <c r="BF420" i="5"/>
  <c r="BF486" i="5"/>
  <c r="BF429" i="5"/>
  <c r="BF324" i="5"/>
  <c r="BF455" i="5"/>
  <c r="BF481" i="5"/>
  <c r="BF205" i="5"/>
  <c r="BY205" i="5" s="1"/>
  <c r="BF371" i="5"/>
  <c r="BF329" i="5"/>
  <c r="Z389" i="8"/>
  <c r="Z503" i="8"/>
  <c r="AA294" i="8"/>
  <c r="AA395" i="8"/>
  <c r="BF417" i="5"/>
  <c r="BF227" i="5"/>
  <c r="AA398" i="8"/>
  <c r="BF439" i="5"/>
  <c r="Z467" i="8"/>
  <c r="Z323" i="8"/>
  <c r="BF489" i="5"/>
  <c r="Z540" i="8"/>
  <c r="AB540" i="8" s="1"/>
  <c r="AA482" i="8"/>
  <c r="AA290" i="8"/>
  <c r="BF362" i="5"/>
  <c r="BF231" i="5"/>
  <c r="BX231" i="5" s="1"/>
  <c r="BF280" i="5"/>
  <c r="Z465" i="8"/>
  <c r="AA298" i="8"/>
  <c r="BF474" i="5"/>
  <c r="BF209" i="5"/>
  <c r="BF353" i="5"/>
  <c r="BY267" i="5"/>
  <c r="BF310" i="5"/>
  <c r="BF382" i="5"/>
  <c r="BF247" i="5"/>
  <c r="BF435" i="5"/>
  <c r="BF217" i="5"/>
  <c r="BY217" i="5" s="1"/>
  <c r="BF300" i="5"/>
  <c r="BF458" i="5"/>
  <c r="BF328" i="5"/>
  <c r="BF419" i="5"/>
  <c r="BF225" i="5"/>
  <c r="BF293" i="5"/>
  <c r="BF194" i="5"/>
  <c r="BY194" i="5" s="1"/>
  <c r="BF345" i="5"/>
  <c r="BF462" i="5"/>
  <c r="BF433" i="5"/>
  <c r="BY174" i="5"/>
  <c r="BX174" i="5"/>
  <c r="FY165" i="6"/>
  <c r="BG174" i="5"/>
  <c r="FI165" i="6" s="1"/>
  <c r="BG160" i="5"/>
  <c r="FZ151" i="6" s="1"/>
  <c r="FY151" i="6"/>
  <c r="BX160" i="5"/>
  <c r="BY160" i="5"/>
  <c r="BY123" i="5"/>
  <c r="BG123" i="5"/>
  <c r="FI114" i="6" s="1"/>
  <c r="FY114" i="6"/>
  <c r="BX123" i="5"/>
  <c r="BX127" i="5"/>
  <c r="FY118" i="6"/>
  <c r="BG127" i="5"/>
  <c r="FZ118" i="6" s="1"/>
  <c r="BY127" i="5"/>
  <c r="FY97" i="6"/>
  <c r="BX106" i="5"/>
  <c r="BG106" i="5"/>
  <c r="FZ97" i="6" s="1"/>
  <c r="BY106" i="5"/>
  <c r="BX155" i="5"/>
  <c r="FY146" i="6"/>
  <c r="BG155" i="5"/>
  <c r="FD146" i="6" s="1"/>
  <c r="BY155" i="5"/>
  <c r="L290" i="7"/>
  <c r="L302" i="7"/>
  <c r="BF65" i="5"/>
  <c r="L542" i="7"/>
  <c r="L362" i="7"/>
  <c r="BX144" i="5"/>
  <c r="Z327" i="8"/>
  <c r="L446" i="7"/>
  <c r="BV185" i="5"/>
  <c r="BF229" i="5"/>
  <c r="BX229" i="5" s="1"/>
  <c r="BF385" i="5"/>
  <c r="L314" i="7"/>
  <c r="L530" i="7"/>
  <c r="BF212" i="5"/>
  <c r="GO68" i="6"/>
  <c r="BF502" i="5"/>
  <c r="BY154" i="5"/>
  <c r="BF388" i="5"/>
  <c r="BF381" i="5"/>
  <c r="GL78" i="6"/>
  <c r="BF255" i="5"/>
  <c r="BY255" i="5" s="1"/>
  <c r="BV167" i="5"/>
  <c r="AA327" i="8"/>
  <c r="GI68" i="6"/>
  <c r="EQ80" i="6"/>
  <c r="L369" i="7"/>
  <c r="BX137" i="5"/>
  <c r="BX154" i="5"/>
  <c r="L350" i="7"/>
  <c r="GJ68" i="6"/>
  <c r="Y367" i="8"/>
  <c r="BG137" i="5"/>
  <c r="FZ128" i="6" s="1"/>
  <c r="FY145" i="6"/>
  <c r="BF366" i="5"/>
  <c r="AA243" i="8"/>
  <c r="Z318" i="8"/>
  <c r="GM68" i="6"/>
  <c r="BF173" i="5"/>
  <c r="FY164" i="6" s="1"/>
  <c r="BF401" i="5"/>
  <c r="FY128" i="6"/>
  <c r="R214" i="8"/>
  <c r="Y135" i="8"/>
  <c r="Z67" i="8"/>
  <c r="GP68" i="6"/>
  <c r="AA135" i="8"/>
  <c r="BY18" i="5"/>
  <c r="BG35" i="5"/>
  <c r="BX35" i="5"/>
  <c r="BF25" i="5"/>
  <c r="BG25" i="5" s="1"/>
  <c r="L434" i="7"/>
  <c r="L518" i="7"/>
  <c r="Z156" i="8"/>
  <c r="EO80" i="6"/>
  <c r="GN78" i="6"/>
  <c r="L216" i="7"/>
  <c r="BF159" i="5"/>
  <c r="BF446" i="5"/>
  <c r="FY167" i="6"/>
  <c r="BG176" i="5"/>
  <c r="BY131" i="5"/>
  <c r="BY218" i="5"/>
  <c r="BF111" i="5"/>
  <c r="GJ78" i="6"/>
  <c r="AA360" i="8"/>
  <c r="AA318" i="8"/>
  <c r="GI75" i="6"/>
  <c r="BF258" i="5"/>
  <c r="BF364" i="5"/>
  <c r="BG37" i="5"/>
  <c r="L506" i="7"/>
  <c r="BF390" i="5"/>
  <c r="BF167" i="5"/>
  <c r="BF274" i="5"/>
  <c r="BF393" i="5"/>
  <c r="BF51" i="5"/>
  <c r="BY51" i="5" s="1"/>
  <c r="BF241" i="5"/>
  <c r="BY241" i="5" s="1"/>
  <c r="BF45" i="5"/>
  <c r="BY45" i="5" s="1"/>
  <c r="BF332" i="5"/>
  <c r="GG35" i="6"/>
  <c r="GL35" i="6" s="1"/>
  <c r="BX131" i="5"/>
  <c r="BX37" i="5"/>
  <c r="BF482" i="5"/>
  <c r="BF234" i="5"/>
  <c r="BF171" i="5"/>
  <c r="FY162" i="6" s="1"/>
  <c r="BV121" i="5"/>
  <c r="BY16" i="5"/>
  <c r="L422" i="7"/>
  <c r="L326" i="7"/>
  <c r="AA156" i="8"/>
  <c r="Z243" i="8"/>
  <c r="GJ54" i="6"/>
  <c r="L230" i="7"/>
  <c r="BF133" i="5"/>
  <c r="FY124" i="6" s="1"/>
  <c r="BG101" i="5"/>
  <c r="FZ92" i="6" s="1"/>
  <c r="BF104" i="5"/>
  <c r="BY104" i="5" s="1"/>
  <c r="BY36" i="5"/>
  <c r="Z123" i="8"/>
  <c r="GL54" i="6"/>
  <c r="EQ66" i="6"/>
  <c r="BF32" i="5"/>
  <c r="BY32" i="5" s="1"/>
  <c r="BF449" i="5"/>
  <c r="N217" i="8"/>
  <c r="Q217" i="8" s="1"/>
  <c r="R217" i="8" s="1"/>
  <c r="BF162" i="5"/>
  <c r="BY162" i="5" s="1"/>
  <c r="Z360" i="8"/>
  <c r="Y123" i="8"/>
  <c r="Z544" i="8"/>
  <c r="Z328" i="8"/>
  <c r="Z175" i="8"/>
  <c r="GN54" i="6"/>
  <c r="BF84" i="5"/>
  <c r="BY84" i="5" s="1"/>
  <c r="BF116" i="5"/>
  <c r="BY116" i="5" s="1"/>
  <c r="BF77" i="5"/>
  <c r="EO68" i="6" s="1"/>
  <c r="BF99" i="5"/>
  <c r="FY90" i="6" s="1"/>
  <c r="BF277" i="5"/>
  <c r="BX277" i="5" s="1"/>
  <c r="BF416" i="5"/>
  <c r="Z65" i="8"/>
  <c r="BX17" i="5"/>
  <c r="BJ182" i="5"/>
  <c r="FR173" i="6"/>
  <c r="FY103" i="6"/>
  <c r="BG112" i="5"/>
  <c r="BY112" i="5"/>
  <c r="BX112" i="5"/>
  <c r="BX186" i="5"/>
  <c r="FY136" i="6"/>
  <c r="BG145" i="5"/>
  <c r="BX145" i="5"/>
  <c r="BY145" i="5"/>
  <c r="FY132" i="6"/>
  <c r="BX141" i="5"/>
  <c r="BG141" i="5"/>
  <c r="BY141" i="5"/>
  <c r="BX230" i="5"/>
  <c r="BY230" i="5"/>
  <c r="EM54" i="6"/>
  <c r="EW54" i="6" s="1"/>
  <c r="BG30" i="5"/>
  <c r="FY169" i="6"/>
  <c r="GP225" i="6"/>
  <c r="GO225" i="6"/>
  <c r="BY40" i="5"/>
  <c r="BG110" i="5"/>
  <c r="GM89" i="6"/>
  <c r="GL89" i="6"/>
  <c r="FY87" i="6"/>
  <c r="BX96" i="5"/>
  <c r="BG96" i="5"/>
  <c r="FZ87" i="6" s="1"/>
  <c r="BY96" i="5"/>
  <c r="BG24" i="5"/>
  <c r="BX68" i="5"/>
  <c r="BG68" i="5"/>
  <c r="BY68" i="5"/>
  <c r="BY39" i="5"/>
  <c r="FY154" i="6"/>
  <c r="BG163" i="5"/>
  <c r="BX163" i="5"/>
  <c r="BX134" i="5"/>
  <c r="FY125" i="6"/>
  <c r="BG134" i="5"/>
  <c r="BY134" i="5"/>
  <c r="BG135" i="5"/>
  <c r="BX150" i="5"/>
  <c r="BY150" i="5"/>
  <c r="N198" i="13"/>
  <c r="L186" i="13"/>
  <c r="FY120" i="6"/>
  <c r="BG129" i="5"/>
  <c r="BX129" i="5"/>
  <c r="BY129" i="5"/>
  <c r="BG57" i="5"/>
  <c r="BX57" i="5"/>
  <c r="L196" i="13"/>
  <c r="N208" i="13"/>
  <c r="BG44" i="5"/>
  <c r="FZ139" i="6"/>
  <c r="FI139" i="6"/>
  <c r="FH139" i="6"/>
  <c r="FG139" i="6"/>
  <c r="FF139" i="6"/>
  <c r="FD139" i="6"/>
  <c r="FC139" i="6"/>
  <c r="FB139" i="6"/>
  <c r="EP87" i="6"/>
  <c r="N207" i="13"/>
  <c r="L195" i="13"/>
  <c r="BF95" i="5"/>
  <c r="BF108" i="5"/>
  <c r="EL99" i="6" s="1"/>
  <c r="BG82" i="5"/>
  <c r="AB475" i="8"/>
  <c r="BF357" i="5"/>
  <c r="I166" i="13"/>
  <c r="H166" i="13"/>
  <c r="G166" i="13"/>
  <c r="F166" i="13"/>
  <c r="E166" i="13"/>
  <c r="N166" i="12"/>
  <c r="BF72" i="5"/>
  <c r="EK63" i="6" s="1"/>
  <c r="FZ113" i="6"/>
  <c r="FI113" i="6"/>
  <c r="FF113" i="6"/>
  <c r="FH113" i="6"/>
  <c r="FG113" i="6"/>
  <c r="FD113" i="6"/>
  <c r="FC113" i="6"/>
  <c r="FB113" i="6"/>
  <c r="BG67" i="5"/>
  <c r="EQ24" i="6"/>
  <c r="AA62" i="8"/>
  <c r="BG166" i="5"/>
  <c r="FY89" i="6"/>
  <c r="BG98" i="5"/>
  <c r="FZ89" i="6" s="1"/>
  <c r="BY98" i="5"/>
  <c r="BX98" i="5"/>
  <c r="BF295" i="5"/>
  <c r="BF83" i="5"/>
  <c r="AA328" i="8"/>
  <c r="C166" i="13"/>
  <c r="J166" i="13" s="1"/>
  <c r="BF215" i="5"/>
  <c r="FY171" i="6"/>
  <c r="BX180" i="5"/>
  <c r="BG180" i="5"/>
  <c r="BF81" i="5"/>
  <c r="BX41" i="5"/>
  <c r="BG41" i="5"/>
  <c r="FY144" i="6"/>
  <c r="BG153" i="5"/>
  <c r="BX153" i="5"/>
  <c r="BY57" i="5"/>
  <c r="GM54" i="6"/>
  <c r="GI237" i="6"/>
  <c r="ER71" i="6"/>
  <c r="GK82" i="6"/>
  <c r="L194" i="13"/>
  <c r="N206" i="13"/>
  <c r="L189" i="13"/>
  <c r="N201" i="13"/>
  <c r="H182" i="13"/>
  <c r="G182" i="13"/>
  <c r="BV114" i="5"/>
  <c r="BF69" i="5"/>
  <c r="EQ60" i="6" s="1"/>
  <c r="BF85" i="5"/>
  <c r="FE156" i="6"/>
  <c r="FB156" i="6"/>
  <c r="FF156" i="6"/>
  <c r="BY206" i="5"/>
  <c r="FG172" i="6"/>
  <c r="FZ172" i="6"/>
  <c r="FD172" i="6"/>
  <c r="FE172" i="6"/>
  <c r="FC172" i="6"/>
  <c r="FB172" i="6"/>
  <c r="FI172" i="6"/>
  <c r="FH172" i="6"/>
  <c r="FF172" i="6"/>
  <c r="BV194" i="5"/>
  <c r="BX46" i="5"/>
  <c r="L187" i="13"/>
  <c r="N199" i="13"/>
  <c r="FY121" i="6"/>
  <c r="BG130" i="5"/>
  <c r="BX130" i="5"/>
  <c r="BF70" i="5"/>
  <c r="EQ61" i="6" s="1"/>
  <c r="BF60" i="5"/>
  <c r="EQ30" i="6"/>
  <c r="EO89" i="6"/>
  <c r="BG88" i="5"/>
  <c r="BX88" i="5"/>
  <c r="GK54" i="6"/>
  <c r="BV206" i="5"/>
  <c r="EQ71" i="6"/>
  <c r="N202" i="13"/>
  <c r="L190" i="13"/>
  <c r="BG66" i="5"/>
  <c r="BF102" i="5"/>
  <c r="FY100" i="6"/>
  <c r="BX165" i="5"/>
  <c r="FY152" i="6"/>
  <c r="BG161" i="5"/>
  <c r="BX161" i="5"/>
  <c r="GN237" i="6"/>
  <c r="N215" i="13"/>
  <c r="L203" i="13"/>
  <c r="BF430" i="5"/>
  <c r="BF272" i="5"/>
  <c r="BV71" i="5"/>
  <c r="BX21" i="5"/>
  <c r="BG21" i="5"/>
  <c r="FY119" i="6"/>
  <c r="BX128" i="5"/>
  <c r="BG128" i="5"/>
  <c r="BY128" i="5"/>
  <c r="BY41" i="5"/>
  <c r="BX80" i="5"/>
  <c r="BG80" i="5"/>
  <c r="BX206" i="5"/>
  <c r="I216" i="8"/>
  <c r="N216" i="8"/>
  <c r="BV165" i="5"/>
  <c r="BY77" i="5"/>
  <c r="BX76" i="5"/>
  <c r="FY159" i="6"/>
  <c r="BG168" i="5"/>
  <c r="BY168" i="5"/>
  <c r="BX168" i="5"/>
  <c r="FY107" i="6"/>
  <c r="BG62" i="5"/>
  <c r="FZ145" i="6"/>
  <c r="FI145" i="6"/>
  <c r="FH145" i="6"/>
  <c r="FG145" i="6"/>
  <c r="FF145" i="6"/>
  <c r="FD145" i="6"/>
  <c r="FC145" i="6"/>
  <c r="FB145" i="6"/>
  <c r="FY96" i="6"/>
  <c r="BX105" i="5"/>
  <c r="BG105" i="5"/>
  <c r="FZ96" i="6" s="1"/>
  <c r="BG113" i="5"/>
  <c r="FY104" i="6"/>
  <c r="BX113" i="5"/>
  <c r="FY133" i="6"/>
  <c r="BX142" i="5"/>
  <c r="BY142" i="5"/>
  <c r="BG142" i="5"/>
  <c r="BY67" i="5"/>
  <c r="GI298" i="6"/>
  <c r="E147" i="13"/>
  <c r="H147" i="13"/>
  <c r="I147" i="13"/>
  <c r="G147" i="13"/>
  <c r="N147" i="12"/>
  <c r="F147" i="13"/>
  <c r="BX79" i="5"/>
  <c r="BF52" i="5"/>
  <c r="BV277" i="5"/>
  <c r="BG89" i="5"/>
  <c r="BY89" i="5"/>
  <c r="BX89" i="5"/>
  <c r="BF372" i="5"/>
  <c r="BX22" i="5"/>
  <c r="BG22" i="5"/>
  <c r="BY117" i="5"/>
  <c r="BG140" i="5"/>
  <c r="FY131" i="6"/>
  <c r="BX140" i="5"/>
  <c r="BX75" i="5"/>
  <c r="BG75" i="5"/>
  <c r="BF23" i="5"/>
  <c r="EL14" i="6" s="1"/>
  <c r="FY130" i="6"/>
  <c r="BG139" i="5"/>
  <c r="BX139" i="5"/>
  <c r="AB73" i="8"/>
  <c r="I135" i="13"/>
  <c r="B147" i="13"/>
  <c r="FY166" i="6"/>
  <c r="BG175" i="5"/>
  <c r="BX175" i="5"/>
  <c r="FY94" i="6"/>
  <c r="BG103" i="5"/>
  <c r="FZ94" i="6" s="1"/>
  <c r="BX103" i="5"/>
  <c r="BY242" i="5"/>
  <c r="BY105" i="5"/>
  <c r="BY56" i="5"/>
  <c r="BG156" i="5"/>
  <c r="BY156" i="5"/>
  <c r="FY147" i="6"/>
  <c r="BX156" i="5"/>
  <c r="FY160" i="6"/>
  <c r="BF496" i="5"/>
  <c r="BF360" i="5"/>
  <c r="BV103" i="5"/>
  <c r="BX195" i="5"/>
  <c r="BF182" i="5"/>
  <c r="N215" i="8"/>
  <c r="Q215" i="8" s="1"/>
  <c r="EQ32" i="6"/>
  <c r="H124" i="13"/>
  <c r="I124" i="13"/>
  <c r="G124" i="13"/>
  <c r="F124" i="13"/>
  <c r="E124" i="13"/>
  <c r="N124" i="12"/>
  <c r="BY163" i="5"/>
  <c r="BV163" i="5"/>
  <c r="BF379" i="5"/>
  <c r="BY161" i="5"/>
  <c r="FY117" i="6"/>
  <c r="BY180" i="5"/>
  <c r="BX38" i="5"/>
  <c r="BG38" i="5"/>
  <c r="EH239" i="6"/>
  <c r="EG239" i="6"/>
  <c r="EA239" i="6"/>
  <c r="EB239" i="6"/>
  <c r="EF239" i="6"/>
  <c r="V289" i="8"/>
  <c r="AA289" i="8" s="1"/>
  <c r="T289" i="8"/>
  <c r="EH381" i="6"/>
  <c r="EA381" i="6"/>
  <c r="ED381" i="6"/>
  <c r="EF381" i="6"/>
  <c r="EG381" i="6"/>
  <c r="EC381" i="6"/>
  <c r="EH254" i="6"/>
  <c r="EA254" i="6"/>
  <c r="EG254" i="6"/>
  <c r="EC254" i="6"/>
  <c r="Y363" i="8"/>
  <c r="W421" i="8"/>
  <c r="Y421" i="8"/>
  <c r="R501" i="8"/>
  <c r="Y240" i="8"/>
  <c r="AK240" i="8"/>
  <c r="EH423" i="6"/>
  <c r="ED423" i="6"/>
  <c r="EB423" i="6"/>
  <c r="EF423" i="6"/>
  <c r="EE423" i="6"/>
  <c r="EA423" i="6"/>
  <c r="EH174" i="6"/>
  <c r="EA174" i="6"/>
  <c r="EG174" i="6"/>
  <c r="EE174" i="6"/>
  <c r="EF174" i="6"/>
  <c r="DY174" i="6"/>
  <c r="ED174" i="6"/>
  <c r="V507" i="8"/>
  <c r="AA507" i="8" s="1"/>
  <c r="T507" i="8"/>
  <c r="EH451" i="6"/>
  <c r="EA451" i="6"/>
  <c r="V241" i="8"/>
  <c r="AA241" i="8" s="1"/>
  <c r="T241" i="8"/>
  <c r="GL454" i="6"/>
  <c r="GN378" i="6"/>
  <c r="EI295" i="6"/>
  <c r="GI295" i="6"/>
  <c r="GJ210" i="6"/>
  <c r="EH235" i="6"/>
  <c r="EB235" i="6"/>
  <c r="EC235" i="6"/>
  <c r="EA235" i="6"/>
  <c r="EG235" i="6"/>
  <c r="EH405" i="6"/>
  <c r="EF405" i="6"/>
  <c r="ED405" i="6"/>
  <c r="EB405" i="6"/>
  <c r="EG405" i="6"/>
  <c r="EA405" i="6"/>
  <c r="EG341" i="6"/>
  <c r="EH341" i="6"/>
  <c r="ED341" i="6"/>
  <c r="EA341" i="6"/>
  <c r="Y119" i="8"/>
  <c r="G13" i="10"/>
  <c r="FS131" i="6"/>
  <c r="EH328" i="6"/>
  <c r="EA328" i="6"/>
  <c r="EB328" i="6"/>
  <c r="ED328" i="6"/>
  <c r="R190" i="8"/>
  <c r="Y58" i="8"/>
  <c r="DY231" i="6"/>
  <c r="R435" i="8"/>
  <c r="EH146" i="6"/>
  <c r="EB146" i="6"/>
  <c r="EA146" i="6"/>
  <c r="GJ99" i="6"/>
  <c r="V531" i="8"/>
  <c r="AA531" i="8" s="1"/>
  <c r="T531" i="8"/>
  <c r="DY413" i="6"/>
  <c r="R520" i="8"/>
  <c r="EH360" i="6"/>
  <c r="EG360" i="6"/>
  <c r="EA360" i="6"/>
  <c r="EI318" i="6"/>
  <c r="GI318" i="6"/>
  <c r="Y166" i="8"/>
  <c r="GM197" i="6"/>
  <c r="GJ142" i="6"/>
  <c r="DY239" i="6"/>
  <c r="V535" i="8"/>
  <c r="AA535" i="8" s="1"/>
  <c r="T535" i="8"/>
  <c r="Y110" i="8"/>
  <c r="DY345" i="6"/>
  <c r="EH51" i="6"/>
  <c r="EC51" i="6"/>
  <c r="EF51" i="6"/>
  <c r="EA51" i="6"/>
  <c r="EG51" i="6"/>
  <c r="EB51" i="6"/>
  <c r="GI118" i="6"/>
  <c r="EA330" i="6"/>
  <c r="EH330" i="6"/>
  <c r="GL377" i="6"/>
  <c r="EH161" i="6"/>
  <c r="EA161" i="6"/>
  <c r="ED161" i="6"/>
  <c r="DY273" i="6"/>
  <c r="EH188" i="6"/>
  <c r="EG188" i="6"/>
  <c r="EB188" i="6"/>
  <c r="EA188" i="6"/>
  <c r="DY188" i="6"/>
  <c r="V350" i="8"/>
  <c r="AA350" i="8" s="1"/>
  <c r="T350" i="8"/>
  <c r="Y100" i="8"/>
  <c r="Y61" i="8"/>
  <c r="GN133" i="6"/>
  <c r="Y118" i="8"/>
  <c r="EK66" i="6"/>
  <c r="R538" i="8"/>
  <c r="V390" i="8"/>
  <c r="AA390" i="8" s="1"/>
  <c r="R390" i="8"/>
  <c r="T390" i="8"/>
  <c r="EH170" i="6"/>
  <c r="ED170" i="6"/>
  <c r="EA170" i="6"/>
  <c r="EH290" i="6"/>
  <c r="EG290" i="6"/>
  <c r="EA290" i="6"/>
  <c r="EH338" i="6"/>
  <c r="ED338" i="6"/>
  <c r="EA338" i="6"/>
  <c r="DX425" i="6"/>
  <c r="DY425" i="6" s="1"/>
  <c r="EF396" i="6"/>
  <c r="EF324" i="6"/>
  <c r="DY107" i="6"/>
  <c r="R464" i="8"/>
  <c r="U344" i="8"/>
  <c r="Z344" i="8" s="1"/>
  <c r="Q91" i="8"/>
  <c r="R91" i="8" s="1"/>
  <c r="GI493" i="6"/>
  <c r="EB323" i="6"/>
  <c r="DX323" i="6"/>
  <c r="DX200" i="6"/>
  <c r="EA200" i="6"/>
  <c r="EB128" i="6"/>
  <c r="EH28" i="6"/>
  <c r="ER28" i="6" s="1"/>
  <c r="EC28" i="6"/>
  <c r="EM28" i="6" s="1"/>
  <c r="EF28" i="6"/>
  <c r="EP28" i="6" s="1"/>
  <c r="EE28" i="6"/>
  <c r="EO28" i="6" s="1"/>
  <c r="EB28" i="6"/>
  <c r="EL28" i="6" s="1"/>
  <c r="U541" i="8"/>
  <c r="Z541" i="8" s="1"/>
  <c r="V478" i="8"/>
  <c r="AA478" i="8" s="1"/>
  <c r="T478" i="8"/>
  <c r="R505" i="8"/>
  <c r="V348" i="8"/>
  <c r="AA348" i="8" s="1"/>
  <c r="T348" i="8"/>
  <c r="Q251" i="8"/>
  <c r="V251" i="8" s="1"/>
  <c r="AA251" i="8" s="1"/>
  <c r="EH493" i="6"/>
  <c r="EB493" i="6"/>
  <c r="EG493" i="6"/>
  <c r="DX467" i="6"/>
  <c r="EA467" i="6"/>
  <c r="ED311" i="6"/>
  <c r="EH311" i="6"/>
  <c r="EG311" i="6"/>
  <c r="EA311" i="6"/>
  <c r="EE217" i="6"/>
  <c r="EA187" i="6"/>
  <c r="GK244" i="6"/>
  <c r="Q440" i="8"/>
  <c r="T440" i="8"/>
  <c r="Q340" i="8"/>
  <c r="V340" i="8" s="1"/>
  <c r="AA340" i="8" s="1"/>
  <c r="Q330" i="8"/>
  <c r="V330" i="8" s="1"/>
  <c r="AA330" i="8" s="1"/>
  <c r="V201" i="8"/>
  <c r="AA201" i="8" s="1"/>
  <c r="R201" i="8"/>
  <c r="EF491" i="6"/>
  <c r="ED464" i="6"/>
  <c r="EH457" i="6"/>
  <c r="EF457" i="6"/>
  <c r="U193" i="8"/>
  <c r="Z193" i="8" s="1"/>
  <c r="EF434" i="6"/>
  <c r="EF424" i="6"/>
  <c r="EE385" i="6"/>
  <c r="EE402" i="6"/>
  <c r="EF290" i="6"/>
  <c r="EB273" i="6"/>
  <c r="DX273" i="6"/>
  <c r="DX275" i="6"/>
  <c r="DX249" i="6"/>
  <c r="EC249" i="6" s="1"/>
  <c r="EE273" i="6"/>
  <c r="GJ264" i="6"/>
  <c r="EE172" i="6"/>
  <c r="EG278" i="6"/>
  <c r="DX155" i="6"/>
  <c r="EA155" i="6" s="1"/>
  <c r="T338" i="8"/>
  <c r="Q338" i="8"/>
  <c r="T401" i="8"/>
  <c r="Q401" i="8"/>
  <c r="T353" i="8"/>
  <c r="Q220" i="8"/>
  <c r="T220" i="8" s="1"/>
  <c r="Y395" i="8"/>
  <c r="W395" i="8"/>
  <c r="Y173" i="8"/>
  <c r="W173" i="8"/>
  <c r="EG490" i="6"/>
  <c r="R163" i="8"/>
  <c r="EA457" i="6"/>
  <c r="DY457" i="6"/>
  <c r="EC457" i="6"/>
  <c r="V46" i="8"/>
  <c r="T46" i="8"/>
  <c r="U46" i="8"/>
  <c r="Y154" i="8"/>
  <c r="W154" i="8"/>
  <c r="DX471" i="6"/>
  <c r="DX427" i="6"/>
  <c r="EE427" i="6" s="1"/>
  <c r="R550" i="8"/>
  <c r="ED491" i="6"/>
  <c r="DX412" i="6"/>
  <c r="DX393" i="6"/>
  <c r="DY393" i="6" s="1"/>
  <c r="DY276" i="6"/>
  <c r="DX73" i="6"/>
  <c r="EA73" i="6"/>
  <c r="EH343" i="6"/>
  <c r="EE343" i="6"/>
  <c r="DY343" i="6"/>
  <c r="EB343" i="6"/>
  <c r="Q450" i="8"/>
  <c r="V450" i="8" s="1"/>
  <c r="AA450" i="8" s="1"/>
  <c r="R338" i="8"/>
  <c r="Q174" i="8"/>
  <c r="T174" i="8"/>
  <c r="U263" i="8"/>
  <c r="Z263" i="8" s="1"/>
  <c r="EE491" i="6"/>
  <c r="ED452" i="6"/>
  <c r="EC325" i="6"/>
  <c r="DX325" i="6"/>
  <c r="EH297" i="6"/>
  <c r="EG297" i="6"/>
  <c r="EA297" i="6"/>
  <c r="DY287" i="6"/>
  <c r="EB222" i="6"/>
  <c r="ED297" i="6"/>
  <c r="GJ237" i="6"/>
  <c r="DX268" i="6"/>
  <c r="DY268" i="6" s="1"/>
  <c r="EE233" i="6"/>
  <c r="EA121" i="6"/>
  <c r="DX121" i="6"/>
  <c r="EH18" i="6"/>
  <c r="EF18" i="6"/>
  <c r="EP18" i="6" s="1"/>
  <c r="EE18" i="6"/>
  <c r="EC18" i="6"/>
  <c r="DY18" i="6"/>
  <c r="DY31" i="6"/>
  <c r="DY112" i="6"/>
  <c r="V534" i="8"/>
  <c r="AA534" i="8" s="1"/>
  <c r="T534" i="8"/>
  <c r="Q481" i="8"/>
  <c r="T481" i="8" s="1"/>
  <c r="Q420" i="8"/>
  <c r="V420" i="8" s="1"/>
  <c r="AA420" i="8" s="1"/>
  <c r="T420" i="8"/>
  <c r="R443" i="8"/>
  <c r="V319" i="8"/>
  <c r="AA319" i="8" s="1"/>
  <c r="T319" i="8"/>
  <c r="V366" i="8"/>
  <c r="AA366" i="8" s="1"/>
  <c r="T366" i="8"/>
  <c r="EE302" i="6"/>
  <c r="EC112" i="6"/>
  <c r="Q469" i="8"/>
  <c r="R344" i="8"/>
  <c r="Q425" i="8"/>
  <c r="V425" i="8" s="1"/>
  <c r="AA425" i="8" s="1"/>
  <c r="T425" i="8"/>
  <c r="T44" i="8"/>
  <c r="Q44" i="8"/>
  <c r="Y55" i="8"/>
  <c r="DX375" i="6"/>
  <c r="EE375" i="6" s="1"/>
  <c r="ED147" i="6"/>
  <c r="Q384" i="8"/>
  <c r="V384" i="8" s="1"/>
  <c r="AA384" i="8" s="1"/>
  <c r="Q255" i="8"/>
  <c r="T255" i="8"/>
  <c r="Q286" i="8"/>
  <c r="Q453" i="8"/>
  <c r="Y156" i="8"/>
  <c r="W156" i="8"/>
  <c r="Y153" i="8"/>
  <c r="U201" i="8"/>
  <c r="Z201" i="8" s="1"/>
  <c r="AK227" i="8"/>
  <c r="W227" i="8"/>
  <c r="Y227" i="8"/>
  <c r="Z80" i="8"/>
  <c r="W80" i="8"/>
  <c r="V19" i="8"/>
  <c r="R19" i="8"/>
  <c r="EH359" i="6"/>
  <c r="EB359" i="6"/>
  <c r="EA359" i="6"/>
  <c r="EC290" i="6"/>
  <c r="EA220" i="6"/>
  <c r="DY263" i="6"/>
  <c r="EA242" i="6"/>
  <c r="DX242" i="6"/>
  <c r="DX96" i="6"/>
  <c r="GJ82" i="6"/>
  <c r="GL21" i="6"/>
  <c r="Q538" i="8"/>
  <c r="T538" i="8"/>
  <c r="U319" i="8"/>
  <c r="Z319" i="8" s="1"/>
  <c r="T332" i="8"/>
  <c r="Q332" i="8"/>
  <c r="V388" i="8"/>
  <c r="AA388" i="8" s="1"/>
  <c r="R388" i="8"/>
  <c r="Y393" i="8"/>
  <c r="W393" i="8"/>
  <c r="Q221" i="8"/>
  <c r="T221" i="8" s="1"/>
  <c r="V148" i="8"/>
  <c r="AA148" i="8" s="1"/>
  <c r="T148" i="8"/>
  <c r="R335" i="8"/>
  <c r="Y161" i="8"/>
  <c r="W161" i="8"/>
  <c r="V106" i="8"/>
  <c r="AA106" i="8" s="1"/>
  <c r="U106" i="8"/>
  <c r="Z106" i="8" s="1"/>
  <c r="Y191" i="8"/>
  <c r="Q225" i="8"/>
  <c r="W67" i="8"/>
  <c r="Y67" i="8"/>
  <c r="V21" i="8"/>
  <c r="R21" i="8"/>
  <c r="Q66" i="8"/>
  <c r="T66" i="8" s="1"/>
  <c r="Q248" i="8"/>
  <c r="R248" i="8" s="1"/>
  <c r="R14" i="8"/>
  <c r="GM420" i="6"/>
  <c r="DX407" i="6"/>
  <c r="EB402" i="6"/>
  <c r="DX388" i="6"/>
  <c r="DY388" i="6" s="1"/>
  <c r="DX353" i="6"/>
  <c r="EG348" i="6"/>
  <c r="DY333" i="6"/>
  <c r="DX390" i="6"/>
  <c r="EF390" i="6" s="1"/>
  <c r="EH351" i="6"/>
  <c r="EE351" i="6"/>
  <c r="EF351" i="6"/>
  <c r="EG351" i="6"/>
  <c r="EE323" i="6"/>
  <c r="DX348" i="6"/>
  <c r="EF348" i="6" s="1"/>
  <c r="EE359" i="6"/>
  <c r="GJ292" i="6"/>
  <c r="EG287" i="6"/>
  <c r="EC272" i="6"/>
  <c r="DX233" i="6"/>
  <c r="EA211" i="6"/>
  <c r="DX211" i="6"/>
  <c r="DY211" i="6" s="1"/>
  <c r="EG187" i="6"/>
  <c r="EC297" i="6"/>
  <c r="EE220" i="6"/>
  <c r="DY187" i="6"/>
  <c r="EH260" i="6"/>
  <c r="EG260" i="6"/>
  <c r="EF260" i="6"/>
  <c r="GN260" i="6" s="1"/>
  <c r="DY260" i="6"/>
  <c r="EA260" i="6"/>
  <c r="GN214" i="6"/>
  <c r="DX257" i="6"/>
  <c r="DY257" i="6" s="1"/>
  <c r="EC189" i="6"/>
  <c r="EI175" i="6"/>
  <c r="EA263" i="6"/>
  <c r="DX263" i="6"/>
  <c r="GL160" i="6"/>
  <c r="GN142" i="6"/>
  <c r="EC115" i="6"/>
  <c r="EA204" i="6"/>
  <c r="DX204" i="6"/>
  <c r="EI85" i="6"/>
  <c r="EA18" i="6"/>
  <c r="EH32" i="6"/>
  <c r="ER32" i="6" s="1"/>
  <c r="EE32" i="6"/>
  <c r="EO32" i="6" s="1"/>
  <c r="EC32" i="6"/>
  <c r="EM32" i="6" s="1"/>
  <c r="EF32" i="6"/>
  <c r="EP32" i="6" s="1"/>
  <c r="EB32" i="6"/>
  <c r="EL32" i="6" s="1"/>
  <c r="EA29" i="6"/>
  <c r="DX29" i="6"/>
  <c r="GL19" i="6"/>
  <c r="DY104" i="6"/>
  <c r="DY123" i="6"/>
  <c r="T549" i="8"/>
  <c r="Q549" i="8"/>
  <c r="V549" i="8" s="1"/>
  <c r="AA549" i="8" s="1"/>
  <c r="V533" i="8"/>
  <c r="AA533" i="8" s="1"/>
  <c r="T533" i="8"/>
  <c r="Q509" i="8"/>
  <c r="V509" i="8" s="1"/>
  <c r="AA509" i="8" s="1"/>
  <c r="Q418" i="8"/>
  <c r="V418" i="8" s="1"/>
  <c r="AA418" i="8" s="1"/>
  <c r="Q410" i="8"/>
  <c r="Q428" i="8"/>
  <c r="Q370" i="8"/>
  <c r="T370" i="8"/>
  <c r="V515" i="8"/>
  <c r="AA515" i="8" s="1"/>
  <c r="T515" i="8"/>
  <c r="Q472" i="8"/>
  <c r="V472" i="8" s="1"/>
  <c r="AA472" i="8" s="1"/>
  <c r="T472" i="8"/>
  <c r="R291" i="8"/>
  <c r="Q313" i="8"/>
  <c r="T313" i="8"/>
  <c r="T339" i="8"/>
  <c r="Q339" i="8"/>
  <c r="V339" i="8" s="1"/>
  <c r="AA339" i="8" s="1"/>
  <c r="T237" i="8"/>
  <c r="Q237" i="8"/>
  <c r="Q308" i="8"/>
  <c r="R308" i="8" s="1"/>
  <c r="Q335" i="8"/>
  <c r="V335" i="8" s="1"/>
  <c r="AA335" i="8" s="1"/>
  <c r="T335" i="8"/>
  <c r="R206" i="8"/>
  <c r="AK234" i="8"/>
  <c r="Y234" i="8"/>
  <c r="Y254" i="8"/>
  <c r="AK254" i="8"/>
  <c r="V228" i="8"/>
  <c r="AA228" i="8" s="1"/>
  <c r="R228" i="8"/>
  <c r="T106" i="8"/>
  <c r="Q143" i="8"/>
  <c r="R143" i="8" s="1"/>
  <c r="V63" i="8"/>
  <c r="AA63" i="8" s="1"/>
  <c r="R63" i="8"/>
  <c r="T63" i="8"/>
  <c r="V109" i="8"/>
  <c r="AA109" i="8" s="1"/>
  <c r="R109" i="8"/>
  <c r="T109" i="8"/>
  <c r="T21" i="8"/>
  <c r="U163" i="8"/>
  <c r="Z163" i="8" s="1"/>
  <c r="AK231" i="8"/>
  <c r="W231" i="8"/>
  <c r="Y231" i="8"/>
  <c r="EB457" i="6"/>
  <c r="R66" i="8"/>
  <c r="DX453" i="6"/>
  <c r="DY453" i="6" s="1"/>
  <c r="EC452" i="6"/>
  <c r="DY427" i="6"/>
  <c r="EB404" i="6"/>
  <c r="DX404" i="6"/>
  <c r="EH401" i="6"/>
  <c r="EB401" i="6"/>
  <c r="EF401" i="6"/>
  <c r="EA401" i="6"/>
  <c r="EE405" i="6"/>
  <c r="ED355" i="6"/>
  <c r="EG356" i="6"/>
  <c r="EC407" i="6"/>
  <c r="EA351" i="6"/>
  <c r="DX320" i="6"/>
  <c r="EC320" i="6" s="1"/>
  <c r="EA343" i="6"/>
  <c r="EC336" i="6"/>
  <c r="DX309" i="6"/>
  <c r="EC351" i="6"/>
  <c r="DY284" i="6"/>
  <c r="DX271" i="6"/>
  <c r="DX364" i="6"/>
  <c r="EE234" i="6"/>
  <c r="EE191" i="6"/>
  <c r="ED203" i="6"/>
  <c r="DX186" i="6"/>
  <c r="DX251" i="6"/>
  <c r="EE249" i="6"/>
  <c r="EE170" i="6"/>
  <c r="EH175" i="6"/>
  <c r="ED175" i="6"/>
  <c r="EG175" i="6"/>
  <c r="DY254" i="6"/>
  <c r="GL101" i="6"/>
  <c r="EE133" i="6"/>
  <c r="GL48" i="6"/>
  <c r="EH12" i="6"/>
  <c r="ER12" i="6" s="1"/>
  <c r="EE12" i="6"/>
  <c r="EO12" i="6" s="1"/>
  <c r="EC12" i="6"/>
  <c r="EM12" i="6" s="1"/>
  <c r="EW12" i="6" s="1"/>
  <c r="EF12" i="6"/>
  <c r="EP12" i="6" s="1"/>
  <c r="EA12" i="6"/>
  <c r="EB12" i="6"/>
  <c r="EL12" i="6" s="1"/>
  <c r="EA32" i="6"/>
  <c r="DX125" i="6"/>
  <c r="EG28" i="6"/>
  <c r="EQ28" i="6" s="1"/>
  <c r="GL17" i="6"/>
  <c r="DX104" i="6"/>
  <c r="V548" i="8"/>
  <c r="AA548" i="8" s="1"/>
  <c r="T548" i="8"/>
  <c r="Q484" i="8"/>
  <c r="V484" i="8" s="1"/>
  <c r="AA484" i="8" s="1"/>
  <c r="R433" i="8"/>
  <c r="R515" i="8"/>
  <c r="Q438" i="8"/>
  <c r="T438" i="8"/>
  <c r="Q386" i="8"/>
  <c r="R386" i="8" s="1"/>
  <c r="U353" i="8"/>
  <c r="Z353" i="8" s="1"/>
  <c r="V506" i="8"/>
  <c r="AA506" i="8" s="1"/>
  <c r="U506" i="8"/>
  <c r="Z506" i="8" s="1"/>
  <c r="T501" i="8"/>
  <c r="Q501" i="8"/>
  <c r="V501" i="8" s="1"/>
  <c r="AA501" i="8" s="1"/>
  <c r="Y415" i="8"/>
  <c r="T388" i="8"/>
  <c r="U185" i="8"/>
  <c r="Z185" i="8" s="1"/>
  <c r="R264" i="8"/>
  <c r="U366" i="8"/>
  <c r="Z366" i="8" s="1"/>
  <c r="R152" i="8"/>
  <c r="R375" i="8"/>
  <c r="R339" i="8"/>
  <c r="V331" i="8"/>
  <c r="AA331" i="8" s="1"/>
  <c r="U331" i="8"/>
  <c r="Z331" i="8" s="1"/>
  <c r="T331" i="8"/>
  <c r="U277" i="8"/>
  <c r="Z277" i="8" s="1"/>
  <c r="U234" i="8"/>
  <c r="Z234" i="8" s="1"/>
  <c r="V234" i="8"/>
  <c r="AA234" i="8" s="1"/>
  <c r="V254" i="8"/>
  <c r="AA254" i="8" s="1"/>
  <c r="R254" i="8"/>
  <c r="T228" i="8"/>
  <c r="T92" i="8"/>
  <c r="Q92" i="8"/>
  <c r="T444" i="8"/>
  <c r="Q444" i="8"/>
  <c r="V444" i="8" s="1"/>
  <c r="AA444" i="8" s="1"/>
  <c r="R12" i="8"/>
  <c r="Y76" i="8"/>
  <c r="W76" i="8"/>
  <c r="U109" i="8"/>
  <c r="Z109" i="8" s="1"/>
  <c r="EB495" i="6"/>
  <c r="Q84" i="8"/>
  <c r="T84" i="8" s="1"/>
  <c r="U150" i="8"/>
  <c r="Z150" i="8" s="1"/>
  <c r="DY455" i="6"/>
  <c r="DY451" i="6"/>
  <c r="DX474" i="6"/>
  <c r="DY474" i="6" s="1"/>
  <c r="DY415" i="6"/>
  <c r="EF421" i="6"/>
  <c r="DY398" i="6"/>
  <c r="EC368" i="6"/>
  <c r="DX368" i="6"/>
  <c r="DY349" i="6"/>
  <c r="EG337" i="6"/>
  <c r="EC364" i="6"/>
  <c r="EC326" i="6"/>
  <c r="DY294" i="6"/>
  <c r="GL270" i="6"/>
  <c r="EB279" i="6"/>
  <c r="DX238" i="6"/>
  <c r="DY238" i="6" s="1"/>
  <c r="Q436" i="8"/>
  <c r="T436" i="8" s="1"/>
  <c r="EC241" i="6"/>
  <c r="DX241" i="6"/>
  <c r="EC154" i="6"/>
  <c r="DY133" i="6"/>
  <c r="EG133" i="6"/>
  <c r="ED193" i="6"/>
  <c r="GO46" i="6"/>
  <c r="GL46" i="6"/>
  <c r="DY197" i="6"/>
  <c r="GO62" i="6"/>
  <c r="EK80" i="6"/>
  <c r="EH24" i="6"/>
  <c r="EF24" i="6"/>
  <c r="EE24" i="6"/>
  <c r="EC24" i="6"/>
  <c r="DY24" i="6"/>
  <c r="EA24" i="6"/>
  <c r="GI24" i="6" s="1"/>
  <c r="GL15" i="6"/>
  <c r="DX69" i="6"/>
  <c r="GN50" i="6"/>
  <c r="W503" i="8"/>
  <c r="Y503" i="8"/>
  <c r="Q358" i="8"/>
  <c r="V358" i="8" s="1"/>
  <c r="AA358" i="8" s="1"/>
  <c r="T358" i="8"/>
  <c r="DY478" i="6"/>
  <c r="EC388" i="6"/>
  <c r="ED335" i="6"/>
  <c r="GI336" i="6"/>
  <c r="DY360" i="6"/>
  <c r="EA284" i="6"/>
  <c r="EH284" i="6"/>
  <c r="EG284" i="6"/>
  <c r="DX167" i="6"/>
  <c r="EF167" i="6" s="1"/>
  <c r="EC156" i="6"/>
  <c r="EC138" i="6"/>
  <c r="R358" i="8"/>
  <c r="Q213" i="8"/>
  <c r="T213" i="8" s="1"/>
  <c r="EF385" i="6"/>
  <c r="EF251" i="6"/>
  <c r="GK318" i="6"/>
  <c r="GL23" i="6"/>
  <c r="GI23" i="6"/>
  <c r="Q38" i="8"/>
  <c r="EG451" i="6"/>
  <c r="EG423" i="6"/>
  <c r="EG430" i="6"/>
  <c r="ED346" i="6"/>
  <c r="DY293" i="6"/>
  <c r="DX153" i="6"/>
  <c r="EH153" i="6" s="1"/>
  <c r="GM63" i="6"/>
  <c r="AK268" i="8"/>
  <c r="Y268" i="8"/>
  <c r="V187" i="8"/>
  <c r="AA187" i="8" s="1"/>
  <c r="T187" i="8"/>
  <c r="T505" i="8"/>
  <c r="Q505" i="8"/>
  <c r="V505" i="8" s="1"/>
  <c r="AA505" i="8" s="1"/>
  <c r="EC328" i="6"/>
  <c r="GL236" i="6"/>
  <c r="GL131" i="6"/>
  <c r="GK131" i="6"/>
  <c r="Q236" i="8"/>
  <c r="R236" i="8" s="1"/>
  <c r="EE366" i="6"/>
  <c r="EG293" i="6"/>
  <c r="DX245" i="6"/>
  <c r="EB203" i="6"/>
  <c r="Q419" i="8"/>
  <c r="V419" i="8" s="1"/>
  <c r="AA419" i="8" s="1"/>
  <c r="T190" i="8"/>
  <c r="Q190" i="8"/>
  <c r="DX439" i="6"/>
  <c r="DX363" i="6"/>
  <c r="EB293" i="6"/>
  <c r="DX293" i="6"/>
  <c r="DX272" i="6"/>
  <c r="EB272" i="6" s="1"/>
  <c r="EA28" i="6"/>
  <c r="Q152" i="8"/>
  <c r="V262" i="8"/>
  <c r="AA262" i="8" s="1"/>
  <c r="T262" i="8"/>
  <c r="U262" i="8"/>
  <c r="Z262" i="8" s="1"/>
  <c r="W23" i="8"/>
  <c r="V61" i="8"/>
  <c r="AA61" i="8" s="1"/>
  <c r="R61" i="8"/>
  <c r="EH455" i="6"/>
  <c r="EE455" i="6"/>
  <c r="ED455" i="6"/>
  <c r="EA455" i="6"/>
  <c r="EA349" i="6"/>
  <c r="EG330" i="6"/>
  <c r="DX324" i="6"/>
  <c r="EF229" i="6"/>
  <c r="EC265" i="6"/>
  <c r="DY223" i="6"/>
  <c r="GL13" i="6"/>
  <c r="R381" i="8"/>
  <c r="T474" i="8"/>
  <c r="V23" i="8"/>
  <c r="R23" i="8"/>
  <c r="U23" i="8"/>
  <c r="U312" i="8"/>
  <c r="Z312" i="8" s="1"/>
  <c r="Q312" i="8"/>
  <c r="Y194" i="8"/>
  <c r="W194" i="8"/>
  <c r="V41" i="8"/>
  <c r="R41" i="8"/>
  <c r="T41" i="8"/>
  <c r="GN455" i="6"/>
  <c r="EE263" i="6"/>
  <c r="R288" i="8"/>
  <c r="V110" i="8"/>
  <c r="AA110" i="8" s="1"/>
  <c r="R110" i="8"/>
  <c r="EB492" i="6"/>
  <c r="GJ492" i="6" s="1"/>
  <c r="Q159" i="8"/>
  <c r="ED389" i="6"/>
  <c r="DX362" i="6"/>
  <c r="EF362" i="6" s="1"/>
  <c r="EC357" i="6"/>
  <c r="EE320" i="6"/>
  <c r="EC273" i="6"/>
  <c r="GP187" i="6"/>
  <c r="V333" i="8"/>
  <c r="AA333" i="8" s="1"/>
  <c r="R333" i="8"/>
  <c r="U333" i="8"/>
  <c r="Z333" i="8" s="1"/>
  <c r="T333" i="8"/>
  <c r="R330" i="8"/>
  <c r="V166" i="8"/>
  <c r="AA166" i="8" s="1"/>
  <c r="U166" i="8"/>
  <c r="Z166" i="8" s="1"/>
  <c r="EF472" i="6"/>
  <c r="EE413" i="6"/>
  <c r="EC330" i="6"/>
  <c r="EC244" i="6"/>
  <c r="ED204" i="6"/>
  <c r="EC155" i="6"/>
  <c r="EH118" i="6"/>
  <c r="EC118" i="6"/>
  <c r="EF118" i="6"/>
  <c r="EE118" i="6"/>
  <c r="EB118" i="6"/>
  <c r="EI118" i="6" s="1"/>
  <c r="DX128" i="6"/>
  <c r="EA31" i="6"/>
  <c r="DX31" i="6"/>
  <c r="DY155" i="6"/>
  <c r="DX112" i="6"/>
  <c r="EA112" i="6"/>
  <c r="Q426" i="8"/>
  <c r="T426" i="8" s="1"/>
  <c r="U444" i="8"/>
  <c r="Z444" i="8" s="1"/>
  <c r="R366" i="8"/>
  <c r="U335" i="8"/>
  <c r="Z335" i="8" s="1"/>
  <c r="V232" i="8"/>
  <c r="AA232" i="8" s="1"/>
  <c r="U232" i="8"/>
  <c r="Z232" i="8" s="1"/>
  <c r="T232" i="8"/>
  <c r="DY452" i="6"/>
  <c r="V13" i="8"/>
  <c r="U13" i="8"/>
  <c r="W13" i="8" s="1"/>
  <c r="R13" i="8"/>
  <c r="EF220" i="6"/>
  <c r="GL225" i="6"/>
  <c r="DY69" i="6"/>
  <c r="U523" i="8"/>
  <c r="Z523" i="8" s="1"/>
  <c r="Q523" i="8"/>
  <c r="Q514" i="8"/>
  <c r="T514" i="8"/>
  <c r="Q434" i="8"/>
  <c r="V434" i="8" s="1"/>
  <c r="AA434" i="8" s="1"/>
  <c r="T434" i="8"/>
  <c r="Q361" i="8"/>
  <c r="V361" i="8" s="1"/>
  <c r="AA361" i="8" s="1"/>
  <c r="DX395" i="6"/>
  <c r="EA395" i="6"/>
  <c r="DX179" i="6"/>
  <c r="U550" i="8"/>
  <c r="Z550" i="8" s="1"/>
  <c r="EE412" i="6"/>
  <c r="EG333" i="6"/>
  <c r="EE326" i="6"/>
  <c r="DX172" i="6"/>
  <c r="EA172" i="6"/>
  <c r="DY28" i="6"/>
  <c r="R440" i="8"/>
  <c r="Q299" i="8"/>
  <c r="T299" i="8" s="1"/>
  <c r="Q264" i="8"/>
  <c r="V264" i="8" s="1"/>
  <c r="AA264" i="8" s="1"/>
  <c r="EH303" i="6"/>
  <c r="EA303" i="6"/>
  <c r="EE51" i="6"/>
  <c r="R155" i="8"/>
  <c r="V105" i="8"/>
  <c r="AA105" i="8" s="1"/>
  <c r="R105" i="8"/>
  <c r="U105" i="8"/>
  <c r="Z105" i="8" s="1"/>
  <c r="DX466" i="6"/>
  <c r="DY466" i="6" s="1"/>
  <c r="DX371" i="6"/>
  <c r="DX156" i="6"/>
  <c r="V271" i="8"/>
  <c r="AA271" i="8" s="1"/>
  <c r="U271" i="8"/>
  <c r="Z271" i="8" s="1"/>
  <c r="DX491" i="6"/>
  <c r="EH491" i="6" s="1"/>
  <c r="V51" i="8"/>
  <c r="T51" i="8"/>
  <c r="W51" i="8" s="1"/>
  <c r="EH465" i="6"/>
  <c r="ED465" i="6"/>
  <c r="EE465" i="6"/>
  <c r="DX386" i="6"/>
  <c r="DX329" i="6"/>
  <c r="ED329" i="6" s="1"/>
  <c r="Q461" i="8"/>
  <c r="Q235" i="8"/>
  <c r="V178" i="8"/>
  <c r="AA178" i="8" s="1"/>
  <c r="T178" i="8"/>
  <c r="R178" i="8"/>
  <c r="U178" i="8"/>
  <c r="Z178" i="8" s="1"/>
  <c r="Y95" i="8"/>
  <c r="EG460" i="6"/>
  <c r="Q131" i="8"/>
  <c r="U131" i="8"/>
  <c r="Z131" i="8" s="1"/>
  <c r="EH337" i="6"/>
  <c r="EA337" i="6"/>
  <c r="EB337" i="6"/>
  <c r="ED337" i="6"/>
  <c r="EF306" i="6"/>
  <c r="EF230" i="6"/>
  <c r="DY229" i="6"/>
  <c r="GP66" i="6"/>
  <c r="GM66" i="6"/>
  <c r="GL66" i="6"/>
  <c r="GO66" i="6"/>
  <c r="GN66" i="6"/>
  <c r="GI66" i="6"/>
  <c r="DX115" i="6"/>
  <c r="GL40" i="6"/>
  <c r="GM40" i="6"/>
  <c r="GK40" i="6"/>
  <c r="GO214" i="6"/>
  <c r="Q85" i="8"/>
  <c r="U85" i="8" s="1"/>
  <c r="Z85" i="8" s="1"/>
  <c r="ED414" i="6"/>
  <c r="EG359" i="6"/>
  <c r="EF211" i="6"/>
  <c r="EA49" i="6"/>
  <c r="DX49" i="6"/>
  <c r="Q493" i="8"/>
  <c r="Y94" i="8"/>
  <c r="W94" i="8"/>
  <c r="U58" i="8"/>
  <c r="Z58" i="8" s="1"/>
  <c r="U21" i="8"/>
  <c r="U72" i="8"/>
  <c r="Z72" i="8" s="1"/>
  <c r="ED334" i="6"/>
  <c r="DY311" i="6"/>
  <c r="EF335" i="6"/>
  <c r="EB349" i="6"/>
  <c r="DX334" i="6"/>
  <c r="DX149" i="6"/>
  <c r="Q550" i="8"/>
  <c r="V550" i="8" s="1"/>
  <c r="AA550" i="8" s="1"/>
  <c r="T519" i="8"/>
  <c r="Z367" i="8"/>
  <c r="W367" i="8"/>
  <c r="Q409" i="8"/>
  <c r="T409" i="8"/>
  <c r="R508" i="8"/>
  <c r="Q417" i="8"/>
  <c r="V417" i="8" s="1"/>
  <c r="AA417" i="8" s="1"/>
  <c r="Q222" i="8"/>
  <c r="V222" i="8" s="1"/>
  <c r="AA222" i="8" s="1"/>
  <c r="W467" i="8"/>
  <c r="Y467" i="8"/>
  <c r="V400" i="8"/>
  <c r="AA400" i="8" s="1"/>
  <c r="T400" i="8"/>
  <c r="R298" i="8"/>
  <c r="Y430" i="8"/>
  <c r="AB430" i="8" s="1"/>
  <c r="W430" i="8"/>
  <c r="Q253" i="8"/>
  <c r="Q249" i="8"/>
  <c r="T249" i="8" s="1"/>
  <c r="R425" i="8"/>
  <c r="Q171" i="8"/>
  <c r="T171" i="8"/>
  <c r="T307" i="8"/>
  <c r="Q307" i="8"/>
  <c r="Q376" i="8"/>
  <c r="Y77" i="8"/>
  <c r="W77" i="8"/>
  <c r="U228" i="8"/>
  <c r="Z228" i="8" s="1"/>
  <c r="V33" i="8"/>
  <c r="T33" i="8"/>
  <c r="U33" i="8"/>
  <c r="V47" i="8"/>
  <c r="R47" i="8"/>
  <c r="T43" i="8"/>
  <c r="V54" i="8"/>
  <c r="AA54" i="8" s="1"/>
  <c r="R54" i="8"/>
  <c r="U54" i="8"/>
  <c r="Z54" i="8" s="1"/>
  <c r="Y88" i="8"/>
  <c r="ED457" i="6"/>
  <c r="Y64" i="8"/>
  <c r="DX456" i="6"/>
  <c r="EF456" i="6" s="1"/>
  <c r="W115" i="8"/>
  <c r="DX475" i="6"/>
  <c r="EH475" i="6" s="1"/>
  <c r="Q207" i="8"/>
  <c r="T207" i="8"/>
  <c r="DY437" i="6"/>
  <c r="ED430" i="6"/>
  <c r="DX482" i="6"/>
  <c r="EH482" i="6" s="1"/>
  <c r="EC431" i="6"/>
  <c r="DX394" i="6"/>
  <c r="EF369" i="6"/>
  <c r="EC385" i="6"/>
  <c r="DY405" i="6"/>
  <c r="DY429" i="6"/>
  <c r="EC403" i="6"/>
  <c r="DX403" i="6"/>
  <c r="EC378" i="6"/>
  <c r="EC353" i="6"/>
  <c r="EG332" i="6"/>
  <c r="EF331" i="6"/>
  <c r="EF322" i="6"/>
  <c r="GP349" i="6"/>
  <c r="EH316" i="6"/>
  <c r="EA316" i="6"/>
  <c r="EF316" i="6"/>
  <c r="ED316" i="6"/>
  <c r="DX326" i="6"/>
  <c r="DX308" i="6"/>
  <c r="EB308" i="6" s="1"/>
  <c r="DY224" i="6"/>
  <c r="DX244" i="6"/>
  <c r="DY244" i="6" s="1"/>
  <c r="DY272" i="6"/>
  <c r="EB231" i="6"/>
  <c r="DX201" i="6"/>
  <c r="EA201" i="6" s="1"/>
  <c r="EC223" i="6"/>
  <c r="DX232" i="6"/>
  <c r="EF232" i="6" s="1"/>
  <c r="EA197" i="6"/>
  <c r="DX158" i="6"/>
  <c r="EE131" i="6"/>
  <c r="EB133" i="6"/>
  <c r="GM34" i="6"/>
  <c r="GL34" i="6"/>
  <c r="DX58" i="6"/>
  <c r="EA58" i="6"/>
  <c r="GI63" i="6"/>
  <c r="DY60" i="6"/>
  <c r="EB18" i="6"/>
  <c r="EL18" i="6" s="1"/>
  <c r="EF66" i="6"/>
  <c r="EP66" i="6" s="1"/>
  <c r="EG12" i="6"/>
  <c r="EQ12" i="6" s="1"/>
  <c r="DX72" i="6"/>
  <c r="EA72" i="6" s="1"/>
  <c r="DY103" i="6"/>
  <c r="Q499" i="8"/>
  <c r="U499" i="8" s="1"/>
  <c r="Z499" i="8" s="1"/>
  <c r="U165" i="8"/>
  <c r="Z165" i="8" s="1"/>
  <c r="V145" i="8"/>
  <c r="AA145" i="8" s="1"/>
  <c r="U145" i="8"/>
  <c r="Z145" i="8" s="1"/>
  <c r="DY389" i="6"/>
  <c r="DY172" i="6"/>
  <c r="DX33" i="6"/>
  <c r="DY33" i="6" s="1"/>
  <c r="R541" i="8"/>
  <c r="Q441" i="8"/>
  <c r="T246" i="8"/>
  <c r="GO12" i="6"/>
  <c r="GP12" i="6"/>
  <c r="GL12" i="6"/>
  <c r="GK12" i="6"/>
  <c r="GM12" i="6"/>
  <c r="GI12" i="6"/>
  <c r="EI60" i="6"/>
  <c r="GI60" i="6"/>
  <c r="DX140" i="6"/>
  <c r="DY59" i="6"/>
  <c r="EH87" i="6"/>
  <c r="ER87" i="6" s="1"/>
  <c r="EB87" i="6"/>
  <c r="EL87" i="6" s="1"/>
  <c r="EC87" i="6"/>
  <c r="DY87" i="6"/>
  <c r="EC106" i="6"/>
  <c r="T303" i="8"/>
  <c r="Q437" i="8"/>
  <c r="T437" i="8"/>
  <c r="R289" i="8"/>
  <c r="Q57" i="8"/>
  <c r="U57" i="8"/>
  <c r="Z57" i="8" s="1"/>
  <c r="EC139" i="6"/>
  <c r="U289" i="8"/>
  <c r="Z289" i="8" s="1"/>
  <c r="EF486" i="6"/>
  <c r="EE434" i="6"/>
  <c r="EC174" i="6"/>
  <c r="GO36" i="6"/>
  <c r="GN36" i="6"/>
  <c r="GL36" i="6"/>
  <c r="GJ36" i="6"/>
  <c r="GI36" i="6"/>
  <c r="DX76" i="6"/>
  <c r="EE66" i="6"/>
  <c r="EO66" i="6" s="1"/>
  <c r="EH66" i="6"/>
  <c r="ER66" i="6" s="1"/>
  <c r="EC66" i="6"/>
  <c r="EM66" i="6" s="1"/>
  <c r="EB66" i="6"/>
  <c r="EL66" i="6" s="1"/>
  <c r="EA103" i="6"/>
  <c r="DX103" i="6"/>
  <c r="DY118" i="6"/>
  <c r="U551" i="8"/>
  <c r="Z551" i="8" s="1"/>
  <c r="Q529" i="8"/>
  <c r="R529" i="8" s="1"/>
  <c r="R514" i="8"/>
  <c r="Q522" i="8"/>
  <c r="Q456" i="8"/>
  <c r="V456" i="8" s="1"/>
  <c r="AA456" i="8" s="1"/>
  <c r="T456" i="8"/>
  <c r="U356" i="8"/>
  <c r="Z356" i="8" s="1"/>
  <c r="Q356" i="8"/>
  <c r="Y468" i="8"/>
  <c r="W468" i="8"/>
  <c r="U508" i="8"/>
  <c r="Z508" i="8" s="1"/>
  <c r="U339" i="8"/>
  <c r="Z339" i="8" s="1"/>
  <c r="T445" i="8"/>
  <c r="Q416" i="8"/>
  <c r="T416" i="8" s="1"/>
  <c r="Y439" i="8"/>
  <c r="W439" i="8"/>
  <c r="Q392" i="8"/>
  <c r="T392" i="8"/>
  <c r="Q397" i="8"/>
  <c r="U397" i="8" s="1"/>
  <c r="Z397" i="8" s="1"/>
  <c r="R219" i="8"/>
  <c r="R170" i="8"/>
  <c r="V489" i="8"/>
  <c r="AA489" i="8" s="1"/>
  <c r="U489" i="8"/>
  <c r="Z489" i="8" s="1"/>
  <c r="V324" i="8"/>
  <c r="AA324" i="8" s="1"/>
  <c r="T324" i="8"/>
  <c r="U400" i="8"/>
  <c r="Z400" i="8" s="1"/>
  <c r="U298" i="8"/>
  <c r="Z298" i="8" s="1"/>
  <c r="T491" i="8"/>
  <c r="Q491" i="8"/>
  <c r="Q233" i="8"/>
  <c r="T233" i="8" s="1"/>
  <c r="U425" i="8"/>
  <c r="Z425" i="8" s="1"/>
  <c r="Y133" i="8"/>
  <c r="W133" i="8"/>
  <c r="R148" i="8"/>
  <c r="U485" i="8"/>
  <c r="Z485" i="8" s="1"/>
  <c r="Y60" i="8"/>
  <c r="W60" i="8"/>
  <c r="T315" i="8"/>
  <c r="Q315" i="8"/>
  <c r="V79" i="8"/>
  <c r="AA79" i="8" s="1"/>
  <c r="R79" i="8"/>
  <c r="U79" i="8"/>
  <c r="Z79" i="8" s="1"/>
  <c r="Y97" i="8"/>
  <c r="T47" i="8"/>
  <c r="W47" i="8" s="1"/>
  <c r="DX479" i="6"/>
  <c r="EB479" i="6"/>
  <c r="T54" i="8"/>
  <c r="ED469" i="6"/>
  <c r="R25" i="8"/>
  <c r="V64" i="8"/>
  <c r="AA64" i="8" s="1"/>
  <c r="U64" i="8"/>
  <c r="Z64" i="8" s="1"/>
  <c r="EB459" i="6"/>
  <c r="DX441" i="6"/>
  <c r="EC441" i="6" s="1"/>
  <c r="EE467" i="6"/>
  <c r="GM467" i="6" s="1"/>
  <c r="EA431" i="6"/>
  <c r="DX431" i="6"/>
  <c r="ED431" i="6" s="1"/>
  <c r="DY454" i="6"/>
  <c r="EB431" i="6"/>
  <c r="DX419" i="6"/>
  <c r="EC419" i="6" s="1"/>
  <c r="DY407" i="6"/>
  <c r="DY382" i="6"/>
  <c r="EE404" i="6"/>
  <c r="ED402" i="6"/>
  <c r="EF384" i="6"/>
  <c r="DY378" i="6"/>
  <c r="EG347" i="6"/>
  <c r="ED369" i="6"/>
  <c r="EF325" i="6"/>
  <c r="EH304" i="6"/>
  <c r="EA304" i="6"/>
  <c r="EB304" i="6"/>
  <c r="ED298" i="6"/>
  <c r="DX306" i="6"/>
  <c r="EC306" i="6" s="1"/>
  <c r="EB305" i="6"/>
  <c r="DX305" i="6"/>
  <c r="DX192" i="6"/>
  <c r="ED226" i="6"/>
  <c r="EG238" i="6"/>
  <c r="DY265" i="6"/>
  <c r="DX219" i="6"/>
  <c r="EF219" i="6" s="1"/>
  <c r="DY146" i="6"/>
  <c r="EE235" i="6"/>
  <c r="EB154" i="6"/>
  <c r="DX154" i="6"/>
  <c r="EG172" i="6"/>
  <c r="EH214" i="6"/>
  <c r="ED214" i="6"/>
  <c r="EE130" i="6"/>
  <c r="EC134" i="6"/>
  <c r="EG162" i="6"/>
  <c r="EC197" i="6"/>
  <c r="DY58" i="6"/>
  <c r="EH148" i="6"/>
  <c r="ED148" i="6"/>
  <c r="EF148" i="6"/>
  <c r="EH46" i="6"/>
  <c r="EE46" i="6"/>
  <c r="EC46" i="6"/>
  <c r="EF46" i="6"/>
  <c r="EB46" i="6"/>
  <c r="EA46" i="6"/>
  <c r="EC64" i="6"/>
  <c r="EH64" i="6"/>
  <c r="EG64" i="6"/>
  <c r="EE64" i="6"/>
  <c r="EB64" i="6"/>
  <c r="EA64" i="6"/>
  <c r="EF203" i="6"/>
  <c r="EC157" i="6"/>
  <c r="DX157" i="6"/>
  <c r="R238" i="8"/>
  <c r="EE441" i="6"/>
  <c r="ED314" i="6"/>
  <c r="EE242" i="6"/>
  <c r="DY338" i="6"/>
  <c r="Q435" i="8"/>
  <c r="T435" i="8" s="1"/>
  <c r="V473" i="8"/>
  <c r="AA473" i="8" s="1"/>
  <c r="T473" i="8"/>
  <c r="Q184" i="8"/>
  <c r="R184" i="8" s="1"/>
  <c r="T184" i="8"/>
  <c r="R263" i="8"/>
  <c r="R193" i="8"/>
  <c r="EB490" i="6"/>
  <c r="EC421" i="6"/>
  <c r="ED437" i="6"/>
  <c r="EC301" i="6"/>
  <c r="DY199" i="6"/>
  <c r="R274" i="8"/>
  <c r="Y175" i="8"/>
  <c r="W175" i="8"/>
  <c r="T201" i="8"/>
  <c r="T219" i="8"/>
  <c r="Q219" i="8"/>
  <c r="V219" i="8" s="1"/>
  <c r="AA219" i="8" s="1"/>
  <c r="EH406" i="6"/>
  <c r="EA406" i="6"/>
  <c r="DX296" i="6"/>
  <c r="EF296" i="6" s="1"/>
  <c r="ED343" i="6"/>
  <c r="DY178" i="6"/>
  <c r="DX135" i="6"/>
  <c r="EA135" i="6"/>
  <c r="Q458" i="8"/>
  <c r="R458" i="8" s="1"/>
  <c r="Q292" i="8"/>
  <c r="U292" i="8" s="1"/>
  <c r="Z292" i="8" s="1"/>
  <c r="U221" i="8"/>
  <c r="Z221" i="8" s="1"/>
  <c r="V279" i="8"/>
  <c r="AA279" i="8" s="1"/>
  <c r="T279" i="8"/>
  <c r="R279" i="8"/>
  <c r="Q274" i="8"/>
  <c r="V274" i="8" s="1"/>
  <c r="AA274" i="8" s="1"/>
  <c r="V125" i="8"/>
  <c r="AA125" i="8" s="1"/>
  <c r="U125" i="8"/>
  <c r="Z125" i="8" s="1"/>
  <c r="T202" i="8"/>
  <c r="U155" i="8"/>
  <c r="Z155" i="8" s="1"/>
  <c r="Q155" i="8"/>
  <c r="R140" i="8"/>
  <c r="EG416" i="6"/>
  <c r="EB301" i="6"/>
  <c r="Q521" i="8"/>
  <c r="T521" i="8" s="1"/>
  <c r="Q258" i="8"/>
  <c r="T258" i="8"/>
  <c r="EA460" i="6"/>
  <c r="EH377" i="6"/>
  <c r="DY377" i="6"/>
  <c r="EC377" i="6"/>
  <c r="EB377" i="6"/>
  <c r="DY154" i="6"/>
  <c r="EA150" i="6"/>
  <c r="R509" i="8"/>
  <c r="R258" i="8"/>
  <c r="R205" i="8"/>
  <c r="T185" i="8"/>
  <c r="Q144" i="8"/>
  <c r="T144" i="8"/>
  <c r="ED149" i="6"/>
  <c r="Q396" i="8"/>
  <c r="T396" i="8" s="1"/>
  <c r="U443" i="8"/>
  <c r="Z443" i="8" s="1"/>
  <c r="EE284" i="6"/>
  <c r="EH197" i="6"/>
  <c r="ED197" i="6"/>
  <c r="R545" i="8"/>
  <c r="U516" i="8"/>
  <c r="Z516" i="8" s="1"/>
  <c r="U534" i="8"/>
  <c r="Z534" i="8" s="1"/>
  <c r="R356" i="8"/>
  <c r="Q337" i="8"/>
  <c r="T337" i="8"/>
  <c r="Q448" i="8"/>
  <c r="R483" i="8"/>
  <c r="Q379" i="8"/>
  <c r="T379" i="8"/>
  <c r="R412" i="8"/>
  <c r="Y489" i="8"/>
  <c r="T398" i="8"/>
  <c r="U302" i="8"/>
  <c r="Z302" i="8" s="1"/>
  <c r="V302" i="8"/>
  <c r="AA302" i="8" s="1"/>
  <c r="R302" i="8"/>
  <c r="T302" i="8"/>
  <c r="U241" i="8"/>
  <c r="Z241" i="8" s="1"/>
  <c r="V240" i="8"/>
  <c r="AA240" i="8" s="1"/>
  <c r="R240" i="8"/>
  <c r="Q102" i="8"/>
  <c r="R102" i="8" s="1"/>
  <c r="U148" i="8"/>
  <c r="Z148" i="8" s="1"/>
  <c r="R485" i="8"/>
  <c r="Y79" i="8"/>
  <c r="W79" i="8"/>
  <c r="R72" i="8"/>
  <c r="EF493" i="6"/>
  <c r="V118" i="8"/>
  <c r="AA118" i="8" s="1"/>
  <c r="R118" i="8"/>
  <c r="U118" i="8"/>
  <c r="Z118" i="8" s="1"/>
  <c r="R51" i="8"/>
  <c r="Y122" i="8"/>
  <c r="W122" i="8"/>
  <c r="EG457" i="6"/>
  <c r="R46" i="8"/>
  <c r="DX476" i="6"/>
  <c r="V68" i="8"/>
  <c r="AA68" i="8" s="1"/>
  <c r="R68" i="8"/>
  <c r="U68" i="8"/>
  <c r="Z68" i="8" s="1"/>
  <c r="ED451" i="6"/>
  <c r="EC404" i="6"/>
  <c r="DX420" i="6"/>
  <c r="DX408" i="6"/>
  <c r="EA408" i="6" s="1"/>
  <c r="DY402" i="6"/>
  <c r="DY391" i="6"/>
  <c r="DX473" i="6"/>
  <c r="EF374" i="6"/>
  <c r="EH378" i="6"/>
  <c r="ED378" i="6"/>
  <c r="EE378" i="6"/>
  <c r="EE328" i="6"/>
  <c r="EF303" i="6"/>
  <c r="DX313" i="6"/>
  <c r="DY313" i="6" s="1"/>
  <c r="EE304" i="6"/>
  <c r="EB287" i="6"/>
  <c r="DY176" i="6"/>
  <c r="EB315" i="6"/>
  <c r="DX216" i="6"/>
  <c r="EB216" i="6" s="1"/>
  <c r="EC243" i="6"/>
  <c r="EB192" i="6"/>
  <c r="EA265" i="6"/>
  <c r="DX265" i="6"/>
  <c r="EH210" i="6"/>
  <c r="EG210" i="6"/>
  <c r="EE210" i="6"/>
  <c r="EC210" i="6"/>
  <c r="DX261" i="6"/>
  <c r="ED284" i="6"/>
  <c r="EB160" i="6"/>
  <c r="GI175" i="6"/>
  <c r="EA214" i="6"/>
  <c r="EB150" i="6"/>
  <c r="GO65" i="6"/>
  <c r="DX91" i="6"/>
  <c r="EF56" i="6"/>
  <c r="EA148" i="6"/>
  <c r="GM451" i="6"/>
  <c r="GL451" i="6"/>
  <c r="GK451" i="6"/>
  <c r="GI451" i="6"/>
  <c r="GP451" i="6"/>
  <c r="DX182" i="6"/>
  <c r="ED182" i="6" s="1"/>
  <c r="Q147" i="8"/>
  <c r="U147" i="8" s="1"/>
  <c r="Z147" i="8" s="1"/>
  <c r="T105" i="8"/>
  <c r="DX333" i="6"/>
  <c r="DX283" i="6"/>
  <c r="EE283" i="6" s="1"/>
  <c r="ED205" i="6"/>
  <c r="GP54" i="6"/>
  <c r="Q528" i="8"/>
  <c r="EB399" i="6"/>
  <c r="V377" i="8"/>
  <c r="AA377" i="8" s="1"/>
  <c r="U377" i="8"/>
  <c r="Z377" i="8" s="1"/>
  <c r="Q280" i="8"/>
  <c r="V280" i="8" s="1"/>
  <c r="AA280" i="8" s="1"/>
  <c r="Q344" i="8"/>
  <c r="V344" i="8" s="1"/>
  <c r="AA344" i="8" s="1"/>
  <c r="T344" i="8"/>
  <c r="Q372" i="8"/>
  <c r="Y157" i="8"/>
  <c r="EG491" i="6"/>
  <c r="R226" i="8"/>
  <c r="R48" i="8"/>
  <c r="DY477" i="6"/>
  <c r="EF476" i="6"/>
  <c r="Y74" i="8"/>
  <c r="W74" i="8"/>
  <c r="DX487" i="6"/>
  <c r="EH454" i="6"/>
  <c r="EA454" i="6"/>
  <c r="EB451" i="6"/>
  <c r="GJ451" i="6" s="1"/>
  <c r="R36" i="8"/>
  <c r="Y68" i="8"/>
  <c r="Y197" i="8"/>
  <c r="V103" i="8"/>
  <c r="AA103" i="8" s="1"/>
  <c r="U103" i="8"/>
  <c r="Z103" i="8" s="1"/>
  <c r="DY404" i="6"/>
  <c r="DY401" i="6"/>
  <c r="EE417" i="6"/>
  <c r="EC372" i="6"/>
  <c r="GI378" i="6"/>
  <c r="DY367" i="6"/>
  <c r="DX380" i="6"/>
  <c r="DY380" i="6" s="1"/>
  <c r="EG326" i="6"/>
  <c r="DX358" i="6"/>
  <c r="EE358" i="6" s="1"/>
  <c r="EC323" i="6"/>
  <c r="EB300" i="6"/>
  <c r="DX300" i="6"/>
  <c r="EB302" i="6"/>
  <c r="DX302" i="6"/>
  <c r="EB285" i="6"/>
  <c r="DX285" i="6"/>
  <c r="EF319" i="6"/>
  <c r="DX282" i="6"/>
  <c r="EB282" i="6" s="1"/>
  <c r="ED304" i="6"/>
  <c r="EH318" i="6"/>
  <c r="EG318" i="6"/>
  <c r="ED318" i="6"/>
  <c r="EC238" i="6"/>
  <c r="EH198" i="6"/>
  <c r="EB198" i="6"/>
  <c r="DY198" i="6"/>
  <c r="EF198" i="6"/>
  <c r="DX252" i="6"/>
  <c r="EF252" i="6" s="1"/>
  <c r="EE303" i="6"/>
  <c r="EF217" i="6"/>
  <c r="GN264" i="6"/>
  <c r="EI210" i="6"/>
  <c r="EB147" i="6"/>
  <c r="DX147" i="6"/>
  <c r="EC149" i="6"/>
  <c r="DX152" i="6"/>
  <c r="EC152" i="6" s="1"/>
  <c r="EG143" i="6"/>
  <c r="GJ205" i="6"/>
  <c r="EG315" i="6"/>
  <c r="ED154" i="6"/>
  <c r="EE145" i="6"/>
  <c r="EC150" i="6"/>
  <c r="DX151" i="6"/>
  <c r="EC151" i="6" s="1"/>
  <c r="DX145" i="6"/>
  <c r="DX81" i="6"/>
  <c r="GP220" i="6"/>
  <c r="EB136" i="6"/>
  <c r="DY138" i="6"/>
  <c r="GL55" i="6"/>
  <c r="GN68" i="6"/>
  <c r="EH79" i="6"/>
  <c r="EA79" i="6"/>
  <c r="EC79" i="6"/>
  <c r="EF79" i="6"/>
  <c r="EB79" i="6"/>
  <c r="Q463" i="8"/>
  <c r="ED493" i="6"/>
  <c r="DY364" i="6"/>
  <c r="EC176" i="6"/>
  <c r="DX132" i="6"/>
  <c r="DY132" i="6" s="1"/>
  <c r="EQ63" i="6"/>
  <c r="GO63" i="6"/>
  <c r="EG18" i="6"/>
  <c r="Q532" i="8"/>
  <c r="V532" i="8" s="1"/>
  <c r="AA532" i="8" s="1"/>
  <c r="U447" i="8"/>
  <c r="Z447" i="8" s="1"/>
  <c r="W347" i="8"/>
  <c r="Y347" i="8"/>
  <c r="V58" i="8"/>
  <c r="AA58" i="8" s="1"/>
  <c r="R58" i="8"/>
  <c r="DX136" i="6"/>
  <c r="EA136" i="6"/>
  <c r="EH171" i="6"/>
  <c r="ED171" i="6"/>
  <c r="EG171" i="6"/>
  <c r="EB171" i="6"/>
  <c r="U533" i="8"/>
  <c r="Z533" i="8" s="1"/>
  <c r="U462" i="8"/>
  <c r="Z462" i="8" s="1"/>
  <c r="R539" i="8"/>
  <c r="R445" i="8"/>
  <c r="R543" i="8"/>
  <c r="U310" i="8"/>
  <c r="Z310" i="8" s="1"/>
  <c r="V43" i="8"/>
  <c r="R43" i="8"/>
  <c r="DY355" i="6"/>
  <c r="DX357" i="6"/>
  <c r="T545" i="8"/>
  <c r="Q545" i="8"/>
  <c r="Y513" i="8"/>
  <c r="Y360" i="8"/>
  <c r="W360" i="8"/>
  <c r="AK224" i="8"/>
  <c r="Y224" i="8"/>
  <c r="W224" i="8"/>
  <c r="R551" i="8"/>
  <c r="Y524" i="8"/>
  <c r="W524" i="8"/>
  <c r="U519" i="8"/>
  <c r="Z519" i="8" s="1"/>
  <c r="U357" i="8"/>
  <c r="Z357" i="8" s="1"/>
  <c r="T443" i="8"/>
  <c r="T377" i="8"/>
  <c r="T334" i="8"/>
  <c r="Q334" i="8"/>
  <c r="Y399" i="8"/>
  <c r="W399" i="8"/>
  <c r="Q380" i="8"/>
  <c r="Q218" i="8"/>
  <c r="T218" i="8"/>
  <c r="V214" i="8"/>
  <c r="AA214" i="8" s="1"/>
  <c r="T214" i="8"/>
  <c r="Q316" i="8"/>
  <c r="R316" i="8" s="1"/>
  <c r="AK267" i="8"/>
  <c r="Y267" i="8"/>
  <c r="W267" i="8"/>
  <c r="Q423" i="8"/>
  <c r="V423" i="8" s="1"/>
  <c r="AA423" i="8" s="1"/>
  <c r="Q205" i="8"/>
  <c r="V205" i="8" s="1"/>
  <c r="AA205" i="8" s="1"/>
  <c r="Y146" i="8"/>
  <c r="V29" i="8"/>
  <c r="T29" i="8"/>
  <c r="W29" i="8" s="1"/>
  <c r="Q48" i="8"/>
  <c r="DX477" i="6"/>
  <c r="EA477" i="6"/>
  <c r="GI477" i="6" s="1"/>
  <c r="T25" i="8"/>
  <c r="DX485" i="6"/>
  <c r="EH485" i="6" s="1"/>
  <c r="EC485" i="6"/>
  <c r="EF449" i="6"/>
  <c r="T36" i="8"/>
  <c r="Q36" i="8"/>
  <c r="DX490" i="6"/>
  <c r="ED490" i="6" s="1"/>
  <c r="T103" i="8"/>
  <c r="EC446" i="6"/>
  <c r="DX446" i="6"/>
  <c r="EE433" i="6"/>
  <c r="ED418" i="6"/>
  <c r="EG454" i="6"/>
  <c r="EE399" i="6"/>
  <c r="EG396" i="6"/>
  <c r="DY379" i="6"/>
  <c r="EC465" i="6"/>
  <c r="DY416" i="6"/>
  <c r="DY371" i="6"/>
  <c r="DX433" i="6"/>
  <c r="EF433" i="6" s="1"/>
  <c r="EG338" i="6"/>
  <c r="DX366" i="6"/>
  <c r="ED366" i="6" s="1"/>
  <c r="DX347" i="6"/>
  <c r="EC347" i="6" s="1"/>
  <c r="EB374" i="6"/>
  <c r="EF323" i="6"/>
  <c r="EF284" i="6"/>
  <c r="DY274" i="6"/>
  <c r="DX280" i="6"/>
  <c r="ED280" i="6" s="1"/>
  <c r="EA198" i="6"/>
  <c r="DY208" i="6"/>
  <c r="EG147" i="6"/>
  <c r="DX253" i="6"/>
  <c r="EE253" i="6" s="1"/>
  <c r="EC175" i="6"/>
  <c r="EE124" i="6"/>
  <c r="DX124" i="6"/>
  <c r="DY153" i="6"/>
  <c r="DY124" i="6"/>
  <c r="D6" i="10"/>
  <c r="FS88" i="6"/>
  <c r="EM88" i="6"/>
  <c r="GK88" i="6"/>
  <c r="EG150" i="6"/>
  <c r="EG118" i="6"/>
  <c r="GN80" i="6"/>
  <c r="GM80" i="6"/>
  <c r="GP80" i="6"/>
  <c r="GO80" i="6"/>
  <c r="GL80" i="6"/>
  <c r="GK80" i="6"/>
  <c r="GI80" i="6"/>
  <c r="DX70" i="6"/>
  <c r="EC70" i="6" s="1"/>
  <c r="EA70" i="6"/>
  <c r="EG138" i="6"/>
  <c r="GJ88" i="6"/>
  <c r="EH90" i="6"/>
  <c r="EE90" i="6"/>
  <c r="EB90" i="6"/>
  <c r="EF90" i="6"/>
  <c r="EG90" i="6"/>
  <c r="EA90" i="6"/>
  <c r="DX17" i="6"/>
  <c r="GO61" i="6"/>
  <c r="EC203" i="6"/>
  <c r="Q406" i="8"/>
  <c r="T406" i="8" s="1"/>
  <c r="Q382" i="8"/>
  <c r="Q263" i="8"/>
  <c r="V263" i="8" s="1"/>
  <c r="AA263" i="8" s="1"/>
  <c r="U51" i="8"/>
  <c r="T150" i="8"/>
  <c r="ED221" i="6"/>
  <c r="DY202" i="6"/>
  <c r="EG220" i="6"/>
  <c r="U432" i="8"/>
  <c r="Z432" i="8" s="1"/>
  <c r="U264" i="8"/>
  <c r="Z264" i="8" s="1"/>
  <c r="DY290" i="6"/>
  <c r="EE292" i="6"/>
  <c r="EB183" i="6"/>
  <c r="EC213" i="6"/>
  <c r="Q480" i="8"/>
  <c r="V480" i="8" s="1"/>
  <c r="AA480" i="8" s="1"/>
  <c r="W328" i="8"/>
  <c r="Y328" i="8"/>
  <c r="T460" i="8"/>
  <c r="U251" i="8"/>
  <c r="Z251" i="8" s="1"/>
  <c r="EF359" i="6"/>
  <c r="DY49" i="6"/>
  <c r="U336" i="8"/>
  <c r="Z336" i="8" s="1"/>
  <c r="Q479" i="8"/>
  <c r="V479" i="8" s="1"/>
  <c r="AA479" i="8" s="1"/>
  <c r="Q471" i="8"/>
  <c r="T471" i="8" s="1"/>
  <c r="Z517" i="8"/>
  <c r="W517" i="8"/>
  <c r="U488" i="8"/>
  <c r="Z488" i="8" s="1"/>
  <c r="Q411" i="8"/>
  <c r="R411" i="8" s="1"/>
  <c r="U412" i="8"/>
  <c r="Z412" i="8" s="1"/>
  <c r="V368" i="8"/>
  <c r="AA368" i="8" s="1"/>
  <c r="U368" i="8"/>
  <c r="Z368" i="8" s="1"/>
  <c r="U347" i="8"/>
  <c r="Z347" i="8" s="1"/>
  <c r="V421" i="8"/>
  <c r="AA421" i="8" s="1"/>
  <c r="U421" i="8"/>
  <c r="Z421" i="8" s="1"/>
  <c r="Q451" i="8"/>
  <c r="T451" i="8" s="1"/>
  <c r="V362" i="8"/>
  <c r="AA362" i="8" s="1"/>
  <c r="T362" i="8"/>
  <c r="Q496" i="8"/>
  <c r="U496" i="8" s="1"/>
  <c r="Z496" i="8" s="1"/>
  <c r="Q455" i="8"/>
  <c r="T298" i="8"/>
  <c r="Q378" i="8"/>
  <c r="Y486" i="8"/>
  <c r="W486" i="8"/>
  <c r="Q193" i="8"/>
  <c r="Q301" i="8"/>
  <c r="V301" i="8" s="1"/>
  <c r="AA301" i="8" s="1"/>
  <c r="Q357" i="8"/>
  <c r="V357" i="8" s="1"/>
  <c r="AA357" i="8" s="1"/>
  <c r="T357" i="8"/>
  <c r="V245" i="8"/>
  <c r="AA245" i="8" s="1"/>
  <c r="T245" i="8"/>
  <c r="R245" i="8"/>
  <c r="Q208" i="8"/>
  <c r="Q260" i="8"/>
  <c r="U363" i="8"/>
  <c r="Z363" i="8" s="1"/>
  <c r="Q89" i="8"/>
  <c r="T89" i="8"/>
  <c r="Q261" i="8"/>
  <c r="W343" i="8"/>
  <c r="Y343" i="8"/>
  <c r="V383" i="8"/>
  <c r="AA383" i="8" s="1"/>
  <c r="T383" i="8"/>
  <c r="R393" i="8"/>
  <c r="V94" i="8"/>
  <c r="AA94" i="8" s="1"/>
  <c r="R94" i="8"/>
  <c r="R185" i="8"/>
  <c r="V349" i="8"/>
  <c r="AA349" i="8" s="1"/>
  <c r="T349" i="8"/>
  <c r="R290" i="8"/>
  <c r="R151" i="8"/>
  <c r="W30" i="8"/>
  <c r="DY459" i="6"/>
  <c r="EF444" i="6"/>
  <c r="DY463" i="6"/>
  <c r="DX480" i="6"/>
  <c r="DY480" i="6" s="1"/>
  <c r="R83" i="8"/>
  <c r="DX440" i="6"/>
  <c r="EG440" i="6" s="1"/>
  <c r="V81" i="8"/>
  <c r="AA81" i="8" s="1"/>
  <c r="T81" i="8"/>
  <c r="DX418" i="6"/>
  <c r="ED419" i="6"/>
  <c r="ED398" i="6"/>
  <c r="ED409" i="6"/>
  <c r="EC396" i="6"/>
  <c r="DY395" i="6"/>
  <c r="DX400" i="6"/>
  <c r="DX370" i="6"/>
  <c r="EB370" i="6" s="1"/>
  <c r="EA370" i="6"/>
  <c r="EE407" i="6"/>
  <c r="DX369" i="6"/>
  <c r="EG336" i="6"/>
  <c r="ED360" i="6"/>
  <c r="EG378" i="6"/>
  <c r="DX340" i="6"/>
  <c r="EC343" i="6"/>
  <c r="EE345" i="6"/>
  <c r="EE306" i="6"/>
  <c r="EC321" i="6"/>
  <c r="EF293" i="6"/>
  <c r="DX277" i="6"/>
  <c r="DY277" i="6" s="1"/>
  <c r="EH295" i="6"/>
  <c r="EG295" i="6"/>
  <c r="GP336" i="6"/>
  <c r="EG197" i="6"/>
  <c r="EG153" i="6"/>
  <c r="DY235" i="6"/>
  <c r="EC217" i="6"/>
  <c r="DX199" i="6"/>
  <c r="DX208" i="6"/>
  <c r="GN158" i="6"/>
  <c r="DX217" i="6"/>
  <c r="DX144" i="6"/>
  <c r="DY144" i="6" s="1"/>
  <c r="DY171" i="6"/>
  <c r="EH142" i="6"/>
  <c r="EC142" i="6"/>
  <c r="EG142" i="6"/>
  <c r="EA142" i="6"/>
  <c r="EC83" i="6"/>
  <c r="DX120" i="6"/>
  <c r="EF137" i="6"/>
  <c r="EC147" i="6"/>
  <c r="I6" i="10"/>
  <c r="FL148" i="6"/>
  <c r="FS148" i="6"/>
  <c r="GK148" i="6"/>
  <c r="EI78" i="6"/>
  <c r="DY70" i="6"/>
  <c r="GO88" i="6"/>
  <c r="D8" i="10"/>
  <c r="FS90" i="6"/>
  <c r="GK90" i="6"/>
  <c r="EH40" i="6"/>
  <c r="ER40" i="6" s="1"/>
  <c r="EE40" i="6"/>
  <c r="EO40" i="6" s="1"/>
  <c r="EC40" i="6"/>
  <c r="EM40" i="6" s="1"/>
  <c r="EB40" i="6"/>
  <c r="EF40" i="6"/>
  <c r="DY17" i="6"/>
  <c r="GL47" i="6"/>
  <c r="Q449" i="8"/>
  <c r="T449" i="8"/>
  <c r="Q82" i="8"/>
  <c r="T96" i="8"/>
  <c r="Q96" i="8"/>
  <c r="DX449" i="6"/>
  <c r="EH292" i="6"/>
  <c r="EA292" i="6"/>
  <c r="EG292" i="6"/>
  <c r="DY361" i="6"/>
  <c r="EF128" i="6"/>
  <c r="EB74" i="6"/>
  <c r="EH74" i="6"/>
  <c r="EC74" i="6"/>
  <c r="EE74" i="6"/>
  <c r="Y497" i="8"/>
  <c r="Q341" i="8"/>
  <c r="T341" i="8"/>
  <c r="Q272" i="8"/>
  <c r="EH459" i="6"/>
  <c r="ED459" i="6"/>
  <c r="EE459" i="6"/>
  <c r="EG459" i="6"/>
  <c r="EA459" i="6"/>
  <c r="DX483" i="6"/>
  <c r="EB483" i="6" s="1"/>
  <c r="DY271" i="6"/>
  <c r="EA74" i="6"/>
  <c r="T527" i="8"/>
  <c r="Q527" i="8"/>
  <c r="U501" i="8"/>
  <c r="Z501" i="8" s="1"/>
  <c r="AK243" i="8"/>
  <c r="Y243" i="8"/>
  <c r="W243" i="8"/>
  <c r="Q181" i="8"/>
  <c r="DX396" i="6"/>
  <c r="EE396" i="6" s="1"/>
  <c r="EH319" i="6"/>
  <c r="ED319" i="6"/>
  <c r="EG319" i="6"/>
  <c r="ED349" i="6"/>
  <c r="EE338" i="6"/>
  <c r="DX317" i="6"/>
  <c r="ED317" i="6" s="1"/>
  <c r="EE252" i="6"/>
  <c r="DY201" i="6"/>
  <c r="EE226" i="6"/>
  <c r="DX159" i="6"/>
  <c r="DY159" i="6" s="1"/>
  <c r="Q365" i="8"/>
  <c r="T365" i="8"/>
  <c r="Q432" i="8"/>
  <c r="Q446" i="8"/>
  <c r="Q498" i="8"/>
  <c r="U388" i="8"/>
  <c r="Z388" i="8" s="1"/>
  <c r="W69" i="8"/>
  <c r="Y69" i="8"/>
  <c r="U548" i="8"/>
  <c r="Z548" i="8" s="1"/>
  <c r="R452" i="8"/>
  <c r="Y482" i="8"/>
  <c r="W482" i="8"/>
  <c r="Q502" i="8"/>
  <c r="V497" i="8"/>
  <c r="AA497" i="8" s="1"/>
  <c r="R497" i="8"/>
  <c r="R418" i="8"/>
  <c r="Q407" i="8"/>
  <c r="U362" i="8"/>
  <c r="Z362" i="8" s="1"/>
  <c r="Q462" i="8"/>
  <c r="R295" i="8"/>
  <c r="Y373" i="8"/>
  <c r="W373" i="8"/>
  <c r="Q296" i="8"/>
  <c r="R296" i="8" s="1"/>
  <c r="U348" i="8"/>
  <c r="Z348" i="8" s="1"/>
  <c r="Q199" i="8"/>
  <c r="V199" i="8" s="1"/>
  <c r="AA199" i="8" s="1"/>
  <c r="T199" i="8"/>
  <c r="U199" i="8"/>
  <c r="Z199" i="8" s="1"/>
  <c r="U244" i="8"/>
  <c r="Z244" i="8" s="1"/>
  <c r="Q352" i="8"/>
  <c r="R421" i="8"/>
  <c r="T283" i="8"/>
  <c r="Q283" i="8"/>
  <c r="U283" i="8" s="1"/>
  <c r="Z283" i="8" s="1"/>
  <c r="T72" i="8"/>
  <c r="U187" i="8"/>
  <c r="Z187" i="8" s="1"/>
  <c r="W172" i="8"/>
  <c r="Y172" i="8"/>
  <c r="Y192" i="8"/>
  <c r="Q26" i="8"/>
  <c r="R26" i="8" s="1"/>
  <c r="R33" i="8"/>
  <c r="U290" i="8"/>
  <c r="Z290" i="8" s="1"/>
  <c r="EF482" i="6"/>
  <c r="Q151" i="8"/>
  <c r="U25" i="8"/>
  <c r="R187" i="8"/>
  <c r="DY444" i="6"/>
  <c r="EE461" i="6"/>
  <c r="Q487" i="8"/>
  <c r="V487" i="8" s="1"/>
  <c r="AA487" i="8" s="1"/>
  <c r="Q83" i="8"/>
  <c r="T83" i="8"/>
  <c r="DX416" i="6"/>
  <c r="EE416" i="6" s="1"/>
  <c r="EH429" i="6"/>
  <c r="EG429" i="6"/>
  <c r="EA429" i="6"/>
  <c r="EE398" i="6"/>
  <c r="EE401" i="6"/>
  <c r="DX445" i="6"/>
  <c r="DY445" i="6" s="1"/>
  <c r="EG386" i="6"/>
  <c r="EC405" i="6"/>
  <c r="ED384" i="6"/>
  <c r="Y323" i="8"/>
  <c r="W323" i="8"/>
  <c r="EC395" i="6"/>
  <c r="DX352" i="6"/>
  <c r="EC302" i="6"/>
  <c r="ED290" i="6"/>
  <c r="EF292" i="6"/>
  <c r="EC293" i="6"/>
  <c r="DX281" i="6"/>
  <c r="EC281" i="6" s="1"/>
  <c r="EG221" i="6"/>
  <c r="EB355" i="6"/>
  <c r="EC311" i="6"/>
  <c r="EF288" i="6"/>
  <c r="EB316" i="6"/>
  <c r="DX173" i="6"/>
  <c r="EE173" i="6" s="1"/>
  <c r="EH134" i="6"/>
  <c r="EG134" i="6"/>
  <c r="EA134" i="6"/>
  <c r="EE134" i="6"/>
  <c r="EF144" i="6"/>
  <c r="DX166" i="6"/>
  <c r="EA166" i="6" s="1"/>
  <c r="DX266" i="6"/>
  <c r="EB266" i="6" s="1"/>
  <c r="EH67" i="6"/>
  <c r="EG67" i="6"/>
  <c r="EB67" i="6"/>
  <c r="EC67" i="6"/>
  <c r="EE67" i="6"/>
  <c r="EF53" i="6"/>
  <c r="DX53" i="6"/>
  <c r="GI61" i="6"/>
  <c r="EH88" i="6"/>
  <c r="EF88" i="6"/>
  <c r="EA88" i="6"/>
  <c r="EA40" i="6"/>
  <c r="GI40" i="6" s="1"/>
  <c r="DX15" i="6"/>
  <c r="EE164" i="6"/>
  <c r="DY48" i="6"/>
  <c r="EH109" i="6"/>
  <c r="EA109" i="6"/>
  <c r="DY109" i="6"/>
  <c r="EF109" i="6"/>
  <c r="EB109" i="6"/>
  <c r="Q447" i="8"/>
  <c r="V447" i="8" s="1"/>
  <c r="AA447" i="8" s="1"/>
  <c r="U265" i="8"/>
  <c r="Z265" i="8" s="1"/>
  <c r="Q265" i="8"/>
  <c r="Q288" i="8"/>
  <c r="T288" i="8"/>
  <c r="V268" i="8"/>
  <c r="AA268" i="8" s="1"/>
  <c r="U268" i="8"/>
  <c r="Z268" i="8" s="1"/>
  <c r="R272" i="8"/>
  <c r="T125" i="8"/>
  <c r="Q16" i="8"/>
  <c r="EF490" i="6"/>
  <c r="R57" i="8"/>
  <c r="DY385" i="6"/>
  <c r="EF361" i="6"/>
  <c r="GN361" i="6" s="1"/>
  <c r="EC338" i="6"/>
  <c r="EF172" i="6"/>
  <c r="DX111" i="6"/>
  <c r="Q239" i="8"/>
  <c r="R106" i="8"/>
  <c r="V12" i="8"/>
  <c r="U12" i="8"/>
  <c r="W12" i="8" s="1"/>
  <c r="W294" i="8"/>
  <c r="Y294" i="8"/>
  <c r="Y128" i="8"/>
  <c r="W128" i="8"/>
  <c r="R96" i="8"/>
  <c r="U41" i="8"/>
  <c r="EF398" i="6"/>
  <c r="EA361" i="6"/>
  <c r="GI361" i="6" s="1"/>
  <c r="DX361" i="6"/>
  <c r="GI319" i="6"/>
  <c r="ED359" i="6"/>
  <c r="EG377" i="6"/>
  <c r="DX278" i="6"/>
  <c r="EH160" i="6"/>
  <c r="EG160" i="6"/>
  <c r="EC160" i="6"/>
  <c r="ED235" i="6"/>
  <c r="DY149" i="6"/>
  <c r="EA193" i="6"/>
  <c r="DX193" i="6"/>
  <c r="GN62" i="6"/>
  <c r="EE147" i="6"/>
  <c r="Q500" i="8"/>
  <c r="V500" i="8" s="1"/>
  <c r="AA500" i="8" s="1"/>
  <c r="R519" i="8"/>
  <c r="V485" i="8"/>
  <c r="AA485" i="8" s="1"/>
  <c r="T485" i="8"/>
  <c r="Q311" i="8"/>
  <c r="Q273" i="8"/>
  <c r="V273" i="8" s="1"/>
  <c r="AA273" i="8" s="1"/>
  <c r="Q230" i="8"/>
  <c r="V230" i="8" s="1"/>
  <c r="AA230" i="8" s="1"/>
  <c r="T230" i="8"/>
  <c r="Q536" i="8"/>
  <c r="R536" i="8" s="1"/>
  <c r="Q526" i="8"/>
  <c r="W368" i="8"/>
  <c r="Y368" i="8"/>
  <c r="T544" i="8"/>
  <c r="Y394" i="8"/>
  <c r="W394" i="8"/>
  <c r="T546" i="8"/>
  <c r="Q546" i="8"/>
  <c r="R202" i="8"/>
  <c r="Q551" i="8"/>
  <c r="V551" i="8" s="1"/>
  <c r="AA551" i="8" s="1"/>
  <c r="T520" i="8"/>
  <c r="Q520" i="8"/>
  <c r="Q525" i="8"/>
  <c r="Q433" i="8"/>
  <c r="V433" i="8" s="1"/>
  <c r="AA433" i="8" s="1"/>
  <c r="R507" i="8"/>
  <c r="Q490" i="8"/>
  <c r="T490" i="8" s="1"/>
  <c r="U484" i="8"/>
  <c r="Z484" i="8" s="1"/>
  <c r="U408" i="8"/>
  <c r="Z408" i="8" s="1"/>
  <c r="Q342" i="8"/>
  <c r="V342" i="8" s="1"/>
  <c r="AA342" i="8" s="1"/>
  <c r="Q427" i="8"/>
  <c r="U398" i="8"/>
  <c r="Z398" i="8" s="1"/>
  <c r="R314" i="8"/>
  <c r="Q408" i="8"/>
  <c r="V408" i="8" s="1"/>
  <c r="AA408" i="8" s="1"/>
  <c r="Q295" i="8"/>
  <c r="R347" i="8"/>
  <c r="R398" i="8"/>
  <c r="R176" i="8"/>
  <c r="R244" i="8"/>
  <c r="U245" i="8"/>
  <c r="Z245" i="8" s="1"/>
  <c r="R354" i="8"/>
  <c r="U55" i="8"/>
  <c r="Z55" i="8" s="1"/>
  <c r="R166" i="8"/>
  <c r="DY487" i="6"/>
  <c r="V142" i="8"/>
  <c r="AA142" i="8" s="1"/>
  <c r="T142" i="8"/>
  <c r="EC472" i="6"/>
  <c r="DY447" i="6"/>
  <c r="Q149" i="8"/>
  <c r="V149" i="8" s="1"/>
  <c r="AA149" i="8" s="1"/>
  <c r="T149" i="8"/>
  <c r="EB460" i="6"/>
  <c r="V87" i="8"/>
  <c r="AA87" i="8" s="1"/>
  <c r="T87" i="8"/>
  <c r="U87" i="8"/>
  <c r="Z87" i="8" s="1"/>
  <c r="DX468" i="6"/>
  <c r="DY468" i="6" s="1"/>
  <c r="EH438" i="6"/>
  <c r="EA438" i="6"/>
  <c r="EF438" i="6"/>
  <c r="T50" i="8"/>
  <c r="W50" i="8" s="1"/>
  <c r="EC415" i="6"/>
  <c r="EG425" i="6"/>
  <c r="EB395" i="6"/>
  <c r="DX432" i="6"/>
  <c r="EG432" i="6" s="1"/>
  <c r="DX385" i="6"/>
  <c r="DY341" i="6"/>
  <c r="EB381" i="6"/>
  <c r="EG349" i="6"/>
  <c r="DX342" i="6"/>
  <c r="EC342" i="6" s="1"/>
  <c r="EB338" i="6"/>
  <c r="DX335" i="6"/>
  <c r="EE290" i="6"/>
  <c r="DY346" i="6"/>
  <c r="DX279" i="6"/>
  <c r="EF279" i="6" s="1"/>
  <c r="EF275" i="6"/>
  <c r="GN275" i="6" s="1"/>
  <c r="EC287" i="6"/>
  <c r="DY191" i="6"/>
  <c r="DY237" i="6"/>
  <c r="ED191" i="6"/>
  <c r="EF145" i="6"/>
  <c r="EA225" i="6"/>
  <c r="DX168" i="6"/>
  <c r="ED168" i="6" s="1"/>
  <c r="EA171" i="6"/>
  <c r="DX123" i="6"/>
  <c r="EH50" i="6"/>
  <c r="EC50" i="6"/>
  <c r="EA50" i="6"/>
  <c r="EB50" i="6"/>
  <c r="EF92" i="6"/>
  <c r="EE207" i="6"/>
  <c r="EF67" i="6"/>
  <c r="DY161" i="6"/>
  <c r="EE87" i="6"/>
  <c r="EO87" i="6" s="1"/>
  <c r="EB148" i="6"/>
  <c r="EH61" i="6"/>
  <c r="EC61" i="6"/>
  <c r="EF61" i="6"/>
  <c r="EE61" i="6"/>
  <c r="EB61" i="6"/>
  <c r="DY61" i="6"/>
  <c r="DY15" i="6"/>
  <c r="DX119" i="6"/>
  <c r="EE119" i="6" s="1"/>
  <c r="DX48" i="6"/>
  <c r="DY76" i="6"/>
  <c r="B13" i="10"/>
  <c r="GK71" i="6"/>
  <c r="EM71" i="6"/>
  <c r="R374" i="8"/>
  <c r="EA465" i="6"/>
  <c r="EB220" i="6"/>
  <c r="DX163" i="6"/>
  <c r="EE177" i="6"/>
  <c r="DX105" i="6"/>
  <c r="EF105" i="6" s="1"/>
  <c r="EA105" i="6"/>
  <c r="EA87" i="6"/>
  <c r="DY105" i="6"/>
  <c r="Q543" i="8"/>
  <c r="T543" i="8"/>
  <c r="DX447" i="6"/>
  <c r="DY420" i="6"/>
  <c r="T402" i="8"/>
  <c r="Q402" i="8"/>
  <c r="T371" i="8"/>
  <c r="Q371" i="8"/>
  <c r="V371" i="8" s="1"/>
  <c r="AA371" i="8" s="1"/>
  <c r="U279" i="8"/>
  <c r="Z279" i="8" s="1"/>
  <c r="EC459" i="6"/>
  <c r="DX472" i="6"/>
  <c r="EB472" i="6" s="1"/>
  <c r="EE409" i="6"/>
  <c r="EF383" i="6"/>
  <c r="ED323" i="6"/>
  <c r="EB406" i="6"/>
  <c r="EG406" i="6"/>
  <c r="EF311" i="6"/>
  <c r="EC286" i="6"/>
  <c r="EA160" i="6"/>
  <c r="EB170" i="6"/>
  <c r="EF171" i="6"/>
  <c r="Q391" i="8"/>
  <c r="T391" i="8"/>
  <c r="T516" i="8"/>
  <c r="Q516" i="8"/>
  <c r="R432" i="8"/>
  <c r="Q466" i="8"/>
  <c r="V466" i="8" s="1"/>
  <c r="AA466" i="8" s="1"/>
  <c r="U507" i="8"/>
  <c r="Z507" i="8" s="1"/>
  <c r="U511" i="8"/>
  <c r="Z511" i="8" s="1"/>
  <c r="Q511" i="8"/>
  <c r="V363" i="8"/>
  <c r="AA363" i="8" s="1"/>
  <c r="R363" i="8"/>
  <c r="Q413" i="8"/>
  <c r="Q355" i="8"/>
  <c r="U355" i="8" s="1"/>
  <c r="Z355" i="8" s="1"/>
  <c r="R460" i="8"/>
  <c r="U393" i="8"/>
  <c r="Z393" i="8" s="1"/>
  <c r="W182" i="8"/>
  <c r="Y182" i="8"/>
  <c r="V257" i="8"/>
  <c r="AA257" i="8" s="1"/>
  <c r="U257" i="8"/>
  <c r="Z257" i="8" s="1"/>
  <c r="W99" i="8"/>
  <c r="Y99" i="8"/>
  <c r="V209" i="8"/>
  <c r="AA209" i="8" s="1"/>
  <c r="T209" i="8"/>
  <c r="U209" i="8"/>
  <c r="Z209" i="8" s="1"/>
  <c r="DX486" i="6"/>
  <c r="ED486" i="6" s="1"/>
  <c r="ED440" i="6"/>
  <c r="EF471" i="6"/>
  <c r="DX481" i="6"/>
  <c r="R64" i="8"/>
  <c r="EB467" i="6"/>
  <c r="DY438" i="6"/>
  <c r="EG433" i="6"/>
  <c r="R29" i="8"/>
  <c r="EG414" i="6"/>
  <c r="DX413" i="6"/>
  <c r="EB413" i="6" s="1"/>
  <c r="EA413" i="6"/>
  <c r="DX415" i="6"/>
  <c r="EE415" i="6" s="1"/>
  <c r="EE406" i="6"/>
  <c r="DY337" i="6"/>
  <c r="DX345" i="6"/>
  <c r="EC345" i="6" s="1"/>
  <c r="EE349" i="6"/>
  <c r="EC424" i="6"/>
  <c r="DX332" i="6"/>
  <c r="EB298" i="6"/>
  <c r="DX383" i="6"/>
  <c r="EG305" i="6"/>
  <c r="EG313" i="6"/>
  <c r="DX289" i="6"/>
  <c r="EE289" i="6" s="1"/>
  <c r="ED292" i="6"/>
  <c r="EC289" i="6"/>
  <c r="EH236" i="6"/>
  <c r="EG236" i="6"/>
  <c r="DY236" i="6"/>
  <c r="EE236" i="6"/>
  <c r="EC236" i="6"/>
  <c r="EE154" i="6"/>
  <c r="EG168" i="6"/>
  <c r="EF224" i="6"/>
  <c r="ED283" i="6"/>
  <c r="EC240" i="6"/>
  <c r="DY127" i="6"/>
  <c r="ED176" i="6"/>
  <c r="DX138" i="6"/>
  <c r="EE112" i="6"/>
  <c r="GO109" i="6"/>
  <c r="C8" i="10"/>
  <c r="EP89" i="6"/>
  <c r="GN89" i="6"/>
  <c r="GO60" i="6"/>
  <c r="DX13" i="6"/>
  <c r="EB108" i="6"/>
  <c r="GO78" i="6"/>
  <c r="GJ85" i="6"/>
  <c r="DY46" i="6"/>
  <c r="GJ63" i="6"/>
  <c r="R456" i="8"/>
  <c r="T374" i="8"/>
  <c r="Q374" i="8"/>
  <c r="V374" i="8" s="1"/>
  <c r="AA374" i="8" s="1"/>
  <c r="Y158" i="8"/>
  <c r="V464" i="8"/>
  <c r="AA464" i="8" s="1"/>
  <c r="T464" i="8"/>
  <c r="V495" i="8"/>
  <c r="AA495" i="8" s="1"/>
  <c r="T495" i="8"/>
  <c r="V100" i="8"/>
  <c r="AA100" i="8" s="1"/>
  <c r="R100" i="8"/>
  <c r="U100" i="8"/>
  <c r="Z100" i="8" s="1"/>
  <c r="EG479" i="6"/>
  <c r="V119" i="8"/>
  <c r="AA119" i="8" s="1"/>
  <c r="U119" i="8"/>
  <c r="Z119" i="8" s="1"/>
  <c r="R119" i="8"/>
  <c r="ED427" i="6"/>
  <c r="EF368" i="6"/>
  <c r="EE254" i="6"/>
  <c r="EH133" i="6"/>
  <c r="EC133" i="6"/>
  <c r="EA133" i="6"/>
  <c r="DY73" i="6"/>
  <c r="EH34" i="6"/>
  <c r="EC34" i="6"/>
  <c r="EE34" i="6"/>
  <c r="EG34" i="6"/>
  <c r="EB34" i="6"/>
  <c r="EF34" i="6"/>
  <c r="EA34" i="6"/>
  <c r="GI34" i="6" s="1"/>
  <c r="GN52" i="6"/>
  <c r="Y412" i="8"/>
  <c r="W412" i="8"/>
  <c r="T290" i="8"/>
  <c r="EC411" i="6"/>
  <c r="GL401" i="6"/>
  <c r="EC234" i="6"/>
  <c r="DX307" i="6"/>
  <c r="DX227" i="6"/>
  <c r="ED227" i="6" s="1"/>
  <c r="EG161" i="6"/>
  <c r="R332" i="8"/>
  <c r="R250" i="8"/>
  <c r="Q297" i="8"/>
  <c r="V297" i="8" s="1"/>
  <c r="AA297" i="8" s="1"/>
  <c r="T297" i="8"/>
  <c r="Q141" i="8"/>
  <c r="T141" i="8"/>
  <c r="EB360" i="6"/>
  <c r="DX177" i="6"/>
  <c r="EC177" i="6"/>
  <c r="GO264" i="6"/>
  <c r="EE240" i="6"/>
  <c r="DX258" i="6"/>
  <c r="EC258" i="6" s="1"/>
  <c r="EF124" i="6"/>
  <c r="GM109" i="6"/>
  <c r="EF132" i="6"/>
  <c r="EG99" i="6"/>
  <c r="EH99" i="6"/>
  <c r="EC99" i="6"/>
  <c r="EA99" i="6"/>
  <c r="Q403" i="8"/>
  <c r="Y506" i="8"/>
  <c r="Q291" i="8"/>
  <c r="U291" i="8" s="1"/>
  <c r="Z291" i="8" s="1"/>
  <c r="Q293" i="8"/>
  <c r="Q375" i="8"/>
  <c r="V375" i="8" s="1"/>
  <c r="AA375" i="8" s="1"/>
  <c r="U330" i="8"/>
  <c r="Z330" i="8" s="1"/>
  <c r="EA452" i="6"/>
  <c r="EH452" i="6"/>
  <c r="EE452" i="6"/>
  <c r="EG452" i="6"/>
  <c r="DY330" i="6"/>
  <c r="EE381" i="6"/>
  <c r="EE336" i="6"/>
  <c r="EE341" i="6"/>
  <c r="DY242" i="6"/>
  <c r="EH143" i="6"/>
  <c r="EA143" i="6"/>
  <c r="EH131" i="6"/>
  <c r="EA131" i="6"/>
  <c r="EG131" i="6"/>
  <c r="EB131" i="6"/>
  <c r="EF131" i="6"/>
  <c r="GN150" i="6"/>
  <c r="EH106" i="6"/>
  <c r="EG106" i="6"/>
  <c r="EA106" i="6"/>
  <c r="EB106" i="6"/>
  <c r="U531" i="8"/>
  <c r="Z531" i="8" s="1"/>
  <c r="Q452" i="8"/>
  <c r="V452" i="8" s="1"/>
  <c r="AA452" i="8" s="1"/>
  <c r="U274" i="8"/>
  <c r="Z274" i="8" s="1"/>
  <c r="R280" i="8"/>
  <c r="Z345" i="8"/>
  <c r="W345" i="8"/>
  <c r="U19" i="8"/>
  <c r="W19" i="8" s="1"/>
  <c r="Q414" i="8"/>
  <c r="R414" i="8" s="1"/>
  <c r="V71" i="8"/>
  <c r="AA71" i="8" s="1"/>
  <c r="R71" i="8"/>
  <c r="T71" i="8"/>
  <c r="R38" i="8"/>
  <c r="R131" i="8"/>
  <c r="DX462" i="6"/>
  <c r="ED424" i="6"/>
  <c r="DY329" i="6"/>
  <c r="EB290" i="6"/>
  <c r="EH298" i="6"/>
  <c r="EF298" i="6"/>
  <c r="EG298" i="6"/>
  <c r="DX240" i="6"/>
  <c r="DX209" i="6"/>
  <c r="ED209" i="6" s="1"/>
  <c r="GJ214" i="6"/>
  <c r="DX196" i="6"/>
  <c r="EG196" i="6" s="1"/>
  <c r="EC161" i="6"/>
  <c r="EF223" i="6"/>
  <c r="DX212" i="6"/>
  <c r="EC212" i="6" s="1"/>
  <c r="DX248" i="6"/>
  <c r="EC239" i="6"/>
  <c r="EG242" i="6"/>
  <c r="EA223" i="6"/>
  <c r="DX223" i="6"/>
  <c r="EE223" i="6" s="1"/>
  <c r="EF146" i="6"/>
  <c r="EC211" i="6"/>
  <c r="GP150" i="6"/>
  <c r="EF188" i="6"/>
  <c r="EB153" i="6"/>
  <c r="ED223" i="6"/>
  <c r="EE179" i="6"/>
  <c r="GO42" i="6"/>
  <c r="GN42" i="6"/>
  <c r="GL42" i="6"/>
  <c r="GP42" i="6"/>
  <c r="GK42" i="6"/>
  <c r="GJ42" i="6"/>
  <c r="ED172" i="6"/>
  <c r="GL56" i="6"/>
  <c r="D7" i="10"/>
  <c r="EM89" i="6"/>
  <c r="FS89" i="6"/>
  <c r="GK89" i="6"/>
  <c r="R535" i="8"/>
  <c r="Q385" i="8"/>
  <c r="V385" i="8" s="1"/>
  <c r="AA385" i="8" s="1"/>
  <c r="T385" i="8"/>
  <c r="Q266" i="8"/>
  <c r="R340" i="8"/>
  <c r="Q314" i="8"/>
  <c r="T314" i="8"/>
  <c r="U61" i="8"/>
  <c r="Z61" i="8" s="1"/>
  <c r="Q140" i="8"/>
  <c r="T140" i="8" s="1"/>
  <c r="EG455" i="6"/>
  <c r="DX428" i="6"/>
  <c r="EB428" i="6" s="1"/>
  <c r="DX435" i="6"/>
  <c r="EC435" i="6" s="1"/>
  <c r="DY291" i="6"/>
  <c r="DX314" i="6"/>
  <c r="EH314" i="6" s="1"/>
  <c r="EF143" i="6"/>
  <c r="U535" i="8"/>
  <c r="Z535" i="8" s="1"/>
  <c r="U219" i="8"/>
  <c r="Z219" i="8" s="1"/>
  <c r="Q204" i="8"/>
  <c r="V204" i="8" s="1"/>
  <c r="AA204" i="8" s="1"/>
  <c r="T204" i="8"/>
  <c r="Q107" i="8"/>
  <c r="T107" i="8"/>
  <c r="W170" i="8"/>
  <c r="Y170" i="8"/>
  <c r="Q252" i="8"/>
  <c r="EH398" i="6"/>
  <c r="EA398" i="6"/>
  <c r="EG398" i="6"/>
  <c r="EB398" i="6"/>
  <c r="EA409" i="6"/>
  <c r="DX409" i="6"/>
  <c r="EA377" i="6"/>
  <c r="EC359" i="6"/>
  <c r="EH355" i="6"/>
  <c r="EG355" i="6"/>
  <c r="GJ236" i="6"/>
  <c r="EE161" i="6"/>
  <c r="GO38" i="6"/>
  <c r="GI38" i="6"/>
  <c r="GL38" i="6"/>
  <c r="GJ38" i="6"/>
  <c r="DY92" i="6"/>
  <c r="DX176" i="6"/>
  <c r="EI67" i="6"/>
  <c r="GI67" i="6"/>
  <c r="DY99" i="6"/>
  <c r="R495" i="8"/>
  <c r="U549" i="8"/>
  <c r="Z549" i="8" s="1"/>
  <c r="Q510" i="8"/>
  <c r="T510" i="8" s="1"/>
  <c r="Q518" i="8"/>
  <c r="T518" i="8" s="1"/>
  <c r="T539" i="8"/>
  <c r="U390" i="8"/>
  <c r="Z390" i="8" s="1"/>
  <c r="R371" i="8"/>
  <c r="V326" i="8"/>
  <c r="AA326" i="8" s="1"/>
  <c r="U326" i="8"/>
  <c r="Z326" i="8" s="1"/>
  <c r="R273" i="8"/>
  <c r="U158" i="8"/>
  <c r="Z158" i="8" s="1"/>
  <c r="U350" i="8"/>
  <c r="Z350" i="8" s="1"/>
  <c r="Q351" i="8"/>
  <c r="R303" i="8"/>
  <c r="T271" i="8"/>
  <c r="Q285" i="8"/>
  <c r="V285" i="8" s="1"/>
  <c r="AA285" i="8" s="1"/>
  <c r="R149" i="8"/>
  <c r="DY461" i="6"/>
  <c r="EF459" i="6"/>
  <c r="EF469" i="6"/>
  <c r="GP460" i="6"/>
  <c r="GL460" i="6"/>
  <c r="GJ460" i="6"/>
  <c r="GI460" i="6"/>
  <c r="Q530" i="8"/>
  <c r="T530" i="8"/>
  <c r="Q541" i="8"/>
  <c r="V512" i="8"/>
  <c r="AA512" i="8" s="1"/>
  <c r="T512" i="8"/>
  <c r="U513" i="8"/>
  <c r="Z513" i="8" s="1"/>
  <c r="U456" i="8"/>
  <c r="Z456" i="8" s="1"/>
  <c r="V492" i="8"/>
  <c r="AA492" i="8" s="1"/>
  <c r="U492" i="8"/>
  <c r="Z492" i="8" s="1"/>
  <c r="T492" i="8"/>
  <c r="U482" i="8"/>
  <c r="Z482" i="8" s="1"/>
  <c r="R488" i="8"/>
  <c r="Q381" i="8"/>
  <c r="V381" i="8" s="1"/>
  <c r="AA381" i="8" s="1"/>
  <c r="R424" i="8"/>
  <c r="U445" i="8"/>
  <c r="Z445" i="8" s="1"/>
  <c r="Q359" i="8"/>
  <c r="V359" i="8" s="1"/>
  <c r="AA359" i="8" s="1"/>
  <c r="R362" i="8"/>
  <c r="T405" i="8"/>
  <c r="T454" i="8"/>
  <c r="Q454" i="8"/>
  <c r="Q369" i="8"/>
  <c r="R326" i="8"/>
  <c r="V387" i="8"/>
  <c r="AA387" i="8" s="1"/>
  <c r="T387" i="8"/>
  <c r="U387" i="8"/>
  <c r="Z387" i="8" s="1"/>
  <c r="U371" i="8"/>
  <c r="Z371" i="8" s="1"/>
  <c r="U306" i="8"/>
  <c r="Z306" i="8" s="1"/>
  <c r="T326" i="8"/>
  <c r="R125" i="8"/>
  <c r="Q304" i="8"/>
  <c r="V304" i="8" s="1"/>
  <c r="AA304" i="8" s="1"/>
  <c r="R165" i="8"/>
  <c r="V198" i="8"/>
  <c r="AA198" i="8" s="1"/>
  <c r="T198" i="8"/>
  <c r="U198" i="8"/>
  <c r="Z198" i="8" s="1"/>
  <c r="Q229" i="8"/>
  <c r="T229" i="8" s="1"/>
  <c r="R350" i="8"/>
  <c r="U303" i="8"/>
  <c r="Z303" i="8" s="1"/>
  <c r="T257" i="8"/>
  <c r="U240" i="8"/>
  <c r="Z240" i="8" s="1"/>
  <c r="V269" i="8"/>
  <c r="AA269" i="8" s="1"/>
  <c r="T269" i="8"/>
  <c r="T145" i="8"/>
  <c r="EC482" i="6"/>
  <c r="Q238" i="8"/>
  <c r="DX492" i="6"/>
  <c r="EE492" i="6" s="1"/>
  <c r="T78" i="8"/>
  <c r="Q78" i="8"/>
  <c r="DX461" i="6"/>
  <c r="EA461" i="6" s="1"/>
  <c r="T56" i="8"/>
  <c r="V56" i="8"/>
  <c r="AA56" i="8" s="1"/>
  <c r="DY481" i="6"/>
  <c r="U317" i="8"/>
  <c r="Z317" i="8" s="1"/>
  <c r="T10" i="8"/>
  <c r="Q10" i="8"/>
  <c r="DX442" i="6"/>
  <c r="EA478" i="6"/>
  <c r="DX478" i="6"/>
  <c r="ED478" i="6" s="1"/>
  <c r="DX430" i="6"/>
  <c r="EH430" i="6" s="1"/>
  <c r="EE428" i="6"/>
  <c r="EC438" i="6"/>
  <c r="EE424" i="6"/>
  <c r="U512" i="8"/>
  <c r="Z512" i="8" s="1"/>
  <c r="EF377" i="6"/>
  <c r="DY336" i="6"/>
  <c r="DY340" i="6"/>
  <c r="DY342" i="6"/>
  <c r="ED340" i="6"/>
  <c r="GL340" i="6" s="1"/>
  <c r="DX321" i="6"/>
  <c r="ED321" i="6" s="1"/>
  <c r="ED330" i="6"/>
  <c r="DX291" i="6"/>
  <c r="EC291" i="6" s="1"/>
  <c r="DX301" i="6"/>
  <c r="EE274" i="6"/>
  <c r="EC250" i="6"/>
  <c r="DX270" i="6"/>
  <c r="EC270" i="6" s="1"/>
  <c r="ED224" i="6"/>
  <c r="DX256" i="6"/>
  <c r="EC256" i="6" s="1"/>
  <c r="DX228" i="6"/>
  <c r="EG228" i="6" s="1"/>
  <c r="DY179" i="6"/>
  <c r="EA236" i="6"/>
  <c r="EG303" i="6"/>
  <c r="GO237" i="6"/>
  <c r="EG141" i="6"/>
  <c r="EH141" i="6"/>
  <c r="EE141" i="6"/>
  <c r="EA141" i="6"/>
  <c r="EE167" i="6"/>
  <c r="EE144" i="6"/>
  <c r="DX169" i="6"/>
  <c r="EB169" i="6" s="1"/>
  <c r="DX250" i="6"/>
  <c r="EF134" i="6"/>
  <c r="EE160" i="6"/>
  <c r="DX126" i="6"/>
  <c r="EF126" i="6" s="1"/>
  <c r="EE239" i="6"/>
  <c r="EF163" i="6"/>
  <c r="EC94" i="6"/>
  <c r="EC144" i="6"/>
  <c r="EH62" i="6"/>
  <c r="EC62" i="6"/>
  <c r="EA62" i="6"/>
  <c r="EE62" i="6"/>
  <c r="EB62" i="6"/>
  <c r="DY106" i="6"/>
  <c r="DY12" i="6"/>
  <c r="GI98" i="6"/>
  <c r="DX41" i="6"/>
  <c r="R181" i="8"/>
  <c r="R197" i="8"/>
  <c r="R241" i="8"/>
  <c r="R251" i="8"/>
  <c r="V169" i="8"/>
  <c r="AA169" i="8" s="1"/>
  <c r="T169" i="8"/>
  <c r="R169" i="8"/>
  <c r="R237" i="8"/>
  <c r="W5" i="8"/>
  <c r="Q168" i="8"/>
  <c r="Q305" i="8"/>
  <c r="V305" i="8" s="1"/>
  <c r="AA305" i="8" s="1"/>
  <c r="R44" i="8"/>
  <c r="V95" i="8"/>
  <c r="AA95" i="8" s="1"/>
  <c r="U95" i="8"/>
  <c r="Z95" i="8" s="1"/>
  <c r="Q276" i="8"/>
  <c r="T276" i="8"/>
  <c r="EF460" i="6"/>
  <c r="EB491" i="6"/>
  <c r="EE494" i="6"/>
  <c r="T282" i="8"/>
  <c r="EF442" i="6"/>
  <c r="EC451" i="6"/>
  <c r="DY433" i="6"/>
  <c r="EB482" i="6"/>
  <c r="DX495" i="6"/>
  <c r="DY495" i="6" s="1"/>
  <c r="EA495" i="6"/>
  <c r="ED446" i="6"/>
  <c r="EF430" i="6"/>
  <c r="EB434" i="6"/>
  <c r="EC416" i="6"/>
  <c r="EF397" i="6"/>
  <c r="EF417" i="6"/>
  <c r="EG400" i="6"/>
  <c r="DY423" i="6"/>
  <c r="DY381" i="6"/>
  <c r="EC402" i="6"/>
  <c r="DY374" i="6"/>
  <c r="EF370" i="6"/>
  <c r="ED357" i="6"/>
  <c r="DY334" i="6"/>
  <c r="EC332" i="6"/>
  <c r="EB331" i="6"/>
  <c r="EF338" i="6"/>
  <c r="ED333" i="6"/>
  <c r="EB330" i="6"/>
  <c r="DY292" i="6"/>
  <c r="EE316" i="6"/>
  <c r="ED303" i="6"/>
  <c r="EC319" i="6"/>
  <c r="EC274" i="6"/>
  <c r="EC300" i="6"/>
  <c r="DX346" i="6"/>
  <c r="EA346" i="6"/>
  <c r="EC231" i="6"/>
  <c r="ED306" i="6"/>
  <c r="EE245" i="6"/>
  <c r="GM245" i="6" s="1"/>
  <c r="EF315" i="6"/>
  <c r="EC224" i="6"/>
  <c r="EC247" i="6"/>
  <c r="DX218" i="6"/>
  <c r="EC218" i="6" s="1"/>
  <c r="EB218" i="6"/>
  <c r="ED218" i="6"/>
  <c r="EE150" i="6"/>
  <c r="EC146" i="6"/>
  <c r="EE193" i="6"/>
  <c r="EC267" i="6"/>
  <c r="EE250" i="6"/>
  <c r="DX206" i="6"/>
  <c r="EG206" i="6" s="1"/>
  <c r="EC219" i="6"/>
  <c r="EG204" i="6"/>
  <c r="DY147" i="6"/>
  <c r="DX203" i="6"/>
  <c r="EC225" i="6"/>
  <c r="DX164" i="6"/>
  <c r="EH164" i="6" s="1"/>
  <c r="EF141" i="6"/>
  <c r="EG173" i="6"/>
  <c r="ED239" i="6"/>
  <c r="EH98" i="6"/>
  <c r="EE98" i="6"/>
  <c r="DX56" i="6"/>
  <c r="EE56" i="6" s="1"/>
  <c r="EA56" i="6"/>
  <c r="DX95" i="6"/>
  <c r="EE95" i="6" s="1"/>
  <c r="EA95" i="6"/>
  <c r="DX178" i="6"/>
  <c r="EA178" i="6"/>
  <c r="GL119" i="6"/>
  <c r="GO44" i="6"/>
  <c r="GN44" i="6"/>
  <c r="GL44" i="6"/>
  <c r="GK44" i="6"/>
  <c r="GP44" i="6"/>
  <c r="GM44" i="6"/>
  <c r="GJ44" i="6"/>
  <c r="GI44" i="6"/>
  <c r="EE71" i="6"/>
  <c r="DY51" i="6"/>
  <c r="EE148" i="6"/>
  <c r="EE79" i="6"/>
  <c r="DX107" i="6"/>
  <c r="EF107" i="6" s="1"/>
  <c r="DY72" i="6"/>
  <c r="EF60" i="6"/>
  <c r="EH60" i="6"/>
  <c r="EC60" i="6"/>
  <c r="R199" i="8"/>
  <c r="U206" i="8"/>
  <c r="Z206" i="8" s="1"/>
  <c r="Q200" i="8"/>
  <c r="T200" i="8" s="1"/>
  <c r="R164" i="8"/>
  <c r="R50" i="8"/>
  <c r="Y137" i="8"/>
  <c r="W137" i="8"/>
  <c r="V116" i="8"/>
  <c r="AA116" i="8" s="1"/>
  <c r="T116" i="8"/>
  <c r="V146" i="8"/>
  <c r="AA146" i="8" s="1"/>
  <c r="U146" i="8"/>
  <c r="Z146" i="8" s="1"/>
  <c r="T329" i="8"/>
  <c r="Q329" i="8"/>
  <c r="V329" i="8" s="1"/>
  <c r="AA329" i="8" s="1"/>
  <c r="W11" i="8"/>
  <c r="EF478" i="6"/>
  <c r="EC478" i="6"/>
  <c r="EC455" i="6"/>
  <c r="R285" i="8"/>
  <c r="R136" i="8"/>
  <c r="EC473" i="6"/>
  <c r="DX458" i="6"/>
  <c r="DY458" i="6" s="1"/>
  <c r="EA458" i="6"/>
  <c r="EC474" i="6"/>
  <c r="DY467" i="6"/>
  <c r="DY446" i="6"/>
  <c r="EF413" i="6"/>
  <c r="T14" i="8"/>
  <c r="Q14" i="8"/>
  <c r="EG401" i="6"/>
  <c r="EE403" i="6"/>
  <c r="ED385" i="6"/>
  <c r="DY403" i="6"/>
  <c r="EC442" i="6"/>
  <c r="EF379" i="6"/>
  <c r="ED368" i="6"/>
  <c r="EC400" i="6"/>
  <c r="DY406" i="6"/>
  <c r="DX387" i="6"/>
  <c r="EE387" i="6" s="1"/>
  <c r="DY328" i="6"/>
  <c r="EG352" i="6"/>
  <c r="ED336" i="6"/>
  <c r="DX339" i="6"/>
  <c r="DY339" i="6" s="1"/>
  <c r="EA339" i="6"/>
  <c r="EC352" i="6"/>
  <c r="EE360" i="6"/>
  <c r="EE397" i="6"/>
  <c r="EB311" i="6"/>
  <c r="EE298" i="6"/>
  <c r="EB295" i="6"/>
  <c r="EF300" i="6"/>
  <c r="EG286" i="6"/>
  <c r="EF308" i="6"/>
  <c r="DX287" i="6"/>
  <c r="EA287" i="6"/>
  <c r="EE330" i="6"/>
  <c r="DX288" i="6"/>
  <c r="EE288" i="6" s="1"/>
  <c r="EA288" i="6"/>
  <c r="EC298" i="6"/>
  <c r="ED296" i="6"/>
  <c r="EG273" i="6"/>
  <c r="EF273" i="6"/>
  <c r="ED189" i="6"/>
  <c r="EG280" i="6"/>
  <c r="DX299" i="6"/>
  <c r="ED299" i="6" s="1"/>
  <c r="EF226" i="6"/>
  <c r="ED220" i="6"/>
  <c r="ED200" i="6"/>
  <c r="EA191" i="6"/>
  <c r="DX191" i="6"/>
  <c r="EH191" i="6" s="1"/>
  <c r="EE276" i="6"/>
  <c r="EB223" i="6"/>
  <c r="EC220" i="6"/>
  <c r="ED255" i="6"/>
  <c r="EC439" i="6"/>
  <c r="EB194" i="6"/>
  <c r="EF160" i="6"/>
  <c r="EF240" i="6"/>
  <c r="EC162" i="6"/>
  <c r="DY217" i="6"/>
  <c r="ED153" i="6"/>
  <c r="EF210" i="6"/>
  <c r="DY177" i="6"/>
  <c r="EF254" i="6"/>
  <c r="EG144" i="6"/>
  <c r="ED210" i="6"/>
  <c r="GL129" i="6"/>
  <c r="DX207" i="6"/>
  <c r="EC207" i="6" s="1"/>
  <c r="DY115" i="6"/>
  <c r="EF111" i="6"/>
  <c r="GN111" i="6" s="1"/>
  <c r="EG87" i="6"/>
  <c r="EQ87" i="6" s="1"/>
  <c r="EF270" i="6"/>
  <c r="GN270" i="6" s="1"/>
  <c r="GO32" i="6"/>
  <c r="GN32" i="6"/>
  <c r="GL32" i="6"/>
  <c r="GJ32" i="6"/>
  <c r="GK32" i="6"/>
  <c r="GM32" i="6"/>
  <c r="B10" i="10"/>
  <c r="EM68" i="6"/>
  <c r="EC57" i="6"/>
  <c r="EM57" i="6" s="1"/>
  <c r="EH57" i="6"/>
  <c r="ER57" i="6" s="1"/>
  <c r="DY204" i="6"/>
  <c r="EF119" i="6"/>
  <c r="GK68" i="6"/>
  <c r="EF99" i="6"/>
  <c r="DY29" i="6"/>
  <c r="EF106" i="6"/>
  <c r="EE82" i="6"/>
  <c r="EI82" i="6" s="1"/>
  <c r="DY119" i="6"/>
  <c r="EG76" i="6"/>
  <c r="Y494" i="8"/>
  <c r="Q364" i="8"/>
  <c r="T364" i="8"/>
  <c r="Q404" i="8"/>
  <c r="Y270" i="8"/>
  <c r="AK270" i="8"/>
  <c r="W270" i="8"/>
  <c r="U195" i="8"/>
  <c r="Z195" i="8" s="1"/>
  <c r="R380" i="8"/>
  <c r="Q211" i="8"/>
  <c r="T211" i="8"/>
  <c r="Q287" i="8"/>
  <c r="T287" i="8" s="1"/>
  <c r="U197" i="8"/>
  <c r="Z197" i="8" s="1"/>
  <c r="R227" i="8"/>
  <c r="T163" i="8"/>
  <c r="Q163" i="8"/>
  <c r="V163" i="8" s="1"/>
  <c r="AA163" i="8" s="1"/>
  <c r="T165" i="8"/>
  <c r="Q165" i="8"/>
  <c r="V165" i="8" s="1"/>
  <c r="AA165" i="8" s="1"/>
  <c r="U153" i="8"/>
  <c r="Z153" i="8" s="1"/>
  <c r="Q164" i="8"/>
  <c r="T164" i="8"/>
  <c r="V86" i="8"/>
  <c r="AA86" i="8" s="1"/>
  <c r="T86" i="8"/>
  <c r="GL495" i="6"/>
  <c r="GI495" i="6"/>
  <c r="GJ495" i="6"/>
  <c r="W37" i="8"/>
  <c r="W186" i="8"/>
  <c r="Y186" i="8"/>
  <c r="DY473" i="6"/>
  <c r="EC486" i="6"/>
  <c r="V189" i="8"/>
  <c r="AA189" i="8" s="1"/>
  <c r="U189" i="8"/>
  <c r="Z189" i="8" s="1"/>
  <c r="ED495" i="6"/>
  <c r="EE482" i="6"/>
  <c r="EE476" i="6"/>
  <c r="Y75" i="8"/>
  <c r="W75" i="8"/>
  <c r="EB454" i="6"/>
  <c r="Q136" i="8"/>
  <c r="EC470" i="6"/>
  <c r="W35" i="8"/>
  <c r="DX463" i="6"/>
  <c r="EC463" i="6" s="1"/>
  <c r="ED435" i="6"/>
  <c r="EC417" i="6"/>
  <c r="DX392" i="6"/>
  <c r="EC392" i="6" s="1"/>
  <c r="DX411" i="6"/>
  <c r="DY411" i="6" s="1"/>
  <c r="EE395" i="6"/>
  <c r="DX397" i="6"/>
  <c r="EA397" i="6" s="1"/>
  <c r="DX402" i="6"/>
  <c r="EF402" i="6" s="1"/>
  <c r="EA402" i="6"/>
  <c r="EF429" i="6"/>
  <c r="EF366" i="6"/>
  <c r="EF394" i="6"/>
  <c r="DX350" i="6"/>
  <c r="EA350" i="6"/>
  <c r="EE324" i="6"/>
  <c r="EE335" i="6"/>
  <c r="EF355" i="6"/>
  <c r="EG325" i="6"/>
  <c r="DX331" i="6"/>
  <c r="EC331" i="6" s="1"/>
  <c r="DX356" i="6"/>
  <c r="EC356" i="6" s="1"/>
  <c r="DX327" i="6"/>
  <c r="EB327" i="6" s="1"/>
  <c r="EC305" i="6"/>
  <c r="EE297" i="6"/>
  <c r="EG291" i="6"/>
  <c r="EC303" i="6"/>
  <c r="EG306" i="6"/>
  <c r="EE337" i="6"/>
  <c r="EB294" i="6"/>
  <c r="EE318" i="6"/>
  <c r="DX231" i="6"/>
  <c r="EE231" i="6" s="1"/>
  <c r="DX229" i="6"/>
  <c r="EA229" i="6" s="1"/>
  <c r="EB284" i="6"/>
  <c r="EC316" i="6"/>
  <c r="ED231" i="6"/>
  <c r="EE267" i="6"/>
  <c r="EE260" i="6"/>
  <c r="EC222" i="6"/>
  <c r="EC230" i="6"/>
  <c r="EE209" i="6"/>
  <c r="EE278" i="6"/>
  <c r="EC214" i="6"/>
  <c r="EB245" i="6"/>
  <c r="GJ245" i="6" s="1"/>
  <c r="EC205" i="6"/>
  <c r="EC188" i="6"/>
  <c r="EB155" i="6"/>
  <c r="EE219" i="6"/>
  <c r="EB161" i="6"/>
  <c r="EG152" i="6"/>
  <c r="DY142" i="6"/>
  <c r="EC209" i="6"/>
  <c r="EF153" i="6"/>
  <c r="EE152" i="6"/>
  <c r="EG170" i="6"/>
  <c r="EE175" i="6"/>
  <c r="DY145" i="6"/>
  <c r="DY139" i="6"/>
  <c r="EG84" i="6"/>
  <c r="EE106" i="6"/>
  <c r="EI71" i="6"/>
  <c r="EK71" i="6"/>
  <c r="GO30" i="6"/>
  <c r="GL30" i="6"/>
  <c r="GJ30" i="6"/>
  <c r="EC143" i="6"/>
  <c r="EH26" i="6"/>
  <c r="ER26" i="6" s="1"/>
  <c r="EF26" i="6"/>
  <c r="EP26" i="6" s="1"/>
  <c r="EE26" i="6"/>
  <c r="EO26" i="6" s="1"/>
  <c r="EC26" i="6"/>
  <c r="EM26" i="6" s="1"/>
  <c r="DX77" i="6"/>
  <c r="EF77" i="6" s="1"/>
  <c r="EH38" i="6"/>
  <c r="EE38" i="6"/>
  <c r="EC38" i="6"/>
  <c r="DX27" i="6"/>
  <c r="DY27" i="6" s="1"/>
  <c r="EH52" i="6"/>
  <c r="EC52" i="6"/>
  <c r="EA52" i="6"/>
  <c r="EI68" i="6"/>
  <c r="EF103" i="6"/>
  <c r="EA122" i="6"/>
  <c r="DX122" i="6"/>
  <c r="EF57" i="6"/>
  <c r="EP57" i="6" s="1"/>
  <c r="EG75" i="6"/>
  <c r="EC109" i="6"/>
  <c r="EH89" i="6"/>
  <c r="EA89" i="6"/>
  <c r="EG89" i="6"/>
  <c r="Q112" i="8"/>
  <c r="R112" i="8" s="1"/>
  <c r="T442" i="8"/>
  <c r="Q442" i="8"/>
  <c r="V442" i="8" s="1"/>
  <c r="AA442" i="8" s="1"/>
  <c r="T196" i="8"/>
  <c r="Q196" i="8"/>
  <c r="U196" i="8" s="1"/>
  <c r="Z196" i="8" s="1"/>
  <c r="Q244" i="8"/>
  <c r="V244" i="8" s="1"/>
  <c r="AA244" i="8" s="1"/>
  <c r="Y138" i="8"/>
  <c r="Q354" i="8"/>
  <c r="V354" i="8" s="1"/>
  <c r="AA354" i="8" s="1"/>
  <c r="W183" i="8"/>
  <c r="Y183" i="8"/>
  <c r="Q259" i="8"/>
  <c r="V259" i="8" s="1"/>
  <c r="AA259" i="8" s="1"/>
  <c r="DX484" i="6"/>
  <c r="U130" i="8"/>
  <c r="Z130" i="8" s="1"/>
  <c r="Y389" i="8"/>
  <c r="W389" i="8"/>
  <c r="EC495" i="6"/>
  <c r="GK495" i="6" s="1"/>
  <c r="R168" i="8"/>
  <c r="Y189" i="8"/>
  <c r="W189" i="8"/>
  <c r="DX469" i="6"/>
  <c r="EC493" i="6"/>
  <c r="Y318" i="8"/>
  <c r="W318" i="8"/>
  <c r="Y327" i="8"/>
  <c r="W327" i="8"/>
  <c r="W7" i="8"/>
  <c r="U301" i="8"/>
  <c r="Z301" i="8" s="1"/>
  <c r="T226" i="8"/>
  <c r="Q226" i="8"/>
  <c r="EF451" i="6"/>
  <c r="DX443" i="6"/>
  <c r="EA443" i="6" s="1"/>
  <c r="EE471" i="6"/>
  <c r="EE472" i="6"/>
  <c r="GM472" i="6" s="1"/>
  <c r="EE457" i="6"/>
  <c r="DY439" i="6"/>
  <c r="DX434" i="6"/>
  <c r="ED434" i="6" s="1"/>
  <c r="EC414" i="6"/>
  <c r="DY397" i="6"/>
  <c r="Q24" i="8"/>
  <c r="R24" i="8" s="1"/>
  <c r="ED406" i="6"/>
  <c r="EB388" i="6"/>
  <c r="DY428" i="6"/>
  <c r="EC427" i="6"/>
  <c r="DY359" i="6"/>
  <c r="EE368" i="6"/>
  <c r="DY384" i="6"/>
  <c r="DY326" i="6"/>
  <c r="EG328" i="6"/>
  <c r="EE325" i="6"/>
  <c r="EG482" i="6"/>
  <c r="DY356" i="6"/>
  <c r="DY306" i="6"/>
  <c r="ED342" i="6"/>
  <c r="EE319" i="6"/>
  <c r="ED367" i="6"/>
  <c r="EC292" i="6"/>
  <c r="ED300" i="6"/>
  <c r="EC333" i="6"/>
  <c r="EC334" i="6"/>
  <c r="EG304" i="6"/>
  <c r="DX230" i="6"/>
  <c r="ED230" i="6" s="1"/>
  <c r="DX224" i="6"/>
  <c r="EE224" i="6" s="1"/>
  <c r="EC284" i="6"/>
  <c r="EB306" i="6"/>
  <c r="DX286" i="6"/>
  <c r="EA286" i="6"/>
  <c r="DY285" i="6"/>
  <c r="EC337" i="6"/>
  <c r="EE229" i="6"/>
  <c r="EE265" i="6"/>
  <c r="EE266" i="6"/>
  <c r="DX213" i="6"/>
  <c r="EA213" i="6"/>
  <c r="DX234" i="6"/>
  <c r="DY234" i="6" s="1"/>
  <c r="EB234" i="6"/>
  <c r="EB191" i="6"/>
  <c r="EF199" i="6"/>
  <c r="EB213" i="6"/>
  <c r="EF276" i="6"/>
  <c r="EC191" i="6"/>
  <c r="EF272" i="6"/>
  <c r="ED198" i="6"/>
  <c r="DY255" i="6"/>
  <c r="EC184" i="6"/>
  <c r="DX259" i="6"/>
  <c r="EF259" i="6" s="1"/>
  <c r="EE287" i="6"/>
  <c r="DY150" i="6"/>
  <c r="EF136" i="6"/>
  <c r="DX92" i="6"/>
  <c r="EA92" i="6"/>
  <c r="DX184" i="6"/>
  <c r="DX113" i="6"/>
  <c r="EB113" i="6" s="1"/>
  <c r="EC164" i="6"/>
  <c r="GN87" i="6"/>
  <c r="GL87" i="6"/>
  <c r="GK87" i="6"/>
  <c r="GJ87" i="6"/>
  <c r="GI87" i="6"/>
  <c r="GM87" i="6"/>
  <c r="EB145" i="6"/>
  <c r="DY66" i="6"/>
  <c r="DX139" i="6"/>
  <c r="EE139" i="6" s="1"/>
  <c r="GL28" i="6"/>
  <c r="GJ28" i="6"/>
  <c r="GM28" i="6"/>
  <c r="GI28" i="6"/>
  <c r="DX129" i="6"/>
  <c r="DY129" i="6" s="1"/>
  <c r="GO54" i="6"/>
  <c r="DX117" i="6"/>
  <c r="DY117" i="6" s="1"/>
  <c r="EC65" i="6"/>
  <c r="EH65" i="6"/>
  <c r="EA65" i="6"/>
  <c r="EA26" i="6"/>
  <c r="EG79" i="6"/>
  <c r="EH42" i="6"/>
  <c r="EE42" i="6"/>
  <c r="EC42" i="6"/>
  <c r="EE50" i="6"/>
  <c r="DX43" i="6"/>
  <c r="EA43" i="6" s="1"/>
  <c r="DY122" i="6"/>
  <c r="EC124" i="6"/>
  <c r="DX84" i="6"/>
  <c r="EF84" i="6" s="1"/>
  <c r="DY75" i="6"/>
  <c r="EB89" i="6"/>
  <c r="DY50" i="6"/>
  <c r="V346" i="8"/>
  <c r="AA346" i="8" s="1"/>
  <c r="T346" i="8"/>
  <c r="Q508" i="8"/>
  <c r="V508" i="8" s="1"/>
  <c r="AA508" i="8" s="1"/>
  <c r="T508" i="8"/>
  <c r="U340" i="8"/>
  <c r="Z340" i="8" s="1"/>
  <c r="Y256" i="8"/>
  <c r="W256" i="8"/>
  <c r="AK256" i="8"/>
  <c r="U402" i="8"/>
  <c r="Z402" i="8" s="1"/>
  <c r="Q250" i="8"/>
  <c r="V250" i="8" s="1"/>
  <c r="AA250" i="8" s="1"/>
  <c r="T281" i="8"/>
  <c r="Q242" i="8"/>
  <c r="V242" i="8" s="1"/>
  <c r="AA242" i="8" s="1"/>
  <c r="R188" i="8"/>
  <c r="V138" i="8"/>
  <c r="AA138" i="8" s="1"/>
  <c r="R138" i="8"/>
  <c r="R153" i="8"/>
  <c r="Q98" i="8"/>
  <c r="R98" i="8" s="1"/>
  <c r="T98" i="8"/>
  <c r="T117" i="8"/>
  <c r="Y160" i="8"/>
  <c r="W160" i="8"/>
  <c r="Q176" i="8"/>
  <c r="V176" i="8" s="1"/>
  <c r="AA176" i="8" s="1"/>
  <c r="R389" i="8"/>
  <c r="V389" i="8"/>
  <c r="AA389" i="8" s="1"/>
  <c r="V101" i="8"/>
  <c r="AA101" i="8" s="1"/>
  <c r="T101" i="8"/>
  <c r="U101" i="8"/>
  <c r="Z101" i="8" s="1"/>
  <c r="Q317" i="8"/>
  <c r="Q162" i="8"/>
  <c r="T22" i="8"/>
  <c r="W22" i="8" s="1"/>
  <c r="DY469" i="6"/>
  <c r="R252" i="8"/>
  <c r="EE486" i="6"/>
  <c r="R301" i="8"/>
  <c r="T28" i="8"/>
  <c r="W28" i="8" s="1"/>
  <c r="R52" i="8"/>
  <c r="EE490" i="6"/>
  <c r="DX448" i="6"/>
  <c r="EB448" i="6"/>
  <c r="EF437" i="6"/>
  <c r="EE451" i="6"/>
  <c r="DY460" i="6"/>
  <c r="DX436" i="6"/>
  <c r="EE469" i="6"/>
  <c r="EG434" i="6"/>
  <c r="U138" i="8"/>
  <c r="Z138" i="8" s="1"/>
  <c r="EC413" i="6"/>
  <c r="EE391" i="6"/>
  <c r="EC394" i="6"/>
  <c r="R18" i="8"/>
  <c r="EB424" i="6"/>
  <c r="DX424" i="6"/>
  <c r="EE374" i="6"/>
  <c r="DX384" i="6"/>
  <c r="EC384" i="6" s="1"/>
  <c r="EC367" i="6"/>
  <c r="DY325" i="6"/>
  <c r="EF364" i="6"/>
  <c r="DX399" i="6"/>
  <c r="EA399" i="6"/>
  <c r="ED376" i="6"/>
  <c r="EG323" i="6"/>
  <c r="EB354" i="6"/>
  <c r="EC322" i="6"/>
  <c r="EE321" i="6"/>
  <c r="EF330" i="6"/>
  <c r="GL355" i="6"/>
  <c r="GI355" i="6"/>
  <c r="GK355" i="6"/>
  <c r="DY305" i="6"/>
  <c r="ED291" i="6"/>
  <c r="EE295" i="6"/>
  <c r="EC304" i="6"/>
  <c r="EF301" i="6"/>
  <c r="EE361" i="6"/>
  <c r="GM361" i="6" s="1"/>
  <c r="DY368" i="6"/>
  <c r="DX310" i="6"/>
  <c r="EF310" i="6" s="1"/>
  <c r="EE301" i="6"/>
  <c r="EE241" i="6"/>
  <c r="EC198" i="6"/>
  <c r="EC226" i="6"/>
  <c r="EB205" i="6"/>
  <c r="DX205" i="6"/>
  <c r="EB211" i="6"/>
  <c r="DX189" i="6"/>
  <c r="EB189" i="6" s="1"/>
  <c r="EB260" i="6"/>
  <c r="GJ260" i="6" s="1"/>
  <c r="EG198" i="6"/>
  <c r="DX255" i="6"/>
  <c r="ED237" i="6"/>
  <c r="EI237" i="6" s="1"/>
  <c r="ED276" i="6"/>
  <c r="EE208" i="6"/>
  <c r="EB217" i="6"/>
  <c r="EE153" i="6"/>
  <c r="EC141" i="6"/>
  <c r="EC187" i="6"/>
  <c r="EF175" i="6"/>
  <c r="EG164" i="6"/>
  <c r="EB143" i="6"/>
  <c r="EF180" i="6"/>
  <c r="EC122" i="6"/>
  <c r="EH82" i="6"/>
  <c r="EF82" i="6"/>
  <c r="DY130" i="6"/>
  <c r="EB80" i="6"/>
  <c r="EL80" i="6" s="1"/>
  <c r="EE99" i="6"/>
  <c r="GO26" i="6"/>
  <c r="GN26" i="6"/>
  <c r="GP26" i="6"/>
  <c r="GL26" i="6"/>
  <c r="GJ26" i="6"/>
  <c r="GI26" i="6"/>
  <c r="EF225" i="6"/>
  <c r="DY83" i="6"/>
  <c r="GL57" i="6"/>
  <c r="GK57" i="6"/>
  <c r="GJ57" i="6"/>
  <c r="GI57" i="6"/>
  <c r="GO57" i="6"/>
  <c r="GM57" i="6"/>
  <c r="DX100" i="6"/>
  <c r="DY100" i="6" s="1"/>
  <c r="EH22" i="6"/>
  <c r="ER22" i="6" s="1"/>
  <c r="EC22" i="6"/>
  <c r="EM22" i="6" s="1"/>
  <c r="EF22" i="6"/>
  <c r="EP22" i="6" s="1"/>
  <c r="EE22" i="6"/>
  <c r="EO22" i="6" s="1"/>
  <c r="GL111" i="6"/>
  <c r="EH30" i="6"/>
  <c r="ER30" i="6" s="1"/>
  <c r="EF30" i="6"/>
  <c r="EE30" i="6"/>
  <c r="EO30" i="6" s="1"/>
  <c r="EC30" i="6"/>
  <c r="EM30" i="6" s="1"/>
  <c r="DX55" i="6"/>
  <c r="EA55" i="6" s="1"/>
  <c r="DY36" i="6"/>
  <c r="DY79" i="6"/>
  <c r="DX25" i="6"/>
  <c r="EA42" i="6"/>
  <c r="GI42" i="6" s="1"/>
  <c r="EH44" i="6"/>
  <c r="EC44" i="6"/>
  <c r="EE44" i="6"/>
  <c r="DY94" i="6"/>
  <c r="EG50" i="6"/>
  <c r="EE159" i="6"/>
  <c r="V126" i="8"/>
  <c r="AA126" i="8" s="1"/>
  <c r="U126" i="8"/>
  <c r="Z126" i="8" s="1"/>
  <c r="Q309" i="8"/>
  <c r="T309" i="8" s="1"/>
  <c r="Q129" i="8"/>
  <c r="T129" i="8" s="1"/>
  <c r="W114" i="8"/>
  <c r="Y114" i="8"/>
  <c r="EB489" i="6"/>
  <c r="Q59" i="8"/>
  <c r="R223" i="8"/>
  <c r="GI467" i="6"/>
  <c r="Q247" i="8"/>
  <c r="T247" i="8"/>
  <c r="EC490" i="6"/>
  <c r="DY485" i="6"/>
  <c r="EC469" i="6"/>
  <c r="EF452" i="6"/>
  <c r="R111" i="8"/>
  <c r="DX489" i="6"/>
  <c r="ED489" i="6" s="1"/>
  <c r="W20" i="8"/>
  <c r="EG436" i="6"/>
  <c r="DX450" i="6"/>
  <c r="EB450" i="6" s="1"/>
  <c r="EB455" i="6"/>
  <c r="DY431" i="6"/>
  <c r="EB437" i="6"/>
  <c r="DX437" i="6"/>
  <c r="DX410" i="6"/>
  <c r="DY410" i="6" s="1"/>
  <c r="EC433" i="6"/>
  <c r="EE382" i="6"/>
  <c r="EB435" i="6"/>
  <c r="EA422" i="6"/>
  <c r="DX422" i="6"/>
  <c r="EC406" i="6"/>
  <c r="EB385" i="6"/>
  <c r="ED373" i="6"/>
  <c r="EF357" i="6"/>
  <c r="DY324" i="6"/>
  <c r="DY363" i="6"/>
  <c r="EC341" i="6"/>
  <c r="EE379" i="6"/>
  <c r="EC346" i="6"/>
  <c r="EF353" i="6"/>
  <c r="EB322" i="6"/>
  <c r="EC363" i="6"/>
  <c r="DY304" i="6"/>
  <c r="EG339" i="6"/>
  <c r="EB319" i="6"/>
  <c r="DX344" i="6"/>
  <c r="EE344" i="6" s="1"/>
  <c r="EA344" i="6"/>
  <c r="EE285" i="6"/>
  <c r="ED301" i="6"/>
  <c r="EB297" i="6"/>
  <c r="EG368" i="6"/>
  <c r="EF295" i="6"/>
  <c r="ED352" i="6"/>
  <c r="DX315" i="6"/>
  <c r="EH315" i="6" s="1"/>
  <c r="ED295" i="6"/>
  <c r="EC271" i="6"/>
  <c r="GK271" i="6" s="1"/>
  <c r="EE264" i="6"/>
  <c r="EB230" i="6"/>
  <c r="ED188" i="6"/>
  <c r="EG226" i="6"/>
  <c r="EF197" i="6"/>
  <c r="EE213" i="6"/>
  <c r="ED273" i="6"/>
  <c r="DY184" i="6"/>
  <c r="EC200" i="6"/>
  <c r="EA226" i="6"/>
  <c r="DX226" i="6"/>
  <c r="EH226" i="6" s="1"/>
  <c r="GP237" i="6"/>
  <c r="EB265" i="6"/>
  <c r="EE214" i="6"/>
  <c r="DX312" i="6"/>
  <c r="EF312" i="6" s="1"/>
  <c r="EC172" i="6"/>
  <c r="EB134" i="6"/>
  <c r="EF135" i="6"/>
  <c r="EC114" i="6"/>
  <c r="DY170" i="6"/>
  <c r="EB135" i="6"/>
  <c r="DY163" i="6"/>
  <c r="EH80" i="6"/>
  <c r="ER80" i="6" s="1"/>
  <c r="EF80" i="6"/>
  <c r="EP80" i="6" s="1"/>
  <c r="DX130" i="6"/>
  <c r="EA130" i="6" s="1"/>
  <c r="DY175" i="6"/>
  <c r="GO24" i="6"/>
  <c r="GP24" i="6"/>
  <c r="GL24" i="6"/>
  <c r="GJ24" i="6"/>
  <c r="EE135" i="6"/>
  <c r="GJ60" i="6"/>
  <c r="GN83" i="6"/>
  <c r="GI83" i="6"/>
  <c r="GL83" i="6"/>
  <c r="DX83" i="6"/>
  <c r="EA83" i="6"/>
  <c r="EA22" i="6"/>
  <c r="EA30" i="6"/>
  <c r="GI30" i="6" s="1"/>
  <c r="EH36" i="6"/>
  <c r="EC36" i="6"/>
  <c r="EE36" i="6"/>
  <c r="DX39" i="6"/>
  <c r="EA39" i="6" s="1"/>
  <c r="DX127" i="6"/>
  <c r="EB127" i="6" s="1"/>
  <c r="EI44" i="6"/>
  <c r="EB94" i="6"/>
  <c r="EL94" i="6" s="1"/>
  <c r="DX94" i="6"/>
  <c r="EG42" i="6"/>
  <c r="DX47" i="6"/>
  <c r="DX45" i="6"/>
  <c r="EC96" i="6"/>
  <c r="DX137" i="6"/>
  <c r="DY137" i="6" s="1"/>
  <c r="GO52" i="6"/>
  <c r="R55" i="8"/>
  <c r="Q223" i="8"/>
  <c r="T223" i="8"/>
  <c r="EF495" i="6"/>
  <c r="GN495" i="6" s="1"/>
  <c r="W6" i="8"/>
  <c r="W42" i="8"/>
  <c r="DX444" i="6"/>
  <c r="Q111" i="8"/>
  <c r="EE485" i="6"/>
  <c r="EF436" i="6"/>
  <c r="EC437" i="6"/>
  <c r="EC458" i="6"/>
  <c r="EG431" i="6"/>
  <c r="U88" i="8"/>
  <c r="Z88" i="8" s="1"/>
  <c r="EB409" i="6"/>
  <c r="EF356" i="6"/>
  <c r="EC429" i="6"/>
  <c r="EB378" i="6"/>
  <c r="DY366" i="6"/>
  <c r="DY323" i="6"/>
  <c r="EC391" i="6"/>
  <c r="EE357" i="6"/>
  <c r="EB345" i="6"/>
  <c r="EB379" i="6"/>
  <c r="EC329" i="6"/>
  <c r="DY303" i="6"/>
  <c r="EB318" i="6"/>
  <c r="EE334" i="6"/>
  <c r="EF406" i="6"/>
  <c r="EA276" i="6"/>
  <c r="DX276" i="6"/>
  <c r="EC310" i="6"/>
  <c r="EE376" i="6"/>
  <c r="EC295" i="6"/>
  <c r="EC261" i="6"/>
  <c r="EF187" i="6"/>
  <c r="EC202" i="6"/>
  <c r="DX195" i="6"/>
  <c r="EF195" i="6" s="1"/>
  <c r="EE211" i="6"/>
  <c r="EG191" i="6"/>
  <c r="DY180" i="6"/>
  <c r="EF194" i="6"/>
  <c r="EE183" i="6"/>
  <c r="EB187" i="6"/>
  <c r="EF249" i="6"/>
  <c r="ED269" i="6"/>
  <c r="EB261" i="6"/>
  <c r="EC171" i="6"/>
  <c r="DX162" i="6"/>
  <c r="EB162" i="6" s="1"/>
  <c r="EB225" i="6"/>
  <c r="ED150" i="6"/>
  <c r="EE225" i="6"/>
  <c r="GO143" i="6"/>
  <c r="GM143" i="6"/>
  <c r="GL143" i="6"/>
  <c r="GJ143" i="6"/>
  <c r="GP143" i="6"/>
  <c r="GN143" i="6"/>
  <c r="GK143" i="6"/>
  <c r="GI143" i="6"/>
  <c r="EE149" i="6"/>
  <c r="ED181" i="6"/>
  <c r="EC132" i="6"/>
  <c r="DY110" i="6"/>
  <c r="EF85" i="6"/>
  <c r="EH85" i="6"/>
  <c r="EG85" i="6"/>
  <c r="EE85" i="6"/>
  <c r="EC85" i="6"/>
  <c r="DY85" i="6"/>
  <c r="EG163" i="6"/>
  <c r="DY78" i="6"/>
  <c r="EB175" i="6"/>
  <c r="GO22" i="6"/>
  <c r="GL22" i="6"/>
  <c r="GJ22" i="6"/>
  <c r="GM22" i="6"/>
  <c r="GI22" i="6"/>
  <c r="GI70" i="6"/>
  <c r="GL70" i="6"/>
  <c r="EF158" i="6"/>
  <c r="EF83" i="6"/>
  <c r="EP83" i="6" s="1"/>
  <c r="C12" i="10"/>
  <c r="EE88" i="6"/>
  <c r="EG74" i="6"/>
  <c r="EH16" i="6"/>
  <c r="EF16" i="6"/>
  <c r="EE16" i="6"/>
  <c r="EC16" i="6"/>
  <c r="DY88" i="6"/>
  <c r="EH20" i="6"/>
  <c r="EE20" i="6"/>
  <c r="EF20" i="6"/>
  <c r="EC20" i="6"/>
  <c r="EI36" i="6"/>
  <c r="EA23" i="6"/>
  <c r="DX23" i="6"/>
  <c r="GL33" i="6"/>
  <c r="DY47" i="6"/>
  <c r="DY45" i="6"/>
  <c r="EF123" i="6"/>
  <c r="R549" i="8"/>
  <c r="Q542" i="8"/>
  <c r="V542" i="8" s="1"/>
  <c r="AA542" i="8" s="1"/>
  <c r="Q537" i="8"/>
  <c r="V537" i="8" s="1"/>
  <c r="AA537" i="8" s="1"/>
  <c r="T537" i="8"/>
  <c r="U478" i="8"/>
  <c r="Z478" i="8" s="1"/>
  <c r="T547" i="8"/>
  <c r="Q547" i="8"/>
  <c r="R482" i="8"/>
  <c r="Q488" i="8"/>
  <c r="V488" i="8" s="1"/>
  <c r="AA488" i="8" s="1"/>
  <c r="T488" i="8"/>
  <c r="Q459" i="8"/>
  <c r="V494" i="8"/>
  <c r="AA494" i="8" s="1"/>
  <c r="R494" i="8"/>
  <c r="Q470" i="8"/>
  <c r="R470" i="8" s="1"/>
  <c r="U315" i="8"/>
  <c r="Z315" i="8" s="1"/>
  <c r="Q321" i="8"/>
  <c r="V321" i="8" s="1"/>
  <c r="AA321" i="8" s="1"/>
  <c r="R383" i="8"/>
  <c r="Q429" i="8"/>
  <c r="U309" i="8"/>
  <c r="Z309" i="8" s="1"/>
  <c r="Q300" i="8"/>
  <c r="R300" i="8" s="1"/>
  <c r="T320" i="8"/>
  <c r="U349" i="8"/>
  <c r="Z349" i="8" s="1"/>
  <c r="Q284" i="8"/>
  <c r="T284" i="8"/>
  <c r="Q306" i="8"/>
  <c r="V306" i="8" s="1"/>
  <c r="AA306" i="8" s="1"/>
  <c r="Q206" i="8"/>
  <c r="Q130" i="8"/>
  <c r="Q120" i="8"/>
  <c r="R120" i="8" s="1"/>
  <c r="T120" i="8"/>
  <c r="Q167" i="8"/>
  <c r="V167" i="8" s="1"/>
  <c r="AA167" i="8" s="1"/>
  <c r="V70" i="8"/>
  <c r="AA70" i="8" s="1"/>
  <c r="T70" i="8"/>
  <c r="DX488" i="6"/>
  <c r="EC488" i="6" s="1"/>
  <c r="Q203" i="8"/>
  <c r="V203" i="8" s="1"/>
  <c r="AA203" i="8" s="1"/>
  <c r="W139" i="8"/>
  <c r="Y139" i="8"/>
  <c r="R246" i="8"/>
  <c r="T32" i="8"/>
  <c r="Q32" i="8"/>
  <c r="EF465" i="6"/>
  <c r="R56" i="8"/>
  <c r="T179" i="8"/>
  <c r="V179" i="8"/>
  <c r="AA179" i="8" s="1"/>
  <c r="EE493" i="6"/>
  <c r="EG438" i="6"/>
  <c r="DY465" i="6"/>
  <c r="EC449" i="6"/>
  <c r="EE473" i="6"/>
  <c r="DX426" i="6"/>
  <c r="EG426" i="6" s="1"/>
  <c r="EB430" i="6"/>
  <c r="DX417" i="6"/>
  <c r="EG417" i="6" s="1"/>
  <c r="DX391" i="6"/>
  <c r="EB391" i="6" s="1"/>
  <c r="ED438" i="6"/>
  <c r="T177" i="8"/>
  <c r="ED413" i="6"/>
  <c r="ED396" i="6"/>
  <c r="EE420" i="6"/>
  <c r="EE425" i="6"/>
  <c r="DX354" i="6"/>
  <c r="EC354" i="6" s="1"/>
  <c r="EA379" i="6"/>
  <c r="DX365" i="6"/>
  <c r="DY365" i="6" s="1"/>
  <c r="DY322" i="6"/>
  <c r="EF391" i="6"/>
  <c r="EF336" i="6"/>
  <c r="EG357" i="6"/>
  <c r="DX372" i="6"/>
  <c r="EB351" i="6"/>
  <c r="T278" i="8"/>
  <c r="EF360" i="6"/>
  <c r="ED379" i="6"/>
  <c r="DY302" i="6"/>
  <c r="EB341" i="6"/>
  <c r="DY373" i="6"/>
  <c r="EC324" i="6"/>
  <c r="EB274" i="6"/>
  <c r="EE311" i="6"/>
  <c r="EF297" i="6"/>
  <c r="EC253" i="6"/>
  <c r="EC233" i="6"/>
  <c r="EC251" i="6"/>
  <c r="EB226" i="6"/>
  <c r="DX222" i="6"/>
  <c r="EB200" i="6"/>
  <c r="DX190" i="6"/>
  <c r="EH190" i="6" s="1"/>
  <c r="DX215" i="6"/>
  <c r="EB267" i="6"/>
  <c r="EE187" i="6"/>
  <c r="EA264" i="6"/>
  <c r="EF213" i="6"/>
  <c r="DX246" i="6"/>
  <c r="EB246" i="6" s="1"/>
  <c r="DX180" i="6"/>
  <c r="EC180" i="6" s="1"/>
  <c r="EE237" i="6"/>
  <c r="EC315" i="6"/>
  <c r="DX202" i="6"/>
  <c r="ED202" i="6" s="1"/>
  <c r="EE136" i="6"/>
  <c r="EB312" i="6"/>
  <c r="EF170" i="6"/>
  <c r="EB141" i="6"/>
  <c r="DX110" i="6"/>
  <c r="EE110" i="6" s="1"/>
  <c r="EA110" i="6"/>
  <c r="ED157" i="6"/>
  <c r="EF74" i="6"/>
  <c r="EE156" i="6"/>
  <c r="GM60" i="6"/>
  <c r="GO20" i="6"/>
  <c r="GL20" i="6"/>
  <c r="GJ20" i="6"/>
  <c r="EG82" i="6"/>
  <c r="ED265" i="6"/>
  <c r="GM78" i="6"/>
  <c r="DY74" i="6"/>
  <c r="DX102" i="6"/>
  <c r="DY102" i="6" s="1"/>
  <c r="EA16" i="6"/>
  <c r="EA20" i="6"/>
  <c r="GI20" i="6" s="1"/>
  <c r="DY34" i="6"/>
  <c r="DY23" i="6"/>
  <c r="EH75" i="6"/>
  <c r="EC75" i="6"/>
  <c r="EB75" i="6"/>
  <c r="EI75" i="6" s="1"/>
  <c r="GL31" i="6"/>
  <c r="GI31" i="6"/>
  <c r="DX97" i="6"/>
  <c r="EA97" i="6" s="1"/>
  <c r="EF71" i="6"/>
  <c r="EB98" i="6"/>
  <c r="R294" i="8"/>
  <c r="Y62" i="8"/>
  <c r="W62" i="8"/>
  <c r="V132" i="8"/>
  <c r="AA132" i="8" s="1"/>
  <c r="R132" i="8"/>
  <c r="V45" i="8"/>
  <c r="R45" i="8"/>
  <c r="Y134" i="8"/>
  <c r="W134" i="8"/>
  <c r="EA494" i="6"/>
  <c r="DX494" i="6"/>
  <c r="Q195" i="8"/>
  <c r="V195" i="8" s="1"/>
  <c r="AA195" i="8" s="1"/>
  <c r="T195" i="8"/>
  <c r="Q188" i="8"/>
  <c r="V188" i="8" s="1"/>
  <c r="AA188" i="8" s="1"/>
  <c r="EB470" i="6"/>
  <c r="DX470" i="6"/>
  <c r="U246" i="8"/>
  <c r="Z246" i="8" s="1"/>
  <c r="EE475" i="6"/>
  <c r="EC484" i="6"/>
  <c r="EC445" i="6"/>
  <c r="ED467" i="6"/>
  <c r="GL467" i="6" s="1"/>
  <c r="R32" i="8"/>
  <c r="U56" i="8"/>
  <c r="Z56" i="8" s="1"/>
  <c r="EF448" i="6"/>
  <c r="Y457" i="8"/>
  <c r="W457" i="8"/>
  <c r="EG465" i="6"/>
  <c r="EE438" i="6"/>
  <c r="EE446" i="6"/>
  <c r="EF479" i="6"/>
  <c r="DY417" i="6"/>
  <c r="EE429" i="6"/>
  <c r="ED415" i="6"/>
  <c r="ED394" i="6"/>
  <c r="EE394" i="6"/>
  <c r="EC398" i="6"/>
  <c r="EF445" i="6"/>
  <c r="EG393" i="6"/>
  <c r="EB429" i="6"/>
  <c r="EC360" i="6"/>
  <c r="EG404" i="6"/>
  <c r="DY321" i="6"/>
  <c r="EG343" i="6"/>
  <c r="DY372" i="6"/>
  <c r="EC349" i="6"/>
  <c r="EF341" i="6"/>
  <c r="EF326" i="6"/>
  <c r="EC383" i="6"/>
  <c r="GK363" i="6"/>
  <c r="GM363" i="6"/>
  <c r="EA376" i="6"/>
  <c r="DX376" i="6"/>
  <c r="EB376" i="6" s="1"/>
  <c r="EF328" i="6"/>
  <c r="DY301" i="6"/>
  <c r="EG316" i="6"/>
  <c r="EB324" i="6"/>
  <c r="EF337" i="6"/>
  <c r="EC401" i="6"/>
  <c r="DX373" i="6"/>
  <c r="EA373" i="6"/>
  <c r="EE294" i="6"/>
  <c r="ED308" i="6"/>
  <c r="EC288" i="6"/>
  <c r="EC246" i="6"/>
  <c r="EC221" i="6"/>
  <c r="EC260" i="6"/>
  <c r="GK260" i="6" s="1"/>
  <c r="EE243" i="6"/>
  <c r="EE221" i="6"/>
  <c r="EF191" i="6"/>
  <c r="DX183" i="6"/>
  <c r="EA183" i="6"/>
  <c r="EB193" i="6"/>
  <c r="EC199" i="6"/>
  <c r="EF209" i="6"/>
  <c r="EB242" i="6"/>
  <c r="EE262" i="6"/>
  <c r="GP260" i="6"/>
  <c r="GL260" i="6"/>
  <c r="DY253" i="6"/>
  <c r="EF164" i="6"/>
  <c r="EG148" i="6"/>
  <c r="EB139" i="6"/>
  <c r="EF159" i="6"/>
  <c r="EB215" i="6"/>
  <c r="DY67" i="6"/>
  <c r="GO18" i="6"/>
  <c r="GN18" i="6"/>
  <c r="GP18" i="6"/>
  <c r="GL18" i="6"/>
  <c r="GJ18" i="6"/>
  <c r="EE146" i="6"/>
  <c r="EE94" i="6"/>
  <c r="EO94" i="6" s="1"/>
  <c r="DY241" i="6"/>
  <c r="DY267" i="6"/>
  <c r="DX59" i="6"/>
  <c r="EE59" i="6" s="1"/>
  <c r="EA59" i="6"/>
  <c r="EG156" i="6"/>
  <c r="EH14" i="6"/>
  <c r="EF14" i="6"/>
  <c r="EE14" i="6"/>
  <c r="EC14" i="6"/>
  <c r="EM14" i="6" s="1"/>
  <c r="EA21" i="6"/>
  <c r="DX21" i="6"/>
  <c r="DX35" i="6"/>
  <c r="GL29" i="6"/>
  <c r="GI29" i="6"/>
  <c r="DY40" i="6"/>
  <c r="DY71" i="6"/>
  <c r="EC80" i="6"/>
  <c r="EC98" i="6"/>
  <c r="DX86" i="6"/>
  <c r="DY86" i="6" s="1"/>
  <c r="R531" i="8"/>
  <c r="Q477" i="8"/>
  <c r="Q504" i="8"/>
  <c r="R504" i="8" s="1"/>
  <c r="R365" i="8"/>
  <c r="R480" i="8"/>
  <c r="Q483" i="8"/>
  <c r="T483" i="8"/>
  <c r="U505" i="8"/>
  <c r="Z505" i="8" s="1"/>
  <c r="R387" i="8"/>
  <c r="U415" i="8"/>
  <c r="Z415" i="8" s="1"/>
  <c r="Q277" i="8"/>
  <c r="Q431" i="8"/>
  <c r="V431" i="8" s="1"/>
  <c r="AA431" i="8" s="1"/>
  <c r="T431" i="8"/>
  <c r="Q310" i="8"/>
  <c r="Q322" i="8"/>
  <c r="U192" i="8"/>
  <c r="Z192" i="8" s="1"/>
  <c r="U343" i="8"/>
  <c r="Z343" i="8" s="1"/>
  <c r="R331" i="8"/>
  <c r="Q336" i="8"/>
  <c r="T336" i="8"/>
  <c r="T121" i="8"/>
  <c r="R114" i="8"/>
  <c r="V157" i="8"/>
  <c r="AA157" i="8" s="1"/>
  <c r="U157" i="8"/>
  <c r="Z157" i="8" s="1"/>
  <c r="Q275" i="8"/>
  <c r="T275" i="8" s="1"/>
  <c r="U294" i="8"/>
  <c r="Z294" i="8" s="1"/>
  <c r="T132" i="8"/>
  <c r="R108" i="8"/>
  <c r="T45" i="8"/>
  <c r="W45" i="8" s="1"/>
  <c r="DY493" i="6"/>
  <c r="U191" i="8"/>
  <c r="Z191" i="8" s="1"/>
  <c r="EC479" i="6"/>
  <c r="Y113" i="8"/>
  <c r="W113" i="8"/>
  <c r="EB465" i="6"/>
  <c r="EE478" i="6"/>
  <c r="EC467" i="6"/>
  <c r="GK467" i="6" s="1"/>
  <c r="U269" i="8"/>
  <c r="Z269" i="8" s="1"/>
  <c r="R116" i="8"/>
  <c r="EC460" i="6"/>
  <c r="EB444" i="6"/>
  <c r="R124" i="8"/>
  <c r="DY470" i="6"/>
  <c r="DY464" i="6"/>
  <c r="EB475" i="6"/>
  <c r="EB452" i="6"/>
  <c r="EE430" i="6"/>
  <c r="EB442" i="6"/>
  <c r="ED429" i="6"/>
  <c r="EF412" i="6"/>
  <c r="EG492" i="6"/>
  <c r="GO492" i="6" s="1"/>
  <c r="EC428" i="6"/>
  <c r="EC409" i="6"/>
  <c r="EF409" i="6"/>
  <c r="EE377" i="6"/>
  <c r="DY414" i="6"/>
  <c r="DX374" i="6"/>
  <c r="EA374" i="6" s="1"/>
  <c r="ED370" i="6"/>
  <c r="DX382" i="6"/>
  <c r="EC382" i="6" s="1"/>
  <c r="EE352" i="6"/>
  <c r="EF481" i="6"/>
  <c r="GN481" i="6" s="1"/>
  <c r="EE333" i="6"/>
  <c r="DY376" i="6"/>
  <c r="EF318" i="6"/>
  <c r="EF327" i="6"/>
  <c r="DY300" i="6"/>
  <c r="EF340" i="6"/>
  <c r="ED351" i="6"/>
  <c r="DX322" i="6"/>
  <c r="EE322" i="6" s="1"/>
  <c r="EF372" i="6"/>
  <c r="EE293" i="6"/>
  <c r="EF333" i="6"/>
  <c r="EB336" i="6"/>
  <c r="EB291" i="6"/>
  <c r="DX294" i="6"/>
  <c r="DY222" i="6"/>
  <c r="DX247" i="6"/>
  <c r="EF247" i="6" s="1"/>
  <c r="ED270" i="6"/>
  <c r="DX243" i="6"/>
  <c r="DY205" i="6"/>
  <c r="ED238" i="6"/>
  <c r="EC190" i="6"/>
  <c r="DX262" i="6"/>
  <c r="EC262" i="6" s="1"/>
  <c r="EC170" i="6"/>
  <c r="EB303" i="6"/>
  <c r="EC264" i="6"/>
  <c r="EB174" i="6"/>
  <c r="EC204" i="6"/>
  <c r="DX194" i="6"/>
  <c r="DY194" i="6" s="1"/>
  <c r="DY264" i="6"/>
  <c r="ED164" i="6"/>
  <c r="ED187" i="6"/>
  <c r="DY148" i="6"/>
  <c r="DX101" i="6"/>
  <c r="DY101" i="6" s="1"/>
  <c r="EC178" i="6"/>
  <c r="DX108" i="6"/>
  <c r="GK94" i="6"/>
  <c r="GJ94" i="6"/>
  <c r="GL94" i="6"/>
  <c r="GO16" i="6"/>
  <c r="GN16" i="6"/>
  <c r="GP16" i="6"/>
  <c r="GL16" i="6"/>
  <c r="GJ16" i="6"/>
  <c r="GM16" i="6"/>
  <c r="EI57" i="6"/>
  <c r="DY64" i="6"/>
  <c r="DX93" i="6"/>
  <c r="EE93" i="6" s="1"/>
  <c r="GI71" i="6"/>
  <c r="EB241" i="6"/>
  <c r="DX267" i="6"/>
  <c r="EA267" i="6" s="1"/>
  <c r="DY156" i="6"/>
  <c r="EA114" i="6"/>
  <c r="DX114" i="6"/>
  <c r="EA14" i="6"/>
  <c r="DY32" i="6"/>
  <c r="EE52" i="6"/>
  <c r="DY21" i="6"/>
  <c r="DY35" i="6"/>
  <c r="EF38" i="6"/>
  <c r="GL27" i="6"/>
  <c r="EG40" i="6"/>
  <c r="EQ40" i="6" s="1"/>
  <c r="EC107" i="6"/>
  <c r="EF42" i="6"/>
  <c r="R473" i="8"/>
  <c r="U480" i="8"/>
  <c r="Z480" i="8" s="1"/>
  <c r="Q476" i="8"/>
  <c r="T476" i="8" s="1"/>
  <c r="Q424" i="8"/>
  <c r="V424" i="8" s="1"/>
  <c r="AA424" i="8" s="1"/>
  <c r="R447" i="8"/>
  <c r="U305" i="8"/>
  <c r="Z305" i="8" s="1"/>
  <c r="U321" i="8"/>
  <c r="Z321" i="8" s="1"/>
  <c r="U383" i="8"/>
  <c r="Z383" i="8" s="1"/>
  <c r="Q422" i="8"/>
  <c r="V422" i="8" s="1"/>
  <c r="AA422" i="8" s="1"/>
  <c r="U280" i="8"/>
  <c r="Z280" i="8" s="1"/>
  <c r="U273" i="8"/>
  <c r="Z273" i="8" s="1"/>
  <c r="R145" i="8"/>
  <c r="T325" i="8"/>
  <c r="Q325" i="8"/>
  <c r="R325" i="8" s="1"/>
  <c r="U395" i="8"/>
  <c r="Z395" i="8" s="1"/>
  <c r="U202" i="8"/>
  <c r="Z202" i="8" s="1"/>
  <c r="Y65" i="8"/>
  <c r="W65" i="8"/>
  <c r="R103" i="8"/>
  <c r="T126" i="8"/>
  <c r="W52" i="8"/>
  <c r="EG486" i="6"/>
  <c r="Q4" i="8"/>
  <c r="R4" i="8" s="1"/>
  <c r="V97" i="8"/>
  <c r="AA97" i="8" s="1"/>
  <c r="U97" i="8"/>
  <c r="Z97" i="8" s="1"/>
  <c r="R97" i="8"/>
  <c r="U116" i="8"/>
  <c r="Z116" i="8" s="1"/>
  <c r="Q108" i="8"/>
  <c r="Q212" i="8"/>
  <c r="V212" i="8" s="1"/>
  <c r="AA212" i="8" s="1"/>
  <c r="R269" i="8"/>
  <c r="R95" i="8"/>
  <c r="EE442" i="6"/>
  <c r="DY476" i="6"/>
  <c r="EE454" i="6"/>
  <c r="EC440" i="6"/>
  <c r="Q124" i="8"/>
  <c r="DX464" i="6"/>
  <c r="EA464" i="6" s="1"/>
  <c r="EE460" i="6"/>
  <c r="EF415" i="6"/>
  <c r="DY424" i="6"/>
  <c r="EF431" i="6"/>
  <c r="DX421" i="6"/>
  <c r="EB421" i="6" s="1"/>
  <c r="EE414" i="6"/>
  <c r="EC430" i="6"/>
  <c r="EE440" i="6"/>
  <c r="EG410" i="6"/>
  <c r="ED390" i="6"/>
  <c r="DX367" i="6"/>
  <c r="EE367" i="6" s="1"/>
  <c r="EA367" i="6"/>
  <c r="DX414" i="6"/>
  <c r="EF414" i="6" s="1"/>
  <c r="EB414" i="6"/>
  <c r="EC370" i="6"/>
  <c r="DX389" i="6"/>
  <c r="EE355" i="6"/>
  <c r="EE363" i="6"/>
  <c r="EC369" i="6"/>
  <c r="EB478" i="6"/>
  <c r="EC423" i="6"/>
  <c r="GO343" i="6"/>
  <c r="GN343" i="6"/>
  <c r="GM343" i="6"/>
  <c r="GK343" i="6"/>
  <c r="GP343" i="6"/>
  <c r="GL343" i="6"/>
  <c r="GJ343" i="6"/>
  <c r="GI343" i="6"/>
  <c r="EF349" i="6"/>
  <c r="ED400" i="6"/>
  <c r="EB334" i="6"/>
  <c r="EF304" i="6"/>
  <c r="EF291" i="6"/>
  <c r="EF294" i="6"/>
  <c r="ED293" i="6"/>
  <c r="ED294" i="6"/>
  <c r="EC285" i="6"/>
  <c r="GP264" i="6"/>
  <c r="EB243" i="6"/>
  <c r="EE198" i="6"/>
  <c r="EE188" i="6"/>
  <c r="EC242" i="6"/>
  <c r="EG190" i="6"/>
  <c r="EE204" i="6"/>
  <c r="DX165" i="6"/>
  <c r="EB165" i="6" s="1"/>
  <c r="EC237" i="6"/>
  <c r="DX269" i="6"/>
  <c r="EA269" i="6" s="1"/>
  <c r="EF235" i="6"/>
  <c r="ED217" i="6"/>
  <c r="DX181" i="6"/>
  <c r="EF156" i="6"/>
  <c r="DY173" i="6"/>
  <c r="EC283" i="6"/>
  <c r="EG146" i="6"/>
  <c r="EE165" i="6"/>
  <c r="DX185" i="6"/>
  <c r="EF161" i="6"/>
  <c r="DX274" i="6"/>
  <c r="EB254" i="6"/>
  <c r="DY136" i="6"/>
  <c r="DY315" i="6"/>
  <c r="EE171" i="6"/>
  <c r="ED254" i="6"/>
  <c r="GL77" i="6"/>
  <c r="EE142" i="6"/>
  <c r="EB71" i="6"/>
  <c r="GO14" i="6"/>
  <c r="GL14" i="6"/>
  <c r="GJ14" i="6"/>
  <c r="GI14" i="6"/>
  <c r="EK54" i="6"/>
  <c r="EI54" i="6"/>
  <c r="EH63" i="6"/>
  <c r="EF63" i="6"/>
  <c r="EC63" i="6"/>
  <c r="EF64" i="6"/>
  <c r="EB197" i="6"/>
  <c r="DX221" i="6"/>
  <c r="DY114" i="6"/>
  <c r="DX116" i="6"/>
  <c r="EB26" i="6"/>
  <c r="EL26" i="6" s="1"/>
  <c r="DX19" i="6"/>
  <c r="DX37" i="6"/>
  <c r="DY37" i="6" s="1"/>
  <c r="GL25" i="6"/>
  <c r="DY14" i="6"/>
  <c r="N216" i="13" l="1"/>
  <c r="G146" i="13"/>
  <c r="I146" i="13"/>
  <c r="B123" i="13"/>
  <c r="E168" i="13"/>
  <c r="B134" i="13"/>
  <c r="I168" i="13"/>
  <c r="N131" i="12"/>
  <c r="B157" i="13"/>
  <c r="H131" i="13"/>
  <c r="N129" i="12"/>
  <c r="E129" i="13"/>
  <c r="F129" i="13"/>
  <c r="G129" i="13"/>
  <c r="F165" i="13"/>
  <c r="K165" i="13" s="1"/>
  <c r="G165" i="13"/>
  <c r="C138" i="13"/>
  <c r="J138" i="13" s="1"/>
  <c r="G135" i="13"/>
  <c r="F168" i="13"/>
  <c r="K168" i="13" s="1"/>
  <c r="G168" i="13"/>
  <c r="H168" i="13"/>
  <c r="C123" i="13"/>
  <c r="G178" i="13"/>
  <c r="H155" i="13"/>
  <c r="F123" i="13"/>
  <c r="G123" i="13"/>
  <c r="N157" i="12"/>
  <c r="K154" i="13"/>
  <c r="H123" i="13"/>
  <c r="I123" i="13"/>
  <c r="I157" i="13"/>
  <c r="G132" i="13"/>
  <c r="H165" i="13"/>
  <c r="H132" i="13"/>
  <c r="J154" i="13"/>
  <c r="N135" i="12"/>
  <c r="J159" i="13"/>
  <c r="H135" i="13"/>
  <c r="E131" i="13"/>
  <c r="H151" i="13"/>
  <c r="E135" i="13"/>
  <c r="G131" i="13"/>
  <c r="F146" i="13"/>
  <c r="F135" i="13"/>
  <c r="F131" i="13"/>
  <c r="E182" i="13"/>
  <c r="B146" i="13"/>
  <c r="EP62" i="6"/>
  <c r="G151" i="13"/>
  <c r="BY29" i="5"/>
  <c r="N150" i="12"/>
  <c r="BX93" i="5"/>
  <c r="BX151" i="5"/>
  <c r="BY170" i="5"/>
  <c r="I131" i="13"/>
  <c r="C157" i="13"/>
  <c r="J157" i="13" s="1"/>
  <c r="BX63" i="5"/>
  <c r="AB127" i="8"/>
  <c r="H161" i="13"/>
  <c r="BY63" i="5"/>
  <c r="I161" i="13"/>
  <c r="BG151" i="5"/>
  <c r="I182" i="13"/>
  <c r="E123" i="13"/>
  <c r="EO24" i="6"/>
  <c r="EP24" i="6"/>
  <c r="BY93" i="5"/>
  <c r="H150" i="13"/>
  <c r="C131" i="13"/>
  <c r="J131" i="13" s="1"/>
  <c r="FH137" i="6"/>
  <c r="BG144" i="5"/>
  <c r="FZ135" i="6" s="1"/>
  <c r="BY144" i="5"/>
  <c r="E151" i="13"/>
  <c r="C150" i="13"/>
  <c r="J150" i="13" s="1"/>
  <c r="BY114" i="5"/>
  <c r="BX135" i="5"/>
  <c r="EO54" i="6"/>
  <c r="FY126" i="6"/>
  <c r="EM24" i="6"/>
  <c r="BG63" i="5"/>
  <c r="BY185" i="5"/>
  <c r="ER24" i="6"/>
  <c r="F150" i="13"/>
  <c r="BX132" i="5"/>
  <c r="BG79" i="5"/>
  <c r="BX219" i="5"/>
  <c r="FB137" i="6"/>
  <c r="AB345" i="8"/>
  <c r="EQ62" i="6"/>
  <c r="G150" i="13"/>
  <c r="FY123" i="6"/>
  <c r="FD137" i="6"/>
  <c r="FY98" i="6"/>
  <c r="BX114" i="5"/>
  <c r="BG33" i="5"/>
  <c r="EP30" i="6"/>
  <c r="I150" i="13"/>
  <c r="BG77" i="5"/>
  <c r="BX56" i="5"/>
  <c r="FG137" i="6"/>
  <c r="N209" i="13"/>
  <c r="L209" i="13" s="1"/>
  <c r="EQ54" i="6"/>
  <c r="H157" i="13"/>
  <c r="FY105" i="6"/>
  <c r="BX33" i="5"/>
  <c r="E178" i="13"/>
  <c r="J149" i="13"/>
  <c r="BY27" i="5"/>
  <c r="BY33" i="5"/>
  <c r="EQ18" i="6"/>
  <c r="FF137" i="6"/>
  <c r="BX27" i="5"/>
  <c r="N177" i="12"/>
  <c r="FG118" i="6"/>
  <c r="E157" i="13"/>
  <c r="EO42" i="6"/>
  <c r="BX78" i="5"/>
  <c r="BY166" i="5"/>
  <c r="BG117" i="5"/>
  <c r="BY71" i="5"/>
  <c r="F177" i="13"/>
  <c r="FZ137" i="6"/>
  <c r="FH118" i="6"/>
  <c r="BG29" i="5"/>
  <c r="F157" i="13"/>
  <c r="K157" i="13" s="1"/>
  <c r="BX39" i="5"/>
  <c r="BX136" i="5"/>
  <c r="BY169" i="5"/>
  <c r="BG71" i="5"/>
  <c r="BX110" i="5"/>
  <c r="EM20" i="6"/>
  <c r="EW20" i="6" s="1"/>
  <c r="EP20" i="6"/>
  <c r="ER42" i="6"/>
  <c r="GM65" i="6"/>
  <c r="BG78" i="5"/>
  <c r="BY231" i="5"/>
  <c r="FY108" i="6"/>
  <c r="H177" i="13"/>
  <c r="FF118" i="6"/>
  <c r="BX29" i="5"/>
  <c r="BY92" i="5"/>
  <c r="BY136" i="5"/>
  <c r="BY266" i="5"/>
  <c r="H178" i="13"/>
  <c r="BX30" i="5"/>
  <c r="E150" i="13"/>
  <c r="FC137" i="6"/>
  <c r="AB457" i="8"/>
  <c r="ER54" i="6"/>
  <c r="BG39" i="5"/>
  <c r="EO20" i="6"/>
  <c r="AB399" i="8"/>
  <c r="FY170" i="6"/>
  <c r="EL54" i="6"/>
  <c r="EX54" i="6" s="1"/>
  <c r="I177" i="13"/>
  <c r="BG92" i="5"/>
  <c r="FY127" i="6"/>
  <c r="BX55" i="5"/>
  <c r="F151" i="13"/>
  <c r="BG132" i="5"/>
  <c r="FD118" i="6"/>
  <c r="ER20" i="6"/>
  <c r="EK82" i="6"/>
  <c r="EM18" i="6"/>
  <c r="BG169" i="5"/>
  <c r="BG179" i="5"/>
  <c r="BX207" i="5"/>
  <c r="E132" i="13"/>
  <c r="AB123" i="8"/>
  <c r="EO18" i="6"/>
  <c r="BX179" i="5"/>
  <c r="F132" i="13"/>
  <c r="BY44" i="5"/>
  <c r="BG143" i="5"/>
  <c r="FZ134" i="6" s="1"/>
  <c r="BY64" i="5"/>
  <c r="ER18" i="6"/>
  <c r="EM78" i="6"/>
  <c r="EW78" i="6" s="1"/>
  <c r="EK75" i="6"/>
  <c r="BG109" i="5"/>
  <c r="FF100" i="6" s="1"/>
  <c r="I132" i="13"/>
  <c r="FY157" i="6"/>
  <c r="BX48" i="5"/>
  <c r="BG150" i="5"/>
  <c r="C146" i="13"/>
  <c r="N151" i="12"/>
  <c r="BY48" i="5"/>
  <c r="BX64" i="5"/>
  <c r="BX62" i="5"/>
  <c r="C177" i="13"/>
  <c r="J177" i="13" s="1"/>
  <c r="BX109" i="5"/>
  <c r="C151" i="13"/>
  <c r="J151" i="13" s="1"/>
  <c r="E146" i="13"/>
  <c r="N134" i="12"/>
  <c r="N141" i="12"/>
  <c r="BX147" i="5"/>
  <c r="FB151" i="6"/>
  <c r="BG138" i="5"/>
  <c r="FH129" i="6" s="1"/>
  <c r="FI156" i="6"/>
  <c r="H174" i="13"/>
  <c r="N165" i="12"/>
  <c r="FC106" i="6"/>
  <c r="EL106" i="6" s="1"/>
  <c r="FE151" i="6"/>
  <c r="BY76" i="5"/>
  <c r="FY129" i="6"/>
  <c r="BY24" i="5"/>
  <c r="BY254" i="5"/>
  <c r="BX278" i="5"/>
  <c r="C133" i="13"/>
  <c r="J133" i="13" s="1"/>
  <c r="N178" i="12"/>
  <c r="E156" i="13"/>
  <c r="EQ46" i="6"/>
  <c r="F141" i="13"/>
  <c r="BG147" i="5"/>
  <c r="FF138" i="6" s="1"/>
  <c r="BG177" i="5"/>
  <c r="FB168" i="6" s="1"/>
  <c r="FB106" i="6"/>
  <c r="EK106" i="6" s="1"/>
  <c r="FC151" i="6"/>
  <c r="BX138" i="5"/>
  <c r="FZ156" i="6"/>
  <c r="FY138" i="6"/>
  <c r="N174" i="12"/>
  <c r="BG26" i="5"/>
  <c r="EP40" i="6"/>
  <c r="AB517" i="8"/>
  <c r="EL40" i="6"/>
  <c r="E165" i="13"/>
  <c r="FD106" i="6"/>
  <c r="EM106" i="6" s="1"/>
  <c r="FF151" i="6"/>
  <c r="EL38" i="6"/>
  <c r="BG76" i="5"/>
  <c r="EL20" i="6"/>
  <c r="AB60" i="8"/>
  <c r="AB80" i="8"/>
  <c r="FI106" i="6"/>
  <c r="ER106" i="6" s="1"/>
  <c r="C132" i="13"/>
  <c r="BY149" i="5"/>
  <c r="EP46" i="6"/>
  <c r="G133" i="13"/>
  <c r="FZ106" i="6"/>
  <c r="BG157" i="5"/>
  <c r="FZ148" i="6" s="1"/>
  <c r="GA148" i="6" s="1"/>
  <c r="G177" i="13"/>
  <c r="N176" i="12"/>
  <c r="FC165" i="6"/>
  <c r="BG149" i="5"/>
  <c r="FB140" i="6" s="1"/>
  <c r="BX177" i="5"/>
  <c r="EQ88" i="6"/>
  <c r="BY177" i="5"/>
  <c r="K149" i="13"/>
  <c r="F178" i="13"/>
  <c r="AB486" i="8"/>
  <c r="E133" i="13"/>
  <c r="FI151" i="6"/>
  <c r="B176" i="13"/>
  <c r="J176" i="13" s="1"/>
  <c r="EM46" i="6"/>
  <c r="I133" i="13"/>
  <c r="BX157" i="5"/>
  <c r="BG97" i="5"/>
  <c r="FZ88" i="6" s="1"/>
  <c r="GA88" i="6" s="1"/>
  <c r="E177" i="13"/>
  <c r="E176" i="13"/>
  <c r="FY149" i="6"/>
  <c r="N120" i="12"/>
  <c r="BX149" i="5"/>
  <c r="I174" i="13"/>
  <c r="BG55" i="5"/>
  <c r="FH156" i="6"/>
  <c r="H133" i="13"/>
  <c r="BX51" i="5"/>
  <c r="AB524" i="8"/>
  <c r="I165" i="13"/>
  <c r="FZ165" i="6"/>
  <c r="EK44" i="6"/>
  <c r="EO46" i="6"/>
  <c r="FY148" i="6"/>
  <c r="BX97" i="5"/>
  <c r="N138" i="12"/>
  <c r="F176" i="13"/>
  <c r="BG158" i="5"/>
  <c r="FD149" i="6" s="1"/>
  <c r="EM149" i="6" s="1"/>
  <c r="G120" i="13"/>
  <c r="BY119" i="5"/>
  <c r="BX193" i="5"/>
  <c r="J139" i="13"/>
  <c r="FH106" i="6"/>
  <c r="EQ106" i="6" s="1"/>
  <c r="EL34" i="6"/>
  <c r="ER46" i="6"/>
  <c r="AB468" i="8"/>
  <c r="BX50" i="5"/>
  <c r="FY88" i="6"/>
  <c r="I138" i="13"/>
  <c r="G176" i="13"/>
  <c r="N217" i="13"/>
  <c r="L217" i="13" s="1"/>
  <c r="BY124" i="5"/>
  <c r="F120" i="13"/>
  <c r="FY110" i="6"/>
  <c r="BY279" i="5"/>
  <c r="FG151" i="6"/>
  <c r="BG183" i="5"/>
  <c r="FD174" i="6" s="1"/>
  <c r="EM174" i="6" s="1"/>
  <c r="EL46" i="6"/>
  <c r="EQ34" i="6"/>
  <c r="G138" i="13"/>
  <c r="H176" i="13"/>
  <c r="H120" i="13"/>
  <c r="BY86" i="5"/>
  <c r="BX119" i="5"/>
  <c r="C161" i="13"/>
  <c r="J161" i="13" s="1"/>
  <c r="FF106" i="6"/>
  <c r="EO106" i="6" s="1"/>
  <c r="EM44" i="6"/>
  <c r="EW44" i="6" s="1"/>
  <c r="EO34" i="6"/>
  <c r="FB146" i="6"/>
  <c r="BG28" i="5"/>
  <c r="BG116" i="5"/>
  <c r="FI107" i="6" s="1"/>
  <c r="BG100" i="5"/>
  <c r="FZ91" i="6" s="1"/>
  <c r="BX133" i="5"/>
  <c r="H138" i="13"/>
  <c r="I176" i="13"/>
  <c r="C120" i="13"/>
  <c r="E120" i="13"/>
  <c r="BG86" i="5"/>
  <c r="J152" i="13"/>
  <c r="GQ54" i="6"/>
  <c r="CF63" i="5" s="1"/>
  <c r="CG63" i="5" s="1"/>
  <c r="FD151" i="6"/>
  <c r="BG40" i="5"/>
  <c r="ER44" i="6"/>
  <c r="N161" i="12"/>
  <c r="FC146" i="6"/>
  <c r="EL146" i="6" s="1"/>
  <c r="BX28" i="5"/>
  <c r="BG171" i="5"/>
  <c r="FG162" i="6" s="1"/>
  <c r="BX100" i="5"/>
  <c r="E138" i="13"/>
  <c r="B155" i="13"/>
  <c r="J155" i="13" s="1"/>
  <c r="I120" i="13"/>
  <c r="C178" i="13"/>
  <c r="I155" i="13"/>
  <c r="F133" i="13"/>
  <c r="FH151" i="6"/>
  <c r="BG50" i="5"/>
  <c r="E161" i="13"/>
  <c r="BG53" i="5"/>
  <c r="FF146" i="6"/>
  <c r="EO146" i="6" s="1"/>
  <c r="G175" i="13"/>
  <c r="FY91" i="6"/>
  <c r="F138" i="13"/>
  <c r="FG156" i="6"/>
  <c r="EP156" i="6" s="1"/>
  <c r="N158" i="12"/>
  <c r="BY178" i="5"/>
  <c r="EL88" i="6"/>
  <c r="E155" i="13"/>
  <c r="AB62" i="8"/>
  <c r="BG126" i="5"/>
  <c r="FZ117" i="6" s="1"/>
  <c r="F161" i="13"/>
  <c r="BX53" i="5"/>
  <c r="FG146" i="6"/>
  <c r="EP146" i="6" s="1"/>
  <c r="B132" i="13"/>
  <c r="FC156" i="6"/>
  <c r="FB118" i="6"/>
  <c r="EK118" i="6" s="1"/>
  <c r="F155" i="13"/>
  <c r="E158" i="13"/>
  <c r="BG178" i="5"/>
  <c r="FG169" i="6" s="1"/>
  <c r="N133" i="12"/>
  <c r="EO44" i="6"/>
  <c r="EM42" i="6"/>
  <c r="BX126" i="5"/>
  <c r="G161" i="13"/>
  <c r="FZ146" i="6"/>
  <c r="BX49" i="5"/>
  <c r="BG46" i="5"/>
  <c r="FC118" i="6"/>
  <c r="FJ118" i="6" s="1"/>
  <c r="G155" i="13"/>
  <c r="BX82" i="5"/>
  <c r="G158" i="13"/>
  <c r="B178" i="13"/>
  <c r="H129" i="13"/>
  <c r="H172" i="13"/>
  <c r="N167" i="12"/>
  <c r="H146" i="13"/>
  <c r="E144" i="13"/>
  <c r="F158" i="13"/>
  <c r="H158" i="13"/>
  <c r="C129" i="13"/>
  <c r="J129" i="13" s="1"/>
  <c r="F156" i="13"/>
  <c r="C156" i="13"/>
  <c r="B156" i="13"/>
  <c r="G156" i="13"/>
  <c r="I156" i="13"/>
  <c r="H156" i="13"/>
  <c r="G172" i="13"/>
  <c r="F144" i="13"/>
  <c r="I158" i="13"/>
  <c r="K136" i="13"/>
  <c r="H167" i="13"/>
  <c r="B158" i="13"/>
  <c r="J158" i="13" s="1"/>
  <c r="F121" i="13"/>
  <c r="H134" i="13"/>
  <c r="F167" i="13"/>
  <c r="E134" i="13"/>
  <c r="G167" i="13"/>
  <c r="I128" i="13"/>
  <c r="B121" i="13"/>
  <c r="C167" i="13"/>
  <c r="I121" i="13"/>
  <c r="E167" i="13"/>
  <c r="G134" i="13"/>
  <c r="N169" i="12"/>
  <c r="C134" i="13"/>
  <c r="J134" i="13" s="1"/>
  <c r="J122" i="13"/>
  <c r="E121" i="13"/>
  <c r="E169" i="13"/>
  <c r="F134" i="13"/>
  <c r="I129" i="13"/>
  <c r="B167" i="13"/>
  <c r="F169" i="13"/>
  <c r="C165" i="13"/>
  <c r="J165" i="13" s="1"/>
  <c r="F174" i="13"/>
  <c r="E171" i="13"/>
  <c r="K122" i="13"/>
  <c r="C127" i="13"/>
  <c r="J127" i="13" s="1"/>
  <c r="G121" i="13"/>
  <c r="F172" i="13"/>
  <c r="N155" i="12"/>
  <c r="K139" i="13"/>
  <c r="FI118" i="6"/>
  <c r="FB165" i="6"/>
  <c r="BY184" i="5"/>
  <c r="AB135" i="8"/>
  <c r="ER14" i="6"/>
  <c r="BG120" i="5"/>
  <c r="FZ111" i="6" s="1"/>
  <c r="EL44" i="6"/>
  <c r="BY265" i="5"/>
  <c r="BX120" i="5"/>
  <c r="AB93" i="8"/>
  <c r="BG124" i="5"/>
  <c r="FD115" i="6" s="1"/>
  <c r="EM115" i="6" s="1"/>
  <c r="FH146" i="6"/>
  <c r="BY120" i="5"/>
  <c r="BY183" i="5"/>
  <c r="EP44" i="6"/>
  <c r="EP14" i="6"/>
  <c r="EM38" i="6"/>
  <c r="EW38" i="6" s="1"/>
  <c r="EQ38" i="6"/>
  <c r="FY115" i="6"/>
  <c r="EO38" i="6"/>
  <c r="AB467" i="8"/>
  <c r="BY172" i="5"/>
  <c r="BY118" i="5"/>
  <c r="BX172" i="5"/>
  <c r="BG118" i="5"/>
  <c r="FI109" i="6" s="1"/>
  <c r="ER109" i="6" s="1"/>
  <c r="EQ57" i="6"/>
  <c r="EL42" i="6"/>
  <c r="EK57" i="6"/>
  <c r="ES57" i="6" s="1"/>
  <c r="BK66" i="5" s="1"/>
  <c r="BL66" i="5" s="1"/>
  <c r="BG172" i="5"/>
  <c r="FZ163" i="6" s="1"/>
  <c r="BX118" i="5"/>
  <c r="EL57" i="6"/>
  <c r="GN65" i="6"/>
  <c r="GJ65" i="6"/>
  <c r="BY164" i="5"/>
  <c r="BG51" i="5"/>
  <c r="EQ44" i="6"/>
  <c r="L200" i="13"/>
  <c r="BY66" i="5"/>
  <c r="BX26" i="5"/>
  <c r="EO14" i="6"/>
  <c r="BY171" i="5"/>
  <c r="BG164" i="5"/>
  <c r="FI155" i="6" s="1"/>
  <c r="BX164" i="5"/>
  <c r="BX171" i="5"/>
  <c r="BX66" i="5"/>
  <c r="EL78" i="6"/>
  <c r="BY99" i="5"/>
  <c r="BY49" i="5"/>
  <c r="BG36" i="5"/>
  <c r="BX36" i="5"/>
  <c r="FD165" i="6"/>
  <c r="FE165" i="6"/>
  <c r="BX45" i="5"/>
  <c r="EO36" i="6"/>
  <c r="EK68" i="6"/>
  <c r="EP36" i="6"/>
  <c r="EK36" i="6"/>
  <c r="EM36" i="6"/>
  <c r="EW36" i="6" s="1"/>
  <c r="FI146" i="6"/>
  <c r="ER146" i="6" s="1"/>
  <c r="FF114" i="6"/>
  <c r="BG61" i="5"/>
  <c r="FG165" i="6"/>
  <c r="BX143" i="5"/>
  <c r="EL65" i="6"/>
  <c r="BX217" i="5"/>
  <c r="BG58" i="5"/>
  <c r="EL52" i="6"/>
  <c r="EP52" i="6"/>
  <c r="FF165" i="6"/>
  <c r="EO165" i="6" s="1"/>
  <c r="BY152" i="5"/>
  <c r="BY121" i="5"/>
  <c r="ER36" i="6"/>
  <c r="EP34" i="6"/>
  <c r="EM90" i="6"/>
  <c r="BX116" i="5"/>
  <c r="BX61" i="5"/>
  <c r="BX158" i="5"/>
  <c r="BX125" i="5"/>
  <c r="BY143" i="5"/>
  <c r="BY110" i="5"/>
  <c r="EL85" i="6"/>
  <c r="BY253" i="5"/>
  <c r="FC122" i="6"/>
  <c r="BX183" i="5"/>
  <c r="EO65" i="6"/>
  <c r="EP42" i="6"/>
  <c r="ER38" i="6"/>
  <c r="EX38" i="6" s="1"/>
  <c r="ER34" i="6"/>
  <c r="EP56" i="6"/>
  <c r="FF122" i="6"/>
  <c r="BG73" i="5"/>
  <c r="EQ52" i="6"/>
  <c r="BY173" i="5"/>
  <c r="BY34" i="5"/>
  <c r="EP78" i="6"/>
  <c r="EP68" i="6"/>
  <c r="EK38" i="6"/>
  <c r="FG122" i="6"/>
  <c r="BX73" i="5"/>
  <c r="BG91" i="5"/>
  <c r="AB465" i="8"/>
  <c r="EM34" i="6"/>
  <c r="EK78" i="6"/>
  <c r="FI122" i="6"/>
  <c r="BX152" i="5"/>
  <c r="EO78" i="6"/>
  <c r="EQ36" i="6"/>
  <c r="EQ65" i="6"/>
  <c r="BY74" i="5"/>
  <c r="FB122" i="6"/>
  <c r="EK122" i="6" s="1"/>
  <c r="BY125" i="5"/>
  <c r="BX170" i="5"/>
  <c r="BX58" i="5"/>
  <c r="BG125" i="5"/>
  <c r="FC116" i="6" s="1"/>
  <c r="BG74" i="5"/>
  <c r="FD122" i="6"/>
  <c r="EM122" i="6" s="1"/>
  <c r="FC168" i="6"/>
  <c r="FY161" i="6"/>
  <c r="ER78" i="6"/>
  <c r="BX34" i="5"/>
  <c r="AB65" i="8"/>
  <c r="EQ78" i="6"/>
  <c r="BX74" i="5"/>
  <c r="FH122" i="6"/>
  <c r="BX173" i="5"/>
  <c r="BY87" i="5"/>
  <c r="EQ98" i="6"/>
  <c r="BG133" i="5"/>
  <c r="FB124" i="6" s="1"/>
  <c r="BG173" i="5"/>
  <c r="FZ164" i="6" s="1"/>
  <c r="EL68" i="6"/>
  <c r="ES68" i="6" s="1"/>
  <c r="BX99" i="5"/>
  <c r="BG87" i="5"/>
  <c r="EK85" i="6"/>
  <c r="FG168" i="6"/>
  <c r="BG107" i="5"/>
  <c r="FZ98" i="6" s="1"/>
  <c r="BG99" i="5"/>
  <c r="FZ90" i="6" s="1"/>
  <c r="GA90" i="6" s="1"/>
  <c r="BG94" i="5"/>
  <c r="FZ85" i="6" s="1"/>
  <c r="BX91" i="5"/>
  <c r="EQ42" i="6"/>
  <c r="BY133" i="5"/>
  <c r="BX107" i="5"/>
  <c r="BG152" i="5"/>
  <c r="FF143" i="6" s="1"/>
  <c r="EO143" i="6" s="1"/>
  <c r="EL82" i="6"/>
  <c r="AB439" i="8"/>
  <c r="EP38" i="6"/>
  <c r="EM82" i="6"/>
  <c r="EW82" i="6" s="1"/>
  <c r="EK98" i="6"/>
  <c r="EO75" i="6"/>
  <c r="EL36" i="6"/>
  <c r="BY107" i="5"/>
  <c r="FG114" i="6"/>
  <c r="F182" i="13"/>
  <c r="G183" i="13"/>
  <c r="BY43" i="5"/>
  <c r="BX43" i="5"/>
  <c r="FH114" i="6"/>
  <c r="K152" i="13"/>
  <c r="I183" i="13"/>
  <c r="EK61" i="6"/>
  <c r="N183" i="12"/>
  <c r="AB67" i="8"/>
  <c r="EQ14" i="6"/>
  <c r="G140" i="13"/>
  <c r="R212" i="8"/>
  <c r="BX59" i="5"/>
  <c r="BG59" i="5"/>
  <c r="BY59" i="5"/>
  <c r="B183" i="13"/>
  <c r="F140" i="13"/>
  <c r="E183" i="13"/>
  <c r="FH165" i="6"/>
  <c r="H183" i="13"/>
  <c r="BX77" i="5"/>
  <c r="K173" i="13"/>
  <c r="J162" i="13"/>
  <c r="K145" i="13"/>
  <c r="B164" i="13"/>
  <c r="I164" i="13"/>
  <c r="H164" i="13"/>
  <c r="G164" i="13"/>
  <c r="C164" i="13"/>
  <c r="F164" i="13"/>
  <c r="E164" i="13"/>
  <c r="N164" i="12"/>
  <c r="EQ68" i="6"/>
  <c r="E140" i="13"/>
  <c r="C140" i="13"/>
  <c r="K159" i="13"/>
  <c r="BG84" i="5"/>
  <c r="F171" i="13"/>
  <c r="BX84" i="5"/>
  <c r="EP75" i="6"/>
  <c r="I171" i="13"/>
  <c r="BY47" i="5"/>
  <c r="C183" i="13"/>
  <c r="J168" i="13"/>
  <c r="B182" i="13"/>
  <c r="J182" i="13" s="1"/>
  <c r="ER68" i="6"/>
  <c r="BX47" i="5"/>
  <c r="BX94" i="5"/>
  <c r="BY94" i="5"/>
  <c r="FD114" i="6"/>
  <c r="N182" i="12"/>
  <c r="BG45" i="5"/>
  <c r="FY112" i="6"/>
  <c r="BG121" i="5"/>
  <c r="G169" i="13"/>
  <c r="H169" i="13"/>
  <c r="B163" i="13"/>
  <c r="J163" i="13" s="1"/>
  <c r="I169" i="13"/>
  <c r="N163" i="12"/>
  <c r="N144" i="12"/>
  <c r="B171" i="13"/>
  <c r="J171" i="13" s="1"/>
  <c r="B128" i="13"/>
  <c r="J128" i="13" s="1"/>
  <c r="H171" i="13"/>
  <c r="I153" i="13"/>
  <c r="G163" i="13"/>
  <c r="G160" i="13"/>
  <c r="H163" i="13"/>
  <c r="C144" i="13"/>
  <c r="H144" i="13"/>
  <c r="I179" i="13"/>
  <c r="N121" i="12"/>
  <c r="N179" i="12"/>
  <c r="H160" i="13"/>
  <c r="I163" i="13"/>
  <c r="I144" i="13"/>
  <c r="G179" i="13"/>
  <c r="N160" i="12"/>
  <c r="N127" i="12"/>
  <c r="H179" i="13"/>
  <c r="B142" i="13"/>
  <c r="H142" i="13"/>
  <c r="E142" i="13"/>
  <c r="G142" i="13"/>
  <c r="N142" i="12"/>
  <c r="I142" i="13"/>
  <c r="F142" i="13"/>
  <c r="C142" i="13"/>
  <c r="E160" i="13"/>
  <c r="B144" i="13"/>
  <c r="C179" i="13"/>
  <c r="J179" i="13" s="1"/>
  <c r="H127" i="13"/>
  <c r="E179" i="13"/>
  <c r="C160" i="13"/>
  <c r="J160" i="13" s="1"/>
  <c r="B174" i="13"/>
  <c r="C174" i="13"/>
  <c r="E174" i="13"/>
  <c r="I160" i="13"/>
  <c r="I127" i="13"/>
  <c r="F179" i="13"/>
  <c r="C121" i="13"/>
  <c r="F163" i="13"/>
  <c r="N171" i="12"/>
  <c r="E127" i="13"/>
  <c r="G171" i="13"/>
  <c r="N128" i="12"/>
  <c r="N153" i="12"/>
  <c r="F127" i="13"/>
  <c r="E128" i="13"/>
  <c r="E153" i="13"/>
  <c r="G127" i="13"/>
  <c r="C169" i="13"/>
  <c r="J169" i="13" s="1"/>
  <c r="K162" i="13"/>
  <c r="C153" i="13"/>
  <c r="J153" i="13" s="1"/>
  <c r="F160" i="13"/>
  <c r="F128" i="13"/>
  <c r="F153" i="13"/>
  <c r="G128" i="13"/>
  <c r="G153" i="13"/>
  <c r="E163" i="13"/>
  <c r="K143" i="13"/>
  <c r="H128" i="13"/>
  <c r="H153" i="13"/>
  <c r="C137" i="13"/>
  <c r="H141" i="13"/>
  <c r="I141" i="13"/>
  <c r="B140" i="13"/>
  <c r="H140" i="13"/>
  <c r="I140" i="13"/>
  <c r="G141" i="13"/>
  <c r="C172" i="13"/>
  <c r="B172" i="13"/>
  <c r="E141" i="13"/>
  <c r="J181" i="13"/>
  <c r="E172" i="13"/>
  <c r="C141" i="13"/>
  <c r="J141" i="13" s="1"/>
  <c r="I172" i="13"/>
  <c r="J173" i="13"/>
  <c r="N137" i="12"/>
  <c r="N148" i="12"/>
  <c r="B137" i="13"/>
  <c r="E137" i="13"/>
  <c r="C126" i="13"/>
  <c r="J126" i="13" s="1"/>
  <c r="N126" i="12"/>
  <c r="E148" i="13"/>
  <c r="H137" i="13"/>
  <c r="E126" i="13"/>
  <c r="G148" i="13"/>
  <c r="F137" i="13"/>
  <c r="F126" i="13"/>
  <c r="H148" i="13"/>
  <c r="G137" i="13"/>
  <c r="N175" i="12"/>
  <c r="H126" i="13"/>
  <c r="F148" i="13"/>
  <c r="G126" i="13"/>
  <c r="E175" i="13"/>
  <c r="I126" i="13"/>
  <c r="B148" i="13"/>
  <c r="F130" i="13"/>
  <c r="B130" i="13"/>
  <c r="G130" i="13"/>
  <c r="N130" i="12"/>
  <c r="E130" i="13"/>
  <c r="H130" i="13"/>
  <c r="I130" i="13"/>
  <c r="C130" i="13"/>
  <c r="J136" i="13"/>
  <c r="I148" i="13"/>
  <c r="B175" i="13"/>
  <c r="C175" i="13"/>
  <c r="H175" i="13"/>
  <c r="I175" i="13"/>
  <c r="K181" i="13"/>
  <c r="K170" i="13"/>
  <c r="J147" i="13"/>
  <c r="J143" i="13"/>
  <c r="K125" i="13"/>
  <c r="J123" i="13"/>
  <c r="J120" i="13"/>
  <c r="AB503" i="8"/>
  <c r="BX255" i="5"/>
  <c r="AB421" i="8"/>
  <c r="BX205" i="5"/>
  <c r="BX241" i="5"/>
  <c r="AB367" i="8"/>
  <c r="BY277" i="5"/>
  <c r="BX194" i="5"/>
  <c r="BY243" i="5"/>
  <c r="BY229" i="5"/>
  <c r="BG167" i="5"/>
  <c r="FY158" i="6"/>
  <c r="BX167" i="5"/>
  <c r="BX65" i="5"/>
  <c r="BG65" i="5"/>
  <c r="BY65" i="5"/>
  <c r="FB114" i="6"/>
  <c r="EK114" i="6" s="1"/>
  <c r="FC114" i="6"/>
  <c r="BX159" i="5"/>
  <c r="BG159" i="5"/>
  <c r="BY159" i="5"/>
  <c r="FY150" i="6"/>
  <c r="T217" i="8"/>
  <c r="AK217" i="8" s="1"/>
  <c r="FZ114" i="6"/>
  <c r="FJ139" i="6"/>
  <c r="EQ16" i="6"/>
  <c r="EM16" i="6"/>
  <c r="EW16" i="6" s="1"/>
  <c r="U217" i="8"/>
  <c r="Z217" i="8" s="1"/>
  <c r="EO16" i="6"/>
  <c r="EO63" i="6"/>
  <c r="EL16" i="6"/>
  <c r="BG32" i="5"/>
  <c r="BY167" i="5"/>
  <c r="BX32" i="5"/>
  <c r="V217" i="8"/>
  <c r="AA217" i="8" s="1"/>
  <c r="FB128" i="6"/>
  <c r="FY95" i="6"/>
  <c r="BX104" i="5"/>
  <c r="BG104" i="5"/>
  <c r="FZ95" i="6" s="1"/>
  <c r="EL63" i="6"/>
  <c r="FC128" i="6"/>
  <c r="EL128" i="6" s="1"/>
  <c r="FY153" i="6"/>
  <c r="BX162" i="5"/>
  <c r="BG162" i="5"/>
  <c r="FD128" i="6"/>
  <c r="FY102" i="6"/>
  <c r="BG111" i="5"/>
  <c r="BX111" i="5"/>
  <c r="BY111" i="5"/>
  <c r="EP16" i="6"/>
  <c r="FF128" i="6"/>
  <c r="ER16" i="6"/>
  <c r="FG128" i="6"/>
  <c r="EP128" i="6" s="1"/>
  <c r="FH128" i="6"/>
  <c r="EL60" i="6"/>
  <c r="BX25" i="5"/>
  <c r="FI128" i="6"/>
  <c r="BY25" i="5"/>
  <c r="FH167" i="6"/>
  <c r="FG167" i="6"/>
  <c r="EP167" i="6" s="1"/>
  <c r="FI167" i="6"/>
  <c r="FF167" i="6"/>
  <c r="EO167" i="6" s="1"/>
  <c r="FE167" i="6"/>
  <c r="FD167" i="6"/>
  <c r="FC167" i="6"/>
  <c r="FB167" i="6"/>
  <c r="FZ167" i="6"/>
  <c r="FR174" i="6"/>
  <c r="BJ183" i="5"/>
  <c r="FH170" i="6"/>
  <c r="EQ170" i="6" s="1"/>
  <c r="FG170" i="6"/>
  <c r="EP170" i="6" s="1"/>
  <c r="FF170" i="6"/>
  <c r="EO170" i="6" s="1"/>
  <c r="FE170" i="6"/>
  <c r="EN170" i="6" s="1"/>
  <c r="FD170" i="6"/>
  <c r="FC170" i="6"/>
  <c r="EL170" i="6" s="1"/>
  <c r="FB170" i="6"/>
  <c r="EK170" i="6" s="1"/>
  <c r="FI170" i="6"/>
  <c r="ER170" i="6" s="1"/>
  <c r="FZ170" i="6"/>
  <c r="Q216" i="8"/>
  <c r="T216" i="8" s="1"/>
  <c r="EX66" i="6"/>
  <c r="K124" i="13"/>
  <c r="FC159" i="6"/>
  <c r="FB159" i="6"/>
  <c r="FE159" i="6"/>
  <c r="FD159" i="6"/>
  <c r="FI159" i="6"/>
  <c r="FZ159" i="6"/>
  <c r="FH159" i="6"/>
  <c r="FG159" i="6"/>
  <c r="EP159" i="6" s="1"/>
  <c r="FF159" i="6"/>
  <c r="EO159" i="6" s="1"/>
  <c r="N211" i="13"/>
  <c r="L199" i="13"/>
  <c r="BX83" i="5"/>
  <c r="BG83" i="5"/>
  <c r="BY83" i="5"/>
  <c r="FF160" i="6"/>
  <c r="EO160" i="6" s="1"/>
  <c r="FE160" i="6"/>
  <c r="FD160" i="6"/>
  <c r="EM160" i="6" s="1"/>
  <c r="FC160" i="6"/>
  <c r="EL160" i="6" s="1"/>
  <c r="FB160" i="6"/>
  <c r="EK160" i="6" s="1"/>
  <c r="FZ160" i="6"/>
  <c r="FI160" i="6"/>
  <c r="ER160" i="6" s="1"/>
  <c r="FH160" i="6"/>
  <c r="EQ160" i="6" s="1"/>
  <c r="FG160" i="6"/>
  <c r="EP160" i="6" s="1"/>
  <c r="K147" i="13"/>
  <c r="N227" i="13"/>
  <c r="L215" i="13"/>
  <c r="FG120" i="6"/>
  <c r="FZ120" i="6"/>
  <c r="FI120" i="6"/>
  <c r="FH120" i="6"/>
  <c r="FF120" i="6"/>
  <c r="FD120" i="6"/>
  <c r="FC120" i="6"/>
  <c r="FB120" i="6"/>
  <c r="N224" i="13"/>
  <c r="L212" i="13"/>
  <c r="FC148" i="6"/>
  <c r="EL148" i="6" s="1"/>
  <c r="N218" i="13"/>
  <c r="L206" i="13"/>
  <c r="FB138" i="6"/>
  <c r="FD126" i="6"/>
  <c r="FC126" i="6"/>
  <c r="FB126" i="6"/>
  <c r="FZ126" i="6"/>
  <c r="FF126" i="6"/>
  <c r="FH126" i="6"/>
  <c r="FG126" i="6"/>
  <c r="EP126" i="6" s="1"/>
  <c r="FI126" i="6"/>
  <c r="AB68" i="8"/>
  <c r="FY173" i="6"/>
  <c r="BX182" i="5"/>
  <c r="BG182" i="5"/>
  <c r="BY182" i="5"/>
  <c r="FH130" i="6"/>
  <c r="FZ130" i="6"/>
  <c r="FC130" i="6"/>
  <c r="FD130" i="6"/>
  <c r="FB130" i="6"/>
  <c r="FI130" i="6"/>
  <c r="FG130" i="6"/>
  <c r="FF130" i="6"/>
  <c r="EO130" i="6" s="1"/>
  <c r="FI104" i="6"/>
  <c r="FH104" i="6"/>
  <c r="FG104" i="6"/>
  <c r="FF104" i="6"/>
  <c r="FD104" i="6"/>
  <c r="FC104" i="6"/>
  <c r="FB104" i="6"/>
  <c r="FZ104" i="6"/>
  <c r="FG142" i="6"/>
  <c r="EP142" i="6" s="1"/>
  <c r="FF142" i="6"/>
  <c r="EO142" i="6" s="1"/>
  <c r="FD142" i="6"/>
  <c r="EM142" i="6" s="1"/>
  <c r="FC142" i="6"/>
  <c r="EL142" i="6" s="1"/>
  <c r="FB142" i="6"/>
  <c r="EK142" i="6" s="1"/>
  <c r="FZ142" i="6"/>
  <c r="FI142" i="6"/>
  <c r="FH142" i="6"/>
  <c r="EQ142" i="6" s="1"/>
  <c r="BX72" i="5"/>
  <c r="BG72" i="5"/>
  <c r="BY72" i="5"/>
  <c r="BX85" i="5"/>
  <c r="BG85" i="5"/>
  <c r="BY85" i="5"/>
  <c r="FG121" i="6"/>
  <c r="FF121" i="6"/>
  <c r="FD121" i="6"/>
  <c r="FC121" i="6"/>
  <c r="FB121" i="6"/>
  <c r="FI121" i="6"/>
  <c r="FH121" i="6"/>
  <c r="FZ121" i="6"/>
  <c r="FI119" i="6"/>
  <c r="FH119" i="6"/>
  <c r="FG119" i="6"/>
  <c r="EP119" i="6" s="1"/>
  <c r="FF119" i="6"/>
  <c r="FD119" i="6"/>
  <c r="FC119" i="6"/>
  <c r="FB119" i="6"/>
  <c r="FZ119" i="6"/>
  <c r="N220" i="13"/>
  <c r="L208" i="13"/>
  <c r="FF123" i="6"/>
  <c r="FD123" i="6"/>
  <c r="FC123" i="6"/>
  <c r="FB123" i="6"/>
  <c r="FH123" i="6"/>
  <c r="FZ123" i="6"/>
  <c r="FI123" i="6"/>
  <c r="FG123" i="6"/>
  <c r="EP123" i="6" s="1"/>
  <c r="BG52" i="5"/>
  <c r="BX52" i="5"/>
  <c r="BY52" i="5"/>
  <c r="FZ125" i="6"/>
  <c r="FI125" i="6"/>
  <c r="FF125" i="6"/>
  <c r="FB125" i="6"/>
  <c r="FH125" i="6"/>
  <c r="FG125" i="6"/>
  <c r="FD125" i="6"/>
  <c r="FC125" i="6"/>
  <c r="BX69" i="5"/>
  <c r="BY69" i="5"/>
  <c r="BG69" i="5"/>
  <c r="FI127" i="6"/>
  <c r="FH127" i="6"/>
  <c r="FG127" i="6"/>
  <c r="FF127" i="6"/>
  <c r="FD127" i="6"/>
  <c r="FC127" i="6"/>
  <c r="EL127" i="6" s="1"/>
  <c r="FB127" i="6"/>
  <c r="FZ127" i="6"/>
  <c r="AB412" i="8"/>
  <c r="FZ157" i="6"/>
  <c r="FI157" i="6"/>
  <c r="FF157" i="6"/>
  <c r="FH157" i="6"/>
  <c r="FG157" i="6"/>
  <c r="FE157" i="6"/>
  <c r="EN157" i="6" s="1"/>
  <c r="FD157" i="6"/>
  <c r="EM157" i="6" s="1"/>
  <c r="FC157" i="6"/>
  <c r="FB157" i="6"/>
  <c r="FF110" i="6"/>
  <c r="EO110" i="6" s="1"/>
  <c r="FD110" i="6"/>
  <c r="FC110" i="6"/>
  <c r="FB110" i="6"/>
  <c r="FZ110" i="6"/>
  <c r="FI110" i="6"/>
  <c r="FH110" i="6"/>
  <c r="FG110" i="6"/>
  <c r="AB494" i="8"/>
  <c r="EK60" i="6"/>
  <c r="FZ131" i="6"/>
  <c r="GA131" i="6" s="1"/>
  <c r="FI131" i="6"/>
  <c r="ER131" i="6" s="1"/>
  <c r="FH131" i="6"/>
  <c r="EQ131" i="6" s="1"/>
  <c r="FG131" i="6"/>
  <c r="EP131" i="6" s="1"/>
  <c r="FF131" i="6"/>
  <c r="EO131" i="6" s="1"/>
  <c r="FD131" i="6"/>
  <c r="EM131" i="6" s="1"/>
  <c r="EW131" i="6" s="1"/>
  <c r="FC131" i="6"/>
  <c r="EL131" i="6" s="1"/>
  <c r="FB131" i="6"/>
  <c r="FH144" i="6"/>
  <c r="EQ144" i="6" s="1"/>
  <c r="FZ144" i="6"/>
  <c r="FI144" i="6"/>
  <c r="FG144" i="6"/>
  <c r="EP144" i="6" s="1"/>
  <c r="FF144" i="6"/>
  <c r="EO144" i="6" s="1"/>
  <c r="FD144" i="6"/>
  <c r="EM144" i="6" s="1"/>
  <c r="FC144" i="6"/>
  <c r="FB144" i="6"/>
  <c r="FB149" i="6"/>
  <c r="FZ149" i="6"/>
  <c r="FG149" i="6"/>
  <c r="FI149" i="6"/>
  <c r="FF149" i="6"/>
  <c r="EO149" i="6" s="1"/>
  <c r="FE149" i="6"/>
  <c r="EN149" i="6" s="1"/>
  <c r="FZ115" i="6"/>
  <c r="FI115" i="6"/>
  <c r="FH115" i="6"/>
  <c r="FG115" i="6"/>
  <c r="FI140" i="6"/>
  <c r="FF140" i="6"/>
  <c r="FH140" i="6"/>
  <c r="FG140" i="6"/>
  <c r="FD140" i="6"/>
  <c r="FC140" i="6"/>
  <c r="FZ141" i="6"/>
  <c r="FI141" i="6"/>
  <c r="FH141" i="6"/>
  <c r="EQ141" i="6" s="1"/>
  <c r="FD141" i="6"/>
  <c r="EM141" i="6" s="1"/>
  <c r="FB141" i="6"/>
  <c r="EK141" i="6" s="1"/>
  <c r="FG141" i="6"/>
  <c r="EP141" i="6" s="1"/>
  <c r="FF141" i="6"/>
  <c r="EO141" i="6" s="1"/>
  <c r="FC141" i="6"/>
  <c r="EL141" i="6" s="1"/>
  <c r="EX80" i="6"/>
  <c r="FZ147" i="6"/>
  <c r="FI147" i="6"/>
  <c r="FF147" i="6"/>
  <c r="EO147" i="6" s="1"/>
  <c r="FB147" i="6"/>
  <c r="FD147" i="6"/>
  <c r="EM147" i="6" s="1"/>
  <c r="FC147" i="6"/>
  <c r="EL147" i="6" s="1"/>
  <c r="FH147" i="6"/>
  <c r="EQ147" i="6" s="1"/>
  <c r="FG147" i="6"/>
  <c r="FE147" i="6"/>
  <c r="EN147" i="6" s="1"/>
  <c r="FZ107" i="6"/>
  <c r="FZ152" i="6"/>
  <c r="FH152" i="6"/>
  <c r="FE152" i="6"/>
  <c r="FI152" i="6"/>
  <c r="FG152" i="6"/>
  <c r="FF152" i="6"/>
  <c r="EO152" i="6" s="1"/>
  <c r="FD152" i="6"/>
  <c r="EM152" i="6" s="1"/>
  <c r="FC152" i="6"/>
  <c r="FB152" i="6"/>
  <c r="BX60" i="5"/>
  <c r="BG60" i="5"/>
  <c r="BY60" i="5"/>
  <c r="K166" i="13"/>
  <c r="FY99" i="6"/>
  <c r="BG108" i="5"/>
  <c r="FZ99" i="6" s="1"/>
  <c r="BX108" i="5"/>
  <c r="BY108" i="5"/>
  <c r="L201" i="13"/>
  <c r="N213" i="13"/>
  <c r="FI162" i="6"/>
  <c r="L216" i="13"/>
  <c r="N228" i="13"/>
  <c r="FI132" i="6"/>
  <c r="FH132" i="6"/>
  <c r="FG132" i="6"/>
  <c r="EP132" i="6" s="1"/>
  <c r="FF132" i="6"/>
  <c r="FD132" i="6"/>
  <c r="EM132" i="6" s="1"/>
  <c r="FC132" i="6"/>
  <c r="FB132" i="6"/>
  <c r="FZ132" i="6"/>
  <c r="GQ78" i="6"/>
  <c r="CF87" i="5" s="1"/>
  <c r="CG87" i="5" s="1"/>
  <c r="BX70" i="5"/>
  <c r="BG70" i="5"/>
  <c r="BY70" i="5"/>
  <c r="FG103" i="6"/>
  <c r="EP103" i="6" s="1"/>
  <c r="FI103" i="6"/>
  <c r="FH103" i="6"/>
  <c r="FF103" i="6"/>
  <c r="FD103" i="6"/>
  <c r="FC103" i="6"/>
  <c r="FB103" i="6"/>
  <c r="FZ103" i="6"/>
  <c r="FZ136" i="6"/>
  <c r="FI136" i="6"/>
  <c r="FF136" i="6"/>
  <c r="EO136" i="6" s="1"/>
  <c r="FB136" i="6"/>
  <c r="EK136" i="6" s="1"/>
  <c r="FC136" i="6"/>
  <c r="EL136" i="6" s="1"/>
  <c r="FD136" i="6"/>
  <c r="FH136" i="6"/>
  <c r="FG136" i="6"/>
  <c r="EP136" i="6" s="1"/>
  <c r="FZ108" i="6"/>
  <c r="FI108" i="6"/>
  <c r="FF108" i="6"/>
  <c r="FB108" i="6"/>
  <c r="FH108" i="6"/>
  <c r="FG108" i="6"/>
  <c r="FD108" i="6"/>
  <c r="FC108" i="6"/>
  <c r="EL108" i="6" s="1"/>
  <c r="FZ101" i="6"/>
  <c r="FG101" i="6"/>
  <c r="FC101" i="6"/>
  <c r="FI101" i="6"/>
  <c r="FH101" i="6"/>
  <c r="FF101" i="6"/>
  <c r="FD101" i="6"/>
  <c r="FB101" i="6"/>
  <c r="FI133" i="6"/>
  <c r="FH133" i="6"/>
  <c r="FG133" i="6"/>
  <c r="EP133" i="6" s="1"/>
  <c r="FF133" i="6"/>
  <c r="EO133" i="6" s="1"/>
  <c r="FD133" i="6"/>
  <c r="EM133" i="6" s="1"/>
  <c r="FC133" i="6"/>
  <c r="FB133" i="6"/>
  <c r="EK133" i="6" s="1"/>
  <c r="FZ133" i="6"/>
  <c r="FY93" i="6"/>
  <c r="BX102" i="5"/>
  <c r="BG102" i="5"/>
  <c r="FZ93" i="6" s="1"/>
  <c r="BY102" i="5"/>
  <c r="L202" i="13"/>
  <c r="N214" i="13"/>
  <c r="FJ172" i="6"/>
  <c r="FH154" i="6"/>
  <c r="FG154" i="6"/>
  <c r="FF154" i="6"/>
  <c r="EO154" i="6" s="1"/>
  <c r="FE154" i="6"/>
  <c r="FD154" i="6"/>
  <c r="EM154" i="6" s="1"/>
  <c r="FC154" i="6"/>
  <c r="EL154" i="6" s="1"/>
  <c r="FB154" i="6"/>
  <c r="FZ154" i="6"/>
  <c r="FI154" i="6"/>
  <c r="BX81" i="5"/>
  <c r="BG81" i="5"/>
  <c r="BY81" i="5"/>
  <c r="FJ137" i="6"/>
  <c r="FC171" i="6"/>
  <c r="EL171" i="6" s="1"/>
  <c r="FB171" i="6"/>
  <c r="EK171" i="6" s="1"/>
  <c r="FZ171" i="6"/>
  <c r="FF171" i="6"/>
  <c r="EO171" i="6" s="1"/>
  <c r="FI171" i="6"/>
  <c r="ER171" i="6" s="1"/>
  <c r="FH171" i="6"/>
  <c r="EQ171" i="6" s="1"/>
  <c r="FE171" i="6"/>
  <c r="EN171" i="6" s="1"/>
  <c r="FD171" i="6"/>
  <c r="FG171" i="6"/>
  <c r="EP171" i="6" s="1"/>
  <c r="FF161" i="6"/>
  <c r="EO161" i="6" s="1"/>
  <c r="FE161" i="6"/>
  <c r="EN161" i="6" s="1"/>
  <c r="FD161" i="6"/>
  <c r="EM161" i="6" s="1"/>
  <c r="FC161" i="6"/>
  <c r="EL161" i="6" s="1"/>
  <c r="FB161" i="6"/>
  <c r="FZ161" i="6"/>
  <c r="FG161" i="6"/>
  <c r="EP161" i="6" s="1"/>
  <c r="FI161" i="6"/>
  <c r="ER161" i="6" s="1"/>
  <c r="FH161" i="6"/>
  <c r="EQ161" i="6" s="1"/>
  <c r="FI174" i="6"/>
  <c r="ER174" i="6" s="1"/>
  <c r="FH174" i="6"/>
  <c r="EQ174" i="6" s="1"/>
  <c r="FG174" i="6"/>
  <c r="EP174" i="6" s="1"/>
  <c r="FF174" i="6"/>
  <c r="EO174" i="6" s="1"/>
  <c r="FE174" i="6"/>
  <c r="EN174" i="6" s="1"/>
  <c r="FD166" i="6"/>
  <c r="FC166" i="6"/>
  <c r="FB166" i="6"/>
  <c r="EK166" i="6" s="1"/>
  <c r="FZ166" i="6"/>
  <c r="FI166" i="6"/>
  <c r="FH166" i="6"/>
  <c r="FG166" i="6"/>
  <c r="FF166" i="6"/>
  <c r="FE166" i="6"/>
  <c r="FJ113" i="6"/>
  <c r="L207" i="13"/>
  <c r="N219" i="13"/>
  <c r="L198" i="13"/>
  <c r="N210" i="13"/>
  <c r="FH105" i="6"/>
  <c r="FI105" i="6"/>
  <c r="FZ105" i="6"/>
  <c r="FG105" i="6"/>
  <c r="EP105" i="6" s="1"/>
  <c r="FF105" i="6"/>
  <c r="FD105" i="6"/>
  <c r="FC105" i="6"/>
  <c r="FB105" i="6"/>
  <c r="EO60" i="6"/>
  <c r="BG23" i="5"/>
  <c r="BY23" i="5"/>
  <c r="BX23" i="5"/>
  <c r="FJ145" i="6"/>
  <c r="FY86" i="6"/>
  <c r="BX95" i="5"/>
  <c r="BG95" i="5"/>
  <c r="FZ86" i="6" s="1"/>
  <c r="BY95" i="5"/>
  <c r="FH169" i="6"/>
  <c r="GK345" i="6"/>
  <c r="GL490" i="6"/>
  <c r="FS180" i="6"/>
  <c r="GK180" i="6"/>
  <c r="GN312" i="6"/>
  <c r="EK43" i="6"/>
  <c r="GI43" i="6"/>
  <c r="GJ169" i="6"/>
  <c r="GM492" i="6"/>
  <c r="Y510" i="8"/>
  <c r="GN105" i="6"/>
  <c r="GL317" i="6"/>
  <c r="GL280" i="6"/>
  <c r="EO119" i="6"/>
  <c r="GM119" i="6"/>
  <c r="GK488" i="6"/>
  <c r="GL230" i="6"/>
  <c r="GM253" i="6"/>
  <c r="Y518" i="8"/>
  <c r="Y476" i="8"/>
  <c r="GJ246" i="6"/>
  <c r="GM415" i="6"/>
  <c r="GK342" i="6"/>
  <c r="GL431" i="6"/>
  <c r="GL486" i="6"/>
  <c r="I10" i="10"/>
  <c r="FL152" i="6"/>
  <c r="FS152" i="6"/>
  <c r="GK152" i="6"/>
  <c r="GN279" i="6"/>
  <c r="EO93" i="6"/>
  <c r="GM93" i="6"/>
  <c r="EI229" i="6"/>
  <c r="GI229" i="6"/>
  <c r="Y66" i="8"/>
  <c r="EK130" i="6"/>
  <c r="GI130" i="6"/>
  <c r="GL329" i="6"/>
  <c r="GK256" i="6"/>
  <c r="GJ391" i="6"/>
  <c r="EK55" i="6"/>
  <c r="GI55" i="6"/>
  <c r="GK249" i="6"/>
  <c r="AK275" i="8"/>
  <c r="Y275" i="8"/>
  <c r="GM283" i="6"/>
  <c r="GJ421" i="6"/>
  <c r="Y129" i="8"/>
  <c r="W129" i="8"/>
  <c r="GI443" i="6"/>
  <c r="GM231" i="6"/>
  <c r="GN402" i="6"/>
  <c r="GO206" i="6"/>
  <c r="GL227" i="6"/>
  <c r="GJ413" i="6"/>
  <c r="GJ266" i="6"/>
  <c r="GM358" i="6"/>
  <c r="GI408" i="6"/>
  <c r="EK72" i="6"/>
  <c r="GI72" i="6"/>
  <c r="GJ308" i="6"/>
  <c r="Y426" i="8"/>
  <c r="B12" i="10"/>
  <c r="EM70" i="6"/>
  <c r="GK70" i="6"/>
  <c r="GM344" i="6"/>
  <c r="Y309" i="8"/>
  <c r="GI397" i="6"/>
  <c r="GJ472" i="6"/>
  <c r="GI166" i="6"/>
  <c r="GN252" i="6"/>
  <c r="Y435" i="8"/>
  <c r="Y416" i="8"/>
  <c r="Y84" i="8"/>
  <c r="Y220" i="8"/>
  <c r="AK220" i="8"/>
  <c r="GM289" i="6"/>
  <c r="GO440" i="6"/>
  <c r="GK347" i="6"/>
  <c r="GL182" i="6"/>
  <c r="GN362" i="6"/>
  <c r="GJ162" i="6"/>
  <c r="GN167" i="6"/>
  <c r="GL209" i="6"/>
  <c r="GI461" i="6"/>
  <c r="Y140" i="8"/>
  <c r="GK262" i="6"/>
  <c r="GN310" i="6"/>
  <c r="GK384" i="6"/>
  <c r="Y200" i="8"/>
  <c r="GO432" i="6"/>
  <c r="GM396" i="6"/>
  <c r="GL366" i="6"/>
  <c r="Y521" i="8"/>
  <c r="GN296" i="6"/>
  <c r="GK306" i="6"/>
  <c r="GL299" i="6"/>
  <c r="Y299" i="8"/>
  <c r="GN247" i="6"/>
  <c r="GJ327" i="6"/>
  <c r="GM416" i="6"/>
  <c r="GK356" i="6"/>
  <c r="FS212" i="6"/>
  <c r="GK212" i="6"/>
  <c r="GM110" i="6"/>
  <c r="EK39" i="6"/>
  <c r="GI39" i="6"/>
  <c r="GN107" i="6"/>
  <c r="GN390" i="6"/>
  <c r="GK270" i="6"/>
  <c r="GM224" i="6"/>
  <c r="GO196" i="6"/>
  <c r="Y221" i="8"/>
  <c r="W221" i="8"/>
  <c r="AK221" i="8"/>
  <c r="GK435" i="6"/>
  <c r="EO59" i="6"/>
  <c r="GM59" i="6"/>
  <c r="Y287" i="8"/>
  <c r="GK291" i="6"/>
  <c r="GJ376" i="6"/>
  <c r="GO426" i="6"/>
  <c r="GJ189" i="6"/>
  <c r="GI201" i="6"/>
  <c r="EL165" i="6"/>
  <c r="GJ165" i="6"/>
  <c r="GN195" i="6"/>
  <c r="EL113" i="6"/>
  <c r="GJ113" i="6"/>
  <c r="GK392" i="6"/>
  <c r="Y471" i="8"/>
  <c r="GK441" i="6"/>
  <c r="GL489" i="6"/>
  <c r="FS218" i="6"/>
  <c r="GK218" i="6"/>
  <c r="EO56" i="6"/>
  <c r="GM56" i="6"/>
  <c r="GJ127" i="6"/>
  <c r="GK281" i="6"/>
  <c r="GL321" i="6"/>
  <c r="GN219" i="6"/>
  <c r="GI464" i="6"/>
  <c r="GJ450" i="6"/>
  <c r="EP77" i="6"/>
  <c r="GN77" i="6"/>
  <c r="GM223" i="6"/>
  <c r="GJ370" i="6"/>
  <c r="Y406" i="8"/>
  <c r="GN433" i="6"/>
  <c r="I9" i="10"/>
  <c r="FL151" i="6"/>
  <c r="FS151" i="6"/>
  <c r="EM151" i="6"/>
  <c r="GK151" i="6"/>
  <c r="Y436" i="8"/>
  <c r="GN348" i="6"/>
  <c r="GM427" i="6"/>
  <c r="GK320" i="6"/>
  <c r="EK97" i="6"/>
  <c r="GI97" i="6"/>
  <c r="GO228" i="6"/>
  <c r="AK213" i="8"/>
  <c r="Y213" i="8"/>
  <c r="GK331" i="6"/>
  <c r="GM375" i="6"/>
  <c r="GN259" i="6"/>
  <c r="GM387" i="6"/>
  <c r="GJ483" i="6"/>
  <c r="GJ282" i="6"/>
  <c r="EI267" i="6"/>
  <c r="GI267" i="6"/>
  <c r="GJ428" i="6"/>
  <c r="Y451" i="8"/>
  <c r="GN232" i="6"/>
  <c r="GM367" i="6"/>
  <c r="EO139" i="6"/>
  <c r="GM139" i="6"/>
  <c r="GM288" i="6"/>
  <c r="GM322" i="6"/>
  <c r="GL434" i="6"/>
  <c r="Y490" i="8"/>
  <c r="GK419" i="6"/>
  <c r="GI269" i="6"/>
  <c r="GK382" i="6"/>
  <c r="GL168" i="6"/>
  <c r="GJ272" i="6"/>
  <c r="GN414" i="6"/>
  <c r="GO417" i="6"/>
  <c r="GN126" i="6"/>
  <c r="GL202" i="6"/>
  <c r="EP84" i="6"/>
  <c r="GN84" i="6"/>
  <c r="GI374" i="6"/>
  <c r="GK354" i="6"/>
  <c r="GK463" i="6"/>
  <c r="FS207" i="6"/>
  <c r="GK207" i="6"/>
  <c r="EO95" i="6"/>
  <c r="GM95" i="6"/>
  <c r="GL478" i="6"/>
  <c r="Y229" i="8"/>
  <c r="AK229" i="8"/>
  <c r="GK258" i="6"/>
  <c r="GM173" i="6"/>
  <c r="GJ216" i="6"/>
  <c r="Y396" i="8"/>
  <c r="AK233" i="8"/>
  <c r="Y233" i="8"/>
  <c r="GN456" i="6"/>
  <c r="AK249" i="8"/>
  <c r="Y249" i="8"/>
  <c r="Y481" i="8"/>
  <c r="GI155" i="6"/>
  <c r="EH185" i="6"/>
  <c r="EG185" i="6"/>
  <c r="Y313" i="8"/>
  <c r="W313" i="8"/>
  <c r="V453" i="8"/>
  <c r="AA453" i="8" s="1"/>
  <c r="U453" i="8"/>
  <c r="Z453" i="8" s="1"/>
  <c r="DY392" i="6"/>
  <c r="GP87" i="6"/>
  <c r="GL424" i="6"/>
  <c r="EH447" i="6"/>
  <c r="EG447" i="6"/>
  <c r="EF447" i="6"/>
  <c r="EA447" i="6"/>
  <c r="ED447" i="6"/>
  <c r="Y377" i="8"/>
  <c r="W377" i="8"/>
  <c r="EH91" i="6"/>
  <c r="EA91" i="6"/>
  <c r="EB91" i="6"/>
  <c r="EG91" i="6"/>
  <c r="GN331" i="6"/>
  <c r="EE483" i="6"/>
  <c r="T143" i="8"/>
  <c r="EI359" i="6"/>
  <c r="GI359" i="6"/>
  <c r="GM440" i="6"/>
  <c r="FS190" i="6"/>
  <c r="GK190" i="6"/>
  <c r="GL181" i="6"/>
  <c r="GJ319" i="6"/>
  <c r="AB186" i="8"/>
  <c r="EK56" i="6"/>
  <c r="Y204" i="8"/>
  <c r="AK204" i="8"/>
  <c r="GO433" i="6"/>
  <c r="W443" i="8"/>
  <c r="Y443" i="8"/>
  <c r="AB443" i="8" s="1"/>
  <c r="GK238" i="6"/>
  <c r="GN374" i="6"/>
  <c r="Y434" i="8"/>
  <c r="EH309" i="6"/>
  <c r="EA309" i="6"/>
  <c r="GJ267" i="6"/>
  <c r="GL373" i="6"/>
  <c r="GK303" i="6"/>
  <c r="T342" i="8"/>
  <c r="EH473" i="6"/>
  <c r="EA473" i="6"/>
  <c r="EG473" i="6"/>
  <c r="EB473" i="6"/>
  <c r="EK18" i="6"/>
  <c r="EI18" i="6"/>
  <c r="GM394" i="6"/>
  <c r="R537" i="8"/>
  <c r="FG135" i="6"/>
  <c r="EP135" i="6" s="1"/>
  <c r="GN135" i="6"/>
  <c r="GO434" i="6"/>
  <c r="EH350" i="6"/>
  <c r="ED350" i="6"/>
  <c r="EB350" i="6"/>
  <c r="EG350" i="6"/>
  <c r="DY350" i="6"/>
  <c r="GN160" i="6"/>
  <c r="GQ44" i="6"/>
  <c r="CF53" i="5" s="1"/>
  <c r="CG53" i="5" s="1"/>
  <c r="GJ491" i="6"/>
  <c r="GJ108" i="6"/>
  <c r="GJ406" i="6"/>
  <c r="V543" i="8"/>
  <c r="AA543" i="8" s="1"/>
  <c r="U543" i="8"/>
  <c r="Z543" i="8" s="1"/>
  <c r="EH48" i="6"/>
  <c r="EE48" i="6"/>
  <c r="EC48" i="6"/>
  <c r="EA48" i="6"/>
  <c r="EF48" i="6"/>
  <c r="EB48" i="6"/>
  <c r="EM50" i="6"/>
  <c r="GK50" i="6"/>
  <c r="EA279" i="6"/>
  <c r="GO425" i="6"/>
  <c r="AB368" i="8"/>
  <c r="V16" i="8"/>
  <c r="R16" i="8"/>
  <c r="U16" i="8"/>
  <c r="GM164" i="6"/>
  <c r="GN144" i="6"/>
  <c r="GK311" i="6"/>
  <c r="EB445" i="6"/>
  <c r="Y199" i="8"/>
  <c r="W199" i="8"/>
  <c r="AB482" i="8"/>
  <c r="EB317" i="6"/>
  <c r="EH449" i="6"/>
  <c r="EB449" i="6"/>
  <c r="DY449" i="6"/>
  <c r="EP137" i="6"/>
  <c r="GN137" i="6"/>
  <c r="EH208" i="6"/>
  <c r="EG208" i="6"/>
  <c r="EC208" i="6"/>
  <c r="EB208" i="6"/>
  <c r="GM306" i="6"/>
  <c r="Y89" i="8"/>
  <c r="GO396" i="6"/>
  <c r="T532" i="8"/>
  <c r="EN154" i="6"/>
  <c r="GL154" i="6"/>
  <c r="GO318" i="6"/>
  <c r="EB380" i="6"/>
  <c r="EH487" i="6"/>
  <c r="EA487" i="6"/>
  <c r="EF487" i="6"/>
  <c r="GJ399" i="6"/>
  <c r="EA216" i="6"/>
  <c r="ED473" i="6"/>
  <c r="V448" i="8"/>
  <c r="AA448" i="8" s="1"/>
  <c r="T448" i="8"/>
  <c r="Y144" i="8"/>
  <c r="T458" i="8"/>
  <c r="GJ490" i="6"/>
  <c r="GO162" i="6"/>
  <c r="EF218" i="6"/>
  <c r="GL402" i="6"/>
  <c r="V392" i="8"/>
  <c r="AA392" i="8" s="1"/>
  <c r="U392" i="8"/>
  <c r="Z392" i="8" s="1"/>
  <c r="R392" i="8"/>
  <c r="GJ34" i="6"/>
  <c r="GJ231" i="6"/>
  <c r="GK353" i="6"/>
  <c r="GP475" i="6"/>
  <c r="V376" i="8"/>
  <c r="AA376" i="8" s="1"/>
  <c r="U376" i="8"/>
  <c r="Z376" i="8" s="1"/>
  <c r="T417" i="8"/>
  <c r="GN306" i="6"/>
  <c r="EA386" i="6"/>
  <c r="EH386" i="6"/>
  <c r="DY386" i="6"/>
  <c r="Y514" i="8"/>
  <c r="GL389" i="6"/>
  <c r="EH245" i="6"/>
  <c r="ED245" i="6"/>
  <c r="DY245" i="6"/>
  <c r="EG245" i="6"/>
  <c r="GK328" i="6"/>
  <c r="EE185" i="6"/>
  <c r="EA474" i="6"/>
  <c r="W331" i="8"/>
  <c r="Y331" i="8"/>
  <c r="Y438" i="8"/>
  <c r="W438" i="8"/>
  <c r="EH186" i="6"/>
  <c r="EA186" i="6"/>
  <c r="ED186" i="6"/>
  <c r="GK336" i="6"/>
  <c r="ED453" i="6"/>
  <c r="EA257" i="6"/>
  <c r="GO287" i="6"/>
  <c r="EH353" i="6"/>
  <c r="EA353" i="6"/>
  <c r="W148" i="8"/>
  <c r="Y148" i="8"/>
  <c r="EG353" i="6"/>
  <c r="Y255" i="8"/>
  <c r="W255" i="8"/>
  <c r="AK255" i="8"/>
  <c r="EH412" i="6"/>
  <c r="EG412" i="6"/>
  <c r="EA412" i="6"/>
  <c r="GO490" i="6"/>
  <c r="EG450" i="6"/>
  <c r="GP188" i="6"/>
  <c r="R297" i="8"/>
  <c r="GO360" i="6"/>
  <c r="GJ405" i="6"/>
  <c r="GL423" i="6"/>
  <c r="GO381" i="6"/>
  <c r="EH19" i="6"/>
  <c r="EE19" i="6"/>
  <c r="EC19" i="6"/>
  <c r="EB19" i="6"/>
  <c r="EG19" i="6"/>
  <c r="EF19" i="6"/>
  <c r="GM171" i="6"/>
  <c r="GJ243" i="6"/>
  <c r="GM414" i="6"/>
  <c r="GK16" i="6"/>
  <c r="EH108" i="6"/>
  <c r="EF108" i="6"/>
  <c r="EE108" i="6"/>
  <c r="EG108" i="6"/>
  <c r="EH243" i="6"/>
  <c r="EF243" i="6"/>
  <c r="DY243" i="6"/>
  <c r="EG243" i="6"/>
  <c r="ED243" i="6"/>
  <c r="GM430" i="6"/>
  <c r="Y431" i="8"/>
  <c r="C10" i="10"/>
  <c r="EM80" i="6"/>
  <c r="ES80" i="6" s="1"/>
  <c r="GJ215" i="6"/>
  <c r="GI183" i="6"/>
  <c r="GK288" i="6"/>
  <c r="GL394" i="6"/>
  <c r="GJ141" i="6"/>
  <c r="GJ274" i="6"/>
  <c r="EA354" i="6"/>
  <c r="Y70" i="8"/>
  <c r="W70" i="8"/>
  <c r="R342" i="8"/>
  <c r="GK391" i="6"/>
  <c r="GM485" i="6"/>
  <c r="GJ134" i="6"/>
  <c r="GN197" i="6"/>
  <c r="GK406" i="6"/>
  <c r="GN452" i="6"/>
  <c r="AB114" i="8"/>
  <c r="EH255" i="6"/>
  <c r="EE255" i="6"/>
  <c r="EG255" i="6"/>
  <c r="EG387" i="6"/>
  <c r="EH399" i="6"/>
  <c r="EF399" i="6"/>
  <c r="EG399" i="6"/>
  <c r="EC399" i="6"/>
  <c r="GM469" i="6"/>
  <c r="V162" i="8"/>
  <c r="AA162" i="8" s="1"/>
  <c r="U162" i="8"/>
  <c r="Z162" i="8" s="1"/>
  <c r="GN272" i="6"/>
  <c r="GI286" i="6"/>
  <c r="EH484" i="6"/>
  <c r="EG484" i="6"/>
  <c r="EB484" i="6"/>
  <c r="ER89" i="6"/>
  <c r="GP89" i="6"/>
  <c r="EW26" i="6"/>
  <c r="EC282" i="6"/>
  <c r="GM297" i="6"/>
  <c r="GN394" i="6"/>
  <c r="EB463" i="6"/>
  <c r="EP99" i="6"/>
  <c r="GN99" i="6"/>
  <c r="EA207" i="6"/>
  <c r="EF208" i="6"/>
  <c r="GO273" i="6"/>
  <c r="GJ311" i="6"/>
  <c r="EC387" i="6"/>
  <c r="ER98" i="6"/>
  <c r="GP98" i="6"/>
  <c r="GM250" i="6"/>
  <c r="FS224" i="6"/>
  <c r="GK224" i="6"/>
  <c r="GN397" i="6"/>
  <c r="EF489" i="6"/>
  <c r="FG134" i="6"/>
  <c r="EP134" i="6" s="1"/>
  <c r="GN134" i="6"/>
  <c r="GL224" i="6"/>
  <c r="GN377" i="6"/>
  <c r="Y492" i="8"/>
  <c r="AB492" i="8" s="1"/>
  <c r="W492" i="8"/>
  <c r="FT89" i="6"/>
  <c r="GA89" i="6"/>
  <c r="GN223" i="6"/>
  <c r="EH13" i="6"/>
  <c r="EE13" i="6"/>
  <c r="EC13" i="6"/>
  <c r="EB13" i="6"/>
  <c r="EG13" i="6"/>
  <c r="EF13" i="6"/>
  <c r="GO168" i="6"/>
  <c r="EH383" i="6"/>
  <c r="ED383" i="6"/>
  <c r="EB383" i="6"/>
  <c r="EA383" i="6"/>
  <c r="EG383" i="6"/>
  <c r="DY383" i="6"/>
  <c r="GL323" i="6"/>
  <c r="EG48" i="6"/>
  <c r="ER50" i="6"/>
  <c r="GP50" i="6"/>
  <c r="GK415" i="6"/>
  <c r="T16" i="8"/>
  <c r="W16" i="8" s="1"/>
  <c r="EH15" i="6"/>
  <c r="EE15" i="6"/>
  <c r="EC15" i="6"/>
  <c r="EB15" i="6"/>
  <c r="EG15" i="6"/>
  <c r="EF15" i="6"/>
  <c r="GM134" i="6"/>
  <c r="GM401" i="6"/>
  <c r="V151" i="8"/>
  <c r="AA151" i="8" s="1"/>
  <c r="T151" i="8"/>
  <c r="GM338" i="6"/>
  <c r="GL459" i="6"/>
  <c r="EA449" i="6"/>
  <c r="EW40" i="6"/>
  <c r="EH120" i="6"/>
  <c r="EE120" i="6"/>
  <c r="EA120" i="6"/>
  <c r="EB120" i="6"/>
  <c r="DY120" i="6"/>
  <c r="EG120" i="6"/>
  <c r="EA208" i="6"/>
  <c r="GM345" i="6"/>
  <c r="EH418" i="6"/>
  <c r="EA418" i="6"/>
  <c r="DY418" i="6"/>
  <c r="EF484" i="6"/>
  <c r="V89" i="8"/>
  <c r="AA89" i="8" s="1"/>
  <c r="U89" i="8"/>
  <c r="Z89" i="8" s="1"/>
  <c r="V455" i="8"/>
  <c r="AA455" i="8" s="1"/>
  <c r="U455" i="8"/>
  <c r="Z455" i="8" s="1"/>
  <c r="R455" i="8"/>
  <c r="FS203" i="6"/>
  <c r="GK203" i="6"/>
  <c r="EC279" i="6"/>
  <c r="GP485" i="6"/>
  <c r="R89" i="8"/>
  <c r="GO315" i="6"/>
  <c r="GN217" i="6"/>
  <c r="GP318" i="6"/>
  <c r="V528" i="8"/>
  <c r="AA528" i="8" s="1"/>
  <c r="R528" i="8"/>
  <c r="GJ150" i="6"/>
  <c r="EG282" i="6"/>
  <c r="Y337" i="8"/>
  <c r="W337" i="8"/>
  <c r="V144" i="8"/>
  <c r="AA144" i="8" s="1"/>
  <c r="U144" i="8"/>
  <c r="Z144" i="8" s="1"/>
  <c r="GJ301" i="6"/>
  <c r="FB135" i="6"/>
  <c r="EK135" i="6" s="1"/>
  <c r="EI135" i="6"/>
  <c r="GI135" i="6"/>
  <c r="ED166" i="6"/>
  <c r="DY282" i="6"/>
  <c r="GM404" i="6"/>
  <c r="H9" i="10"/>
  <c r="EM139" i="6"/>
  <c r="FS139" i="6"/>
  <c r="GK139" i="6"/>
  <c r="GP34" i="6"/>
  <c r="GK378" i="6"/>
  <c r="EA475" i="6"/>
  <c r="T376" i="8"/>
  <c r="GL337" i="6"/>
  <c r="EB386" i="6"/>
  <c r="V514" i="8"/>
  <c r="AA514" i="8" s="1"/>
  <c r="U514" i="8"/>
  <c r="EF289" i="6"/>
  <c r="V159" i="8"/>
  <c r="AA159" i="8" s="1"/>
  <c r="U159" i="8"/>
  <c r="Z159" i="8" s="1"/>
  <c r="V152" i="8"/>
  <c r="AA152" i="8" s="1"/>
  <c r="U152" i="8"/>
  <c r="Z152" i="8" s="1"/>
  <c r="EA245" i="6"/>
  <c r="V38" i="8"/>
  <c r="U38" i="8"/>
  <c r="I12" i="10"/>
  <c r="FS154" i="6"/>
  <c r="FL154" i="6"/>
  <c r="GK154" i="6"/>
  <c r="V438" i="8"/>
  <c r="AA438" i="8" s="1"/>
  <c r="R438" i="8"/>
  <c r="U438" i="8"/>
  <c r="Z438" i="8" s="1"/>
  <c r="EH125" i="6"/>
  <c r="EB125" i="6"/>
  <c r="EG125" i="6"/>
  <c r="EC125" i="6"/>
  <c r="DY125" i="6"/>
  <c r="EF125" i="6"/>
  <c r="GM133" i="6"/>
  <c r="EB186" i="6"/>
  <c r="EE314" i="6"/>
  <c r="Y515" i="8"/>
  <c r="AB515" i="8" s="1"/>
  <c r="W515" i="8"/>
  <c r="EC232" i="6"/>
  <c r="EB353" i="6"/>
  <c r="V255" i="8"/>
  <c r="AA255" i="8" s="1"/>
  <c r="U255" i="8"/>
  <c r="Z255" i="8" s="1"/>
  <c r="F6" i="10"/>
  <c r="FS112" i="6"/>
  <c r="GK112" i="6"/>
  <c r="W534" i="8"/>
  <c r="Y534" i="8"/>
  <c r="AB534" i="8" s="1"/>
  <c r="EB412" i="6"/>
  <c r="DY113" i="6"/>
  <c r="ES66" i="6"/>
  <c r="AB110" i="8"/>
  <c r="GP360" i="6"/>
  <c r="W58" i="8"/>
  <c r="GL405" i="6"/>
  <c r="GP423" i="6"/>
  <c r="GN381" i="6"/>
  <c r="EA19" i="6"/>
  <c r="GM14" i="6"/>
  <c r="DY108" i="6"/>
  <c r="GN156" i="6"/>
  <c r="EC410" i="6"/>
  <c r="Y126" i="8"/>
  <c r="W126" i="8"/>
  <c r="R384" i="8"/>
  <c r="EA108" i="6"/>
  <c r="EA243" i="6"/>
  <c r="GM333" i="6"/>
  <c r="GJ452" i="6"/>
  <c r="Y132" i="8"/>
  <c r="W132" i="8"/>
  <c r="GO156" i="6"/>
  <c r="EE127" i="6"/>
  <c r="EH183" i="6"/>
  <c r="EG183" i="6"/>
  <c r="EF183" i="6"/>
  <c r="EC309" i="6"/>
  <c r="DY492" i="6"/>
  <c r="EH470" i="6"/>
  <c r="EA470" i="6"/>
  <c r="ED470" i="6"/>
  <c r="GN71" i="6"/>
  <c r="EP71" i="6"/>
  <c r="GN170" i="6"/>
  <c r="GK324" i="6"/>
  <c r="GO438" i="6"/>
  <c r="T321" i="8"/>
  <c r="GK22" i="6"/>
  <c r="EE329" i="6"/>
  <c r="GM24" i="6"/>
  <c r="EC137" i="6"/>
  <c r="GO226" i="6"/>
  <c r="GJ322" i="6"/>
  <c r="EH422" i="6"/>
  <c r="DY422" i="6"/>
  <c r="EE422" i="6"/>
  <c r="EC487" i="6"/>
  <c r="EO99" i="6"/>
  <c r="GM99" i="6"/>
  <c r="EA255" i="6"/>
  <c r="EB347" i="6"/>
  <c r="GN364" i="6"/>
  <c r="EC456" i="6"/>
  <c r="T162" i="8"/>
  <c r="R487" i="8"/>
  <c r="G6" i="10"/>
  <c r="FS124" i="6"/>
  <c r="GK124" i="6"/>
  <c r="EE97" i="6"/>
  <c r="FS191" i="6"/>
  <c r="GK191" i="6"/>
  <c r="EH286" i="6"/>
  <c r="ED286" i="6"/>
  <c r="EF286" i="6"/>
  <c r="EB286" i="6"/>
  <c r="EF375" i="6"/>
  <c r="V226" i="8"/>
  <c r="AA226" i="8" s="1"/>
  <c r="U226" i="8"/>
  <c r="Z226" i="8" s="1"/>
  <c r="EA484" i="6"/>
  <c r="GM175" i="6"/>
  <c r="GK305" i="6"/>
  <c r="EE350" i="6"/>
  <c r="EC450" i="6"/>
  <c r="R419" i="8"/>
  <c r="GJ194" i="6"/>
  <c r="DY279" i="6"/>
  <c r="EE309" i="6"/>
  <c r="ED432" i="6"/>
  <c r="EF173" i="6"/>
  <c r="EG281" i="6"/>
  <c r="GN315" i="6"/>
  <c r="EE453" i="6"/>
  <c r="EH250" i="6"/>
  <c r="DY250" i="6"/>
  <c r="EF250" i="6"/>
  <c r="EG250" i="6"/>
  <c r="ED250" i="6"/>
  <c r="EA250" i="6"/>
  <c r="EG342" i="6"/>
  <c r="V78" i="8"/>
  <c r="AA78" i="8" s="1"/>
  <c r="U78" i="8"/>
  <c r="Z78" i="8" s="1"/>
  <c r="R78" i="8"/>
  <c r="Y326" i="8"/>
  <c r="W326" i="8"/>
  <c r="T285" i="8"/>
  <c r="U528" i="8"/>
  <c r="Z528" i="8" s="1"/>
  <c r="EW89" i="6"/>
  <c r="EE312" i="6"/>
  <c r="Y71" i="8"/>
  <c r="W71" i="8"/>
  <c r="T375" i="8"/>
  <c r="GN124" i="6"/>
  <c r="GO161" i="6"/>
  <c r="EW34" i="6"/>
  <c r="EA13" i="6"/>
  <c r="GJ298" i="6"/>
  <c r="EH481" i="6"/>
  <c r="EA481" i="6"/>
  <c r="ED481" i="6"/>
  <c r="V511" i="8"/>
  <c r="AA511" i="8" s="1"/>
  <c r="R511" i="8"/>
  <c r="T511" i="8"/>
  <c r="ED380" i="6"/>
  <c r="EI87" i="6"/>
  <c r="EK87" i="6"/>
  <c r="EH123" i="6"/>
  <c r="EC123" i="6"/>
  <c r="EA123" i="6"/>
  <c r="EB123" i="6"/>
  <c r="EG123" i="6"/>
  <c r="GM290" i="6"/>
  <c r="U451" i="8"/>
  <c r="R500" i="8"/>
  <c r="EH193" i="6"/>
  <c r="EG193" i="6"/>
  <c r="EF193" i="6"/>
  <c r="EC193" i="6"/>
  <c r="AB128" i="8"/>
  <c r="Y125" i="8"/>
  <c r="W125" i="8"/>
  <c r="EA15" i="6"/>
  <c r="EI134" i="6"/>
  <c r="GI134" i="6"/>
  <c r="GO221" i="6"/>
  <c r="GM398" i="6"/>
  <c r="U151" i="8"/>
  <c r="Z151" i="8" s="1"/>
  <c r="U542" i="8"/>
  <c r="Z542" i="8" s="1"/>
  <c r="GL349" i="6"/>
  <c r="GP459" i="6"/>
  <c r="V96" i="8"/>
  <c r="AA96" i="8" s="1"/>
  <c r="U96" i="8"/>
  <c r="Z96" i="8" s="1"/>
  <c r="EF120" i="6"/>
  <c r="ED199" i="6"/>
  <c r="EH199" i="6"/>
  <c r="EA199" i="6"/>
  <c r="EE199" i="6"/>
  <c r="Y81" i="8"/>
  <c r="W81" i="8"/>
  <c r="U487" i="8"/>
  <c r="Z487" i="8" s="1"/>
  <c r="T455" i="8"/>
  <c r="R195" i="8"/>
  <c r="EQ118" i="6"/>
  <c r="GO118" i="6"/>
  <c r="GN284" i="6"/>
  <c r="DY412" i="6"/>
  <c r="EA485" i="6"/>
  <c r="T316" i="8"/>
  <c r="EC127" i="6"/>
  <c r="GM303" i="6"/>
  <c r="AB74" i="8"/>
  <c r="T528" i="8"/>
  <c r="GJ315" i="6"/>
  <c r="U220" i="8"/>
  <c r="V337" i="8"/>
  <c r="AA337" i="8" s="1"/>
  <c r="U337" i="8"/>
  <c r="Z337" i="8" s="1"/>
  <c r="W185" i="8"/>
  <c r="Y185" i="8"/>
  <c r="EC327" i="6"/>
  <c r="EH135" i="6"/>
  <c r="EC135" i="6"/>
  <c r="EG135" i="6"/>
  <c r="EH157" i="6"/>
  <c r="EF157" i="6"/>
  <c r="EA157" i="6"/>
  <c r="EG157" i="6"/>
  <c r="EB157" i="6"/>
  <c r="EE157" i="6"/>
  <c r="H4" i="10"/>
  <c r="FS134" i="6"/>
  <c r="GK134" i="6"/>
  <c r="EH305" i="6"/>
  <c r="EA305" i="6"/>
  <c r="EF305" i="6"/>
  <c r="EH103" i="6"/>
  <c r="EG103" i="6"/>
  <c r="EE103" i="6"/>
  <c r="EC103" i="6"/>
  <c r="EB103" i="6"/>
  <c r="DY486" i="6"/>
  <c r="GK34" i="6"/>
  <c r="ED305" i="6"/>
  <c r="EH403" i="6"/>
  <c r="ED403" i="6"/>
  <c r="EA403" i="6"/>
  <c r="EG403" i="6"/>
  <c r="EB403" i="6"/>
  <c r="EF403" i="6"/>
  <c r="V307" i="8"/>
  <c r="AA307" i="8" s="1"/>
  <c r="R307" i="8"/>
  <c r="U472" i="8"/>
  <c r="Z472" i="8" s="1"/>
  <c r="GJ337" i="6"/>
  <c r="GM465" i="6"/>
  <c r="V523" i="8"/>
  <c r="AA523" i="8" s="1"/>
  <c r="T523" i="8"/>
  <c r="R523" i="8"/>
  <c r="GK330" i="6"/>
  <c r="T159" i="8"/>
  <c r="T152" i="8"/>
  <c r="GO293" i="6"/>
  <c r="T38" i="8"/>
  <c r="W38" i="8" s="1"/>
  <c r="H8" i="10"/>
  <c r="FS138" i="6"/>
  <c r="GK138" i="6"/>
  <c r="EC492" i="6"/>
  <c r="EH241" i="6"/>
  <c r="EA241" i="6"/>
  <c r="EF241" i="6"/>
  <c r="EG241" i="6"/>
  <c r="ED241" i="6"/>
  <c r="EA125" i="6"/>
  <c r="EI343" i="6"/>
  <c r="GJ457" i="6"/>
  <c r="W254" i="8"/>
  <c r="EH204" i="6"/>
  <c r="EB204" i="6"/>
  <c r="EF204" i="6"/>
  <c r="DY426" i="6"/>
  <c r="T384" i="8"/>
  <c r="ED272" i="6"/>
  <c r="EB269" i="6"/>
  <c r="T450" i="8"/>
  <c r="EB481" i="6"/>
  <c r="GN457" i="6"/>
  <c r="EI187" i="6"/>
  <c r="GI187" i="6"/>
  <c r="EI66" i="6"/>
  <c r="GL161" i="6"/>
  <c r="W110" i="8"/>
  <c r="AB58" i="8"/>
  <c r="GN405" i="6"/>
  <c r="W240" i="8"/>
  <c r="GL381" i="6"/>
  <c r="AB139" i="8"/>
  <c r="GM211" i="6"/>
  <c r="EH25" i="6"/>
  <c r="EE25" i="6"/>
  <c r="EC25" i="6"/>
  <c r="EB25" i="6"/>
  <c r="EG25" i="6"/>
  <c r="EF25" i="6"/>
  <c r="EH387" i="6"/>
  <c r="EB387" i="6"/>
  <c r="ED387" i="6"/>
  <c r="EA387" i="6"/>
  <c r="EF387" i="6"/>
  <c r="EI236" i="6"/>
  <c r="GI236" i="6"/>
  <c r="V266" i="8"/>
  <c r="AA266" i="8" s="1"/>
  <c r="U266" i="8"/>
  <c r="Z266" i="8" s="1"/>
  <c r="R266" i="8"/>
  <c r="GK289" i="6"/>
  <c r="Y546" i="8"/>
  <c r="EH277" i="6"/>
  <c r="EA277" i="6"/>
  <c r="ED277" i="6"/>
  <c r="EG277" i="6"/>
  <c r="GI265" i="6"/>
  <c r="Y379" i="8"/>
  <c r="GL314" i="6"/>
  <c r="GL369" i="6"/>
  <c r="EH466" i="6"/>
  <c r="ED466" i="6"/>
  <c r="EE466" i="6"/>
  <c r="EG466" i="6"/>
  <c r="EA466" i="6"/>
  <c r="GP146" i="6"/>
  <c r="GO190" i="6"/>
  <c r="GK479" i="6"/>
  <c r="EW22" i="6"/>
  <c r="EA259" i="6"/>
  <c r="EH248" i="6"/>
  <c r="EA248" i="6"/>
  <c r="EF248" i="6"/>
  <c r="EG248" i="6"/>
  <c r="EP92" i="6"/>
  <c r="GN92" i="6"/>
  <c r="GP109" i="6"/>
  <c r="EH480" i="6"/>
  <c r="ED480" i="6"/>
  <c r="EA480" i="6"/>
  <c r="EF480" i="6"/>
  <c r="EE480" i="6"/>
  <c r="EG480" i="6"/>
  <c r="GK301" i="6"/>
  <c r="GL346" i="6"/>
  <c r="EH233" i="6"/>
  <c r="EG233" i="6"/>
  <c r="EF233" i="6"/>
  <c r="V469" i="8"/>
  <c r="AA469" i="8" s="1"/>
  <c r="U469" i="8"/>
  <c r="Z469" i="8" s="1"/>
  <c r="EL89" i="6"/>
  <c r="GJ89" i="6"/>
  <c r="GN300" i="6"/>
  <c r="EH462" i="6"/>
  <c r="EG462" i="6"/>
  <c r="EA462" i="6"/>
  <c r="EF462" i="6"/>
  <c r="ED462" i="6"/>
  <c r="EB462" i="6"/>
  <c r="AB394" i="8"/>
  <c r="GM252" i="6"/>
  <c r="V406" i="8"/>
  <c r="AA406" i="8" s="1"/>
  <c r="R406" i="8"/>
  <c r="U406" i="8"/>
  <c r="GK243" i="6"/>
  <c r="GL226" i="6"/>
  <c r="EA140" i="6"/>
  <c r="EH140" i="6"/>
  <c r="EF140" i="6"/>
  <c r="EE140" i="6"/>
  <c r="EB140" i="6"/>
  <c r="EG140" i="6"/>
  <c r="GL334" i="6"/>
  <c r="W41" i="8"/>
  <c r="GO430" i="6"/>
  <c r="GK452" i="6"/>
  <c r="DY166" i="6"/>
  <c r="T4" i="8"/>
  <c r="GN297" i="6"/>
  <c r="DY25" i="6"/>
  <c r="GJ331" i="6"/>
  <c r="EC462" i="6"/>
  <c r="EH257" i="6"/>
  <c r="EG257" i="6"/>
  <c r="EF257" i="6"/>
  <c r="EB257" i="6"/>
  <c r="GM311" i="6"/>
  <c r="EA100" i="6"/>
  <c r="GL198" i="6"/>
  <c r="EH461" i="6"/>
  <c r="EF461" i="6"/>
  <c r="EC461" i="6"/>
  <c r="EG461" i="6"/>
  <c r="ED461" i="6"/>
  <c r="EA212" i="6"/>
  <c r="GM459" i="6"/>
  <c r="GP314" i="6"/>
  <c r="U293" i="8"/>
  <c r="Z293" i="8" s="1"/>
  <c r="V293" i="8"/>
  <c r="AA293" i="8" s="1"/>
  <c r="EH332" i="6"/>
  <c r="EA332" i="6"/>
  <c r="GN438" i="6"/>
  <c r="GO319" i="6"/>
  <c r="GO416" i="6"/>
  <c r="AB231" i="8"/>
  <c r="GI204" i="6"/>
  <c r="EI204" i="6"/>
  <c r="EI161" i="6"/>
  <c r="GI161" i="6"/>
  <c r="GJ378" i="6"/>
  <c r="U276" i="8"/>
  <c r="Z276" i="8" s="1"/>
  <c r="V276" i="8"/>
  <c r="AA276" i="8" s="1"/>
  <c r="EH307" i="6"/>
  <c r="EC307" i="6"/>
  <c r="ED307" i="6"/>
  <c r="EA307" i="6"/>
  <c r="EF307" i="6"/>
  <c r="EF127" i="6"/>
  <c r="GN203" i="6"/>
  <c r="GP337" i="6"/>
  <c r="EB166" i="6"/>
  <c r="AK241" i="8"/>
  <c r="W241" i="8"/>
  <c r="Y241" i="8"/>
  <c r="DY408" i="6"/>
  <c r="EA247" i="6"/>
  <c r="GI373" i="6"/>
  <c r="GM136" i="6"/>
  <c r="GP22" i="6"/>
  <c r="EB384" i="6"/>
  <c r="GM264" i="6"/>
  <c r="FS220" i="6"/>
  <c r="GK220" i="6"/>
  <c r="GK250" i="6"/>
  <c r="EH472" i="6"/>
  <c r="EA472" i="6"/>
  <c r="EG472" i="6"/>
  <c r="GL221" i="6"/>
  <c r="EH420" i="6"/>
  <c r="EA420" i="6"/>
  <c r="W445" i="8"/>
  <c r="Y445" i="8"/>
  <c r="AB445" i="8" s="1"/>
  <c r="GN34" i="6"/>
  <c r="EI303" i="6"/>
  <c r="GI303" i="6"/>
  <c r="EH179" i="6"/>
  <c r="EG179" i="6"/>
  <c r="ED179" i="6"/>
  <c r="EF179" i="6"/>
  <c r="EB179" i="6"/>
  <c r="DY440" i="6"/>
  <c r="V428" i="8"/>
  <c r="AA428" i="8" s="1"/>
  <c r="U428" i="8"/>
  <c r="Z428" i="8" s="1"/>
  <c r="R428" i="8"/>
  <c r="EF450" i="6"/>
  <c r="AB395" i="8"/>
  <c r="EC268" i="6"/>
  <c r="EB137" i="6"/>
  <c r="EA224" i="6"/>
  <c r="EB224" i="6"/>
  <c r="GN478" i="6"/>
  <c r="GI346" i="6"/>
  <c r="GM274" i="6"/>
  <c r="EI131" i="6"/>
  <c r="P6" i="10"/>
  <c r="O6" i="10"/>
  <c r="N6" i="10"/>
  <c r="M6" i="10"/>
  <c r="L6" i="10"/>
  <c r="K6" i="10"/>
  <c r="Q6" i="10"/>
  <c r="J6" i="10"/>
  <c r="FL160" i="6"/>
  <c r="FS160" i="6"/>
  <c r="GK160" i="6"/>
  <c r="GJ160" i="6"/>
  <c r="ED289" i="6"/>
  <c r="AB94" i="8"/>
  <c r="DY296" i="6"/>
  <c r="EW18" i="6"/>
  <c r="EI328" i="6"/>
  <c r="GI328" i="6"/>
  <c r="GK349" i="6"/>
  <c r="GL379" i="6"/>
  <c r="EF299" i="6"/>
  <c r="GN24" i="6"/>
  <c r="G4" i="10"/>
  <c r="FS122" i="6"/>
  <c r="GK122" i="6"/>
  <c r="GJ191" i="6"/>
  <c r="FS209" i="6"/>
  <c r="GK209" i="6"/>
  <c r="GP430" i="6"/>
  <c r="EI377" i="6"/>
  <c r="GI377" i="6"/>
  <c r="GK236" i="6"/>
  <c r="ED472" i="6"/>
  <c r="EB168" i="6"/>
  <c r="EA173" i="6"/>
  <c r="V498" i="8"/>
  <c r="AA498" i="8" s="1"/>
  <c r="U498" i="8"/>
  <c r="Z498" i="8" s="1"/>
  <c r="EP90" i="6"/>
  <c r="GN90" i="6"/>
  <c r="V48" i="8"/>
  <c r="U48" i="8"/>
  <c r="GL171" i="6"/>
  <c r="GJ198" i="6"/>
  <c r="EB283" i="6"/>
  <c r="DY419" i="6"/>
  <c r="EC350" i="6"/>
  <c r="V437" i="8"/>
  <c r="AA437" i="8" s="1"/>
  <c r="U437" i="8"/>
  <c r="Z437" i="8" s="1"/>
  <c r="GN369" i="6"/>
  <c r="V493" i="8"/>
  <c r="AA493" i="8" s="1"/>
  <c r="R493" i="8"/>
  <c r="U493" i="8"/>
  <c r="Z493" i="8" s="1"/>
  <c r="GP491" i="6"/>
  <c r="EB185" i="6"/>
  <c r="R453" i="8"/>
  <c r="U236" i="8"/>
  <c r="Z236" i="8" s="1"/>
  <c r="GO356" i="6"/>
  <c r="V410" i="8"/>
  <c r="AA410" i="8" s="1"/>
  <c r="R410" i="8"/>
  <c r="EF329" i="6"/>
  <c r="EH96" i="6"/>
  <c r="EG96" i="6"/>
  <c r="EA96" i="6"/>
  <c r="EB96" i="6"/>
  <c r="ED375" i="6"/>
  <c r="EI297" i="6"/>
  <c r="GI297" i="6"/>
  <c r="EH471" i="6"/>
  <c r="EA471" i="6"/>
  <c r="EH275" i="6"/>
  <c r="EG275" i="6"/>
  <c r="EA275" i="6"/>
  <c r="GL311" i="6"/>
  <c r="EI200" i="6"/>
  <c r="GI200" i="6"/>
  <c r="DY432" i="6"/>
  <c r="W118" i="8"/>
  <c r="GP328" i="6"/>
  <c r="GN239" i="6"/>
  <c r="EH221" i="6"/>
  <c r="EB221" i="6"/>
  <c r="EA221" i="6"/>
  <c r="EF221" i="6"/>
  <c r="GL157" i="6"/>
  <c r="EF186" i="6"/>
  <c r="GL293" i="6"/>
  <c r="GK369" i="6"/>
  <c r="EH114" i="6"/>
  <c r="EE114" i="6"/>
  <c r="EB114" i="6"/>
  <c r="EG114" i="6"/>
  <c r="EF114" i="6"/>
  <c r="GL187" i="6"/>
  <c r="EE232" i="6"/>
  <c r="GL370" i="6"/>
  <c r="EE481" i="6"/>
  <c r="R321" i="8"/>
  <c r="DY190" i="6"/>
  <c r="EG309" i="6"/>
  <c r="GM446" i="6"/>
  <c r="EH494" i="6"/>
  <c r="EC494" i="6"/>
  <c r="DY162" i="6"/>
  <c r="DY183" i="6"/>
  <c r="EF342" i="6"/>
  <c r="EF420" i="6"/>
  <c r="V130" i="8"/>
  <c r="AA130" i="8" s="1"/>
  <c r="T130" i="8"/>
  <c r="EO88" i="6"/>
  <c r="GM88" i="6"/>
  <c r="GJ175" i="6"/>
  <c r="DY246" i="6"/>
  <c r="GM376" i="6"/>
  <c r="EB382" i="6"/>
  <c r="ED165" i="6"/>
  <c r="GL295" i="6"/>
  <c r="EB410" i="6"/>
  <c r="EG101" i="6"/>
  <c r="EH205" i="6"/>
  <c r="EA205" i="6"/>
  <c r="EE205" i="6"/>
  <c r="EG205" i="6"/>
  <c r="EG354" i="6"/>
  <c r="T250" i="8"/>
  <c r="EF277" i="6"/>
  <c r="EA230" i="6"/>
  <c r="EG392" i="6"/>
  <c r="EC491" i="6"/>
  <c r="T354" i="8"/>
  <c r="EH122" i="6"/>
  <c r="EG122" i="6"/>
  <c r="EF122" i="6"/>
  <c r="EB122" i="6"/>
  <c r="EE122" i="6"/>
  <c r="H13" i="10"/>
  <c r="FS143" i="6"/>
  <c r="EC168" i="6"/>
  <c r="EC296" i="6"/>
  <c r="GJ454" i="6"/>
  <c r="EW68" i="6"/>
  <c r="GJ223" i="6"/>
  <c r="DY308" i="6"/>
  <c r="GO401" i="6"/>
  <c r="ER60" i="6"/>
  <c r="GP60" i="6"/>
  <c r="GN141" i="6"/>
  <c r="GK300" i="6"/>
  <c r="EB464" i="6"/>
  <c r="GL446" i="6"/>
  <c r="GM141" i="6"/>
  <c r="DY288" i="6"/>
  <c r="EA430" i="6"/>
  <c r="W145" i="8"/>
  <c r="Y145" i="8"/>
  <c r="V541" i="8"/>
  <c r="AA541" i="8" s="1"/>
  <c r="T541" i="8"/>
  <c r="R162" i="8"/>
  <c r="EH176" i="6"/>
  <c r="EA176" i="6"/>
  <c r="EG176" i="6"/>
  <c r="EB176" i="6"/>
  <c r="EF176" i="6"/>
  <c r="EH409" i="6"/>
  <c r="EG409" i="6"/>
  <c r="GN56" i="6"/>
  <c r="GJ153" i="6"/>
  <c r="EA209" i="6"/>
  <c r="EG475" i="6"/>
  <c r="EI143" i="6"/>
  <c r="W506" i="8"/>
  <c r="EI133" i="6"/>
  <c r="GI133" i="6"/>
  <c r="EC227" i="6"/>
  <c r="GM236" i="6"/>
  <c r="AK209" i="8"/>
  <c r="Y209" i="8"/>
  <c r="W209" i="8"/>
  <c r="V516" i="8"/>
  <c r="AA516" i="8" s="1"/>
  <c r="R516" i="8"/>
  <c r="GM177" i="6"/>
  <c r="EL61" i="6"/>
  <c r="GJ61" i="6"/>
  <c r="GO349" i="6"/>
  <c r="T433" i="8"/>
  <c r="T273" i="8"/>
  <c r="GP160" i="6"/>
  <c r="U419" i="8"/>
  <c r="Z419" i="8" s="1"/>
  <c r="V265" i="8"/>
  <c r="AA265" i="8" s="1"/>
  <c r="T265" i="8"/>
  <c r="R265" i="8"/>
  <c r="EI61" i="6"/>
  <c r="EC165" i="6"/>
  <c r="GK302" i="6"/>
  <c r="ED416" i="6"/>
  <c r="R408" i="8"/>
  <c r="T498" i="8"/>
  <c r="EC426" i="6"/>
  <c r="W497" i="8"/>
  <c r="R417" i="8"/>
  <c r="DY266" i="6"/>
  <c r="EE390" i="6"/>
  <c r="Y349" i="8"/>
  <c r="W349" i="8"/>
  <c r="U203" i="8"/>
  <c r="Z203" i="8" s="1"/>
  <c r="EC471" i="6"/>
  <c r="EL90" i="6"/>
  <c r="GJ90" i="6"/>
  <c r="EH446" i="6"/>
  <c r="EG446" i="6"/>
  <c r="EA446" i="6"/>
  <c r="EB446" i="6"/>
  <c r="EF446" i="6"/>
  <c r="T48" i="8"/>
  <c r="W48" i="8" s="1"/>
  <c r="V218" i="8"/>
  <c r="AA218" i="8" s="1"/>
  <c r="U218" i="8"/>
  <c r="Z218" i="8" s="1"/>
  <c r="R218" i="8"/>
  <c r="AB360" i="8"/>
  <c r="GP171" i="6"/>
  <c r="R304" i="8"/>
  <c r="GP198" i="6"/>
  <c r="EH285" i="6"/>
  <c r="ED285" i="6"/>
  <c r="EF285" i="6"/>
  <c r="EA285" i="6"/>
  <c r="EG285" i="6"/>
  <c r="AB157" i="8"/>
  <c r="EB339" i="6"/>
  <c r="GN451" i="6"/>
  <c r="GL284" i="6"/>
  <c r="EB313" i="6"/>
  <c r="U149" i="8"/>
  <c r="Z149" i="8" s="1"/>
  <c r="EE275" i="6"/>
  <c r="V155" i="8"/>
  <c r="AA155" i="8" s="1"/>
  <c r="T155" i="8"/>
  <c r="EI406" i="6"/>
  <c r="GI406" i="6"/>
  <c r="EQ64" i="6"/>
  <c r="GO64" i="6"/>
  <c r="EF130" i="6"/>
  <c r="GJ431" i="6"/>
  <c r="EG494" i="6"/>
  <c r="V491" i="8"/>
  <c r="AA491" i="8" s="1"/>
  <c r="U491" i="8"/>
  <c r="Z491" i="8" s="1"/>
  <c r="R491" i="8"/>
  <c r="DY95" i="6"/>
  <c r="EG308" i="6"/>
  <c r="AB88" i="8"/>
  <c r="U479" i="8"/>
  <c r="Z479" i="8" s="1"/>
  <c r="T493" i="8"/>
  <c r="GN40" i="6"/>
  <c r="W95" i="8"/>
  <c r="EA491" i="6"/>
  <c r="EE410" i="6"/>
  <c r="R469" i="8"/>
  <c r="U509" i="8"/>
  <c r="Z509" i="8" s="1"/>
  <c r="EH324" i="6"/>
  <c r="EA324" i="6"/>
  <c r="ED324" i="6"/>
  <c r="EG324" i="6"/>
  <c r="EH293" i="6"/>
  <c r="EA293" i="6"/>
  <c r="U359" i="8"/>
  <c r="Z359" i="8" s="1"/>
  <c r="EB255" i="6"/>
  <c r="EH69" i="6"/>
  <c r="EC69" i="6"/>
  <c r="EA69" i="6"/>
  <c r="EB69" i="6"/>
  <c r="EE69" i="6"/>
  <c r="EG69" i="6"/>
  <c r="EC257" i="6"/>
  <c r="GK364" i="6"/>
  <c r="W548" i="8"/>
  <c r="Y548" i="8"/>
  <c r="AB548" i="8" s="1"/>
  <c r="EG199" i="6"/>
  <c r="W21" i="8"/>
  <c r="Y335" i="8"/>
  <c r="W335" i="8"/>
  <c r="T410" i="8"/>
  <c r="GM323" i="6"/>
  <c r="EE96" i="6"/>
  <c r="AB227" i="8"/>
  <c r="EE310" i="6"/>
  <c r="GO297" i="6"/>
  <c r="EF470" i="6"/>
  <c r="W353" i="8"/>
  <c r="Y353" i="8"/>
  <c r="EB275" i="6"/>
  <c r="EB321" i="6"/>
  <c r="EH200" i="6"/>
  <c r="EE200" i="6"/>
  <c r="EG200" i="6"/>
  <c r="DY200" i="6"/>
  <c r="EF200" i="6"/>
  <c r="ED483" i="6"/>
  <c r="GP330" i="6"/>
  <c r="R396" i="8"/>
  <c r="GK235" i="6"/>
  <c r="W363" i="8"/>
  <c r="GJ239" i="6"/>
  <c r="GJ294" i="6"/>
  <c r="V427" i="8"/>
  <c r="AA427" i="8" s="1"/>
  <c r="U427" i="8"/>
  <c r="Z427" i="8" s="1"/>
  <c r="V352" i="8"/>
  <c r="AA352" i="8" s="1"/>
  <c r="U352" i="8"/>
  <c r="Z352" i="8" s="1"/>
  <c r="EH358" i="6"/>
  <c r="EC358" i="6"/>
  <c r="EA358" i="6"/>
  <c r="GL148" i="6"/>
  <c r="EA25" i="6"/>
  <c r="AB137" i="8"/>
  <c r="T427" i="8"/>
  <c r="EK58" i="6"/>
  <c r="GI58" i="6"/>
  <c r="EI188" i="6"/>
  <c r="GI188" i="6"/>
  <c r="GM165" i="6"/>
  <c r="EH365" i="6"/>
  <c r="EB365" i="6"/>
  <c r="ED365" i="6"/>
  <c r="EA365" i="6"/>
  <c r="EE365" i="6"/>
  <c r="GL276" i="6"/>
  <c r="GO306" i="6"/>
  <c r="V378" i="8"/>
  <c r="AA378" i="8" s="1"/>
  <c r="R378" i="8"/>
  <c r="GO332" i="6"/>
  <c r="V286" i="8"/>
  <c r="AA286" i="8" s="1"/>
  <c r="U286" i="8"/>
  <c r="Z286" i="8" s="1"/>
  <c r="GN424" i="6"/>
  <c r="GM442" i="6"/>
  <c r="GK221" i="6"/>
  <c r="FS221" i="6"/>
  <c r="FS202" i="6"/>
  <c r="GK202" i="6"/>
  <c r="GM278" i="6"/>
  <c r="DY443" i="6"/>
  <c r="EI452" i="6"/>
  <c r="GI452" i="6"/>
  <c r="EH279" i="6"/>
  <c r="EE279" i="6"/>
  <c r="T378" i="8"/>
  <c r="EH192" i="6"/>
  <c r="EG192" i="6"/>
  <c r="EA192" i="6"/>
  <c r="EH362" i="6"/>
  <c r="EG362" i="6"/>
  <c r="ED362" i="6"/>
  <c r="EB362" i="6"/>
  <c r="EA362" i="6"/>
  <c r="EB309" i="6"/>
  <c r="GK272" i="6"/>
  <c r="V481" i="8"/>
  <c r="AA481" i="8" s="1"/>
  <c r="U481" i="8"/>
  <c r="Z481" i="8" s="1"/>
  <c r="EO172" i="6"/>
  <c r="GM172" i="6"/>
  <c r="GO188" i="6"/>
  <c r="EH488" i="6"/>
  <c r="EA488" i="6"/>
  <c r="DY488" i="6"/>
  <c r="EG488" i="6"/>
  <c r="V223" i="8"/>
  <c r="AA223" i="8" s="1"/>
  <c r="U223" i="8"/>
  <c r="Z223" i="8" s="1"/>
  <c r="EH55" i="6"/>
  <c r="EC55" i="6"/>
  <c r="EF55" i="6"/>
  <c r="EE55" i="6"/>
  <c r="EG55" i="6"/>
  <c r="EB55" i="6"/>
  <c r="EI55" i="6" s="1"/>
  <c r="GM298" i="6"/>
  <c r="T304" i="8"/>
  <c r="GO479" i="6"/>
  <c r="GN444" i="6"/>
  <c r="GL415" i="6"/>
  <c r="GM493" i="6"/>
  <c r="GK24" i="6"/>
  <c r="EW30" i="6"/>
  <c r="GJ388" i="6"/>
  <c r="EF426" i="6"/>
  <c r="EH335" i="6"/>
  <c r="EA335" i="6"/>
  <c r="EG335" i="6"/>
  <c r="GM413" i="6"/>
  <c r="GM273" i="6"/>
  <c r="DY218" i="6"/>
  <c r="EH247" i="6"/>
  <c r="ED247" i="6"/>
  <c r="EE247" i="6"/>
  <c r="EG247" i="6"/>
  <c r="EB247" i="6"/>
  <c r="GM429" i="6"/>
  <c r="T167" i="8"/>
  <c r="EH436" i="6"/>
  <c r="EB436" i="6"/>
  <c r="EA436" i="6"/>
  <c r="ED436" i="6"/>
  <c r="GJ213" i="6"/>
  <c r="EC129" i="6"/>
  <c r="GL239" i="6"/>
  <c r="GM424" i="6"/>
  <c r="EH196" i="6"/>
  <c r="EF196" i="6"/>
  <c r="ED196" i="6"/>
  <c r="EC196" i="6"/>
  <c r="EA196" i="6"/>
  <c r="EB196" i="6"/>
  <c r="EE196" i="6"/>
  <c r="V272" i="8"/>
  <c r="AA272" i="8" s="1"/>
  <c r="T272" i="8"/>
  <c r="T479" i="8"/>
  <c r="EA252" i="6"/>
  <c r="EF393" i="6"/>
  <c r="V57" i="8"/>
  <c r="AA57" i="8" s="1"/>
  <c r="T57" i="8"/>
  <c r="V409" i="8"/>
  <c r="AA409" i="8" s="1"/>
  <c r="R409" i="8"/>
  <c r="EI80" i="6"/>
  <c r="EI260" i="6"/>
  <c r="EH116" i="6"/>
  <c r="EA116" i="6"/>
  <c r="EB116" i="6"/>
  <c r="DY116" i="6"/>
  <c r="EG116" i="6"/>
  <c r="EC116" i="6"/>
  <c r="EE116" i="6"/>
  <c r="EP82" i="6"/>
  <c r="GN82" i="6"/>
  <c r="V238" i="8"/>
  <c r="AA238" i="8" s="1"/>
  <c r="U238" i="8"/>
  <c r="Z238" i="8" s="1"/>
  <c r="EH486" i="6"/>
  <c r="EA486" i="6"/>
  <c r="R352" i="8"/>
  <c r="DY248" i="6"/>
  <c r="Y362" i="8"/>
  <c r="W362" i="8"/>
  <c r="GM191" i="6"/>
  <c r="AB393" i="8"/>
  <c r="GL147" i="6"/>
  <c r="EH427" i="6"/>
  <c r="EG427" i="6"/>
  <c r="GK423" i="6"/>
  <c r="GL396" i="6"/>
  <c r="EC348" i="6"/>
  <c r="V208" i="8"/>
  <c r="AA208" i="8" s="1"/>
  <c r="R208" i="8"/>
  <c r="EW88" i="6"/>
  <c r="EH313" i="6"/>
  <c r="ED313" i="6"/>
  <c r="EC313" i="6"/>
  <c r="EB296" i="6"/>
  <c r="GJ12" i="6"/>
  <c r="GK265" i="6"/>
  <c r="GJ478" i="6"/>
  <c r="EB419" i="6"/>
  <c r="GN356" i="6"/>
  <c r="EF116" i="6"/>
  <c r="EF280" i="6"/>
  <c r="GN430" i="6"/>
  <c r="ER142" i="6"/>
  <c r="GP142" i="6"/>
  <c r="FT88" i="6"/>
  <c r="Y218" i="8"/>
  <c r="W218" i="8"/>
  <c r="AK218" i="8"/>
  <c r="DY19" i="6"/>
  <c r="DY289" i="6"/>
  <c r="GO491" i="6"/>
  <c r="EE129" i="6"/>
  <c r="EA419" i="6"/>
  <c r="V249" i="8"/>
  <c r="R249" i="8"/>
  <c r="U249" i="8"/>
  <c r="Z249" i="8" s="1"/>
  <c r="GP40" i="6"/>
  <c r="GN229" i="6"/>
  <c r="AB268" i="8"/>
  <c r="R542" i="8"/>
  <c r="V66" i="8"/>
  <c r="AA66" i="8" s="1"/>
  <c r="U66" i="8"/>
  <c r="Z66" i="8" s="1"/>
  <c r="EI235" i="6"/>
  <c r="GI235" i="6"/>
  <c r="ED208" i="6"/>
  <c r="DY247" i="6"/>
  <c r="GN337" i="6"/>
  <c r="EE432" i="6"/>
  <c r="GI494" i="6"/>
  <c r="GM20" i="6"/>
  <c r="EE257" i="6"/>
  <c r="EH215" i="6"/>
  <c r="EG215" i="6"/>
  <c r="GN360" i="6"/>
  <c r="GL413" i="6"/>
  <c r="GN465" i="6"/>
  <c r="V206" i="8"/>
  <c r="AA206" i="8" s="1"/>
  <c r="T206" i="8"/>
  <c r="V459" i="8"/>
  <c r="AA459" i="8" s="1"/>
  <c r="R459" i="8"/>
  <c r="U459" i="8"/>
  <c r="Z459" i="8" s="1"/>
  <c r="GM225" i="6"/>
  <c r="DY215" i="6"/>
  <c r="GK310" i="6"/>
  <c r="ED399" i="6"/>
  <c r="EH45" i="6"/>
  <c r="EE45" i="6"/>
  <c r="EC45" i="6"/>
  <c r="EB45" i="6"/>
  <c r="EF45" i="6"/>
  <c r="EG45" i="6"/>
  <c r="EC183" i="6"/>
  <c r="GP315" i="6"/>
  <c r="ED412" i="6"/>
  <c r="GM159" i="6"/>
  <c r="GN57" i="6"/>
  <c r="GN180" i="6"/>
  <c r="EF358" i="6"/>
  <c r="GN437" i="6"/>
  <c r="GP28" i="6"/>
  <c r="EH184" i="6"/>
  <c r="EE184" i="6"/>
  <c r="EF184" i="6"/>
  <c r="ED184" i="6"/>
  <c r="EB184" i="6"/>
  <c r="EA184" i="6"/>
  <c r="EG184" i="6"/>
  <c r="GO304" i="6"/>
  <c r="GO482" i="6"/>
  <c r="EF392" i="6"/>
  <c r="GI122" i="6"/>
  <c r="EF96" i="6"/>
  <c r="DY286" i="6"/>
  <c r="EB494" i="6"/>
  <c r="R130" i="8"/>
  <c r="AB270" i="8"/>
  <c r="GM276" i="6"/>
  <c r="EF388" i="6"/>
  <c r="V14" i="8"/>
  <c r="U14" i="8"/>
  <c r="W14" i="8" s="1"/>
  <c r="Y329" i="8"/>
  <c r="EP60" i="6"/>
  <c r="GN60" i="6"/>
  <c r="EE272" i="6"/>
  <c r="GK274" i="6"/>
  <c r="EB443" i="6"/>
  <c r="ED487" i="6"/>
  <c r="GP141" i="6"/>
  <c r="EG288" i="6"/>
  <c r="W269" i="8"/>
  <c r="AK269" i="8"/>
  <c r="Y269" i="8"/>
  <c r="V369" i="8"/>
  <c r="AA369" i="8" s="1"/>
  <c r="U369" i="8"/>
  <c r="Z369" i="8" s="1"/>
  <c r="R369" i="8"/>
  <c r="Y530" i="8"/>
  <c r="W530" i="8"/>
  <c r="GI409" i="6"/>
  <c r="GO455" i="6"/>
  <c r="GN188" i="6"/>
  <c r="EH240" i="6"/>
  <c r="EA240" i="6"/>
  <c r="EG240" i="6"/>
  <c r="DY240" i="6"/>
  <c r="ED240" i="6"/>
  <c r="AB506" i="8"/>
  <c r="EE270" i="6"/>
  <c r="H3" i="10"/>
  <c r="FS133" i="6"/>
  <c r="GK133" i="6"/>
  <c r="W158" i="8"/>
  <c r="EC380" i="6"/>
  <c r="Y516" i="8"/>
  <c r="EH163" i="6"/>
  <c r="ED163" i="6"/>
  <c r="EC163" i="6"/>
  <c r="EE163" i="6"/>
  <c r="EB163" i="6"/>
  <c r="EO61" i="6"/>
  <c r="GM61" i="6"/>
  <c r="GJ381" i="6"/>
  <c r="Y87" i="8"/>
  <c r="W87" i="8"/>
  <c r="V525" i="8"/>
  <c r="AA525" i="8" s="1"/>
  <c r="U525" i="8"/>
  <c r="Z525" i="8" s="1"/>
  <c r="R525" i="8"/>
  <c r="V239" i="8"/>
  <c r="AA239" i="8" s="1"/>
  <c r="T239" i="8"/>
  <c r="EF215" i="6"/>
  <c r="EE315" i="6"/>
  <c r="EG419" i="6"/>
  <c r="W192" i="8"/>
  <c r="V462" i="8"/>
  <c r="AA462" i="8" s="1"/>
  <c r="R462" i="8"/>
  <c r="V446" i="8"/>
  <c r="AA446" i="8" s="1"/>
  <c r="U446" i="8"/>
  <c r="Z446" i="8" s="1"/>
  <c r="V181" i="8"/>
  <c r="AA181" i="8" s="1"/>
  <c r="T181" i="8"/>
  <c r="AB497" i="8"/>
  <c r="U536" i="8"/>
  <c r="Z536" i="8" s="1"/>
  <c r="EH369" i="6"/>
  <c r="EA369" i="6"/>
  <c r="EG369" i="6"/>
  <c r="EE369" i="6"/>
  <c r="U431" i="8"/>
  <c r="EO90" i="6"/>
  <c r="GM90" i="6"/>
  <c r="GK446" i="6"/>
  <c r="U208" i="8"/>
  <c r="Z208" i="8" s="1"/>
  <c r="AB513" i="8"/>
  <c r="DY169" i="6"/>
  <c r="V463" i="8"/>
  <c r="AA463" i="8" s="1"/>
  <c r="R463" i="8"/>
  <c r="U463" i="8"/>
  <c r="Z463" i="8" s="1"/>
  <c r="GJ136" i="6"/>
  <c r="GJ285" i="6"/>
  <c r="EC397" i="6"/>
  <c r="W157" i="8"/>
  <c r="EH333" i="6"/>
  <c r="EA333" i="6"/>
  <c r="GO451" i="6"/>
  <c r="EE186" i="6"/>
  <c r="GN303" i="6"/>
  <c r="DY456" i="6"/>
  <c r="Y398" i="8"/>
  <c r="AB398" i="8" s="1"/>
  <c r="W398" i="8"/>
  <c r="GJ377" i="6"/>
  <c r="GP406" i="6"/>
  <c r="V435" i="8"/>
  <c r="AA435" i="8" s="1"/>
  <c r="U435" i="8"/>
  <c r="Z435" i="8" s="1"/>
  <c r="ER64" i="6"/>
  <c r="GP64" i="6"/>
  <c r="DY186" i="6"/>
  <c r="Y491" i="8"/>
  <c r="W491" i="8"/>
  <c r="EH76" i="6"/>
  <c r="EC76" i="6"/>
  <c r="EA76" i="6"/>
  <c r="EB76" i="6"/>
  <c r="EF76" i="6"/>
  <c r="EE450" i="6"/>
  <c r="GN12" i="6"/>
  <c r="EH72" i="6"/>
  <c r="EE72" i="6"/>
  <c r="EC72" i="6"/>
  <c r="EB72" i="6"/>
  <c r="EG72" i="6"/>
  <c r="EF72" i="6"/>
  <c r="EF91" i="6"/>
  <c r="EH326" i="6"/>
  <c r="EA326" i="6"/>
  <c r="ED326" i="6"/>
  <c r="EH394" i="6"/>
  <c r="EA394" i="6"/>
  <c r="EG394" i="6"/>
  <c r="DY394" i="6"/>
  <c r="W88" i="8"/>
  <c r="V253" i="8"/>
  <c r="AA253" i="8" s="1"/>
  <c r="R253" i="8"/>
  <c r="U253" i="8"/>
  <c r="Z253" i="8" s="1"/>
  <c r="R521" i="8"/>
  <c r="GO40" i="6"/>
  <c r="AB95" i="8"/>
  <c r="GI395" i="6"/>
  <c r="GN220" i="6"/>
  <c r="GI112" i="6"/>
  <c r="Y333" i="8"/>
  <c r="W333" i="8"/>
  <c r="DY207" i="6"/>
  <c r="GO330" i="6"/>
  <c r="GJ293" i="6"/>
  <c r="GN131" i="6"/>
  <c r="U424" i="8"/>
  <c r="Z424" i="8" s="1"/>
  <c r="DY275" i="6"/>
  <c r="EF69" i="6"/>
  <c r="DY135" i="6"/>
  <c r="EB212" i="6"/>
  <c r="DY331" i="6"/>
  <c r="R299" i="8"/>
  <c r="EH364" i="6"/>
  <c r="EA364" i="6"/>
  <c r="EG364" i="6"/>
  <c r="EB364" i="6"/>
  <c r="DY332" i="6"/>
  <c r="R84" i="8"/>
  <c r="U418" i="8"/>
  <c r="Z418" i="8" s="1"/>
  <c r="EC192" i="6"/>
  <c r="ED244" i="6"/>
  <c r="DY353" i="6"/>
  <c r="V332" i="8"/>
  <c r="AA332" i="8" s="1"/>
  <c r="U332" i="8"/>
  <c r="Z332" i="8" s="1"/>
  <c r="EH242" i="6"/>
  <c r="EF242" i="6"/>
  <c r="ED242" i="6"/>
  <c r="ED322" i="6"/>
  <c r="GP297" i="6"/>
  <c r="V401" i="8"/>
  <c r="AA401" i="8" s="1"/>
  <c r="U401" i="8"/>
  <c r="Z401" i="8" s="1"/>
  <c r="R401" i="8"/>
  <c r="T330" i="8"/>
  <c r="ED275" i="6"/>
  <c r="EI330" i="6"/>
  <c r="GI330" i="6"/>
  <c r="DY233" i="6"/>
  <c r="FT131" i="6"/>
  <c r="GJ235" i="6"/>
  <c r="Y507" i="8"/>
  <c r="AB507" i="8" s="1"/>
  <c r="W507" i="8"/>
  <c r="AB363" i="8"/>
  <c r="EI239" i="6"/>
  <c r="GI239" i="6"/>
  <c r="GK428" i="6"/>
  <c r="EK21" i="6"/>
  <c r="GN391" i="6"/>
  <c r="GK329" i="6"/>
  <c r="GK322" i="6"/>
  <c r="Y442" i="8"/>
  <c r="W442" i="8"/>
  <c r="GN308" i="6"/>
  <c r="GN163" i="6"/>
  <c r="V91" i="8"/>
  <c r="AA91" i="8" s="1"/>
  <c r="U91" i="8"/>
  <c r="Z91" i="8" s="1"/>
  <c r="GO286" i="6"/>
  <c r="W169" i="8"/>
  <c r="Y169" i="8"/>
  <c r="GL292" i="6"/>
  <c r="T500" i="8"/>
  <c r="GJ183" i="6"/>
  <c r="GI198" i="6"/>
  <c r="EI198" i="6"/>
  <c r="GP148" i="6"/>
  <c r="GN385" i="6"/>
  <c r="V313" i="8"/>
  <c r="AA313" i="8" s="1"/>
  <c r="U313" i="8"/>
  <c r="Z313" i="8" s="1"/>
  <c r="GN445" i="6"/>
  <c r="EK16" i="6"/>
  <c r="EI16" i="6"/>
  <c r="V429" i="8"/>
  <c r="AA429" i="8" s="1"/>
  <c r="U429" i="8"/>
  <c r="Z429" i="8" s="1"/>
  <c r="R429" i="8"/>
  <c r="GJ345" i="6"/>
  <c r="GK413" i="6"/>
  <c r="GM471" i="6"/>
  <c r="GO280" i="6"/>
  <c r="Y297" i="8"/>
  <c r="EC185" i="6"/>
  <c r="EB447" i="6"/>
  <c r="Y142" i="8"/>
  <c r="W142" i="8"/>
  <c r="V261" i="8"/>
  <c r="AA261" i="8" s="1"/>
  <c r="U261" i="8"/>
  <c r="Z261" i="8" s="1"/>
  <c r="V529" i="8"/>
  <c r="AA529" i="8" s="1"/>
  <c r="U529" i="8"/>
  <c r="Z529" i="8" s="1"/>
  <c r="Y106" i="8"/>
  <c r="W106" i="8"/>
  <c r="FS189" i="6"/>
  <c r="GK189" i="6"/>
  <c r="GJ359" i="6"/>
  <c r="GK484" i="6"/>
  <c r="T429" i="8"/>
  <c r="GM357" i="6"/>
  <c r="GL273" i="6"/>
  <c r="EF182" i="6"/>
  <c r="GI350" i="6"/>
  <c r="GL189" i="6"/>
  <c r="EF443" i="6"/>
  <c r="GO106" i="6"/>
  <c r="GN490" i="6"/>
  <c r="GP292" i="6"/>
  <c r="T261" i="8"/>
  <c r="EH216" i="6"/>
  <c r="EE216" i="6"/>
  <c r="EF216" i="6"/>
  <c r="ED216" i="6"/>
  <c r="EG216" i="6"/>
  <c r="EW24" i="6"/>
  <c r="Y472" i="8"/>
  <c r="V174" i="8"/>
  <c r="AA174" i="8" s="1"/>
  <c r="U174" i="8"/>
  <c r="Z174" i="8" s="1"/>
  <c r="GO405" i="6"/>
  <c r="GK430" i="6"/>
  <c r="GM475" i="6"/>
  <c r="GK449" i="6"/>
  <c r="GQ143" i="6"/>
  <c r="EH39" i="6"/>
  <c r="EE39" i="6"/>
  <c r="EC39" i="6"/>
  <c r="EB39" i="6"/>
  <c r="EF39" i="6"/>
  <c r="EG39" i="6"/>
  <c r="EC489" i="6"/>
  <c r="EH84" i="6"/>
  <c r="EB84" i="6"/>
  <c r="EA84" i="6"/>
  <c r="EC84" i="6"/>
  <c r="EE84" i="6"/>
  <c r="DY84" i="6"/>
  <c r="GN417" i="6"/>
  <c r="GK14" i="6"/>
  <c r="V277" i="8"/>
  <c r="AA277" i="8" s="1"/>
  <c r="R277" i="8"/>
  <c r="GK383" i="6"/>
  <c r="GM425" i="6"/>
  <c r="GL188" i="6"/>
  <c r="AK271" i="8"/>
  <c r="W271" i="8"/>
  <c r="Y271" i="8"/>
  <c r="GN471" i="6"/>
  <c r="FH134" i="6"/>
  <c r="EQ134" i="6" s="1"/>
  <c r="GO134" i="6"/>
  <c r="U304" i="8"/>
  <c r="Z304" i="8" s="1"/>
  <c r="DY206" i="6"/>
  <c r="V496" i="8"/>
  <c r="AA496" i="8" s="1"/>
  <c r="T496" i="8"/>
  <c r="GM399" i="6"/>
  <c r="Y184" i="8"/>
  <c r="Q3" i="10"/>
  <c r="P3" i="10"/>
  <c r="O3" i="10"/>
  <c r="N3" i="10"/>
  <c r="M3" i="10"/>
  <c r="L3" i="10"/>
  <c r="J3" i="10"/>
  <c r="K3" i="10"/>
  <c r="FS157" i="6"/>
  <c r="FL157" i="6"/>
  <c r="GM130" i="6"/>
  <c r="GJ305" i="6"/>
  <c r="GL469" i="6"/>
  <c r="EI103" i="6"/>
  <c r="GI103" i="6"/>
  <c r="GK403" i="6"/>
  <c r="U297" i="8"/>
  <c r="EK32" i="6"/>
  <c r="ES32" i="6" s="1"/>
  <c r="BK41" i="5" s="1"/>
  <c r="EI32" i="6"/>
  <c r="V221" i="8"/>
  <c r="AA221" i="8" s="1"/>
  <c r="R221" i="8"/>
  <c r="GM302" i="6"/>
  <c r="GM217" i="6"/>
  <c r="T277" i="8"/>
  <c r="EH312" i="6"/>
  <c r="EA312" i="6"/>
  <c r="DY312" i="6"/>
  <c r="EC312" i="6"/>
  <c r="GK367" i="6"/>
  <c r="Q10" i="10"/>
  <c r="P10" i="10"/>
  <c r="O10" i="10"/>
  <c r="M10" i="10"/>
  <c r="J10" i="10"/>
  <c r="L10" i="10"/>
  <c r="K10" i="10"/>
  <c r="N10" i="10"/>
  <c r="FS164" i="6"/>
  <c r="FL164" i="6"/>
  <c r="GK164" i="6"/>
  <c r="GK470" i="6"/>
  <c r="GL255" i="6"/>
  <c r="GK455" i="6"/>
  <c r="GL357" i="6"/>
  <c r="EA270" i="6"/>
  <c r="EA314" i="6"/>
  <c r="EW90" i="6"/>
  <c r="GL328" i="6"/>
  <c r="GO148" i="6"/>
  <c r="W179" i="8"/>
  <c r="Y179" i="8"/>
  <c r="EG320" i="6"/>
  <c r="DY307" i="6"/>
  <c r="EF309" i="6"/>
  <c r="AB64" i="8"/>
  <c r="Y289" i="8"/>
  <c r="W289" i="8"/>
  <c r="GL294" i="6"/>
  <c r="EG186" i="6"/>
  <c r="Y195" i="8"/>
  <c r="W195" i="8"/>
  <c r="T470" i="8"/>
  <c r="GN22" i="6"/>
  <c r="GK295" i="6"/>
  <c r="EA137" i="6"/>
  <c r="EH189" i="6"/>
  <c r="EG189" i="6"/>
  <c r="EA189" i="6"/>
  <c r="EE189" i="6"/>
  <c r="GI339" i="6"/>
  <c r="T238" i="8"/>
  <c r="GJ338" i="6"/>
  <c r="GP214" i="6"/>
  <c r="EW66" i="6"/>
  <c r="W64" i="8"/>
  <c r="W268" i="8"/>
  <c r="EH167" i="6"/>
  <c r="EG167" i="6"/>
  <c r="EA167" i="6"/>
  <c r="ED167" i="6"/>
  <c r="DY167" i="6"/>
  <c r="V436" i="8"/>
  <c r="AA436" i="8" s="1"/>
  <c r="U436" i="8"/>
  <c r="Z436" i="8" s="1"/>
  <c r="R436" i="8"/>
  <c r="T428" i="8"/>
  <c r="EA427" i="6"/>
  <c r="V120" i="8"/>
  <c r="AA120" i="8" s="1"/>
  <c r="U120" i="8"/>
  <c r="Z120" i="8" s="1"/>
  <c r="GJ211" i="6"/>
  <c r="W101" i="8"/>
  <c r="Y101" i="8"/>
  <c r="GK28" i="6"/>
  <c r="EW57" i="6"/>
  <c r="GM403" i="6"/>
  <c r="EI141" i="6"/>
  <c r="GI141" i="6"/>
  <c r="EH428" i="6"/>
  <c r="EG428" i="6"/>
  <c r="EA428" i="6"/>
  <c r="DY270" i="6"/>
  <c r="Y464" i="8"/>
  <c r="AB464" i="8" s="1"/>
  <c r="W464" i="8"/>
  <c r="EH105" i="6"/>
  <c r="EC105" i="6"/>
  <c r="EB105" i="6"/>
  <c r="EG105" i="6"/>
  <c r="GO160" i="6"/>
  <c r="U288" i="8"/>
  <c r="Z288" i="8" s="1"/>
  <c r="V288" i="8"/>
  <c r="AA288" i="8" s="1"/>
  <c r="GL290" i="6"/>
  <c r="V341" i="8"/>
  <c r="AA341" i="8" s="1"/>
  <c r="U341" i="8"/>
  <c r="Z341" i="8" s="1"/>
  <c r="GO336" i="6"/>
  <c r="T208" i="8"/>
  <c r="EG421" i="6"/>
  <c r="GM417" i="6"/>
  <c r="EA313" i="6"/>
  <c r="R204" i="8"/>
  <c r="R261" i="8"/>
  <c r="EQ172" i="6"/>
  <c r="GO172" i="6"/>
  <c r="EH479" i="6"/>
  <c r="ED479" i="6"/>
  <c r="EE479" i="6"/>
  <c r="EA479" i="6"/>
  <c r="DY479" i="6"/>
  <c r="W519" i="8"/>
  <c r="Y519" i="8"/>
  <c r="AB519" i="8" s="1"/>
  <c r="EB167" i="6"/>
  <c r="GN415" i="6"/>
  <c r="EC120" i="6"/>
  <c r="GN235" i="6"/>
  <c r="EF313" i="6"/>
  <c r="R479" i="8"/>
  <c r="GL164" i="6"/>
  <c r="GJ324" i="6"/>
  <c r="EA215" i="6"/>
  <c r="EE470" i="6"/>
  <c r="GL150" i="6"/>
  <c r="EC275" i="6"/>
  <c r="EA45" i="6"/>
  <c r="EA315" i="6"/>
  <c r="DY396" i="6"/>
  <c r="EQ50" i="6"/>
  <c r="GO50" i="6"/>
  <c r="GP57" i="6"/>
  <c r="FS226" i="6"/>
  <c r="GK226" i="6"/>
  <c r="GJ448" i="6"/>
  <c r="GN28" i="6"/>
  <c r="EK92" i="6"/>
  <c r="GI92" i="6"/>
  <c r="GK334" i="6"/>
  <c r="ED332" i="6"/>
  <c r="EE411" i="6"/>
  <c r="AB327" i="8"/>
  <c r="AB138" i="8"/>
  <c r="GN103" i="6"/>
  <c r="GM30" i="6"/>
  <c r="GK316" i="6"/>
  <c r="GI402" i="6"/>
  <c r="Y86" i="8"/>
  <c r="W86" i="8"/>
  <c r="V404" i="8"/>
  <c r="AA404" i="8" s="1"/>
  <c r="U404" i="8"/>
  <c r="Z404" i="8" s="1"/>
  <c r="R404" i="8"/>
  <c r="GI32" i="6"/>
  <c r="DY157" i="6"/>
  <c r="EC299" i="6"/>
  <c r="EE327" i="6"/>
  <c r="ED494" i="6"/>
  <c r="GP164" i="6"/>
  <c r="ED312" i="6"/>
  <c r="ED484" i="6"/>
  <c r="EX57" i="6"/>
  <c r="GO141" i="6"/>
  <c r="EE286" i="6"/>
  <c r="EE421" i="6"/>
  <c r="T369" i="8"/>
  <c r="V530" i="8"/>
  <c r="AA530" i="8" s="1"/>
  <c r="U530" i="8"/>
  <c r="Z530" i="8" s="1"/>
  <c r="GJ398" i="6"/>
  <c r="R85" i="8"/>
  <c r="EF192" i="6"/>
  <c r="V403" i="8"/>
  <c r="AA403" i="8" s="1"/>
  <c r="U403" i="8"/>
  <c r="Z403" i="8" s="1"/>
  <c r="FS177" i="6"/>
  <c r="GK177" i="6"/>
  <c r="ER133" i="6"/>
  <c r="GP133" i="6"/>
  <c r="AB158" i="8"/>
  <c r="GO236" i="6"/>
  <c r="AB99" i="8"/>
  <c r="Y391" i="8"/>
  <c r="Y371" i="8"/>
  <c r="W371" i="8"/>
  <c r="EA163" i="6"/>
  <c r="EP61" i="6"/>
  <c r="GN61" i="6"/>
  <c r="T525" i="8"/>
  <c r="V311" i="8"/>
  <c r="AA311" i="8" s="1"/>
  <c r="R311" i="8"/>
  <c r="U311" i="8"/>
  <c r="Z311" i="8" s="1"/>
  <c r="EH278" i="6"/>
  <c r="ED278" i="6"/>
  <c r="EA278" i="6"/>
  <c r="EF278" i="6"/>
  <c r="EB278" i="6"/>
  <c r="U239" i="8"/>
  <c r="Z239" i="8" s="1"/>
  <c r="EE212" i="6"/>
  <c r="ED248" i="6"/>
  <c r="EF365" i="6"/>
  <c r="ED422" i="6"/>
  <c r="AB192" i="8"/>
  <c r="T462" i="8"/>
  <c r="T446" i="8"/>
  <c r="R230" i="8"/>
  <c r="EO74" i="6"/>
  <c r="GM74" i="6"/>
  <c r="EH144" i="6"/>
  <c r="EB144" i="6"/>
  <c r="EE206" i="6"/>
  <c r="EB369" i="6"/>
  <c r="ED468" i="6"/>
  <c r="Y245" i="8"/>
  <c r="AK245" i="8"/>
  <c r="W245" i="8"/>
  <c r="Y460" i="8"/>
  <c r="AB460" i="8" s="1"/>
  <c r="W460" i="8"/>
  <c r="ER90" i="6"/>
  <c r="GP90" i="6"/>
  <c r="Y103" i="8"/>
  <c r="W103" i="8"/>
  <c r="U205" i="8"/>
  <c r="Z205" i="8" s="1"/>
  <c r="W513" i="8"/>
  <c r="GI136" i="6"/>
  <c r="T463" i="8"/>
  <c r="V372" i="8"/>
  <c r="AA372" i="8" s="1"/>
  <c r="U372" i="8"/>
  <c r="Z372" i="8" s="1"/>
  <c r="R372" i="8"/>
  <c r="EB333" i="6"/>
  <c r="R159" i="8"/>
  <c r="EH261" i="6"/>
  <c r="EG261" i="6"/>
  <c r="EE261" i="6"/>
  <c r="ED261" i="6"/>
  <c r="EF261" i="6"/>
  <c r="EG314" i="6"/>
  <c r="GN493" i="6"/>
  <c r="W489" i="8"/>
  <c r="GK377" i="6"/>
  <c r="AK202" i="8"/>
  <c r="W202" i="8"/>
  <c r="Y202" i="8"/>
  <c r="EC278" i="6"/>
  <c r="EM64" i="6"/>
  <c r="GK64" i="6"/>
  <c r="GJ304" i="6"/>
  <c r="DY482" i="6"/>
  <c r="AB97" i="8"/>
  <c r="EE76" i="6"/>
  <c r="GL316" i="6"/>
  <c r="EB394" i="6"/>
  <c r="T253" i="8"/>
  <c r="R437" i="8"/>
  <c r="EH115" i="6"/>
  <c r="EG115" i="6"/>
  <c r="EB115" i="6"/>
  <c r="EF115" i="6"/>
  <c r="EE115" i="6"/>
  <c r="T264" i="8"/>
  <c r="EH395" i="6"/>
  <c r="EG395" i="6"/>
  <c r="EF395" i="6"/>
  <c r="ED395" i="6"/>
  <c r="EB209" i="6"/>
  <c r="EH112" i="6"/>
  <c r="EF112" i="6"/>
  <c r="EB112" i="6"/>
  <c r="EG112" i="6"/>
  <c r="EB182" i="6"/>
  <c r="AB194" i="8"/>
  <c r="EI349" i="6"/>
  <c r="GI349" i="6"/>
  <c r="EH363" i="6"/>
  <c r="ED363" i="6"/>
  <c r="EA363" i="6"/>
  <c r="EG363" i="6"/>
  <c r="GM131" i="6"/>
  <c r="ED428" i="6"/>
  <c r="GO284" i="6"/>
  <c r="EB164" i="6"/>
  <c r="EG229" i="6"/>
  <c r="GO337" i="6"/>
  <c r="AB76" i="8"/>
  <c r="W388" i="8"/>
  <c r="Y388" i="8"/>
  <c r="EH104" i="6"/>
  <c r="EA104" i="6"/>
  <c r="EC104" i="6"/>
  <c r="EG104" i="6"/>
  <c r="EB104" i="6"/>
  <c r="EE104" i="6"/>
  <c r="ED482" i="6"/>
  <c r="V308" i="8"/>
  <c r="AA308" i="8" s="1"/>
  <c r="U308" i="8"/>
  <c r="Z308" i="8" s="1"/>
  <c r="EC153" i="6"/>
  <c r="W332" i="8"/>
  <c r="Y332" i="8"/>
  <c r="EI242" i="6"/>
  <c r="GI242" i="6"/>
  <c r="EF354" i="6"/>
  <c r="Y366" i="8"/>
  <c r="W366" i="8"/>
  <c r="EC314" i="6"/>
  <c r="EK73" i="6"/>
  <c r="GI73" i="6"/>
  <c r="W401" i="8"/>
  <c r="Y401" i="8"/>
  <c r="U358" i="8"/>
  <c r="Z358" i="8" s="1"/>
  <c r="EH467" i="6"/>
  <c r="EG467" i="6"/>
  <c r="EF467" i="6"/>
  <c r="EE305" i="6"/>
  <c r="EI338" i="6"/>
  <c r="GI338" i="6"/>
  <c r="DY230" i="6"/>
  <c r="GP235" i="6"/>
  <c r="GO239" i="6"/>
  <c r="GJ429" i="6"/>
  <c r="V300" i="8"/>
  <c r="AA300" i="8" s="1"/>
  <c r="U300" i="8"/>
  <c r="Z300" i="8" s="1"/>
  <c r="GM457" i="6"/>
  <c r="Y163" i="8"/>
  <c r="W163" i="8"/>
  <c r="Y198" i="8"/>
  <c r="W198" i="8"/>
  <c r="GL427" i="6"/>
  <c r="GM207" i="6"/>
  <c r="GM226" i="6"/>
  <c r="V382" i="8"/>
  <c r="AA382" i="8" s="1"/>
  <c r="U382" i="8"/>
  <c r="Z382" i="8" s="1"/>
  <c r="GL378" i="6"/>
  <c r="GN335" i="6"/>
  <c r="Y549" i="8"/>
  <c r="AB549" i="8" s="1"/>
  <c r="W549" i="8"/>
  <c r="GM233" i="6"/>
  <c r="GO254" i="6"/>
  <c r="GO410" i="6"/>
  <c r="EW14" i="6"/>
  <c r="GO393" i="6"/>
  <c r="EI264" i="6"/>
  <c r="GI264" i="6"/>
  <c r="GJ379" i="6"/>
  <c r="EH344" i="6"/>
  <c r="EG344" i="6"/>
  <c r="EF344" i="6"/>
  <c r="EC344" i="6"/>
  <c r="GN301" i="6"/>
  <c r="GM265" i="6"/>
  <c r="GM335" i="6"/>
  <c r="GK485" i="6"/>
  <c r="V396" i="8"/>
  <c r="AA396" i="8" s="1"/>
  <c r="U396" i="8"/>
  <c r="Z396" i="8" s="1"/>
  <c r="EH441" i="6"/>
  <c r="ED441" i="6"/>
  <c r="EA441" i="6"/>
  <c r="EB441" i="6"/>
  <c r="GM249" i="6"/>
  <c r="T453" i="8"/>
  <c r="GM423" i="6"/>
  <c r="GQ343" i="6"/>
  <c r="GR343" i="6" s="1"/>
  <c r="GK253" i="6"/>
  <c r="EA195" i="6"/>
  <c r="GK304" i="6"/>
  <c r="EH218" i="6"/>
  <c r="EA218" i="6"/>
  <c r="EG218" i="6"/>
  <c r="GP452" i="6"/>
  <c r="GN288" i="6"/>
  <c r="EB480" i="6"/>
  <c r="GK465" i="6"/>
  <c r="EI454" i="6"/>
  <c r="GI454" i="6"/>
  <c r="V213" i="8"/>
  <c r="AA213" i="8" s="1"/>
  <c r="U213" i="8"/>
  <c r="Z213" i="8" s="1"/>
  <c r="EH251" i="6"/>
  <c r="EB251" i="6"/>
  <c r="ED251" i="6"/>
  <c r="EG251" i="6"/>
  <c r="DY251" i="6"/>
  <c r="EA233" i="6"/>
  <c r="EI457" i="6"/>
  <c r="GI457" i="6"/>
  <c r="GJ188" i="6"/>
  <c r="V310" i="8"/>
  <c r="AA310" i="8" s="1"/>
  <c r="R310" i="8"/>
  <c r="EH102" i="6"/>
  <c r="EE102" i="6"/>
  <c r="EC102" i="6"/>
  <c r="EF102" i="6"/>
  <c r="EG102" i="6"/>
  <c r="EB102" i="6"/>
  <c r="GM149" i="6"/>
  <c r="GJ295" i="6"/>
  <c r="GM161" i="6"/>
  <c r="Y543" i="8"/>
  <c r="W543" i="8"/>
  <c r="EH445" i="6"/>
  <c r="EA445" i="6"/>
  <c r="EE445" i="6"/>
  <c r="ED445" i="6"/>
  <c r="EG445" i="6"/>
  <c r="GM292" i="6"/>
  <c r="EH380" i="6"/>
  <c r="EA380" i="6"/>
  <c r="EG380" i="6"/>
  <c r="EF380" i="6"/>
  <c r="GN384" i="6"/>
  <c r="EG358" i="6"/>
  <c r="AK232" i="8"/>
  <c r="W232" i="8"/>
  <c r="Y232" i="8"/>
  <c r="GO423" i="6"/>
  <c r="EA251" i="6"/>
  <c r="GP359" i="6"/>
  <c r="GJ423" i="6"/>
  <c r="GN318" i="6"/>
  <c r="GK246" i="6"/>
  <c r="GN187" i="6"/>
  <c r="GK427" i="6"/>
  <c r="GN379" i="6"/>
  <c r="GP106" i="6"/>
  <c r="GK285" i="6"/>
  <c r="EO52" i="6"/>
  <c r="GM52" i="6"/>
  <c r="GJ475" i="6"/>
  <c r="EH97" i="6"/>
  <c r="EC97" i="6"/>
  <c r="EB97" i="6"/>
  <c r="EG97" i="6"/>
  <c r="V111" i="8"/>
  <c r="AA111" i="8" s="1"/>
  <c r="T111" i="8"/>
  <c r="V129" i="8"/>
  <c r="AA129" i="8" s="1"/>
  <c r="U129" i="8"/>
  <c r="Z129" i="8" s="1"/>
  <c r="Y226" i="8"/>
  <c r="AK226" i="8"/>
  <c r="GO170" i="6"/>
  <c r="GN366" i="6"/>
  <c r="EI171" i="6"/>
  <c r="GI171" i="6"/>
  <c r="V490" i="8"/>
  <c r="AA490" i="8" s="1"/>
  <c r="U490" i="8"/>
  <c r="V526" i="8"/>
  <c r="AA526" i="8" s="1"/>
  <c r="U526" i="8"/>
  <c r="Z526" i="8" s="1"/>
  <c r="R526" i="8"/>
  <c r="AB294" i="8"/>
  <c r="EH17" i="6"/>
  <c r="EE17" i="6"/>
  <c r="EB17" i="6"/>
  <c r="EC17" i="6"/>
  <c r="EG17" i="6"/>
  <c r="EF17" i="6"/>
  <c r="EH252" i="6"/>
  <c r="EB252" i="6"/>
  <c r="EH408" i="6"/>
  <c r="EF408" i="6"/>
  <c r="EG408" i="6"/>
  <c r="EC408" i="6"/>
  <c r="V416" i="8"/>
  <c r="AA416" i="8" s="1"/>
  <c r="U416" i="8"/>
  <c r="R416" i="8"/>
  <c r="EI337" i="6"/>
  <c r="GI337" i="6"/>
  <c r="GK241" i="6"/>
  <c r="AB173" i="8"/>
  <c r="EF212" i="6"/>
  <c r="GM352" i="6"/>
  <c r="EH59" i="6"/>
  <c r="EC59" i="6"/>
  <c r="EB59" i="6"/>
  <c r="EG59" i="6"/>
  <c r="GM294" i="6"/>
  <c r="EC195" i="6"/>
  <c r="GN123" i="6"/>
  <c r="GJ435" i="6"/>
  <c r="FS222" i="6"/>
  <c r="GK222" i="6"/>
  <c r="GO378" i="6"/>
  <c r="U434" i="8"/>
  <c r="Z434" i="8" s="1"/>
  <c r="EG307" i="6"/>
  <c r="GP381" i="6"/>
  <c r="GL217" i="6"/>
  <c r="EB233" i="6"/>
  <c r="EK14" i="6"/>
  <c r="EI14" i="6"/>
  <c r="EF488" i="6"/>
  <c r="GN326" i="6"/>
  <c r="EE317" i="6"/>
  <c r="T242" i="8"/>
  <c r="V24" i="8"/>
  <c r="U24" i="8"/>
  <c r="GM152" i="6"/>
  <c r="GK352" i="6"/>
  <c r="GK478" i="6"/>
  <c r="ED192" i="6"/>
  <c r="GJ434" i="6"/>
  <c r="GK438" i="6"/>
  <c r="GM349" i="6"/>
  <c r="EF185" i="6"/>
  <c r="EF332" i="6"/>
  <c r="GL235" i="6"/>
  <c r="GP319" i="6"/>
  <c r="GO142" i="6"/>
  <c r="EH347" i="6"/>
  <c r="EE347" i="6"/>
  <c r="ED347" i="6"/>
  <c r="EA347" i="6"/>
  <c r="EH296" i="6"/>
  <c r="EA296" i="6"/>
  <c r="EG296" i="6"/>
  <c r="Y54" i="8"/>
  <c r="AB54" i="8" s="1"/>
  <c r="W54" i="8"/>
  <c r="GP14" i="6"/>
  <c r="V275" i="8"/>
  <c r="AA275" i="8" s="1"/>
  <c r="U275" i="8"/>
  <c r="Z275" i="8" s="1"/>
  <c r="R275" i="8"/>
  <c r="EB244" i="6"/>
  <c r="EH202" i="6"/>
  <c r="EA202" i="6"/>
  <c r="EG202" i="6"/>
  <c r="GN194" i="6"/>
  <c r="ED386" i="6"/>
  <c r="W387" i="8"/>
  <c r="Y387" i="8"/>
  <c r="GK234" i="6"/>
  <c r="EH168" i="6"/>
  <c r="EF168" i="6"/>
  <c r="EA168" i="6"/>
  <c r="EE168" i="6"/>
  <c r="GO171" i="6"/>
  <c r="GK404" i="6"/>
  <c r="EL64" i="6"/>
  <c r="GJ64" i="6"/>
  <c r="GJ479" i="6"/>
  <c r="EH308" i="6"/>
  <c r="EA308" i="6"/>
  <c r="GM234" i="6"/>
  <c r="GK157" i="6"/>
  <c r="EB202" i="6"/>
  <c r="D14" i="10"/>
  <c r="EM96" i="6"/>
  <c r="FS96" i="6"/>
  <c r="GK96" i="6"/>
  <c r="GJ355" i="6"/>
  <c r="EM60" i="6"/>
  <c r="GK60" i="6"/>
  <c r="EH346" i="6"/>
  <c r="EG346" i="6"/>
  <c r="EF346" i="6"/>
  <c r="EB346" i="6"/>
  <c r="EB307" i="6"/>
  <c r="GL223" i="6"/>
  <c r="EH345" i="6"/>
  <c r="ED345" i="6"/>
  <c r="EF345" i="6"/>
  <c r="EA345" i="6"/>
  <c r="EB396" i="6"/>
  <c r="V449" i="8"/>
  <c r="AA449" i="8" s="1"/>
  <c r="U449" i="8"/>
  <c r="Z449" i="8" s="1"/>
  <c r="V451" i="8"/>
  <c r="AA451" i="8" s="1"/>
  <c r="R451" i="8"/>
  <c r="GN359" i="6"/>
  <c r="EG327" i="6"/>
  <c r="GL493" i="6"/>
  <c r="EO64" i="6"/>
  <c r="GM64" i="6"/>
  <c r="EC169" i="6"/>
  <c r="GL457" i="6"/>
  <c r="EI451" i="6"/>
  <c r="EL71" i="6"/>
  <c r="GJ71" i="6"/>
  <c r="GN294" i="6"/>
  <c r="GJ489" i="6"/>
  <c r="EI114" i="6"/>
  <c r="GI114" i="6"/>
  <c r="EC130" i="6"/>
  <c r="EB289" i="6"/>
  <c r="EH374" i="6"/>
  <c r="EG374" i="6"/>
  <c r="EC166" i="6"/>
  <c r="EF97" i="6"/>
  <c r="EH294" i="6"/>
  <c r="EA294" i="6"/>
  <c r="EG294" i="6"/>
  <c r="U354" i="8"/>
  <c r="Z354" i="8" s="1"/>
  <c r="W483" i="8"/>
  <c r="Y483" i="8"/>
  <c r="GM221" i="6"/>
  <c r="ED374" i="6"/>
  <c r="GM438" i="6"/>
  <c r="GK20" i="6"/>
  <c r="EE277" i="6"/>
  <c r="ED327" i="6"/>
  <c r="Y177" i="8"/>
  <c r="W177" i="8"/>
  <c r="T459" i="8"/>
  <c r="GO163" i="6"/>
  <c r="EG422" i="6"/>
  <c r="EK83" i="6"/>
  <c r="EF428" i="6"/>
  <c r="GJ197" i="6"/>
  <c r="GM142" i="6"/>
  <c r="EF255" i="6"/>
  <c r="EH389" i="6"/>
  <c r="EG389" i="6"/>
  <c r="EA389" i="6"/>
  <c r="EB389" i="6"/>
  <c r="V325" i="8"/>
  <c r="AA325" i="8" s="1"/>
  <c r="U325" i="8"/>
  <c r="Z325" i="8" s="1"/>
  <c r="EC375" i="6"/>
  <c r="EF466" i="6"/>
  <c r="V483" i="8"/>
  <c r="AA483" i="8" s="1"/>
  <c r="U483" i="8"/>
  <c r="Z483" i="8" s="1"/>
  <c r="GM146" i="6"/>
  <c r="GM260" i="6"/>
  <c r="GO316" i="6"/>
  <c r="EC389" i="6"/>
  <c r="GO465" i="6"/>
  <c r="AB134" i="8"/>
  <c r="EC266" i="6"/>
  <c r="EA190" i="6"/>
  <c r="AK278" i="8"/>
  <c r="W278" i="8"/>
  <c r="Y278" i="8"/>
  <c r="ED411" i="6"/>
  <c r="V32" i="8"/>
  <c r="U32" i="8"/>
  <c r="T306" i="8"/>
  <c r="R490" i="8"/>
  <c r="GJ225" i="6"/>
  <c r="EH276" i="6"/>
  <c r="EG276" i="6"/>
  <c r="EB276" i="6"/>
  <c r="EH83" i="6"/>
  <c r="EB83" i="6"/>
  <c r="EE83" i="6"/>
  <c r="EG83" i="6"/>
  <c r="GL352" i="6"/>
  <c r="EH437" i="6"/>
  <c r="EA437" i="6"/>
  <c r="EE437" i="6"/>
  <c r="EE227" i="6"/>
  <c r="DY192" i="6"/>
  <c r="GM355" i="6"/>
  <c r="EC420" i="6"/>
  <c r="EH448" i="6"/>
  <c r="EG448" i="6"/>
  <c r="EA448" i="6"/>
  <c r="EC448" i="6"/>
  <c r="DY448" i="6"/>
  <c r="DY484" i="6"/>
  <c r="EQ79" i="6"/>
  <c r="GO79" i="6"/>
  <c r="GO28" i="6"/>
  <c r="EH92" i="6"/>
  <c r="EE92" i="6"/>
  <c r="EB92" i="6"/>
  <c r="EI92" i="6" s="1"/>
  <c r="EC92" i="6"/>
  <c r="EG92" i="6"/>
  <c r="GK333" i="6"/>
  <c r="EG322" i="6"/>
  <c r="ED448" i="6"/>
  <c r="W138" i="8"/>
  <c r="GK30" i="6"/>
  <c r="GJ284" i="6"/>
  <c r="EH402" i="6"/>
  <c r="EG402" i="6"/>
  <c r="AB75" i="8"/>
  <c r="T404" i="8"/>
  <c r="EE280" i="6"/>
  <c r="GP191" i="6"/>
  <c r="DY320" i="6"/>
  <c r="EF419" i="6"/>
  <c r="EF475" i="6"/>
  <c r="DY13" i="6"/>
  <c r="EA164" i="6"/>
  <c r="T305" i="8"/>
  <c r="EL62" i="6"/>
  <c r="GJ62" i="6"/>
  <c r="EC194" i="6"/>
  <c r="EH301" i="6"/>
  <c r="EA301" i="6"/>
  <c r="EG301" i="6"/>
  <c r="EH478" i="6"/>
  <c r="EG478" i="6"/>
  <c r="V454" i="8"/>
  <c r="AA454" i="8" s="1"/>
  <c r="R454" i="8"/>
  <c r="U454" i="8"/>
  <c r="Z454" i="8" s="1"/>
  <c r="GN460" i="6"/>
  <c r="U167" i="8"/>
  <c r="Z167" i="8" s="1"/>
  <c r="GO398" i="6"/>
  <c r="GI56" i="6"/>
  <c r="DY221" i="6"/>
  <c r="R361" i="8"/>
  <c r="EB229" i="6"/>
  <c r="T403" i="8"/>
  <c r="EH177" i="6"/>
  <c r="EA177" i="6"/>
  <c r="ED177" i="6"/>
  <c r="EF177" i="6"/>
  <c r="EB177" i="6"/>
  <c r="EG177" i="6"/>
  <c r="ED344" i="6"/>
  <c r="EC182" i="6"/>
  <c r="GP236" i="6"/>
  <c r="V391" i="8"/>
  <c r="AA391" i="8" s="1"/>
  <c r="U391" i="8"/>
  <c r="Z391" i="8" s="1"/>
  <c r="V402" i="8"/>
  <c r="R402" i="8"/>
  <c r="GJ220" i="6"/>
  <c r="EM61" i="6"/>
  <c r="GK61" i="6"/>
  <c r="EE248" i="6"/>
  <c r="V520" i="8"/>
  <c r="AA520" i="8" s="1"/>
  <c r="U520" i="8"/>
  <c r="Z520" i="8" s="1"/>
  <c r="T311" i="8"/>
  <c r="GO377" i="6"/>
  <c r="U409" i="8"/>
  <c r="Z409" i="8" s="1"/>
  <c r="T447" i="8"/>
  <c r="EH53" i="6"/>
  <c r="EG53" i="6"/>
  <c r="EB53" i="6"/>
  <c r="EC53" i="6"/>
  <c r="EE53" i="6"/>
  <c r="DY53" i="6"/>
  <c r="EA53" i="6"/>
  <c r="GJ316" i="6"/>
  <c r="EB418" i="6"/>
  <c r="AB172" i="8"/>
  <c r="V432" i="8"/>
  <c r="AA432" i="8" s="1"/>
  <c r="T432" i="8"/>
  <c r="C4" i="10"/>
  <c r="EM74" i="6"/>
  <c r="GK74" i="6"/>
  <c r="EF205" i="6"/>
  <c r="EA144" i="6"/>
  <c r="GO153" i="6"/>
  <c r="GM407" i="6"/>
  <c r="U242" i="8"/>
  <c r="Z242" i="8" s="1"/>
  <c r="AB328" i="8"/>
  <c r="EE105" i="6"/>
  <c r="EH124" i="6"/>
  <c r="EB124" i="6"/>
  <c r="EG124" i="6"/>
  <c r="EA124" i="6"/>
  <c r="EG481" i="6"/>
  <c r="R357" i="8"/>
  <c r="V545" i="8"/>
  <c r="AA545" i="8" s="1"/>
  <c r="U545" i="8"/>
  <c r="EH136" i="6"/>
  <c r="EC136" i="6"/>
  <c r="EG136" i="6"/>
  <c r="U452" i="8"/>
  <c r="Z452" i="8" s="1"/>
  <c r="ED229" i="6"/>
  <c r="EA302" i="6"/>
  <c r="EH302" i="6"/>
  <c r="ED302" i="6"/>
  <c r="EG302" i="6"/>
  <c r="T372" i="8"/>
  <c r="EA261" i="6"/>
  <c r="AB489" i="8"/>
  <c r="GL197" i="6"/>
  <c r="EK46" i="6"/>
  <c r="EI46" i="6"/>
  <c r="EH154" i="6"/>
  <c r="EF154" i="6"/>
  <c r="EA154" i="6"/>
  <c r="EG154" i="6"/>
  <c r="EI304" i="6"/>
  <c r="GI304" i="6"/>
  <c r="EH431" i="6"/>
  <c r="EE431" i="6"/>
  <c r="EI431" i="6" s="1"/>
  <c r="W97" i="8"/>
  <c r="R167" i="8"/>
  <c r="R403" i="8"/>
  <c r="Y303" i="8"/>
  <c r="W303" i="8"/>
  <c r="EE246" i="6"/>
  <c r="EL133" i="6"/>
  <c r="GJ133" i="6"/>
  <c r="GN316" i="6"/>
  <c r="EB408" i="6"/>
  <c r="R306" i="8"/>
  <c r="T550" i="8"/>
  <c r="EH49" i="6"/>
  <c r="EE49" i="6"/>
  <c r="EC49" i="6"/>
  <c r="EB49" i="6"/>
  <c r="EF49" i="6"/>
  <c r="EG49" i="6"/>
  <c r="EA115" i="6"/>
  <c r="R449" i="8"/>
  <c r="EE468" i="6"/>
  <c r="V312" i="8"/>
  <c r="AA312" i="8" s="1"/>
  <c r="T312" i="8"/>
  <c r="R312" i="8"/>
  <c r="EB363" i="6"/>
  <c r="GJ131" i="6"/>
  <c r="GP284" i="6"/>
  <c r="EE346" i="6"/>
  <c r="R276" i="8"/>
  <c r="EF104" i="6"/>
  <c r="EC216" i="6"/>
  <c r="EE383" i="6"/>
  <c r="W109" i="8"/>
  <c r="Y109" i="8"/>
  <c r="T308" i="8"/>
  <c r="T418" i="8"/>
  <c r="DY278" i="6"/>
  <c r="ED364" i="6"/>
  <c r="GO351" i="6"/>
  <c r="ED315" i="6"/>
  <c r="EH73" i="6"/>
  <c r="EC73" i="6"/>
  <c r="EB73" i="6"/>
  <c r="EG73" i="6"/>
  <c r="EE73" i="6"/>
  <c r="EF73" i="6"/>
  <c r="V338" i="8"/>
  <c r="AA338" i="8" s="1"/>
  <c r="U338" i="8"/>
  <c r="Z338" i="8" s="1"/>
  <c r="EF283" i="6"/>
  <c r="T340" i="8"/>
  <c r="GO493" i="6"/>
  <c r="EH323" i="6"/>
  <c r="EA323" i="6"/>
  <c r="GL338" i="6"/>
  <c r="W61" i="8"/>
  <c r="W531" i="8"/>
  <c r="Y531" i="8"/>
  <c r="AB531" i="8" s="1"/>
  <c r="GL174" i="6"/>
  <c r="GP239" i="6"/>
  <c r="GK440" i="6"/>
  <c r="AB113" i="8"/>
  <c r="GM262" i="6"/>
  <c r="GN213" i="6"/>
  <c r="EI226" i="6"/>
  <c r="GI226" i="6"/>
  <c r="GJ217" i="6"/>
  <c r="EH259" i="6"/>
  <c r="EG259" i="6"/>
  <c r="DY259" i="6"/>
  <c r="EE259" i="6"/>
  <c r="ED259" i="6"/>
  <c r="EH392" i="6"/>
  <c r="ED392" i="6"/>
  <c r="EK95" i="6"/>
  <c r="GI95" i="6"/>
  <c r="GO452" i="6"/>
  <c r="EW71" i="6"/>
  <c r="EH151" i="6"/>
  <c r="EG151" i="6"/>
  <c r="ED151" i="6"/>
  <c r="EF151" i="6"/>
  <c r="EA151" i="6"/>
  <c r="EB151" i="6"/>
  <c r="GL430" i="6"/>
  <c r="GP170" i="6"/>
  <c r="EH262" i="6"/>
  <c r="ED262" i="6"/>
  <c r="EA262" i="6"/>
  <c r="EB262" i="6"/>
  <c r="EG262" i="6"/>
  <c r="GJ354" i="6"/>
  <c r="GJ218" i="6"/>
  <c r="GN469" i="6"/>
  <c r="GK287" i="6"/>
  <c r="GM461" i="6"/>
  <c r="GO238" i="6"/>
  <c r="GN209" i="6"/>
  <c r="V98" i="8"/>
  <c r="AA98" i="8" s="1"/>
  <c r="U98" i="8"/>
  <c r="Z98" i="8" s="1"/>
  <c r="FS214" i="6"/>
  <c r="GK214" i="6"/>
  <c r="EH458" i="6"/>
  <c r="EG458" i="6"/>
  <c r="EB458" i="6"/>
  <c r="V510" i="8"/>
  <c r="AA510" i="8" s="1"/>
  <c r="R510" i="8"/>
  <c r="GJ395" i="6"/>
  <c r="GN293" i="6"/>
  <c r="W478" i="8"/>
  <c r="Y478" i="8"/>
  <c r="AB478" i="8" s="1"/>
  <c r="ED393" i="6"/>
  <c r="EQ84" i="6"/>
  <c r="GO84" i="6"/>
  <c r="GO406" i="6"/>
  <c r="EB392" i="6"/>
  <c r="ED279" i="6"/>
  <c r="I5" i="10"/>
  <c r="FS147" i="6"/>
  <c r="FL147" i="6"/>
  <c r="GK147" i="6"/>
  <c r="GL318" i="6"/>
  <c r="FS197" i="6"/>
  <c r="GK197" i="6"/>
  <c r="EB329" i="6"/>
  <c r="GI16" i="6"/>
  <c r="EH110" i="6"/>
  <c r="EC110" i="6"/>
  <c r="EB110" i="6"/>
  <c r="EG110" i="6"/>
  <c r="EF110" i="6"/>
  <c r="FF135" i="6"/>
  <c r="EO135" i="6" s="1"/>
  <c r="GM135" i="6"/>
  <c r="GM209" i="6"/>
  <c r="DY216" i="6"/>
  <c r="EH181" i="6"/>
  <c r="EF181" i="6"/>
  <c r="EG181" i="6"/>
  <c r="EC181" i="6"/>
  <c r="EB181" i="6"/>
  <c r="DY344" i="6"/>
  <c r="Y211" i="8"/>
  <c r="AK211" i="8"/>
  <c r="GM397" i="6"/>
  <c r="GK267" i="6"/>
  <c r="EH270" i="6"/>
  <c r="EG270" i="6"/>
  <c r="EB270" i="6"/>
  <c r="GM154" i="6"/>
  <c r="Y96" i="8"/>
  <c r="W96" i="8"/>
  <c r="EA340" i="6"/>
  <c r="EH340" i="6"/>
  <c r="EG340" i="6"/>
  <c r="GO220" i="6"/>
  <c r="GN476" i="6"/>
  <c r="AB133" i="8"/>
  <c r="GN324" i="6"/>
  <c r="EC201" i="6"/>
  <c r="GN396" i="6"/>
  <c r="EE101" i="6"/>
  <c r="W473" i="8"/>
  <c r="Y473" i="8"/>
  <c r="AB473" i="8" s="1"/>
  <c r="R466" i="8"/>
  <c r="EE91" i="6"/>
  <c r="AB234" i="8"/>
  <c r="EH425" i="6"/>
  <c r="EC425" i="6"/>
  <c r="EA425" i="6"/>
  <c r="EF425" i="6"/>
  <c r="EQ82" i="6"/>
  <c r="GO82" i="6"/>
  <c r="Y281" i="8"/>
  <c r="W281" i="8"/>
  <c r="AK281" i="8"/>
  <c r="W512" i="8"/>
  <c r="Y512" i="8"/>
  <c r="AB512" i="8" s="1"/>
  <c r="GK459" i="6"/>
  <c r="Y288" i="8"/>
  <c r="W288" i="8"/>
  <c r="EH173" i="6"/>
  <c r="ED173" i="6"/>
  <c r="EB173" i="6"/>
  <c r="GP429" i="6"/>
  <c r="FT90" i="6"/>
  <c r="EB485" i="6"/>
  <c r="GO34" i="6"/>
  <c r="AB118" i="8"/>
  <c r="EG449" i="6"/>
  <c r="Y402" i="8"/>
  <c r="EG331" i="6"/>
  <c r="ER61" i="6"/>
  <c r="GP61" i="6"/>
  <c r="EI225" i="6"/>
  <c r="GI225" i="6"/>
  <c r="EC374" i="6"/>
  <c r="DY436" i="6"/>
  <c r="V295" i="8"/>
  <c r="AA295" i="8" s="1"/>
  <c r="T295" i="8"/>
  <c r="Y520" i="8"/>
  <c r="W520" i="8"/>
  <c r="U442" i="8"/>
  <c r="Z442" i="8" s="1"/>
  <c r="GL359" i="6"/>
  <c r="R532" i="8"/>
  <c r="U381" i="8"/>
  <c r="Z381" i="8" s="1"/>
  <c r="EP53" i="6"/>
  <c r="GN53" i="6"/>
  <c r="EH352" i="6"/>
  <c r="EA352" i="6"/>
  <c r="DY352" i="6"/>
  <c r="R427" i="8"/>
  <c r="Y365" i="8"/>
  <c r="AB243" i="8"/>
  <c r="ER74" i="6"/>
  <c r="GP74" i="6"/>
  <c r="EH217" i="6"/>
  <c r="EG217" i="6"/>
  <c r="EC412" i="6"/>
  <c r="Y357" i="8"/>
  <c r="W357" i="8"/>
  <c r="GK472" i="6"/>
  <c r="GM124" i="6"/>
  <c r="EH490" i="6"/>
  <c r="EA490" i="6"/>
  <c r="V380" i="8"/>
  <c r="AA380" i="8" s="1"/>
  <c r="T380" i="8"/>
  <c r="Y545" i="8"/>
  <c r="EF227" i="6"/>
  <c r="EL79" i="6"/>
  <c r="GJ79" i="6"/>
  <c r="EH152" i="6"/>
  <c r="EB152" i="6"/>
  <c r="DY152" i="6"/>
  <c r="ED152" i="6"/>
  <c r="GJ302" i="6"/>
  <c r="W344" i="8"/>
  <c r="Y344" i="8"/>
  <c r="DY362" i="6"/>
  <c r="FS210" i="6"/>
  <c r="GK210" i="6"/>
  <c r="R498" i="8"/>
  <c r="GP197" i="6"/>
  <c r="GP377" i="6"/>
  <c r="Y219" i="8"/>
  <c r="W219" i="8"/>
  <c r="AK219" i="8"/>
  <c r="EE456" i="6"/>
  <c r="GJ154" i="6"/>
  <c r="GP304" i="6"/>
  <c r="GI431" i="6"/>
  <c r="V356" i="8"/>
  <c r="AA356" i="8" s="1"/>
  <c r="T356" i="8"/>
  <c r="EB340" i="6"/>
  <c r="EI316" i="6"/>
  <c r="GI316" i="6"/>
  <c r="EI49" i="6"/>
  <c r="EK49" i="6"/>
  <c r="GI49" i="6"/>
  <c r="Y178" i="8"/>
  <c r="W178" i="8"/>
  <c r="U374" i="8"/>
  <c r="V299" i="8"/>
  <c r="AA299" i="8" s="1"/>
  <c r="U299" i="8"/>
  <c r="EC294" i="6"/>
  <c r="EH31" i="6"/>
  <c r="EE31" i="6"/>
  <c r="EB31" i="6"/>
  <c r="EC31" i="6"/>
  <c r="EF31" i="6"/>
  <c r="EG31" i="6"/>
  <c r="EE230" i="6"/>
  <c r="EE370" i="6"/>
  <c r="EI370" i="6" s="1"/>
  <c r="DY335" i="6"/>
  <c r="EI284" i="6"/>
  <c r="GI284" i="6"/>
  <c r="GP46" i="6"/>
  <c r="DY182" i="6"/>
  <c r="U329" i="8"/>
  <c r="EE123" i="6"/>
  <c r="EC255" i="6"/>
  <c r="GM405" i="6"/>
  <c r="V237" i="8"/>
  <c r="AA237" i="8" s="1"/>
  <c r="U237" i="8"/>
  <c r="Z237" i="8" s="1"/>
  <c r="U433" i="8"/>
  <c r="Z433" i="8" s="1"/>
  <c r="EH29" i="6"/>
  <c r="EE29" i="6"/>
  <c r="EC29" i="6"/>
  <c r="EB29" i="6"/>
  <c r="EG29" i="6"/>
  <c r="EF29" i="6"/>
  <c r="EC245" i="6"/>
  <c r="GN351" i="6"/>
  <c r="W153" i="8"/>
  <c r="W55" i="8"/>
  <c r="DY140" i="6"/>
  <c r="EA325" i="6"/>
  <c r="EH325" i="6"/>
  <c r="EB325" i="6"/>
  <c r="ED325" i="6"/>
  <c r="AB154" i="8"/>
  <c r="Y338" i="8"/>
  <c r="W338" i="8"/>
  <c r="EH273" i="6"/>
  <c r="EA273" i="6"/>
  <c r="GJ493" i="6"/>
  <c r="GJ323" i="6"/>
  <c r="GP338" i="6"/>
  <c r="AB61" i="8"/>
  <c r="DY151" i="6"/>
  <c r="R286" i="8"/>
  <c r="GL351" i="6"/>
  <c r="Y537" i="8"/>
  <c r="GJ261" i="6"/>
  <c r="GI344" i="6"/>
  <c r="EM65" i="6"/>
  <c r="GK65" i="6"/>
  <c r="GK474" i="6"/>
  <c r="Y141" i="8"/>
  <c r="AB343" i="8"/>
  <c r="V215" i="8"/>
  <c r="AA215" i="8" s="1"/>
  <c r="R215" i="8"/>
  <c r="U215" i="8"/>
  <c r="Z215" i="8" s="1"/>
  <c r="GJ404" i="6"/>
  <c r="GI211" i="6"/>
  <c r="GM491" i="6"/>
  <c r="EI423" i="6"/>
  <c r="GI423" i="6"/>
  <c r="EA185" i="6"/>
  <c r="GM454" i="6"/>
  <c r="GM243" i="6"/>
  <c r="EH195" i="6"/>
  <c r="EE195" i="6"/>
  <c r="DY195" i="6"/>
  <c r="EG195" i="6"/>
  <c r="ED195" i="6"/>
  <c r="FS200" i="6"/>
  <c r="GK200" i="6"/>
  <c r="GM208" i="6"/>
  <c r="EA392" i="6"/>
  <c r="EH299" i="6"/>
  <c r="EG299" i="6"/>
  <c r="EB299" i="6"/>
  <c r="EA299" i="6"/>
  <c r="V107" i="8"/>
  <c r="AA107" i="8" s="1"/>
  <c r="U107" i="8"/>
  <c r="Z107" i="8" s="1"/>
  <c r="GK240" i="6"/>
  <c r="EA266" i="6"/>
  <c r="GO292" i="6"/>
  <c r="EB277" i="6"/>
  <c r="GJ192" i="6"/>
  <c r="V102" i="8"/>
  <c r="AA102" i="8" s="1"/>
  <c r="U102" i="8"/>
  <c r="Z102" i="8" s="1"/>
  <c r="T215" i="8"/>
  <c r="V397" i="8"/>
  <c r="AA397" i="8" s="1"/>
  <c r="T397" i="8"/>
  <c r="GK223" i="6"/>
  <c r="FS223" i="6"/>
  <c r="GL335" i="6"/>
  <c r="GK351" i="6"/>
  <c r="W390" i="8"/>
  <c r="Y390" i="8"/>
  <c r="GM187" i="6"/>
  <c r="GM229" i="6"/>
  <c r="FS219" i="6"/>
  <c r="GK219" i="6"/>
  <c r="GO400" i="6"/>
  <c r="EG126" i="6"/>
  <c r="EH126" i="6"/>
  <c r="EC126" i="6"/>
  <c r="EB126" i="6"/>
  <c r="EE126" i="6"/>
  <c r="GN132" i="6"/>
  <c r="GL437" i="6"/>
  <c r="AB161" i="8"/>
  <c r="EA268" i="6"/>
  <c r="GP254" i="6"/>
  <c r="GO146" i="6"/>
  <c r="EH86" i="6"/>
  <c r="EB86" i="6"/>
  <c r="EA86" i="6"/>
  <c r="EE86" i="6"/>
  <c r="EF86" i="6"/>
  <c r="EC86" i="6"/>
  <c r="GM473" i="6"/>
  <c r="GJ187" i="6"/>
  <c r="F8" i="10"/>
  <c r="EM114" i="6"/>
  <c r="FS114" i="6"/>
  <c r="GK114" i="6"/>
  <c r="EH100" i="6"/>
  <c r="EC100" i="6"/>
  <c r="EE100" i="6"/>
  <c r="EG100" i="6"/>
  <c r="EF100" i="6"/>
  <c r="EB100" i="6"/>
  <c r="ED185" i="6"/>
  <c r="AB389" i="8"/>
  <c r="GL368" i="6"/>
  <c r="GK247" i="6"/>
  <c r="GL283" i="6"/>
  <c r="EA182" i="6"/>
  <c r="Y392" i="8"/>
  <c r="V207" i="8"/>
  <c r="AA207" i="8" s="1"/>
  <c r="U207" i="8"/>
  <c r="Y262" i="8"/>
  <c r="W262" i="8"/>
  <c r="AK262" i="8"/>
  <c r="E4" i="10"/>
  <c r="FS98" i="6"/>
  <c r="EM98" i="6"/>
  <c r="GK98" i="6"/>
  <c r="EA102" i="6"/>
  <c r="GM183" i="6"/>
  <c r="GJ385" i="6"/>
  <c r="EH207" i="6"/>
  <c r="EG207" i="6"/>
  <c r="EF207" i="6"/>
  <c r="GN159" i="6"/>
  <c r="GJ312" i="6"/>
  <c r="GK230" i="6"/>
  <c r="GK439" i="6"/>
  <c r="AK276" i="8"/>
  <c r="Y276" i="8"/>
  <c r="EH258" i="6"/>
  <c r="EG258" i="6"/>
  <c r="EA258" i="6"/>
  <c r="DY258" i="6"/>
  <c r="ED258" i="6"/>
  <c r="EF258" i="6"/>
  <c r="EE258" i="6"/>
  <c r="Y358" i="8"/>
  <c r="AB254" i="8"/>
  <c r="GL491" i="6"/>
  <c r="GP405" i="6"/>
  <c r="EA421" i="6"/>
  <c r="GL406" i="6"/>
  <c r="DY327" i="6"/>
  <c r="GM360" i="6"/>
  <c r="GL306" i="6"/>
  <c r="GL440" i="6"/>
  <c r="EB335" i="6"/>
  <c r="T526" i="8"/>
  <c r="EK88" i="6"/>
  <c r="EI88" i="6"/>
  <c r="GI88" i="6"/>
  <c r="V296" i="8"/>
  <c r="AA296" i="8" s="1"/>
  <c r="T296" i="8"/>
  <c r="EI142" i="6"/>
  <c r="GI142" i="6"/>
  <c r="V260" i="8"/>
  <c r="AA260" i="8" s="1"/>
  <c r="U260" i="8"/>
  <c r="Z260" i="8" s="1"/>
  <c r="R260" i="8"/>
  <c r="Y214" i="8"/>
  <c r="W214" i="8"/>
  <c r="AK214" i="8"/>
  <c r="R448" i="8"/>
  <c r="EA456" i="6"/>
  <c r="EE340" i="6"/>
  <c r="W234" i="8"/>
  <c r="GJ222" i="6"/>
  <c r="GL464" i="6"/>
  <c r="EW28" i="6"/>
  <c r="GP161" i="6"/>
  <c r="EH384" i="6"/>
  <c r="EG384" i="6"/>
  <c r="V136" i="8"/>
  <c r="AA136" i="8" s="1"/>
  <c r="U136" i="8"/>
  <c r="Z136" i="8" s="1"/>
  <c r="V351" i="8"/>
  <c r="AA351" i="8" s="1"/>
  <c r="R351" i="8"/>
  <c r="U500" i="8"/>
  <c r="Z500" i="8" s="1"/>
  <c r="GN292" i="6"/>
  <c r="U272" i="8"/>
  <c r="Z272" i="8" s="1"/>
  <c r="FS217" i="6"/>
  <c r="GK217" i="6"/>
  <c r="T260" i="8"/>
  <c r="EK90" i="6"/>
  <c r="EI90" i="6"/>
  <c r="GI90" i="6"/>
  <c r="EH477" i="6"/>
  <c r="EG477" i="6"/>
  <c r="EF477" i="6"/>
  <c r="EB477" i="6"/>
  <c r="EC477" i="6"/>
  <c r="GJ171" i="6"/>
  <c r="GN198" i="6"/>
  <c r="GL298" i="6"/>
  <c r="Y120" i="8"/>
  <c r="W120" i="8"/>
  <c r="GN199" i="6"/>
  <c r="EH288" i="6"/>
  <c r="ED288" i="6"/>
  <c r="GO173" i="6"/>
  <c r="EF427" i="6"/>
  <c r="GM428" i="6"/>
  <c r="EH435" i="6"/>
  <c r="EA435" i="6"/>
  <c r="EE435" i="6"/>
  <c r="EG435" i="6"/>
  <c r="EC108" i="6"/>
  <c r="AK230" i="8"/>
  <c r="W230" i="8"/>
  <c r="Y230" i="8"/>
  <c r="EC317" i="6"/>
  <c r="GK372" i="6"/>
  <c r="R481" i="8"/>
  <c r="V131" i="8"/>
  <c r="AA131" i="8" s="1"/>
  <c r="T131" i="8"/>
  <c r="F9" i="10"/>
  <c r="FS115" i="6"/>
  <c r="GK115" i="6"/>
  <c r="U248" i="8"/>
  <c r="Z248" i="8" s="1"/>
  <c r="GP311" i="6"/>
  <c r="EC308" i="6"/>
  <c r="U361" i="8"/>
  <c r="Z361" i="8" s="1"/>
  <c r="EH410" i="6"/>
  <c r="EF410" i="6"/>
  <c r="EA410" i="6"/>
  <c r="GK402" i="6"/>
  <c r="EH342" i="6"/>
  <c r="EE342" i="6"/>
  <c r="EB342" i="6"/>
  <c r="EA342" i="6"/>
  <c r="EC186" i="6"/>
  <c r="GN291" i="6"/>
  <c r="GJ291" i="6"/>
  <c r="Y121" i="8"/>
  <c r="W121" i="8"/>
  <c r="ED449" i="6"/>
  <c r="GK315" i="6"/>
  <c r="ED471" i="6"/>
  <c r="EI276" i="6"/>
  <c r="GI276" i="6"/>
  <c r="DY43" i="6"/>
  <c r="GN355" i="6"/>
  <c r="R207" i="8"/>
  <c r="EF350" i="6"/>
  <c r="Y364" i="8"/>
  <c r="GL210" i="6"/>
  <c r="GN413" i="6"/>
  <c r="V168" i="8"/>
  <c r="AA168" i="8" s="1"/>
  <c r="U168" i="8"/>
  <c r="Z168" i="8" s="1"/>
  <c r="EE151" i="6"/>
  <c r="GI478" i="6"/>
  <c r="EI398" i="6"/>
  <c r="GI398" i="6"/>
  <c r="DY93" i="6"/>
  <c r="GP20" i="6"/>
  <c r="GJ200" i="6"/>
  <c r="EE447" i="6"/>
  <c r="V284" i="8"/>
  <c r="AA284" i="8" s="1"/>
  <c r="U284" i="8"/>
  <c r="Z284" i="8" s="1"/>
  <c r="GO164" i="6"/>
  <c r="GO355" i="6"/>
  <c r="EC422" i="6"/>
  <c r="DY472" i="6"/>
  <c r="EG252" i="6"/>
  <c r="EH234" i="6"/>
  <c r="EA234" i="6"/>
  <c r="ED234" i="6"/>
  <c r="EG234" i="6"/>
  <c r="EB310" i="6"/>
  <c r="GM325" i="6"/>
  <c r="EK52" i="6"/>
  <c r="EI52" i="6"/>
  <c r="GI52" i="6"/>
  <c r="ED233" i="6"/>
  <c r="GM482" i="6"/>
  <c r="V164" i="8"/>
  <c r="AA164" i="8" s="1"/>
  <c r="U164" i="8"/>
  <c r="Z164" i="8" s="1"/>
  <c r="V364" i="8"/>
  <c r="AA364" i="8" s="1"/>
  <c r="U364" i="8"/>
  <c r="Z364" i="8" s="1"/>
  <c r="GO144" i="6"/>
  <c r="GL200" i="6"/>
  <c r="GL336" i="6"/>
  <c r="EC447" i="6"/>
  <c r="EC481" i="6"/>
  <c r="EA107" i="6"/>
  <c r="EB250" i="6"/>
  <c r="GK319" i="6"/>
  <c r="T168" i="8"/>
  <c r="GI62" i="6"/>
  <c r="EI62" i="6"/>
  <c r="EK62" i="6"/>
  <c r="EE190" i="6"/>
  <c r="EH442" i="6"/>
  <c r="EA442" i="6"/>
  <c r="EG442" i="6"/>
  <c r="DY442" i="6"/>
  <c r="Y405" i="8"/>
  <c r="AB405" i="8" s="1"/>
  <c r="W405" i="8"/>
  <c r="GP398" i="6"/>
  <c r="FS211" i="6"/>
  <c r="GK211" i="6"/>
  <c r="GN298" i="6"/>
  <c r="GM341" i="6"/>
  <c r="GJ360" i="6"/>
  <c r="W290" i="8"/>
  <c r="Y290" i="8"/>
  <c r="GM254" i="6"/>
  <c r="EH415" i="6"/>
  <c r="EA415" i="6"/>
  <c r="EG415" i="6"/>
  <c r="EF59" i="6"/>
  <c r="EI465" i="6"/>
  <c r="GI465" i="6"/>
  <c r="GJ148" i="6"/>
  <c r="EP145" i="6"/>
  <c r="GN145" i="6"/>
  <c r="EG345" i="6"/>
  <c r="EG487" i="6"/>
  <c r="U295" i="8"/>
  <c r="Z295" i="8" s="1"/>
  <c r="R530" i="8"/>
  <c r="U375" i="8"/>
  <c r="Z375" i="8" s="1"/>
  <c r="EH111" i="6"/>
  <c r="EA111" i="6"/>
  <c r="EG111" i="6"/>
  <c r="EB111" i="6"/>
  <c r="U410" i="8"/>
  <c r="Z410" i="8" s="1"/>
  <c r="EO67" i="6"/>
  <c r="GM67" i="6"/>
  <c r="EB352" i="6"/>
  <c r="EG437" i="6"/>
  <c r="R484" i="8"/>
  <c r="V365" i="8"/>
  <c r="AA365" i="8" s="1"/>
  <c r="U365" i="8"/>
  <c r="Z365" i="8" s="1"/>
  <c r="EL74" i="6"/>
  <c r="GJ74" i="6"/>
  <c r="EA217" i="6"/>
  <c r="GO197" i="6"/>
  <c r="GI370" i="6"/>
  <c r="GN472" i="6"/>
  <c r="GO138" i="6"/>
  <c r="FS175" i="6"/>
  <c r="FL175" i="6"/>
  <c r="GK175" i="6"/>
  <c r="EE448" i="6"/>
  <c r="W146" i="8"/>
  <c r="R496" i="8"/>
  <c r="EP79" i="6"/>
  <c r="GN79" i="6"/>
  <c r="EA152" i="6"/>
  <c r="EE418" i="6"/>
  <c r="GM210" i="6"/>
  <c r="GM328" i="6"/>
  <c r="EH476" i="6"/>
  <c r="EG476" i="6"/>
  <c r="EA476" i="6"/>
  <c r="ED476" i="6"/>
  <c r="AB79" i="8"/>
  <c r="R239" i="8"/>
  <c r="DY196" i="6"/>
  <c r="Y201" i="8"/>
  <c r="W201" i="8"/>
  <c r="AK201" i="8"/>
  <c r="EG471" i="6"/>
  <c r="GM235" i="6"/>
  <c r="GN325" i="6"/>
  <c r="Y324" i="8"/>
  <c r="W324" i="8"/>
  <c r="GK36" i="6"/>
  <c r="E12" i="10"/>
  <c r="FS106" i="6"/>
  <c r="GK106" i="6"/>
  <c r="EH158" i="6"/>
  <c r="EA158" i="6"/>
  <c r="EE158" i="6"/>
  <c r="ED158" i="6"/>
  <c r="DY158" i="6"/>
  <c r="EG158" i="6"/>
  <c r="GO158" i="6" s="1"/>
  <c r="GP316" i="6"/>
  <c r="W43" i="8"/>
  <c r="EH149" i="6"/>
  <c r="EB149" i="6"/>
  <c r="EF149" i="6"/>
  <c r="EG149" i="6"/>
  <c r="GQ68" i="6"/>
  <c r="CF77" i="5" s="1"/>
  <c r="CG77" i="5" s="1"/>
  <c r="EH156" i="6"/>
  <c r="EA156" i="6"/>
  <c r="EB156" i="6"/>
  <c r="U420" i="8"/>
  <c r="Z420" i="8" s="1"/>
  <c r="U181" i="8"/>
  <c r="Z181" i="8" s="1"/>
  <c r="EC340" i="6"/>
  <c r="EK31" i="6"/>
  <c r="GM263" i="6"/>
  <c r="R359" i="8"/>
  <c r="EI455" i="6"/>
  <c r="GI455" i="6"/>
  <c r="EH439" i="6"/>
  <c r="EA439" i="6"/>
  <c r="EF439" i="6"/>
  <c r="EB439" i="6"/>
  <c r="ED439" i="6"/>
  <c r="EG439" i="6"/>
  <c r="GI131" i="6"/>
  <c r="GP153" i="6"/>
  <c r="ED309" i="6"/>
  <c r="GJ46" i="6"/>
  <c r="DY441" i="6"/>
  <c r="W444" i="8"/>
  <c r="Y444" i="8"/>
  <c r="AB444" i="8" s="1"/>
  <c r="W415" i="8"/>
  <c r="EE194" i="6"/>
  <c r="EI401" i="6"/>
  <c r="GI401" i="6"/>
  <c r="Y237" i="8"/>
  <c r="AK237" i="8"/>
  <c r="W237" i="8"/>
  <c r="EK29" i="6"/>
  <c r="GM220" i="6"/>
  <c r="GM351" i="6"/>
  <c r="V225" i="8"/>
  <c r="AA225" i="8" s="1"/>
  <c r="U225" i="8"/>
  <c r="Z225" i="8" s="1"/>
  <c r="R225" i="8"/>
  <c r="Y538" i="8"/>
  <c r="EI220" i="6"/>
  <c r="GI220" i="6"/>
  <c r="AB153" i="8"/>
  <c r="AB55" i="8"/>
  <c r="GK325" i="6"/>
  <c r="EB314" i="6"/>
  <c r="R337" i="8"/>
  <c r="GJ273" i="6"/>
  <c r="Y440" i="8"/>
  <c r="GP493" i="6"/>
  <c r="EI290" i="6"/>
  <c r="GI290" i="6"/>
  <c r="W100" i="8"/>
  <c r="W166" i="8"/>
  <c r="W119" i="8"/>
  <c r="R376" i="8"/>
  <c r="GN174" i="6"/>
  <c r="R284" i="8"/>
  <c r="DY462" i="6"/>
  <c r="GL400" i="6"/>
  <c r="V477" i="8"/>
  <c r="AA477" i="8" s="1"/>
  <c r="U477" i="8"/>
  <c r="Z477" i="8" s="1"/>
  <c r="R477" i="8"/>
  <c r="EO156" i="6"/>
  <c r="GM156" i="6"/>
  <c r="GL218" i="6"/>
  <c r="EH432" i="6"/>
  <c r="EC432" i="6"/>
  <c r="EA432" i="6"/>
  <c r="EF432" i="6"/>
  <c r="EI361" i="6"/>
  <c r="GL414" i="6"/>
  <c r="V461" i="8"/>
  <c r="AA461" i="8" s="1"/>
  <c r="U461" i="8"/>
  <c r="Z461" i="8" s="1"/>
  <c r="R461" i="8"/>
  <c r="GM326" i="6"/>
  <c r="F12" i="10"/>
  <c r="EM118" i="6"/>
  <c r="FS118" i="6"/>
  <c r="GK118" i="6"/>
  <c r="V143" i="8"/>
  <c r="AA143" i="8" s="1"/>
  <c r="U143" i="8"/>
  <c r="Z143" i="8" s="1"/>
  <c r="V322" i="8"/>
  <c r="AA322" i="8" s="1"/>
  <c r="U322" i="8"/>
  <c r="Z322" i="8" s="1"/>
  <c r="R322" i="8"/>
  <c r="EK20" i="6"/>
  <c r="EI20" i="6"/>
  <c r="EH426" i="6"/>
  <c r="EE426" i="6"/>
  <c r="EB426" i="6"/>
  <c r="ED426" i="6"/>
  <c r="GL269" i="6"/>
  <c r="FC135" i="6"/>
  <c r="EL135" i="6" s="1"/>
  <c r="GJ135" i="6"/>
  <c r="GM486" i="6"/>
  <c r="EH117" i="6"/>
  <c r="EE117" i="6"/>
  <c r="EB117" i="6"/>
  <c r="EG117" i="6"/>
  <c r="EC117" i="6"/>
  <c r="EI458" i="6"/>
  <c r="GI458" i="6"/>
  <c r="GL333" i="6"/>
  <c r="Y385" i="8"/>
  <c r="GM452" i="6"/>
  <c r="EK34" i="6"/>
  <c r="EI34" i="6"/>
  <c r="GK286" i="6"/>
  <c r="V502" i="8"/>
  <c r="AA502" i="8" s="1"/>
  <c r="U502" i="8"/>
  <c r="Z502" i="8" s="1"/>
  <c r="T423" i="8"/>
  <c r="EB358" i="6"/>
  <c r="V379" i="8"/>
  <c r="AA379" i="8" s="1"/>
  <c r="U379" i="8"/>
  <c r="EH33" i="6"/>
  <c r="EE33" i="6"/>
  <c r="EC33" i="6"/>
  <c r="EB33" i="6"/>
  <c r="EF33" i="6"/>
  <c r="EG33" i="6"/>
  <c r="Y420" i="8"/>
  <c r="W420" i="8"/>
  <c r="DY358" i="6"/>
  <c r="GM385" i="6"/>
  <c r="EI254" i="6"/>
  <c r="GI254" i="6"/>
  <c r="GK242" i="6"/>
  <c r="FS184" i="6"/>
  <c r="GK184" i="6"/>
  <c r="GM368" i="6"/>
  <c r="GM106" i="6"/>
  <c r="GK417" i="6"/>
  <c r="GN240" i="6"/>
  <c r="EI106" i="6"/>
  <c r="GI106" i="6"/>
  <c r="GO386" i="6"/>
  <c r="Y207" i="8"/>
  <c r="AK207" i="8"/>
  <c r="GM412" i="6"/>
  <c r="I13" i="10"/>
  <c r="FS155" i="6"/>
  <c r="FL155" i="6"/>
  <c r="GK155" i="6"/>
  <c r="EQ133" i="6"/>
  <c r="GO133" i="6"/>
  <c r="V386" i="8"/>
  <c r="AA386" i="8" s="1"/>
  <c r="U386" i="8"/>
  <c r="Z386" i="8" s="1"/>
  <c r="EH393" i="6"/>
  <c r="EA393" i="6"/>
  <c r="GN423" i="6"/>
  <c r="EH37" i="6"/>
  <c r="EE37" i="6"/>
  <c r="EB37" i="6"/>
  <c r="EC37" i="6"/>
  <c r="EF37" i="6"/>
  <c r="EG37" i="6"/>
  <c r="GN327" i="6"/>
  <c r="EI110" i="6"/>
  <c r="GI110" i="6"/>
  <c r="T542" i="8"/>
  <c r="Y223" i="8"/>
  <c r="W223" i="8"/>
  <c r="AK223" i="8"/>
  <c r="GM295" i="6"/>
  <c r="GK337" i="6"/>
  <c r="EQ89" i="6"/>
  <c r="GO89" i="6"/>
  <c r="GL435" i="6"/>
  <c r="EE182" i="6"/>
  <c r="EO71" i="6"/>
  <c r="GM71" i="6"/>
  <c r="EA126" i="6"/>
  <c r="Y56" i="8"/>
  <c r="AB56" i="8" s="1"/>
  <c r="W56" i="8"/>
  <c r="EK50" i="6"/>
  <c r="EI50" i="6"/>
  <c r="GI50" i="6"/>
  <c r="GL398" i="6"/>
  <c r="V458" i="8"/>
  <c r="AA458" i="8" s="1"/>
  <c r="U458" i="8"/>
  <c r="Z458" i="8" s="1"/>
  <c r="GN486" i="6"/>
  <c r="GL204" i="6"/>
  <c r="GJ203" i="6"/>
  <c r="EH474" i="6"/>
  <c r="ED474" i="6"/>
  <c r="EG474" i="6"/>
  <c r="GN434" i="6"/>
  <c r="GL254" i="6"/>
  <c r="V287" i="8"/>
  <c r="AA287" i="8" s="1"/>
  <c r="R287" i="8"/>
  <c r="U287" i="8"/>
  <c r="GK332" i="6"/>
  <c r="GN224" i="6"/>
  <c r="V471" i="8"/>
  <c r="AA471" i="8" s="1"/>
  <c r="R471" i="8"/>
  <c r="U471" i="8"/>
  <c r="GK469" i="6"/>
  <c r="GL296" i="6"/>
  <c r="EG441" i="6"/>
  <c r="GN482" i="6"/>
  <c r="Y307" i="8"/>
  <c r="GL465" i="6"/>
  <c r="Y505" i="8"/>
  <c r="AB505" i="8" s="1"/>
  <c r="W505" i="8"/>
  <c r="Y370" i="8"/>
  <c r="W370" i="8"/>
  <c r="GP457" i="6"/>
  <c r="EI381" i="6"/>
  <c r="GI381" i="6"/>
  <c r="DY97" i="6"/>
  <c r="GN191" i="6"/>
  <c r="GL265" i="6"/>
  <c r="GK346" i="6"/>
  <c r="T259" i="8"/>
  <c r="V211" i="8"/>
  <c r="AA211" i="8" s="1"/>
  <c r="U211" i="8"/>
  <c r="Z211" i="8" s="1"/>
  <c r="R211" i="8"/>
  <c r="T293" i="8"/>
  <c r="ED257" i="6"/>
  <c r="GM409" i="6"/>
  <c r="EI438" i="6"/>
  <c r="GI438" i="6"/>
  <c r="GK293" i="6"/>
  <c r="V82" i="8"/>
  <c r="AA82" i="8" s="1"/>
  <c r="U82" i="8"/>
  <c r="Z82" i="8" s="1"/>
  <c r="EH440" i="6"/>
  <c r="EA440" i="6"/>
  <c r="GJ374" i="6"/>
  <c r="GP465" i="6"/>
  <c r="U537" i="8"/>
  <c r="Z537" i="8" s="1"/>
  <c r="EB320" i="6"/>
  <c r="V370" i="8"/>
  <c r="AA370" i="8" s="1"/>
  <c r="R370" i="8"/>
  <c r="U370" i="8"/>
  <c r="Z370" i="8" s="1"/>
  <c r="EF117" i="6"/>
  <c r="EA388" i="6"/>
  <c r="EF245" i="6"/>
  <c r="EI311" i="6"/>
  <c r="GI311" i="6"/>
  <c r="Y535" i="8"/>
  <c r="AB535" i="8" s="1"/>
  <c r="W535" i="8"/>
  <c r="V470" i="8"/>
  <c r="AA470" i="8" s="1"/>
  <c r="U470" i="8"/>
  <c r="Z470" i="8" s="1"/>
  <c r="EH137" i="6"/>
  <c r="EG137" i="6"/>
  <c r="EE137" i="6"/>
  <c r="V309" i="8"/>
  <c r="R309" i="8"/>
  <c r="EC436" i="6"/>
  <c r="ED207" i="6"/>
  <c r="EG86" i="6"/>
  <c r="GK231" i="6"/>
  <c r="GM144" i="6"/>
  <c r="GM179" i="6"/>
  <c r="V414" i="8"/>
  <c r="AA414" i="8" s="1"/>
  <c r="U414" i="8"/>
  <c r="Z414" i="8" s="1"/>
  <c r="V291" i="8"/>
  <c r="AA291" i="8" s="1"/>
  <c r="T291" i="8"/>
  <c r="Y495" i="8"/>
  <c r="AB495" i="8" s="1"/>
  <c r="W495" i="8"/>
  <c r="V536" i="8"/>
  <c r="AA536" i="8" s="1"/>
  <c r="T536" i="8"/>
  <c r="GL418" i="6"/>
  <c r="FS176" i="6"/>
  <c r="GK176" i="6"/>
  <c r="GL214" i="6"/>
  <c r="V499" i="8"/>
  <c r="AA499" i="8" s="1"/>
  <c r="R499" i="8"/>
  <c r="GM366" i="6"/>
  <c r="V476" i="8"/>
  <c r="AA476" i="8" s="1"/>
  <c r="U476" i="8"/>
  <c r="Z476" i="8" s="1"/>
  <c r="R476" i="8"/>
  <c r="EH382" i="6"/>
  <c r="EA382" i="6"/>
  <c r="EG382" i="6"/>
  <c r="ED382" i="6"/>
  <c r="EE484" i="6"/>
  <c r="GM167" i="6"/>
  <c r="Y449" i="8"/>
  <c r="W449" i="8"/>
  <c r="GN319" i="6"/>
  <c r="T484" i="8"/>
  <c r="GJ128" i="6"/>
  <c r="GO235" i="6"/>
  <c r="GN14" i="6"/>
  <c r="EB207" i="6"/>
  <c r="EW42" i="6"/>
  <c r="EB468" i="6"/>
  <c r="EH464" i="6"/>
  <c r="EF464" i="6"/>
  <c r="EG464" i="6"/>
  <c r="Y284" i="8"/>
  <c r="W284" i="8"/>
  <c r="AK284" i="8"/>
  <c r="EH162" i="6"/>
  <c r="EA162" i="6"/>
  <c r="EE162" i="6"/>
  <c r="EF162" i="6"/>
  <c r="ED162" i="6"/>
  <c r="GJ409" i="6"/>
  <c r="EH47" i="6"/>
  <c r="EE47" i="6"/>
  <c r="EC47" i="6"/>
  <c r="EB47" i="6"/>
  <c r="EG47" i="6"/>
  <c r="EF47" i="6"/>
  <c r="EH130" i="6"/>
  <c r="EB130" i="6"/>
  <c r="EG130" i="6"/>
  <c r="GJ437" i="6"/>
  <c r="GM374" i="6"/>
  <c r="AB256" i="8"/>
  <c r="EI38" i="6"/>
  <c r="GN136" i="6"/>
  <c r="GJ234" i="6"/>
  <c r="GL300" i="6"/>
  <c r="GK414" i="6"/>
  <c r="EQ152" i="6"/>
  <c r="GO152" i="6"/>
  <c r="EH229" i="6"/>
  <c r="EC229" i="6"/>
  <c r="GN340" i="6"/>
  <c r="EH397" i="6"/>
  <c r="EG397" i="6"/>
  <c r="EB397" i="6"/>
  <c r="GM476" i="6"/>
  <c r="EI191" i="6"/>
  <c r="GI191" i="6"/>
  <c r="EE489" i="6"/>
  <c r="FS225" i="6"/>
  <c r="GK225" i="6"/>
  <c r="EO62" i="6"/>
  <c r="GM62" i="6"/>
  <c r="EH291" i="6"/>
  <c r="EA291" i="6"/>
  <c r="EE291" i="6"/>
  <c r="W454" i="8"/>
  <c r="Y454" i="8"/>
  <c r="GO460" i="6"/>
  <c r="GK38" i="6"/>
  <c r="V140" i="8"/>
  <c r="AA140" i="8" s="1"/>
  <c r="U140" i="8"/>
  <c r="Z140" i="8" s="1"/>
  <c r="EN172" i="6"/>
  <c r="GL172" i="6"/>
  <c r="GO298" i="6"/>
  <c r="U417" i="8"/>
  <c r="Z417" i="8" s="1"/>
  <c r="EF314" i="6"/>
  <c r="GK411" i="6"/>
  <c r="ED281" i="6"/>
  <c r="EE181" i="6"/>
  <c r="FS204" i="6"/>
  <c r="GK204" i="6"/>
  <c r="GJ336" i="6"/>
  <c r="GM377" i="6"/>
  <c r="Y336" i="8"/>
  <c r="R450" i="8"/>
  <c r="EH35" i="6"/>
  <c r="EE35" i="6"/>
  <c r="EC35" i="6"/>
  <c r="EB35" i="6"/>
  <c r="EF35" i="6"/>
  <c r="EG35" i="6"/>
  <c r="GM18" i="6"/>
  <c r="GI260" i="6"/>
  <c r="GO404" i="6"/>
  <c r="GJ351" i="6"/>
  <c r="D3" i="10"/>
  <c r="FS85" i="6"/>
  <c r="EM85" i="6"/>
  <c r="GK85" i="6"/>
  <c r="EE202" i="6"/>
  <c r="EH444" i="6"/>
  <c r="ED444" i="6"/>
  <c r="EC444" i="6"/>
  <c r="EA47" i="6"/>
  <c r="EF202" i="6"/>
  <c r="GO368" i="6"/>
  <c r="GM379" i="6"/>
  <c r="GN225" i="6"/>
  <c r="EH434" i="6"/>
  <c r="DY434" i="6"/>
  <c r="EA434" i="6"/>
  <c r="GJ334" i="6"/>
  <c r="V108" i="8"/>
  <c r="AA108" i="8" s="1"/>
  <c r="U108" i="8"/>
  <c r="Z108" i="8" s="1"/>
  <c r="GJ174" i="6"/>
  <c r="GN409" i="6"/>
  <c r="EA35" i="6"/>
  <c r="GK18" i="6"/>
  <c r="GO260" i="6"/>
  <c r="ED320" i="6"/>
  <c r="GK360" i="6"/>
  <c r="EL75" i="6"/>
  <c r="GJ75" i="6"/>
  <c r="GN20" i="6"/>
  <c r="EH180" i="6"/>
  <c r="EG180" i="6"/>
  <c r="EE180" i="6"/>
  <c r="ED180" i="6"/>
  <c r="EB180" i="6"/>
  <c r="EH222" i="6"/>
  <c r="ED222" i="6"/>
  <c r="EG222" i="6"/>
  <c r="EE222" i="6"/>
  <c r="EH372" i="6"/>
  <c r="EG372" i="6"/>
  <c r="ED372" i="6"/>
  <c r="EB372" i="6"/>
  <c r="EE372" i="6"/>
  <c r="EC480" i="6"/>
  <c r="U204" i="8"/>
  <c r="EO85" i="6"/>
  <c r="GM85" i="6"/>
  <c r="ED183" i="6"/>
  <c r="EE362" i="6"/>
  <c r="EA444" i="6"/>
  <c r="EB195" i="6"/>
  <c r="GJ297" i="6"/>
  <c r="ED358" i="6"/>
  <c r="GN175" i="6"/>
  <c r="GM241" i="6"/>
  <c r="GP355" i="6"/>
  <c r="ED397" i="6"/>
  <c r="GM490" i="6"/>
  <c r="T176" i="8"/>
  <c r="W508" i="8"/>
  <c r="Y508" i="8"/>
  <c r="AB508" i="8" s="1"/>
  <c r="DY55" i="6"/>
  <c r="EH139" i="6"/>
  <c r="EG139" i="6"/>
  <c r="EF139" i="6"/>
  <c r="EI213" i="6"/>
  <c r="GI213" i="6"/>
  <c r="EE308" i="6"/>
  <c r="GO328" i="6"/>
  <c r="EH469" i="6"/>
  <c r="EG469" i="6"/>
  <c r="T244" i="8"/>
  <c r="EM52" i="6"/>
  <c r="GK52" i="6"/>
  <c r="GP30" i="6"/>
  <c r="GJ161" i="6"/>
  <c r="EH231" i="6"/>
  <c r="EF231" i="6"/>
  <c r="EG231" i="6"/>
  <c r="EH356" i="6"/>
  <c r="EB356" i="6"/>
  <c r="GM395" i="6"/>
  <c r="U351" i="8"/>
  <c r="Z351" i="8" s="1"/>
  <c r="GN254" i="6"/>
  <c r="EC277" i="6"/>
  <c r="GO352" i="6"/>
  <c r="GN119" i="6"/>
  <c r="EH203" i="6"/>
  <c r="EG203" i="6"/>
  <c r="EE203" i="6"/>
  <c r="I4" i="10"/>
  <c r="FS146" i="6"/>
  <c r="FL146" i="6"/>
  <c r="EM146" i="6"/>
  <c r="EW146" i="6" s="1"/>
  <c r="GK146" i="6"/>
  <c r="GL303" i="6"/>
  <c r="EH495" i="6"/>
  <c r="EG495" i="6"/>
  <c r="EE495" i="6"/>
  <c r="DY491" i="6"/>
  <c r="EM62" i="6"/>
  <c r="GK62" i="6"/>
  <c r="ED442" i="6"/>
  <c r="V252" i="8"/>
  <c r="AA252" i="8" s="1"/>
  <c r="U252" i="8"/>
  <c r="Z252" i="8" s="1"/>
  <c r="Y314" i="8"/>
  <c r="GN146" i="6"/>
  <c r="GP298" i="6"/>
  <c r="GM336" i="6"/>
  <c r="EK99" i="6"/>
  <c r="EI99" i="6"/>
  <c r="GI99" i="6"/>
  <c r="ED356" i="6"/>
  <c r="ED488" i="6"/>
  <c r="DY283" i="6"/>
  <c r="U510" i="8"/>
  <c r="Z510" i="8" s="1"/>
  <c r="GM112" i="6"/>
  <c r="EB190" i="6"/>
  <c r="DY430" i="6"/>
  <c r="R229" i="8"/>
  <c r="DY490" i="6"/>
  <c r="GL191" i="6"/>
  <c r="EF386" i="6"/>
  <c r="EE462" i="6"/>
  <c r="U422" i="8"/>
  <c r="Z422" i="8" s="1"/>
  <c r="EC111" i="6"/>
  <c r="EE125" i="6"/>
  <c r="B9" i="10"/>
  <c r="EM67" i="6"/>
  <c r="GK67" i="6"/>
  <c r="GK395" i="6"/>
  <c r="Y83" i="8"/>
  <c r="Y72" i="8"/>
  <c r="W72" i="8"/>
  <c r="V407" i="8"/>
  <c r="AA407" i="8" s="1"/>
  <c r="R407" i="8"/>
  <c r="U407" i="8"/>
  <c r="Z407" i="8" s="1"/>
  <c r="GN128" i="6"/>
  <c r="EH370" i="6"/>
  <c r="EG370" i="6"/>
  <c r="EK70" i="6"/>
  <c r="AB146" i="8"/>
  <c r="R442" i="8"/>
  <c r="EH357" i="6"/>
  <c r="EA357" i="6"/>
  <c r="C9" i="10"/>
  <c r="EM79" i="6"/>
  <c r="GK79" i="6"/>
  <c r="EA81" i="6"/>
  <c r="EH81" i="6"/>
  <c r="EC81" i="6"/>
  <c r="EG81" i="6"/>
  <c r="EB81" i="6"/>
  <c r="EF81" i="6"/>
  <c r="I7" i="10"/>
  <c r="FS149" i="6"/>
  <c r="FL149" i="6"/>
  <c r="GK149" i="6"/>
  <c r="EG312" i="6"/>
  <c r="AB197" i="8"/>
  <c r="R213" i="8"/>
  <c r="EI148" i="6"/>
  <c r="GI148" i="6"/>
  <c r="GO210" i="6"/>
  <c r="EB476" i="6"/>
  <c r="R397" i="8"/>
  <c r="EI460" i="6"/>
  <c r="T274" i="8"/>
  <c r="R222" i="8"/>
  <c r="EW46" i="6"/>
  <c r="DY261" i="6"/>
  <c r="EF352" i="6"/>
  <c r="DY475" i="6"/>
  <c r="W456" i="8"/>
  <c r="Y456" i="8"/>
  <c r="AB456" i="8" s="1"/>
  <c r="GM36" i="6"/>
  <c r="AK246" i="8"/>
  <c r="Y246" i="8"/>
  <c r="W246" i="8"/>
  <c r="EC158" i="6"/>
  <c r="EB158" i="6"/>
  <c r="GK431" i="6"/>
  <c r="EA149" i="6"/>
  <c r="V235" i="8"/>
  <c r="AA235" i="8" s="1"/>
  <c r="U235" i="8"/>
  <c r="Z235" i="8" s="1"/>
  <c r="R235" i="8"/>
  <c r="R293" i="8"/>
  <c r="EB326" i="6"/>
  <c r="EH128" i="6"/>
  <c r="EC128" i="6"/>
  <c r="EE128" i="6"/>
  <c r="EG128" i="6"/>
  <c r="EA128" i="6"/>
  <c r="EE111" i="6"/>
  <c r="EE307" i="6"/>
  <c r="GL455" i="6"/>
  <c r="EE439" i="6"/>
  <c r="EA153" i="6"/>
  <c r="GM46" i="6"/>
  <c r="EH238" i="6"/>
  <c r="EA238" i="6"/>
  <c r="EE238" i="6"/>
  <c r="EF238" i="6"/>
  <c r="EF389" i="6"/>
  <c r="V92" i="8"/>
  <c r="AA92" i="8" s="1"/>
  <c r="R92" i="8"/>
  <c r="U92" i="8"/>
  <c r="Z92" i="8" s="1"/>
  <c r="AB415" i="8"/>
  <c r="GN401" i="6"/>
  <c r="Y63" i="8"/>
  <c r="AB63" i="8" s="1"/>
  <c r="W63" i="8"/>
  <c r="T509" i="8"/>
  <c r="GK297" i="6"/>
  <c r="GP351" i="6"/>
  <c r="T225" i="8"/>
  <c r="V538" i="8"/>
  <c r="AA538" i="8" s="1"/>
  <c r="U538" i="8"/>
  <c r="Z538" i="8" s="1"/>
  <c r="U176" i="8"/>
  <c r="Z176" i="8" s="1"/>
  <c r="V44" i="8"/>
  <c r="W44" i="8" s="1"/>
  <c r="U44" i="8"/>
  <c r="EF418" i="6"/>
  <c r="DY81" i="6"/>
  <c r="EF363" i="6"/>
  <c r="EF440" i="6"/>
  <c r="W46" i="8"/>
  <c r="GN290" i="6"/>
  <c r="V440" i="8"/>
  <c r="AA440" i="8" s="1"/>
  <c r="U440" i="8"/>
  <c r="T251" i="8"/>
  <c r="GO290" i="6"/>
  <c r="AB100" i="8"/>
  <c r="EL51" i="6"/>
  <c r="GJ51" i="6"/>
  <c r="AB166" i="8"/>
  <c r="AB119" i="8"/>
  <c r="DY96" i="6"/>
  <c r="GM174" i="6"/>
  <c r="R382" i="8"/>
  <c r="R472" i="8"/>
  <c r="ER63" i="6"/>
  <c r="GP63" i="6"/>
  <c r="GL390" i="6"/>
  <c r="GK251" i="6"/>
  <c r="Y117" i="8"/>
  <c r="W117" i="8"/>
  <c r="GL367" i="6"/>
  <c r="FS205" i="6"/>
  <c r="GN226" i="6"/>
  <c r="GN442" i="6"/>
  <c r="V518" i="8"/>
  <c r="AA518" i="8" s="1"/>
  <c r="U518" i="8"/>
  <c r="Z518" i="8" s="1"/>
  <c r="R518" i="8"/>
  <c r="GK239" i="6"/>
  <c r="EI160" i="6"/>
  <c r="GI160" i="6"/>
  <c r="EI109" i="6"/>
  <c r="FB109" i="6"/>
  <c r="GI109" i="6"/>
  <c r="GL384" i="6"/>
  <c r="FS213" i="6"/>
  <c r="GK213" i="6"/>
  <c r="AB347" i="8"/>
  <c r="V147" i="8"/>
  <c r="AA147" i="8" s="1"/>
  <c r="T147" i="8"/>
  <c r="R147" i="8"/>
  <c r="GN322" i="6"/>
  <c r="GN251" i="6"/>
  <c r="GJ279" i="6"/>
  <c r="GN421" i="6"/>
  <c r="GM170" i="6"/>
  <c r="GK457" i="6"/>
  <c r="GP341" i="6"/>
  <c r="GJ242" i="6"/>
  <c r="GK233" i="6"/>
  <c r="G14" i="10"/>
  <c r="FS132" i="6"/>
  <c r="GK132" i="6"/>
  <c r="EH127" i="6"/>
  <c r="EA127" i="6"/>
  <c r="EG127" i="6"/>
  <c r="V59" i="8"/>
  <c r="AA59" i="8" s="1"/>
  <c r="U59" i="8"/>
  <c r="Z59" i="8" s="1"/>
  <c r="Y98" i="8"/>
  <c r="W98" i="8"/>
  <c r="V112" i="8"/>
  <c r="AA112" i="8" s="1"/>
  <c r="U112" i="8"/>
  <c r="Z112" i="8" s="1"/>
  <c r="M8" i="10"/>
  <c r="L8" i="10"/>
  <c r="K8" i="10"/>
  <c r="P8" i="10"/>
  <c r="O8" i="10"/>
  <c r="J8" i="10"/>
  <c r="Q8" i="10"/>
  <c r="N8" i="10"/>
  <c r="FS162" i="6"/>
  <c r="FL162" i="6"/>
  <c r="GK162" i="6"/>
  <c r="GJ106" i="6"/>
  <c r="EB432" i="6"/>
  <c r="GN398" i="6"/>
  <c r="T352" i="8"/>
  <c r="EH483" i="6"/>
  <c r="EG483" i="6"/>
  <c r="EC483" i="6"/>
  <c r="EF483" i="6"/>
  <c r="EA483" i="6"/>
  <c r="GK396" i="6"/>
  <c r="R502" i="8"/>
  <c r="I8" i="10"/>
  <c r="GK150" i="6"/>
  <c r="FS150" i="6"/>
  <c r="FL150" i="6"/>
  <c r="GP378" i="6"/>
  <c r="T361" i="8"/>
  <c r="T422" i="8"/>
  <c r="GN412" i="6"/>
  <c r="GK445" i="6"/>
  <c r="GN249" i="6"/>
  <c r="T59" i="8"/>
  <c r="EH228" i="6"/>
  <c r="EE228" i="6"/>
  <c r="ED228" i="6"/>
  <c r="EA228" i="6"/>
  <c r="EB228" i="6"/>
  <c r="GN459" i="6"/>
  <c r="EB248" i="6"/>
  <c r="V413" i="8"/>
  <c r="AA413" i="8" s="1"/>
  <c r="U413" i="8"/>
  <c r="Z413" i="8" s="1"/>
  <c r="R413" i="8"/>
  <c r="EL50" i="6"/>
  <c r="GJ50" i="6"/>
  <c r="T502" i="8"/>
  <c r="EI292" i="6"/>
  <c r="GI292" i="6"/>
  <c r="GL409" i="6"/>
  <c r="EH280" i="6"/>
  <c r="EA280" i="6"/>
  <c r="EC280" i="6"/>
  <c r="EB280" i="6"/>
  <c r="DY91" i="6"/>
  <c r="EH182" i="6"/>
  <c r="EG182" i="6"/>
  <c r="T102" i="8"/>
  <c r="GM434" i="6"/>
  <c r="EE58" i="6"/>
  <c r="EH58" i="6"/>
  <c r="EG58" i="6"/>
  <c r="EB58" i="6"/>
  <c r="EC58" i="6"/>
  <c r="EF58" i="6"/>
  <c r="GL238" i="6"/>
  <c r="GO339" i="6"/>
  <c r="EH206" i="6"/>
  <c r="EB206" i="6"/>
  <c r="EF206" i="6"/>
  <c r="EH256" i="6"/>
  <c r="EF256" i="6"/>
  <c r="EE256" i="6"/>
  <c r="ED256" i="6"/>
  <c r="EG256" i="6"/>
  <c r="EB256" i="6"/>
  <c r="GK321" i="6"/>
  <c r="AB267" i="8"/>
  <c r="GM145" i="6"/>
  <c r="EO145" i="6"/>
  <c r="GK421" i="6"/>
  <c r="T529" i="8"/>
  <c r="AB77" i="8"/>
  <c r="T286" i="8"/>
  <c r="GK381" i="6"/>
  <c r="GK283" i="6"/>
  <c r="GO486" i="6"/>
  <c r="GJ442" i="6"/>
  <c r="EL98" i="6"/>
  <c r="GJ98" i="6"/>
  <c r="GM213" i="6"/>
  <c r="GI399" i="6"/>
  <c r="EK89" i="6"/>
  <c r="EI89" i="6"/>
  <c r="GI89" i="6"/>
  <c r="EH463" i="6"/>
  <c r="EG463" i="6"/>
  <c r="EA463" i="6"/>
  <c r="ED463" i="6"/>
  <c r="EF463" i="6"/>
  <c r="GN273" i="6"/>
  <c r="EA206" i="6"/>
  <c r="GM160" i="6"/>
  <c r="GO305" i="6"/>
  <c r="Y298" i="8"/>
  <c r="W298" i="8"/>
  <c r="GI422" i="6"/>
  <c r="V317" i="8"/>
  <c r="AA317" i="8" s="1"/>
  <c r="R317" i="8"/>
  <c r="GO87" i="6"/>
  <c r="GN276" i="6"/>
  <c r="GJ306" i="6"/>
  <c r="GK442" i="6"/>
  <c r="EH169" i="6"/>
  <c r="EA169" i="6"/>
  <c r="ED169" i="6"/>
  <c r="EF169" i="6"/>
  <c r="EG169" i="6"/>
  <c r="EK40" i="6"/>
  <c r="EX40" i="6" s="1"/>
  <c r="EI40" i="6"/>
  <c r="EH281" i="6"/>
  <c r="EF281" i="6"/>
  <c r="EE281" i="6"/>
  <c r="EA281" i="6"/>
  <c r="C13" i="10"/>
  <c r="EM83" i="6"/>
  <c r="GN323" i="6"/>
  <c r="EH244" i="6"/>
  <c r="EF244" i="6"/>
  <c r="EG244" i="6"/>
  <c r="EE244" i="6"/>
  <c r="EA244" i="6"/>
  <c r="EF228" i="6"/>
  <c r="EA181" i="6"/>
  <c r="T212" i="8"/>
  <c r="EH101" i="6"/>
  <c r="EB101" i="6"/>
  <c r="EF101" i="6"/>
  <c r="EC101" i="6"/>
  <c r="EA101" i="6"/>
  <c r="EL139" i="6"/>
  <c r="GJ139" i="6"/>
  <c r="U111" i="8"/>
  <c r="Z111" i="8" s="1"/>
  <c r="GK284" i="6"/>
  <c r="GM193" i="6"/>
  <c r="EB258" i="6"/>
  <c r="EI429" i="6"/>
  <c r="GI429" i="6"/>
  <c r="EA17" i="6"/>
  <c r="GO454" i="6"/>
  <c r="EH282" i="6"/>
  <c r="ED282" i="6"/>
  <c r="EF282" i="6"/>
  <c r="GJ287" i="6"/>
  <c r="V184" i="8"/>
  <c r="AA184" i="8" s="1"/>
  <c r="U184" i="8"/>
  <c r="Z184" i="8" s="1"/>
  <c r="EH306" i="6"/>
  <c r="EA306" i="6"/>
  <c r="DY483" i="6"/>
  <c r="EK28" i="6"/>
  <c r="ES28" i="6" s="1"/>
  <c r="EI28" i="6"/>
  <c r="I14" i="10"/>
  <c r="FL156" i="6"/>
  <c r="EM156" i="6"/>
  <c r="FS156" i="6"/>
  <c r="GK156" i="6"/>
  <c r="DY489" i="6"/>
  <c r="T188" i="8"/>
  <c r="EF262" i="6"/>
  <c r="EC248" i="6"/>
  <c r="ED212" i="6"/>
  <c r="GM382" i="6"/>
  <c r="EE218" i="6"/>
  <c r="EH224" i="6"/>
  <c r="EG224" i="6"/>
  <c r="EQ75" i="6"/>
  <c r="GO75" i="6"/>
  <c r="EF474" i="6"/>
  <c r="GK359" i="6"/>
  <c r="GP438" i="6"/>
  <c r="EP88" i="6"/>
  <c r="GN88" i="6"/>
  <c r="GO429" i="6"/>
  <c r="EB440" i="6"/>
  <c r="GK205" i="6"/>
  <c r="V84" i="8"/>
  <c r="AA84" i="8" s="1"/>
  <c r="U84" i="8"/>
  <c r="R379" i="8"/>
  <c r="GN164" i="6"/>
  <c r="GK429" i="6"/>
  <c r="EK30" i="6"/>
  <c r="ES30" i="6" s="1"/>
  <c r="BK39" i="5" s="1"/>
  <c r="EI30" i="6"/>
  <c r="GM214" i="6"/>
  <c r="EC252" i="6"/>
  <c r="GK433" i="6"/>
  <c r="EO50" i="6"/>
  <c r="GM50" i="6"/>
  <c r="T136" i="8"/>
  <c r="T351" i="8"/>
  <c r="EK105" i="6"/>
  <c r="EI105" i="6"/>
  <c r="GI105" i="6"/>
  <c r="AB373" i="8"/>
  <c r="EH396" i="6"/>
  <c r="EA396" i="6"/>
  <c r="EE201" i="6"/>
  <c r="EH366" i="6"/>
  <c r="EA366" i="6"/>
  <c r="EG366" i="6"/>
  <c r="EB366" i="6"/>
  <c r="R203" i="8"/>
  <c r="GL205" i="6"/>
  <c r="EI150" i="6"/>
  <c r="GI150" i="6"/>
  <c r="EH419" i="6"/>
  <c r="EE419" i="6"/>
  <c r="V233" i="8"/>
  <c r="AA233" i="8" s="1"/>
  <c r="U233" i="8"/>
  <c r="R233" i="8"/>
  <c r="Y437" i="8"/>
  <c r="W437" i="8"/>
  <c r="EA179" i="6"/>
  <c r="EH272" i="6"/>
  <c r="EG272" i="6"/>
  <c r="EA272" i="6"/>
  <c r="GJ402" i="6"/>
  <c r="EE192" i="6"/>
  <c r="EE392" i="6"/>
  <c r="GK401" i="6"/>
  <c r="EQ74" i="6"/>
  <c r="GO74" i="6"/>
  <c r="EK22" i="6"/>
  <c r="EI22" i="6"/>
  <c r="V247" i="8"/>
  <c r="AA247" i="8" s="1"/>
  <c r="U247" i="8"/>
  <c r="Z247" i="8" s="1"/>
  <c r="R247" i="8"/>
  <c r="EH230" i="6"/>
  <c r="EG230" i="6"/>
  <c r="GL231" i="6"/>
  <c r="EH339" i="6"/>
  <c r="EE339" i="6"/>
  <c r="EF339" i="6"/>
  <c r="ED339" i="6"/>
  <c r="U384" i="8"/>
  <c r="Z384" i="8" s="1"/>
  <c r="Y325" i="8"/>
  <c r="W325" i="8"/>
  <c r="EB344" i="6"/>
  <c r="DY262" i="6"/>
  <c r="EF190" i="6"/>
  <c r="AB318" i="8"/>
  <c r="Y164" i="8"/>
  <c r="W164" i="8"/>
  <c r="AK257" i="8"/>
  <c r="Y257" i="8"/>
  <c r="W257" i="8"/>
  <c r="GM406" i="6"/>
  <c r="GN304" i="6"/>
  <c r="GK370" i="6"/>
  <c r="EC475" i="6"/>
  <c r="GN328" i="6"/>
  <c r="GM237" i="6"/>
  <c r="GL438" i="6"/>
  <c r="GN406" i="6"/>
  <c r="GK83" i="6"/>
  <c r="EE444" i="6"/>
  <c r="FS198" i="6"/>
  <c r="GK198" i="6"/>
  <c r="GK493" i="6"/>
  <c r="GJ254" i="6"/>
  <c r="EF189" i="6"/>
  <c r="GJ414" i="6"/>
  <c r="GJ241" i="6"/>
  <c r="GM94" i="6"/>
  <c r="GN333" i="6"/>
  <c r="GM478" i="6"/>
  <c r="V336" i="8"/>
  <c r="R336" i="8"/>
  <c r="EH391" i="6"/>
  <c r="EG391" i="6"/>
  <c r="EC179" i="6"/>
  <c r="EB471" i="6"/>
  <c r="EH274" i="6"/>
  <c r="EG274" i="6"/>
  <c r="EA274" i="6"/>
  <c r="GK237" i="6"/>
  <c r="EH414" i="6"/>
  <c r="EA414" i="6"/>
  <c r="EG470" i="6"/>
  <c r="T108" i="8"/>
  <c r="U259" i="8"/>
  <c r="Z259" i="8" s="1"/>
  <c r="DY181" i="6"/>
  <c r="GM293" i="6"/>
  <c r="EB393" i="6"/>
  <c r="GJ465" i="6"/>
  <c r="EH376" i="6"/>
  <c r="EF376" i="6"/>
  <c r="EC376" i="6"/>
  <c r="EG376" i="6"/>
  <c r="EB469" i="6"/>
  <c r="C5" i="10"/>
  <c r="EM75" i="6"/>
  <c r="GK75" i="6"/>
  <c r="EA180" i="6"/>
  <c r="EA222" i="6"/>
  <c r="EA372" i="6"/>
  <c r="EA391" i="6"/>
  <c r="V547" i="8"/>
  <c r="AA547" i="8" s="1"/>
  <c r="R547" i="8"/>
  <c r="EH23" i="6"/>
  <c r="EE23" i="6"/>
  <c r="EB23" i="6"/>
  <c r="EC23" i="6"/>
  <c r="EG23" i="6"/>
  <c r="EF23" i="6"/>
  <c r="EI23" i="6" s="1"/>
  <c r="EQ85" i="6"/>
  <c r="GO85" i="6"/>
  <c r="EM171" i="6"/>
  <c r="FS171" i="6"/>
  <c r="FL171" i="6"/>
  <c r="GK171" i="6"/>
  <c r="DY226" i="6"/>
  <c r="GM334" i="6"/>
  <c r="EH94" i="6"/>
  <c r="EG94" i="6"/>
  <c r="EF94" i="6"/>
  <c r="EA94" i="6"/>
  <c r="EC215" i="6"/>
  <c r="GL301" i="6"/>
  <c r="GK341" i="6"/>
  <c r="GJ455" i="6"/>
  <c r="GM26" i="6"/>
  <c r="GK187" i="6"/>
  <c r="FS187" i="6"/>
  <c r="GM301" i="6"/>
  <c r="EC366" i="6"/>
  <c r="EH424" i="6"/>
  <c r="EA424" i="6"/>
  <c r="EG424" i="6"/>
  <c r="R129" i="8"/>
  <c r="EK26" i="6"/>
  <c r="EI26" i="6"/>
  <c r="EA139" i="6"/>
  <c r="EF222" i="6"/>
  <c r="EH213" i="6"/>
  <c r="EG213" i="6"/>
  <c r="ED213" i="6"/>
  <c r="DY213" i="6"/>
  <c r="EE296" i="6"/>
  <c r="EB488" i="6"/>
  <c r="ED410" i="6"/>
  <c r="EA469" i="6"/>
  <c r="V196" i="8"/>
  <c r="AA196" i="8" s="1"/>
  <c r="R196" i="8"/>
  <c r="ER52" i="6"/>
  <c r="GP52" i="6"/>
  <c r="GN30" i="6"/>
  <c r="GM219" i="6"/>
  <c r="EA231" i="6"/>
  <c r="EA356" i="6"/>
  <c r="EE436" i="6"/>
  <c r="EF494" i="6"/>
  <c r="W494" i="8"/>
  <c r="GP32" i="6"/>
  <c r="EE282" i="6"/>
  <c r="GM330" i="6"/>
  <c r="EB367" i="6"/>
  <c r="EA203" i="6"/>
  <c r="GM316" i="6"/>
  <c r="GJ482" i="6"/>
  <c r="GP62" i="6"/>
  <c r="ER62" i="6"/>
  <c r="GL330" i="6"/>
  <c r="V10" i="8"/>
  <c r="U10" i="8"/>
  <c r="R10" i="8"/>
  <c r="T359" i="8"/>
  <c r="GK460" i="6"/>
  <c r="GM38" i="6"/>
  <c r="T252" i="8"/>
  <c r="V314" i="8"/>
  <c r="AA314" i="8" s="1"/>
  <c r="U314" i="8"/>
  <c r="GM42" i="6"/>
  <c r="EH223" i="6"/>
  <c r="EG223" i="6"/>
  <c r="GJ290" i="6"/>
  <c r="T452" i="8"/>
  <c r="GM381" i="6"/>
  <c r="E5" i="10"/>
  <c r="EM99" i="6"/>
  <c r="FS99" i="6"/>
  <c r="GK99" i="6"/>
  <c r="EH138" i="6"/>
  <c r="EA138" i="6"/>
  <c r="EB138" i="6"/>
  <c r="EE138" i="6"/>
  <c r="EF138" i="6"/>
  <c r="DY256" i="6"/>
  <c r="EG418" i="6"/>
  <c r="AB182" i="8"/>
  <c r="GN171" i="6"/>
  <c r="U212" i="8"/>
  <c r="Z212" i="8" s="1"/>
  <c r="EC464" i="6"/>
  <c r="EG444" i="6"/>
  <c r="T408" i="8"/>
  <c r="T551" i="8"/>
  <c r="Y485" i="8"/>
  <c r="AB485" i="8" s="1"/>
  <c r="W485" i="8"/>
  <c r="EP172" i="6"/>
  <c r="GN172" i="6"/>
  <c r="FC109" i="6"/>
  <c r="EL109" i="6" s="1"/>
  <c r="GJ109" i="6"/>
  <c r="EL67" i="6"/>
  <c r="GJ67" i="6"/>
  <c r="V83" i="8"/>
  <c r="AA83" i="8" s="1"/>
  <c r="U83" i="8"/>
  <c r="V283" i="8"/>
  <c r="AA283" i="8" s="1"/>
  <c r="R283" i="8"/>
  <c r="T407" i="8"/>
  <c r="V527" i="8"/>
  <c r="AA527" i="8" s="1"/>
  <c r="U527" i="8"/>
  <c r="Z527" i="8" s="1"/>
  <c r="R527" i="8"/>
  <c r="DY193" i="6"/>
  <c r="EG279" i="6"/>
  <c r="EE389" i="6"/>
  <c r="R423" i="8"/>
  <c r="T301" i="8"/>
  <c r="T480" i="8"/>
  <c r="EH70" i="6"/>
  <c r="EG70" i="6"/>
  <c r="EF70" i="6"/>
  <c r="EB70" i="6"/>
  <c r="EI70" i="6" s="1"/>
  <c r="EE70" i="6"/>
  <c r="DY203" i="6"/>
  <c r="V36" i="8"/>
  <c r="W36" i="8" s="1"/>
  <c r="U36" i="8"/>
  <c r="T205" i="8"/>
  <c r="EC418" i="6"/>
  <c r="EK79" i="6"/>
  <c r="EI79" i="6"/>
  <c r="GI79" i="6"/>
  <c r="EE81" i="6"/>
  <c r="EH147" i="6"/>
  <c r="EA147" i="6"/>
  <c r="EF147" i="6"/>
  <c r="EH300" i="6"/>
  <c r="EA300" i="6"/>
  <c r="EG300" i="6"/>
  <c r="W197" i="8"/>
  <c r="T280" i="8"/>
  <c r="GP210" i="6"/>
  <c r="ED353" i="6"/>
  <c r="EB474" i="6"/>
  <c r="R446" i="8"/>
  <c r="EE300" i="6"/>
  <c r="R144" i="8"/>
  <c r="AB175" i="8"/>
  <c r="DY309" i="6"/>
  <c r="U342" i="8"/>
  <c r="Z342" i="8" s="1"/>
  <c r="ED274" i="6"/>
  <c r="EE458" i="6"/>
  <c r="W400" i="8"/>
  <c r="Y400" i="8"/>
  <c r="AB400" i="8" s="1"/>
  <c r="EF274" i="6"/>
  <c r="DY128" i="6"/>
  <c r="GJ66" i="6"/>
  <c r="T235" i="8"/>
  <c r="DY212" i="6"/>
  <c r="EF234" i="6"/>
  <c r="EE364" i="6"/>
  <c r="GJ118" i="6"/>
  <c r="ED156" i="6"/>
  <c r="EC362" i="6"/>
  <c r="GM455" i="6"/>
  <c r="V190" i="8"/>
  <c r="AA190" i="8" s="1"/>
  <c r="U190" i="8"/>
  <c r="Z190" i="8" s="1"/>
  <c r="GO131" i="6"/>
  <c r="EI298" i="6"/>
  <c r="GK46" i="6"/>
  <c r="EB238" i="6"/>
  <c r="EH368" i="6"/>
  <c r="EB368" i="6"/>
  <c r="EA368" i="6"/>
  <c r="Y92" i="8"/>
  <c r="W92" i="8"/>
  <c r="GO175" i="6"/>
  <c r="GJ401" i="6"/>
  <c r="Y339" i="8"/>
  <c r="W339" i="8"/>
  <c r="Y533" i="8"/>
  <c r="AB533" i="8" s="1"/>
  <c r="W533" i="8"/>
  <c r="EH263" i="6"/>
  <c r="ED263" i="6"/>
  <c r="EC263" i="6"/>
  <c r="EF263" i="6"/>
  <c r="EB263" i="6"/>
  <c r="EG263" i="6"/>
  <c r="EE215" i="6"/>
  <c r="EB332" i="6"/>
  <c r="EF382" i="6"/>
  <c r="AB191" i="8"/>
  <c r="GI21" i="6"/>
  <c r="GK290" i="6"/>
  <c r="EC476" i="6"/>
  <c r="EH121" i="6"/>
  <c r="EB121" i="6"/>
  <c r="EG121" i="6"/>
  <c r="EF121" i="6"/>
  <c r="DY121" i="6"/>
  <c r="EC121" i="6"/>
  <c r="EE121" i="6"/>
  <c r="U296" i="8"/>
  <c r="Z296" i="8" s="1"/>
  <c r="EF302" i="6"/>
  <c r="EI493" i="6"/>
  <c r="GP290" i="6"/>
  <c r="DY370" i="6"/>
  <c r="EQ51" i="6"/>
  <c r="GO51" i="6"/>
  <c r="R391" i="8"/>
  <c r="DY369" i="6"/>
  <c r="R305" i="8"/>
  <c r="GO174" i="6"/>
  <c r="R364" i="8"/>
  <c r="GM204" i="6"/>
  <c r="GJ430" i="6"/>
  <c r="GO431" i="6"/>
  <c r="GJ330" i="6"/>
  <c r="EH266" i="6"/>
  <c r="EF266" i="6"/>
  <c r="ED266" i="6"/>
  <c r="EG266" i="6"/>
  <c r="Y334" i="8"/>
  <c r="V522" i="8"/>
  <c r="AA522" i="8" s="1"/>
  <c r="U522" i="8"/>
  <c r="Z522" i="8" s="1"/>
  <c r="EP74" i="6"/>
  <c r="GN74" i="6"/>
  <c r="AK282" i="8"/>
  <c r="W282" i="8"/>
  <c r="Y282" i="8"/>
  <c r="V292" i="8"/>
  <c r="AA292" i="8" s="1"/>
  <c r="T292" i="8"/>
  <c r="R292" i="8"/>
  <c r="GO347" i="6"/>
  <c r="FS174" i="6"/>
  <c r="FL174" i="6"/>
  <c r="GK174" i="6"/>
  <c r="EB466" i="6"/>
  <c r="ER118" i="6"/>
  <c r="GP118" i="6"/>
  <c r="GL193" i="6"/>
  <c r="EC390" i="6"/>
  <c r="EH268" i="6"/>
  <c r="EG268" i="6"/>
  <c r="ED268" i="6"/>
  <c r="EF268" i="6"/>
  <c r="ER51" i="6"/>
  <c r="GP51" i="6"/>
  <c r="EA426" i="6"/>
  <c r="GK437" i="6"/>
  <c r="GN357" i="6"/>
  <c r="GO323" i="6"/>
  <c r="GL342" i="6"/>
  <c r="EO82" i="6"/>
  <c r="GM82" i="6"/>
  <c r="GN338" i="6"/>
  <c r="GN311" i="6"/>
  <c r="EC91" i="6"/>
  <c r="V521" i="8"/>
  <c r="AA521" i="8" s="1"/>
  <c r="U521" i="8"/>
  <c r="EA33" i="6"/>
  <c r="T222" i="8"/>
  <c r="EA329" i="6"/>
  <c r="EH329" i="6"/>
  <c r="EG329" i="6"/>
  <c r="GK357" i="6"/>
  <c r="GK388" i="6"/>
  <c r="Y174" i="8"/>
  <c r="W174" i="8"/>
  <c r="GM188" i="6"/>
  <c r="GL429" i="6"/>
  <c r="GK398" i="6"/>
  <c r="T203" i="8"/>
  <c r="EG77" i="6"/>
  <c r="EH77" i="6"/>
  <c r="EB77" i="6"/>
  <c r="EC77" i="6"/>
  <c r="EA77" i="6"/>
  <c r="DY77" i="6"/>
  <c r="EP106" i="6"/>
  <c r="GN106" i="6"/>
  <c r="EC56" i="6"/>
  <c r="EH56" i="6"/>
  <c r="EG56" i="6"/>
  <c r="EB56" i="6"/>
  <c r="T413" i="8"/>
  <c r="Y544" i="8"/>
  <c r="AB544" i="8" s="1"/>
  <c r="W544" i="8"/>
  <c r="EH317" i="6"/>
  <c r="EA317" i="6"/>
  <c r="EG317" i="6"/>
  <c r="EF317" i="6"/>
  <c r="GP454" i="6"/>
  <c r="GL149" i="6"/>
  <c r="GJ459" i="6"/>
  <c r="GN230" i="6"/>
  <c r="T386" i="8"/>
  <c r="GM198" i="6"/>
  <c r="T310" i="8"/>
  <c r="GL237" i="6"/>
  <c r="GO291" i="6"/>
  <c r="EO98" i="6"/>
  <c r="GM98" i="6"/>
  <c r="EH421" i="6"/>
  <c r="DY421" i="6"/>
  <c r="ED421" i="6"/>
  <c r="FS178" i="6"/>
  <c r="GK178" i="6"/>
  <c r="EK59" i="6"/>
  <c r="GI59" i="6"/>
  <c r="GJ470" i="6"/>
  <c r="GK261" i="6"/>
  <c r="FS172" i="6"/>
  <c r="EM172" i="6"/>
  <c r="FL172" i="6"/>
  <c r="GK172" i="6"/>
  <c r="GO198" i="6"/>
  <c r="F3" i="10"/>
  <c r="FS109" i="6"/>
  <c r="FD109" i="6"/>
  <c r="EM109" i="6" s="1"/>
  <c r="GK109" i="6"/>
  <c r="P7" i="10"/>
  <c r="M7" i="10"/>
  <c r="J7" i="10"/>
  <c r="Q7" i="10"/>
  <c r="N7" i="10"/>
  <c r="O7" i="10"/>
  <c r="L7" i="10"/>
  <c r="K7" i="10"/>
  <c r="FS161" i="6"/>
  <c r="FL161" i="6"/>
  <c r="GK161" i="6"/>
  <c r="EH119" i="6"/>
  <c r="EA119" i="6"/>
  <c r="EG119" i="6"/>
  <c r="EI193" i="6"/>
  <c r="GI193" i="6"/>
  <c r="W25" i="8"/>
  <c r="GL304" i="6"/>
  <c r="Y409" i="8"/>
  <c r="U378" i="8"/>
  <c r="Z378" i="8" s="1"/>
  <c r="GL203" i="6"/>
  <c r="GM359" i="6"/>
  <c r="EI355" i="6"/>
  <c r="EH43" i="6"/>
  <c r="EE43" i="6"/>
  <c r="EC43" i="6"/>
  <c r="EB43" i="6"/>
  <c r="EF43" i="6"/>
  <c r="EG43" i="6"/>
  <c r="EF458" i="6"/>
  <c r="EA327" i="6"/>
  <c r="EH327" i="6"/>
  <c r="GK298" i="6"/>
  <c r="EH41" i="6"/>
  <c r="EE41" i="6"/>
  <c r="EC41" i="6"/>
  <c r="EB41" i="6"/>
  <c r="EF41" i="6"/>
  <c r="EG41" i="6"/>
  <c r="GK424" i="6"/>
  <c r="GP134" i="6"/>
  <c r="GL319" i="6"/>
  <c r="EB259" i="6"/>
  <c r="GO150" i="6"/>
  <c r="EH132" i="6"/>
  <c r="EB132" i="6"/>
  <c r="EG132" i="6"/>
  <c r="EE132" i="6"/>
  <c r="EA132" i="6"/>
  <c r="Y187" i="8"/>
  <c r="W187" i="8"/>
  <c r="AB183" i="8"/>
  <c r="GI288" i="6"/>
  <c r="EA41" i="6"/>
  <c r="GM240" i="6"/>
  <c r="T82" i="8"/>
  <c r="GL360" i="6"/>
  <c r="EA282" i="6"/>
  <c r="EC228" i="6"/>
  <c r="V248" i="8"/>
  <c r="AA248" i="8" s="1"/>
  <c r="T248" i="8"/>
  <c r="EE268" i="6"/>
  <c r="EH249" i="6"/>
  <c r="ED249" i="6"/>
  <c r="EB249" i="6"/>
  <c r="EA249" i="6"/>
  <c r="EG249" i="6"/>
  <c r="DY249" i="6"/>
  <c r="GO311" i="6"/>
  <c r="GJ328" i="6"/>
  <c r="GN431" i="6"/>
  <c r="GN341" i="6"/>
  <c r="W247" i="8"/>
  <c r="AK247" i="8"/>
  <c r="Y247" i="8"/>
  <c r="ER82" i="6"/>
  <c r="GP82" i="6"/>
  <c r="ED456" i="6"/>
  <c r="GM267" i="6"/>
  <c r="GL385" i="6"/>
  <c r="T414" i="8"/>
  <c r="T466" i="8"/>
  <c r="V26" i="8"/>
  <c r="U26" i="8"/>
  <c r="H12" i="10"/>
  <c r="FS142" i="6"/>
  <c r="GK142" i="6"/>
  <c r="EH375" i="6"/>
  <c r="EG375" i="6"/>
  <c r="EB375" i="6"/>
  <c r="EA375" i="6"/>
  <c r="V220" i="8"/>
  <c r="AA220" i="8" s="1"/>
  <c r="R220" i="8"/>
  <c r="ED477" i="6"/>
  <c r="GJ444" i="6"/>
  <c r="GN479" i="6"/>
  <c r="GJ265" i="6"/>
  <c r="EE393" i="6"/>
  <c r="U285" i="8"/>
  <c r="Z285" i="8" s="1"/>
  <c r="EC167" i="6"/>
  <c r="GK482" i="6"/>
  <c r="EH416" i="6"/>
  <c r="EB416" i="6"/>
  <c r="EF416" i="6"/>
  <c r="EA416" i="6"/>
  <c r="ED475" i="6"/>
  <c r="EP64" i="6"/>
  <c r="GN64" i="6"/>
  <c r="EH269" i="6"/>
  <c r="EG269" i="6"/>
  <c r="EE269" i="6"/>
  <c r="DY269" i="6"/>
  <c r="E13" i="10"/>
  <c r="FS107" i="6"/>
  <c r="GK107" i="6"/>
  <c r="EH194" i="6"/>
  <c r="EA194" i="6"/>
  <c r="ED194" i="6"/>
  <c r="EG194" i="6"/>
  <c r="GI18" i="6"/>
  <c r="W32" i="8"/>
  <c r="U188" i="8"/>
  <c r="Z188" i="8" s="1"/>
  <c r="GM441" i="6"/>
  <c r="Y374" i="8"/>
  <c r="DY299" i="6"/>
  <c r="EH93" i="6"/>
  <c r="EG93" i="6"/>
  <c r="EB93" i="6"/>
  <c r="EF93" i="6"/>
  <c r="EC93" i="6"/>
  <c r="EF422" i="6"/>
  <c r="U230" i="8"/>
  <c r="Z230" i="8" s="1"/>
  <c r="ER75" i="6"/>
  <c r="GP75" i="6"/>
  <c r="EH246" i="6"/>
  <c r="EG246" i="6"/>
  <c r="ED246" i="6"/>
  <c r="EF246" i="6"/>
  <c r="GJ226" i="6"/>
  <c r="GO357" i="6"/>
  <c r="EH417" i="6"/>
  <c r="ED417" i="6"/>
  <c r="EB417" i="6"/>
  <c r="Y547" i="8"/>
  <c r="EK23" i="6"/>
  <c r="ER85" i="6"/>
  <c r="GP85" i="6"/>
  <c r="GO191" i="6"/>
  <c r="GJ318" i="6"/>
  <c r="EB427" i="6"/>
  <c r="EC269" i="6"/>
  <c r="DY399" i="6"/>
  <c r="GJ467" i="6"/>
  <c r="H11" i="10"/>
  <c r="FS141" i="6"/>
  <c r="GK141" i="6"/>
  <c r="EH310" i="6"/>
  <c r="ED310" i="6"/>
  <c r="EG310" i="6"/>
  <c r="EA310" i="6"/>
  <c r="GN330" i="6"/>
  <c r="GJ424" i="6"/>
  <c r="EE474" i="6"/>
  <c r="R420" i="8"/>
  <c r="EI65" i="6"/>
  <c r="EK65" i="6"/>
  <c r="GI65" i="6"/>
  <c r="GM287" i="6"/>
  <c r="ED252" i="6"/>
  <c r="GK292" i="6"/>
  <c r="EC434" i="6"/>
  <c r="Y196" i="8"/>
  <c r="W196" i="8"/>
  <c r="EH27" i="6"/>
  <c r="EE27" i="6"/>
  <c r="EB27" i="6"/>
  <c r="EC27" i="6"/>
  <c r="EG27" i="6"/>
  <c r="EF27" i="6"/>
  <c r="GJ155" i="6"/>
  <c r="GM318" i="6"/>
  <c r="EH331" i="6"/>
  <c r="EA331" i="6"/>
  <c r="EH411" i="6"/>
  <c r="EF411" i="6"/>
  <c r="EG411" i="6"/>
  <c r="EA411" i="6"/>
  <c r="Y165" i="8"/>
  <c r="W165" i="8"/>
  <c r="GN210" i="6"/>
  <c r="GL220" i="6"/>
  <c r="GI287" i="6"/>
  <c r="EF347" i="6"/>
  <c r="EE477" i="6"/>
  <c r="Y116" i="8"/>
  <c r="W116" i="8"/>
  <c r="EO79" i="6"/>
  <c r="GM79" i="6"/>
  <c r="GI178" i="6"/>
  <c r="GM150" i="6"/>
  <c r="EE331" i="6"/>
  <c r="H14" i="10"/>
  <c r="FS144" i="6"/>
  <c r="GK144" i="6"/>
  <c r="ED331" i="6"/>
  <c r="W10" i="8"/>
  <c r="V229" i="8"/>
  <c r="AA229" i="8" s="1"/>
  <c r="U229" i="8"/>
  <c r="Z229" i="8" s="1"/>
  <c r="U450" i="8"/>
  <c r="Z450" i="8" s="1"/>
  <c r="GP38" i="6"/>
  <c r="AB170" i="8"/>
  <c r="EI223" i="6"/>
  <c r="GI223" i="6"/>
  <c r="DY314" i="6"/>
  <c r="ER99" i="6"/>
  <c r="GP99" i="6"/>
  <c r="GN368" i="6"/>
  <c r="GL176" i="6"/>
  <c r="DY280" i="6"/>
  <c r="EI413" i="6"/>
  <c r="GI413" i="6"/>
  <c r="EE169" i="6"/>
  <c r="R107" i="8"/>
  <c r="ED190" i="6"/>
  <c r="EH385" i="6"/>
  <c r="EA385" i="6"/>
  <c r="EG385" i="6"/>
  <c r="W149" i="8"/>
  <c r="Y149" i="8"/>
  <c r="EI319" i="6"/>
  <c r="ED215" i="6"/>
  <c r="GN109" i="6"/>
  <c r="EQ67" i="6"/>
  <c r="GO67" i="6"/>
  <c r="AB323" i="8"/>
  <c r="ED485" i="6"/>
  <c r="W283" i="8"/>
  <c r="Y283" i="8"/>
  <c r="AK283" i="8"/>
  <c r="EH159" i="6"/>
  <c r="ED159" i="6"/>
  <c r="EA159" i="6"/>
  <c r="EG159" i="6"/>
  <c r="EC159" i="6"/>
  <c r="Y527" i="8"/>
  <c r="W527" i="8"/>
  <c r="EB240" i="6"/>
  <c r="GO295" i="6"/>
  <c r="EH400" i="6"/>
  <c r="EE400" i="6"/>
  <c r="EB400" i="6"/>
  <c r="EA400" i="6"/>
  <c r="DY400" i="6"/>
  <c r="Y383" i="8"/>
  <c r="W383" i="8"/>
  <c r="R259" i="8"/>
  <c r="V411" i="8"/>
  <c r="AA411" i="8" s="1"/>
  <c r="T411" i="8"/>
  <c r="U532" i="8"/>
  <c r="Z532" i="8" s="1"/>
  <c r="EH253" i="6"/>
  <c r="ED253" i="6"/>
  <c r="EF253" i="6"/>
  <c r="EA253" i="6"/>
  <c r="EB253" i="6"/>
  <c r="EG253" i="6"/>
  <c r="GO338" i="6"/>
  <c r="EG420" i="6"/>
  <c r="ER79" i="6"/>
  <c r="GP79" i="6"/>
  <c r="EH145" i="6"/>
  <c r="EG145" i="6"/>
  <c r="EA145" i="6"/>
  <c r="GJ147" i="6"/>
  <c r="GJ300" i="6"/>
  <c r="EE487" i="6"/>
  <c r="DY281" i="6"/>
  <c r="DY347" i="6"/>
  <c r="GM284" i="6"/>
  <c r="W258" i="8"/>
  <c r="AK258" i="8"/>
  <c r="Y258" i="8"/>
  <c r="AK279" i="8"/>
  <c r="W279" i="8"/>
  <c r="Y279" i="8"/>
  <c r="EH219" i="6"/>
  <c r="EB219" i="6"/>
  <c r="EG219" i="6"/>
  <c r="ED219" i="6"/>
  <c r="EA219" i="6"/>
  <c r="DY219" i="6"/>
  <c r="R522" i="8"/>
  <c r="GP36" i="6"/>
  <c r="D5" i="10"/>
  <c r="FS87" i="6"/>
  <c r="EM87" i="6"/>
  <c r="V441" i="8"/>
  <c r="AA441" i="8" s="1"/>
  <c r="U441" i="8"/>
  <c r="Z441" i="8" s="1"/>
  <c r="R441" i="8"/>
  <c r="EF152" i="6"/>
  <c r="DY310" i="6"/>
  <c r="GP482" i="6"/>
  <c r="EH334" i="6"/>
  <c r="EA334" i="6"/>
  <c r="EG334" i="6"/>
  <c r="GN211" i="6"/>
  <c r="GK66" i="6"/>
  <c r="R434" i="8"/>
  <c r="EH371" i="6"/>
  <c r="EG371" i="6"/>
  <c r="EE371" i="6"/>
  <c r="EF371" i="6"/>
  <c r="EC371" i="6"/>
  <c r="ED371" i="6"/>
  <c r="EA371" i="6"/>
  <c r="EK172" i="6"/>
  <c r="GI172" i="6"/>
  <c r="EB415" i="6"/>
  <c r="ED420" i="6"/>
  <c r="EO118" i="6"/>
  <c r="GM118" i="6"/>
  <c r="EB422" i="6"/>
  <c r="GP455" i="6"/>
  <c r="Y190" i="8"/>
  <c r="W190" i="8"/>
  <c r="GP131" i="6"/>
  <c r="EI336" i="6"/>
  <c r="GI46" i="6"/>
  <c r="EE176" i="6"/>
  <c r="GK368" i="6"/>
  <c r="AK228" i="8"/>
  <c r="Y228" i="8"/>
  <c r="W228" i="8"/>
  <c r="Y501" i="8"/>
  <c r="AB501" i="8" s="1"/>
  <c r="W501" i="8"/>
  <c r="GL175" i="6"/>
  <c r="EH271" i="6"/>
  <c r="EA271" i="6"/>
  <c r="EG271" i="6"/>
  <c r="EF271" i="6"/>
  <c r="ED271" i="6"/>
  <c r="EE271" i="6"/>
  <c r="GP401" i="6"/>
  <c r="U307" i="8"/>
  <c r="Z307" i="8" s="1"/>
  <c r="EW32" i="6"/>
  <c r="GI263" i="6"/>
  <c r="GO187" i="6"/>
  <c r="EF334" i="6"/>
  <c r="EH407" i="6"/>
  <c r="EA407" i="6"/>
  <c r="EG407" i="6"/>
  <c r="ED407" i="6"/>
  <c r="EF407" i="6"/>
  <c r="W191" i="8"/>
  <c r="EB357" i="6"/>
  <c r="AB156" i="8"/>
  <c r="Y425" i="8"/>
  <c r="AB425" i="8" s="1"/>
  <c r="W425" i="8"/>
  <c r="W319" i="8"/>
  <c r="Y319" i="8"/>
  <c r="GI121" i="6"/>
  <c r="GL452" i="6"/>
  <c r="U448" i="8"/>
  <c r="Z448" i="8" s="1"/>
  <c r="EH155" i="6"/>
  <c r="EE155" i="6"/>
  <c r="EG155" i="6"/>
  <c r="ED155" i="6"/>
  <c r="EF155" i="6"/>
  <c r="R255" i="8"/>
  <c r="EI170" i="6"/>
  <c r="GI170" i="6"/>
  <c r="Y350" i="8"/>
  <c r="W350" i="8"/>
  <c r="EK51" i="6"/>
  <c r="EI51" i="6"/>
  <c r="GI51" i="6"/>
  <c r="EK146" i="6"/>
  <c r="EI146" i="6"/>
  <c r="GI146" i="6"/>
  <c r="EI341" i="6"/>
  <c r="GI341" i="6"/>
  <c r="EI174" i="6"/>
  <c r="GI174" i="6"/>
  <c r="R341" i="8"/>
  <c r="DY409" i="6"/>
  <c r="FS170" i="6"/>
  <c r="FL170" i="6"/>
  <c r="EM170" i="6"/>
  <c r="GK170" i="6"/>
  <c r="EH450" i="6"/>
  <c r="ED450" i="6"/>
  <c r="GK394" i="6"/>
  <c r="GM266" i="6"/>
  <c r="GK486" i="6"/>
  <c r="Y107" i="8"/>
  <c r="GO414" i="6"/>
  <c r="GN449" i="6"/>
  <c r="Y315" i="8"/>
  <c r="W315" i="8"/>
  <c r="EH232" i="6"/>
  <c r="ED232" i="6"/>
  <c r="EG232" i="6"/>
  <c r="EB232" i="6"/>
  <c r="DY232" i="6"/>
  <c r="EA232" i="6"/>
  <c r="GK273" i="6"/>
  <c r="EH390" i="6"/>
  <c r="EA390" i="6"/>
  <c r="EB390" i="6"/>
  <c r="EG390" i="6"/>
  <c r="GM402" i="6"/>
  <c r="EM51" i="6"/>
  <c r="GK51" i="6"/>
  <c r="GN349" i="6"/>
  <c r="T477" i="8"/>
  <c r="GK458" i="6"/>
  <c r="GO436" i="6"/>
  <c r="GM391" i="6"/>
  <c r="GM319" i="6"/>
  <c r="GM337" i="6"/>
  <c r="EH95" i="6"/>
  <c r="EC95" i="6"/>
  <c r="EB95" i="6"/>
  <c r="EF95" i="6"/>
  <c r="EG95" i="6"/>
  <c r="GM239" i="6"/>
  <c r="V141" i="8"/>
  <c r="AA141" i="8" s="1"/>
  <c r="U141" i="8"/>
  <c r="Z141" i="8" s="1"/>
  <c r="V355" i="8"/>
  <c r="AA355" i="8" s="1"/>
  <c r="T355" i="8"/>
  <c r="R355" i="8"/>
  <c r="GK405" i="6"/>
  <c r="T382" i="8"/>
  <c r="AB122" i="8"/>
  <c r="V85" i="8"/>
  <c r="AA85" i="8" s="1"/>
  <c r="T85" i="8"/>
  <c r="GO333" i="6"/>
  <c r="GM320" i="6"/>
  <c r="EK24" i="6"/>
  <c r="EI24" i="6"/>
  <c r="GO341" i="6"/>
  <c r="V4" i="8"/>
  <c r="U4" i="8"/>
  <c r="T322" i="8"/>
  <c r="EA117" i="6"/>
  <c r="T112" i="8"/>
  <c r="GM324" i="6"/>
  <c r="GK400" i="6"/>
  <c r="GM494" i="6"/>
  <c r="T381" i="8"/>
  <c r="EH289" i="6"/>
  <c r="EA289" i="6"/>
  <c r="EG289" i="6"/>
  <c r="EH166" i="6"/>
  <c r="EG166" i="6"/>
  <c r="EE166" i="6"/>
  <c r="EF166" i="6"/>
  <c r="EI459" i="6"/>
  <c r="GI459" i="6"/>
  <c r="DY228" i="6"/>
  <c r="GO326" i="6"/>
  <c r="EH201" i="6"/>
  <c r="EB201" i="6"/>
  <c r="ED201" i="6"/>
  <c r="EG201" i="6"/>
  <c r="EF201" i="6"/>
  <c r="T469" i="8"/>
  <c r="GO278" i="6"/>
  <c r="EI405" i="6"/>
  <c r="GI405" i="6"/>
  <c r="FS199" i="6"/>
  <c r="GK199" i="6"/>
  <c r="EI379" i="6"/>
  <c r="GI379" i="6"/>
  <c r="DY450" i="6"/>
  <c r="EH489" i="6"/>
  <c r="EA489" i="6"/>
  <c r="EG489" i="6"/>
  <c r="GL376" i="6"/>
  <c r="EH443" i="6"/>
  <c r="EE443" i="6"/>
  <c r="EC443" i="6"/>
  <c r="ED443" i="6"/>
  <c r="EG443" i="6"/>
  <c r="GK473" i="6"/>
  <c r="EH212" i="6"/>
  <c r="EG212" i="6"/>
  <c r="GO313" i="6"/>
  <c r="GM147" i="6"/>
  <c r="GO459" i="6"/>
  <c r="EC140" i="6"/>
  <c r="R141" i="8"/>
  <c r="EH453" i="6"/>
  <c r="EA453" i="6"/>
  <c r="EB453" i="6"/>
  <c r="EC453" i="6"/>
  <c r="EF453" i="6"/>
  <c r="GO348" i="6"/>
  <c r="EC393" i="6"/>
  <c r="EI360" i="6"/>
  <c r="GI360" i="6"/>
  <c r="EA37" i="6"/>
  <c r="GJ193" i="6"/>
  <c r="EH354" i="6"/>
  <c r="EE354" i="6"/>
  <c r="ED354" i="6"/>
  <c r="DY354" i="6"/>
  <c r="GN436" i="6"/>
  <c r="GL291" i="6"/>
  <c r="V200" i="8"/>
  <c r="AA200" i="8" s="1"/>
  <c r="U200" i="8"/>
  <c r="R200" i="8"/>
  <c r="EA256" i="6"/>
  <c r="GL419" i="6"/>
  <c r="GL308" i="6"/>
  <c r="GN353" i="6"/>
  <c r="EH129" i="6"/>
  <c r="EA129" i="6"/>
  <c r="EB129" i="6"/>
  <c r="EF129" i="6"/>
  <c r="EG129" i="6"/>
  <c r="EE463" i="6"/>
  <c r="Y78" i="8"/>
  <c r="W78" i="8"/>
  <c r="EI98" i="6"/>
  <c r="EH227" i="6"/>
  <c r="EA227" i="6"/>
  <c r="EB227" i="6"/>
  <c r="EG227" i="6"/>
  <c r="GN383" i="6"/>
  <c r="DY390" i="6"/>
  <c r="V316" i="8"/>
  <c r="AA316" i="8" s="1"/>
  <c r="U316" i="8"/>
  <c r="Z316" i="8" s="1"/>
  <c r="Y302" i="8"/>
  <c r="W302" i="8"/>
  <c r="EH456" i="6"/>
  <c r="EG456" i="6"/>
  <c r="EB456" i="6"/>
  <c r="GJ40" i="6"/>
  <c r="EO51" i="6"/>
  <c r="GM51" i="6"/>
  <c r="EA320" i="6"/>
  <c r="EH320" i="6"/>
  <c r="EF320" i="6"/>
  <c r="EH388" i="6"/>
  <c r="ED388" i="6"/>
  <c r="EG388" i="6"/>
  <c r="EE388" i="6"/>
  <c r="GL297" i="6"/>
  <c r="R313" i="8"/>
  <c r="EB487" i="6"/>
  <c r="EE353" i="6"/>
  <c r="GJ341" i="6"/>
  <c r="GJ230" i="6"/>
  <c r="T317" i="8"/>
  <c r="GK416" i="6"/>
  <c r="EH492" i="6"/>
  <c r="EA492" i="6"/>
  <c r="EF492" i="6"/>
  <c r="ED492" i="6"/>
  <c r="EC119" i="6"/>
  <c r="AB69" i="8"/>
  <c r="EI214" i="6"/>
  <c r="GI214" i="6"/>
  <c r="EB461" i="6"/>
  <c r="W171" i="8"/>
  <c r="Y171" i="8"/>
  <c r="AB240" i="8"/>
  <c r="T424" i="8"/>
  <c r="EE488" i="6"/>
  <c r="U423" i="8"/>
  <c r="Z423" i="8" s="1"/>
  <c r="EB281" i="6"/>
  <c r="GK490" i="6"/>
  <c r="R59" i="8"/>
  <c r="EH113" i="6"/>
  <c r="EG113" i="6"/>
  <c r="EE113" i="6"/>
  <c r="EC113" i="6"/>
  <c r="EA113" i="6"/>
  <c r="EG453" i="6"/>
  <c r="EG365" i="6"/>
  <c r="EE408" i="6"/>
  <c r="GN370" i="6"/>
  <c r="EF113" i="6"/>
  <c r="AB224" i="8"/>
  <c r="EI378" i="6"/>
  <c r="GM304" i="6"/>
  <c r="EK64" i="6"/>
  <c r="EI64" i="6"/>
  <c r="GI64" i="6"/>
  <c r="V171" i="8"/>
  <c r="AA171" i="8" s="1"/>
  <c r="U171" i="8"/>
  <c r="Z171" i="8" s="1"/>
  <c r="R171" i="8"/>
  <c r="DY126" i="6"/>
  <c r="EK12" i="6"/>
  <c r="ES12" i="6" s="1"/>
  <c r="EI12" i="6"/>
  <c r="EI351" i="6"/>
  <c r="GI351" i="6"/>
  <c r="EH348" i="6"/>
  <c r="EB348" i="6"/>
  <c r="EE348" i="6"/>
  <c r="ED348" i="6"/>
  <c r="EA348" i="6"/>
  <c r="GN491" i="6"/>
  <c r="EH373" i="6"/>
  <c r="EC373" i="6"/>
  <c r="EB373" i="6"/>
  <c r="EF373" i="6"/>
  <c r="EG373" i="6"/>
  <c r="EE373" i="6"/>
  <c r="EA384" i="6"/>
  <c r="T24" i="8"/>
  <c r="W24" i="8" s="1"/>
  <c r="GN153" i="6"/>
  <c r="GN429" i="6"/>
  <c r="EC335" i="6"/>
  <c r="EB486" i="6"/>
  <c r="EH468" i="6"/>
  <c r="EG468" i="6"/>
  <c r="EA468" i="6"/>
  <c r="EF468" i="6"/>
  <c r="ER88" i="6"/>
  <c r="GP88" i="6"/>
  <c r="W341" i="8"/>
  <c r="Y341" i="8"/>
  <c r="DY348" i="6"/>
  <c r="W150" i="8"/>
  <c r="Y150" i="8"/>
  <c r="EQ90" i="6"/>
  <c r="GO90" i="6"/>
  <c r="GM433" i="6"/>
  <c r="EH283" i="6"/>
  <c r="EA283" i="6"/>
  <c r="EG283" i="6"/>
  <c r="T499" i="8"/>
  <c r="GK385" i="6"/>
  <c r="GP303" i="6"/>
  <c r="V426" i="8"/>
  <c r="AA426" i="8" s="1"/>
  <c r="U426" i="8"/>
  <c r="R426" i="8"/>
  <c r="V236" i="8"/>
  <c r="AA236" i="8" s="1"/>
  <c r="T236" i="8"/>
  <c r="GK407" i="6"/>
  <c r="EB425" i="6"/>
  <c r="EB119" i="6"/>
  <c r="EH209" i="6"/>
  <c r="EG209" i="6"/>
  <c r="DY209" i="6"/>
  <c r="T26" i="8"/>
  <c r="W26" i="8" s="1"/>
  <c r="GK326" i="6"/>
  <c r="EH267" i="6"/>
  <c r="ED267" i="6"/>
  <c r="EG267" i="6"/>
  <c r="EF267" i="6"/>
  <c r="U466" i="8"/>
  <c r="Z466" i="8" s="1"/>
  <c r="GP190" i="6"/>
  <c r="Y488" i="8"/>
  <c r="AB488" i="8" s="1"/>
  <c r="W488" i="8"/>
  <c r="EB268" i="6"/>
  <c r="GN295" i="6"/>
  <c r="EC173" i="6"/>
  <c r="EC468" i="6"/>
  <c r="EB107" i="6"/>
  <c r="EH107" i="6"/>
  <c r="EG107" i="6"/>
  <c r="EE107" i="6"/>
  <c r="EM63" i="6"/>
  <c r="GK63" i="6"/>
  <c r="GN161" i="6"/>
  <c r="EH165" i="6"/>
  <c r="EG165" i="6"/>
  <c r="EF165" i="6"/>
  <c r="DY165" i="6"/>
  <c r="GI367" i="6"/>
  <c r="V124" i="8"/>
  <c r="AA124" i="8" s="1"/>
  <c r="U124" i="8"/>
  <c r="Z124" i="8" s="1"/>
  <c r="R174" i="8"/>
  <c r="GK264" i="6"/>
  <c r="GN372" i="6"/>
  <c r="EF485" i="6"/>
  <c r="V504" i="8"/>
  <c r="AA504" i="8" s="1"/>
  <c r="U504" i="8"/>
  <c r="Z504" i="8" s="1"/>
  <c r="EI376" i="6"/>
  <c r="GI376" i="6"/>
  <c r="GN448" i="6"/>
  <c r="W320" i="8"/>
  <c r="Y320" i="8"/>
  <c r="EB288" i="6"/>
  <c r="EP63" i="6"/>
  <c r="GN63" i="6"/>
  <c r="DY252" i="6"/>
  <c r="EA165" i="6"/>
  <c r="EE380" i="6"/>
  <c r="EH367" i="6"/>
  <c r="EF367" i="6"/>
  <c r="EI367" i="6" s="1"/>
  <c r="EG367" i="6"/>
  <c r="T124" i="8"/>
  <c r="R431" i="8"/>
  <c r="EA93" i="6"/>
  <c r="GJ303" i="6"/>
  <c r="EH322" i="6"/>
  <c r="EA322" i="6"/>
  <c r="GK409" i="6"/>
  <c r="T504" i="8"/>
  <c r="EH21" i="6"/>
  <c r="EE21" i="6"/>
  <c r="EC21" i="6"/>
  <c r="EB21" i="6"/>
  <c r="EG21" i="6"/>
  <c r="EF21" i="6"/>
  <c r="ED425" i="6"/>
  <c r="EA246" i="6"/>
  <c r="EC259" i="6"/>
  <c r="GN336" i="6"/>
  <c r="EA417" i="6"/>
  <c r="DY494" i="6"/>
  <c r="T300" i="8"/>
  <c r="DY39" i="6"/>
  <c r="EP85" i="6"/>
  <c r="GN85" i="6"/>
  <c r="ED206" i="6"/>
  <c r="EB199" i="6"/>
  <c r="ED458" i="6"/>
  <c r="EG485" i="6"/>
  <c r="GP226" i="6"/>
  <c r="GM285" i="6"/>
  <c r="EA450" i="6"/>
  <c r="EC466" i="6"/>
  <c r="EK42" i="6"/>
  <c r="EI42" i="6"/>
  <c r="GK26" i="6"/>
  <c r="GM153" i="6"/>
  <c r="GM321" i="6"/>
  <c r="AB160" i="8"/>
  <c r="Y346" i="8"/>
  <c r="W346" i="8"/>
  <c r="ER65" i="6"/>
  <c r="GP65" i="6"/>
  <c r="GJ145" i="6"/>
  <c r="EL145" i="6"/>
  <c r="DY168" i="6"/>
  <c r="EE386" i="6"/>
  <c r="DY387" i="6"/>
  <c r="EC365" i="6"/>
  <c r="EE449" i="6"/>
  <c r="AB189" i="8"/>
  <c r="EA27" i="6"/>
  <c r="EE77" i="6"/>
  <c r="GK188" i="6"/>
  <c r="FS188" i="6"/>
  <c r="EE313" i="6"/>
  <c r="GO325" i="6"/>
  <c r="EB411" i="6"/>
  <c r="EQ76" i="6"/>
  <c r="GO76" i="6"/>
  <c r="GL153" i="6"/>
  <c r="EE251" i="6"/>
  <c r="EH287" i="6"/>
  <c r="EF287" i="6"/>
  <c r="ED287" i="6"/>
  <c r="EF473" i="6"/>
  <c r="GM148" i="6"/>
  <c r="EH178" i="6"/>
  <c r="EB178" i="6"/>
  <c r="EI178" i="6" s="1"/>
  <c r="EG178" i="6"/>
  <c r="EF178" i="6"/>
  <c r="ED178" i="6"/>
  <c r="EE178" i="6"/>
  <c r="GO204" i="6"/>
  <c r="EF269" i="6"/>
  <c r="DY375" i="6"/>
  <c r="U222" i="8"/>
  <c r="Z222" i="8" s="1"/>
  <c r="D12" i="10"/>
  <c r="EM94" i="6"/>
  <c r="FS94" i="6"/>
  <c r="GO303" i="6"/>
  <c r="EH321" i="6"/>
  <c r="EG321" i="6"/>
  <c r="EF321" i="6"/>
  <c r="EA321" i="6"/>
  <c r="DY471" i="6"/>
  <c r="GM460" i="6"/>
  <c r="Y539" i="8"/>
  <c r="AB539" i="8" s="1"/>
  <c r="W539" i="8"/>
  <c r="GN38" i="6"/>
  <c r="T266" i="8"/>
  <c r="GO242" i="6"/>
  <c r="EE299" i="6"/>
  <c r="U547" i="8"/>
  <c r="EF441" i="6"/>
  <c r="EQ99" i="6"/>
  <c r="GO99" i="6"/>
  <c r="DY435" i="6"/>
  <c r="ED391" i="6"/>
  <c r="DY164" i="6"/>
  <c r="EE356" i="6"/>
  <c r="EH413" i="6"/>
  <c r="EG413" i="6"/>
  <c r="GJ170" i="6"/>
  <c r="EP67" i="6"/>
  <c r="GN67" i="6"/>
  <c r="EC276" i="6"/>
  <c r="ED408" i="6"/>
  <c r="V546" i="8"/>
  <c r="AA546" i="8" s="1"/>
  <c r="U546" i="8"/>
  <c r="R546" i="8"/>
  <c r="EH361" i="6"/>
  <c r="ED361" i="6"/>
  <c r="EB361" i="6"/>
  <c r="EC361" i="6"/>
  <c r="EG361" i="6"/>
  <c r="GK338" i="6"/>
  <c r="ER67" i="6"/>
  <c r="GP67" i="6"/>
  <c r="EE384" i="6"/>
  <c r="T487" i="8"/>
  <c r="EB159" i="6"/>
  <c r="EI74" i="6"/>
  <c r="EK74" i="6"/>
  <c r="GI74" i="6"/>
  <c r="DY227" i="6"/>
  <c r="FT148" i="6"/>
  <c r="GP295" i="6"/>
  <c r="EF400" i="6"/>
  <c r="V193" i="8"/>
  <c r="AA193" i="8" s="1"/>
  <c r="T193" i="8"/>
  <c r="U411" i="8"/>
  <c r="Z411" i="8" s="1"/>
  <c r="DY111" i="6"/>
  <c r="T263" i="8"/>
  <c r="GJ80" i="6"/>
  <c r="GO147" i="6"/>
  <c r="EH433" i="6"/>
  <c r="EA433" i="6"/>
  <c r="EB433" i="6"/>
  <c r="ED433" i="6"/>
  <c r="EE464" i="6"/>
  <c r="R242" i="8"/>
  <c r="V334" i="8"/>
  <c r="U334" i="8"/>
  <c r="Z334" i="8" s="1"/>
  <c r="R334" i="8"/>
  <c r="EC145" i="6"/>
  <c r="EC206" i="6"/>
  <c r="GK323" i="6"/>
  <c r="W68" i="8"/>
  <c r="U380" i="8"/>
  <c r="Z380" i="8" s="1"/>
  <c r="Y105" i="8"/>
  <c r="W105" i="8"/>
  <c r="DY56" i="6"/>
  <c r="EH265" i="6"/>
  <c r="EG265" i="6"/>
  <c r="EF265" i="6"/>
  <c r="GM378" i="6"/>
  <c r="GO457" i="6"/>
  <c r="R422" i="8"/>
  <c r="EB420" i="6"/>
  <c r="V258" i="8"/>
  <c r="AA258" i="8" s="1"/>
  <c r="U258" i="8"/>
  <c r="Z258" i="8" s="1"/>
  <c r="U385" i="8"/>
  <c r="Z385" i="8" s="1"/>
  <c r="GM242" i="6"/>
  <c r="GN148" i="6"/>
  <c r="EC339" i="6"/>
  <c r="EC386" i="6"/>
  <c r="V315" i="8"/>
  <c r="AA315" i="8" s="1"/>
  <c r="R315" i="8"/>
  <c r="T522" i="8"/>
  <c r="T441" i="8"/>
  <c r="EI63" i="6"/>
  <c r="EI197" i="6"/>
  <c r="GI197" i="6"/>
  <c r="EA482" i="6"/>
  <c r="W33" i="8"/>
  <c r="GJ349" i="6"/>
  <c r="GO359" i="6"/>
  <c r="T461" i="8"/>
  <c r="EB371" i="6"/>
  <c r="EH172" i="6"/>
  <c r="EB172" i="6"/>
  <c r="R82" i="8"/>
  <c r="EP118" i="6"/>
  <c r="GN118" i="6"/>
  <c r="Y474" i="8"/>
  <c r="AB474" i="8" s="1"/>
  <c r="W474" i="8"/>
  <c r="T419" i="8"/>
  <c r="GN46" i="6"/>
  <c r="DY189" i="6"/>
  <c r="GP175" i="6"/>
  <c r="EB271" i="6"/>
  <c r="EA404" i="6"/>
  <c r="EH404" i="6"/>
  <c r="ED404" i="6"/>
  <c r="EF404" i="6"/>
  <c r="R444" i="8"/>
  <c r="R329" i="8"/>
  <c r="EH211" i="6"/>
  <c r="EG211" i="6"/>
  <c r="ED211" i="6"/>
  <c r="DY357" i="6"/>
  <c r="EB407" i="6"/>
  <c r="DY317" i="6"/>
  <c r="U250" i="8"/>
  <c r="Z250" i="8" s="1"/>
  <c r="DY185" i="6"/>
  <c r="EF435" i="6"/>
  <c r="DY41" i="6"/>
  <c r="EE332" i="6"/>
  <c r="Y348" i="8"/>
  <c r="W348" i="8"/>
  <c r="T91" i="8"/>
  <c r="GL170" i="6"/>
  <c r="EP51" i="6"/>
  <c r="GN51" i="6"/>
  <c r="GJ146" i="6"/>
  <c r="GL341" i="6"/>
  <c r="GP174" i="6"/>
  <c r="GK254" i="6"/>
  <c r="R385" i="8"/>
  <c r="K182" i="13" l="1"/>
  <c r="K131" i="13"/>
  <c r="K135" i="13"/>
  <c r="J132" i="13"/>
  <c r="K150" i="13"/>
  <c r="K132" i="13"/>
  <c r="J146" i="13"/>
  <c r="K151" i="13"/>
  <c r="N191" i="12"/>
  <c r="N186" i="12"/>
  <c r="N198" i="12" s="1"/>
  <c r="N210" i="12" s="1"/>
  <c r="K120" i="13"/>
  <c r="J156" i="13"/>
  <c r="K178" i="13"/>
  <c r="K155" i="13"/>
  <c r="K144" i="13"/>
  <c r="K123" i="13"/>
  <c r="J178" i="13"/>
  <c r="ES54" i="6"/>
  <c r="BK63" i="5" s="1"/>
  <c r="BM63" i="5" s="1"/>
  <c r="FI169" i="6"/>
  <c r="FB129" i="6"/>
  <c r="FI134" i="6"/>
  <c r="ER134" i="6" s="1"/>
  <c r="FD129" i="6"/>
  <c r="FF168" i="6"/>
  <c r="N193" i="12"/>
  <c r="N205" i="12" s="1"/>
  <c r="N217" i="12" s="1"/>
  <c r="FI129" i="6"/>
  <c r="FD163" i="6"/>
  <c r="FD138" i="6"/>
  <c r="EM138" i="6" s="1"/>
  <c r="K146" i="13"/>
  <c r="EL118" i="6"/>
  <c r="ES118" i="6" s="1"/>
  <c r="FB163" i="6"/>
  <c r="FJ163" i="6" s="1"/>
  <c r="FC138" i="6"/>
  <c r="FJ138" i="6" s="1"/>
  <c r="K140" i="13"/>
  <c r="FZ129" i="6"/>
  <c r="FE163" i="6"/>
  <c r="FG138" i="6"/>
  <c r="EP138" i="6" s="1"/>
  <c r="FZ100" i="6"/>
  <c r="FD168" i="6"/>
  <c r="FJ168" i="6" s="1"/>
  <c r="J167" i="13"/>
  <c r="FD162" i="6"/>
  <c r="EM162" i="6" s="1"/>
  <c r="FM162" i="6" s="1"/>
  <c r="FE162" i="6"/>
  <c r="FG129" i="6"/>
  <c r="ES78" i="6"/>
  <c r="GZ78" i="6" s="1"/>
  <c r="FG109" i="6"/>
  <c r="EP109" i="6" s="1"/>
  <c r="FF163" i="6"/>
  <c r="FI138" i="6"/>
  <c r="FG100" i="6"/>
  <c r="K133" i="13"/>
  <c r="FI100" i="6"/>
  <c r="FG163" i="6"/>
  <c r="EP163" i="6" s="1"/>
  <c r="FZ138" i="6"/>
  <c r="GA138" i="6" s="1"/>
  <c r="FH100" i="6"/>
  <c r="FH109" i="6"/>
  <c r="EQ109" i="6" s="1"/>
  <c r="FJ156" i="6"/>
  <c r="FD134" i="6"/>
  <c r="EM134" i="6" s="1"/>
  <c r="N221" i="13"/>
  <c r="N233" i="13" s="1"/>
  <c r="FH163" i="6"/>
  <c r="EQ163" i="6" s="1"/>
  <c r="FH138" i="6"/>
  <c r="EQ138" i="6" s="1"/>
  <c r="FB100" i="6"/>
  <c r="EK100" i="6" s="1"/>
  <c r="ES44" i="6"/>
  <c r="GX44" i="6" s="1"/>
  <c r="FB162" i="6"/>
  <c r="EK162" i="6" s="1"/>
  <c r="N229" i="13"/>
  <c r="N241" i="13" s="1"/>
  <c r="N185" i="12"/>
  <c r="K158" i="13"/>
  <c r="K176" i="13"/>
  <c r="FF134" i="6"/>
  <c r="EO134" i="6" s="1"/>
  <c r="K161" i="13"/>
  <c r="ES20" i="6"/>
  <c r="BK29" i="5" s="1"/>
  <c r="FI163" i="6"/>
  <c r="FC100" i="6"/>
  <c r="ES36" i="6"/>
  <c r="BK45" i="5" s="1"/>
  <c r="BM45" i="5" s="1"/>
  <c r="K129" i="13"/>
  <c r="K177" i="13"/>
  <c r="FC162" i="6"/>
  <c r="EL162" i="6" s="1"/>
  <c r="FC163" i="6"/>
  <c r="FD100" i="6"/>
  <c r="EM100" i="6" s="1"/>
  <c r="FJ151" i="6"/>
  <c r="FF129" i="6"/>
  <c r="FC129" i="6"/>
  <c r="FG111" i="6"/>
  <c r="EP111" i="6" s="1"/>
  <c r="K138" i="13"/>
  <c r="FD116" i="6"/>
  <c r="EM116" i="6" s="1"/>
  <c r="N189" i="12"/>
  <c r="L189" i="12" s="1"/>
  <c r="B189" i="12" s="1"/>
  <c r="N194" i="12"/>
  <c r="L194" i="12" s="1"/>
  <c r="FB134" i="6"/>
  <c r="EK134" i="6" s="1"/>
  <c r="FC134" i="6"/>
  <c r="EL134" i="6" s="1"/>
  <c r="FH162" i="6"/>
  <c r="EQ162" i="6" s="1"/>
  <c r="BH120" i="5"/>
  <c r="FZ140" i="6"/>
  <c r="EQ156" i="6"/>
  <c r="FZ162" i="6"/>
  <c r="FF115" i="6"/>
  <c r="FB148" i="6"/>
  <c r="EK148" i="6" s="1"/>
  <c r="FF162" i="6"/>
  <c r="EO162" i="6" s="1"/>
  <c r="FB115" i="6"/>
  <c r="EK115" i="6" s="1"/>
  <c r="FJ106" i="6"/>
  <c r="FD148" i="6"/>
  <c r="EM148" i="6" s="1"/>
  <c r="FM148" i="6" s="1"/>
  <c r="FC143" i="6"/>
  <c r="EL143" i="6" s="1"/>
  <c r="K134" i="13"/>
  <c r="EX36" i="6"/>
  <c r="J121" i="13"/>
  <c r="EX34" i="6"/>
  <c r="FE164" i="6"/>
  <c r="EN164" i="6" s="1"/>
  <c r="FC115" i="6"/>
  <c r="FE148" i="6"/>
  <c r="EN148" i="6" s="1"/>
  <c r="EW148" i="6" s="1"/>
  <c r="K174" i="13"/>
  <c r="K167" i="13"/>
  <c r="K156" i="13"/>
  <c r="FF164" i="6"/>
  <c r="EO164" i="6" s="1"/>
  <c r="FF148" i="6"/>
  <c r="EO148" i="6" s="1"/>
  <c r="FI143" i="6"/>
  <c r="ER143" i="6" s="1"/>
  <c r="FJ146" i="6"/>
  <c r="ES46" i="6"/>
  <c r="BK55" i="5" s="1"/>
  <c r="FZ169" i="6"/>
  <c r="FZ155" i="6"/>
  <c r="GA155" i="6" s="1"/>
  <c r="FB107" i="6"/>
  <c r="FG148" i="6"/>
  <c r="EP148" i="6" s="1"/>
  <c r="K121" i="13"/>
  <c r="FB169" i="6"/>
  <c r="EK169" i="6" s="1"/>
  <c r="FC107" i="6"/>
  <c r="EL107" i="6" s="1"/>
  <c r="FH148" i="6"/>
  <c r="EQ148" i="6" s="1"/>
  <c r="K141" i="13"/>
  <c r="FC169" i="6"/>
  <c r="EL169" i="6" s="1"/>
  <c r="BH156" i="5"/>
  <c r="FD107" i="6"/>
  <c r="EM107" i="6" s="1"/>
  <c r="EW107" i="6" s="1"/>
  <c r="FI148" i="6"/>
  <c r="ER148" i="6" s="1"/>
  <c r="FD169" i="6"/>
  <c r="FZ174" i="6"/>
  <c r="FF107" i="6"/>
  <c r="FD143" i="6"/>
  <c r="EM143" i="6" s="1"/>
  <c r="FE168" i="6"/>
  <c r="EN168" i="6" s="1"/>
  <c r="FZ168" i="6"/>
  <c r="FI168" i="6"/>
  <c r="FH168" i="6"/>
  <c r="EQ168" i="6" s="1"/>
  <c r="FE169" i="6"/>
  <c r="FB174" i="6"/>
  <c r="FG107" i="6"/>
  <c r="EP107" i="6" s="1"/>
  <c r="FC149" i="6"/>
  <c r="FF169" i="6"/>
  <c r="FC174" i="6"/>
  <c r="EL174" i="6" s="1"/>
  <c r="FH107" i="6"/>
  <c r="EQ107" i="6" s="1"/>
  <c r="FH149" i="6"/>
  <c r="EQ149" i="6" s="1"/>
  <c r="J144" i="13"/>
  <c r="K179" i="13"/>
  <c r="K183" i="13"/>
  <c r="J183" i="13"/>
  <c r="K160" i="13"/>
  <c r="N195" i="12"/>
  <c r="N207" i="12" s="1"/>
  <c r="N219" i="12" s="1"/>
  <c r="K127" i="13"/>
  <c r="N184" i="12"/>
  <c r="L184" i="12" s="1"/>
  <c r="FH164" i="6"/>
  <c r="EQ164" i="6" s="1"/>
  <c r="BH144" i="5"/>
  <c r="ES38" i="6"/>
  <c r="EY38" i="6" s="1"/>
  <c r="FI164" i="6"/>
  <c r="ER164" i="6" s="1"/>
  <c r="FC124" i="6"/>
  <c r="EX68" i="6"/>
  <c r="EZ68" i="6" s="1"/>
  <c r="GQ26" i="6"/>
  <c r="CF35" i="5" s="1"/>
  <c r="CG35" i="5" s="1"/>
  <c r="FD124" i="6"/>
  <c r="EM124" i="6" s="1"/>
  <c r="EW124" i="6" s="1"/>
  <c r="FH124" i="6"/>
  <c r="EQ124" i="6" s="1"/>
  <c r="EX42" i="6"/>
  <c r="FI124" i="6"/>
  <c r="FG124" i="6"/>
  <c r="EP124" i="6" s="1"/>
  <c r="FZ124" i="6"/>
  <c r="GA124" i="6" s="1"/>
  <c r="FB164" i="6"/>
  <c r="EQ146" i="6"/>
  <c r="FB155" i="6"/>
  <c r="EK155" i="6" s="1"/>
  <c r="BH180" i="5"/>
  <c r="FC155" i="6"/>
  <c r="EL155" i="6" s="1"/>
  <c r="FD155" i="6"/>
  <c r="EM155" i="6" s="1"/>
  <c r="FM155" i="6" s="1"/>
  <c r="FF124" i="6"/>
  <c r="EO124" i="6" s="1"/>
  <c r="FE155" i="6"/>
  <c r="EX71" i="6"/>
  <c r="EX44" i="6"/>
  <c r="FF155" i="6"/>
  <c r="FD164" i="6"/>
  <c r="EM164" i="6" s="1"/>
  <c r="FM164" i="6" s="1"/>
  <c r="FG155" i="6"/>
  <c r="EP155" i="6" s="1"/>
  <c r="FJ122" i="6"/>
  <c r="FZ109" i="6"/>
  <c r="GA109" i="6" s="1"/>
  <c r="FF109" i="6"/>
  <c r="EO109" i="6" s="1"/>
  <c r="AB409" i="8"/>
  <c r="FH155" i="6"/>
  <c r="EQ155" i="6" s="1"/>
  <c r="BH168" i="5"/>
  <c r="FG164" i="6"/>
  <c r="EP164" i="6" s="1"/>
  <c r="FC164" i="6"/>
  <c r="BL63" i="5"/>
  <c r="EX78" i="6"/>
  <c r="EZ78" i="6" s="1"/>
  <c r="GV54" i="6"/>
  <c r="FZ116" i="6"/>
  <c r="FG116" i="6"/>
  <c r="EP116" i="6" s="1"/>
  <c r="FH116" i="6"/>
  <c r="EQ116" i="6" s="1"/>
  <c r="FI116" i="6"/>
  <c r="GX54" i="6"/>
  <c r="FJ165" i="6"/>
  <c r="FF116" i="6"/>
  <c r="EO116" i="6" s="1"/>
  <c r="Y217" i="8"/>
  <c r="AB217" i="8" s="1"/>
  <c r="GU54" i="6"/>
  <c r="GW54" i="6"/>
  <c r="FZ143" i="6"/>
  <c r="GA143" i="6" s="1"/>
  <c r="FH143" i="6"/>
  <c r="EQ143" i="6" s="1"/>
  <c r="FG143" i="6"/>
  <c r="EP143" i="6" s="1"/>
  <c r="GT68" i="6"/>
  <c r="GQ12" i="6"/>
  <c r="CF21" i="5" s="1"/>
  <c r="CG21" i="5" s="1"/>
  <c r="BH84" i="5"/>
  <c r="W217" i="8"/>
  <c r="GY54" i="6"/>
  <c r="FB116" i="6"/>
  <c r="FB143" i="6"/>
  <c r="EK143" i="6" s="1"/>
  <c r="EZ54" i="6"/>
  <c r="FJ141" i="6"/>
  <c r="FM171" i="6"/>
  <c r="FI112" i="6"/>
  <c r="ER112" i="6" s="1"/>
  <c r="FZ112" i="6"/>
  <c r="FH112" i="6"/>
  <c r="EQ112" i="6" s="1"/>
  <c r="FG112" i="6"/>
  <c r="EP112" i="6" s="1"/>
  <c r="FF112" i="6"/>
  <c r="EO112" i="6" s="1"/>
  <c r="FD112" i="6"/>
  <c r="EM112" i="6" s="1"/>
  <c r="EW112" i="6" s="1"/>
  <c r="FC112" i="6"/>
  <c r="EL112" i="6" s="1"/>
  <c r="FB112" i="6"/>
  <c r="N188" i="12"/>
  <c r="L188" i="12" s="1"/>
  <c r="H188" i="12" s="1"/>
  <c r="H188" i="13" s="1"/>
  <c r="K163" i="13"/>
  <c r="K164" i="13"/>
  <c r="K128" i="13"/>
  <c r="K137" i="13"/>
  <c r="K153" i="13"/>
  <c r="K171" i="13"/>
  <c r="EY57" i="6"/>
  <c r="N190" i="12"/>
  <c r="J164" i="13"/>
  <c r="FJ129" i="6"/>
  <c r="BH132" i="5"/>
  <c r="N187" i="12"/>
  <c r="N199" i="12" s="1"/>
  <c r="K169" i="13"/>
  <c r="EZ57" i="6"/>
  <c r="GQ98" i="6"/>
  <c r="GR98" i="6" s="1"/>
  <c r="FM146" i="6"/>
  <c r="EX62" i="6"/>
  <c r="K172" i="13"/>
  <c r="J174" i="13"/>
  <c r="K175" i="13"/>
  <c r="K142" i="13"/>
  <c r="J142" i="13"/>
  <c r="L185" i="12"/>
  <c r="H185" i="12" s="1"/>
  <c r="H185" i="13" s="1"/>
  <c r="N197" i="12"/>
  <c r="L197" i="12" s="1"/>
  <c r="J130" i="13"/>
  <c r="K130" i="13"/>
  <c r="L193" i="12"/>
  <c r="G193" i="12" s="1"/>
  <c r="G193" i="13" s="1"/>
  <c r="J140" i="13"/>
  <c r="K126" i="13"/>
  <c r="J137" i="13"/>
  <c r="J148" i="13"/>
  <c r="K148" i="13"/>
  <c r="J172" i="13"/>
  <c r="J175" i="13"/>
  <c r="AB543" i="8"/>
  <c r="AB401" i="8"/>
  <c r="AB483" i="8"/>
  <c r="AB491" i="8"/>
  <c r="ER141" i="6"/>
  <c r="EX141" i="6" s="1"/>
  <c r="FH150" i="6"/>
  <c r="EQ150" i="6" s="1"/>
  <c r="FZ150" i="6"/>
  <c r="GA150" i="6" s="1"/>
  <c r="FB150" i="6"/>
  <c r="FI150" i="6"/>
  <c r="ER150" i="6" s="1"/>
  <c r="FG150" i="6"/>
  <c r="EP150" i="6" s="1"/>
  <c r="FF150" i="6"/>
  <c r="EO150" i="6" s="1"/>
  <c r="FE150" i="6"/>
  <c r="EN150" i="6" s="1"/>
  <c r="FC150" i="6"/>
  <c r="EL150" i="6" s="1"/>
  <c r="FD150" i="6"/>
  <c r="EM150" i="6" s="1"/>
  <c r="ES146" i="6"/>
  <c r="EY146" i="6" s="1"/>
  <c r="GQ28" i="6"/>
  <c r="CF37" i="5" s="1"/>
  <c r="CG37" i="5" s="1"/>
  <c r="EX46" i="6"/>
  <c r="FM161" i="6"/>
  <c r="AB527" i="8"/>
  <c r="FJ104" i="6"/>
  <c r="FJ167" i="6"/>
  <c r="EY36" i="6"/>
  <c r="FJ133" i="6"/>
  <c r="FJ128" i="6"/>
  <c r="FJ114" i="6"/>
  <c r="EZ36" i="6"/>
  <c r="AB438" i="8"/>
  <c r="FJ140" i="6"/>
  <c r="GQ38" i="6"/>
  <c r="CF47" i="5" s="1"/>
  <c r="CG47" i="5" s="1"/>
  <c r="FJ152" i="6"/>
  <c r="BH96" i="5"/>
  <c r="FJ120" i="6"/>
  <c r="FJ105" i="6"/>
  <c r="FF102" i="6"/>
  <c r="EO102" i="6" s="1"/>
  <c r="FD102" i="6"/>
  <c r="FC102" i="6"/>
  <c r="EL102" i="6" s="1"/>
  <c r="FB102" i="6"/>
  <c r="EK102" i="6" s="1"/>
  <c r="FZ102" i="6"/>
  <c r="FG102" i="6"/>
  <c r="EP102" i="6" s="1"/>
  <c r="FI102" i="6"/>
  <c r="ER102" i="6" s="1"/>
  <c r="FH102" i="6"/>
  <c r="EQ102" i="6" s="1"/>
  <c r="EY20" i="6"/>
  <c r="AB520" i="8"/>
  <c r="GQ63" i="6"/>
  <c r="CF72" i="5" s="1"/>
  <c r="CG72" i="5" s="1"/>
  <c r="AB530" i="8"/>
  <c r="GU44" i="6"/>
  <c r="FJ131" i="6"/>
  <c r="FJ157" i="6"/>
  <c r="FF158" i="6"/>
  <c r="EO158" i="6" s="1"/>
  <c r="FE158" i="6"/>
  <c r="EN158" i="6" s="1"/>
  <c r="FI158" i="6"/>
  <c r="ER158" i="6" s="1"/>
  <c r="FH158" i="6"/>
  <c r="FG158" i="6"/>
  <c r="EP158" i="6" s="1"/>
  <c r="FZ158" i="6"/>
  <c r="FD158" i="6"/>
  <c r="EM158" i="6" s="1"/>
  <c r="FC158" i="6"/>
  <c r="EL158" i="6" s="1"/>
  <c r="FB158" i="6"/>
  <c r="FJ101" i="6"/>
  <c r="AB516" i="8"/>
  <c r="GQ451" i="6"/>
  <c r="FJ144" i="6"/>
  <c r="FF153" i="6"/>
  <c r="EO153" i="6" s="1"/>
  <c r="FE153" i="6"/>
  <c r="EN153" i="6" s="1"/>
  <c r="FH153" i="6"/>
  <c r="EQ153" i="6" s="1"/>
  <c r="FI153" i="6"/>
  <c r="ER153" i="6" s="1"/>
  <c r="FD153" i="6"/>
  <c r="EM153" i="6" s="1"/>
  <c r="FC153" i="6"/>
  <c r="EL153" i="6" s="1"/>
  <c r="FB153" i="6"/>
  <c r="EK153" i="6" s="1"/>
  <c r="FZ153" i="6"/>
  <c r="FG153" i="6"/>
  <c r="EP153" i="6" s="1"/>
  <c r="BL45" i="5"/>
  <c r="EX99" i="6"/>
  <c r="BM66" i="5"/>
  <c r="FJ103" i="6"/>
  <c r="FM172" i="6"/>
  <c r="BJ184" i="5"/>
  <c r="FR175" i="6"/>
  <c r="FY175" i="6"/>
  <c r="BG184" i="5"/>
  <c r="EW170" i="6"/>
  <c r="FJ166" i="6"/>
  <c r="EX171" i="6"/>
  <c r="N236" i="13"/>
  <c r="L224" i="13"/>
  <c r="FJ160" i="6"/>
  <c r="EN160" i="6"/>
  <c r="ES160" i="6" s="1"/>
  <c r="ES82" i="6"/>
  <c r="BK91" i="5" s="1"/>
  <c r="FJ170" i="6"/>
  <c r="AB66" i="8"/>
  <c r="FJ132" i="6"/>
  <c r="BH108" i="5"/>
  <c r="FJ121" i="6"/>
  <c r="N239" i="13"/>
  <c r="L227" i="13"/>
  <c r="FM174" i="6"/>
  <c r="EX89" i="6"/>
  <c r="EY54" i="6"/>
  <c r="Y216" i="8"/>
  <c r="AK216" i="8"/>
  <c r="FJ136" i="6"/>
  <c r="GQ493" i="6"/>
  <c r="GQ34" i="6"/>
  <c r="GQ319" i="6"/>
  <c r="GR319" i="6" s="1"/>
  <c r="FJ130" i="6"/>
  <c r="ES74" i="6"/>
  <c r="HA54" i="6"/>
  <c r="FM156" i="6"/>
  <c r="FJ171" i="6"/>
  <c r="N240" i="13"/>
  <c r="L228" i="13"/>
  <c r="FJ123" i="6"/>
  <c r="GV78" i="6"/>
  <c r="ES71" i="6"/>
  <c r="BK80" i="5" s="1"/>
  <c r="FJ161" i="6"/>
  <c r="EX60" i="6"/>
  <c r="ES51" i="6"/>
  <c r="BK60" i="5" s="1"/>
  <c r="GX78" i="6"/>
  <c r="AB437" i="8"/>
  <c r="EK131" i="6"/>
  <c r="ES131" i="6" s="1"/>
  <c r="ET131" i="6" s="1"/>
  <c r="EY32" i="6"/>
  <c r="AB420" i="8"/>
  <c r="FJ127" i="6"/>
  <c r="FJ126" i="6"/>
  <c r="EW157" i="6"/>
  <c r="L211" i="13"/>
  <c r="N223" i="13"/>
  <c r="N231" i="13"/>
  <c r="L219" i="13"/>
  <c r="GT54" i="6"/>
  <c r="EK174" i="6"/>
  <c r="GZ54" i="6"/>
  <c r="FM152" i="6"/>
  <c r="FJ119" i="6"/>
  <c r="L213" i="13"/>
  <c r="N225" i="13"/>
  <c r="FJ110" i="6"/>
  <c r="FJ159" i="6"/>
  <c r="AB449" i="8"/>
  <c r="EK103" i="6"/>
  <c r="EX20" i="6"/>
  <c r="EZ20" i="6" s="1"/>
  <c r="FJ154" i="6"/>
  <c r="FJ108" i="6"/>
  <c r="FJ100" i="6"/>
  <c r="U216" i="8"/>
  <c r="Z216" i="8" s="1"/>
  <c r="V216" i="8"/>
  <c r="AA216" i="8" s="1"/>
  <c r="R216" i="8"/>
  <c r="L214" i="13"/>
  <c r="N226" i="13"/>
  <c r="EX30" i="6"/>
  <c r="EZ30" i="6" s="1"/>
  <c r="FJ142" i="6"/>
  <c r="FZ173" i="6"/>
  <c r="FG173" i="6"/>
  <c r="EP173" i="6" s="1"/>
  <c r="FD173" i="6"/>
  <c r="EM173" i="6" s="1"/>
  <c r="FH173" i="6"/>
  <c r="EQ173" i="6" s="1"/>
  <c r="FI173" i="6"/>
  <c r="ER173" i="6" s="1"/>
  <c r="FF173" i="6"/>
  <c r="EO173" i="6" s="1"/>
  <c r="FE173" i="6"/>
  <c r="EN173" i="6" s="1"/>
  <c r="FC173" i="6"/>
  <c r="FB173" i="6"/>
  <c r="L218" i="13"/>
  <c r="N230" i="13"/>
  <c r="AB472" i="8"/>
  <c r="L220" i="13"/>
  <c r="N232" i="13"/>
  <c r="EK121" i="6"/>
  <c r="FJ147" i="6"/>
  <c r="FJ125" i="6"/>
  <c r="N222" i="13"/>
  <c r="L210" i="13"/>
  <c r="EW149" i="6"/>
  <c r="EX75" i="6"/>
  <c r="EK110" i="6"/>
  <c r="ES60" i="6"/>
  <c r="N203" i="12"/>
  <c r="L191" i="12"/>
  <c r="B191" i="12" s="1"/>
  <c r="GQ460" i="6"/>
  <c r="ES98" i="6"/>
  <c r="BK107" i="5" s="1"/>
  <c r="EK161" i="6"/>
  <c r="EX161" i="6" s="1"/>
  <c r="L198" i="12"/>
  <c r="EW109" i="6"/>
  <c r="GO107" i="6"/>
  <c r="BK89" i="5"/>
  <c r="EZ80" i="6"/>
  <c r="ER166" i="6"/>
  <c r="GP166" i="6"/>
  <c r="GQ46" i="6"/>
  <c r="GL195" i="6"/>
  <c r="GM212" i="6"/>
  <c r="GJ184" i="6"/>
  <c r="EO108" i="6"/>
  <c r="GM108" i="6"/>
  <c r="ER107" i="6"/>
  <c r="GP107" i="6"/>
  <c r="GO232" i="6"/>
  <c r="EL121" i="6"/>
  <c r="GJ121" i="6"/>
  <c r="EW52" i="6"/>
  <c r="GQ52" i="6"/>
  <c r="CF61" i="5" s="1"/>
  <c r="CG61" i="5" s="1"/>
  <c r="GN258" i="6"/>
  <c r="GO358" i="6"/>
  <c r="Y253" i="8"/>
  <c r="W253" i="8"/>
  <c r="AK253" i="8"/>
  <c r="GL425" i="6"/>
  <c r="EI283" i="6"/>
  <c r="GI283" i="6"/>
  <c r="EN156" i="6"/>
  <c r="EW156" i="6" s="1"/>
  <c r="GL156" i="6"/>
  <c r="GO366" i="6"/>
  <c r="GP426" i="6"/>
  <c r="GJ352" i="6"/>
  <c r="W211" i="8"/>
  <c r="EN166" i="6"/>
  <c r="GL166" i="6"/>
  <c r="GP209" i="6"/>
  <c r="GK476" i="6"/>
  <c r="GQ118" i="6"/>
  <c r="EM23" i="6"/>
  <c r="GK23" i="6"/>
  <c r="EQ81" i="6"/>
  <c r="GO81" i="6"/>
  <c r="GM202" i="6"/>
  <c r="GP474" i="6"/>
  <c r="EI107" i="6"/>
  <c r="GI107" i="6"/>
  <c r="GK317" i="6"/>
  <c r="GQ316" i="6"/>
  <c r="GR316" i="6" s="1"/>
  <c r="GJ389" i="6"/>
  <c r="EO168" i="6"/>
  <c r="GM168" i="6"/>
  <c r="Y500" i="8"/>
  <c r="AB500" i="8" s="1"/>
  <c r="W500" i="8"/>
  <c r="GK313" i="6"/>
  <c r="AB348" i="8"/>
  <c r="GM251" i="6"/>
  <c r="EK145" i="6"/>
  <c r="EI145" i="6"/>
  <c r="GI145" i="6"/>
  <c r="GL421" i="6"/>
  <c r="Y422" i="8"/>
  <c r="AB422" i="8" s="1"/>
  <c r="W422" i="8"/>
  <c r="GN464" i="6"/>
  <c r="AB230" i="8"/>
  <c r="EI258" i="6"/>
  <c r="GI258" i="6"/>
  <c r="EI266" i="6"/>
  <c r="GI266" i="6"/>
  <c r="GK245" i="6"/>
  <c r="EI190" i="6"/>
  <c r="GI190" i="6"/>
  <c r="GO102" i="6"/>
  <c r="GO314" i="6"/>
  <c r="GO475" i="6"/>
  <c r="AB383" i="8"/>
  <c r="ER81" i="6"/>
  <c r="GP81" i="6"/>
  <c r="GQ336" i="6"/>
  <c r="GR336" i="6" s="1"/>
  <c r="EQ130" i="6"/>
  <c r="GO130" i="6"/>
  <c r="GM484" i="6"/>
  <c r="EQ137" i="6"/>
  <c r="GO137" i="6"/>
  <c r="EI415" i="6"/>
  <c r="GI415" i="6"/>
  <c r="GO258" i="6"/>
  <c r="EI209" i="6"/>
  <c r="GI209" i="6"/>
  <c r="GK361" i="6"/>
  <c r="ER70" i="6"/>
  <c r="GP70" i="6"/>
  <c r="EI396" i="6"/>
  <c r="GI396" i="6"/>
  <c r="W361" i="8"/>
  <c r="Y361" i="8"/>
  <c r="GO380" i="6"/>
  <c r="GN435" i="6"/>
  <c r="GJ361" i="6"/>
  <c r="GO456" i="6"/>
  <c r="W381" i="8"/>
  <c r="Y381" i="8"/>
  <c r="GP417" i="6"/>
  <c r="GO329" i="6"/>
  <c r="W280" i="8"/>
  <c r="Y280" i="8"/>
  <c r="AK280" i="8"/>
  <c r="GJ258" i="6"/>
  <c r="GJ256" i="6"/>
  <c r="GJ432" i="6"/>
  <c r="GM102" i="6"/>
  <c r="GJ386" i="6"/>
  <c r="EX90" i="6"/>
  <c r="GP456" i="6"/>
  <c r="EW141" i="6"/>
  <c r="AK235" i="8"/>
  <c r="Y235" i="8"/>
  <c r="W235" i="8"/>
  <c r="EK91" i="6"/>
  <c r="EI91" i="6"/>
  <c r="GI91" i="6"/>
  <c r="GP404" i="6"/>
  <c r="GJ422" i="6"/>
  <c r="GN458" i="6"/>
  <c r="GQ66" i="6"/>
  <c r="HA66" i="6" s="1"/>
  <c r="GQ99" i="6"/>
  <c r="GO180" i="6"/>
  <c r="GQ254" i="6"/>
  <c r="GM435" i="6"/>
  <c r="GJ411" i="6"/>
  <c r="GP411" i="6"/>
  <c r="EW142" i="6"/>
  <c r="GP368" i="6"/>
  <c r="GM256" i="6"/>
  <c r="EW132" i="6"/>
  <c r="Q4" i="10"/>
  <c r="N4" i="10"/>
  <c r="K4" i="10"/>
  <c r="J4" i="10"/>
  <c r="P4" i="10"/>
  <c r="O4" i="10"/>
  <c r="M4" i="10"/>
  <c r="L4" i="10"/>
  <c r="FL158" i="6"/>
  <c r="FS158" i="6"/>
  <c r="GK158" i="6"/>
  <c r="EI357" i="6"/>
  <c r="GI357" i="6"/>
  <c r="GJ207" i="6"/>
  <c r="FF117" i="6"/>
  <c r="EO117" i="6" s="1"/>
  <c r="GM117" i="6"/>
  <c r="GK308" i="6"/>
  <c r="GI435" i="6"/>
  <c r="EI435" i="6"/>
  <c r="EI477" i="6"/>
  <c r="GP384" i="6"/>
  <c r="EI102" i="6"/>
  <c r="GI102" i="6"/>
  <c r="EK86" i="6"/>
  <c r="EI86" i="6"/>
  <c r="GI86" i="6"/>
  <c r="EI273" i="6"/>
  <c r="GI273" i="6"/>
  <c r="EO29" i="6"/>
  <c r="GM29" i="6"/>
  <c r="EP31" i="6"/>
  <c r="GN31" i="6"/>
  <c r="EN151" i="6"/>
  <c r="EW151" i="6" s="1"/>
  <c r="GL151" i="6"/>
  <c r="EI323" i="6"/>
  <c r="GI323" i="6"/>
  <c r="Y308" i="8"/>
  <c r="W308" i="8"/>
  <c r="H6" i="10"/>
  <c r="EM136" i="6"/>
  <c r="FS136" i="6"/>
  <c r="GK136" i="6"/>
  <c r="EI136" i="6"/>
  <c r="GM280" i="6"/>
  <c r="ER92" i="6"/>
  <c r="GP92" i="6"/>
  <c r="E3" i="10"/>
  <c r="EM97" i="6"/>
  <c r="FS97" i="6"/>
  <c r="GK97" i="6"/>
  <c r="EI215" i="6"/>
  <c r="GI215" i="6"/>
  <c r="AK238" i="8"/>
  <c r="W238" i="8"/>
  <c r="Y238" i="8"/>
  <c r="EI84" i="6"/>
  <c r="EK84" i="6"/>
  <c r="GI84" i="6"/>
  <c r="GN116" i="6"/>
  <c r="GK348" i="6"/>
  <c r="EI247" i="6"/>
  <c r="GI247" i="6"/>
  <c r="GP241" i="6"/>
  <c r="EW134" i="6"/>
  <c r="GJ271" i="6"/>
  <c r="Z546" i="8"/>
  <c r="AB546" i="8" s="1"/>
  <c r="W546" i="8"/>
  <c r="GN269" i="6"/>
  <c r="AB346" i="8"/>
  <c r="ER95" i="6"/>
  <c r="GP95" i="6"/>
  <c r="GQ174" i="6"/>
  <c r="EN155" i="6"/>
  <c r="GL155" i="6"/>
  <c r="EI155" i="6"/>
  <c r="EI407" i="6"/>
  <c r="GI407" i="6"/>
  <c r="EI331" i="6"/>
  <c r="GI331" i="6"/>
  <c r="GL194" i="6"/>
  <c r="EP43" i="6"/>
  <c r="GN43" i="6"/>
  <c r="EQ119" i="6"/>
  <c r="GO119" i="6"/>
  <c r="EI33" i="6"/>
  <c r="EK33" i="6"/>
  <c r="GI33" i="6"/>
  <c r="Y292" i="8"/>
  <c r="W292" i="8"/>
  <c r="GL266" i="6"/>
  <c r="Y452" i="8"/>
  <c r="AB452" i="8" s="1"/>
  <c r="W452" i="8"/>
  <c r="EQ94" i="6"/>
  <c r="GO94" i="6"/>
  <c r="EI222" i="6"/>
  <c r="GI222" i="6"/>
  <c r="W108" i="8"/>
  <c r="Y108" i="8"/>
  <c r="GO224" i="6"/>
  <c r="GP306" i="6"/>
  <c r="EI463" i="6"/>
  <c r="GI463" i="6"/>
  <c r="GN256" i="6"/>
  <c r="GP182" i="6"/>
  <c r="GJ228" i="6"/>
  <c r="FT132" i="6"/>
  <c r="GA132" i="6"/>
  <c r="Z440" i="8"/>
  <c r="AB440" i="8" s="1"/>
  <c r="W440" i="8"/>
  <c r="GQ148" i="6"/>
  <c r="GP357" i="6"/>
  <c r="EW67" i="6"/>
  <c r="ES99" i="6"/>
  <c r="GP434" i="6"/>
  <c r="GM181" i="6"/>
  <c r="GP393" i="6"/>
  <c r="GQ290" i="6"/>
  <c r="GR290" i="6" s="1"/>
  <c r="EI31" i="6"/>
  <c r="GP158" i="6"/>
  <c r="GL476" i="6"/>
  <c r="GM151" i="6"/>
  <c r="EO151" i="6"/>
  <c r="GL449" i="6"/>
  <c r="GP435" i="6"/>
  <c r="GN477" i="6"/>
  <c r="GQ142" i="6"/>
  <c r="EI421" i="6"/>
  <c r="GI421" i="6"/>
  <c r="EL86" i="6"/>
  <c r="GJ86" i="6"/>
  <c r="GJ299" i="6"/>
  <c r="GP273" i="6"/>
  <c r="ER29" i="6"/>
  <c r="GP29" i="6"/>
  <c r="EM31" i="6"/>
  <c r="GK31" i="6"/>
  <c r="AB357" i="8"/>
  <c r="EO91" i="6"/>
  <c r="GM91" i="6"/>
  <c r="AB96" i="8"/>
  <c r="GJ458" i="6"/>
  <c r="EQ151" i="6"/>
  <c r="GO151" i="6"/>
  <c r="GP323" i="6"/>
  <c r="AB109" i="8"/>
  <c r="ER83" i="6"/>
  <c r="GP83" i="6"/>
  <c r="GK389" i="6"/>
  <c r="GQ171" i="6"/>
  <c r="ER97" i="6"/>
  <c r="GP97" i="6"/>
  <c r="GM305" i="6"/>
  <c r="EQ105" i="6"/>
  <c r="GO105" i="6"/>
  <c r="GN470" i="6"/>
  <c r="GL375" i="6"/>
  <c r="GK492" i="6"/>
  <c r="GP386" i="6"/>
  <c r="EN159" i="6"/>
  <c r="GL159" i="6"/>
  <c r="GN389" i="6"/>
  <c r="GL397" i="6"/>
  <c r="EW114" i="6"/>
  <c r="GL262" i="6"/>
  <c r="GL391" i="6"/>
  <c r="EP23" i="6"/>
  <c r="GN23" i="6"/>
  <c r="EP81" i="6"/>
  <c r="GN81" i="6"/>
  <c r="GN287" i="6"/>
  <c r="GJ250" i="6"/>
  <c r="GL258" i="6"/>
  <c r="ES26" i="6"/>
  <c r="EY26" i="6" s="1"/>
  <c r="EX26" i="6"/>
  <c r="AA309" i="8"/>
  <c r="W309" i="8"/>
  <c r="GN278" i="6"/>
  <c r="GP211" i="6"/>
  <c r="FT94" i="6"/>
  <c r="GA94" i="6"/>
  <c r="EI453" i="6"/>
  <c r="GI453" i="6"/>
  <c r="EI219" i="6"/>
  <c r="GI219" i="6"/>
  <c r="EL77" i="6"/>
  <c r="GJ77" i="6"/>
  <c r="GP238" i="6"/>
  <c r="Y433" i="8"/>
  <c r="AB433" i="8" s="1"/>
  <c r="W433" i="8"/>
  <c r="EP129" i="6"/>
  <c r="GN129" i="6"/>
  <c r="AB315" i="8"/>
  <c r="EQ145" i="6"/>
  <c r="GO145" i="6"/>
  <c r="GP464" i="6"/>
  <c r="EL37" i="6"/>
  <c r="GJ37" i="6"/>
  <c r="GN475" i="6"/>
  <c r="GP487" i="6"/>
  <c r="AB105" i="8"/>
  <c r="EL21" i="6"/>
  <c r="GJ21" i="6"/>
  <c r="EI21" i="6"/>
  <c r="GP421" i="6"/>
  <c r="GA85" i="6"/>
  <c r="FT85" i="6"/>
  <c r="GK432" i="6"/>
  <c r="GM410" i="6"/>
  <c r="GQ378" i="6"/>
  <c r="Y455" i="8"/>
  <c r="AB455" i="8" s="1"/>
  <c r="W455" i="8"/>
  <c r="EM21" i="6"/>
  <c r="GK21" i="6"/>
  <c r="GM353" i="6"/>
  <c r="EQ95" i="6"/>
  <c r="GO95" i="6"/>
  <c r="EI440" i="6"/>
  <c r="GI440" i="6"/>
  <c r="GJ310" i="6"/>
  <c r="D4" i="10"/>
  <c r="FS86" i="6"/>
  <c r="EM86" i="6"/>
  <c r="GK86" i="6"/>
  <c r="GP431" i="6"/>
  <c r="AB313" i="8"/>
  <c r="GM299" i="6"/>
  <c r="EI368" i="6"/>
  <c r="GI368" i="6"/>
  <c r="GO256" i="6"/>
  <c r="GL356" i="6"/>
  <c r="EP47" i="6"/>
  <c r="GN47" i="6"/>
  <c r="GN181" i="6"/>
  <c r="EK151" i="6"/>
  <c r="EI151" i="6"/>
  <c r="GI151" i="6"/>
  <c r="EP49" i="6"/>
  <c r="GN49" i="6"/>
  <c r="B14" i="10"/>
  <c r="EM72" i="6"/>
  <c r="GK72" i="6"/>
  <c r="EI72" i="6"/>
  <c r="GL354" i="6"/>
  <c r="GP334" i="6"/>
  <c r="GK477" i="6"/>
  <c r="GP486" i="6"/>
  <c r="AB353" i="8"/>
  <c r="GO399" i="6"/>
  <c r="AB302" i="8"/>
  <c r="GJ259" i="6"/>
  <c r="GO266" i="6"/>
  <c r="Y509" i="8"/>
  <c r="AB509" i="8" s="1"/>
  <c r="W509" i="8"/>
  <c r="EL47" i="6"/>
  <c r="GJ47" i="6"/>
  <c r="EL83" i="6"/>
  <c r="GJ83" i="6"/>
  <c r="EI83" i="6"/>
  <c r="FS206" i="6"/>
  <c r="GK206" i="6"/>
  <c r="Y85" i="8"/>
  <c r="W85" i="8"/>
  <c r="W107" i="8"/>
  <c r="GO155" i="6"/>
  <c r="GP407" i="6"/>
  <c r="AB258" i="8"/>
  <c r="GP331" i="6"/>
  <c r="EI194" i="6"/>
  <c r="GI194" i="6"/>
  <c r="GM393" i="6"/>
  <c r="W82" i="8"/>
  <c r="Y82" i="8"/>
  <c r="EL43" i="6"/>
  <c r="GJ43" i="6"/>
  <c r="EI43" i="6"/>
  <c r="EK119" i="6"/>
  <c r="EI119" i="6"/>
  <c r="GI119" i="6"/>
  <c r="EI317" i="6"/>
  <c r="GI317" i="6"/>
  <c r="Z521" i="8"/>
  <c r="AB521" i="8" s="1"/>
  <c r="W521" i="8"/>
  <c r="GN266" i="6"/>
  <c r="GK464" i="6"/>
  <c r="ER94" i="6"/>
  <c r="GP94" i="6"/>
  <c r="EI180" i="6"/>
  <c r="GI180" i="6"/>
  <c r="GO470" i="6"/>
  <c r="AB257" i="8"/>
  <c r="GO230" i="6"/>
  <c r="GP224" i="6"/>
  <c r="GO463" i="6"/>
  <c r="EI228" i="6"/>
  <c r="GI228" i="6"/>
  <c r="FT150" i="6"/>
  <c r="AB246" i="8"/>
  <c r="EP139" i="6"/>
  <c r="GN139" i="6"/>
  <c r="EI444" i="6"/>
  <c r="GI444" i="6"/>
  <c r="GQ75" i="6"/>
  <c r="CF84" i="5" s="1"/>
  <c r="CG84" i="5" s="1"/>
  <c r="GL281" i="6"/>
  <c r="EO47" i="6"/>
  <c r="GM47" i="6"/>
  <c r="AB538" i="8"/>
  <c r="GK340" i="6"/>
  <c r="EI476" i="6"/>
  <c r="GI476" i="6"/>
  <c r="GO477" i="6"/>
  <c r="EW98" i="6"/>
  <c r="ER86" i="6"/>
  <c r="GP86" i="6"/>
  <c r="AB344" i="8"/>
  <c r="GK412" i="6"/>
  <c r="Y295" i="8"/>
  <c r="W295" i="8"/>
  <c r="EL173" i="6"/>
  <c r="GJ173" i="6"/>
  <c r="FM147" i="6"/>
  <c r="ER49" i="6"/>
  <c r="GP49" i="6"/>
  <c r="EQ154" i="6"/>
  <c r="GO154" i="6"/>
  <c r="Z545" i="8"/>
  <c r="AB545" i="8" s="1"/>
  <c r="W545" i="8"/>
  <c r="EM53" i="6"/>
  <c r="GK53" i="6"/>
  <c r="W404" i="8"/>
  <c r="Y404" i="8"/>
  <c r="AB404" i="8" s="1"/>
  <c r="GJ276" i="6"/>
  <c r="GN428" i="6"/>
  <c r="Z416" i="8"/>
  <c r="AB416" i="8" s="1"/>
  <c r="W416" i="8"/>
  <c r="GL445" i="6"/>
  <c r="AB198" i="8"/>
  <c r="GN467" i="6"/>
  <c r="EI467" i="6"/>
  <c r="EL105" i="6"/>
  <c r="GJ105" i="6"/>
  <c r="Z431" i="8"/>
  <c r="AB431" i="8" s="1"/>
  <c r="W431" i="8"/>
  <c r="GQ57" i="6"/>
  <c r="GY57" i="6" s="1"/>
  <c r="EL96" i="6"/>
  <c r="GJ96" i="6"/>
  <c r="ER25" i="6"/>
  <c r="GP25" i="6"/>
  <c r="GJ481" i="6"/>
  <c r="GP186" i="6"/>
  <c r="EI386" i="6"/>
  <c r="GI386" i="6"/>
  <c r="EI246" i="6"/>
  <c r="GI246" i="6"/>
  <c r="GM348" i="6"/>
  <c r="AB319" i="8"/>
  <c r="AB339" i="8"/>
  <c r="GK252" i="6"/>
  <c r="GM205" i="6"/>
  <c r="GN265" i="6"/>
  <c r="EI265" i="6"/>
  <c r="EI450" i="6"/>
  <c r="GI450" i="6"/>
  <c r="GJ348" i="6"/>
  <c r="GK443" i="6"/>
  <c r="EI443" i="6"/>
  <c r="GO371" i="6"/>
  <c r="EL93" i="6"/>
  <c r="GJ93" i="6"/>
  <c r="GP397" i="6"/>
  <c r="Y522" i="8"/>
  <c r="AB522" i="8" s="1"/>
  <c r="W522" i="8"/>
  <c r="GO209" i="6"/>
  <c r="ER27" i="6"/>
  <c r="GP27" i="6"/>
  <c r="EO70" i="6"/>
  <c r="GM70" i="6"/>
  <c r="GQ455" i="6"/>
  <c r="GJ278" i="6"/>
  <c r="AB171" i="8"/>
  <c r="GL331" i="6"/>
  <c r="GM192" i="6"/>
  <c r="AB98" i="8"/>
  <c r="GO207" i="6"/>
  <c r="AB211" i="8"/>
  <c r="EI332" i="6"/>
  <c r="GI332" i="6"/>
  <c r="C11" i="10"/>
  <c r="EM81" i="6"/>
  <c r="GK81" i="6"/>
  <c r="GQ85" i="6"/>
  <c r="Y259" i="8"/>
  <c r="AK259" i="8"/>
  <c r="W259" i="8"/>
  <c r="GP195" i="6"/>
  <c r="Y477" i="8"/>
  <c r="AB477" i="8" s="1"/>
  <c r="W477" i="8"/>
  <c r="GL271" i="6"/>
  <c r="EW144" i="6"/>
  <c r="GJ375" i="6"/>
  <c r="ER77" i="6"/>
  <c r="GP77" i="6"/>
  <c r="EQ70" i="6"/>
  <c r="GO70" i="6"/>
  <c r="EI206" i="6"/>
  <c r="GI206" i="6"/>
  <c r="AB72" i="8"/>
  <c r="GK447" i="6"/>
  <c r="EW61" i="6"/>
  <c r="EI233" i="6"/>
  <c r="GI233" i="6"/>
  <c r="GN261" i="6"/>
  <c r="GM390" i="6"/>
  <c r="GO257" i="6"/>
  <c r="EI424" i="6"/>
  <c r="GI424" i="6"/>
  <c r="GO244" i="6"/>
  <c r="GL358" i="6"/>
  <c r="GM291" i="6"/>
  <c r="ER137" i="6"/>
  <c r="GP137" i="6"/>
  <c r="GQ226" i="6"/>
  <c r="GP389" i="6"/>
  <c r="GM408" i="6"/>
  <c r="GI411" i="6"/>
  <c r="EI411" i="6"/>
  <c r="ER132" i="6"/>
  <c r="GP132" i="6"/>
  <c r="GN244" i="6"/>
  <c r="ER37" i="6"/>
  <c r="GP37" i="6"/>
  <c r="ER126" i="6"/>
  <c r="GP126" i="6"/>
  <c r="GK425" i="6"/>
  <c r="EO76" i="6"/>
  <c r="GM76" i="6"/>
  <c r="GN393" i="6"/>
  <c r="FT160" i="6"/>
  <c r="GA160" i="6"/>
  <c r="GP272" i="6"/>
  <c r="GM308" i="6"/>
  <c r="EQ83" i="6"/>
  <c r="GO83" i="6"/>
  <c r="GJ199" i="6"/>
  <c r="AB279" i="8"/>
  <c r="GN411" i="6"/>
  <c r="GJ368" i="6"/>
  <c r="GJ195" i="6"/>
  <c r="FT175" i="6"/>
  <c r="GO307" i="6"/>
  <c r="GL206" i="6"/>
  <c r="I3" i="10"/>
  <c r="EM145" i="6"/>
  <c r="FS145" i="6"/>
  <c r="FL145" i="6"/>
  <c r="GK145" i="6"/>
  <c r="GL408" i="6"/>
  <c r="AK266" i="8"/>
  <c r="W266" i="8"/>
  <c r="Y266" i="8"/>
  <c r="EP165" i="6"/>
  <c r="GN165" i="6"/>
  <c r="Z426" i="8"/>
  <c r="AB426" i="8" s="1"/>
  <c r="W426" i="8"/>
  <c r="GJ373" i="6"/>
  <c r="EI373" i="6"/>
  <c r="EQ113" i="6"/>
  <c r="GO113" i="6"/>
  <c r="F13" i="10"/>
  <c r="EM119" i="6"/>
  <c r="FS119" i="6"/>
  <c r="GK119" i="6"/>
  <c r="GO390" i="6"/>
  <c r="AB107" i="8"/>
  <c r="EO155" i="6"/>
  <c r="GM155" i="6"/>
  <c r="GN334" i="6"/>
  <c r="GL420" i="6"/>
  <c r="GL215" i="6"/>
  <c r="GQ65" i="6"/>
  <c r="CF74" i="5" s="1"/>
  <c r="CG74" i="5" s="1"/>
  <c r="GN246" i="6"/>
  <c r="GP194" i="6"/>
  <c r="EM43" i="6"/>
  <c r="GK43" i="6"/>
  <c r="ER119" i="6"/>
  <c r="GP119" i="6"/>
  <c r="GP317" i="6"/>
  <c r="EI426" i="6"/>
  <c r="GI426" i="6"/>
  <c r="AB282" i="8"/>
  <c r="GP266" i="6"/>
  <c r="EI147" i="6"/>
  <c r="GI147" i="6"/>
  <c r="EK147" i="6"/>
  <c r="EI414" i="6"/>
  <c r="GI414" i="6"/>
  <c r="GP230" i="6"/>
  <c r="Z233" i="8"/>
  <c r="AB233" i="8" s="1"/>
  <c r="W233" i="8"/>
  <c r="Z84" i="8"/>
  <c r="AB84" i="8" s="1"/>
  <c r="W84" i="8"/>
  <c r="GM218" i="6"/>
  <c r="EW83" i="6"/>
  <c r="GQ87" i="6"/>
  <c r="GP463" i="6"/>
  <c r="GN206" i="6"/>
  <c r="GJ280" i="6"/>
  <c r="GL228" i="6"/>
  <c r="GA162" i="6"/>
  <c r="FT162" i="6"/>
  <c r="EX63" i="6"/>
  <c r="GM307" i="6"/>
  <c r="EO125" i="6"/>
  <c r="GM125" i="6"/>
  <c r="EQ139" i="6"/>
  <c r="GO139" i="6"/>
  <c r="GM362" i="6"/>
  <c r="ES75" i="6"/>
  <c r="ER47" i="6"/>
  <c r="GP47" i="6"/>
  <c r="AB307" i="8"/>
  <c r="FT118" i="6"/>
  <c r="GA118" i="6"/>
  <c r="W538" i="8"/>
  <c r="GO476" i="6"/>
  <c r="GM190" i="6"/>
  <c r="BK47" i="5"/>
  <c r="EZ38" i="6"/>
  <c r="AB121" i="8"/>
  <c r="GP477" i="6"/>
  <c r="ES142" i="6"/>
  <c r="GA98" i="6"/>
  <c r="FT98" i="6"/>
  <c r="GL185" i="6"/>
  <c r="EO31" i="6"/>
  <c r="GM31" i="6"/>
  <c r="GO217" i="6"/>
  <c r="GL173" i="6"/>
  <c r="EK154" i="6"/>
  <c r="EI154" i="6"/>
  <c r="GI154" i="6"/>
  <c r="EL53" i="6"/>
  <c r="GJ53" i="6"/>
  <c r="EX79" i="6"/>
  <c r="GO276" i="6"/>
  <c r="ES171" i="6"/>
  <c r="E11" i="10"/>
  <c r="FS105" i="6"/>
  <c r="EM105" i="6"/>
  <c r="GK105" i="6"/>
  <c r="EI427" i="6"/>
  <c r="GI427" i="6"/>
  <c r="GN182" i="6"/>
  <c r="EP76" i="6"/>
  <c r="GN76" i="6"/>
  <c r="GM186" i="6"/>
  <c r="AA249" i="8"/>
  <c r="AB249" i="8" s="1"/>
  <c r="W249" i="8"/>
  <c r="EK96" i="6"/>
  <c r="EI96" i="6"/>
  <c r="GI96" i="6"/>
  <c r="Y450" i="8"/>
  <c r="AB450" i="8" s="1"/>
  <c r="W450" i="8"/>
  <c r="EX28" i="6"/>
  <c r="EZ28" i="6" s="1"/>
  <c r="Y424" i="8"/>
  <c r="AB424" i="8" s="1"/>
  <c r="W424" i="8"/>
  <c r="GL477" i="6"/>
  <c r="AB219" i="8"/>
  <c r="Y359" i="8"/>
  <c r="W359" i="8"/>
  <c r="GJ366" i="6"/>
  <c r="GO483" i="6"/>
  <c r="GO265" i="6"/>
  <c r="GJ107" i="6"/>
  <c r="GM443" i="6"/>
  <c r="GL232" i="6"/>
  <c r="EQ93" i="6"/>
  <c r="GO93" i="6"/>
  <c r="EL81" i="6"/>
  <c r="GJ81" i="6"/>
  <c r="GQ355" i="6"/>
  <c r="GR355" i="6" s="1"/>
  <c r="EI270" i="6"/>
  <c r="GI270" i="6"/>
  <c r="GO211" i="6"/>
  <c r="GP232" i="6"/>
  <c r="ES52" i="6"/>
  <c r="GN388" i="6"/>
  <c r="GP229" i="6"/>
  <c r="EM37" i="6"/>
  <c r="GK37" i="6"/>
  <c r="EK168" i="6"/>
  <c r="EI168" i="6"/>
  <c r="GI168" i="6"/>
  <c r="GP285" i="6"/>
  <c r="GO361" i="6"/>
  <c r="GP453" i="6"/>
  <c r="AB350" i="8"/>
  <c r="EQ132" i="6"/>
  <c r="GO132" i="6"/>
  <c r="GM244" i="6"/>
  <c r="EO58" i="6"/>
  <c r="GM58" i="6"/>
  <c r="GP222" i="6"/>
  <c r="GJ425" i="6"/>
  <c r="GO375" i="6"/>
  <c r="EQ77" i="6"/>
  <c r="GO77" i="6"/>
  <c r="GA99" i="6"/>
  <c r="FT99" i="6"/>
  <c r="EQ127" i="6"/>
  <c r="GO127" i="6"/>
  <c r="GJ180" i="6"/>
  <c r="Z471" i="8"/>
  <c r="AB471" i="8" s="1"/>
  <c r="W471" i="8"/>
  <c r="GQ175" i="6"/>
  <c r="EI410" i="6"/>
  <c r="GI410" i="6"/>
  <c r="GJ224" i="6"/>
  <c r="G7" i="10"/>
  <c r="FS125" i="6"/>
  <c r="EM125" i="6"/>
  <c r="GK125" i="6"/>
  <c r="GN404" i="6"/>
  <c r="AB92" i="8"/>
  <c r="GP396" i="6"/>
  <c r="GO382" i="6"/>
  <c r="GQ210" i="6"/>
  <c r="EL59" i="6"/>
  <c r="GJ59" i="6"/>
  <c r="EI59" i="6"/>
  <c r="Z220" i="8"/>
  <c r="W220" i="8"/>
  <c r="EI111" i="6"/>
  <c r="FB111" i="6"/>
  <c r="GI111" i="6"/>
  <c r="GO435" i="6"/>
  <c r="Y356" i="8"/>
  <c r="W356" i="8"/>
  <c r="EL92" i="6"/>
  <c r="GJ92" i="6"/>
  <c r="GQ71" i="6"/>
  <c r="CF80" i="5" s="1"/>
  <c r="CG80" i="5" s="1"/>
  <c r="EI486" i="6"/>
  <c r="GI486" i="6"/>
  <c r="GO453" i="6"/>
  <c r="GL252" i="6"/>
  <c r="EI179" i="6"/>
  <c r="GI179" i="6"/>
  <c r="EI434" i="6"/>
  <c r="GI434" i="6"/>
  <c r="GL234" i="6"/>
  <c r="EO86" i="6"/>
  <c r="GM86" i="6"/>
  <c r="AA402" i="8"/>
  <c r="W402" i="8"/>
  <c r="EI97" i="6"/>
  <c r="ES61" i="6"/>
  <c r="GL472" i="6"/>
  <c r="GM373" i="6"/>
  <c r="GO407" i="6"/>
  <c r="EI345" i="6"/>
  <c r="GI345" i="6"/>
  <c r="ES65" i="6"/>
  <c r="EX65" i="6"/>
  <c r="GQ89" i="6"/>
  <c r="W307" i="8"/>
  <c r="Z287" i="8"/>
  <c r="AB287" i="8" s="1"/>
  <c r="W287" i="8"/>
  <c r="EW118" i="6"/>
  <c r="GL309" i="6"/>
  <c r="EW106" i="6"/>
  <c r="ES62" i="6"/>
  <c r="GQ90" i="6"/>
  <c r="EY28" i="6"/>
  <c r="Y296" i="8"/>
  <c r="W296" i="8"/>
  <c r="ER31" i="6"/>
  <c r="GP31" i="6"/>
  <c r="GP217" i="6"/>
  <c r="FS216" i="6"/>
  <c r="GK216" i="6"/>
  <c r="EP154" i="6"/>
  <c r="GN154" i="6"/>
  <c r="EQ53" i="6"/>
  <c r="GO53" i="6"/>
  <c r="GP276" i="6"/>
  <c r="GO422" i="6"/>
  <c r="GP294" i="6"/>
  <c r="GK408" i="6"/>
  <c r="GK344" i="6"/>
  <c r="AB163" i="8"/>
  <c r="ER105" i="6"/>
  <c r="GP105" i="6"/>
  <c r="EL76" i="6"/>
  <c r="GJ76" i="6"/>
  <c r="EI419" i="6"/>
  <c r="GI419" i="6"/>
  <c r="GO183" i="6"/>
  <c r="GO412" i="6"/>
  <c r="GJ407" i="6"/>
  <c r="GP321" i="6"/>
  <c r="Y499" i="8"/>
  <c r="AB499" i="8" s="1"/>
  <c r="W499" i="8"/>
  <c r="EO169" i="6"/>
  <c r="GM169" i="6"/>
  <c r="GN93" i="6"/>
  <c r="EP93" i="6"/>
  <c r="GP249" i="6"/>
  <c r="EO138" i="6"/>
  <c r="GM138" i="6"/>
  <c r="EP169" i="6"/>
  <c r="GN169" i="6"/>
  <c r="EP58" i="6"/>
  <c r="GN58" i="6"/>
  <c r="GM258" i="6"/>
  <c r="GM259" i="6"/>
  <c r="Y470" i="8"/>
  <c r="AB470" i="8" s="1"/>
  <c r="W470" i="8"/>
  <c r="GP159" i="6"/>
  <c r="ER159" i="6"/>
  <c r="GJ138" i="6"/>
  <c r="GO391" i="6"/>
  <c r="GN227" i="6"/>
  <c r="GN488" i="6"/>
  <c r="EI314" i="6"/>
  <c r="GI314" i="6"/>
  <c r="GL211" i="6"/>
  <c r="GK453" i="6"/>
  <c r="EI138" i="6"/>
  <c r="EK138" i="6"/>
  <c r="GI138" i="6"/>
  <c r="GM392" i="6"/>
  <c r="GM182" i="6"/>
  <c r="GP342" i="6"/>
  <c r="GO248" i="6"/>
  <c r="GP443" i="6"/>
  <c r="EK132" i="6"/>
  <c r="EI132" i="6"/>
  <c r="GI132" i="6"/>
  <c r="Y352" i="8"/>
  <c r="W352" i="8"/>
  <c r="GK229" i="6"/>
  <c r="EW143" i="6"/>
  <c r="EX118" i="6"/>
  <c r="EL172" i="6"/>
  <c r="GJ172" i="6"/>
  <c r="GK468" i="6"/>
  <c r="GQ351" i="6"/>
  <c r="GR351" i="6" s="1"/>
  <c r="EQ129" i="6"/>
  <c r="GO129" i="6"/>
  <c r="AA336" i="8"/>
  <c r="W336" i="8"/>
  <c r="EK109" i="6"/>
  <c r="GL222" i="6"/>
  <c r="EO137" i="6"/>
  <c r="GM137" i="6"/>
  <c r="EX82" i="6"/>
  <c r="GO419" i="6"/>
  <c r="AB349" i="8"/>
  <c r="AB190" i="8"/>
  <c r="Z379" i="8"/>
  <c r="AB379" i="8" s="1"/>
  <c r="W379" i="8"/>
  <c r="GM448" i="6"/>
  <c r="EP168" i="6"/>
  <c r="GN168" i="6"/>
  <c r="GN102" i="6"/>
  <c r="GJ461" i="6"/>
  <c r="EI461" i="6"/>
  <c r="ER23" i="6"/>
  <c r="GP23" i="6"/>
  <c r="GJ468" i="6"/>
  <c r="EO37" i="6"/>
  <c r="GM37" i="6"/>
  <c r="G8" i="10"/>
  <c r="FS126" i="6"/>
  <c r="EM126" i="6"/>
  <c r="GK126" i="6"/>
  <c r="GM431" i="6"/>
  <c r="E8" i="10"/>
  <c r="FS102" i="6"/>
  <c r="EM102" i="6"/>
  <c r="GK102" i="6"/>
  <c r="W193" i="8"/>
  <c r="Y193" i="8"/>
  <c r="GO489" i="6"/>
  <c r="GP327" i="6"/>
  <c r="Y480" i="8"/>
  <c r="AB480" i="8" s="1"/>
  <c r="W480" i="8"/>
  <c r="GN474" i="6"/>
  <c r="AB370" i="8"/>
  <c r="GP432" i="6"/>
  <c r="FH111" i="6"/>
  <c r="EQ111" i="6" s="1"/>
  <c r="GO111" i="6"/>
  <c r="EW65" i="6"/>
  <c r="BK75" i="5"/>
  <c r="EZ66" i="6"/>
  <c r="EI489" i="6"/>
  <c r="GI489" i="6"/>
  <c r="EI327" i="6"/>
  <c r="GI327" i="6"/>
  <c r="GP329" i="6"/>
  <c r="GM180" i="6"/>
  <c r="GP291" i="6"/>
  <c r="EI382" i="6"/>
  <c r="GI382" i="6"/>
  <c r="GM194" i="6"/>
  <c r="GO234" i="6"/>
  <c r="GP361" i="6"/>
  <c r="ER21" i="6"/>
  <c r="GP21" i="6"/>
  <c r="AB150" i="8"/>
  <c r="GP271" i="6"/>
  <c r="GM400" i="6"/>
  <c r="FT142" i="6"/>
  <c r="GA142" i="6"/>
  <c r="EI329" i="6"/>
  <c r="GI329" i="6"/>
  <c r="GJ158" i="6"/>
  <c r="GN151" i="6"/>
  <c r="EP151" i="6"/>
  <c r="Z490" i="8"/>
  <c r="AB490" i="8" s="1"/>
  <c r="W490" i="8"/>
  <c r="EI241" i="6"/>
  <c r="GI241" i="6"/>
  <c r="ER91" i="6"/>
  <c r="GP91" i="6"/>
  <c r="GO185" i="6"/>
  <c r="AK236" i="8"/>
  <c r="Y236" i="8"/>
  <c r="W236" i="8"/>
  <c r="GP400" i="6"/>
  <c r="P13" i="10"/>
  <c r="O13" i="10"/>
  <c r="N13" i="10"/>
  <c r="M13" i="10"/>
  <c r="L13" i="10"/>
  <c r="K13" i="10"/>
  <c r="J13" i="10"/>
  <c r="Q13" i="10"/>
  <c r="FS167" i="6"/>
  <c r="EM167" i="6"/>
  <c r="FL167" i="6"/>
  <c r="GK167" i="6"/>
  <c r="GN382" i="6"/>
  <c r="GL463" i="6"/>
  <c r="EI158" i="6"/>
  <c r="EK158" i="6"/>
  <c r="GI158" i="6"/>
  <c r="AB290" i="8"/>
  <c r="ER113" i="6"/>
  <c r="GP113" i="6"/>
  <c r="GO253" i="6"/>
  <c r="GK269" i="6"/>
  <c r="D9" i="10"/>
  <c r="FS91" i="6"/>
  <c r="EM91" i="6"/>
  <c r="GK91" i="6"/>
  <c r="GJ263" i="6"/>
  <c r="EI469" i="6"/>
  <c r="GI469" i="6"/>
  <c r="Y286" i="8"/>
  <c r="W286" i="8"/>
  <c r="GJ206" i="6"/>
  <c r="GK280" i="6"/>
  <c r="GM228" i="6"/>
  <c r="F5" i="10"/>
  <c r="FS111" i="6"/>
  <c r="FD111" i="6"/>
  <c r="EM111" i="6" s="1"/>
  <c r="GK111" i="6"/>
  <c r="GJ356" i="6"/>
  <c r="ER139" i="6"/>
  <c r="GP139" i="6"/>
  <c r="GL183" i="6"/>
  <c r="GQ260" i="6"/>
  <c r="GQ438" i="6"/>
  <c r="Y300" i="8"/>
  <c r="W300" i="8"/>
  <c r="ER165" i="6"/>
  <c r="GP165" i="6"/>
  <c r="GN267" i="6"/>
  <c r="GP373" i="6"/>
  <c r="GN492" i="6"/>
  <c r="GL388" i="6"/>
  <c r="GQ360" i="6"/>
  <c r="GQ459" i="6"/>
  <c r="EI390" i="6"/>
  <c r="GI390" i="6"/>
  <c r="GJ253" i="6"/>
  <c r="AB149" i="8"/>
  <c r="GJ427" i="6"/>
  <c r="GO246" i="6"/>
  <c r="FT107" i="6"/>
  <c r="GA107" i="6"/>
  <c r="Y414" i="8"/>
  <c r="AB414" i="8" s="1"/>
  <c r="W414" i="8"/>
  <c r="ER43" i="6"/>
  <c r="GP43" i="6"/>
  <c r="GN263" i="6"/>
  <c r="GL274" i="6"/>
  <c r="EO81" i="6"/>
  <c r="GM81" i="6"/>
  <c r="GO223" i="6"/>
  <c r="GL410" i="6"/>
  <c r="EW75" i="6"/>
  <c r="GQ237" i="6"/>
  <c r="AB164" i="8"/>
  <c r="GM419" i="6"/>
  <c r="Y351" i="8"/>
  <c r="W351" i="8"/>
  <c r="EI281" i="6"/>
  <c r="GI281" i="6"/>
  <c r="GP206" i="6"/>
  <c r="EI280" i="6"/>
  <c r="GI280" i="6"/>
  <c r="EK128" i="6"/>
  <c r="EI128" i="6"/>
  <c r="GI128" i="6"/>
  <c r="GP356" i="6"/>
  <c r="GM489" i="6"/>
  <c r="GN245" i="6"/>
  <c r="GQ50" i="6"/>
  <c r="CF59" i="5" s="1"/>
  <c r="CG59" i="5" s="1"/>
  <c r="ES34" i="6"/>
  <c r="EY34" i="6" s="1"/>
  <c r="GO487" i="6"/>
  <c r="GK422" i="6"/>
  <c r="EW115" i="6"/>
  <c r="GN427" i="6"/>
  <c r="GK294" i="6"/>
  <c r="GO270" i="6"/>
  <c r="GL279" i="6"/>
  <c r="GJ408" i="6"/>
  <c r="EI408" i="6"/>
  <c r="ER154" i="6"/>
  <c r="GP154" i="6"/>
  <c r="GO481" i="6"/>
  <c r="ER53" i="6"/>
  <c r="GP53" i="6"/>
  <c r="GO202" i="6"/>
  <c r="GO408" i="6"/>
  <c r="GN344" i="6"/>
  <c r="EP39" i="6"/>
  <c r="GN39" i="6"/>
  <c r="GO216" i="6"/>
  <c r="EI76" i="6"/>
  <c r="EK76" i="6"/>
  <c r="GI76" i="6"/>
  <c r="EO129" i="6"/>
  <c r="GM129" i="6"/>
  <c r="GP183" i="6"/>
  <c r="EQ48" i="6"/>
  <c r="GO48" i="6"/>
  <c r="GJ484" i="6"/>
  <c r="GP412" i="6"/>
  <c r="GP433" i="6"/>
  <c r="GN367" i="6"/>
  <c r="GJ232" i="6"/>
  <c r="AB174" i="8"/>
  <c r="GN222" i="6"/>
  <c r="ER101" i="6"/>
  <c r="GP101" i="6"/>
  <c r="GL441" i="6"/>
  <c r="GM449" i="6"/>
  <c r="ES67" i="6"/>
  <c r="ER149" i="6"/>
  <c r="GP149" i="6"/>
  <c r="GQ284" i="6"/>
  <c r="GR284" i="6" s="1"/>
  <c r="Y91" i="8"/>
  <c r="W91" i="8"/>
  <c r="GK365" i="6"/>
  <c r="GQ67" i="6"/>
  <c r="CF76" i="5" s="1"/>
  <c r="CG76" i="5" s="1"/>
  <c r="GP450" i="6"/>
  <c r="Y502" i="8"/>
  <c r="AB502" i="8" s="1"/>
  <c r="W502" i="8"/>
  <c r="GM238" i="6"/>
  <c r="GL474" i="6"/>
  <c r="GO471" i="6"/>
  <c r="GQ330" i="6"/>
  <c r="EK165" i="6"/>
  <c r="EI165" i="6"/>
  <c r="GI165" i="6"/>
  <c r="GJ466" i="6"/>
  <c r="GL315" i="6"/>
  <c r="GJ102" i="6"/>
  <c r="AK263" i="8"/>
  <c r="W263" i="8"/>
  <c r="Y263" i="8"/>
  <c r="EI289" i="6"/>
  <c r="GI289" i="6"/>
  <c r="EL23" i="6"/>
  <c r="GJ23" i="6"/>
  <c r="ER58" i="6"/>
  <c r="GP58" i="6"/>
  <c r="Y225" i="8"/>
  <c r="W225" i="8"/>
  <c r="AK225" i="8"/>
  <c r="GQ401" i="6"/>
  <c r="GP207" i="6"/>
  <c r="GP332" i="6"/>
  <c r="GM332" i="6"/>
  <c r="EQ21" i="6"/>
  <c r="GO21" i="6"/>
  <c r="Y469" i="8"/>
  <c r="AB469" i="8" s="1"/>
  <c r="W469" i="8"/>
  <c r="GL485" i="6"/>
  <c r="GO424" i="6"/>
  <c r="GL374" i="6"/>
  <c r="EL129" i="6"/>
  <c r="GJ129" i="6"/>
  <c r="GP416" i="6"/>
  <c r="GP258" i="6"/>
  <c r="GJ182" i="6"/>
  <c r="Z547" i="8"/>
  <c r="AB547" i="8" s="1"/>
  <c r="W547" i="8"/>
  <c r="H10" i="10"/>
  <c r="EM140" i="6"/>
  <c r="FS140" i="6"/>
  <c r="GK140" i="6"/>
  <c r="GP424" i="6"/>
  <c r="GM339" i="6"/>
  <c r="ER130" i="6"/>
  <c r="GP130" i="6"/>
  <c r="GO112" i="6"/>
  <c r="GN305" i="6"/>
  <c r="EL91" i="6"/>
  <c r="GJ91" i="6"/>
  <c r="GJ288" i="6"/>
  <c r="Y301" i="8"/>
  <c r="W301" i="8"/>
  <c r="GP244" i="6"/>
  <c r="AB276" i="8"/>
  <c r="GL347" i="6"/>
  <c r="EL168" i="6"/>
  <c r="GJ168" i="6"/>
  <c r="GN241" i="6"/>
  <c r="BK21" i="5"/>
  <c r="EY12" i="6"/>
  <c r="Y102" i="8"/>
  <c r="W102" i="8"/>
  <c r="EQ47" i="6"/>
  <c r="GO47" i="6"/>
  <c r="FI111" i="6"/>
  <c r="ER111" i="6" s="1"/>
  <c r="GP111" i="6"/>
  <c r="AB387" i="8"/>
  <c r="W504" i="8"/>
  <c r="Y504" i="8"/>
  <c r="AB504" i="8" s="1"/>
  <c r="GO194" i="6"/>
  <c r="EX51" i="6"/>
  <c r="Y291" i="8"/>
  <c r="W291" i="8"/>
  <c r="Y466" i="8"/>
  <c r="AB466" i="8" s="1"/>
  <c r="W466" i="8"/>
  <c r="ES64" i="6"/>
  <c r="GP388" i="6"/>
  <c r="GP390" i="6"/>
  <c r="AB228" i="8"/>
  <c r="EI172" i="6"/>
  <c r="EI253" i="6"/>
  <c r="GI253" i="6"/>
  <c r="GJ240" i="6"/>
  <c r="GP246" i="6"/>
  <c r="EI41" i="6"/>
  <c r="EK41" i="6"/>
  <c r="GI41" i="6"/>
  <c r="W413" i="8"/>
  <c r="Y413" i="8"/>
  <c r="AB413" i="8" s="1"/>
  <c r="GN302" i="6"/>
  <c r="GK263" i="6"/>
  <c r="GQ79" i="6"/>
  <c r="CF88" i="5" s="1"/>
  <c r="CG88" i="5" s="1"/>
  <c r="GP223" i="6"/>
  <c r="EI203" i="6"/>
  <c r="GI203" i="6"/>
  <c r="GJ488" i="6"/>
  <c r="GP419" i="6"/>
  <c r="W136" i="8"/>
  <c r="Y136" i="8"/>
  <c r="GM281" i="6"/>
  <c r="EQ128" i="6"/>
  <c r="GO128" i="6"/>
  <c r="GO231" i="6"/>
  <c r="GN314" i="6"/>
  <c r="GQ191" i="6"/>
  <c r="EI388" i="6"/>
  <c r="GI388" i="6"/>
  <c r="GO345" i="6"/>
  <c r="GQ62" i="6"/>
  <c r="ES90" i="6"/>
  <c r="EY90" i="6" s="1"/>
  <c r="GL325" i="6"/>
  <c r="Z299" i="8"/>
  <c r="AB299" i="8" s="1"/>
  <c r="W299" i="8"/>
  <c r="AB288" i="8"/>
  <c r="GP270" i="6"/>
  <c r="GJ392" i="6"/>
  <c r="GN283" i="6"/>
  <c r="EK124" i="6"/>
  <c r="EI124" i="6"/>
  <c r="GI124" i="6"/>
  <c r="Y447" i="8"/>
  <c r="AB447" i="8" s="1"/>
  <c r="W447" i="8"/>
  <c r="O12" i="10"/>
  <c r="N12" i="10"/>
  <c r="M12" i="10"/>
  <c r="J12" i="10"/>
  <c r="Q12" i="10"/>
  <c r="K12" i="10"/>
  <c r="P12" i="10"/>
  <c r="L12" i="10"/>
  <c r="FS166" i="6"/>
  <c r="EM166" i="6"/>
  <c r="FL166" i="6"/>
  <c r="GK166" i="6"/>
  <c r="EI202" i="6"/>
  <c r="GI202" i="6"/>
  <c r="AK242" i="8"/>
  <c r="Y242" i="8"/>
  <c r="W242" i="8"/>
  <c r="GO344" i="6"/>
  <c r="W462" i="8"/>
  <c r="Y462" i="8"/>
  <c r="AB462" i="8" s="1"/>
  <c r="W391" i="8"/>
  <c r="EI313" i="6"/>
  <c r="GI313" i="6"/>
  <c r="GA164" i="6"/>
  <c r="FT164" i="6"/>
  <c r="EL39" i="6"/>
  <c r="GJ39" i="6"/>
  <c r="EI39" i="6"/>
  <c r="GL216" i="6"/>
  <c r="C6" i="10"/>
  <c r="EM76" i="6"/>
  <c r="GK76" i="6"/>
  <c r="FT124" i="6"/>
  <c r="GM329" i="6"/>
  <c r="EO127" i="6"/>
  <c r="GM127" i="6"/>
  <c r="W151" i="8"/>
  <c r="Y151" i="8"/>
  <c r="GK387" i="6"/>
  <c r="W140" i="8"/>
  <c r="Z200" i="8"/>
  <c r="AB200" i="8" s="1"/>
  <c r="W200" i="8"/>
  <c r="EQ121" i="6"/>
  <c r="GO121" i="6"/>
  <c r="GO397" i="6"/>
  <c r="EI182" i="6"/>
  <c r="GI182" i="6"/>
  <c r="GL287" i="6"/>
  <c r="EI287" i="6"/>
  <c r="GO283" i="6"/>
  <c r="GN453" i="6"/>
  <c r="GQ51" i="6"/>
  <c r="EK139" i="6"/>
  <c r="EI139" i="6"/>
  <c r="GI139" i="6"/>
  <c r="GK475" i="6"/>
  <c r="EI17" i="6"/>
  <c r="EK17" i="6"/>
  <c r="GI17" i="6"/>
  <c r="AK274" i="8"/>
  <c r="Y274" i="8"/>
  <c r="W274" i="8"/>
  <c r="EO33" i="6"/>
  <c r="GM33" i="6"/>
  <c r="GP439" i="6"/>
  <c r="C3" i="10"/>
  <c r="EM73" i="6"/>
  <c r="GK73" i="6"/>
  <c r="EI73" i="6"/>
  <c r="EI205" i="6"/>
  <c r="GI205" i="6"/>
  <c r="EI77" i="6"/>
  <c r="EK77" i="6"/>
  <c r="GI77" i="6"/>
  <c r="GP483" i="6"/>
  <c r="GJ190" i="6"/>
  <c r="Q14" i="10"/>
  <c r="O14" i="10"/>
  <c r="L14" i="10"/>
  <c r="P14" i="10"/>
  <c r="N14" i="10"/>
  <c r="M14" i="10"/>
  <c r="K14" i="10"/>
  <c r="J14" i="10"/>
  <c r="EM168" i="6"/>
  <c r="EW168" i="6" s="1"/>
  <c r="FS168" i="6"/>
  <c r="FL168" i="6"/>
  <c r="GK168" i="6"/>
  <c r="AB117" i="8"/>
  <c r="AB237" i="8"/>
  <c r="EP21" i="6"/>
  <c r="GN21" i="6"/>
  <c r="GK228" i="6"/>
  <c r="FS228" i="6"/>
  <c r="GN432" i="6"/>
  <c r="GO415" i="6"/>
  <c r="GP437" i="6"/>
  <c r="Z406" i="8"/>
  <c r="AB406" i="8" s="1"/>
  <c r="W406" i="8"/>
  <c r="Z514" i="8"/>
  <c r="AB514" i="8" s="1"/>
  <c r="W514" i="8"/>
  <c r="EI487" i="6"/>
  <c r="GI487" i="6"/>
  <c r="GQ40" i="6"/>
  <c r="GQ160" i="6"/>
  <c r="EL126" i="6"/>
  <c r="GJ126" i="6"/>
  <c r="GN441" i="6"/>
  <c r="GN201" i="6"/>
  <c r="EI282" i="6"/>
  <c r="GI282" i="6"/>
  <c r="EW62" i="6"/>
  <c r="GL382" i="6"/>
  <c r="GP490" i="6"/>
  <c r="GP296" i="6"/>
  <c r="EK129" i="6"/>
  <c r="EI129" i="6"/>
  <c r="GI129" i="6"/>
  <c r="FT174" i="6"/>
  <c r="GA174" i="6"/>
  <c r="EI291" i="6"/>
  <c r="GI291" i="6"/>
  <c r="EW133" i="6"/>
  <c r="EI491" i="6"/>
  <c r="GI491" i="6"/>
  <c r="GO411" i="6"/>
  <c r="ER127" i="6"/>
  <c r="GP127" i="6"/>
  <c r="EQ97" i="6"/>
  <c r="GO97" i="6"/>
  <c r="EI305" i="6"/>
  <c r="GI305" i="6"/>
  <c r="EL125" i="6"/>
  <c r="GJ125" i="6"/>
  <c r="GK399" i="6"/>
  <c r="AB320" i="8"/>
  <c r="EI201" i="6"/>
  <c r="EX67" i="6"/>
  <c r="GM439" i="6"/>
  <c r="FC117" i="6"/>
  <c r="EL117" i="6" s="1"/>
  <c r="GJ117" i="6"/>
  <c r="GN155" i="6"/>
  <c r="EQ43" i="6"/>
  <c r="GO43" i="6"/>
  <c r="GK373" i="6"/>
  <c r="GO388" i="6"/>
  <c r="EI482" i="6"/>
  <c r="GI482" i="6"/>
  <c r="EI492" i="6"/>
  <c r="GI492" i="6"/>
  <c r="GO212" i="6"/>
  <c r="GQ341" i="6"/>
  <c r="GR341" i="6" s="1"/>
  <c r="GO178" i="6"/>
  <c r="EI417" i="6"/>
  <c r="GI417" i="6"/>
  <c r="GL267" i="6"/>
  <c r="EI468" i="6"/>
  <c r="GI468" i="6"/>
  <c r="GP492" i="6"/>
  <c r="GN320" i="6"/>
  <c r="GP212" i="6"/>
  <c r="W382" i="8"/>
  <c r="Y382" i="8"/>
  <c r="EI263" i="6"/>
  <c r="GN253" i="6"/>
  <c r="GO385" i="6"/>
  <c r="AB116" i="8"/>
  <c r="GM474" i="6"/>
  <c r="FT161" i="6"/>
  <c r="GA161" i="6"/>
  <c r="GL263" i="6"/>
  <c r="Y407" i="8"/>
  <c r="AB407" i="8" s="1"/>
  <c r="W407" i="8"/>
  <c r="GQ42" i="6"/>
  <c r="CF51" i="5" s="1"/>
  <c r="CG51" i="5" s="1"/>
  <c r="GJ367" i="6"/>
  <c r="GM296" i="6"/>
  <c r="GJ469" i="6"/>
  <c r="GN189" i="6"/>
  <c r="GQ150" i="6"/>
  <c r="GL212" i="6"/>
  <c r="GN282" i="6"/>
  <c r="GN281" i="6"/>
  <c r="EI422" i="6"/>
  <c r="GN440" i="6"/>
  <c r="EO128" i="6"/>
  <c r="GM128" i="6"/>
  <c r="GO312" i="6"/>
  <c r="GO370" i="6"/>
  <c r="GM462" i="6"/>
  <c r="GA146" i="6"/>
  <c r="FT146" i="6"/>
  <c r="GN231" i="6"/>
  <c r="Z204" i="8"/>
  <c r="AB204" i="8" s="1"/>
  <c r="W204" i="8"/>
  <c r="GL320" i="6"/>
  <c r="EP35" i="6"/>
  <c r="GN35" i="6"/>
  <c r="ES50" i="6"/>
  <c r="Y542" i="8"/>
  <c r="AB542" i="8" s="1"/>
  <c r="W542" i="8"/>
  <c r="EI217" i="6"/>
  <c r="GI217" i="6"/>
  <c r="GA115" i="6"/>
  <c r="FT115" i="6"/>
  <c r="AK260" i="8"/>
  <c r="W260" i="8"/>
  <c r="Y260" i="8"/>
  <c r="W537" i="8"/>
  <c r="GJ325" i="6"/>
  <c r="EN152" i="6"/>
  <c r="EW152" i="6" s="1"/>
  <c r="GL152" i="6"/>
  <c r="GM346" i="6"/>
  <c r="GP478" i="6"/>
  <c r="GP402" i="6"/>
  <c r="EI448" i="6"/>
  <c r="GI448" i="6"/>
  <c r="GJ346" i="6"/>
  <c r="EI346" i="6"/>
  <c r="GP344" i="6"/>
  <c r="EM39" i="6"/>
  <c r="GK39" i="6"/>
  <c r="GJ179" i="6"/>
  <c r="GM350" i="6"/>
  <c r="ER19" i="6"/>
  <c r="GP19" i="6"/>
  <c r="AB140" i="8"/>
  <c r="GN473" i="6"/>
  <c r="GL443" i="6"/>
  <c r="GJ342" i="6"/>
  <c r="GP196" i="6"/>
  <c r="Y411" i="8"/>
  <c r="AB411" i="8" s="1"/>
  <c r="W411" i="8"/>
  <c r="GK362" i="6"/>
  <c r="GK436" i="6"/>
  <c r="AB120" i="8"/>
  <c r="GO195" i="6"/>
  <c r="GO327" i="6"/>
  <c r="GM380" i="6"/>
  <c r="GP371" i="6"/>
  <c r="ER121" i="6"/>
  <c r="GP121" i="6"/>
  <c r="GN207" i="6"/>
  <c r="GO259" i="6"/>
  <c r="GP265" i="6"/>
  <c r="GM463" i="6"/>
  <c r="GO289" i="6"/>
  <c r="ER41" i="6"/>
  <c r="GP41" i="6"/>
  <c r="C7" i="10"/>
  <c r="EM77" i="6"/>
  <c r="GK77" i="6"/>
  <c r="GJ474" i="6"/>
  <c r="EQ58" i="6"/>
  <c r="GO58" i="6"/>
  <c r="GM195" i="6"/>
  <c r="GP259" i="6"/>
  <c r="GM386" i="6"/>
  <c r="EO126" i="6"/>
  <c r="GM126" i="6"/>
  <c r="GO218" i="6"/>
  <c r="GN257" i="6"/>
  <c r="ER172" i="6"/>
  <c r="GP172" i="6"/>
  <c r="EI231" i="6"/>
  <c r="GI231" i="6"/>
  <c r="GJ393" i="6"/>
  <c r="AB201" i="8"/>
  <c r="ES24" i="6"/>
  <c r="EX24" i="6"/>
  <c r="EI272" i="6"/>
  <c r="GI272" i="6"/>
  <c r="Y536" i="8"/>
  <c r="AB536" i="8" s="1"/>
  <c r="W536" i="8"/>
  <c r="FS181" i="6"/>
  <c r="GK181" i="6"/>
  <c r="GL192" i="6"/>
  <c r="G11" i="10"/>
  <c r="EM129" i="6"/>
  <c r="FS129" i="6"/>
  <c r="GK129" i="6"/>
  <c r="Y461" i="8"/>
  <c r="AB461" i="8" s="1"/>
  <c r="W461" i="8"/>
  <c r="GO485" i="6"/>
  <c r="GQ214" i="6"/>
  <c r="FT141" i="6"/>
  <c r="GA141" i="6"/>
  <c r="EW99" i="6"/>
  <c r="F11" i="10"/>
  <c r="FS117" i="6"/>
  <c r="FD117" i="6"/>
  <c r="EM117" i="6" s="1"/>
  <c r="GK117" i="6"/>
  <c r="W276" i="8"/>
  <c r="I11" i="10"/>
  <c r="FS153" i="6"/>
  <c r="FL153" i="6"/>
  <c r="GK153" i="6"/>
  <c r="GN299" i="6"/>
  <c r="EQ125" i="6"/>
  <c r="GO125" i="6"/>
  <c r="GL404" i="6"/>
  <c r="GL458" i="6"/>
  <c r="GJ487" i="6"/>
  <c r="FH117" i="6"/>
  <c r="EQ117" i="6" s="1"/>
  <c r="GO117" i="6"/>
  <c r="EM59" i="6"/>
  <c r="GK59" i="6"/>
  <c r="GJ268" i="6"/>
  <c r="GQ18" i="6"/>
  <c r="CF27" i="5" s="1"/>
  <c r="CG27" i="5" s="1"/>
  <c r="EX98" i="6"/>
  <c r="GL256" i="6"/>
  <c r="GO495" i="6"/>
  <c r="GQ220" i="6"/>
  <c r="GP181" i="6"/>
  <c r="GN317" i="6"/>
  <c r="GP180" i="6"/>
  <c r="EI299" i="6"/>
  <c r="GI299" i="6"/>
  <c r="GP322" i="6"/>
  <c r="GJ390" i="6"/>
  <c r="ER155" i="6"/>
  <c r="GP155" i="6"/>
  <c r="EP152" i="6"/>
  <c r="GN152" i="6"/>
  <c r="ER147" i="6"/>
  <c r="GP147" i="6"/>
  <c r="FF111" i="6"/>
  <c r="EO111" i="6" s="1"/>
  <c r="GM111" i="6"/>
  <c r="GN468" i="6"/>
  <c r="GQ318" i="6"/>
  <c r="GR318" i="6" s="1"/>
  <c r="GQ197" i="6"/>
  <c r="GM464" i="6"/>
  <c r="GJ178" i="6"/>
  <c r="EK93" i="6"/>
  <c r="EI93" i="6"/>
  <c r="GI93" i="6"/>
  <c r="GP267" i="6"/>
  <c r="GO468" i="6"/>
  <c r="GP320" i="6"/>
  <c r="GO227" i="6"/>
  <c r="EI371" i="6"/>
  <c r="GI371" i="6"/>
  <c r="GL253" i="6"/>
  <c r="EI385" i="6"/>
  <c r="GI385" i="6"/>
  <c r="GM477" i="6"/>
  <c r="GO249" i="6"/>
  <c r="EI288" i="6"/>
  <c r="EO121" i="6"/>
  <c r="GM121" i="6"/>
  <c r="GP263" i="6"/>
  <c r="ES79" i="6"/>
  <c r="GU79" i="6" s="1"/>
  <c r="Z314" i="8"/>
  <c r="AB314" i="8" s="1"/>
  <c r="W314" i="8"/>
  <c r="GO376" i="6"/>
  <c r="EI274" i="6"/>
  <c r="GI274" i="6"/>
  <c r="GN190" i="6"/>
  <c r="ES22" i="6"/>
  <c r="EX22" i="6"/>
  <c r="GJ440" i="6"/>
  <c r="EI399" i="6"/>
  <c r="Y529" i="8"/>
  <c r="AB529" i="8" s="1"/>
  <c r="W529" i="8"/>
  <c r="GN363" i="6"/>
  <c r="G10" i="10"/>
  <c r="FS128" i="6"/>
  <c r="EM128" i="6"/>
  <c r="GK128" i="6"/>
  <c r="GN352" i="6"/>
  <c r="GP370" i="6"/>
  <c r="GN386" i="6"/>
  <c r="GK480" i="6"/>
  <c r="EL35" i="6"/>
  <c r="GJ35" i="6"/>
  <c r="GO439" i="6"/>
  <c r="GL288" i="6"/>
  <c r="ES88" i="6"/>
  <c r="Z207" i="8"/>
  <c r="AB207" i="8" s="1"/>
  <c r="W207" i="8"/>
  <c r="E6" i="10"/>
  <c r="FS100" i="6"/>
  <c r="GK100" i="6"/>
  <c r="EI268" i="6"/>
  <c r="GI268" i="6"/>
  <c r="AB537" i="8"/>
  <c r="GP325" i="6"/>
  <c r="GK255" i="6"/>
  <c r="Z374" i="8"/>
  <c r="AB374" i="8" s="1"/>
  <c r="W374" i="8"/>
  <c r="EP110" i="6"/>
  <c r="GN110" i="6"/>
  <c r="GO177" i="6"/>
  <c r="GN346" i="6"/>
  <c r="GJ252" i="6"/>
  <c r="EO39" i="6"/>
  <c r="GM39" i="6"/>
  <c r="GP242" i="6"/>
  <c r="EX88" i="6"/>
  <c r="EP114" i="6"/>
  <c r="GN114" i="6"/>
  <c r="GN179" i="6"/>
  <c r="GQ22" i="6"/>
  <c r="CF31" i="5" s="1"/>
  <c r="CG31" i="5" s="1"/>
  <c r="Y441" i="8"/>
  <c r="AB441" i="8" s="1"/>
  <c r="W441" i="8"/>
  <c r="EX85" i="6"/>
  <c r="GK483" i="6"/>
  <c r="GL207" i="6"/>
  <c r="GP367" i="6"/>
  <c r="GL450" i="6"/>
  <c r="Y212" i="8"/>
  <c r="W212" i="8"/>
  <c r="AK212" i="8"/>
  <c r="GO474" i="6"/>
  <c r="GM426" i="6"/>
  <c r="GO437" i="6"/>
  <c r="GK296" i="6"/>
  <c r="AB78" i="8"/>
  <c r="EI310" i="6"/>
  <c r="GI310" i="6"/>
  <c r="GP391" i="6"/>
  <c r="EL58" i="6"/>
  <c r="GJ58" i="6"/>
  <c r="EI58" i="6"/>
  <c r="ER33" i="6"/>
  <c r="GP33" i="6"/>
  <c r="GJ329" i="6"/>
  <c r="GL484" i="6"/>
  <c r="GP287" i="6"/>
  <c r="GP283" i="6"/>
  <c r="GJ453" i="6"/>
  <c r="GO310" i="6"/>
  <c r="GM436" i="6"/>
  <c r="EI238" i="6"/>
  <c r="GI238" i="6"/>
  <c r="GO222" i="6"/>
  <c r="ES14" i="6"/>
  <c r="EY14" i="6" s="1"/>
  <c r="EX14" i="6"/>
  <c r="EI166" i="6"/>
  <c r="GM271" i="6"/>
  <c r="GQ406" i="6"/>
  <c r="EL119" i="6"/>
  <c r="GJ119" i="6"/>
  <c r="GL219" i="6"/>
  <c r="GM364" i="6"/>
  <c r="EK149" i="6"/>
  <c r="EI149" i="6"/>
  <c r="GI149" i="6"/>
  <c r="EW85" i="6"/>
  <c r="ES85" i="6"/>
  <c r="GQ398" i="6"/>
  <c r="GK339" i="6"/>
  <c r="EI339" i="6"/>
  <c r="GJ456" i="6"/>
  <c r="GL417" i="6"/>
  <c r="EL132" i="6"/>
  <c r="GJ132" i="6"/>
  <c r="EL130" i="6"/>
  <c r="GJ130" i="6"/>
  <c r="EI130" i="6"/>
  <c r="AB388" i="8"/>
  <c r="GO201" i="6"/>
  <c r="BK37" i="5"/>
  <c r="EI127" i="6"/>
  <c r="EK127" i="6"/>
  <c r="GI127" i="6"/>
  <c r="EI380" i="6"/>
  <c r="GI380" i="6"/>
  <c r="GN443" i="6"/>
  <c r="EK173" i="6"/>
  <c r="EI173" i="6"/>
  <c r="GI173" i="6"/>
  <c r="GL361" i="6"/>
  <c r="EO21" i="6"/>
  <c r="GM21" i="6"/>
  <c r="GO365" i="6"/>
  <c r="GL201" i="6"/>
  <c r="GJ248" i="6"/>
  <c r="GM495" i="6"/>
  <c r="GP440" i="6"/>
  <c r="GP340" i="6"/>
  <c r="GP380" i="6"/>
  <c r="AB106" i="8"/>
  <c r="FT133" i="6"/>
  <c r="GA133" i="6"/>
  <c r="GO420" i="6"/>
  <c r="GO300" i="6"/>
  <c r="EI404" i="6"/>
  <c r="GI404" i="6"/>
  <c r="EQ165" i="6"/>
  <c r="GO165" i="6"/>
  <c r="AA334" i="8"/>
  <c r="W334" i="8"/>
  <c r="GN178" i="6"/>
  <c r="GO267" i="6"/>
  <c r="Y419" i="8"/>
  <c r="AB419" i="8" s="1"/>
  <c r="W419" i="8"/>
  <c r="GL433" i="6"/>
  <c r="GO413" i="6"/>
  <c r="GP178" i="6"/>
  <c r="EO77" i="6"/>
  <c r="GM77" i="6"/>
  <c r="GP468" i="6"/>
  <c r="EI320" i="6"/>
  <c r="GI320" i="6"/>
  <c r="GJ227" i="6"/>
  <c r="GK393" i="6"/>
  <c r="EP166" i="6"/>
  <c r="GN166" i="6"/>
  <c r="W112" i="8"/>
  <c r="Y112" i="8"/>
  <c r="GL371" i="6"/>
  <c r="GP253" i="6"/>
  <c r="N5" i="10"/>
  <c r="M5" i="10"/>
  <c r="L5" i="10"/>
  <c r="Q5" i="10"/>
  <c r="P5" i="10"/>
  <c r="K5" i="10"/>
  <c r="O5" i="10"/>
  <c r="J5" i="10"/>
  <c r="FS159" i="6"/>
  <c r="EM159" i="6"/>
  <c r="FL159" i="6"/>
  <c r="GK159" i="6"/>
  <c r="GP385" i="6"/>
  <c r="GN347" i="6"/>
  <c r="EP27" i="6"/>
  <c r="GN27" i="6"/>
  <c r="GM269" i="6"/>
  <c r="EI249" i="6"/>
  <c r="GI249" i="6"/>
  <c r="ER56" i="6"/>
  <c r="GP56" i="6"/>
  <c r="GP268" i="6"/>
  <c r="G3" i="10"/>
  <c r="FS121" i="6"/>
  <c r="EM121" i="6"/>
  <c r="GK121" i="6"/>
  <c r="GK418" i="6"/>
  <c r="GO418" i="6"/>
  <c r="GL213" i="6"/>
  <c r="GA171" i="6"/>
  <c r="FT171" i="6"/>
  <c r="GK376" i="6"/>
  <c r="GO274" i="6"/>
  <c r="GN262" i="6"/>
  <c r="GP282" i="6"/>
  <c r="E7" i="10"/>
  <c r="EM101" i="6"/>
  <c r="FS101" i="6"/>
  <c r="GK101" i="6"/>
  <c r="ER128" i="6"/>
  <c r="GP128" i="6"/>
  <c r="FM149" i="6"/>
  <c r="GM372" i="6"/>
  <c r="EM35" i="6"/>
  <c r="GK35" i="6"/>
  <c r="GO441" i="6"/>
  <c r="FT155" i="6"/>
  <c r="EQ33" i="6"/>
  <c r="GO33" i="6"/>
  <c r="W385" i="8"/>
  <c r="GL439" i="6"/>
  <c r="AB324" i="8"/>
  <c r="EI495" i="6"/>
  <c r="W364" i="8"/>
  <c r="Y131" i="8"/>
  <c r="W131" i="8"/>
  <c r="GP288" i="6"/>
  <c r="W526" i="8"/>
  <c r="Y526" i="8"/>
  <c r="AB526" i="8" s="1"/>
  <c r="ER100" i="6"/>
  <c r="GP100" i="6"/>
  <c r="EI325" i="6"/>
  <c r="GI325" i="6"/>
  <c r="EO123" i="6"/>
  <c r="GM123" i="6"/>
  <c r="AB365" i="8"/>
  <c r="FS201" i="6"/>
  <c r="GK201" i="6"/>
  <c r="GO262" i="6"/>
  <c r="GL392" i="6"/>
  <c r="EP73" i="6"/>
  <c r="GN73" i="6"/>
  <c r="ER124" i="6"/>
  <c r="GP124" i="6"/>
  <c r="GN205" i="6"/>
  <c r="EI301" i="6"/>
  <c r="GI301" i="6"/>
  <c r="GP448" i="6"/>
  <c r="Y306" i="8"/>
  <c r="W306" i="8"/>
  <c r="GN185" i="6"/>
  <c r="GM317" i="6"/>
  <c r="Z297" i="8"/>
  <c r="AB297" i="8" s="1"/>
  <c r="W297" i="8"/>
  <c r="ER39" i="6"/>
  <c r="GP39" i="6"/>
  <c r="FS183" i="6"/>
  <c r="GK183" i="6"/>
  <c r="EI183" i="6"/>
  <c r="GQ452" i="6"/>
  <c r="W130" i="8"/>
  <c r="Y130" i="8"/>
  <c r="EQ114" i="6"/>
  <c r="GO114" i="6"/>
  <c r="GL179" i="6"/>
  <c r="GP466" i="6"/>
  <c r="GL250" i="6"/>
  <c r="Y162" i="8"/>
  <c r="W162" i="8"/>
  <c r="EI418" i="6"/>
  <c r="GI418" i="6"/>
  <c r="GK466" i="6"/>
  <c r="Y355" i="8"/>
  <c r="W355" i="8"/>
  <c r="GM371" i="6"/>
  <c r="EL27" i="6"/>
  <c r="GJ27" i="6"/>
  <c r="GJ426" i="6"/>
  <c r="GJ277" i="6"/>
  <c r="EP113" i="6"/>
  <c r="GN113" i="6"/>
  <c r="EO27" i="6"/>
  <c r="GM27" i="6"/>
  <c r="AB325" i="8"/>
  <c r="EN169" i="6"/>
  <c r="GL169" i="6"/>
  <c r="EM58" i="6"/>
  <c r="GK58" i="6"/>
  <c r="GQ109" i="6"/>
  <c r="EL104" i="6"/>
  <c r="GJ104" i="6"/>
  <c r="EP108" i="6"/>
  <c r="GN108" i="6"/>
  <c r="GP348" i="6"/>
  <c r="EQ37" i="6"/>
  <c r="GO37" i="6"/>
  <c r="AB283" i="8"/>
  <c r="EL70" i="6"/>
  <c r="GJ70" i="6"/>
  <c r="EP59" i="6"/>
  <c r="GN59" i="6"/>
  <c r="GJ257" i="6"/>
  <c r="GN487" i="6"/>
  <c r="EO132" i="6"/>
  <c r="GM132" i="6"/>
  <c r="EI356" i="6"/>
  <c r="GI356" i="6"/>
  <c r="W4" i="8"/>
  <c r="GK386" i="6"/>
  <c r="EW94" i="6"/>
  <c r="FS173" i="6"/>
  <c r="FL173" i="6"/>
  <c r="GK173" i="6"/>
  <c r="GP289" i="6"/>
  <c r="GJ416" i="6"/>
  <c r="EO23" i="6"/>
  <c r="GM23" i="6"/>
  <c r="GK266" i="6"/>
  <c r="GQ170" i="6"/>
  <c r="FT109" i="6"/>
  <c r="GN234" i="6"/>
  <c r="GP375" i="6"/>
  <c r="GO272" i="6"/>
  <c r="BK77" i="5"/>
  <c r="GU68" i="6"/>
  <c r="GW68" i="6"/>
  <c r="GX68" i="6"/>
  <c r="GZ68" i="6"/>
  <c r="HA68" i="6"/>
  <c r="GV68" i="6"/>
  <c r="GY68" i="6"/>
  <c r="ER129" i="6"/>
  <c r="GP129" i="6"/>
  <c r="GP339" i="6"/>
  <c r="Y423" i="8"/>
  <c r="AB423" i="8" s="1"/>
  <c r="W423" i="8"/>
  <c r="GL158" i="6"/>
  <c r="AB289" i="8"/>
  <c r="GN400" i="6"/>
  <c r="EI384" i="6"/>
  <c r="GI384" i="6"/>
  <c r="GL407" i="6"/>
  <c r="GN463" i="6"/>
  <c r="EQ31" i="6"/>
  <c r="GO31" i="6"/>
  <c r="EI340" i="6"/>
  <c r="GI340" i="6"/>
  <c r="EL49" i="6"/>
  <c r="GJ49" i="6"/>
  <c r="GP305" i="6"/>
  <c r="GJ412" i="6"/>
  <c r="GN399" i="6"/>
  <c r="GQ64" i="6"/>
  <c r="GL492" i="6"/>
  <c r="EI37" i="6"/>
  <c r="EK37" i="6"/>
  <c r="GI37" i="6"/>
  <c r="GQ295" i="6"/>
  <c r="GR295" i="6" s="1"/>
  <c r="GJ415" i="6"/>
  <c r="GL246" i="6"/>
  <c r="EO43" i="6"/>
  <c r="GM43" i="6"/>
  <c r="GM458" i="6"/>
  <c r="GP414" i="6"/>
  <c r="GQ36" i="6"/>
  <c r="GV36" i="6" s="1"/>
  <c r="GQ74" i="6"/>
  <c r="EL159" i="6"/>
  <c r="GJ159" i="6"/>
  <c r="EI321" i="6"/>
  <c r="GI321" i="6"/>
  <c r="EW63" i="6"/>
  <c r="GJ281" i="6"/>
  <c r="GJ433" i="6"/>
  <c r="Y487" i="8"/>
  <c r="AB487" i="8" s="1"/>
  <c r="W487" i="8"/>
  <c r="GP413" i="6"/>
  <c r="GN321" i="6"/>
  <c r="EI27" i="6"/>
  <c r="EK27" i="6"/>
  <c r="GI27" i="6"/>
  <c r="Y124" i="8"/>
  <c r="W124" i="8"/>
  <c r="GJ486" i="6"/>
  <c r="EI348" i="6"/>
  <c r="GI348" i="6"/>
  <c r="EI227" i="6"/>
  <c r="GI227" i="6"/>
  <c r="EI256" i="6"/>
  <c r="GI256" i="6"/>
  <c r="GQ405" i="6"/>
  <c r="EO166" i="6"/>
  <c r="GM166" i="6"/>
  <c r="EI117" i="6"/>
  <c r="FB117" i="6"/>
  <c r="GI117" i="6"/>
  <c r="GI232" i="6"/>
  <c r="EI232" i="6"/>
  <c r="GQ146" i="6"/>
  <c r="GK371" i="6"/>
  <c r="EW87" i="6"/>
  <c r="GM487" i="6"/>
  <c r="GQ80" i="6"/>
  <c r="GW80" i="6" s="1"/>
  <c r="EQ159" i="6"/>
  <c r="GO159" i="6"/>
  <c r="GL190" i="6"/>
  <c r="GN422" i="6"/>
  <c r="GO269" i="6"/>
  <c r="GJ249" i="6"/>
  <c r="EQ41" i="6"/>
  <c r="GO41" i="6"/>
  <c r="Y386" i="8"/>
  <c r="W386" i="8"/>
  <c r="EM56" i="6"/>
  <c r="GK56" i="6"/>
  <c r="GK390" i="6"/>
  <c r="AK205" i="8"/>
  <c r="Y205" i="8"/>
  <c r="W205" i="8"/>
  <c r="Z83" i="8"/>
  <c r="AB83" i="8" s="1"/>
  <c r="W83" i="8"/>
  <c r="Y252" i="8"/>
  <c r="W252" i="8"/>
  <c r="AK252" i="8"/>
  <c r="GO213" i="6"/>
  <c r="GN376" i="6"/>
  <c r="GP274" i="6"/>
  <c r="GJ344" i="6"/>
  <c r="EI344" i="6"/>
  <c r="Y188" i="8"/>
  <c r="W188" i="8"/>
  <c r="EP101" i="6"/>
  <c r="GN101" i="6"/>
  <c r="ES40" i="6"/>
  <c r="EY40" i="6" s="1"/>
  <c r="GQ292" i="6"/>
  <c r="GR292" i="6" s="1"/>
  <c r="EI483" i="6"/>
  <c r="GI483" i="6"/>
  <c r="GN418" i="6"/>
  <c r="GJ326" i="6"/>
  <c r="GO203" i="6"/>
  <c r="GJ372" i="6"/>
  <c r="EI35" i="6"/>
  <c r="EK35" i="6"/>
  <c r="GI35" i="6"/>
  <c r="GN202" i="6"/>
  <c r="EO35" i="6"/>
  <c r="GM35" i="6"/>
  <c r="EI162" i="6"/>
  <c r="GI162" i="6"/>
  <c r="GL257" i="6"/>
  <c r="EP33" i="6"/>
  <c r="GN33" i="6"/>
  <c r="AB385" i="8"/>
  <c r="GJ439" i="6"/>
  <c r="GO149" i="6"/>
  <c r="GM418" i="6"/>
  <c r="AB364" i="8"/>
  <c r="FS186" i="6"/>
  <c r="GK186" i="6"/>
  <c r="GJ335" i="6"/>
  <c r="W392" i="8"/>
  <c r="W141" i="8"/>
  <c r="Z329" i="8"/>
  <c r="AB329" i="8" s="1"/>
  <c r="W329" i="8"/>
  <c r="AB178" i="8"/>
  <c r="ER152" i="6"/>
  <c r="GP152" i="6"/>
  <c r="W365" i="8"/>
  <c r="EO73" i="6"/>
  <c r="GM73" i="6"/>
  <c r="GN177" i="6"/>
  <c r="EP17" i="6"/>
  <c r="GN17" i="6"/>
  <c r="GJ441" i="6"/>
  <c r="EQ115" i="6"/>
  <c r="GO115" i="6"/>
  <c r="GM286" i="6"/>
  <c r="GO184" i="6"/>
  <c r="EQ45" i="6"/>
  <c r="GO45" i="6"/>
  <c r="GL247" i="6"/>
  <c r="GO179" i="6"/>
  <c r="ES63" i="6"/>
  <c r="GO250" i="6"/>
  <c r="GP418" i="6"/>
  <c r="GP243" i="6"/>
  <c r="GM300" i="6"/>
  <c r="GO464" i="6"/>
  <c r="EK104" i="6"/>
  <c r="EI104" i="6"/>
  <c r="GI104" i="6"/>
  <c r="GJ371" i="6"/>
  <c r="GP382" i="6"/>
  <c r="EK113" i="6"/>
  <c r="EI113" i="6"/>
  <c r="GI113" i="6"/>
  <c r="EI306" i="6"/>
  <c r="GI306" i="6"/>
  <c r="EI433" i="6"/>
  <c r="GI433" i="6"/>
  <c r="GM384" i="6"/>
  <c r="GM356" i="6"/>
  <c r="GO321" i="6"/>
  <c r="ES42" i="6"/>
  <c r="GK259" i="6"/>
  <c r="GO367" i="6"/>
  <c r="GN485" i="6"/>
  <c r="EO107" i="6"/>
  <c r="GM107" i="6"/>
  <c r="GK335" i="6"/>
  <c r="GL348" i="6"/>
  <c r="GM488" i="6"/>
  <c r="Y317" i="8"/>
  <c r="W317" i="8"/>
  <c r="GP227" i="6"/>
  <c r="GO443" i="6"/>
  <c r="EQ166" i="6"/>
  <c r="GO166" i="6"/>
  <c r="Y322" i="8"/>
  <c r="W322" i="8"/>
  <c r="EI121" i="6"/>
  <c r="GM176" i="6"/>
  <c r="GN371" i="6"/>
  <c r="FT87" i="6"/>
  <c r="GA87" i="6"/>
  <c r="EK159" i="6"/>
  <c r="EI159" i="6"/>
  <c r="GI159" i="6"/>
  <c r="EM27" i="6"/>
  <c r="GK27" i="6"/>
  <c r="D11" i="10"/>
  <c r="EM93" i="6"/>
  <c r="FS93" i="6"/>
  <c r="GK93" i="6"/>
  <c r="GP269" i="6"/>
  <c r="GL456" i="6"/>
  <c r="GL249" i="6"/>
  <c r="EP41" i="6"/>
  <c r="GN41" i="6"/>
  <c r="GQ82" i="6"/>
  <c r="EP121" i="6"/>
  <c r="GN121" i="6"/>
  <c r="GN138" i="6"/>
  <c r="GM282" i="6"/>
  <c r="GP213" i="6"/>
  <c r="GP376" i="6"/>
  <c r="GJ471" i="6"/>
  <c r="EL101" i="6"/>
  <c r="GJ101" i="6"/>
  <c r="EQ169" i="6"/>
  <c r="GO169" i="6"/>
  <c r="AB298" i="8"/>
  <c r="GN483" i="6"/>
  <c r="GA149" i="6"/>
  <c r="FT149" i="6"/>
  <c r="GP203" i="6"/>
  <c r="GL372" i="6"/>
  <c r="EI47" i="6"/>
  <c r="EK47" i="6"/>
  <c r="GI47" i="6"/>
  <c r="ER35" i="6"/>
  <c r="GP35" i="6"/>
  <c r="GJ397" i="6"/>
  <c r="EI397" i="6"/>
  <c r="ER162" i="6"/>
  <c r="GP162" i="6"/>
  <c r="EQ86" i="6"/>
  <c r="GO86" i="6"/>
  <c r="GJ320" i="6"/>
  <c r="Y293" i="8"/>
  <c r="W293" i="8"/>
  <c r="GQ381" i="6"/>
  <c r="EK126" i="6"/>
  <c r="EI126" i="6"/>
  <c r="GI126" i="6"/>
  <c r="EL33" i="6"/>
  <c r="GJ33" i="6"/>
  <c r="GL426" i="6"/>
  <c r="GN439" i="6"/>
  <c r="EP149" i="6"/>
  <c r="GN149" i="6"/>
  <c r="GQ465" i="6"/>
  <c r="GL233" i="6"/>
  <c r="GM447" i="6"/>
  <c r="GN350" i="6"/>
  <c r="EI342" i="6"/>
  <c r="GI342" i="6"/>
  <c r="GM340" i="6"/>
  <c r="AB390" i="8"/>
  <c r="EI211" i="6"/>
  <c r="AB141" i="8"/>
  <c r="GL259" i="6"/>
  <c r="EX12" i="6"/>
  <c r="EZ12" i="6" s="1"/>
  <c r="EI261" i="6"/>
  <c r="GI261" i="6"/>
  <c r="EW74" i="6"/>
  <c r="Y311" i="8"/>
  <c r="W311" i="8"/>
  <c r="GQ60" i="6"/>
  <c r="EI441" i="6"/>
  <c r="GI441" i="6"/>
  <c r="GL363" i="6"/>
  <c r="AB103" i="8"/>
  <c r="GL248" i="6"/>
  <c r="W184" i="8"/>
  <c r="EI184" i="6"/>
  <c r="GI184" i="6"/>
  <c r="GO205" i="6"/>
  <c r="Z451" i="8"/>
  <c r="AB451" i="8" s="1"/>
  <c r="W451" i="8"/>
  <c r="GN250" i="6"/>
  <c r="EQ108" i="6"/>
  <c r="GO108" i="6"/>
  <c r="GP208" i="6"/>
  <c r="ES18" i="6"/>
  <c r="EX18" i="6"/>
  <c r="GL244" i="6"/>
  <c r="ER76" i="6"/>
  <c r="GP76" i="6"/>
  <c r="EI333" i="6"/>
  <c r="GI333" i="6"/>
  <c r="GM369" i="6"/>
  <c r="GL184" i="6"/>
  <c r="EP45" i="6"/>
  <c r="GN45" i="6"/>
  <c r="EI252" i="6"/>
  <c r="GI252" i="6"/>
  <c r="Y493" i="8"/>
  <c r="AB493" i="8" s="1"/>
  <c r="W493" i="8"/>
  <c r="W155" i="8"/>
  <c r="Y155" i="8"/>
  <c r="GJ464" i="6"/>
  <c r="FT143" i="6"/>
  <c r="GP205" i="6"/>
  <c r="EL114" i="6"/>
  <c r="GJ114" i="6"/>
  <c r="EQ96" i="6"/>
  <c r="GO96" i="6"/>
  <c r="FM160" i="6"/>
  <c r="GP179" i="6"/>
  <c r="GQ161" i="6"/>
  <c r="GP257" i="6"/>
  <c r="GN233" i="6"/>
  <c r="GN248" i="6"/>
  <c r="GJ269" i="6"/>
  <c r="Y528" i="8"/>
  <c r="AB528" i="8" s="1"/>
  <c r="W528" i="8"/>
  <c r="EQ123" i="6"/>
  <c r="GO123" i="6"/>
  <c r="GP250" i="6"/>
  <c r="GK456" i="6"/>
  <c r="W321" i="8"/>
  <c r="Y321" i="8"/>
  <c r="ER125" i="6"/>
  <c r="GP125" i="6"/>
  <c r="GO484" i="6"/>
  <c r="GP399" i="6"/>
  <c r="ER108" i="6"/>
  <c r="GP108" i="6"/>
  <c r="AB255" i="8"/>
  <c r="AB331" i="8"/>
  <c r="GJ380" i="6"/>
  <c r="GJ449" i="6"/>
  <c r="GJ473" i="6"/>
  <c r="AB377" i="8"/>
  <c r="GP185" i="6"/>
  <c r="W436" i="8"/>
  <c r="GK374" i="6"/>
  <c r="GP173" i="6"/>
  <c r="GA147" i="6"/>
  <c r="FT147" i="6"/>
  <c r="GO458" i="6"/>
  <c r="EW174" i="6"/>
  <c r="EQ73" i="6"/>
  <c r="GO73" i="6"/>
  <c r="BM55" i="5"/>
  <c r="BL55" i="5"/>
  <c r="GO124" i="6"/>
  <c r="FS182" i="6"/>
  <c r="GK182" i="6"/>
  <c r="GO294" i="6"/>
  <c r="FT96" i="6"/>
  <c r="GA96" i="6"/>
  <c r="ER168" i="6"/>
  <c r="GP168" i="6"/>
  <c r="GO296" i="6"/>
  <c r="GN408" i="6"/>
  <c r="GP102" i="6"/>
  <c r="EI218" i="6"/>
  <c r="GI218" i="6"/>
  <c r="GP441" i="6"/>
  <c r="GO467" i="6"/>
  <c r="GJ112" i="6"/>
  <c r="GL261" i="6"/>
  <c r="EI278" i="6"/>
  <c r="GI278" i="6"/>
  <c r="GL312" i="6"/>
  <c r="W428" i="8"/>
  <c r="Y428" i="8"/>
  <c r="AB428" i="8" s="1"/>
  <c r="GN309" i="6"/>
  <c r="AB184" i="8"/>
  <c r="GN216" i="6"/>
  <c r="ES16" i="6"/>
  <c r="EY16" i="6" s="1"/>
  <c r="EX16" i="6"/>
  <c r="AB169" i="8"/>
  <c r="FS192" i="6"/>
  <c r="GK192" i="6"/>
  <c r="GP333" i="6"/>
  <c r="GO369" i="6"/>
  <c r="AB87" i="8"/>
  <c r="GM270" i="6"/>
  <c r="AB269" i="8"/>
  <c r="GN184" i="6"/>
  <c r="EL45" i="6"/>
  <c r="GJ45" i="6"/>
  <c r="GJ419" i="6"/>
  <c r="GL436" i="6"/>
  <c r="GO335" i="6"/>
  <c r="W427" i="8"/>
  <c r="Y427" i="8"/>
  <c r="AB427" i="8" s="1"/>
  <c r="GK257" i="6"/>
  <c r="EQ101" i="6"/>
  <c r="GO101" i="6"/>
  <c r="GN420" i="6"/>
  <c r="EO114" i="6"/>
  <c r="GM114" i="6"/>
  <c r="ER96" i="6"/>
  <c r="GP96" i="6"/>
  <c r="GQ303" i="6"/>
  <c r="GR303" i="6" s="1"/>
  <c r="AB241" i="8"/>
  <c r="GO233" i="6"/>
  <c r="EI248" i="6"/>
  <c r="GI248" i="6"/>
  <c r="GL272" i="6"/>
  <c r="FT138" i="6"/>
  <c r="EL123" i="6"/>
  <c r="GJ123" i="6"/>
  <c r="EI19" i="6"/>
  <c r="EK19" i="6"/>
  <c r="GI19" i="6"/>
  <c r="GO383" i="6"/>
  <c r="GP484" i="6"/>
  <c r="GO387" i="6"/>
  <c r="GO353" i="6"/>
  <c r="GP449" i="6"/>
  <c r="EI279" i="6"/>
  <c r="GI279" i="6"/>
  <c r="GO473" i="6"/>
  <c r="GL447" i="6"/>
  <c r="AB436" i="8"/>
  <c r="EQ27" i="6"/>
  <c r="GO27" i="6"/>
  <c r="FT172" i="6"/>
  <c r="GA172" i="6"/>
  <c r="GO317" i="6"/>
  <c r="AK203" i="8"/>
  <c r="W203" i="8"/>
  <c r="Y203" i="8"/>
  <c r="Y222" i="8"/>
  <c r="W222" i="8"/>
  <c r="AK222" i="8"/>
  <c r="GL353" i="6"/>
  <c r="EP70" i="6"/>
  <c r="GN70" i="6"/>
  <c r="ER138" i="6"/>
  <c r="GP138" i="6"/>
  <c r="GN494" i="6"/>
  <c r="EQ23" i="6"/>
  <c r="GO23" i="6"/>
  <c r="FS179" i="6"/>
  <c r="GK179" i="6"/>
  <c r="EX74" i="6"/>
  <c r="GK248" i="6"/>
  <c r="GL282" i="6"/>
  <c r="EK101" i="6"/>
  <c r="EI101" i="6"/>
  <c r="GI101" i="6"/>
  <c r="GP281" i="6"/>
  <c r="ES89" i="6"/>
  <c r="GP256" i="6"/>
  <c r="GO182" i="6"/>
  <c r="GN238" i="6"/>
  <c r="GM203" i="6"/>
  <c r="GP231" i="6"/>
  <c r="W176" i="8"/>
  <c r="Y176" i="8"/>
  <c r="EQ35" i="6"/>
  <c r="GO35" i="6"/>
  <c r="EM47" i="6"/>
  <c r="GK47" i="6"/>
  <c r="GQ311" i="6"/>
  <c r="EP37" i="6"/>
  <c r="GN37" i="6"/>
  <c r="EM33" i="6"/>
  <c r="GK33" i="6"/>
  <c r="GM158" i="6"/>
  <c r="FC111" i="6"/>
  <c r="EL111" i="6" s="1"/>
  <c r="GJ111" i="6"/>
  <c r="GP415" i="6"/>
  <c r="GK481" i="6"/>
  <c r="GM342" i="6"/>
  <c r="GQ88" i="6"/>
  <c r="EP86" i="6"/>
  <c r="GN86" i="6"/>
  <c r="EQ126" i="6"/>
  <c r="GO126" i="6"/>
  <c r="HA46" i="6"/>
  <c r="GM456" i="6"/>
  <c r="EL152" i="6"/>
  <c r="GJ152" i="6"/>
  <c r="GQ225" i="6"/>
  <c r="EO101" i="6"/>
  <c r="GM101" i="6"/>
  <c r="GJ270" i="6"/>
  <c r="GP458" i="6"/>
  <c r="EL151" i="6"/>
  <c r="GJ151" i="6"/>
  <c r="EL73" i="6"/>
  <c r="GJ73" i="6"/>
  <c r="GJ124" i="6"/>
  <c r="EK144" i="6"/>
  <c r="EI144" i="6"/>
  <c r="GI144" i="6"/>
  <c r="GL344" i="6"/>
  <c r="GO478" i="6"/>
  <c r="GO402" i="6"/>
  <c r="GK448" i="6"/>
  <c r="EI294" i="6"/>
  <c r="GI294" i="6"/>
  <c r="EW96" i="6"/>
  <c r="EI296" i="6"/>
  <c r="GI296" i="6"/>
  <c r="GP408" i="6"/>
  <c r="EX52" i="6"/>
  <c r="GO445" i="6"/>
  <c r="GO251" i="6"/>
  <c r="GP218" i="6"/>
  <c r="GP467" i="6"/>
  <c r="GN112" i="6"/>
  <c r="GM261" i="6"/>
  <c r="GL278" i="6"/>
  <c r="GN313" i="6"/>
  <c r="GR143" i="6"/>
  <c r="CF152" i="5"/>
  <c r="CG152" i="5" s="1"/>
  <c r="GM216" i="6"/>
  <c r="AB142" i="8"/>
  <c r="EI369" i="6"/>
  <c r="GI369" i="6"/>
  <c r="GM184" i="6"/>
  <c r="EM45" i="6"/>
  <c r="GK45" i="6"/>
  <c r="GL208" i="6"/>
  <c r="GI436" i="6"/>
  <c r="EI436" i="6"/>
  <c r="EI335" i="6"/>
  <c r="GI335" i="6"/>
  <c r="W304" i="8"/>
  <c r="Y304" i="8"/>
  <c r="GM310" i="6"/>
  <c r="EQ69" i="6"/>
  <c r="GO69" i="6"/>
  <c r="GM275" i="6"/>
  <c r="GK426" i="6"/>
  <c r="EO122" i="6"/>
  <c r="GM122" i="6"/>
  <c r="GN342" i="6"/>
  <c r="ER114" i="6"/>
  <c r="GP114" i="6"/>
  <c r="GN329" i="6"/>
  <c r="GK350" i="6"/>
  <c r="GQ377" i="6"/>
  <c r="EI224" i="6"/>
  <c r="GI224" i="6"/>
  <c r="ES161" i="6"/>
  <c r="GP233" i="6"/>
  <c r="GP248" i="6"/>
  <c r="GQ236" i="6"/>
  <c r="Y384" i="8"/>
  <c r="W384" i="8"/>
  <c r="EW138" i="6"/>
  <c r="GA134" i="6"/>
  <c r="FT134" i="6"/>
  <c r="AB81" i="8"/>
  <c r="EI123" i="6"/>
  <c r="EK123" i="6"/>
  <c r="GI123" i="6"/>
  <c r="W375" i="8"/>
  <c r="Y375" i="8"/>
  <c r="EI484" i="6"/>
  <c r="GI484" i="6"/>
  <c r="AB132" i="8"/>
  <c r="EI208" i="6"/>
  <c r="GI208" i="6"/>
  <c r="EI383" i="6"/>
  <c r="GI383" i="6"/>
  <c r="GO255" i="6"/>
  <c r="AB148" i="8"/>
  <c r="EI474" i="6"/>
  <c r="GI474" i="6"/>
  <c r="GN218" i="6"/>
  <c r="GJ317" i="6"/>
  <c r="EI473" i="6"/>
  <c r="GI473" i="6"/>
  <c r="EI447" i="6"/>
  <c r="GI447" i="6"/>
  <c r="W213" i="8"/>
  <c r="GL251" i="6"/>
  <c r="GQ264" i="6"/>
  <c r="GP112" i="6"/>
  <c r="GO261" i="6"/>
  <c r="AB245" i="8"/>
  <c r="GP278" i="6"/>
  <c r="EI428" i="6"/>
  <c r="GI428" i="6"/>
  <c r="GO320" i="6"/>
  <c r="GK312" i="6"/>
  <c r="GP216" i="6"/>
  <c r="GJ447" i="6"/>
  <c r="GO394" i="6"/>
  <c r="GK397" i="6"/>
  <c r="GP369" i="6"/>
  <c r="GL240" i="6"/>
  <c r="GP184" i="6"/>
  <c r="EO45" i="6"/>
  <c r="GM45" i="6"/>
  <c r="GQ235" i="6"/>
  <c r="GJ436" i="6"/>
  <c r="GP335" i="6"/>
  <c r="EO69" i="6"/>
  <c r="GM69" i="6"/>
  <c r="Y498" i="8"/>
  <c r="AB498" i="8" s="1"/>
  <c r="W498" i="8"/>
  <c r="GO409" i="6"/>
  <c r="EL122" i="6"/>
  <c r="GJ122" i="6"/>
  <c r="EI259" i="6"/>
  <c r="GI259" i="6"/>
  <c r="GN403" i="6"/>
  <c r="GQ134" i="6"/>
  <c r="G5" i="10"/>
  <c r="FS123" i="6"/>
  <c r="EM123" i="6"/>
  <c r="GK123" i="6"/>
  <c r="GM453" i="6"/>
  <c r="GA112" i="6"/>
  <c r="FT112" i="6"/>
  <c r="EQ120" i="6"/>
  <c r="GO120" i="6"/>
  <c r="GJ383" i="6"/>
  <c r="GM255" i="6"/>
  <c r="GM185" i="6"/>
  <c r="Y417" i="8"/>
  <c r="AB417" i="8" s="1"/>
  <c r="W417" i="8"/>
  <c r="EW50" i="6"/>
  <c r="GP473" i="6"/>
  <c r="GN447" i="6"/>
  <c r="EI374" i="6"/>
  <c r="AB213" i="8"/>
  <c r="ER73" i="6"/>
  <c r="GP73" i="6"/>
  <c r="GJ363" i="6"/>
  <c r="GM246" i="6"/>
  <c r="EO105" i="6"/>
  <c r="GM105" i="6"/>
  <c r="GJ177" i="6"/>
  <c r="GO301" i="6"/>
  <c r="GO448" i="6"/>
  <c r="EP97" i="6"/>
  <c r="GN97" i="6"/>
  <c r="GJ396" i="6"/>
  <c r="GJ202" i="6"/>
  <c r="EI347" i="6"/>
  <c r="GI347" i="6"/>
  <c r="GP252" i="6"/>
  <c r="GM445" i="6"/>
  <c r="GJ251" i="6"/>
  <c r="GO229" i="6"/>
  <c r="GJ209" i="6"/>
  <c r="GP261" i="6"/>
  <c r="GL468" i="6"/>
  <c r="GL494" i="6"/>
  <c r="EX50" i="6"/>
  <c r="GO421" i="6"/>
  <c r="GO428" i="6"/>
  <c r="GM189" i="6"/>
  <c r="AB179" i="8"/>
  <c r="AC179" i="8" s="1"/>
  <c r="W261" i="8"/>
  <c r="AK261" i="8"/>
  <c r="Y261" i="8"/>
  <c r="FS185" i="6"/>
  <c r="GK185" i="6"/>
  <c r="GL275" i="6"/>
  <c r="EI394" i="6"/>
  <c r="GI394" i="6"/>
  <c r="GO288" i="6"/>
  <c r="ER45" i="6"/>
  <c r="GP45" i="6"/>
  <c r="GM116" i="6"/>
  <c r="Y479" i="8"/>
  <c r="AB479" i="8" s="1"/>
  <c r="W479" i="8"/>
  <c r="GP436" i="6"/>
  <c r="GN426" i="6"/>
  <c r="EI25" i="6"/>
  <c r="EK25" i="6"/>
  <c r="GI25" i="6"/>
  <c r="EL69" i="6"/>
  <c r="GJ69" i="6"/>
  <c r="GP409" i="6"/>
  <c r="EP122" i="6"/>
  <c r="GN122" i="6"/>
  <c r="GJ283" i="6"/>
  <c r="EL166" i="6"/>
  <c r="GJ166" i="6"/>
  <c r="GJ403" i="6"/>
  <c r="EO157" i="6"/>
  <c r="GM157" i="6"/>
  <c r="ER123" i="6"/>
  <c r="GP123" i="6"/>
  <c r="GJ347" i="6"/>
  <c r="W376" i="8"/>
  <c r="Y376" i="8"/>
  <c r="GL383" i="6"/>
  <c r="GP255" i="6"/>
  <c r="EL48" i="6"/>
  <c r="GJ48" i="6"/>
  <c r="Y342" i="8"/>
  <c r="W342" i="8"/>
  <c r="GO447" i="6"/>
  <c r="AB481" i="8"/>
  <c r="GA151" i="6"/>
  <c r="FT151" i="6"/>
  <c r="EI445" i="6"/>
  <c r="GI445" i="6"/>
  <c r="GP251" i="6"/>
  <c r="EL164" i="6"/>
  <c r="GJ164" i="6"/>
  <c r="GL395" i="6"/>
  <c r="GJ369" i="6"/>
  <c r="F14" i="10"/>
  <c r="EM120" i="6"/>
  <c r="FS120" i="6"/>
  <c r="GK120" i="6"/>
  <c r="W208" i="8"/>
  <c r="AK208" i="8"/>
  <c r="Y208" i="8"/>
  <c r="GP428" i="6"/>
  <c r="EI189" i="6"/>
  <c r="GI189" i="6"/>
  <c r="EI312" i="6"/>
  <c r="GI312" i="6"/>
  <c r="W496" i="8"/>
  <c r="Y496" i="8"/>
  <c r="AB496" i="8" s="1"/>
  <c r="Y429" i="8"/>
  <c r="AB429" i="8" s="1"/>
  <c r="W429" i="8"/>
  <c r="AB333" i="8"/>
  <c r="GP394" i="6"/>
  <c r="GO240" i="6"/>
  <c r="GL399" i="6"/>
  <c r="F10" i="10"/>
  <c r="FS116" i="6"/>
  <c r="GK116" i="6"/>
  <c r="W272" i="8"/>
  <c r="Y272" i="8"/>
  <c r="AK272" i="8"/>
  <c r="GJ309" i="6"/>
  <c r="EO96" i="6"/>
  <c r="GM96" i="6"/>
  <c r="EI69" i="6"/>
  <c r="EK69" i="6"/>
  <c r="GI69" i="6"/>
  <c r="GO308" i="6"/>
  <c r="GL416" i="6"/>
  <c r="GN176" i="6"/>
  <c r="EQ122" i="6"/>
  <c r="GO122" i="6"/>
  <c r="GJ410" i="6"/>
  <c r="GK494" i="6"/>
  <c r="GN204" i="6"/>
  <c r="GO403" i="6"/>
  <c r="EL157" i="6"/>
  <c r="GJ157" i="6"/>
  <c r="GM199" i="6"/>
  <c r="ES134" i="6"/>
  <c r="ES87" i="6"/>
  <c r="AB71" i="8"/>
  <c r="GN375" i="6"/>
  <c r="EI255" i="6"/>
  <c r="GI255" i="6"/>
  <c r="FM154" i="6"/>
  <c r="EI475" i="6"/>
  <c r="GI475" i="6"/>
  <c r="EL120" i="6"/>
  <c r="GJ120" i="6"/>
  <c r="GP383" i="6"/>
  <c r="GN208" i="6"/>
  <c r="EI353" i="6"/>
  <c r="GI353" i="6"/>
  <c r="EW154" i="6"/>
  <c r="AB199" i="8"/>
  <c r="EP48" i="6"/>
  <c r="GN48" i="6"/>
  <c r="GP447" i="6"/>
  <c r="W481" i="8"/>
  <c r="W229" i="8"/>
  <c r="FM151" i="6"/>
  <c r="AB221" i="8"/>
  <c r="Y312" i="8"/>
  <c r="W312" i="8"/>
  <c r="AB303" i="8"/>
  <c r="Y372" i="8"/>
  <c r="W372" i="8"/>
  <c r="GL177" i="6"/>
  <c r="GP301" i="6"/>
  <c r="GK420" i="6"/>
  <c r="Y459" i="8"/>
  <c r="AB459" i="8" s="1"/>
  <c r="W459" i="8"/>
  <c r="GO374" i="6"/>
  <c r="GN345" i="6"/>
  <c r="GM347" i="6"/>
  <c r="GJ233" i="6"/>
  <c r="EQ17" i="6"/>
  <c r="GO17" i="6"/>
  <c r="EX170" i="6"/>
  <c r="EI251" i="6"/>
  <c r="GI251" i="6"/>
  <c r="GP445" i="6"/>
  <c r="EI195" i="6"/>
  <c r="GI195" i="6"/>
  <c r="GN395" i="6"/>
  <c r="GJ333" i="6"/>
  <c r="GM206" i="6"/>
  <c r="GM327" i="6"/>
  <c r="EI315" i="6"/>
  <c r="GI315" i="6"/>
  <c r="GO189" i="6"/>
  <c r="GP312" i="6"/>
  <c r="GJ364" i="6"/>
  <c r="GL326" i="6"/>
  <c r="W181" i="8"/>
  <c r="Y181" i="8"/>
  <c r="EX61" i="6"/>
  <c r="EI240" i="6"/>
  <c r="GI240" i="6"/>
  <c r="GJ494" i="6"/>
  <c r="GO215" i="6"/>
  <c r="AB218" i="8"/>
  <c r="GO116" i="6"/>
  <c r="Y167" i="8"/>
  <c r="W167" i="8"/>
  <c r="EL55" i="6"/>
  <c r="GJ55" i="6"/>
  <c r="B11" i="10"/>
  <c r="EM69" i="6"/>
  <c r="GK69" i="6"/>
  <c r="GJ313" i="6"/>
  <c r="GJ176" i="6"/>
  <c r="ER122" i="6"/>
  <c r="GP122" i="6"/>
  <c r="GP494" i="6"/>
  <c r="GQ328" i="6"/>
  <c r="GR328" i="6" s="1"/>
  <c r="EI212" i="6"/>
  <c r="GI212" i="6"/>
  <c r="GN387" i="6"/>
  <c r="GJ204" i="6"/>
  <c r="EI403" i="6"/>
  <c r="GI403" i="6"/>
  <c r="EQ157" i="6"/>
  <c r="GO157" i="6"/>
  <c r="EI199" i="6"/>
  <c r="GI199" i="6"/>
  <c r="GM312" i="6"/>
  <c r="GJ286" i="6"/>
  <c r="GK279" i="6"/>
  <c r="EK120" i="6"/>
  <c r="EI120" i="6"/>
  <c r="GI120" i="6"/>
  <c r="EP15" i="6"/>
  <c r="GN15" i="6"/>
  <c r="GN489" i="6"/>
  <c r="EI207" i="6"/>
  <c r="GI207" i="6"/>
  <c r="EI286" i="6"/>
  <c r="GP353" i="6"/>
  <c r="Y532" i="8"/>
  <c r="AB532" i="8" s="1"/>
  <c r="W532" i="8"/>
  <c r="GJ445" i="6"/>
  <c r="EK48" i="6"/>
  <c r="EI48" i="6"/>
  <c r="GI48" i="6"/>
  <c r="GO350" i="6"/>
  <c r="GO302" i="6"/>
  <c r="GO395" i="6"/>
  <c r="Y525" i="8"/>
  <c r="AB525" i="8" s="1"/>
  <c r="W525" i="8"/>
  <c r="GM411" i="6"/>
  <c r="EN167" i="6"/>
  <c r="GL167" i="6"/>
  <c r="EI112" i="6"/>
  <c r="GO427" i="6"/>
  <c r="EQ55" i="6"/>
  <c r="GO55" i="6"/>
  <c r="EI362" i="6"/>
  <c r="GI362" i="6"/>
  <c r="ER69" i="6"/>
  <c r="GP69" i="6"/>
  <c r="Y354" i="8"/>
  <c r="W354" i="8"/>
  <c r="EL137" i="6"/>
  <c r="GJ137" i="6"/>
  <c r="GL461" i="6"/>
  <c r="GJ462" i="6"/>
  <c r="EI387" i="6"/>
  <c r="GI387" i="6"/>
  <c r="GP204" i="6"/>
  <c r="GL403" i="6"/>
  <c r="EI157" i="6"/>
  <c r="EK157" i="6"/>
  <c r="GI157" i="6"/>
  <c r="GP199" i="6"/>
  <c r="EI15" i="6"/>
  <c r="EK15" i="6"/>
  <c r="GI15" i="6"/>
  <c r="GL380" i="6"/>
  <c r="GO281" i="6"/>
  <c r="GN286" i="6"/>
  <c r="FT154" i="6"/>
  <c r="GA154" i="6"/>
  <c r="AB337" i="8"/>
  <c r="EO120" i="6"/>
  <c r="GM120" i="6"/>
  <c r="EQ15" i="6"/>
  <c r="GO15" i="6"/>
  <c r="EW80" i="6"/>
  <c r="EY80" i="6" s="1"/>
  <c r="EM48" i="6"/>
  <c r="GK48" i="6"/>
  <c r="GJ350" i="6"/>
  <c r="AB229" i="8"/>
  <c r="EI269" i="6"/>
  <c r="GO331" i="6"/>
  <c r="Y432" i="8"/>
  <c r="AB432" i="8" s="1"/>
  <c r="W432" i="8"/>
  <c r="FS194" i="6"/>
  <c r="GK194" i="6"/>
  <c r="GN466" i="6"/>
  <c r="GP374" i="6"/>
  <c r="GL345" i="6"/>
  <c r="GP347" i="6"/>
  <c r="FS195" i="6"/>
  <c r="GK195" i="6"/>
  <c r="GN212" i="6"/>
  <c r="EM17" i="6"/>
  <c r="GK17" i="6"/>
  <c r="GQ457" i="6"/>
  <c r="EL144" i="6"/>
  <c r="GJ144" i="6"/>
  <c r="GK299" i="6"/>
  <c r="GQ141" i="6"/>
  <c r="GP189" i="6"/>
  <c r="W277" i="8"/>
  <c r="AK277" i="8"/>
  <c r="Y277" i="8"/>
  <c r="GQ239" i="6"/>
  <c r="GO364" i="6"/>
  <c r="EI326" i="6"/>
  <c r="GI326" i="6"/>
  <c r="EL163" i="6"/>
  <c r="GJ163" i="6"/>
  <c r="GP240" i="6"/>
  <c r="GL487" i="6"/>
  <c r="GP215" i="6"/>
  <c r="GM196" i="6"/>
  <c r="AB209" i="8"/>
  <c r="GO176" i="6"/>
  <c r="GK276" i="6"/>
  <c r="GY38" i="6"/>
  <c r="GM178" i="6"/>
  <c r="GM313" i="6"/>
  <c r="GO373" i="6"/>
  <c r="F7" i="10"/>
  <c r="FS113" i="6"/>
  <c r="EM113" i="6"/>
  <c r="GK113" i="6"/>
  <c r="GM354" i="6"/>
  <c r="GP489" i="6"/>
  <c r="GJ201" i="6"/>
  <c r="EP95" i="6"/>
  <c r="GN95" i="6"/>
  <c r="FM170" i="6"/>
  <c r="GJ357" i="6"/>
  <c r="GN271" i="6"/>
  <c r="GO219" i="6"/>
  <c r="ER145" i="6"/>
  <c r="GP145" i="6"/>
  <c r="GA144" i="6"/>
  <c r="FT144" i="6"/>
  <c r="AB196" i="8"/>
  <c r="GL310" i="6"/>
  <c r="ER93" i="6"/>
  <c r="GP93" i="6"/>
  <c r="GL475" i="6"/>
  <c r="GM268" i="6"/>
  <c r="EL41" i="6"/>
  <c r="GJ41" i="6"/>
  <c r="Y310" i="8"/>
  <c r="W310" i="8"/>
  <c r="GN268" i="6"/>
  <c r="GJ332" i="6"/>
  <c r="GJ238" i="6"/>
  <c r="EI300" i="6"/>
  <c r="GI300" i="6"/>
  <c r="GM389" i="6"/>
  <c r="Y551" i="8"/>
  <c r="AB551" i="8" s="1"/>
  <c r="W551" i="8"/>
  <c r="GK366" i="6"/>
  <c r="FS215" i="6"/>
  <c r="GK215" i="6"/>
  <c r="EI366" i="6"/>
  <c r="GI366" i="6"/>
  <c r="FT156" i="6"/>
  <c r="GA156" i="6"/>
  <c r="GQ429" i="6"/>
  <c r="EI181" i="6"/>
  <c r="GI181" i="6"/>
  <c r="EI169" i="6"/>
  <c r="GI169" i="6"/>
  <c r="GP280" i="6"/>
  <c r="GP228" i="6"/>
  <c r="Y147" i="8"/>
  <c r="W147" i="8"/>
  <c r="EI153" i="6"/>
  <c r="GI153" i="6"/>
  <c r="EK81" i="6"/>
  <c r="EI81" i="6"/>
  <c r="GI81" i="6"/>
  <c r="GL442" i="6"/>
  <c r="AK244" i="8"/>
  <c r="Y244" i="8"/>
  <c r="W244" i="8"/>
  <c r="GO372" i="6"/>
  <c r="GK444" i="6"/>
  <c r="EN162" i="6"/>
  <c r="EW162" i="6" s="1"/>
  <c r="GL162" i="6"/>
  <c r="FG117" i="6"/>
  <c r="EP117" i="6" s="1"/>
  <c r="GN117" i="6"/>
  <c r="GQ106" i="6"/>
  <c r="EL156" i="6"/>
  <c r="GJ156" i="6"/>
  <c r="FT106" i="6"/>
  <c r="GA106" i="6"/>
  <c r="GP476" i="6"/>
  <c r="GO442" i="6"/>
  <c r="EI234" i="6"/>
  <c r="GI234" i="6"/>
  <c r="GL471" i="6"/>
  <c r="GN410" i="6"/>
  <c r="E14" i="10"/>
  <c r="FS108" i="6"/>
  <c r="EM108" i="6"/>
  <c r="GK108" i="6"/>
  <c r="EL100" i="6"/>
  <c r="GJ100" i="6"/>
  <c r="EX146" i="6"/>
  <c r="GO299" i="6"/>
  <c r="EP29" i="6"/>
  <c r="GN29" i="6"/>
  <c r="EI352" i="6"/>
  <c r="GI352" i="6"/>
  <c r="AB402" i="8"/>
  <c r="EL110" i="6"/>
  <c r="GJ110" i="6"/>
  <c r="GM468" i="6"/>
  <c r="GL302" i="6"/>
  <c r="GP177" i="6"/>
  <c r="GL411" i="6"/>
  <c r="GK375" i="6"/>
  <c r="AB177" i="8"/>
  <c r="GJ289" i="6"/>
  <c r="GP345" i="6"/>
  <c r="EI308" i="6"/>
  <c r="GI308" i="6"/>
  <c r="EL17" i="6"/>
  <c r="GJ17" i="6"/>
  <c r="W226" i="8"/>
  <c r="GQ454" i="6"/>
  <c r="GP395" i="6"/>
  <c r="ER144" i="6"/>
  <c r="GP144" i="6"/>
  <c r="GL332" i="6"/>
  <c r="EI45" i="6"/>
  <c r="EK45" i="6"/>
  <c r="GI45" i="6"/>
  <c r="EK167" i="6"/>
  <c r="EI167" i="6"/>
  <c r="GI167" i="6"/>
  <c r="EK137" i="6"/>
  <c r="EI137" i="6"/>
  <c r="GI137" i="6"/>
  <c r="Y330" i="8"/>
  <c r="W330" i="8"/>
  <c r="EI364" i="6"/>
  <c r="GI364" i="6"/>
  <c r="GP326" i="6"/>
  <c r="EO163" i="6"/>
  <c r="GM163" i="6"/>
  <c r="GJ443" i="6"/>
  <c r="EP96" i="6"/>
  <c r="GN96" i="6"/>
  <c r="GN358" i="6"/>
  <c r="GM257" i="6"/>
  <c r="GP427" i="6"/>
  <c r="EL116" i="6"/>
  <c r="GJ116" i="6"/>
  <c r="GJ196" i="6"/>
  <c r="EO55" i="6"/>
  <c r="GM55" i="6"/>
  <c r="GJ362" i="6"/>
  <c r="EI358" i="6"/>
  <c r="GI358" i="6"/>
  <c r="GJ255" i="6"/>
  <c r="GN446" i="6"/>
  <c r="EI176" i="6"/>
  <c r="GI176" i="6"/>
  <c r="GK491" i="6"/>
  <c r="EI275" i="6"/>
  <c r="GI275" i="6"/>
  <c r="EW171" i="6"/>
  <c r="GK268" i="6"/>
  <c r="EI420" i="6"/>
  <c r="GI420" i="6"/>
  <c r="GO461" i="6"/>
  <c r="GL462" i="6"/>
  <c r="GL387" i="6"/>
  <c r="Y152" i="8"/>
  <c r="W152" i="8"/>
  <c r="GP403" i="6"/>
  <c r="EP157" i="6"/>
  <c r="GN157" i="6"/>
  <c r="GL199" i="6"/>
  <c r="Y511" i="8"/>
  <c r="AB511" i="8" s="1"/>
  <c r="W511" i="8"/>
  <c r="GN173" i="6"/>
  <c r="GL286" i="6"/>
  <c r="GK487" i="6"/>
  <c r="GJ353" i="6"/>
  <c r="GO282" i="6"/>
  <c r="ER120" i="6"/>
  <c r="GP120" i="6"/>
  <c r="EL15" i="6"/>
  <c r="GJ15" i="6"/>
  <c r="EP13" i="6"/>
  <c r="GN13" i="6"/>
  <c r="Y458" i="8"/>
  <c r="AB458" i="8" s="1"/>
  <c r="W458" i="8"/>
  <c r="EO48" i="6"/>
  <c r="GM48" i="6"/>
  <c r="GL350" i="6"/>
  <c r="GQ359" i="6"/>
  <c r="EI464" i="6"/>
  <c r="AB220" i="8"/>
  <c r="AB129" i="8"/>
  <c r="FT152" i="6"/>
  <c r="GA152" i="6"/>
  <c r="W476" i="8"/>
  <c r="EQ110" i="6"/>
  <c r="GO110" i="6"/>
  <c r="ER151" i="6"/>
  <c r="GP151" i="6"/>
  <c r="EI177" i="6"/>
  <c r="GI177" i="6"/>
  <c r="GJ420" i="6"/>
  <c r="GL178" i="6"/>
  <c r="EI322" i="6"/>
  <c r="GI322" i="6"/>
  <c r="AB341" i="8"/>
  <c r="GN373" i="6"/>
  <c r="EO113" i="6"/>
  <c r="GM113" i="6"/>
  <c r="GP354" i="6"/>
  <c r="GP201" i="6"/>
  <c r="EL95" i="6"/>
  <c r="GJ95" i="6"/>
  <c r="FT170" i="6"/>
  <c r="GA170" i="6"/>
  <c r="ES170" i="6"/>
  <c r="GO271" i="6"/>
  <c r="GO334" i="6"/>
  <c r="GJ219" i="6"/>
  <c r="EI400" i="6"/>
  <c r="GI400" i="6"/>
  <c r="GK434" i="6"/>
  <c r="GP310" i="6"/>
  <c r="EI416" i="6"/>
  <c r="GI416" i="6"/>
  <c r="AB247" i="8"/>
  <c r="Y248" i="8"/>
  <c r="W248" i="8"/>
  <c r="AK248" i="8"/>
  <c r="EM41" i="6"/>
  <c r="GK41" i="6"/>
  <c r="EL56" i="6"/>
  <c r="GJ56" i="6"/>
  <c r="GL268" i="6"/>
  <c r="GM215" i="6"/>
  <c r="GN274" i="6"/>
  <c r="GP300" i="6"/>
  <c r="GO279" i="6"/>
  <c r="Y408" i="8"/>
  <c r="AB408" i="8" s="1"/>
  <c r="W408" i="8"/>
  <c r="EK94" i="6"/>
  <c r="EI94" i="6"/>
  <c r="GI94" i="6"/>
  <c r="EI391" i="6"/>
  <c r="GI391" i="6"/>
  <c r="GM444" i="6"/>
  <c r="GL339" i="6"/>
  <c r="GP366" i="6"/>
  <c r="BL39" i="5"/>
  <c r="BM39" i="5"/>
  <c r="GN228" i="6"/>
  <c r="ER169" i="6"/>
  <c r="GP169" i="6"/>
  <c r="Y59" i="8"/>
  <c r="AB59" i="8" s="1"/>
  <c r="W59" i="8"/>
  <c r="GK277" i="6"/>
  <c r="GO469" i="6"/>
  <c r="GP372" i="6"/>
  <c r="GL444" i="6"/>
  <c r="EP162" i="6"/>
  <c r="GN162" i="6"/>
  <c r="Y484" i="8"/>
  <c r="AB484" i="8" s="1"/>
  <c r="W484" i="8"/>
  <c r="GJ358" i="6"/>
  <c r="BL29" i="5"/>
  <c r="BM29" i="5"/>
  <c r="EK156" i="6"/>
  <c r="EI156" i="6"/>
  <c r="GI156" i="6"/>
  <c r="EI442" i="6"/>
  <c r="GI442" i="6"/>
  <c r="GP234" i="6"/>
  <c r="EI478" i="6"/>
  <c r="GP410" i="6"/>
  <c r="EI456" i="6"/>
  <c r="GI456" i="6"/>
  <c r="EP100" i="6"/>
  <c r="GN100" i="6"/>
  <c r="Y397" i="8"/>
  <c r="AB397" i="8" s="1"/>
  <c r="W397" i="8"/>
  <c r="GP299" i="6"/>
  <c r="EQ29" i="6"/>
  <c r="GO29" i="6"/>
  <c r="W380" i="8"/>
  <c r="Y380" i="8"/>
  <c r="GP352" i="6"/>
  <c r="F4" i="10"/>
  <c r="FS110" i="6"/>
  <c r="EM110" i="6"/>
  <c r="GK110" i="6"/>
  <c r="GL364" i="6"/>
  <c r="GP302" i="6"/>
  <c r="Y403" i="8"/>
  <c r="AB403" i="8" s="1"/>
  <c r="W403" i="8"/>
  <c r="GL448" i="6"/>
  <c r="GM227" i="6"/>
  <c r="AB278" i="8"/>
  <c r="GL327" i="6"/>
  <c r="G12" i="10"/>
  <c r="FS130" i="6"/>
  <c r="EM130" i="6"/>
  <c r="GK130" i="6"/>
  <c r="GP308" i="6"/>
  <c r="GL386" i="6"/>
  <c r="EX142" i="6"/>
  <c r="EO17" i="6"/>
  <c r="GM17" i="6"/>
  <c r="AB226" i="8"/>
  <c r="GK314" i="6"/>
  <c r="GL428" i="6"/>
  <c r="Y264" i="8"/>
  <c r="W264" i="8"/>
  <c r="AK264" i="8"/>
  <c r="EW64" i="6"/>
  <c r="GN192" i="6"/>
  <c r="GQ32" i="6"/>
  <c r="GT32" i="6" s="1"/>
  <c r="GK275" i="6"/>
  <c r="EL167" i="6"/>
  <c r="GJ167" i="6"/>
  <c r="EQ167" i="6"/>
  <c r="GO167" i="6"/>
  <c r="GP364" i="6"/>
  <c r="EP91" i="6"/>
  <c r="GN91" i="6"/>
  <c r="Q9" i="10"/>
  <c r="N9" i="10"/>
  <c r="M9" i="10"/>
  <c r="L9" i="10"/>
  <c r="K9" i="10"/>
  <c r="J9" i="10"/>
  <c r="O9" i="10"/>
  <c r="P9" i="10"/>
  <c r="EM163" i="6"/>
  <c r="FL163" i="6"/>
  <c r="FS163" i="6"/>
  <c r="GK163" i="6"/>
  <c r="EI116" i="6"/>
  <c r="GI116" i="6"/>
  <c r="EI196" i="6"/>
  <c r="GI196" i="6"/>
  <c r="EY30" i="6"/>
  <c r="EP55" i="6"/>
  <c r="GN55" i="6"/>
  <c r="GL362" i="6"/>
  <c r="GK358" i="6"/>
  <c r="GJ446" i="6"/>
  <c r="P11" i="10"/>
  <c r="Q11" i="10"/>
  <c r="O11" i="10"/>
  <c r="L11" i="10"/>
  <c r="K11" i="10"/>
  <c r="M11" i="10"/>
  <c r="N11" i="10"/>
  <c r="J11" i="10"/>
  <c r="FS165" i="6"/>
  <c r="EM165" i="6"/>
  <c r="FL165" i="6"/>
  <c r="GK165" i="6"/>
  <c r="GP176" i="6"/>
  <c r="GO392" i="6"/>
  <c r="EN165" i="6"/>
  <c r="GL165" i="6"/>
  <c r="GN186" i="6"/>
  <c r="GO275" i="6"/>
  <c r="GP420" i="6"/>
  <c r="GK461" i="6"/>
  <c r="GN462" i="6"/>
  <c r="GO480" i="6"/>
  <c r="GJ387" i="6"/>
  <c r="Y159" i="8"/>
  <c r="W159" i="8"/>
  <c r="GL305" i="6"/>
  <c r="ER157" i="6"/>
  <c r="GP157" i="6"/>
  <c r="G9" i="10"/>
  <c r="EM127" i="6"/>
  <c r="FS127" i="6"/>
  <c r="GK127" i="6"/>
  <c r="EP120" i="6"/>
  <c r="GN120" i="6"/>
  <c r="AB125" i="8"/>
  <c r="GP286" i="6"/>
  <c r="GM422" i="6"/>
  <c r="EI243" i="6"/>
  <c r="GI243" i="6"/>
  <c r="EM15" i="6"/>
  <c r="GK15" i="6"/>
  <c r="EQ13" i="6"/>
  <c r="GO13" i="6"/>
  <c r="GJ463" i="6"/>
  <c r="GO245" i="6"/>
  <c r="W144" i="8"/>
  <c r="ER48" i="6"/>
  <c r="GP48" i="6"/>
  <c r="GP350" i="6"/>
  <c r="EX87" i="6"/>
  <c r="AB476" i="8"/>
  <c r="GM388" i="6"/>
  <c r="GQ379" i="6"/>
  <c r="D13" i="10"/>
  <c r="EM95" i="6"/>
  <c r="GK95" i="6"/>
  <c r="FS95" i="6"/>
  <c r="EW51" i="6"/>
  <c r="GN407" i="6"/>
  <c r="EI271" i="6"/>
  <c r="GI271" i="6"/>
  <c r="EI334" i="6"/>
  <c r="GI334" i="6"/>
  <c r="GP219" i="6"/>
  <c r="GJ400" i="6"/>
  <c r="GM331" i="6"/>
  <c r="AB165" i="8"/>
  <c r="GJ417" i="6"/>
  <c r="GN416" i="6"/>
  <c r="EI375" i="6"/>
  <c r="GI375" i="6"/>
  <c r="AB187" i="8"/>
  <c r="EO41" i="6"/>
  <c r="GM41" i="6"/>
  <c r="W409" i="8"/>
  <c r="EQ56" i="6"/>
  <c r="GO56" i="6"/>
  <c r="GO268" i="6"/>
  <c r="GO263" i="6"/>
  <c r="GN147" i="6"/>
  <c r="EP147" i="6"/>
  <c r="BK87" i="5"/>
  <c r="GT78" i="6"/>
  <c r="GU78" i="6"/>
  <c r="HA78" i="6"/>
  <c r="GW78" i="6"/>
  <c r="GY78" i="6"/>
  <c r="GO444" i="6"/>
  <c r="EP94" i="6"/>
  <c r="GN94" i="6"/>
  <c r="EI372" i="6"/>
  <c r="GI372" i="6"/>
  <c r="GN339" i="6"/>
  <c r="GM201" i="6"/>
  <c r="EI244" i="6"/>
  <c r="GI244" i="6"/>
  <c r="Y251" i="8"/>
  <c r="AK251" i="8"/>
  <c r="W251" i="8"/>
  <c r="GJ476" i="6"/>
  <c r="EW79" i="6"/>
  <c r="GL488" i="6"/>
  <c r="GP469" i="6"/>
  <c r="GM222" i="6"/>
  <c r="GP444" i="6"/>
  <c r="EW172" i="6"/>
  <c r="GM162" i="6"/>
  <c r="EI393" i="6"/>
  <c r="GI393" i="6"/>
  <c r="ES106" i="6"/>
  <c r="GQ131" i="6"/>
  <c r="ER156" i="6"/>
  <c r="GP156" i="6"/>
  <c r="GP442" i="6"/>
  <c r="GO252" i="6"/>
  <c r="AB358" i="8"/>
  <c r="EQ100" i="6"/>
  <c r="GO100" i="6"/>
  <c r="EI392" i="6"/>
  <c r="GI392" i="6"/>
  <c r="EI185" i="6"/>
  <c r="GI185" i="6"/>
  <c r="EL29" i="6"/>
  <c r="GJ29" i="6"/>
  <c r="GM370" i="6"/>
  <c r="GO449" i="6"/>
  <c r="ER110" i="6"/>
  <c r="GP110" i="6"/>
  <c r="GL393" i="6"/>
  <c r="EI115" i="6"/>
  <c r="GI115" i="6"/>
  <c r="EI302" i="6"/>
  <c r="GI302" i="6"/>
  <c r="GM248" i="6"/>
  <c r="GJ229" i="6"/>
  <c r="W305" i="8"/>
  <c r="Y305" i="8"/>
  <c r="GO322" i="6"/>
  <c r="GM437" i="6"/>
  <c r="GM277" i="6"/>
  <c r="FS169" i="6"/>
  <c r="EM169" i="6"/>
  <c r="FL169" i="6"/>
  <c r="GK169" i="6"/>
  <c r="ER17" i="6"/>
  <c r="GP17" i="6"/>
  <c r="AB232" i="8"/>
  <c r="EO115" i="6"/>
  <c r="GM115" i="6"/>
  <c r="GK278" i="6"/>
  <c r="EI163" i="6"/>
  <c r="GI163" i="6"/>
  <c r="ER167" i="6"/>
  <c r="GP167" i="6"/>
  <c r="EX134" i="6"/>
  <c r="EP72" i="6"/>
  <c r="GN72" i="6"/>
  <c r="EN163" i="6"/>
  <c r="GL163" i="6"/>
  <c r="EW147" i="6"/>
  <c r="ER116" i="6"/>
  <c r="GP116" i="6"/>
  <c r="FS196" i="6"/>
  <c r="GK196" i="6"/>
  <c r="GJ247" i="6"/>
  <c r="EM55" i="6"/>
  <c r="GK55" i="6"/>
  <c r="GO362" i="6"/>
  <c r="GM365" i="6"/>
  <c r="GP358" i="6"/>
  <c r="GL483" i="6"/>
  <c r="EI293" i="6"/>
  <c r="GI293" i="6"/>
  <c r="EI446" i="6"/>
  <c r="GI446" i="6"/>
  <c r="EI230" i="6"/>
  <c r="GI230" i="6"/>
  <c r="GO309" i="6"/>
  <c r="GP275" i="6"/>
  <c r="GJ384" i="6"/>
  <c r="GN461" i="6"/>
  <c r="EQ140" i="6"/>
  <c r="GO140" i="6"/>
  <c r="EI462" i="6"/>
  <c r="GI462" i="6"/>
  <c r="GM480" i="6"/>
  <c r="GP387" i="6"/>
  <c r="FH135" i="6"/>
  <c r="EQ135" i="6" s="1"/>
  <c r="GO135" i="6"/>
  <c r="Y285" i="8"/>
  <c r="W285" i="8"/>
  <c r="GL432" i="6"/>
  <c r="EK108" i="6"/>
  <c r="EI108" i="6"/>
  <c r="GI108" i="6"/>
  <c r="GK232" i="6"/>
  <c r="EO15" i="6"/>
  <c r="GM15" i="6"/>
  <c r="EL13" i="6"/>
  <c r="GJ13" i="6"/>
  <c r="EI257" i="6"/>
  <c r="GI257" i="6"/>
  <c r="AB144" i="8"/>
  <c r="W89" i="8"/>
  <c r="EX32" i="6"/>
  <c r="EZ32" i="6" s="1"/>
  <c r="AB518" i="8"/>
  <c r="W358" i="8"/>
  <c r="AB262" i="8"/>
  <c r="EO100" i="6"/>
  <c r="GM100" i="6"/>
  <c r="Y215" i="8"/>
  <c r="AK215" i="8"/>
  <c r="W215" i="8"/>
  <c r="GQ423" i="6"/>
  <c r="EM29" i="6"/>
  <c r="GK29" i="6"/>
  <c r="GM230" i="6"/>
  <c r="GJ340" i="6"/>
  <c r="EI490" i="6"/>
  <c r="GI490" i="6"/>
  <c r="AB281" i="8"/>
  <c r="GQ16" i="6"/>
  <c r="CF25" i="5" s="1"/>
  <c r="CG25" i="5" s="1"/>
  <c r="Y418" i="8"/>
  <c r="AB418" i="8" s="1"/>
  <c r="W418" i="8"/>
  <c r="EQ49" i="6"/>
  <c r="GO49" i="6"/>
  <c r="GL229" i="6"/>
  <c r="GJ418" i="6"/>
  <c r="EI164" i="6"/>
  <c r="EK164" i="6"/>
  <c r="GI164" i="6"/>
  <c r="EI437" i="6"/>
  <c r="GI437" i="6"/>
  <c r="GJ307" i="6"/>
  <c r="EQ59" i="6"/>
  <c r="GO59" i="6"/>
  <c r="AB366" i="8"/>
  <c r="GL482" i="6"/>
  <c r="GO363" i="6"/>
  <c r="EP115" i="6"/>
  <c r="GN115" i="6"/>
  <c r="AB202" i="8"/>
  <c r="W463" i="8"/>
  <c r="Y463" i="8"/>
  <c r="AB463" i="8" s="1"/>
  <c r="FM157" i="6"/>
  <c r="EO84" i="6"/>
  <c r="GM84" i="6"/>
  <c r="EQ72" i="6"/>
  <c r="GO72" i="6"/>
  <c r="ER163" i="6"/>
  <c r="GP163" i="6"/>
  <c r="EI122" i="6"/>
  <c r="EI494" i="6"/>
  <c r="GQ61" i="6"/>
  <c r="GL196" i="6"/>
  <c r="GO247" i="6"/>
  <c r="ER55" i="6"/>
  <c r="GP55" i="6"/>
  <c r="GP362" i="6"/>
  <c r="EI365" i="6"/>
  <c r="GI365" i="6"/>
  <c r="GN200" i="6"/>
  <c r="Y410" i="8"/>
  <c r="AB410" i="8" s="1"/>
  <c r="W410" i="8"/>
  <c r="GP293" i="6"/>
  <c r="GO494" i="6"/>
  <c r="GJ339" i="6"/>
  <c r="GO446" i="6"/>
  <c r="W541" i="8"/>
  <c r="Y541" i="8"/>
  <c r="AB541" i="8" s="1"/>
  <c r="GN277" i="6"/>
  <c r="EI471" i="6"/>
  <c r="GI471" i="6"/>
  <c r="GN450" i="6"/>
  <c r="EP127" i="6"/>
  <c r="GN127" i="6"/>
  <c r="GP461" i="6"/>
  <c r="EL140" i="6"/>
  <c r="GJ140" i="6"/>
  <c r="GO462" i="6"/>
  <c r="GN480" i="6"/>
  <c r="GV80" i="6"/>
  <c r="H5" i="10"/>
  <c r="FD135" i="6"/>
  <c r="EM135" i="6" s="1"/>
  <c r="FS135" i="6"/>
  <c r="GK135" i="6"/>
  <c r="W316" i="8"/>
  <c r="Y316" i="8"/>
  <c r="GL481" i="6"/>
  <c r="GM309" i="6"/>
  <c r="GP422" i="6"/>
  <c r="EI245" i="6"/>
  <c r="GI245" i="6"/>
  <c r="GA139" i="6"/>
  <c r="FT139" i="6"/>
  <c r="EI449" i="6"/>
  <c r="GI449" i="6"/>
  <c r="ER15" i="6"/>
  <c r="GP15" i="6"/>
  <c r="EM13" i="6"/>
  <c r="GK13" i="6"/>
  <c r="AB70" i="8"/>
  <c r="GQ14" i="6"/>
  <c r="CF23" i="5" s="1"/>
  <c r="CG23" i="5" s="1"/>
  <c r="GL245" i="6"/>
  <c r="Y448" i="8"/>
  <c r="AB448" i="8" s="1"/>
  <c r="W448" i="8"/>
  <c r="AB89" i="8"/>
  <c r="EI56" i="6"/>
  <c r="W518" i="8"/>
  <c r="Y111" i="8"/>
  <c r="W111" i="8"/>
  <c r="GN354" i="6"/>
  <c r="EO104" i="6"/>
  <c r="GM104" i="6"/>
  <c r="EI363" i="6"/>
  <c r="GI363" i="6"/>
  <c r="GJ115" i="6"/>
  <c r="Y446" i="8"/>
  <c r="AB446" i="8" s="1"/>
  <c r="W446" i="8"/>
  <c r="AB371" i="8"/>
  <c r="GM470" i="6"/>
  <c r="FT157" i="6"/>
  <c r="GA157" i="6"/>
  <c r="C14" i="10"/>
  <c r="EM84" i="6"/>
  <c r="GK84" i="6"/>
  <c r="EX106" i="6"/>
  <c r="GJ212" i="6"/>
  <c r="EI395" i="6"/>
  <c r="EL72" i="6"/>
  <c r="GJ72" i="6"/>
  <c r="W516" i="8"/>
  <c r="GM272" i="6"/>
  <c r="GN392" i="6"/>
  <c r="GJ296" i="6"/>
  <c r="GN196" i="6"/>
  <c r="GM247" i="6"/>
  <c r="EI192" i="6"/>
  <c r="GI192" i="6"/>
  <c r="GL365" i="6"/>
  <c r="GO324" i="6"/>
  <c r="GP446" i="6"/>
  <c r="Y265" i="8"/>
  <c r="W265" i="8"/>
  <c r="AK265" i="8"/>
  <c r="FS227" i="6"/>
  <c r="GK227" i="6"/>
  <c r="GJ382" i="6"/>
  <c r="GN221" i="6"/>
  <c r="GP471" i="6"/>
  <c r="GJ185" i="6"/>
  <c r="GN307" i="6"/>
  <c r="GK462" i="6"/>
  <c r="EO140" i="6"/>
  <c r="GM140" i="6"/>
  <c r="GP462" i="6"/>
  <c r="EI480" i="6"/>
  <c r="GI480" i="6"/>
  <c r="GO277" i="6"/>
  <c r="EW161" i="6"/>
  <c r="FI135" i="6"/>
  <c r="ER135" i="6" s="1"/>
  <c r="GP135" i="6"/>
  <c r="EI485" i="6"/>
  <c r="GI485" i="6"/>
  <c r="EI481" i="6"/>
  <c r="GI481" i="6"/>
  <c r="AB326" i="8"/>
  <c r="GL470" i="6"/>
  <c r="EW139" i="6"/>
  <c r="EO13" i="6"/>
  <c r="GM13" i="6"/>
  <c r="EI354" i="6"/>
  <c r="GI354" i="6"/>
  <c r="GO450" i="6"/>
  <c r="GL453" i="6"/>
  <c r="GP245" i="6"/>
  <c r="W143" i="8"/>
  <c r="Y143" i="8"/>
  <c r="GQ24" i="6"/>
  <c r="CF33" i="5" s="1"/>
  <c r="CG33" i="5" s="1"/>
  <c r="GQ20" i="6"/>
  <c r="GU20" i="6" s="1"/>
  <c r="GO192" i="6"/>
  <c r="GJ365" i="6"/>
  <c r="GO200" i="6"/>
  <c r="AB335" i="8"/>
  <c r="GL324" i="6"/>
  <c r="GQ133" i="6"/>
  <c r="AB145" i="8"/>
  <c r="AK250" i="8"/>
  <c r="Y250" i="8"/>
  <c r="W250" i="8"/>
  <c r="GM481" i="6"/>
  <c r="EI221" i="6"/>
  <c r="GI221" i="6"/>
  <c r="EI307" i="6"/>
  <c r="GI307" i="6"/>
  <c r="EP140" i="6"/>
  <c r="GN140" i="6"/>
  <c r="GL480" i="6"/>
  <c r="GL277" i="6"/>
  <c r="EP25" i="6"/>
  <c r="GN25" i="6"/>
  <c r="EL103" i="6"/>
  <c r="GJ103" i="6"/>
  <c r="GK327" i="6"/>
  <c r="FS193" i="6"/>
  <c r="GK193" i="6"/>
  <c r="GP481" i="6"/>
  <c r="EI470" i="6"/>
  <c r="GI470" i="6"/>
  <c r="GM314" i="6"/>
  <c r="ER13" i="6"/>
  <c r="GP13" i="6"/>
  <c r="EP19" i="6"/>
  <c r="GN19" i="6"/>
  <c r="GL473" i="6"/>
  <c r="GM483" i="6"/>
  <c r="EW70" i="6"/>
  <c r="GN425" i="6"/>
  <c r="GJ262" i="6"/>
  <c r="EI95" i="6"/>
  <c r="EM49" i="6"/>
  <c r="GK49" i="6"/>
  <c r="GQ304" i="6"/>
  <c r="GR304" i="6" s="1"/>
  <c r="GN419" i="6"/>
  <c r="EQ92" i="6"/>
  <c r="GO92" i="6"/>
  <c r="EI389" i="6"/>
  <c r="GI389" i="6"/>
  <c r="GO346" i="6"/>
  <c r="GP202" i="6"/>
  <c r="ER59" i="6"/>
  <c r="GP59" i="6"/>
  <c r="GQ337" i="6"/>
  <c r="GR337" i="6" s="1"/>
  <c r="EQ104" i="6"/>
  <c r="GO104" i="6"/>
  <c r="GP363" i="6"/>
  <c r="ER115" i="6"/>
  <c r="GP115" i="6"/>
  <c r="AB391" i="8"/>
  <c r="AB86" i="8"/>
  <c r="EI479" i="6"/>
  <c r="GI479" i="6"/>
  <c r="EL84" i="6"/>
  <c r="GJ84" i="6"/>
  <c r="GQ198" i="6"/>
  <c r="AB442" i="8"/>
  <c r="EP69" i="6"/>
  <c r="GN69" i="6"/>
  <c r="EO72" i="6"/>
  <c r="GM72" i="6"/>
  <c r="GM315" i="6"/>
  <c r="GK380" i="6"/>
  <c r="GM432" i="6"/>
  <c r="GL313" i="6"/>
  <c r="GP247" i="6"/>
  <c r="GO488" i="6"/>
  <c r="GP192" i="6"/>
  <c r="GP365" i="6"/>
  <c r="GM200" i="6"/>
  <c r="EI324" i="6"/>
  <c r="GI324" i="6"/>
  <c r="GO285" i="6"/>
  <c r="ES133" i="6"/>
  <c r="GJ221" i="6"/>
  <c r="GO472" i="6"/>
  <c r="GL307" i="6"/>
  <c r="EI100" i="6"/>
  <c r="GI100" i="6"/>
  <c r="ER140" i="6"/>
  <c r="GP140" i="6"/>
  <c r="GP480" i="6"/>
  <c r="EI466" i="6"/>
  <c r="GI466" i="6"/>
  <c r="EI277" i="6"/>
  <c r="GI277" i="6"/>
  <c r="EQ25" i="6"/>
  <c r="GO25" i="6"/>
  <c r="GQ187" i="6"/>
  <c r="W523" i="8"/>
  <c r="Y523" i="8"/>
  <c r="AB523" i="8" s="1"/>
  <c r="E9" i="10"/>
  <c r="EM103" i="6"/>
  <c r="FS103" i="6"/>
  <c r="GK103" i="6"/>
  <c r="AB185" i="8"/>
  <c r="GN193" i="6"/>
  <c r="GQ298" i="6"/>
  <c r="GP470" i="6"/>
  <c r="AB126" i="8"/>
  <c r="GJ186" i="6"/>
  <c r="GL243" i="6"/>
  <c r="EQ19" i="6"/>
  <c r="GO19" i="6"/>
  <c r="EI216" i="6"/>
  <c r="GI216" i="6"/>
  <c r="EI309" i="6"/>
  <c r="GI309" i="6"/>
  <c r="W435" i="8"/>
  <c r="GP495" i="6"/>
  <c r="GL180" i="6"/>
  <c r="AB454" i="8"/>
  <c r="AB284" i="8"/>
  <c r="AB223" i="8"/>
  <c r="EX133" i="6"/>
  <c r="FI117" i="6"/>
  <c r="ER117" i="6" s="1"/>
  <c r="GP117" i="6"/>
  <c r="EI432" i="6"/>
  <c r="GI432" i="6"/>
  <c r="GJ314" i="6"/>
  <c r="EI29" i="6"/>
  <c r="EI439" i="6"/>
  <c r="GI439" i="6"/>
  <c r="EL149" i="6"/>
  <c r="GJ149" i="6"/>
  <c r="EK152" i="6"/>
  <c r="EI152" i="6"/>
  <c r="GI152" i="6"/>
  <c r="Y168" i="8"/>
  <c r="W168" i="8"/>
  <c r="GJ477" i="6"/>
  <c r="GO384" i="6"/>
  <c r="AB214" i="8"/>
  <c r="AB392" i="8"/>
  <c r="FT114" i="6"/>
  <c r="GA114" i="6"/>
  <c r="AB338" i="8"/>
  <c r="EL31" i="6"/>
  <c r="GJ31" i="6"/>
  <c r="GJ485" i="6"/>
  <c r="EI425" i="6"/>
  <c r="GI425" i="6"/>
  <c r="GJ181" i="6"/>
  <c r="EI262" i="6"/>
  <c r="GI262" i="6"/>
  <c r="GM383" i="6"/>
  <c r="EO49" i="6"/>
  <c r="GM49" i="6"/>
  <c r="EQ136" i="6"/>
  <c r="GO136" i="6"/>
  <c r="EI53" i="6"/>
  <c r="EK53" i="6"/>
  <c r="GI53" i="6"/>
  <c r="D10" i="10"/>
  <c r="FS92" i="6"/>
  <c r="EM92" i="6"/>
  <c r="GK92" i="6"/>
  <c r="GO389" i="6"/>
  <c r="GP346" i="6"/>
  <c r="GJ244" i="6"/>
  <c r="GN332" i="6"/>
  <c r="GJ480" i="6"/>
  <c r="Y453" i="8"/>
  <c r="AB453" i="8" s="1"/>
  <c r="W453" i="8"/>
  <c r="E10" i="10"/>
  <c r="EM104" i="6"/>
  <c r="FS104" i="6"/>
  <c r="GK104" i="6"/>
  <c r="GQ349" i="6"/>
  <c r="GM479" i="6"/>
  <c r="EY66" i="6"/>
  <c r="AB195" i="8"/>
  <c r="AB271" i="8"/>
  <c r="ER84" i="6"/>
  <c r="GP84" i="6"/>
  <c r="GL322" i="6"/>
  <c r="ER72" i="6"/>
  <c r="GP72" i="6"/>
  <c r="GN215" i="6"/>
  <c r="EY78" i="6"/>
  <c r="EI409" i="6"/>
  <c r="GP313" i="6"/>
  <c r="W378" i="8"/>
  <c r="Y378" i="8"/>
  <c r="GP200" i="6"/>
  <c r="GP324" i="6"/>
  <c r="EP130" i="6"/>
  <c r="GN130" i="6"/>
  <c r="EI285" i="6"/>
  <c r="GI285" i="6"/>
  <c r="GK471" i="6"/>
  <c r="EI430" i="6"/>
  <c r="GI430" i="6"/>
  <c r="EY68" i="6"/>
  <c r="GP221" i="6"/>
  <c r="GQ297" i="6"/>
  <c r="GR297" i="6" s="1"/>
  <c r="EI472" i="6"/>
  <c r="GI472" i="6"/>
  <c r="GK307" i="6"/>
  <c r="EK140" i="6"/>
  <c r="EI140" i="6"/>
  <c r="GI140" i="6"/>
  <c r="GO466" i="6"/>
  <c r="GP277" i="6"/>
  <c r="EL25" i="6"/>
  <c r="GJ25" i="6"/>
  <c r="EK125" i="6"/>
  <c r="EI125" i="6"/>
  <c r="GI125" i="6"/>
  <c r="EO103" i="6"/>
  <c r="GM103" i="6"/>
  <c r="GO193" i="6"/>
  <c r="EO97" i="6"/>
  <c r="GM97" i="6"/>
  <c r="GK410" i="6"/>
  <c r="GO243" i="6"/>
  <c r="EL19" i="6"/>
  <c r="GJ19" i="6"/>
  <c r="GJ208" i="6"/>
  <c r="GP309" i="6"/>
  <c r="W396" i="8"/>
  <c r="GQ30" i="6"/>
  <c r="AB435" i="8"/>
  <c r="W275" i="8"/>
  <c r="W510" i="8"/>
  <c r="GL422" i="6"/>
  <c r="W369" i="8"/>
  <c r="Y369" i="8"/>
  <c r="EI402" i="6"/>
  <c r="GL479" i="6"/>
  <c r="EX160" i="6"/>
  <c r="AB101" i="8"/>
  <c r="GO186" i="6"/>
  <c r="GK489" i="6"/>
  <c r="GL242" i="6"/>
  <c r="GL412" i="6"/>
  <c r="AB362" i="8"/>
  <c r="EI488" i="6"/>
  <c r="GI488" i="6"/>
  <c r="GM279" i="6"/>
  <c r="GJ321" i="6"/>
  <c r="GN285" i="6"/>
  <c r="GO354" i="6"/>
  <c r="EW122" i="6"/>
  <c r="GL289" i="6"/>
  <c r="GP472" i="6"/>
  <c r="GP307" i="6"/>
  <c r="GM466" i="6"/>
  <c r="EM25" i="6"/>
  <c r="GK25" i="6"/>
  <c r="GL241" i="6"/>
  <c r="EQ103" i="6"/>
  <c r="GO103" i="6"/>
  <c r="GP193" i="6"/>
  <c r="GO342" i="6"/>
  <c r="GK309" i="6"/>
  <c r="GK282" i="6"/>
  <c r="EM19" i="6"/>
  <c r="GK19" i="6"/>
  <c r="GL186" i="6"/>
  <c r="FS208" i="6"/>
  <c r="GK208" i="6"/>
  <c r="W434" i="8"/>
  <c r="AB396" i="8"/>
  <c r="AB275" i="8"/>
  <c r="AB510" i="8"/>
  <c r="GP425" i="6"/>
  <c r="GO340" i="6"/>
  <c r="GO181" i="6"/>
  <c r="GP262" i="6"/>
  <c r="GP392" i="6"/>
  <c r="Y340" i="8"/>
  <c r="W340" i="8"/>
  <c r="EP104" i="6"/>
  <c r="GN104" i="6"/>
  <c r="Y550" i="8"/>
  <c r="AB550" i="8" s="1"/>
  <c r="W550" i="8"/>
  <c r="ER136" i="6"/>
  <c r="GP136" i="6"/>
  <c r="EO53" i="6"/>
  <c r="GM53" i="6"/>
  <c r="EO92" i="6"/>
  <c r="GM92" i="6"/>
  <c r="EO83" i="6"/>
  <c r="GM83" i="6"/>
  <c r="GN255" i="6"/>
  <c r="EW60" i="6"/>
  <c r="EL97" i="6"/>
  <c r="GJ97" i="6"/>
  <c r="GN380" i="6"/>
  <c r="GQ338" i="6"/>
  <c r="AB332" i="8"/>
  <c r="ER104" i="6"/>
  <c r="GP104" i="6"/>
  <c r="GJ394" i="6"/>
  <c r="GN365" i="6"/>
  <c r="GM421" i="6"/>
  <c r="GP479" i="6"/>
  <c r="BM41" i="5"/>
  <c r="BL41" i="5"/>
  <c r="EQ39" i="6"/>
  <c r="GO39" i="6"/>
  <c r="W472" i="8"/>
  <c r="EI350" i="6"/>
  <c r="GN242" i="6"/>
  <c r="GM450" i="6"/>
  <c r="AK239" i="8"/>
  <c r="Y239" i="8"/>
  <c r="W239" i="8"/>
  <c r="Y206" i="8"/>
  <c r="W206" i="8"/>
  <c r="AK206" i="8"/>
  <c r="GN280" i="6"/>
  <c r="EY88" i="6"/>
  <c r="Y57" i="8"/>
  <c r="AB57" i="8" s="1"/>
  <c r="W57" i="8"/>
  <c r="GP488" i="6"/>
  <c r="GP279" i="6"/>
  <c r="GQ188" i="6"/>
  <c r="GJ275" i="6"/>
  <c r="GO199" i="6"/>
  <c r="EX64" i="6"/>
  <c r="GL285" i="6"/>
  <c r="Y273" i="8"/>
  <c r="W273" i="8"/>
  <c r="AK273" i="8"/>
  <c r="GM232" i="6"/>
  <c r="FT122" i="6"/>
  <c r="GA122" i="6"/>
  <c r="GL466" i="6"/>
  <c r="EO25" i="6"/>
  <c r="GM25" i="6"/>
  <c r="GO241" i="6"/>
  <c r="ER103" i="6"/>
  <c r="GP103" i="6"/>
  <c r="EI13" i="6"/>
  <c r="EK13" i="6"/>
  <c r="GI13" i="6"/>
  <c r="EI250" i="6"/>
  <c r="GI250" i="6"/>
  <c r="GK450" i="6"/>
  <c r="H7" i="10"/>
  <c r="FS137" i="6"/>
  <c r="EM137" i="6"/>
  <c r="GK137" i="6"/>
  <c r="GN183" i="6"/>
  <c r="EP125" i="6"/>
  <c r="GN125" i="6"/>
  <c r="GN289" i="6"/>
  <c r="GN484" i="6"/>
  <c r="GN243" i="6"/>
  <c r="EO19" i="6"/>
  <c r="GM19" i="6"/>
  <c r="EI412" i="6"/>
  <c r="GI412" i="6"/>
  <c r="EI186" i="6"/>
  <c r="GI186" i="6"/>
  <c r="GO208" i="6"/>
  <c r="AB434" i="8"/>
  <c r="EQ91" i="6"/>
  <c r="GO91" i="6"/>
  <c r="W66" i="8"/>
  <c r="L221" i="13" l="1"/>
  <c r="L186" i="12"/>
  <c r="G186" i="12" s="1"/>
  <c r="G186" i="13" s="1"/>
  <c r="L205" i="12"/>
  <c r="N206" i="12"/>
  <c r="L206" i="12" s="1"/>
  <c r="L229" i="13"/>
  <c r="FJ149" i="6"/>
  <c r="EY46" i="6"/>
  <c r="GV44" i="6"/>
  <c r="FJ174" i="6"/>
  <c r="GT44" i="6"/>
  <c r="EZ44" i="6"/>
  <c r="EL138" i="6"/>
  <c r="L195" i="12"/>
  <c r="GZ44" i="6"/>
  <c r="FJ107" i="6"/>
  <c r="BK53" i="5"/>
  <c r="EZ46" i="6"/>
  <c r="N201" i="12"/>
  <c r="N213" i="12" s="1"/>
  <c r="EK163" i="6"/>
  <c r="GQ402" i="6"/>
  <c r="HA44" i="6"/>
  <c r="GW44" i="6"/>
  <c r="ES109" i="6"/>
  <c r="EY109" i="6" s="1"/>
  <c r="L207" i="12"/>
  <c r="FJ162" i="6"/>
  <c r="ES174" i="6"/>
  <c r="GY44" i="6"/>
  <c r="FJ134" i="6"/>
  <c r="GW134" i="6" s="1"/>
  <c r="HA87" i="6"/>
  <c r="GU46" i="6"/>
  <c r="EY44" i="6"/>
  <c r="EX148" i="6"/>
  <c r="EZ98" i="6"/>
  <c r="EY99" i="6"/>
  <c r="HA118" i="6"/>
  <c r="GY66" i="6"/>
  <c r="FJ115" i="6"/>
  <c r="GY28" i="6"/>
  <c r="HA60" i="6"/>
  <c r="EW164" i="6"/>
  <c r="GZ50" i="6"/>
  <c r="FJ124" i="6"/>
  <c r="ES141" i="6"/>
  <c r="EY141" i="6" s="1"/>
  <c r="EY71" i="6"/>
  <c r="HA64" i="6"/>
  <c r="EX143" i="6"/>
  <c r="EZ143" i="6" s="1"/>
  <c r="EZ64" i="6"/>
  <c r="EY64" i="6"/>
  <c r="EK107" i="6"/>
  <c r="FJ109" i="6"/>
  <c r="D188" i="12"/>
  <c r="D188" i="13" s="1"/>
  <c r="FJ169" i="6"/>
  <c r="B188" i="12"/>
  <c r="B188" i="13" s="1"/>
  <c r="C188" i="12"/>
  <c r="C188" i="13" s="1"/>
  <c r="ES143" i="6"/>
  <c r="GY46" i="6"/>
  <c r="EZ89" i="6"/>
  <c r="ES148" i="6"/>
  <c r="EY148" i="6" s="1"/>
  <c r="FJ148" i="6"/>
  <c r="EW150" i="6"/>
  <c r="FJ116" i="6"/>
  <c r="EL115" i="6"/>
  <c r="ES115" i="6" s="1"/>
  <c r="EL124" i="6"/>
  <c r="GX131" i="6"/>
  <c r="GQ431" i="6"/>
  <c r="GX46" i="6"/>
  <c r="FJ164" i="6"/>
  <c r="N200" i="12"/>
  <c r="N212" i="12" s="1"/>
  <c r="L212" i="12" s="1"/>
  <c r="C185" i="12"/>
  <c r="C197" i="12" s="1"/>
  <c r="B185" i="12"/>
  <c r="B185" i="13" s="1"/>
  <c r="H186" i="12"/>
  <c r="H186" i="13" s="1"/>
  <c r="N196" i="12"/>
  <c r="N208" i="12" s="1"/>
  <c r="L187" i="12"/>
  <c r="F187" i="12" s="1"/>
  <c r="F187" i="13" s="1"/>
  <c r="EK116" i="6"/>
  <c r="ES116" i="6" s="1"/>
  <c r="BK125" i="5" s="1"/>
  <c r="GT66" i="6"/>
  <c r="EZ71" i="6"/>
  <c r="GX66" i="6"/>
  <c r="EZ82" i="6"/>
  <c r="GW66" i="6"/>
  <c r="EZ62" i="6"/>
  <c r="EY82" i="6"/>
  <c r="EX84" i="6"/>
  <c r="GX99" i="6"/>
  <c r="E193" i="12"/>
  <c r="E193" i="13" s="1"/>
  <c r="HA57" i="6"/>
  <c r="GV66" i="6"/>
  <c r="E188" i="12"/>
  <c r="E188" i="13" s="1"/>
  <c r="FJ143" i="6"/>
  <c r="GX143" i="6" s="1"/>
  <c r="GY82" i="6"/>
  <c r="EY98" i="6"/>
  <c r="GW38" i="6"/>
  <c r="FJ155" i="6"/>
  <c r="GZ12" i="6"/>
  <c r="F188" i="12"/>
  <c r="F188" i="13" s="1"/>
  <c r="G188" i="12"/>
  <c r="G188" i="13" s="1"/>
  <c r="N209" i="12"/>
  <c r="N221" i="12" s="1"/>
  <c r="E185" i="12"/>
  <c r="E185" i="13" s="1"/>
  <c r="F185" i="12"/>
  <c r="F185" i="13" s="1"/>
  <c r="D185" i="12"/>
  <c r="D185" i="13" s="1"/>
  <c r="G185" i="12"/>
  <c r="G185" i="13" s="1"/>
  <c r="GV20" i="6"/>
  <c r="GW12" i="6"/>
  <c r="EX131" i="6"/>
  <c r="EZ131" i="6" s="1"/>
  <c r="EY51" i="6"/>
  <c r="GV65" i="6"/>
  <c r="HA12" i="6"/>
  <c r="EY74" i="6"/>
  <c r="FM153" i="6"/>
  <c r="GT12" i="6"/>
  <c r="GZ75" i="6"/>
  <c r="B15" i="10"/>
  <c r="EZ51" i="6"/>
  <c r="EZ52" i="6"/>
  <c r="GX12" i="6"/>
  <c r="GX61" i="6"/>
  <c r="GV12" i="6"/>
  <c r="EZ24" i="6"/>
  <c r="GY90" i="6"/>
  <c r="GU12" i="6"/>
  <c r="GY51" i="6"/>
  <c r="EZ99" i="6"/>
  <c r="HA98" i="6"/>
  <c r="GY12" i="6"/>
  <c r="GT42" i="6"/>
  <c r="GY63" i="6"/>
  <c r="GV51" i="6"/>
  <c r="HA38" i="6"/>
  <c r="EZ14" i="6"/>
  <c r="GU67" i="6"/>
  <c r="GY146" i="6"/>
  <c r="GX38" i="6"/>
  <c r="CF107" i="5"/>
  <c r="CG107" i="5" s="1"/>
  <c r="GU80" i="6"/>
  <c r="GT62" i="6"/>
  <c r="GZ38" i="6"/>
  <c r="GT38" i="6"/>
  <c r="GY98" i="6"/>
  <c r="GT16" i="6"/>
  <c r="GX52" i="6"/>
  <c r="GZ98" i="6"/>
  <c r="EX136" i="6"/>
  <c r="GU90" i="6"/>
  <c r="D15" i="10"/>
  <c r="GW98" i="6"/>
  <c r="GT98" i="6"/>
  <c r="GQ59" i="6"/>
  <c r="CF68" i="5" s="1"/>
  <c r="CG68" i="5" s="1"/>
  <c r="GV52" i="6"/>
  <c r="FM150" i="6"/>
  <c r="GY67" i="6"/>
  <c r="EY62" i="6"/>
  <c r="GX98" i="6"/>
  <c r="EK112" i="6"/>
  <c r="ES112" i="6" s="1"/>
  <c r="FJ112" i="6"/>
  <c r="GT131" i="6"/>
  <c r="ES70" i="6"/>
  <c r="EY70" i="6" s="1"/>
  <c r="GX67" i="6"/>
  <c r="GU98" i="6"/>
  <c r="GV38" i="6"/>
  <c r="GV98" i="6"/>
  <c r="GU38" i="6"/>
  <c r="GV60" i="6"/>
  <c r="N202" i="12"/>
  <c r="L190" i="12"/>
  <c r="B190" i="12" s="1"/>
  <c r="GZ67" i="6"/>
  <c r="EY65" i="6"/>
  <c r="HA52" i="6"/>
  <c r="HA142" i="6"/>
  <c r="FJ158" i="6"/>
  <c r="EZ75" i="6"/>
  <c r="F186" i="12"/>
  <c r="F186" i="13" s="1"/>
  <c r="D186" i="12"/>
  <c r="D186" i="13" s="1"/>
  <c r="E186" i="12"/>
  <c r="E198" i="12" s="1"/>
  <c r="C195" i="12"/>
  <c r="H193" i="12"/>
  <c r="H193" i="13" s="1"/>
  <c r="B193" i="12"/>
  <c r="C193" i="12"/>
  <c r="D193" i="12"/>
  <c r="D193" i="13" s="1"/>
  <c r="F193" i="12"/>
  <c r="F193" i="13" s="1"/>
  <c r="L15" i="10"/>
  <c r="AB309" i="8"/>
  <c r="AB334" i="8"/>
  <c r="AB336" i="8"/>
  <c r="GQ242" i="6"/>
  <c r="CF251" i="5" s="1"/>
  <c r="CG251" i="5" s="1"/>
  <c r="GQ213" i="6"/>
  <c r="CF222" i="5" s="1"/>
  <c r="CG222" i="5" s="1"/>
  <c r="GQ211" i="6"/>
  <c r="GR211" i="6" s="1"/>
  <c r="GQ223" i="6"/>
  <c r="CF232" i="5" s="1"/>
  <c r="CG232" i="5" s="1"/>
  <c r="GQ397" i="6"/>
  <c r="GQ201" i="6"/>
  <c r="GR201" i="6" s="1"/>
  <c r="M15" i="10"/>
  <c r="EX35" i="6"/>
  <c r="GT50" i="6"/>
  <c r="EZ18" i="6"/>
  <c r="BR188" i="5"/>
  <c r="BS188" i="5" s="1"/>
  <c r="GQ43" i="6"/>
  <c r="CF52" i="5" s="1"/>
  <c r="CG52" i="5" s="1"/>
  <c r="GQ114" i="6"/>
  <c r="GR114" i="6" s="1"/>
  <c r="ES59" i="6"/>
  <c r="GQ276" i="6"/>
  <c r="CF285" i="5" s="1"/>
  <c r="CG285" i="5" s="1"/>
  <c r="EY131" i="6"/>
  <c r="BR189" i="5"/>
  <c r="BS189" i="5" s="1"/>
  <c r="HA50" i="6"/>
  <c r="GU131" i="6"/>
  <c r="FM163" i="6"/>
  <c r="EX153" i="6"/>
  <c r="BR187" i="5"/>
  <c r="BS187" i="5" s="1"/>
  <c r="GV28" i="6"/>
  <c r="GX142" i="6"/>
  <c r="GZ28" i="6"/>
  <c r="BR203" i="5"/>
  <c r="BS203" i="5" s="1"/>
  <c r="EX156" i="6"/>
  <c r="GT146" i="6"/>
  <c r="ES130" i="6"/>
  <c r="GU130" i="6" s="1"/>
  <c r="GQ373" i="6"/>
  <c r="ES83" i="6"/>
  <c r="BK92" i="5" s="1"/>
  <c r="HA146" i="6"/>
  <c r="EZ146" i="6"/>
  <c r="EZ50" i="6"/>
  <c r="EX158" i="6"/>
  <c r="GV26" i="6"/>
  <c r="GX28" i="6"/>
  <c r="BK155" i="5"/>
  <c r="BM155" i="5" s="1"/>
  <c r="GZ71" i="6"/>
  <c r="BR191" i="5"/>
  <c r="BS191" i="5" s="1"/>
  <c r="HA62" i="6"/>
  <c r="BR200" i="5"/>
  <c r="BS200" i="5" s="1"/>
  <c r="ES29" i="6"/>
  <c r="GY22" i="6"/>
  <c r="GQ494" i="6"/>
  <c r="GU109" i="6"/>
  <c r="GW28" i="6"/>
  <c r="GT88" i="6"/>
  <c r="BK69" i="5"/>
  <c r="BL69" i="5" s="1"/>
  <c r="ET146" i="6"/>
  <c r="BR197" i="5"/>
  <c r="BS197" i="5" s="1"/>
  <c r="BR204" i="5"/>
  <c r="BS204" i="5" s="1"/>
  <c r="BR199" i="5"/>
  <c r="BS199" i="5" s="1"/>
  <c r="BR198" i="5"/>
  <c r="BS198" i="5" s="1"/>
  <c r="GU28" i="6"/>
  <c r="GX146" i="6"/>
  <c r="GY60" i="6"/>
  <c r="GQ269" i="6"/>
  <c r="GR269" i="6" s="1"/>
  <c r="EW153" i="6"/>
  <c r="BR201" i="5"/>
  <c r="BS201" i="5" s="1"/>
  <c r="BR190" i="5"/>
  <c r="BS190" i="5" s="1"/>
  <c r="EX86" i="6"/>
  <c r="BR192" i="5"/>
  <c r="BS192" i="5" s="1"/>
  <c r="GV50" i="6"/>
  <c r="BR196" i="5"/>
  <c r="BS196" i="5" s="1"/>
  <c r="BK140" i="5"/>
  <c r="BM140" i="5" s="1"/>
  <c r="EY79" i="6"/>
  <c r="EX157" i="6"/>
  <c r="GQ97" i="6"/>
  <c r="GR97" i="6" s="1"/>
  <c r="EY60" i="6"/>
  <c r="N15" i="10"/>
  <c r="EX45" i="6"/>
  <c r="EW163" i="6"/>
  <c r="GX26" i="6"/>
  <c r="EZ60" i="6"/>
  <c r="FJ102" i="6"/>
  <c r="GU89" i="6"/>
  <c r="GZ60" i="6"/>
  <c r="GW161" i="6"/>
  <c r="BR202" i="5"/>
  <c r="BS202" i="5" s="1"/>
  <c r="FJ150" i="6"/>
  <c r="EK150" i="6"/>
  <c r="ES56" i="6"/>
  <c r="BK65" i="5" s="1"/>
  <c r="EY89" i="6"/>
  <c r="GQ130" i="6"/>
  <c r="GR130" i="6" s="1"/>
  <c r="GT14" i="6"/>
  <c r="FM145" i="6"/>
  <c r="ES125" i="6"/>
  <c r="GU141" i="6"/>
  <c r="ES31" i="6"/>
  <c r="HA28" i="6"/>
  <c r="HA22" i="6"/>
  <c r="EY50" i="6"/>
  <c r="GQ344" i="6"/>
  <c r="GR344" i="6" s="1"/>
  <c r="GT28" i="6"/>
  <c r="GV79" i="6"/>
  <c r="FJ153" i="6"/>
  <c r="EX174" i="6"/>
  <c r="EZ174" i="6" s="1"/>
  <c r="GX161" i="6"/>
  <c r="EX172" i="6"/>
  <c r="GX160" i="6"/>
  <c r="GT160" i="6"/>
  <c r="FM166" i="6"/>
  <c r="EX168" i="6"/>
  <c r="GU170" i="6"/>
  <c r="GW171" i="6"/>
  <c r="FI175" i="6"/>
  <c r="ER175" i="6" s="1"/>
  <c r="FH175" i="6"/>
  <c r="EQ175" i="6" s="1"/>
  <c r="FG175" i="6"/>
  <c r="EP175" i="6" s="1"/>
  <c r="FF175" i="6"/>
  <c r="FD175" i="6"/>
  <c r="FC175" i="6"/>
  <c r="FE175" i="6"/>
  <c r="EN175" i="6" s="1"/>
  <c r="FB175" i="6"/>
  <c r="FR176" i="6"/>
  <c r="FT176" i="6" s="1"/>
  <c r="BJ185" i="5"/>
  <c r="FY176" i="6"/>
  <c r="BG185" i="5"/>
  <c r="FL176" i="6"/>
  <c r="EW165" i="6"/>
  <c r="FM168" i="6"/>
  <c r="FZ175" i="6"/>
  <c r="GA175" i="6" s="1"/>
  <c r="ES97" i="6"/>
  <c r="CF43" i="5"/>
  <c r="CG43" i="5" s="1"/>
  <c r="GZ34" i="6"/>
  <c r="GV34" i="6"/>
  <c r="GU34" i="6"/>
  <c r="L232" i="13"/>
  <c r="N244" i="13"/>
  <c r="EZ61" i="6"/>
  <c r="ES43" i="6"/>
  <c r="GR330" i="6"/>
  <c r="HA171" i="6"/>
  <c r="GX171" i="6"/>
  <c r="GV171" i="6"/>
  <c r="GQ21" i="6"/>
  <c r="CF30" i="5" s="1"/>
  <c r="CG30" i="5" s="1"/>
  <c r="N234" i="13"/>
  <c r="L222" i="13"/>
  <c r="N211" i="12"/>
  <c r="L199" i="12"/>
  <c r="ES21" i="6"/>
  <c r="BK30" i="5" s="1"/>
  <c r="L240" i="13"/>
  <c r="N252" i="13"/>
  <c r="GV118" i="6"/>
  <c r="GY118" i="6"/>
  <c r="GX118" i="6"/>
  <c r="BK127" i="5"/>
  <c r="BM127" i="5" s="1"/>
  <c r="GZ118" i="6"/>
  <c r="GU118" i="6"/>
  <c r="HA133" i="6"/>
  <c r="GX133" i="6"/>
  <c r="K15" i="10"/>
  <c r="EX162" i="6"/>
  <c r="ES95" i="6"/>
  <c r="GV18" i="6"/>
  <c r="EY18" i="6"/>
  <c r="N231" i="12"/>
  <c r="L219" i="12"/>
  <c r="HA160" i="6"/>
  <c r="GY160" i="6"/>
  <c r="GZ160" i="6"/>
  <c r="GU160" i="6"/>
  <c r="CF71" i="5"/>
  <c r="CG71" i="5" s="1"/>
  <c r="GU62" i="6"/>
  <c r="GX62" i="6"/>
  <c r="GV62" i="6"/>
  <c r="EW155" i="6"/>
  <c r="ES155" i="6"/>
  <c r="N251" i="13"/>
  <c r="L239" i="13"/>
  <c r="N222" i="12"/>
  <c r="L210" i="12"/>
  <c r="GQ92" i="6"/>
  <c r="GR92" i="6" s="1"/>
  <c r="GU174" i="6"/>
  <c r="GZ174" i="6"/>
  <c r="GX174" i="6"/>
  <c r="GW174" i="6"/>
  <c r="GY174" i="6"/>
  <c r="CF73" i="5"/>
  <c r="CG73" i="5" s="1"/>
  <c r="GV64" i="6"/>
  <c r="GZ64" i="6"/>
  <c r="GX64" i="6"/>
  <c r="L241" i="13"/>
  <c r="N253" i="13"/>
  <c r="ES110" i="6"/>
  <c r="BK119" i="5" s="1"/>
  <c r="GT64" i="6"/>
  <c r="GQ58" i="6"/>
  <c r="CF67" i="5" s="1"/>
  <c r="CG67" i="5" s="1"/>
  <c r="W216" i="8"/>
  <c r="GT24" i="6"/>
  <c r="CF49" i="5"/>
  <c r="CG49" i="5" s="1"/>
  <c r="GT40" i="6"/>
  <c r="G184" i="12"/>
  <c r="G184" i="13" s="1"/>
  <c r="F184" i="12"/>
  <c r="F184" i="13" s="1"/>
  <c r="E184" i="12"/>
  <c r="D184" i="12"/>
  <c r="B184" i="12"/>
  <c r="B184" i="13" s="1"/>
  <c r="H184" i="12"/>
  <c r="H184" i="13" s="1"/>
  <c r="C184" i="12"/>
  <c r="EX103" i="6"/>
  <c r="ES166" i="6"/>
  <c r="GT22" i="6"/>
  <c r="EY22" i="6"/>
  <c r="GY74" i="6"/>
  <c r="BK83" i="5"/>
  <c r="BM83" i="5" s="1"/>
  <c r="ES81" i="6"/>
  <c r="BK90" i="5" s="1"/>
  <c r="GY134" i="6"/>
  <c r="EZ161" i="6"/>
  <c r="GY99" i="6"/>
  <c r="GQ478" i="6"/>
  <c r="ES73" i="6"/>
  <c r="GV63" i="6"/>
  <c r="H194" i="12"/>
  <c r="H194" i="13" s="1"/>
  <c r="F194" i="12"/>
  <c r="F194" i="13" s="1"/>
  <c r="D194" i="12"/>
  <c r="C194" i="12"/>
  <c r="B194" i="12"/>
  <c r="G194" i="12"/>
  <c r="G194" i="13" s="1"/>
  <c r="E194" i="12"/>
  <c r="EZ142" i="6"/>
  <c r="GZ142" i="6"/>
  <c r="EX69" i="6"/>
  <c r="GZ85" i="6"/>
  <c r="EY142" i="6"/>
  <c r="G191" i="12"/>
  <c r="G191" i="13" s="1"/>
  <c r="F191" i="12"/>
  <c r="F191" i="13" s="1"/>
  <c r="E191" i="12"/>
  <c r="D191" i="12"/>
  <c r="C191" i="12"/>
  <c r="H191" i="12"/>
  <c r="H191" i="13" s="1"/>
  <c r="EX39" i="6"/>
  <c r="P15" i="10"/>
  <c r="EY174" i="6"/>
  <c r="GT118" i="6"/>
  <c r="EX56" i="6"/>
  <c r="EX17" i="6"/>
  <c r="EZ74" i="6"/>
  <c r="FM159" i="6"/>
  <c r="HA65" i="6"/>
  <c r="L203" i="12"/>
  <c r="B203" i="12" s="1"/>
  <c r="N215" i="12"/>
  <c r="N238" i="13"/>
  <c r="L226" i="13"/>
  <c r="EX126" i="6"/>
  <c r="GX88" i="6"/>
  <c r="EZ160" i="6"/>
  <c r="EX108" i="6"/>
  <c r="GT80" i="6"/>
  <c r="EW158" i="6"/>
  <c r="GU71" i="6"/>
  <c r="FM158" i="6"/>
  <c r="L233" i="13"/>
  <c r="N245" i="13"/>
  <c r="EW160" i="6"/>
  <c r="EY160" i="6" s="1"/>
  <c r="EX165" i="6"/>
  <c r="GY71" i="6"/>
  <c r="FM169" i="6"/>
  <c r="GV46" i="6"/>
  <c r="EY171" i="6"/>
  <c r="GQ374" i="6"/>
  <c r="EX23" i="6"/>
  <c r="GQ467" i="6"/>
  <c r="FJ135" i="6"/>
  <c r="EX37" i="6"/>
  <c r="GZ99" i="6"/>
  <c r="HA99" i="6"/>
  <c r="H197" i="12"/>
  <c r="H197" i="13" s="1"/>
  <c r="AB216" i="8"/>
  <c r="EX58" i="6"/>
  <c r="EY118" i="6"/>
  <c r="EX135" i="6"/>
  <c r="EZ134" i="6"/>
  <c r="HA63" i="6"/>
  <c r="EX55" i="6"/>
  <c r="GQ204" i="6"/>
  <c r="GR204" i="6" s="1"/>
  <c r="EX164" i="6"/>
  <c r="EX47" i="6"/>
  <c r="G205" i="12"/>
  <c r="G205" i="13" s="1"/>
  <c r="N248" i="13"/>
  <c r="L236" i="13"/>
  <c r="ES105" i="6"/>
  <c r="GY161" i="6"/>
  <c r="EY63" i="6"/>
  <c r="GX60" i="6"/>
  <c r="ES121" i="6"/>
  <c r="ES172" i="6"/>
  <c r="EY172" i="6" s="1"/>
  <c r="N242" i="13"/>
  <c r="L230" i="13"/>
  <c r="N243" i="13"/>
  <c r="L231" i="13"/>
  <c r="L217" i="12"/>
  <c r="N229" i="12"/>
  <c r="ES159" i="6"/>
  <c r="ET159" i="6" s="1"/>
  <c r="GT46" i="6"/>
  <c r="N237" i="13"/>
  <c r="L225" i="13"/>
  <c r="GV99" i="6"/>
  <c r="EZ118" i="6"/>
  <c r="GW71" i="6"/>
  <c r="F189" i="12"/>
  <c r="F189" i="13" s="1"/>
  <c r="E189" i="12"/>
  <c r="D189" i="12"/>
  <c r="H189" i="12"/>
  <c r="H189" i="13" s="1"/>
  <c r="G189" i="12"/>
  <c r="G189" i="13" s="1"/>
  <c r="C189" i="12"/>
  <c r="EX19" i="6"/>
  <c r="GY64" i="6"/>
  <c r="FJ173" i="6"/>
  <c r="ES152" i="6"/>
  <c r="BK161" i="5" s="1"/>
  <c r="GQ458" i="6"/>
  <c r="GQ183" i="6"/>
  <c r="GR183" i="6" s="1"/>
  <c r="EX25" i="6"/>
  <c r="GY14" i="6"/>
  <c r="EZ22" i="6"/>
  <c r="EZ67" i="6"/>
  <c r="N235" i="13"/>
  <c r="L223" i="13"/>
  <c r="EY161" i="6"/>
  <c r="HA79" i="6"/>
  <c r="GQ350" i="6"/>
  <c r="GR350" i="6" s="1"/>
  <c r="EW167" i="6"/>
  <c r="GU64" i="6"/>
  <c r="G198" i="12"/>
  <c r="G198" i="13" s="1"/>
  <c r="EW135" i="6"/>
  <c r="ES135" i="6"/>
  <c r="GQ212" i="6"/>
  <c r="GQ445" i="6"/>
  <c r="GR311" i="6"/>
  <c r="BK51" i="5"/>
  <c r="GV42" i="6"/>
  <c r="HA42" i="6"/>
  <c r="GZ42" i="6"/>
  <c r="GY42" i="6"/>
  <c r="GW42" i="6"/>
  <c r="GU42" i="6"/>
  <c r="EZ42" i="6"/>
  <c r="GX42" i="6"/>
  <c r="EY42" i="6"/>
  <c r="GQ49" i="6"/>
  <c r="CF58" i="5" s="1"/>
  <c r="CG58" i="5" s="1"/>
  <c r="GQ116" i="6"/>
  <c r="CF125" i="5" s="1"/>
  <c r="CG125" i="5" s="1"/>
  <c r="GQ177" i="6"/>
  <c r="GQ176" i="6"/>
  <c r="GQ352" i="6"/>
  <c r="GR352" i="6" s="1"/>
  <c r="GQ69" i="6"/>
  <c r="CF78" i="5" s="1"/>
  <c r="CG78" i="5" s="1"/>
  <c r="AB311" i="8"/>
  <c r="EW27" i="6"/>
  <c r="GQ288" i="6"/>
  <c r="GR288" i="6" s="1"/>
  <c r="GQ199" i="6"/>
  <c r="GQ166" i="6"/>
  <c r="GQ383" i="6"/>
  <c r="GQ342" i="6"/>
  <c r="GR342" i="6" s="1"/>
  <c r="GQ432" i="6"/>
  <c r="GQ95" i="6"/>
  <c r="ES55" i="6"/>
  <c r="GQ261" i="6"/>
  <c r="CF91" i="5"/>
  <c r="CG91" i="5" s="1"/>
  <c r="GV82" i="6"/>
  <c r="GW82" i="6"/>
  <c r="GT82" i="6"/>
  <c r="GU82" i="6"/>
  <c r="GZ82" i="6"/>
  <c r="HA82" i="6"/>
  <c r="AB273" i="8"/>
  <c r="AB168" i="8"/>
  <c r="GQ481" i="6"/>
  <c r="CF70" i="5"/>
  <c r="CG70" i="5" s="1"/>
  <c r="HA61" i="6"/>
  <c r="GY61" i="6"/>
  <c r="GU61" i="6"/>
  <c r="GQ229" i="6"/>
  <c r="EW95" i="6"/>
  <c r="GQ94" i="6"/>
  <c r="GQ234" i="6"/>
  <c r="GQ208" i="6"/>
  <c r="GX82" i="6"/>
  <c r="GQ490" i="6"/>
  <c r="GQ412" i="6"/>
  <c r="GQ221" i="6"/>
  <c r="GQ15" i="6"/>
  <c r="CF24" i="5" s="1"/>
  <c r="CG24" i="5" s="1"/>
  <c r="GR349" i="6"/>
  <c r="GQ262" i="6"/>
  <c r="GQ103" i="6"/>
  <c r="GZ134" i="6"/>
  <c r="ES15" i="6"/>
  <c r="GQ372" i="6"/>
  <c r="GQ81" i="6"/>
  <c r="CF90" i="5" s="1"/>
  <c r="CG90" i="5" s="1"/>
  <c r="EW17" i="6"/>
  <c r="AB285" i="8"/>
  <c r="GQ73" i="6"/>
  <c r="CF82" i="5" s="1"/>
  <c r="CG82" i="5" s="1"/>
  <c r="EW137" i="6"/>
  <c r="AB264" i="8"/>
  <c r="EW110" i="6"/>
  <c r="GA137" i="6"/>
  <c r="FT137" i="6"/>
  <c r="GQ125" i="6"/>
  <c r="EW19" i="6"/>
  <c r="GQ56" i="6"/>
  <c r="CF65" i="5" s="1"/>
  <c r="CG65" i="5" s="1"/>
  <c r="ES103" i="6"/>
  <c r="GV103" i="6" s="1"/>
  <c r="H15" i="10"/>
  <c r="F15" i="10"/>
  <c r="EW41" i="6"/>
  <c r="AB147" i="8"/>
  <c r="GA113" i="6"/>
  <c r="FT113" i="6"/>
  <c r="GQ403" i="6"/>
  <c r="GQ353" i="6"/>
  <c r="GR353" i="6" s="1"/>
  <c r="GQ436" i="6"/>
  <c r="GQ70" i="6"/>
  <c r="CF79" i="5" s="1"/>
  <c r="CG79" i="5" s="1"/>
  <c r="GQ277" i="6"/>
  <c r="ES136" i="6"/>
  <c r="GQ449" i="6"/>
  <c r="CF39" i="5"/>
  <c r="CG39" i="5" s="1"/>
  <c r="GW30" i="6"/>
  <c r="GZ30" i="6"/>
  <c r="GU30" i="6"/>
  <c r="GX30" i="6"/>
  <c r="GT30" i="6"/>
  <c r="GY30" i="6"/>
  <c r="GV30" i="6"/>
  <c r="FT95" i="6"/>
  <c r="GA95" i="6"/>
  <c r="AB321" i="8"/>
  <c r="EW25" i="6"/>
  <c r="GQ479" i="6"/>
  <c r="CF29" i="5"/>
  <c r="CG29" i="5" s="1"/>
  <c r="GW20" i="6"/>
  <c r="GZ20" i="6"/>
  <c r="HA20" i="6"/>
  <c r="GY20" i="6"/>
  <c r="GT20" i="6"/>
  <c r="GX20" i="6"/>
  <c r="GQ471" i="6"/>
  <c r="GV61" i="6"/>
  <c r="AB248" i="8"/>
  <c r="GR141" i="6"/>
  <c r="CF150" i="5"/>
  <c r="CG150" i="5" s="1"/>
  <c r="GQ120" i="6"/>
  <c r="BK96" i="5"/>
  <c r="GY87" i="6"/>
  <c r="GW87" i="6"/>
  <c r="GX87" i="6"/>
  <c r="GU87" i="6"/>
  <c r="GV87" i="6"/>
  <c r="GT87" i="6"/>
  <c r="GZ87" i="6"/>
  <c r="ES144" i="6"/>
  <c r="EY144" i="6" s="1"/>
  <c r="GQ193" i="6"/>
  <c r="AB251" i="8"/>
  <c r="GQ437" i="6"/>
  <c r="GQ245" i="6"/>
  <c r="AB369" i="8"/>
  <c r="GQ395" i="6"/>
  <c r="AB340" i="8"/>
  <c r="GQ422" i="6"/>
  <c r="GQ346" i="6"/>
  <c r="GR346" i="6" s="1"/>
  <c r="AB380" i="8"/>
  <c r="AB222" i="8"/>
  <c r="BK49" i="5"/>
  <c r="GV40" i="6"/>
  <c r="GW40" i="6"/>
  <c r="GX40" i="6"/>
  <c r="EZ40" i="6"/>
  <c r="GZ40" i="6"/>
  <c r="HA40" i="6"/>
  <c r="GU40" i="6"/>
  <c r="GY40" i="6"/>
  <c r="Q15" i="10"/>
  <c r="AB382" i="8"/>
  <c r="EW48" i="6"/>
  <c r="GQ466" i="6"/>
  <c r="GQ302" i="6"/>
  <c r="GR302" i="6" s="1"/>
  <c r="GQ439" i="6"/>
  <c r="GQ100" i="6"/>
  <c r="AB239" i="8"/>
  <c r="EW92" i="6"/>
  <c r="EW49" i="6"/>
  <c r="GQ365" i="6"/>
  <c r="EW29" i="6"/>
  <c r="GQ108" i="6"/>
  <c r="GQ462" i="6"/>
  <c r="GQ163" i="6"/>
  <c r="FT169" i="6"/>
  <c r="GA169" i="6"/>
  <c r="GQ443" i="6"/>
  <c r="GQ464" i="6"/>
  <c r="AB354" i="8"/>
  <c r="GQ122" i="6"/>
  <c r="EW45" i="6"/>
  <c r="AB203" i="8"/>
  <c r="HA30" i="6"/>
  <c r="CF83" i="5"/>
  <c r="CG83" i="5" s="1"/>
  <c r="GU74" i="6"/>
  <c r="GZ74" i="6"/>
  <c r="GT74" i="6"/>
  <c r="HA74" i="6"/>
  <c r="GX74" i="6"/>
  <c r="GV74" i="6"/>
  <c r="GW74" i="6"/>
  <c r="GQ307" i="6"/>
  <c r="GR307" i="6" s="1"/>
  <c r="AB317" i="8"/>
  <c r="GQ29" i="6"/>
  <c r="CF38" i="5" s="1"/>
  <c r="CG38" i="5" s="1"/>
  <c r="GQ137" i="6"/>
  <c r="AB265" i="8"/>
  <c r="FT103" i="6"/>
  <c r="GA103" i="6"/>
  <c r="GQ250" i="6"/>
  <c r="FT92" i="6"/>
  <c r="GA92" i="6"/>
  <c r="GQ216" i="6"/>
  <c r="ES100" i="6"/>
  <c r="GQ470" i="6"/>
  <c r="AB250" i="8"/>
  <c r="O15" i="10"/>
  <c r="GQ442" i="6"/>
  <c r="GQ416" i="6"/>
  <c r="GQ195" i="6"/>
  <c r="ES122" i="6"/>
  <c r="EY122" i="6" s="1"/>
  <c r="AB293" i="8"/>
  <c r="CF45" i="5"/>
  <c r="CG45" i="5" s="1"/>
  <c r="GZ36" i="6"/>
  <c r="GT36" i="6"/>
  <c r="GW36" i="6"/>
  <c r="GY36" i="6"/>
  <c r="GU36" i="6"/>
  <c r="HA36" i="6"/>
  <c r="GX36" i="6"/>
  <c r="ES23" i="6"/>
  <c r="GQ376" i="6"/>
  <c r="EX125" i="6"/>
  <c r="GQ287" i="6"/>
  <c r="GR287" i="6" s="1"/>
  <c r="GQ200" i="6"/>
  <c r="GQ456" i="6"/>
  <c r="GQ375" i="6"/>
  <c r="AB206" i="8"/>
  <c r="EW103" i="6"/>
  <c r="ES108" i="6"/>
  <c r="ES163" i="6"/>
  <c r="GQ392" i="6"/>
  <c r="BK115" i="5"/>
  <c r="GW106" i="6"/>
  <c r="GV106" i="6"/>
  <c r="GU106" i="6"/>
  <c r="GY106" i="6"/>
  <c r="HA106" i="6"/>
  <c r="GX106" i="6"/>
  <c r="GZ106" i="6"/>
  <c r="GT106" i="6"/>
  <c r="EX13" i="6"/>
  <c r="J15" i="10"/>
  <c r="GQ275" i="6"/>
  <c r="ET141" i="6"/>
  <c r="BK150" i="5"/>
  <c r="GV141" i="6"/>
  <c r="GX141" i="6"/>
  <c r="GY141" i="6"/>
  <c r="GQ326" i="6"/>
  <c r="GR326" i="6" s="1"/>
  <c r="GQ404" i="6"/>
  <c r="GQ324" i="6"/>
  <c r="GR324" i="6" s="1"/>
  <c r="GQ31" i="6"/>
  <c r="CF40" i="5" s="1"/>
  <c r="CG40" i="5" s="1"/>
  <c r="GR298" i="6"/>
  <c r="GQ230" i="6"/>
  <c r="GQ430" i="6"/>
  <c r="AB378" i="8"/>
  <c r="ES92" i="6"/>
  <c r="AB111" i="8"/>
  <c r="GQ293" i="6"/>
  <c r="GR293" i="6" s="1"/>
  <c r="GQ271" i="6"/>
  <c r="EX163" i="6"/>
  <c r="GQ45" i="6"/>
  <c r="CF54" i="5" s="1"/>
  <c r="CG54" i="5" s="1"/>
  <c r="GQ394" i="6"/>
  <c r="GQ224" i="6"/>
  <c r="GQ113" i="6"/>
  <c r="CF122" i="5" s="1"/>
  <c r="CG122" i="5" s="1"/>
  <c r="GQ339" i="6"/>
  <c r="GR339" i="6" s="1"/>
  <c r="GR338" i="6"/>
  <c r="GQ472" i="6"/>
  <c r="AB208" i="8"/>
  <c r="GQ135" i="6"/>
  <c r="GA104" i="6"/>
  <c r="FT104" i="6"/>
  <c r="GR188" i="6"/>
  <c r="CF197" i="5"/>
  <c r="CG197" i="5" s="1"/>
  <c r="BK142" i="5"/>
  <c r="ET133" i="6"/>
  <c r="GW133" i="6"/>
  <c r="GY133" i="6"/>
  <c r="GV133" i="6"/>
  <c r="GT133" i="6"/>
  <c r="GU133" i="6"/>
  <c r="GZ133" i="6"/>
  <c r="EW15" i="6"/>
  <c r="ES45" i="6"/>
  <c r="AB244" i="8"/>
  <c r="GQ181" i="6"/>
  <c r="EX144" i="6"/>
  <c r="GQ294" i="6"/>
  <c r="GR294" i="6" s="1"/>
  <c r="ES114" i="6"/>
  <c r="GQ333" i="6"/>
  <c r="GR333" i="6" s="1"/>
  <c r="GQ461" i="6"/>
  <c r="FT129" i="6"/>
  <c r="GA129" i="6"/>
  <c r="AB316" i="8"/>
  <c r="GQ13" i="6"/>
  <c r="CF22" i="5" s="1"/>
  <c r="CG22" i="5" s="1"/>
  <c r="GQ488" i="6"/>
  <c r="GQ140" i="6"/>
  <c r="GQ477" i="6"/>
  <c r="GR187" i="6"/>
  <c r="CF196" i="5"/>
  <c r="CG196" i="5" s="1"/>
  <c r="EW108" i="6"/>
  <c r="GQ286" i="6"/>
  <c r="GR286" i="6" s="1"/>
  <c r="GQ315" i="6"/>
  <c r="GR315" i="6" s="1"/>
  <c r="ES25" i="6"/>
  <c r="EW123" i="6"/>
  <c r="EX91" i="6"/>
  <c r="ES13" i="6"/>
  <c r="BK139" i="5"/>
  <c r="AB143" i="8"/>
  <c r="GQ72" i="6"/>
  <c r="CF81" i="5" s="1"/>
  <c r="CG81" i="5" s="1"/>
  <c r="EX49" i="6"/>
  <c r="GQ387" i="6"/>
  <c r="GQ189" i="6"/>
  <c r="GA123" i="6"/>
  <c r="FT123" i="6"/>
  <c r="ES140" i="6"/>
  <c r="GQ136" i="6"/>
  <c r="GQ480" i="6"/>
  <c r="ES72" i="6"/>
  <c r="EX59" i="6"/>
  <c r="GQ196" i="6"/>
  <c r="CF41" i="5"/>
  <c r="CG41" i="5" s="1"/>
  <c r="GV32" i="6"/>
  <c r="GY32" i="6"/>
  <c r="GZ32" i="6"/>
  <c r="GW32" i="6"/>
  <c r="GU32" i="6"/>
  <c r="GX32" i="6"/>
  <c r="HA32" i="6"/>
  <c r="GQ110" i="6"/>
  <c r="BL77" i="5"/>
  <c r="BM77" i="5"/>
  <c r="GQ325" i="6"/>
  <c r="GR325" i="6" s="1"/>
  <c r="AB212" i="8"/>
  <c r="ES93" i="6"/>
  <c r="GQ289" i="6"/>
  <c r="GR289" i="6" s="1"/>
  <c r="GQ132" i="6"/>
  <c r="EX31" i="6"/>
  <c r="EW169" i="6"/>
  <c r="AB355" i="8"/>
  <c r="AB112" i="8"/>
  <c r="BM37" i="5"/>
  <c r="BL37" i="5"/>
  <c r="HA14" i="6"/>
  <c r="EX121" i="6"/>
  <c r="AB136" i="8"/>
  <c r="GR237" i="6"/>
  <c r="CF246" i="5"/>
  <c r="CG246" i="5" s="1"/>
  <c r="GR260" i="6"/>
  <c r="CF269" i="5"/>
  <c r="CG269" i="5" s="1"/>
  <c r="GA126" i="6"/>
  <c r="FT126" i="6"/>
  <c r="GQ76" i="6"/>
  <c r="CF85" i="5" s="1"/>
  <c r="CG85" i="5" s="1"/>
  <c r="ES132" i="6"/>
  <c r="AB176" i="8"/>
  <c r="GQ101" i="6"/>
  <c r="GQ278" i="6"/>
  <c r="AB205" i="8"/>
  <c r="GQ238" i="6"/>
  <c r="GQ178" i="6"/>
  <c r="EW59" i="6"/>
  <c r="EW129" i="6"/>
  <c r="GQ399" i="6"/>
  <c r="GQ491" i="6"/>
  <c r="CF60" i="5"/>
  <c r="CG60" i="5" s="1"/>
  <c r="GX51" i="6"/>
  <c r="GZ51" i="6"/>
  <c r="GU51" i="6"/>
  <c r="HA51" i="6"/>
  <c r="GT51" i="6"/>
  <c r="GQ41" i="6"/>
  <c r="CF50" i="5" s="1"/>
  <c r="CG50" i="5" s="1"/>
  <c r="GQ327" i="6"/>
  <c r="GR327" i="6" s="1"/>
  <c r="GR175" i="6"/>
  <c r="CF184" i="5"/>
  <c r="CG184" i="5" s="1"/>
  <c r="GQ185" i="6"/>
  <c r="GQ244" i="6"/>
  <c r="EX110" i="6"/>
  <c r="AB152" i="8"/>
  <c r="ES137" i="6"/>
  <c r="GR239" i="6"/>
  <c r="CF248" i="5"/>
  <c r="CG248" i="5" s="1"/>
  <c r="GQ48" i="6"/>
  <c r="CF57" i="5" s="1"/>
  <c r="CG57" i="5" s="1"/>
  <c r="GQ240" i="6"/>
  <c r="ET134" i="6"/>
  <c r="BK143" i="5"/>
  <c r="AB342" i="8"/>
  <c r="GR134" i="6"/>
  <c r="CF143" i="5"/>
  <c r="CG143" i="5" s="1"/>
  <c r="GQ474" i="6"/>
  <c r="GQ369" i="6"/>
  <c r="GQ232" i="6"/>
  <c r="BK31" i="5"/>
  <c r="GU22" i="6"/>
  <c r="GX22" i="6"/>
  <c r="GW22" i="6"/>
  <c r="GZ22" i="6"/>
  <c r="GV22" i="6"/>
  <c r="AB242" i="8"/>
  <c r="EX112" i="6"/>
  <c r="EW104" i="6"/>
  <c r="GQ152" i="6"/>
  <c r="EZ133" i="6"/>
  <c r="GQ192" i="6"/>
  <c r="AB215" i="8"/>
  <c r="GQ115" i="6"/>
  <c r="GQ167" i="6"/>
  <c r="GQ169" i="6"/>
  <c r="GQ362" i="6"/>
  <c r="AB372" i="8"/>
  <c r="GQ347" i="6"/>
  <c r="GR347" i="6" s="1"/>
  <c r="GT134" i="6"/>
  <c r="AB384" i="8"/>
  <c r="ES101" i="6"/>
  <c r="GV161" i="6"/>
  <c r="EX101" i="6"/>
  <c r="EZ16" i="6"/>
  <c r="GQ117" i="6"/>
  <c r="FM173" i="6"/>
  <c r="FT159" i="6"/>
  <c r="GA159" i="6"/>
  <c r="GQ389" i="6"/>
  <c r="GR131" i="6"/>
  <c r="CF140" i="5"/>
  <c r="CG140" i="5" s="1"/>
  <c r="GW131" i="6"/>
  <c r="GV131" i="6"/>
  <c r="GY131" i="6"/>
  <c r="GZ131" i="6"/>
  <c r="GQ391" i="6"/>
  <c r="GQ322" i="6"/>
  <c r="GR322" i="6" s="1"/>
  <c r="ES48" i="6"/>
  <c r="EW69" i="6"/>
  <c r="GR264" i="6"/>
  <c r="CF273" i="5"/>
  <c r="CG273" i="5" s="1"/>
  <c r="GR88" i="6"/>
  <c r="CF97" i="5"/>
  <c r="CG97" i="5" s="1"/>
  <c r="GQ248" i="6"/>
  <c r="BK25" i="5"/>
  <c r="GU16" i="6"/>
  <c r="GW16" i="6"/>
  <c r="GY16" i="6"/>
  <c r="HA16" i="6"/>
  <c r="GX16" i="6"/>
  <c r="GZ16" i="6"/>
  <c r="EX124" i="6"/>
  <c r="AB155" i="8"/>
  <c r="AB188" i="8"/>
  <c r="FJ117" i="6"/>
  <c r="EK117" i="6"/>
  <c r="ES117" i="6" s="1"/>
  <c r="AB124" i="8"/>
  <c r="FT173" i="6"/>
  <c r="GA173" i="6"/>
  <c r="EX114" i="6"/>
  <c r="EX33" i="6"/>
  <c r="GQ249" i="6"/>
  <c r="GQ268" i="6"/>
  <c r="GQ202" i="6"/>
  <c r="ES124" i="6"/>
  <c r="BK99" i="5"/>
  <c r="GW90" i="6"/>
  <c r="GV90" i="6"/>
  <c r="GX90" i="6"/>
  <c r="GZ90" i="6"/>
  <c r="HA90" i="6"/>
  <c r="GT90" i="6"/>
  <c r="ES158" i="6"/>
  <c r="EX29" i="6"/>
  <c r="ET170" i="6"/>
  <c r="BK179" i="5"/>
  <c r="GX170" i="6"/>
  <c r="EY170" i="6"/>
  <c r="HA170" i="6"/>
  <c r="ES167" i="6"/>
  <c r="GR106" i="6"/>
  <c r="CF115" i="5"/>
  <c r="CG115" i="5" s="1"/>
  <c r="ES169" i="6"/>
  <c r="AB310" i="8"/>
  <c r="EW113" i="6"/>
  <c r="AB272" i="8"/>
  <c r="GA120" i="6"/>
  <c r="FT120" i="6"/>
  <c r="GR236" i="6"/>
  <c r="CF245" i="5"/>
  <c r="CG245" i="5" s="1"/>
  <c r="AB130" i="8"/>
  <c r="GQ173" i="6"/>
  <c r="GQ274" i="6"/>
  <c r="GR220" i="6"/>
  <c r="CF229" i="5"/>
  <c r="CG229" i="5" s="1"/>
  <c r="EW120" i="6"/>
  <c r="AB261" i="8"/>
  <c r="AB304" i="8"/>
  <c r="EW33" i="6"/>
  <c r="GQ104" i="6"/>
  <c r="GQ162" i="6"/>
  <c r="ES27" i="6"/>
  <c r="BK94" i="5"/>
  <c r="GW85" i="6"/>
  <c r="GU85" i="6"/>
  <c r="GT85" i="6"/>
  <c r="GV85" i="6"/>
  <c r="GX85" i="6"/>
  <c r="GY85" i="6"/>
  <c r="GR197" i="6"/>
  <c r="CF206" i="5"/>
  <c r="CG206" i="5" s="1"/>
  <c r="GQ305" i="6"/>
  <c r="GR305" i="6" s="1"/>
  <c r="EY133" i="6"/>
  <c r="AB181" i="8"/>
  <c r="AB312" i="8"/>
  <c r="GQ475" i="6"/>
  <c r="GQ447" i="6"/>
  <c r="GQ484" i="6"/>
  <c r="GQ279" i="6"/>
  <c r="GT161" i="6"/>
  <c r="GQ384" i="6"/>
  <c r="GQ495" i="6"/>
  <c r="ES173" i="6"/>
  <c r="EX173" i="6"/>
  <c r="EW128" i="6"/>
  <c r="GQ299" i="6"/>
  <c r="GR299" i="6" s="1"/>
  <c r="EW117" i="6"/>
  <c r="GQ231" i="6"/>
  <c r="GQ468" i="6"/>
  <c r="GQ39" i="6"/>
  <c r="CF48" i="5" s="1"/>
  <c r="CG48" i="5" s="1"/>
  <c r="AB356" i="8"/>
  <c r="EX122" i="6"/>
  <c r="FT116" i="6"/>
  <c r="GA116" i="6"/>
  <c r="GQ320" i="6"/>
  <c r="GR320" i="6" s="1"/>
  <c r="EW100" i="6"/>
  <c r="FT128" i="6"/>
  <c r="GA128" i="6"/>
  <c r="FT117" i="6"/>
  <c r="GA117" i="6"/>
  <c r="GQ492" i="6"/>
  <c r="GQ282" i="6"/>
  <c r="GR282" i="6" s="1"/>
  <c r="ES39" i="6"/>
  <c r="BK43" i="5"/>
  <c r="GW34" i="6"/>
  <c r="GX34" i="6"/>
  <c r="GT34" i="6"/>
  <c r="EZ34" i="6"/>
  <c r="ET171" i="6"/>
  <c r="BK180" i="5"/>
  <c r="GZ171" i="6"/>
  <c r="GU171" i="6"/>
  <c r="GY171" i="6"/>
  <c r="EZ171" i="6"/>
  <c r="GT171" i="6"/>
  <c r="GQ332" i="6"/>
  <c r="GR332" i="6" s="1"/>
  <c r="GQ335" i="6"/>
  <c r="GR335" i="6" s="1"/>
  <c r="EX27" i="6"/>
  <c r="CF170" i="5"/>
  <c r="CG170" i="5" s="1"/>
  <c r="GR161" i="6"/>
  <c r="GQ441" i="6"/>
  <c r="ES104" i="6"/>
  <c r="GR170" i="6"/>
  <c r="CF179" i="5"/>
  <c r="CG179" i="5" s="1"/>
  <c r="EZ106" i="6"/>
  <c r="GQ363" i="6"/>
  <c r="GQ257" i="6"/>
  <c r="GQ393" i="6"/>
  <c r="GA127" i="6"/>
  <c r="FT127" i="6"/>
  <c r="GQ308" i="6"/>
  <c r="GR308" i="6" s="1"/>
  <c r="AB277" i="8"/>
  <c r="ES120" i="6"/>
  <c r="GQ55" i="6"/>
  <c r="CF64" i="5" s="1"/>
  <c r="CG64" i="5" s="1"/>
  <c r="EW116" i="6"/>
  <c r="GQ428" i="6"/>
  <c r="GQ296" i="6"/>
  <c r="GR296" i="6" s="1"/>
  <c r="EX73" i="6"/>
  <c r="EX123" i="6"/>
  <c r="GQ252" i="6"/>
  <c r="EX149" i="6"/>
  <c r="EW56" i="6"/>
  <c r="CF89" i="5"/>
  <c r="CG89" i="5" s="1"/>
  <c r="GY80" i="6"/>
  <c r="GZ80" i="6"/>
  <c r="GX80" i="6"/>
  <c r="GQ321" i="6"/>
  <c r="GR321" i="6" s="1"/>
  <c r="GT170" i="6"/>
  <c r="FT101" i="6"/>
  <c r="GA101" i="6"/>
  <c r="GQ149" i="6"/>
  <c r="ES58" i="6"/>
  <c r="FT100" i="6"/>
  <c r="GA100" i="6"/>
  <c r="GQ385" i="6"/>
  <c r="AB260" i="8"/>
  <c r="GQ77" i="6"/>
  <c r="CF86" i="5" s="1"/>
  <c r="CG86" i="5" s="1"/>
  <c r="GQ203" i="6"/>
  <c r="GQ263" i="6"/>
  <c r="GQ345" i="6"/>
  <c r="GR345" i="6" s="1"/>
  <c r="EX72" i="6"/>
  <c r="EX100" i="6"/>
  <c r="EZ87" i="6"/>
  <c r="EW127" i="6"/>
  <c r="GA163" i="6"/>
  <c r="FT163" i="6"/>
  <c r="ES94" i="6"/>
  <c r="GQ153" i="6"/>
  <c r="GQ259" i="6"/>
  <c r="GR225" i="6"/>
  <c r="CF234" i="5"/>
  <c r="CG234" i="5" s="1"/>
  <c r="GQ19" i="6"/>
  <c r="CF28" i="5" s="1"/>
  <c r="CG28" i="5" s="1"/>
  <c r="EW101" i="6"/>
  <c r="ET160" i="6"/>
  <c r="BK169" i="5"/>
  <c r="GW160" i="6"/>
  <c r="GV160" i="6"/>
  <c r="AB274" i="8"/>
  <c r="AB301" i="8"/>
  <c r="EW111" i="6"/>
  <c r="EY143" i="6"/>
  <c r="EX76" i="6"/>
  <c r="GQ53" i="6"/>
  <c r="CF62" i="5" s="1"/>
  <c r="CG62" i="5" s="1"/>
  <c r="EX120" i="6"/>
  <c r="AB375" i="8"/>
  <c r="ES19" i="6"/>
  <c r="FT93" i="6"/>
  <c r="GA93" i="6"/>
  <c r="GZ170" i="6"/>
  <c r="AB386" i="8"/>
  <c r="GQ256" i="6"/>
  <c r="GQ418" i="6"/>
  <c r="AB306" i="8"/>
  <c r="GQ380" i="6"/>
  <c r="ES149" i="6"/>
  <c r="GQ172" i="6"/>
  <c r="BM107" i="5"/>
  <c r="BL107" i="5"/>
  <c r="GQ367" i="6"/>
  <c r="EX97" i="6"/>
  <c r="AB151" i="8"/>
  <c r="GQ186" i="6"/>
  <c r="EX92" i="6"/>
  <c r="GQ485" i="6"/>
  <c r="GQ446" i="6"/>
  <c r="EW55" i="6"/>
  <c r="GQ309" i="6"/>
  <c r="GR309" i="6" s="1"/>
  <c r="CF207" i="5"/>
  <c r="CG207" i="5" s="1"/>
  <c r="GR198" i="6"/>
  <c r="GR133" i="6"/>
  <c r="CF142" i="5"/>
  <c r="CG142" i="5" s="1"/>
  <c r="GQ354" i="6"/>
  <c r="GR354" i="6" s="1"/>
  <c r="EW84" i="6"/>
  <c r="GQ164" i="6"/>
  <c r="EX140" i="6"/>
  <c r="GV24" i="6"/>
  <c r="HA34" i="6"/>
  <c r="FM165" i="6"/>
  <c r="ES153" i="6"/>
  <c r="GQ300" i="6"/>
  <c r="GR300" i="6" s="1"/>
  <c r="EX15" i="6"/>
  <c r="GQ157" i="6"/>
  <c r="AB167" i="8"/>
  <c r="GQ112" i="6"/>
  <c r="GQ312" i="6"/>
  <c r="GR312" i="6" s="1"/>
  <c r="GQ473" i="6"/>
  <c r="EX152" i="6"/>
  <c r="GQ408" i="6"/>
  <c r="BK27" i="5"/>
  <c r="GZ18" i="6"/>
  <c r="GU18" i="6"/>
  <c r="GW18" i="6"/>
  <c r="HA18" i="6"/>
  <c r="GY18" i="6"/>
  <c r="GX18" i="6"/>
  <c r="GT18" i="6"/>
  <c r="ES126" i="6"/>
  <c r="GQ47" i="6"/>
  <c r="CF56" i="5" s="1"/>
  <c r="CG56" i="5" s="1"/>
  <c r="EW93" i="6"/>
  <c r="AB322" i="8"/>
  <c r="GW51" i="6"/>
  <c r="GQ483" i="6"/>
  <c r="GW170" i="6"/>
  <c r="GQ482" i="6"/>
  <c r="GQ313" i="6"/>
  <c r="GR313" i="6" s="1"/>
  <c r="EX138" i="6"/>
  <c r="GQ179" i="6"/>
  <c r="FJ111" i="6"/>
  <c r="EK111" i="6"/>
  <c r="ES111" i="6" s="1"/>
  <c r="GQ246" i="6"/>
  <c r="GQ267" i="6"/>
  <c r="GQ425" i="6"/>
  <c r="EW13" i="6"/>
  <c r="BM87" i="5"/>
  <c r="BL87" i="5"/>
  <c r="GQ156" i="6"/>
  <c r="ES53" i="6"/>
  <c r="GQ285" i="6"/>
  <c r="GR285" i="6" s="1"/>
  <c r="EX104" i="6"/>
  <c r="ES164" i="6"/>
  <c r="AB305" i="8"/>
  <c r="GQ334" i="6"/>
  <c r="GR334" i="6" s="1"/>
  <c r="EX167" i="6"/>
  <c r="EW130" i="6"/>
  <c r="ES156" i="6"/>
  <c r="EY156" i="6" s="1"/>
  <c r="GQ400" i="6"/>
  <c r="GQ420" i="6"/>
  <c r="GQ364" i="6"/>
  <c r="GQ366" i="6"/>
  <c r="ES157" i="6"/>
  <c r="GQ255" i="6"/>
  <c r="GQ123" i="6"/>
  <c r="GQ144" i="6"/>
  <c r="EX96" i="6"/>
  <c r="GQ184" i="6"/>
  <c r="CF69" i="5"/>
  <c r="CG69" i="5" s="1"/>
  <c r="GW60" i="6"/>
  <c r="GT60" i="6"/>
  <c r="GU60" i="6"/>
  <c r="ES47" i="6"/>
  <c r="EX169" i="6"/>
  <c r="GQ306" i="6"/>
  <c r="GR306" i="6" s="1"/>
  <c r="BM60" i="5"/>
  <c r="BL60" i="5"/>
  <c r="GQ35" i="6"/>
  <c r="CF44" i="5" s="1"/>
  <c r="CG44" i="5" s="1"/>
  <c r="GQ37" i="6"/>
  <c r="CF46" i="5" s="1"/>
  <c r="CG46" i="5" s="1"/>
  <c r="EZ88" i="6"/>
  <c r="EW39" i="6"/>
  <c r="GQ182" i="6"/>
  <c r="HA80" i="6"/>
  <c r="GQ409" i="6"/>
  <c r="GA91" i="6"/>
  <c r="FT91" i="6"/>
  <c r="GQ243" i="6"/>
  <c r="FT165" i="6"/>
  <c r="GA165" i="6"/>
  <c r="GA130" i="6"/>
  <c r="FT130" i="6"/>
  <c r="EX116" i="6"/>
  <c r="GQ251" i="6"/>
  <c r="GQ25" i="6"/>
  <c r="CF34" i="5" s="1"/>
  <c r="CG34" i="5" s="1"/>
  <c r="ES123" i="6"/>
  <c r="ET161" i="6"/>
  <c r="BK170" i="5"/>
  <c r="GZ161" i="6"/>
  <c r="HA161" i="6"/>
  <c r="HA85" i="6"/>
  <c r="EX166" i="6"/>
  <c r="ES35" i="6"/>
  <c r="EX41" i="6"/>
  <c r="EY87" i="6"/>
  <c r="ES37" i="6"/>
  <c r="ET143" i="6"/>
  <c r="BK152" i="5"/>
  <c r="HA143" i="6"/>
  <c r="GW143" i="6"/>
  <c r="GY143" i="6"/>
  <c r="AB131" i="8"/>
  <c r="EW35" i="6"/>
  <c r="GQ310" i="6"/>
  <c r="GR310" i="6" s="1"/>
  <c r="EZ85" i="6"/>
  <c r="BK97" i="5"/>
  <c r="GW88" i="6"/>
  <c r="GU88" i="6"/>
  <c r="GZ88" i="6"/>
  <c r="GV88" i="6"/>
  <c r="GY88" i="6"/>
  <c r="HA131" i="6"/>
  <c r="GQ417" i="6"/>
  <c r="GQ205" i="6"/>
  <c r="ES17" i="6"/>
  <c r="HA88" i="6"/>
  <c r="BM21" i="5"/>
  <c r="BL21" i="5"/>
  <c r="FT102" i="6"/>
  <c r="GA102" i="6"/>
  <c r="EW125" i="6"/>
  <c r="GQ227" i="6"/>
  <c r="ES49" i="6"/>
  <c r="GQ301" i="6"/>
  <c r="GR301" i="6" s="1"/>
  <c r="GQ127" i="6"/>
  <c r="BK88" i="5"/>
  <c r="GW79" i="6"/>
  <c r="GZ79" i="6"/>
  <c r="GR214" i="6"/>
  <c r="CF223" i="5"/>
  <c r="CG223" i="5" s="1"/>
  <c r="GA168" i="6"/>
  <c r="FT168" i="6"/>
  <c r="GT79" i="6"/>
  <c r="CF99" i="5"/>
  <c r="CG99" i="5" s="1"/>
  <c r="GR90" i="6"/>
  <c r="GQ270" i="6"/>
  <c r="EX155" i="6"/>
  <c r="GQ340" i="6"/>
  <c r="GR340" i="6" s="1"/>
  <c r="GR109" i="6"/>
  <c r="CF118" i="5"/>
  <c r="CG118" i="5" s="1"/>
  <c r="AB162" i="8"/>
  <c r="FT121" i="6"/>
  <c r="GA121" i="6"/>
  <c r="ES127" i="6"/>
  <c r="GQ371" i="6"/>
  <c r="GX79" i="6"/>
  <c r="ES129" i="6"/>
  <c r="EX48" i="6"/>
  <c r="GQ419" i="6"/>
  <c r="GQ414" i="6"/>
  <c r="GQ105" i="6"/>
  <c r="GY79" i="6"/>
  <c r="GQ168" i="6"/>
  <c r="GQ413" i="6"/>
  <c r="GQ450" i="6"/>
  <c r="FT135" i="6"/>
  <c r="GA135" i="6"/>
  <c r="GQ370" i="6"/>
  <c r="AB159" i="8"/>
  <c r="GA110" i="6"/>
  <c r="FT110" i="6"/>
  <c r="GQ358" i="6"/>
  <c r="AB330" i="8"/>
  <c r="GA108" i="6"/>
  <c r="FT108" i="6"/>
  <c r="GQ265" i="6"/>
  <c r="ES69" i="6"/>
  <c r="GQ218" i="6"/>
  <c r="GQ348" i="6"/>
  <c r="GR348" i="6" s="1"/>
  <c r="GQ356" i="6"/>
  <c r="GR356" i="6" s="1"/>
  <c r="GQ93" i="6"/>
  <c r="BK33" i="5"/>
  <c r="GW24" i="6"/>
  <c r="GZ24" i="6"/>
  <c r="GU24" i="6"/>
  <c r="HA24" i="6"/>
  <c r="EY24" i="6"/>
  <c r="GY24" i="6"/>
  <c r="GX24" i="6"/>
  <c r="GQ388" i="6"/>
  <c r="GA167" i="6"/>
  <c r="FT167" i="6"/>
  <c r="AB352" i="8"/>
  <c r="ES119" i="6"/>
  <c r="GY170" i="6"/>
  <c r="GQ207" i="6"/>
  <c r="GV14" i="6"/>
  <c r="EZ170" i="6"/>
  <c r="GY34" i="6"/>
  <c r="AB376" i="8"/>
  <c r="GR235" i="6"/>
  <c r="CF244" i="5"/>
  <c r="CG244" i="5" s="1"/>
  <c r="EW47" i="6"/>
  <c r="BK98" i="5"/>
  <c r="GW89" i="6"/>
  <c r="GX89" i="6"/>
  <c r="GY89" i="6"/>
  <c r="GV89" i="6"/>
  <c r="GZ89" i="6"/>
  <c r="HA89" i="6"/>
  <c r="GT89" i="6"/>
  <c r="GQ155" i="6"/>
  <c r="GV16" i="6"/>
  <c r="GX14" i="6"/>
  <c r="GQ159" i="6"/>
  <c r="ES113" i="6"/>
  <c r="AB252" i="8"/>
  <c r="GR146" i="6"/>
  <c r="CF155" i="5"/>
  <c r="CG155" i="5" s="1"/>
  <c r="GW146" i="6"/>
  <c r="GZ146" i="6"/>
  <c r="GV146" i="6"/>
  <c r="GU146" i="6"/>
  <c r="EW58" i="6"/>
  <c r="GU161" i="6"/>
  <c r="GQ121" i="6"/>
  <c r="GV170" i="6"/>
  <c r="BK23" i="5"/>
  <c r="GZ14" i="6"/>
  <c r="GW14" i="6"/>
  <c r="GU14" i="6"/>
  <c r="GR160" i="6"/>
  <c r="CF169" i="5"/>
  <c r="CG169" i="5" s="1"/>
  <c r="GQ139" i="6"/>
  <c r="ES168" i="6"/>
  <c r="BK84" i="5"/>
  <c r="GT75" i="6"/>
  <c r="GX75" i="6"/>
  <c r="GW75" i="6"/>
  <c r="GY75" i="6"/>
  <c r="HA75" i="6"/>
  <c r="GU75" i="6"/>
  <c r="GV75" i="6"/>
  <c r="EX147" i="6"/>
  <c r="AB82" i="8"/>
  <c r="AB85" i="8"/>
  <c r="GR174" i="6"/>
  <c r="CF183" i="5"/>
  <c r="CG183" i="5" s="1"/>
  <c r="ES84" i="6"/>
  <c r="EZ90" i="6"/>
  <c r="HA71" i="6"/>
  <c r="GQ280" i="6"/>
  <c r="GR280" i="6" s="1"/>
  <c r="EZ79" i="6"/>
  <c r="ET174" i="6"/>
  <c r="BK183" i="5"/>
  <c r="GQ424" i="6"/>
  <c r="GQ228" i="6"/>
  <c r="GQ421" i="6"/>
  <c r="GT174" i="6"/>
  <c r="GQ415" i="6"/>
  <c r="EW166" i="6"/>
  <c r="GQ23" i="6"/>
  <c r="CF32" i="5" s="1"/>
  <c r="CG32" i="5" s="1"/>
  <c r="GQ329" i="6"/>
  <c r="GR329" i="6" s="1"/>
  <c r="GQ489" i="6"/>
  <c r="EW126" i="6"/>
  <c r="ET142" i="6"/>
  <c r="BK151" i="5"/>
  <c r="GW142" i="6"/>
  <c r="GY142" i="6"/>
  <c r="GU142" i="6"/>
  <c r="EW43" i="6"/>
  <c r="EW86" i="6"/>
  <c r="GR171" i="6"/>
  <c r="CF180" i="5"/>
  <c r="CG180" i="5" s="1"/>
  <c r="EX94" i="6"/>
  <c r="EY134" i="6"/>
  <c r="AB238" i="8"/>
  <c r="AB361" i="8"/>
  <c r="EX139" i="6"/>
  <c r="GA86" i="6"/>
  <c r="FT86" i="6"/>
  <c r="EY114" i="6"/>
  <c r="FT136" i="6"/>
  <c r="GA136" i="6"/>
  <c r="BL80" i="5"/>
  <c r="BM80" i="5"/>
  <c r="BK59" i="5"/>
  <c r="GW50" i="6"/>
  <c r="GY50" i="6"/>
  <c r="EX43" i="6"/>
  <c r="GQ487" i="6"/>
  <c r="EW73" i="6"/>
  <c r="GQ253" i="6"/>
  <c r="AB286" i="8"/>
  <c r="AB236" i="8"/>
  <c r="EW37" i="6"/>
  <c r="AB266" i="8"/>
  <c r="EW53" i="6"/>
  <c r="GQ331" i="6"/>
  <c r="GR331" i="6" s="1"/>
  <c r="EW136" i="6"/>
  <c r="GQ448" i="6"/>
  <c r="GX50" i="6"/>
  <c r="C15" i="10"/>
  <c r="ES139" i="6"/>
  <c r="EY139" i="6" s="1"/>
  <c r="GA166" i="6"/>
  <c r="FT166" i="6"/>
  <c r="GR191" i="6"/>
  <c r="CF200" i="5"/>
  <c r="CG200" i="5" s="1"/>
  <c r="AB102" i="8"/>
  <c r="EX21" i="6"/>
  <c r="GV174" i="6"/>
  <c r="BK76" i="5"/>
  <c r="GW67" i="6"/>
  <c r="GT67" i="6"/>
  <c r="CF98" i="5"/>
  <c r="CG98" i="5" s="1"/>
  <c r="GR89" i="6"/>
  <c r="GQ154" i="6"/>
  <c r="GQ194" i="6"/>
  <c r="GX71" i="6"/>
  <c r="GR142" i="6"/>
  <c r="CF151" i="5"/>
  <c r="CG151" i="5" s="1"/>
  <c r="BK108" i="5"/>
  <c r="GW99" i="6"/>
  <c r="GU99" i="6"/>
  <c r="GQ463" i="6"/>
  <c r="GQ215" i="6"/>
  <c r="GQ396" i="6"/>
  <c r="CF55" i="5"/>
  <c r="CG55" i="5" s="1"/>
  <c r="GW46" i="6"/>
  <c r="GZ46" i="6"/>
  <c r="EX132" i="6"/>
  <c r="ES147" i="6"/>
  <c r="GT142" i="6"/>
  <c r="GQ86" i="6"/>
  <c r="GR150" i="6"/>
  <c r="CF159" i="5"/>
  <c r="CG159" i="5" s="1"/>
  <c r="GQ291" i="6"/>
  <c r="GR291" i="6" s="1"/>
  <c r="ES76" i="6"/>
  <c r="GQ281" i="6"/>
  <c r="GR281" i="6" s="1"/>
  <c r="AB300" i="8"/>
  <c r="GQ382" i="6"/>
  <c r="GQ314" i="6"/>
  <c r="GR314" i="6" s="1"/>
  <c r="EZ65" i="6"/>
  <c r="BK70" i="5"/>
  <c r="GW61" i="6"/>
  <c r="GT61" i="6"/>
  <c r="GZ61" i="6"/>
  <c r="EX127" i="6"/>
  <c r="AB359" i="8"/>
  <c r="GQ427" i="6"/>
  <c r="ES154" i="6"/>
  <c r="EY154" i="6" s="1"/>
  <c r="GQ147" i="6"/>
  <c r="EX83" i="6"/>
  <c r="GQ206" i="6"/>
  <c r="CF66" i="5"/>
  <c r="CG66" i="5" s="1"/>
  <c r="GT57" i="6"/>
  <c r="GW57" i="6"/>
  <c r="GU57" i="6"/>
  <c r="GX57" i="6"/>
  <c r="GZ57" i="6"/>
  <c r="GV57" i="6"/>
  <c r="EY67" i="6"/>
  <c r="GQ247" i="6"/>
  <c r="GR254" i="6"/>
  <c r="CF263" i="5"/>
  <c r="CG263" i="5" s="1"/>
  <c r="GQ91" i="6"/>
  <c r="AB381" i="8"/>
  <c r="EX137" i="6"/>
  <c r="AB253" i="8"/>
  <c r="FM167" i="6"/>
  <c r="BM75" i="5"/>
  <c r="BL75" i="5"/>
  <c r="EX53" i="6"/>
  <c r="AB296" i="8"/>
  <c r="BK74" i="5"/>
  <c r="GU65" i="6"/>
  <c r="GY65" i="6"/>
  <c r="GW65" i="6"/>
  <c r="GZ65" i="6"/>
  <c r="GX65" i="6"/>
  <c r="GQ486" i="6"/>
  <c r="GR87" i="6"/>
  <c r="CF96" i="5"/>
  <c r="CG96" i="5" s="1"/>
  <c r="EX154" i="6"/>
  <c r="GQ368" i="6"/>
  <c r="GQ440" i="6"/>
  <c r="AB308" i="8"/>
  <c r="ES86" i="6"/>
  <c r="EX102" i="6"/>
  <c r="EX81" i="6"/>
  <c r="EX109" i="6"/>
  <c r="EZ109" i="6" s="1"/>
  <c r="GR226" i="6"/>
  <c r="CF235" i="5"/>
  <c r="CG235" i="5" s="1"/>
  <c r="GQ386" i="6"/>
  <c r="GQ83" i="6"/>
  <c r="AB292" i="8"/>
  <c r="GQ323" i="6"/>
  <c r="GR323" i="6" s="1"/>
  <c r="GQ102" i="6"/>
  <c r="ES91" i="6"/>
  <c r="GQ190" i="6"/>
  <c r="FT125" i="6"/>
  <c r="GA125" i="6"/>
  <c r="EX93" i="6"/>
  <c r="EW173" i="6"/>
  <c r="GT65" i="6"/>
  <c r="EW72" i="6"/>
  <c r="EY72" i="6" s="1"/>
  <c r="EW31" i="6"/>
  <c r="GQ33" i="6"/>
  <c r="CF42" i="5" s="1"/>
  <c r="CG42" i="5" s="1"/>
  <c r="ES102" i="6"/>
  <c r="GQ357" i="6"/>
  <c r="GR357" i="6" s="1"/>
  <c r="GU50" i="6"/>
  <c r="ES41" i="6"/>
  <c r="AB291" i="8"/>
  <c r="GA140" i="6"/>
  <c r="FT140" i="6"/>
  <c r="FT111" i="6"/>
  <c r="GA111" i="6"/>
  <c r="GQ241" i="6"/>
  <c r="AB193" i="8"/>
  <c r="EX77" i="6"/>
  <c r="FT119" i="6"/>
  <c r="GA119" i="6"/>
  <c r="AB259" i="8"/>
  <c r="GQ476" i="6"/>
  <c r="GR148" i="6"/>
  <c r="CF157" i="5"/>
  <c r="CG157" i="5" s="1"/>
  <c r="ES33" i="6"/>
  <c r="FT97" i="6"/>
  <c r="GA97" i="6"/>
  <c r="GQ27" i="6"/>
  <c r="CF36" i="5" s="1"/>
  <c r="CG36" i="5" s="1"/>
  <c r="EW121" i="6"/>
  <c r="EY85" i="6"/>
  <c r="GQ272" i="6"/>
  <c r="EW140" i="6"/>
  <c r="GQ165" i="6"/>
  <c r="AB351" i="8"/>
  <c r="GQ469" i="6"/>
  <c r="BK71" i="5"/>
  <c r="GW62" i="6"/>
  <c r="GY62" i="6"/>
  <c r="GZ62" i="6"/>
  <c r="GR210" i="6"/>
  <c r="CF219" i="5"/>
  <c r="CG219" i="5" s="1"/>
  <c r="EW105" i="6"/>
  <c r="BM47" i="5"/>
  <c r="BL47" i="5"/>
  <c r="EW119" i="6"/>
  <c r="FT145" i="6"/>
  <c r="GA145" i="6"/>
  <c r="EX70" i="6"/>
  <c r="GR85" i="6"/>
  <c r="CF94" i="5"/>
  <c r="CG94" i="5" s="1"/>
  <c r="GQ317" i="6"/>
  <c r="GR317" i="6" s="1"/>
  <c r="EW97" i="6"/>
  <c r="GT99" i="6"/>
  <c r="GQ361" i="6"/>
  <c r="EX130" i="6"/>
  <c r="EW23" i="6"/>
  <c r="EY23" i="6" s="1"/>
  <c r="BM89" i="5"/>
  <c r="BL89" i="5"/>
  <c r="FT105" i="6"/>
  <c r="GA105" i="6"/>
  <c r="EW145" i="6"/>
  <c r="GQ444" i="6"/>
  <c r="GV142" i="6"/>
  <c r="EW159" i="6"/>
  <c r="E15" i="10"/>
  <c r="GR99" i="6"/>
  <c r="CF108" i="5"/>
  <c r="CG108" i="5" s="1"/>
  <c r="GQ145" i="6"/>
  <c r="GR118" i="6"/>
  <c r="CF127" i="5"/>
  <c r="CG127" i="5" s="1"/>
  <c r="GW118" i="6"/>
  <c r="GQ126" i="6"/>
  <c r="GQ433" i="6"/>
  <c r="BK72" i="5"/>
  <c r="GW63" i="6"/>
  <c r="GZ63" i="6"/>
  <c r="GX63" i="6"/>
  <c r="GT63" i="6"/>
  <c r="GU63" i="6"/>
  <c r="ES162" i="6"/>
  <c r="EX159" i="6"/>
  <c r="G15" i="10"/>
  <c r="EW77" i="6"/>
  <c r="GQ129" i="6"/>
  <c r="ES77" i="6"/>
  <c r="EW76" i="6"/>
  <c r="EX128" i="6"/>
  <c r="ES165" i="6"/>
  <c r="GQ158" i="6"/>
  <c r="CF167" i="5" s="1"/>
  <c r="CG167" i="5" s="1"/>
  <c r="GQ138" i="6"/>
  <c r="GQ96" i="6"/>
  <c r="EZ63" i="6"/>
  <c r="GQ426" i="6"/>
  <c r="I15" i="10"/>
  <c r="GV67" i="6"/>
  <c r="GQ151" i="6"/>
  <c r="HA67" i="6"/>
  <c r="EX107" i="6"/>
  <c r="ES138" i="6"/>
  <c r="BK61" i="5"/>
  <c r="GU52" i="6"/>
  <c r="GW52" i="6"/>
  <c r="GZ52" i="6"/>
  <c r="GY52" i="6"/>
  <c r="EX113" i="6"/>
  <c r="GQ233" i="6"/>
  <c r="EZ26" i="6"/>
  <c r="GQ407" i="6"/>
  <c r="GA158" i="6"/>
  <c r="FT158" i="6"/>
  <c r="AB235" i="8"/>
  <c r="GQ266" i="6"/>
  <c r="ES145" i="6"/>
  <c r="AB263" i="8"/>
  <c r="EW102" i="6"/>
  <c r="EX129" i="6"/>
  <c r="BM69" i="5"/>
  <c r="EY106" i="6"/>
  <c r="GQ434" i="6"/>
  <c r="GQ410" i="6"/>
  <c r="ES96" i="6"/>
  <c r="EY96" i="6" s="1"/>
  <c r="EW81" i="6"/>
  <c r="AB295" i="8"/>
  <c r="GQ119" i="6"/>
  <c r="ES151" i="6"/>
  <c r="EX95" i="6"/>
  <c r="GQ219" i="6"/>
  <c r="BK35" i="5"/>
  <c r="GZ26" i="6"/>
  <c r="HA26" i="6"/>
  <c r="GU26" i="6"/>
  <c r="GW26" i="6"/>
  <c r="GY26" i="6"/>
  <c r="EX105" i="6"/>
  <c r="GQ209" i="6"/>
  <c r="GT26" i="6"/>
  <c r="GT52" i="6"/>
  <c r="AB108" i="8"/>
  <c r="EX119" i="6"/>
  <c r="CF75" i="5"/>
  <c r="CG75" i="5" s="1"/>
  <c r="GZ66" i="6"/>
  <c r="EY52" i="6"/>
  <c r="BM91" i="5"/>
  <c r="BL91" i="5"/>
  <c r="FT153" i="6"/>
  <c r="GA153" i="6"/>
  <c r="GQ217" i="6"/>
  <c r="GQ17" i="6"/>
  <c r="CF26" i="5" s="1"/>
  <c r="CG26" i="5" s="1"/>
  <c r="GQ124" i="6"/>
  <c r="AB91" i="8"/>
  <c r="GQ128" i="6"/>
  <c r="EW91" i="6"/>
  <c r="GV109" i="6"/>
  <c r="EX151" i="6"/>
  <c r="HA174" i="6"/>
  <c r="GQ435" i="6"/>
  <c r="GU66" i="6"/>
  <c r="GQ258" i="6"/>
  <c r="GQ107" i="6"/>
  <c r="GQ283" i="6"/>
  <c r="GR283" i="6" s="1"/>
  <c r="GQ180" i="6"/>
  <c r="EX145" i="6"/>
  <c r="GQ453" i="6"/>
  <c r="GQ222" i="6"/>
  <c r="GT71" i="6"/>
  <c r="BK73" i="5"/>
  <c r="GW64" i="6"/>
  <c r="AB225" i="8"/>
  <c r="ES128" i="6"/>
  <c r="EY75" i="6"/>
  <c r="GQ390" i="6"/>
  <c r="GQ111" i="6"/>
  <c r="GQ411" i="6"/>
  <c r="EY61" i="6"/>
  <c r="EW21" i="6"/>
  <c r="GQ84" i="6"/>
  <c r="CF93" i="5" s="1"/>
  <c r="CG93" i="5" s="1"/>
  <c r="GQ273" i="6"/>
  <c r="AB280" i="8"/>
  <c r="ES107" i="6"/>
  <c r="EY107" i="6" s="1"/>
  <c r="GV71" i="6"/>
  <c r="C193" i="13" l="1"/>
  <c r="E197" i="12"/>
  <c r="E197" i="13" s="1"/>
  <c r="J188" i="12"/>
  <c r="C186" i="12"/>
  <c r="C186" i="13" s="1"/>
  <c r="B186" i="12"/>
  <c r="B186" i="13" s="1"/>
  <c r="B187" i="12"/>
  <c r="B187" i="13" s="1"/>
  <c r="L196" i="12"/>
  <c r="B196" i="12" s="1"/>
  <c r="H198" i="12"/>
  <c r="H198" i="13" s="1"/>
  <c r="G197" i="12"/>
  <c r="G197" i="13" s="1"/>
  <c r="B199" i="12"/>
  <c r="E195" i="12"/>
  <c r="E195" i="13" s="1"/>
  <c r="B195" i="12"/>
  <c r="D195" i="12"/>
  <c r="D195" i="13" s="1"/>
  <c r="G195" i="12"/>
  <c r="G195" i="13" s="1"/>
  <c r="L201" i="12"/>
  <c r="B201" i="12" s="1"/>
  <c r="H195" i="12"/>
  <c r="H195" i="13" s="1"/>
  <c r="D197" i="12"/>
  <c r="D197" i="13" s="1"/>
  <c r="N218" i="12"/>
  <c r="L218" i="12" s="1"/>
  <c r="F197" i="12"/>
  <c r="F197" i="13" s="1"/>
  <c r="B197" i="12"/>
  <c r="HA109" i="6"/>
  <c r="GY109" i="6"/>
  <c r="GZ141" i="6"/>
  <c r="C185" i="13"/>
  <c r="N224" i="12"/>
  <c r="N236" i="12" s="1"/>
  <c r="EZ141" i="6"/>
  <c r="J185" i="12"/>
  <c r="GU143" i="6"/>
  <c r="EZ157" i="6"/>
  <c r="GX134" i="6"/>
  <c r="HA141" i="6"/>
  <c r="EZ144" i="6"/>
  <c r="GW141" i="6"/>
  <c r="GZ109" i="6"/>
  <c r="GT109" i="6"/>
  <c r="GX109" i="6"/>
  <c r="GU134" i="6"/>
  <c r="GW148" i="6"/>
  <c r="L200" i="12"/>
  <c r="F200" i="12" s="1"/>
  <c r="F200" i="13" s="1"/>
  <c r="GT143" i="6"/>
  <c r="HA134" i="6"/>
  <c r="GY148" i="6"/>
  <c r="GV97" i="6"/>
  <c r="EY145" i="6"/>
  <c r="EZ159" i="6"/>
  <c r="GW109" i="6"/>
  <c r="BK118" i="5"/>
  <c r="GV134" i="6"/>
  <c r="GY130" i="6"/>
  <c r="GZ148" i="6"/>
  <c r="GX148" i="6"/>
  <c r="BM53" i="5"/>
  <c r="BL53" i="5"/>
  <c r="GV143" i="6"/>
  <c r="GT141" i="6"/>
  <c r="GZ143" i="6"/>
  <c r="C207" i="12"/>
  <c r="EZ29" i="6"/>
  <c r="F195" i="12"/>
  <c r="F195" i="13" s="1"/>
  <c r="GV148" i="6"/>
  <c r="BK157" i="5"/>
  <c r="BM157" i="5" s="1"/>
  <c r="L209" i="12"/>
  <c r="EZ148" i="6"/>
  <c r="ET148" i="6"/>
  <c r="EX115" i="6"/>
  <c r="EZ115" i="6" s="1"/>
  <c r="G187" i="12"/>
  <c r="G187" i="13" s="1"/>
  <c r="EY110" i="6"/>
  <c r="GZ113" i="6"/>
  <c r="H187" i="12"/>
  <c r="H187" i="13" s="1"/>
  <c r="C187" i="12"/>
  <c r="C187" i="13" s="1"/>
  <c r="EY165" i="6"/>
  <c r="D187" i="12"/>
  <c r="D187" i="13" s="1"/>
  <c r="GU47" i="6"/>
  <c r="GU159" i="6"/>
  <c r="E187" i="12"/>
  <c r="E199" i="12" s="1"/>
  <c r="GY43" i="6"/>
  <c r="D205" i="12"/>
  <c r="D217" i="12" s="1"/>
  <c r="GT148" i="6"/>
  <c r="EY159" i="6"/>
  <c r="GV135" i="6"/>
  <c r="GX29" i="6"/>
  <c r="I188" i="12"/>
  <c r="I188" i="13" s="1"/>
  <c r="BL83" i="5"/>
  <c r="EZ97" i="6"/>
  <c r="CF123" i="5"/>
  <c r="CG123" i="5" s="1"/>
  <c r="GZ114" i="6"/>
  <c r="HA148" i="6"/>
  <c r="BL155" i="5"/>
  <c r="GU148" i="6"/>
  <c r="E205" i="12"/>
  <c r="E205" i="13" s="1"/>
  <c r="I185" i="12"/>
  <c r="I185" i="13" s="1"/>
  <c r="EY112" i="6"/>
  <c r="HA112" i="6"/>
  <c r="HA140" i="6"/>
  <c r="EZ56" i="6"/>
  <c r="BL140" i="5"/>
  <c r="BK106" i="5"/>
  <c r="BL106" i="5" s="1"/>
  <c r="EY97" i="6"/>
  <c r="BK52" i="5"/>
  <c r="BM52" i="5" s="1"/>
  <c r="GU97" i="6"/>
  <c r="E186" i="13"/>
  <c r="GY97" i="6"/>
  <c r="BK79" i="5"/>
  <c r="BM79" i="5" s="1"/>
  <c r="EZ129" i="6"/>
  <c r="CF139" i="5"/>
  <c r="CG139" i="5" s="1"/>
  <c r="GX59" i="6"/>
  <c r="EZ69" i="6"/>
  <c r="GV48" i="6"/>
  <c r="GW130" i="6"/>
  <c r="EY167" i="6"/>
  <c r="GX97" i="6"/>
  <c r="GZ29" i="6"/>
  <c r="GZ97" i="6"/>
  <c r="HA97" i="6"/>
  <c r="EZ105" i="6"/>
  <c r="HA119" i="6"/>
  <c r="GV86" i="6"/>
  <c r="GZ130" i="6"/>
  <c r="GY108" i="6"/>
  <c r="GT97" i="6"/>
  <c r="EY56" i="6"/>
  <c r="EY119" i="6"/>
  <c r="F198" i="12"/>
  <c r="F198" i="13" s="1"/>
  <c r="D198" i="12"/>
  <c r="D210" i="12" s="1"/>
  <c r="GV21" i="6"/>
  <c r="ET130" i="6"/>
  <c r="EY81" i="6"/>
  <c r="EZ72" i="6"/>
  <c r="GV105" i="6"/>
  <c r="EZ41" i="6"/>
  <c r="GZ43" i="6"/>
  <c r="EZ130" i="6"/>
  <c r="EY130" i="6"/>
  <c r="EY155" i="6"/>
  <c r="EY136" i="6"/>
  <c r="EZ43" i="6"/>
  <c r="GV130" i="6"/>
  <c r="BK181" i="5"/>
  <c r="BM181" i="5" s="1"/>
  <c r="CF101" i="5"/>
  <c r="CG101" i="5" s="1"/>
  <c r="ET172" i="6"/>
  <c r="CF220" i="5"/>
  <c r="CG220" i="5" s="1"/>
  <c r="HA81" i="6"/>
  <c r="GW159" i="6"/>
  <c r="GR242" i="6"/>
  <c r="GZ58" i="6"/>
  <c r="GX137" i="6"/>
  <c r="EY158" i="6"/>
  <c r="GT130" i="6"/>
  <c r="HA43" i="6"/>
  <c r="HA130" i="6"/>
  <c r="EY43" i="6"/>
  <c r="GX21" i="6"/>
  <c r="BK168" i="5"/>
  <c r="BM168" i="5" s="1"/>
  <c r="EZ23" i="6"/>
  <c r="GZ21" i="6"/>
  <c r="EZ139" i="6"/>
  <c r="EZ70" i="6"/>
  <c r="EZ81" i="6"/>
  <c r="EZ137" i="6"/>
  <c r="GX132" i="6"/>
  <c r="GX166" i="6"/>
  <c r="EY140" i="6"/>
  <c r="GT145" i="6"/>
  <c r="EZ21" i="6"/>
  <c r="EZ166" i="6"/>
  <c r="GW21" i="6"/>
  <c r="GX55" i="6"/>
  <c r="GU102" i="6"/>
  <c r="GT21" i="6"/>
  <c r="GY55" i="6"/>
  <c r="E190" i="12"/>
  <c r="D190" i="12"/>
  <c r="D190" i="13" s="1"/>
  <c r="C190" i="12"/>
  <c r="G190" i="12"/>
  <c r="G190" i="13" s="1"/>
  <c r="B190" i="13"/>
  <c r="H190" i="12"/>
  <c r="H190" i="13" s="1"/>
  <c r="F190" i="12"/>
  <c r="F190" i="13" s="1"/>
  <c r="GU41" i="6"/>
  <c r="EY58" i="6"/>
  <c r="GY59" i="6"/>
  <c r="ET155" i="6"/>
  <c r="GT115" i="6"/>
  <c r="N214" i="12"/>
  <c r="L202" i="12"/>
  <c r="B202" i="12" s="1"/>
  <c r="GT47" i="6"/>
  <c r="HA151" i="6"/>
  <c r="GT129" i="6"/>
  <c r="GY21" i="6"/>
  <c r="EY166" i="6"/>
  <c r="HA49" i="6"/>
  <c r="GV53" i="6"/>
  <c r="HA120" i="6"/>
  <c r="GT119" i="6"/>
  <c r="GY31" i="6"/>
  <c r="EZ164" i="6"/>
  <c r="CF278" i="5"/>
  <c r="CG278" i="5" s="1"/>
  <c r="HA135" i="6"/>
  <c r="GU125" i="6"/>
  <c r="EY105" i="6"/>
  <c r="GT128" i="6"/>
  <c r="GZ96" i="6"/>
  <c r="GU21" i="6"/>
  <c r="GV29" i="6"/>
  <c r="GY105" i="6"/>
  <c r="HA138" i="6"/>
  <c r="EZ119" i="6"/>
  <c r="BL127" i="5"/>
  <c r="GU69" i="6"/>
  <c r="GY166" i="6"/>
  <c r="EY25" i="6"/>
  <c r="GX15" i="6"/>
  <c r="GT107" i="6"/>
  <c r="GX162" i="6"/>
  <c r="HA139" i="6"/>
  <c r="GX155" i="6"/>
  <c r="EZ155" i="6"/>
  <c r="GZ17" i="6"/>
  <c r="GZ111" i="6"/>
  <c r="HA21" i="6"/>
  <c r="CF106" i="5"/>
  <c r="CG106" i="5" s="1"/>
  <c r="EY21" i="6"/>
  <c r="GU59" i="6"/>
  <c r="GV76" i="6"/>
  <c r="GU56" i="6"/>
  <c r="GX122" i="6"/>
  <c r="HA94" i="6"/>
  <c r="HA92" i="6"/>
  <c r="GT121" i="6"/>
  <c r="GY91" i="6"/>
  <c r="GW97" i="6"/>
  <c r="H205" i="12"/>
  <c r="H205" i="13" s="1"/>
  <c r="C205" i="12"/>
  <c r="J193" i="12"/>
  <c r="F205" i="12"/>
  <c r="F205" i="13" s="1"/>
  <c r="B205" i="12"/>
  <c r="I193" i="12"/>
  <c r="C195" i="13"/>
  <c r="B193" i="13"/>
  <c r="B194" i="13"/>
  <c r="B191" i="13"/>
  <c r="B189" i="13"/>
  <c r="J188" i="13"/>
  <c r="I191" i="12"/>
  <c r="I191" i="13" s="1"/>
  <c r="CF192" i="5"/>
  <c r="CG192" i="5" s="1"/>
  <c r="GR213" i="6"/>
  <c r="CF210" i="5"/>
  <c r="CG210" i="5" s="1"/>
  <c r="GR223" i="6"/>
  <c r="GV145" i="6"/>
  <c r="EZ172" i="6"/>
  <c r="GY81" i="6"/>
  <c r="HA31" i="6"/>
  <c r="GW166" i="6"/>
  <c r="GY172" i="6"/>
  <c r="BK134" i="5"/>
  <c r="BM134" i="5" s="1"/>
  <c r="EZ125" i="6"/>
  <c r="GW59" i="6"/>
  <c r="BV203" i="5"/>
  <c r="BX203" i="5"/>
  <c r="BY203" i="5"/>
  <c r="EZ48" i="6"/>
  <c r="GZ169" i="6"/>
  <c r="EY59" i="6"/>
  <c r="ET125" i="6"/>
  <c r="BK68" i="5"/>
  <c r="BM68" i="5" s="1"/>
  <c r="GU110" i="6"/>
  <c r="HA23" i="6"/>
  <c r="HA84" i="6"/>
  <c r="GT37" i="6"/>
  <c r="EZ96" i="6"/>
  <c r="EZ140" i="6"/>
  <c r="EY116" i="6"/>
  <c r="GY101" i="6"/>
  <c r="GZ59" i="6"/>
  <c r="EX111" i="6"/>
  <c r="EZ111" i="6" s="1"/>
  <c r="GV58" i="6"/>
  <c r="GT144" i="6"/>
  <c r="HA114" i="6"/>
  <c r="EZ114" i="6"/>
  <c r="HA55" i="6"/>
  <c r="EZ152" i="6"/>
  <c r="GX19" i="6"/>
  <c r="GU83" i="6"/>
  <c r="GT108" i="6"/>
  <c r="BV200" i="5"/>
  <c r="BY200" i="5"/>
  <c r="BX200" i="5"/>
  <c r="HA29" i="6"/>
  <c r="HA70" i="6"/>
  <c r="GY58" i="6"/>
  <c r="GX43" i="6"/>
  <c r="GV25" i="6"/>
  <c r="GT29" i="6"/>
  <c r="GV108" i="6"/>
  <c r="BK40" i="5"/>
  <c r="BL40" i="5" s="1"/>
  <c r="EZ58" i="6"/>
  <c r="BV199" i="5"/>
  <c r="BY199" i="5"/>
  <c r="BX199" i="5"/>
  <c r="BV198" i="5"/>
  <c r="BX198" i="5"/>
  <c r="BY198" i="5"/>
  <c r="GU114" i="6"/>
  <c r="GT41" i="6"/>
  <c r="GY93" i="6"/>
  <c r="EZ59" i="6"/>
  <c r="EY15" i="6"/>
  <c r="BK38" i="5"/>
  <c r="BM38" i="5" s="1"/>
  <c r="EY29" i="6"/>
  <c r="GY73" i="6"/>
  <c r="BY192" i="5"/>
  <c r="BV192" i="5"/>
  <c r="BX192" i="5"/>
  <c r="GX39" i="6"/>
  <c r="GV59" i="6"/>
  <c r="GV23" i="6"/>
  <c r="GV102" i="6"/>
  <c r="GR276" i="6"/>
  <c r="GV31" i="6"/>
  <c r="BV188" i="5"/>
  <c r="BX188" i="5"/>
  <c r="BY188" i="5"/>
  <c r="ET166" i="6"/>
  <c r="GU19" i="6"/>
  <c r="BV187" i="5"/>
  <c r="BX187" i="5"/>
  <c r="BY187" i="5"/>
  <c r="GW112" i="6"/>
  <c r="GV166" i="6"/>
  <c r="HA91" i="6"/>
  <c r="GT147" i="6"/>
  <c r="EY86" i="6"/>
  <c r="GZ157" i="6"/>
  <c r="GU95" i="6"/>
  <c r="BV190" i="5"/>
  <c r="BX190" i="5"/>
  <c r="BY190" i="5"/>
  <c r="GX130" i="6"/>
  <c r="HA39" i="6"/>
  <c r="BK175" i="5"/>
  <c r="BL175" i="5" s="1"/>
  <c r="EZ91" i="6"/>
  <c r="GY23" i="6"/>
  <c r="GZ41" i="6"/>
  <c r="EZ158" i="6"/>
  <c r="EZ83" i="6"/>
  <c r="GV113" i="6"/>
  <c r="HA102" i="6"/>
  <c r="HA127" i="6"/>
  <c r="GZ105" i="6"/>
  <c r="GU81" i="6"/>
  <c r="GV43" i="6"/>
  <c r="GU168" i="6"/>
  <c r="GX114" i="6"/>
  <c r="EY125" i="6"/>
  <c r="GZ166" i="6"/>
  <c r="HA17" i="6"/>
  <c r="GY17" i="6"/>
  <c r="EY104" i="6"/>
  <c r="BV204" i="5"/>
  <c r="BX204" i="5"/>
  <c r="BY204" i="5"/>
  <c r="BV191" i="5"/>
  <c r="BX191" i="5"/>
  <c r="BY191" i="5"/>
  <c r="HA137" i="6"/>
  <c r="EZ31" i="6"/>
  <c r="GZ48" i="6"/>
  <c r="EY83" i="6"/>
  <c r="EY31" i="6"/>
  <c r="HA166" i="6"/>
  <c r="EZ116" i="6"/>
  <c r="GV55" i="6"/>
  <c r="EZ112" i="6"/>
  <c r="CF213" i="5"/>
  <c r="CG213" i="5" s="1"/>
  <c r="ES150" i="6"/>
  <c r="EX150" i="6"/>
  <c r="EZ145" i="6"/>
  <c r="EY111" i="6"/>
  <c r="BK114" i="5"/>
  <c r="BL114" i="5" s="1"/>
  <c r="GU105" i="6"/>
  <c r="GT154" i="6"/>
  <c r="GX58" i="6"/>
  <c r="GY162" i="6"/>
  <c r="GU43" i="6"/>
  <c r="GV81" i="6"/>
  <c r="HA37" i="6"/>
  <c r="GZ81" i="6"/>
  <c r="GZ23" i="6"/>
  <c r="BK121" i="5"/>
  <c r="BL121" i="5" s="1"/>
  <c r="HA124" i="6"/>
  <c r="GT43" i="6"/>
  <c r="GX100" i="6"/>
  <c r="HA59" i="6"/>
  <c r="GZ125" i="6"/>
  <c r="EZ135" i="6"/>
  <c r="BV202" i="5"/>
  <c r="BX202" i="5"/>
  <c r="BY202" i="5"/>
  <c r="ET152" i="6"/>
  <c r="GV137" i="6"/>
  <c r="GW43" i="6"/>
  <c r="GT59" i="6"/>
  <c r="BV201" i="5"/>
  <c r="BY201" i="5"/>
  <c r="BX201" i="5"/>
  <c r="BV197" i="5"/>
  <c r="BX197" i="5"/>
  <c r="BY197" i="5"/>
  <c r="BV189" i="5"/>
  <c r="BY189" i="5"/>
  <c r="BX189" i="5"/>
  <c r="BV196" i="5"/>
  <c r="BY196" i="5"/>
  <c r="BX196" i="5"/>
  <c r="GX126" i="6"/>
  <c r="GX81" i="6"/>
  <c r="GV140" i="6"/>
  <c r="GU172" i="6"/>
  <c r="EK175" i="6"/>
  <c r="FJ175" i="6"/>
  <c r="EM175" i="6"/>
  <c r="EW175" i="6" s="1"/>
  <c r="EL175" i="6"/>
  <c r="EO175" i="6"/>
  <c r="GY169" i="6"/>
  <c r="GT164" i="6"/>
  <c r="FE176" i="6"/>
  <c r="EN176" i="6" s="1"/>
  <c r="FD176" i="6"/>
  <c r="EM176" i="6" s="1"/>
  <c r="FC176" i="6"/>
  <c r="EL176" i="6" s="1"/>
  <c r="FB176" i="6"/>
  <c r="FI176" i="6"/>
  <c r="ER176" i="6" s="1"/>
  <c r="FH176" i="6"/>
  <c r="EQ176" i="6" s="1"/>
  <c r="FG176" i="6"/>
  <c r="FF176" i="6"/>
  <c r="EO176" i="6" s="1"/>
  <c r="GX169" i="6"/>
  <c r="BJ186" i="5"/>
  <c r="FR177" i="6"/>
  <c r="FT177" i="6" s="1"/>
  <c r="AX187" i="5"/>
  <c r="FY177" i="6"/>
  <c r="BG186" i="5"/>
  <c r="FL177" i="6"/>
  <c r="FZ176" i="6"/>
  <c r="GA176" i="6" s="1"/>
  <c r="GY47" i="6"/>
  <c r="EZ120" i="6"/>
  <c r="HA19" i="6"/>
  <c r="EY108" i="6"/>
  <c r="GX73" i="6"/>
  <c r="L221" i="12"/>
  <c r="N233" i="12"/>
  <c r="N257" i="13"/>
  <c r="L245" i="13"/>
  <c r="EZ93" i="6"/>
  <c r="GV72" i="6"/>
  <c r="GU53" i="6"/>
  <c r="GT159" i="6"/>
  <c r="GY100" i="6"/>
  <c r="GX92" i="6"/>
  <c r="EY55" i="6"/>
  <c r="GY70" i="6"/>
  <c r="EZ37" i="6"/>
  <c r="HA72" i="6"/>
  <c r="EZ17" i="6"/>
  <c r="G203" i="12"/>
  <c r="G203" i="13" s="1"/>
  <c r="H203" i="12"/>
  <c r="H203" i="13" s="1"/>
  <c r="F203" i="12"/>
  <c r="F203" i="13" s="1"/>
  <c r="E203" i="12"/>
  <c r="D203" i="12"/>
  <c r="C203" i="12"/>
  <c r="N234" i="12"/>
  <c r="L222" i="12"/>
  <c r="EZ76" i="6"/>
  <c r="EY117" i="6"/>
  <c r="GV117" i="6"/>
  <c r="GV69" i="6"/>
  <c r="GT125" i="6"/>
  <c r="N255" i="13"/>
  <c r="L243" i="13"/>
  <c r="GY125" i="6"/>
  <c r="HA172" i="6"/>
  <c r="HA73" i="6"/>
  <c r="EZ121" i="6"/>
  <c r="GU70" i="6"/>
  <c r="J189" i="12"/>
  <c r="C189" i="13"/>
  <c r="N227" i="12"/>
  <c r="L215" i="12"/>
  <c r="EY102" i="6"/>
  <c r="GY76" i="6"/>
  <c r="GT172" i="6"/>
  <c r="GU104" i="6"/>
  <c r="HA105" i="6"/>
  <c r="GX17" i="6"/>
  <c r="GU122" i="6"/>
  <c r="L242" i="13"/>
  <c r="N254" i="13"/>
  <c r="L248" i="13"/>
  <c r="N260" i="13"/>
  <c r="GZ69" i="6"/>
  <c r="EY37" i="6"/>
  <c r="GY113" i="6"/>
  <c r="HA158" i="6"/>
  <c r="HA110" i="6"/>
  <c r="GV172" i="6"/>
  <c r="E210" i="12"/>
  <c r="G210" i="12"/>
  <c r="G210" i="13" s="1"/>
  <c r="HA121" i="6"/>
  <c r="GZ95" i="6"/>
  <c r="GZ121" i="6"/>
  <c r="HA27" i="6"/>
  <c r="GY49" i="6"/>
  <c r="GZ154" i="6"/>
  <c r="EY39" i="6"/>
  <c r="GY121" i="6"/>
  <c r="GZ92" i="6"/>
  <c r="EY93" i="6"/>
  <c r="GU55" i="6"/>
  <c r="GV100" i="6"/>
  <c r="BK164" i="5"/>
  <c r="BM164" i="5" s="1"/>
  <c r="GV92" i="6"/>
  <c r="D189" i="13"/>
  <c r="L237" i="13"/>
  <c r="N249" i="13"/>
  <c r="N264" i="13"/>
  <c r="L252" i="13"/>
  <c r="G217" i="12"/>
  <c r="G217" i="13" s="1"/>
  <c r="C197" i="13"/>
  <c r="EZ95" i="6"/>
  <c r="EY147" i="6"/>
  <c r="J184" i="12"/>
  <c r="C184" i="13"/>
  <c r="EY47" i="6"/>
  <c r="GT95" i="6"/>
  <c r="EZ107" i="6"/>
  <c r="GU96" i="6"/>
  <c r="EY76" i="6"/>
  <c r="GX70" i="6"/>
  <c r="EZ132" i="6"/>
  <c r="GV129" i="6"/>
  <c r="GW167" i="6"/>
  <c r="GZ73" i="6"/>
  <c r="GU39" i="6"/>
  <c r="GY15" i="6"/>
  <c r="EZ19" i="6"/>
  <c r="GW121" i="6"/>
  <c r="GW29" i="6"/>
  <c r="GU15" i="6"/>
  <c r="GW95" i="6"/>
  <c r="EY95" i="6"/>
  <c r="GT73" i="6"/>
  <c r="E198" i="13"/>
  <c r="D194" i="13"/>
  <c r="E194" i="13"/>
  <c r="GZ72" i="6"/>
  <c r="GT94" i="6"/>
  <c r="GY95" i="6"/>
  <c r="J194" i="12"/>
  <c r="C194" i="13"/>
  <c r="GZ112" i="6"/>
  <c r="GY139" i="6"/>
  <c r="GU92" i="6"/>
  <c r="GV39" i="6"/>
  <c r="GU121" i="6"/>
  <c r="GV121" i="6"/>
  <c r="GX116" i="6"/>
  <c r="GV120" i="6"/>
  <c r="GX41" i="6"/>
  <c r="BK130" i="5"/>
  <c r="BM130" i="5" s="1"/>
  <c r="GT31" i="6"/>
  <c r="BK104" i="5"/>
  <c r="BL104" i="5" s="1"/>
  <c r="BK82" i="5"/>
  <c r="BL82" i="5" s="1"/>
  <c r="N220" i="12"/>
  <c r="L208" i="12"/>
  <c r="D184" i="13"/>
  <c r="N243" i="12"/>
  <c r="L231" i="12"/>
  <c r="HA147" i="6"/>
  <c r="GW169" i="6"/>
  <c r="GX95" i="6"/>
  <c r="GV95" i="6"/>
  <c r="I184" i="12"/>
  <c r="I184" i="13" s="1"/>
  <c r="GV56" i="6"/>
  <c r="EZ147" i="6"/>
  <c r="GZ172" i="6"/>
  <c r="GY110" i="6"/>
  <c r="EY35" i="6"/>
  <c r="GU137" i="6"/>
  <c r="GY140" i="6"/>
  <c r="GY114" i="6"/>
  <c r="EZ73" i="6"/>
  <c r="EZ27" i="6"/>
  <c r="EY120" i="6"/>
  <c r="GV15" i="6"/>
  <c r="GW31" i="6"/>
  <c r="EZ25" i="6"/>
  <c r="E184" i="13"/>
  <c r="EY152" i="6"/>
  <c r="GX108" i="6"/>
  <c r="GZ122" i="6"/>
  <c r="GZ37" i="6"/>
  <c r="GU156" i="6"/>
  <c r="HA93" i="6"/>
  <c r="GZ15" i="6"/>
  <c r="GV17" i="6"/>
  <c r="GZ19" i="6"/>
  <c r="GT100" i="6"/>
  <c r="EZ55" i="6"/>
  <c r="L213" i="12"/>
  <c r="N225" i="12"/>
  <c r="N250" i="13"/>
  <c r="L238" i="13"/>
  <c r="I194" i="12"/>
  <c r="I194" i="13" s="1"/>
  <c r="N246" i="13"/>
  <c r="L234" i="13"/>
  <c r="L244" i="13"/>
  <c r="N256" i="13"/>
  <c r="E191" i="13"/>
  <c r="E189" i="13"/>
  <c r="GV116" i="6"/>
  <c r="N265" i="13"/>
  <c r="L253" i="13"/>
  <c r="EY121" i="6"/>
  <c r="GX113" i="6"/>
  <c r="GV125" i="6"/>
  <c r="GZ132" i="6"/>
  <c r="GX121" i="6"/>
  <c r="GT153" i="6"/>
  <c r="EZ122" i="6"/>
  <c r="GY155" i="6"/>
  <c r="EY113" i="6"/>
  <c r="GT113" i="6"/>
  <c r="N247" i="13"/>
  <c r="L235" i="13"/>
  <c r="H206" i="12"/>
  <c r="H206" i="13" s="1"/>
  <c r="G206" i="12"/>
  <c r="G206" i="13" s="1"/>
  <c r="F206" i="12"/>
  <c r="F206" i="13" s="1"/>
  <c r="E206" i="12"/>
  <c r="D206" i="12"/>
  <c r="C206" i="12"/>
  <c r="B206" i="12"/>
  <c r="GT76" i="6"/>
  <c r="HA126" i="6"/>
  <c r="EZ113" i="6"/>
  <c r="GV158" i="6"/>
  <c r="EZ102" i="6"/>
  <c r="GU158" i="6"/>
  <c r="GY116" i="6"/>
  <c r="GU37" i="6"/>
  <c r="GT102" i="6"/>
  <c r="GV167" i="6"/>
  <c r="GV37" i="6"/>
  <c r="HA53" i="6"/>
  <c r="GX27" i="6"/>
  <c r="GW155" i="6"/>
  <c r="GW173" i="6"/>
  <c r="GU49" i="6"/>
  <c r="GU167" i="6"/>
  <c r="GY19" i="6"/>
  <c r="GV19" i="6"/>
  <c r="GT53" i="6"/>
  <c r="GX110" i="6"/>
  <c r="GV49" i="6"/>
  <c r="GZ31" i="6"/>
  <c r="EZ110" i="6"/>
  <c r="N263" i="13"/>
  <c r="L251" i="13"/>
  <c r="GT152" i="6"/>
  <c r="I189" i="12"/>
  <c r="I189" i="13" s="1"/>
  <c r="EY84" i="6"/>
  <c r="GU73" i="6"/>
  <c r="GX31" i="6"/>
  <c r="GX102" i="6"/>
  <c r="EY53" i="6"/>
  <c r="EY73" i="6"/>
  <c r="EZ104" i="6"/>
  <c r="EZ100" i="6"/>
  <c r="GZ152" i="6"/>
  <c r="EY41" i="6"/>
  <c r="J191" i="12"/>
  <c r="C191" i="13"/>
  <c r="G199" i="12"/>
  <c r="G199" i="13" s="1"/>
  <c r="F199" i="12"/>
  <c r="F199" i="13" s="1"/>
  <c r="HA15" i="6"/>
  <c r="EZ92" i="6"/>
  <c r="GT138" i="6"/>
  <c r="GY39" i="6"/>
  <c r="GU76" i="6"/>
  <c r="GX120" i="6"/>
  <c r="GV91" i="6"/>
  <c r="GZ120" i="6"/>
  <c r="GU17" i="6"/>
  <c r="EZ49" i="6"/>
  <c r="L229" i="12"/>
  <c r="N241" i="12"/>
  <c r="D191" i="13"/>
  <c r="N223" i="12"/>
  <c r="L211" i="12"/>
  <c r="GR128" i="6"/>
  <c r="CF137" i="5"/>
  <c r="CG137" i="5" s="1"/>
  <c r="GR266" i="6"/>
  <c r="CF275" i="5"/>
  <c r="CG275" i="5" s="1"/>
  <c r="CF147" i="5"/>
  <c r="CG147" i="5" s="1"/>
  <c r="GR138" i="6"/>
  <c r="GX168" i="6"/>
  <c r="GZ94" i="6"/>
  <c r="GR159" i="6"/>
  <c r="CF168" i="5"/>
  <c r="CG168" i="5" s="1"/>
  <c r="GT168" i="6"/>
  <c r="GR205" i="6"/>
  <c r="CF214" i="5"/>
  <c r="CG214" i="5" s="1"/>
  <c r="HA104" i="6"/>
  <c r="BK120" i="5"/>
  <c r="GW111" i="6"/>
  <c r="GY111" i="6"/>
  <c r="GX111" i="6"/>
  <c r="GR257" i="6"/>
  <c r="CF266" i="5"/>
  <c r="CG266" i="5" s="1"/>
  <c r="GZ93" i="6"/>
  <c r="GZ91" i="6"/>
  <c r="BM115" i="5"/>
  <c r="BL115" i="5"/>
  <c r="ET136" i="6"/>
  <c r="BK145" i="5"/>
  <c r="GW136" i="6"/>
  <c r="GY136" i="6"/>
  <c r="GT136" i="6"/>
  <c r="GU136" i="6"/>
  <c r="GX136" i="6"/>
  <c r="GT81" i="6"/>
  <c r="GW110" i="6"/>
  <c r="EY27" i="6"/>
  <c r="BK42" i="5"/>
  <c r="GW33" i="6"/>
  <c r="ET123" i="6"/>
  <c r="BK132" i="5"/>
  <c r="GW123" i="6"/>
  <c r="GY123" i="6"/>
  <c r="GR153" i="6"/>
  <c r="CF162" i="5"/>
  <c r="CG162" i="5" s="1"/>
  <c r="GR279" i="6"/>
  <c r="CF288" i="5"/>
  <c r="CG288" i="5" s="1"/>
  <c r="GR196" i="6"/>
  <c r="CF205" i="5"/>
  <c r="CG205" i="5" s="1"/>
  <c r="BK22" i="5"/>
  <c r="GW13" i="6"/>
  <c r="GU123" i="6"/>
  <c r="EY124" i="6"/>
  <c r="BM150" i="5"/>
  <c r="BL150" i="5"/>
  <c r="GY104" i="6"/>
  <c r="BM119" i="5"/>
  <c r="BL119" i="5"/>
  <c r="GR199" i="6"/>
  <c r="CF208" i="5"/>
  <c r="CG208" i="5" s="1"/>
  <c r="GR107" i="6"/>
  <c r="CF116" i="5"/>
  <c r="CG116" i="5" s="1"/>
  <c r="BM84" i="5"/>
  <c r="BL84" i="5"/>
  <c r="GR155" i="6"/>
  <c r="CF164" i="5"/>
  <c r="CG164" i="5" s="1"/>
  <c r="GT155" i="6"/>
  <c r="BK44" i="5"/>
  <c r="GW35" i="6"/>
  <c r="BK165" i="5"/>
  <c r="ET156" i="6"/>
  <c r="GV156" i="6"/>
  <c r="GZ156" i="6"/>
  <c r="GY156" i="6"/>
  <c r="GX156" i="6"/>
  <c r="GR179" i="6"/>
  <c r="CF188" i="5"/>
  <c r="CG188" i="5" s="1"/>
  <c r="ET149" i="6"/>
  <c r="BK158" i="5"/>
  <c r="GW149" i="6"/>
  <c r="EY149" i="6"/>
  <c r="GX149" i="6"/>
  <c r="GV149" i="6"/>
  <c r="GY117" i="6"/>
  <c r="EY94" i="6"/>
  <c r="ET169" i="6"/>
  <c r="BK178" i="5"/>
  <c r="GU169" i="6"/>
  <c r="HA149" i="6"/>
  <c r="GY151" i="6"/>
  <c r="EZ101" i="6"/>
  <c r="GW165" i="6"/>
  <c r="GR240" i="6"/>
  <c r="CF249" i="5"/>
  <c r="CG249" i="5" s="1"/>
  <c r="GR101" i="6"/>
  <c r="CF110" i="5"/>
  <c r="CG110" i="5" s="1"/>
  <c r="GU151" i="6"/>
  <c r="GY127" i="6"/>
  <c r="GR108" i="6"/>
  <c r="CF117" i="5"/>
  <c r="CG117" i="5" s="1"/>
  <c r="CF109" i="5"/>
  <c r="CG109" i="5" s="1"/>
  <c r="GR100" i="6"/>
  <c r="GR277" i="6"/>
  <c r="CF286" i="5"/>
  <c r="CG286" i="5" s="1"/>
  <c r="GZ35" i="6"/>
  <c r="GT116" i="6"/>
  <c r="BM76" i="5"/>
  <c r="BL76" i="5"/>
  <c r="GZ107" i="6"/>
  <c r="GZ127" i="6"/>
  <c r="BM108" i="5"/>
  <c r="BL108" i="5"/>
  <c r="GR255" i="6"/>
  <c r="CF264" i="5"/>
  <c r="CG264" i="5" s="1"/>
  <c r="ET153" i="6"/>
  <c r="BK162" i="5"/>
  <c r="GX153" i="6"/>
  <c r="GY153" i="6"/>
  <c r="GW153" i="6"/>
  <c r="GZ153" i="6"/>
  <c r="GU153" i="6"/>
  <c r="HA153" i="6"/>
  <c r="EY101" i="6"/>
  <c r="GR252" i="6"/>
  <c r="CF261" i="5"/>
  <c r="CG261" i="5" s="1"/>
  <c r="GY112" i="6"/>
  <c r="BL180" i="5"/>
  <c r="BM180" i="5"/>
  <c r="EZ173" i="6"/>
  <c r="GZ27" i="6"/>
  <c r="GV33" i="6"/>
  <c r="EY168" i="6"/>
  <c r="GT101" i="6"/>
  <c r="GR132" i="6"/>
  <c r="CF141" i="5"/>
  <c r="CG141" i="5" s="1"/>
  <c r="BM142" i="5"/>
  <c r="BL142" i="5"/>
  <c r="BK124" i="5"/>
  <c r="GW115" i="6"/>
  <c r="GV115" i="6"/>
  <c r="GR125" i="6"/>
  <c r="CF134" i="5"/>
  <c r="CG134" i="5" s="1"/>
  <c r="GR221" i="6"/>
  <c r="CF230" i="5"/>
  <c r="CG230" i="5" s="1"/>
  <c r="GX56" i="6"/>
  <c r="HA13" i="6"/>
  <c r="BK86" i="5"/>
  <c r="GW77" i="6"/>
  <c r="GY77" i="6"/>
  <c r="GR222" i="6"/>
  <c r="CF231" i="5"/>
  <c r="CG231" i="5" s="1"/>
  <c r="GR129" i="6"/>
  <c r="CF138" i="5"/>
  <c r="CG138" i="5" s="1"/>
  <c r="GR241" i="6"/>
  <c r="CF250" i="5"/>
  <c r="CG250" i="5" s="1"/>
  <c r="ET173" i="6"/>
  <c r="BK182" i="5"/>
  <c r="GX173" i="6"/>
  <c r="GZ173" i="6"/>
  <c r="GZ33" i="6"/>
  <c r="ET132" i="6"/>
  <c r="BK141" i="5"/>
  <c r="GW132" i="6"/>
  <c r="GY132" i="6"/>
  <c r="GV132" i="6"/>
  <c r="GT132" i="6"/>
  <c r="GR136" i="6"/>
  <c r="CF145" i="5"/>
  <c r="CG145" i="5" s="1"/>
  <c r="GR189" i="6"/>
  <c r="CF198" i="5"/>
  <c r="CG198" i="5" s="1"/>
  <c r="BK54" i="5"/>
  <c r="GW45" i="6"/>
  <c r="GR224" i="6"/>
  <c r="CF233" i="5"/>
  <c r="CG233" i="5" s="1"/>
  <c r="GV127" i="6"/>
  <c r="GR275" i="6"/>
  <c r="CF284" i="5"/>
  <c r="CG284" i="5" s="1"/>
  <c r="BK172" i="5"/>
  <c r="ET163" i="6"/>
  <c r="GY163" i="6"/>
  <c r="GZ163" i="6"/>
  <c r="BK116" i="5"/>
  <c r="GW107" i="6"/>
  <c r="GY107" i="6"/>
  <c r="GV107" i="6"/>
  <c r="HA101" i="6"/>
  <c r="GR119" i="6"/>
  <c r="CF128" i="5"/>
  <c r="CG128" i="5" s="1"/>
  <c r="GZ129" i="6"/>
  <c r="GR190" i="6"/>
  <c r="CF199" i="5"/>
  <c r="CG199" i="5" s="1"/>
  <c r="CF92" i="5"/>
  <c r="CG92" i="5" s="1"/>
  <c r="GV83" i="6"/>
  <c r="BK95" i="5"/>
  <c r="GW86" i="6"/>
  <c r="GR147" i="6"/>
  <c r="CF156" i="5"/>
  <c r="CG156" i="5" s="1"/>
  <c r="BM151" i="5"/>
  <c r="BL151" i="5"/>
  <c r="GY129" i="6"/>
  <c r="BK128" i="5"/>
  <c r="GW119" i="6"/>
  <c r="GY119" i="6"/>
  <c r="GX119" i="6"/>
  <c r="GT25" i="6"/>
  <c r="GT112" i="6"/>
  <c r="EZ138" i="6"/>
  <c r="ET126" i="6"/>
  <c r="BK135" i="5"/>
  <c r="GW126" i="6"/>
  <c r="GY126" i="6"/>
  <c r="GX112" i="6"/>
  <c r="BL94" i="5"/>
  <c r="BM94" i="5"/>
  <c r="ET167" i="6"/>
  <c r="BK176" i="5"/>
  <c r="GY167" i="6"/>
  <c r="GX167" i="6"/>
  <c r="GX105" i="6"/>
  <c r="GT48" i="6"/>
  <c r="GR244" i="6"/>
  <c r="CF253" i="5"/>
  <c r="CG253" i="5" s="1"/>
  <c r="GZ136" i="6"/>
  <c r="GZ86" i="6"/>
  <c r="BL38" i="5"/>
  <c r="GU25" i="6"/>
  <c r="GY56" i="6"/>
  <c r="BK112" i="5"/>
  <c r="GW103" i="6"/>
  <c r="GT103" i="6"/>
  <c r="GY103" i="6"/>
  <c r="CF112" i="5"/>
  <c r="CG112" i="5" s="1"/>
  <c r="GR103" i="6"/>
  <c r="EZ153" i="6"/>
  <c r="CF153" i="5"/>
  <c r="CG153" i="5" s="1"/>
  <c r="GR144" i="6"/>
  <c r="GZ116" i="6"/>
  <c r="EZ167" i="6"/>
  <c r="GX83" i="6"/>
  <c r="EZ123" i="6"/>
  <c r="GX163" i="6"/>
  <c r="GR152" i="6"/>
  <c r="CF161" i="5"/>
  <c r="CG161" i="5" s="1"/>
  <c r="EY115" i="6"/>
  <c r="GX158" i="6"/>
  <c r="GX129" i="6"/>
  <c r="ET140" i="6"/>
  <c r="BK149" i="5"/>
  <c r="GW140" i="6"/>
  <c r="GR271" i="6"/>
  <c r="CF280" i="5"/>
  <c r="CG280" i="5" s="1"/>
  <c r="BK117" i="5"/>
  <c r="GW108" i="6"/>
  <c r="GU108" i="6"/>
  <c r="EY103" i="6"/>
  <c r="GU149" i="6"/>
  <c r="GY86" i="6"/>
  <c r="GW56" i="6"/>
  <c r="HA56" i="6"/>
  <c r="BK24" i="5"/>
  <c r="GW15" i="6"/>
  <c r="GU103" i="6"/>
  <c r="HA152" i="6"/>
  <c r="GX103" i="6"/>
  <c r="GW73" i="6"/>
  <c r="ET127" i="6"/>
  <c r="BK136" i="5"/>
  <c r="GW127" i="6"/>
  <c r="GU127" i="6"/>
  <c r="BL88" i="5"/>
  <c r="BM88" i="5"/>
  <c r="GT158" i="6"/>
  <c r="GU101" i="6"/>
  <c r="GR259" i="6"/>
  <c r="CF268" i="5"/>
  <c r="CG268" i="5" s="1"/>
  <c r="GV77" i="6"/>
  <c r="GV163" i="6"/>
  <c r="BK113" i="5"/>
  <c r="GW104" i="6"/>
  <c r="GW83" i="6"/>
  <c r="HA117" i="6"/>
  <c r="BL65" i="5"/>
  <c r="BM65" i="5"/>
  <c r="GR262" i="6"/>
  <c r="CF271" i="5"/>
  <c r="CG271" i="5" s="1"/>
  <c r="GY72" i="6"/>
  <c r="GR219" i="6"/>
  <c r="CF228" i="5"/>
  <c r="CG228" i="5" s="1"/>
  <c r="GT33" i="6"/>
  <c r="GR247" i="6"/>
  <c r="CF256" i="5"/>
  <c r="CG256" i="5" s="1"/>
  <c r="GR272" i="6"/>
  <c r="CF281" i="5"/>
  <c r="CG281" i="5" s="1"/>
  <c r="GW158" i="6"/>
  <c r="GR209" i="6"/>
  <c r="CF218" i="5"/>
  <c r="CG218" i="5" s="1"/>
  <c r="GX47" i="6"/>
  <c r="GR243" i="6"/>
  <c r="CF252" i="5"/>
  <c r="CG252" i="5" s="1"/>
  <c r="GT35" i="6"/>
  <c r="GX101" i="6"/>
  <c r="HA129" i="6"/>
  <c r="EY77" i="6"/>
  <c r="GZ149" i="6"/>
  <c r="GR145" i="6"/>
  <c r="CF154" i="5"/>
  <c r="CG154" i="5" s="1"/>
  <c r="GT27" i="6"/>
  <c r="BK100" i="5"/>
  <c r="GW91" i="6"/>
  <c r="GR251" i="6"/>
  <c r="CF260" i="5"/>
  <c r="CG260" i="5" s="1"/>
  <c r="GT123" i="6"/>
  <c r="ET157" i="6"/>
  <c r="BK166" i="5"/>
  <c r="GV157" i="6"/>
  <c r="EY157" i="6"/>
  <c r="GW157" i="6"/>
  <c r="GV165" i="6"/>
  <c r="GR186" i="6"/>
  <c r="CF195" i="5"/>
  <c r="CG195" i="5" s="1"/>
  <c r="GY138" i="6"/>
  <c r="GX157" i="6"/>
  <c r="GV13" i="6"/>
  <c r="GV101" i="6"/>
  <c r="BK126" i="5"/>
  <c r="GW117" i="6"/>
  <c r="GU48" i="6"/>
  <c r="GR115" i="6"/>
  <c r="CF124" i="5"/>
  <c r="CG124" i="5" s="1"/>
  <c r="GZ117" i="6"/>
  <c r="GV173" i="6"/>
  <c r="HA156" i="6"/>
  <c r="GT83" i="6"/>
  <c r="EZ136" i="6"/>
  <c r="BK123" i="5"/>
  <c r="GW114" i="6"/>
  <c r="GV114" i="6"/>
  <c r="GT114" i="6"/>
  <c r="BK131" i="5"/>
  <c r="GW122" i="6"/>
  <c r="GV122" i="6"/>
  <c r="GT122" i="6"/>
  <c r="BK109" i="5"/>
  <c r="GW100" i="6"/>
  <c r="GU29" i="6"/>
  <c r="BM49" i="5"/>
  <c r="BL49" i="5"/>
  <c r="BM96" i="5"/>
  <c r="BL96" i="5"/>
  <c r="GZ108" i="6"/>
  <c r="GU84" i="6"/>
  <c r="GR229" i="6"/>
  <c r="CF238" i="5"/>
  <c r="CG238" i="5" s="1"/>
  <c r="GR261" i="6"/>
  <c r="CF270" i="5"/>
  <c r="CG270" i="5" s="1"/>
  <c r="GR217" i="6"/>
  <c r="CF226" i="5"/>
  <c r="CG226" i="5" s="1"/>
  <c r="ET128" i="6"/>
  <c r="BK137" i="5"/>
  <c r="GW128" i="6"/>
  <c r="GU128" i="6"/>
  <c r="GY128" i="6"/>
  <c r="GU173" i="6"/>
  <c r="EY151" i="6"/>
  <c r="ET162" i="6"/>
  <c r="BK171" i="5"/>
  <c r="GV162" i="6"/>
  <c r="GU162" i="6"/>
  <c r="GZ162" i="6"/>
  <c r="GR270" i="6"/>
  <c r="CF279" i="5"/>
  <c r="CG279" i="5" s="1"/>
  <c r="GU35" i="6"/>
  <c r="BM121" i="5"/>
  <c r="GR102" i="6"/>
  <c r="CF111" i="5"/>
  <c r="CG111" i="5" s="1"/>
  <c r="ET154" i="6"/>
  <c r="BK163" i="5"/>
  <c r="GX154" i="6"/>
  <c r="GU154" i="6"/>
  <c r="GW154" i="6"/>
  <c r="GV154" i="6"/>
  <c r="GU138" i="6"/>
  <c r="GU23" i="6"/>
  <c r="GY154" i="6"/>
  <c r="GU91" i="6"/>
  <c r="GY45" i="6"/>
  <c r="HA48" i="6"/>
  <c r="GR123" i="6"/>
  <c r="CF132" i="5"/>
  <c r="CG132" i="5" s="1"/>
  <c r="GY147" i="6"/>
  <c r="GR156" i="6"/>
  <c r="CF165" i="5"/>
  <c r="CG165" i="5" s="1"/>
  <c r="GR172" i="6"/>
  <c r="CF181" i="5"/>
  <c r="CG181" i="5" s="1"/>
  <c r="GX172" i="6"/>
  <c r="GW172" i="6"/>
  <c r="GR263" i="6"/>
  <c r="CF272" i="5"/>
  <c r="CG272" i="5" s="1"/>
  <c r="GY37" i="6"/>
  <c r="BK129" i="5"/>
  <c r="GW120" i="6"/>
  <c r="HA25" i="6"/>
  <c r="BM25" i="5"/>
  <c r="BL25" i="5"/>
  <c r="EY129" i="6"/>
  <c r="GV153" i="6"/>
  <c r="GY83" i="6"/>
  <c r="GU72" i="6"/>
  <c r="GR200" i="6"/>
  <c r="CF209" i="5"/>
  <c r="CG209" i="5" s="1"/>
  <c r="GR216" i="6"/>
  <c r="CF225" i="5"/>
  <c r="CG225" i="5" s="1"/>
  <c r="HA167" i="6"/>
  <c r="GR245" i="6"/>
  <c r="CF254" i="5"/>
  <c r="CG254" i="5" s="1"/>
  <c r="EZ156" i="6"/>
  <c r="GX53" i="6"/>
  <c r="EZ103" i="6"/>
  <c r="GW116" i="6"/>
  <c r="GT69" i="6"/>
  <c r="EZ77" i="6"/>
  <c r="GT127" i="6"/>
  <c r="GU132" i="6"/>
  <c r="GT156" i="6"/>
  <c r="HA165" i="6"/>
  <c r="GR231" i="6"/>
  <c r="CF240" i="5"/>
  <c r="CG240" i="5" s="1"/>
  <c r="BM30" i="5"/>
  <c r="BL30" i="5"/>
  <c r="BM99" i="5"/>
  <c r="BL99" i="5"/>
  <c r="GR248" i="6"/>
  <c r="CF257" i="5"/>
  <c r="CG257" i="5" s="1"/>
  <c r="GR232" i="6"/>
  <c r="CF241" i="5"/>
  <c r="CG241" i="5" s="1"/>
  <c r="GR185" i="6"/>
  <c r="CF194" i="5"/>
  <c r="CG194" i="5" s="1"/>
  <c r="EY138" i="6"/>
  <c r="BL52" i="5"/>
  <c r="GR110" i="6"/>
  <c r="CF119" i="5"/>
  <c r="CG119" i="5" s="1"/>
  <c r="BM92" i="5"/>
  <c r="BL92" i="5"/>
  <c r="GT120" i="6"/>
  <c r="GV70" i="6"/>
  <c r="GZ45" i="6"/>
  <c r="GR208" i="6"/>
  <c r="CF217" i="5"/>
  <c r="CG217" i="5" s="1"/>
  <c r="GR234" i="6"/>
  <c r="CF243" i="5"/>
  <c r="CG243" i="5" s="1"/>
  <c r="GU13" i="6"/>
  <c r="GZ56" i="6"/>
  <c r="BM125" i="5"/>
  <c r="BL125" i="5"/>
  <c r="GZ55" i="6"/>
  <c r="EZ13" i="6"/>
  <c r="HA115" i="6"/>
  <c r="CF129" i="5"/>
  <c r="CG129" i="5" s="1"/>
  <c r="GR120" i="6"/>
  <c r="GT70" i="6"/>
  <c r="EZ84" i="6"/>
  <c r="GU116" i="6"/>
  <c r="GR127" i="6"/>
  <c r="CF136" i="5"/>
  <c r="CG136" i="5" s="1"/>
  <c r="BM98" i="5"/>
  <c r="BL98" i="5"/>
  <c r="ET129" i="6"/>
  <c r="BK138" i="5"/>
  <c r="GW129" i="6"/>
  <c r="GU27" i="6"/>
  <c r="GY27" i="6"/>
  <c r="GR112" i="6"/>
  <c r="CF121" i="5"/>
  <c r="CG121" i="5" s="1"/>
  <c r="GV112" i="6"/>
  <c r="GY48" i="6"/>
  <c r="HA169" i="6"/>
  <c r="GV111" i="6"/>
  <c r="HA45" i="6"/>
  <c r="BK36" i="5"/>
  <c r="GW27" i="6"/>
  <c r="EY33" i="6"/>
  <c r="GT105" i="6"/>
  <c r="BM179" i="5"/>
  <c r="BL179" i="5"/>
  <c r="GR202" i="6"/>
  <c r="CF211" i="5"/>
  <c r="CG211" i="5" s="1"/>
  <c r="GX128" i="6"/>
  <c r="GT117" i="6"/>
  <c r="HA145" i="6"/>
  <c r="GR178" i="6"/>
  <c r="CF187" i="5"/>
  <c r="CG187" i="5" s="1"/>
  <c r="BK81" i="5"/>
  <c r="GW72" i="6"/>
  <c r="GT72" i="6"/>
  <c r="EY153" i="6"/>
  <c r="GY33" i="6"/>
  <c r="GU144" i="6"/>
  <c r="GT56" i="6"/>
  <c r="EY49" i="6"/>
  <c r="HA96" i="6"/>
  <c r="GU126" i="6"/>
  <c r="GW70" i="6"/>
  <c r="HA136" i="6"/>
  <c r="GY115" i="6"/>
  <c r="GR95" i="6"/>
  <c r="CF104" i="5"/>
  <c r="CG104" i="5" s="1"/>
  <c r="GU115" i="6"/>
  <c r="EY169" i="6"/>
  <c r="HA128" i="6"/>
  <c r="GR140" i="6"/>
  <c r="CF149" i="5"/>
  <c r="CG149" i="5" s="1"/>
  <c r="EZ86" i="6"/>
  <c r="GV123" i="6"/>
  <c r="GY94" i="6"/>
  <c r="GW163" i="6"/>
  <c r="GY120" i="6"/>
  <c r="BL79" i="5"/>
  <c r="HA125" i="6"/>
  <c r="EY163" i="6"/>
  <c r="EZ45" i="6"/>
  <c r="ET135" i="6"/>
  <c r="BK144" i="5"/>
  <c r="GW135" i="6"/>
  <c r="GU135" i="6"/>
  <c r="GX135" i="6"/>
  <c r="GT135" i="6"/>
  <c r="GY135" i="6"/>
  <c r="GR258" i="6"/>
  <c r="CF267" i="5"/>
  <c r="CG267" i="5" s="1"/>
  <c r="GR164" i="6"/>
  <c r="CF173" i="5"/>
  <c r="CG173" i="5" s="1"/>
  <c r="GW105" i="6"/>
  <c r="GV126" i="6"/>
  <c r="GR207" i="6"/>
  <c r="CF216" i="5"/>
  <c r="CG216" i="5" s="1"/>
  <c r="GR93" i="6"/>
  <c r="CF102" i="5"/>
  <c r="CG102" i="5" s="1"/>
  <c r="GX77" i="6"/>
  <c r="GU163" i="6"/>
  <c r="GR182" i="6"/>
  <c r="CF191" i="5"/>
  <c r="CG191" i="5" s="1"/>
  <c r="EZ169" i="6"/>
  <c r="GV93" i="6"/>
  <c r="GZ100" i="6"/>
  <c r="BM114" i="5"/>
  <c r="GW152" i="6"/>
  <c r="GR192" i="6"/>
  <c r="CF201" i="5"/>
  <c r="CG201" i="5" s="1"/>
  <c r="GX115" i="6"/>
  <c r="GT140" i="6"/>
  <c r="GY149" i="6"/>
  <c r="GX13" i="6"/>
  <c r="BK32" i="5"/>
  <c r="GW23" i="6"/>
  <c r="GT23" i="6"/>
  <c r="GZ13" i="6"/>
  <c r="GR250" i="6"/>
  <c r="CF259" i="5"/>
  <c r="CG259" i="5" s="1"/>
  <c r="GV152" i="6"/>
  <c r="GY41" i="6"/>
  <c r="GW81" i="6"/>
  <c r="EY135" i="6"/>
  <c r="BK110" i="5"/>
  <c r="GW101" i="6"/>
  <c r="GR273" i="6"/>
  <c r="CF282" i="5"/>
  <c r="CG282" i="5" s="1"/>
  <c r="ET124" i="6"/>
  <c r="BK133" i="5"/>
  <c r="GW124" i="6"/>
  <c r="GX124" i="6"/>
  <c r="GV124" i="6"/>
  <c r="GY124" i="6"/>
  <c r="GR117" i="6"/>
  <c r="CF126" i="5"/>
  <c r="CG126" i="5" s="1"/>
  <c r="BM43" i="5"/>
  <c r="BL43" i="5"/>
  <c r="GZ159" i="6"/>
  <c r="GT84" i="6"/>
  <c r="EZ127" i="6"/>
  <c r="BM74" i="5"/>
  <c r="BL74" i="5"/>
  <c r="GV136" i="6"/>
  <c r="GU111" i="6"/>
  <c r="GT93" i="6"/>
  <c r="HA173" i="6"/>
  <c r="BK78" i="5"/>
  <c r="GW69" i="6"/>
  <c r="GX23" i="6"/>
  <c r="BM97" i="5"/>
  <c r="BL97" i="5"/>
  <c r="BK56" i="5"/>
  <c r="GW47" i="6"/>
  <c r="GW162" i="6"/>
  <c r="GR267" i="6"/>
  <c r="CF276" i="5"/>
  <c r="CG276" i="5" s="1"/>
  <c r="HA168" i="6"/>
  <c r="GR203" i="6"/>
  <c r="CF212" i="5"/>
  <c r="CG212" i="5" s="1"/>
  <c r="GX35" i="6"/>
  <c r="EZ47" i="6"/>
  <c r="GR274" i="6"/>
  <c r="CF283" i="5"/>
  <c r="CG283" i="5" s="1"/>
  <c r="GR169" i="6"/>
  <c r="CF178" i="5"/>
  <c r="CG178" i="5" s="1"/>
  <c r="HA116" i="6"/>
  <c r="HA163" i="6"/>
  <c r="GX49" i="6"/>
  <c r="GX152" i="6"/>
  <c r="GU124" i="6"/>
  <c r="GY69" i="6"/>
  <c r="EZ35" i="6"/>
  <c r="GX25" i="6"/>
  <c r="GZ110" i="6"/>
  <c r="GR94" i="6"/>
  <c r="CF103" i="5"/>
  <c r="CG103" i="5" s="1"/>
  <c r="BM90" i="5"/>
  <c r="BL90" i="5"/>
  <c r="GR165" i="6"/>
  <c r="CF174" i="5"/>
  <c r="CG174" i="5" s="1"/>
  <c r="BL59" i="5"/>
  <c r="BM59" i="5"/>
  <c r="EZ162" i="6"/>
  <c r="HA111" i="6"/>
  <c r="ET165" i="6"/>
  <c r="BK174" i="5"/>
  <c r="GX165" i="6"/>
  <c r="GU165" i="6"/>
  <c r="GX117" i="6"/>
  <c r="GV119" i="6"/>
  <c r="GZ102" i="6"/>
  <c r="GU93" i="6"/>
  <c r="BK105" i="5"/>
  <c r="GW96" i="6"/>
  <c r="GV96" i="6"/>
  <c r="GU77" i="6"/>
  <c r="GX86" i="6"/>
  <c r="EY173" i="6"/>
  <c r="HA154" i="6"/>
  <c r="EY132" i="6"/>
  <c r="GZ126" i="6"/>
  <c r="HA69" i="6"/>
  <c r="GR218" i="6"/>
  <c r="CF227" i="5"/>
  <c r="CG227" i="5" s="1"/>
  <c r="GY157" i="6"/>
  <c r="EY162" i="6"/>
  <c r="GT157" i="6"/>
  <c r="GZ140" i="6"/>
  <c r="BM169" i="5"/>
  <c r="BL169" i="5"/>
  <c r="BK67" i="5"/>
  <c r="GW58" i="6"/>
  <c r="GT58" i="6"/>
  <c r="EZ149" i="6"/>
  <c r="GZ123" i="6"/>
  <c r="GZ119" i="6"/>
  <c r="GR162" i="6"/>
  <c r="CF171" i="5"/>
  <c r="CG171" i="5" s="1"/>
  <c r="GZ115" i="6"/>
  <c r="HA33" i="6"/>
  <c r="GU33" i="6"/>
  <c r="EY69" i="6"/>
  <c r="HA162" i="6"/>
  <c r="GT169" i="6"/>
  <c r="GX37" i="6"/>
  <c r="GR238" i="6"/>
  <c r="CF247" i="5"/>
  <c r="CG247" i="5" s="1"/>
  <c r="GZ49" i="6"/>
  <c r="BM161" i="5"/>
  <c r="BL161" i="5"/>
  <c r="EZ126" i="6"/>
  <c r="EY92" i="6"/>
  <c r="GY96" i="6"/>
  <c r="GV41" i="6"/>
  <c r="GZ103" i="6"/>
  <c r="ET138" i="6"/>
  <c r="BK147" i="5"/>
  <c r="GW138" i="6"/>
  <c r="GZ138" i="6"/>
  <c r="GV138" i="6"/>
  <c r="GT162" i="6"/>
  <c r="BL31" i="5"/>
  <c r="BM31" i="5"/>
  <c r="EZ108" i="6"/>
  <c r="EY137" i="6"/>
  <c r="GY159" i="6"/>
  <c r="GX72" i="6"/>
  <c r="BL51" i="5"/>
  <c r="BM51" i="5"/>
  <c r="GR212" i="6"/>
  <c r="CF221" i="5"/>
  <c r="CG221" i="5" s="1"/>
  <c r="BL183" i="5"/>
  <c r="BM183" i="5"/>
  <c r="ET151" i="6"/>
  <c r="BK160" i="5"/>
  <c r="GV151" i="6"/>
  <c r="HA77" i="6"/>
  <c r="GR96" i="6"/>
  <c r="CF105" i="5"/>
  <c r="CG105" i="5" s="1"/>
  <c r="GR268" i="6"/>
  <c r="CF277" i="5"/>
  <c r="CG277" i="5" s="1"/>
  <c r="GT96" i="6"/>
  <c r="GT165" i="6"/>
  <c r="GR194" i="6"/>
  <c r="CF203" i="5"/>
  <c r="CG203" i="5" s="1"/>
  <c r="ET139" i="6"/>
  <c r="BK148" i="5"/>
  <c r="GW139" i="6"/>
  <c r="GU139" i="6"/>
  <c r="GX139" i="6"/>
  <c r="GV139" i="6"/>
  <c r="GT111" i="6"/>
  <c r="GY102" i="6"/>
  <c r="GX151" i="6"/>
  <c r="GR151" i="6"/>
  <c r="CF160" i="5"/>
  <c r="CG160" i="5" s="1"/>
  <c r="GX33" i="6"/>
  <c r="GR180" i="6"/>
  <c r="CF189" i="5"/>
  <c r="CG189" i="5" s="1"/>
  <c r="GU86" i="6"/>
  <c r="GT151" i="6"/>
  <c r="HA35" i="6"/>
  <c r="GX138" i="6"/>
  <c r="GT15" i="6"/>
  <c r="BL168" i="5"/>
  <c r="GX96" i="6"/>
  <c r="GR176" i="6"/>
  <c r="CF185" i="5"/>
  <c r="CG185" i="5" s="1"/>
  <c r="GV27" i="6"/>
  <c r="ET168" i="6"/>
  <c r="BK177" i="5"/>
  <c r="GW168" i="6"/>
  <c r="GZ168" i="6"/>
  <c r="GZ165" i="6"/>
  <c r="BM33" i="5"/>
  <c r="BL33" i="5"/>
  <c r="GR105" i="6"/>
  <c r="CF114" i="5"/>
  <c r="CG114" i="5" s="1"/>
  <c r="GV35" i="6"/>
  <c r="BM27" i="5"/>
  <c r="BL27" i="5"/>
  <c r="HA132" i="6"/>
  <c r="HA47" i="6"/>
  <c r="GT124" i="6"/>
  <c r="CF120" i="5"/>
  <c r="CG120" i="5" s="1"/>
  <c r="GR111" i="6"/>
  <c r="GR124" i="6"/>
  <c r="CF133" i="5"/>
  <c r="CG133" i="5" s="1"/>
  <c r="GR157" i="6"/>
  <c r="CF166" i="5"/>
  <c r="CG166" i="5" s="1"/>
  <c r="GZ167" i="6"/>
  <c r="BK28" i="5"/>
  <c r="GW19" i="6"/>
  <c r="EY127" i="6"/>
  <c r="GZ128" i="6"/>
  <c r="GR149" i="6"/>
  <c r="CF158" i="5"/>
  <c r="CG158" i="5" s="1"/>
  <c r="GR173" i="6"/>
  <c r="CF182" i="5"/>
  <c r="CG182" i="5" s="1"/>
  <c r="BK57" i="5"/>
  <c r="GW48" i="6"/>
  <c r="ET137" i="6"/>
  <c r="GW137" i="6"/>
  <c r="BK146" i="5"/>
  <c r="GY137" i="6"/>
  <c r="GU119" i="6"/>
  <c r="HA83" i="6"/>
  <c r="GV47" i="6"/>
  <c r="BL152" i="5"/>
  <c r="BM152" i="5"/>
  <c r="HA144" i="6"/>
  <c r="GV168" i="6"/>
  <c r="EY13" i="6"/>
  <c r="EZ15" i="6"/>
  <c r="GV155" i="6"/>
  <c r="ET144" i="6"/>
  <c r="BK153" i="5"/>
  <c r="GW144" i="6"/>
  <c r="GZ144" i="6"/>
  <c r="GV144" i="6"/>
  <c r="GX144" i="6"/>
  <c r="GY144" i="6"/>
  <c r="EZ151" i="6"/>
  <c r="GT17" i="6"/>
  <c r="GW156" i="6"/>
  <c r="EZ165" i="6"/>
  <c r="GR126" i="6"/>
  <c r="CF135" i="5"/>
  <c r="CG135" i="5" s="1"/>
  <c r="BK50" i="5"/>
  <c r="GW41" i="6"/>
  <c r="GZ77" i="6"/>
  <c r="HA159" i="6"/>
  <c r="GT91" i="6"/>
  <c r="GR215" i="6"/>
  <c r="CF224" i="5"/>
  <c r="CG224" i="5" s="1"/>
  <c r="GX91" i="6"/>
  <c r="HA95" i="6"/>
  <c r="EY126" i="6"/>
  <c r="GT139" i="6"/>
  <c r="BL23" i="5"/>
  <c r="BM23" i="5"/>
  <c r="HA157" i="6"/>
  <c r="GR256" i="6"/>
  <c r="CF265" i="5"/>
  <c r="CG265" i="5" s="1"/>
  <c r="GU152" i="6"/>
  <c r="GT19" i="6"/>
  <c r="HA103" i="6"/>
  <c r="GU112" i="6"/>
  <c r="EY100" i="6"/>
  <c r="GZ47" i="6"/>
  <c r="GU155" i="6"/>
  <c r="GT104" i="6"/>
  <c r="GR249" i="6"/>
  <c r="CF258" i="5"/>
  <c r="CG258" i="5" s="1"/>
  <c r="GR167" i="6"/>
  <c r="CF176" i="5"/>
  <c r="CG176" i="5" s="1"/>
  <c r="BK102" i="5"/>
  <c r="GW93" i="6"/>
  <c r="GX93" i="6"/>
  <c r="GU31" i="6"/>
  <c r="HA122" i="6"/>
  <c r="GT163" i="6"/>
  <c r="HA155" i="6"/>
  <c r="GX140" i="6"/>
  <c r="GX48" i="6"/>
  <c r="GV110" i="6"/>
  <c r="BK64" i="5"/>
  <c r="GW55" i="6"/>
  <c r="GT55" i="6"/>
  <c r="GR233" i="6"/>
  <c r="CF242" i="5"/>
  <c r="CG242" i="5" s="1"/>
  <c r="BK103" i="5"/>
  <c r="GW94" i="6"/>
  <c r="GU94" i="6"/>
  <c r="GX94" i="6"/>
  <c r="GV94" i="6"/>
  <c r="GR228" i="6"/>
  <c r="CF237" i="5"/>
  <c r="CG237" i="5" s="1"/>
  <c r="BM72" i="5"/>
  <c r="BL72" i="5"/>
  <c r="GU107" i="6"/>
  <c r="BK85" i="5"/>
  <c r="GW76" i="6"/>
  <c r="GZ76" i="6"/>
  <c r="HA107" i="6"/>
  <c r="BK93" i="5"/>
  <c r="GW84" i="6"/>
  <c r="GY84" i="6"/>
  <c r="GZ84" i="6"/>
  <c r="GU100" i="6"/>
  <c r="BK62" i="5"/>
  <c r="GW53" i="6"/>
  <c r="GY53" i="6"/>
  <c r="GR246" i="6"/>
  <c r="CF255" i="5"/>
  <c r="CG255" i="5" s="1"/>
  <c r="BL70" i="5"/>
  <c r="BM70" i="5"/>
  <c r="GZ137" i="6"/>
  <c r="BK173" i="5"/>
  <c r="ET164" i="6"/>
  <c r="EY164" i="6"/>
  <c r="GY164" i="6"/>
  <c r="HA164" i="6"/>
  <c r="GX164" i="6"/>
  <c r="GW164" i="6"/>
  <c r="GZ164" i="6"/>
  <c r="GV164" i="6"/>
  <c r="GT149" i="6"/>
  <c r="GV128" i="6"/>
  <c r="GX69" i="6"/>
  <c r="GT173" i="6"/>
  <c r="HA113" i="6"/>
  <c r="GY152" i="6"/>
  <c r="BK34" i="5"/>
  <c r="GW25" i="6"/>
  <c r="GR230" i="6"/>
  <c r="CF239" i="5"/>
  <c r="CG239" i="5" s="1"/>
  <c r="EY45" i="6"/>
  <c r="EY91" i="6"/>
  <c r="EZ128" i="6"/>
  <c r="GT126" i="6"/>
  <c r="GR91" i="6"/>
  <c r="CF100" i="5"/>
  <c r="CG100" i="5" s="1"/>
  <c r="GZ53" i="6"/>
  <c r="CF95" i="5"/>
  <c r="CG95" i="5" s="1"/>
  <c r="GR86" i="6"/>
  <c r="GZ83" i="6"/>
  <c r="GX125" i="6"/>
  <c r="GR253" i="6"/>
  <c r="CF262" i="5"/>
  <c r="CG262" i="5" s="1"/>
  <c r="GR139" i="6"/>
  <c r="CF148" i="5"/>
  <c r="CG148" i="5" s="1"/>
  <c r="GV45" i="6"/>
  <c r="GR265" i="6"/>
  <c r="CF274" i="5"/>
  <c r="CG274" i="5" s="1"/>
  <c r="GZ151" i="6"/>
  <c r="HA58" i="6"/>
  <c r="GR184" i="6"/>
  <c r="CF193" i="5"/>
  <c r="CG193" i="5" s="1"/>
  <c r="GV84" i="6"/>
  <c r="HA41" i="6"/>
  <c r="GT77" i="6"/>
  <c r="HA123" i="6"/>
  <c r="BK48" i="5"/>
  <c r="GW39" i="6"/>
  <c r="GT39" i="6"/>
  <c r="EY128" i="6"/>
  <c r="HA108" i="6"/>
  <c r="GR104" i="6"/>
  <c r="CF113" i="5"/>
  <c r="CG113" i="5" s="1"/>
  <c r="GU157" i="6"/>
  <c r="GY122" i="6"/>
  <c r="GT167" i="6"/>
  <c r="GY25" i="6"/>
  <c r="GU45" i="6"/>
  <c r="BL139" i="5"/>
  <c r="BM139" i="5"/>
  <c r="GR181" i="6"/>
  <c r="CF190" i="5"/>
  <c r="CG190" i="5" s="1"/>
  <c r="GT45" i="6"/>
  <c r="GW125" i="6"/>
  <c r="EZ39" i="6"/>
  <c r="GX159" i="6"/>
  <c r="GR195" i="6"/>
  <c r="CF204" i="5"/>
  <c r="CG204" i="5" s="1"/>
  <c r="GX84" i="6"/>
  <c r="GT137" i="6"/>
  <c r="GR193" i="6"/>
  <c r="CF202" i="5"/>
  <c r="CG202" i="5" s="1"/>
  <c r="GZ39" i="6"/>
  <c r="EY19" i="6"/>
  <c r="EY17" i="6"/>
  <c r="GR166" i="6"/>
  <c r="CF175" i="5"/>
  <c r="CG175" i="5" s="1"/>
  <c r="GT166" i="6"/>
  <c r="GR177" i="6"/>
  <c r="CF186" i="5"/>
  <c r="CG186" i="5" s="1"/>
  <c r="GU129" i="6"/>
  <c r="GX127" i="6"/>
  <c r="BM73" i="5"/>
  <c r="BL73" i="5"/>
  <c r="GW151" i="6"/>
  <c r="GX107" i="6"/>
  <c r="BK58" i="5"/>
  <c r="GW49" i="6"/>
  <c r="GT49" i="6"/>
  <c r="EY123" i="6"/>
  <c r="GU140" i="6"/>
  <c r="BK101" i="5"/>
  <c r="GW92" i="6"/>
  <c r="GY92" i="6"/>
  <c r="GT92" i="6"/>
  <c r="GV104" i="6"/>
  <c r="GU164" i="6"/>
  <c r="BK111" i="5"/>
  <c r="GW102" i="6"/>
  <c r="EZ53" i="6"/>
  <c r="HA86" i="6"/>
  <c r="GR227" i="6"/>
  <c r="CF236" i="5"/>
  <c r="CG236" i="5" s="1"/>
  <c r="GZ104" i="6"/>
  <c r="EZ168" i="6"/>
  <c r="HA76" i="6"/>
  <c r="EX117" i="6"/>
  <c r="EZ117" i="6" s="1"/>
  <c r="GY29" i="6"/>
  <c r="GZ101" i="6"/>
  <c r="GY165" i="6"/>
  <c r="GR278" i="6"/>
  <c r="CF287" i="5"/>
  <c r="CG287" i="5" s="1"/>
  <c r="GR163" i="6"/>
  <c r="CF172" i="5"/>
  <c r="CG172" i="5" s="1"/>
  <c r="GY168" i="6"/>
  <c r="GZ145" i="6"/>
  <c r="BM35" i="5"/>
  <c r="BL35" i="5"/>
  <c r="ET145" i="6"/>
  <c r="BK154" i="5"/>
  <c r="GW145" i="6"/>
  <c r="GX145" i="6"/>
  <c r="GU145" i="6"/>
  <c r="GY145" i="6"/>
  <c r="BM61" i="5"/>
  <c r="BL61" i="5"/>
  <c r="GX123" i="6"/>
  <c r="BM71" i="5"/>
  <c r="BL71" i="5"/>
  <c r="GU117" i="6"/>
  <c r="GZ70" i="6"/>
  <c r="BM118" i="5"/>
  <c r="BL118" i="5"/>
  <c r="EZ154" i="6"/>
  <c r="GR206" i="6"/>
  <c r="CF215" i="5"/>
  <c r="CG215" i="5" s="1"/>
  <c r="GT86" i="6"/>
  <c r="ET147" i="6"/>
  <c r="BK156" i="5"/>
  <c r="GU147" i="6"/>
  <c r="GZ147" i="6"/>
  <c r="GV147" i="6"/>
  <c r="GX147" i="6"/>
  <c r="GW147" i="6"/>
  <c r="GR154" i="6"/>
  <c r="CF163" i="5"/>
  <c r="CG163" i="5" s="1"/>
  <c r="EZ94" i="6"/>
  <c r="GZ139" i="6"/>
  <c r="GX76" i="6"/>
  <c r="GR121" i="6"/>
  <c r="CF130" i="5"/>
  <c r="CG130" i="5" s="1"/>
  <c r="BK122" i="5"/>
  <c r="GW113" i="6"/>
  <c r="GU113" i="6"/>
  <c r="GR168" i="6"/>
  <c r="CF177" i="5"/>
  <c r="CG177" i="5" s="1"/>
  <c r="GZ155" i="6"/>
  <c r="BK26" i="5"/>
  <c r="GW17" i="6"/>
  <c r="BK46" i="5"/>
  <c r="GW37" i="6"/>
  <c r="BM170" i="5"/>
  <c r="BL170" i="5"/>
  <c r="GY13" i="6"/>
  <c r="GX104" i="6"/>
  <c r="GY173" i="6"/>
  <c r="GU58" i="6"/>
  <c r="HA100" i="6"/>
  <c r="GU120" i="6"/>
  <c r="ET158" i="6"/>
  <c r="BK167" i="5"/>
  <c r="GY158" i="6"/>
  <c r="GZ158" i="6"/>
  <c r="GY35" i="6"/>
  <c r="EZ33" i="6"/>
  <c r="EZ124" i="6"/>
  <c r="GZ124" i="6"/>
  <c r="BM143" i="5"/>
  <c r="BL143" i="5"/>
  <c r="GV73" i="6"/>
  <c r="GZ25" i="6"/>
  <c r="GT13" i="6"/>
  <c r="GR135" i="6"/>
  <c r="CF144" i="5"/>
  <c r="CG144" i="5" s="1"/>
  <c r="EZ163" i="6"/>
  <c r="GR137" i="6"/>
  <c r="CF146" i="5"/>
  <c r="CG146" i="5" s="1"/>
  <c r="GR122" i="6"/>
  <c r="CF131" i="5"/>
  <c r="CG131" i="5" s="1"/>
  <c r="EY48" i="6"/>
  <c r="GV169" i="6"/>
  <c r="GX45" i="6"/>
  <c r="GZ135" i="6"/>
  <c r="GV159" i="6"/>
  <c r="GT110" i="6"/>
  <c r="GU166" i="6"/>
  <c r="C198" i="12" l="1"/>
  <c r="D198" i="13"/>
  <c r="G196" i="12"/>
  <c r="G196" i="13" s="1"/>
  <c r="F196" i="12"/>
  <c r="F196" i="13" s="1"/>
  <c r="H196" i="12"/>
  <c r="H196" i="13" s="1"/>
  <c r="N230" i="12"/>
  <c r="H210" i="12"/>
  <c r="H210" i="13" s="1"/>
  <c r="J186" i="13"/>
  <c r="E196" i="12"/>
  <c r="E196" i="13" s="1"/>
  <c r="C196" i="12"/>
  <c r="D196" i="12"/>
  <c r="B207" i="12"/>
  <c r="H207" i="12"/>
  <c r="H207" i="13" s="1"/>
  <c r="J185" i="13"/>
  <c r="J186" i="12"/>
  <c r="B195" i="13"/>
  <c r="G207" i="12"/>
  <c r="G207" i="13" s="1"/>
  <c r="B205" i="13"/>
  <c r="D207" i="12"/>
  <c r="D219" i="12" s="1"/>
  <c r="C201" i="12"/>
  <c r="D205" i="13"/>
  <c r="I186" i="12"/>
  <c r="I186" i="13" s="1"/>
  <c r="B197" i="13"/>
  <c r="C219" i="12"/>
  <c r="D201" i="12"/>
  <c r="D209" i="12"/>
  <c r="E201" i="12"/>
  <c r="E201" i="13" s="1"/>
  <c r="C205" i="13"/>
  <c r="B198" i="12"/>
  <c r="F201" i="12"/>
  <c r="F201" i="13" s="1"/>
  <c r="E207" i="12"/>
  <c r="E219" i="12" s="1"/>
  <c r="E219" i="13" s="1"/>
  <c r="G201" i="12"/>
  <c r="G201" i="13" s="1"/>
  <c r="H201" i="12"/>
  <c r="H201" i="13" s="1"/>
  <c r="E209" i="12"/>
  <c r="E221" i="12" s="1"/>
  <c r="C207" i="13"/>
  <c r="J197" i="12"/>
  <c r="J207" i="12"/>
  <c r="B219" i="12"/>
  <c r="C199" i="12"/>
  <c r="H199" i="12"/>
  <c r="H199" i="13" s="1"/>
  <c r="J187" i="12"/>
  <c r="I197" i="12"/>
  <c r="I197" i="13" s="1"/>
  <c r="D200" i="12"/>
  <c r="D212" i="12" s="1"/>
  <c r="D212" i="13" s="1"/>
  <c r="B200" i="12"/>
  <c r="H219" i="12"/>
  <c r="H219" i="13" s="1"/>
  <c r="L224" i="12"/>
  <c r="E200" i="12"/>
  <c r="E212" i="12" s="1"/>
  <c r="E212" i="13" s="1"/>
  <c r="H209" i="12"/>
  <c r="H209" i="13" s="1"/>
  <c r="K185" i="12"/>
  <c r="K185" i="13" s="1"/>
  <c r="F209" i="12"/>
  <c r="F209" i="13" s="1"/>
  <c r="H200" i="12"/>
  <c r="H200" i="13" s="1"/>
  <c r="G209" i="12"/>
  <c r="G209" i="13" s="1"/>
  <c r="BM106" i="5"/>
  <c r="B198" i="13"/>
  <c r="C200" i="12"/>
  <c r="BL157" i="5"/>
  <c r="E217" i="12"/>
  <c r="E229" i="12" s="1"/>
  <c r="K188" i="12"/>
  <c r="K188" i="13" s="1"/>
  <c r="O188" i="13" s="1"/>
  <c r="P188" i="13" s="1"/>
  <c r="G200" i="12"/>
  <c r="G200" i="13" s="1"/>
  <c r="F207" i="12"/>
  <c r="F207" i="13" s="1"/>
  <c r="O188" i="12"/>
  <c r="P188" i="12" s="1"/>
  <c r="B209" i="12"/>
  <c r="J195" i="12"/>
  <c r="C209" i="12"/>
  <c r="O185" i="12"/>
  <c r="P185" i="12" s="1"/>
  <c r="I195" i="12"/>
  <c r="I195" i="13" s="1"/>
  <c r="D199" i="12"/>
  <c r="D199" i="13" s="1"/>
  <c r="C198" i="13"/>
  <c r="BL68" i="5"/>
  <c r="E187" i="13"/>
  <c r="I187" i="12"/>
  <c r="I187" i="13" s="1"/>
  <c r="C210" i="12"/>
  <c r="BM175" i="5"/>
  <c r="BL134" i="5"/>
  <c r="H217" i="12"/>
  <c r="H217" i="13" s="1"/>
  <c r="F210" i="12"/>
  <c r="F210" i="13" s="1"/>
  <c r="BM40" i="5"/>
  <c r="K186" i="12"/>
  <c r="K186" i="13" s="1"/>
  <c r="O186" i="13" s="1"/>
  <c r="P186" i="13" s="1"/>
  <c r="J205" i="12"/>
  <c r="C217" i="12"/>
  <c r="F217" i="12"/>
  <c r="F217" i="13" s="1"/>
  <c r="BM82" i="5"/>
  <c r="BL181" i="5"/>
  <c r="N226" i="12"/>
  <c r="L214" i="12"/>
  <c r="B217" i="12"/>
  <c r="J195" i="13"/>
  <c r="J190" i="12"/>
  <c r="C190" i="13"/>
  <c r="I205" i="12"/>
  <c r="I205" i="13" s="1"/>
  <c r="I190" i="12"/>
  <c r="E190" i="13"/>
  <c r="F212" i="12"/>
  <c r="F212" i="13" s="1"/>
  <c r="BM104" i="5"/>
  <c r="H202" i="12"/>
  <c r="H202" i="13" s="1"/>
  <c r="G202" i="12"/>
  <c r="G202" i="13" s="1"/>
  <c r="F202" i="12"/>
  <c r="F202" i="13" s="1"/>
  <c r="B202" i="13"/>
  <c r="C202" i="12"/>
  <c r="E202" i="12"/>
  <c r="D202" i="12"/>
  <c r="D202" i="13" s="1"/>
  <c r="I193" i="13"/>
  <c r="K193" i="12"/>
  <c r="K193" i="13" s="1"/>
  <c r="O193" i="12"/>
  <c r="P193" i="12" s="1"/>
  <c r="J193" i="13"/>
  <c r="K191" i="12"/>
  <c r="K191" i="13" s="1"/>
  <c r="O191" i="12"/>
  <c r="P191" i="12" s="1"/>
  <c r="J187" i="13"/>
  <c r="J197" i="13"/>
  <c r="O184" i="12"/>
  <c r="P184" i="12" s="1"/>
  <c r="J184" i="13"/>
  <c r="B203" i="13"/>
  <c r="B201" i="13"/>
  <c r="K184" i="12"/>
  <c r="K184" i="13" s="1"/>
  <c r="B199" i="13"/>
  <c r="J189" i="13"/>
  <c r="J194" i="13"/>
  <c r="J191" i="13"/>
  <c r="B206" i="13"/>
  <c r="B196" i="13"/>
  <c r="FM176" i="6"/>
  <c r="FM175" i="6"/>
  <c r="BR214" i="5"/>
  <c r="BS214" i="5" s="1"/>
  <c r="BR212" i="5"/>
  <c r="BS212" i="5" s="1"/>
  <c r="BR208" i="5"/>
  <c r="BS208" i="5" s="1"/>
  <c r="BL164" i="5"/>
  <c r="BR210" i="5"/>
  <c r="BS210" i="5" s="1"/>
  <c r="BR211" i="5"/>
  <c r="BS211" i="5" s="1"/>
  <c r="BR213" i="5"/>
  <c r="BS213" i="5" s="1"/>
  <c r="BR216" i="5"/>
  <c r="BS216" i="5" s="1"/>
  <c r="EZ150" i="6"/>
  <c r="BR209" i="5"/>
  <c r="BS209" i="5" s="1"/>
  <c r="GU150" i="6"/>
  <c r="GW150" i="6"/>
  <c r="EY150" i="6"/>
  <c r="GX150" i="6"/>
  <c r="GT150" i="6"/>
  <c r="GV150" i="6"/>
  <c r="GZ150" i="6"/>
  <c r="ET150" i="6"/>
  <c r="BK159" i="5"/>
  <c r="GY150" i="6"/>
  <c r="HA150" i="6"/>
  <c r="BR215" i="5"/>
  <c r="BS215" i="5" s="1"/>
  <c r="EX175" i="6"/>
  <c r="FI177" i="6"/>
  <c r="FH177" i="6"/>
  <c r="EQ177" i="6" s="1"/>
  <c r="FG177" i="6"/>
  <c r="FF177" i="6"/>
  <c r="FC177" i="6"/>
  <c r="FB177" i="6"/>
  <c r="FE177" i="6"/>
  <c r="FD177" i="6"/>
  <c r="BJ187" i="5"/>
  <c r="FR178" i="6"/>
  <c r="FT178" i="6" s="1"/>
  <c r="AX188" i="5"/>
  <c r="BG187" i="5"/>
  <c r="FY178" i="6"/>
  <c r="FL178" i="6"/>
  <c r="FZ177" i="6"/>
  <c r="GA177" i="6" s="1"/>
  <c r="EP176" i="6"/>
  <c r="FJ176" i="6"/>
  <c r="EK176" i="6"/>
  <c r="EW176" i="6"/>
  <c r="ES175" i="6"/>
  <c r="GZ175" i="6" s="1"/>
  <c r="E206" i="13"/>
  <c r="D231" i="12"/>
  <c r="N253" i="12"/>
  <c r="L241" i="12"/>
  <c r="N277" i="13"/>
  <c r="L265" i="13"/>
  <c r="L250" i="13"/>
  <c r="N262" i="13"/>
  <c r="N255" i="12"/>
  <c r="L243" i="12"/>
  <c r="D217" i="13"/>
  <c r="D206" i="13"/>
  <c r="E218" i="12"/>
  <c r="H218" i="12"/>
  <c r="H218" i="13" s="1"/>
  <c r="G218" i="12"/>
  <c r="G218" i="13" s="1"/>
  <c r="D218" i="12"/>
  <c r="F218" i="12"/>
  <c r="F218" i="13" s="1"/>
  <c r="C218" i="12"/>
  <c r="B218" i="12"/>
  <c r="L230" i="12"/>
  <c r="N242" i="12"/>
  <c r="G229" i="12"/>
  <c r="G229" i="13" s="1"/>
  <c r="D229" i="12"/>
  <c r="O194" i="12"/>
  <c r="P194" i="12" s="1"/>
  <c r="E199" i="13"/>
  <c r="N239" i="12"/>
  <c r="L227" i="12"/>
  <c r="BL130" i="5"/>
  <c r="L247" i="13"/>
  <c r="N259" i="13"/>
  <c r="N232" i="12"/>
  <c r="L220" i="12"/>
  <c r="D201" i="13"/>
  <c r="E203" i="13"/>
  <c r="G211" i="12"/>
  <c r="G211" i="13" s="1"/>
  <c r="F211" i="12"/>
  <c r="F211" i="13" s="1"/>
  <c r="E211" i="12"/>
  <c r="C211" i="12"/>
  <c r="B211" i="12"/>
  <c r="J206" i="12"/>
  <c r="C206" i="13"/>
  <c r="N266" i="13"/>
  <c r="L254" i="13"/>
  <c r="J203" i="12"/>
  <c r="C203" i="13"/>
  <c r="H213" i="12"/>
  <c r="H213" i="13" s="1"/>
  <c r="G213" i="12"/>
  <c r="G213" i="13" s="1"/>
  <c r="F213" i="12"/>
  <c r="F213" i="13" s="1"/>
  <c r="E213" i="12"/>
  <c r="D213" i="12"/>
  <c r="C213" i="12"/>
  <c r="B213" i="12"/>
  <c r="D196" i="13"/>
  <c r="L264" i="13"/>
  <c r="N276" i="13"/>
  <c r="L260" i="13"/>
  <c r="N272" i="13"/>
  <c r="K189" i="12"/>
  <c r="K189" i="13" s="1"/>
  <c r="L257" i="13"/>
  <c r="N269" i="13"/>
  <c r="J201" i="12"/>
  <c r="C201" i="13"/>
  <c r="E210" i="13"/>
  <c r="N245" i="12"/>
  <c r="L233" i="12"/>
  <c r="G208" i="12"/>
  <c r="G208" i="13" s="1"/>
  <c r="F208" i="12"/>
  <c r="F208" i="13" s="1"/>
  <c r="D208" i="12"/>
  <c r="B208" i="12"/>
  <c r="C208" i="12"/>
  <c r="H208" i="12"/>
  <c r="H208" i="13" s="1"/>
  <c r="N248" i="12"/>
  <c r="L236" i="12"/>
  <c r="N267" i="13"/>
  <c r="L255" i="13"/>
  <c r="I203" i="12"/>
  <c r="I203" i="13" s="1"/>
  <c r="D221" i="12"/>
  <c r="D209" i="13"/>
  <c r="K194" i="12"/>
  <c r="K194" i="13" s="1"/>
  <c r="L249" i="13"/>
  <c r="N261" i="13"/>
  <c r="I206" i="12"/>
  <c r="I206" i="13" s="1"/>
  <c r="D222" i="12"/>
  <c r="H222" i="12"/>
  <c r="H222" i="13" s="1"/>
  <c r="G222" i="12"/>
  <c r="G222" i="13" s="1"/>
  <c r="E222" i="12"/>
  <c r="D210" i="13"/>
  <c r="N246" i="12"/>
  <c r="L234" i="12"/>
  <c r="N237" i="12"/>
  <c r="L225" i="12"/>
  <c r="L256" i="13"/>
  <c r="N268" i="13"/>
  <c r="N235" i="12"/>
  <c r="L223" i="12"/>
  <c r="L246" i="13"/>
  <c r="N258" i="13"/>
  <c r="F215" i="12"/>
  <c r="F215" i="13" s="1"/>
  <c r="E215" i="12"/>
  <c r="D215" i="12"/>
  <c r="C215" i="12"/>
  <c r="H215" i="12"/>
  <c r="H215" i="13" s="1"/>
  <c r="G215" i="12"/>
  <c r="G215" i="13" s="1"/>
  <c r="B215" i="12"/>
  <c r="E209" i="13"/>
  <c r="D203" i="13"/>
  <c r="N275" i="13"/>
  <c r="L263" i="13"/>
  <c r="D219" i="13"/>
  <c r="O189" i="12"/>
  <c r="P189" i="12" s="1"/>
  <c r="BM147" i="5"/>
  <c r="BL147" i="5"/>
  <c r="BM137" i="5"/>
  <c r="BL137" i="5"/>
  <c r="BM172" i="5"/>
  <c r="BL172" i="5"/>
  <c r="BM162" i="5"/>
  <c r="BL162" i="5"/>
  <c r="BM153" i="5"/>
  <c r="BL153" i="5"/>
  <c r="BL85" i="5"/>
  <c r="BM85" i="5"/>
  <c r="BM117" i="5"/>
  <c r="BL117" i="5"/>
  <c r="BM86" i="5"/>
  <c r="BL86" i="5"/>
  <c r="BL129" i="5"/>
  <c r="BM129" i="5"/>
  <c r="BM123" i="5"/>
  <c r="BL123" i="5"/>
  <c r="BM100" i="5"/>
  <c r="BL100" i="5"/>
  <c r="BM176" i="5"/>
  <c r="BL176" i="5"/>
  <c r="BL128" i="5"/>
  <c r="BM128" i="5"/>
  <c r="BM174" i="5"/>
  <c r="BL174" i="5"/>
  <c r="BM156" i="5"/>
  <c r="BL156" i="5"/>
  <c r="BL48" i="5"/>
  <c r="BM48" i="5"/>
  <c r="BL141" i="5"/>
  <c r="BM141" i="5"/>
  <c r="BM133" i="5"/>
  <c r="BL133" i="5"/>
  <c r="BM132" i="5"/>
  <c r="BL132" i="5"/>
  <c r="BM24" i="5"/>
  <c r="BL24" i="5"/>
  <c r="BM64" i="5"/>
  <c r="BL64" i="5"/>
  <c r="BM58" i="5"/>
  <c r="BL58" i="5"/>
  <c r="BL146" i="5"/>
  <c r="BM146" i="5"/>
  <c r="BL28" i="5"/>
  <c r="BM28" i="5"/>
  <c r="BL144" i="5"/>
  <c r="BM144" i="5"/>
  <c r="BM163" i="5"/>
  <c r="BL163" i="5"/>
  <c r="BM109" i="5"/>
  <c r="BL109" i="5"/>
  <c r="BL42" i="5"/>
  <c r="BM42" i="5"/>
  <c r="BM171" i="5"/>
  <c r="BL171" i="5"/>
  <c r="BL126" i="5"/>
  <c r="BM126" i="5"/>
  <c r="BL136" i="5"/>
  <c r="BM136" i="5"/>
  <c r="BL122" i="5"/>
  <c r="BM122" i="5"/>
  <c r="BL135" i="5"/>
  <c r="BM135" i="5"/>
  <c r="BM46" i="5"/>
  <c r="BL46" i="5"/>
  <c r="BM26" i="5"/>
  <c r="BL26" i="5"/>
  <c r="BM56" i="5"/>
  <c r="BL56" i="5"/>
  <c r="BM165" i="5"/>
  <c r="BL165" i="5"/>
  <c r="BM105" i="5"/>
  <c r="BL105" i="5"/>
  <c r="BM131" i="5"/>
  <c r="BL131" i="5"/>
  <c r="BL182" i="5"/>
  <c r="BM182" i="5"/>
  <c r="BM93" i="5"/>
  <c r="BL93" i="5"/>
  <c r="BM81" i="5"/>
  <c r="BL81" i="5"/>
  <c r="BL95" i="5"/>
  <c r="BM95" i="5"/>
  <c r="BM44" i="5"/>
  <c r="BL44" i="5"/>
  <c r="BM173" i="5"/>
  <c r="BL173" i="5"/>
  <c r="BL103" i="5"/>
  <c r="BM103" i="5"/>
  <c r="BM148" i="5"/>
  <c r="BL148" i="5"/>
  <c r="BM34" i="5"/>
  <c r="BL34" i="5"/>
  <c r="BL111" i="5"/>
  <c r="BM111" i="5"/>
  <c r="BL112" i="5"/>
  <c r="BM112" i="5"/>
  <c r="BL178" i="5"/>
  <c r="BM178" i="5"/>
  <c r="BM158" i="5"/>
  <c r="BL158" i="5"/>
  <c r="BM167" i="5"/>
  <c r="BL167" i="5"/>
  <c r="BM57" i="5"/>
  <c r="BL57" i="5"/>
  <c r="BM113" i="5"/>
  <c r="BL113" i="5"/>
  <c r="BM116" i="5"/>
  <c r="BL116" i="5"/>
  <c r="BM177" i="5"/>
  <c r="BL177" i="5"/>
  <c r="BM67" i="5"/>
  <c r="BL67" i="5"/>
  <c r="BL160" i="5"/>
  <c r="BM160" i="5"/>
  <c r="BL78" i="5"/>
  <c r="BM78" i="5"/>
  <c r="BM149" i="5"/>
  <c r="BL149" i="5"/>
  <c r="BM22" i="5"/>
  <c r="BL22" i="5"/>
  <c r="BL62" i="5"/>
  <c r="BM62" i="5"/>
  <c r="BL102" i="5"/>
  <c r="BM102" i="5"/>
  <c r="BM154" i="5"/>
  <c r="BL154" i="5"/>
  <c r="BM50" i="5"/>
  <c r="BL50" i="5"/>
  <c r="BL54" i="5"/>
  <c r="BM54" i="5"/>
  <c r="BM124" i="5"/>
  <c r="BL124" i="5"/>
  <c r="BM101" i="5"/>
  <c r="BL101" i="5"/>
  <c r="BL32" i="5"/>
  <c r="BM32" i="5"/>
  <c r="BM36" i="5"/>
  <c r="BL36" i="5"/>
  <c r="BM138" i="5"/>
  <c r="BL138" i="5"/>
  <c r="BM166" i="5"/>
  <c r="BL166" i="5"/>
  <c r="BM110" i="5"/>
  <c r="BL110" i="5"/>
  <c r="BM145" i="5"/>
  <c r="BL145" i="5"/>
  <c r="BM120" i="5"/>
  <c r="BL120" i="5"/>
  <c r="E231" i="12" l="1"/>
  <c r="E207" i="13"/>
  <c r="E208" i="12"/>
  <c r="C231" i="12"/>
  <c r="O186" i="12"/>
  <c r="P186" i="12" s="1"/>
  <c r="D207" i="13"/>
  <c r="H231" i="12"/>
  <c r="H231" i="13" s="1"/>
  <c r="H211" i="12"/>
  <c r="H211" i="13" s="1"/>
  <c r="J205" i="13"/>
  <c r="I196" i="12"/>
  <c r="I196" i="13" s="1"/>
  <c r="O185" i="13"/>
  <c r="P185" i="13" s="1"/>
  <c r="C219" i="13"/>
  <c r="B210" i="12"/>
  <c r="I210" i="12" s="1"/>
  <c r="I210" i="13" s="1"/>
  <c r="I198" i="12"/>
  <c r="I198" i="13" s="1"/>
  <c r="J198" i="12"/>
  <c r="F222" i="12"/>
  <c r="F222" i="13" s="1"/>
  <c r="I201" i="12"/>
  <c r="I201" i="13" s="1"/>
  <c r="C196" i="13"/>
  <c r="J196" i="12"/>
  <c r="D211" i="12"/>
  <c r="D223" i="12" s="1"/>
  <c r="B229" i="12"/>
  <c r="B219" i="13"/>
  <c r="E217" i="13"/>
  <c r="C210" i="13"/>
  <c r="C209" i="13"/>
  <c r="B212" i="12"/>
  <c r="J190" i="13"/>
  <c r="J219" i="12"/>
  <c r="B209" i="13"/>
  <c r="B231" i="12"/>
  <c r="I207" i="12"/>
  <c r="I207" i="13" s="1"/>
  <c r="C212" i="12"/>
  <c r="G219" i="12"/>
  <c r="G219" i="13" s="1"/>
  <c r="B207" i="13"/>
  <c r="J199" i="12"/>
  <c r="D224" i="12"/>
  <c r="F219" i="12"/>
  <c r="F219" i="13" s="1"/>
  <c r="C199" i="13"/>
  <c r="I199" i="12"/>
  <c r="I199" i="13" s="1"/>
  <c r="B224" i="12"/>
  <c r="E224" i="12"/>
  <c r="E236" i="12" s="1"/>
  <c r="C221" i="12"/>
  <c r="O184" i="13"/>
  <c r="P184" i="13" s="1"/>
  <c r="O197" i="12"/>
  <c r="P197" i="12" s="1"/>
  <c r="J200" i="12"/>
  <c r="H221" i="12"/>
  <c r="H221" i="13" s="1"/>
  <c r="C224" i="12"/>
  <c r="G221" i="12"/>
  <c r="G221" i="13" s="1"/>
  <c r="C200" i="13"/>
  <c r="K197" i="12"/>
  <c r="K197" i="13" s="1"/>
  <c r="O197" i="13" s="1"/>
  <c r="P197" i="13" s="1"/>
  <c r="E200" i="13"/>
  <c r="F221" i="12"/>
  <c r="F221" i="13" s="1"/>
  <c r="C212" i="13"/>
  <c r="O198" i="12"/>
  <c r="P198" i="12" s="1"/>
  <c r="C222" i="12"/>
  <c r="H212" i="12"/>
  <c r="H212" i="13" s="1"/>
  <c r="B200" i="13"/>
  <c r="D200" i="13"/>
  <c r="B221" i="12"/>
  <c r="J198" i="13"/>
  <c r="J209" i="12"/>
  <c r="G212" i="12"/>
  <c r="G212" i="13" s="1"/>
  <c r="I209" i="12"/>
  <c r="I209" i="13" s="1"/>
  <c r="O195" i="12"/>
  <c r="P195" i="12" s="1"/>
  <c r="I200" i="12"/>
  <c r="I200" i="13" s="1"/>
  <c r="K195" i="12"/>
  <c r="K195" i="13" s="1"/>
  <c r="B217" i="13"/>
  <c r="J217" i="12"/>
  <c r="O195" i="13"/>
  <c r="P195" i="13" s="1"/>
  <c r="K205" i="12"/>
  <c r="K205" i="13" s="1"/>
  <c r="O205" i="13" s="1"/>
  <c r="P205" i="13" s="1"/>
  <c r="O187" i="12"/>
  <c r="P187" i="12" s="1"/>
  <c r="K187" i="12"/>
  <c r="K187" i="13" s="1"/>
  <c r="O187" i="13" s="1"/>
  <c r="P187" i="13" s="1"/>
  <c r="H229" i="12"/>
  <c r="H229" i="13" s="1"/>
  <c r="F224" i="12"/>
  <c r="F224" i="13" s="1"/>
  <c r="C229" i="12"/>
  <c r="F229" i="12"/>
  <c r="F229" i="13" s="1"/>
  <c r="C217" i="13"/>
  <c r="O191" i="13"/>
  <c r="P191" i="13" s="1"/>
  <c r="O194" i="13"/>
  <c r="P194" i="13" s="1"/>
  <c r="O205" i="12"/>
  <c r="P205" i="12" s="1"/>
  <c r="I217" i="12"/>
  <c r="I217" i="13" s="1"/>
  <c r="I202" i="12"/>
  <c r="I202" i="13" s="1"/>
  <c r="E202" i="13"/>
  <c r="J202" i="12"/>
  <c r="C202" i="13"/>
  <c r="I190" i="13"/>
  <c r="K190" i="12"/>
  <c r="K190" i="13" s="1"/>
  <c r="O190" i="12"/>
  <c r="P190" i="12" s="1"/>
  <c r="H214" i="12"/>
  <c r="H214" i="13" s="1"/>
  <c r="G214" i="12"/>
  <c r="G214" i="13" s="1"/>
  <c r="F214" i="12"/>
  <c r="F214" i="13" s="1"/>
  <c r="D214" i="12"/>
  <c r="D214" i="13" s="1"/>
  <c r="C214" i="12"/>
  <c r="B214" i="12"/>
  <c r="E214" i="12"/>
  <c r="N238" i="12"/>
  <c r="L226" i="12"/>
  <c r="O193" i="13"/>
  <c r="P193" i="13" s="1"/>
  <c r="O196" i="12"/>
  <c r="P196" i="12" s="1"/>
  <c r="K196" i="12"/>
  <c r="K196" i="13" s="1"/>
  <c r="B211" i="13"/>
  <c r="J203" i="13"/>
  <c r="B218" i="13"/>
  <c r="J206" i="13"/>
  <c r="O189" i="13"/>
  <c r="P189" i="13" s="1"/>
  <c r="B213" i="13"/>
  <c r="J201" i="13"/>
  <c r="B208" i="13"/>
  <c r="B215" i="13"/>
  <c r="O203" i="12"/>
  <c r="P203" i="12" s="1"/>
  <c r="EY175" i="6"/>
  <c r="GT175" i="6"/>
  <c r="BR228" i="5"/>
  <c r="BS228" i="5" s="1"/>
  <c r="BV213" i="5"/>
  <c r="BX213" i="5"/>
  <c r="BY213" i="5"/>
  <c r="BV215" i="5"/>
  <c r="BX215" i="5"/>
  <c r="BY215" i="5"/>
  <c r="BR222" i="5"/>
  <c r="BS222" i="5" s="1"/>
  <c r="BV208" i="5"/>
  <c r="BX208" i="5"/>
  <c r="BY208" i="5"/>
  <c r="BR224" i="5"/>
  <c r="BS224" i="5" s="1"/>
  <c r="BR223" i="5"/>
  <c r="BS223" i="5" s="1"/>
  <c r="BY209" i="5"/>
  <c r="BV209" i="5"/>
  <c r="BX209" i="5"/>
  <c r="BR225" i="5"/>
  <c r="BS225" i="5" s="1"/>
  <c r="BX214" i="5"/>
  <c r="BY214" i="5"/>
  <c r="BV214" i="5"/>
  <c r="BV211" i="5"/>
  <c r="BY211" i="5"/>
  <c r="BX211" i="5"/>
  <c r="BL159" i="5"/>
  <c r="BM159" i="5"/>
  <c r="BV210" i="5"/>
  <c r="BY210" i="5"/>
  <c r="BX210" i="5"/>
  <c r="BV212" i="5"/>
  <c r="BY212" i="5"/>
  <c r="BX212" i="5"/>
  <c r="BR221" i="5"/>
  <c r="BS221" i="5" s="1"/>
  <c r="BR227" i="5"/>
  <c r="BS227" i="5" s="1"/>
  <c r="BR220" i="5"/>
  <c r="BS220" i="5" s="1"/>
  <c r="BV216" i="5"/>
  <c r="BY216" i="5"/>
  <c r="BX216" i="5"/>
  <c r="BR226" i="5"/>
  <c r="BS226" i="5" s="1"/>
  <c r="FG178" i="6"/>
  <c r="FF178" i="6"/>
  <c r="FB178" i="6"/>
  <c r="FH178" i="6"/>
  <c r="EQ178" i="6" s="1"/>
  <c r="FE178" i="6"/>
  <c r="FD178" i="6"/>
  <c r="FC178" i="6"/>
  <c r="FI178" i="6"/>
  <c r="BJ188" i="5"/>
  <c r="AX189" i="5"/>
  <c r="FR179" i="6"/>
  <c r="FT179" i="6" s="1"/>
  <c r="FY179" i="6"/>
  <c r="BG188" i="5"/>
  <c r="FL179" i="6"/>
  <c r="FZ178" i="6"/>
  <c r="GA178" i="6" s="1"/>
  <c r="EM177" i="6"/>
  <c r="EN177" i="6"/>
  <c r="FJ177" i="6"/>
  <c r="EK177" i="6"/>
  <c r="GW175" i="6"/>
  <c r="HA175" i="6"/>
  <c r="GY175" i="6"/>
  <c r="ET175" i="6"/>
  <c r="BK184" i="5"/>
  <c r="GX175" i="6"/>
  <c r="GV175" i="6"/>
  <c r="EL177" i="6"/>
  <c r="EP177" i="6"/>
  <c r="ES176" i="6"/>
  <c r="GT176" i="6" s="1"/>
  <c r="ER177" i="6"/>
  <c r="EZ175" i="6"/>
  <c r="EO177" i="6"/>
  <c r="EX176" i="6"/>
  <c r="GU175" i="6"/>
  <c r="E208" i="13"/>
  <c r="E231" i="13"/>
  <c r="N288" i="13"/>
  <c r="L276" i="13"/>
  <c r="D229" i="13"/>
  <c r="H230" i="12"/>
  <c r="H230" i="13" s="1"/>
  <c r="G230" i="12"/>
  <c r="G230" i="13" s="1"/>
  <c r="F230" i="12"/>
  <c r="F230" i="13" s="1"/>
  <c r="E230" i="12"/>
  <c r="D230" i="12"/>
  <c r="C230" i="12"/>
  <c r="B230" i="12"/>
  <c r="L275" i="13"/>
  <c r="N287" i="13"/>
  <c r="E229" i="13"/>
  <c r="D243" i="12"/>
  <c r="H243" i="12"/>
  <c r="H243" i="13" s="1"/>
  <c r="E243" i="12"/>
  <c r="C243" i="12"/>
  <c r="B243" i="12"/>
  <c r="L255" i="12"/>
  <c r="N267" i="12"/>
  <c r="D222" i="13"/>
  <c r="E211" i="13"/>
  <c r="L262" i="13"/>
  <c r="N274" i="13"/>
  <c r="E221" i="13"/>
  <c r="I211" i="12"/>
  <c r="I211" i="13" s="1"/>
  <c r="N280" i="13"/>
  <c r="L268" i="13"/>
  <c r="J211" i="12"/>
  <c r="C211" i="13"/>
  <c r="D233" i="12"/>
  <c r="E233" i="12"/>
  <c r="D221" i="13"/>
  <c r="D213" i="13"/>
  <c r="J218" i="12"/>
  <c r="C218" i="13"/>
  <c r="E213" i="13"/>
  <c r="L232" i="12"/>
  <c r="N244" i="12"/>
  <c r="L248" i="12"/>
  <c r="N260" i="12"/>
  <c r="K203" i="12"/>
  <c r="K203" i="13" s="1"/>
  <c r="L259" i="13"/>
  <c r="N271" i="13"/>
  <c r="D211" i="13"/>
  <c r="J215" i="12"/>
  <c r="C215" i="13"/>
  <c r="I213" i="12"/>
  <c r="I213" i="13" s="1"/>
  <c r="I218" i="12"/>
  <c r="I218" i="13" s="1"/>
  <c r="N247" i="12"/>
  <c r="L235" i="12"/>
  <c r="H220" i="12"/>
  <c r="H220" i="13" s="1"/>
  <c r="G220" i="12"/>
  <c r="G220" i="13" s="1"/>
  <c r="E220" i="12"/>
  <c r="D220" i="12"/>
  <c r="C220" i="12"/>
  <c r="B220" i="12"/>
  <c r="F220" i="12"/>
  <c r="F220" i="13" s="1"/>
  <c r="D236" i="12"/>
  <c r="C236" i="12"/>
  <c r="L253" i="12"/>
  <c r="N265" i="12"/>
  <c r="D215" i="13"/>
  <c r="E218" i="13"/>
  <c r="L266" i="13"/>
  <c r="N278" i="13"/>
  <c r="E215" i="13"/>
  <c r="N273" i="13"/>
  <c r="L261" i="13"/>
  <c r="L269" i="13"/>
  <c r="N281" i="13"/>
  <c r="B227" i="12"/>
  <c r="C227" i="12"/>
  <c r="G227" i="12"/>
  <c r="G227" i="13" s="1"/>
  <c r="F227" i="12"/>
  <c r="F227" i="13" s="1"/>
  <c r="E227" i="12"/>
  <c r="D227" i="12"/>
  <c r="H227" i="12"/>
  <c r="H227" i="13" s="1"/>
  <c r="N284" i="13"/>
  <c r="L272" i="13"/>
  <c r="N254" i="12"/>
  <c r="L242" i="12"/>
  <c r="I215" i="12"/>
  <c r="I215" i="13" s="1"/>
  <c r="D225" i="12"/>
  <c r="C225" i="12"/>
  <c r="B225" i="12"/>
  <c r="H225" i="12"/>
  <c r="H225" i="13" s="1"/>
  <c r="G225" i="12"/>
  <c r="G225" i="13" s="1"/>
  <c r="F225" i="12"/>
  <c r="F225" i="13" s="1"/>
  <c r="E225" i="12"/>
  <c r="L239" i="12"/>
  <c r="N251" i="12"/>
  <c r="O206" i="12"/>
  <c r="P206" i="12" s="1"/>
  <c r="D231" i="13"/>
  <c r="L277" i="13"/>
  <c r="N289" i="13"/>
  <c r="J208" i="12"/>
  <c r="C208" i="13"/>
  <c r="I208" i="12"/>
  <c r="I208" i="13" s="1"/>
  <c r="E222" i="13"/>
  <c r="D218" i="13"/>
  <c r="N249" i="12"/>
  <c r="L237" i="12"/>
  <c r="K206" i="12"/>
  <c r="K206" i="13" s="1"/>
  <c r="G234" i="12"/>
  <c r="G234" i="13" s="1"/>
  <c r="H234" i="12"/>
  <c r="H234" i="13" s="1"/>
  <c r="F234" i="12"/>
  <c r="F234" i="13" s="1"/>
  <c r="E234" i="12"/>
  <c r="D234" i="12"/>
  <c r="H223" i="12"/>
  <c r="H223" i="13" s="1"/>
  <c r="G223" i="12"/>
  <c r="G223" i="13" s="1"/>
  <c r="F223" i="12"/>
  <c r="F223" i="13" s="1"/>
  <c r="E223" i="12"/>
  <c r="C223" i="12"/>
  <c r="B223" i="12"/>
  <c r="N257" i="12"/>
  <c r="L245" i="12"/>
  <c r="J213" i="12"/>
  <c r="C213" i="13"/>
  <c r="N279" i="13"/>
  <c r="L267" i="13"/>
  <c r="G241" i="12"/>
  <c r="G241" i="13" s="1"/>
  <c r="E241" i="12"/>
  <c r="D241" i="12"/>
  <c r="N270" i="13"/>
  <c r="L258" i="13"/>
  <c r="N258" i="12"/>
  <c r="L246" i="12"/>
  <c r="D208" i="13"/>
  <c r="D224" i="13"/>
  <c r="C231" i="13"/>
  <c r="J210" i="12" l="1"/>
  <c r="K207" i="12"/>
  <c r="K207" i="13" s="1"/>
  <c r="B241" i="12"/>
  <c r="O199" i="12"/>
  <c r="P199" i="12" s="1"/>
  <c r="O207" i="12"/>
  <c r="P207" i="12" s="1"/>
  <c r="B236" i="12"/>
  <c r="E224" i="13"/>
  <c r="B229" i="13"/>
  <c r="B224" i="13"/>
  <c r="O190" i="13"/>
  <c r="P190" i="13" s="1"/>
  <c r="J199" i="13"/>
  <c r="J231" i="12"/>
  <c r="J196" i="13"/>
  <c r="O196" i="13" s="1"/>
  <c r="P196" i="13" s="1"/>
  <c r="J212" i="12"/>
  <c r="J207" i="13"/>
  <c r="J219" i="13"/>
  <c r="G231" i="12"/>
  <c r="G231" i="13" s="1"/>
  <c r="B212" i="13"/>
  <c r="J202" i="13"/>
  <c r="J224" i="12"/>
  <c r="B222" i="12"/>
  <c r="I222" i="12" s="1"/>
  <c r="I222" i="13" s="1"/>
  <c r="B210" i="13"/>
  <c r="K201" i="12"/>
  <c r="K201" i="13" s="1"/>
  <c r="O201" i="13" s="1"/>
  <c r="P201" i="13" s="1"/>
  <c r="J209" i="13"/>
  <c r="K217" i="12"/>
  <c r="K217" i="13" s="1"/>
  <c r="C221" i="13"/>
  <c r="C233" i="12"/>
  <c r="B231" i="13"/>
  <c r="F231" i="12"/>
  <c r="F231" i="13" s="1"/>
  <c r="I219" i="12"/>
  <c r="I219" i="13" s="1"/>
  <c r="K199" i="12"/>
  <c r="K199" i="13" s="1"/>
  <c r="O199" i="13" s="1"/>
  <c r="P199" i="13" s="1"/>
  <c r="B214" i="13"/>
  <c r="C229" i="13"/>
  <c r="O201" i="12"/>
  <c r="P201" i="12" s="1"/>
  <c r="O207" i="13"/>
  <c r="P207" i="13" s="1"/>
  <c r="K198" i="12"/>
  <c r="K198" i="13" s="1"/>
  <c r="O198" i="13" s="1"/>
  <c r="P198" i="13" s="1"/>
  <c r="C222" i="13"/>
  <c r="H233" i="12"/>
  <c r="H233" i="13" s="1"/>
  <c r="G233" i="12"/>
  <c r="G233" i="13" s="1"/>
  <c r="I221" i="12"/>
  <c r="I221" i="13" s="1"/>
  <c r="J200" i="13"/>
  <c r="J221" i="12"/>
  <c r="B233" i="12"/>
  <c r="O200" i="12"/>
  <c r="P200" i="12" s="1"/>
  <c r="B221" i="13"/>
  <c r="F233" i="12"/>
  <c r="F233" i="13" s="1"/>
  <c r="C224" i="13"/>
  <c r="I212" i="12"/>
  <c r="I212" i="13" s="1"/>
  <c r="K200" i="12"/>
  <c r="K200" i="13" s="1"/>
  <c r="O200" i="13" s="1"/>
  <c r="P200" i="13" s="1"/>
  <c r="C234" i="12"/>
  <c r="K209" i="12"/>
  <c r="K209" i="13" s="1"/>
  <c r="O209" i="12"/>
  <c r="P209" i="12" s="1"/>
  <c r="F241" i="12"/>
  <c r="F241" i="13" s="1"/>
  <c r="H224" i="12"/>
  <c r="H224" i="13" s="1"/>
  <c r="G224" i="12"/>
  <c r="I224" i="12" s="1"/>
  <c r="I224" i="13" s="1"/>
  <c r="F236" i="12"/>
  <c r="F236" i="13" s="1"/>
  <c r="H241" i="12"/>
  <c r="H241" i="13" s="1"/>
  <c r="J217" i="13"/>
  <c r="O217" i="13" s="1"/>
  <c r="P217" i="13" s="1"/>
  <c r="I229" i="12"/>
  <c r="I229" i="13" s="1"/>
  <c r="K210" i="12"/>
  <c r="K210" i="13" s="1"/>
  <c r="J229" i="12"/>
  <c r="O210" i="12"/>
  <c r="P210" i="12" s="1"/>
  <c r="C241" i="12"/>
  <c r="O203" i="13"/>
  <c r="P203" i="13" s="1"/>
  <c r="K202" i="12"/>
  <c r="K202" i="13" s="1"/>
  <c r="O202" i="12"/>
  <c r="P202" i="12" s="1"/>
  <c r="O217" i="12"/>
  <c r="P217" i="12" s="1"/>
  <c r="K212" i="12"/>
  <c r="K212" i="13" s="1"/>
  <c r="O212" i="12"/>
  <c r="P212" i="12" s="1"/>
  <c r="O219" i="12"/>
  <c r="P219" i="12" s="1"/>
  <c r="E226" i="12"/>
  <c r="E226" i="13" s="1"/>
  <c r="D226" i="12"/>
  <c r="D226" i="13" s="1"/>
  <c r="C226" i="12"/>
  <c r="H226" i="12"/>
  <c r="H226" i="13" s="1"/>
  <c r="F226" i="12"/>
  <c r="F226" i="13" s="1"/>
  <c r="G226" i="12"/>
  <c r="G226" i="13" s="1"/>
  <c r="B226" i="12"/>
  <c r="N250" i="12"/>
  <c r="L238" i="12"/>
  <c r="I214" i="12"/>
  <c r="K214" i="12" s="1"/>
  <c r="K214" i="13" s="1"/>
  <c r="E214" i="13"/>
  <c r="J214" i="12"/>
  <c r="C214" i="13"/>
  <c r="I230" i="12"/>
  <c r="I230" i="13" s="1"/>
  <c r="O211" i="12"/>
  <c r="P211" i="12" s="1"/>
  <c r="K213" i="12"/>
  <c r="K213" i="13" s="1"/>
  <c r="O218" i="12"/>
  <c r="P218" i="12" s="1"/>
  <c r="I225" i="12"/>
  <c r="I225" i="13" s="1"/>
  <c r="K218" i="12"/>
  <c r="K218" i="13" s="1"/>
  <c r="O213" i="12"/>
  <c r="P213" i="12" s="1"/>
  <c r="J218" i="13"/>
  <c r="B243" i="13"/>
  <c r="O206" i="13"/>
  <c r="P206" i="13" s="1"/>
  <c r="J229" i="13"/>
  <c r="J213" i="13"/>
  <c r="B223" i="13"/>
  <c r="B220" i="13"/>
  <c r="O208" i="12"/>
  <c r="P208" i="12" s="1"/>
  <c r="J211" i="13"/>
  <c r="B227" i="13"/>
  <c r="J215" i="13"/>
  <c r="B236" i="13"/>
  <c r="B225" i="13"/>
  <c r="B230" i="13"/>
  <c r="J208" i="13"/>
  <c r="B241" i="13"/>
  <c r="J231" i="13"/>
  <c r="K215" i="12"/>
  <c r="K215" i="13" s="1"/>
  <c r="K211" i="12"/>
  <c r="K211" i="13" s="1"/>
  <c r="FM177" i="6"/>
  <c r="BR234" i="5"/>
  <c r="BS234" i="5" s="1"/>
  <c r="BV222" i="5"/>
  <c r="BY222" i="5"/>
  <c r="BX222" i="5"/>
  <c r="BR235" i="5"/>
  <c r="BS235" i="5" s="1"/>
  <c r="BX225" i="5"/>
  <c r="BY225" i="5"/>
  <c r="BV225" i="5"/>
  <c r="BR233" i="5"/>
  <c r="BS233" i="5" s="1"/>
  <c r="BV224" i="5"/>
  <c r="BY224" i="5"/>
  <c r="BX224" i="5"/>
  <c r="BR236" i="5"/>
  <c r="BS236" i="5" s="1"/>
  <c r="BV227" i="5"/>
  <c r="BY227" i="5"/>
  <c r="BX227" i="5"/>
  <c r="BR239" i="5"/>
  <c r="BS239" i="5" s="1"/>
  <c r="EW177" i="6"/>
  <c r="BR240" i="5"/>
  <c r="BS240" i="5" s="1"/>
  <c r="BV223" i="5"/>
  <c r="BY223" i="5"/>
  <c r="BX223" i="5"/>
  <c r="BR232" i="5"/>
  <c r="BS232" i="5" s="1"/>
  <c r="BV221" i="5"/>
  <c r="BX221" i="5"/>
  <c r="BY221" i="5"/>
  <c r="BV228" i="5"/>
  <c r="BX228" i="5"/>
  <c r="BY228" i="5"/>
  <c r="BV226" i="5"/>
  <c r="BX226" i="5"/>
  <c r="BY226" i="5"/>
  <c r="BY220" i="5"/>
  <c r="BV220" i="5"/>
  <c r="BX220" i="5"/>
  <c r="BR238" i="5"/>
  <c r="BS238" i="5" s="1"/>
  <c r="ES177" i="6"/>
  <c r="GX177" i="6" s="1"/>
  <c r="BR237" i="5"/>
  <c r="BS237" i="5" s="1"/>
  <c r="EX177" i="6"/>
  <c r="EZ176" i="6"/>
  <c r="ET176" i="6"/>
  <c r="BK185" i="5"/>
  <c r="GW176" i="6"/>
  <c r="HA176" i="6"/>
  <c r="GV176" i="6"/>
  <c r="GX176" i="6"/>
  <c r="GU176" i="6"/>
  <c r="GZ176" i="6"/>
  <c r="GY176" i="6"/>
  <c r="EY176" i="6"/>
  <c r="ER178" i="6"/>
  <c r="EM178" i="6"/>
  <c r="BM184" i="5"/>
  <c r="BL184" i="5"/>
  <c r="EN178" i="6"/>
  <c r="FF179" i="6"/>
  <c r="FH179" i="6"/>
  <c r="FE179" i="6"/>
  <c r="FD179" i="6"/>
  <c r="FB179" i="6"/>
  <c r="FC179" i="6"/>
  <c r="FI179" i="6"/>
  <c r="FG179" i="6"/>
  <c r="FZ179" i="6"/>
  <c r="GA179" i="6" s="1"/>
  <c r="EK178" i="6"/>
  <c r="FJ178" i="6"/>
  <c r="EP178" i="6"/>
  <c r="AX190" i="5"/>
  <c r="FR180" i="6"/>
  <c r="FT180" i="6" s="1"/>
  <c r="BJ189" i="5"/>
  <c r="FY180" i="6"/>
  <c r="BG189" i="5"/>
  <c r="FL180" i="6"/>
  <c r="EL178" i="6"/>
  <c r="EO178" i="6"/>
  <c r="D220" i="13"/>
  <c r="H232" i="12"/>
  <c r="H232" i="13" s="1"/>
  <c r="G232" i="12"/>
  <c r="G232" i="13" s="1"/>
  <c r="F232" i="12"/>
  <c r="F232" i="13" s="1"/>
  <c r="E232" i="12"/>
  <c r="D232" i="12"/>
  <c r="C232" i="12"/>
  <c r="B232" i="12"/>
  <c r="D243" i="13"/>
  <c r="D223" i="13"/>
  <c r="F239" i="12"/>
  <c r="F239" i="13" s="1"/>
  <c r="E239" i="12"/>
  <c r="D239" i="12"/>
  <c r="C239" i="12"/>
  <c r="B239" i="12"/>
  <c r="H239" i="12"/>
  <c r="H239" i="13" s="1"/>
  <c r="G239" i="12"/>
  <c r="G239" i="13" s="1"/>
  <c r="L281" i="13"/>
  <c r="N293" i="13"/>
  <c r="E223" i="13"/>
  <c r="E220" i="13"/>
  <c r="L287" i="13"/>
  <c r="N299" i="13"/>
  <c r="N270" i="12"/>
  <c r="L258" i="12"/>
  <c r="J223" i="12"/>
  <c r="C223" i="13"/>
  <c r="L244" i="12"/>
  <c r="N256" i="12"/>
  <c r="E227" i="13"/>
  <c r="N290" i="13"/>
  <c r="L278" i="13"/>
  <c r="N277" i="12"/>
  <c r="L265" i="12"/>
  <c r="H235" i="12"/>
  <c r="H235" i="13" s="1"/>
  <c r="G235" i="12"/>
  <c r="G235" i="13" s="1"/>
  <c r="F235" i="12"/>
  <c r="F235" i="13" s="1"/>
  <c r="E235" i="12"/>
  <c r="D235" i="12"/>
  <c r="C235" i="12"/>
  <c r="B235" i="12"/>
  <c r="F237" i="12"/>
  <c r="F237" i="13" s="1"/>
  <c r="H237" i="12"/>
  <c r="H237" i="13" s="1"/>
  <c r="G237" i="12"/>
  <c r="G237" i="13" s="1"/>
  <c r="E237" i="12"/>
  <c r="D237" i="12"/>
  <c r="C237" i="12"/>
  <c r="B237" i="12"/>
  <c r="N263" i="12"/>
  <c r="L251" i="12"/>
  <c r="N301" i="13"/>
  <c r="L289" i="13"/>
  <c r="L280" i="13"/>
  <c r="N292" i="13"/>
  <c r="N279" i="12"/>
  <c r="L267" i="12"/>
  <c r="H246" i="12"/>
  <c r="H246" i="13" s="1"/>
  <c r="G246" i="12"/>
  <c r="G246" i="13" s="1"/>
  <c r="F246" i="12"/>
  <c r="F246" i="13" s="1"/>
  <c r="E246" i="12"/>
  <c r="D246" i="12"/>
  <c r="D241" i="13"/>
  <c r="I223" i="12"/>
  <c r="I223" i="13" s="1"/>
  <c r="L273" i="13"/>
  <c r="N285" i="13"/>
  <c r="B242" i="12"/>
  <c r="H242" i="12"/>
  <c r="H242" i="13" s="1"/>
  <c r="G242" i="12"/>
  <c r="G242" i="13" s="1"/>
  <c r="C242" i="12"/>
  <c r="F242" i="12"/>
  <c r="F242" i="13" s="1"/>
  <c r="E242" i="12"/>
  <c r="D242" i="12"/>
  <c r="N266" i="12"/>
  <c r="L254" i="12"/>
  <c r="H255" i="12"/>
  <c r="H255" i="13" s="1"/>
  <c r="D255" i="12"/>
  <c r="C255" i="12"/>
  <c r="B255" i="12"/>
  <c r="E255" i="12"/>
  <c r="L260" i="12"/>
  <c r="N272" i="12"/>
  <c r="J227" i="12"/>
  <c r="C227" i="13"/>
  <c r="O215" i="12"/>
  <c r="P215" i="12" s="1"/>
  <c r="N259" i="12"/>
  <c r="L247" i="12"/>
  <c r="J236" i="12"/>
  <c r="C236" i="13"/>
  <c r="N300" i="13"/>
  <c r="L288" i="13"/>
  <c r="E233" i="13"/>
  <c r="D233" i="13"/>
  <c r="J220" i="12"/>
  <c r="C220" i="13"/>
  <c r="I220" i="12"/>
  <c r="I220" i="13" s="1"/>
  <c r="J225" i="12"/>
  <c r="C225" i="13"/>
  <c r="O221" i="12"/>
  <c r="P221" i="12" s="1"/>
  <c r="N296" i="13"/>
  <c r="L284" i="13"/>
  <c r="D236" i="13"/>
  <c r="K221" i="12"/>
  <c r="K221" i="13" s="1"/>
  <c r="J243" i="12"/>
  <c r="C243" i="13"/>
  <c r="N261" i="12"/>
  <c r="L249" i="12"/>
  <c r="N291" i="13"/>
  <c r="L279" i="13"/>
  <c r="D234" i="13"/>
  <c r="E236" i="13"/>
  <c r="L274" i="13"/>
  <c r="N286" i="13"/>
  <c r="E243" i="13"/>
  <c r="D248" i="12"/>
  <c r="C248" i="12"/>
  <c r="B248" i="12"/>
  <c r="E248" i="12"/>
  <c r="L270" i="13"/>
  <c r="N282" i="13"/>
  <c r="J230" i="12"/>
  <c r="C230" i="13"/>
  <c r="D230" i="13"/>
  <c r="D225" i="13"/>
  <c r="G253" i="12"/>
  <c r="G253" i="13" s="1"/>
  <c r="E253" i="12"/>
  <c r="D253" i="12"/>
  <c r="B253" i="12"/>
  <c r="B245" i="12"/>
  <c r="E245" i="12"/>
  <c r="D245" i="12"/>
  <c r="H245" i="12"/>
  <c r="H245" i="13" s="1"/>
  <c r="I227" i="12"/>
  <c r="I227" i="13" s="1"/>
  <c r="E225" i="13"/>
  <c r="E241" i="13"/>
  <c r="E230" i="13"/>
  <c r="E234" i="13"/>
  <c r="N269" i="12"/>
  <c r="L257" i="12"/>
  <c r="D227" i="13"/>
  <c r="L271" i="13"/>
  <c r="N283" i="13"/>
  <c r="K208" i="12"/>
  <c r="K208" i="13" s="1"/>
  <c r="J222" i="12" l="1"/>
  <c r="K219" i="12"/>
  <c r="K219" i="13" s="1"/>
  <c r="O219" i="13" s="1"/>
  <c r="P219" i="13" s="1"/>
  <c r="O229" i="12"/>
  <c r="P229" i="12" s="1"/>
  <c r="O209" i="13"/>
  <c r="P209" i="13" s="1"/>
  <c r="O202" i="13"/>
  <c r="P202" i="13" s="1"/>
  <c r="G243" i="12"/>
  <c r="G243" i="13" s="1"/>
  <c r="C233" i="13"/>
  <c r="J233" i="12"/>
  <c r="G245" i="12"/>
  <c r="G245" i="13" s="1"/>
  <c r="J224" i="13"/>
  <c r="F245" i="12"/>
  <c r="F245" i="13" s="1"/>
  <c r="C245" i="12"/>
  <c r="B233" i="13"/>
  <c r="B234" i="12"/>
  <c r="I234" i="12" s="1"/>
  <c r="I234" i="13" s="1"/>
  <c r="B222" i="13"/>
  <c r="J210" i="13"/>
  <c r="O210" i="13" s="1"/>
  <c r="P210" i="13" s="1"/>
  <c r="J221" i="13"/>
  <c r="O221" i="13" s="1"/>
  <c r="P221" i="13" s="1"/>
  <c r="J212" i="13"/>
  <c r="O212" i="13" s="1"/>
  <c r="P212" i="13" s="1"/>
  <c r="C246" i="12"/>
  <c r="F243" i="12"/>
  <c r="F243" i="13" s="1"/>
  <c r="B226" i="13"/>
  <c r="J241" i="12"/>
  <c r="I231" i="12"/>
  <c r="I231" i="13" s="1"/>
  <c r="J214" i="13"/>
  <c r="I233" i="12"/>
  <c r="I233" i="13" s="1"/>
  <c r="I241" i="12"/>
  <c r="I241" i="13" s="1"/>
  <c r="J234" i="12"/>
  <c r="F253" i="12"/>
  <c r="F253" i="13" s="1"/>
  <c r="K222" i="12"/>
  <c r="K222" i="13" s="1"/>
  <c r="O222" i="12"/>
  <c r="P222" i="12" s="1"/>
  <c r="H253" i="12"/>
  <c r="H253" i="13" s="1"/>
  <c r="H236" i="12"/>
  <c r="H236" i="13" s="1"/>
  <c r="F248" i="12"/>
  <c r="F248" i="13" s="1"/>
  <c r="C234" i="13"/>
  <c r="G224" i="13"/>
  <c r="G236" i="12"/>
  <c r="O224" i="12"/>
  <c r="P224" i="12" s="1"/>
  <c r="K224" i="12"/>
  <c r="K224" i="13" s="1"/>
  <c r="K229" i="12"/>
  <c r="K229" i="13" s="1"/>
  <c r="O229" i="13" s="1"/>
  <c r="P229" i="13" s="1"/>
  <c r="G255" i="12"/>
  <c r="G255" i="13" s="1"/>
  <c r="C241" i="13"/>
  <c r="C253" i="12"/>
  <c r="K231" i="12"/>
  <c r="K231" i="13" s="1"/>
  <c r="O231" i="13" s="1"/>
  <c r="P231" i="13" s="1"/>
  <c r="K233" i="12"/>
  <c r="K233" i="13" s="1"/>
  <c r="I226" i="12"/>
  <c r="O226" i="12" s="1"/>
  <c r="P226" i="12" s="1"/>
  <c r="K225" i="12"/>
  <c r="K225" i="13" s="1"/>
  <c r="O233" i="12"/>
  <c r="P233" i="12" s="1"/>
  <c r="GW177" i="6"/>
  <c r="O214" i="13"/>
  <c r="P214" i="13" s="1"/>
  <c r="I214" i="13"/>
  <c r="O214" i="12"/>
  <c r="P214" i="12" s="1"/>
  <c r="D238" i="12"/>
  <c r="D238" i="13" s="1"/>
  <c r="B238" i="12"/>
  <c r="C238" i="12"/>
  <c r="H238" i="12"/>
  <c r="H238" i="13" s="1"/>
  <c r="E238" i="12"/>
  <c r="G238" i="12"/>
  <c r="G238" i="13" s="1"/>
  <c r="F238" i="12"/>
  <c r="F238" i="13" s="1"/>
  <c r="L250" i="12"/>
  <c r="N262" i="12"/>
  <c r="J226" i="12"/>
  <c r="C226" i="13"/>
  <c r="O230" i="12"/>
  <c r="P230" i="12" s="1"/>
  <c r="O225" i="12"/>
  <c r="P225" i="12" s="1"/>
  <c r="O213" i="13"/>
  <c r="P213" i="13" s="1"/>
  <c r="O215" i="13"/>
  <c r="P215" i="13" s="1"/>
  <c r="O218" i="13"/>
  <c r="P218" i="13" s="1"/>
  <c r="J233" i="13"/>
  <c r="O208" i="13"/>
  <c r="P208" i="13" s="1"/>
  <c r="I242" i="12"/>
  <c r="I242" i="13" s="1"/>
  <c r="J223" i="13"/>
  <c r="K230" i="12"/>
  <c r="K230" i="13" s="1"/>
  <c r="O211" i="13"/>
  <c r="P211" i="13" s="1"/>
  <c r="B242" i="13"/>
  <c r="B232" i="13"/>
  <c r="J220" i="13"/>
  <c r="J225" i="13"/>
  <c r="O227" i="12"/>
  <c r="P227" i="12" s="1"/>
  <c r="B255" i="13"/>
  <c r="J230" i="13"/>
  <c r="B248" i="13"/>
  <c r="J243" i="13"/>
  <c r="B237" i="13"/>
  <c r="K220" i="12"/>
  <c r="K220" i="13" s="1"/>
  <c r="J227" i="13"/>
  <c r="J236" i="13"/>
  <c r="B235" i="13"/>
  <c r="B239" i="13"/>
  <c r="B253" i="13"/>
  <c r="B245" i="13"/>
  <c r="FM178" i="6"/>
  <c r="GZ177" i="6"/>
  <c r="EZ177" i="6"/>
  <c r="EY177" i="6"/>
  <c r="GU177" i="6"/>
  <c r="BY236" i="5"/>
  <c r="BX236" i="5"/>
  <c r="BV236" i="5"/>
  <c r="BR249" i="5"/>
  <c r="BS249" i="5" s="1"/>
  <c r="BR251" i="5"/>
  <c r="BS251" i="5" s="1"/>
  <c r="HA177" i="6"/>
  <c r="BR247" i="5"/>
  <c r="BS247" i="5" s="1"/>
  <c r="BK186" i="5"/>
  <c r="BL186" i="5" s="1"/>
  <c r="BR244" i="5"/>
  <c r="BS244" i="5" s="1"/>
  <c r="GT177" i="6"/>
  <c r="GV177" i="6"/>
  <c r="ET177" i="6"/>
  <c r="BX232" i="5"/>
  <c r="BV232" i="5"/>
  <c r="BY232" i="5"/>
  <c r="BR250" i="5"/>
  <c r="BS250" i="5" s="1"/>
  <c r="BV234" i="5"/>
  <c r="BY234" i="5"/>
  <c r="BX234" i="5"/>
  <c r="BR246" i="5"/>
  <c r="BS246" i="5" s="1"/>
  <c r="GY177" i="6"/>
  <c r="BR245" i="5"/>
  <c r="BS245" i="5" s="1"/>
  <c r="BV238" i="5"/>
  <c r="BX238" i="5"/>
  <c r="BY238" i="5"/>
  <c r="BY237" i="5"/>
  <c r="BX237" i="5"/>
  <c r="BV237" i="5"/>
  <c r="BV235" i="5"/>
  <c r="BY235" i="5"/>
  <c r="BX235" i="5"/>
  <c r="BV233" i="5"/>
  <c r="BY233" i="5"/>
  <c r="BX233" i="5"/>
  <c r="BY239" i="5"/>
  <c r="BV239" i="5"/>
  <c r="BX239" i="5"/>
  <c r="BV240" i="5"/>
  <c r="BY240" i="5"/>
  <c r="BX240" i="5"/>
  <c r="BR248" i="5"/>
  <c r="BS248" i="5" s="1"/>
  <c r="BR252" i="5"/>
  <c r="BS252" i="5" s="1"/>
  <c r="FZ180" i="6"/>
  <c r="GA180" i="6" s="1"/>
  <c r="EX178" i="6"/>
  <c r="ES178" i="6"/>
  <c r="GY178" i="6" s="1"/>
  <c r="EP179" i="6"/>
  <c r="ER179" i="6"/>
  <c r="EO179" i="6"/>
  <c r="FI180" i="6"/>
  <c r="FH180" i="6"/>
  <c r="FG180" i="6"/>
  <c r="FE180" i="6"/>
  <c r="FD180" i="6"/>
  <c r="FF180" i="6"/>
  <c r="FC180" i="6"/>
  <c r="FB180" i="6"/>
  <c r="EL179" i="6"/>
  <c r="EM179" i="6"/>
  <c r="FJ179" i="6"/>
  <c r="EK179" i="6"/>
  <c r="EN179" i="6"/>
  <c r="EQ179" i="6"/>
  <c r="BL185" i="5"/>
  <c r="BM185" i="5"/>
  <c r="FR181" i="6"/>
  <c r="FT181" i="6" s="1"/>
  <c r="BJ190" i="5"/>
  <c r="AX191" i="5"/>
  <c r="FY181" i="6"/>
  <c r="BG190" i="5"/>
  <c r="FL181" i="6"/>
  <c r="EW178" i="6"/>
  <c r="N275" i="12"/>
  <c r="L263" i="12"/>
  <c r="E235" i="13"/>
  <c r="D237" i="13"/>
  <c r="O223" i="12"/>
  <c r="P223" i="12" s="1"/>
  <c r="N308" i="13"/>
  <c r="L296" i="13"/>
  <c r="E242" i="13"/>
  <c r="E237" i="13"/>
  <c r="N302" i="13"/>
  <c r="L290" i="13"/>
  <c r="N284" i="12"/>
  <c r="L272" i="12"/>
  <c r="I235" i="12"/>
  <c r="I235" i="13" s="1"/>
  <c r="E251" i="12"/>
  <c r="D251" i="12"/>
  <c r="C251" i="12"/>
  <c r="B251" i="12"/>
  <c r="H251" i="12"/>
  <c r="H251" i="13" s="1"/>
  <c r="G251" i="12"/>
  <c r="G251" i="13" s="1"/>
  <c r="F251" i="12"/>
  <c r="F251" i="13" s="1"/>
  <c r="J235" i="12"/>
  <c r="C235" i="13"/>
  <c r="D253" i="13"/>
  <c r="E253" i="13"/>
  <c r="E260" i="12"/>
  <c r="D260" i="12"/>
  <c r="C260" i="12"/>
  <c r="B260" i="12"/>
  <c r="K223" i="12"/>
  <c r="K223" i="13" s="1"/>
  <c r="G257" i="12"/>
  <c r="G257" i="13" s="1"/>
  <c r="E257" i="12"/>
  <c r="D257" i="12"/>
  <c r="C257" i="12"/>
  <c r="B257" i="12"/>
  <c r="H257" i="12"/>
  <c r="H257" i="13" s="1"/>
  <c r="D265" i="12"/>
  <c r="G265" i="12"/>
  <c r="G265" i="13" s="1"/>
  <c r="E265" i="12"/>
  <c r="B265" i="12"/>
  <c r="E246" i="13"/>
  <c r="E239" i="13"/>
  <c r="F254" i="12"/>
  <c r="F254" i="13" s="1"/>
  <c r="E254" i="12"/>
  <c r="D254" i="12"/>
  <c r="C254" i="12"/>
  <c r="B254" i="12"/>
  <c r="G254" i="12"/>
  <c r="G254" i="13" s="1"/>
  <c r="H254" i="12"/>
  <c r="H254" i="13" s="1"/>
  <c r="N312" i="13"/>
  <c r="L300" i="13"/>
  <c r="C246" i="13"/>
  <c r="N281" i="12"/>
  <c r="L269" i="12"/>
  <c r="D235" i="13"/>
  <c r="L266" i="12"/>
  <c r="N278" i="12"/>
  <c r="J237" i="12"/>
  <c r="C237" i="13"/>
  <c r="D242" i="13"/>
  <c r="I237" i="12"/>
  <c r="I237" i="13" s="1"/>
  <c r="E232" i="13"/>
  <c r="E255" i="13"/>
  <c r="C267" i="12"/>
  <c r="B267" i="12"/>
  <c r="H267" i="12"/>
  <c r="H267" i="13" s="1"/>
  <c r="E267" i="12"/>
  <c r="D267" i="12"/>
  <c r="L293" i="13"/>
  <c r="N305" i="13"/>
  <c r="I232" i="12"/>
  <c r="I232" i="13" s="1"/>
  <c r="J248" i="12"/>
  <c r="C248" i="13"/>
  <c r="H258" i="12"/>
  <c r="H258" i="13" s="1"/>
  <c r="G258" i="12"/>
  <c r="G258" i="13" s="1"/>
  <c r="F258" i="12"/>
  <c r="F258" i="13" s="1"/>
  <c r="E258" i="12"/>
  <c r="D258" i="12"/>
  <c r="L286" i="13"/>
  <c r="N298" i="13"/>
  <c r="N282" i="12"/>
  <c r="L270" i="12"/>
  <c r="D245" i="13"/>
  <c r="E245" i="13"/>
  <c r="J255" i="12"/>
  <c r="C255" i="13"/>
  <c r="N291" i="12"/>
  <c r="L279" i="12"/>
  <c r="N289" i="12"/>
  <c r="L277" i="12"/>
  <c r="D232" i="13"/>
  <c r="E248" i="13"/>
  <c r="L291" i="13"/>
  <c r="N303" i="13"/>
  <c r="H247" i="12"/>
  <c r="H247" i="13" s="1"/>
  <c r="B247" i="12"/>
  <c r="G247" i="12"/>
  <c r="G247" i="13" s="1"/>
  <c r="F247" i="12"/>
  <c r="F247" i="13" s="1"/>
  <c r="E247" i="12"/>
  <c r="D247" i="12"/>
  <c r="C247" i="12"/>
  <c r="D255" i="13"/>
  <c r="N304" i="13"/>
  <c r="L292" i="13"/>
  <c r="K227" i="12"/>
  <c r="K227" i="13" s="1"/>
  <c r="O220" i="12"/>
  <c r="P220" i="12" s="1"/>
  <c r="D239" i="13"/>
  <c r="N268" i="12"/>
  <c r="L256" i="12"/>
  <c r="J232" i="12"/>
  <c r="C232" i="13"/>
  <c r="N294" i="13"/>
  <c r="L282" i="13"/>
  <c r="D244" i="12"/>
  <c r="C244" i="12"/>
  <c r="B244" i="12"/>
  <c r="H244" i="12"/>
  <c r="H244" i="13" s="1"/>
  <c r="G244" i="12"/>
  <c r="G244" i="13" s="1"/>
  <c r="F244" i="12"/>
  <c r="F244" i="13" s="1"/>
  <c r="E244" i="12"/>
  <c r="I239" i="12"/>
  <c r="I239" i="13" s="1"/>
  <c r="D248" i="13"/>
  <c r="J242" i="12"/>
  <c r="C242" i="13"/>
  <c r="D246" i="13"/>
  <c r="L283" i="13"/>
  <c r="N295" i="13"/>
  <c r="N273" i="12"/>
  <c r="L261" i="12"/>
  <c r="N311" i="13"/>
  <c r="L299" i="13"/>
  <c r="B249" i="12"/>
  <c r="H249" i="12"/>
  <c r="H249" i="13" s="1"/>
  <c r="G249" i="12"/>
  <c r="G249" i="13" s="1"/>
  <c r="F249" i="12"/>
  <c r="F249" i="13" s="1"/>
  <c r="E249" i="12"/>
  <c r="D249" i="12"/>
  <c r="C249" i="12"/>
  <c r="N271" i="12"/>
  <c r="L259" i="12"/>
  <c r="J245" i="12"/>
  <c r="C245" i="13"/>
  <c r="L285" i="13"/>
  <c r="N297" i="13"/>
  <c r="L301" i="13"/>
  <c r="N313" i="13"/>
  <c r="J239" i="12"/>
  <c r="C239" i="13"/>
  <c r="O231" i="12" l="1"/>
  <c r="P231" i="12" s="1"/>
  <c r="F265" i="12"/>
  <c r="F265" i="13" s="1"/>
  <c r="K241" i="12"/>
  <c r="K241" i="13" s="1"/>
  <c r="I245" i="12"/>
  <c r="I245" i="13" s="1"/>
  <c r="F257" i="12"/>
  <c r="F257" i="13" s="1"/>
  <c r="J222" i="13"/>
  <c r="O222" i="13" s="1"/>
  <c r="P222" i="13" s="1"/>
  <c r="I243" i="12"/>
  <c r="I243" i="13" s="1"/>
  <c r="J241" i="13"/>
  <c r="C265" i="12"/>
  <c r="O241" i="12"/>
  <c r="P241" i="12" s="1"/>
  <c r="J226" i="13"/>
  <c r="O224" i="13"/>
  <c r="P224" i="13" s="1"/>
  <c r="I236" i="12"/>
  <c r="I236" i="13" s="1"/>
  <c r="B246" i="12"/>
  <c r="B234" i="13"/>
  <c r="C258" i="12"/>
  <c r="B238" i="13"/>
  <c r="F255" i="12"/>
  <c r="F255" i="13" s="1"/>
  <c r="F260" i="12"/>
  <c r="F260" i="13" s="1"/>
  <c r="K234" i="12"/>
  <c r="K234" i="13" s="1"/>
  <c r="O234" i="12"/>
  <c r="P234" i="12" s="1"/>
  <c r="C253" i="13"/>
  <c r="J253" i="12"/>
  <c r="G267" i="12"/>
  <c r="G267" i="13" s="1"/>
  <c r="H265" i="12"/>
  <c r="H265" i="13" s="1"/>
  <c r="H248" i="12"/>
  <c r="H248" i="13" s="1"/>
  <c r="I253" i="12"/>
  <c r="I253" i="13" s="1"/>
  <c r="H260" i="12"/>
  <c r="H260" i="13" s="1"/>
  <c r="G236" i="13"/>
  <c r="G248" i="12"/>
  <c r="O233" i="13"/>
  <c r="P233" i="13" s="1"/>
  <c r="O225" i="13"/>
  <c r="P225" i="13" s="1"/>
  <c r="O230" i="13"/>
  <c r="P230" i="13" s="1"/>
  <c r="O236" i="12"/>
  <c r="P236" i="12" s="1"/>
  <c r="K236" i="12"/>
  <c r="K236" i="13" s="1"/>
  <c r="O236" i="13" s="1"/>
  <c r="P236" i="13" s="1"/>
  <c r="I226" i="13"/>
  <c r="K226" i="12"/>
  <c r="K226" i="13" s="1"/>
  <c r="BK187" i="5"/>
  <c r="L262" i="12"/>
  <c r="N274" i="12"/>
  <c r="G250" i="12"/>
  <c r="G250" i="13" s="1"/>
  <c r="H250" i="12"/>
  <c r="H250" i="13" s="1"/>
  <c r="B250" i="12"/>
  <c r="F250" i="12"/>
  <c r="F250" i="13" s="1"/>
  <c r="E250" i="12"/>
  <c r="D250" i="12"/>
  <c r="D250" i="13" s="1"/>
  <c r="C250" i="12"/>
  <c r="I238" i="12"/>
  <c r="E238" i="13"/>
  <c r="J238" i="12"/>
  <c r="C238" i="13"/>
  <c r="EW179" i="6"/>
  <c r="O227" i="13"/>
  <c r="P227" i="13" s="1"/>
  <c r="K253" i="12"/>
  <c r="K253" i="13" s="1"/>
  <c r="O253" i="12"/>
  <c r="P253" i="12" s="1"/>
  <c r="K245" i="12"/>
  <c r="K245" i="13" s="1"/>
  <c r="O223" i="13"/>
  <c r="P223" i="13" s="1"/>
  <c r="O241" i="13"/>
  <c r="P241" i="13" s="1"/>
  <c r="O232" i="12"/>
  <c r="P232" i="12" s="1"/>
  <c r="K242" i="12"/>
  <c r="K242" i="13" s="1"/>
  <c r="K232" i="12"/>
  <c r="K232" i="13" s="1"/>
  <c r="O220" i="13"/>
  <c r="P220" i="13" s="1"/>
  <c r="I244" i="12"/>
  <c r="I244" i="13" s="1"/>
  <c r="O242" i="12"/>
  <c r="P242" i="12" s="1"/>
  <c r="B254" i="13"/>
  <c r="J239" i="13"/>
  <c r="J235" i="13"/>
  <c r="B249" i="13"/>
  <c r="B265" i="13"/>
  <c r="B251" i="13"/>
  <c r="J245" i="13"/>
  <c r="J255" i="13"/>
  <c r="I251" i="12"/>
  <c r="I251" i="13" s="1"/>
  <c r="J248" i="13"/>
  <c r="B247" i="13"/>
  <c r="B260" i="13"/>
  <c r="B244" i="13"/>
  <c r="J242" i="13"/>
  <c r="J232" i="13"/>
  <c r="J237" i="13"/>
  <c r="B267" i="13"/>
  <c r="B257" i="13"/>
  <c r="FM179" i="6"/>
  <c r="HA178" i="6"/>
  <c r="ET178" i="6"/>
  <c r="BM186" i="5"/>
  <c r="BR256" i="5"/>
  <c r="BS256" i="5" s="1"/>
  <c r="BR259" i="5"/>
  <c r="BS259" i="5" s="1"/>
  <c r="BV251" i="5"/>
  <c r="BY251" i="5"/>
  <c r="BX251" i="5"/>
  <c r="BR260" i="5"/>
  <c r="BS260" i="5" s="1"/>
  <c r="BR257" i="5"/>
  <c r="BS257" i="5" s="1"/>
  <c r="GW178" i="6"/>
  <c r="BR261" i="5"/>
  <c r="BS261" i="5" s="1"/>
  <c r="GT178" i="6"/>
  <c r="BV248" i="5"/>
  <c r="BX248" i="5"/>
  <c r="BY248" i="5"/>
  <c r="BV245" i="5"/>
  <c r="BY245" i="5"/>
  <c r="BX245" i="5"/>
  <c r="BV249" i="5"/>
  <c r="BY249" i="5"/>
  <c r="BX249" i="5"/>
  <c r="GV178" i="6"/>
  <c r="BV244" i="5"/>
  <c r="BX244" i="5"/>
  <c r="BY244" i="5"/>
  <c r="GU178" i="6"/>
  <c r="BV252" i="5"/>
  <c r="BX252" i="5"/>
  <c r="BY252" i="5"/>
  <c r="EY178" i="6"/>
  <c r="GX178" i="6"/>
  <c r="BR258" i="5"/>
  <c r="BS258" i="5" s="1"/>
  <c r="EZ178" i="6"/>
  <c r="BV246" i="5"/>
  <c r="BY246" i="5"/>
  <c r="BX246" i="5"/>
  <c r="BR263" i="5"/>
  <c r="BS263" i="5" s="1"/>
  <c r="BV250" i="5"/>
  <c r="BY250" i="5"/>
  <c r="BX250" i="5"/>
  <c r="BR264" i="5"/>
  <c r="BS264" i="5" s="1"/>
  <c r="BY247" i="5"/>
  <c r="BV247" i="5"/>
  <c r="BX247" i="5"/>
  <c r="BR262" i="5"/>
  <c r="BS262" i="5" s="1"/>
  <c r="GZ178" i="6"/>
  <c r="EX179" i="6"/>
  <c r="FG181" i="6"/>
  <c r="FF181" i="6"/>
  <c r="FE181" i="6"/>
  <c r="FB181" i="6"/>
  <c r="FD181" i="6"/>
  <c r="FI181" i="6"/>
  <c r="FH181" i="6"/>
  <c r="FC181" i="6"/>
  <c r="FR182" i="6"/>
  <c r="FT182" i="6" s="1"/>
  <c r="AX192" i="5"/>
  <c r="BJ191" i="5"/>
  <c r="FY182" i="6"/>
  <c r="BG191" i="5"/>
  <c r="FL182" i="6"/>
  <c r="EO180" i="6"/>
  <c r="FZ181" i="6"/>
  <c r="GA181" i="6" s="1"/>
  <c r="BM187" i="5"/>
  <c r="BL187" i="5"/>
  <c r="EK180" i="6"/>
  <c r="FJ180" i="6"/>
  <c r="EP180" i="6"/>
  <c r="ER180" i="6"/>
  <c r="EL180" i="6"/>
  <c r="EM180" i="6"/>
  <c r="EN180" i="6"/>
  <c r="EQ180" i="6"/>
  <c r="ES179" i="6"/>
  <c r="C272" i="12"/>
  <c r="B272" i="12"/>
  <c r="E272" i="12"/>
  <c r="D272" i="12"/>
  <c r="L284" i="12"/>
  <c r="N296" i="12"/>
  <c r="N324" i="13"/>
  <c r="L312" i="13"/>
  <c r="J267" i="12"/>
  <c r="C267" i="13"/>
  <c r="E265" i="13"/>
  <c r="E249" i="13"/>
  <c r="L313" i="13"/>
  <c r="N325" i="13"/>
  <c r="H279" i="12"/>
  <c r="H279" i="13" s="1"/>
  <c r="E279" i="12"/>
  <c r="D279" i="12"/>
  <c r="C279" i="12"/>
  <c r="B279" i="12"/>
  <c r="J247" i="12"/>
  <c r="C247" i="13"/>
  <c r="E247" i="13"/>
  <c r="N303" i="12"/>
  <c r="L291" i="12"/>
  <c r="I254" i="12"/>
  <c r="I254" i="13" s="1"/>
  <c r="N314" i="13"/>
  <c r="L302" i="13"/>
  <c r="J251" i="12"/>
  <c r="C251" i="13"/>
  <c r="K237" i="12"/>
  <c r="K237" i="13" s="1"/>
  <c r="J249" i="12"/>
  <c r="C249" i="13"/>
  <c r="D254" i="13"/>
  <c r="D260" i="13"/>
  <c r="E251" i="13"/>
  <c r="H261" i="12"/>
  <c r="H261" i="13" s="1"/>
  <c r="C261" i="12"/>
  <c r="G261" i="12"/>
  <c r="G261" i="13" s="1"/>
  <c r="F261" i="12"/>
  <c r="F261" i="13" s="1"/>
  <c r="E261" i="12"/>
  <c r="D261" i="12"/>
  <c r="B261" i="12"/>
  <c r="G256" i="12"/>
  <c r="G256" i="13" s="1"/>
  <c r="H256" i="12"/>
  <c r="H256" i="13" s="1"/>
  <c r="F256" i="12"/>
  <c r="F256" i="13" s="1"/>
  <c r="E256" i="12"/>
  <c r="D256" i="12"/>
  <c r="C256" i="12"/>
  <c r="B256" i="12"/>
  <c r="E254" i="13"/>
  <c r="E260" i="13"/>
  <c r="I247" i="12"/>
  <c r="I247" i="13" s="1"/>
  <c r="I249" i="12"/>
  <c r="I249" i="13" s="1"/>
  <c r="N320" i="13"/>
  <c r="L308" i="13"/>
  <c r="J265" i="12"/>
  <c r="C265" i="13"/>
  <c r="J260" i="12"/>
  <c r="C260" i="13"/>
  <c r="N285" i="12"/>
  <c r="L273" i="12"/>
  <c r="H270" i="12"/>
  <c r="H270" i="13" s="1"/>
  <c r="G270" i="12"/>
  <c r="G270" i="13" s="1"/>
  <c r="F270" i="12"/>
  <c r="F270" i="13" s="1"/>
  <c r="E270" i="12"/>
  <c r="D270" i="12"/>
  <c r="J257" i="12"/>
  <c r="C257" i="13"/>
  <c r="N301" i="12"/>
  <c r="L289" i="12"/>
  <c r="D265" i="13"/>
  <c r="D251" i="13"/>
  <c r="N280" i="12"/>
  <c r="L268" i="12"/>
  <c r="N294" i="12"/>
  <c r="L282" i="12"/>
  <c r="K239" i="12"/>
  <c r="K239" i="13" s="1"/>
  <c r="D257" i="13"/>
  <c r="N306" i="13"/>
  <c r="L294" i="13"/>
  <c r="D249" i="13"/>
  <c r="J244" i="12"/>
  <c r="C244" i="13"/>
  <c r="J254" i="12"/>
  <c r="C254" i="13"/>
  <c r="N290" i="12"/>
  <c r="L278" i="12"/>
  <c r="O237" i="12"/>
  <c r="P237" i="12" s="1"/>
  <c r="E257" i="13"/>
  <c r="H266" i="12"/>
  <c r="H266" i="13" s="1"/>
  <c r="D266" i="12"/>
  <c r="G266" i="12"/>
  <c r="G266" i="13" s="1"/>
  <c r="F266" i="12"/>
  <c r="F266" i="13" s="1"/>
  <c r="B266" i="12"/>
  <c r="E266" i="12"/>
  <c r="C266" i="12"/>
  <c r="D247" i="13"/>
  <c r="E244" i="13"/>
  <c r="N309" i="13"/>
  <c r="L297" i="13"/>
  <c r="N307" i="13"/>
  <c r="L295" i="13"/>
  <c r="N310" i="13"/>
  <c r="L298" i="13"/>
  <c r="N317" i="13"/>
  <c r="L305" i="13"/>
  <c r="K235" i="12"/>
  <c r="K235" i="13" s="1"/>
  <c r="O235" i="12"/>
  <c r="P235" i="12" s="1"/>
  <c r="E263" i="12"/>
  <c r="H263" i="12"/>
  <c r="H263" i="13" s="1"/>
  <c r="G263" i="12"/>
  <c r="G263" i="13" s="1"/>
  <c r="F263" i="12"/>
  <c r="F263" i="13" s="1"/>
  <c r="D263" i="12"/>
  <c r="C263" i="12"/>
  <c r="B263" i="12"/>
  <c r="F259" i="12"/>
  <c r="F259" i="13" s="1"/>
  <c r="E259" i="12"/>
  <c r="D259" i="12"/>
  <c r="C259" i="12"/>
  <c r="B259" i="12"/>
  <c r="H259" i="12"/>
  <c r="H259" i="13" s="1"/>
  <c r="G259" i="12"/>
  <c r="G259" i="13" s="1"/>
  <c r="N283" i="12"/>
  <c r="L271" i="12"/>
  <c r="D244" i="13"/>
  <c r="N315" i="13"/>
  <c r="L303" i="13"/>
  <c r="L311" i="13"/>
  <c r="N323" i="13"/>
  <c r="O239" i="12"/>
  <c r="P239" i="12" s="1"/>
  <c r="N316" i="13"/>
  <c r="L304" i="13"/>
  <c r="D258" i="13"/>
  <c r="D267" i="13"/>
  <c r="G269" i="12"/>
  <c r="G269" i="13" s="1"/>
  <c r="D269" i="12"/>
  <c r="C269" i="12"/>
  <c r="E269" i="12"/>
  <c r="B269" i="12"/>
  <c r="H269" i="12"/>
  <c r="H269" i="13" s="1"/>
  <c r="N287" i="12"/>
  <c r="L275" i="12"/>
  <c r="H277" i="12"/>
  <c r="H277" i="13" s="1"/>
  <c r="C277" i="12"/>
  <c r="G277" i="12"/>
  <c r="G277" i="13" s="1"/>
  <c r="F277" i="12"/>
  <c r="F277" i="13" s="1"/>
  <c r="E277" i="12"/>
  <c r="D277" i="12"/>
  <c r="B277" i="12"/>
  <c r="E258" i="13"/>
  <c r="E267" i="13"/>
  <c r="N293" i="12"/>
  <c r="L281" i="12"/>
  <c r="O226" i="13" l="1"/>
  <c r="P226" i="13" s="1"/>
  <c r="F267" i="12"/>
  <c r="F267" i="13" s="1"/>
  <c r="J253" i="13"/>
  <c r="J234" i="13"/>
  <c r="O234" i="13" s="1"/>
  <c r="P234" i="13" s="1"/>
  <c r="O243" i="12"/>
  <c r="P243" i="12" s="1"/>
  <c r="I255" i="12"/>
  <c r="K243" i="12"/>
  <c r="K243" i="13" s="1"/>
  <c r="O243" i="13" s="1"/>
  <c r="P243" i="13" s="1"/>
  <c r="C270" i="12"/>
  <c r="I257" i="12"/>
  <c r="I257" i="13" s="1"/>
  <c r="B258" i="12"/>
  <c r="I246" i="12"/>
  <c r="B246" i="13"/>
  <c r="J246" i="12"/>
  <c r="C258" i="13"/>
  <c r="F272" i="12"/>
  <c r="F272" i="13" s="1"/>
  <c r="F269" i="12"/>
  <c r="F269" i="13" s="1"/>
  <c r="F279" i="12"/>
  <c r="F279" i="13" s="1"/>
  <c r="G279" i="12"/>
  <c r="G279" i="13" s="1"/>
  <c r="O245" i="12"/>
  <c r="P245" i="12" s="1"/>
  <c r="I267" i="12"/>
  <c r="I267" i="13" s="1"/>
  <c r="J238" i="13"/>
  <c r="B250" i="13"/>
  <c r="J258" i="12"/>
  <c r="O255" i="12"/>
  <c r="P255" i="12" s="1"/>
  <c r="H272" i="12"/>
  <c r="H272" i="13" s="1"/>
  <c r="I265" i="12"/>
  <c r="I265" i="13" s="1"/>
  <c r="I250" i="12"/>
  <c r="I250" i="13" s="1"/>
  <c r="G248" i="13"/>
  <c r="I248" i="12"/>
  <c r="G260" i="12"/>
  <c r="O250" i="12"/>
  <c r="P250" i="12" s="1"/>
  <c r="O245" i="13"/>
  <c r="P245" i="13" s="1"/>
  <c r="O257" i="12"/>
  <c r="P257" i="12" s="1"/>
  <c r="O239" i="13"/>
  <c r="P239" i="13" s="1"/>
  <c r="O253" i="13"/>
  <c r="P253" i="13" s="1"/>
  <c r="J250" i="12"/>
  <c r="C250" i="13"/>
  <c r="E250" i="13"/>
  <c r="K250" i="12"/>
  <c r="K250" i="13" s="1"/>
  <c r="I238" i="13"/>
  <c r="O238" i="12"/>
  <c r="P238" i="12" s="1"/>
  <c r="K238" i="12"/>
  <c r="K238" i="13" s="1"/>
  <c r="O238" i="13" s="1"/>
  <c r="P238" i="13" s="1"/>
  <c r="L274" i="12"/>
  <c r="N286" i="12"/>
  <c r="B262" i="12"/>
  <c r="E262" i="12"/>
  <c r="D262" i="12"/>
  <c r="D262" i="13" s="1"/>
  <c r="G262" i="12"/>
  <c r="G262" i="13" s="1"/>
  <c r="F262" i="12"/>
  <c r="F262" i="13" s="1"/>
  <c r="C262" i="12"/>
  <c r="H262" i="12"/>
  <c r="H262" i="13" s="1"/>
  <c r="O232" i="13"/>
  <c r="P232" i="13" s="1"/>
  <c r="O242" i="13"/>
  <c r="P242" i="13" s="1"/>
  <c r="O235" i="13"/>
  <c r="P235" i="13" s="1"/>
  <c r="O237" i="13"/>
  <c r="P237" i="13" s="1"/>
  <c r="K254" i="12"/>
  <c r="K254" i="13" s="1"/>
  <c r="I277" i="12"/>
  <c r="I277" i="13" s="1"/>
  <c r="K244" i="12"/>
  <c r="K244" i="13" s="1"/>
  <c r="O254" i="12"/>
  <c r="P254" i="12" s="1"/>
  <c r="O244" i="12"/>
  <c r="P244" i="12" s="1"/>
  <c r="J254" i="13"/>
  <c r="J260" i="13"/>
  <c r="J249" i="13"/>
  <c r="K257" i="12"/>
  <c r="K257" i="13" s="1"/>
  <c r="J265" i="13"/>
  <c r="I263" i="12"/>
  <c r="I263" i="13" s="1"/>
  <c r="B269" i="13"/>
  <c r="J251" i="13"/>
  <c r="B261" i="13"/>
  <c r="B266" i="13"/>
  <c r="J247" i="13"/>
  <c r="B259" i="13"/>
  <c r="J244" i="13"/>
  <c r="J267" i="13"/>
  <c r="J257" i="13"/>
  <c r="B263" i="13"/>
  <c r="O249" i="12"/>
  <c r="P249" i="12" s="1"/>
  <c r="K249" i="12"/>
  <c r="K249" i="13" s="1"/>
  <c r="B272" i="13"/>
  <c r="B279" i="13"/>
  <c r="O251" i="12"/>
  <c r="P251" i="12" s="1"/>
  <c r="O247" i="12"/>
  <c r="P247" i="12" s="1"/>
  <c r="B277" i="13"/>
  <c r="B256" i="13"/>
  <c r="K251" i="12"/>
  <c r="K251" i="13" s="1"/>
  <c r="K247" i="12"/>
  <c r="K247" i="13" s="1"/>
  <c r="FM180" i="6"/>
  <c r="EZ179" i="6"/>
  <c r="BV257" i="5"/>
  <c r="BY257" i="5"/>
  <c r="BX257" i="5"/>
  <c r="BV263" i="5"/>
  <c r="BX263" i="5"/>
  <c r="BY263" i="5"/>
  <c r="BV260" i="5"/>
  <c r="BY260" i="5"/>
  <c r="BX260" i="5"/>
  <c r="BR271" i="5"/>
  <c r="BS271" i="5" s="1"/>
  <c r="BV256" i="5"/>
  <c r="BY256" i="5"/>
  <c r="BX256" i="5"/>
  <c r="BV258" i="5"/>
  <c r="BY258" i="5"/>
  <c r="BX258" i="5"/>
  <c r="BR270" i="5"/>
  <c r="BS270" i="5" s="1"/>
  <c r="BR275" i="5"/>
  <c r="BS275" i="5" s="1"/>
  <c r="BR273" i="5"/>
  <c r="BS273" i="5" s="1"/>
  <c r="BR276" i="5"/>
  <c r="BS276" i="5" s="1"/>
  <c r="EW180" i="6"/>
  <c r="BV264" i="5"/>
  <c r="BX264" i="5"/>
  <c r="BY264" i="5"/>
  <c r="BY262" i="5"/>
  <c r="BV262" i="5"/>
  <c r="BX262" i="5"/>
  <c r="BV259" i="5"/>
  <c r="BX259" i="5"/>
  <c r="BY259" i="5"/>
  <c r="BR268" i="5"/>
  <c r="BS268" i="5" s="1"/>
  <c r="BR272" i="5"/>
  <c r="BS272" i="5" s="1"/>
  <c r="BR269" i="5"/>
  <c r="BS269" i="5" s="1"/>
  <c r="BY261" i="5"/>
  <c r="BV261" i="5"/>
  <c r="BX261" i="5"/>
  <c r="BR274" i="5"/>
  <c r="BS274" i="5" s="1"/>
  <c r="GT179" i="6"/>
  <c r="ET179" i="6"/>
  <c r="BK188" i="5"/>
  <c r="GV179" i="6"/>
  <c r="HA179" i="6"/>
  <c r="GY179" i="6"/>
  <c r="GU179" i="6"/>
  <c r="GW179" i="6"/>
  <c r="GZ179" i="6"/>
  <c r="FR183" i="6"/>
  <c r="FT183" i="6" s="1"/>
  <c r="BJ192" i="5"/>
  <c r="AX193" i="5"/>
  <c r="FY183" i="6"/>
  <c r="BG192" i="5"/>
  <c r="FL183" i="6"/>
  <c r="FH182" i="6"/>
  <c r="FG182" i="6"/>
  <c r="FE182" i="6"/>
  <c r="FD182" i="6"/>
  <c r="FI182" i="6"/>
  <c r="FF182" i="6"/>
  <c r="FC182" i="6"/>
  <c r="FB182" i="6"/>
  <c r="EY179" i="6"/>
  <c r="ES180" i="6"/>
  <c r="EP181" i="6"/>
  <c r="EX180" i="6"/>
  <c r="FZ182" i="6"/>
  <c r="GA182" i="6" s="1"/>
  <c r="EL181" i="6"/>
  <c r="EQ181" i="6"/>
  <c r="ER181" i="6"/>
  <c r="EM181" i="6"/>
  <c r="EK181" i="6"/>
  <c r="FJ181" i="6"/>
  <c r="EN181" i="6"/>
  <c r="EO181" i="6"/>
  <c r="GX179" i="6"/>
  <c r="N297" i="12"/>
  <c r="L285" i="12"/>
  <c r="E259" i="13"/>
  <c r="B271" i="12"/>
  <c r="G271" i="12"/>
  <c r="G271" i="13" s="1"/>
  <c r="H271" i="12"/>
  <c r="H271" i="13" s="1"/>
  <c r="F271" i="12"/>
  <c r="F271" i="13" s="1"/>
  <c r="E271" i="12"/>
  <c r="D271" i="12"/>
  <c r="C271" i="12"/>
  <c r="N322" i="13"/>
  <c r="L310" i="13"/>
  <c r="D259" i="13"/>
  <c r="D266" i="13"/>
  <c r="J277" i="12"/>
  <c r="C277" i="13"/>
  <c r="L315" i="13"/>
  <c r="N327" i="13"/>
  <c r="N299" i="12"/>
  <c r="L287" i="12"/>
  <c r="H289" i="12"/>
  <c r="H289" i="13" s="1"/>
  <c r="G289" i="12"/>
  <c r="G289" i="13" s="1"/>
  <c r="F289" i="12"/>
  <c r="F289" i="13" s="1"/>
  <c r="E289" i="12"/>
  <c r="D289" i="12"/>
  <c r="C289" i="12"/>
  <c r="B289" i="12"/>
  <c r="E261" i="13"/>
  <c r="N335" i="13"/>
  <c r="L323" i="13"/>
  <c r="I266" i="12"/>
  <c r="I266" i="13" s="1"/>
  <c r="L324" i="13"/>
  <c r="N336" i="13"/>
  <c r="N308" i="12"/>
  <c r="L296" i="12"/>
  <c r="E284" i="12"/>
  <c r="C284" i="12"/>
  <c r="B284" i="12"/>
  <c r="D284" i="12"/>
  <c r="H284" i="12"/>
  <c r="H284" i="13" s="1"/>
  <c r="F284" i="12"/>
  <c r="F284" i="13" s="1"/>
  <c r="E279" i="13"/>
  <c r="C268" i="12"/>
  <c r="H268" i="12"/>
  <c r="H268" i="13" s="1"/>
  <c r="G268" i="12"/>
  <c r="G268" i="13" s="1"/>
  <c r="F268" i="12"/>
  <c r="F268" i="13" s="1"/>
  <c r="E268" i="12"/>
  <c r="D268" i="12"/>
  <c r="B268" i="12"/>
  <c r="N326" i="13"/>
  <c r="L314" i="13"/>
  <c r="N337" i="13"/>
  <c r="L325" i="13"/>
  <c r="E269" i="13"/>
  <c r="N292" i="12"/>
  <c r="L280" i="12"/>
  <c r="J261" i="12"/>
  <c r="C261" i="13"/>
  <c r="D272" i="13"/>
  <c r="N328" i="13"/>
  <c r="L316" i="13"/>
  <c r="J269" i="12"/>
  <c r="C269" i="13"/>
  <c r="C270" i="13"/>
  <c r="E272" i="13"/>
  <c r="J259" i="12"/>
  <c r="C259" i="13"/>
  <c r="J279" i="12"/>
  <c r="C279" i="13"/>
  <c r="H275" i="12"/>
  <c r="H275" i="13" s="1"/>
  <c r="F275" i="12"/>
  <c r="F275" i="13" s="1"/>
  <c r="E275" i="12"/>
  <c r="B275" i="12"/>
  <c r="C275" i="12"/>
  <c r="G275" i="12"/>
  <c r="G275" i="13" s="1"/>
  <c r="D275" i="12"/>
  <c r="D270" i="13"/>
  <c r="N295" i="12"/>
  <c r="L283" i="12"/>
  <c r="J256" i="12"/>
  <c r="C256" i="13"/>
  <c r="I261" i="12"/>
  <c r="I261" i="13" s="1"/>
  <c r="H291" i="12"/>
  <c r="H291" i="13" s="1"/>
  <c r="D291" i="12"/>
  <c r="C291" i="12"/>
  <c r="B291" i="12"/>
  <c r="E291" i="12"/>
  <c r="G278" i="12"/>
  <c r="G278" i="13" s="1"/>
  <c r="E278" i="12"/>
  <c r="D278" i="12"/>
  <c r="H278" i="12"/>
  <c r="H278" i="13" s="1"/>
  <c r="F278" i="12"/>
  <c r="F278" i="13" s="1"/>
  <c r="C278" i="12"/>
  <c r="B278" i="12"/>
  <c r="E270" i="13"/>
  <c r="D256" i="13"/>
  <c r="L303" i="12"/>
  <c r="N315" i="12"/>
  <c r="D263" i="13"/>
  <c r="E263" i="13"/>
  <c r="N306" i="12"/>
  <c r="L294" i="12"/>
  <c r="N305" i="12"/>
  <c r="L293" i="12"/>
  <c r="N302" i="12"/>
  <c r="L290" i="12"/>
  <c r="E256" i="13"/>
  <c r="L320" i="13"/>
  <c r="N332" i="13"/>
  <c r="J272" i="12"/>
  <c r="C272" i="13"/>
  <c r="N329" i="13"/>
  <c r="L317" i="13"/>
  <c r="N318" i="13"/>
  <c r="L306" i="13"/>
  <c r="L307" i="13"/>
  <c r="N319" i="13"/>
  <c r="D261" i="13"/>
  <c r="N313" i="12"/>
  <c r="L301" i="12"/>
  <c r="D269" i="13"/>
  <c r="E277" i="13"/>
  <c r="J263" i="12"/>
  <c r="C263" i="13"/>
  <c r="G282" i="12"/>
  <c r="G282" i="13" s="1"/>
  <c r="F282" i="12"/>
  <c r="F282" i="13" s="1"/>
  <c r="E282" i="12"/>
  <c r="C282" i="12"/>
  <c r="H282" i="12"/>
  <c r="H282" i="13" s="1"/>
  <c r="D282" i="12"/>
  <c r="I259" i="12"/>
  <c r="I259" i="13" s="1"/>
  <c r="I256" i="12"/>
  <c r="I256" i="13" s="1"/>
  <c r="N321" i="13"/>
  <c r="L309" i="13"/>
  <c r="D279" i="13"/>
  <c r="D281" i="12"/>
  <c r="C281" i="12"/>
  <c r="H281" i="12"/>
  <c r="H281" i="13" s="1"/>
  <c r="G281" i="12"/>
  <c r="G281" i="13" s="1"/>
  <c r="E281" i="12"/>
  <c r="B281" i="12"/>
  <c r="J266" i="12"/>
  <c r="C266" i="13"/>
  <c r="E266" i="13"/>
  <c r="D277" i="13"/>
  <c r="H273" i="12"/>
  <c r="H273" i="13" s="1"/>
  <c r="C273" i="12"/>
  <c r="G273" i="12"/>
  <c r="G273" i="13" s="1"/>
  <c r="F273" i="12"/>
  <c r="F273" i="13" s="1"/>
  <c r="E273" i="12"/>
  <c r="B273" i="12"/>
  <c r="D273" i="12"/>
  <c r="F281" i="12" l="1"/>
  <c r="F281" i="13" s="1"/>
  <c r="I255" i="13"/>
  <c r="K255" i="12"/>
  <c r="K255" i="13" s="1"/>
  <c r="O255" i="13" s="1"/>
  <c r="P255" i="13" s="1"/>
  <c r="F291" i="12"/>
  <c r="F291" i="13" s="1"/>
  <c r="O265" i="12"/>
  <c r="P265" i="12" s="1"/>
  <c r="K265" i="12"/>
  <c r="K265" i="13" s="1"/>
  <c r="I269" i="12"/>
  <c r="I269" i="13" s="1"/>
  <c r="J250" i="13"/>
  <c r="K267" i="12"/>
  <c r="K267" i="13" s="1"/>
  <c r="O267" i="13" s="1"/>
  <c r="P267" i="13" s="1"/>
  <c r="G291" i="12"/>
  <c r="G291" i="13" s="1"/>
  <c r="J246" i="13"/>
  <c r="I246" i="13"/>
  <c r="K246" i="12"/>
  <c r="K246" i="13" s="1"/>
  <c r="O246" i="12"/>
  <c r="P246" i="12" s="1"/>
  <c r="O267" i="12"/>
  <c r="P267" i="12" s="1"/>
  <c r="B270" i="12"/>
  <c r="I258" i="12"/>
  <c r="B258" i="13"/>
  <c r="B262" i="13"/>
  <c r="I279" i="12"/>
  <c r="I279" i="13" s="1"/>
  <c r="G260" i="13"/>
  <c r="G272" i="12"/>
  <c r="I260" i="12"/>
  <c r="I248" i="13"/>
  <c r="K248" i="12"/>
  <c r="K248" i="13" s="1"/>
  <c r="O248" i="13" s="1"/>
  <c r="P248" i="13" s="1"/>
  <c r="O248" i="12"/>
  <c r="P248" i="12" s="1"/>
  <c r="K277" i="12"/>
  <c r="K277" i="13" s="1"/>
  <c r="O265" i="13"/>
  <c r="P265" i="13" s="1"/>
  <c r="C262" i="13"/>
  <c r="J262" i="12"/>
  <c r="I262" i="12"/>
  <c r="I262" i="13" s="1"/>
  <c r="E262" i="13"/>
  <c r="L286" i="12"/>
  <c r="N298" i="12"/>
  <c r="G274" i="12"/>
  <c r="G274" i="13" s="1"/>
  <c r="F274" i="12"/>
  <c r="F274" i="13" s="1"/>
  <c r="E274" i="12"/>
  <c r="D274" i="12"/>
  <c r="D274" i="13" s="1"/>
  <c r="C274" i="12"/>
  <c r="B274" i="12"/>
  <c r="H274" i="12"/>
  <c r="H274" i="13" s="1"/>
  <c r="O250" i="13"/>
  <c r="P250" i="13" s="1"/>
  <c r="O254" i="13"/>
  <c r="P254" i="13" s="1"/>
  <c r="O277" i="12"/>
  <c r="P277" i="12" s="1"/>
  <c r="O263" i="12"/>
  <c r="P263" i="12" s="1"/>
  <c r="O247" i="13"/>
  <c r="P247" i="13" s="1"/>
  <c r="K263" i="12"/>
  <c r="K263" i="13" s="1"/>
  <c r="O244" i="13"/>
  <c r="P244" i="13" s="1"/>
  <c r="O257" i="13"/>
  <c r="P257" i="13" s="1"/>
  <c r="I291" i="12"/>
  <c r="I291" i="13" s="1"/>
  <c r="J263" i="13"/>
  <c r="I278" i="12"/>
  <c r="I278" i="13" s="1"/>
  <c r="O259" i="12"/>
  <c r="P259" i="12" s="1"/>
  <c r="J261" i="13"/>
  <c r="J279" i="13"/>
  <c r="O249" i="13"/>
  <c r="P249" i="13" s="1"/>
  <c r="I273" i="12"/>
  <c r="I273" i="13" s="1"/>
  <c r="O266" i="12"/>
  <c r="P266" i="12" s="1"/>
  <c r="K266" i="12"/>
  <c r="K266" i="13" s="1"/>
  <c r="J256" i="13"/>
  <c r="B284" i="13"/>
  <c r="B289" i="13"/>
  <c r="B281" i="13"/>
  <c r="I289" i="12"/>
  <c r="I289" i="13" s="1"/>
  <c r="J272" i="13"/>
  <c r="B271" i="13"/>
  <c r="B268" i="13"/>
  <c r="B273" i="13"/>
  <c r="B278" i="13"/>
  <c r="J277" i="13"/>
  <c r="O277" i="13" s="1"/>
  <c r="P277" i="13" s="1"/>
  <c r="B291" i="13"/>
  <c r="J266" i="13"/>
  <c r="O251" i="13"/>
  <c r="P251" i="13" s="1"/>
  <c r="J269" i="13"/>
  <c r="B275" i="13"/>
  <c r="J259" i="13"/>
  <c r="K256" i="12"/>
  <c r="K256" i="13" s="1"/>
  <c r="FM181" i="6"/>
  <c r="EW181" i="6"/>
  <c r="BR286" i="5"/>
  <c r="BS286" i="5" s="1"/>
  <c r="BV269" i="5"/>
  <c r="BX269" i="5"/>
  <c r="BY269" i="5"/>
  <c r="BR288" i="5"/>
  <c r="BS288" i="5" s="1"/>
  <c r="BV273" i="5"/>
  <c r="BX273" i="5"/>
  <c r="BY273" i="5"/>
  <c r="BR281" i="5"/>
  <c r="BS281" i="5" s="1"/>
  <c r="BY271" i="5"/>
  <c r="BV271" i="5"/>
  <c r="BX271" i="5"/>
  <c r="BV276" i="5"/>
  <c r="BX276" i="5"/>
  <c r="BY276" i="5"/>
  <c r="BR285" i="5"/>
  <c r="BS285" i="5" s="1"/>
  <c r="BY270" i="5"/>
  <c r="BV270" i="5"/>
  <c r="BX270" i="5"/>
  <c r="BV275" i="5"/>
  <c r="BX275" i="5"/>
  <c r="BY275" i="5"/>
  <c r="BR282" i="5"/>
  <c r="BS282" i="5" s="1"/>
  <c r="BR283" i="5"/>
  <c r="BS283" i="5" s="1"/>
  <c r="BV274" i="5"/>
  <c r="BX274" i="5"/>
  <c r="BY274" i="5"/>
  <c r="BR280" i="5"/>
  <c r="BS280" i="5" s="1"/>
  <c r="BR284" i="5"/>
  <c r="BS284" i="5" s="1"/>
  <c r="BY268" i="5"/>
  <c r="BV268" i="5"/>
  <c r="BX268" i="5"/>
  <c r="BR287" i="5"/>
  <c r="BS287" i="5" s="1"/>
  <c r="BV272" i="5"/>
  <c r="BX272" i="5"/>
  <c r="BY272" i="5"/>
  <c r="EO182" i="6"/>
  <c r="FI183" i="6"/>
  <c r="ER183" i="6" s="1"/>
  <c r="FE183" i="6"/>
  <c r="FB183" i="6"/>
  <c r="FF183" i="6"/>
  <c r="FD183" i="6"/>
  <c r="FC183" i="6"/>
  <c r="FG183" i="6"/>
  <c r="FH183" i="6"/>
  <c r="FZ183" i="6"/>
  <c r="GA183" i="6" s="1"/>
  <c r="EM182" i="6"/>
  <c r="EP182" i="6"/>
  <c r="BJ193" i="5"/>
  <c r="AX194" i="5"/>
  <c r="FR184" i="6"/>
  <c r="FT184" i="6" s="1"/>
  <c r="BG193" i="5"/>
  <c r="FY184" i="6"/>
  <c r="FL184" i="6"/>
  <c r="EZ180" i="6"/>
  <c r="ER182" i="6"/>
  <c r="EN182" i="6"/>
  <c r="EQ182" i="6"/>
  <c r="EX181" i="6"/>
  <c r="BH192" i="5"/>
  <c r="BL188" i="5"/>
  <c r="BM188" i="5"/>
  <c r="ES181" i="6"/>
  <c r="GZ181" i="6" s="1"/>
  <c r="EK182" i="6"/>
  <c r="FJ182" i="6"/>
  <c r="EY180" i="6"/>
  <c r="ET180" i="6"/>
  <c r="BK189" i="5"/>
  <c r="GT180" i="6"/>
  <c r="GV180" i="6"/>
  <c r="GX180" i="6"/>
  <c r="GY180" i="6"/>
  <c r="HA180" i="6"/>
  <c r="GW180" i="6"/>
  <c r="GU180" i="6"/>
  <c r="GZ180" i="6"/>
  <c r="EL182" i="6"/>
  <c r="J271" i="12"/>
  <c r="C271" i="13"/>
  <c r="J284" i="12"/>
  <c r="C284" i="13"/>
  <c r="D268" i="13"/>
  <c r="O256" i="12"/>
  <c r="P256" i="12" s="1"/>
  <c r="E268" i="13"/>
  <c r="N347" i="13"/>
  <c r="L335" i="13"/>
  <c r="D271" i="13"/>
  <c r="J291" i="12"/>
  <c r="C291" i="13"/>
  <c r="J275" i="12"/>
  <c r="C275" i="13"/>
  <c r="E289" i="13"/>
  <c r="E275" i="13"/>
  <c r="N338" i="13"/>
  <c r="L326" i="13"/>
  <c r="O279" i="12"/>
  <c r="P279" i="12" s="1"/>
  <c r="L321" i="13"/>
  <c r="N333" i="13"/>
  <c r="E271" i="13"/>
  <c r="L292" i="12"/>
  <c r="N304" i="12"/>
  <c r="L332" i="13"/>
  <c r="N344" i="13"/>
  <c r="I271" i="12"/>
  <c r="I271" i="13" s="1"/>
  <c r="O269" i="12"/>
  <c r="P269" i="12" s="1"/>
  <c r="I268" i="12"/>
  <c r="I268" i="13" s="1"/>
  <c r="J278" i="12"/>
  <c r="C278" i="13"/>
  <c r="J268" i="12"/>
  <c r="C268" i="13"/>
  <c r="H301" i="12"/>
  <c r="H301" i="13" s="1"/>
  <c r="G301" i="12"/>
  <c r="G301" i="13" s="1"/>
  <c r="F301" i="12"/>
  <c r="F301" i="13" s="1"/>
  <c r="E301" i="12"/>
  <c r="D301" i="12"/>
  <c r="C301" i="12"/>
  <c r="B301" i="12"/>
  <c r="O261" i="12"/>
  <c r="P261" i="12" s="1"/>
  <c r="C282" i="13"/>
  <c r="E282" i="13"/>
  <c r="I275" i="12"/>
  <c r="I275" i="13" s="1"/>
  <c r="E281" i="13"/>
  <c r="J281" i="12"/>
  <c r="C281" i="13"/>
  <c r="L319" i="13"/>
  <c r="N331" i="13"/>
  <c r="C290" i="12"/>
  <c r="D290" i="12"/>
  <c r="B290" i="12"/>
  <c r="F290" i="12"/>
  <c r="F290" i="13" s="1"/>
  <c r="E290" i="12"/>
  <c r="H290" i="12"/>
  <c r="H290" i="13" s="1"/>
  <c r="G290" i="12"/>
  <c r="G290" i="13" s="1"/>
  <c r="N348" i="13"/>
  <c r="L336" i="13"/>
  <c r="D287" i="12"/>
  <c r="B287" i="12"/>
  <c r="H287" i="12"/>
  <c r="H287" i="13" s="1"/>
  <c r="G287" i="12"/>
  <c r="G287" i="13" s="1"/>
  <c r="F287" i="12"/>
  <c r="F287" i="13" s="1"/>
  <c r="E287" i="12"/>
  <c r="C287" i="12"/>
  <c r="D284" i="13"/>
  <c r="E273" i="13"/>
  <c r="K269" i="12"/>
  <c r="K269" i="13" s="1"/>
  <c r="F303" i="12"/>
  <c r="F303" i="13" s="1"/>
  <c r="E303" i="12"/>
  <c r="D303" i="12"/>
  <c r="C303" i="12"/>
  <c r="H303" i="12"/>
  <c r="H303" i="13" s="1"/>
  <c r="G303" i="12"/>
  <c r="G303" i="13" s="1"/>
  <c r="B303" i="12"/>
  <c r="N325" i="12"/>
  <c r="L313" i="12"/>
  <c r="D281" i="13"/>
  <c r="N314" i="12"/>
  <c r="L302" i="12"/>
  <c r="D278" i="13"/>
  <c r="H283" i="12"/>
  <c r="H283" i="13" s="1"/>
  <c r="G283" i="12"/>
  <c r="G283" i="13" s="1"/>
  <c r="F283" i="12"/>
  <c r="F283" i="13" s="1"/>
  <c r="E283" i="12"/>
  <c r="D283" i="12"/>
  <c r="C283" i="12"/>
  <c r="B283" i="12"/>
  <c r="K279" i="12"/>
  <c r="K279" i="13" s="1"/>
  <c r="L299" i="12"/>
  <c r="N311" i="12"/>
  <c r="J289" i="12"/>
  <c r="C289" i="13"/>
  <c r="D291" i="13"/>
  <c r="J273" i="12"/>
  <c r="C273" i="13"/>
  <c r="N327" i="12"/>
  <c r="L315" i="12"/>
  <c r="N320" i="12"/>
  <c r="L308" i="12"/>
  <c r="B293" i="12"/>
  <c r="H293" i="12"/>
  <c r="H293" i="13" s="1"/>
  <c r="G293" i="12"/>
  <c r="G293" i="13" s="1"/>
  <c r="F293" i="12"/>
  <c r="F293" i="13" s="1"/>
  <c r="E293" i="12"/>
  <c r="D293" i="12"/>
  <c r="C293" i="12"/>
  <c r="E278" i="13"/>
  <c r="L295" i="12"/>
  <c r="N307" i="12"/>
  <c r="N339" i="13"/>
  <c r="L327" i="13"/>
  <c r="N349" i="13"/>
  <c r="L337" i="13"/>
  <c r="N340" i="13"/>
  <c r="L328" i="13"/>
  <c r="L322" i="13"/>
  <c r="N334" i="13"/>
  <c r="I281" i="12"/>
  <c r="I281" i="13" s="1"/>
  <c r="D282" i="13"/>
  <c r="L318" i="13"/>
  <c r="N330" i="13"/>
  <c r="L305" i="12"/>
  <c r="N317" i="12"/>
  <c r="K261" i="12"/>
  <c r="K261" i="13" s="1"/>
  <c r="K259" i="12"/>
  <c r="K259" i="13" s="1"/>
  <c r="D289" i="13"/>
  <c r="E284" i="13"/>
  <c r="D296" i="12"/>
  <c r="C296" i="12"/>
  <c r="B296" i="12"/>
  <c r="F296" i="12"/>
  <c r="F296" i="13" s="1"/>
  <c r="E296" i="12"/>
  <c r="H296" i="12"/>
  <c r="H296" i="13" s="1"/>
  <c r="G294" i="12"/>
  <c r="G294" i="13" s="1"/>
  <c r="F294" i="12"/>
  <c r="F294" i="13" s="1"/>
  <c r="C294" i="12"/>
  <c r="D294" i="12"/>
  <c r="H294" i="12"/>
  <c r="H294" i="13" s="1"/>
  <c r="E294" i="12"/>
  <c r="E291" i="13"/>
  <c r="F285" i="12"/>
  <c r="F285" i="13" s="1"/>
  <c r="E285" i="12"/>
  <c r="D285" i="12"/>
  <c r="H285" i="12"/>
  <c r="H285" i="13" s="1"/>
  <c r="G285" i="12"/>
  <c r="G285" i="13" s="1"/>
  <c r="C285" i="12"/>
  <c r="B285" i="12"/>
  <c r="D273" i="13"/>
  <c r="L329" i="13"/>
  <c r="N341" i="13"/>
  <c r="N318" i="12"/>
  <c r="L306" i="12"/>
  <c r="D275" i="13"/>
  <c r="F280" i="12"/>
  <c r="F280" i="13" s="1"/>
  <c r="E280" i="12"/>
  <c r="D280" i="12"/>
  <c r="C280" i="12"/>
  <c r="B280" i="12"/>
  <c r="H280" i="12"/>
  <c r="H280" i="13" s="1"/>
  <c r="G280" i="12"/>
  <c r="G280" i="13" s="1"/>
  <c r="N309" i="12"/>
  <c r="L297" i="12"/>
  <c r="O246" i="13" l="1"/>
  <c r="P246" i="13" s="1"/>
  <c r="I258" i="13"/>
  <c r="K258" i="12"/>
  <c r="K258" i="13" s="1"/>
  <c r="O258" i="12"/>
  <c r="P258" i="12" s="1"/>
  <c r="I270" i="12"/>
  <c r="B282" i="12"/>
  <c r="B270" i="13"/>
  <c r="J270" i="12"/>
  <c r="J262" i="13"/>
  <c r="B274" i="13"/>
  <c r="J258" i="13"/>
  <c r="K262" i="12"/>
  <c r="K262" i="13" s="1"/>
  <c r="I260" i="13"/>
  <c r="O260" i="12"/>
  <c r="P260" i="12" s="1"/>
  <c r="K260" i="12"/>
  <c r="K260" i="13" s="1"/>
  <c r="O260" i="13" s="1"/>
  <c r="P260" i="13" s="1"/>
  <c r="G272" i="13"/>
  <c r="I272" i="12"/>
  <c r="G284" i="12"/>
  <c r="O262" i="12"/>
  <c r="P262" i="12" s="1"/>
  <c r="O263" i="13"/>
  <c r="P263" i="13" s="1"/>
  <c r="J274" i="12"/>
  <c r="C274" i="13"/>
  <c r="E274" i="13"/>
  <c r="I274" i="12"/>
  <c r="N310" i="12"/>
  <c r="L298" i="12"/>
  <c r="C286" i="12"/>
  <c r="B286" i="12"/>
  <c r="H286" i="12"/>
  <c r="H286" i="13" s="1"/>
  <c r="G286" i="12"/>
  <c r="G286" i="13" s="1"/>
  <c r="F286" i="12"/>
  <c r="F286" i="13" s="1"/>
  <c r="E286" i="12"/>
  <c r="D286" i="12"/>
  <c r="K273" i="12"/>
  <c r="K273" i="13" s="1"/>
  <c r="O273" i="12"/>
  <c r="P273" i="12" s="1"/>
  <c r="O289" i="12"/>
  <c r="P289" i="12" s="1"/>
  <c r="O261" i="13"/>
  <c r="P261" i="13" s="1"/>
  <c r="O266" i="13"/>
  <c r="P266" i="13" s="1"/>
  <c r="O279" i="13"/>
  <c r="P279" i="13" s="1"/>
  <c r="K291" i="12"/>
  <c r="K291" i="13" s="1"/>
  <c r="O291" i="12"/>
  <c r="P291" i="12" s="1"/>
  <c r="O275" i="12"/>
  <c r="P275" i="12" s="1"/>
  <c r="O259" i="13"/>
  <c r="P259" i="13" s="1"/>
  <c r="O278" i="12"/>
  <c r="P278" i="12" s="1"/>
  <c r="K275" i="12"/>
  <c r="K275" i="13" s="1"/>
  <c r="K289" i="12"/>
  <c r="K289" i="13" s="1"/>
  <c r="J281" i="13"/>
  <c r="J271" i="13"/>
  <c r="K278" i="12"/>
  <c r="K278" i="13" s="1"/>
  <c r="B293" i="13"/>
  <c r="B287" i="13"/>
  <c r="B303" i="13"/>
  <c r="J273" i="13"/>
  <c r="J278" i="13"/>
  <c r="I290" i="12"/>
  <c r="I290" i="13" s="1"/>
  <c r="O271" i="12"/>
  <c r="P271" i="12" s="1"/>
  <c r="B301" i="13"/>
  <c r="J291" i="13"/>
  <c r="B290" i="13"/>
  <c r="J268" i="13"/>
  <c r="K271" i="12"/>
  <c r="K271" i="13" s="1"/>
  <c r="K268" i="12"/>
  <c r="K268" i="13" s="1"/>
  <c r="O256" i="13"/>
  <c r="P256" i="13" s="1"/>
  <c r="J289" i="13"/>
  <c r="B280" i="13"/>
  <c r="O269" i="13"/>
  <c r="P269" i="13" s="1"/>
  <c r="B285" i="13"/>
  <c r="B283" i="13"/>
  <c r="J284" i="13"/>
  <c r="J275" i="13"/>
  <c r="B296" i="13"/>
  <c r="I283" i="12"/>
  <c r="I283" i="13" s="1"/>
  <c r="FM182" i="6"/>
  <c r="BV288" i="5"/>
  <c r="BX288" i="5"/>
  <c r="BY288" i="5"/>
  <c r="BV280" i="5"/>
  <c r="BY280" i="5"/>
  <c r="BX280" i="5"/>
  <c r="BV285" i="5"/>
  <c r="BY285" i="5"/>
  <c r="BX285" i="5"/>
  <c r="BV283" i="5"/>
  <c r="BY283" i="5"/>
  <c r="BX283" i="5"/>
  <c r="BV286" i="5"/>
  <c r="BY286" i="5"/>
  <c r="BX286" i="5"/>
  <c r="BV287" i="5"/>
  <c r="BY287" i="5"/>
  <c r="BX287" i="5"/>
  <c r="BV284" i="5"/>
  <c r="BX284" i="5"/>
  <c r="BY284" i="5"/>
  <c r="BV281" i="5"/>
  <c r="BX281" i="5"/>
  <c r="BY281" i="5"/>
  <c r="BV282" i="5"/>
  <c r="BY282" i="5"/>
  <c r="BX282" i="5"/>
  <c r="ES182" i="6"/>
  <c r="GY182" i="6" s="1"/>
  <c r="FR185" i="6"/>
  <c r="FT185" i="6" s="1"/>
  <c r="BJ194" i="5"/>
  <c r="AX195" i="5"/>
  <c r="FY185" i="6"/>
  <c r="BG194" i="5"/>
  <c r="FL185" i="6"/>
  <c r="BM189" i="5"/>
  <c r="BL189" i="5"/>
  <c r="EQ183" i="6"/>
  <c r="EL183" i="6"/>
  <c r="EP183" i="6"/>
  <c r="EW182" i="6"/>
  <c r="GT181" i="6"/>
  <c r="ET181" i="6"/>
  <c r="BK190" i="5"/>
  <c r="GV181" i="6"/>
  <c r="GU181" i="6"/>
  <c r="GY181" i="6"/>
  <c r="HA181" i="6"/>
  <c r="GW181" i="6"/>
  <c r="EX182" i="6"/>
  <c r="EY181" i="6"/>
  <c r="EZ181" i="6"/>
  <c r="EK183" i="6"/>
  <c r="FJ183" i="6"/>
  <c r="FB184" i="6"/>
  <c r="FI184" i="6"/>
  <c r="FC184" i="6"/>
  <c r="FE184" i="6"/>
  <c r="FH184" i="6"/>
  <c r="FG184" i="6"/>
  <c r="FD184" i="6"/>
  <c r="FF184" i="6"/>
  <c r="EO183" i="6"/>
  <c r="FZ184" i="6"/>
  <c r="GA184" i="6" s="1"/>
  <c r="EM183" i="6"/>
  <c r="EN183" i="6"/>
  <c r="GX181" i="6"/>
  <c r="N339" i="12"/>
  <c r="L327" i="12"/>
  <c r="L347" i="13"/>
  <c r="N359" i="13"/>
  <c r="D301" i="13"/>
  <c r="I301" i="12"/>
  <c r="I301" i="13" s="1"/>
  <c r="D303" i="13"/>
  <c r="E280" i="13"/>
  <c r="E294" i="13"/>
  <c r="N323" i="12"/>
  <c r="L311" i="12"/>
  <c r="E296" i="13"/>
  <c r="H299" i="12"/>
  <c r="H299" i="13" s="1"/>
  <c r="G299" i="12"/>
  <c r="G299" i="13" s="1"/>
  <c r="B299" i="12"/>
  <c r="F299" i="12"/>
  <c r="F299" i="13" s="1"/>
  <c r="E299" i="12"/>
  <c r="D299" i="12"/>
  <c r="C299" i="12"/>
  <c r="E303" i="13"/>
  <c r="L333" i="13"/>
  <c r="N345" i="13"/>
  <c r="H295" i="12"/>
  <c r="H295" i="13" s="1"/>
  <c r="G295" i="12"/>
  <c r="G295" i="13" s="1"/>
  <c r="F295" i="12"/>
  <c r="F295" i="13" s="1"/>
  <c r="E295" i="12"/>
  <c r="D295" i="12"/>
  <c r="C295" i="12"/>
  <c r="B295" i="12"/>
  <c r="N332" i="12"/>
  <c r="L320" i="12"/>
  <c r="N337" i="12"/>
  <c r="L325" i="12"/>
  <c r="E293" i="13"/>
  <c r="J301" i="12"/>
  <c r="C301" i="13"/>
  <c r="L340" i="13"/>
  <c r="N352" i="13"/>
  <c r="E306" i="12"/>
  <c r="D306" i="12"/>
  <c r="C306" i="12"/>
  <c r="H306" i="12"/>
  <c r="H306" i="13" s="1"/>
  <c r="G306" i="12"/>
  <c r="G306" i="13" s="1"/>
  <c r="F306" i="12"/>
  <c r="F306" i="13" s="1"/>
  <c r="J296" i="12"/>
  <c r="C296" i="13"/>
  <c r="L341" i="13"/>
  <c r="N353" i="13"/>
  <c r="L331" i="13"/>
  <c r="N343" i="13"/>
  <c r="E285" i="13"/>
  <c r="I280" i="12"/>
  <c r="I280" i="13" s="1"/>
  <c r="J280" i="12"/>
  <c r="C280" i="13"/>
  <c r="L338" i="13"/>
  <c r="N350" i="13"/>
  <c r="J290" i="12"/>
  <c r="C290" i="13"/>
  <c r="N329" i="12"/>
  <c r="L317" i="12"/>
  <c r="J293" i="12"/>
  <c r="C293" i="13"/>
  <c r="L348" i="13"/>
  <c r="N360" i="13"/>
  <c r="E301" i="13"/>
  <c r="D280" i="13"/>
  <c r="J303" i="12"/>
  <c r="C303" i="13"/>
  <c r="E290" i="13"/>
  <c r="H305" i="12"/>
  <c r="H305" i="13" s="1"/>
  <c r="C305" i="12"/>
  <c r="F305" i="12"/>
  <c r="F305" i="13" s="1"/>
  <c r="G305" i="12"/>
  <c r="G305" i="13" s="1"/>
  <c r="E305" i="12"/>
  <c r="D305" i="12"/>
  <c r="B305" i="12"/>
  <c r="J287" i="12"/>
  <c r="C287" i="13"/>
  <c r="D287" i="13"/>
  <c r="E283" i="13"/>
  <c r="N316" i="12"/>
  <c r="L304" i="12"/>
  <c r="B292" i="12"/>
  <c r="H292" i="12"/>
  <c r="H292" i="13" s="1"/>
  <c r="G292" i="12"/>
  <c r="G292" i="13" s="1"/>
  <c r="F292" i="12"/>
  <c r="F292" i="13" s="1"/>
  <c r="E292" i="12"/>
  <c r="D292" i="12"/>
  <c r="C292" i="12"/>
  <c r="N342" i="13"/>
  <c r="L330" i="13"/>
  <c r="N361" i="13"/>
  <c r="L349" i="13"/>
  <c r="E287" i="13"/>
  <c r="I285" i="12"/>
  <c r="I285" i="13" s="1"/>
  <c r="L334" i="13"/>
  <c r="N346" i="13"/>
  <c r="O268" i="12"/>
  <c r="P268" i="12" s="1"/>
  <c r="H297" i="12"/>
  <c r="H297" i="13" s="1"/>
  <c r="G297" i="12"/>
  <c r="G297" i="13" s="1"/>
  <c r="F297" i="12"/>
  <c r="F297" i="13" s="1"/>
  <c r="E297" i="12"/>
  <c r="B297" i="12"/>
  <c r="C297" i="12"/>
  <c r="D297" i="12"/>
  <c r="J285" i="12"/>
  <c r="C285" i="13"/>
  <c r="L339" i="13"/>
  <c r="N351" i="13"/>
  <c r="D294" i="13"/>
  <c r="N330" i="12"/>
  <c r="L318" i="12"/>
  <c r="D283" i="13"/>
  <c r="E315" i="12"/>
  <c r="D315" i="12"/>
  <c r="C315" i="12"/>
  <c r="B315" i="12"/>
  <c r="H315" i="12"/>
  <c r="H315" i="13" s="1"/>
  <c r="G315" i="12"/>
  <c r="G315" i="13" s="1"/>
  <c r="F315" i="12"/>
  <c r="F315" i="13" s="1"/>
  <c r="D293" i="13"/>
  <c r="D296" i="13"/>
  <c r="N321" i="12"/>
  <c r="L309" i="12"/>
  <c r="O281" i="12"/>
  <c r="P281" i="12" s="1"/>
  <c r="I287" i="12"/>
  <c r="I287" i="13" s="1"/>
  <c r="K281" i="12"/>
  <c r="K281" i="13" s="1"/>
  <c r="N356" i="13"/>
  <c r="L344" i="13"/>
  <c r="I303" i="12"/>
  <c r="I303" i="13" s="1"/>
  <c r="F302" i="12"/>
  <c r="F302" i="13" s="1"/>
  <c r="E302" i="12"/>
  <c r="D302" i="12"/>
  <c r="C302" i="12"/>
  <c r="B302" i="12"/>
  <c r="H302" i="12"/>
  <c r="H302" i="13" s="1"/>
  <c r="G302" i="12"/>
  <c r="G302" i="13" s="1"/>
  <c r="I293" i="12"/>
  <c r="I293" i="13" s="1"/>
  <c r="N326" i="12"/>
  <c r="L314" i="12"/>
  <c r="C294" i="13"/>
  <c r="D290" i="13"/>
  <c r="D285" i="13"/>
  <c r="N319" i="12"/>
  <c r="L307" i="12"/>
  <c r="F308" i="12"/>
  <c r="F308" i="13" s="1"/>
  <c r="E308" i="12"/>
  <c r="D308" i="12"/>
  <c r="C308" i="12"/>
  <c r="B308" i="12"/>
  <c r="H308" i="12"/>
  <c r="H308" i="13" s="1"/>
  <c r="J283" i="12"/>
  <c r="C283" i="13"/>
  <c r="H313" i="12"/>
  <c r="H313" i="13" s="1"/>
  <c r="E313" i="12"/>
  <c r="D313" i="12"/>
  <c r="C313" i="12"/>
  <c r="F313" i="12"/>
  <c r="F313" i="13" s="1"/>
  <c r="G313" i="12"/>
  <c r="G313" i="13" s="1"/>
  <c r="B313" i="12"/>
  <c r="O258" i="13" l="1"/>
  <c r="P258" i="13" s="1"/>
  <c r="O262" i="13"/>
  <c r="P262" i="13" s="1"/>
  <c r="B286" i="13"/>
  <c r="J270" i="13"/>
  <c r="I282" i="12"/>
  <c r="B282" i="13"/>
  <c r="J282" i="12"/>
  <c r="B294" i="12"/>
  <c r="I270" i="13"/>
  <c r="K270" i="12"/>
  <c r="K270" i="13" s="1"/>
  <c r="O270" i="13" s="1"/>
  <c r="P270" i="13" s="1"/>
  <c r="O270" i="12"/>
  <c r="P270" i="12" s="1"/>
  <c r="J274" i="13"/>
  <c r="I286" i="12"/>
  <c r="I286" i="13" s="1"/>
  <c r="G284" i="13"/>
  <c r="I284" i="12"/>
  <c r="G296" i="12"/>
  <c r="I272" i="13"/>
  <c r="O272" i="12"/>
  <c r="P272" i="12" s="1"/>
  <c r="K272" i="12"/>
  <c r="K272" i="13" s="1"/>
  <c r="O272" i="13" s="1"/>
  <c r="P272" i="13" s="1"/>
  <c r="K283" i="12"/>
  <c r="K283" i="13" s="1"/>
  <c r="O291" i="13"/>
  <c r="P291" i="13" s="1"/>
  <c r="O289" i="13"/>
  <c r="P289" i="13" s="1"/>
  <c r="J296" i="13"/>
  <c r="O273" i="13"/>
  <c r="P273" i="13" s="1"/>
  <c r="O286" i="12"/>
  <c r="P286" i="12" s="1"/>
  <c r="D286" i="13"/>
  <c r="K286" i="12"/>
  <c r="K286" i="13" s="1"/>
  <c r="E286" i="13"/>
  <c r="J286" i="12"/>
  <c r="C286" i="13"/>
  <c r="H298" i="12"/>
  <c r="H298" i="13" s="1"/>
  <c r="G298" i="12"/>
  <c r="G298" i="13" s="1"/>
  <c r="C298" i="12"/>
  <c r="B298" i="12"/>
  <c r="E298" i="12"/>
  <c r="F298" i="12"/>
  <c r="F298" i="13" s="1"/>
  <c r="D298" i="12"/>
  <c r="D298" i="13" s="1"/>
  <c r="N322" i="12"/>
  <c r="L310" i="12"/>
  <c r="I274" i="13"/>
  <c r="O274" i="12"/>
  <c r="P274" i="12" s="1"/>
  <c r="K274" i="12"/>
  <c r="K274" i="13" s="1"/>
  <c r="K303" i="12"/>
  <c r="K303" i="13" s="1"/>
  <c r="O275" i="13"/>
  <c r="P275" i="13" s="1"/>
  <c r="O281" i="13"/>
  <c r="P281" i="13" s="1"/>
  <c r="O268" i="13"/>
  <c r="P268" i="13" s="1"/>
  <c r="O271" i="13"/>
  <c r="P271" i="13" s="1"/>
  <c r="K290" i="12"/>
  <c r="K290" i="13" s="1"/>
  <c r="O283" i="12"/>
  <c r="P283" i="12" s="1"/>
  <c r="O290" i="12"/>
  <c r="P290" i="12" s="1"/>
  <c r="K280" i="12"/>
  <c r="K280" i="13" s="1"/>
  <c r="O278" i="13"/>
  <c r="P278" i="13" s="1"/>
  <c r="O303" i="12"/>
  <c r="P303" i="12" s="1"/>
  <c r="B305" i="13"/>
  <c r="J287" i="13"/>
  <c r="J290" i="13"/>
  <c r="B313" i="13"/>
  <c r="J293" i="13"/>
  <c r="B299" i="13"/>
  <c r="J283" i="13"/>
  <c r="B302" i="13"/>
  <c r="J303" i="13"/>
  <c r="I305" i="12"/>
  <c r="I305" i="13" s="1"/>
  <c r="J280" i="13"/>
  <c r="B292" i="13"/>
  <c r="I313" i="12"/>
  <c r="I313" i="13" s="1"/>
  <c r="J285" i="13"/>
  <c r="B308" i="13"/>
  <c r="O293" i="12"/>
  <c r="P293" i="12" s="1"/>
  <c r="O287" i="12"/>
  <c r="P287" i="12" s="1"/>
  <c r="I299" i="12"/>
  <c r="I299" i="13" s="1"/>
  <c r="B315" i="13"/>
  <c r="O280" i="12"/>
  <c r="P280" i="12" s="1"/>
  <c r="I297" i="12"/>
  <c r="I297" i="13" s="1"/>
  <c r="K287" i="12"/>
  <c r="K287" i="13" s="1"/>
  <c r="J301" i="13"/>
  <c r="B297" i="13"/>
  <c r="B295" i="13"/>
  <c r="FM183" i="6"/>
  <c r="FZ185" i="6"/>
  <c r="GA185" i="6" s="1"/>
  <c r="BK191" i="5"/>
  <c r="BM191" i="5" s="1"/>
  <c r="ET182" i="6"/>
  <c r="GT182" i="6"/>
  <c r="GX182" i="6"/>
  <c r="EY182" i="6"/>
  <c r="GV182" i="6"/>
  <c r="GU182" i="6"/>
  <c r="EZ182" i="6"/>
  <c r="GW182" i="6"/>
  <c r="EW183" i="6"/>
  <c r="GZ182" i="6"/>
  <c r="HA182" i="6"/>
  <c r="EQ184" i="6"/>
  <c r="EL184" i="6"/>
  <c r="EP184" i="6"/>
  <c r="FH185" i="6"/>
  <c r="FG185" i="6"/>
  <c r="FB185" i="6"/>
  <c r="FD185" i="6"/>
  <c r="FE185" i="6"/>
  <c r="FI185" i="6"/>
  <c r="FC185" i="6"/>
  <c r="FF185" i="6"/>
  <c r="EM184" i="6"/>
  <c r="FJ184" i="6"/>
  <c r="EK184" i="6"/>
  <c r="FR186" i="6"/>
  <c r="FT186" i="6" s="1"/>
  <c r="AX196" i="5"/>
  <c r="BJ195" i="5"/>
  <c r="BG195" i="5"/>
  <c r="FY186" i="6"/>
  <c r="FL186" i="6"/>
  <c r="EN184" i="6"/>
  <c r="ER184" i="6"/>
  <c r="ES183" i="6"/>
  <c r="EX183" i="6"/>
  <c r="BL190" i="5"/>
  <c r="BM190" i="5"/>
  <c r="EO184" i="6"/>
  <c r="H318" i="12"/>
  <c r="H318" i="13" s="1"/>
  <c r="G318" i="12"/>
  <c r="G318" i="13" s="1"/>
  <c r="F318" i="12"/>
  <c r="F318" i="13" s="1"/>
  <c r="C318" i="12"/>
  <c r="E318" i="12"/>
  <c r="D318" i="12"/>
  <c r="N357" i="13"/>
  <c r="L345" i="13"/>
  <c r="L316" i="12"/>
  <c r="N328" i="12"/>
  <c r="E302" i="13"/>
  <c r="J299" i="12"/>
  <c r="C299" i="13"/>
  <c r="D302" i="13"/>
  <c r="D297" i="13"/>
  <c r="D306" i="13"/>
  <c r="K293" i="12"/>
  <c r="K293" i="13" s="1"/>
  <c r="N355" i="13"/>
  <c r="L343" i="13"/>
  <c r="C306" i="13"/>
  <c r="E306" i="13"/>
  <c r="H325" i="12"/>
  <c r="H325" i="13" s="1"/>
  <c r="G325" i="12"/>
  <c r="G325" i="13" s="1"/>
  <c r="D325" i="12"/>
  <c r="C325" i="12"/>
  <c r="B325" i="12"/>
  <c r="F325" i="12"/>
  <c r="F325" i="13" s="1"/>
  <c r="E325" i="12"/>
  <c r="J302" i="12"/>
  <c r="C302" i="13"/>
  <c r="J315" i="12"/>
  <c r="C315" i="13"/>
  <c r="N362" i="13"/>
  <c r="L350" i="13"/>
  <c r="N364" i="13"/>
  <c r="L352" i="13"/>
  <c r="N349" i="12"/>
  <c r="L337" i="12"/>
  <c r="D305" i="13"/>
  <c r="L361" i="13"/>
  <c r="N373" i="13"/>
  <c r="G304" i="12"/>
  <c r="G304" i="13" s="1"/>
  <c r="F304" i="12"/>
  <c r="F304" i="13" s="1"/>
  <c r="E304" i="12"/>
  <c r="D304" i="12"/>
  <c r="C304" i="12"/>
  <c r="B304" i="12"/>
  <c r="H304" i="12"/>
  <c r="H304" i="13" s="1"/>
  <c r="K301" i="12"/>
  <c r="K301" i="13" s="1"/>
  <c r="N365" i="13"/>
  <c r="L353" i="13"/>
  <c r="E320" i="12"/>
  <c r="C320" i="12"/>
  <c r="F320" i="12"/>
  <c r="F320" i="13" s="1"/>
  <c r="D320" i="12"/>
  <c r="B320" i="12"/>
  <c r="H320" i="12"/>
  <c r="H320" i="13" s="1"/>
  <c r="F307" i="12"/>
  <c r="F307" i="13" s="1"/>
  <c r="E307" i="12"/>
  <c r="D307" i="12"/>
  <c r="C307" i="12"/>
  <c r="B307" i="12"/>
  <c r="G307" i="12"/>
  <c r="G307" i="13" s="1"/>
  <c r="H307" i="12"/>
  <c r="H307" i="13" s="1"/>
  <c r="F317" i="12"/>
  <c r="F317" i="13" s="1"/>
  <c r="D317" i="12"/>
  <c r="G317" i="12"/>
  <c r="G317" i="13" s="1"/>
  <c r="E317" i="12"/>
  <c r="C317" i="12"/>
  <c r="B317" i="12"/>
  <c r="H317" i="12"/>
  <c r="H317" i="13" s="1"/>
  <c r="L329" i="12"/>
  <c r="N341" i="12"/>
  <c r="L356" i="13"/>
  <c r="N368" i="13"/>
  <c r="E315" i="13"/>
  <c r="E297" i="13"/>
  <c r="N372" i="13"/>
  <c r="L360" i="13"/>
  <c r="N344" i="12"/>
  <c r="L332" i="12"/>
  <c r="N331" i="12"/>
  <c r="L319" i="12"/>
  <c r="N354" i="13"/>
  <c r="L342" i="13"/>
  <c r="D313" i="13"/>
  <c r="J297" i="12"/>
  <c r="C297" i="13"/>
  <c r="I315" i="12"/>
  <c r="I315" i="13" s="1"/>
  <c r="J292" i="12"/>
  <c r="C292" i="13"/>
  <c r="O301" i="12"/>
  <c r="P301" i="12" s="1"/>
  <c r="I292" i="12"/>
  <c r="I292" i="13" s="1"/>
  <c r="I295" i="12"/>
  <c r="I295" i="13" s="1"/>
  <c r="I302" i="12"/>
  <c r="I302" i="13" s="1"/>
  <c r="L330" i="12"/>
  <c r="N342" i="12"/>
  <c r="D315" i="13"/>
  <c r="D292" i="13"/>
  <c r="J295" i="12"/>
  <c r="C295" i="13"/>
  <c r="E311" i="12"/>
  <c r="D311" i="12"/>
  <c r="C311" i="12"/>
  <c r="B311" i="12"/>
  <c r="H311" i="12"/>
  <c r="H311" i="13" s="1"/>
  <c r="G311" i="12"/>
  <c r="G311" i="13" s="1"/>
  <c r="F311" i="12"/>
  <c r="F311" i="13" s="1"/>
  <c r="N371" i="13"/>
  <c r="L359" i="13"/>
  <c r="D309" i="12"/>
  <c r="C309" i="12"/>
  <c r="B309" i="12"/>
  <c r="F309" i="12"/>
  <c r="F309" i="13" s="1"/>
  <c r="G309" i="12"/>
  <c r="G309" i="13" s="1"/>
  <c r="H309" i="12"/>
  <c r="H309" i="13" s="1"/>
  <c r="E309" i="12"/>
  <c r="O285" i="12"/>
  <c r="P285" i="12" s="1"/>
  <c r="N363" i="13"/>
  <c r="L351" i="13"/>
  <c r="D299" i="13"/>
  <c r="J308" i="12"/>
  <c r="C308" i="13"/>
  <c r="D308" i="13"/>
  <c r="E292" i="13"/>
  <c r="D295" i="13"/>
  <c r="L323" i="12"/>
  <c r="N335" i="12"/>
  <c r="J305" i="12"/>
  <c r="C305" i="13"/>
  <c r="J313" i="12"/>
  <c r="C313" i="13"/>
  <c r="L326" i="12"/>
  <c r="N338" i="12"/>
  <c r="E295" i="13"/>
  <c r="H327" i="12"/>
  <c r="H327" i="13" s="1"/>
  <c r="F327" i="12"/>
  <c r="F327" i="13" s="1"/>
  <c r="E327" i="12"/>
  <c r="G327" i="12"/>
  <c r="G327" i="13" s="1"/>
  <c r="D327" i="12"/>
  <c r="C327" i="12"/>
  <c r="B327" i="12"/>
  <c r="E305" i="13"/>
  <c r="N333" i="12"/>
  <c r="L321" i="12"/>
  <c r="E299" i="13"/>
  <c r="E313" i="13"/>
  <c r="E314" i="12"/>
  <c r="B314" i="12"/>
  <c r="H314" i="12"/>
  <c r="H314" i="13" s="1"/>
  <c r="G314" i="12"/>
  <c r="G314" i="13" s="1"/>
  <c r="F314" i="12"/>
  <c r="F314" i="13" s="1"/>
  <c r="D314" i="12"/>
  <c r="C314" i="12"/>
  <c r="E308" i="13"/>
  <c r="L346" i="13"/>
  <c r="N358" i="13"/>
  <c r="K285" i="12"/>
  <c r="K285" i="13" s="1"/>
  <c r="N351" i="12"/>
  <c r="L339" i="12"/>
  <c r="O283" i="13" l="1"/>
  <c r="P283" i="13" s="1"/>
  <c r="O274" i="13"/>
  <c r="P274" i="13" s="1"/>
  <c r="J286" i="13"/>
  <c r="O286" i="13" s="1"/>
  <c r="P286" i="13" s="1"/>
  <c r="J294" i="12"/>
  <c r="B306" i="12"/>
  <c r="I294" i="12"/>
  <c r="B294" i="13"/>
  <c r="J282" i="13"/>
  <c r="I282" i="13"/>
  <c r="O282" i="12"/>
  <c r="P282" i="12" s="1"/>
  <c r="K282" i="12"/>
  <c r="K282" i="13" s="1"/>
  <c r="B298" i="13"/>
  <c r="O285" i="13"/>
  <c r="P285" i="13" s="1"/>
  <c r="G296" i="13"/>
  <c r="G308" i="12"/>
  <c r="I296" i="12"/>
  <c r="I284" i="13"/>
  <c r="O284" i="12"/>
  <c r="P284" i="12" s="1"/>
  <c r="K284" i="12"/>
  <c r="K284" i="13" s="1"/>
  <c r="O284" i="13" s="1"/>
  <c r="P284" i="13" s="1"/>
  <c r="K305" i="12"/>
  <c r="K305" i="13" s="1"/>
  <c r="N334" i="12"/>
  <c r="L322" i="12"/>
  <c r="H310" i="12"/>
  <c r="H310" i="13" s="1"/>
  <c r="E310" i="12"/>
  <c r="E310" i="13" s="1"/>
  <c r="D310" i="12"/>
  <c r="D310" i="13" s="1"/>
  <c r="C310" i="12"/>
  <c r="G310" i="12"/>
  <c r="G310" i="13" s="1"/>
  <c r="F310" i="12"/>
  <c r="F310" i="13" s="1"/>
  <c r="B310" i="12"/>
  <c r="C298" i="13"/>
  <c r="J298" i="12"/>
  <c r="E298" i="13"/>
  <c r="I298" i="12"/>
  <c r="I298" i="13" s="1"/>
  <c r="O292" i="12"/>
  <c r="P292" i="12" s="1"/>
  <c r="O303" i="13"/>
  <c r="P303" i="13" s="1"/>
  <c r="O280" i="13"/>
  <c r="P280" i="13" s="1"/>
  <c r="O290" i="13"/>
  <c r="P290" i="13" s="1"/>
  <c r="O299" i="12"/>
  <c r="P299" i="12" s="1"/>
  <c r="O315" i="12"/>
  <c r="P315" i="12" s="1"/>
  <c r="K295" i="12"/>
  <c r="K295" i="13" s="1"/>
  <c r="J305" i="13"/>
  <c r="O287" i="13"/>
  <c r="P287" i="13" s="1"/>
  <c r="O293" i="13"/>
  <c r="P293" i="13" s="1"/>
  <c r="J315" i="13"/>
  <c r="O301" i="13"/>
  <c r="P301" i="13" s="1"/>
  <c r="B304" i="13"/>
  <c r="J313" i="13"/>
  <c r="B307" i="13"/>
  <c r="J295" i="13"/>
  <c r="K302" i="12"/>
  <c r="K302" i="13" s="1"/>
  <c r="B317" i="13"/>
  <c r="B325" i="13"/>
  <c r="J292" i="13"/>
  <c r="K297" i="12"/>
  <c r="K297" i="13" s="1"/>
  <c r="O305" i="12"/>
  <c r="P305" i="12" s="1"/>
  <c r="O297" i="12"/>
  <c r="P297" i="12" s="1"/>
  <c r="B327" i="13"/>
  <c r="B311" i="13"/>
  <c r="O313" i="12"/>
  <c r="P313" i="12" s="1"/>
  <c r="B314" i="13"/>
  <c r="K299" i="12"/>
  <c r="K299" i="13" s="1"/>
  <c r="O295" i="12"/>
  <c r="P295" i="12" s="1"/>
  <c r="J308" i="13"/>
  <c r="B320" i="13"/>
  <c r="B309" i="13"/>
  <c r="J297" i="13"/>
  <c r="I317" i="12"/>
  <c r="I317" i="13" s="1"/>
  <c r="J302" i="13"/>
  <c r="K313" i="12"/>
  <c r="K313" i="13" s="1"/>
  <c r="J299" i="13"/>
  <c r="FM184" i="6"/>
  <c r="FZ186" i="6"/>
  <c r="GA186" i="6" s="1"/>
  <c r="EZ183" i="6"/>
  <c r="BL191" i="5"/>
  <c r="ES184" i="6"/>
  <c r="GW184" i="6" s="1"/>
  <c r="EO185" i="6"/>
  <c r="ER185" i="6"/>
  <c r="EM185" i="6"/>
  <c r="EQ185" i="6"/>
  <c r="EW184" i="6"/>
  <c r="FJ185" i="6"/>
  <c r="EK185" i="6"/>
  <c r="EP185" i="6"/>
  <c r="FR187" i="6"/>
  <c r="FT187" i="6" s="1"/>
  <c r="AX197" i="5"/>
  <c r="BJ196" i="5"/>
  <c r="FY187" i="6"/>
  <c r="BG196" i="5"/>
  <c r="FL187" i="6"/>
  <c r="EL185" i="6"/>
  <c r="EN185" i="6"/>
  <c r="HA183" i="6"/>
  <c r="ET183" i="6"/>
  <c r="BK192" i="5"/>
  <c r="GX183" i="6"/>
  <c r="GT183" i="6"/>
  <c r="GV183" i="6"/>
  <c r="GU183" i="6"/>
  <c r="GW183" i="6"/>
  <c r="GZ183" i="6"/>
  <c r="GY183" i="6"/>
  <c r="EY183" i="6"/>
  <c r="FI186" i="6"/>
  <c r="FE186" i="6"/>
  <c r="FD186" i="6"/>
  <c r="FB186" i="6"/>
  <c r="FH186" i="6"/>
  <c r="FG186" i="6"/>
  <c r="FF186" i="6"/>
  <c r="FC186" i="6"/>
  <c r="EX184" i="6"/>
  <c r="N385" i="13"/>
  <c r="L373" i="13"/>
  <c r="D323" i="12"/>
  <c r="B323" i="12"/>
  <c r="G323" i="12"/>
  <c r="G323" i="13" s="1"/>
  <c r="F323" i="12"/>
  <c r="F323" i="13" s="1"/>
  <c r="E323" i="12"/>
  <c r="H323" i="12"/>
  <c r="H323" i="13" s="1"/>
  <c r="C323" i="12"/>
  <c r="I325" i="12"/>
  <c r="I325" i="13" s="1"/>
  <c r="N354" i="12"/>
  <c r="L342" i="12"/>
  <c r="L364" i="13"/>
  <c r="N376" i="13"/>
  <c r="L358" i="13"/>
  <c r="N370" i="13"/>
  <c r="D307" i="13"/>
  <c r="H330" i="12"/>
  <c r="H330" i="13" s="1"/>
  <c r="G330" i="12"/>
  <c r="G330" i="13" s="1"/>
  <c r="E330" i="12"/>
  <c r="D330" i="12"/>
  <c r="F330" i="12"/>
  <c r="F330" i="13" s="1"/>
  <c r="C330" i="12"/>
  <c r="D309" i="13"/>
  <c r="N374" i="13"/>
  <c r="L362" i="13"/>
  <c r="K292" i="12"/>
  <c r="K292" i="13" s="1"/>
  <c r="L372" i="13"/>
  <c r="N384" i="13"/>
  <c r="N340" i="12"/>
  <c r="L328" i="12"/>
  <c r="N375" i="13"/>
  <c r="L363" i="13"/>
  <c r="N377" i="13"/>
  <c r="L365" i="13"/>
  <c r="E307" i="13"/>
  <c r="J320" i="12"/>
  <c r="C320" i="13"/>
  <c r="E320" i="13"/>
  <c r="H321" i="12"/>
  <c r="H321" i="13" s="1"/>
  <c r="G321" i="12"/>
  <c r="G321" i="13" s="1"/>
  <c r="F321" i="12"/>
  <c r="F321" i="13" s="1"/>
  <c r="E321" i="12"/>
  <c r="D321" i="12"/>
  <c r="C321" i="12"/>
  <c r="B321" i="12"/>
  <c r="J309" i="12"/>
  <c r="C309" i="13"/>
  <c r="J317" i="12"/>
  <c r="C317" i="13"/>
  <c r="N369" i="13"/>
  <c r="L357" i="13"/>
  <c r="J325" i="12"/>
  <c r="C325" i="13"/>
  <c r="E317" i="13"/>
  <c r="N367" i="13"/>
  <c r="L355" i="13"/>
  <c r="D318" i="13"/>
  <c r="E309" i="13"/>
  <c r="J314" i="12"/>
  <c r="C314" i="13"/>
  <c r="I311" i="12"/>
  <c r="I311" i="13" s="1"/>
  <c r="N366" i="13"/>
  <c r="L354" i="13"/>
  <c r="I304" i="12"/>
  <c r="I304" i="13" s="1"/>
  <c r="E318" i="13"/>
  <c r="B329" i="12"/>
  <c r="G329" i="12"/>
  <c r="G329" i="13" s="1"/>
  <c r="F329" i="12"/>
  <c r="F329" i="13" s="1"/>
  <c r="E329" i="12"/>
  <c r="D329" i="12"/>
  <c r="H329" i="12"/>
  <c r="H329" i="13" s="1"/>
  <c r="C329" i="12"/>
  <c r="I307" i="12"/>
  <c r="I307" i="13" s="1"/>
  <c r="H337" i="12"/>
  <c r="H337" i="13" s="1"/>
  <c r="G337" i="12"/>
  <c r="G337" i="13" s="1"/>
  <c r="F337" i="12"/>
  <c r="F337" i="13" s="1"/>
  <c r="E337" i="12"/>
  <c r="D337" i="12"/>
  <c r="C337" i="12"/>
  <c r="B337" i="12"/>
  <c r="H316" i="12"/>
  <c r="H316" i="13" s="1"/>
  <c r="G316" i="12"/>
  <c r="G316" i="13" s="1"/>
  <c r="F316" i="12"/>
  <c r="F316" i="13" s="1"/>
  <c r="E316" i="12"/>
  <c r="D316" i="12"/>
  <c r="C316" i="12"/>
  <c r="B316" i="12"/>
  <c r="H319" i="12"/>
  <c r="H319" i="13" s="1"/>
  <c r="G319" i="12"/>
  <c r="G319" i="13" s="1"/>
  <c r="F319" i="12"/>
  <c r="F319" i="13" s="1"/>
  <c r="E319" i="12"/>
  <c r="D319" i="12"/>
  <c r="C319" i="12"/>
  <c r="B319" i="12"/>
  <c r="K315" i="12"/>
  <c r="K315" i="13" s="1"/>
  <c r="D317" i="13"/>
  <c r="N350" i="12"/>
  <c r="L338" i="12"/>
  <c r="N347" i="12"/>
  <c r="L335" i="12"/>
  <c r="D327" i="13"/>
  <c r="J311" i="12"/>
  <c r="C311" i="13"/>
  <c r="N343" i="12"/>
  <c r="L331" i="12"/>
  <c r="J304" i="12"/>
  <c r="C304" i="13"/>
  <c r="C318" i="13"/>
  <c r="I314" i="12"/>
  <c r="I314" i="13" s="1"/>
  <c r="E327" i="13"/>
  <c r="D311" i="13"/>
  <c r="D304" i="13"/>
  <c r="J307" i="12"/>
  <c r="C307" i="13"/>
  <c r="D325" i="13"/>
  <c r="I309" i="12"/>
  <c r="I309" i="13" s="1"/>
  <c r="N361" i="12"/>
  <c r="L349" i="12"/>
  <c r="J327" i="12"/>
  <c r="C327" i="13"/>
  <c r="E314" i="13"/>
  <c r="F339" i="12"/>
  <c r="F339" i="13" s="1"/>
  <c r="E339" i="12"/>
  <c r="D339" i="12"/>
  <c r="B339" i="12"/>
  <c r="C339" i="12"/>
  <c r="H339" i="12"/>
  <c r="H339" i="13" s="1"/>
  <c r="G339" i="12"/>
  <c r="G339" i="13" s="1"/>
  <c r="E311" i="13"/>
  <c r="N380" i="13"/>
  <c r="L368" i="13"/>
  <c r="E304" i="13"/>
  <c r="C326" i="12"/>
  <c r="B326" i="12"/>
  <c r="H326" i="12"/>
  <c r="H326" i="13" s="1"/>
  <c r="G326" i="12"/>
  <c r="G326" i="13" s="1"/>
  <c r="F326" i="12"/>
  <c r="F326" i="13" s="1"/>
  <c r="E326" i="12"/>
  <c r="D326" i="12"/>
  <c r="N345" i="12"/>
  <c r="L333" i="12"/>
  <c r="D320" i="13"/>
  <c r="D314" i="13"/>
  <c r="L371" i="13"/>
  <c r="N383" i="13"/>
  <c r="N363" i="12"/>
  <c r="L351" i="12"/>
  <c r="H332" i="12"/>
  <c r="H332" i="13" s="1"/>
  <c r="F332" i="12"/>
  <c r="F332" i="13" s="1"/>
  <c r="E332" i="12"/>
  <c r="D332" i="12"/>
  <c r="C332" i="12"/>
  <c r="B332" i="12"/>
  <c r="I327" i="12"/>
  <c r="I327" i="13" s="1"/>
  <c r="N356" i="12"/>
  <c r="L344" i="12"/>
  <c r="N353" i="12"/>
  <c r="L341" i="12"/>
  <c r="E325" i="13"/>
  <c r="O302" i="12"/>
  <c r="P302" i="12" s="1"/>
  <c r="O282" i="13" l="1"/>
  <c r="P282" i="13" s="1"/>
  <c r="J294" i="13"/>
  <c r="I294" i="13"/>
  <c r="O294" i="12"/>
  <c r="P294" i="12" s="1"/>
  <c r="K294" i="12"/>
  <c r="K294" i="13" s="1"/>
  <c r="O294" i="13" s="1"/>
  <c r="P294" i="13" s="1"/>
  <c r="J306" i="12"/>
  <c r="B306" i="13"/>
  <c r="I306" i="12"/>
  <c r="B318" i="12"/>
  <c r="J298" i="13"/>
  <c r="B310" i="13"/>
  <c r="I296" i="13"/>
  <c r="O296" i="12"/>
  <c r="P296" i="12" s="1"/>
  <c r="K296" i="12"/>
  <c r="K296" i="13" s="1"/>
  <c r="O296" i="13" s="1"/>
  <c r="P296" i="13" s="1"/>
  <c r="G308" i="13"/>
  <c r="I308" i="12"/>
  <c r="G320" i="12"/>
  <c r="O305" i="13"/>
  <c r="P305" i="13" s="1"/>
  <c r="O302" i="13"/>
  <c r="P302" i="13" s="1"/>
  <c r="O315" i="13"/>
  <c r="P315" i="13" s="1"/>
  <c r="HA184" i="6"/>
  <c r="J310" i="12"/>
  <c r="C310" i="13"/>
  <c r="GU184" i="6"/>
  <c r="B322" i="12"/>
  <c r="E322" i="12"/>
  <c r="F322" i="12"/>
  <c r="F322" i="13" s="1"/>
  <c r="H322" i="12"/>
  <c r="H322" i="13" s="1"/>
  <c r="D322" i="12"/>
  <c r="D322" i="13" s="1"/>
  <c r="C322" i="12"/>
  <c r="G322" i="12"/>
  <c r="G322" i="13" s="1"/>
  <c r="L334" i="12"/>
  <c r="N346" i="12"/>
  <c r="K298" i="12"/>
  <c r="K298" i="13" s="1"/>
  <c r="O298" i="13" s="1"/>
  <c r="P298" i="13" s="1"/>
  <c r="O298" i="12"/>
  <c r="P298" i="12" s="1"/>
  <c r="I310" i="12"/>
  <c r="O299" i="13"/>
  <c r="P299" i="13" s="1"/>
  <c r="O313" i="13"/>
  <c r="P313" i="13" s="1"/>
  <c r="K314" i="12"/>
  <c r="K314" i="13" s="1"/>
  <c r="O297" i="13"/>
  <c r="P297" i="13" s="1"/>
  <c r="J309" i="13"/>
  <c r="O295" i="13"/>
  <c r="P295" i="13" s="1"/>
  <c r="O292" i="13"/>
  <c r="P292" i="13" s="1"/>
  <c r="J327" i="13"/>
  <c r="O309" i="12"/>
  <c r="P309" i="12" s="1"/>
  <c r="I319" i="12"/>
  <c r="I319" i="13" s="1"/>
  <c r="O314" i="12"/>
  <c r="P314" i="12" s="1"/>
  <c r="I339" i="12"/>
  <c r="I339" i="13" s="1"/>
  <c r="K317" i="12"/>
  <c r="K317" i="13" s="1"/>
  <c r="I326" i="12"/>
  <c r="I326" i="13" s="1"/>
  <c r="B316" i="13"/>
  <c r="I329" i="12"/>
  <c r="I329" i="13" s="1"/>
  <c r="J304" i="13"/>
  <c r="J325" i="13"/>
  <c r="B332" i="13"/>
  <c r="B323" i="13"/>
  <c r="J317" i="13"/>
  <c r="J311" i="13"/>
  <c r="O325" i="12"/>
  <c r="P325" i="12" s="1"/>
  <c r="B326" i="13"/>
  <c r="J307" i="13"/>
  <c r="J320" i="13"/>
  <c r="K325" i="12"/>
  <c r="K325" i="13" s="1"/>
  <c r="B329" i="13"/>
  <c r="B337" i="13"/>
  <c r="O317" i="12"/>
  <c r="P317" i="12" s="1"/>
  <c r="J314" i="13"/>
  <c r="B339" i="13"/>
  <c r="B319" i="13"/>
  <c r="B321" i="13"/>
  <c r="FM185" i="6"/>
  <c r="GV184" i="6"/>
  <c r="BK193" i="5"/>
  <c r="BM193" i="5" s="1"/>
  <c r="EZ184" i="6"/>
  <c r="GT184" i="6"/>
  <c r="GZ184" i="6"/>
  <c r="GY184" i="6"/>
  <c r="GX184" i="6"/>
  <c r="EY184" i="6"/>
  <c r="ET184" i="6"/>
  <c r="EN186" i="6"/>
  <c r="ER186" i="6"/>
  <c r="ES185" i="6"/>
  <c r="EW185" i="6"/>
  <c r="FH187" i="6"/>
  <c r="FE187" i="6"/>
  <c r="FB187" i="6"/>
  <c r="FD187" i="6"/>
  <c r="FC187" i="6"/>
  <c r="EL187" i="6" s="1"/>
  <c r="FI187" i="6"/>
  <c r="FF187" i="6"/>
  <c r="FG187" i="6"/>
  <c r="BL192" i="5"/>
  <c r="BM192" i="5"/>
  <c r="GV185" i="6"/>
  <c r="EP186" i="6"/>
  <c r="FJ186" i="6"/>
  <c r="EK186" i="6"/>
  <c r="FZ187" i="6"/>
  <c r="GA187" i="6" s="1"/>
  <c r="EX185" i="6"/>
  <c r="EL186" i="6"/>
  <c r="EO186" i="6"/>
  <c r="EQ186" i="6"/>
  <c r="EM186" i="6"/>
  <c r="AX198" i="5"/>
  <c r="FR188" i="6"/>
  <c r="FT188" i="6" s="1"/>
  <c r="BJ197" i="5"/>
  <c r="BG197" i="5"/>
  <c r="FY188" i="6"/>
  <c r="FL188" i="6"/>
  <c r="H338" i="12"/>
  <c r="H338" i="13" s="1"/>
  <c r="G338" i="12"/>
  <c r="G338" i="13" s="1"/>
  <c r="E338" i="12"/>
  <c r="D338" i="12"/>
  <c r="C338" i="12"/>
  <c r="B338" i="12"/>
  <c r="F338" i="12"/>
  <c r="F338" i="13" s="1"/>
  <c r="N362" i="12"/>
  <c r="L350" i="12"/>
  <c r="J323" i="12"/>
  <c r="C323" i="13"/>
  <c r="I323" i="12"/>
  <c r="I323" i="13" s="1"/>
  <c r="J332" i="12"/>
  <c r="C332" i="13"/>
  <c r="O304" i="12"/>
  <c r="P304" i="12" s="1"/>
  <c r="E337" i="13"/>
  <c r="E342" i="12"/>
  <c r="D342" i="12"/>
  <c r="C342" i="12"/>
  <c r="H342" i="12"/>
  <c r="H342" i="13" s="1"/>
  <c r="G342" i="12"/>
  <c r="G342" i="13" s="1"/>
  <c r="F342" i="12"/>
  <c r="F342" i="13" s="1"/>
  <c r="L384" i="13"/>
  <c r="N396" i="13"/>
  <c r="D326" i="13"/>
  <c r="L366" i="13"/>
  <c r="N378" i="13"/>
  <c r="E326" i="13"/>
  <c r="D337" i="13"/>
  <c r="N366" i="12"/>
  <c r="L354" i="12"/>
  <c r="H349" i="12"/>
  <c r="H349" i="13" s="1"/>
  <c r="G349" i="12"/>
  <c r="G349" i="13" s="1"/>
  <c r="F349" i="12"/>
  <c r="F349" i="13" s="1"/>
  <c r="E349" i="12"/>
  <c r="D349" i="12"/>
  <c r="C349" i="12"/>
  <c r="B349" i="12"/>
  <c r="K327" i="12"/>
  <c r="K327" i="13" s="1"/>
  <c r="L340" i="12"/>
  <c r="N352" i="12"/>
  <c r="J337" i="12"/>
  <c r="C337" i="13"/>
  <c r="J321" i="12"/>
  <c r="C321" i="13"/>
  <c r="D319" i="13"/>
  <c r="J329" i="12"/>
  <c r="C329" i="13"/>
  <c r="K309" i="12"/>
  <c r="K309" i="13" s="1"/>
  <c r="D321" i="13"/>
  <c r="N386" i="13"/>
  <c r="L374" i="13"/>
  <c r="O307" i="12"/>
  <c r="P307" i="12" s="1"/>
  <c r="H333" i="12"/>
  <c r="H333" i="13" s="1"/>
  <c r="G333" i="12"/>
  <c r="G333" i="13" s="1"/>
  <c r="F333" i="12"/>
  <c r="F333" i="13" s="1"/>
  <c r="D333" i="12"/>
  <c r="C333" i="12"/>
  <c r="E333" i="12"/>
  <c r="B333" i="12"/>
  <c r="D339" i="13"/>
  <c r="N381" i="13"/>
  <c r="L369" i="13"/>
  <c r="L376" i="13"/>
  <c r="N388" i="13"/>
  <c r="K304" i="12"/>
  <c r="K304" i="13" s="1"/>
  <c r="E321" i="13"/>
  <c r="L370" i="13"/>
  <c r="N382" i="13"/>
  <c r="N375" i="12"/>
  <c r="L363" i="12"/>
  <c r="J316" i="12"/>
  <c r="C316" i="13"/>
  <c r="K307" i="12"/>
  <c r="K307" i="13" s="1"/>
  <c r="L383" i="13"/>
  <c r="N395" i="13"/>
  <c r="L380" i="13"/>
  <c r="N392" i="13"/>
  <c r="D316" i="13"/>
  <c r="D329" i="13"/>
  <c r="I321" i="12"/>
  <c r="I321" i="13" s="1"/>
  <c r="D331" i="12"/>
  <c r="C331" i="12"/>
  <c r="B331" i="12"/>
  <c r="H331" i="12"/>
  <c r="H331" i="13" s="1"/>
  <c r="G331" i="12"/>
  <c r="G331" i="13" s="1"/>
  <c r="E331" i="12"/>
  <c r="F331" i="12"/>
  <c r="F331" i="13" s="1"/>
  <c r="N355" i="12"/>
  <c r="L343" i="12"/>
  <c r="C330" i="13"/>
  <c r="D332" i="13"/>
  <c r="D323" i="13"/>
  <c r="E332" i="13"/>
  <c r="J319" i="12"/>
  <c r="C319" i="13"/>
  <c r="O311" i="12"/>
  <c r="P311" i="12" s="1"/>
  <c r="O327" i="12"/>
  <c r="P327" i="12" s="1"/>
  <c r="N373" i="12"/>
  <c r="L361" i="12"/>
  <c r="H341" i="12"/>
  <c r="H341" i="13" s="1"/>
  <c r="G341" i="12"/>
  <c r="G341" i="13" s="1"/>
  <c r="E341" i="12"/>
  <c r="F341" i="12"/>
  <c r="F341" i="13" s="1"/>
  <c r="D341" i="12"/>
  <c r="C341" i="12"/>
  <c r="B341" i="12"/>
  <c r="N365" i="12"/>
  <c r="L353" i="12"/>
  <c r="E316" i="13"/>
  <c r="E329" i="13"/>
  <c r="L367" i="13"/>
  <c r="N379" i="13"/>
  <c r="N389" i="13"/>
  <c r="L377" i="13"/>
  <c r="J339" i="12"/>
  <c r="C339" i="13"/>
  <c r="N357" i="12"/>
  <c r="L345" i="12"/>
  <c r="E339" i="13"/>
  <c r="D330" i="13"/>
  <c r="E330" i="13"/>
  <c r="J326" i="12"/>
  <c r="C326" i="13"/>
  <c r="E319" i="13"/>
  <c r="F344" i="12"/>
  <c r="F344" i="13" s="1"/>
  <c r="E344" i="12"/>
  <c r="D344" i="12"/>
  <c r="C344" i="12"/>
  <c r="B344" i="12"/>
  <c r="H344" i="12"/>
  <c r="H344" i="13" s="1"/>
  <c r="K311" i="12"/>
  <c r="K311" i="13" s="1"/>
  <c r="I316" i="12"/>
  <c r="I316" i="13" s="1"/>
  <c r="E323" i="13"/>
  <c r="B351" i="12"/>
  <c r="H351" i="12"/>
  <c r="H351" i="13" s="1"/>
  <c r="G351" i="12"/>
  <c r="G351" i="13" s="1"/>
  <c r="F351" i="12"/>
  <c r="F351" i="13" s="1"/>
  <c r="E351" i="12"/>
  <c r="D351" i="12"/>
  <c r="C351" i="12"/>
  <c r="N387" i="13"/>
  <c r="L375" i="13"/>
  <c r="N397" i="13"/>
  <c r="L385" i="13"/>
  <c r="I337" i="12"/>
  <c r="I337" i="13" s="1"/>
  <c r="L356" i="12"/>
  <c r="N368" i="12"/>
  <c r="B335" i="12"/>
  <c r="F335" i="12"/>
  <c r="F335" i="13" s="1"/>
  <c r="E335" i="12"/>
  <c r="D335" i="12"/>
  <c r="C335" i="12"/>
  <c r="H335" i="12"/>
  <c r="H335" i="13" s="1"/>
  <c r="G335" i="12"/>
  <c r="G335" i="13" s="1"/>
  <c r="N359" i="12"/>
  <c r="L347" i="12"/>
  <c r="E328" i="12"/>
  <c r="H328" i="12"/>
  <c r="H328" i="13" s="1"/>
  <c r="G328" i="12"/>
  <c r="G328" i="13" s="1"/>
  <c r="F328" i="12"/>
  <c r="F328" i="13" s="1"/>
  <c r="D328" i="12"/>
  <c r="C328" i="12"/>
  <c r="B328" i="12"/>
  <c r="I306" i="13" l="1"/>
  <c r="K306" i="12"/>
  <c r="K306" i="13" s="1"/>
  <c r="O306" i="12"/>
  <c r="P306" i="12" s="1"/>
  <c r="J318" i="12"/>
  <c r="B330" i="12"/>
  <c r="B318" i="13"/>
  <c r="I318" i="12"/>
  <c r="J306" i="13"/>
  <c r="B322" i="13"/>
  <c r="J310" i="13"/>
  <c r="G320" i="13"/>
  <c r="G332" i="12"/>
  <c r="I320" i="12"/>
  <c r="K320" i="12" s="1"/>
  <c r="K320" i="13" s="1"/>
  <c r="O320" i="13" s="1"/>
  <c r="P320" i="13" s="1"/>
  <c r="I308" i="13"/>
  <c r="O308" i="12"/>
  <c r="P308" i="12" s="1"/>
  <c r="K308" i="12"/>
  <c r="K308" i="13" s="1"/>
  <c r="O308" i="13" s="1"/>
  <c r="P308" i="13" s="1"/>
  <c r="K319" i="12"/>
  <c r="K319" i="13" s="1"/>
  <c r="K316" i="12"/>
  <c r="K316" i="13" s="1"/>
  <c r="O319" i="12"/>
  <c r="P319" i="12" s="1"/>
  <c r="I310" i="13"/>
  <c r="O310" i="12"/>
  <c r="P310" i="12" s="1"/>
  <c r="K310" i="12"/>
  <c r="K310" i="13" s="1"/>
  <c r="O310" i="13" s="1"/>
  <c r="P310" i="13" s="1"/>
  <c r="O314" i="13"/>
  <c r="P314" i="13" s="1"/>
  <c r="N358" i="12"/>
  <c r="L346" i="12"/>
  <c r="H334" i="12"/>
  <c r="H334" i="13" s="1"/>
  <c r="G334" i="12"/>
  <c r="G334" i="13" s="1"/>
  <c r="C334" i="12"/>
  <c r="F334" i="12"/>
  <c r="F334" i="13" s="1"/>
  <c r="E334" i="12"/>
  <c r="D334" i="12"/>
  <c r="D334" i="13" s="1"/>
  <c r="B334" i="12"/>
  <c r="J322" i="12"/>
  <c r="C322" i="13"/>
  <c r="E322" i="13"/>
  <c r="I322" i="12"/>
  <c r="I322" i="13" s="1"/>
  <c r="O339" i="12"/>
  <c r="P339" i="12" s="1"/>
  <c r="O329" i="12"/>
  <c r="P329" i="12" s="1"/>
  <c r="O327" i="13"/>
  <c r="P327" i="13" s="1"/>
  <c r="K329" i="12"/>
  <c r="K329" i="13" s="1"/>
  <c r="J332" i="13"/>
  <c r="K339" i="12"/>
  <c r="K339" i="13" s="1"/>
  <c r="O321" i="12"/>
  <c r="P321" i="12" s="1"/>
  <c r="K321" i="12"/>
  <c r="K321" i="13" s="1"/>
  <c r="O309" i="13"/>
  <c r="P309" i="13" s="1"/>
  <c r="O325" i="13"/>
  <c r="P325" i="13" s="1"/>
  <c r="J316" i="13"/>
  <c r="O304" i="13"/>
  <c r="P304" i="13" s="1"/>
  <c r="O317" i="13"/>
  <c r="P317" i="13" s="1"/>
  <c r="J326" i="13"/>
  <c r="B351" i="13"/>
  <c r="O316" i="12"/>
  <c r="P316" i="12" s="1"/>
  <c r="K337" i="12"/>
  <c r="K337" i="13" s="1"/>
  <c r="J319" i="13"/>
  <c r="B335" i="13"/>
  <c r="J321" i="13"/>
  <c r="K326" i="12"/>
  <c r="K326" i="13" s="1"/>
  <c r="J329" i="13"/>
  <c r="O307" i="13"/>
  <c r="P307" i="13" s="1"/>
  <c r="B328" i="13"/>
  <c r="J337" i="13"/>
  <c r="B344" i="13"/>
  <c r="B349" i="13"/>
  <c r="B333" i="13"/>
  <c r="B341" i="13"/>
  <c r="J323" i="13"/>
  <c r="B331" i="13"/>
  <c r="B338" i="13"/>
  <c r="O311" i="13"/>
  <c r="P311" i="13" s="1"/>
  <c r="J339" i="13"/>
  <c r="O326" i="12"/>
  <c r="P326" i="12" s="1"/>
  <c r="FM186" i="6"/>
  <c r="BL193" i="5"/>
  <c r="EY185" i="6"/>
  <c r="EZ185" i="6"/>
  <c r="FH188" i="6"/>
  <c r="FG188" i="6"/>
  <c r="FD188" i="6"/>
  <c r="FC188" i="6"/>
  <c r="FF188" i="6"/>
  <c r="FE188" i="6"/>
  <c r="FB188" i="6"/>
  <c r="FI188" i="6"/>
  <c r="EK187" i="6"/>
  <c r="FJ187" i="6"/>
  <c r="EQ187" i="6"/>
  <c r="EP187" i="6"/>
  <c r="ER187" i="6"/>
  <c r="EX186" i="6"/>
  <c r="BK194" i="5"/>
  <c r="ET185" i="6"/>
  <c r="HA185" i="6"/>
  <c r="GU185" i="6"/>
  <c r="GW185" i="6"/>
  <c r="GZ185" i="6"/>
  <c r="GT185" i="6"/>
  <c r="GY185" i="6"/>
  <c r="EO187" i="6"/>
  <c r="EM187" i="6"/>
  <c r="FZ188" i="6"/>
  <c r="GA188" i="6" s="1"/>
  <c r="EN187" i="6"/>
  <c r="FR189" i="6"/>
  <c r="FT189" i="6" s="1"/>
  <c r="BJ198" i="5"/>
  <c r="AX199" i="5"/>
  <c r="FY189" i="6"/>
  <c r="BG198" i="5"/>
  <c r="FL189" i="6"/>
  <c r="EW186" i="6"/>
  <c r="ES186" i="6"/>
  <c r="GW186" i="6" s="1"/>
  <c r="GX185" i="6"/>
  <c r="D335" i="13"/>
  <c r="N385" i="12"/>
  <c r="L373" i="12"/>
  <c r="E351" i="13"/>
  <c r="N390" i="13"/>
  <c r="L378" i="13"/>
  <c r="C356" i="12"/>
  <c r="B356" i="12"/>
  <c r="D356" i="12"/>
  <c r="H356" i="12"/>
  <c r="H356" i="13" s="1"/>
  <c r="F356" i="12"/>
  <c r="F356" i="13" s="1"/>
  <c r="E356" i="12"/>
  <c r="I341" i="12"/>
  <c r="I341" i="13" s="1"/>
  <c r="L381" i="13"/>
  <c r="N393" i="13"/>
  <c r="J335" i="12"/>
  <c r="C335" i="13"/>
  <c r="I349" i="12"/>
  <c r="I349" i="13" s="1"/>
  <c r="E331" i="13"/>
  <c r="L387" i="13"/>
  <c r="N399" i="13"/>
  <c r="I331" i="12"/>
  <c r="I331" i="13" s="1"/>
  <c r="J351" i="12"/>
  <c r="C351" i="13"/>
  <c r="D351" i="13"/>
  <c r="D328" i="13"/>
  <c r="I351" i="12"/>
  <c r="I351" i="13" s="1"/>
  <c r="H340" i="12"/>
  <c r="H340" i="13" s="1"/>
  <c r="G340" i="12"/>
  <c r="G340" i="13" s="1"/>
  <c r="F340" i="12"/>
  <c r="F340" i="13" s="1"/>
  <c r="E340" i="12"/>
  <c r="D340" i="12"/>
  <c r="B340" i="12"/>
  <c r="C340" i="12"/>
  <c r="E354" i="12"/>
  <c r="D354" i="12"/>
  <c r="C354" i="12"/>
  <c r="F354" i="12"/>
  <c r="F354" i="13" s="1"/>
  <c r="G354" i="12"/>
  <c r="G354" i="13" s="1"/>
  <c r="H354" i="12"/>
  <c r="H354" i="13" s="1"/>
  <c r="N408" i="13"/>
  <c r="L396" i="13"/>
  <c r="L362" i="12"/>
  <c r="N374" i="12"/>
  <c r="N369" i="12"/>
  <c r="L357" i="12"/>
  <c r="J331" i="12"/>
  <c r="C331" i="13"/>
  <c r="L388" i="13"/>
  <c r="N400" i="13"/>
  <c r="N404" i="13"/>
  <c r="L392" i="13"/>
  <c r="H353" i="12"/>
  <c r="H353" i="13" s="1"/>
  <c r="G353" i="12"/>
  <c r="G353" i="13" s="1"/>
  <c r="F353" i="12"/>
  <c r="F353" i="13" s="1"/>
  <c r="E353" i="12"/>
  <c r="D353" i="12"/>
  <c r="C353" i="12"/>
  <c r="B353" i="12"/>
  <c r="E333" i="13"/>
  <c r="D342" i="13"/>
  <c r="E335" i="13"/>
  <c r="N377" i="12"/>
  <c r="L365" i="12"/>
  <c r="O323" i="12"/>
  <c r="P323" i="12" s="1"/>
  <c r="N407" i="13"/>
  <c r="L395" i="13"/>
  <c r="I333" i="12"/>
  <c r="I333" i="13" s="1"/>
  <c r="O337" i="12"/>
  <c r="P337" i="12" s="1"/>
  <c r="J338" i="12"/>
  <c r="C338" i="13"/>
  <c r="N364" i="12"/>
  <c r="L352" i="12"/>
  <c r="N378" i="12"/>
  <c r="L366" i="12"/>
  <c r="J333" i="12"/>
  <c r="C333" i="13"/>
  <c r="D338" i="13"/>
  <c r="I335" i="12"/>
  <c r="I335" i="13" s="1"/>
  <c r="E328" i="13"/>
  <c r="K323" i="12"/>
  <c r="K323" i="13" s="1"/>
  <c r="J341" i="12"/>
  <c r="C341" i="13"/>
  <c r="D333" i="13"/>
  <c r="J349" i="12"/>
  <c r="C349" i="13"/>
  <c r="E338" i="13"/>
  <c r="I328" i="12"/>
  <c r="I328" i="13" s="1"/>
  <c r="D341" i="13"/>
  <c r="D349" i="13"/>
  <c r="E344" i="13"/>
  <c r="D345" i="12"/>
  <c r="C345" i="12"/>
  <c r="B345" i="12"/>
  <c r="H345" i="12"/>
  <c r="H345" i="13" s="1"/>
  <c r="G345" i="12"/>
  <c r="G345" i="13" s="1"/>
  <c r="F345" i="12"/>
  <c r="F345" i="13" s="1"/>
  <c r="E345" i="12"/>
  <c r="F361" i="12"/>
  <c r="F361" i="13" s="1"/>
  <c r="E361" i="12"/>
  <c r="D361" i="12"/>
  <c r="C361" i="12"/>
  <c r="B361" i="12"/>
  <c r="H361" i="12"/>
  <c r="H361" i="13" s="1"/>
  <c r="G361" i="12"/>
  <c r="G361" i="13" s="1"/>
  <c r="G347" i="12"/>
  <c r="G347" i="13" s="1"/>
  <c r="H347" i="12"/>
  <c r="H347" i="13" s="1"/>
  <c r="F347" i="12"/>
  <c r="F347" i="13" s="1"/>
  <c r="E347" i="12"/>
  <c r="D347" i="12"/>
  <c r="C347" i="12"/>
  <c r="B347" i="12"/>
  <c r="L389" i="13"/>
  <c r="N401" i="13"/>
  <c r="H363" i="12"/>
  <c r="H363" i="13" s="1"/>
  <c r="G363" i="12"/>
  <c r="G363" i="13" s="1"/>
  <c r="F363" i="12"/>
  <c r="F363" i="13" s="1"/>
  <c r="E363" i="12"/>
  <c r="D363" i="12"/>
  <c r="C363" i="12"/>
  <c r="B363" i="12"/>
  <c r="E349" i="13"/>
  <c r="D331" i="13"/>
  <c r="E350" i="12"/>
  <c r="D350" i="12"/>
  <c r="C350" i="12"/>
  <c r="B350" i="12"/>
  <c r="H350" i="12"/>
  <c r="H350" i="13" s="1"/>
  <c r="G350" i="12"/>
  <c r="G350" i="13" s="1"/>
  <c r="F350" i="12"/>
  <c r="F350" i="13" s="1"/>
  <c r="N371" i="12"/>
  <c r="L359" i="12"/>
  <c r="E341" i="13"/>
  <c r="H343" i="12"/>
  <c r="H343" i="13" s="1"/>
  <c r="G343" i="12"/>
  <c r="G343" i="13" s="1"/>
  <c r="E343" i="12"/>
  <c r="D343" i="12"/>
  <c r="C343" i="12"/>
  <c r="B343" i="12"/>
  <c r="F343" i="12"/>
  <c r="F343" i="13" s="1"/>
  <c r="N387" i="12"/>
  <c r="L375" i="12"/>
  <c r="I338" i="12"/>
  <c r="I338" i="13" s="1"/>
  <c r="J344" i="12"/>
  <c r="C344" i="13"/>
  <c r="D344" i="13"/>
  <c r="L386" i="13"/>
  <c r="N398" i="13"/>
  <c r="E342" i="13"/>
  <c r="N409" i="13"/>
  <c r="L397" i="13"/>
  <c r="N380" i="12"/>
  <c r="L368" i="12"/>
  <c r="J328" i="12"/>
  <c r="C328" i="13"/>
  <c r="L379" i="13"/>
  <c r="N391" i="13"/>
  <c r="N367" i="12"/>
  <c r="L355" i="12"/>
  <c r="L382" i="13"/>
  <c r="N394" i="13"/>
  <c r="C342" i="13"/>
  <c r="O306" i="13" l="1"/>
  <c r="P306" i="13" s="1"/>
  <c r="I318" i="13"/>
  <c r="O318" i="12"/>
  <c r="P318" i="12" s="1"/>
  <c r="K318" i="12"/>
  <c r="K318" i="13" s="1"/>
  <c r="J318" i="13"/>
  <c r="I330" i="12"/>
  <c r="B342" i="12"/>
  <c r="J330" i="12"/>
  <c r="B330" i="13"/>
  <c r="J322" i="13"/>
  <c r="B334" i="13"/>
  <c r="O319" i="13"/>
  <c r="P319" i="13" s="1"/>
  <c r="O316" i="13"/>
  <c r="P316" i="13" s="1"/>
  <c r="I320" i="13"/>
  <c r="O320" i="12"/>
  <c r="P320" i="12" s="1"/>
  <c r="G332" i="13"/>
  <c r="I332" i="12"/>
  <c r="G344" i="12"/>
  <c r="K322" i="12"/>
  <c r="K322" i="13" s="1"/>
  <c r="O322" i="12"/>
  <c r="P322" i="12" s="1"/>
  <c r="E334" i="13"/>
  <c r="I334" i="12"/>
  <c r="J334" i="12"/>
  <c r="C334" i="13"/>
  <c r="O329" i="13"/>
  <c r="P329" i="13" s="1"/>
  <c r="D346" i="12"/>
  <c r="D346" i="13" s="1"/>
  <c r="F346" i="12"/>
  <c r="F346" i="13" s="1"/>
  <c r="G346" i="12"/>
  <c r="G346" i="13" s="1"/>
  <c r="B346" i="12"/>
  <c r="H346" i="12"/>
  <c r="H346" i="13" s="1"/>
  <c r="C346" i="12"/>
  <c r="E346" i="12"/>
  <c r="L358" i="12"/>
  <c r="N370" i="12"/>
  <c r="K328" i="12"/>
  <c r="K328" i="13" s="1"/>
  <c r="O339" i="13"/>
  <c r="P339" i="13" s="1"/>
  <c r="O321" i="13"/>
  <c r="P321" i="13" s="1"/>
  <c r="O326" i="13"/>
  <c r="P326" i="13" s="1"/>
  <c r="J344" i="13"/>
  <c r="O323" i="13"/>
  <c r="P323" i="13" s="1"/>
  <c r="O338" i="12"/>
  <c r="P338" i="12" s="1"/>
  <c r="K351" i="12"/>
  <c r="K351" i="13" s="1"/>
  <c r="J351" i="13"/>
  <c r="J331" i="13"/>
  <c r="B340" i="13"/>
  <c r="J338" i="13"/>
  <c r="B356" i="13"/>
  <c r="I347" i="12"/>
  <c r="I347" i="13" s="1"/>
  <c r="B363" i="13"/>
  <c r="J335" i="13"/>
  <c r="J349" i="13"/>
  <c r="K335" i="12"/>
  <c r="K335" i="13" s="1"/>
  <c r="B343" i="13"/>
  <c r="J333" i="13"/>
  <c r="J341" i="13"/>
  <c r="B345" i="13"/>
  <c r="B350" i="13"/>
  <c r="K338" i="12"/>
  <c r="K338" i="13" s="1"/>
  <c r="B353" i="13"/>
  <c r="O337" i="13"/>
  <c r="P337" i="13" s="1"/>
  <c r="B361" i="13"/>
  <c r="B347" i="13"/>
  <c r="K333" i="12"/>
  <c r="K333" i="13" s="1"/>
  <c r="J328" i="13"/>
  <c r="K349" i="12"/>
  <c r="K349" i="13" s="1"/>
  <c r="FM187" i="6"/>
  <c r="EY186" i="6"/>
  <c r="EW187" i="6"/>
  <c r="AX200" i="5"/>
  <c r="BJ199" i="5"/>
  <c r="FR190" i="6"/>
  <c r="FT190" i="6" s="1"/>
  <c r="FY190" i="6"/>
  <c r="BG199" i="5"/>
  <c r="FL190" i="6"/>
  <c r="EX187" i="6"/>
  <c r="ES187" i="6"/>
  <c r="GW187" i="6" s="1"/>
  <c r="ER188" i="6"/>
  <c r="EN188" i="6"/>
  <c r="EO188" i="6"/>
  <c r="FG189" i="6"/>
  <c r="FD189" i="6"/>
  <c r="FI189" i="6"/>
  <c r="FH189" i="6"/>
  <c r="FF189" i="6"/>
  <c r="FE189" i="6"/>
  <c r="FC189" i="6"/>
  <c r="FB189" i="6"/>
  <c r="EK188" i="6"/>
  <c r="FJ188" i="6"/>
  <c r="EL188" i="6"/>
  <c r="EM188" i="6"/>
  <c r="BL194" i="5"/>
  <c r="BM194" i="5"/>
  <c r="FZ189" i="6"/>
  <c r="GA189" i="6" s="1"/>
  <c r="EP188" i="6"/>
  <c r="EQ188" i="6"/>
  <c r="EZ186" i="6"/>
  <c r="ET186" i="6"/>
  <c r="BK195" i="5"/>
  <c r="GT186" i="6"/>
  <c r="GZ186" i="6"/>
  <c r="GV186" i="6"/>
  <c r="GU186" i="6"/>
  <c r="HA186" i="6"/>
  <c r="GY186" i="6"/>
  <c r="GX186" i="6"/>
  <c r="J343" i="12"/>
  <c r="C343" i="13"/>
  <c r="I345" i="12"/>
  <c r="I345" i="13" s="1"/>
  <c r="E343" i="13"/>
  <c r="N383" i="12"/>
  <c r="L371" i="12"/>
  <c r="J340" i="12"/>
  <c r="C340" i="13"/>
  <c r="E340" i="13"/>
  <c r="D363" i="13"/>
  <c r="C354" i="13"/>
  <c r="D340" i="13"/>
  <c r="E363" i="13"/>
  <c r="J353" i="12"/>
  <c r="C353" i="13"/>
  <c r="H357" i="12"/>
  <c r="H357" i="13" s="1"/>
  <c r="G357" i="12"/>
  <c r="G357" i="13" s="1"/>
  <c r="F357" i="12"/>
  <c r="F357" i="13" s="1"/>
  <c r="E357" i="12"/>
  <c r="D357" i="12"/>
  <c r="C357" i="12"/>
  <c r="B357" i="12"/>
  <c r="J347" i="12"/>
  <c r="C347" i="13"/>
  <c r="D356" i="13"/>
  <c r="D353" i="13"/>
  <c r="N381" i="12"/>
  <c r="L369" i="12"/>
  <c r="I340" i="12"/>
  <c r="I340" i="13" s="1"/>
  <c r="D347" i="13"/>
  <c r="N416" i="13"/>
  <c r="L404" i="13"/>
  <c r="J361" i="12"/>
  <c r="C361" i="13"/>
  <c r="E353" i="13"/>
  <c r="B373" i="12"/>
  <c r="H373" i="12"/>
  <c r="H373" i="13" s="1"/>
  <c r="G373" i="12"/>
  <c r="G373" i="13" s="1"/>
  <c r="F373" i="12"/>
  <c r="F373" i="13" s="1"/>
  <c r="E373" i="12"/>
  <c r="C373" i="12"/>
  <c r="D373" i="12"/>
  <c r="L398" i="13"/>
  <c r="N410" i="13"/>
  <c r="J345" i="12"/>
  <c r="C345" i="13"/>
  <c r="J356" i="12"/>
  <c r="C356" i="13"/>
  <c r="N402" i="13"/>
  <c r="L390" i="13"/>
  <c r="I361" i="12"/>
  <c r="I361" i="13" s="1"/>
  <c r="D350" i="13"/>
  <c r="O333" i="12"/>
  <c r="P333" i="12" s="1"/>
  <c r="N419" i="13"/>
  <c r="L407" i="13"/>
  <c r="N397" i="12"/>
  <c r="L385" i="12"/>
  <c r="N411" i="13"/>
  <c r="L399" i="13"/>
  <c r="H359" i="12"/>
  <c r="H359" i="13" s="1"/>
  <c r="G359" i="12"/>
  <c r="G359" i="13" s="1"/>
  <c r="F359" i="12"/>
  <c r="F359" i="13" s="1"/>
  <c r="E359" i="12"/>
  <c r="D359" i="12"/>
  <c r="C359" i="12"/>
  <c r="B359" i="12"/>
  <c r="H368" i="12"/>
  <c r="H368" i="13" s="1"/>
  <c r="F368" i="12"/>
  <c r="F368" i="13" s="1"/>
  <c r="E368" i="12"/>
  <c r="D368" i="12"/>
  <c r="B368" i="12"/>
  <c r="C368" i="12"/>
  <c r="N386" i="12"/>
  <c r="L374" i="12"/>
  <c r="O328" i="12"/>
  <c r="P328" i="12" s="1"/>
  <c r="L364" i="12"/>
  <c r="N376" i="12"/>
  <c r="L391" i="13"/>
  <c r="N403" i="13"/>
  <c r="E347" i="13"/>
  <c r="E356" i="13"/>
  <c r="I343" i="12"/>
  <c r="I343" i="13" s="1"/>
  <c r="D354" i="13"/>
  <c r="O331" i="12"/>
  <c r="P331" i="12" s="1"/>
  <c r="J363" i="12"/>
  <c r="C363" i="13"/>
  <c r="I363" i="12"/>
  <c r="I363" i="13" s="1"/>
  <c r="J350" i="12"/>
  <c r="C350" i="13"/>
  <c r="N406" i="13"/>
  <c r="L394" i="13"/>
  <c r="H375" i="12"/>
  <c r="H375" i="13" s="1"/>
  <c r="F375" i="12"/>
  <c r="F375" i="13" s="1"/>
  <c r="E375" i="12"/>
  <c r="D375" i="12"/>
  <c r="C375" i="12"/>
  <c r="G375" i="12"/>
  <c r="G375" i="13" s="1"/>
  <c r="B375" i="12"/>
  <c r="L401" i="13"/>
  <c r="N413" i="13"/>
  <c r="E361" i="13"/>
  <c r="O349" i="12"/>
  <c r="P349" i="12" s="1"/>
  <c r="N399" i="12"/>
  <c r="L387" i="12"/>
  <c r="H366" i="12"/>
  <c r="H366" i="13" s="1"/>
  <c r="G366" i="12"/>
  <c r="G366" i="13" s="1"/>
  <c r="F366" i="12"/>
  <c r="F366" i="13" s="1"/>
  <c r="E366" i="12"/>
  <c r="D366" i="12"/>
  <c r="C366" i="12"/>
  <c r="H365" i="12"/>
  <c r="H365" i="13" s="1"/>
  <c r="G365" i="12"/>
  <c r="G365" i="13" s="1"/>
  <c r="F365" i="12"/>
  <c r="F365" i="13" s="1"/>
  <c r="E365" i="12"/>
  <c r="D365" i="12"/>
  <c r="C365" i="12"/>
  <c r="B365" i="12"/>
  <c r="H362" i="12"/>
  <c r="H362" i="13" s="1"/>
  <c r="G362" i="12"/>
  <c r="G362" i="13" s="1"/>
  <c r="E362" i="12"/>
  <c r="B362" i="12"/>
  <c r="F362" i="12"/>
  <c r="F362" i="13" s="1"/>
  <c r="D362" i="12"/>
  <c r="C362" i="12"/>
  <c r="O335" i="12"/>
  <c r="P335" i="12" s="1"/>
  <c r="D343" i="13"/>
  <c r="K341" i="12"/>
  <c r="K341" i="13" s="1"/>
  <c r="K331" i="12"/>
  <c r="K331" i="13" s="1"/>
  <c r="I350" i="12"/>
  <c r="I350" i="13" s="1"/>
  <c r="D361" i="13"/>
  <c r="E350" i="13"/>
  <c r="N392" i="12"/>
  <c r="L380" i="12"/>
  <c r="E345" i="13"/>
  <c r="O341" i="12"/>
  <c r="P341" i="12" s="1"/>
  <c r="L378" i="12"/>
  <c r="N390" i="12"/>
  <c r="L377" i="12"/>
  <c r="N389" i="12"/>
  <c r="I353" i="12"/>
  <c r="I353" i="13" s="1"/>
  <c r="O351" i="12"/>
  <c r="P351" i="12" s="1"/>
  <c r="L393" i="13"/>
  <c r="N405" i="13"/>
  <c r="N379" i="12"/>
  <c r="L367" i="12"/>
  <c r="D345" i="13"/>
  <c r="E354" i="13"/>
  <c r="L400" i="13"/>
  <c r="N412" i="13"/>
  <c r="H355" i="12"/>
  <c r="H355" i="13" s="1"/>
  <c r="G355" i="12"/>
  <c r="G355" i="13" s="1"/>
  <c r="F355" i="12"/>
  <c r="F355" i="13" s="1"/>
  <c r="E355" i="12"/>
  <c r="D355" i="12"/>
  <c r="C355" i="12"/>
  <c r="B355" i="12"/>
  <c r="N421" i="13"/>
  <c r="L409" i="13"/>
  <c r="H352" i="12"/>
  <c r="H352" i="13" s="1"/>
  <c r="G352" i="12"/>
  <c r="G352" i="13" s="1"/>
  <c r="F352" i="12"/>
  <c r="F352" i="13" s="1"/>
  <c r="E352" i="12"/>
  <c r="D352" i="12"/>
  <c r="B352" i="12"/>
  <c r="C352" i="12"/>
  <c r="N420" i="13"/>
  <c r="L408" i="13"/>
  <c r="I330" i="13" l="1"/>
  <c r="K330" i="12"/>
  <c r="K330" i="13" s="1"/>
  <c r="O330" i="12"/>
  <c r="P330" i="12" s="1"/>
  <c r="O318" i="13"/>
  <c r="P318" i="13" s="1"/>
  <c r="J334" i="13"/>
  <c r="O322" i="13"/>
  <c r="P322" i="13" s="1"/>
  <c r="J330" i="13"/>
  <c r="B346" i="13"/>
  <c r="B342" i="13"/>
  <c r="B354" i="12"/>
  <c r="J342" i="12"/>
  <c r="I342" i="12"/>
  <c r="G344" i="13"/>
  <c r="I344" i="12"/>
  <c r="G356" i="12"/>
  <c r="I332" i="13"/>
  <c r="K332" i="12"/>
  <c r="K332" i="13" s="1"/>
  <c r="O332" i="13" s="1"/>
  <c r="P332" i="13" s="1"/>
  <c r="O332" i="12"/>
  <c r="P332" i="12" s="1"/>
  <c r="O341" i="13"/>
  <c r="P341" i="13" s="1"/>
  <c r="N382" i="12"/>
  <c r="L370" i="12"/>
  <c r="O328" i="13"/>
  <c r="P328" i="13" s="1"/>
  <c r="B358" i="12"/>
  <c r="H358" i="12"/>
  <c r="H358" i="13" s="1"/>
  <c r="C358" i="12"/>
  <c r="G358" i="12"/>
  <c r="G358" i="13" s="1"/>
  <c r="F358" i="12"/>
  <c r="F358" i="13" s="1"/>
  <c r="E358" i="12"/>
  <c r="D358" i="12"/>
  <c r="D358" i="13" s="1"/>
  <c r="E346" i="13"/>
  <c r="I346" i="12"/>
  <c r="K346" i="12" s="1"/>
  <c r="K346" i="13" s="1"/>
  <c r="J346" i="12"/>
  <c r="C346" i="13"/>
  <c r="O351" i="13"/>
  <c r="P351" i="13" s="1"/>
  <c r="I334" i="13"/>
  <c r="O334" i="12"/>
  <c r="P334" i="12" s="1"/>
  <c r="K334" i="12"/>
  <c r="K334" i="13" s="1"/>
  <c r="O331" i="13"/>
  <c r="P331" i="13" s="1"/>
  <c r="O335" i="13"/>
  <c r="P335" i="13" s="1"/>
  <c r="I357" i="12"/>
  <c r="I357" i="13" s="1"/>
  <c r="K361" i="12"/>
  <c r="K361" i="13" s="1"/>
  <c r="K347" i="12"/>
  <c r="K347" i="13" s="1"/>
  <c r="K345" i="12"/>
  <c r="K345" i="13" s="1"/>
  <c r="O361" i="12"/>
  <c r="P361" i="12" s="1"/>
  <c r="O347" i="12"/>
  <c r="P347" i="12" s="1"/>
  <c r="O340" i="12"/>
  <c r="P340" i="12" s="1"/>
  <c r="J343" i="13"/>
  <c r="O333" i="13"/>
  <c r="P333" i="13" s="1"/>
  <c r="O345" i="12"/>
  <c r="P345" i="12" s="1"/>
  <c r="O338" i="13"/>
  <c r="P338" i="13" s="1"/>
  <c r="K340" i="12"/>
  <c r="K340" i="13" s="1"/>
  <c r="B362" i="13"/>
  <c r="B355" i="13"/>
  <c r="J345" i="13"/>
  <c r="B375" i="13"/>
  <c r="B365" i="13"/>
  <c r="B368" i="13"/>
  <c r="B359" i="13"/>
  <c r="J363" i="13"/>
  <c r="B373" i="13"/>
  <c r="K343" i="12"/>
  <c r="K343" i="13" s="1"/>
  <c r="B352" i="13"/>
  <c r="O350" i="12"/>
  <c r="P350" i="12" s="1"/>
  <c r="J353" i="13"/>
  <c r="I362" i="12"/>
  <c r="I362" i="13" s="1"/>
  <c r="B357" i="13"/>
  <c r="J356" i="13"/>
  <c r="J350" i="13"/>
  <c r="O349" i="13"/>
  <c r="P349" i="13" s="1"/>
  <c r="O343" i="12"/>
  <c r="P343" i="12" s="1"/>
  <c r="J340" i="13"/>
  <c r="J347" i="13"/>
  <c r="J361" i="13"/>
  <c r="FM188" i="6"/>
  <c r="EW188" i="6"/>
  <c r="EY187" i="6"/>
  <c r="EM189" i="6"/>
  <c r="EP189" i="6"/>
  <c r="EQ189" i="6"/>
  <c r="BL195" i="5"/>
  <c r="BM195" i="5"/>
  <c r="ES188" i="6"/>
  <c r="EO189" i="6"/>
  <c r="FJ189" i="6"/>
  <c r="EK189" i="6"/>
  <c r="FZ190" i="6"/>
  <c r="GA190" i="6" s="1"/>
  <c r="EX188" i="6"/>
  <c r="EZ187" i="6"/>
  <c r="FI190" i="6"/>
  <c r="FH190" i="6"/>
  <c r="FE190" i="6"/>
  <c r="FD190" i="6"/>
  <c r="FC190" i="6"/>
  <c r="FB190" i="6"/>
  <c r="FF190" i="6"/>
  <c r="FG190" i="6"/>
  <c r="EL189" i="6"/>
  <c r="FR191" i="6"/>
  <c r="FT191" i="6" s="1"/>
  <c r="AX201" i="5"/>
  <c r="BJ200" i="5"/>
  <c r="FY191" i="6"/>
  <c r="BG200" i="5"/>
  <c r="FL191" i="6"/>
  <c r="ER189" i="6"/>
  <c r="GU187" i="6"/>
  <c r="BK196" i="5"/>
  <c r="ET187" i="6"/>
  <c r="HA187" i="6"/>
  <c r="GX187" i="6"/>
  <c r="GZ187" i="6"/>
  <c r="GY187" i="6"/>
  <c r="GV187" i="6"/>
  <c r="GT187" i="6"/>
  <c r="EN189" i="6"/>
  <c r="L412" i="13"/>
  <c r="N424" i="13"/>
  <c r="H387" i="12"/>
  <c r="H387" i="13" s="1"/>
  <c r="G387" i="12"/>
  <c r="G387" i="13" s="1"/>
  <c r="F387" i="12"/>
  <c r="F387" i="13" s="1"/>
  <c r="E387" i="12"/>
  <c r="D387" i="12"/>
  <c r="C387" i="12"/>
  <c r="B387" i="12"/>
  <c r="D355" i="13"/>
  <c r="L386" i="12"/>
  <c r="N398" i="12"/>
  <c r="D368" i="13"/>
  <c r="E352" i="13"/>
  <c r="N404" i="12"/>
  <c r="L392" i="12"/>
  <c r="N431" i="13"/>
  <c r="L419" i="13"/>
  <c r="L416" i="13"/>
  <c r="N428" i="13"/>
  <c r="N395" i="12"/>
  <c r="L383" i="12"/>
  <c r="E355" i="13"/>
  <c r="N432" i="13"/>
  <c r="L420" i="13"/>
  <c r="J368" i="12"/>
  <c r="C368" i="13"/>
  <c r="I373" i="12"/>
  <c r="I373" i="13" s="1"/>
  <c r="J373" i="12"/>
  <c r="C373" i="13"/>
  <c r="D352" i="13"/>
  <c r="F380" i="12"/>
  <c r="F380" i="13" s="1"/>
  <c r="E380" i="12"/>
  <c r="D380" i="12"/>
  <c r="C380" i="12"/>
  <c r="B380" i="12"/>
  <c r="H380" i="12"/>
  <c r="H380" i="13" s="1"/>
  <c r="E373" i="13"/>
  <c r="H369" i="12"/>
  <c r="H369" i="13" s="1"/>
  <c r="G369" i="12"/>
  <c r="G369" i="13" s="1"/>
  <c r="F369" i="12"/>
  <c r="F369" i="13" s="1"/>
  <c r="E369" i="12"/>
  <c r="D369" i="12"/>
  <c r="C369" i="12"/>
  <c r="B369" i="12"/>
  <c r="L403" i="13"/>
  <c r="N415" i="13"/>
  <c r="I375" i="12"/>
  <c r="I375" i="13" s="1"/>
  <c r="N409" i="12"/>
  <c r="L397" i="12"/>
  <c r="E362" i="13"/>
  <c r="D373" i="13"/>
  <c r="J352" i="12"/>
  <c r="C352" i="13"/>
  <c r="N418" i="13"/>
  <c r="L406" i="13"/>
  <c r="E368" i="13"/>
  <c r="J365" i="12"/>
  <c r="C365" i="13"/>
  <c r="K350" i="12"/>
  <c r="K350" i="13" s="1"/>
  <c r="D365" i="13"/>
  <c r="N393" i="12"/>
  <c r="L381" i="12"/>
  <c r="O363" i="12"/>
  <c r="P363" i="12" s="1"/>
  <c r="I352" i="12"/>
  <c r="I352" i="13" s="1"/>
  <c r="H377" i="12"/>
  <c r="H377" i="13" s="1"/>
  <c r="G377" i="12"/>
  <c r="G377" i="13" s="1"/>
  <c r="F377" i="12"/>
  <c r="F377" i="13" s="1"/>
  <c r="E377" i="12"/>
  <c r="D377" i="12"/>
  <c r="C377" i="12"/>
  <c r="B377" i="12"/>
  <c r="D357" i="13"/>
  <c r="H378" i="12"/>
  <c r="H378" i="13" s="1"/>
  <c r="G378" i="12"/>
  <c r="G378" i="13" s="1"/>
  <c r="F378" i="12"/>
  <c r="F378" i="13" s="1"/>
  <c r="E378" i="12"/>
  <c r="D378" i="12"/>
  <c r="C378" i="12"/>
  <c r="C366" i="13"/>
  <c r="N425" i="13"/>
  <c r="L413" i="13"/>
  <c r="D359" i="13"/>
  <c r="E365" i="13"/>
  <c r="O353" i="12"/>
  <c r="P353" i="12" s="1"/>
  <c r="J357" i="12"/>
  <c r="C357" i="13"/>
  <c r="N433" i="13"/>
  <c r="L421" i="13"/>
  <c r="L390" i="12"/>
  <c r="N402" i="12"/>
  <c r="I365" i="12"/>
  <c r="I365" i="13" s="1"/>
  <c r="J359" i="12"/>
  <c r="C359" i="13"/>
  <c r="K353" i="12"/>
  <c r="K353" i="13" s="1"/>
  <c r="E357" i="13"/>
  <c r="I355" i="12"/>
  <c r="I355" i="13" s="1"/>
  <c r="D366" i="13"/>
  <c r="E359" i="13"/>
  <c r="N414" i="13"/>
  <c r="L402" i="13"/>
  <c r="L399" i="12"/>
  <c r="N411" i="12"/>
  <c r="N401" i="12"/>
  <c r="L389" i="12"/>
  <c r="J355" i="12"/>
  <c r="C355" i="13"/>
  <c r="E366" i="13"/>
  <c r="H371" i="12"/>
  <c r="H371" i="13" s="1"/>
  <c r="G371" i="12"/>
  <c r="G371" i="13" s="1"/>
  <c r="F371" i="12"/>
  <c r="F371" i="13" s="1"/>
  <c r="E371" i="12"/>
  <c r="D371" i="12"/>
  <c r="C371" i="12"/>
  <c r="B371" i="12"/>
  <c r="D367" i="12"/>
  <c r="C367" i="12"/>
  <c r="B367" i="12"/>
  <c r="H367" i="12"/>
  <c r="H367" i="13" s="1"/>
  <c r="G367" i="12"/>
  <c r="G367" i="13" s="1"/>
  <c r="F367" i="12"/>
  <c r="F367" i="13" s="1"/>
  <c r="E367" i="12"/>
  <c r="J375" i="12"/>
  <c r="C375" i="13"/>
  <c r="N391" i="12"/>
  <c r="L379" i="12"/>
  <c r="D375" i="13"/>
  <c r="N388" i="12"/>
  <c r="L376" i="12"/>
  <c r="I359" i="12"/>
  <c r="I359" i="13" s="1"/>
  <c r="E364" i="12"/>
  <c r="D364" i="12"/>
  <c r="C364" i="12"/>
  <c r="B364" i="12"/>
  <c r="H364" i="12"/>
  <c r="H364" i="13" s="1"/>
  <c r="G364" i="12"/>
  <c r="G364" i="13" s="1"/>
  <c r="F364" i="12"/>
  <c r="F364" i="13" s="1"/>
  <c r="D362" i="13"/>
  <c r="N423" i="13"/>
  <c r="L411" i="13"/>
  <c r="K363" i="12"/>
  <c r="K363" i="13" s="1"/>
  <c r="N417" i="13"/>
  <c r="L405" i="13"/>
  <c r="J362" i="12"/>
  <c r="C362" i="13"/>
  <c r="E375" i="13"/>
  <c r="H374" i="12"/>
  <c r="H374" i="13" s="1"/>
  <c r="G374" i="12"/>
  <c r="G374" i="13" s="1"/>
  <c r="F374" i="12"/>
  <c r="F374" i="13" s="1"/>
  <c r="E374" i="12"/>
  <c r="D374" i="12"/>
  <c r="C374" i="12"/>
  <c r="B374" i="12"/>
  <c r="F385" i="12"/>
  <c r="F385" i="13" s="1"/>
  <c r="H385" i="12"/>
  <c r="H385" i="13" s="1"/>
  <c r="G385" i="12"/>
  <c r="G385" i="13" s="1"/>
  <c r="E385" i="12"/>
  <c r="B385" i="12"/>
  <c r="D385" i="12"/>
  <c r="C385" i="12"/>
  <c r="N422" i="13"/>
  <c r="L410" i="13"/>
  <c r="O330" i="13" l="1"/>
  <c r="P330" i="13" s="1"/>
  <c r="J346" i="13"/>
  <c r="I342" i="13"/>
  <c r="K342" i="12"/>
  <c r="K342" i="13" s="1"/>
  <c r="O342" i="12"/>
  <c r="P342" i="12" s="1"/>
  <c r="O334" i="13"/>
  <c r="P334" i="13" s="1"/>
  <c r="B354" i="13"/>
  <c r="J354" i="12"/>
  <c r="I354" i="12"/>
  <c r="B366" i="12"/>
  <c r="B358" i="13"/>
  <c r="J342" i="13"/>
  <c r="G356" i="13"/>
  <c r="I356" i="12"/>
  <c r="G368" i="12"/>
  <c r="I344" i="13"/>
  <c r="O344" i="12"/>
  <c r="P344" i="12" s="1"/>
  <c r="K344" i="12"/>
  <c r="K344" i="13" s="1"/>
  <c r="O344" i="13" s="1"/>
  <c r="P344" i="13" s="1"/>
  <c r="O357" i="12"/>
  <c r="P357" i="12" s="1"/>
  <c r="K357" i="12"/>
  <c r="K357" i="13" s="1"/>
  <c r="O350" i="13"/>
  <c r="P350" i="13" s="1"/>
  <c r="O361" i="13"/>
  <c r="P361" i="13" s="1"/>
  <c r="K373" i="12"/>
  <c r="K373" i="13" s="1"/>
  <c r="O345" i="13"/>
  <c r="P345" i="13" s="1"/>
  <c r="O346" i="13"/>
  <c r="P346" i="13" s="1"/>
  <c r="I346" i="13"/>
  <c r="O346" i="12"/>
  <c r="P346" i="12" s="1"/>
  <c r="I358" i="12"/>
  <c r="E358" i="13"/>
  <c r="J358" i="12"/>
  <c r="C358" i="13"/>
  <c r="H370" i="12"/>
  <c r="H370" i="13" s="1"/>
  <c r="G370" i="12"/>
  <c r="G370" i="13" s="1"/>
  <c r="D370" i="12"/>
  <c r="D370" i="13" s="1"/>
  <c r="F370" i="12"/>
  <c r="F370" i="13" s="1"/>
  <c r="E370" i="12"/>
  <c r="B370" i="12"/>
  <c r="C370" i="12"/>
  <c r="L382" i="12"/>
  <c r="N394" i="12"/>
  <c r="O347" i="13"/>
  <c r="P347" i="13" s="1"/>
  <c r="O353" i="13"/>
  <c r="P353" i="13" s="1"/>
  <c r="O352" i="12"/>
  <c r="P352" i="12" s="1"/>
  <c r="O343" i="13"/>
  <c r="P343" i="13" s="1"/>
  <c r="I371" i="12"/>
  <c r="I371" i="13" s="1"/>
  <c r="O373" i="12"/>
  <c r="P373" i="12" s="1"/>
  <c r="K352" i="12"/>
  <c r="K352" i="13" s="1"/>
  <c r="K362" i="12"/>
  <c r="K362" i="13" s="1"/>
  <c r="O340" i="13"/>
  <c r="P340" i="13" s="1"/>
  <c r="J357" i="13"/>
  <c r="O362" i="12"/>
  <c r="P362" i="12" s="1"/>
  <c r="O355" i="12"/>
  <c r="P355" i="12" s="1"/>
  <c r="B387" i="13"/>
  <c r="O375" i="12"/>
  <c r="P375" i="12" s="1"/>
  <c r="B367" i="13"/>
  <c r="J355" i="13"/>
  <c r="J368" i="13"/>
  <c r="J365" i="13"/>
  <c r="B364" i="13"/>
  <c r="I367" i="12"/>
  <c r="I367" i="13" s="1"/>
  <c r="O363" i="13"/>
  <c r="P363" i="13" s="1"/>
  <c r="J375" i="13"/>
  <c r="B369" i="13"/>
  <c r="B371" i="13"/>
  <c r="B377" i="13"/>
  <c r="J373" i="13"/>
  <c r="O373" i="13" s="1"/>
  <c r="P373" i="13" s="1"/>
  <c r="B385" i="13"/>
  <c r="J352" i="13"/>
  <c r="B380" i="13"/>
  <c r="K375" i="12"/>
  <c r="K375" i="13" s="1"/>
  <c r="J362" i="13"/>
  <c r="B374" i="13"/>
  <c r="I377" i="12"/>
  <c r="I377" i="13" s="1"/>
  <c r="J359" i="13"/>
  <c r="FM189" i="6"/>
  <c r="EY188" i="6"/>
  <c r="EW189" i="6"/>
  <c r="ES189" i="6"/>
  <c r="GZ189" i="6" s="1"/>
  <c r="FZ191" i="6"/>
  <c r="GA191" i="6" s="1"/>
  <c r="EM190" i="6"/>
  <c r="ER190" i="6"/>
  <c r="EN190" i="6"/>
  <c r="FI191" i="6"/>
  <c r="FH191" i="6"/>
  <c r="FG191" i="6"/>
  <c r="FF191" i="6"/>
  <c r="FE191" i="6"/>
  <c r="FD191" i="6"/>
  <c r="EM191" i="6" s="1"/>
  <c r="FC191" i="6"/>
  <c r="FB191" i="6"/>
  <c r="EX189" i="6"/>
  <c r="BL196" i="5"/>
  <c r="BM196" i="5"/>
  <c r="EP190" i="6"/>
  <c r="EQ190" i="6"/>
  <c r="FR192" i="6"/>
  <c r="FT192" i="6" s="1"/>
  <c r="AX202" i="5"/>
  <c r="BJ201" i="5"/>
  <c r="FY192" i="6"/>
  <c r="BG201" i="5"/>
  <c r="FL192" i="6"/>
  <c r="EL190" i="6"/>
  <c r="EZ188" i="6"/>
  <c r="BK197" i="5"/>
  <c r="ET188" i="6"/>
  <c r="GT188" i="6"/>
  <c r="GU188" i="6"/>
  <c r="GX188" i="6"/>
  <c r="HA188" i="6"/>
  <c r="GW188" i="6"/>
  <c r="GV188" i="6"/>
  <c r="GZ188" i="6"/>
  <c r="GY188" i="6"/>
  <c r="EO190" i="6"/>
  <c r="EK190" i="6"/>
  <c r="FJ190" i="6"/>
  <c r="E385" i="13"/>
  <c r="L431" i="13"/>
  <c r="N443" i="13"/>
  <c r="J374" i="12"/>
  <c r="C374" i="13"/>
  <c r="E364" i="13"/>
  <c r="E374" i="13"/>
  <c r="J387" i="12"/>
  <c r="C387" i="13"/>
  <c r="H399" i="12"/>
  <c r="H399" i="13" s="1"/>
  <c r="G399" i="12"/>
  <c r="G399" i="13" s="1"/>
  <c r="F399" i="12"/>
  <c r="F399" i="13" s="1"/>
  <c r="E399" i="12"/>
  <c r="D399" i="12"/>
  <c r="C399" i="12"/>
  <c r="B399" i="12"/>
  <c r="I364" i="12"/>
  <c r="I364" i="13" s="1"/>
  <c r="L402" i="12"/>
  <c r="N414" i="12"/>
  <c r="D364" i="13"/>
  <c r="L418" i="13"/>
  <c r="N430" i="13"/>
  <c r="D387" i="13"/>
  <c r="K365" i="12"/>
  <c r="K365" i="13" s="1"/>
  <c r="D369" i="13"/>
  <c r="L417" i="13"/>
  <c r="N429" i="13"/>
  <c r="D380" i="13"/>
  <c r="D371" i="13"/>
  <c r="I374" i="12"/>
  <c r="I374" i="13" s="1"/>
  <c r="E387" i="13"/>
  <c r="N423" i="12"/>
  <c r="L411" i="12"/>
  <c r="N416" i="12"/>
  <c r="L404" i="12"/>
  <c r="J364" i="12"/>
  <c r="C364" i="13"/>
  <c r="D374" i="13"/>
  <c r="L423" i="13"/>
  <c r="N435" i="13"/>
  <c r="H379" i="12"/>
  <c r="H379" i="13" s="1"/>
  <c r="F379" i="12"/>
  <c r="F379" i="13" s="1"/>
  <c r="E379" i="12"/>
  <c r="D379" i="12"/>
  <c r="C379" i="12"/>
  <c r="G379" i="12"/>
  <c r="G379" i="13" s="1"/>
  <c r="B379" i="12"/>
  <c r="J377" i="12"/>
  <c r="C377" i="13"/>
  <c r="N405" i="12"/>
  <c r="L393" i="12"/>
  <c r="J367" i="12"/>
  <c r="C367" i="13"/>
  <c r="J369" i="12"/>
  <c r="C369" i="13"/>
  <c r="I369" i="12"/>
  <c r="I369" i="13" s="1"/>
  <c r="N426" i="13"/>
  <c r="L414" i="13"/>
  <c r="K369" i="12"/>
  <c r="K369" i="13" s="1"/>
  <c r="E369" i="13"/>
  <c r="E371" i="13"/>
  <c r="N400" i="12"/>
  <c r="L388" i="12"/>
  <c r="O359" i="12"/>
  <c r="P359" i="12" s="1"/>
  <c r="D377" i="13"/>
  <c r="C392" i="12"/>
  <c r="B392" i="12"/>
  <c r="F392" i="12"/>
  <c r="F392" i="13" s="1"/>
  <c r="E392" i="12"/>
  <c r="D392" i="12"/>
  <c r="H392" i="12"/>
  <c r="H392" i="13" s="1"/>
  <c r="J380" i="12"/>
  <c r="C380" i="13"/>
  <c r="E380" i="13"/>
  <c r="E377" i="13"/>
  <c r="K355" i="12"/>
  <c r="K355" i="13" s="1"/>
  <c r="H381" i="12"/>
  <c r="H381" i="13" s="1"/>
  <c r="F381" i="12"/>
  <c r="F381" i="13" s="1"/>
  <c r="E381" i="12"/>
  <c r="D381" i="12"/>
  <c r="C381" i="12"/>
  <c r="G381" i="12"/>
  <c r="G381" i="13" s="1"/>
  <c r="B381" i="12"/>
  <c r="O365" i="12"/>
  <c r="P365" i="12" s="1"/>
  <c r="H390" i="12"/>
  <c r="H390" i="13" s="1"/>
  <c r="G390" i="12"/>
  <c r="G390" i="13" s="1"/>
  <c r="F390" i="12"/>
  <c r="F390" i="13" s="1"/>
  <c r="C390" i="12"/>
  <c r="E390" i="12"/>
  <c r="D390" i="12"/>
  <c r="K359" i="12"/>
  <c r="K359" i="13" s="1"/>
  <c r="L433" i="13"/>
  <c r="N445" i="13"/>
  <c r="E376" i="12"/>
  <c r="D376" i="12"/>
  <c r="C376" i="12"/>
  <c r="B376" i="12"/>
  <c r="F376" i="12"/>
  <c r="F376" i="13" s="1"/>
  <c r="H376" i="12"/>
  <c r="H376" i="13" s="1"/>
  <c r="G376" i="12"/>
  <c r="G376" i="13" s="1"/>
  <c r="N403" i="12"/>
  <c r="L391" i="12"/>
  <c r="N437" i="13"/>
  <c r="L425" i="13"/>
  <c r="F383" i="12"/>
  <c r="F383" i="13" s="1"/>
  <c r="E383" i="12"/>
  <c r="D383" i="12"/>
  <c r="C383" i="12"/>
  <c r="B383" i="12"/>
  <c r="H383" i="12"/>
  <c r="H383" i="13" s="1"/>
  <c r="G383" i="12"/>
  <c r="G383" i="13" s="1"/>
  <c r="I387" i="12"/>
  <c r="I387" i="13" s="1"/>
  <c r="I385" i="12"/>
  <c r="I385" i="13" s="1"/>
  <c r="D367" i="13"/>
  <c r="E367" i="13"/>
  <c r="L395" i="12"/>
  <c r="N407" i="12"/>
  <c r="N410" i="12"/>
  <c r="L398" i="12"/>
  <c r="N436" i="13"/>
  <c r="L424" i="13"/>
  <c r="J385" i="12"/>
  <c r="C385" i="13"/>
  <c r="D389" i="12"/>
  <c r="C389" i="12"/>
  <c r="B389" i="12"/>
  <c r="F389" i="12"/>
  <c r="F389" i="13" s="1"/>
  <c r="H389" i="12"/>
  <c r="H389" i="13" s="1"/>
  <c r="G389" i="12"/>
  <c r="G389" i="13" s="1"/>
  <c r="E389" i="12"/>
  <c r="B397" i="12"/>
  <c r="G397" i="12"/>
  <c r="G397" i="13" s="1"/>
  <c r="F397" i="12"/>
  <c r="F397" i="13" s="1"/>
  <c r="E397" i="12"/>
  <c r="D397" i="12"/>
  <c r="C397" i="12"/>
  <c r="H397" i="12"/>
  <c r="H397" i="13" s="1"/>
  <c r="N440" i="13"/>
  <c r="L428" i="13"/>
  <c r="E386" i="12"/>
  <c r="D386" i="12"/>
  <c r="C386" i="12"/>
  <c r="B386" i="12"/>
  <c r="H386" i="12"/>
  <c r="H386" i="13" s="1"/>
  <c r="G386" i="12"/>
  <c r="G386" i="13" s="1"/>
  <c r="F386" i="12"/>
  <c r="F386" i="13" s="1"/>
  <c r="E378" i="13"/>
  <c r="L432" i="13"/>
  <c r="N444" i="13"/>
  <c r="J371" i="12"/>
  <c r="C371" i="13"/>
  <c r="N434" i="13"/>
  <c r="L422" i="13"/>
  <c r="D385" i="13"/>
  <c r="N413" i="12"/>
  <c r="L401" i="12"/>
  <c r="N421" i="12"/>
  <c r="L409" i="12"/>
  <c r="D378" i="13"/>
  <c r="N427" i="13"/>
  <c r="L415" i="13"/>
  <c r="C378" i="13"/>
  <c r="B378" i="12" l="1"/>
  <c r="J366" i="12"/>
  <c r="B366" i="13"/>
  <c r="I366" i="12"/>
  <c r="I354" i="13"/>
  <c r="O354" i="12"/>
  <c r="P354" i="12" s="1"/>
  <c r="K354" i="12"/>
  <c r="K354" i="13" s="1"/>
  <c r="J354" i="13"/>
  <c r="B370" i="13"/>
  <c r="J358" i="13"/>
  <c r="O342" i="13"/>
  <c r="P342" i="13" s="1"/>
  <c r="O357" i="13"/>
  <c r="P357" i="13" s="1"/>
  <c r="G368" i="13"/>
  <c r="I368" i="12"/>
  <c r="G380" i="12"/>
  <c r="I356" i="13"/>
  <c r="O356" i="12"/>
  <c r="P356" i="12" s="1"/>
  <c r="K356" i="12"/>
  <c r="K356" i="13" s="1"/>
  <c r="O356" i="13" s="1"/>
  <c r="P356" i="13" s="1"/>
  <c r="GT189" i="6"/>
  <c r="BK198" i="5"/>
  <c r="HA189" i="6"/>
  <c r="ET189" i="6"/>
  <c r="I370" i="12"/>
  <c r="I370" i="13" s="1"/>
  <c r="E370" i="13"/>
  <c r="E382" i="12"/>
  <c r="D382" i="12"/>
  <c r="D382" i="13" s="1"/>
  <c r="C382" i="12"/>
  <c r="F382" i="12"/>
  <c r="F382" i="13" s="1"/>
  <c r="H382" i="12"/>
  <c r="H382" i="13" s="1"/>
  <c r="B382" i="12"/>
  <c r="G382" i="12"/>
  <c r="G382" i="13" s="1"/>
  <c r="N406" i="12"/>
  <c r="L394" i="12"/>
  <c r="J370" i="12"/>
  <c r="C370" i="13"/>
  <c r="I358" i="13"/>
  <c r="O358" i="12"/>
  <c r="P358" i="12" s="1"/>
  <c r="K358" i="12"/>
  <c r="K358" i="13" s="1"/>
  <c r="O362" i="13"/>
  <c r="P362" i="13" s="1"/>
  <c r="O352" i="13"/>
  <c r="P352" i="13" s="1"/>
  <c r="O377" i="12"/>
  <c r="P377" i="12" s="1"/>
  <c r="K377" i="12"/>
  <c r="K377" i="13" s="1"/>
  <c r="J374" i="13"/>
  <c r="K371" i="12"/>
  <c r="K371" i="13" s="1"/>
  <c r="O371" i="12"/>
  <c r="P371" i="12" s="1"/>
  <c r="J387" i="13"/>
  <c r="O359" i="13"/>
  <c r="P359" i="13" s="1"/>
  <c r="O365" i="13"/>
  <c r="P365" i="13" s="1"/>
  <c r="J369" i="13"/>
  <c r="O369" i="13" s="1"/>
  <c r="P369" i="13" s="1"/>
  <c r="B379" i="13"/>
  <c r="J380" i="13"/>
  <c r="B383" i="13"/>
  <c r="B386" i="13"/>
  <c r="J385" i="13"/>
  <c r="B392" i="13"/>
  <c r="J364" i="13"/>
  <c r="B397" i="13"/>
  <c r="O387" i="12"/>
  <c r="P387" i="12" s="1"/>
  <c r="O367" i="12"/>
  <c r="P367" i="12" s="1"/>
  <c r="B381" i="13"/>
  <c r="J377" i="13"/>
  <c r="B389" i="13"/>
  <c r="J367" i="13"/>
  <c r="O364" i="12"/>
  <c r="P364" i="12" s="1"/>
  <c r="B399" i="13"/>
  <c r="B376" i="13"/>
  <c r="J371" i="13"/>
  <c r="O375" i="13"/>
  <c r="P375" i="13" s="1"/>
  <c r="K367" i="12"/>
  <c r="K367" i="13" s="1"/>
  <c r="O355" i="13"/>
  <c r="P355" i="13" s="1"/>
  <c r="FM190" i="6"/>
  <c r="FM191" i="6"/>
  <c r="GV189" i="6"/>
  <c r="EY189" i="6"/>
  <c r="GX189" i="6"/>
  <c r="EW190" i="6"/>
  <c r="GU189" i="6"/>
  <c r="EZ189" i="6"/>
  <c r="GY189" i="6"/>
  <c r="GW189" i="6"/>
  <c r="FZ192" i="6"/>
  <c r="GA192" i="6" s="1"/>
  <c r="BM197" i="5"/>
  <c r="BL197" i="5"/>
  <c r="FJ191" i="6"/>
  <c r="EK191" i="6"/>
  <c r="EP191" i="6"/>
  <c r="EO191" i="6"/>
  <c r="EQ191" i="6"/>
  <c r="FH192" i="6"/>
  <c r="FE192" i="6"/>
  <c r="FI192" i="6"/>
  <c r="FG192" i="6"/>
  <c r="FF192" i="6"/>
  <c r="FD192" i="6"/>
  <c r="FC192" i="6"/>
  <c r="FB192" i="6"/>
  <c r="EN191" i="6"/>
  <c r="EW191" i="6" s="1"/>
  <c r="BL198" i="5"/>
  <c r="BM198" i="5"/>
  <c r="ES190" i="6"/>
  <c r="EL191" i="6"/>
  <c r="ER191" i="6"/>
  <c r="BJ202" i="5"/>
  <c r="AX203" i="5"/>
  <c r="FR193" i="6"/>
  <c r="FT193" i="6" s="1"/>
  <c r="FY193" i="6"/>
  <c r="BG202" i="5"/>
  <c r="FL193" i="6"/>
  <c r="EX190" i="6"/>
  <c r="J397" i="12"/>
  <c r="C397" i="13"/>
  <c r="N419" i="12"/>
  <c r="L407" i="12"/>
  <c r="E379" i="13"/>
  <c r="N426" i="12"/>
  <c r="L414" i="12"/>
  <c r="I376" i="12"/>
  <c r="I376" i="13" s="1"/>
  <c r="I399" i="12"/>
  <c r="I399" i="13" s="1"/>
  <c r="K364" i="12"/>
  <c r="K364" i="13" s="1"/>
  <c r="N415" i="12"/>
  <c r="L403" i="12"/>
  <c r="D379" i="13"/>
  <c r="E392" i="13"/>
  <c r="N447" i="13"/>
  <c r="L435" i="13"/>
  <c r="F404" i="12"/>
  <c r="F404" i="13" s="1"/>
  <c r="E404" i="12"/>
  <c r="D404" i="12"/>
  <c r="C404" i="12"/>
  <c r="H404" i="12"/>
  <c r="H404" i="13" s="1"/>
  <c r="B404" i="12"/>
  <c r="J399" i="12"/>
  <c r="C399" i="13"/>
  <c r="N428" i="12"/>
  <c r="L416" i="12"/>
  <c r="D399" i="13"/>
  <c r="D386" i="13"/>
  <c r="D391" i="12"/>
  <c r="E391" i="12"/>
  <c r="C391" i="12"/>
  <c r="B391" i="12"/>
  <c r="H391" i="12"/>
  <c r="H391" i="13" s="1"/>
  <c r="G391" i="12"/>
  <c r="G391" i="13" s="1"/>
  <c r="F391" i="12"/>
  <c r="F391" i="13" s="1"/>
  <c r="O374" i="12"/>
  <c r="P374" i="12" s="1"/>
  <c r="E390" i="13"/>
  <c r="N422" i="12"/>
  <c r="L410" i="12"/>
  <c r="E397" i="13"/>
  <c r="E376" i="13"/>
  <c r="H409" i="12"/>
  <c r="H409" i="13" s="1"/>
  <c r="G409" i="12"/>
  <c r="G409" i="13" s="1"/>
  <c r="F409" i="12"/>
  <c r="F409" i="13" s="1"/>
  <c r="E409" i="12"/>
  <c r="D409" i="12"/>
  <c r="C409" i="12"/>
  <c r="B409" i="12"/>
  <c r="N457" i="13"/>
  <c r="L445" i="13"/>
  <c r="J392" i="12"/>
  <c r="C392" i="13"/>
  <c r="N425" i="12"/>
  <c r="L413" i="12"/>
  <c r="E389" i="13"/>
  <c r="D381" i="13"/>
  <c r="E399" i="13"/>
  <c r="L443" i="13"/>
  <c r="N455" i="13"/>
  <c r="L400" i="12"/>
  <c r="N412" i="12"/>
  <c r="B395" i="12"/>
  <c r="H395" i="12"/>
  <c r="H395" i="13" s="1"/>
  <c r="G395" i="12"/>
  <c r="G395" i="13" s="1"/>
  <c r="F395" i="12"/>
  <c r="F395" i="13" s="1"/>
  <c r="D395" i="12"/>
  <c r="E395" i="12"/>
  <c r="C395" i="12"/>
  <c r="L426" i="13"/>
  <c r="N438" i="13"/>
  <c r="E381" i="13"/>
  <c r="D411" i="12"/>
  <c r="C411" i="12"/>
  <c r="B411" i="12"/>
  <c r="E411" i="12"/>
  <c r="H411" i="12"/>
  <c r="H411" i="13" s="1"/>
  <c r="F411" i="12"/>
  <c r="F411" i="13" s="1"/>
  <c r="G411" i="12"/>
  <c r="G411" i="13" s="1"/>
  <c r="N456" i="13"/>
  <c r="L444" i="13"/>
  <c r="N449" i="13"/>
  <c r="L437" i="13"/>
  <c r="L436" i="13"/>
  <c r="N448" i="13"/>
  <c r="D376" i="13"/>
  <c r="D392" i="13"/>
  <c r="O369" i="12"/>
  <c r="P369" i="12" s="1"/>
  <c r="K374" i="12"/>
  <c r="K374" i="13" s="1"/>
  <c r="L405" i="12"/>
  <c r="N417" i="12"/>
  <c r="J381" i="12"/>
  <c r="C381" i="13"/>
  <c r="N435" i="12"/>
  <c r="L423" i="12"/>
  <c r="J386" i="12"/>
  <c r="C386" i="13"/>
  <c r="D389" i="13"/>
  <c r="D390" i="13"/>
  <c r="N442" i="13"/>
  <c r="L430" i="13"/>
  <c r="E386" i="13"/>
  <c r="L440" i="13"/>
  <c r="N452" i="13"/>
  <c r="C390" i="13"/>
  <c r="H398" i="12"/>
  <c r="H398" i="13" s="1"/>
  <c r="G398" i="12"/>
  <c r="G398" i="13" s="1"/>
  <c r="F398" i="12"/>
  <c r="F398" i="13" s="1"/>
  <c r="D398" i="12"/>
  <c r="C398" i="12"/>
  <c r="B398" i="12"/>
  <c r="E398" i="12"/>
  <c r="N439" i="13"/>
  <c r="L427" i="13"/>
  <c r="I381" i="12"/>
  <c r="I381" i="13" s="1"/>
  <c r="K387" i="12"/>
  <c r="K387" i="13" s="1"/>
  <c r="E388" i="12"/>
  <c r="C388" i="12"/>
  <c r="B388" i="12"/>
  <c r="G388" i="12"/>
  <c r="G388" i="13" s="1"/>
  <c r="F388" i="12"/>
  <c r="F388" i="13" s="1"/>
  <c r="D388" i="12"/>
  <c r="H388" i="12"/>
  <c r="H388" i="13" s="1"/>
  <c r="L429" i="13"/>
  <c r="N441" i="13"/>
  <c r="D397" i="13"/>
  <c r="O385" i="12"/>
  <c r="P385" i="12" s="1"/>
  <c r="I389" i="12"/>
  <c r="I389" i="13" s="1"/>
  <c r="I386" i="12"/>
  <c r="I386" i="13" s="1"/>
  <c r="J383" i="12"/>
  <c r="C383" i="13"/>
  <c r="K385" i="12"/>
  <c r="K385" i="13" s="1"/>
  <c r="N446" i="13"/>
  <c r="L434" i="13"/>
  <c r="E383" i="13"/>
  <c r="J379" i="12"/>
  <c r="C379" i="13"/>
  <c r="I397" i="12"/>
  <c r="I397" i="13" s="1"/>
  <c r="J376" i="12"/>
  <c r="C376" i="13"/>
  <c r="G402" i="12"/>
  <c r="G402" i="13" s="1"/>
  <c r="F402" i="12"/>
  <c r="F402" i="13" s="1"/>
  <c r="E402" i="12"/>
  <c r="D402" i="12"/>
  <c r="C402" i="12"/>
  <c r="H402" i="12"/>
  <c r="H402" i="13" s="1"/>
  <c r="I379" i="12"/>
  <c r="I379" i="13" s="1"/>
  <c r="H393" i="12"/>
  <c r="H393" i="13" s="1"/>
  <c r="G393" i="12"/>
  <c r="G393" i="13" s="1"/>
  <c r="F393" i="12"/>
  <c r="F393" i="13" s="1"/>
  <c r="E393" i="12"/>
  <c r="D393" i="12"/>
  <c r="C393" i="12"/>
  <c r="B393" i="12"/>
  <c r="L421" i="12"/>
  <c r="N433" i="12"/>
  <c r="H401" i="12"/>
  <c r="H401" i="13" s="1"/>
  <c r="B401" i="12"/>
  <c r="G401" i="12"/>
  <c r="G401" i="13" s="1"/>
  <c r="F401" i="12"/>
  <c r="F401" i="13" s="1"/>
  <c r="E401" i="12"/>
  <c r="D401" i="12"/>
  <c r="C401" i="12"/>
  <c r="I383" i="12"/>
  <c r="I383" i="13" s="1"/>
  <c r="J389" i="12"/>
  <c r="C389" i="13"/>
  <c r="D383" i="13"/>
  <c r="O358" i="13" l="1"/>
  <c r="P358" i="13" s="1"/>
  <c r="O354" i="13"/>
  <c r="P354" i="13" s="1"/>
  <c r="I366" i="13"/>
  <c r="K366" i="12"/>
  <c r="K366" i="13" s="1"/>
  <c r="O366" i="13" s="1"/>
  <c r="P366" i="13" s="1"/>
  <c r="O366" i="12"/>
  <c r="P366" i="12" s="1"/>
  <c r="J370" i="13"/>
  <c r="J366" i="13"/>
  <c r="B382" i="13"/>
  <c r="I378" i="12"/>
  <c r="B390" i="12"/>
  <c r="B378" i="13"/>
  <c r="J378" i="12"/>
  <c r="K370" i="12"/>
  <c r="K370" i="13" s="1"/>
  <c r="O370" i="13" s="1"/>
  <c r="P370" i="13" s="1"/>
  <c r="O371" i="13"/>
  <c r="P371" i="13" s="1"/>
  <c r="G380" i="13"/>
  <c r="G392" i="12"/>
  <c r="I380" i="12"/>
  <c r="I368" i="13"/>
  <c r="O368" i="12"/>
  <c r="P368" i="12" s="1"/>
  <c r="K368" i="12"/>
  <c r="K368" i="13" s="1"/>
  <c r="O368" i="13" s="1"/>
  <c r="P368" i="13" s="1"/>
  <c r="O374" i="13"/>
  <c r="P374" i="13" s="1"/>
  <c r="O377" i="13"/>
  <c r="P377" i="13" s="1"/>
  <c r="O370" i="12"/>
  <c r="P370" i="12" s="1"/>
  <c r="O385" i="13"/>
  <c r="P385" i="13" s="1"/>
  <c r="G394" i="12"/>
  <c r="G394" i="13" s="1"/>
  <c r="C394" i="12"/>
  <c r="F394" i="12"/>
  <c r="F394" i="13" s="1"/>
  <c r="D394" i="12"/>
  <c r="D394" i="13" s="1"/>
  <c r="H394" i="12"/>
  <c r="H394" i="13" s="1"/>
  <c r="E394" i="12"/>
  <c r="B394" i="12"/>
  <c r="N418" i="12"/>
  <c r="L406" i="12"/>
  <c r="C382" i="13"/>
  <c r="J382" i="12"/>
  <c r="I382" i="12"/>
  <c r="E382" i="13"/>
  <c r="O367" i="13"/>
  <c r="P367" i="13" s="1"/>
  <c r="O387" i="13"/>
  <c r="P387" i="13" s="1"/>
  <c r="I409" i="12"/>
  <c r="I409" i="13" s="1"/>
  <c r="O364" i="13"/>
  <c r="P364" i="13" s="1"/>
  <c r="O376" i="12"/>
  <c r="P376" i="12" s="1"/>
  <c r="K399" i="12"/>
  <c r="K399" i="13" s="1"/>
  <c r="J383" i="13"/>
  <c r="B398" i="13"/>
  <c r="J381" i="13"/>
  <c r="B411" i="13"/>
  <c r="O379" i="12"/>
  <c r="P379" i="12" s="1"/>
  <c r="J397" i="13"/>
  <c r="B404" i="13"/>
  <c r="B409" i="13"/>
  <c r="J386" i="13"/>
  <c r="I411" i="12"/>
  <c r="I411" i="13" s="1"/>
  <c r="B393" i="13"/>
  <c r="B388" i="13"/>
  <c r="O386" i="12"/>
  <c r="P386" i="12" s="1"/>
  <c r="J389" i="13"/>
  <c r="J376" i="13"/>
  <c r="O399" i="12"/>
  <c r="P399" i="12" s="1"/>
  <c r="J392" i="13"/>
  <c r="B401" i="13"/>
  <c r="B391" i="13"/>
  <c r="B395" i="13"/>
  <c r="J399" i="13"/>
  <c r="J379" i="13"/>
  <c r="K376" i="12"/>
  <c r="K376" i="13" s="1"/>
  <c r="EX191" i="6"/>
  <c r="EZ190" i="6"/>
  <c r="FJ192" i="6"/>
  <c r="EK192" i="6"/>
  <c r="EL192" i="6"/>
  <c r="EP192" i="6"/>
  <c r="FF193" i="6"/>
  <c r="FE193" i="6"/>
  <c r="FI193" i="6"/>
  <c r="FG193" i="6"/>
  <c r="FD193" i="6"/>
  <c r="FC193" i="6"/>
  <c r="FB193" i="6"/>
  <c r="FH193" i="6"/>
  <c r="FZ193" i="6"/>
  <c r="GA193" i="6" s="1"/>
  <c r="EY190" i="6"/>
  <c r="ET190" i="6"/>
  <c r="BK199" i="5"/>
  <c r="GX190" i="6"/>
  <c r="GY190" i="6"/>
  <c r="GT190" i="6"/>
  <c r="GZ190" i="6"/>
  <c r="GU190" i="6"/>
  <c r="GV190" i="6"/>
  <c r="EO192" i="6"/>
  <c r="EN192" i="6"/>
  <c r="BJ203" i="5"/>
  <c r="AX204" i="5"/>
  <c r="FR194" i="6"/>
  <c r="FT194" i="6" s="1"/>
  <c r="FY194" i="6"/>
  <c r="BG203" i="5"/>
  <c r="FL194" i="6"/>
  <c r="GW190" i="6"/>
  <c r="ER192" i="6"/>
  <c r="EM192" i="6"/>
  <c r="EQ192" i="6"/>
  <c r="ES191" i="6"/>
  <c r="HA190" i="6"/>
  <c r="N468" i="13"/>
  <c r="L456" i="13"/>
  <c r="D391" i="13"/>
  <c r="C402" i="13"/>
  <c r="J388" i="12"/>
  <c r="C388" i="13"/>
  <c r="E388" i="13"/>
  <c r="H400" i="12"/>
  <c r="H400" i="13" s="1"/>
  <c r="G400" i="12"/>
  <c r="G400" i="13" s="1"/>
  <c r="F400" i="12"/>
  <c r="F400" i="13" s="1"/>
  <c r="D400" i="12"/>
  <c r="C400" i="12"/>
  <c r="B400" i="12"/>
  <c r="E400" i="12"/>
  <c r="N447" i="12"/>
  <c r="L435" i="12"/>
  <c r="C416" i="12"/>
  <c r="D416" i="12"/>
  <c r="B416" i="12"/>
  <c r="H416" i="12"/>
  <c r="H416" i="13" s="1"/>
  <c r="E416" i="12"/>
  <c r="F416" i="12"/>
  <c r="F416" i="13" s="1"/>
  <c r="D395" i="13"/>
  <c r="E401" i="13"/>
  <c r="E402" i="13"/>
  <c r="I401" i="12"/>
  <c r="I401" i="13" s="1"/>
  <c r="N467" i="13"/>
  <c r="L455" i="13"/>
  <c r="N427" i="12"/>
  <c r="L415" i="12"/>
  <c r="N440" i="12"/>
  <c r="L428" i="12"/>
  <c r="K379" i="12"/>
  <c r="K379" i="13" s="1"/>
  <c r="D401" i="13"/>
  <c r="D402" i="13"/>
  <c r="L412" i="12"/>
  <c r="N424" i="12"/>
  <c r="H423" i="12"/>
  <c r="H423" i="13" s="1"/>
  <c r="G423" i="12"/>
  <c r="G423" i="13" s="1"/>
  <c r="F423" i="12"/>
  <c r="F423" i="13" s="1"/>
  <c r="E423" i="12"/>
  <c r="D423" i="12"/>
  <c r="C423" i="12"/>
  <c r="B423" i="12"/>
  <c r="I395" i="12"/>
  <c r="I395" i="13" s="1"/>
  <c r="H403" i="12"/>
  <c r="H403" i="13" s="1"/>
  <c r="G403" i="12"/>
  <c r="G403" i="13" s="1"/>
  <c r="F403" i="12"/>
  <c r="F403" i="13" s="1"/>
  <c r="E403" i="12"/>
  <c r="D403" i="12"/>
  <c r="C403" i="12"/>
  <c r="B403" i="12"/>
  <c r="O383" i="12"/>
  <c r="P383" i="12" s="1"/>
  <c r="N445" i="12"/>
  <c r="L433" i="12"/>
  <c r="H421" i="12"/>
  <c r="H421" i="13" s="1"/>
  <c r="G421" i="12"/>
  <c r="G421" i="13" s="1"/>
  <c r="F421" i="12"/>
  <c r="F421" i="13" s="1"/>
  <c r="E421" i="12"/>
  <c r="D421" i="12"/>
  <c r="C421" i="12"/>
  <c r="B421" i="12"/>
  <c r="D411" i="13"/>
  <c r="N437" i="12"/>
  <c r="L425" i="12"/>
  <c r="E404" i="13"/>
  <c r="N429" i="12"/>
  <c r="L417" i="12"/>
  <c r="O381" i="12"/>
  <c r="P381" i="12" s="1"/>
  <c r="J393" i="12"/>
  <c r="C393" i="13"/>
  <c r="E411" i="13"/>
  <c r="L422" i="12"/>
  <c r="N434" i="12"/>
  <c r="K389" i="12"/>
  <c r="K389" i="13" s="1"/>
  <c r="J411" i="12"/>
  <c r="C411" i="13"/>
  <c r="K386" i="12"/>
  <c r="K386" i="13" s="1"/>
  <c r="F405" i="12"/>
  <c r="F405" i="13" s="1"/>
  <c r="E405" i="12"/>
  <c r="D405" i="12"/>
  <c r="C405" i="12"/>
  <c r="B405" i="12"/>
  <c r="G405" i="12"/>
  <c r="G405" i="13" s="1"/>
  <c r="H405" i="12"/>
  <c r="H405" i="13" s="1"/>
  <c r="N451" i="13"/>
  <c r="L439" i="13"/>
  <c r="J404" i="12"/>
  <c r="C404" i="13"/>
  <c r="E393" i="13"/>
  <c r="D404" i="13"/>
  <c r="O397" i="12"/>
  <c r="P397" i="12" s="1"/>
  <c r="L446" i="13"/>
  <c r="N458" i="13"/>
  <c r="D398" i="13"/>
  <c r="N464" i="13"/>
  <c r="L452" i="13"/>
  <c r="E409" i="13"/>
  <c r="K397" i="12"/>
  <c r="K397" i="13" s="1"/>
  <c r="E410" i="12"/>
  <c r="H410" i="12"/>
  <c r="H410" i="13" s="1"/>
  <c r="G410" i="12"/>
  <c r="G410" i="13" s="1"/>
  <c r="F410" i="12"/>
  <c r="F410" i="13" s="1"/>
  <c r="D410" i="12"/>
  <c r="C410" i="12"/>
  <c r="B410" i="12"/>
  <c r="D393" i="13"/>
  <c r="K383" i="12"/>
  <c r="K383" i="13" s="1"/>
  <c r="E398" i="13"/>
  <c r="D413" i="12"/>
  <c r="E413" i="12"/>
  <c r="C413" i="12"/>
  <c r="B413" i="12"/>
  <c r="G413" i="12"/>
  <c r="G413" i="13" s="1"/>
  <c r="F413" i="12"/>
  <c r="F413" i="13" s="1"/>
  <c r="H413" i="12"/>
  <c r="H413" i="13" s="1"/>
  <c r="J398" i="12"/>
  <c r="C398" i="13"/>
  <c r="I393" i="12"/>
  <c r="I393" i="13" s="1"/>
  <c r="N453" i="13"/>
  <c r="L441" i="13"/>
  <c r="N454" i="13"/>
  <c r="L442" i="13"/>
  <c r="K381" i="12"/>
  <c r="K381" i="13" s="1"/>
  <c r="C414" i="12"/>
  <c r="E414" i="12"/>
  <c r="F414" i="12"/>
  <c r="F414" i="13" s="1"/>
  <c r="D414" i="12"/>
  <c r="G414" i="12"/>
  <c r="G414" i="13" s="1"/>
  <c r="H414" i="12"/>
  <c r="H414" i="13" s="1"/>
  <c r="L448" i="13"/>
  <c r="N460" i="13"/>
  <c r="N438" i="12"/>
  <c r="L426" i="12"/>
  <c r="F407" i="12"/>
  <c r="F407" i="13" s="1"/>
  <c r="D407" i="12"/>
  <c r="C407" i="12"/>
  <c r="B407" i="12"/>
  <c r="H407" i="12"/>
  <c r="H407" i="13" s="1"/>
  <c r="G407" i="12"/>
  <c r="G407" i="13" s="1"/>
  <c r="E407" i="12"/>
  <c r="I388" i="12"/>
  <c r="I388" i="13" s="1"/>
  <c r="N450" i="13"/>
  <c r="L438" i="13"/>
  <c r="N469" i="13"/>
  <c r="L457" i="13"/>
  <c r="N431" i="12"/>
  <c r="L419" i="12"/>
  <c r="O389" i="12"/>
  <c r="P389" i="12" s="1"/>
  <c r="N461" i="13"/>
  <c r="L449" i="13"/>
  <c r="J395" i="12"/>
  <c r="C395" i="13"/>
  <c r="J409" i="12"/>
  <c r="C409" i="13"/>
  <c r="E391" i="13"/>
  <c r="I398" i="12"/>
  <c r="I398" i="13" s="1"/>
  <c r="J391" i="12"/>
  <c r="C391" i="13"/>
  <c r="N459" i="13"/>
  <c r="L447" i="13"/>
  <c r="D388" i="13"/>
  <c r="J401" i="12"/>
  <c r="C401" i="13"/>
  <c r="E395" i="13"/>
  <c r="D409" i="13"/>
  <c r="I391" i="12"/>
  <c r="I391" i="13" s="1"/>
  <c r="B394" i="13" l="1"/>
  <c r="B402" i="12"/>
  <c r="J390" i="12"/>
  <c r="I390" i="12"/>
  <c r="B390" i="13"/>
  <c r="J378" i="13"/>
  <c r="O409" i="12"/>
  <c r="P409" i="12" s="1"/>
  <c r="J382" i="13"/>
  <c r="I378" i="13"/>
  <c r="K378" i="12"/>
  <c r="K378" i="13" s="1"/>
  <c r="O378" i="12"/>
  <c r="P378" i="12" s="1"/>
  <c r="I380" i="13"/>
  <c r="O380" i="12"/>
  <c r="P380" i="12" s="1"/>
  <c r="K380" i="12"/>
  <c r="K380" i="13" s="1"/>
  <c r="O380" i="13" s="1"/>
  <c r="P380" i="13" s="1"/>
  <c r="G392" i="13"/>
  <c r="I392" i="12"/>
  <c r="O392" i="12" s="1"/>
  <c r="P392" i="12" s="1"/>
  <c r="G404" i="12"/>
  <c r="K411" i="12"/>
  <c r="K411" i="13" s="1"/>
  <c r="I382" i="13"/>
  <c r="K382" i="12"/>
  <c r="K382" i="13" s="1"/>
  <c r="O382" i="12"/>
  <c r="P382" i="12" s="1"/>
  <c r="E406" i="12"/>
  <c r="D406" i="12"/>
  <c r="H406" i="12"/>
  <c r="H406" i="13" s="1"/>
  <c r="F406" i="12"/>
  <c r="F406" i="13" s="1"/>
  <c r="C406" i="12"/>
  <c r="G406" i="12"/>
  <c r="G406" i="13" s="1"/>
  <c r="B406" i="12"/>
  <c r="EZ191" i="6"/>
  <c r="N430" i="12"/>
  <c r="L418" i="12"/>
  <c r="I394" i="12"/>
  <c r="E394" i="13"/>
  <c r="J394" i="12"/>
  <c r="C394" i="13"/>
  <c r="O389" i="13"/>
  <c r="P389" i="13" s="1"/>
  <c r="O399" i="13"/>
  <c r="P399" i="13" s="1"/>
  <c r="I421" i="12"/>
  <c r="I421" i="13" s="1"/>
  <c r="K409" i="12"/>
  <c r="K409" i="13" s="1"/>
  <c r="K391" i="12"/>
  <c r="K391" i="13" s="1"/>
  <c r="K401" i="12"/>
  <c r="K401" i="13" s="1"/>
  <c r="K393" i="12"/>
  <c r="K393" i="13" s="1"/>
  <c r="O397" i="13"/>
  <c r="P397" i="13" s="1"/>
  <c r="O376" i="13"/>
  <c r="P376" i="13" s="1"/>
  <c r="J409" i="13"/>
  <c r="B413" i="13"/>
  <c r="O379" i="13"/>
  <c r="P379" i="13" s="1"/>
  <c r="B421" i="13"/>
  <c r="O391" i="12"/>
  <c r="P391" i="12" s="1"/>
  <c r="J393" i="13"/>
  <c r="B403" i="13"/>
  <c r="I410" i="12"/>
  <c r="I410" i="13" s="1"/>
  <c r="O383" i="13"/>
  <c r="P383" i="13" s="1"/>
  <c r="J398" i="13"/>
  <c r="J388" i="13"/>
  <c r="J401" i="13"/>
  <c r="O386" i="13"/>
  <c r="P386" i="13" s="1"/>
  <c r="O411" i="12"/>
  <c r="P411" i="12" s="1"/>
  <c r="O393" i="12"/>
  <c r="P393" i="12" s="1"/>
  <c r="J411" i="13"/>
  <c r="J391" i="13"/>
  <c r="B407" i="13"/>
  <c r="B405" i="13"/>
  <c r="B416" i="13"/>
  <c r="B410" i="13"/>
  <c r="J395" i="13"/>
  <c r="O381" i="13"/>
  <c r="P381" i="13" s="1"/>
  <c r="J404" i="13"/>
  <c r="B423" i="13"/>
  <c r="B400" i="13"/>
  <c r="FM192" i="6"/>
  <c r="EY191" i="6"/>
  <c r="GV191" i="6"/>
  <c r="EX192" i="6"/>
  <c r="EN193" i="6"/>
  <c r="BL199" i="5"/>
  <c r="BM199" i="5"/>
  <c r="EO193" i="6"/>
  <c r="EK193" i="6"/>
  <c r="FJ193" i="6"/>
  <c r="EL193" i="6"/>
  <c r="EP193" i="6"/>
  <c r="EQ193" i="6"/>
  <c r="BJ204" i="5"/>
  <c r="AX205" i="5"/>
  <c r="FR195" i="6"/>
  <c r="FT195" i="6" s="1"/>
  <c r="BG204" i="5"/>
  <c r="FY195" i="6"/>
  <c r="FL195" i="6"/>
  <c r="FZ194" i="6"/>
  <c r="GA194" i="6" s="1"/>
  <c r="ES192" i="6"/>
  <c r="GT192" i="6" s="1"/>
  <c r="EW192" i="6"/>
  <c r="FI194" i="6"/>
  <c r="FF194" i="6"/>
  <c r="FH194" i="6"/>
  <c r="FG194" i="6"/>
  <c r="FC194" i="6"/>
  <c r="FB194" i="6"/>
  <c r="FE194" i="6"/>
  <c r="FD194" i="6"/>
  <c r="EM193" i="6"/>
  <c r="ER193" i="6"/>
  <c r="ET191" i="6"/>
  <c r="BK200" i="5"/>
  <c r="GW191" i="6"/>
  <c r="GT191" i="6"/>
  <c r="GY191" i="6"/>
  <c r="GX191" i="6"/>
  <c r="GZ191" i="6"/>
  <c r="GU191" i="6"/>
  <c r="HA191" i="6"/>
  <c r="E405" i="13"/>
  <c r="E403" i="13"/>
  <c r="E414" i="13"/>
  <c r="O395" i="12"/>
  <c r="P395" i="12" s="1"/>
  <c r="J400" i="12"/>
  <c r="C400" i="13"/>
  <c r="D413" i="13"/>
  <c r="J421" i="12"/>
  <c r="C421" i="13"/>
  <c r="D414" i="13"/>
  <c r="H425" i="12"/>
  <c r="H425" i="13" s="1"/>
  <c r="F425" i="12"/>
  <c r="F425" i="13" s="1"/>
  <c r="G425" i="12"/>
  <c r="G425" i="13" s="1"/>
  <c r="E425" i="12"/>
  <c r="D425" i="12"/>
  <c r="C425" i="12"/>
  <c r="B425" i="12"/>
  <c r="D421" i="13"/>
  <c r="E400" i="13"/>
  <c r="N449" i="12"/>
  <c r="L437" i="12"/>
  <c r="K421" i="12"/>
  <c r="K421" i="13" s="1"/>
  <c r="E421" i="13"/>
  <c r="L461" i="13"/>
  <c r="N473" i="13"/>
  <c r="D400" i="13"/>
  <c r="J403" i="12"/>
  <c r="C403" i="13"/>
  <c r="D403" i="13"/>
  <c r="K398" i="12"/>
  <c r="K398" i="13" s="1"/>
  <c r="N476" i="13"/>
  <c r="L464" i="13"/>
  <c r="I403" i="12"/>
  <c r="I403" i="13" s="1"/>
  <c r="E416" i="13"/>
  <c r="D433" i="12"/>
  <c r="C433" i="12"/>
  <c r="B433" i="12"/>
  <c r="H433" i="12"/>
  <c r="H433" i="13" s="1"/>
  <c r="G433" i="12"/>
  <c r="G433" i="13" s="1"/>
  <c r="E433" i="12"/>
  <c r="F433" i="12"/>
  <c r="F433" i="13" s="1"/>
  <c r="J410" i="12"/>
  <c r="C410" i="13"/>
  <c r="N457" i="12"/>
  <c r="L445" i="12"/>
  <c r="D410" i="13"/>
  <c r="N446" i="12"/>
  <c r="L434" i="12"/>
  <c r="E407" i="13"/>
  <c r="G422" i="12"/>
  <c r="G422" i="13" s="1"/>
  <c r="H422" i="12"/>
  <c r="H422" i="13" s="1"/>
  <c r="F422" i="12"/>
  <c r="F422" i="13" s="1"/>
  <c r="E422" i="12"/>
  <c r="D422" i="12"/>
  <c r="C422" i="12"/>
  <c r="B422" i="12"/>
  <c r="L440" i="12"/>
  <c r="N452" i="12"/>
  <c r="J416" i="12"/>
  <c r="C416" i="13"/>
  <c r="O388" i="12"/>
  <c r="P388" i="12" s="1"/>
  <c r="L453" i="13"/>
  <c r="N465" i="13"/>
  <c r="N472" i="13"/>
  <c r="L460" i="13"/>
  <c r="N466" i="13"/>
  <c r="L454" i="13"/>
  <c r="D423" i="13"/>
  <c r="E423" i="13"/>
  <c r="H428" i="12"/>
  <c r="H428" i="13" s="1"/>
  <c r="E428" i="12"/>
  <c r="D428" i="12"/>
  <c r="C428" i="12"/>
  <c r="B428" i="12"/>
  <c r="F428" i="12"/>
  <c r="F428" i="13" s="1"/>
  <c r="K388" i="12"/>
  <c r="K388" i="13" s="1"/>
  <c r="E410" i="13"/>
  <c r="I423" i="12"/>
  <c r="I423" i="13" s="1"/>
  <c r="H415" i="12"/>
  <c r="H415" i="13" s="1"/>
  <c r="G415" i="12"/>
  <c r="G415" i="13" s="1"/>
  <c r="F415" i="12"/>
  <c r="F415" i="13" s="1"/>
  <c r="E415" i="12"/>
  <c r="C415" i="12"/>
  <c r="B415" i="12"/>
  <c r="D415" i="12"/>
  <c r="D435" i="12"/>
  <c r="G435" i="12"/>
  <c r="G435" i="13" s="1"/>
  <c r="F435" i="12"/>
  <c r="F435" i="13" s="1"/>
  <c r="E435" i="12"/>
  <c r="C435" i="12"/>
  <c r="H435" i="12"/>
  <c r="H435" i="13" s="1"/>
  <c r="B435" i="12"/>
  <c r="E413" i="13"/>
  <c r="N443" i="12"/>
  <c r="L431" i="12"/>
  <c r="J423" i="12"/>
  <c r="C423" i="13"/>
  <c r="O401" i="12"/>
  <c r="P401" i="12" s="1"/>
  <c r="I400" i="12"/>
  <c r="I400" i="13" s="1"/>
  <c r="D416" i="13"/>
  <c r="I407" i="12"/>
  <c r="I407" i="13" s="1"/>
  <c r="L451" i="13"/>
  <c r="N463" i="13"/>
  <c r="N439" i="12"/>
  <c r="L427" i="12"/>
  <c r="N459" i="12"/>
  <c r="L447" i="12"/>
  <c r="I405" i="12"/>
  <c r="I405" i="13" s="1"/>
  <c r="L424" i="12"/>
  <c r="N436" i="12"/>
  <c r="J413" i="12"/>
  <c r="C413" i="13"/>
  <c r="H412" i="12"/>
  <c r="H412" i="13" s="1"/>
  <c r="G412" i="12"/>
  <c r="G412" i="13" s="1"/>
  <c r="F412" i="12"/>
  <c r="F412" i="13" s="1"/>
  <c r="E412" i="12"/>
  <c r="D412" i="12"/>
  <c r="C412" i="12"/>
  <c r="B412" i="12"/>
  <c r="L467" i="13"/>
  <c r="N479" i="13"/>
  <c r="D407" i="13"/>
  <c r="N450" i="12"/>
  <c r="L438" i="12"/>
  <c r="D405" i="13"/>
  <c r="C414" i="13"/>
  <c r="N471" i="13"/>
  <c r="L459" i="13"/>
  <c r="I413" i="12"/>
  <c r="I413" i="13" s="1"/>
  <c r="O398" i="12"/>
  <c r="P398" i="12" s="1"/>
  <c r="K395" i="12"/>
  <c r="K395" i="13" s="1"/>
  <c r="L469" i="13"/>
  <c r="N481" i="13"/>
  <c r="B417" i="12"/>
  <c r="G417" i="12"/>
  <c r="G417" i="13" s="1"/>
  <c r="F417" i="12"/>
  <c r="F417" i="13" s="1"/>
  <c r="E417" i="12"/>
  <c r="D417" i="12"/>
  <c r="H417" i="12"/>
  <c r="H417" i="13" s="1"/>
  <c r="C417" i="12"/>
  <c r="N480" i="13"/>
  <c r="L468" i="13"/>
  <c r="L450" i="13"/>
  <c r="N462" i="13"/>
  <c r="H419" i="12"/>
  <c r="H419" i="13" s="1"/>
  <c r="B419" i="12"/>
  <c r="G419" i="12"/>
  <c r="G419" i="13" s="1"/>
  <c r="F419" i="12"/>
  <c r="F419" i="13" s="1"/>
  <c r="E419" i="12"/>
  <c r="D419" i="12"/>
  <c r="C419" i="12"/>
  <c r="J407" i="12"/>
  <c r="C407" i="13"/>
  <c r="N470" i="13"/>
  <c r="L458" i="13"/>
  <c r="G426" i="12"/>
  <c r="G426" i="13" s="1"/>
  <c r="H426" i="12"/>
  <c r="H426" i="13" s="1"/>
  <c r="F426" i="12"/>
  <c r="F426" i="13" s="1"/>
  <c r="E426" i="12"/>
  <c r="C426" i="12"/>
  <c r="D426" i="12"/>
  <c r="J405" i="12"/>
  <c r="C405" i="13"/>
  <c r="N441" i="12"/>
  <c r="L429" i="12"/>
  <c r="B406" i="13" l="1"/>
  <c r="O378" i="13"/>
  <c r="P378" i="13" s="1"/>
  <c r="J402" i="12"/>
  <c r="B414" i="12"/>
  <c r="B402" i="13"/>
  <c r="I402" i="12"/>
  <c r="O382" i="13"/>
  <c r="P382" i="13" s="1"/>
  <c r="I390" i="13"/>
  <c r="K390" i="12"/>
  <c r="K390" i="13" s="1"/>
  <c r="O390" i="13" s="1"/>
  <c r="P390" i="13" s="1"/>
  <c r="O390" i="12"/>
  <c r="P390" i="12" s="1"/>
  <c r="J394" i="13"/>
  <c r="J390" i="13"/>
  <c r="O411" i="13"/>
  <c r="P411" i="13" s="1"/>
  <c r="G404" i="13"/>
  <c r="G416" i="12"/>
  <c r="I404" i="12"/>
  <c r="I392" i="13"/>
  <c r="K392" i="12"/>
  <c r="K392" i="13" s="1"/>
  <c r="O392" i="13" s="1"/>
  <c r="P392" i="13" s="1"/>
  <c r="O421" i="12"/>
  <c r="P421" i="12" s="1"/>
  <c r="O409" i="13"/>
  <c r="P409" i="13" s="1"/>
  <c r="O388" i="13"/>
  <c r="P388" i="13" s="1"/>
  <c r="K410" i="12"/>
  <c r="K410" i="13" s="1"/>
  <c r="I394" i="13"/>
  <c r="K394" i="12"/>
  <c r="K394" i="13" s="1"/>
  <c r="O394" i="13" s="1"/>
  <c r="P394" i="13" s="1"/>
  <c r="O394" i="12"/>
  <c r="P394" i="12" s="1"/>
  <c r="G418" i="12"/>
  <c r="G418" i="13" s="1"/>
  <c r="H418" i="12"/>
  <c r="H418" i="13" s="1"/>
  <c r="F418" i="12"/>
  <c r="F418" i="13" s="1"/>
  <c r="E418" i="12"/>
  <c r="D418" i="12"/>
  <c r="D418" i="13" s="1"/>
  <c r="C418" i="12"/>
  <c r="B418" i="12"/>
  <c r="N442" i="12"/>
  <c r="L430" i="12"/>
  <c r="J406" i="12"/>
  <c r="C406" i="13"/>
  <c r="D406" i="13"/>
  <c r="I406" i="12"/>
  <c r="I406" i="13" s="1"/>
  <c r="E406" i="13"/>
  <c r="EY192" i="6"/>
  <c r="O391" i="13"/>
  <c r="P391" i="13" s="1"/>
  <c r="O393" i="13"/>
  <c r="P393" i="13" s="1"/>
  <c r="O395" i="13"/>
  <c r="P395" i="13" s="1"/>
  <c r="O401" i="13"/>
  <c r="P401" i="13" s="1"/>
  <c r="J421" i="13"/>
  <c r="O421" i="13" s="1"/>
  <c r="P421" i="13" s="1"/>
  <c r="J410" i="13"/>
  <c r="B435" i="13"/>
  <c r="J413" i="13"/>
  <c r="I417" i="12"/>
  <c r="I417" i="13" s="1"/>
  <c r="B425" i="13"/>
  <c r="J400" i="13"/>
  <c r="B422" i="13"/>
  <c r="K400" i="12"/>
  <c r="K400" i="13" s="1"/>
  <c r="K413" i="12"/>
  <c r="K413" i="13" s="1"/>
  <c r="O398" i="13"/>
  <c r="P398" i="13" s="1"/>
  <c r="B412" i="13"/>
  <c r="I422" i="12"/>
  <c r="I422" i="13" s="1"/>
  <c r="J416" i="13"/>
  <c r="J423" i="13"/>
  <c r="J405" i="13"/>
  <c r="B417" i="13"/>
  <c r="O423" i="12"/>
  <c r="P423" i="12" s="1"/>
  <c r="B419" i="13"/>
  <c r="B415" i="13"/>
  <c r="O410" i="12"/>
  <c r="P410" i="12" s="1"/>
  <c r="O403" i="12"/>
  <c r="P403" i="12" s="1"/>
  <c r="B433" i="13"/>
  <c r="B428" i="13"/>
  <c r="J407" i="13"/>
  <c r="J403" i="13"/>
  <c r="FM193" i="6"/>
  <c r="GZ192" i="6"/>
  <c r="EZ192" i="6"/>
  <c r="ES193" i="6"/>
  <c r="EQ194" i="6"/>
  <c r="FG195" i="6"/>
  <c r="FF195" i="6"/>
  <c r="FE195" i="6"/>
  <c r="FB195" i="6"/>
  <c r="FD195" i="6"/>
  <c r="FC195" i="6"/>
  <c r="FI195" i="6"/>
  <c r="FH195" i="6"/>
  <c r="EQ195" i="6" s="1"/>
  <c r="BH204" i="5"/>
  <c r="FZ195" i="6"/>
  <c r="GA195" i="6" s="1"/>
  <c r="EX193" i="6"/>
  <c r="ET192" i="6"/>
  <c r="BK201" i="5"/>
  <c r="GU192" i="6"/>
  <c r="GV192" i="6"/>
  <c r="GY192" i="6"/>
  <c r="HA192" i="6"/>
  <c r="EN194" i="6"/>
  <c r="EL194" i="6"/>
  <c r="ER194" i="6"/>
  <c r="EW193" i="6"/>
  <c r="BM200" i="5"/>
  <c r="BL200" i="5"/>
  <c r="EO194" i="6"/>
  <c r="GX192" i="6"/>
  <c r="FR196" i="6"/>
  <c r="FT196" i="6" s="1"/>
  <c r="AX206" i="5"/>
  <c r="BJ205" i="5"/>
  <c r="FY196" i="6"/>
  <c r="BG205" i="5"/>
  <c r="FL196" i="6"/>
  <c r="EM194" i="6"/>
  <c r="FJ194" i="6"/>
  <c r="EK194" i="6"/>
  <c r="EP194" i="6"/>
  <c r="GW192" i="6"/>
  <c r="N475" i="13"/>
  <c r="L463" i="13"/>
  <c r="D422" i="13"/>
  <c r="L479" i="13"/>
  <c r="N491" i="13"/>
  <c r="L491" i="13" s="1"/>
  <c r="G424" i="12"/>
  <c r="G424" i="13" s="1"/>
  <c r="F424" i="12"/>
  <c r="F424" i="13" s="1"/>
  <c r="E424" i="12"/>
  <c r="D424" i="12"/>
  <c r="C424" i="12"/>
  <c r="B424" i="12"/>
  <c r="H424" i="12"/>
  <c r="H424" i="13" s="1"/>
  <c r="J412" i="12"/>
  <c r="C412" i="13"/>
  <c r="E419" i="13"/>
  <c r="D412" i="13"/>
  <c r="E433" i="13"/>
  <c r="J425" i="12"/>
  <c r="C425" i="13"/>
  <c r="N493" i="13"/>
  <c r="L493" i="13" s="1"/>
  <c r="L481" i="13"/>
  <c r="J419" i="12"/>
  <c r="C419" i="13"/>
  <c r="N448" i="12"/>
  <c r="L436" i="12"/>
  <c r="D425" i="13"/>
  <c r="L480" i="13"/>
  <c r="N492" i="13"/>
  <c r="L492" i="13" s="1"/>
  <c r="J435" i="12"/>
  <c r="C435" i="13"/>
  <c r="E435" i="13"/>
  <c r="E417" i="13"/>
  <c r="L471" i="13"/>
  <c r="N483" i="13"/>
  <c r="L483" i="13" s="1"/>
  <c r="D415" i="13"/>
  <c r="N458" i="12"/>
  <c r="L446" i="12"/>
  <c r="I433" i="12"/>
  <c r="I433" i="13" s="1"/>
  <c r="J428" i="12"/>
  <c r="C428" i="13"/>
  <c r="L472" i="13"/>
  <c r="N484" i="13"/>
  <c r="L484" i="13" s="1"/>
  <c r="E412" i="13"/>
  <c r="D417" i="13"/>
  <c r="I412" i="12"/>
  <c r="I412" i="13" s="1"/>
  <c r="J415" i="12"/>
  <c r="C415" i="13"/>
  <c r="J433" i="12"/>
  <c r="C433" i="13"/>
  <c r="E415" i="13"/>
  <c r="D435" i="13"/>
  <c r="H434" i="12"/>
  <c r="H434" i="13" s="1"/>
  <c r="G434" i="12"/>
  <c r="G434" i="13" s="1"/>
  <c r="F434" i="12"/>
  <c r="F434" i="13" s="1"/>
  <c r="E434" i="12"/>
  <c r="C434" i="12"/>
  <c r="D434" i="12"/>
  <c r="B434" i="12"/>
  <c r="D428" i="13"/>
  <c r="E428" i="13"/>
  <c r="O405" i="12"/>
  <c r="P405" i="12" s="1"/>
  <c r="C438" i="12"/>
  <c r="F438" i="12"/>
  <c r="F438" i="13" s="1"/>
  <c r="E438" i="12"/>
  <c r="D438" i="12"/>
  <c r="H438" i="12"/>
  <c r="H438" i="13" s="1"/>
  <c r="G438" i="12"/>
  <c r="G438" i="13" s="1"/>
  <c r="O400" i="12"/>
  <c r="P400" i="12" s="1"/>
  <c r="E422" i="13"/>
  <c r="D419" i="13"/>
  <c r="E425" i="13"/>
  <c r="I425" i="12"/>
  <c r="I425" i="13" s="1"/>
  <c r="L473" i="13"/>
  <c r="N485" i="13"/>
  <c r="L485" i="13" s="1"/>
  <c r="N469" i="12"/>
  <c r="L457" i="12"/>
  <c r="I435" i="12"/>
  <c r="I435" i="13" s="1"/>
  <c r="D433" i="13"/>
  <c r="O407" i="12"/>
  <c r="P407" i="12" s="1"/>
  <c r="L450" i="12"/>
  <c r="N462" i="12"/>
  <c r="I415" i="12"/>
  <c r="I415" i="13" s="1"/>
  <c r="I419" i="12"/>
  <c r="I419" i="13" s="1"/>
  <c r="J417" i="12"/>
  <c r="C417" i="13"/>
  <c r="L465" i="13"/>
  <c r="N477" i="13"/>
  <c r="F429" i="12"/>
  <c r="F429" i="13" s="1"/>
  <c r="H429" i="12"/>
  <c r="H429" i="13" s="1"/>
  <c r="G429" i="12"/>
  <c r="G429" i="13" s="1"/>
  <c r="E429" i="12"/>
  <c r="D429" i="12"/>
  <c r="C429" i="12"/>
  <c r="B429" i="12"/>
  <c r="N453" i="12"/>
  <c r="L441" i="12"/>
  <c r="K423" i="12"/>
  <c r="K423" i="13" s="1"/>
  <c r="K403" i="12"/>
  <c r="K403" i="13" s="1"/>
  <c r="E426" i="13"/>
  <c r="K407" i="12"/>
  <c r="K407" i="13" s="1"/>
  <c r="L470" i="13"/>
  <c r="N482" i="13"/>
  <c r="H447" i="12"/>
  <c r="H447" i="13" s="1"/>
  <c r="F447" i="12"/>
  <c r="F447" i="13" s="1"/>
  <c r="E447" i="12"/>
  <c r="D447" i="12"/>
  <c r="C447" i="12"/>
  <c r="B447" i="12"/>
  <c r="G447" i="12"/>
  <c r="G447" i="13" s="1"/>
  <c r="N464" i="12"/>
  <c r="L452" i="12"/>
  <c r="N488" i="13"/>
  <c r="L488" i="13" s="1"/>
  <c r="L476" i="13"/>
  <c r="H445" i="12"/>
  <c r="H445" i="13" s="1"/>
  <c r="G445" i="12"/>
  <c r="G445" i="13" s="1"/>
  <c r="F445" i="12"/>
  <c r="F445" i="13" s="1"/>
  <c r="E445" i="12"/>
  <c r="C445" i="12"/>
  <c r="B445" i="12"/>
  <c r="D445" i="12"/>
  <c r="C426" i="13"/>
  <c r="H431" i="12"/>
  <c r="H431" i="13" s="1"/>
  <c r="G431" i="12"/>
  <c r="G431" i="13" s="1"/>
  <c r="F431" i="12"/>
  <c r="F431" i="13" s="1"/>
  <c r="D431" i="12"/>
  <c r="B431" i="12"/>
  <c r="C431" i="12"/>
  <c r="E431" i="12"/>
  <c r="N474" i="13"/>
  <c r="L462" i="13"/>
  <c r="N471" i="12"/>
  <c r="L459" i="12"/>
  <c r="N455" i="12"/>
  <c r="L443" i="12"/>
  <c r="H440" i="12"/>
  <c r="H440" i="13" s="1"/>
  <c r="F440" i="12"/>
  <c r="F440" i="13" s="1"/>
  <c r="E440" i="12"/>
  <c r="D440" i="12"/>
  <c r="C440" i="12"/>
  <c r="B440" i="12"/>
  <c r="O413" i="12"/>
  <c r="P413" i="12" s="1"/>
  <c r="F427" i="12"/>
  <c r="F427" i="13" s="1"/>
  <c r="E427" i="12"/>
  <c r="D427" i="12"/>
  <c r="C427" i="12"/>
  <c r="B427" i="12"/>
  <c r="H427" i="12"/>
  <c r="H427" i="13" s="1"/>
  <c r="G427" i="12"/>
  <c r="G427" i="13" s="1"/>
  <c r="H437" i="12"/>
  <c r="H437" i="13" s="1"/>
  <c r="G437" i="12"/>
  <c r="G437" i="13" s="1"/>
  <c r="F437" i="12"/>
  <c r="F437" i="13" s="1"/>
  <c r="E437" i="12"/>
  <c r="D437" i="12"/>
  <c r="B437" i="12"/>
  <c r="C437" i="12"/>
  <c r="K405" i="12"/>
  <c r="K405" i="13" s="1"/>
  <c r="D426" i="13"/>
  <c r="N451" i="12"/>
  <c r="L439" i="12"/>
  <c r="L466" i="13"/>
  <c r="N478" i="13"/>
  <c r="J422" i="12"/>
  <c r="C422" i="13"/>
  <c r="N461" i="12"/>
  <c r="L449" i="12"/>
  <c r="O423" i="13" l="1"/>
  <c r="P423" i="13" s="1"/>
  <c r="J406" i="13"/>
  <c r="B418" i="13"/>
  <c r="J402" i="13"/>
  <c r="B426" i="12"/>
  <c r="J414" i="12"/>
  <c r="I414" i="12"/>
  <c r="B414" i="13"/>
  <c r="I402" i="13"/>
  <c r="K402" i="12"/>
  <c r="K402" i="13" s="1"/>
  <c r="O402" i="12"/>
  <c r="P402" i="12" s="1"/>
  <c r="O410" i="13"/>
  <c r="P410" i="13" s="1"/>
  <c r="I404" i="13"/>
  <c r="K404" i="12"/>
  <c r="K404" i="13" s="1"/>
  <c r="O404" i="13" s="1"/>
  <c r="P404" i="13" s="1"/>
  <c r="O404" i="12"/>
  <c r="P404" i="12" s="1"/>
  <c r="G416" i="13"/>
  <c r="G428" i="12"/>
  <c r="I416" i="12"/>
  <c r="EY193" i="6"/>
  <c r="O406" i="12"/>
  <c r="P406" i="12" s="1"/>
  <c r="K406" i="12"/>
  <c r="K406" i="13" s="1"/>
  <c r="D430" i="12"/>
  <c r="D430" i="13" s="1"/>
  <c r="C430" i="12"/>
  <c r="B430" i="12"/>
  <c r="H430" i="12"/>
  <c r="H430" i="13" s="1"/>
  <c r="G430" i="12"/>
  <c r="G430" i="13" s="1"/>
  <c r="F430" i="12"/>
  <c r="F430" i="13" s="1"/>
  <c r="E430" i="12"/>
  <c r="L442" i="12"/>
  <c r="N454" i="12"/>
  <c r="J418" i="12"/>
  <c r="C418" i="13"/>
  <c r="E418" i="13"/>
  <c r="I418" i="12"/>
  <c r="I418" i="13" s="1"/>
  <c r="O422" i="12"/>
  <c r="P422" i="12" s="1"/>
  <c r="O407" i="13"/>
  <c r="P407" i="13" s="1"/>
  <c r="O400" i="13"/>
  <c r="P400" i="13" s="1"/>
  <c r="K417" i="12"/>
  <c r="K417" i="13" s="1"/>
  <c r="K433" i="12"/>
  <c r="K433" i="13" s="1"/>
  <c r="O413" i="13"/>
  <c r="P413" i="13" s="1"/>
  <c r="I429" i="12"/>
  <c r="I429" i="13" s="1"/>
  <c r="O417" i="12"/>
  <c r="P417" i="12" s="1"/>
  <c r="O419" i="12"/>
  <c r="P419" i="12" s="1"/>
  <c r="K419" i="12"/>
  <c r="K419" i="13" s="1"/>
  <c r="B431" i="13"/>
  <c r="J435" i="13"/>
  <c r="J428" i="13"/>
  <c r="J422" i="13"/>
  <c r="B424" i="13"/>
  <c r="B447" i="13"/>
  <c r="B440" i="13"/>
  <c r="B445" i="13"/>
  <c r="K425" i="12"/>
  <c r="K425" i="13" s="1"/>
  <c r="B437" i="13"/>
  <c r="B427" i="13"/>
  <c r="J433" i="13"/>
  <c r="O405" i="13"/>
  <c r="P405" i="13" s="1"/>
  <c r="B434" i="13"/>
  <c r="O403" i="13"/>
  <c r="P403" i="13" s="1"/>
  <c r="J415" i="13"/>
  <c r="J425" i="13"/>
  <c r="J417" i="13"/>
  <c r="J412" i="13"/>
  <c r="I445" i="12"/>
  <c r="I445" i="13" s="1"/>
  <c r="I424" i="12"/>
  <c r="I424" i="13" s="1"/>
  <c r="B429" i="13"/>
  <c r="O433" i="12"/>
  <c r="P433" i="12" s="1"/>
  <c r="K422" i="12"/>
  <c r="K422" i="13" s="1"/>
  <c r="J419" i="13"/>
  <c r="FM194" i="6"/>
  <c r="EZ193" i="6"/>
  <c r="BM201" i="5"/>
  <c r="BL201" i="5"/>
  <c r="FC196" i="6"/>
  <c r="FI196" i="6"/>
  <c r="FH196" i="6"/>
  <c r="FF196" i="6"/>
  <c r="FE196" i="6"/>
  <c r="FG196" i="6"/>
  <c r="FD196" i="6"/>
  <c r="FB196" i="6"/>
  <c r="FJ195" i="6"/>
  <c r="EK195" i="6"/>
  <c r="FZ196" i="6"/>
  <c r="GA196" i="6" s="1"/>
  <c r="ER195" i="6"/>
  <c r="EO195" i="6"/>
  <c r="EP195" i="6"/>
  <c r="EL195" i="6"/>
  <c r="EN195" i="6"/>
  <c r="EX194" i="6"/>
  <c r="ET193" i="6"/>
  <c r="BK202" i="5"/>
  <c r="GY193" i="6"/>
  <c r="GZ193" i="6"/>
  <c r="GX193" i="6"/>
  <c r="GU193" i="6"/>
  <c r="GV193" i="6"/>
  <c r="HA193" i="6"/>
  <c r="AX207" i="5"/>
  <c r="BJ206" i="5"/>
  <c r="FR197" i="6"/>
  <c r="FT197" i="6" s="1"/>
  <c r="FY197" i="6"/>
  <c r="BG206" i="5"/>
  <c r="FL197" i="6"/>
  <c r="EM195" i="6"/>
  <c r="GW193" i="6"/>
  <c r="ES194" i="6"/>
  <c r="EW194" i="6"/>
  <c r="GT193" i="6"/>
  <c r="H450" i="12"/>
  <c r="H450" i="13" s="1"/>
  <c r="G450" i="12"/>
  <c r="G450" i="13" s="1"/>
  <c r="E450" i="12"/>
  <c r="C450" i="12"/>
  <c r="F450" i="12"/>
  <c r="F450" i="13" s="1"/>
  <c r="D450" i="12"/>
  <c r="N467" i="12"/>
  <c r="L455" i="12"/>
  <c r="E427" i="13"/>
  <c r="K415" i="12"/>
  <c r="K415" i="13" s="1"/>
  <c r="E437" i="13"/>
  <c r="N483" i="12"/>
  <c r="L483" i="12" s="1"/>
  <c r="L471" i="12"/>
  <c r="D434" i="13"/>
  <c r="F449" i="12"/>
  <c r="F449" i="13" s="1"/>
  <c r="E449" i="12"/>
  <c r="D449" i="12"/>
  <c r="C449" i="12"/>
  <c r="B449" i="12"/>
  <c r="H449" i="12"/>
  <c r="H449" i="13" s="1"/>
  <c r="G449" i="12"/>
  <c r="G449" i="13" s="1"/>
  <c r="J437" i="12"/>
  <c r="C437" i="13"/>
  <c r="J427" i="12"/>
  <c r="C427" i="13"/>
  <c r="H443" i="12"/>
  <c r="H443" i="13" s="1"/>
  <c r="G443" i="12"/>
  <c r="G443" i="13" s="1"/>
  <c r="F443" i="12"/>
  <c r="F443" i="13" s="1"/>
  <c r="E443" i="12"/>
  <c r="D443" i="12"/>
  <c r="C443" i="12"/>
  <c r="B443" i="12"/>
  <c r="N473" i="12"/>
  <c r="L461" i="12"/>
  <c r="D427" i="13"/>
  <c r="D437" i="13"/>
  <c r="H459" i="12"/>
  <c r="H459" i="13" s="1"/>
  <c r="G459" i="12"/>
  <c r="G459" i="13" s="1"/>
  <c r="F459" i="12"/>
  <c r="F459" i="13" s="1"/>
  <c r="E459" i="12"/>
  <c r="D459" i="12"/>
  <c r="B459" i="12"/>
  <c r="C459" i="12"/>
  <c r="N490" i="13"/>
  <c r="L490" i="13" s="1"/>
  <c r="L478" i="13"/>
  <c r="J434" i="12"/>
  <c r="C434" i="13"/>
  <c r="K435" i="12"/>
  <c r="K435" i="13" s="1"/>
  <c r="J424" i="12"/>
  <c r="C424" i="13"/>
  <c r="E434" i="13"/>
  <c r="N476" i="12"/>
  <c r="L464" i="12"/>
  <c r="H441" i="12"/>
  <c r="H441" i="13" s="1"/>
  <c r="B441" i="12"/>
  <c r="F441" i="12"/>
  <c r="F441" i="13" s="1"/>
  <c r="G441" i="12"/>
  <c r="G441" i="13" s="1"/>
  <c r="E441" i="12"/>
  <c r="C441" i="12"/>
  <c r="D441" i="12"/>
  <c r="I427" i="12"/>
  <c r="I427" i="13" s="1"/>
  <c r="L474" i="13"/>
  <c r="N486" i="13"/>
  <c r="L486" i="13" s="1"/>
  <c r="D424" i="13"/>
  <c r="E431" i="13"/>
  <c r="I437" i="12"/>
  <c r="I437" i="13" s="1"/>
  <c r="G446" i="12"/>
  <c r="G446" i="13" s="1"/>
  <c r="F446" i="12"/>
  <c r="F446" i="13" s="1"/>
  <c r="E446" i="12"/>
  <c r="D446" i="12"/>
  <c r="C446" i="12"/>
  <c r="B446" i="12"/>
  <c r="H446" i="12"/>
  <c r="H446" i="13" s="1"/>
  <c r="I434" i="12"/>
  <c r="I434" i="13" s="1"/>
  <c r="O425" i="12"/>
  <c r="P425" i="12" s="1"/>
  <c r="E445" i="13"/>
  <c r="E424" i="13"/>
  <c r="N463" i="12"/>
  <c r="L451" i="12"/>
  <c r="J431" i="12"/>
  <c r="C431" i="13"/>
  <c r="D447" i="13"/>
  <c r="D429" i="13"/>
  <c r="D457" i="12"/>
  <c r="F457" i="12"/>
  <c r="F457" i="13" s="1"/>
  <c r="E457" i="12"/>
  <c r="C457" i="12"/>
  <c r="B457" i="12"/>
  <c r="H457" i="12"/>
  <c r="H457" i="13" s="1"/>
  <c r="G457" i="12"/>
  <c r="G457" i="13" s="1"/>
  <c r="O435" i="12"/>
  <c r="P435" i="12" s="1"/>
  <c r="C436" i="12"/>
  <c r="B436" i="12"/>
  <c r="D436" i="12"/>
  <c r="H436" i="12"/>
  <c r="H436" i="13" s="1"/>
  <c r="G436" i="12"/>
  <c r="G436" i="13" s="1"/>
  <c r="F436" i="12"/>
  <c r="F436" i="13" s="1"/>
  <c r="E436" i="12"/>
  <c r="O415" i="12"/>
  <c r="P415" i="12" s="1"/>
  <c r="N465" i="12"/>
  <c r="L453" i="12"/>
  <c r="N470" i="12"/>
  <c r="L458" i="12"/>
  <c r="J429" i="12"/>
  <c r="C429" i="13"/>
  <c r="N481" i="12"/>
  <c r="L469" i="12"/>
  <c r="D438" i="13"/>
  <c r="N460" i="12"/>
  <c r="L448" i="12"/>
  <c r="E452" i="12"/>
  <c r="D452" i="12"/>
  <c r="C452" i="12"/>
  <c r="B452" i="12"/>
  <c r="H452" i="12"/>
  <c r="H452" i="13" s="1"/>
  <c r="F452" i="12"/>
  <c r="F452" i="13" s="1"/>
  <c r="E429" i="13"/>
  <c r="I431" i="12"/>
  <c r="I431" i="13" s="1"/>
  <c r="E438" i="13"/>
  <c r="K412" i="12"/>
  <c r="K412" i="13" s="1"/>
  <c r="B439" i="12"/>
  <c r="H439" i="12"/>
  <c r="H439" i="13" s="1"/>
  <c r="G439" i="12"/>
  <c r="G439" i="13" s="1"/>
  <c r="F439" i="12"/>
  <c r="F439" i="13" s="1"/>
  <c r="E439" i="12"/>
  <c r="D439" i="12"/>
  <c r="C439" i="12"/>
  <c r="D431" i="13"/>
  <c r="J447" i="12"/>
  <c r="C447" i="13"/>
  <c r="E447" i="13"/>
  <c r="I447" i="12"/>
  <c r="I447" i="13" s="1"/>
  <c r="J445" i="12"/>
  <c r="C445" i="13"/>
  <c r="N474" i="12"/>
  <c r="L462" i="12"/>
  <c r="C438" i="13"/>
  <c r="D440" i="13"/>
  <c r="E440" i="13"/>
  <c r="D445" i="13"/>
  <c r="N494" i="13"/>
  <c r="L494" i="13" s="1"/>
  <c r="L482" i="13"/>
  <c r="L477" i="13"/>
  <c r="N489" i="13"/>
  <c r="L489" i="13" s="1"/>
  <c r="J440" i="12"/>
  <c r="C440" i="13"/>
  <c r="N487" i="13"/>
  <c r="L487" i="13" s="1"/>
  <c r="L475" i="13"/>
  <c r="O412" i="12"/>
  <c r="P412" i="12" s="1"/>
  <c r="I414" i="13" l="1"/>
  <c r="O414" i="12"/>
  <c r="P414" i="12" s="1"/>
  <c r="K414" i="12"/>
  <c r="K414" i="13" s="1"/>
  <c r="O429" i="12"/>
  <c r="P429" i="12" s="1"/>
  <c r="B438" i="12"/>
  <c r="B426" i="13"/>
  <c r="I426" i="12"/>
  <c r="J426" i="12"/>
  <c r="B430" i="13"/>
  <c r="J414" i="13"/>
  <c r="O406" i="13"/>
  <c r="P406" i="13" s="1"/>
  <c r="J418" i="13"/>
  <c r="O402" i="13"/>
  <c r="P402" i="13" s="1"/>
  <c r="I416" i="13"/>
  <c r="O416" i="12"/>
  <c r="P416" i="12" s="1"/>
  <c r="K416" i="12"/>
  <c r="K416" i="13" s="1"/>
  <c r="O416" i="13" s="1"/>
  <c r="P416" i="13" s="1"/>
  <c r="K429" i="12"/>
  <c r="K429" i="13" s="1"/>
  <c r="G428" i="13"/>
  <c r="G440" i="12"/>
  <c r="I428" i="12"/>
  <c r="O418" i="12"/>
  <c r="P418" i="12" s="1"/>
  <c r="K418" i="12"/>
  <c r="K418" i="13" s="1"/>
  <c r="E442" i="12"/>
  <c r="D442" i="12"/>
  <c r="D442" i="13" s="1"/>
  <c r="C442" i="12"/>
  <c r="B442" i="12"/>
  <c r="H442" i="12"/>
  <c r="H442" i="13" s="1"/>
  <c r="G442" i="12"/>
  <c r="G442" i="13" s="1"/>
  <c r="F442" i="12"/>
  <c r="F442" i="13" s="1"/>
  <c r="E430" i="13"/>
  <c r="I430" i="12"/>
  <c r="L454" i="12"/>
  <c r="N466" i="12"/>
  <c r="C430" i="13"/>
  <c r="J430" i="12"/>
  <c r="K424" i="12"/>
  <c r="K424" i="13" s="1"/>
  <c r="O433" i="13"/>
  <c r="P433" i="13" s="1"/>
  <c r="O417" i="13"/>
  <c r="P417" i="13" s="1"/>
  <c r="O419" i="13"/>
  <c r="P419" i="13" s="1"/>
  <c r="K445" i="12"/>
  <c r="K445" i="13" s="1"/>
  <c r="O445" i="12"/>
  <c r="P445" i="12" s="1"/>
  <c r="O435" i="13"/>
  <c r="P435" i="13" s="1"/>
  <c r="K437" i="12"/>
  <c r="K437" i="13" s="1"/>
  <c r="O415" i="13"/>
  <c r="P415" i="13" s="1"/>
  <c r="J431" i="13"/>
  <c r="J440" i="13"/>
  <c r="J427" i="13"/>
  <c r="B459" i="13"/>
  <c r="B449" i="13"/>
  <c r="O431" i="12"/>
  <c r="P431" i="12" s="1"/>
  <c r="B457" i="13"/>
  <c r="O425" i="13"/>
  <c r="P425" i="13" s="1"/>
  <c r="J434" i="13"/>
  <c r="B441" i="13"/>
  <c r="K447" i="12"/>
  <c r="K447" i="13" s="1"/>
  <c r="B446" i="13"/>
  <c r="K434" i="12"/>
  <c r="K434" i="13" s="1"/>
  <c r="J429" i="13"/>
  <c r="O437" i="12"/>
  <c r="P437" i="12" s="1"/>
  <c r="J445" i="13"/>
  <c r="B436" i="13"/>
  <c r="J447" i="13"/>
  <c r="O422" i="13"/>
  <c r="P422" i="13" s="1"/>
  <c r="B452" i="13"/>
  <c r="J437" i="13"/>
  <c r="J424" i="13"/>
  <c r="B439" i="13"/>
  <c r="K431" i="12"/>
  <c r="K431" i="13" s="1"/>
  <c r="O434" i="12"/>
  <c r="P434" i="12" s="1"/>
  <c r="O412" i="13"/>
  <c r="P412" i="13" s="1"/>
  <c r="O447" i="12"/>
  <c r="P447" i="12" s="1"/>
  <c r="B443" i="13"/>
  <c r="O424" i="12"/>
  <c r="P424" i="12" s="1"/>
  <c r="FM195" i="6"/>
  <c r="EZ194" i="6"/>
  <c r="EW195" i="6"/>
  <c r="EX195" i="6"/>
  <c r="FZ197" i="6"/>
  <c r="GA197" i="6" s="1"/>
  <c r="ES195" i="6"/>
  <c r="GT195" i="6" s="1"/>
  <c r="EN196" i="6"/>
  <c r="EM196" i="6"/>
  <c r="EP196" i="6"/>
  <c r="EL196" i="6"/>
  <c r="EY194" i="6"/>
  <c r="ER196" i="6"/>
  <c r="FD197" i="6"/>
  <c r="EM197" i="6" s="1"/>
  <c r="FF197" i="6"/>
  <c r="FC197" i="6"/>
  <c r="FB197" i="6"/>
  <c r="FG197" i="6"/>
  <c r="FE197" i="6"/>
  <c r="FI197" i="6"/>
  <c r="FH197" i="6"/>
  <c r="FR198" i="6"/>
  <c r="FT198" i="6" s="1"/>
  <c r="AX208" i="5"/>
  <c r="BJ207" i="5"/>
  <c r="BG207" i="5"/>
  <c r="FY198" i="6"/>
  <c r="FL198" i="6"/>
  <c r="FJ196" i="6"/>
  <c r="EK196" i="6"/>
  <c r="BM202" i="5"/>
  <c r="BL202" i="5"/>
  <c r="EO196" i="6"/>
  <c r="EQ196" i="6"/>
  <c r="ET194" i="6"/>
  <c r="BK203" i="5"/>
  <c r="GY194" i="6"/>
  <c r="GW194" i="6"/>
  <c r="GT194" i="6"/>
  <c r="GU194" i="6"/>
  <c r="HA194" i="6"/>
  <c r="GX194" i="6"/>
  <c r="GV194" i="6"/>
  <c r="GZ194" i="6"/>
  <c r="I446" i="12"/>
  <c r="I446" i="13" s="1"/>
  <c r="I449" i="12"/>
  <c r="I449" i="13" s="1"/>
  <c r="J452" i="12"/>
  <c r="C452" i="13"/>
  <c r="D446" i="13"/>
  <c r="D449" i="13"/>
  <c r="E457" i="13"/>
  <c r="J439" i="12"/>
  <c r="C439" i="13"/>
  <c r="D439" i="13"/>
  <c r="G448" i="12"/>
  <c r="G448" i="13" s="1"/>
  <c r="B448" i="12"/>
  <c r="H448" i="12"/>
  <c r="H448" i="13" s="1"/>
  <c r="F448" i="12"/>
  <c r="F448" i="13" s="1"/>
  <c r="E448" i="12"/>
  <c r="D448" i="12"/>
  <c r="C448" i="12"/>
  <c r="E446" i="13"/>
  <c r="O427" i="12"/>
  <c r="P427" i="12" s="1"/>
  <c r="E449" i="13"/>
  <c r="N488" i="12"/>
  <c r="L488" i="12" s="1"/>
  <c r="L476" i="12"/>
  <c r="D452" i="13"/>
  <c r="J446" i="12"/>
  <c r="C446" i="13"/>
  <c r="J449" i="12"/>
  <c r="C449" i="13"/>
  <c r="E452" i="13"/>
  <c r="E439" i="13"/>
  <c r="N472" i="12"/>
  <c r="L460" i="12"/>
  <c r="E436" i="13"/>
  <c r="N485" i="12"/>
  <c r="L485" i="12" s="1"/>
  <c r="L473" i="12"/>
  <c r="I439" i="12"/>
  <c r="I439" i="13" s="1"/>
  <c r="H469" i="12"/>
  <c r="H469" i="13" s="1"/>
  <c r="F469" i="12"/>
  <c r="F469" i="13" s="1"/>
  <c r="D469" i="12"/>
  <c r="C469" i="12"/>
  <c r="B469" i="12"/>
  <c r="G469" i="12"/>
  <c r="G469" i="13" s="1"/>
  <c r="E469" i="12"/>
  <c r="F451" i="12"/>
  <c r="F451" i="13" s="1"/>
  <c r="H451" i="12"/>
  <c r="H451" i="13" s="1"/>
  <c r="G451" i="12"/>
  <c r="G451" i="13" s="1"/>
  <c r="E451" i="12"/>
  <c r="D451" i="12"/>
  <c r="C451" i="12"/>
  <c r="B451" i="12"/>
  <c r="I443" i="12"/>
  <c r="I443" i="13" s="1"/>
  <c r="D457" i="13"/>
  <c r="I459" i="12"/>
  <c r="I459" i="13" s="1"/>
  <c r="N493" i="12"/>
  <c r="L493" i="12" s="1"/>
  <c r="L481" i="12"/>
  <c r="N475" i="12"/>
  <c r="L463" i="12"/>
  <c r="D443" i="13"/>
  <c r="N479" i="12"/>
  <c r="L467" i="12"/>
  <c r="H464" i="12"/>
  <c r="H464" i="13" s="1"/>
  <c r="F464" i="12"/>
  <c r="F464" i="13" s="1"/>
  <c r="E464" i="12"/>
  <c r="C464" i="12"/>
  <c r="B464" i="12"/>
  <c r="D464" i="12"/>
  <c r="I436" i="12"/>
  <c r="I436" i="13" s="1"/>
  <c r="J436" i="12"/>
  <c r="C436" i="13"/>
  <c r="E443" i="13"/>
  <c r="D450" i="13"/>
  <c r="H462" i="12"/>
  <c r="H462" i="13" s="1"/>
  <c r="G462" i="12"/>
  <c r="G462" i="13" s="1"/>
  <c r="F462" i="12"/>
  <c r="F462" i="13" s="1"/>
  <c r="E462" i="12"/>
  <c r="D462" i="12"/>
  <c r="C462" i="12"/>
  <c r="K427" i="12"/>
  <c r="K427" i="13" s="1"/>
  <c r="N486" i="12"/>
  <c r="L486" i="12" s="1"/>
  <c r="L474" i="12"/>
  <c r="J443" i="12"/>
  <c r="C443" i="13"/>
  <c r="D441" i="13"/>
  <c r="B461" i="12"/>
  <c r="H461" i="12"/>
  <c r="H461" i="13" s="1"/>
  <c r="G461" i="12"/>
  <c r="G461" i="13" s="1"/>
  <c r="F461" i="12"/>
  <c r="F461" i="13" s="1"/>
  <c r="E461" i="12"/>
  <c r="D461" i="12"/>
  <c r="C461" i="12"/>
  <c r="D436" i="13"/>
  <c r="D455" i="12"/>
  <c r="C455" i="12"/>
  <c r="B455" i="12"/>
  <c r="H455" i="12"/>
  <c r="H455" i="13" s="1"/>
  <c r="G455" i="12"/>
  <c r="G455" i="13" s="1"/>
  <c r="F455" i="12"/>
  <c r="F455" i="13" s="1"/>
  <c r="E455" i="12"/>
  <c r="C458" i="12"/>
  <c r="B458" i="12"/>
  <c r="H458" i="12"/>
  <c r="H458" i="13" s="1"/>
  <c r="G458" i="12"/>
  <c r="G458" i="13" s="1"/>
  <c r="D458" i="12"/>
  <c r="F458" i="12"/>
  <c r="F458" i="13" s="1"/>
  <c r="E458" i="12"/>
  <c r="N482" i="12"/>
  <c r="L470" i="12"/>
  <c r="H453" i="12"/>
  <c r="H453" i="13" s="1"/>
  <c r="G453" i="12"/>
  <c r="G453" i="13" s="1"/>
  <c r="F453" i="12"/>
  <c r="F453" i="13" s="1"/>
  <c r="D453" i="12"/>
  <c r="E453" i="12"/>
  <c r="C453" i="12"/>
  <c r="B453" i="12"/>
  <c r="J441" i="12"/>
  <c r="C441" i="13"/>
  <c r="N477" i="12"/>
  <c r="L465" i="12"/>
  <c r="E441" i="13"/>
  <c r="J459" i="12"/>
  <c r="C459" i="13"/>
  <c r="C450" i="13"/>
  <c r="E450" i="13"/>
  <c r="I457" i="12"/>
  <c r="I457" i="13" s="1"/>
  <c r="I441" i="12"/>
  <c r="I441" i="13" s="1"/>
  <c r="D459" i="13"/>
  <c r="E459" i="13"/>
  <c r="F471" i="12"/>
  <c r="F471" i="13" s="1"/>
  <c r="E471" i="12"/>
  <c r="D471" i="12"/>
  <c r="C471" i="12"/>
  <c r="B471" i="12"/>
  <c r="H471" i="12"/>
  <c r="H471" i="13" s="1"/>
  <c r="G471" i="12"/>
  <c r="G471" i="13" s="1"/>
  <c r="J457" i="12"/>
  <c r="C457" i="13"/>
  <c r="O429" i="13" l="1"/>
  <c r="P429" i="13" s="1"/>
  <c r="J430" i="13"/>
  <c r="O414" i="13"/>
  <c r="P414" i="13" s="1"/>
  <c r="O418" i="13"/>
  <c r="P418" i="13" s="1"/>
  <c r="B442" i="13"/>
  <c r="B450" i="12"/>
  <c r="B438" i="13"/>
  <c r="J438" i="12"/>
  <c r="I438" i="12"/>
  <c r="I426" i="13"/>
  <c r="K426" i="12"/>
  <c r="K426" i="13" s="1"/>
  <c r="O426" i="12"/>
  <c r="P426" i="12" s="1"/>
  <c r="J426" i="13"/>
  <c r="I428" i="13"/>
  <c r="K428" i="12"/>
  <c r="K428" i="13" s="1"/>
  <c r="O428" i="13" s="1"/>
  <c r="P428" i="13" s="1"/>
  <c r="O428" i="12"/>
  <c r="P428" i="12" s="1"/>
  <c r="G440" i="13"/>
  <c r="I440" i="12"/>
  <c r="G452" i="12"/>
  <c r="K449" i="12"/>
  <c r="K449" i="13" s="1"/>
  <c r="O424" i="13"/>
  <c r="P424" i="13" s="1"/>
  <c r="O437" i="13"/>
  <c r="P437" i="13" s="1"/>
  <c r="EY195" i="6"/>
  <c r="N478" i="12"/>
  <c r="L466" i="12"/>
  <c r="G454" i="12"/>
  <c r="G454" i="13" s="1"/>
  <c r="C454" i="12"/>
  <c r="H454" i="12"/>
  <c r="H454" i="13" s="1"/>
  <c r="E454" i="12"/>
  <c r="F454" i="12"/>
  <c r="F454" i="13" s="1"/>
  <c r="D454" i="12"/>
  <c r="D454" i="13" s="1"/>
  <c r="B454" i="12"/>
  <c r="I430" i="13"/>
  <c r="K430" i="12"/>
  <c r="K430" i="13" s="1"/>
  <c r="O430" i="12"/>
  <c r="P430" i="12" s="1"/>
  <c r="O445" i="13"/>
  <c r="P445" i="13" s="1"/>
  <c r="J442" i="12"/>
  <c r="C442" i="13"/>
  <c r="E442" i="13"/>
  <c r="I442" i="12"/>
  <c r="O427" i="13"/>
  <c r="P427" i="13" s="1"/>
  <c r="O434" i="13"/>
  <c r="P434" i="13" s="1"/>
  <c r="K441" i="12"/>
  <c r="K441" i="13" s="1"/>
  <c r="O457" i="12"/>
  <c r="P457" i="12" s="1"/>
  <c r="O431" i="13"/>
  <c r="P431" i="13" s="1"/>
  <c r="J439" i="13"/>
  <c r="O447" i="13"/>
  <c r="P447" i="13" s="1"/>
  <c r="J457" i="13"/>
  <c r="K457" i="12"/>
  <c r="K457" i="13" s="1"/>
  <c r="O449" i="12"/>
  <c r="P449" i="12" s="1"/>
  <c r="J459" i="13"/>
  <c r="J443" i="13"/>
  <c r="B464" i="13"/>
  <c r="I469" i="12"/>
  <c r="I469" i="13" s="1"/>
  <c r="B471" i="13"/>
  <c r="J449" i="13"/>
  <c r="J441" i="13"/>
  <c r="J446" i="13"/>
  <c r="B458" i="13"/>
  <c r="B448" i="13"/>
  <c r="B451" i="13"/>
  <c r="O446" i="12"/>
  <c r="P446" i="12" s="1"/>
  <c r="I471" i="12"/>
  <c r="I471" i="13" s="1"/>
  <c r="O436" i="12"/>
  <c r="P436" i="12" s="1"/>
  <c r="B461" i="13"/>
  <c r="B469" i="13"/>
  <c r="B453" i="13"/>
  <c r="F483" i="12"/>
  <c r="F483" i="13" s="1"/>
  <c r="K446" i="12"/>
  <c r="K446" i="13" s="1"/>
  <c r="H483" i="12"/>
  <c r="H483" i="13" s="1"/>
  <c r="J452" i="13"/>
  <c r="J436" i="13"/>
  <c r="B455" i="13"/>
  <c r="G483" i="12"/>
  <c r="G483" i="13" s="1"/>
  <c r="FM197" i="6"/>
  <c r="FM196" i="6"/>
  <c r="EX196" i="6"/>
  <c r="ES196" i="6"/>
  <c r="GZ196" i="6" s="1"/>
  <c r="EL197" i="6"/>
  <c r="FE198" i="6"/>
  <c r="FD198" i="6"/>
  <c r="FI198" i="6"/>
  <c r="FG198" i="6"/>
  <c r="FB198" i="6"/>
  <c r="FC198" i="6"/>
  <c r="EL198" i="6" s="1"/>
  <c r="FF198" i="6"/>
  <c r="FH198" i="6"/>
  <c r="EO197" i="6"/>
  <c r="FZ198" i="6"/>
  <c r="GA198" i="6" s="1"/>
  <c r="EW196" i="6"/>
  <c r="GZ195" i="6"/>
  <c r="ET195" i="6"/>
  <c r="BK204" i="5"/>
  <c r="GV195" i="6"/>
  <c r="HA195" i="6"/>
  <c r="GW195" i="6"/>
  <c r="GX195" i="6"/>
  <c r="EQ197" i="6"/>
  <c r="ER197" i="6"/>
  <c r="EN197" i="6"/>
  <c r="EW197" i="6" s="1"/>
  <c r="GU195" i="6"/>
  <c r="FR199" i="6"/>
  <c r="FT199" i="6" s="1"/>
  <c r="AX209" i="5"/>
  <c r="BJ208" i="5"/>
  <c r="BG208" i="5"/>
  <c r="FY199" i="6"/>
  <c r="FL199" i="6"/>
  <c r="EP197" i="6"/>
  <c r="EZ195" i="6"/>
  <c r="BM203" i="5"/>
  <c r="BL203" i="5"/>
  <c r="EK197" i="6"/>
  <c r="FJ197" i="6"/>
  <c r="GY195" i="6"/>
  <c r="E471" i="13"/>
  <c r="N494" i="12"/>
  <c r="L494" i="12" s="1"/>
  <c r="L482" i="12"/>
  <c r="O439" i="12"/>
  <c r="P439" i="12" s="1"/>
  <c r="O443" i="12"/>
  <c r="P443" i="12" s="1"/>
  <c r="F473" i="12"/>
  <c r="F473" i="13" s="1"/>
  <c r="G473" i="12"/>
  <c r="G473" i="13" s="1"/>
  <c r="E473" i="12"/>
  <c r="D473" i="12"/>
  <c r="C473" i="12"/>
  <c r="H473" i="12"/>
  <c r="H473" i="13" s="1"/>
  <c r="B473" i="12"/>
  <c r="D471" i="13"/>
  <c r="G470" i="12"/>
  <c r="G470" i="13" s="1"/>
  <c r="H470" i="12"/>
  <c r="H470" i="13" s="1"/>
  <c r="F470" i="12"/>
  <c r="F470" i="13" s="1"/>
  <c r="E470" i="12"/>
  <c r="D470" i="12"/>
  <c r="C470" i="12"/>
  <c r="B470" i="12"/>
  <c r="K436" i="12"/>
  <c r="K436" i="13" s="1"/>
  <c r="E455" i="13"/>
  <c r="F474" i="12"/>
  <c r="F474" i="13" s="1"/>
  <c r="E474" i="12"/>
  <c r="E486" i="12" s="1"/>
  <c r="D474" i="12"/>
  <c r="D486" i="12" s="1"/>
  <c r="C474" i="12"/>
  <c r="H474" i="12"/>
  <c r="H474" i="13" s="1"/>
  <c r="G474" i="12"/>
  <c r="G474" i="13" s="1"/>
  <c r="E458" i="13"/>
  <c r="I455" i="12"/>
  <c r="I455" i="13" s="1"/>
  <c r="K459" i="12"/>
  <c r="K459" i="13" s="1"/>
  <c r="C460" i="12"/>
  <c r="H460" i="12"/>
  <c r="H460" i="13" s="1"/>
  <c r="G460" i="12"/>
  <c r="G460" i="13" s="1"/>
  <c r="F460" i="12"/>
  <c r="F460" i="13" s="1"/>
  <c r="E460" i="12"/>
  <c r="D460" i="12"/>
  <c r="B460" i="12"/>
  <c r="H476" i="12"/>
  <c r="H476" i="13" s="1"/>
  <c r="F476" i="12"/>
  <c r="F476" i="13" s="1"/>
  <c r="E476" i="12"/>
  <c r="D476" i="12"/>
  <c r="B476" i="12"/>
  <c r="C476" i="12"/>
  <c r="J471" i="12"/>
  <c r="C471" i="13"/>
  <c r="J455" i="12"/>
  <c r="C455" i="13"/>
  <c r="E451" i="13"/>
  <c r="J458" i="12"/>
  <c r="C458" i="13"/>
  <c r="O441" i="12"/>
  <c r="P441" i="12" s="1"/>
  <c r="I451" i="12"/>
  <c r="I451" i="13" s="1"/>
  <c r="C483" i="12"/>
  <c r="J464" i="12"/>
  <c r="C464" i="13"/>
  <c r="J461" i="12"/>
  <c r="C461" i="13"/>
  <c r="D461" i="13"/>
  <c r="E469" i="13"/>
  <c r="N489" i="12"/>
  <c r="L489" i="12" s="1"/>
  <c r="L477" i="12"/>
  <c r="D458" i="13"/>
  <c r="C462" i="13"/>
  <c r="H463" i="12"/>
  <c r="H463" i="13" s="1"/>
  <c r="B463" i="12"/>
  <c r="G463" i="12"/>
  <c r="G463" i="13" s="1"/>
  <c r="F463" i="12"/>
  <c r="F463" i="13" s="1"/>
  <c r="E463" i="12"/>
  <c r="D463" i="12"/>
  <c r="C463" i="12"/>
  <c r="D462" i="13"/>
  <c r="G481" i="12"/>
  <c r="G481" i="13" s="1"/>
  <c r="F481" i="12"/>
  <c r="F481" i="13" s="1"/>
  <c r="E481" i="12"/>
  <c r="E493" i="12" s="1"/>
  <c r="D481" i="12"/>
  <c r="H481" i="12"/>
  <c r="H481" i="13" s="1"/>
  <c r="B481" i="12"/>
  <c r="C481" i="12"/>
  <c r="E464" i="13"/>
  <c r="H467" i="12"/>
  <c r="H467" i="13" s="1"/>
  <c r="B467" i="12"/>
  <c r="G467" i="12"/>
  <c r="G467" i="13" s="1"/>
  <c r="F467" i="12"/>
  <c r="F467" i="13" s="1"/>
  <c r="E467" i="12"/>
  <c r="D467" i="12"/>
  <c r="C467" i="12"/>
  <c r="J448" i="12"/>
  <c r="C448" i="13"/>
  <c r="I453" i="12"/>
  <c r="I453" i="13" s="1"/>
  <c r="D464" i="13"/>
  <c r="O459" i="12"/>
  <c r="P459" i="12" s="1"/>
  <c r="E461" i="13"/>
  <c r="J453" i="12"/>
  <c r="C453" i="13"/>
  <c r="N491" i="12"/>
  <c r="L491" i="12" s="1"/>
  <c r="L479" i="12"/>
  <c r="D448" i="13"/>
  <c r="B483" i="12"/>
  <c r="J451" i="12"/>
  <c r="C451" i="13"/>
  <c r="N484" i="12"/>
  <c r="L484" i="12" s="1"/>
  <c r="L472" i="12"/>
  <c r="D483" i="12"/>
  <c r="D455" i="13"/>
  <c r="N487" i="12"/>
  <c r="L487" i="12" s="1"/>
  <c r="L475" i="12"/>
  <c r="D451" i="13"/>
  <c r="E462" i="13"/>
  <c r="E483" i="12"/>
  <c r="I458" i="12"/>
  <c r="I458" i="13" s="1"/>
  <c r="E453" i="13"/>
  <c r="H465" i="12"/>
  <c r="H465" i="13" s="1"/>
  <c r="G465" i="12"/>
  <c r="G465" i="13" s="1"/>
  <c r="F465" i="12"/>
  <c r="F465" i="13" s="1"/>
  <c r="E465" i="12"/>
  <c r="D465" i="12"/>
  <c r="C465" i="12"/>
  <c r="B465" i="12"/>
  <c r="J469" i="12"/>
  <c r="C469" i="13"/>
  <c r="E448" i="13"/>
  <c r="D453" i="13"/>
  <c r="K443" i="12"/>
  <c r="K443" i="13" s="1"/>
  <c r="I448" i="12"/>
  <c r="I448" i="13" s="1"/>
  <c r="D469" i="13"/>
  <c r="K439" i="12"/>
  <c r="K439" i="13" s="1"/>
  <c r="I461" i="12"/>
  <c r="I461" i="13" s="1"/>
  <c r="O430" i="13" l="1"/>
  <c r="P430" i="13" s="1"/>
  <c r="C488" i="12"/>
  <c r="J442" i="13"/>
  <c r="B454" i="13"/>
  <c r="O426" i="13"/>
  <c r="P426" i="13" s="1"/>
  <c r="O446" i="13"/>
  <c r="P446" i="13" s="1"/>
  <c r="I450" i="12"/>
  <c r="B462" i="12"/>
  <c r="J450" i="12"/>
  <c r="B450" i="13"/>
  <c r="J438" i="13"/>
  <c r="I438" i="13"/>
  <c r="O438" i="12"/>
  <c r="P438" i="12" s="1"/>
  <c r="K438" i="12"/>
  <c r="K438" i="13" s="1"/>
  <c r="G452" i="13"/>
  <c r="G464" i="12"/>
  <c r="I452" i="12"/>
  <c r="I452" i="13" s="1"/>
  <c r="O452" i="12"/>
  <c r="P452" i="12" s="1"/>
  <c r="I440" i="13"/>
  <c r="K440" i="12"/>
  <c r="K440" i="13" s="1"/>
  <c r="O440" i="13" s="1"/>
  <c r="P440" i="13" s="1"/>
  <c r="O440" i="12"/>
  <c r="P440" i="12" s="1"/>
  <c r="O449" i="13"/>
  <c r="P449" i="13" s="1"/>
  <c r="K452" i="12"/>
  <c r="K452" i="13" s="1"/>
  <c r="O452" i="13" s="1"/>
  <c r="P452" i="13" s="1"/>
  <c r="EZ196" i="6"/>
  <c r="I442" i="13"/>
  <c r="K442" i="12"/>
  <c r="K442" i="13" s="1"/>
  <c r="O442" i="13" s="1"/>
  <c r="P442" i="13" s="1"/>
  <c r="O442" i="12"/>
  <c r="P442" i="12" s="1"/>
  <c r="I454" i="12"/>
  <c r="E454" i="13"/>
  <c r="J454" i="12"/>
  <c r="C454" i="13"/>
  <c r="H466" i="12"/>
  <c r="H466" i="13" s="1"/>
  <c r="E466" i="12"/>
  <c r="D466" i="12"/>
  <c r="D466" i="13" s="1"/>
  <c r="B466" i="12"/>
  <c r="F466" i="12"/>
  <c r="F466" i="13" s="1"/>
  <c r="G466" i="12"/>
  <c r="G466" i="13" s="1"/>
  <c r="C466" i="12"/>
  <c r="N490" i="12"/>
  <c r="L490" i="12" s="1"/>
  <c r="L478" i="12"/>
  <c r="O457" i="13"/>
  <c r="P457" i="13" s="1"/>
  <c r="O459" i="13"/>
  <c r="P459" i="13" s="1"/>
  <c r="O443" i="13"/>
  <c r="P443" i="13" s="1"/>
  <c r="O439" i="13"/>
  <c r="P439" i="13" s="1"/>
  <c r="O441" i="13"/>
  <c r="P441" i="13" s="1"/>
  <c r="K471" i="12"/>
  <c r="K471" i="13" s="1"/>
  <c r="O471" i="12"/>
  <c r="P471" i="12" s="1"/>
  <c r="I465" i="12"/>
  <c r="I465" i="13" s="1"/>
  <c r="F488" i="12"/>
  <c r="F488" i="13" s="1"/>
  <c r="K451" i="12"/>
  <c r="K451" i="13" s="1"/>
  <c r="O458" i="12"/>
  <c r="P458" i="12" s="1"/>
  <c r="H488" i="12"/>
  <c r="H488" i="13" s="1"/>
  <c r="K458" i="12"/>
  <c r="K458" i="13" s="1"/>
  <c r="O451" i="12"/>
  <c r="P451" i="12" s="1"/>
  <c r="J464" i="13"/>
  <c r="B467" i="13"/>
  <c r="J453" i="13"/>
  <c r="J469" i="13"/>
  <c r="B481" i="13"/>
  <c r="J471" i="13"/>
  <c r="B465" i="13"/>
  <c r="B493" i="12"/>
  <c r="K469" i="12"/>
  <c r="K469" i="13" s="1"/>
  <c r="O436" i="13"/>
  <c r="P436" i="13" s="1"/>
  <c r="B470" i="13"/>
  <c r="B476" i="13"/>
  <c r="K455" i="12"/>
  <c r="K455" i="13" s="1"/>
  <c r="J461" i="13"/>
  <c r="B460" i="13"/>
  <c r="B463" i="13"/>
  <c r="O455" i="12"/>
  <c r="P455" i="12" s="1"/>
  <c r="J455" i="13"/>
  <c r="B483" i="13"/>
  <c r="J458" i="13"/>
  <c r="I460" i="12"/>
  <c r="I460" i="13" s="1"/>
  <c r="O469" i="12"/>
  <c r="P469" i="12" s="1"/>
  <c r="B473" i="13"/>
  <c r="J448" i="13"/>
  <c r="J451" i="13"/>
  <c r="EY196" i="6"/>
  <c r="EO198" i="6"/>
  <c r="EK198" i="6"/>
  <c r="FJ198" i="6"/>
  <c r="EM198" i="6"/>
  <c r="EN198" i="6"/>
  <c r="BL204" i="5"/>
  <c r="BM204" i="5"/>
  <c r="FZ199" i="6"/>
  <c r="GA199" i="6" s="1"/>
  <c r="AX210" i="5"/>
  <c r="BJ209" i="5"/>
  <c r="FR200" i="6"/>
  <c r="FT200" i="6" s="1"/>
  <c r="FY200" i="6"/>
  <c r="BG209" i="5"/>
  <c r="FL200" i="6"/>
  <c r="EP198" i="6"/>
  <c r="ER198" i="6"/>
  <c r="EX197" i="6"/>
  <c r="EQ198" i="6"/>
  <c r="FE199" i="6"/>
  <c r="FD199" i="6"/>
  <c r="FC199" i="6"/>
  <c r="FB199" i="6"/>
  <c r="FI199" i="6"/>
  <c r="FH199" i="6"/>
  <c r="FG199" i="6"/>
  <c r="FF199" i="6"/>
  <c r="ES197" i="6"/>
  <c r="ET196" i="6"/>
  <c r="BK205" i="5"/>
  <c r="GT196" i="6"/>
  <c r="GX196" i="6"/>
  <c r="GW196" i="6"/>
  <c r="HA196" i="6"/>
  <c r="GU196" i="6"/>
  <c r="GV196" i="6"/>
  <c r="GY196" i="6"/>
  <c r="D486" i="13"/>
  <c r="B479" i="12"/>
  <c r="D479" i="12"/>
  <c r="D491" i="12" s="1"/>
  <c r="C479" i="12"/>
  <c r="H479" i="12"/>
  <c r="H479" i="13" s="1"/>
  <c r="G479" i="12"/>
  <c r="G479" i="13" s="1"/>
  <c r="F479" i="12"/>
  <c r="F479" i="13" s="1"/>
  <c r="E479" i="12"/>
  <c r="J481" i="12"/>
  <c r="C481" i="13"/>
  <c r="C488" i="13"/>
  <c r="G486" i="12"/>
  <c r="G486" i="13" s="1"/>
  <c r="E476" i="13"/>
  <c r="F486" i="12"/>
  <c r="F486" i="13" s="1"/>
  <c r="D481" i="13"/>
  <c r="E488" i="12"/>
  <c r="C474" i="13"/>
  <c r="E473" i="13"/>
  <c r="E486" i="13"/>
  <c r="J473" i="12"/>
  <c r="C473" i="13"/>
  <c r="J465" i="12"/>
  <c r="C465" i="13"/>
  <c r="I481" i="12"/>
  <c r="I481" i="13" s="1"/>
  <c r="D473" i="13"/>
  <c r="D465" i="13"/>
  <c r="G475" i="12"/>
  <c r="G475" i="13" s="1"/>
  <c r="H475" i="12"/>
  <c r="H475" i="13" s="1"/>
  <c r="E475" i="12"/>
  <c r="E487" i="12" s="1"/>
  <c r="D475" i="12"/>
  <c r="D487" i="12" s="1"/>
  <c r="C475" i="12"/>
  <c r="F475" i="12"/>
  <c r="F475" i="13" s="1"/>
  <c r="B475" i="12"/>
  <c r="E465" i="13"/>
  <c r="E481" i="13"/>
  <c r="B488" i="12"/>
  <c r="D474" i="13"/>
  <c r="E474" i="13"/>
  <c r="I473" i="12"/>
  <c r="I473" i="13" s="1"/>
  <c r="C493" i="12"/>
  <c r="D483" i="13"/>
  <c r="J463" i="12"/>
  <c r="C463" i="13"/>
  <c r="D463" i="13"/>
  <c r="J460" i="12"/>
  <c r="C460" i="13"/>
  <c r="D476" i="13"/>
  <c r="O461" i="12"/>
  <c r="P461" i="12" s="1"/>
  <c r="H472" i="12"/>
  <c r="H472" i="13" s="1"/>
  <c r="G472" i="12"/>
  <c r="G472" i="13" s="1"/>
  <c r="E472" i="12"/>
  <c r="E484" i="12" s="1"/>
  <c r="F472" i="12"/>
  <c r="F472" i="13" s="1"/>
  <c r="D472" i="12"/>
  <c r="D484" i="12" s="1"/>
  <c r="C472" i="12"/>
  <c r="B472" i="12"/>
  <c r="J467" i="12"/>
  <c r="C467" i="13"/>
  <c r="D467" i="13"/>
  <c r="E463" i="13"/>
  <c r="C485" i="12"/>
  <c r="K461" i="12"/>
  <c r="K461" i="13" s="1"/>
  <c r="E467" i="13"/>
  <c r="J483" i="12"/>
  <c r="C483" i="13"/>
  <c r="B485" i="12"/>
  <c r="J470" i="12"/>
  <c r="C470" i="13"/>
  <c r="F482" i="12"/>
  <c r="F482" i="13" s="1"/>
  <c r="E482" i="12"/>
  <c r="E494" i="12" s="1"/>
  <c r="D482" i="12"/>
  <c r="D494" i="12" s="1"/>
  <c r="C482" i="12"/>
  <c r="B482" i="12"/>
  <c r="H482" i="12"/>
  <c r="H482" i="13" s="1"/>
  <c r="G482" i="12"/>
  <c r="G482" i="13" s="1"/>
  <c r="D460" i="13"/>
  <c r="D485" i="12"/>
  <c r="D470" i="13"/>
  <c r="I463" i="12"/>
  <c r="I463" i="13" s="1"/>
  <c r="F485" i="12"/>
  <c r="F485" i="13" s="1"/>
  <c r="E470" i="13"/>
  <c r="H477" i="12"/>
  <c r="H477" i="13" s="1"/>
  <c r="G477" i="12"/>
  <c r="G477" i="13" s="1"/>
  <c r="F477" i="12"/>
  <c r="F477" i="13" s="1"/>
  <c r="E477" i="12"/>
  <c r="E489" i="12" s="1"/>
  <c r="D477" i="12"/>
  <c r="C477" i="12"/>
  <c r="B477" i="12"/>
  <c r="D488" i="12"/>
  <c r="O453" i="12"/>
  <c r="P453" i="12" s="1"/>
  <c r="D493" i="12"/>
  <c r="I467" i="12"/>
  <c r="I467" i="13" s="1"/>
  <c r="G485" i="12"/>
  <c r="G485" i="13" s="1"/>
  <c r="F493" i="12"/>
  <c r="H486" i="12"/>
  <c r="H486" i="13" s="1"/>
  <c r="E460" i="13"/>
  <c r="E493" i="13"/>
  <c r="H485" i="12"/>
  <c r="H485" i="13" s="1"/>
  <c r="K448" i="12"/>
  <c r="K448" i="13" s="1"/>
  <c r="K453" i="12"/>
  <c r="K453" i="13" s="1"/>
  <c r="O448" i="12"/>
  <c r="P448" i="12" s="1"/>
  <c r="I470" i="12"/>
  <c r="I470" i="13" s="1"/>
  <c r="G493" i="12"/>
  <c r="G493" i="13" s="1"/>
  <c r="E485" i="12"/>
  <c r="E483" i="13"/>
  <c r="I483" i="12"/>
  <c r="I483" i="13" s="1"/>
  <c r="H493" i="12"/>
  <c r="H493" i="13" s="1"/>
  <c r="J476" i="12"/>
  <c r="C476" i="13"/>
  <c r="C486" i="12"/>
  <c r="J450" i="13" l="1"/>
  <c r="I462" i="12"/>
  <c r="B474" i="12"/>
  <c r="J462" i="12"/>
  <c r="B462" i="13"/>
  <c r="I450" i="13"/>
  <c r="K450" i="12"/>
  <c r="K450" i="13" s="1"/>
  <c r="O450" i="13" s="1"/>
  <c r="P450" i="13" s="1"/>
  <c r="O450" i="12"/>
  <c r="P450" i="12" s="1"/>
  <c r="B494" i="12"/>
  <c r="B466" i="13"/>
  <c r="O438" i="13"/>
  <c r="P438" i="13" s="1"/>
  <c r="B489" i="12"/>
  <c r="J454" i="13"/>
  <c r="G464" i="13"/>
  <c r="I464" i="12"/>
  <c r="G476" i="12"/>
  <c r="O465" i="12"/>
  <c r="P465" i="12" s="1"/>
  <c r="O461" i="13"/>
  <c r="P461" i="13" s="1"/>
  <c r="G478" i="12"/>
  <c r="F478" i="12"/>
  <c r="E478" i="12"/>
  <c r="D478" i="12"/>
  <c r="C478" i="12"/>
  <c r="B478" i="12"/>
  <c r="H478" i="12"/>
  <c r="J466" i="12"/>
  <c r="C466" i="13"/>
  <c r="I466" i="12"/>
  <c r="E466" i="13"/>
  <c r="I454" i="13"/>
  <c r="O454" i="12"/>
  <c r="P454" i="12" s="1"/>
  <c r="K454" i="12"/>
  <c r="K454" i="13" s="1"/>
  <c r="O471" i="13"/>
  <c r="P471" i="13" s="1"/>
  <c r="K465" i="12"/>
  <c r="K465" i="13" s="1"/>
  <c r="J463" i="13"/>
  <c r="J460" i="13"/>
  <c r="O453" i="13"/>
  <c r="P453" i="13" s="1"/>
  <c r="O451" i="13"/>
  <c r="P451" i="13" s="1"/>
  <c r="F491" i="12"/>
  <c r="F491" i="13" s="1"/>
  <c r="O458" i="13"/>
  <c r="P458" i="13" s="1"/>
  <c r="I479" i="12"/>
  <c r="I479" i="13" s="1"/>
  <c r="G494" i="12"/>
  <c r="G494" i="13" s="1"/>
  <c r="H491" i="12"/>
  <c r="H491" i="13" s="1"/>
  <c r="G491" i="12"/>
  <c r="G491" i="13" s="1"/>
  <c r="O448" i="13"/>
  <c r="P448" i="13" s="1"/>
  <c r="O470" i="12"/>
  <c r="P470" i="12" s="1"/>
  <c r="C484" i="12"/>
  <c r="B494" i="13"/>
  <c r="J483" i="13"/>
  <c r="O469" i="13"/>
  <c r="P469" i="13" s="1"/>
  <c r="B488" i="13"/>
  <c r="B477" i="13"/>
  <c r="J470" i="13"/>
  <c r="K463" i="12"/>
  <c r="K463" i="13" s="1"/>
  <c r="B493" i="13"/>
  <c r="K460" i="12"/>
  <c r="K460" i="13" s="1"/>
  <c r="I477" i="12"/>
  <c r="I477" i="13" s="1"/>
  <c r="B472" i="13"/>
  <c r="E491" i="12"/>
  <c r="E491" i="13" s="1"/>
  <c r="J476" i="13"/>
  <c r="O460" i="12"/>
  <c r="P460" i="12" s="1"/>
  <c r="F487" i="12"/>
  <c r="F487" i="13" s="1"/>
  <c r="J465" i="13"/>
  <c r="J481" i="13"/>
  <c r="J467" i="13"/>
  <c r="O463" i="12"/>
  <c r="P463" i="12" s="1"/>
  <c r="G487" i="12"/>
  <c r="G487" i="13" s="1"/>
  <c r="J488" i="12"/>
  <c r="J473" i="13"/>
  <c r="O455" i="13"/>
  <c r="P455" i="13" s="1"/>
  <c r="H487" i="12"/>
  <c r="H487" i="13" s="1"/>
  <c r="B482" i="13"/>
  <c r="K483" i="12"/>
  <c r="K483" i="13" s="1"/>
  <c r="B484" i="12"/>
  <c r="C494" i="12"/>
  <c r="B475" i="13"/>
  <c r="C491" i="12"/>
  <c r="I472" i="12"/>
  <c r="I472" i="13" s="1"/>
  <c r="B479" i="13"/>
  <c r="G484" i="12"/>
  <c r="G484" i="13" s="1"/>
  <c r="C487" i="12"/>
  <c r="H484" i="12"/>
  <c r="H484" i="13" s="1"/>
  <c r="F494" i="12"/>
  <c r="F494" i="13" s="1"/>
  <c r="B485" i="13"/>
  <c r="K473" i="12"/>
  <c r="K473" i="13" s="1"/>
  <c r="FM198" i="6"/>
  <c r="EW198" i="6"/>
  <c r="ET197" i="6"/>
  <c r="BK206" i="5"/>
  <c r="GT197" i="6"/>
  <c r="GW197" i="6"/>
  <c r="GZ197" i="6"/>
  <c r="GY197" i="6"/>
  <c r="HA197" i="6"/>
  <c r="FZ200" i="6"/>
  <c r="GA200" i="6" s="1"/>
  <c r="EY197" i="6"/>
  <c r="ER199" i="6"/>
  <c r="FJ199" i="6"/>
  <c r="EK199" i="6"/>
  <c r="EN199" i="6"/>
  <c r="GV197" i="6"/>
  <c r="EX198" i="6"/>
  <c r="FI200" i="6"/>
  <c r="FF200" i="6"/>
  <c r="FC200" i="6"/>
  <c r="FH200" i="6"/>
  <c r="FG200" i="6"/>
  <c r="FD200" i="6"/>
  <c r="FB200" i="6"/>
  <c r="FE200" i="6"/>
  <c r="EO199" i="6"/>
  <c r="EQ199" i="6"/>
  <c r="BM205" i="5"/>
  <c r="BL205" i="5"/>
  <c r="EP199" i="6"/>
  <c r="EL199" i="6"/>
  <c r="GU197" i="6"/>
  <c r="EM199" i="6"/>
  <c r="FR201" i="6"/>
  <c r="FT201" i="6" s="1"/>
  <c r="BJ210" i="5"/>
  <c r="AX211" i="5"/>
  <c r="FY201" i="6"/>
  <c r="BG210" i="5"/>
  <c r="FL201" i="6"/>
  <c r="EZ197" i="6"/>
  <c r="ES198" i="6"/>
  <c r="GW198" i="6" s="1"/>
  <c r="GX197" i="6"/>
  <c r="E484" i="13"/>
  <c r="D477" i="13"/>
  <c r="D485" i="13"/>
  <c r="D487" i="13"/>
  <c r="K467" i="12"/>
  <c r="K467" i="13" s="1"/>
  <c r="E477" i="13"/>
  <c r="J485" i="12"/>
  <c r="C485" i="13"/>
  <c r="E485" i="13"/>
  <c r="I485" i="12"/>
  <c r="I485" i="13" s="1"/>
  <c r="O481" i="12"/>
  <c r="P481" i="12" s="1"/>
  <c r="J493" i="12"/>
  <c r="C493" i="13"/>
  <c r="E487" i="13"/>
  <c r="D493" i="13"/>
  <c r="D484" i="13"/>
  <c r="K470" i="12"/>
  <c r="K470" i="13" s="1"/>
  <c r="O467" i="12"/>
  <c r="P467" i="12" s="1"/>
  <c r="B491" i="12"/>
  <c r="J477" i="12"/>
  <c r="C477" i="13"/>
  <c r="F484" i="12"/>
  <c r="F484" i="13" s="1"/>
  <c r="D488" i="13"/>
  <c r="E475" i="13"/>
  <c r="J475" i="12"/>
  <c r="C475" i="13"/>
  <c r="I475" i="12"/>
  <c r="I475" i="13" s="1"/>
  <c r="E479" i="13"/>
  <c r="I482" i="12"/>
  <c r="I482" i="13" s="1"/>
  <c r="D475" i="13"/>
  <c r="D491" i="13"/>
  <c r="C486" i="13"/>
  <c r="J482" i="12"/>
  <c r="C482" i="13"/>
  <c r="F493" i="13"/>
  <c r="I493" i="12"/>
  <c r="I493" i="13" s="1"/>
  <c r="F489" i="12"/>
  <c r="F489" i="13" s="1"/>
  <c r="D494" i="13"/>
  <c r="D482" i="13"/>
  <c r="G489" i="12"/>
  <c r="G489" i="13" s="1"/>
  <c r="E494" i="13"/>
  <c r="E482" i="13"/>
  <c r="J472" i="12"/>
  <c r="C472" i="13"/>
  <c r="K481" i="12"/>
  <c r="K481" i="13" s="1"/>
  <c r="J479" i="12"/>
  <c r="C479" i="13"/>
  <c r="H489" i="12"/>
  <c r="H489" i="13" s="1"/>
  <c r="D472" i="13"/>
  <c r="D479" i="13"/>
  <c r="C489" i="12"/>
  <c r="E472" i="13"/>
  <c r="B487" i="12"/>
  <c r="D489" i="12"/>
  <c r="H494" i="12"/>
  <c r="H494" i="13" s="1"/>
  <c r="O483" i="12"/>
  <c r="P483" i="12" s="1"/>
  <c r="O473" i="12"/>
  <c r="P473" i="12" s="1"/>
  <c r="E489" i="13"/>
  <c r="E488" i="13"/>
  <c r="O454" i="13" l="1"/>
  <c r="P454" i="13" s="1"/>
  <c r="B489" i="13"/>
  <c r="J466" i="13"/>
  <c r="J462" i="13"/>
  <c r="J474" i="12"/>
  <c r="I474" i="12"/>
  <c r="B486" i="12"/>
  <c r="B474" i="13"/>
  <c r="J494" i="12"/>
  <c r="I462" i="13"/>
  <c r="O462" i="12"/>
  <c r="P462" i="12" s="1"/>
  <c r="K462" i="12"/>
  <c r="K462" i="13" s="1"/>
  <c r="I464" i="13"/>
  <c r="K464" i="12"/>
  <c r="K464" i="13" s="1"/>
  <c r="O464" i="13" s="1"/>
  <c r="P464" i="13" s="1"/>
  <c r="O464" i="12"/>
  <c r="P464" i="12" s="1"/>
  <c r="G476" i="13"/>
  <c r="I476" i="12"/>
  <c r="G488" i="12"/>
  <c r="O460" i="13"/>
  <c r="P460" i="13" s="1"/>
  <c r="K479" i="12"/>
  <c r="K479" i="13" s="1"/>
  <c r="O475" i="12"/>
  <c r="P475" i="12" s="1"/>
  <c r="O465" i="13"/>
  <c r="P465" i="13" s="1"/>
  <c r="O493" i="12"/>
  <c r="P493" i="12" s="1"/>
  <c r="I466" i="13"/>
  <c r="O466" i="12"/>
  <c r="P466" i="12" s="1"/>
  <c r="K466" i="12"/>
  <c r="K466" i="13" s="1"/>
  <c r="O466" i="13" s="1"/>
  <c r="P466" i="13" s="1"/>
  <c r="H478" i="13"/>
  <c r="H490" i="12"/>
  <c r="H490" i="13" s="1"/>
  <c r="B490" i="12"/>
  <c r="B478" i="13"/>
  <c r="C490" i="12"/>
  <c r="J478" i="12"/>
  <c r="C478" i="13"/>
  <c r="D478" i="13"/>
  <c r="D490" i="12"/>
  <c r="D490" i="13" s="1"/>
  <c r="I478" i="12"/>
  <c r="E490" i="12"/>
  <c r="E478" i="13"/>
  <c r="F478" i="13"/>
  <c r="F490" i="12"/>
  <c r="F490" i="13" s="1"/>
  <c r="O463" i="13"/>
  <c r="P463" i="13" s="1"/>
  <c r="G478" i="13"/>
  <c r="G490" i="12"/>
  <c r="G490" i="13" s="1"/>
  <c r="C491" i="13"/>
  <c r="O479" i="12"/>
  <c r="P479" i="12" s="1"/>
  <c r="C487" i="13"/>
  <c r="O483" i="13"/>
  <c r="P483" i="13" s="1"/>
  <c r="O470" i="13"/>
  <c r="P470" i="13" s="1"/>
  <c r="C494" i="13"/>
  <c r="O485" i="12"/>
  <c r="P485" i="12" s="1"/>
  <c r="O473" i="13"/>
  <c r="P473" i="13" s="1"/>
  <c r="O481" i="13"/>
  <c r="P481" i="13" s="1"/>
  <c r="I494" i="12"/>
  <c r="I494" i="13" s="1"/>
  <c r="K472" i="12"/>
  <c r="K472" i="13" s="1"/>
  <c r="J472" i="13"/>
  <c r="K475" i="12"/>
  <c r="K475" i="13" s="1"/>
  <c r="C484" i="13"/>
  <c r="I491" i="12"/>
  <c r="I491" i="13" s="1"/>
  <c r="O472" i="12"/>
  <c r="P472" i="12" s="1"/>
  <c r="O482" i="12"/>
  <c r="P482" i="12" s="1"/>
  <c r="J479" i="13"/>
  <c r="I487" i="12"/>
  <c r="I487" i="13" s="1"/>
  <c r="O477" i="12"/>
  <c r="P477" i="12" s="1"/>
  <c r="B484" i="13"/>
  <c r="I484" i="12"/>
  <c r="I484" i="13" s="1"/>
  <c r="J488" i="13"/>
  <c r="J485" i="13"/>
  <c r="J477" i="13"/>
  <c r="J491" i="12"/>
  <c r="J482" i="13"/>
  <c r="B491" i="13"/>
  <c r="K477" i="12"/>
  <c r="K477" i="13" s="1"/>
  <c r="J475" i="13"/>
  <c r="O467" i="13"/>
  <c r="P467" i="13" s="1"/>
  <c r="J484" i="12"/>
  <c r="J493" i="13"/>
  <c r="B487" i="13"/>
  <c r="FM199" i="6"/>
  <c r="EY198" i="6"/>
  <c r="FZ201" i="6"/>
  <c r="GA201" i="6" s="1"/>
  <c r="EZ198" i="6"/>
  <c r="EX199" i="6"/>
  <c r="GU198" i="6"/>
  <c r="ET198" i="6"/>
  <c r="BK207" i="5"/>
  <c r="GY198" i="6"/>
  <c r="HA198" i="6"/>
  <c r="GV198" i="6"/>
  <c r="GX198" i="6"/>
  <c r="GZ198" i="6"/>
  <c r="EN200" i="6"/>
  <c r="EK200" i="6"/>
  <c r="FJ200" i="6"/>
  <c r="EO200" i="6"/>
  <c r="ER200" i="6"/>
  <c r="EW199" i="6"/>
  <c r="ES199" i="6"/>
  <c r="GY199" i="6" s="1"/>
  <c r="EM200" i="6"/>
  <c r="FB201" i="6"/>
  <c r="FI201" i="6"/>
  <c r="FF201" i="6"/>
  <c r="FE201" i="6"/>
  <c r="FG201" i="6"/>
  <c r="FH201" i="6"/>
  <c r="FD201" i="6"/>
  <c r="FC201" i="6"/>
  <c r="EP200" i="6"/>
  <c r="BM206" i="5"/>
  <c r="BL206" i="5"/>
  <c r="EQ200" i="6"/>
  <c r="AX212" i="5"/>
  <c r="BJ211" i="5"/>
  <c r="FR202" i="6"/>
  <c r="FT202" i="6" s="1"/>
  <c r="FY202" i="6"/>
  <c r="BG211" i="5"/>
  <c r="FL202" i="6"/>
  <c r="EL200" i="6"/>
  <c r="GT198" i="6"/>
  <c r="K485" i="12"/>
  <c r="K485" i="13" s="1"/>
  <c r="D489" i="13"/>
  <c r="J489" i="12"/>
  <c r="C489" i="13"/>
  <c r="K482" i="12"/>
  <c r="K482" i="13" s="1"/>
  <c r="J487" i="12"/>
  <c r="K493" i="12"/>
  <c r="K493" i="13" s="1"/>
  <c r="I489" i="12"/>
  <c r="I489" i="13" s="1"/>
  <c r="O462" i="13" l="1"/>
  <c r="P462" i="13" s="1"/>
  <c r="J474" i="13"/>
  <c r="J486" i="12"/>
  <c r="I486" i="12"/>
  <c r="B486" i="13"/>
  <c r="B490" i="13"/>
  <c r="J494" i="13"/>
  <c r="I474" i="13"/>
  <c r="K474" i="12"/>
  <c r="K474" i="13" s="1"/>
  <c r="O474" i="13" s="1"/>
  <c r="P474" i="13" s="1"/>
  <c r="O474" i="12"/>
  <c r="P474" i="12" s="1"/>
  <c r="G488" i="13"/>
  <c r="I488" i="12"/>
  <c r="I476" i="13"/>
  <c r="O476" i="12"/>
  <c r="P476" i="12" s="1"/>
  <c r="K476" i="12"/>
  <c r="K476" i="13" s="1"/>
  <c r="O476" i="13" s="1"/>
  <c r="P476" i="13" s="1"/>
  <c r="K494" i="12"/>
  <c r="K494" i="13" s="1"/>
  <c r="O494" i="13" s="1"/>
  <c r="P494" i="13" s="1"/>
  <c r="O488" i="12"/>
  <c r="P488" i="12" s="1"/>
  <c r="O479" i="13"/>
  <c r="P479" i="13" s="1"/>
  <c r="J478" i="13"/>
  <c r="E490" i="13"/>
  <c r="I490" i="12"/>
  <c r="O490" i="12" s="1"/>
  <c r="P490" i="12" s="1"/>
  <c r="I478" i="13"/>
  <c r="O478" i="12"/>
  <c r="P478" i="12" s="1"/>
  <c r="K478" i="12"/>
  <c r="K478" i="13" s="1"/>
  <c r="O478" i="13" s="1"/>
  <c r="P478" i="13" s="1"/>
  <c r="J490" i="12"/>
  <c r="C490" i="13"/>
  <c r="O485" i="13"/>
  <c r="P485" i="13" s="1"/>
  <c r="O494" i="12"/>
  <c r="P494" i="12" s="1"/>
  <c r="O472" i="13"/>
  <c r="P472" i="13" s="1"/>
  <c r="K487" i="12"/>
  <c r="K487" i="13" s="1"/>
  <c r="O475" i="13"/>
  <c r="P475" i="13" s="1"/>
  <c r="O484" i="12"/>
  <c r="P484" i="12" s="1"/>
  <c r="K484" i="12"/>
  <c r="K484" i="13" s="1"/>
  <c r="O493" i="13"/>
  <c r="P493" i="13" s="1"/>
  <c r="O491" i="12"/>
  <c r="P491" i="12" s="1"/>
  <c r="K491" i="12"/>
  <c r="K491" i="13" s="1"/>
  <c r="O487" i="12"/>
  <c r="P487" i="12" s="1"/>
  <c r="O477" i="13"/>
  <c r="P477" i="13" s="1"/>
  <c r="J491" i="13"/>
  <c r="O489" i="12"/>
  <c r="P489" i="12" s="1"/>
  <c r="J484" i="13"/>
  <c r="J487" i="13"/>
  <c r="O482" i="13"/>
  <c r="P482" i="13" s="1"/>
  <c r="J489" i="13"/>
  <c r="FM200" i="6"/>
  <c r="EW200" i="6"/>
  <c r="FZ202" i="6"/>
  <c r="GA202" i="6" s="1"/>
  <c r="FR203" i="6"/>
  <c r="FT203" i="6" s="1"/>
  <c r="BJ212" i="5"/>
  <c r="AX213" i="5"/>
  <c r="BG212" i="5"/>
  <c r="FY203" i="6"/>
  <c r="FL203" i="6"/>
  <c r="EX200" i="6"/>
  <c r="EM201" i="6"/>
  <c r="EP201" i="6"/>
  <c r="EO201" i="6"/>
  <c r="ER201" i="6"/>
  <c r="EZ199" i="6"/>
  <c r="EL201" i="6"/>
  <c r="EQ201" i="6"/>
  <c r="EN201" i="6"/>
  <c r="BM207" i="5"/>
  <c r="BL207" i="5"/>
  <c r="EK201" i="6"/>
  <c r="FJ201" i="6"/>
  <c r="EY199" i="6"/>
  <c r="BK208" i="5"/>
  <c r="ET199" i="6"/>
  <c r="GZ199" i="6"/>
  <c r="GX199" i="6"/>
  <c r="GV199" i="6"/>
  <c r="GW199" i="6"/>
  <c r="GT199" i="6"/>
  <c r="ES200" i="6"/>
  <c r="EY200" i="6" s="1"/>
  <c r="FH202" i="6"/>
  <c r="FC202" i="6"/>
  <c r="FB202" i="6"/>
  <c r="FI202" i="6"/>
  <c r="FG202" i="6"/>
  <c r="FF202" i="6"/>
  <c r="FE202" i="6"/>
  <c r="FD202" i="6"/>
  <c r="GU199" i="6"/>
  <c r="HA199" i="6"/>
  <c r="K489" i="12"/>
  <c r="K489" i="13" s="1"/>
  <c r="J486" i="13" l="1"/>
  <c r="I486" i="13"/>
  <c r="K486" i="12"/>
  <c r="K486" i="13" s="1"/>
  <c r="O486" i="13" s="1"/>
  <c r="P486" i="13" s="1"/>
  <c r="O486" i="12"/>
  <c r="P486" i="12" s="1"/>
  <c r="J490" i="13"/>
  <c r="I488" i="13"/>
  <c r="K488" i="12"/>
  <c r="K488" i="13" s="1"/>
  <c r="O488" i="13" s="1"/>
  <c r="P488" i="13" s="1"/>
  <c r="O489" i="13"/>
  <c r="P489" i="13" s="1"/>
  <c r="O487" i="13"/>
  <c r="P487" i="13" s="1"/>
  <c r="O484" i="13"/>
  <c r="P484" i="13" s="1"/>
  <c r="I490" i="13"/>
  <c r="K490" i="12"/>
  <c r="K490" i="13" s="1"/>
  <c r="O491" i="13"/>
  <c r="P491" i="13" s="1"/>
  <c r="FM201" i="6"/>
  <c r="FZ203" i="6"/>
  <c r="GA203" i="6" s="1"/>
  <c r="EX201" i="6"/>
  <c r="FJ202" i="6"/>
  <c r="EK202" i="6"/>
  <c r="EZ200" i="6"/>
  <c r="ER202" i="6"/>
  <c r="EL202" i="6"/>
  <c r="ET200" i="6"/>
  <c r="BK209" i="5"/>
  <c r="GW200" i="6"/>
  <c r="GU200" i="6"/>
  <c r="GY200" i="6"/>
  <c r="GT200" i="6"/>
  <c r="GZ200" i="6"/>
  <c r="GV200" i="6"/>
  <c r="AX214" i="5"/>
  <c r="FR204" i="6"/>
  <c r="FT204" i="6" s="1"/>
  <c r="BJ213" i="5"/>
  <c r="FY204" i="6"/>
  <c r="BG213" i="5"/>
  <c r="FL204" i="6"/>
  <c r="EQ202" i="6"/>
  <c r="BM208" i="5"/>
  <c r="BL208" i="5"/>
  <c r="ES201" i="6"/>
  <c r="FE203" i="6"/>
  <c r="FD203" i="6"/>
  <c r="FC203" i="6"/>
  <c r="FB203" i="6"/>
  <c r="FI203" i="6"/>
  <c r="FH203" i="6"/>
  <c r="FG203" i="6"/>
  <c r="FF203" i="6"/>
  <c r="EM202" i="6"/>
  <c r="EN202" i="6"/>
  <c r="EO202" i="6"/>
  <c r="EW201" i="6"/>
  <c r="GX200" i="6"/>
  <c r="EP202" i="6"/>
  <c r="HA200" i="6"/>
  <c r="O490" i="13" l="1"/>
  <c r="P490" i="13" s="1"/>
  <c r="EZ201" i="6"/>
  <c r="FM202" i="6"/>
  <c r="EW202" i="6"/>
  <c r="FZ204" i="6"/>
  <c r="GA204" i="6" s="1"/>
  <c r="EO203" i="6"/>
  <c r="ER203" i="6"/>
  <c r="BM209" i="5"/>
  <c r="BL209" i="5"/>
  <c r="EM203" i="6"/>
  <c r="EX202" i="6"/>
  <c r="ES202" i="6"/>
  <c r="EN203" i="6"/>
  <c r="FR205" i="6"/>
  <c r="FT205" i="6" s="1"/>
  <c r="AX215" i="5"/>
  <c r="BJ214" i="5"/>
  <c r="FY205" i="6"/>
  <c r="BG214" i="5"/>
  <c r="FL205" i="6"/>
  <c r="EP203" i="6"/>
  <c r="EQ203" i="6"/>
  <c r="EK203" i="6"/>
  <c r="FJ203" i="6"/>
  <c r="EL203" i="6"/>
  <c r="ET201" i="6"/>
  <c r="BK210" i="5"/>
  <c r="GW201" i="6"/>
  <c r="GX201" i="6"/>
  <c r="GU201" i="6"/>
  <c r="GT201" i="6"/>
  <c r="HA201" i="6"/>
  <c r="GV201" i="6"/>
  <c r="GZ201" i="6"/>
  <c r="EY201" i="6"/>
  <c r="FI204" i="6"/>
  <c r="FH204" i="6"/>
  <c r="EQ204" i="6" s="1"/>
  <c r="FG204" i="6"/>
  <c r="FF204" i="6"/>
  <c r="FD204" i="6"/>
  <c r="FC204" i="6"/>
  <c r="FE204" i="6"/>
  <c r="FB204" i="6"/>
  <c r="GY201" i="6"/>
  <c r="FM203" i="6" l="1"/>
  <c r="EY202" i="6"/>
  <c r="EW203" i="6"/>
  <c r="EX203" i="6"/>
  <c r="EM204" i="6"/>
  <c r="EO204" i="6"/>
  <c r="BM210" i="5"/>
  <c r="BL210" i="5"/>
  <c r="EK204" i="6"/>
  <c r="FJ204" i="6"/>
  <c r="FH205" i="6"/>
  <c r="FE205" i="6"/>
  <c r="FF205" i="6"/>
  <c r="FI205" i="6"/>
  <c r="ER205" i="6" s="1"/>
  <c r="FG205" i="6"/>
  <c r="FD205" i="6"/>
  <c r="FC205" i="6"/>
  <c r="FB205" i="6"/>
  <c r="AX216" i="5"/>
  <c r="FR206" i="6"/>
  <c r="FT206" i="6" s="1"/>
  <c r="BJ215" i="5"/>
  <c r="BG215" i="5"/>
  <c r="FY206" i="6"/>
  <c r="FL206" i="6"/>
  <c r="EP204" i="6"/>
  <c r="ER204" i="6"/>
  <c r="FZ205" i="6"/>
  <c r="GA205" i="6" s="1"/>
  <c r="ET202" i="6"/>
  <c r="BK211" i="5"/>
  <c r="GU202" i="6"/>
  <c r="GW202" i="6"/>
  <c r="GT202" i="6"/>
  <c r="GZ202" i="6"/>
  <c r="GY202" i="6"/>
  <c r="HA202" i="6"/>
  <c r="GV202" i="6"/>
  <c r="GX202" i="6"/>
  <c r="EZ202" i="6"/>
  <c r="EN204" i="6"/>
  <c r="ES203" i="6"/>
  <c r="GZ203" i="6" s="1"/>
  <c r="EL204" i="6"/>
  <c r="FM204" i="6" l="1"/>
  <c r="EW204" i="6"/>
  <c r="FZ206" i="6"/>
  <c r="GA206" i="6" s="1"/>
  <c r="EX204" i="6"/>
  <c r="GT203" i="6"/>
  <c r="EZ203" i="6"/>
  <c r="EM205" i="6"/>
  <c r="BM211" i="5"/>
  <c r="BL211" i="5"/>
  <c r="EY203" i="6"/>
  <c r="AX217" i="5"/>
  <c r="FR207" i="6"/>
  <c r="FT207" i="6" s="1"/>
  <c r="BJ216" i="5"/>
  <c r="BG216" i="5"/>
  <c r="FY207" i="6"/>
  <c r="FL207" i="6"/>
  <c r="FJ205" i="6"/>
  <c r="EK205" i="6"/>
  <c r="EL205" i="6"/>
  <c r="EP205" i="6"/>
  <c r="EO205" i="6"/>
  <c r="EN205" i="6"/>
  <c r="EQ205" i="6"/>
  <c r="ES204" i="6"/>
  <c r="GW204" i="6" s="1"/>
  <c r="BK212" i="5"/>
  <c r="ET203" i="6"/>
  <c r="GX203" i="6"/>
  <c r="HA203" i="6"/>
  <c r="GU203" i="6"/>
  <c r="GW203" i="6"/>
  <c r="GV203" i="6"/>
  <c r="FD206" i="6"/>
  <c r="FC206" i="6"/>
  <c r="FF206" i="6"/>
  <c r="FB206" i="6"/>
  <c r="FI206" i="6"/>
  <c r="FH206" i="6"/>
  <c r="FG206" i="6"/>
  <c r="FE206" i="6"/>
  <c r="GY203" i="6"/>
  <c r="FM205" i="6" l="1"/>
  <c r="EY204" i="6"/>
  <c r="ER206" i="6"/>
  <c r="ES205" i="6"/>
  <c r="BM212" i="5"/>
  <c r="BL212" i="5"/>
  <c r="GZ204" i="6"/>
  <c r="BK213" i="5"/>
  <c r="ET204" i="6"/>
  <c r="GV204" i="6"/>
  <c r="GX204" i="6"/>
  <c r="GT204" i="6"/>
  <c r="HA204" i="6"/>
  <c r="EX205" i="6"/>
  <c r="EO206" i="6"/>
  <c r="FJ206" i="6"/>
  <c r="EK206" i="6"/>
  <c r="AX218" i="5"/>
  <c r="BJ217" i="5"/>
  <c r="FR208" i="6"/>
  <c r="FT208" i="6" s="1"/>
  <c r="FY208" i="6"/>
  <c r="BG217" i="5"/>
  <c r="FL208" i="6"/>
  <c r="EQ206" i="6"/>
  <c r="EL206" i="6"/>
  <c r="EM206" i="6"/>
  <c r="FZ207" i="6"/>
  <c r="GA207" i="6" s="1"/>
  <c r="FD207" i="6"/>
  <c r="FF207" i="6"/>
  <c r="FC207" i="6"/>
  <c r="FI207" i="6"/>
  <c r="FG207" i="6"/>
  <c r="FH207" i="6"/>
  <c r="FB207" i="6"/>
  <c r="FE207" i="6"/>
  <c r="BH216" i="5"/>
  <c r="GY204" i="6"/>
  <c r="EN206" i="6"/>
  <c r="EW205" i="6"/>
  <c r="EZ204" i="6"/>
  <c r="EP206" i="6"/>
  <c r="GU204" i="6"/>
  <c r="FM206" i="6" l="1"/>
  <c r="EZ205" i="6"/>
  <c r="EY205" i="6"/>
  <c r="EN207" i="6"/>
  <c r="FJ207" i="6"/>
  <c r="EK207" i="6"/>
  <c r="ER207" i="6"/>
  <c r="BL213" i="5"/>
  <c r="BM213" i="5"/>
  <c r="EX206" i="6"/>
  <c r="ES206" i="6"/>
  <c r="GT206" i="6" s="1"/>
  <c r="FR209" i="6"/>
  <c r="FT209" i="6" s="1"/>
  <c r="AX219" i="5"/>
  <c r="BJ218" i="5"/>
  <c r="FY209" i="6"/>
  <c r="BG218" i="5"/>
  <c r="FL209" i="6"/>
  <c r="EO207" i="6"/>
  <c r="FH208" i="6"/>
  <c r="FG208" i="6"/>
  <c r="FF208" i="6"/>
  <c r="FE208" i="6"/>
  <c r="FI208" i="6"/>
  <c r="ER208" i="6" s="1"/>
  <c r="FD208" i="6"/>
  <c r="FC208" i="6"/>
  <c r="FB208" i="6"/>
  <c r="EQ207" i="6"/>
  <c r="EP207" i="6"/>
  <c r="EL207" i="6"/>
  <c r="EM207" i="6"/>
  <c r="HA205" i="6"/>
  <c r="ET205" i="6"/>
  <c r="BK214" i="5"/>
  <c r="GW205" i="6"/>
  <c r="GT205" i="6"/>
  <c r="EW206" i="6"/>
  <c r="GU205" i="6"/>
  <c r="GV205" i="6"/>
  <c r="GX205" i="6"/>
  <c r="GZ205" i="6"/>
  <c r="FZ208" i="6"/>
  <c r="GA208" i="6" s="1"/>
  <c r="GY205" i="6"/>
  <c r="FM207" i="6" l="1"/>
  <c r="FZ209" i="6"/>
  <c r="GA209" i="6" s="1"/>
  <c r="EQ208" i="6"/>
  <c r="BM214" i="5"/>
  <c r="BL214" i="5"/>
  <c r="AX220" i="5"/>
  <c r="BJ219" i="5"/>
  <c r="FR210" i="6"/>
  <c r="FT210" i="6" s="1"/>
  <c r="BG219" i="5"/>
  <c r="FY210" i="6"/>
  <c r="FL210" i="6"/>
  <c r="EX207" i="6"/>
  <c r="EL208" i="6"/>
  <c r="EM208" i="6"/>
  <c r="EP208" i="6"/>
  <c r="FI209" i="6"/>
  <c r="FH209" i="6"/>
  <c r="FG209" i="6"/>
  <c r="FF209" i="6"/>
  <c r="FC209" i="6"/>
  <c r="FD209" i="6"/>
  <c r="FB209" i="6"/>
  <c r="FE209" i="6"/>
  <c r="ET206" i="6"/>
  <c r="BK215" i="5"/>
  <c r="HA206" i="6"/>
  <c r="GV206" i="6"/>
  <c r="GW206" i="6"/>
  <c r="GY206" i="6"/>
  <c r="GU206" i="6"/>
  <c r="GX206" i="6"/>
  <c r="EZ206" i="6"/>
  <c r="FJ208" i="6"/>
  <c r="EK208" i="6"/>
  <c r="ES207" i="6"/>
  <c r="EN208" i="6"/>
  <c r="EW207" i="6"/>
  <c r="EY206" i="6"/>
  <c r="EO208" i="6"/>
  <c r="GZ206" i="6"/>
  <c r="EW208" i="6" l="1"/>
  <c r="FM208" i="6"/>
  <c r="ER209" i="6"/>
  <c r="ES208" i="6"/>
  <c r="GW208" i="6" s="1"/>
  <c r="BL215" i="5"/>
  <c r="BM215" i="5"/>
  <c r="FR211" i="6"/>
  <c r="FT211" i="6" s="1"/>
  <c r="AX221" i="5"/>
  <c r="BJ220" i="5"/>
  <c r="FY211" i="6"/>
  <c r="BG220" i="5"/>
  <c r="FL211" i="6"/>
  <c r="EY207" i="6"/>
  <c r="ET207" i="6"/>
  <c r="BK216" i="5"/>
  <c r="GW207" i="6"/>
  <c r="GT207" i="6"/>
  <c r="HA207" i="6"/>
  <c r="GZ207" i="6"/>
  <c r="GX207" i="6"/>
  <c r="EZ207" i="6"/>
  <c r="FC210" i="6"/>
  <c r="FB210" i="6"/>
  <c r="FI210" i="6"/>
  <c r="FG210" i="6"/>
  <c r="FD210" i="6"/>
  <c r="FH210" i="6"/>
  <c r="FF210" i="6"/>
  <c r="FE210" i="6"/>
  <c r="EN210" i="6" s="1"/>
  <c r="FZ210" i="6"/>
  <c r="GA210" i="6" s="1"/>
  <c r="GV207" i="6"/>
  <c r="EN209" i="6"/>
  <c r="FJ209" i="6"/>
  <c r="EK209" i="6"/>
  <c r="EM209" i="6"/>
  <c r="EL209" i="6"/>
  <c r="EX208" i="6"/>
  <c r="EO209" i="6"/>
  <c r="GY207" i="6"/>
  <c r="EP209" i="6"/>
  <c r="GU207" i="6"/>
  <c r="EQ209" i="6"/>
  <c r="FM209" i="6" l="1"/>
  <c r="EZ208" i="6"/>
  <c r="EY208" i="6"/>
  <c r="FZ211" i="6"/>
  <c r="GA211" i="6" s="1"/>
  <c r="ES209" i="6"/>
  <c r="GZ209" i="6" s="1"/>
  <c r="EW209" i="6"/>
  <c r="AX222" i="5"/>
  <c r="BJ221" i="5"/>
  <c r="FR212" i="6"/>
  <c r="FT212" i="6" s="1"/>
  <c r="BG221" i="5"/>
  <c r="FY212" i="6"/>
  <c r="FL212" i="6"/>
  <c r="EO210" i="6"/>
  <c r="EQ210" i="6"/>
  <c r="BL216" i="5"/>
  <c r="BM216" i="5"/>
  <c r="GT209" i="6"/>
  <c r="EX209" i="6"/>
  <c r="EZ209" i="6" s="1"/>
  <c r="EM210" i="6"/>
  <c r="BK218" i="5"/>
  <c r="GW209" i="6"/>
  <c r="FF211" i="6"/>
  <c r="FE211" i="6"/>
  <c r="FD211" i="6"/>
  <c r="FH211" i="6"/>
  <c r="FC211" i="6"/>
  <c r="FB211" i="6"/>
  <c r="FG211" i="6"/>
  <c r="FI211" i="6"/>
  <c r="ER211" i="6" s="1"/>
  <c r="EP210" i="6"/>
  <c r="ER210" i="6"/>
  <c r="HA208" i="6"/>
  <c r="BK217" i="5"/>
  <c r="ET208" i="6"/>
  <c r="GZ208" i="6"/>
  <c r="GX208" i="6"/>
  <c r="GT208" i="6"/>
  <c r="GV208" i="6"/>
  <c r="FJ210" i="6"/>
  <c r="EK210" i="6"/>
  <c r="EL210" i="6"/>
  <c r="GU208" i="6"/>
  <c r="GY208" i="6"/>
  <c r="GY209" i="6" l="1"/>
  <c r="FM210" i="6"/>
  <c r="GX209" i="6"/>
  <c r="HA209" i="6"/>
  <c r="ET209" i="6"/>
  <c r="EY209" i="6"/>
  <c r="GV209" i="6"/>
  <c r="GU209" i="6"/>
  <c r="FJ211" i="6"/>
  <c r="EK211" i="6"/>
  <c r="EW210" i="6"/>
  <c r="BM218" i="5"/>
  <c r="BL218" i="5"/>
  <c r="EX210" i="6"/>
  <c r="EL211" i="6"/>
  <c r="EM211" i="6"/>
  <c r="EN211" i="6"/>
  <c r="AX223" i="5"/>
  <c r="FR213" i="6"/>
  <c r="FT213" i="6" s="1"/>
  <c r="BJ222" i="5"/>
  <c r="BG222" i="5"/>
  <c r="FY213" i="6"/>
  <c r="FL213" i="6"/>
  <c r="FF212" i="6"/>
  <c r="FE212" i="6"/>
  <c r="FG212" i="6"/>
  <c r="FH212" i="6"/>
  <c r="EQ212" i="6" s="1"/>
  <c r="FD212" i="6"/>
  <c r="FC212" i="6"/>
  <c r="FB212" i="6"/>
  <c r="FI212" i="6"/>
  <c r="ES210" i="6"/>
  <c r="EO211" i="6"/>
  <c r="BL217" i="5"/>
  <c r="BM217" i="5"/>
  <c r="EP211" i="6"/>
  <c r="EQ211" i="6"/>
  <c r="FZ212" i="6"/>
  <c r="GA212" i="6" s="1"/>
  <c r="FM211" i="6" l="1"/>
  <c r="EX211" i="6"/>
  <c r="EZ210" i="6"/>
  <c r="EW211" i="6"/>
  <c r="FZ213" i="6"/>
  <c r="GA213" i="6" s="1"/>
  <c r="FI213" i="6"/>
  <c r="ER213" i="6" s="1"/>
  <c r="FH213" i="6"/>
  <c r="FG213" i="6"/>
  <c r="FD213" i="6"/>
  <c r="FF213" i="6"/>
  <c r="FC213" i="6"/>
  <c r="FE213" i="6"/>
  <c r="FB213" i="6"/>
  <c r="AX224" i="5"/>
  <c r="BJ223" i="5"/>
  <c r="FR214" i="6"/>
  <c r="FT214" i="6" s="1"/>
  <c r="FY214" i="6"/>
  <c r="BG223" i="5"/>
  <c r="FL214" i="6"/>
  <c r="GW210" i="6"/>
  <c r="ET210" i="6"/>
  <c r="BK219" i="5"/>
  <c r="GX210" i="6"/>
  <c r="GZ210" i="6"/>
  <c r="HA210" i="6"/>
  <c r="GY210" i="6"/>
  <c r="GV210" i="6"/>
  <c r="ER212" i="6"/>
  <c r="EY210" i="6"/>
  <c r="EM212" i="6"/>
  <c r="ES211" i="6"/>
  <c r="EN212" i="6"/>
  <c r="GU210" i="6"/>
  <c r="EK212" i="6"/>
  <c r="FJ212" i="6"/>
  <c r="EL212" i="6"/>
  <c r="EP212" i="6"/>
  <c r="EO212" i="6"/>
  <c r="GT210" i="6"/>
  <c r="EY211" i="6" l="1"/>
  <c r="FM212" i="6"/>
  <c r="EW212" i="6"/>
  <c r="ES212" i="6"/>
  <c r="GW212" i="6" s="1"/>
  <c r="FR215" i="6"/>
  <c r="FT215" i="6" s="1"/>
  <c r="AX225" i="5"/>
  <c r="BJ224" i="5"/>
  <c r="FY215" i="6"/>
  <c r="BG224" i="5"/>
  <c r="FL215" i="6"/>
  <c r="HA211" i="6"/>
  <c r="ET211" i="6"/>
  <c r="BK220" i="5"/>
  <c r="GT211" i="6"/>
  <c r="GU211" i="6"/>
  <c r="GY211" i="6"/>
  <c r="GW211" i="6"/>
  <c r="GZ211" i="6"/>
  <c r="GV211" i="6"/>
  <c r="EO213" i="6"/>
  <c r="EX212" i="6"/>
  <c r="FZ214" i="6"/>
  <c r="GA214" i="6" s="1"/>
  <c r="FJ213" i="6"/>
  <c r="EK213" i="6"/>
  <c r="EM213" i="6"/>
  <c r="EP213" i="6"/>
  <c r="BL219" i="5"/>
  <c r="BM219" i="5"/>
  <c r="FI214" i="6"/>
  <c r="FB214" i="6"/>
  <c r="FC214" i="6"/>
  <c r="FG214" i="6"/>
  <c r="FD214" i="6"/>
  <c r="FH214" i="6"/>
  <c r="FF214" i="6"/>
  <c r="FE214" i="6"/>
  <c r="EN213" i="6"/>
  <c r="EL213" i="6"/>
  <c r="EQ213" i="6"/>
  <c r="EZ211" i="6"/>
  <c r="GX211" i="6"/>
  <c r="FM213" i="6" l="1"/>
  <c r="GX212" i="6"/>
  <c r="EY212" i="6"/>
  <c r="EZ212" i="6"/>
  <c r="GV212" i="6"/>
  <c r="EW213" i="6"/>
  <c r="FZ215" i="6"/>
  <c r="GA215" i="6" s="1"/>
  <c r="ER214" i="6"/>
  <c r="EN214" i="6"/>
  <c r="EP214" i="6"/>
  <c r="EQ214" i="6"/>
  <c r="EM214" i="6"/>
  <c r="EK214" i="6"/>
  <c r="FJ214" i="6"/>
  <c r="BL220" i="5"/>
  <c r="BM220" i="5"/>
  <c r="FI215" i="6"/>
  <c r="FG215" i="6"/>
  <c r="FF215" i="6"/>
  <c r="FE215" i="6"/>
  <c r="FD215" i="6"/>
  <c r="FC215" i="6"/>
  <c r="FB215" i="6"/>
  <c r="FH215" i="6"/>
  <c r="AX226" i="5"/>
  <c r="BJ225" i="5"/>
  <c r="FR216" i="6"/>
  <c r="FT216" i="6" s="1"/>
  <c r="FY216" i="6"/>
  <c r="BG225" i="5"/>
  <c r="FL216" i="6"/>
  <c r="EO214" i="6"/>
  <c r="EL214" i="6"/>
  <c r="GZ212" i="6"/>
  <c r="ET212" i="6"/>
  <c r="BK221" i="5"/>
  <c r="HA212" i="6"/>
  <c r="GY212" i="6"/>
  <c r="GT212" i="6"/>
  <c r="GU212" i="6"/>
  <c r="EX213" i="6"/>
  <c r="ES213" i="6"/>
  <c r="GU213" i="6" s="1"/>
  <c r="FM214" i="6" l="1"/>
  <c r="GV213" i="6"/>
  <c r="EY213" i="6"/>
  <c r="EP215" i="6"/>
  <c r="ER215" i="6"/>
  <c r="AX227" i="5"/>
  <c r="BJ226" i="5"/>
  <c r="FR217" i="6"/>
  <c r="FT217" i="6" s="1"/>
  <c r="FY217" i="6"/>
  <c r="BG226" i="5"/>
  <c r="FL217" i="6"/>
  <c r="FJ215" i="6"/>
  <c r="EK215" i="6"/>
  <c r="EZ213" i="6"/>
  <c r="FZ216" i="6"/>
  <c r="GA216" i="6" s="1"/>
  <c r="EW214" i="6"/>
  <c r="EY214" i="6" s="1"/>
  <c r="HA213" i="6"/>
  <c r="ET213" i="6"/>
  <c r="BK222" i="5"/>
  <c r="GW213" i="6"/>
  <c r="GY213" i="6"/>
  <c r="GX213" i="6"/>
  <c r="EL215" i="6"/>
  <c r="EN215" i="6"/>
  <c r="GZ213" i="6"/>
  <c r="BL221" i="5"/>
  <c r="BM221" i="5"/>
  <c r="EX214" i="6"/>
  <c r="ES214" i="6"/>
  <c r="FH216" i="6"/>
  <c r="FI216" i="6"/>
  <c r="FC216" i="6"/>
  <c r="FG216" i="6"/>
  <c r="EP216" i="6" s="1"/>
  <c r="FE216" i="6"/>
  <c r="FD216" i="6"/>
  <c r="FB216" i="6"/>
  <c r="FF216" i="6"/>
  <c r="EQ215" i="6"/>
  <c r="EM215" i="6"/>
  <c r="EO215" i="6"/>
  <c r="GT213" i="6"/>
  <c r="FM215" i="6" l="1"/>
  <c r="EX215" i="6"/>
  <c r="ES215" i="6"/>
  <c r="ER216" i="6"/>
  <c r="EQ216" i="6"/>
  <c r="EN216" i="6"/>
  <c r="FZ217" i="6"/>
  <c r="GA217" i="6" s="1"/>
  <c r="FF217" i="6"/>
  <c r="FD217" i="6"/>
  <c r="FG217" i="6"/>
  <c r="FE217" i="6"/>
  <c r="FC217" i="6"/>
  <c r="FH217" i="6"/>
  <c r="FB217" i="6"/>
  <c r="FI217" i="6"/>
  <c r="ET214" i="6"/>
  <c r="BK223" i="5"/>
  <c r="HA214" i="6"/>
  <c r="GY214" i="6"/>
  <c r="GZ214" i="6"/>
  <c r="GV214" i="6"/>
  <c r="GT214" i="6"/>
  <c r="GW214" i="6"/>
  <c r="GU214" i="6"/>
  <c r="GX214" i="6"/>
  <c r="EO216" i="6"/>
  <c r="BM222" i="5"/>
  <c r="BL222" i="5"/>
  <c r="FJ216" i="6"/>
  <c r="EK216" i="6"/>
  <c r="EM216" i="6"/>
  <c r="EL216" i="6"/>
  <c r="EZ214" i="6"/>
  <c r="AX228" i="5"/>
  <c r="BJ227" i="5"/>
  <c r="FR218" i="6"/>
  <c r="FT218" i="6" s="1"/>
  <c r="BG227" i="5"/>
  <c r="FY218" i="6"/>
  <c r="FL218" i="6"/>
  <c r="EW215" i="6"/>
  <c r="EZ215" i="6" l="1"/>
  <c r="FM216" i="6"/>
  <c r="EY215" i="6"/>
  <c r="AX229" i="5"/>
  <c r="FR219" i="6"/>
  <c r="FT219" i="6" s="1"/>
  <c r="BJ228" i="5"/>
  <c r="FY219" i="6"/>
  <c r="BG228" i="5"/>
  <c r="FL219" i="6"/>
  <c r="ER217" i="6"/>
  <c r="FJ217" i="6"/>
  <c r="EK217" i="6"/>
  <c r="EM217" i="6"/>
  <c r="EL217" i="6"/>
  <c r="EP217" i="6"/>
  <c r="EO217" i="6"/>
  <c r="EW216" i="6"/>
  <c r="FZ218" i="6"/>
  <c r="GA218" i="6" s="1"/>
  <c r="FC218" i="6"/>
  <c r="FD218" i="6"/>
  <c r="FE218" i="6"/>
  <c r="EN218" i="6" s="1"/>
  <c r="FB218" i="6"/>
  <c r="FG218" i="6"/>
  <c r="FF218" i="6"/>
  <c r="FH218" i="6"/>
  <c r="FI218" i="6"/>
  <c r="ES216" i="6"/>
  <c r="EN217" i="6"/>
  <c r="BL223" i="5"/>
  <c r="BM223" i="5"/>
  <c r="EQ217" i="6"/>
  <c r="GT216" i="6"/>
  <c r="EX216" i="6"/>
  <c r="EZ216" i="6" s="1"/>
  <c r="ET215" i="6"/>
  <c r="BK224" i="5"/>
  <c r="GY215" i="6"/>
  <c r="GX215" i="6"/>
  <c r="GU215" i="6"/>
  <c r="HA215" i="6"/>
  <c r="GW215" i="6"/>
  <c r="GT215" i="6"/>
  <c r="GV215" i="6"/>
  <c r="GZ215" i="6"/>
  <c r="EY216" i="6" l="1"/>
  <c r="FM217" i="6"/>
  <c r="ES217" i="6"/>
  <c r="GV217" i="6" s="1"/>
  <c r="BL224" i="5"/>
  <c r="BM224" i="5"/>
  <c r="EX217" i="6"/>
  <c r="EZ217" i="6" s="1"/>
  <c r="ER218" i="6"/>
  <c r="EQ218" i="6"/>
  <c r="EW217" i="6"/>
  <c r="EY217" i="6" s="1"/>
  <c r="GY216" i="6"/>
  <c r="ET216" i="6"/>
  <c r="BK225" i="5"/>
  <c r="HA216" i="6"/>
  <c r="GZ216" i="6"/>
  <c r="GV216" i="6"/>
  <c r="GU216" i="6"/>
  <c r="GW216" i="6"/>
  <c r="EO218" i="6"/>
  <c r="FZ219" i="6"/>
  <c r="GA219" i="6" s="1"/>
  <c r="FG219" i="6"/>
  <c r="FD219" i="6"/>
  <c r="FF219" i="6"/>
  <c r="FE219" i="6"/>
  <c r="FC219" i="6"/>
  <c r="FB219" i="6"/>
  <c r="FI219" i="6"/>
  <c r="FH219" i="6"/>
  <c r="BH228" i="5"/>
  <c r="EP218" i="6"/>
  <c r="EK218" i="6"/>
  <c r="FJ218" i="6"/>
  <c r="EM218" i="6"/>
  <c r="AX230" i="5"/>
  <c r="BJ229" i="5"/>
  <c r="FR220" i="6"/>
  <c r="FT220" i="6" s="1"/>
  <c r="BG229" i="5"/>
  <c r="FY220" i="6"/>
  <c r="FL220" i="6"/>
  <c r="EL218" i="6"/>
  <c r="GX216" i="6"/>
  <c r="FM218" i="6" l="1"/>
  <c r="FZ220" i="6"/>
  <c r="GA220" i="6" s="1"/>
  <c r="ES218" i="6"/>
  <c r="GW218" i="6" s="1"/>
  <c r="FH220" i="6"/>
  <c r="FG220" i="6"/>
  <c r="EP220" i="6" s="1"/>
  <c r="FC220" i="6"/>
  <c r="FB220" i="6"/>
  <c r="FI220" i="6"/>
  <c r="FF220" i="6"/>
  <c r="FE220" i="6"/>
  <c r="FD220" i="6"/>
  <c r="FR221" i="6"/>
  <c r="FT221" i="6" s="1"/>
  <c r="AX231" i="5"/>
  <c r="BJ230" i="5"/>
  <c r="FY221" i="6"/>
  <c r="BG230" i="5"/>
  <c r="FL221" i="6"/>
  <c r="BL225" i="5"/>
  <c r="BM225" i="5"/>
  <c r="EQ219" i="6"/>
  <c r="ER219" i="6"/>
  <c r="EX218" i="6"/>
  <c r="EK219" i="6"/>
  <c r="FJ219" i="6"/>
  <c r="EL219" i="6"/>
  <c r="EN219" i="6"/>
  <c r="EW218" i="6"/>
  <c r="EO219" i="6"/>
  <c r="EM219" i="6"/>
  <c r="EP219" i="6"/>
  <c r="ET217" i="6"/>
  <c r="BK226" i="5"/>
  <c r="GW217" i="6"/>
  <c r="GU217" i="6"/>
  <c r="HA217" i="6"/>
  <c r="GT217" i="6"/>
  <c r="GY217" i="6"/>
  <c r="GZ217" i="6"/>
  <c r="GX217" i="6"/>
  <c r="FM219" i="6" l="1"/>
  <c r="EY218" i="6"/>
  <c r="EZ218" i="6"/>
  <c r="EX219" i="6"/>
  <c r="FZ221" i="6"/>
  <c r="GA221" i="6" s="1"/>
  <c r="BL226" i="5"/>
  <c r="BM226" i="5"/>
  <c r="ER220" i="6"/>
  <c r="AX232" i="5"/>
  <c r="BJ231" i="5"/>
  <c r="FR222" i="6"/>
  <c r="FT222" i="6" s="1"/>
  <c r="BG231" i="5"/>
  <c r="FY222" i="6"/>
  <c r="FL222" i="6"/>
  <c r="EK220" i="6"/>
  <c r="FJ220" i="6"/>
  <c r="EL220" i="6"/>
  <c r="EM220" i="6"/>
  <c r="FC221" i="6"/>
  <c r="FB221" i="6"/>
  <c r="FI221" i="6"/>
  <c r="FG221" i="6"/>
  <c r="FD221" i="6"/>
  <c r="FH221" i="6"/>
  <c r="FF221" i="6"/>
  <c r="FE221" i="6"/>
  <c r="EO220" i="6"/>
  <c r="EN220" i="6"/>
  <c r="EW219" i="6"/>
  <c r="ES219" i="6"/>
  <c r="GX219" i="6" s="1"/>
  <c r="EQ220" i="6"/>
  <c r="ET218" i="6"/>
  <c r="BK227" i="5"/>
  <c r="GX218" i="6"/>
  <c r="GZ218" i="6"/>
  <c r="HA218" i="6"/>
  <c r="GT218" i="6"/>
  <c r="GV218" i="6"/>
  <c r="GU218" i="6"/>
  <c r="GY218" i="6"/>
  <c r="FM220" i="6" l="1"/>
  <c r="EX220" i="6"/>
  <c r="BM227" i="5"/>
  <c r="BL227" i="5"/>
  <c r="AX233" i="5"/>
  <c r="BJ232" i="5"/>
  <c r="FR223" i="6"/>
  <c r="FT223" i="6" s="1"/>
  <c r="BG232" i="5"/>
  <c r="FY223" i="6"/>
  <c r="FL223" i="6"/>
  <c r="EN221" i="6"/>
  <c r="EZ219" i="6"/>
  <c r="EW220" i="6"/>
  <c r="EL221" i="6"/>
  <c r="ES220" i="6"/>
  <c r="ET219" i="6"/>
  <c r="BK228" i="5"/>
  <c r="HA219" i="6"/>
  <c r="GT219" i="6"/>
  <c r="GV219" i="6"/>
  <c r="GU219" i="6"/>
  <c r="GW219" i="6"/>
  <c r="GY219" i="6"/>
  <c r="GZ219" i="6"/>
  <c r="EY219" i="6"/>
  <c r="FG222" i="6"/>
  <c r="FI222" i="6"/>
  <c r="FH222" i="6"/>
  <c r="FB222" i="6"/>
  <c r="FF222" i="6"/>
  <c r="FE222" i="6"/>
  <c r="FD222" i="6"/>
  <c r="FC222" i="6"/>
  <c r="FZ222" i="6"/>
  <c r="GA222" i="6" s="1"/>
  <c r="EO221" i="6"/>
  <c r="EQ221" i="6"/>
  <c r="EM221" i="6"/>
  <c r="EP221" i="6"/>
  <c r="ER221" i="6"/>
  <c r="FJ221" i="6"/>
  <c r="EK221" i="6"/>
  <c r="FM221" i="6" l="1"/>
  <c r="EZ220" i="6"/>
  <c r="EX221" i="6"/>
  <c r="GZ220" i="6"/>
  <c r="BM228" i="5"/>
  <c r="BL228" i="5"/>
  <c r="EY220" i="6"/>
  <c r="EK222" i="6"/>
  <c r="FJ222" i="6"/>
  <c r="EQ222" i="6"/>
  <c r="GW220" i="6"/>
  <c r="EL222" i="6"/>
  <c r="EM222" i="6"/>
  <c r="ER222" i="6"/>
  <c r="EP222" i="6"/>
  <c r="ES221" i="6"/>
  <c r="EZ221" i="6" s="1"/>
  <c r="FZ223" i="6"/>
  <c r="GA223" i="6" s="1"/>
  <c r="GY220" i="6"/>
  <c r="ET220" i="6"/>
  <c r="BK229" i="5"/>
  <c r="GT220" i="6"/>
  <c r="GX220" i="6"/>
  <c r="GU220" i="6"/>
  <c r="HA220" i="6"/>
  <c r="GV220" i="6"/>
  <c r="EN222" i="6"/>
  <c r="EO222" i="6"/>
  <c r="EW221" i="6"/>
  <c r="FF223" i="6"/>
  <c r="FE223" i="6"/>
  <c r="FD223" i="6"/>
  <c r="FC223" i="6"/>
  <c r="FB223" i="6"/>
  <c r="FG223" i="6"/>
  <c r="FI223" i="6"/>
  <c r="FH223" i="6"/>
  <c r="AX234" i="5"/>
  <c r="BJ233" i="5"/>
  <c r="FR224" i="6"/>
  <c r="FT224" i="6" s="1"/>
  <c r="BG233" i="5"/>
  <c r="FY224" i="6"/>
  <c r="FL224" i="6"/>
  <c r="FM222" i="6" l="1"/>
  <c r="FZ224" i="6"/>
  <c r="GA224" i="6" s="1"/>
  <c r="EP223" i="6"/>
  <c r="EQ223" i="6"/>
  <c r="EY221" i="6"/>
  <c r="EX222" i="6"/>
  <c r="FR225" i="6"/>
  <c r="FT225" i="6" s="1"/>
  <c r="AX235" i="5"/>
  <c r="BJ234" i="5"/>
  <c r="BG234" i="5"/>
  <c r="FY225" i="6"/>
  <c r="FL225" i="6"/>
  <c r="EN223" i="6"/>
  <c r="ET221" i="6"/>
  <c r="BK230" i="5"/>
  <c r="GY221" i="6"/>
  <c r="HA221" i="6"/>
  <c r="GT221" i="6"/>
  <c r="GU221" i="6"/>
  <c r="GW221" i="6"/>
  <c r="GV221" i="6"/>
  <c r="GZ221" i="6"/>
  <c r="GX221" i="6"/>
  <c r="ER223" i="6"/>
  <c r="FJ223" i="6"/>
  <c r="EK223" i="6"/>
  <c r="EL223" i="6"/>
  <c r="EM223" i="6"/>
  <c r="EO223" i="6"/>
  <c r="EW222" i="6"/>
  <c r="ES222" i="6"/>
  <c r="FE224" i="6"/>
  <c r="FI224" i="6"/>
  <c r="FH224" i="6"/>
  <c r="EQ224" i="6" s="1"/>
  <c r="FF224" i="6"/>
  <c r="FD224" i="6"/>
  <c r="FC224" i="6"/>
  <c r="FB224" i="6"/>
  <c r="FG224" i="6"/>
  <c r="BL229" i="5"/>
  <c r="BM229" i="5"/>
  <c r="FM223" i="6" l="1"/>
  <c r="EW223" i="6"/>
  <c r="EZ222" i="6"/>
  <c r="BK231" i="5"/>
  <c r="ET222" i="6"/>
  <c r="GZ222" i="6"/>
  <c r="GT222" i="6"/>
  <c r="GU222" i="6"/>
  <c r="GW222" i="6"/>
  <c r="GX222" i="6"/>
  <c r="HA222" i="6"/>
  <c r="GY222" i="6"/>
  <c r="GV222" i="6"/>
  <c r="AX236" i="5"/>
  <c r="BJ235" i="5"/>
  <c r="FR226" i="6"/>
  <c r="FT226" i="6" s="1"/>
  <c r="BG235" i="5"/>
  <c r="FY226" i="6"/>
  <c r="FL226" i="6"/>
  <c r="EN224" i="6"/>
  <c r="EL224" i="6"/>
  <c r="EO224" i="6"/>
  <c r="ER224" i="6"/>
  <c r="BL230" i="5"/>
  <c r="BM230" i="5"/>
  <c r="EY222" i="6"/>
  <c r="FZ225" i="6"/>
  <c r="GA225" i="6" s="1"/>
  <c r="ES223" i="6"/>
  <c r="EM224" i="6"/>
  <c r="FF225" i="6"/>
  <c r="FE225" i="6"/>
  <c r="FD225" i="6"/>
  <c r="FC225" i="6"/>
  <c r="FB225" i="6"/>
  <c r="FG225" i="6"/>
  <c r="FI225" i="6"/>
  <c r="FH225" i="6"/>
  <c r="EX223" i="6"/>
  <c r="EP224" i="6"/>
  <c r="FJ224" i="6"/>
  <c r="EK224" i="6"/>
  <c r="FM224" i="6" l="1"/>
  <c r="EW224" i="6"/>
  <c r="EY223" i="6"/>
  <c r="EL225" i="6"/>
  <c r="EQ225" i="6"/>
  <c r="EM225" i="6"/>
  <c r="FH226" i="6"/>
  <c r="FG226" i="6"/>
  <c r="FF226" i="6"/>
  <c r="FE226" i="6"/>
  <c r="FB226" i="6"/>
  <c r="FD226" i="6"/>
  <c r="FC226" i="6"/>
  <c r="FI226" i="6"/>
  <c r="AX237" i="5"/>
  <c r="BJ236" i="5"/>
  <c r="FR227" i="6"/>
  <c r="FT227" i="6" s="1"/>
  <c r="BG236" i="5"/>
  <c r="FY227" i="6"/>
  <c r="FL227" i="6"/>
  <c r="ES224" i="6"/>
  <c r="EP225" i="6"/>
  <c r="FJ225" i="6"/>
  <c r="EK225" i="6"/>
  <c r="EN225" i="6"/>
  <c r="EO225" i="6"/>
  <c r="EX224" i="6"/>
  <c r="BM231" i="5"/>
  <c r="BL231" i="5"/>
  <c r="ER225" i="6"/>
  <c r="FZ226" i="6"/>
  <c r="GA226" i="6" s="1"/>
  <c r="EZ223" i="6"/>
  <c r="ET223" i="6"/>
  <c r="BK232" i="5"/>
  <c r="GY223" i="6"/>
  <c r="HA223" i="6"/>
  <c r="GV223" i="6"/>
  <c r="GZ223" i="6"/>
  <c r="GT223" i="6"/>
  <c r="GU223" i="6"/>
  <c r="GX223" i="6"/>
  <c r="GW223" i="6"/>
  <c r="FM225" i="6" l="1"/>
  <c r="EY224" i="6"/>
  <c r="EW225" i="6"/>
  <c r="EZ224" i="6"/>
  <c r="FH227" i="6"/>
  <c r="FI227" i="6"/>
  <c r="FG227" i="6"/>
  <c r="FF227" i="6"/>
  <c r="FC227" i="6"/>
  <c r="FE227" i="6"/>
  <c r="FD227" i="6"/>
  <c r="FB227" i="6"/>
  <c r="FZ227" i="6"/>
  <c r="GA227" i="6" s="1"/>
  <c r="ER226" i="6"/>
  <c r="EK226" i="6"/>
  <c r="FJ226" i="6"/>
  <c r="EO226" i="6"/>
  <c r="AX238" i="5"/>
  <c r="BJ237" i="5"/>
  <c r="FR228" i="6"/>
  <c r="FT228" i="6" s="1"/>
  <c r="FY228" i="6"/>
  <c r="BG237" i="5"/>
  <c r="FL228" i="6"/>
  <c r="EM226" i="6"/>
  <c r="EN226" i="6"/>
  <c r="BL232" i="5"/>
  <c r="BM232" i="5"/>
  <c r="EL226" i="6"/>
  <c r="EP226" i="6"/>
  <c r="EQ226" i="6"/>
  <c r="ES225" i="6"/>
  <c r="EY225" i="6" s="1"/>
  <c r="EX225" i="6"/>
  <c r="GZ224" i="6"/>
  <c r="BK233" i="5"/>
  <c r="ET224" i="6"/>
  <c r="GY224" i="6"/>
  <c r="GV224" i="6"/>
  <c r="GT224" i="6"/>
  <c r="HA224" i="6"/>
  <c r="GW224" i="6"/>
  <c r="GU224" i="6"/>
  <c r="GX224" i="6"/>
  <c r="FM226" i="6" l="1"/>
  <c r="GV225" i="6"/>
  <c r="EZ225" i="6"/>
  <c r="EW226" i="6"/>
  <c r="AX239" i="5"/>
  <c r="BJ238" i="5"/>
  <c r="BG238" i="5"/>
  <c r="GW225" i="6"/>
  <c r="FJ227" i="6"/>
  <c r="EK227" i="6"/>
  <c r="EM227" i="6"/>
  <c r="ET225" i="6"/>
  <c r="BK234" i="5"/>
  <c r="GU225" i="6"/>
  <c r="GY225" i="6"/>
  <c r="GT225" i="6"/>
  <c r="GX225" i="6"/>
  <c r="HA225" i="6"/>
  <c r="GZ225" i="6"/>
  <c r="EL227" i="6"/>
  <c r="EP227" i="6"/>
  <c r="BM233" i="5"/>
  <c r="BL233" i="5"/>
  <c r="EX226" i="6"/>
  <c r="ES226" i="6"/>
  <c r="GU226" i="6" s="1"/>
  <c r="EN227" i="6"/>
  <c r="EO227" i="6"/>
  <c r="ER227" i="6"/>
  <c r="FZ228" i="6"/>
  <c r="GA228" i="6" s="1"/>
  <c r="FH228" i="6"/>
  <c r="FB228" i="6"/>
  <c r="FI228" i="6"/>
  <c r="FF228" i="6"/>
  <c r="FE228" i="6"/>
  <c r="FG228" i="6"/>
  <c r="FC228" i="6"/>
  <c r="FD228" i="6"/>
  <c r="EQ227" i="6"/>
  <c r="FM227" i="6" l="1"/>
  <c r="EY226" i="6"/>
  <c r="EO228" i="6"/>
  <c r="EN228" i="6"/>
  <c r="EQ228" i="6"/>
  <c r="EL228" i="6"/>
  <c r="ER228" i="6"/>
  <c r="ES227" i="6"/>
  <c r="GT227" i="6" s="1"/>
  <c r="FF229" i="6"/>
  <c r="FG229" i="6"/>
  <c r="FB229" i="6"/>
  <c r="FD229" i="6"/>
  <c r="FI229" i="6"/>
  <c r="FE229" i="6"/>
  <c r="FC229" i="6"/>
  <c r="FH229" i="6"/>
  <c r="EM228" i="6"/>
  <c r="EP228" i="6"/>
  <c r="EK228" i="6"/>
  <c r="FJ228" i="6"/>
  <c r="BL234" i="5"/>
  <c r="BM234" i="5"/>
  <c r="EW227" i="6"/>
  <c r="BK235" i="5"/>
  <c r="ET226" i="6"/>
  <c r="GV226" i="6"/>
  <c r="GW226" i="6"/>
  <c r="GZ226" i="6"/>
  <c r="GY226" i="6"/>
  <c r="GX226" i="6"/>
  <c r="GT226" i="6"/>
  <c r="EZ226" i="6"/>
  <c r="AX240" i="5"/>
  <c r="BJ239" i="5"/>
  <c r="BG239" i="5"/>
  <c r="EX227" i="6"/>
  <c r="HA226" i="6"/>
  <c r="FM228" i="6" l="1"/>
  <c r="EZ227" i="6"/>
  <c r="EM229" i="6"/>
  <c r="AX241" i="5"/>
  <c r="BJ240" i="5"/>
  <c r="BG240" i="5"/>
  <c r="EK229" i="6"/>
  <c r="FJ229" i="6"/>
  <c r="EP229" i="6"/>
  <c r="EN229" i="6"/>
  <c r="EQ229" i="6"/>
  <c r="ER229" i="6"/>
  <c r="EO229" i="6"/>
  <c r="ES228" i="6"/>
  <c r="FG230" i="6"/>
  <c r="FE230" i="6"/>
  <c r="FC230" i="6"/>
  <c r="FD230" i="6"/>
  <c r="FI230" i="6"/>
  <c r="FH230" i="6"/>
  <c r="EQ230" i="6" s="1"/>
  <c r="FB230" i="6"/>
  <c r="FF230" i="6"/>
  <c r="EL229" i="6"/>
  <c r="EY227" i="6"/>
  <c r="ET227" i="6"/>
  <c r="BK236" i="5"/>
  <c r="GZ227" i="6"/>
  <c r="GW227" i="6"/>
  <c r="GY227" i="6"/>
  <c r="GX227" i="6"/>
  <c r="HA227" i="6"/>
  <c r="GU227" i="6"/>
  <c r="GV227" i="6"/>
  <c r="BM235" i="5"/>
  <c r="BL235" i="5"/>
  <c r="EX228" i="6"/>
  <c r="EW228" i="6"/>
  <c r="EW229" i="6" l="1"/>
  <c r="EZ228" i="6"/>
  <c r="BK237" i="5"/>
  <c r="ET228" i="6"/>
  <c r="GX228" i="6"/>
  <c r="GW228" i="6"/>
  <c r="GZ228" i="6"/>
  <c r="GT228" i="6"/>
  <c r="GV228" i="6"/>
  <c r="BL236" i="5"/>
  <c r="BM236" i="5"/>
  <c r="EX229" i="6"/>
  <c r="ES229" i="6"/>
  <c r="EO230" i="6"/>
  <c r="FE231" i="6"/>
  <c r="FD231" i="6"/>
  <c r="FF231" i="6"/>
  <c r="FC231" i="6"/>
  <c r="FI231" i="6"/>
  <c r="FH231" i="6"/>
  <c r="FB231" i="6"/>
  <c r="FG231" i="6"/>
  <c r="BH240" i="5"/>
  <c r="FJ230" i="6"/>
  <c r="EK230" i="6"/>
  <c r="AX242" i="5"/>
  <c r="BJ241" i="5"/>
  <c r="BG241" i="5"/>
  <c r="ER230" i="6"/>
  <c r="EM230" i="6"/>
  <c r="EL230" i="6"/>
  <c r="GU228" i="6"/>
  <c r="EY228" i="6"/>
  <c r="EN230" i="6"/>
  <c r="HA228" i="6"/>
  <c r="EP230" i="6"/>
  <c r="GY228" i="6"/>
  <c r="EO231" i="6" l="1"/>
  <c r="EX230" i="6"/>
  <c r="EM231" i="6"/>
  <c r="EZ229" i="6"/>
  <c r="EL231" i="6"/>
  <c r="ET229" i="6"/>
  <c r="BK238" i="5"/>
  <c r="GV229" i="6"/>
  <c r="GZ229" i="6"/>
  <c r="GX229" i="6"/>
  <c r="GU229" i="6"/>
  <c r="GT229" i="6"/>
  <c r="GW229" i="6"/>
  <c r="HA229" i="6"/>
  <c r="EY229" i="6"/>
  <c r="EP231" i="6"/>
  <c r="EW230" i="6"/>
  <c r="EY230" i="6" s="1"/>
  <c r="FJ231" i="6"/>
  <c r="EK231" i="6"/>
  <c r="ER231" i="6"/>
  <c r="EN231" i="6"/>
  <c r="FG232" i="6"/>
  <c r="FD232" i="6"/>
  <c r="FF232" i="6"/>
  <c r="FH232" i="6"/>
  <c r="FE232" i="6"/>
  <c r="FI232" i="6"/>
  <c r="FB232" i="6"/>
  <c r="FC232" i="6"/>
  <c r="AX243" i="5"/>
  <c r="BJ242" i="5"/>
  <c r="BG242" i="5"/>
  <c r="ES230" i="6"/>
  <c r="GX230" i="6" s="1"/>
  <c r="BL237" i="5"/>
  <c r="BM237" i="5"/>
  <c r="EQ231" i="6"/>
  <c r="GY229" i="6"/>
  <c r="EW231" i="6" l="1"/>
  <c r="GZ230" i="6"/>
  <c r="EZ230" i="6"/>
  <c r="GW230" i="6"/>
  <c r="GV230" i="6"/>
  <c r="BM238" i="5"/>
  <c r="BL238" i="5"/>
  <c r="EM232" i="6"/>
  <c r="ER232" i="6"/>
  <c r="BJ243" i="5"/>
  <c r="AX244" i="5"/>
  <c r="BG243" i="5"/>
  <c r="EK232" i="6"/>
  <c r="FJ232" i="6"/>
  <c r="EO232" i="6"/>
  <c r="EN232" i="6"/>
  <c r="FD233" i="6"/>
  <c r="FF233" i="6"/>
  <c r="FB233" i="6"/>
  <c r="FH233" i="6"/>
  <c r="FC233" i="6"/>
  <c r="FE233" i="6"/>
  <c r="FI233" i="6"/>
  <c r="FG233" i="6"/>
  <c r="EL232" i="6"/>
  <c r="EQ232" i="6"/>
  <c r="EP232" i="6"/>
  <c r="ES231" i="6"/>
  <c r="EY231" i="6" s="1"/>
  <c r="EX231" i="6"/>
  <c r="ET230" i="6"/>
  <c r="BK239" i="5"/>
  <c r="HA230" i="6"/>
  <c r="GT230" i="6"/>
  <c r="GU230" i="6"/>
  <c r="GY230" i="6"/>
  <c r="EZ231" i="6" l="1"/>
  <c r="EW232" i="6"/>
  <c r="EK233" i="6"/>
  <c r="FJ233" i="6"/>
  <c r="AX245" i="5"/>
  <c r="BJ244" i="5"/>
  <c r="BG244" i="5"/>
  <c r="EQ233" i="6"/>
  <c r="EM233" i="6"/>
  <c r="BM239" i="5"/>
  <c r="BL239" i="5"/>
  <c r="BK240" i="5"/>
  <c r="ET231" i="6"/>
  <c r="GY231" i="6"/>
  <c r="GT231" i="6"/>
  <c r="GW231" i="6"/>
  <c r="GX231" i="6"/>
  <c r="GZ231" i="6"/>
  <c r="HA231" i="6"/>
  <c r="GV231" i="6"/>
  <c r="FD234" i="6"/>
  <c r="FC234" i="6"/>
  <c r="FF234" i="6"/>
  <c r="FH234" i="6"/>
  <c r="FI234" i="6"/>
  <c r="FB234" i="6"/>
  <c r="FG234" i="6"/>
  <c r="FE234" i="6"/>
  <c r="EX232" i="6"/>
  <c r="EP233" i="6"/>
  <c r="ER233" i="6"/>
  <c r="EN233" i="6"/>
  <c r="EO233" i="6"/>
  <c r="ES232" i="6"/>
  <c r="EL233" i="6"/>
  <c r="GU231" i="6"/>
  <c r="EW233" i="6" l="1"/>
  <c r="EX233" i="6"/>
  <c r="ER234" i="6"/>
  <c r="EO234" i="6"/>
  <c r="FJ234" i="6"/>
  <c r="EK234" i="6"/>
  <c r="ET232" i="6"/>
  <c r="BK241" i="5"/>
  <c r="GY232" i="6"/>
  <c r="GX232" i="6"/>
  <c r="GW232" i="6"/>
  <c r="GU232" i="6"/>
  <c r="HA232" i="6"/>
  <c r="GZ232" i="6"/>
  <c r="GT232" i="6"/>
  <c r="EZ232" i="6"/>
  <c r="GZ233" i="6"/>
  <c r="EN234" i="6"/>
  <c r="EP234" i="6"/>
  <c r="FF235" i="6"/>
  <c r="FH235" i="6"/>
  <c r="FB235" i="6"/>
  <c r="FG235" i="6"/>
  <c r="FD235" i="6"/>
  <c r="FC235" i="6"/>
  <c r="EL235" i="6" s="1"/>
  <c r="FI235" i="6"/>
  <c r="FE235" i="6"/>
  <c r="BJ245" i="5"/>
  <c r="AX246" i="5"/>
  <c r="BG245" i="5"/>
  <c r="EQ234" i="6"/>
  <c r="EY232" i="6"/>
  <c r="EL234" i="6"/>
  <c r="ES233" i="6"/>
  <c r="BM240" i="5"/>
  <c r="BL240" i="5"/>
  <c r="EM234" i="6"/>
  <c r="GV232" i="6"/>
  <c r="AX247" i="5" l="1"/>
  <c r="BJ246" i="5"/>
  <c r="BG246" i="5"/>
  <c r="BK242" i="5"/>
  <c r="ET233" i="6"/>
  <c r="GT233" i="6"/>
  <c r="HA233" i="6"/>
  <c r="GW233" i="6"/>
  <c r="GX233" i="6"/>
  <c r="GY233" i="6"/>
  <c r="ER235" i="6"/>
  <c r="ES234" i="6"/>
  <c r="EM235" i="6"/>
  <c r="EP235" i="6"/>
  <c r="EY233" i="6"/>
  <c r="FC236" i="6"/>
  <c r="FE236" i="6"/>
  <c r="FG236" i="6"/>
  <c r="FI236" i="6"/>
  <c r="FH236" i="6"/>
  <c r="FF236" i="6"/>
  <c r="FB236" i="6"/>
  <c r="FD236" i="6"/>
  <c r="EN235" i="6"/>
  <c r="EK235" i="6"/>
  <c r="FJ235" i="6"/>
  <c r="EQ235" i="6"/>
  <c r="BM241" i="5"/>
  <c r="BL241" i="5"/>
  <c r="EO235" i="6"/>
  <c r="EZ233" i="6"/>
  <c r="GV233" i="6"/>
  <c r="EX234" i="6"/>
  <c r="EW234" i="6"/>
  <c r="GU233" i="6"/>
  <c r="EZ234" i="6" l="1"/>
  <c r="ET234" i="6"/>
  <c r="BK243" i="5"/>
  <c r="GV234" i="6"/>
  <c r="GY234" i="6"/>
  <c r="GX234" i="6"/>
  <c r="GT234" i="6"/>
  <c r="ES235" i="6"/>
  <c r="GY235" i="6" s="1"/>
  <c r="EM236" i="6"/>
  <c r="BM242" i="5"/>
  <c r="BL242" i="5"/>
  <c r="FJ236" i="6"/>
  <c r="EK236" i="6"/>
  <c r="EQ236" i="6"/>
  <c r="FB237" i="6"/>
  <c r="FG237" i="6"/>
  <c r="FI237" i="6"/>
  <c r="FC237" i="6"/>
  <c r="FH237" i="6"/>
  <c r="FD237" i="6"/>
  <c r="FE237" i="6"/>
  <c r="EN237" i="6" s="1"/>
  <c r="FF237" i="6"/>
  <c r="ER236" i="6"/>
  <c r="GZ234" i="6"/>
  <c r="EX235" i="6"/>
  <c r="EW235" i="6"/>
  <c r="EO236" i="6"/>
  <c r="BJ247" i="5"/>
  <c r="AX248" i="5"/>
  <c r="BG247" i="5"/>
  <c r="HA234" i="6"/>
  <c r="EP236" i="6"/>
  <c r="GU234" i="6"/>
  <c r="EN236" i="6"/>
  <c r="EW236" i="6" s="1"/>
  <c r="EY234" i="6"/>
  <c r="EL236" i="6"/>
  <c r="GW234" i="6"/>
  <c r="EY235" i="6" l="1"/>
  <c r="ER237" i="6"/>
  <c r="EX236" i="6"/>
  <c r="FH238" i="6"/>
  <c r="FD238" i="6"/>
  <c r="FE238" i="6"/>
  <c r="FG238" i="6"/>
  <c r="EP238" i="6" s="1"/>
  <c r="FI238" i="6"/>
  <c r="FC238" i="6"/>
  <c r="FB238" i="6"/>
  <c r="FF238" i="6"/>
  <c r="GU235" i="6"/>
  <c r="ET235" i="6"/>
  <c r="BK244" i="5"/>
  <c r="GW235" i="6"/>
  <c r="HA235" i="6"/>
  <c r="GX235" i="6"/>
  <c r="GT235" i="6"/>
  <c r="GZ235" i="6"/>
  <c r="GV235" i="6"/>
  <c r="EL237" i="6"/>
  <c r="EZ235" i="6"/>
  <c r="EP237" i="6"/>
  <c r="EK237" i="6"/>
  <c r="FJ237" i="6"/>
  <c r="ES236" i="6"/>
  <c r="AX249" i="5"/>
  <c r="BJ248" i="5"/>
  <c r="BG248" i="5"/>
  <c r="EO237" i="6"/>
  <c r="BL243" i="5"/>
  <c r="BM243" i="5"/>
  <c r="EQ237" i="6"/>
  <c r="EM237" i="6"/>
  <c r="EW237" i="6" l="1"/>
  <c r="FE239" i="6"/>
  <c r="FH239" i="6"/>
  <c r="FD239" i="6"/>
  <c r="FF239" i="6"/>
  <c r="FC239" i="6"/>
  <c r="FG239" i="6"/>
  <c r="EP239" i="6" s="1"/>
  <c r="FI239" i="6"/>
  <c r="ER239" i="6" s="1"/>
  <c r="FB239" i="6"/>
  <c r="FJ238" i="6"/>
  <c r="EK238" i="6"/>
  <c r="BM244" i="5"/>
  <c r="BL244" i="5"/>
  <c r="EX237" i="6"/>
  <c r="EO238" i="6"/>
  <c r="BJ249" i="5"/>
  <c r="AX250" i="5"/>
  <c r="BG249" i="5"/>
  <c r="EL238" i="6"/>
  <c r="BK245" i="5"/>
  <c r="ET236" i="6"/>
  <c r="GZ236" i="6"/>
  <c r="GW236" i="6"/>
  <c r="GU236" i="6"/>
  <c r="HA236" i="6"/>
  <c r="GX236" i="6"/>
  <c r="GT236" i="6"/>
  <c r="GY236" i="6"/>
  <c r="ER238" i="6"/>
  <c r="EN238" i="6"/>
  <c r="ES237" i="6"/>
  <c r="EM238" i="6"/>
  <c r="EQ238" i="6"/>
  <c r="EZ236" i="6"/>
  <c r="EY236" i="6"/>
  <c r="GV236" i="6"/>
  <c r="AX251" i="5" l="1"/>
  <c r="BJ250" i="5"/>
  <c r="BG250" i="5"/>
  <c r="EZ237" i="6"/>
  <c r="EW238" i="6"/>
  <c r="EO239" i="6"/>
  <c r="EY237" i="6"/>
  <c r="ET237" i="6"/>
  <c r="BK246" i="5"/>
  <c r="HA237" i="6"/>
  <c r="GT237" i="6"/>
  <c r="GX237" i="6"/>
  <c r="GV237" i="6"/>
  <c r="GY237" i="6"/>
  <c r="GZ237" i="6"/>
  <c r="EL239" i="6"/>
  <c r="FG240" i="6"/>
  <c r="FF240" i="6"/>
  <c r="FD240" i="6"/>
  <c r="FC240" i="6"/>
  <c r="FE240" i="6"/>
  <c r="FH240" i="6"/>
  <c r="FI240" i="6"/>
  <c r="FB240" i="6"/>
  <c r="EX238" i="6"/>
  <c r="GW237" i="6"/>
  <c r="ES238" i="6"/>
  <c r="GY238" i="6" s="1"/>
  <c r="EK239" i="6"/>
  <c r="FJ239" i="6"/>
  <c r="EM239" i="6"/>
  <c r="EQ239" i="6"/>
  <c r="EN239" i="6"/>
  <c r="BM245" i="5"/>
  <c r="BL245" i="5"/>
  <c r="GU237" i="6"/>
  <c r="EW239" i="6" l="1"/>
  <c r="EZ238" i="6"/>
  <c r="EM240" i="6"/>
  <c r="EX239" i="6"/>
  <c r="ES239" i="6"/>
  <c r="HA239" i="6" s="1"/>
  <c r="EO240" i="6"/>
  <c r="BL246" i="5"/>
  <c r="BM246" i="5"/>
  <c r="EQ240" i="6"/>
  <c r="EK240" i="6"/>
  <c r="FJ240" i="6"/>
  <c r="EP240" i="6"/>
  <c r="EY239" i="6"/>
  <c r="BK247" i="5"/>
  <c r="ET238" i="6"/>
  <c r="GT238" i="6"/>
  <c r="GX238" i="6"/>
  <c r="GW238" i="6"/>
  <c r="HA238" i="6"/>
  <c r="GV238" i="6"/>
  <c r="GZ238" i="6"/>
  <c r="GU238" i="6"/>
  <c r="EY238" i="6"/>
  <c r="ER240" i="6"/>
  <c r="FC241" i="6"/>
  <c r="FD241" i="6"/>
  <c r="FF241" i="6"/>
  <c r="FI241" i="6"/>
  <c r="FB241" i="6"/>
  <c r="FE241" i="6"/>
  <c r="FG241" i="6"/>
  <c r="FH241" i="6"/>
  <c r="EN240" i="6"/>
  <c r="EL240" i="6"/>
  <c r="BJ251" i="5"/>
  <c r="AX252" i="5"/>
  <c r="BG251" i="5"/>
  <c r="EW240" i="6" l="1"/>
  <c r="EZ239" i="6"/>
  <c r="EP241" i="6"/>
  <c r="EK241" i="6"/>
  <c r="FJ241" i="6"/>
  <c r="FC242" i="6"/>
  <c r="FB242" i="6"/>
  <c r="FH242" i="6"/>
  <c r="FF242" i="6"/>
  <c r="FD242" i="6"/>
  <c r="FI242" i="6"/>
  <c r="FG242" i="6"/>
  <c r="FE242" i="6"/>
  <c r="ES240" i="6"/>
  <c r="GT240" i="6" s="1"/>
  <c r="EL241" i="6"/>
  <c r="AX253" i="5"/>
  <c r="BJ252" i="5"/>
  <c r="BG252" i="5"/>
  <c r="EN241" i="6"/>
  <c r="EW241" i="6" s="1"/>
  <c r="EX240" i="6"/>
  <c r="BM247" i="5"/>
  <c r="BL247" i="5"/>
  <c r="EO241" i="6"/>
  <c r="EQ241" i="6"/>
  <c r="ER241" i="6"/>
  <c r="EM241" i="6"/>
  <c r="GY239" i="6"/>
  <c r="BK248" i="5"/>
  <c r="ET239" i="6"/>
  <c r="GT239" i="6"/>
  <c r="GZ239" i="6"/>
  <c r="GW239" i="6"/>
  <c r="GU239" i="6"/>
  <c r="GX239" i="6"/>
  <c r="GV239" i="6"/>
  <c r="BM248" i="5" l="1"/>
  <c r="BL248" i="5"/>
  <c r="EN242" i="6"/>
  <c r="EQ242" i="6"/>
  <c r="ER242" i="6"/>
  <c r="EM242" i="6"/>
  <c r="EP242" i="6"/>
  <c r="EL242" i="6"/>
  <c r="FD243" i="6"/>
  <c r="FC243" i="6"/>
  <c r="FF243" i="6"/>
  <c r="FH243" i="6"/>
  <c r="FG243" i="6"/>
  <c r="FI243" i="6"/>
  <c r="FB243" i="6"/>
  <c r="FE243" i="6"/>
  <c r="BK249" i="5"/>
  <c r="ET240" i="6"/>
  <c r="GV240" i="6"/>
  <c r="GX240" i="6"/>
  <c r="HA240" i="6"/>
  <c r="GZ240" i="6"/>
  <c r="GY240" i="6"/>
  <c r="EO242" i="6"/>
  <c r="EX241" i="6"/>
  <c r="ES241" i="6"/>
  <c r="GW241" i="6" s="1"/>
  <c r="EZ240" i="6"/>
  <c r="AX254" i="5"/>
  <c r="BJ253" i="5"/>
  <c r="BG253" i="5"/>
  <c r="EY240" i="6"/>
  <c r="EK242" i="6"/>
  <c r="FJ242" i="6"/>
  <c r="GW240" i="6"/>
  <c r="GU240" i="6"/>
  <c r="ES242" i="6" l="1"/>
  <c r="GZ242" i="6"/>
  <c r="GT242" i="6"/>
  <c r="EW242" i="6"/>
  <c r="EY242" i="6" s="1"/>
  <c r="EP243" i="6"/>
  <c r="EQ243" i="6"/>
  <c r="EO243" i="6"/>
  <c r="EM243" i="6"/>
  <c r="GU242" i="6"/>
  <c r="ET241" i="6"/>
  <c r="BK250" i="5"/>
  <c r="HA241" i="6"/>
  <c r="GT241" i="6"/>
  <c r="GU241" i="6"/>
  <c r="GY241" i="6"/>
  <c r="GZ241" i="6"/>
  <c r="EZ241" i="6"/>
  <c r="EX242" i="6"/>
  <c r="EZ242" i="6" s="1"/>
  <c r="EL243" i="6"/>
  <c r="AX255" i="5"/>
  <c r="BJ254" i="5"/>
  <c r="BG254" i="5"/>
  <c r="GY242" i="6"/>
  <c r="GV242" i="6"/>
  <c r="GX242" i="6"/>
  <c r="HA242" i="6"/>
  <c r="GW242" i="6"/>
  <c r="ET242" i="6"/>
  <c r="BK251" i="5"/>
  <c r="FF244" i="6"/>
  <c r="FE244" i="6"/>
  <c r="FG244" i="6"/>
  <c r="FD244" i="6"/>
  <c r="FC244" i="6"/>
  <c r="FB244" i="6"/>
  <c r="FH244" i="6"/>
  <c r="FI244" i="6"/>
  <c r="BM249" i="5"/>
  <c r="BL249" i="5"/>
  <c r="EN243" i="6"/>
  <c r="EW243" i="6" s="1"/>
  <c r="EY241" i="6"/>
  <c r="FJ243" i="6"/>
  <c r="EK243" i="6"/>
  <c r="GV241" i="6"/>
  <c r="ER243" i="6"/>
  <c r="GX241" i="6"/>
  <c r="EN244" i="6" l="1"/>
  <c r="BJ255" i="5"/>
  <c r="AX256" i="5"/>
  <c r="BG255" i="5"/>
  <c r="EQ244" i="6"/>
  <c r="FJ244" i="6"/>
  <c r="EK244" i="6"/>
  <c r="EL244" i="6"/>
  <c r="EM244" i="6"/>
  <c r="EP244" i="6"/>
  <c r="EO244" i="6"/>
  <c r="BM251" i="5"/>
  <c r="BL251" i="5"/>
  <c r="EX243" i="6"/>
  <c r="ER244" i="6"/>
  <c r="BL250" i="5"/>
  <c r="BM250" i="5"/>
  <c r="ES243" i="6"/>
  <c r="FC245" i="6"/>
  <c r="FF245" i="6"/>
  <c r="FG245" i="6"/>
  <c r="FH245" i="6"/>
  <c r="FD245" i="6"/>
  <c r="FE245" i="6"/>
  <c r="FI245" i="6"/>
  <c r="FB245" i="6"/>
  <c r="EN245" i="6" l="1"/>
  <c r="EQ245" i="6"/>
  <c r="EX244" i="6"/>
  <c r="FB246" i="6"/>
  <c r="FE246" i="6"/>
  <c r="FI246" i="6"/>
  <c r="ER246" i="6" s="1"/>
  <c r="FH246" i="6"/>
  <c r="FG246" i="6"/>
  <c r="FF246" i="6"/>
  <c r="FD246" i="6"/>
  <c r="FC246" i="6"/>
  <c r="EL245" i="6"/>
  <c r="EK245" i="6"/>
  <c r="FJ245" i="6"/>
  <c r="ER245" i="6"/>
  <c r="EM245" i="6"/>
  <c r="ES244" i="6"/>
  <c r="EP245" i="6"/>
  <c r="EO245" i="6"/>
  <c r="EY243" i="6"/>
  <c r="ET243" i="6"/>
  <c r="BK252" i="5"/>
  <c r="GT243" i="6"/>
  <c r="GW243" i="6"/>
  <c r="GZ243" i="6"/>
  <c r="HA243" i="6"/>
  <c r="GX243" i="6"/>
  <c r="GV243" i="6"/>
  <c r="AX257" i="5"/>
  <c r="BJ256" i="5"/>
  <c r="BG256" i="5"/>
  <c r="EW244" i="6"/>
  <c r="GY243" i="6"/>
  <c r="EZ243" i="6"/>
  <c r="GU243" i="6"/>
  <c r="EY244" i="6" l="1"/>
  <c r="EZ244" i="6"/>
  <c r="EW245" i="6"/>
  <c r="FD247" i="6"/>
  <c r="FG247" i="6"/>
  <c r="FB247" i="6"/>
  <c r="FE247" i="6"/>
  <c r="FF247" i="6"/>
  <c r="FI247" i="6"/>
  <c r="FH247" i="6"/>
  <c r="FC247" i="6"/>
  <c r="EL246" i="6"/>
  <c r="ES245" i="6"/>
  <c r="EM246" i="6"/>
  <c r="EQ246" i="6"/>
  <c r="EX245" i="6"/>
  <c r="EZ245" i="6" s="1"/>
  <c r="GW245" i="6"/>
  <c r="EN246" i="6"/>
  <c r="EW246" i="6" s="1"/>
  <c r="AX258" i="5"/>
  <c r="BJ257" i="5"/>
  <c r="BG257" i="5"/>
  <c r="EO246" i="6"/>
  <c r="EP246" i="6"/>
  <c r="BM252" i="5"/>
  <c r="BL252" i="5"/>
  <c r="EK246" i="6"/>
  <c r="FJ246" i="6"/>
  <c r="ET244" i="6"/>
  <c r="BK253" i="5"/>
  <c r="HA244" i="6"/>
  <c r="GW244" i="6"/>
  <c r="GZ244" i="6"/>
  <c r="GY244" i="6"/>
  <c r="GU244" i="6"/>
  <c r="GT244" i="6"/>
  <c r="GX244" i="6"/>
  <c r="GV244" i="6"/>
  <c r="EY245" i="6" l="1"/>
  <c r="EX246" i="6"/>
  <c r="FE248" i="6"/>
  <c r="FC248" i="6"/>
  <c r="FB248" i="6"/>
  <c r="FF248" i="6"/>
  <c r="FD248" i="6"/>
  <c r="FG248" i="6"/>
  <c r="FH248" i="6"/>
  <c r="FI248" i="6"/>
  <c r="ET245" i="6"/>
  <c r="BK254" i="5"/>
  <c r="GV245" i="6"/>
  <c r="GY245" i="6"/>
  <c r="GZ245" i="6"/>
  <c r="GT245" i="6"/>
  <c r="GX245" i="6"/>
  <c r="GU245" i="6"/>
  <c r="HA245" i="6"/>
  <c r="EQ247" i="6"/>
  <c r="EZ246" i="6"/>
  <c r="EO247" i="6"/>
  <c r="ES246" i="6"/>
  <c r="EY246" i="6" s="1"/>
  <c r="AX259" i="5"/>
  <c r="BJ258" i="5"/>
  <c r="BG258" i="5"/>
  <c r="EL247" i="6"/>
  <c r="ER247" i="6"/>
  <c r="EK247" i="6"/>
  <c r="FJ247" i="6"/>
  <c r="BM253" i="5"/>
  <c r="BL253" i="5"/>
  <c r="EN247" i="6"/>
  <c r="EP247" i="6"/>
  <c r="EM247" i="6"/>
  <c r="EX247" i="6" l="1"/>
  <c r="ER248" i="6"/>
  <c r="EW247" i="6"/>
  <c r="ES247" i="6"/>
  <c r="EQ248" i="6"/>
  <c r="BM254" i="5"/>
  <c r="BL254" i="5"/>
  <c r="EM248" i="6"/>
  <c r="EO248" i="6"/>
  <c r="EK248" i="6"/>
  <c r="FJ248" i="6"/>
  <c r="EP248" i="6"/>
  <c r="FF249" i="6"/>
  <c r="FD249" i="6"/>
  <c r="FG249" i="6"/>
  <c r="FC249" i="6"/>
  <c r="FE249" i="6"/>
  <c r="FI249" i="6"/>
  <c r="FH249" i="6"/>
  <c r="FB249" i="6"/>
  <c r="AX260" i="5"/>
  <c r="BJ259" i="5"/>
  <c r="BG259" i="5"/>
  <c r="HA246" i="6"/>
  <c r="BK255" i="5"/>
  <c r="ET246" i="6"/>
  <c r="GX246" i="6"/>
  <c r="GY246" i="6"/>
  <c r="GV246" i="6"/>
  <c r="GW246" i="6"/>
  <c r="GT246" i="6"/>
  <c r="GU246" i="6"/>
  <c r="GZ246" i="6"/>
  <c r="EL248" i="6"/>
  <c r="EN248" i="6"/>
  <c r="EO249" i="6" l="1"/>
  <c r="EY247" i="6"/>
  <c r="ET247" i="6"/>
  <c r="BK256" i="5"/>
  <c r="GZ247" i="6"/>
  <c r="HA247" i="6"/>
  <c r="GY247" i="6"/>
  <c r="GV247" i="6"/>
  <c r="GT247" i="6"/>
  <c r="EQ249" i="6"/>
  <c r="ER249" i="6"/>
  <c r="BM255" i="5"/>
  <c r="BL255" i="5"/>
  <c r="EN249" i="6"/>
  <c r="EX248" i="6"/>
  <c r="ES248" i="6"/>
  <c r="FD250" i="6"/>
  <c r="FF250" i="6"/>
  <c r="FC250" i="6"/>
  <c r="FE250" i="6"/>
  <c r="FI250" i="6"/>
  <c r="FB250" i="6"/>
  <c r="FH250" i="6"/>
  <c r="EQ250" i="6" s="1"/>
  <c r="FG250" i="6"/>
  <c r="AX261" i="5"/>
  <c r="BJ260" i="5"/>
  <c r="BG260" i="5"/>
  <c r="FJ249" i="6"/>
  <c r="EK249" i="6"/>
  <c r="EZ247" i="6"/>
  <c r="EL249" i="6"/>
  <c r="GU247" i="6"/>
  <c r="EP249" i="6"/>
  <c r="GW247" i="6"/>
  <c r="EW248" i="6"/>
  <c r="EM249" i="6"/>
  <c r="GX247" i="6"/>
  <c r="EW249" i="6" l="1"/>
  <c r="EZ248" i="6"/>
  <c r="FG251" i="6"/>
  <c r="FD251" i="6"/>
  <c r="FE251" i="6"/>
  <c r="FB251" i="6"/>
  <c r="FF251" i="6"/>
  <c r="FH251" i="6"/>
  <c r="FC251" i="6"/>
  <c r="FI251" i="6"/>
  <c r="EP250" i="6"/>
  <c r="EY248" i="6"/>
  <c r="ES249" i="6"/>
  <c r="ET248" i="6"/>
  <c r="BK257" i="5"/>
  <c r="GW248" i="6"/>
  <c r="HA248" i="6"/>
  <c r="GY248" i="6"/>
  <c r="GX248" i="6"/>
  <c r="GU248" i="6"/>
  <c r="GT248" i="6"/>
  <c r="BJ261" i="5"/>
  <c r="AX262" i="5"/>
  <c r="BG261" i="5"/>
  <c r="EK250" i="6"/>
  <c r="FJ250" i="6"/>
  <c r="EO250" i="6"/>
  <c r="GZ248" i="6"/>
  <c r="EX249" i="6"/>
  <c r="BM256" i="5"/>
  <c r="BL256" i="5"/>
  <c r="ER250" i="6"/>
  <c r="EN250" i="6"/>
  <c r="EL250" i="6"/>
  <c r="EM250" i="6"/>
  <c r="GV248" i="6"/>
  <c r="EX250" i="6" l="1"/>
  <c r="ET249" i="6"/>
  <c r="BK258" i="5"/>
  <c r="GV249" i="6"/>
  <c r="GW249" i="6"/>
  <c r="GZ249" i="6"/>
  <c r="HA249" i="6"/>
  <c r="GT249" i="6"/>
  <c r="GY249" i="6"/>
  <c r="GU249" i="6"/>
  <c r="EL251" i="6"/>
  <c r="BM257" i="5"/>
  <c r="BL257" i="5"/>
  <c r="EQ251" i="6"/>
  <c r="EZ249" i="6"/>
  <c r="ES250" i="6"/>
  <c r="FG252" i="6"/>
  <c r="FF252" i="6"/>
  <c r="FI252" i="6"/>
  <c r="FE252" i="6"/>
  <c r="FC252" i="6"/>
  <c r="FH252" i="6"/>
  <c r="FB252" i="6"/>
  <c r="FD252" i="6"/>
  <c r="BJ262" i="5"/>
  <c r="AX263" i="5"/>
  <c r="BG262" i="5"/>
  <c r="EP251" i="6"/>
  <c r="EW250" i="6"/>
  <c r="ER251" i="6"/>
  <c r="EO251" i="6"/>
  <c r="EK251" i="6"/>
  <c r="FJ251" i="6"/>
  <c r="EN251" i="6"/>
  <c r="EM251" i="6"/>
  <c r="EY249" i="6"/>
  <c r="GX249" i="6"/>
  <c r="GZ250" i="6" l="1"/>
  <c r="ET250" i="6"/>
  <c r="BK259" i="5"/>
  <c r="GT250" i="6"/>
  <c r="GX250" i="6"/>
  <c r="GY250" i="6"/>
  <c r="GW250" i="6"/>
  <c r="HA250" i="6"/>
  <c r="GU250" i="6"/>
  <c r="GV250" i="6"/>
  <c r="EW251" i="6"/>
  <c r="EY251" i="6" s="1"/>
  <c r="FF253" i="6"/>
  <c r="FD253" i="6"/>
  <c r="FE253" i="6"/>
  <c r="FH253" i="6"/>
  <c r="EQ253" i="6" s="1"/>
  <c r="FG253" i="6"/>
  <c r="FB253" i="6"/>
  <c r="FI253" i="6"/>
  <c r="FC253" i="6"/>
  <c r="EN252" i="6"/>
  <c r="AX264" i="5"/>
  <c r="BJ263" i="5"/>
  <c r="BG263" i="5"/>
  <c r="ER252" i="6"/>
  <c r="ES251" i="6"/>
  <c r="GV251" i="6" s="1"/>
  <c r="EM252" i="6"/>
  <c r="EO252" i="6"/>
  <c r="EK252" i="6"/>
  <c r="FJ252" i="6"/>
  <c r="GW251" i="6"/>
  <c r="EY250" i="6"/>
  <c r="EP252" i="6"/>
  <c r="EX251" i="6"/>
  <c r="EZ251" i="6" s="1"/>
  <c r="BL258" i="5"/>
  <c r="BM258" i="5"/>
  <c r="EQ252" i="6"/>
  <c r="EL252" i="6"/>
  <c r="EZ250" i="6"/>
  <c r="EN253" i="6" l="1"/>
  <c r="BL259" i="5"/>
  <c r="BM259" i="5"/>
  <c r="AX265" i="5"/>
  <c r="BJ264" i="5"/>
  <c r="BG264" i="5"/>
  <c r="GY251" i="6"/>
  <c r="EM253" i="6"/>
  <c r="FE254" i="6"/>
  <c r="FC254" i="6"/>
  <c r="FI254" i="6"/>
  <c r="FD254" i="6"/>
  <c r="EM254" i="6" s="1"/>
  <c r="FG254" i="6"/>
  <c r="FF254" i="6"/>
  <c r="FH254" i="6"/>
  <c r="FB254" i="6"/>
  <c r="GX251" i="6"/>
  <c r="EK253" i="6"/>
  <c r="FJ253" i="6"/>
  <c r="EP253" i="6"/>
  <c r="EO253" i="6"/>
  <c r="ES252" i="6"/>
  <c r="ET251" i="6"/>
  <c r="BK260" i="5"/>
  <c r="GT251" i="6"/>
  <c r="GU251" i="6"/>
  <c r="EX252" i="6"/>
  <c r="EW252" i="6"/>
  <c r="EL253" i="6"/>
  <c r="GZ251" i="6"/>
  <c r="ER253" i="6"/>
  <c r="HA251" i="6"/>
  <c r="EX253" i="6" l="1"/>
  <c r="EZ252" i="6"/>
  <c r="EY252" i="6"/>
  <c r="EO254" i="6"/>
  <c r="EP254" i="6"/>
  <c r="EN254" i="6"/>
  <c r="EW254" i="6" s="1"/>
  <c r="BL260" i="5"/>
  <c r="BM260" i="5"/>
  <c r="BK261" i="5"/>
  <c r="ET252" i="6"/>
  <c r="HA252" i="6"/>
  <c r="GV252" i="6"/>
  <c r="GX252" i="6"/>
  <c r="GY252" i="6"/>
  <c r="GU252" i="6"/>
  <c r="GT252" i="6"/>
  <c r="ER254" i="6"/>
  <c r="BJ265" i="5"/>
  <c r="AX266" i="5"/>
  <c r="BG265" i="5"/>
  <c r="EQ254" i="6"/>
  <c r="FE255" i="6"/>
  <c r="FD255" i="6"/>
  <c r="EM255" i="6" s="1"/>
  <c r="FI255" i="6"/>
  <c r="FC255" i="6"/>
  <c r="FB255" i="6"/>
  <c r="FG255" i="6"/>
  <c r="FF255" i="6"/>
  <c r="FH255" i="6"/>
  <c r="EW253" i="6"/>
  <c r="GZ252" i="6"/>
  <c r="EK254" i="6"/>
  <c r="FJ254" i="6"/>
  <c r="EL254" i="6"/>
  <c r="ES253" i="6"/>
  <c r="GW252" i="6"/>
  <c r="ER255" i="6" l="1"/>
  <c r="ET253" i="6"/>
  <c r="BK262" i="5"/>
  <c r="GX253" i="6"/>
  <c r="GW253" i="6"/>
  <c r="GY253" i="6"/>
  <c r="GU253" i="6"/>
  <c r="ES254" i="6"/>
  <c r="EY254" i="6" s="1"/>
  <c r="EO255" i="6"/>
  <c r="EP255" i="6"/>
  <c r="FJ255" i="6"/>
  <c r="EK255" i="6"/>
  <c r="EL255" i="6"/>
  <c r="GZ253" i="6"/>
  <c r="EQ255" i="6"/>
  <c r="EY253" i="6"/>
  <c r="BL261" i="5"/>
  <c r="BM261" i="5"/>
  <c r="EN255" i="6"/>
  <c r="EW255" i="6" s="1"/>
  <c r="EX254" i="6"/>
  <c r="GV253" i="6"/>
  <c r="FD256" i="6"/>
  <c r="FF256" i="6"/>
  <c r="FC256" i="6"/>
  <c r="FG256" i="6"/>
  <c r="FH256" i="6"/>
  <c r="FE256" i="6"/>
  <c r="FB256" i="6"/>
  <c r="FI256" i="6"/>
  <c r="GT253" i="6"/>
  <c r="AX267" i="5"/>
  <c r="BJ266" i="5"/>
  <c r="BG266" i="5"/>
  <c r="HA253" i="6"/>
  <c r="GV254" i="6"/>
  <c r="EZ253" i="6"/>
  <c r="GW254" i="6" l="1"/>
  <c r="EX255" i="6"/>
  <c r="EL256" i="6"/>
  <c r="EM256" i="6"/>
  <c r="BK263" i="5"/>
  <c r="ET254" i="6"/>
  <c r="GZ254" i="6"/>
  <c r="GX254" i="6"/>
  <c r="HA254" i="6"/>
  <c r="GT254" i="6"/>
  <c r="GY254" i="6"/>
  <c r="GU254" i="6"/>
  <c r="BJ267" i="5"/>
  <c r="AX268" i="5"/>
  <c r="BG267" i="5"/>
  <c r="ER256" i="6"/>
  <c r="FJ256" i="6"/>
  <c r="EK256" i="6"/>
  <c r="EQ256" i="6"/>
  <c r="EZ254" i="6"/>
  <c r="EN256" i="6"/>
  <c r="FE257" i="6"/>
  <c r="FH257" i="6"/>
  <c r="FF257" i="6"/>
  <c r="FI257" i="6"/>
  <c r="FB257" i="6"/>
  <c r="FD257" i="6"/>
  <c r="FC257" i="6"/>
  <c r="FG257" i="6"/>
  <c r="BM262" i="5"/>
  <c r="BL262" i="5"/>
  <c r="ES255" i="6"/>
  <c r="EY255" i="6" s="1"/>
  <c r="EP256" i="6"/>
  <c r="EO256" i="6"/>
  <c r="EX256" i="6" l="1"/>
  <c r="EW256" i="6"/>
  <c r="GV255" i="6"/>
  <c r="ET255" i="6"/>
  <c r="BK264" i="5"/>
  <c r="HA255" i="6"/>
  <c r="GW255" i="6"/>
  <c r="GT255" i="6"/>
  <c r="GU255" i="6"/>
  <c r="GZ255" i="6"/>
  <c r="GX255" i="6"/>
  <c r="GY255" i="6"/>
  <c r="EZ255" i="6"/>
  <c r="ES256" i="6"/>
  <c r="AX269" i="5"/>
  <c r="BJ268" i="5"/>
  <c r="BG268" i="5"/>
  <c r="FD258" i="6"/>
  <c r="FG258" i="6"/>
  <c r="FB258" i="6"/>
  <c r="FC258" i="6"/>
  <c r="FF258" i="6"/>
  <c r="FE258" i="6"/>
  <c r="FH258" i="6"/>
  <c r="FI258" i="6"/>
  <c r="EP257" i="6"/>
  <c r="EM257" i="6"/>
  <c r="EK257" i="6"/>
  <c r="FJ257" i="6"/>
  <c r="EQ257" i="6"/>
  <c r="BL263" i="5"/>
  <c r="BM263" i="5"/>
  <c r="EN257" i="6"/>
  <c r="EL257" i="6"/>
  <c r="ER257" i="6"/>
  <c r="EO257" i="6"/>
  <c r="EY256" i="6" l="1"/>
  <c r="EW257" i="6"/>
  <c r="GZ256" i="6"/>
  <c r="FJ258" i="6"/>
  <c r="EK258" i="6"/>
  <c r="AX270" i="5"/>
  <c r="BJ269" i="5"/>
  <c r="BG269" i="5"/>
  <c r="ET256" i="6"/>
  <c r="BK265" i="5"/>
  <c r="GU256" i="6"/>
  <c r="GX256" i="6"/>
  <c r="HA256" i="6"/>
  <c r="EX257" i="6"/>
  <c r="EN258" i="6"/>
  <c r="GV256" i="6"/>
  <c r="FG259" i="6"/>
  <c r="FD259" i="6"/>
  <c r="FE259" i="6"/>
  <c r="FF259" i="6"/>
  <c r="FC259" i="6"/>
  <c r="FI259" i="6"/>
  <c r="FB259" i="6"/>
  <c r="FH259" i="6"/>
  <c r="ES257" i="6"/>
  <c r="BM264" i="5"/>
  <c r="BL264" i="5"/>
  <c r="ER258" i="6"/>
  <c r="EQ258" i="6"/>
  <c r="EO258" i="6"/>
  <c r="GY256" i="6"/>
  <c r="EP258" i="6"/>
  <c r="EM258" i="6"/>
  <c r="GW256" i="6"/>
  <c r="EZ256" i="6"/>
  <c r="EL258" i="6"/>
  <c r="GT256" i="6"/>
  <c r="EZ257" i="6" l="1"/>
  <c r="EO259" i="6"/>
  <c r="EK259" i="6"/>
  <c r="FJ259" i="6"/>
  <c r="ER259" i="6"/>
  <c r="EL259" i="6"/>
  <c r="EN259" i="6"/>
  <c r="EM259" i="6"/>
  <c r="EP259" i="6"/>
  <c r="EW258" i="6"/>
  <c r="EX258" i="6"/>
  <c r="BM265" i="5"/>
  <c r="BL265" i="5"/>
  <c r="FE260" i="6"/>
  <c r="FF260" i="6"/>
  <c r="FH260" i="6"/>
  <c r="FD260" i="6"/>
  <c r="FI260" i="6"/>
  <c r="FB260" i="6"/>
  <c r="FC260" i="6"/>
  <c r="FG260" i="6"/>
  <c r="AX271" i="5"/>
  <c r="BJ270" i="5"/>
  <c r="BG270" i="5"/>
  <c r="ET257" i="6"/>
  <c r="BK266" i="5"/>
  <c r="HA257" i="6"/>
  <c r="GX257" i="6"/>
  <c r="GY257" i="6"/>
  <c r="GV257" i="6"/>
  <c r="GT257" i="6"/>
  <c r="GW257" i="6"/>
  <c r="GU257" i="6"/>
  <c r="GZ257" i="6"/>
  <c r="EY257" i="6"/>
  <c r="ES258" i="6"/>
  <c r="EQ259" i="6"/>
  <c r="EX259" i="6" l="1"/>
  <c r="EZ258" i="6"/>
  <c r="EO260" i="6"/>
  <c r="ET258" i="6"/>
  <c r="BK267" i="5"/>
  <c r="GT258" i="6"/>
  <c r="HA258" i="6"/>
  <c r="GZ258" i="6"/>
  <c r="GX258" i="6"/>
  <c r="GW258" i="6"/>
  <c r="GU258" i="6"/>
  <c r="GV258" i="6"/>
  <c r="FD261" i="6"/>
  <c r="FC261" i="6"/>
  <c r="FF261" i="6"/>
  <c r="FH261" i="6"/>
  <c r="FG261" i="6"/>
  <c r="FB261" i="6"/>
  <c r="FI261" i="6"/>
  <c r="FE261" i="6"/>
  <c r="EN261" i="6" s="1"/>
  <c r="EP260" i="6"/>
  <c r="EW259" i="6"/>
  <c r="FJ260" i="6"/>
  <c r="EK260" i="6"/>
  <c r="ER260" i="6"/>
  <c r="EM260" i="6"/>
  <c r="EN260" i="6"/>
  <c r="EW260" i="6" s="1"/>
  <c r="EY258" i="6"/>
  <c r="BL266" i="5"/>
  <c r="BM266" i="5"/>
  <c r="AX272" i="5"/>
  <c r="BJ271" i="5"/>
  <c r="BG271" i="5"/>
  <c r="EL260" i="6"/>
  <c r="ES259" i="6"/>
  <c r="EQ260" i="6"/>
  <c r="GY258" i="6"/>
  <c r="EX260" i="6" l="1"/>
  <c r="FF262" i="6"/>
  <c r="FD262" i="6"/>
  <c r="FB262" i="6"/>
  <c r="FE262" i="6"/>
  <c r="FI262" i="6"/>
  <c r="FH262" i="6"/>
  <c r="FC262" i="6"/>
  <c r="FG262" i="6"/>
  <c r="EP262" i="6" s="1"/>
  <c r="ET259" i="6"/>
  <c r="BK268" i="5"/>
  <c r="GU259" i="6"/>
  <c r="GV259" i="6"/>
  <c r="GT259" i="6"/>
  <c r="GY259" i="6"/>
  <c r="GX259" i="6"/>
  <c r="HA259" i="6"/>
  <c r="GW259" i="6"/>
  <c r="EZ259" i="6"/>
  <c r="GZ259" i="6"/>
  <c r="AX273" i="5"/>
  <c r="BJ272" i="5"/>
  <c r="BG272" i="5"/>
  <c r="EM261" i="6"/>
  <c r="EK261" i="6"/>
  <c r="FJ261" i="6"/>
  <c r="EO261" i="6"/>
  <c r="BL267" i="5"/>
  <c r="BM267" i="5"/>
  <c r="ES260" i="6"/>
  <c r="EZ260" i="6" s="1"/>
  <c r="ER261" i="6"/>
  <c r="EP261" i="6"/>
  <c r="EQ261" i="6"/>
  <c r="EL261" i="6"/>
  <c r="EY259" i="6"/>
  <c r="BJ273" i="5" l="1"/>
  <c r="AX274" i="5"/>
  <c r="BG273" i="5"/>
  <c r="FB263" i="6"/>
  <c r="EK263" i="6" s="1"/>
  <c r="FE263" i="6"/>
  <c r="FC263" i="6"/>
  <c r="FG263" i="6"/>
  <c r="FI263" i="6"/>
  <c r="FD263" i="6"/>
  <c r="FF263" i="6"/>
  <c r="FH263" i="6"/>
  <c r="EX261" i="6"/>
  <c r="ET260" i="6"/>
  <c r="BK269" i="5"/>
  <c r="GX260" i="6"/>
  <c r="GZ260" i="6"/>
  <c r="GT260" i="6"/>
  <c r="HA260" i="6"/>
  <c r="GV260" i="6"/>
  <c r="GW260" i="6"/>
  <c r="GU260" i="6"/>
  <c r="GY260" i="6"/>
  <c r="BL268" i="5"/>
  <c r="BM268" i="5"/>
  <c r="ES261" i="6"/>
  <c r="ER262" i="6"/>
  <c r="EW261" i="6"/>
  <c r="EN262" i="6"/>
  <c r="EY260" i="6"/>
  <c r="EK262" i="6"/>
  <c r="FJ262" i="6"/>
  <c r="EM262" i="6"/>
  <c r="EL262" i="6"/>
  <c r="EQ262" i="6"/>
  <c r="EO262" i="6"/>
  <c r="EZ261" i="6" l="1"/>
  <c r="EX262" i="6"/>
  <c r="ES262" i="6"/>
  <c r="FJ263" i="6"/>
  <c r="EQ263" i="6"/>
  <c r="EO263" i="6"/>
  <c r="EM263" i="6"/>
  <c r="EW262" i="6"/>
  <c r="ER263" i="6"/>
  <c r="EY261" i="6"/>
  <c r="EP263" i="6"/>
  <c r="EL263" i="6"/>
  <c r="BM269" i="5"/>
  <c r="BL269" i="5"/>
  <c r="AX275" i="5"/>
  <c r="BJ274" i="5"/>
  <c r="BG274" i="5"/>
  <c r="EN263" i="6"/>
  <c r="EW263" i="6" s="1"/>
  <c r="BK270" i="5"/>
  <c r="ET261" i="6"/>
  <c r="GT261" i="6"/>
  <c r="HA261" i="6"/>
  <c r="GU261" i="6"/>
  <c r="GX261" i="6"/>
  <c r="GZ261" i="6"/>
  <c r="GY261" i="6"/>
  <c r="GW261" i="6"/>
  <c r="FI264" i="6"/>
  <c r="FE264" i="6"/>
  <c r="FH264" i="6"/>
  <c r="FB264" i="6"/>
  <c r="FF264" i="6"/>
  <c r="FD264" i="6"/>
  <c r="FG264" i="6"/>
  <c r="FC264" i="6"/>
  <c r="GV261" i="6"/>
  <c r="ES263" i="6" l="1"/>
  <c r="GX263" i="6" s="1"/>
  <c r="HA263" i="6"/>
  <c r="GY263" i="6"/>
  <c r="EO264" i="6"/>
  <c r="ER264" i="6"/>
  <c r="EY262" i="6"/>
  <c r="GT263" i="6"/>
  <c r="ET263" i="6"/>
  <c r="BK272" i="5"/>
  <c r="EM264" i="6"/>
  <c r="GU263" i="6"/>
  <c r="EN264" i="6"/>
  <c r="EW264" i="6" s="1"/>
  <c r="BM270" i="5"/>
  <c r="BL270" i="5"/>
  <c r="EX263" i="6"/>
  <c r="EZ263" i="6" s="1"/>
  <c r="GW263" i="6"/>
  <c r="GY262" i="6"/>
  <c r="BK271" i="5"/>
  <c r="ET262" i="6"/>
  <c r="GW262" i="6"/>
  <c r="GT262" i="6"/>
  <c r="GV262" i="6"/>
  <c r="GZ262" i="6"/>
  <c r="GX262" i="6"/>
  <c r="FB265" i="6"/>
  <c r="FD265" i="6"/>
  <c r="FF265" i="6"/>
  <c r="FC265" i="6"/>
  <c r="FE265" i="6"/>
  <c r="FI265" i="6"/>
  <c r="FG265" i="6"/>
  <c r="EP265" i="6" s="1"/>
  <c r="FH265" i="6"/>
  <c r="EZ262" i="6"/>
  <c r="EP264" i="6"/>
  <c r="EQ264" i="6"/>
  <c r="EY263" i="6"/>
  <c r="HA262" i="6"/>
  <c r="EL264" i="6"/>
  <c r="EK264" i="6"/>
  <c r="FJ264" i="6"/>
  <c r="BJ275" i="5"/>
  <c r="AX276" i="5"/>
  <c r="BG275" i="5"/>
  <c r="GU262" i="6"/>
  <c r="GV263" i="6" l="1"/>
  <c r="ES264" i="6"/>
  <c r="GV264" i="6" s="1"/>
  <c r="GZ263" i="6"/>
  <c r="GX264" i="6"/>
  <c r="BL271" i="5"/>
  <c r="BM271" i="5"/>
  <c r="EY264" i="6"/>
  <c r="BM272" i="5"/>
  <c r="BL272" i="5"/>
  <c r="ET264" i="6"/>
  <c r="BK273" i="5"/>
  <c r="GU264" i="6"/>
  <c r="GZ264" i="6"/>
  <c r="GY264" i="6"/>
  <c r="GW264" i="6"/>
  <c r="EQ265" i="6"/>
  <c r="ER265" i="6"/>
  <c r="EL265" i="6"/>
  <c r="EX264" i="6"/>
  <c r="EN265" i="6"/>
  <c r="EW265" i="6" s="1"/>
  <c r="EO265" i="6"/>
  <c r="FF266" i="6"/>
  <c r="FC266" i="6"/>
  <c r="FB266" i="6"/>
  <c r="FG266" i="6"/>
  <c r="FH266" i="6"/>
  <c r="FI266" i="6"/>
  <c r="FD266" i="6"/>
  <c r="FE266" i="6"/>
  <c r="EM265" i="6"/>
  <c r="AX277" i="5"/>
  <c r="BJ276" i="5"/>
  <c r="BG276" i="5"/>
  <c r="EK265" i="6"/>
  <c r="FJ265" i="6"/>
  <c r="HA264" i="6"/>
  <c r="GT264" i="6"/>
  <c r="EZ264" i="6" l="1"/>
  <c r="FC267" i="6"/>
  <c r="FB267" i="6"/>
  <c r="FF267" i="6"/>
  <c r="FD267" i="6"/>
  <c r="FH267" i="6"/>
  <c r="FG267" i="6"/>
  <c r="FI267" i="6"/>
  <c r="FE267" i="6"/>
  <c r="EN266" i="6"/>
  <c r="BL273" i="5"/>
  <c r="BM273" i="5"/>
  <c r="EL266" i="6"/>
  <c r="BJ277" i="5"/>
  <c r="AX278" i="5"/>
  <c r="BG277" i="5"/>
  <c r="ER266" i="6"/>
  <c r="EP266" i="6"/>
  <c r="EO266" i="6"/>
  <c r="ES265" i="6"/>
  <c r="EX265" i="6"/>
  <c r="EM266" i="6"/>
  <c r="EQ266" i="6"/>
  <c r="EK266" i="6"/>
  <c r="FJ266" i="6"/>
  <c r="EZ265" i="6" l="1"/>
  <c r="EW266" i="6"/>
  <c r="AX279" i="5"/>
  <c r="BJ278" i="5"/>
  <c r="BG278" i="5"/>
  <c r="EQ267" i="6"/>
  <c r="FE268" i="6"/>
  <c r="FC268" i="6"/>
  <c r="FB268" i="6"/>
  <c r="FF268" i="6"/>
  <c r="FD268" i="6"/>
  <c r="FI268" i="6"/>
  <c r="FG268" i="6"/>
  <c r="FH268" i="6"/>
  <c r="ES266" i="6"/>
  <c r="GU266" i="6" s="1"/>
  <c r="EX266" i="6"/>
  <c r="EP267" i="6"/>
  <c r="EO267" i="6"/>
  <c r="ER267" i="6"/>
  <c r="EM267" i="6"/>
  <c r="FJ267" i="6"/>
  <c r="EN267" i="6"/>
  <c r="GY265" i="6"/>
  <c r="ET265" i="6"/>
  <c r="BK274" i="5"/>
  <c r="GT265" i="6"/>
  <c r="HA265" i="6"/>
  <c r="GV265" i="6"/>
  <c r="GW265" i="6"/>
  <c r="GZ265" i="6"/>
  <c r="EY265" i="6"/>
  <c r="EK267" i="6"/>
  <c r="EL267" i="6"/>
  <c r="GU265" i="6"/>
  <c r="GX265" i="6"/>
  <c r="EZ266" i="6" l="1"/>
  <c r="GY266" i="6"/>
  <c r="GT266" i="6"/>
  <c r="BK275" i="5"/>
  <c r="ET266" i="6"/>
  <c r="GV266" i="6"/>
  <c r="GX266" i="6"/>
  <c r="GZ266" i="6"/>
  <c r="GW266" i="6"/>
  <c r="HA266" i="6"/>
  <c r="EQ268" i="6"/>
  <c r="EP268" i="6"/>
  <c r="ER268" i="6"/>
  <c r="EO268" i="6"/>
  <c r="BM274" i="5"/>
  <c r="BL274" i="5"/>
  <c r="FJ268" i="6"/>
  <c r="EK268" i="6"/>
  <c r="EL268" i="6"/>
  <c r="ES267" i="6"/>
  <c r="GW267" i="6" s="1"/>
  <c r="EM268" i="6"/>
  <c r="EN268" i="6"/>
  <c r="EW267" i="6"/>
  <c r="FB269" i="6"/>
  <c r="FE269" i="6"/>
  <c r="FC269" i="6"/>
  <c r="FI269" i="6"/>
  <c r="ER269" i="6" s="1"/>
  <c r="FD269" i="6"/>
  <c r="FF269" i="6"/>
  <c r="FH269" i="6"/>
  <c r="FG269" i="6"/>
  <c r="EY266" i="6"/>
  <c r="EX267" i="6"/>
  <c r="BJ279" i="5"/>
  <c r="AX280" i="5"/>
  <c r="BG279" i="5"/>
  <c r="EW268" i="6" l="1"/>
  <c r="EZ267" i="6"/>
  <c r="EY267" i="6"/>
  <c r="EP269" i="6"/>
  <c r="EQ269" i="6"/>
  <c r="EO269" i="6"/>
  <c r="EL269" i="6"/>
  <c r="EK269" i="6"/>
  <c r="FJ269" i="6"/>
  <c r="BM275" i="5"/>
  <c r="BL275" i="5"/>
  <c r="GZ267" i="6"/>
  <c r="EM269" i="6"/>
  <c r="EX268" i="6"/>
  <c r="GT267" i="6"/>
  <c r="FE270" i="6"/>
  <c r="FG270" i="6"/>
  <c r="FD270" i="6"/>
  <c r="FH270" i="6"/>
  <c r="FB270" i="6"/>
  <c r="FC270" i="6"/>
  <c r="FF270" i="6"/>
  <c r="FI270" i="6"/>
  <c r="ES268" i="6"/>
  <c r="EY268" i="6" s="1"/>
  <c r="EN269" i="6"/>
  <c r="ET267" i="6"/>
  <c r="BK276" i="5"/>
  <c r="GX267" i="6"/>
  <c r="GY267" i="6"/>
  <c r="GU267" i="6"/>
  <c r="HA267" i="6"/>
  <c r="AX281" i="5"/>
  <c r="BJ280" i="5"/>
  <c r="BG280" i="5"/>
  <c r="GV267" i="6"/>
  <c r="EZ268" i="6" l="1"/>
  <c r="EX269" i="6"/>
  <c r="ES269" i="6"/>
  <c r="GY269" i="6" s="1"/>
  <c r="EP270" i="6"/>
  <c r="BM276" i="5"/>
  <c r="BL276" i="5"/>
  <c r="EW269" i="6"/>
  <c r="EY269" i="6" s="1"/>
  <c r="EN270" i="6"/>
  <c r="ER270" i="6"/>
  <c r="EO270" i="6"/>
  <c r="BJ281" i="5"/>
  <c r="AX282" i="5"/>
  <c r="BG281" i="5"/>
  <c r="BK277" i="5"/>
  <c r="ET268" i="6"/>
  <c r="GT268" i="6"/>
  <c r="GU268" i="6"/>
  <c r="GV268" i="6"/>
  <c r="GW268" i="6"/>
  <c r="HA268" i="6"/>
  <c r="GX268" i="6"/>
  <c r="GZ268" i="6"/>
  <c r="EL270" i="6"/>
  <c r="EK270" i="6"/>
  <c r="FJ270" i="6"/>
  <c r="EQ270" i="6"/>
  <c r="FD271" i="6"/>
  <c r="FI271" i="6"/>
  <c r="FE271" i="6"/>
  <c r="FB271" i="6"/>
  <c r="FC271" i="6"/>
  <c r="FG271" i="6"/>
  <c r="FF271" i="6"/>
  <c r="FH271" i="6"/>
  <c r="EM270" i="6"/>
  <c r="GY268" i="6"/>
  <c r="EZ269" i="6" l="1"/>
  <c r="GZ269" i="6"/>
  <c r="GU269" i="6"/>
  <c r="EP271" i="6"/>
  <c r="EM271" i="6"/>
  <c r="AX283" i="5"/>
  <c r="BJ282" i="5"/>
  <c r="BG282" i="5"/>
  <c r="EO271" i="6"/>
  <c r="ES270" i="6"/>
  <c r="BL277" i="5"/>
  <c r="BM277" i="5"/>
  <c r="EL271" i="6"/>
  <c r="EW270" i="6"/>
  <c r="EN271" i="6"/>
  <c r="EW271" i="6" s="1"/>
  <c r="EQ271" i="6"/>
  <c r="EK271" i="6"/>
  <c r="FJ271" i="6"/>
  <c r="EX270" i="6"/>
  <c r="FG272" i="6"/>
  <c r="FD272" i="6"/>
  <c r="FC272" i="6"/>
  <c r="FH272" i="6"/>
  <c r="FB272" i="6"/>
  <c r="FI272" i="6"/>
  <c r="FE272" i="6"/>
  <c r="FF272" i="6"/>
  <c r="EO272" i="6" s="1"/>
  <c r="ER271" i="6"/>
  <c r="HA269" i="6"/>
  <c r="ET269" i="6"/>
  <c r="BK278" i="5"/>
  <c r="GW269" i="6"/>
  <c r="GV269" i="6"/>
  <c r="GT269" i="6"/>
  <c r="GX269" i="6"/>
  <c r="EY270" i="6" l="1"/>
  <c r="GT270" i="6"/>
  <c r="BK279" i="5"/>
  <c r="ET270" i="6"/>
  <c r="GZ270" i="6"/>
  <c r="HA270" i="6"/>
  <c r="GX270" i="6"/>
  <c r="GU270" i="6"/>
  <c r="EN272" i="6"/>
  <c r="BJ283" i="5"/>
  <c r="AX284" i="5"/>
  <c r="BG283" i="5"/>
  <c r="EX271" i="6"/>
  <c r="EZ271" i="6" s="1"/>
  <c r="BM278" i="5"/>
  <c r="BL278" i="5"/>
  <c r="EL272" i="6"/>
  <c r="EQ272" i="6"/>
  <c r="ER272" i="6"/>
  <c r="EP272" i="6"/>
  <c r="GW270" i="6"/>
  <c r="FJ272" i="6"/>
  <c r="EK272" i="6"/>
  <c r="GY270" i="6"/>
  <c r="ES271" i="6"/>
  <c r="GW271" i="6" s="1"/>
  <c r="FH273" i="6"/>
  <c r="FC273" i="6"/>
  <c r="FE273" i="6"/>
  <c r="FG273" i="6"/>
  <c r="FF273" i="6"/>
  <c r="FD273" i="6"/>
  <c r="FB273" i="6"/>
  <c r="FI273" i="6"/>
  <c r="EM272" i="6"/>
  <c r="EZ270" i="6"/>
  <c r="GV270" i="6"/>
  <c r="AX285" i="5" l="1"/>
  <c r="BJ284" i="5"/>
  <c r="BG284" i="5"/>
  <c r="EM273" i="6"/>
  <c r="ES272" i="6"/>
  <c r="EX272" i="6"/>
  <c r="ER273" i="6"/>
  <c r="EP273" i="6"/>
  <c r="EW272" i="6"/>
  <c r="EY272" i="6" s="1"/>
  <c r="EN273" i="6"/>
  <c r="EW273" i="6" s="1"/>
  <c r="EO273" i="6"/>
  <c r="FD274" i="6"/>
  <c r="FF274" i="6"/>
  <c r="FC274" i="6"/>
  <c r="FI274" i="6"/>
  <c r="FE274" i="6"/>
  <c r="FG274" i="6"/>
  <c r="FB274" i="6"/>
  <c r="FH274" i="6"/>
  <c r="EQ273" i="6"/>
  <c r="GT271" i="6"/>
  <c r="ET271" i="6"/>
  <c r="BK280" i="5"/>
  <c r="GY271" i="6"/>
  <c r="GV271" i="6"/>
  <c r="GX271" i="6"/>
  <c r="GZ271" i="6"/>
  <c r="HA271" i="6"/>
  <c r="BL279" i="5"/>
  <c r="BM279" i="5"/>
  <c r="EY271" i="6"/>
  <c r="FJ273" i="6"/>
  <c r="EK273" i="6"/>
  <c r="EL273" i="6"/>
  <c r="GW272" i="6"/>
  <c r="GU271" i="6"/>
  <c r="EL274" i="6" l="1"/>
  <c r="EN274" i="6"/>
  <c r="BL280" i="5"/>
  <c r="BM280" i="5"/>
  <c r="EO274" i="6"/>
  <c r="EM274" i="6"/>
  <c r="GX272" i="6"/>
  <c r="ET272" i="6"/>
  <c r="BK281" i="5"/>
  <c r="GU272" i="6"/>
  <c r="GY272" i="6"/>
  <c r="GT272" i="6"/>
  <c r="GZ272" i="6"/>
  <c r="GV272" i="6"/>
  <c r="EX273" i="6"/>
  <c r="EK274" i="6"/>
  <c r="FJ274" i="6"/>
  <c r="BJ285" i="5"/>
  <c r="AX286" i="5"/>
  <c r="BG285" i="5"/>
  <c r="ER274" i="6"/>
  <c r="ES273" i="6"/>
  <c r="EY273" i="6" s="1"/>
  <c r="EZ272" i="6"/>
  <c r="FG275" i="6"/>
  <c r="FB275" i="6"/>
  <c r="FH275" i="6"/>
  <c r="FF275" i="6"/>
  <c r="FC275" i="6"/>
  <c r="FE275" i="6"/>
  <c r="FD275" i="6"/>
  <c r="FI275" i="6"/>
  <c r="EQ274" i="6"/>
  <c r="EP274" i="6"/>
  <c r="HA272" i="6"/>
  <c r="ES274" i="6" l="1"/>
  <c r="EZ273" i="6"/>
  <c r="GV274" i="6"/>
  <c r="EW274" i="6"/>
  <c r="EY274" i="6" s="1"/>
  <c r="EO275" i="6"/>
  <c r="BK283" i="5"/>
  <c r="ET274" i="6"/>
  <c r="GX274" i="6"/>
  <c r="GY274" i="6"/>
  <c r="EX274" i="6"/>
  <c r="EZ274" i="6" s="1"/>
  <c r="EN275" i="6"/>
  <c r="EK275" i="6"/>
  <c r="FJ275" i="6"/>
  <c r="HA274" i="6"/>
  <c r="GZ274" i="6"/>
  <c r="ER275" i="6"/>
  <c r="EM275" i="6"/>
  <c r="EL275" i="6"/>
  <c r="EQ275" i="6"/>
  <c r="GW274" i="6"/>
  <c r="FF276" i="6"/>
  <c r="FG276" i="6"/>
  <c r="FB276" i="6"/>
  <c r="FE276" i="6"/>
  <c r="FI276" i="6"/>
  <c r="ER276" i="6" s="1"/>
  <c r="FC276" i="6"/>
  <c r="FH276" i="6"/>
  <c r="FD276" i="6"/>
  <c r="GU274" i="6"/>
  <c r="EP275" i="6"/>
  <c r="BM281" i="5"/>
  <c r="BL281" i="5"/>
  <c r="ET273" i="6"/>
  <c r="BK282" i="5"/>
  <c r="GZ273" i="6"/>
  <c r="GY273" i="6"/>
  <c r="GT273" i="6"/>
  <c r="GU273" i="6"/>
  <c r="HA273" i="6"/>
  <c r="GV273" i="6"/>
  <c r="GW273" i="6"/>
  <c r="AX287" i="5"/>
  <c r="BJ286" i="5"/>
  <c r="BG286" i="5"/>
  <c r="GT274" i="6"/>
  <c r="GX273" i="6"/>
  <c r="EX275" i="6" l="1"/>
  <c r="EQ276" i="6"/>
  <c r="EN276" i="6"/>
  <c r="EK276" i="6"/>
  <c r="FJ276" i="6"/>
  <c r="BM282" i="5"/>
  <c r="BL282" i="5"/>
  <c r="EL276" i="6"/>
  <c r="EP276" i="6"/>
  <c r="EW275" i="6"/>
  <c r="EY275" i="6" s="1"/>
  <c r="BM283" i="5"/>
  <c r="BL283" i="5"/>
  <c r="EM276" i="6"/>
  <c r="FD277" i="6"/>
  <c r="FF277" i="6"/>
  <c r="EO277" i="6" s="1"/>
  <c r="FH277" i="6"/>
  <c r="FG277" i="6"/>
  <c r="FC277" i="6"/>
  <c r="FI277" i="6"/>
  <c r="FB277" i="6"/>
  <c r="FE277" i="6"/>
  <c r="AX288" i="5"/>
  <c r="BJ287" i="5"/>
  <c r="BG287" i="5"/>
  <c r="EO276" i="6"/>
  <c r="ES275" i="6"/>
  <c r="EZ275" i="6" s="1"/>
  <c r="FF278" i="6" l="1"/>
  <c r="FH278" i="6"/>
  <c r="FE278" i="6"/>
  <c r="FG278" i="6"/>
  <c r="FB278" i="6"/>
  <c r="FI278" i="6"/>
  <c r="FC278" i="6"/>
  <c r="FD278" i="6"/>
  <c r="EM277" i="6"/>
  <c r="AX289" i="5"/>
  <c r="BJ288" i="5"/>
  <c r="BG288" i="5"/>
  <c r="EN277" i="6"/>
  <c r="EW276" i="6"/>
  <c r="EL277" i="6"/>
  <c r="EX276" i="6"/>
  <c r="EZ276" i="6" s="1"/>
  <c r="EP277" i="6"/>
  <c r="BK284" i="5"/>
  <c r="ET275" i="6"/>
  <c r="GZ275" i="6"/>
  <c r="HA275" i="6"/>
  <c r="GV275" i="6"/>
  <c r="GY275" i="6"/>
  <c r="GU275" i="6"/>
  <c r="GT275" i="6"/>
  <c r="GX275" i="6"/>
  <c r="ES276" i="6"/>
  <c r="EK277" i="6"/>
  <c r="FJ277" i="6"/>
  <c r="ER277" i="6"/>
  <c r="EQ277" i="6"/>
  <c r="GW275" i="6"/>
  <c r="EW277" i="6" l="1"/>
  <c r="EY276" i="6"/>
  <c r="EL278" i="6"/>
  <c r="EK278" i="6"/>
  <c r="FJ278" i="6"/>
  <c r="FG279" i="6"/>
  <c r="FC279" i="6"/>
  <c r="FD279" i="6"/>
  <c r="FH279" i="6"/>
  <c r="FE279" i="6"/>
  <c r="FI279" i="6"/>
  <c r="FF279" i="6"/>
  <c r="FB279" i="6"/>
  <c r="AX290" i="5"/>
  <c r="BJ289" i="5"/>
  <c r="BG289" i="5"/>
  <c r="EQ278" i="6"/>
  <c r="HA276" i="6"/>
  <c r="ET276" i="6"/>
  <c r="BK285" i="5"/>
  <c r="GW276" i="6"/>
  <c r="GU276" i="6"/>
  <c r="GZ276" i="6"/>
  <c r="GX276" i="6"/>
  <c r="GT276" i="6"/>
  <c r="ER278" i="6"/>
  <c r="EP278" i="6"/>
  <c r="EO278" i="6"/>
  <c r="GV276" i="6"/>
  <c r="EX277" i="6"/>
  <c r="ES277" i="6"/>
  <c r="EM278" i="6"/>
  <c r="EN278" i="6"/>
  <c r="BM284" i="5"/>
  <c r="BL284" i="5"/>
  <c r="GY276" i="6"/>
  <c r="EX278" i="6" l="1"/>
  <c r="EW278" i="6"/>
  <c r="GX277" i="6"/>
  <c r="ET277" i="6"/>
  <c r="BK286" i="5"/>
  <c r="GZ277" i="6"/>
  <c r="HA277" i="6"/>
  <c r="GW277" i="6"/>
  <c r="GT277" i="6"/>
  <c r="AX291" i="5"/>
  <c r="BJ290" i="5"/>
  <c r="BG290" i="5"/>
  <c r="ER279" i="6"/>
  <c r="EM279" i="6"/>
  <c r="FE280" i="6"/>
  <c r="FH280" i="6"/>
  <c r="FF280" i="6"/>
  <c r="FI280" i="6"/>
  <c r="FD280" i="6"/>
  <c r="FB280" i="6"/>
  <c r="FC280" i="6"/>
  <c r="FG280" i="6"/>
  <c r="EY277" i="6"/>
  <c r="FJ279" i="6"/>
  <c r="EK279" i="6"/>
  <c r="EQ279" i="6"/>
  <c r="ES278" i="6"/>
  <c r="GZ278" i="6" s="1"/>
  <c r="GV277" i="6"/>
  <c r="EO279" i="6"/>
  <c r="EL279" i="6"/>
  <c r="BM285" i="5"/>
  <c r="BL285" i="5"/>
  <c r="GU277" i="6"/>
  <c r="EZ277" i="6"/>
  <c r="EN279" i="6"/>
  <c r="EP279" i="6"/>
  <c r="GY277" i="6"/>
  <c r="EW279" i="6" l="1"/>
  <c r="EO280" i="6"/>
  <c r="FD281" i="6"/>
  <c r="FG281" i="6"/>
  <c r="FC281" i="6"/>
  <c r="FI281" i="6"/>
  <c r="FB281" i="6"/>
  <c r="FF281" i="6"/>
  <c r="FH281" i="6"/>
  <c r="FE281" i="6"/>
  <c r="EN280" i="6"/>
  <c r="ET278" i="6"/>
  <c r="BK287" i="5"/>
  <c r="GU278" i="6"/>
  <c r="GT278" i="6"/>
  <c r="HA278" i="6"/>
  <c r="GY278" i="6"/>
  <c r="GX278" i="6"/>
  <c r="ER280" i="6"/>
  <c r="BL286" i="5"/>
  <c r="BM286" i="5"/>
  <c r="GW278" i="6"/>
  <c r="EQ280" i="6"/>
  <c r="EX279" i="6"/>
  <c r="EY278" i="6"/>
  <c r="EZ278" i="6"/>
  <c r="EM280" i="6"/>
  <c r="BJ291" i="5"/>
  <c r="AX292" i="5"/>
  <c r="BG291" i="5"/>
  <c r="ES279" i="6"/>
  <c r="GW279" i="6" s="1"/>
  <c r="EP280" i="6"/>
  <c r="EL280" i="6"/>
  <c r="FJ280" i="6"/>
  <c r="EK280" i="6"/>
  <c r="GV278" i="6"/>
  <c r="FC282" i="6" l="1"/>
  <c r="FB282" i="6"/>
  <c r="FI282" i="6"/>
  <c r="FE282" i="6"/>
  <c r="FG282" i="6"/>
  <c r="FF282" i="6"/>
  <c r="FH282" i="6"/>
  <c r="EQ282" i="6" s="1"/>
  <c r="FD282" i="6"/>
  <c r="EP281" i="6"/>
  <c r="BM287" i="5"/>
  <c r="BL287" i="5"/>
  <c r="EO281" i="6"/>
  <c r="EZ279" i="6"/>
  <c r="EM281" i="6"/>
  <c r="EN281" i="6"/>
  <c r="EW280" i="6"/>
  <c r="EL281" i="6"/>
  <c r="EQ281" i="6"/>
  <c r="ER281" i="6"/>
  <c r="BK288" i="5"/>
  <c r="ET279" i="6"/>
  <c r="GY279" i="6"/>
  <c r="GT279" i="6"/>
  <c r="GZ279" i="6"/>
  <c r="GX279" i="6"/>
  <c r="GU279" i="6"/>
  <c r="ES280" i="6"/>
  <c r="BJ292" i="5"/>
  <c r="AX293" i="5"/>
  <c r="BG292" i="5"/>
  <c r="EK281" i="6"/>
  <c r="FJ281" i="6"/>
  <c r="EX280" i="6"/>
  <c r="EY279" i="6"/>
  <c r="HA279" i="6"/>
  <c r="GV279" i="6"/>
  <c r="EW281" i="6" l="1"/>
  <c r="EY280" i="6"/>
  <c r="EZ280" i="6"/>
  <c r="ES281" i="6"/>
  <c r="HA281" i="6" s="1"/>
  <c r="BJ293" i="5"/>
  <c r="AX294" i="5"/>
  <c r="BG293" i="5"/>
  <c r="BK289" i="5"/>
  <c r="ET280" i="6"/>
  <c r="HA280" i="6"/>
  <c r="GZ280" i="6"/>
  <c r="GV280" i="6"/>
  <c r="GW280" i="6"/>
  <c r="GY280" i="6"/>
  <c r="EM282" i="6"/>
  <c r="EO282" i="6"/>
  <c r="EN282" i="6"/>
  <c r="BM288" i="5"/>
  <c r="BL288" i="5"/>
  <c r="FE283" i="6"/>
  <c r="FF283" i="6"/>
  <c r="FD283" i="6"/>
  <c r="FI283" i="6"/>
  <c r="FC283" i="6"/>
  <c r="FG283" i="6"/>
  <c r="FB283" i="6"/>
  <c r="FH283" i="6"/>
  <c r="EP282" i="6"/>
  <c r="ER282" i="6"/>
  <c r="EK282" i="6"/>
  <c r="FJ282" i="6"/>
  <c r="EX281" i="6"/>
  <c r="EL282" i="6"/>
  <c r="GX280" i="6"/>
  <c r="GT280" i="6"/>
  <c r="GU280" i="6"/>
  <c r="BK290" i="5" l="1"/>
  <c r="BL290" i="5" s="1"/>
  <c r="GT281" i="6"/>
  <c r="EW282" i="6"/>
  <c r="EX282" i="6"/>
  <c r="GX281" i="6"/>
  <c r="GU281" i="6"/>
  <c r="EZ281" i="6"/>
  <c r="GZ281" i="6"/>
  <c r="GW281" i="6"/>
  <c r="GV281" i="6"/>
  <c r="EY281" i="6"/>
  <c r="ET281" i="6"/>
  <c r="GY281" i="6"/>
  <c r="EL283" i="6"/>
  <c r="EP283" i="6"/>
  <c r="EM283" i="6"/>
  <c r="BM289" i="5"/>
  <c r="BL289" i="5"/>
  <c r="FJ283" i="6"/>
  <c r="EK283" i="6"/>
  <c r="EO283" i="6"/>
  <c r="FH284" i="6"/>
  <c r="FI284" i="6"/>
  <c r="FB284" i="6"/>
  <c r="FC284" i="6"/>
  <c r="FF284" i="6"/>
  <c r="FD284" i="6"/>
  <c r="FE284" i="6"/>
  <c r="FG284" i="6"/>
  <c r="EQ283" i="6"/>
  <c r="BJ294" i="5"/>
  <c r="AX295" i="5"/>
  <c r="BG294" i="5"/>
  <c r="ES282" i="6"/>
  <c r="ER283" i="6"/>
  <c r="EN283" i="6"/>
  <c r="BM290" i="5"/>
  <c r="ES283" i="6" l="1"/>
  <c r="GY283" i="6" s="1"/>
  <c r="EW283" i="6"/>
  <c r="EQ284" i="6"/>
  <c r="EK284" i="6"/>
  <c r="FJ284" i="6"/>
  <c r="GT282" i="6"/>
  <c r="BK291" i="5"/>
  <c r="ET282" i="6"/>
  <c r="HA282" i="6"/>
  <c r="BJ295" i="5"/>
  <c r="AX296" i="5"/>
  <c r="BG295" i="5"/>
  <c r="GW282" i="6"/>
  <c r="FD285" i="6"/>
  <c r="FC285" i="6"/>
  <c r="FF285" i="6"/>
  <c r="FI285" i="6"/>
  <c r="FB285" i="6"/>
  <c r="FE285" i="6"/>
  <c r="FG285" i="6"/>
  <c r="EP285" i="6" s="1"/>
  <c r="FH285" i="6"/>
  <c r="EY282" i="6"/>
  <c r="ER284" i="6"/>
  <c r="EP284" i="6"/>
  <c r="EX283" i="6"/>
  <c r="GX282" i="6"/>
  <c r="GZ282" i="6"/>
  <c r="EN284" i="6"/>
  <c r="GY282" i="6"/>
  <c r="EM284" i="6"/>
  <c r="GV282" i="6"/>
  <c r="EO284" i="6"/>
  <c r="EZ282" i="6"/>
  <c r="EL284" i="6"/>
  <c r="GU282" i="6"/>
  <c r="EY283" i="6" l="1"/>
  <c r="BK292" i="5"/>
  <c r="GW283" i="6"/>
  <c r="GU283" i="6"/>
  <c r="EZ283" i="6"/>
  <c r="GZ283" i="6"/>
  <c r="GV283" i="6"/>
  <c r="ET283" i="6"/>
  <c r="GT283" i="6"/>
  <c r="HA283" i="6"/>
  <c r="GX283" i="6"/>
  <c r="EM285" i="6"/>
  <c r="BM292" i="5"/>
  <c r="BL292" i="5"/>
  <c r="FH286" i="6"/>
  <c r="FB286" i="6"/>
  <c r="FD286" i="6"/>
  <c r="FE286" i="6"/>
  <c r="FC286" i="6"/>
  <c r="FF286" i="6"/>
  <c r="FG286" i="6"/>
  <c r="EP286" i="6" s="1"/>
  <c r="FI286" i="6"/>
  <c r="BM291" i="5"/>
  <c r="BL291" i="5"/>
  <c r="EN285" i="6"/>
  <c r="EO285" i="6"/>
  <c r="EL285" i="6"/>
  <c r="EW284" i="6"/>
  <c r="EQ285" i="6"/>
  <c r="ES284" i="6"/>
  <c r="GX284" i="6" s="1"/>
  <c r="FJ285" i="6"/>
  <c r="EK285" i="6"/>
  <c r="AX297" i="5"/>
  <c r="BJ296" i="5"/>
  <c r="BG296" i="5"/>
  <c r="ER285" i="6"/>
  <c r="EX284" i="6"/>
  <c r="EW285" i="6" l="1"/>
  <c r="EZ284" i="6"/>
  <c r="FD287" i="6"/>
  <c r="FH287" i="6"/>
  <c r="FC287" i="6"/>
  <c r="FF287" i="6"/>
  <c r="FB287" i="6"/>
  <c r="FE287" i="6"/>
  <c r="FG287" i="6"/>
  <c r="EP287" i="6" s="1"/>
  <c r="FI287" i="6"/>
  <c r="AX298" i="5"/>
  <c r="BJ297" i="5"/>
  <c r="BG297" i="5"/>
  <c r="ER286" i="6"/>
  <c r="EQ286" i="6"/>
  <c r="EO286" i="6"/>
  <c r="EM286" i="6"/>
  <c r="GZ284" i="6"/>
  <c r="HA284" i="6"/>
  <c r="EL286" i="6"/>
  <c r="EN286" i="6"/>
  <c r="EK286" i="6"/>
  <c r="FJ286" i="6"/>
  <c r="ES285" i="6"/>
  <c r="ET284" i="6"/>
  <c r="BK293" i="5"/>
  <c r="GT284" i="6"/>
  <c r="GV284" i="6"/>
  <c r="GW284" i="6"/>
  <c r="EX285" i="6"/>
  <c r="EY284" i="6"/>
  <c r="GY284" i="6"/>
  <c r="GU284" i="6"/>
  <c r="EX286" i="6" l="1"/>
  <c r="EZ285" i="6"/>
  <c r="BL293" i="5"/>
  <c r="BM293" i="5"/>
  <c r="EK287" i="6"/>
  <c r="FJ287" i="6"/>
  <c r="FD288" i="6"/>
  <c r="FF288" i="6"/>
  <c r="FG288" i="6"/>
  <c r="FB288" i="6"/>
  <c r="FE288" i="6"/>
  <c r="FI288" i="6"/>
  <c r="FH288" i="6"/>
  <c r="FC288" i="6"/>
  <c r="BJ298" i="5"/>
  <c r="AX299" i="5"/>
  <c r="BG298" i="5"/>
  <c r="EW286" i="6"/>
  <c r="ES286" i="6"/>
  <c r="GZ286" i="6" s="1"/>
  <c r="EQ287" i="6"/>
  <c r="GY285" i="6"/>
  <c r="ET285" i="6"/>
  <c r="BK294" i="5"/>
  <c r="GU285" i="6"/>
  <c r="GZ285" i="6"/>
  <c r="GT285" i="6"/>
  <c r="HA285" i="6"/>
  <c r="GW285" i="6"/>
  <c r="ER287" i="6"/>
  <c r="EN287" i="6"/>
  <c r="EO287" i="6"/>
  <c r="EL287" i="6"/>
  <c r="EM287" i="6"/>
  <c r="EY285" i="6"/>
  <c r="GV285" i="6"/>
  <c r="GX285" i="6"/>
  <c r="EY286" i="6" l="1"/>
  <c r="EN288" i="6"/>
  <c r="ET286" i="6"/>
  <c r="BK295" i="5"/>
  <c r="GU286" i="6"/>
  <c r="GW286" i="6"/>
  <c r="GT286" i="6"/>
  <c r="GV286" i="6"/>
  <c r="HA286" i="6"/>
  <c r="GX286" i="6"/>
  <c r="EP288" i="6"/>
  <c r="EQ288" i="6"/>
  <c r="BJ299" i="5"/>
  <c r="AX300" i="5"/>
  <c r="BG299" i="5"/>
  <c r="BM294" i="5"/>
  <c r="BL294" i="5"/>
  <c r="FF289" i="6"/>
  <c r="FD289" i="6"/>
  <c r="FH289" i="6"/>
  <c r="FG289" i="6"/>
  <c r="FB289" i="6"/>
  <c r="FI289" i="6"/>
  <c r="FC289" i="6"/>
  <c r="FE289" i="6"/>
  <c r="EL288" i="6"/>
  <c r="EW287" i="6"/>
  <c r="EX287" i="6"/>
  <c r="EO288" i="6"/>
  <c r="EZ286" i="6"/>
  <c r="GY286" i="6"/>
  <c r="ER288" i="6"/>
  <c r="EK288" i="6"/>
  <c r="FJ288" i="6"/>
  <c r="EM288" i="6"/>
  <c r="ES287" i="6"/>
  <c r="GZ287" i="6" s="1"/>
  <c r="EZ287" i="6" l="1"/>
  <c r="EY287" i="6"/>
  <c r="ES288" i="6"/>
  <c r="GV288" i="6" s="1"/>
  <c r="EX288" i="6"/>
  <c r="BJ300" i="5"/>
  <c r="AX301" i="5"/>
  <c r="BG300" i="5"/>
  <c r="EN289" i="6"/>
  <c r="BL295" i="5"/>
  <c r="BM295" i="5"/>
  <c r="ER289" i="6"/>
  <c r="EK289" i="6"/>
  <c r="FJ289" i="6"/>
  <c r="EP289" i="6"/>
  <c r="EW288" i="6"/>
  <c r="EL289" i="6"/>
  <c r="EQ289" i="6"/>
  <c r="GU287" i="6"/>
  <c r="EM289" i="6"/>
  <c r="FH290" i="6"/>
  <c r="FF290" i="6"/>
  <c r="FB290" i="6"/>
  <c r="FD290" i="6"/>
  <c r="FC290" i="6"/>
  <c r="FG290" i="6"/>
  <c r="FI290" i="6"/>
  <c r="FE290" i="6"/>
  <c r="GY287" i="6"/>
  <c r="BK296" i="5"/>
  <c r="ET287" i="6"/>
  <c r="GX287" i="6"/>
  <c r="GT287" i="6"/>
  <c r="GW287" i="6"/>
  <c r="HA287" i="6"/>
  <c r="EO289" i="6"/>
  <c r="GV287" i="6"/>
  <c r="EZ288" i="6" l="1"/>
  <c r="EY288" i="6"/>
  <c r="GZ288" i="6"/>
  <c r="EW289" i="6"/>
  <c r="GT288" i="6"/>
  <c r="BM296" i="5"/>
  <c r="BL296" i="5"/>
  <c r="EK290" i="6"/>
  <c r="FJ290" i="6"/>
  <c r="ER290" i="6"/>
  <c r="FD291" i="6"/>
  <c r="FH291" i="6"/>
  <c r="FE291" i="6"/>
  <c r="FG291" i="6"/>
  <c r="FC291" i="6"/>
  <c r="FI291" i="6"/>
  <c r="FF291" i="6"/>
  <c r="FB291" i="6"/>
  <c r="EQ290" i="6"/>
  <c r="ET288" i="6"/>
  <c r="BK297" i="5"/>
  <c r="GX288" i="6"/>
  <c r="GU288" i="6"/>
  <c r="GW288" i="6"/>
  <c r="EP290" i="6"/>
  <c r="HA288" i="6"/>
  <c r="ES289" i="6"/>
  <c r="HA289" i="6" s="1"/>
  <c r="EN290" i="6"/>
  <c r="EL290" i="6"/>
  <c r="EO290" i="6"/>
  <c r="EM290" i="6"/>
  <c r="BJ301" i="5"/>
  <c r="AX302" i="5"/>
  <c r="BG301" i="5"/>
  <c r="EX289" i="6"/>
  <c r="GY288" i="6"/>
  <c r="EX290" i="6" l="1"/>
  <c r="EZ289" i="6"/>
  <c r="FC292" i="6"/>
  <c r="FH292" i="6"/>
  <c r="FE292" i="6"/>
  <c r="FI292" i="6"/>
  <c r="FG292" i="6"/>
  <c r="FF292" i="6"/>
  <c r="FD292" i="6"/>
  <c r="FB292" i="6"/>
  <c r="FJ291" i="6"/>
  <c r="EK291" i="6"/>
  <c r="ER291" i="6"/>
  <c r="BM297" i="5"/>
  <c r="BL297" i="5"/>
  <c r="EL291" i="6"/>
  <c r="EM291" i="6"/>
  <c r="ES290" i="6"/>
  <c r="GU290" i="6" s="1"/>
  <c r="EN291" i="6"/>
  <c r="EO291" i="6"/>
  <c r="EQ291" i="6"/>
  <c r="EW290" i="6"/>
  <c r="ET289" i="6"/>
  <c r="BK298" i="5"/>
  <c r="GZ289" i="6"/>
  <c r="GV289" i="6"/>
  <c r="GT289" i="6"/>
  <c r="GY289" i="6"/>
  <c r="GW289" i="6"/>
  <c r="EY289" i="6"/>
  <c r="AX303" i="5"/>
  <c r="BJ302" i="5"/>
  <c r="BG302" i="5"/>
  <c r="EP291" i="6"/>
  <c r="GX289" i="6"/>
  <c r="GU289" i="6"/>
  <c r="EY290" i="6" l="1"/>
  <c r="GZ290" i="6"/>
  <c r="EZ290" i="6"/>
  <c r="BJ303" i="5"/>
  <c r="AX304" i="5"/>
  <c r="BG303" i="5"/>
  <c r="EN292" i="6"/>
  <c r="EO292" i="6"/>
  <c r="FE293" i="6"/>
  <c r="FC293" i="6"/>
  <c r="FG293" i="6"/>
  <c r="FD293" i="6"/>
  <c r="FH293" i="6"/>
  <c r="FF293" i="6"/>
  <c r="FI293" i="6"/>
  <c r="FB293" i="6"/>
  <c r="ES291" i="6"/>
  <c r="EK292" i="6"/>
  <c r="FJ292" i="6"/>
  <c r="EM292" i="6"/>
  <c r="EP292" i="6"/>
  <c r="ER292" i="6"/>
  <c r="EQ292" i="6"/>
  <c r="EW291" i="6"/>
  <c r="BM298" i="5"/>
  <c r="BL298" i="5"/>
  <c r="EX291" i="6"/>
  <c r="EL292" i="6"/>
  <c r="ET290" i="6"/>
  <c r="BK299" i="5"/>
  <c r="HA290" i="6"/>
  <c r="GY290" i="6"/>
  <c r="GW290" i="6"/>
  <c r="GV290" i="6"/>
  <c r="GT290" i="6"/>
  <c r="GX290" i="6"/>
  <c r="ET291" i="6" l="1"/>
  <c r="BK300" i="5"/>
  <c r="GZ291" i="6"/>
  <c r="GV291" i="6"/>
  <c r="GW291" i="6"/>
  <c r="GU291" i="6"/>
  <c r="GX291" i="6"/>
  <c r="GT291" i="6"/>
  <c r="HA291" i="6"/>
  <c r="GY291" i="6"/>
  <c r="ES292" i="6"/>
  <c r="EQ293" i="6"/>
  <c r="EZ291" i="6"/>
  <c r="EY291" i="6"/>
  <c r="EP293" i="6"/>
  <c r="ER293" i="6"/>
  <c r="EX292" i="6"/>
  <c r="EZ292" i="6" s="1"/>
  <c r="EW292" i="6"/>
  <c r="EL293" i="6"/>
  <c r="FF294" i="6"/>
  <c r="FG294" i="6"/>
  <c r="FE294" i="6"/>
  <c r="FC294" i="6"/>
  <c r="FI294" i="6"/>
  <c r="FB294" i="6"/>
  <c r="FD294" i="6"/>
  <c r="EM294" i="6" s="1"/>
  <c r="FH294" i="6"/>
  <c r="BM299" i="5"/>
  <c r="BL299" i="5"/>
  <c r="EO293" i="6"/>
  <c r="EM293" i="6"/>
  <c r="EN293" i="6"/>
  <c r="BJ304" i="5"/>
  <c r="AX305" i="5"/>
  <c r="BG304" i="5"/>
  <c r="EK293" i="6"/>
  <c r="FJ293" i="6"/>
  <c r="EW293" i="6" l="1"/>
  <c r="EY292" i="6"/>
  <c r="ES293" i="6"/>
  <c r="GU293" i="6" s="1"/>
  <c r="BJ305" i="5"/>
  <c r="AX306" i="5"/>
  <c r="BG305" i="5"/>
  <c r="ET293" i="6"/>
  <c r="BK302" i="5"/>
  <c r="EX293" i="6"/>
  <c r="EZ293" i="6" s="1"/>
  <c r="ET292" i="6"/>
  <c r="BK301" i="5"/>
  <c r="GV292" i="6"/>
  <c r="HA292" i="6"/>
  <c r="GZ292" i="6"/>
  <c r="GX292" i="6"/>
  <c r="GU292" i="6"/>
  <c r="GT292" i="6"/>
  <c r="GW292" i="6"/>
  <c r="EK294" i="6"/>
  <c r="FJ294" i="6"/>
  <c r="ER294" i="6"/>
  <c r="EL294" i="6"/>
  <c r="EN294" i="6"/>
  <c r="EW294" i="6" s="1"/>
  <c r="EP294" i="6"/>
  <c r="EO294" i="6"/>
  <c r="BM300" i="5"/>
  <c r="BL300" i="5"/>
  <c r="EQ294" i="6"/>
  <c r="FB295" i="6"/>
  <c r="FD295" i="6"/>
  <c r="FC295" i="6"/>
  <c r="FE295" i="6"/>
  <c r="FF295" i="6"/>
  <c r="FI295" i="6"/>
  <c r="FH295" i="6"/>
  <c r="FG295" i="6"/>
  <c r="GY292" i="6"/>
  <c r="ES294" i="6" l="1"/>
  <c r="GX294" i="6" s="1"/>
  <c r="GV293" i="6"/>
  <c r="GT293" i="6"/>
  <c r="GZ293" i="6"/>
  <c r="EY293" i="6"/>
  <c r="GW293" i="6"/>
  <c r="GX293" i="6"/>
  <c r="HA293" i="6"/>
  <c r="GY293" i="6"/>
  <c r="EN295" i="6"/>
  <c r="EL295" i="6"/>
  <c r="EM295" i="6"/>
  <c r="GZ294" i="6"/>
  <c r="GW294" i="6"/>
  <c r="BM302" i="5"/>
  <c r="BL302" i="5"/>
  <c r="BM301" i="5"/>
  <c r="BL301" i="5"/>
  <c r="EY294" i="6"/>
  <c r="EP295" i="6"/>
  <c r="EQ295" i="6"/>
  <c r="FE296" i="6"/>
  <c r="FG296" i="6"/>
  <c r="FI296" i="6"/>
  <c r="FD296" i="6"/>
  <c r="FH296" i="6"/>
  <c r="FB296" i="6"/>
  <c r="FF296" i="6"/>
  <c r="FC296" i="6"/>
  <c r="EK295" i="6"/>
  <c r="FJ295" i="6"/>
  <c r="ER295" i="6"/>
  <c r="BJ306" i="5"/>
  <c r="AX307" i="5"/>
  <c r="BG306" i="5"/>
  <c r="BK303" i="5"/>
  <c r="ET294" i="6"/>
  <c r="EX294" i="6"/>
  <c r="EZ294" i="6" s="1"/>
  <c r="HA294" i="6"/>
  <c r="EO295" i="6"/>
  <c r="GT294" i="6" l="1"/>
  <c r="GU294" i="6"/>
  <c r="GV294" i="6"/>
  <c r="GY294" i="6"/>
  <c r="EN296" i="6"/>
  <c r="BM303" i="5"/>
  <c r="BL303" i="5"/>
  <c r="ER296" i="6"/>
  <c r="EM296" i="6"/>
  <c r="EP296" i="6"/>
  <c r="EX295" i="6"/>
  <c r="FD297" i="6"/>
  <c r="FI297" i="6"/>
  <c r="FG297" i="6"/>
  <c r="FF297" i="6"/>
  <c r="FH297" i="6"/>
  <c r="FB297" i="6"/>
  <c r="FC297" i="6"/>
  <c r="FE297" i="6"/>
  <c r="BJ307" i="5"/>
  <c r="AX308" i="5"/>
  <c r="BG307" i="5"/>
  <c r="ES295" i="6"/>
  <c r="EL296" i="6"/>
  <c r="EO296" i="6"/>
  <c r="EK296" i="6"/>
  <c r="FJ296" i="6"/>
  <c r="EQ296" i="6"/>
  <c r="EW295" i="6"/>
  <c r="EY295" i="6" l="1"/>
  <c r="EZ295" i="6"/>
  <c r="EX296" i="6"/>
  <c r="EP297" i="6"/>
  <c r="EL297" i="6"/>
  <c r="EM297" i="6"/>
  <c r="EK297" i="6"/>
  <c r="FJ297" i="6"/>
  <c r="ET295" i="6"/>
  <c r="BK304" i="5"/>
  <c r="GW295" i="6"/>
  <c r="GV295" i="6"/>
  <c r="GT295" i="6"/>
  <c r="GY295" i="6"/>
  <c r="GZ295" i="6"/>
  <c r="HA295" i="6"/>
  <c r="EQ297" i="6"/>
  <c r="ER297" i="6"/>
  <c r="FB298" i="6"/>
  <c r="FF298" i="6"/>
  <c r="FE298" i="6"/>
  <c r="FH298" i="6"/>
  <c r="FG298" i="6"/>
  <c r="FC298" i="6"/>
  <c r="FI298" i="6"/>
  <c r="FD298" i="6"/>
  <c r="GX295" i="6"/>
  <c r="EN297" i="6"/>
  <c r="EO297" i="6"/>
  <c r="ES296" i="6"/>
  <c r="EW296" i="6"/>
  <c r="AX309" i="5"/>
  <c r="BJ308" i="5"/>
  <c r="BG308" i="5"/>
  <c r="GU295" i="6"/>
  <c r="EW297" i="6" l="1"/>
  <c r="EX297" i="6"/>
  <c r="FE299" i="6"/>
  <c r="FB299" i="6"/>
  <c r="FI299" i="6"/>
  <c r="FC299" i="6"/>
  <c r="FH299" i="6"/>
  <c r="FG299" i="6"/>
  <c r="FF299" i="6"/>
  <c r="FD299" i="6"/>
  <c r="ET296" i="6"/>
  <c r="BK305" i="5"/>
  <c r="GU296" i="6"/>
  <c r="HA296" i="6"/>
  <c r="GT296" i="6"/>
  <c r="GY296" i="6"/>
  <c r="GZ296" i="6"/>
  <c r="EM298" i="6"/>
  <c r="EY296" i="6"/>
  <c r="ER298" i="6"/>
  <c r="AX310" i="5"/>
  <c r="BJ309" i="5"/>
  <c r="BG309" i="5"/>
  <c r="EL298" i="6"/>
  <c r="EQ298" i="6"/>
  <c r="EN298" i="6"/>
  <c r="EK298" i="6"/>
  <c r="FJ298" i="6"/>
  <c r="EZ296" i="6"/>
  <c r="GW296" i="6"/>
  <c r="ES297" i="6"/>
  <c r="EP298" i="6"/>
  <c r="EO298" i="6"/>
  <c r="GV296" i="6"/>
  <c r="BL304" i="5"/>
  <c r="BM304" i="5"/>
  <c r="GX296" i="6"/>
  <c r="BK306" i="5" l="1"/>
  <c r="ET297" i="6"/>
  <c r="GV297" i="6"/>
  <c r="GY297" i="6"/>
  <c r="GT297" i="6"/>
  <c r="GX297" i="6"/>
  <c r="GZ297" i="6"/>
  <c r="EZ297" i="6"/>
  <c r="EW298" i="6"/>
  <c r="EQ299" i="6"/>
  <c r="EL299" i="6"/>
  <c r="EY297" i="6"/>
  <c r="BM305" i="5"/>
  <c r="BL305" i="5"/>
  <c r="EM299" i="6"/>
  <c r="EP299" i="6"/>
  <c r="ER299" i="6"/>
  <c r="FJ299" i="6"/>
  <c r="EK299" i="6"/>
  <c r="BJ310" i="5"/>
  <c r="AX311" i="5"/>
  <c r="BG310" i="5"/>
  <c r="GU297" i="6"/>
  <c r="GW297" i="6"/>
  <c r="ES298" i="6"/>
  <c r="EO299" i="6"/>
  <c r="EX298" i="6"/>
  <c r="FG300" i="6"/>
  <c r="FE300" i="6"/>
  <c r="FC300" i="6"/>
  <c r="FD300" i="6"/>
  <c r="FH300" i="6"/>
  <c r="FB300" i="6"/>
  <c r="FI300" i="6"/>
  <c r="FF300" i="6"/>
  <c r="EN299" i="6"/>
  <c r="HA297" i="6"/>
  <c r="EW299" i="6" l="1"/>
  <c r="EY298" i="6"/>
  <c r="EZ298" i="6"/>
  <c r="ER300" i="6"/>
  <c r="EN300" i="6"/>
  <c r="EP300" i="6"/>
  <c r="EQ300" i="6"/>
  <c r="ET298" i="6"/>
  <c r="BK307" i="5"/>
  <c r="GT298" i="6"/>
  <c r="GX298" i="6"/>
  <c r="GU298" i="6"/>
  <c r="GZ298" i="6"/>
  <c r="GW298" i="6"/>
  <c r="EM300" i="6"/>
  <c r="FE301" i="6"/>
  <c r="FD301" i="6"/>
  <c r="FC301" i="6"/>
  <c r="FG301" i="6"/>
  <c r="FF301" i="6"/>
  <c r="FI301" i="6"/>
  <c r="FB301" i="6"/>
  <c r="FH301" i="6"/>
  <c r="EQ301" i="6" s="1"/>
  <c r="EX299" i="6"/>
  <c r="ES299" i="6"/>
  <c r="GY299" i="6" s="1"/>
  <c r="GY298" i="6"/>
  <c r="EK300" i="6"/>
  <c r="FJ300" i="6"/>
  <c r="GV298" i="6"/>
  <c r="EL300" i="6"/>
  <c r="BJ311" i="5"/>
  <c r="AX312" i="5"/>
  <c r="BG311" i="5"/>
  <c r="BM306" i="5"/>
  <c r="BL306" i="5"/>
  <c r="EO300" i="6"/>
  <c r="HA298" i="6"/>
  <c r="EY299" i="6" l="1"/>
  <c r="GZ299" i="6"/>
  <c r="EN301" i="6"/>
  <c r="ES300" i="6"/>
  <c r="HA300" i="6" s="1"/>
  <c r="EX300" i="6"/>
  <c r="EW300" i="6"/>
  <c r="FC302" i="6"/>
  <c r="FD302" i="6"/>
  <c r="FF302" i="6"/>
  <c r="FE302" i="6"/>
  <c r="FG302" i="6"/>
  <c r="FH302" i="6"/>
  <c r="FB302" i="6"/>
  <c r="FI302" i="6"/>
  <c r="EZ299" i="6"/>
  <c r="ER301" i="6"/>
  <c r="ET299" i="6"/>
  <c r="BK308" i="5"/>
  <c r="GW299" i="6"/>
  <c r="GX299" i="6"/>
  <c r="GV299" i="6"/>
  <c r="FJ301" i="6"/>
  <c r="EK301" i="6"/>
  <c r="EO301" i="6"/>
  <c r="GU299" i="6"/>
  <c r="EP301" i="6"/>
  <c r="EL301" i="6"/>
  <c r="HA299" i="6"/>
  <c r="BJ312" i="5"/>
  <c r="AX313" i="5"/>
  <c r="BG312" i="5"/>
  <c r="BL307" i="5"/>
  <c r="BM307" i="5"/>
  <c r="GW300" i="6"/>
  <c r="EM301" i="6"/>
  <c r="GT299" i="6"/>
  <c r="EY300" i="6" l="1"/>
  <c r="EZ300" i="6"/>
  <c r="EX301" i="6"/>
  <c r="FE303" i="6"/>
  <c r="FF303" i="6"/>
  <c r="FD303" i="6"/>
  <c r="FB303" i="6"/>
  <c r="FC303" i="6"/>
  <c r="FH303" i="6"/>
  <c r="FG303" i="6"/>
  <c r="FI303" i="6"/>
  <c r="EK302" i="6"/>
  <c r="FJ302" i="6"/>
  <c r="EP302" i="6"/>
  <c r="EL302" i="6"/>
  <c r="EN302" i="6"/>
  <c r="BJ313" i="5"/>
  <c r="AX314" i="5"/>
  <c r="BG313" i="5"/>
  <c r="EQ302" i="6"/>
  <c r="EO302" i="6"/>
  <c r="ES301" i="6"/>
  <c r="HA301" i="6" s="1"/>
  <c r="EW301" i="6"/>
  <c r="BL308" i="5"/>
  <c r="BM308" i="5"/>
  <c r="ER302" i="6"/>
  <c r="EM302" i="6"/>
  <c r="ET300" i="6"/>
  <c r="BK309" i="5"/>
  <c r="GX300" i="6"/>
  <c r="GZ300" i="6"/>
  <c r="GT300" i="6"/>
  <c r="GU300" i="6"/>
  <c r="GV300" i="6"/>
  <c r="GY300" i="6"/>
  <c r="EW302" i="6" l="1"/>
  <c r="EY301" i="6"/>
  <c r="FC304" i="6"/>
  <c r="FH304" i="6"/>
  <c r="FB304" i="6"/>
  <c r="FI304" i="6"/>
  <c r="FD304" i="6"/>
  <c r="FG304" i="6"/>
  <c r="FE304" i="6"/>
  <c r="FF304" i="6"/>
  <c r="BJ314" i="5"/>
  <c r="AX315" i="5"/>
  <c r="BG314" i="5"/>
  <c r="EQ303" i="6"/>
  <c r="BM309" i="5"/>
  <c r="BL309" i="5"/>
  <c r="ER303" i="6"/>
  <c r="EP303" i="6"/>
  <c r="EK303" i="6"/>
  <c r="FJ303" i="6"/>
  <c r="ES302" i="6"/>
  <c r="GW302" i="6" s="1"/>
  <c r="EL303" i="6"/>
  <c r="GZ301" i="6"/>
  <c r="BK310" i="5"/>
  <c r="ET301" i="6"/>
  <c r="GW301" i="6"/>
  <c r="GT301" i="6"/>
  <c r="GX301" i="6"/>
  <c r="GV301" i="6"/>
  <c r="GU301" i="6"/>
  <c r="GY301" i="6"/>
  <c r="EM303" i="6"/>
  <c r="EO303" i="6"/>
  <c r="EN303" i="6"/>
  <c r="EX302" i="6"/>
  <c r="EZ301" i="6"/>
  <c r="EW303" i="6" l="1"/>
  <c r="EY302" i="6"/>
  <c r="FC305" i="6"/>
  <c r="FH305" i="6"/>
  <c r="FD305" i="6"/>
  <c r="FB305" i="6"/>
  <c r="FE305" i="6"/>
  <c r="EN305" i="6" s="1"/>
  <c r="FG305" i="6"/>
  <c r="FF305" i="6"/>
  <c r="FI305" i="6"/>
  <c r="BL310" i="5"/>
  <c r="BM310" i="5"/>
  <c r="EX303" i="6"/>
  <c r="ET302" i="6"/>
  <c r="BK311" i="5"/>
  <c r="GZ302" i="6"/>
  <c r="GT302" i="6"/>
  <c r="GY302" i="6"/>
  <c r="HA302" i="6"/>
  <c r="GV302" i="6"/>
  <c r="EN304" i="6"/>
  <c r="EK304" i="6"/>
  <c r="FJ304" i="6"/>
  <c r="EO304" i="6"/>
  <c r="ER304" i="6"/>
  <c r="EQ304" i="6"/>
  <c r="EL304" i="6"/>
  <c r="EP304" i="6"/>
  <c r="ES303" i="6"/>
  <c r="EY303" i="6" s="1"/>
  <c r="GU302" i="6"/>
  <c r="AX316" i="5"/>
  <c r="BJ315" i="5"/>
  <c r="BG315" i="5"/>
  <c r="EM304" i="6"/>
  <c r="EZ302" i="6"/>
  <c r="GX302" i="6"/>
  <c r="EW304" i="6" l="1"/>
  <c r="FC306" i="6"/>
  <c r="FD306" i="6"/>
  <c r="FH306" i="6"/>
  <c r="FE306" i="6"/>
  <c r="FF306" i="6"/>
  <c r="FG306" i="6"/>
  <c r="FB306" i="6"/>
  <c r="FI306" i="6"/>
  <c r="ER306" i="6" s="1"/>
  <c r="EZ303" i="6"/>
  <c r="BJ316" i="5"/>
  <c r="AX317" i="5"/>
  <c r="BG316" i="5"/>
  <c r="ET303" i="6"/>
  <c r="BK312" i="5"/>
  <c r="GV303" i="6"/>
  <c r="GU303" i="6"/>
  <c r="GW303" i="6"/>
  <c r="HA303" i="6"/>
  <c r="GX303" i="6"/>
  <c r="EP305" i="6"/>
  <c r="EX304" i="6"/>
  <c r="GZ303" i="6"/>
  <c r="BM311" i="5"/>
  <c r="BL311" i="5"/>
  <c r="ER305" i="6"/>
  <c r="EO305" i="6"/>
  <c r="EK305" i="6"/>
  <c r="FJ305" i="6"/>
  <c r="EM305" i="6"/>
  <c r="EQ305" i="6"/>
  <c r="EL305" i="6"/>
  <c r="GY303" i="6"/>
  <c r="ES304" i="6"/>
  <c r="GT303" i="6"/>
  <c r="EW305" i="6" l="1"/>
  <c r="ET304" i="6"/>
  <c r="BK313" i="5"/>
  <c r="GT304" i="6"/>
  <c r="GW304" i="6"/>
  <c r="GX304" i="6"/>
  <c r="GZ304" i="6"/>
  <c r="HA304" i="6"/>
  <c r="GU304" i="6"/>
  <c r="FJ306" i="6"/>
  <c r="EK306" i="6"/>
  <c r="EO306" i="6"/>
  <c r="GW305" i="6"/>
  <c r="EY304" i="6"/>
  <c r="EZ304" i="6"/>
  <c r="EX305" i="6"/>
  <c r="EZ305" i="6" s="1"/>
  <c r="FF307" i="6"/>
  <c r="FH307" i="6"/>
  <c r="FC307" i="6"/>
  <c r="FG307" i="6"/>
  <c r="FB307" i="6"/>
  <c r="FD307" i="6"/>
  <c r="EM307" i="6" s="1"/>
  <c r="FE307" i="6"/>
  <c r="FI307" i="6"/>
  <c r="ER307" i="6" s="1"/>
  <c r="ES305" i="6"/>
  <c r="GV305" i="6" s="1"/>
  <c r="EN306" i="6"/>
  <c r="EQ306" i="6"/>
  <c r="EL306" i="6"/>
  <c r="GY304" i="6"/>
  <c r="BM312" i="5"/>
  <c r="BL312" i="5"/>
  <c r="BJ317" i="5"/>
  <c r="AX318" i="5"/>
  <c r="BG317" i="5"/>
  <c r="EP306" i="6"/>
  <c r="EM306" i="6"/>
  <c r="GV304" i="6"/>
  <c r="EW306" i="6" l="1"/>
  <c r="EX306" i="6"/>
  <c r="ES306" i="6"/>
  <c r="HA306" i="6" s="1"/>
  <c r="EN307" i="6"/>
  <c r="EW307" i="6" s="1"/>
  <c r="FG308" i="6"/>
  <c r="FC308" i="6"/>
  <c r="FE308" i="6"/>
  <c r="FD308" i="6"/>
  <c r="FH308" i="6"/>
  <c r="FF308" i="6"/>
  <c r="EO308" i="6" s="1"/>
  <c r="FI308" i="6"/>
  <c r="FB308" i="6"/>
  <c r="EP307" i="6"/>
  <c r="ET305" i="6"/>
  <c r="BK314" i="5"/>
  <c r="GY305" i="6"/>
  <c r="GU305" i="6"/>
  <c r="GT305" i="6"/>
  <c r="GX305" i="6"/>
  <c r="BJ318" i="5"/>
  <c r="AX319" i="5"/>
  <c r="BG318" i="5"/>
  <c r="BL313" i="5"/>
  <c r="BM313" i="5"/>
  <c r="HA305" i="6"/>
  <c r="EL307" i="6"/>
  <c r="EQ307" i="6"/>
  <c r="GZ305" i="6"/>
  <c r="GT306" i="6"/>
  <c r="EK307" i="6"/>
  <c r="FJ307" i="6"/>
  <c r="EO307" i="6"/>
  <c r="EY305" i="6"/>
  <c r="EY306" i="6" l="1"/>
  <c r="GW306" i="6"/>
  <c r="ES307" i="6"/>
  <c r="GY307" i="6" s="1"/>
  <c r="BM314" i="5"/>
  <c r="BL314" i="5"/>
  <c r="EQ308" i="6"/>
  <c r="EM308" i="6"/>
  <c r="EL308" i="6"/>
  <c r="AX320" i="5"/>
  <c r="BJ319" i="5"/>
  <c r="BG319" i="5"/>
  <c r="EK308" i="6"/>
  <c r="FJ308" i="6"/>
  <c r="ER308" i="6"/>
  <c r="EX307" i="6"/>
  <c r="EN308" i="6"/>
  <c r="EP308" i="6"/>
  <c r="FG309" i="6"/>
  <c r="FE309" i="6"/>
  <c r="FI309" i="6"/>
  <c r="FF309" i="6"/>
  <c r="FC309" i="6"/>
  <c r="FD309" i="6"/>
  <c r="FB309" i="6"/>
  <c r="FH309" i="6"/>
  <c r="ET306" i="6"/>
  <c r="BK315" i="5"/>
  <c r="GV306" i="6"/>
  <c r="EZ306" i="6"/>
  <c r="GU306" i="6"/>
  <c r="GZ306" i="6"/>
  <c r="GX306" i="6"/>
  <c r="GY306" i="6"/>
  <c r="BK316" i="5" l="1"/>
  <c r="EY307" i="6"/>
  <c r="GZ307" i="6"/>
  <c r="ET307" i="6"/>
  <c r="GX307" i="6"/>
  <c r="EW308" i="6"/>
  <c r="GT307" i="6"/>
  <c r="GW307" i="6"/>
  <c r="HA307" i="6"/>
  <c r="GV307" i="6"/>
  <c r="ES308" i="6"/>
  <c r="GZ308" i="6" s="1"/>
  <c r="EZ307" i="6"/>
  <c r="GU307" i="6"/>
  <c r="FG310" i="6"/>
  <c r="FD310" i="6"/>
  <c r="FC310" i="6"/>
  <c r="FH310" i="6"/>
  <c r="FB310" i="6"/>
  <c r="FE310" i="6"/>
  <c r="FF310" i="6"/>
  <c r="FI310" i="6"/>
  <c r="EM309" i="6"/>
  <c r="EN309" i="6"/>
  <c r="BJ320" i="5"/>
  <c r="AX321" i="5"/>
  <c r="BG320" i="5"/>
  <c r="EP309" i="6"/>
  <c r="BM315" i="5"/>
  <c r="BL315" i="5"/>
  <c r="EO309" i="6"/>
  <c r="EQ309" i="6"/>
  <c r="ER309" i="6"/>
  <c r="FJ309" i="6"/>
  <c r="EK309" i="6"/>
  <c r="EX308" i="6"/>
  <c r="BL316" i="5"/>
  <c r="BM316" i="5"/>
  <c r="EL309" i="6"/>
  <c r="EW309" i="6" l="1"/>
  <c r="EZ308" i="6"/>
  <c r="EY308" i="6"/>
  <c r="GV308" i="6"/>
  <c r="GU308" i="6"/>
  <c r="HA308" i="6"/>
  <c r="GW308" i="6"/>
  <c r="BK317" i="5"/>
  <c r="BM317" i="5" s="1"/>
  <c r="ET308" i="6"/>
  <c r="GY308" i="6"/>
  <c r="GT308" i="6"/>
  <c r="GX308" i="6"/>
  <c r="AX322" i="5"/>
  <c r="BJ321" i="5"/>
  <c r="BG321" i="5"/>
  <c r="ES309" i="6"/>
  <c r="EY309" i="6" s="1"/>
  <c r="ER310" i="6"/>
  <c r="EK310" i="6"/>
  <c r="FJ310" i="6"/>
  <c r="EQ310" i="6"/>
  <c r="FE311" i="6"/>
  <c r="FC311" i="6"/>
  <c r="FF311" i="6"/>
  <c r="FB311" i="6"/>
  <c r="FI311" i="6"/>
  <c r="FD311" i="6"/>
  <c r="FG311" i="6"/>
  <c r="FH311" i="6"/>
  <c r="EO310" i="6"/>
  <c r="EN310" i="6"/>
  <c r="EL310" i="6"/>
  <c r="EX309" i="6"/>
  <c r="EM310" i="6"/>
  <c r="EP310" i="6"/>
  <c r="EX310" i="6" l="1"/>
  <c r="BL317" i="5"/>
  <c r="EZ309" i="6"/>
  <c r="EQ311" i="6"/>
  <c r="EK311" i="6"/>
  <c r="FJ311" i="6"/>
  <c r="ER311" i="6"/>
  <c r="EL311" i="6"/>
  <c r="EM311" i="6"/>
  <c r="EO311" i="6"/>
  <c r="BJ322" i="5"/>
  <c r="AX323" i="5"/>
  <c r="BG322" i="5"/>
  <c r="EP311" i="6"/>
  <c r="EN311" i="6"/>
  <c r="ES310" i="6"/>
  <c r="GZ310" i="6" s="1"/>
  <c r="EW310" i="6"/>
  <c r="ET309" i="6"/>
  <c r="BK318" i="5"/>
  <c r="HA309" i="6"/>
  <c r="GZ309" i="6"/>
  <c r="GY309" i="6"/>
  <c r="GV309" i="6"/>
  <c r="GT309" i="6"/>
  <c r="FG312" i="6"/>
  <c r="FC312" i="6"/>
  <c r="FE312" i="6"/>
  <c r="FH312" i="6"/>
  <c r="FD312" i="6"/>
  <c r="FI312" i="6"/>
  <c r="FF312" i="6"/>
  <c r="FB312" i="6"/>
  <c r="GU309" i="6"/>
  <c r="GW309" i="6"/>
  <c r="GX309" i="6"/>
  <c r="EZ310" i="6" l="1"/>
  <c r="EQ312" i="6"/>
  <c r="FH313" i="6"/>
  <c r="FB313" i="6"/>
  <c r="FE313" i="6"/>
  <c r="FD313" i="6"/>
  <c r="FI313" i="6"/>
  <c r="FC313" i="6"/>
  <c r="FF313" i="6"/>
  <c r="FG313" i="6"/>
  <c r="ER312" i="6"/>
  <c r="EM312" i="6"/>
  <c r="EN312" i="6"/>
  <c r="EW312" i="6" s="1"/>
  <c r="BL318" i="5"/>
  <c r="BM318" i="5"/>
  <c r="BJ323" i="5"/>
  <c r="AX324" i="5"/>
  <c r="BG323" i="5"/>
  <c r="EL312" i="6"/>
  <c r="EX311" i="6"/>
  <c r="FJ312" i="6"/>
  <c r="EK312" i="6"/>
  <c r="EO312" i="6"/>
  <c r="EP312" i="6"/>
  <c r="BK319" i="5"/>
  <c r="ET310" i="6"/>
  <c r="HA310" i="6"/>
  <c r="GX310" i="6"/>
  <c r="GU310" i="6"/>
  <c r="GT310" i="6"/>
  <c r="GW310" i="6"/>
  <c r="GV310" i="6"/>
  <c r="ES311" i="6"/>
  <c r="EY310" i="6"/>
  <c r="EW311" i="6"/>
  <c r="GY310" i="6"/>
  <c r="EY311" i="6" l="1"/>
  <c r="EP313" i="6"/>
  <c r="ET311" i="6"/>
  <c r="BK320" i="5"/>
  <c r="GV311" i="6"/>
  <c r="GW311" i="6"/>
  <c r="GT311" i="6"/>
  <c r="HA311" i="6"/>
  <c r="GX311" i="6"/>
  <c r="GZ311" i="6"/>
  <c r="EL313" i="6"/>
  <c r="EN313" i="6"/>
  <c r="EM313" i="6"/>
  <c r="ES312" i="6"/>
  <c r="GW312" i="6" s="1"/>
  <c r="EX312" i="6"/>
  <c r="EO313" i="6"/>
  <c r="FJ313" i="6"/>
  <c r="EK313" i="6"/>
  <c r="EZ311" i="6"/>
  <c r="GU311" i="6"/>
  <c r="BJ324" i="5"/>
  <c r="AX325" i="5"/>
  <c r="BG324" i="5"/>
  <c r="BL319" i="5"/>
  <c r="BM319" i="5"/>
  <c r="ER313" i="6"/>
  <c r="EQ313" i="6"/>
  <c r="FE314" i="6"/>
  <c r="FI314" i="6"/>
  <c r="FH314" i="6"/>
  <c r="FG314" i="6"/>
  <c r="FD314" i="6"/>
  <c r="FF314" i="6"/>
  <c r="FB314" i="6"/>
  <c r="FC314" i="6"/>
  <c r="GY311" i="6"/>
  <c r="EZ312" i="6" l="1"/>
  <c r="EL314" i="6"/>
  <c r="EQ314" i="6"/>
  <c r="EX313" i="6"/>
  <c r="EM314" i="6"/>
  <c r="FC315" i="6"/>
  <c r="FH315" i="6"/>
  <c r="FI315" i="6"/>
  <c r="FG315" i="6"/>
  <c r="FD315" i="6"/>
  <c r="FB315" i="6"/>
  <c r="FE315" i="6"/>
  <c r="FF315" i="6"/>
  <c r="EO314" i="6"/>
  <c r="EP314" i="6"/>
  <c r="EY312" i="6"/>
  <c r="ET312" i="6"/>
  <c r="BK321" i="5"/>
  <c r="GT312" i="6"/>
  <c r="GU312" i="6"/>
  <c r="GX312" i="6"/>
  <c r="HA312" i="6"/>
  <c r="GV312" i="6"/>
  <c r="GZ312" i="6"/>
  <c r="EW313" i="6"/>
  <c r="EK314" i="6"/>
  <c r="FJ314" i="6"/>
  <c r="EN314" i="6"/>
  <c r="BJ325" i="5"/>
  <c r="AX326" i="5"/>
  <c r="BG325" i="5"/>
  <c r="ES313" i="6"/>
  <c r="GZ313" i="6" s="1"/>
  <c r="ER314" i="6"/>
  <c r="BM320" i="5"/>
  <c r="BL320" i="5"/>
  <c r="GY312" i="6"/>
  <c r="EW314" i="6" l="1"/>
  <c r="EM315" i="6"/>
  <c r="EL315" i="6"/>
  <c r="BJ326" i="5"/>
  <c r="AX327" i="5"/>
  <c r="BG326" i="5"/>
  <c r="EN315" i="6"/>
  <c r="ER315" i="6"/>
  <c r="EZ313" i="6"/>
  <c r="FB316" i="6"/>
  <c r="FG316" i="6"/>
  <c r="FH316" i="6"/>
  <c r="FE316" i="6"/>
  <c r="FC316" i="6"/>
  <c r="FI316" i="6"/>
  <c r="FD316" i="6"/>
  <c r="FF316" i="6"/>
  <c r="EK315" i="6"/>
  <c r="FJ315" i="6"/>
  <c r="EP315" i="6"/>
  <c r="EQ315" i="6"/>
  <c r="EX314" i="6"/>
  <c r="EY313" i="6"/>
  <c r="BK322" i="5"/>
  <c r="ET313" i="6"/>
  <c r="GT313" i="6"/>
  <c r="GW313" i="6"/>
  <c r="GX313" i="6"/>
  <c r="GY313" i="6"/>
  <c r="HA313" i="6"/>
  <c r="GV313" i="6"/>
  <c r="EO315" i="6"/>
  <c r="ES314" i="6"/>
  <c r="BM321" i="5"/>
  <c r="BL321" i="5"/>
  <c r="GU313" i="6"/>
  <c r="EW315" i="6" l="1"/>
  <c r="ES315" i="6"/>
  <c r="GY315" i="6" s="1"/>
  <c r="GU315" i="6"/>
  <c r="EN316" i="6"/>
  <c r="EQ316" i="6"/>
  <c r="BM322" i="5"/>
  <c r="BL322" i="5"/>
  <c r="EM316" i="6"/>
  <c r="EL316" i="6"/>
  <c r="EY315" i="6"/>
  <c r="EZ314" i="6"/>
  <c r="GZ315" i="6"/>
  <c r="GV315" i="6"/>
  <c r="EO316" i="6"/>
  <c r="ER316" i="6"/>
  <c r="EX315" i="6"/>
  <c r="EZ315" i="6" s="1"/>
  <c r="EK316" i="6"/>
  <c r="FJ316" i="6"/>
  <c r="AX328" i="5"/>
  <c r="BJ327" i="5"/>
  <c r="BG327" i="5"/>
  <c r="ET314" i="6"/>
  <c r="BK323" i="5"/>
  <c r="GZ314" i="6"/>
  <c r="GT314" i="6"/>
  <c r="GU314" i="6"/>
  <c r="GV314" i="6"/>
  <c r="GW314" i="6"/>
  <c r="GX314" i="6"/>
  <c r="HA314" i="6"/>
  <c r="EY314" i="6"/>
  <c r="EP316" i="6"/>
  <c r="GW315" i="6"/>
  <c r="FE317" i="6"/>
  <c r="FF317" i="6"/>
  <c r="FB317" i="6"/>
  <c r="FH317" i="6"/>
  <c r="FD317" i="6"/>
  <c r="EM317" i="6" s="1"/>
  <c r="FC317" i="6"/>
  <c r="FG317" i="6"/>
  <c r="FI317" i="6"/>
  <c r="GY314" i="6"/>
  <c r="ET315" i="6" l="1"/>
  <c r="BK324" i="5"/>
  <c r="BM324" i="5" s="1"/>
  <c r="ES316" i="6"/>
  <c r="GU316" i="6" s="1"/>
  <c r="GX315" i="6"/>
  <c r="GT315" i="6"/>
  <c r="HA315" i="6"/>
  <c r="EX316" i="6"/>
  <c r="EO317" i="6"/>
  <c r="EN317" i="6"/>
  <c r="EW317" i="6" s="1"/>
  <c r="ER317" i="6"/>
  <c r="EP317" i="6"/>
  <c r="EL317" i="6"/>
  <c r="BM323" i="5"/>
  <c r="BL323" i="5"/>
  <c r="FB318" i="6"/>
  <c r="FD318" i="6"/>
  <c r="FE318" i="6"/>
  <c r="FH318" i="6"/>
  <c r="FG318" i="6"/>
  <c r="FI318" i="6"/>
  <c r="FF318" i="6"/>
  <c r="FC318" i="6"/>
  <c r="BJ328" i="5"/>
  <c r="AX329" i="5"/>
  <c r="BG328" i="5"/>
  <c r="EQ317" i="6"/>
  <c r="EK317" i="6"/>
  <c r="FJ317" i="6"/>
  <c r="EW316" i="6"/>
  <c r="EY316" i="6" l="1"/>
  <c r="GX316" i="6"/>
  <c r="BK325" i="5"/>
  <c r="BM325" i="5" s="1"/>
  <c r="BL324" i="5"/>
  <c r="GT316" i="6"/>
  <c r="ET316" i="6"/>
  <c r="GZ316" i="6"/>
  <c r="GV316" i="6"/>
  <c r="EZ316" i="6"/>
  <c r="HA316" i="6"/>
  <c r="GW316" i="6"/>
  <c r="GY316" i="6"/>
  <c r="EQ318" i="6"/>
  <c r="EM318" i="6"/>
  <c r="ES317" i="6"/>
  <c r="GV317" i="6" s="1"/>
  <c r="EN318" i="6"/>
  <c r="FB319" i="6"/>
  <c r="FC319" i="6"/>
  <c r="FH319" i="6"/>
  <c r="FI319" i="6"/>
  <c r="FG319" i="6"/>
  <c r="FE319" i="6"/>
  <c r="FD319" i="6"/>
  <c r="FF319" i="6"/>
  <c r="EO318" i="6"/>
  <c r="EX317" i="6"/>
  <c r="BJ329" i="5"/>
  <c r="AX330" i="5"/>
  <c r="BG329" i="5"/>
  <c r="ER318" i="6"/>
  <c r="EK318" i="6"/>
  <c r="FJ318" i="6"/>
  <c r="EL318" i="6"/>
  <c r="EP318" i="6"/>
  <c r="EW318" i="6" l="1"/>
  <c r="EY317" i="6"/>
  <c r="BL325" i="5"/>
  <c r="EM319" i="6"/>
  <c r="EL319" i="6"/>
  <c r="ES318" i="6"/>
  <c r="EO319" i="6"/>
  <c r="ER319" i="6"/>
  <c r="EN319" i="6"/>
  <c r="EW319" i="6" s="1"/>
  <c r="EQ319" i="6"/>
  <c r="EZ317" i="6"/>
  <c r="ET317" i="6"/>
  <c r="BK326" i="5"/>
  <c r="GW317" i="6"/>
  <c r="GY317" i="6"/>
  <c r="GX317" i="6"/>
  <c r="HA317" i="6"/>
  <c r="GZ317" i="6"/>
  <c r="GT317" i="6"/>
  <c r="FD320" i="6"/>
  <c r="FF320" i="6"/>
  <c r="FG320" i="6"/>
  <c r="FI320" i="6"/>
  <c r="FE320" i="6"/>
  <c r="FB320" i="6"/>
  <c r="FC320" i="6"/>
  <c r="FH320" i="6"/>
  <c r="EX318" i="6"/>
  <c r="EP319" i="6"/>
  <c r="EK319" i="6"/>
  <c r="FJ319" i="6"/>
  <c r="GW318" i="6"/>
  <c r="BJ330" i="5"/>
  <c r="AX331" i="5"/>
  <c r="BG330" i="5"/>
  <c r="GU317" i="6"/>
  <c r="EX319" i="6" l="1"/>
  <c r="ES319" i="6"/>
  <c r="EY319" i="6" s="1"/>
  <c r="HA319" i="6"/>
  <c r="EZ318" i="6"/>
  <c r="FD321" i="6"/>
  <c r="FE321" i="6"/>
  <c r="FF321" i="6"/>
  <c r="FB321" i="6"/>
  <c r="FI321" i="6"/>
  <c r="FC321" i="6"/>
  <c r="FH321" i="6"/>
  <c r="FG321" i="6"/>
  <c r="GY319" i="6"/>
  <c r="GU319" i="6"/>
  <c r="GZ319" i="6"/>
  <c r="GW319" i="6"/>
  <c r="EP320" i="6"/>
  <c r="AX332" i="5"/>
  <c r="BJ331" i="5"/>
  <c r="BG331" i="5"/>
  <c r="EN320" i="6"/>
  <c r="BM326" i="5"/>
  <c r="BL326" i="5"/>
  <c r="ET319" i="6"/>
  <c r="BK328" i="5"/>
  <c r="EQ320" i="6"/>
  <c r="EL320" i="6"/>
  <c r="EK320" i="6"/>
  <c r="FJ320" i="6"/>
  <c r="EY318" i="6"/>
  <c r="ET318" i="6"/>
  <c r="BK327" i="5"/>
  <c r="HA318" i="6"/>
  <c r="GY318" i="6"/>
  <c r="GU318" i="6"/>
  <c r="GX318" i="6"/>
  <c r="GZ318" i="6"/>
  <c r="GV318" i="6"/>
  <c r="GT318" i="6"/>
  <c r="ER320" i="6"/>
  <c r="EO320" i="6"/>
  <c r="GV319" i="6"/>
  <c r="EM320" i="6"/>
  <c r="EZ319" i="6" l="1"/>
  <c r="EW320" i="6"/>
  <c r="GX319" i="6"/>
  <c r="GT319" i="6"/>
  <c r="BJ332" i="5"/>
  <c r="AX333" i="5"/>
  <c r="BG332" i="5"/>
  <c r="EP321" i="6"/>
  <c r="EK321" i="6"/>
  <c r="FJ321" i="6"/>
  <c r="ES320" i="6"/>
  <c r="EL321" i="6"/>
  <c r="EX320" i="6"/>
  <c r="EO321" i="6"/>
  <c r="FD322" i="6"/>
  <c r="FC322" i="6"/>
  <c r="FG322" i="6"/>
  <c r="FF322" i="6"/>
  <c r="FI322" i="6"/>
  <c r="FE322" i="6"/>
  <c r="FH322" i="6"/>
  <c r="FB322" i="6"/>
  <c r="ER321" i="6"/>
  <c r="EN321" i="6"/>
  <c r="BM327" i="5"/>
  <c r="BL327" i="5"/>
  <c r="EQ321" i="6"/>
  <c r="BM328" i="5"/>
  <c r="BL328" i="5"/>
  <c r="EM321" i="6"/>
  <c r="EY320" i="6" l="1"/>
  <c r="EZ320" i="6"/>
  <c r="EX321" i="6"/>
  <c r="EQ322" i="6"/>
  <c r="EL322" i="6"/>
  <c r="EO322" i="6"/>
  <c r="EN322" i="6"/>
  <c r="EP322" i="6"/>
  <c r="FG323" i="6"/>
  <c r="FE323" i="6"/>
  <c r="FF323" i="6"/>
  <c r="FD323" i="6"/>
  <c r="FH323" i="6"/>
  <c r="FC323" i="6"/>
  <c r="FI323" i="6"/>
  <c r="FB323" i="6"/>
  <c r="ER322" i="6"/>
  <c r="EM322" i="6"/>
  <c r="ET320" i="6"/>
  <c r="BK329" i="5"/>
  <c r="GZ320" i="6"/>
  <c r="GT320" i="6"/>
  <c r="GU320" i="6"/>
  <c r="GY320" i="6"/>
  <c r="HA320" i="6"/>
  <c r="GV320" i="6"/>
  <c r="GW320" i="6"/>
  <c r="ES321" i="6"/>
  <c r="GZ321" i="6" s="1"/>
  <c r="EW321" i="6"/>
  <c r="AX334" i="5"/>
  <c r="BJ333" i="5"/>
  <c r="BG333" i="5"/>
  <c r="EK322" i="6"/>
  <c r="FJ322" i="6"/>
  <c r="GX320" i="6"/>
  <c r="EY321" i="6" l="1"/>
  <c r="EW322" i="6"/>
  <c r="FC324" i="6"/>
  <c r="FG324" i="6"/>
  <c r="FF324" i="6"/>
  <c r="FD324" i="6"/>
  <c r="FB324" i="6"/>
  <c r="FE324" i="6"/>
  <c r="FH324" i="6"/>
  <c r="FI324" i="6"/>
  <c r="EO323" i="6"/>
  <c r="EL323" i="6"/>
  <c r="EQ323" i="6"/>
  <c r="AX335" i="5"/>
  <c r="BJ334" i="5"/>
  <c r="BG334" i="5"/>
  <c r="BL329" i="5"/>
  <c r="BM329" i="5"/>
  <c r="EK323" i="6"/>
  <c r="FJ323" i="6"/>
  <c r="EP323" i="6"/>
  <c r="EX322" i="6"/>
  <c r="ER323" i="6"/>
  <c r="ES322" i="6"/>
  <c r="EM323" i="6"/>
  <c r="EN323" i="6"/>
  <c r="EW323" i="6" s="1"/>
  <c r="ET321" i="6"/>
  <c r="BK330" i="5"/>
  <c r="GV321" i="6"/>
  <c r="GT321" i="6"/>
  <c r="HA321" i="6"/>
  <c r="GY321" i="6"/>
  <c r="GX321" i="6"/>
  <c r="GW321" i="6"/>
  <c r="EZ321" i="6"/>
  <c r="GU321" i="6"/>
  <c r="EY322" i="6" l="1"/>
  <c r="ES323" i="6"/>
  <c r="GU323" i="6"/>
  <c r="GY323" i="6"/>
  <c r="BK332" i="5"/>
  <c r="ET323" i="6"/>
  <c r="FD325" i="6"/>
  <c r="FG325" i="6"/>
  <c r="FF325" i="6"/>
  <c r="FH325" i="6"/>
  <c r="FE325" i="6"/>
  <c r="FI325" i="6"/>
  <c r="ER325" i="6" s="1"/>
  <c r="FB325" i="6"/>
  <c r="FC325" i="6"/>
  <c r="BL330" i="5"/>
  <c r="BM330" i="5"/>
  <c r="EZ322" i="6"/>
  <c r="ET322" i="6"/>
  <c r="BK331" i="5"/>
  <c r="GV322" i="6"/>
  <c r="GX322" i="6"/>
  <c r="GY322" i="6"/>
  <c r="GU322" i="6"/>
  <c r="GZ322" i="6"/>
  <c r="GT322" i="6"/>
  <c r="EQ324" i="6"/>
  <c r="EM324" i="6"/>
  <c r="EO324" i="6"/>
  <c r="EY323" i="6"/>
  <c r="EX323" i="6"/>
  <c r="EZ323" i="6" s="1"/>
  <c r="GW323" i="6"/>
  <c r="GV323" i="6"/>
  <c r="ER324" i="6"/>
  <c r="EN324" i="6"/>
  <c r="EW324" i="6" s="1"/>
  <c r="GW322" i="6"/>
  <c r="GT323" i="6"/>
  <c r="EL324" i="6"/>
  <c r="BJ335" i="5"/>
  <c r="AX336" i="5"/>
  <c r="BG335" i="5"/>
  <c r="GZ323" i="6"/>
  <c r="GX323" i="6"/>
  <c r="HA323" i="6"/>
  <c r="EK324" i="6"/>
  <c r="FJ324" i="6"/>
  <c r="EP324" i="6"/>
  <c r="HA322" i="6"/>
  <c r="EX324" i="6" l="1"/>
  <c r="BL331" i="5"/>
  <c r="BM331" i="5"/>
  <c r="EP325" i="6"/>
  <c r="BJ336" i="5"/>
  <c r="AX337" i="5"/>
  <c r="BG336" i="5"/>
  <c r="EK325" i="6"/>
  <c r="FJ325" i="6"/>
  <c r="EQ325" i="6"/>
  <c r="EM325" i="6"/>
  <c r="EL325" i="6"/>
  <c r="ES324" i="6"/>
  <c r="GZ324" i="6" s="1"/>
  <c r="FF326" i="6"/>
  <c r="FG326" i="6"/>
  <c r="FD326" i="6"/>
  <c r="FH326" i="6"/>
  <c r="FC326" i="6"/>
  <c r="EL326" i="6" s="1"/>
  <c r="FI326" i="6"/>
  <c r="FB326" i="6"/>
  <c r="FE326" i="6"/>
  <c r="EN325" i="6"/>
  <c r="EO325" i="6"/>
  <c r="BM332" i="5"/>
  <c r="BL332" i="5"/>
  <c r="EO326" i="6" l="1"/>
  <c r="ET324" i="6"/>
  <c r="BK333" i="5"/>
  <c r="GX324" i="6"/>
  <c r="GV324" i="6"/>
  <c r="GT324" i="6"/>
  <c r="GY324" i="6"/>
  <c r="HA324" i="6"/>
  <c r="GW324" i="6"/>
  <c r="EY324" i="6"/>
  <c r="EZ324" i="6"/>
  <c r="EP326" i="6"/>
  <c r="EX325" i="6"/>
  <c r="ES325" i="6"/>
  <c r="HA325" i="6" s="1"/>
  <c r="BJ337" i="5"/>
  <c r="AX338" i="5"/>
  <c r="BG337" i="5"/>
  <c r="EQ326" i="6"/>
  <c r="FC327" i="6"/>
  <c r="FG327" i="6"/>
  <c r="FE327" i="6"/>
  <c r="FH327" i="6"/>
  <c r="FB327" i="6"/>
  <c r="FF327" i="6"/>
  <c r="FI327" i="6"/>
  <c r="FD327" i="6"/>
  <c r="EW325" i="6"/>
  <c r="EN326" i="6"/>
  <c r="EK326" i="6"/>
  <c r="FJ326" i="6"/>
  <c r="ER326" i="6"/>
  <c r="EM326" i="6"/>
  <c r="GU324" i="6"/>
  <c r="EX326" i="6" l="1"/>
  <c r="FE328" i="6"/>
  <c r="FF328" i="6"/>
  <c r="FG328" i="6"/>
  <c r="FB328" i="6"/>
  <c r="FI328" i="6"/>
  <c r="FD328" i="6"/>
  <c r="FH328" i="6"/>
  <c r="FC328" i="6"/>
  <c r="BK334" i="5"/>
  <c r="ET325" i="6"/>
  <c r="GZ325" i="6"/>
  <c r="GU325" i="6"/>
  <c r="GY325" i="6"/>
  <c r="GV325" i="6"/>
  <c r="GW325" i="6"/>
  <c r="GX325" i="6"/>
  <c r="GT325" i="6"/>
  <c r="BJ338" i="5"/>
  <c r="AX339" i="5"/>
  <c r="BG338" i="5"/>
  <c r="ES326" i="6"/>
  <c r="EO327" i="6"/>
  <c r="EK327" i="6"/>
  <c r="FJ327" i="6"/>
  <c r="EQ327" i="6"/>
  <c r="EZ325" i="6"/>
  <c r="EY325" i="6"/>
  <c r="EM327" i="6"/>
  <c r="EP327" i="6"/>
  <c r="EW326" i="6"/>
  <c r="ER327" i="6"/>
  <c r="BM333" i="5"/>
  <c r="BL333" i="5"/>
  <c r="EN327" i="6"/>
  <c r="EL327" i="6"/>
  <c r="EW327" i="6" l="1"/>
  <c r="FE329" i="6"/>
  <c r="FD329" i="6"/>
  <c r="FB329" i="6"/>
  <c r="FG329" i="6"/>
  <c r="FH329" i="6"/>
  <c r="FF329" i="6"/>
  <c r="FC329" i="6"/>
  <c r="FI329" i="6"/>
  <c r="EM328" i="6"/>
  <c r="BK335" i="5"/>
  <c r="ET326" i="6"/>
  <c r="GY326" i="6"/>
  <c r="GX326" i="6"/>
  <c r="GW326" i="6"/>
  <c r="GV326" i="6"/>
  <c r="GZ326" i="6"/>
  <c r="GT326" i="6"/>
  <c r="HA326" i="6"/>
  <c r="BJ339" i="5"/>
  <c r="AX340" i="5"/>
  <c r="BG339" i="5"/>
  <c r="EP328" i="6"/>
  <c r="EY326" i="6"/>
  <c r="EZ326" i="6"/>
  <c r="GU326" i="6"/>
  <c r="EQ328" i="6"/>
  <c r="EX327" i="6"/>
  <c r="ES327" i="6"/>
  <c r="GU327" i="6" s="1"/>
  <c r="EO328" i="6"/>
  <c r="BM334" i="5"/>
  <c r="BL334" i="5"/>
  <c r="EL328" i="6"/>
  <c r="ER328" i="6"/>
  <c r="EK328" i="6"/>
  <c r="FJ328" i="6"/>
  <c r="EN328" i="6"/>
  <c r="GW327" i="6" l="1"/>
  <c r="EY327" i="6"/>
  <c r="EL329" i="6"/>
  <c r="EO329" i="6"/>
  <c r="EN329" i="6"/>
  <c r="BM335" i="5"/>
  <c r="BL335" i="5"/>
  <c r="EZ327" i="6"/>
  <c r="EP329" i="6"/>
  <c r="AX341" i="5"/>
  <c r="BJ340" i="5"/>
  <c r="BG340" i="5"/>
  <c r="ET327" i="6"/>
  <c r="BK336" i="5"/>
  <c r="GT327" i="6"/>
  <c r="GZ327" i="6"/>
  <c r="GV327" i="6"/>
  <c r="GY327" i="6"/>
  <c r="ER329" i="6"/>
  <c r="EQ329" i="6"/>
  <c r="EM329" i="6"/>
  <c r="FI330" i="6"/>
  <c r="FH330" i="6"/>
  <c r="FD330" i="6"/>
  <c r="FB330" i="6"/>
  <c r="FF330" i="6"/>
  <c r="FC330" i="6"/>
  <c r="FG330" i="6"/>
  <c r="FE330" i="6"/>
  <c r="HA327" i="6"/>
  <c r="EX328" i="6"/>
  <c r="EK329" i="6"/>
  <c r="FJ329" i="6"/>
  <c r="EW328" i="6"/>
  <c r="ES328" i="6"/>
  <c r="GX327" i="6"/>
  <c r="EW329" i="6" l="1"/>
  <c r="EP330" i="6"/>
  <c r="EK330" i="6"/>
  <c r="FJ330" i="6"/>
  <c r="ET328" i="6"/>
  <c r="BK337" i="5"/>
  <c r="GT328" i="6"/>
  <c r="HA328" i="6"/>
  <c r="GW328" i="6"/>
  <c r="GY328" i="6"/>
  <c r="GZ328" i="6"/>
  <c r="GV328" i="6"/>
  <c r="GU328" i="6"/>
  <c r="GX328" i="6"/>
  <c r="EY328" i="6"/>
  <c r="EZ328" i="6"/>
  <c r="BJ341" i="5"/>
  <c r="AX342" i="5"/>
  <c r="BG341" i="5"/>
  <c r="EQ330" i="6"/>
  <c r="ES329" i="6"/>
  <c r="FC331" i="6"/>
  <c r="FD331" i="6"/>
  <c r="FG331" i="6"/>
  <c r="FE331" i="6"/>
  <c r="FB331" i="6"/>
  <c r="FI331" i="6"/>
  <c r="FF331" i="6"/>
  <c r="FH331" i="6"/>
  <c r="BM336" i="5"/>
  <c r="BL336" i="5"/>
  <c r="EN330" i="6"/>
  <c r="EL330" i="6"/>
  <c r="EO330" i="6"/>
  <c r="EM330" i="6"/>
  <c r="ER330" i="6"/>
  <c r="EX329" i="6"/>
  <c r="EY329" i="6" l="1"/>
  <c r="EZ329" i="6"/>
  <c r="EW330" i="6"/>
  <c r="BM337" i="5"/>
  <c r="BL337" i="5"/>
  <c r="ES330" i="6"/>
  <c r="ET329" i="6"/>
  <c r="BK338" i="5"/>
  <c r="GU329" i="6"/>
  <c r="GV329" i="6"/>
  <c r="GZ329" i="6"/>
  <c r="GY329" i="6"/>
  <c r="GT329" i="6"/>
  <c r="GW329" i="6"/>
  <c r="BJ342" i="5"/>
  <c r="AX343" i="5"/>
  <c r="BG342" i="5"/>
  <c r="EQ331" i="6"/>
  <c r="ER331" i="6"/>
  <c r="EP331" i="6"/>
  <c r="EM331" i="6"/>
  <c r="HA329" i="6"/>
  <c r="FD332" i="6"/>
  <c r="FH332" i="6"/>
  <c r="FI332" i="6"/>
  <c r="FF332" i="6"/>
  <c r="FG332" i="6"/>
  <c r="FE332" i="6"/>
  <c r="EN332" i="6" s="1"/>
  <c r="FB332" i="6"/>
  <c r="FC332" i="6"/>
  <c r="EO331" i="6"/>
  <c r="EK331" i="6"/>
  <c r="FJ331" i="6"/>
  <c r="EN331" i="6"/>
  <c r="EL331" i="6"/>
  <c r="EX330" i="6"/>
  <c r="EZ330" i="6" s="1"/>
  <c r="GX329" i="6"/>
  <c r="EW331" i="6" l="1"/>
  <c r="FG333" i="6"/>
  <c r="FE333" i="6"/>
  <c r="FH333" i="6"/>
  <c r="FD333" i="6"/>
  <c r="FF333" i="6"/>
  <c r="FC333" i="6"/>
  <c r="FB333" i="6"/>
  <c r="FI333" i="6"/>
  <c r="BM338" i="5"/>
  <c r="BL338" i="5"/>
  <c r="EM332" i="6"/>
  <c r="BJ343" i="5"/>
  <c r="AX344" i="5"/>
  <c r="BH343" i="5"/>
  <c r="BG343" i="5"/>
  <c r="EX331" i="6"/>
  <c r="EZ331" i="6" s="1"/>
  <c r="EL332" i="6"/>
  <c r="EP332" i="6"/>
  <c r="ER332" i="6"/>
  <c r="EQ332" i="6"/>
  <c r="ET330" i="6"/>
  <c r="BK339" i="5"/>
  <c r="GX330" i="6"/>
  <c r="GZ330" i="6"/>
  <c r="HA330" i="6"/>
  <c r="GY330" i="6"/>
  <c r="GU330" i="6"/>
  <c r="GT330" i="6"/>
  <c r="GV330" i="6"/>
  <c r="EY330" i="6"/>
  <c r="ES331" i="6"/>
  <c r="GX331" i="6" s="1"/>
  <c r="EK332" i="6"/>
  <c r="FJ332" i="6"/>
  <c r="EO332" i="6"/>
  <c r="GW330" i="6"/>
  <c r="EW332" i="6" l="1"/>
  <c r="ES332" i="6"/>
  <c r="GW331" i="6"/>
  <c r="BJ344" i="5"/>
  <c r="AX345" i="5"/>
  <c r="BG344" i="5"/>
  <c r="FD334" i="6"/>
  <c r="FC334" i="6"/>
  <c r="FF334" i="6"/>
  <c r="FE334" i="6"/>
  <c r="FI334" i="6"/>
  <c r="FG334" i="6"/>
  <c r="FH334" i="6"/>
  <c r="FB334" i="6"/>
  <c r="EL333" i="6"/>
  <c r="ER333" i="6"/>
  <c r="FJ333" i="6"/>
  <c r="EK333" i="6"/>
  <c r="EO333" i="6"/>
  <c r="GZ332" i="6"/>
  <c r="EX332" i="6"/>
  <c r="EP333" i="6"/>
  <c r="ET331" i="6"/>
  <c r="BK340" i="5"/>
  <c r="GV331" i="6"/>
  <c r="GT331" i="6"/>
  <c r="GU331" i="6"/>
  <c r="GY331" i="6"/>
  <c r="GZ331" i="6"/>
  <c r="BL339" i="5"/>
  <c r="BM339" i="5"/>
  <c r="EM333" i="6"/>
  <c r="EQ333" i="6"/>
  <c r="EN333" i="6"/>
  <c r="EY331" i="6"/>
  <c r="GX332" i="6"/>
  <c r="HA331" i="6"/>
  <c r="EW333" i="6" l="1"/>
  <c r="EY332" i="6"/>
  <c r="BK341" i="5"/>
  <c r="BM341" i="5" s="1"/>
  <c r="ET332" i="6"/>
  <c r="HA332" i="6"/>
  <c r="GW332" i="6"/>
  <c r="EZ332" i="6"/>
  <c r="GV332" i="6"/>
  <c r="GT332" i="6"/>
  <c r="GY332" i="6"/>
  <c r="ES333" i="6"/>
  <c r="HA333" i="6" s="1"/>
  <c r="GU332" i="6"/>
  <c r="BK342" i="5"/>
  <c r="GW333" i="6"/>
  <c r="EY333" i="6"/>
  <c r="EP334" i="6"/>
  <c r="EO334" i="6"/>
  <c r="GT333" i="6"/>
  <c r="EX333" i="6"/>
  <c r="EK334" i="6"/>
  <c r="FJ334" i="6"/>
  <c r="EQ334" i="6"/>
  <c r="ER334" i="6"/>
  <c r="EN334" i="6"/>
  <c r="EL334" i="6"/>
  <c r="FG335" i="6"/>
  <c r="FE335" i="6"/>
  <c r="FF335" i="6"/>
  <c r="FD335" i="6"/>
  <c r="FB335" i="6"/>
  <c r="FH335" i="6"/>
  <c r="FC335" i="6"/>
  <c r="FI335" i="6"/>
  <c r="BL340" i="5"/>
  <c r="BM340" i="5"/>
  <c r="EM334" i="6"/>
  <c r="BJ345" i="5"/>
  <c r="AX346" i="5"/>
  <c r="BG345" i="5"/>
  <c r="BL341" i="5"/>
  <c r="GV333" i="6" l="1"/>
  <c r="ET333" i="6"/>
  <c r="GU333" i="6"/>
  <c r="EZ333" i="6"/>
  <c r="GZ333" i="6"/>
  <c r="GY333" i="6"/>
  <c r="GX333" i="6"/>
  <c r="EW334" i="6"/>
  <c r="ES334" i="6"/>
  <c r="GZ334" i="6" s="1"/>
  <c r="AX347" i="5"/>
  <c r="BJ346" i="5"/>
  <c r="BG346" i="5"/>
  <c r="EQ335" i="6"/>
  <c r="FB336" i="6"/>
  <c r="FI336" i="6"/>
  <c r="FE336" i="6"/>
  <c r="FH336" i="6"/>
  <c r="FC336" i="6"/>
  <c r="FF336" i="6"/>
  <c r="EO336" i="6" s="1"/>
  <c r="FD336" i="6"/>
  <c r="FG336" i="6"/>
  <c r="EK335" i="6"/>
  <c r="FJ335" i="6"/>
  <c r="EX334" i="6"/>
  <c r="ER335" i="6"/>
  <c r="EO335" i="6"/>
  <c r="EN335" i="6"/>
  <c r="EL335" i="6"/>
  <c r="EM335" i="6"/>
  <c r="EP335" i="6"/>
  <c r="BM342" i="5"/>
  <c r="BL342" i="5"/>
  <c r="GW334" i="6" l="1"/>
  <c r="ES335" i="6"/>
  <c r="ET335" i="6" s="1"/>
  <c r="EN336" i="6"/>
  <c r="BJ347" i="5"/>
  <c r="AX348" i="5"/>
  <c r="BG347" i="5"/>
  <c r="EP336" i="6"/>
  <c r="FG337" i="6"/>
  <c r="FE337" i="6"/>
  <c r="FC337" i="6"/>
  <c r="FI337" i="6"/>
  <c r="FH337" i="6"/>
  <c r="FD337" i="6"/>
  <c r="FB337" i="6"/>
  <c r="FF337" i="6"/>
  <c r="EW335" i="6"/>
  <c r="EY335" i="6" s="1"/>
  <c r="GV334" i="6"/>
  <c r="BK344" i="5"/>
  <c r="EM336" i="6"/>
  <c r="EL336" i="6"/>
  <c r="EQ336" i="6"/>
  <c r="EK336" i="6"/>
  <c r="FJ336" i="6"/>
  <c r="GU335" i="6"/>
  <c r="EX335" i="6"/>
  <c r="EZ335" i="6" s="1"/>
  <c r="GW335" i="6"/>
  <c r="GX335" i="6"/>
  <c r="ER336" i="6"/>
  <c r="GV335" i="6"/>
  <c r="EZ334" i="6"/>
  <c r="ET334" i="6"/>
  <c r="BK343" i="5"/>
  <c r="GU334" i="6"/>
  <c r="GX334" i="6"/>
  <c r="GT334" i="6"/>
  <c r="GY334" i="6"/>
  <c r="EY334" i="6"/>
  <c r="HA334" i="6"/>
  <c r="GZ335" i="6" l="1"/>
  <c r="GY335" i="6"/>
  <c r="GT335" i="6"/>
  <c r="HA335" i="6"/>
  <c r="EK337" i="6"/>
  <c r="FJ337" i="6"/>
  <c r="ER337" i="6"/>
  <c r="BL343" i="5"/>
  <c r="BM343" i="5"/>
  <c r="EQ337" i="6"/>
  <c r="EL337" i="6"/>
  <c r="EN337" i="6"/>
  <c r="EW337" i="6" s="1"/>
  <c r="ES336" i="6"/>
  <c r="GZ336" i="6" s="1"/>
  <c r="BM344" i="5"/>
  <c r="BL344" i="5"/>
  <c r="EO337" i="6"/>
  <c r="FI338" i="6"/>
  <c r="FF338" i="6"/>
  <c r="FC338" i="6"/>
  <c r="FG338" i="6"/>
  <c r="EP338" i="6" s="1"/>
  <c r="FE338" i="6"/>
  <c r="FB338" i="6"/>
  <c r="FH338" i="6"/>
  <c r="FD338" i="6"/>
  <c r="EX336" i="6"/>
  <c r="EM337" i="6"/>
  <c r="EP337" i="6"/>
  <c r="BJ348" i="5"/>
  <c r="AX349" i="5"/>
  <c r="BG348" i="5"/>
  <c r="EW336" i="6"/>
  <c r="EY336" i="6" l="1"/>
  <c r="EO338" i="6"/>
  <c r="EQ338" i="6"/>
  <c r="FH339" i="6"/>
  <c r="FB339" i="6"/>
  <c r="FI339" i="6"/>
  <c r="FE339" i="6"/>
  <c r="FF339" i="6"/>
  <c r="FG339" i="6"/>
  <c r="FD339" i="6"/>
  <c r="FC339" i="6"/>
  <c r="ES337" i="6"/>
  <c r="EY337" i="6" s="1"/>
  <c r="EL338" i="6"/>
  <c r="ER338" i="6"/>
  <c r="GX336" i="6"/>
  <c r="ET336" i="6"/>
  <c r="BK345" i="5"/>
  <c r="GW336" i="6"/>
  <c r="GT336" i="6"/>
  <c r="HA336" i="6"/>
  <c r="GV336" i="6"/>
  <c r="BJ349" i="5"/>
  <c r="AX350" i="5"/>
  <c r="BG349" i="5"/>
  <c r="EM338" i="6"/>
  <c r="EN338" i="6"/>
  <c r="EW338" i="6" s="1"/>
  <c r="GY336" i="6"/>
  <c r="EX337" i="6"/>
  <c r="EZ336" i="6"/>
  <c r="EK338" i="6"/>
  <c r="FJ338" i="6"/>
  <c r="GU336" i="6"/>
  <c r="GT337" i="6" l="1"/>
  <c r="BL345" i="5"/>
  <c r="BM345" i="5"/>
  <c r="ES338" i="6"/>
  <c r="EZ337" i="6"/>
  <c r="EN339" i="6"/>
  <c r="EM339" i="6"/>
  <c r="EL339" i="6"/>
  <c r="EY338" i="6"/>
  <c r="FE340" i="6"/>
  <c r="FG340" i="6"/>
  <c r="FI340" i="6"/>
  <c r="FD340" i="6"/>
  <c r="FF340" i="6"/>
  <c r="FB340" i="6"/>
  <c r="FH340" i="6"/>
  <c r="FC340" i="6"/>
  <c r="EL340" i="6" s="1"/>
  <c r="EO339" i="6"/>
  <c r="EK339" i="6"/>
  <c r="FJ339" i="6"/>
  <c r="EQ339" i="6"/>
  <c r="ET337" i="6"/>
  <c r="BK346" i="5"/>
  <c r="HA337" i="6"/>
  <c r="GZ337" i="6"/>
  <c r="GX337" i="6"/>
  <c r="GY337" i="6"/>
  <c r="GV337" i="6"/>
  <c r="GU337" i="6"/>
  <c r="GW337" i="6"/>
  <c r="EP339" i="6"/>
  <c r="ER339" i="6"/>
  <c r="BJ350" i="5"/>
  <c r="AX351" i="5"/>
  <c r="BG350" i="5"/>
  <c r="EX338" i="6"/>
  <c r="EZ338" i="6" l="1"/>
  <c r="ES339" i="6"/>
  <c r="GY339" i="6" s="1"/>
  <c r="EQ340" i="6"/>
  <c r="BK348" i="5"/>
  <c r="FD341" i="6"/>
  <c r="EM341" i="6" s="1"/>
  <c r="FG341" i="6"/>
  <c r="FC341" i="6"/>
  <c r="FH341" i="6"/>
  <c r="FI341" i="6"/>
  <c r="FE341" i="6"/>
  <c r="FB341" i="6"/>
  <c r="FF341" i="6"/>
  <c r="HA339" i="6"/>
  <c r="EN340" i="6"/>
  <c r="EW340" i="6" s="1"/>
  <c r="EO340" i="6"/>
  <c r="BJ351" i="5"/>
  <c r="AX352" i="5"/>
  <c r="BG351" i="5"/>
  <c r="ER340" i="6"/>
  <c r="BM346" i="5"/>
  <c r="BL346" i="5"/>
  <c r="EK340" i="6"/>
  <c r="FJ340" i="6"/>
  <c r="EM340" i="6"/>
  <c r="EP340" i="6"/>
  <c r="GV339" i="6"/>
  <c r="GW339" i="6"/>
  <c r="EW339" i="6"/>
  <c r="EY339" i="6" s="1"/>
  <c r="GZ339" i="6"/>
  <c r="EX339" i="6"/>
  <c r="EZ339" i="6" s="1"/>
  <c r="GY338" i="6"/>
  <c r="BK347" i="5"/>
  <c r="ET338" i="6"/>
  <c r="GX338" i="6"/>
  <c r="GZ338" i="6"/>
  <c r="GV338" i="6"/>
  <c r="GW338" i="6"/>
  <c r="GU338" i="6"/>
  <c r="HA338" i="6"/>
  <c r="GT338" i="6"/>
  <c r="ET339" i="6" l="1"/>
  <c r="GU339" i="6"/>
  <c r="GX339" i="6"/>
  <c r="GT339" i="6"/>
  <c r="BJ352" i="5"/>
  <c r="AX353" i="5"/>
  <c r="BG352" i="5"/>
  <c r="EK341" i="6"/>
  <c r="FJ341" i="6"/>
  <c r="BM347" i="5"/>
  <c r="BL347" i="5"/>
  <c r="EN341" i="6"/>
  <c r="EW341" i="6" s="1"/>
  <c r="EL341" i="6"/>
  <c r="ES340" i="6"/>
  <c r="GU340" i="6" s="1"/>
  <c r="BM348" i="5"/>
  <c r="BL348" i="5"/>
  <c r="FD342" i="6"/>
  <c r="FE342" i="6"/>
  <c r="FG342" i="6"/>
  <c r="FC342" i="6"/>
  <c r="FI342" i="6"/>
  <c r="FF342" i="6"/>
  <c r="FB342" i="6"/>
  <c r="FH342" i="6"/>
  <c r="ER341" i="6"/>
  <c r="EO341" i="6"/>
  <c r="EQ341" i="6"/>
  <c r="EP341" i="6"/>
  <c r="EX340" i="6"/>
  <c r="EX341" i="6" l="1"/>
  <c r="EP342" i="6"/>
  <c r="EL342" i="6"/>
  <c r="EM342" i="6"/>
  <c r="EZ340" i="6"/>
  <c r="ES341" i="6"/>
  <c r="EQ342" i="6"/>
  <c r="EK342" i="6"/>
  <c r="FJ342" i="6"/>
  <c r="EO342" i="6"/>
  <c r="EN342" i="6"/>
  <c r="ET340" i="6"/>
  <c r="BK349" i="5"/>
  <c r="GV340" i="6"/>
  <c r="GW340" i="6"/>
  <c r="GZ340" i="6"/>
  <c r="GY340" i="6"/>
  <c r="GX340" i="6"/>
  <c r="GT340" i="6"/>
  <c r="EY340" i="6"/>
  <c r="FG343" i="6"/>
  <c r="FI343" i="6"/>
  <c r="FC343" i="6"/>
  <c r="FF343" i="6"/>
  <c r="FH343" i="6"/>
  <c r="FB343" i="6"/>
  <c r="FD343" i="6"/>
  <c r="FE343" i="6"/>
  <c r="AX354" i="5"/>
  <c r="BJ353" i="5"/>
  <c r="BG353" i="5"/>
  <c r="ER342" i="6"/>
  <c r="HA340" i="6"/>
  <c r="EZ341" i="6" l="1"/>
  <c r="EW342" i="6"/>
  <c r="BJ354" i="5"/>
  <c r="AX355" i="5"/>
  <c r="BG354" i="5"/>
  <c r="EM343" i="6"/>
  <c r="EL343" i="6"/>
  <c r="EP343" i="6"/>
  <c r="BL349" i="5"/>
  <c r="BM349" i="5"/>
  <c r="FF344" i="6"/>
  <c r="FB344" i="6"/>
  <c r="FC344" i="6"/>
  <c r="FD344" i="6"/>
  <c r="FI344" i="6"/>
  <c r="FE344" i="6"/>
  <c r="FG344" i="6"/>
  <c r="FH344" i="6"/>
  <c r="EK343" i="6"/>
  <c r="FJ343" i="6"/>
  <c r="EQ343" i="6"/>
  <c r="EX342" i="6"/>
  <c r="GV341" i="6"/>
  <c r="ET341" i="6"/>
  <c r="BK350" i="5"/>
  <c r="HA341" i="6"/>
  <c r="GU341" i="6"/>
  <c r="GT341" i="6"/>
  <c r="GX341" i="6"/>
  <c r="GW341" i="6"/>
  <c r="GY341" i="6"/>
  <c r="GZ341" i="6"/>
  <c r="EY341" i="6"/>
  <c r="EN343" i="6"/>
  <c r="EW343" i="6" s="1"/>
  <c r="ES342" i="6"/>
  <c r="EO343" i="6"/>
  <c r="ER343" i="6"/>
  <c r="ET342" i="6" l="1"/>
  <c r="BK351" i="5"/>
  <c r="GU342" i="6"/>
  <c r="GT342" i="6"/>
  <c r="GZ342" i="6"/>
  <c r="GX342" i="6"/>
  <c r="GW342" i="6"/>
  <c r="EL344" i="6"/>
  <c r="EM344" i="6"/>
  <c r="EQ344" i="6"/>
  <c r="EP344" i="6"/>
  <c r="EK344" i="6"/>
  <c r="FJ344" i="6"/>
  <c r="BL350" i="5"/>
  <c r="BM350" i="5"/>
  <c r="BJ355" i="5"/>
  <c r="AX356" i="5"/>
  <c r="BG355" i="5"/>
  <c r="GY342" i="6"/>
  <c r="ER344" i="6"/>
  <c r="FF345" i="6"/>
  <c r="FC345" i="6"/>
  <c r="FD345" i="6"/>
  <c r="FH345" i="6"/>
  <c r="FE345" i="6"/>
  <c r="FG345" i="6"/>
  <c r="FB345" i="6"/>
  <c r="FI345" i="6"/>
  <c r="GV342" i="6"/>
  <c r="EN344" i="6"/>
  <c r="EO344" i="6"/>
  <c r="EZ342" i="6"/>
  <c r="EX343" i="6"/>
  <c r="ES343" i="6"/>
  <c r="GX343" i="6" s="1"/>
  <c r="EY342" i="6"/>
  <c r="HA342" i="6"/>
  <c r="EZ343" i="6" l="1"/>
  <c r="EW344" i="6"/>
  <c r="GW343" i="6"/>
  <c r="EY343" i="6"/>
  <c r="ES344" i="6"/>
  <c r="GY344" i="6" s="1"/>
  <c r="ET344" i="6"/>
  <c r="BK353" i="5"/>
  <c r="GU344" i="6"/>
  <c r="GX344" i="6"/>
  <c r="EX344" i="6"/>
  <c r="EZ344" i="6" s="1"/>
  <c r="EQ345" i="6"/>
  <c r="EM345" i="6"/>
  <c r="BJ356" i="5"/>
  <c r="AX357" i="5"/>
  <c r="BG356" i="5"/>
  <c r="GT344" i="6"/>
  <c r="GW344" i="6"/>
  <c r="GV344" i="6"/>
  <c r="EN345" i="6"/>
  <c r="EW345" i="6" s="1"/>
  <c r="EL345" i="6"/>
  <c r="ER345" i="6"/>
  <c r="EK345" i="6"/>
  <c r="FJ345" i="6"/>
  <c r="EP345" i="6"/>
  <c r="EO345" i="6"/>
  <c r="FB346" i="6"/>
  <c r="FE346" i="6"/>
  <c r="FD346" i="6"/>
  <c r="FG346" i="6"/>
  <c r="FF346" i="6"/>
  <c r="FC346" i="6"/>
  <c r="FH346" i="6"/>
  <c r="FI346" i="6"/>
  <c r="ER346" i="6" s="1"/>
  <c r="BM351" i="5"/>
  <c r="BL351" i="5"/>
  <c r="BK352" i="5"/>
  <c r="ET343" i="6"/>
  <c r="GT343" i="6"/>
  <c r="GZ343" i="6"/>
  <c r="GV343" i="6"/>
  <c r="GY343" i="6"/>
  <c r="GU343" i="6"/>
  <c r="HA343" i="6"/>
  <c r="EY344" i="6" l="1"/>
  <c r="HA344" i="6"/>
  <c r="GZ344" i="6"/>
  <c r="EO346" i="6"/>
  <c r="FD347" i="6"/>
  <c r="FH347" i="6"/>
  <c r="FB347" i="6"/>
  <c r="FE347" i="6"/>
  <c r="FG347" i="6"/>
  <c r="FF347" i="6"/>
  <c r="EO347" i="6" s="1"/>
  <c r="FI347" i="6"/>
  <c r="FC347" i="6"/>
  <c r="EN346" i="6"/>
  <c r="EX345" i="6"/>
  <c r="EZ345" i="6" s="1"/>
  <c r="EL346" i="6"/>
  <c r="BJ357" i="5"/>
  <c r="AX358" i="5"/>
  <c r="BG357" i="5"/>
  <c r="EQ346" i="6"/>
  <c r="EP346" i="6"/>
  <c r="EM346" i="6"/>
  <c r="EK346" i="6"/>
  <c r="FJ346" i="6"/>
  <c r="BM353" i="5"/>
  <c r="BL353" i="5"/>
  <c r="BL352" i="5"/>
  <c r="BM352" i="5"/>
  <c r="ES345" i="6"/>
  <c r="EY345" i="6" s="1"/>
  <c r="EX346" i="6" l="1"/>
  <c r="EW346" i="6"/>
  <c r="FG348" i="6"/>
  <c r="FH348" i="6"/>
  <c r="FD348" i="6"/>
  <c r="FF348" i="6"/>
  <c r="EO348" i="6" s="1"/>
  <c r="FC348" i="6"/>
  <c r="FB348" i="6"/>
  <c r="FI348" i="6"/>
  <c r="FE348" i="6"/>
  <c r="ES346" i="6"/>
  <c r="EZ346" i="6" s="1"/>
  <c r="BJ358" i="5"/>
  <c r="AX359" i="5"/>
  <c r="BG358" i="5"/>
  <c r="ET345" i="6"/>
  <c r="BK354" i="5"/>
  <c r="HA345" i="6"/>
  <c r="GZ345" i="6"/>
  <c r="GT345" i="6"/>
  <c r="GX345" i="6"/>
  <c r="GW345" i="6"/>
  <c r="GU345" i="6"/>
  <c r="EL347" i="6"/>
  <c r="ER347" i="6"/>
  <c r="EK347" i="6"/>
  <c r="FJ347" i="6"/>
  <c r="EQ347" i="6"/>
  <c r="GV345" i="6"/>
  <c r="EP347" i="6"/>
  <c r="EN347" i="6"/>
  <c r="EM347" i="6"/>
  <c r="GY345" i="6"/>
  <c r="BM354" i="5" l="1"/>
  <c r="BL354" i="5"/>
  <c r="FI349" i="6"/>
  <c r="FF349" i="6"/>
  <c r="FE349" i="6"/>
  <c r="FH349" i="6"/>
  <c r="FD349" i="6"/>
  <c r="FC349" i="6"/>
  <c r="FG349" i="6"/>
  <c r="FB349" i="6"/>
  <c r="GW346" i="6"/>
  <c r="ER348" i="6"/>
  <c r="EQ348" i="6"/>
  <c r="EW347" i="6"/>
  <c r="EX347" i="6"/>
  <c r="EL348" i="6"/>
  <c r="EP348" i="6"/>
  <c r="EY346" i="6"/>
  <c r="EN348" i="6"/>
  <c r="ES347" i="6"/>
  <c r="AX360" i="5"/>
  <c r="BJ359" i="5"/>
  <c r="BG359" i="5"/>
  <c r="HA346" i="6"/>
  <c r="BK355" i="5"/>
  <c r="ET346" i="6"/>
  <c r="GZ346" i="6"/>
  <c r="GV346" i="6"/>
  <c r="GT346" i="6"/>
  <c r="GU346" i="6"/>
  <c r="GX346" i="6"/>
  <c r="EK348" i="6"/>
  <c r="FJ348" i="6"/>
  <c r="EM348" i="6"/>
  <c r="GY346" i="6"/>
  <c r="EY347" i="6" l="1"/>
  <c r="EZ347" i="6"/>
  <c r="ES348" i="6"/>
  <c r="GW348" i="6" s="1"/>
  <c r="GX348" i="6"/>
  <c r="ET348" i="6"/>
  <c r="BK357" i="5"/>
  <c r="GU348" i="6"/>
  <c r="EX348" i="6"/>
  <c r="EZ348" i="6" s="1"/>
  <c r="FB350" i="6"/>
  <c r="FH350" i="6"/>
  <c r="FF350" i="6"/>
  <c r="FC350" i="6"/>
  <c r="EL350" i="6" s="1"/>
  <c r="FD350" i="6"/>
  <c r="FG350" i="6"/>
  <c r="FI350" i="6"/>
  <c r="FE350" i="6"/>
  <c r="EN349" i="6"/>
  <c r="ER349" i="6"/>
  <c r="GV348" i="6"/>
  <c r="EP349" i="6"/>
  <c r="EM349" i="6"/>
  <c r="FJ349" i="6"/>
  <c r="EK349" i="6"/>
  <c r="BL355" i="5"/>
  <c r="BM355" i="5"/>
  <c r="EL349" i="6"/>
  <c r="EQ349" i="6"/>
  <c r="BJ360" i="5"/>
  <c r="AX361" i="5"/>
  <c r="BG360" i="5"/>
  <c r="EO349" i="6"/>
  <c r="GX347" i="6"/>
  <c r="ET347" i="6"/>
  <c r="BK356" i="5"/>
  <c r="GU347" i="6"/>
  <c r="GZ347" i="6"/>
  <c r="HA347" i="6"/>
  <c r="GT347" i="6"/>
  <c r="GY347" i="6"/>
  <c r="GW347" i="6"/>
  <c r="GV347" i="6"/>
  <c r="EW348" i="6"/>
  <c r="HA348" i="6" l="1"/>
  <c r="EY348" i="6"/>
  <c r="GZ348" i="6"/>
  <c r="GY348" i="6"/>
  <c r="GT348" i="6"/>
  <c r="BJ361" i="5"/>
  <c r="AX362" i="5"/>
  <c r="BG361" i="5"/>
  <c r="BL356" i="5"/>
  <c r="BM356" i="5"/>
  <c r="FG351" i="6"/>
  <c r="FE351" i="6"/>
  <c r="FC351" i="6"/>
  <c r="FD351" i="6"/>
  <c r="FI351" i="6"/>
  <c r="FF351" i="6"/>
  <c r="FH351" i="6"/>
  <c r="EQ351" i="6" s="1"/>
  <c r="FB351" i="6"/>
  <c r="EX349" i="6"/>
  <c r="EZ349" i="6" s="1"/>
  <c r="ER350" i="6"/>
  <c r="EP350" i="6"/>
  <c r="EO350" i="6"/>
  <c r="EK350" i="6"/>
  <c r="FJ350" i="6"/>
  <c r="ES349" i="6"/>
  <c r="EW349" i="6"/>
  <c r="EY349" i="6" s="1"/>
  <c r="EN350" i="6"/>
  <c r="EM350" i="6"/>
  <c r="EQ350" i="6"/>
  <c r="BM357" i="5"/>
  <c r="BL357" i="5"/>
  <c r="EK351" i="6" l="1"/>
  <c r="FJ351" i="6"/>
  <c r="ER351" i="6"/>
  <c r="EM351" i="6"/>
  <c r="EN351" i="6"/>
  <c r="ET349" i="6"/>
  <c r="BK358" i="5"/>
  <c r="GY349" i="6"/>
  <c r="HA349" i="6"/>
  <c r="GU349" i="6"/>
  <c r="GZ349" i="6"/>
  <c r="GV349" i="6"/>
  <c r="GT349" i="6"/>
  <c r="EX350" i="6"/>
  <c r="BJ362" i="5"/>
  <c r="AX363" i="5"/>
  <c r="BG362" i="5"/>
  <c r="GX349" i="6"/>
  <c r="EO351" i="6"/>
  <c r="EL351" i="6"/>
  <c r="EP351" i="6"/>
  <c r="EW350" i="6"/>
  <c r="FD352" i="6"/>
  <c r="FH352" i="6"/>
  <c r="FF352" i="6"/>
  <c r="FE352" i="6"/>
  <c r="FG352" i="6"/>
  <c r="FC352" i="6"/>
  <c r="FB352" i="6"/>
  <c r="FI352" i="6"/>
  <c r="ES350" i="6"/>
  <c r="GW349" i="6"/>
  <c r="EX351" i="6" l="1"/>
  <c r="EZ350" i="6"/>
  <c r="EW351" i="6"/>
  <c r="FD353" i="6"/>
  <c r="FG353" i="6"/>
  <c r="FB353" i="6"/>
  <c r="FC353" i="6"/>
  <c r="FH353" i="6"/>
  <c r="EQ353" i="6" s="1"/>
  <c r="FE353" i="6"/>
  <c r="FF353" i="6"/>
  <c r="FI353" i="6"/>
  <c r="EL352" i="6"/>
  <c r="EM352" i="6"/>
  <c r="ET350" i="6"/>
  <c r="BK359" i="5"/>
  <c r="GV350" i="6"/>
  <c r="GZ350" i="6"/>
  <c r="GY350" i="6"/>
  <c r="GT350" i="6"/>
  <c r="GW350" i="6"/>
  <c r="GX350" i="6"/>
  <c r="HA350" i="6"/>
  <c r="ER352" i="6"/>
  <c r="EN352" i="6"/>
  <c r="EQ352" i="6"/>
  <c r="EY350" i="6"/>
  <c r="BJ363" i="5"/>
  <c r="AX364" i="5"/>
  <c r="BG363" i="5"/>
  <c r="BM358" i="5"/>
  <c r="BL358" i="5"/>
  <c r="GU350" i="6"/>
  <c r="EK352" i="6"/>
  <c r="FJ352" i="6"/>
  <c r="EP352" i="6"/>
  <c r="EO352" i="6"/>
  <c r="ES351" i="6"/>
  <c r="EZ351" i="6" s="1"/>
  <c r="ES352" i="6" l="1"/>
  <c r="GT352" i="6" s="1"/>
  <c r="EY351" i="6"/>
  <c r="GZ351" i="6"/>
  <c r="GV352" i="6"/>
  <c r="ET352" i="6"/>
  <c r="BK361" i="5"/>
  <c r="BM359" i="5"/>
  <c r="BL359" i="5"/>
  <c r="FD354" i="6"/>
  <c r="FC354" i="6"/>
  <c r="FE354" i="6"/>
  <c r="FG354" i="6"/>
  <c r="FF354" i="6"/>
  <c r="FB354" i="6"/>
  <c r="FH354" i="6"/>
  <c r="FI354" i="6"/>
  <c r="ET351" i="6"/>
  <c r="BK360" i="5"/>
  <c r="HA351" i="6"/>
  <c r="GV351" i="6"/>
  <c r="GW351" i="6"/>
  <c r="GT351" i="6"/>
  <c r="ER353" i="6"/>
  <c r="EN353" i="6"/>
  <c r="EL353" i="6"/>
  <c r="EW352" i="6"/>
  <c r="EY352" i="6" s="1"/>
  <c r="GX352" i="6"/>
  <c r="BJ364" i="5"/>
  <c r="AX365" i="5"/>
  <c r="BG364" i="5"/>
  <c r="EO353" i="6"/>
  <c r="GZ352" i="6"/>
  <c r="EX352" i="6"/>
  <c r="EZ352" i="6" s="1"/>
  <c r="GW352" i="6"/>
  <c r="EM353" i="6"/>
  <c r="GU351" i="6"/>
  <c r="EK353" i="6"/>
  <c r="FJ353" i="6"/>
  <c r="EP353" i="6"/>
  <c r="GX351" i="6"/>
  <c r="GY351" i="6"/>
  <c r="GU352" i="6" l="1"/>
  <c r="GY352" i="6"/>
  <c r="HA352" i="6"/>
  <c r="EX353" i="6"/>
  <c r="EW353" i="6"/>
  <c r="FB355" i="6"/>
  <c r="FD355" i="6"/>
  <c r="FC355" i="6"/>
  <c r="FE355" i="6"/>
  <c r="FG355" i="6"/>
  <c r="EP355" i="6" s="1"/>
  <c r="FH355" i="6"/>
  <c r="FF355" i="6"/>
  <c r="FI355" i="6"/>
  <c r="ES353" i="6"/>
  <c r="GZ353" i="6" s="1"/>
  <c r="ER354" i="6"/>
  <c r="EQ354" i="6"/>
  <c r="EO354" i="6"/>
  <c r="EL354" i="6"/>
  <c r="BL360" i="5"/>
  <c r="BM360" i="5"/>
  <c r="EK354" i="6"/>
  <c r="FJ354" i="6"/>
  <c r="BJ365" i="5"/>
  <c r="AX366" i="5"/>
  <c r="BG365" i="5"/>
  <c r="BL361" i="5"/>
  <c r="BM361" i="5"/>
  <c r="EP354" i="6"/>
  <c r="EN354" i="6"/>
  <c r="EM354" i="6"/>
  <c r="GW353" i="6" l="1"/>
  <c r="EW354" i="6"/>
  <c r="EO355" i="6"/>
  <c r="FD356" i="6"/>
  <c r="FG356" i="6"/>
  <c r="FH356" i="6"/>
  <c r="FE356" i="6"/>
  <c r="FB356" i="6"/>
  <c r="FI356" i="6"/>
  <c r="FC356" i="6"/>
  <c r="FF356" i="6"/>
  <c r="EK355" i="6"/>
  <c r="FJ355" i="6"/>
  <c r="AX367" i="5"/>
  <c r="BJ366" i="5"/>
  <c r="BG366" i="5"/>
  <c r="EY353" i="6"/>
  <c r="BK362" i="5"/>
  <c r="ET353" i="6"/>
  <c r="GU353" i="6"/>
  <c r="HA353" i="6"/>
  <c r="GV353" i="6"/>
  <c r="GT353" i="6"/>
  <c r="GX353" i="6"/>
  <c r="ER355" i="6"/>
  <c r="EN355" i="6"/>
  <c r="EL355" i="6"/>
  <c r="EM355" i="6"/>
  <c r="EZ353" i="6"/>
  <c r="EX354" i="6"/>
  <c r="EQ355" i="6"/>
  <c r="ES354" i="6"/>
  <c r="GY354" i="6" s="1"/>
  <c r="GY353" i="6"/>
  <c r="EX355" i="6" l="1"/>
  <c r="FG357" i="6"/>
  <c r="FF357" i="6"/>
  <c r="FD357" i="6"/>
  <c r="FE357" i="6"/>
  <c r="FH357" i="6"/>
  <c r="FI357" i="6"/>
  <c r="FB357" i="6"/>
  <c r="FC357" i="6"/>
  <c r="ER356" i="6"/>
  <c r="BL362" i="5"/>
  <c r="BM362" i="5"/>
  <c r="BJ367" i="5"/>
  <c r="AX368" i="5"/>
  <c r="BG367" i="5"/>
  <c r="ES355" i="6"/>
  <c r="GZ355" i="6" s="1"/>
  <c r="EL356" i="6"/>
  <c r="EW355" i="6"/>
  <c r="EY355" i="6" s="1"/>
  <c r="EP356" i="6"/>
  <c r="ET354" i="6"/>
  <c r="BK363" i="5"/>
  <c r="GW354" i="6"/>
  <c r="GT354" i="6"/>
  <c r="GV354" i="6"/>
  <c r="GZ354" i="6"/>
  <c r="HA354" i="6"/>
  <c r="EO356" i="6"/>
  <c r="EK356" i="6"/>
  <c r="FJ356" i="6"/>
  <c r="EN356" i="6"/>
  <c r="EQ356" i="6"/>
  <c r="EM356" i="6"/>
  <c r="EY354" i="6"/>
  <c r="GU354" i="6"/>
  <c r="EZ354" i="6"/>
  <c r="GX354" i="6"/>
  <c r="FF358" i="6" l="1"/>
  <c r="FD358" i="6"/>
  <c r="FH358" i="6"/>
  <c r="FE358" i="6"/>
  <c r="FB358" i="6"/>
  <c r="FI358" i="6"/>
  <c r="FC358" i="6"/>
  <c r="EL358" i="6" s="1"/>
  <c r="FG358" i="6"/>
  <c r="BJ368" i="5"/>
  <c r="AX369" i="5"/>
  <c r="BG368" i="5"/>
  <c r="EK357" i="6"/>
  <c r="FJ357" i="6"/>
  <c r="EN357" i="6"/>
  <c r="EW357" i="6" s="1"/>
  <c r="EO357" i="6"/>
  <c r="EX356" i="6"/>
  <c r="EZ356" i="6" s="1"/>
  <c r="ET355" i="6"/>
  <c r="BK364" i="5"/>
  <c r="GU355" i="6"/>
  <c r="GV355" i="6"/>
  <c r="GX355" i="6"/>
  <c r="HA355" i="6"/>
  <c r="GW355" i="6"/>
  <c r="GT355" i="6"/>
  <c r="EW356" i="6"/>
  <c r="ES356" i="6"/>
  <c r="GY355" i="6"/>
  <c r="EZ355" i="6"/>
  <c r="EL357" i="6"/>
  <c r="ER357" i="6"/>
  <c r="EQ357" i="6"/>
  <c r="EM357" i="6"/>
  <c r="BM363" i="5"/>
  <c r="BL363" i="5"/>
  <c r="EP357" i="6"/>
  <c r="BM364" i="5" l="1"/>
  <c r="BL364" i="5"/>
  <c r="EX357" i="6"/>
  <c r="EP358" i="6"/>
  <c r="ES357" i="6"/>
  <c r="ER358" i="6"/>
  <c r="BJ369" i="5"/>
  <c r="AX370" i="5"/>
  <c r="BG369" i="5"/>
  <c r="EK358" i="6"/>
  <c r="FJ358" i="6"/>
  <c r="EN358" i="6"/>
  <c r="EQ358" i="6"/>
  <c r="EO358" i="6"/>
  <c r="FC359" i="6"/>
  <c r="FE359" i="6"/>
  <c r="FB359" i="6"/>
  <c r="FF359" i="6"/>
  <c r="FH359" i="6"/>
  <c r="FD359" i="6"/>
  <c r="EM359" i="6" s="1"/>
  <c r="FI359" i="6"/>
  <c r="FG359" i="6"/>
  <c r="ET356" i="6"/>
  <c r="BK365" i="5"/>
  <c r="HA356" i="6"/>
  <c r="GX356" i="6"/>
  <c r="GT356" i="6"/>
  <c r="GZ356" i="6"/>
  <c r="GU356" i="6"/>
  <c r="GV356" i="6"/>
  <c r="GW356" i="6"/>
  <c r="EY356" i="6"/>
  <c r="EM358" i="6"/>
  <c r="GY356" i="6"/>
  <c r="EX358" i="6" l="1"/>
  <c r="FD360" i="6"/>
  <c r="FI360" i="6"/>
  <c r="FG360" i="6"/>
  <c r="FC360" i="6"/>
  <c r="FE360" i="6"/>
  <c r="FF360" i="6"/>
  <c r="FB360" i="6"/>
  <c r="FH360" i="6"/>
  <c r="ES358" i="6"/>
  <c r="EZ358" i="6" s="1"/>
  <c r="ET357" i="6"/>
  <c r="BK366" i="5"/>
  <c r="GX357" i="6"/>
  <c r="GV357" i="6"/>
  <c r="GU357" i="6"/>
  <c r="GT357" i="6"/>
  <c r="EK359" i="6"/>
  <c r="FJ359" i="6"/>
  <c r="BJ370" i="5"/>
  <c r="AX371" i="5"/>
  <c r="BG370" i="5"/>
  <c r="GW357" i="6"/>
  <c r="BL365" i="5"/>
  <c r="BM365" i="5"/>
  <c r="ER359" i="6"/>
  <c r="EQ359" i="6"/>
  <c r="EN359" i="6"/>
  <c r="EW359" i="6" s="1"/>
  <c r="EZ357" i="6"/>
  <c r="HA357" i="6"/>
  <c r="EW358" i="6"/>
  <c r="EP359" i="6"/>
  <c r="GZ357" i="6"/>
  <c r="EO359" i="6"/>
  <c r="EY357" i="6"/>
  <c r="EL359" i="6"/>
  <c r="GY357" i="6"/>
  <c r="FB361" i="6" l="1"/>
  <c r="FG361" i="6"/>
  <c r="FF361" i="6"/>
  <c r="FH361" i="6"/>
  <c r="FE361" i="6"/>
  <c r="FC361" i="6"/>
  <c r="FD361" i="6"/>
  <c r="FI361" i="6"/>
  <c r="GU358" i="6"/>
  <c r="BK367" i="5"/>
  <c r="ET358" i="6"/>
  <c r="GY358" i="6"/>
  <c r="GX358" i="6"/>
  <c r="GT358" i="6"/>
  <c r="HA358" i="6"/>
  <c r="GZ358" i="6"/>
  <c r="GW358" i="6"/>
  <c r="BL366" i="5"/>
  <c r="BM366" i="5"/>
  <c r="GW359" i="6"/>
  <c r="EX359" i="6"/>
  <c r="EZ359" i="6" s="1"/>
  <c r="ER360" i="6"/>
  <c r="EY358" i="6"/>
  <c r="EL360" i="6"/>
  <c r="EP360" i="6"/>
  <c r="EM360" i="6"/>
  <c r="BJ371" i="5"/>
  <c r="AX372" i="5"/>
  <c r="BG371" i="5"/>
  <c r="ES359" i="6"/>
  <c r="EQ360" i="6"/>
  <c r="EK360" i="6"/>
  <c r="FJ360" i="6"/>
  <c r="EO360" i="6"/>
  <c r="EN360" i="6"/>
  <c r="EW360" i="6" s="1"/>
  <c r="GV358" i="6"/>
  <c r="EL361" i="6" l="1"/>
  <c r="FG362" i="6"/>
  <c r="FB362" i="6"/>
  <c r="FC362" i="6"/>
  <c r="FE362" i="6"/>
  <c r="FI362" i="6"/>
  <c r="FF362" i="6"/>
  <c r="EO362" i="6" s="1"/>
  <c r="FH362" i="6"/>
  <c r="FD362" i="6"/>
  <c r="ES360" i="6"/>
  <c r="HA360" i="6" s="1"/>
  <c r="EM361" i="6"/>
  <c r="AX373" i="5"/>
  <c r="BJ372" i="5"/>
  <c r="BG372" i="5"/>
  <c r="EX360" i="6"/>
  <c r="EZ360" i="6" s="1"/>
  <c r="BK368" i="5"/>
  <c r="ET359" i="6"/>
  <c r="GT359" i="6"/>
  <c r="HA359" i="6"/>
  <c r="GZ359" i="6"/>
  <c r="GU359" i="6"/>
  <c r="GY359" i="6"/>
  <c r="GX359" i="6"/>
  <c r="BM367" i="5"/>
  <c r="BL367" i="5"/>
  <c r="ER361" i="6"/>
  <c r="FJ361" i="6"/>
  <c r="EN361" i="6"/>
  <c r="EY359" i="6"/>
  <c r="EQ361" i="6"/>
  <c r="EO361" i="6"/>
  <c r="GV359" i="6"/>
  <c r="EP361" i="6"/>
  <c r="GW360" i="6"/>
  <c r="EK361" i="6"/>
  <c r="ES361" i="6" l="1"/>
  <c r="HA361" i="6" s="1"/>
  <c r="EY360" i="6"/>
  <c r="FD363" i="6"/>
  <c r="FF363" i="6"/>
  <c r="FC363" i="6"/>
  <c r="FH363" i="6"/>
  <c r="FI363" i="6"/>
  <c r="FE363" i="6"/>
  <c r="FB363" i="6"/>
  <c r="FG363" i="6"/>
  <c r="GX361" i="6"/>
  <c r="EW361" i="6"/>
  <c r="ER362" i="6"/>
  <c r="EP362" i="6"/>
  <c r="BL368" i="5"/>
  <c r="BM368" i="5"/>
  <c r="BJ373" i="5"/>
  <c r="AX374" i="5"/>
  <c r="BG373" i="5"/>
  <c r="EX361" i="6"/>
  <c r="EM362" i="6"/>
  <c r="EQ362" i="6"/>
  <c r="EL362" i="6"/>
  <c r="GU361" i="6"/>
  <c r="ET360" i="6"/>
  <c r="BK369" i="5"/>
  <c r="GY360" i="6"/>
  <c r="GZ360" i="6"/>
  <c r="GV360" i="6"/>
  <c r="GX360" i="6"/>
  <c r="GT360" i="6"/>
  <c r="EN362" i="6"/>
  <c r="EK362" i="6"/>
  <c r="FJ362" i="6"/>
  <c r="GU360" i="6"/>
  <c r="BK370" i="5" l="1"/>
  <c r="ET361" i="6"/>
  <c r="EZ361" i="6"/>
  <c r="GV361" i="6"/>
  <c r="GT361" i="6"/>
  <c r="EW362" i="6"/>
  <c r="GW361" i="6"/>
  <c r="GZ361" i="6"/>
  <c r="EY361" i="6"/>
  <c r="GY361" i="6"/>
  <c r="ES362" i="6"/>
  <c r="ET362" i="6" s="1"/>
  <c r="BM369" i="5"/>
  <c r="BL369" i="5"/>
  <c r="BJ374" i="5"/>
  <c r="AX375" i="5"/>
  <c r="BG374" i="5"/>
  <c r="FJ363" i="6"/>
  <c r="EK363" i="6"/>
  <c r="EX362" i="6"/>
  <c r="BL370" i="5"/>
  <c r="BM370" i="5"/>
  <c r="EP363" i="6"/>
  <c r="EO363" i="6"/>
  <c r="EN363" i="6"/>
  <c r="ER363" i="6"/>
  <c r="EQ363" i="6"/>
  <c r="EL363" i="6"/>
  <c r="FG364" i="6"/>
  <c r="FD364" i="6"/>
  <c r="FB364" i="6"/>
  <c r="FF364" i="6"/>
  <c r="EO364" i="6" s="1"/>
  <c r="FH364" i="6"/>
  <c r="FI364" i="6"/>
  <c r="FC364" i="6"/>
  <c r="FE364" i="6"/>
  <c r="EM363" i="6"/>
  <c r="EW363" i="6" l="1"/>
  <c r="BK371" i="5"/>
  <c r="GU362" i="6"/>
  <c r="GW362" i="6"/>
  <c r="EY362" i="6"/>
  <c r="GZ362" i="6"/>
  <c r="EZ362" i="6"/>
  <c r="GY362" i="6"/>
  <c r="GT362" i="6"/>
  <c r="HA362" i="6"/>
  <c r="GV362" i="6"/>
  <c r="GX362" i="6"/>
  <c r="EN364" i="6"/>
  <c r="EQ364" i="6"/>
  <c r="ER364" i="6"/>
  <c r="EK364" i="6"/>
  <c r="FJ364" i="6"/>
  <c r="BM371" i="5"/>
  <c r="BL371" i="5"/>
  <c r="EL364" i="6"/>
  <c r="ES363" i="6"/>
  <c r="EX363" i="6"/>
  <c r="EM364" i="6"/>
  <c r="EP364" i="6"/>
  <c r="FD365" i="6"/>
  <c r="FF365" i="6"/>
  <c r="FH365" i="6"/>
  <c r="FI365" i="6"/>
  <c r="FE365" i="6"/>
  <c r="FB365" i="6"/>
  <c r="FC365" i="6"/>
  <c r="FG365" i="6"/>
  <c r="BJ375" i="5"/>
  <c r="AX376" i="5"/>
  <c r="BG375" i="5"/>
  <c r="EY363" i="6" l="1"/>
  <c r="ET363" i="6"/>
  <c r="BK372" i="5"/>
  <c r="GU363" i="6"/>
  <c r="GY363" i="6"/>
  <c r="HA363" i="6"/>
  <c r="GZ363" i="6"/>
  <c r="GT363" i="6"/>
  <c r="GX363" i="6"/>
  <c r="GW363" i="6"/>
  <c r="BJ376" i="5"/>
  <c r="AX377" i="5"/>
  <c r="BG376" i="5"/>
  <c r="EZ363" i="6"/>
  <c r="EP365" i="6"/>
  <c r="EM365" i="6"/>
  <c r="ES364" i="6"/>
  <c r="GU364" i="6" s="1"/>
  <c r="EN365" i="6"/>
  <c r="EW365" i="6" s="1"/>
  <c r="ER365" i="6"/>
  <c r="EO365" i="6"/>
  <c r="FF366" i="6"/>
  <c r="FG366" i="6"/>
  <c r="FE366" i="6"/>
  <c r="FD366" i="6"/>
  <c r="FC366" i="6"/>
  <c r="FI366" i="6"/>
  <c r="FH366" i="6"/>
  <c r="FB366" i="6"/>
  <c r="EL365" i="6"/>
  <c r="EK365" i="6"/>
  <c r="FJ365" i="6"/>
  <c r="EX364" i="6"/>
  <c r="EW364" i="6"/>
  <c r="EQ365" i="6"/>
  <c r="GV363" i="6"/>
  <c r="EX365" i="6" l="1"/>
  <c r="EQ366" i="6"/>
  <c r="FD367" i="6"/>
  <c r="FE367" i="6"/>
  <c r="FF367" i="6"/>
  <c r="FB367" i="6"/>
  <c r="FG367" i="6"/>
  <c r="FH367" i="6"/>
  <c r="FI367" i="6"/>
  <c r="FC367" i="6"/>
  <c r="ER366" i="6"/>
  <c r="EZ364" i="6"/>
  <c r="EK366" i="6"/>
  <c r="FJ366" i="6"/>
  <c r="BJ377" i="5"/>
  <c r="AX378" i="5"/>
  <c r="BG377" i="5"/>
  <c r="EM366" i="6"/>
  <c r="EP366" i="6"/>
  <c r="BL372" i="5"/>
  <c r="BM372" i="5"/>
  <c r="GX364" i="6"/>
  <c r="EY364" i="6"/>
  <c r="ET364" i="6"/>
  <c r="BK373" i="5"/>
  <c r="GW364" i="6"/>
  <c r="HA364" i="6"/>
  <c r="GT364" i="6"/>
  <c r="GZ364" i="6"/>
  <c r="GV364" i="6"/>
  <c r="ES365" i="6"/>
  <c r="GU365" i="6" s="1"/>
  <c r="EL366" i="6"/>
  <c r="EN366" i="6"/>
  <c r="EO366" i="6"/>
  <c r="GY364" i="6"/>
  <c r="EW366" i="6" l="1"/>
  <c r="EQ367" i="6"/>
  <c r="BM373" i="5"/>
  <c r="BL373" i="5"/>
  <c r="EN367" i="6"/>
  <c r="AX379" i="5"/>
  <c r="BJ378" i="5"/>
  <c r="BG378" i="5"/>
  <c r="ER367" i="6"/>
  <c r="EO367" i="6"/>
  <c r="EX366" i="6"/>
  <c r="EY365" i="6"/>
  <c r="ES366" i="6"/>
  <c r="GZ366" i="6" s="1"/>
  <c r="EP367" i="6"/>
  <c r="EM367" i="6"/>
  <c r="ET365" i="6"/>
  <c r="BK374" i="5"/>
  <c r="HA365" i="6"/>
  <c r="GT365" i="6"/>
  <c r="GX365" i="6"/>
  <c r="GV365" i="6"/>
  <c r="EL367" i="6"/>
  <c r="EK367" i="6"/>
  <c r="FJ367" i="6"/>
  <c r="EZ365" i="6"/>
  <c r="GW365" i="6"/>
  <c r="GZ365" i="6"/>
  <c r="FE368" i="6"/>
  <c r="FH368" i="6"/>
  <c r="FG368" i="6"/>
  <c r="FF368" i="6"/>
  <c r="FD368" i="6"/>
  <c r="FI368" i="6"/>
  <c r="FB368" i="6"/>
  <c r="FC368" i="6"/>
  <c r="EL368" i="6" s="1"/>
  <c r="GY365" i="6"/>
  <c r="EZ366" i="6" l="1"/>
  <c r="EW367" i="6"/>
  <c r="EQ368" i="6"/>
  <c r="BJ379" i="5"/>
  <c r="AX380" i="5"/>
  <c r="BG379" i="5"/>
  <c r="ET366" i="6"/>
  <c r="BK375" i="5"/>
  <c r="GV366" i="6"/>
  <c r="GW366" i="6"/>
  <c r="GY366" i="6"/>
  <c r="GT366" i="6"/>
  <c r="EM368" i="6"/>
  <c r="EN368" i="6"/>
  <c r="ES367" i="6"/>
  <c r="EY366" i="6"/>
  <c r="HA366" i="6"/>
  <c r="FJ368" i="6"/>
  <c r="EK368" i="6"/>
  <c r="EO368" i="6"/>
  <c r="EP368" i="6"/>
  <c r="FD369" i="6"/>
  <c r="FG369" i="6"/>
  <c r="FE369" i="6"/>
  <c r="FC369" i="6"/>
  <c r="FH369" i="6"/>
  <c r="FB369" i="6"/>
  <c r="FF369" i="6"/>
  <c r="FI369" i="6"/>
  <c r="EX367" i="6"/>
  <c r="BM374" i="5"/>
  <c r="BL374" i="5"/>
  <c r="GX366" i="6"/>
  <c r="ER368" i="6"/>
  <c r="GU366" i="6"/>
  <c r="EY367" i="6" l="1"/>
  <c r="EW368" i="6"/>
  <c r="ET367" i="6"/>
  <c r="BK376" i="5"/>
  <c r="GV367" i="6"/>
  <c r="GT367" i="6"/>
  <c r="GU367" i="6"/>
  <c r="GZ367" i="6"/>
  <c r="GW367" i="6"/>
  <c r="GY367" i="6"/>
  <c r="EZ367" i="6"/>
  <c r="EQ369" i="6"/>
  <c r="EN369" i="6"/>
  <c r="EW369" i="6" s="1"/>
  <c r="BJ380" i="5"/>
  <c r="AX381" i="5"/>
  <c r="BG380" i="5"/>
  <c r="EP369" i="6"/>
  <c r="BL375" i="5"/>
  <c r="BM375" i="5"/>
  <c r="ER369" i="6"/>
  <c r="EO369" i="6"/>
  <c r="EK369" i="6"/>
  <c r="FJ369" i="6"/>
  <c r="EL369" i="6"/>
  <c r="EM369" i="6"/>
  <c r="FD370" i="6"/>
  <c r="FE370" i="6"/>
  <c r="FC370" i="6"/>
  <c r="FB370" i="6"/>
  <c r="FG370" i="6"/>
  <c r="FI370" i="6"/>
  <c r="FF370" i="6"/>
  <c r="FH370" i="6"/>
  <c r="EX368" i="6"/>
  <c r="HA367" i="6"/>
  <c r="ES368" i="6"/>
  <c r="GX367" i="6"/>
  <c r="FC371" i="6" l="1"/>
  <c r="FH371" i="6"/>
  <c r="FB371" i="6"/>
  <c r="FG371" i="6"/>
  <c r="FE371" i="6"/>
  <c r="FI371" i="6"/>
  <c r="FD371" i="6"/>
  <c r="FF371" i="6"/>
  <c r="EO371" i="6" s="1"/>
  <c r="GU368" i="6"/>
  <c r="ET368" i="6"/>
  <c r="BK377" i="5"/>
  <c r="GT368" i="6"/>
  <c r="GZ368" i="6"/>
  <c r="GX368" i="6"/>
  <c r="HA368" i="6"/>
  <c r="GW368" i="6"/>
  <c r="GV368" i="6"/>
  <c r="EK370" i="6"/>
  <c r="FJ370" i="6"/>
  <c r="EQ370" i="6"/>
  <c r="EO370" i="6"/>
  <c r="EP370" i="6"/>
  <c r="EM370" i="6"/>
  <c r="EZ368" i="6"/>
  <c r="EY368" i="6"/>
  <c r="ER370" i="6"/>
  <c r="BJ381" i="5"/>
  <c r="AX382" i="5"/>
  <c r="BG381" i="5"/>
  <c r="EX369" i="6"/>
  <c r="ES369" i="6"/>
  <c r="BL376" i="5"/>
  <c r="BM376" i="5"/>
  <c r="EL370" i="6"/>
  <c r="EN370" i="6"/>
  <c r="GY368" i="6"/>
  <c r="EZ369" i="6" l="1"/>
  <c r="ES370" i="6"/>
  <c r="BK379" i="5" s="1"/>
  <c r="FD372" i="6"/>
  <c r="FG372" i="6"/>
  <c r="FF372" i="6"/>
  <c r="FC372" i="6"/>
  <c r="FH372" i="6"/>
  <c r="FE372" i="6"/>
  <c r="FB372" i="6"/>
  <c r="FI372" i="6"/>
  <c r="BK378" i="5"/>
  <c r="ET369" i="6"/>
  <c r="GU369" i="6"/>
  <c r="GX369" i="6"/>
  <c r="GZ369" i="6"/>
  <c r="GT369" i="6"/>
  <c r="BJ382" i="5"/>
  <c r="AX383" i="5"/>
  <c r="BG382" i="5"/>
  <c r="EM371" i="6"/>
  <c r="GW369" i="6"/>
  <c r="GV369" i="6"/>
  <c r="EY369" i="6"/>
  <c r="EP371" i="6"/>
  <c r="GY369" i="6"/>
  <c r="BL377" i="5"/>
  <c r="BM377" i="5"/>
  <c r="ER371" i="6"/>
  <c r="EN371" i="6"/>
  <c r="EK371" i="6"/>
  <c r="FJ371" i="6"/>
  <c r="EQ371" i="6"/>
  <c r="EL371" i="6"/>
  <c r="EW370" i="6"/>
  <c r="EX370" i="6"/>
  <c r="HA369" i="6"/>
  <c r="GT370" i="6" l="1"/>
  <c r="EZ370" i="6"/>
  <c r="GU370" i="6"/>
  <c r="GY370" i="6"/>
  <c r="EY370" i="6"/>
  <c r="ET370" i="6"/>
  <c r="GZ370" i="6"/>
  <c r="HA370" i="6"/>
  <c r="GV370" i="6"/>
  <c r="GW370" i="6"/>
  <c r="GX370" i="6"/>
  <c r="EX371" i="6"/>
  <c r="EW371" i="6"/>
  <c r="BJ383" i="5"/>
  <c r="AX384" i="5"/>
  <c r="BG383" i="5"/>
  <c r="EN372" i="6"/>
  <c r="EM372" i="6"/>
  <c r="ES371" i="6"/>
  <c r="BL378" i="5"/>
  <c r="BM378" i="5"/>
  <c r="EQ372" i="6"/>
  <c r="BM379" i="5"/>
  <c r="BL379" i="5"/>
  <c r="FE373" i="6"/>
  <c r="FB373" i="6"/>
  <c r="FC373" i="6"/>
  <c r="FD373" i="6"/>
  <c r="FF373" i="6"/>
  <c r="FI373" i="6"/>
  <c r="FH373" i="6"/>
  <c r="FG373" i="6"/>
  <c r="ER372" i="6"/>
  <c r="EK372" i="6"/>
  <c r="FJ372" i="6"/>
  <c r="EL372" i="6"/>
  <c r="EO372" i="6"/>
  <c r="EP372" i="6"/>
  <c r="EX372" i="6" l="1"/>
  <c r="EL373" i="6"/>
  <c r="AX385" i="5"/>
  <c r="BJ384" i="5"/>
  <c r="BG384" i="5"/>
  <c r="FC374" i="6"/>
  <c r="FB374" i="6"/>
  <c r="FG374" i="6"/>
  <c r="FF374" i="6"/>
  <c r="FI374" i="6"/>
  <c r="FE374" i="6"/>
  <c r="FH374" i="6"/>
  <c r="FD374" i="6"/>
  <c r="EK373" i="6"/>
  <c r="FJ373" i="6"/>
  <c r="GX371" i="6"/>
  <c r="ET371" i="6"/>
  <c r="BK380" i="5"/>
  <c r="HA371" i="6"/>
  <c r="GW371" i="6"/>
  <c r="GT371" i="6"/>
  <c r="GY371" i="6"/>
  <c r="ES372" i="6"/>
  <c r="EP373" i="6"/>
  <c r="EQ373" i="6"/>
  <c r="ER373" i="6"/>
  <c r="EO373" i="6"/>
  <c r="GU371" i="6"/>
  <c r="EN373" i="6"/>
  <c r="EW372" i="6"/>
  <c r="EY371" i="6"/>
  <c r="EZ371" i="6"/>
  <c r="GZ371" i="6"/>
  <c r="EM373" i="6"/>
  <c r="GV371" i="6"/>
  <c r="EY372" i="6" l="1"/>
  <c r="BL380" i="5"/>
  <c r="BM380" i="5"/>
  <c r="ER374" i="6"/>
  <c r="EP374" i="6"/>
  <c r="EM374" i="6"/>
  <c r="EL374" i="6"/>
  <c r="EO374" i="6"/>
  <c r="AX386" i="5"/>
  <c r="BJ385" i="5"/>
  <c r="BG385" i="5"/>
  <c r="EW373" i="6"/>
  <c r="EX373" i="6"/>
  <c r="ET372" i="6"/>
  <c r="BK381" i="5"/>
  <c r="GU372" i="6"/>
  <c r="GY372" i="6"/>
  <c r="HA372" i="6"/>
  <c r="GT372" i="6"/>
  <c r="GW372" i="6"/>
  <c r="GV372" i="6"/>
  <c r="EZ372" i="6"/>
  <c r="EQ374" i="6"/>
  <c r="EN374" i="6"/>
  <c r="EK374" i="6"/>
  <c r="FJ374" i="6"/>
  <c r="FF375" i="6"/>
  <c r="FI375" i="6"/>
  <c r="FH375" i="6"/>
  <c r="EQ375" i="6" s="1"/>
  <c r="FB375" i="6"/>
  <c r="FG375" i="6"/>
  <c r="FC375" i="6"/>
  <c r="FE375" i="6"/>
  <c r="FD375" i="6"/>
  <c r="ES373" i="6"/>
  <c r="GZ372" i="6"/>
  <c r="GX372" i="6"/>
  <c r="EW374" i="6" l="1"/>
  <c r="ET373" i="6"/>
  <c r="BK382" i="5"/>
  <c r="GY373" i="6"/>
  <c r="GV373" i="6"/>
  <c r="GU373" i="6"/>
  <c r="HA373" i="6"/>
  <c r="GW373" i="6"/>
  <c r="GT373" i="6"/>
  <c r="EP375" i="6"/>
  <c r="EM375" i="6"/>
  <c r="EK375" i="6"/>
  <c r="FJ375" i="6"/>
  <c r="BJ386" i="5"/>
  <c r="AX387" i="5"/>
  <c r="BG386" i="5"/>
  <c r="EX374" i="6"/>
  <c r="EZ374" i="6" s="1"/>
  <c r="EN375" i="6"/>
  <c r="EW375" i="6" s="1"/>
  <c r="FF376" i="6"/>
  <c r="FB376" i="6"/>
  <c r="FE376" i="6"/>
  <c r="FC376" i="6"/>
  <c r="FG376" i="6"/>
  <c r="FH376" i="6"/>
  <c r="FI376" i="6"/>
  <c r="ER376" i="6" s="1"/>
  <c r="FD376" i="6"/>
  <c r="ER375" i="6"/>
  <c r="ES374" i="6"/>
  <c r="GW374" i="6" s="1"/>
  <c r="GZ373" i="6"/>
  <c r="BL381" i="5"/>
  <c r="BM381" i="5"/>
  <c r="EL375" i="6"/>
  <c r="EZ373" i="6"/>
  <c r="EY373" i="6"/>
  <c r="EO375" i="6"/>
  <c r="GX373" i="6"/>
  <c r="EX375" i="6" l="1"/>
  <c r="ET374" i="6"/>
  <c r="BK383" i="5"/>
  <c r="HA374" i="6"/>
  <c r="GZ374" i="6"/>
  <c r="GY374" i="6"/>
  <c r="GV374" i="6"/>
  <c r="GU374" i="6"/>
  <c r="GT374" i="6"/>
  <c r="EM376" i="6"/>
  <c r="BJ387" i="5"/>
  <c r="AX388" i="5"/>
  <c r="BG387" i="5"/>
  <c r="BM382" i="5"/>
  <c r="BL382" i="5"/>
  <c r="FE377" i="6"/>
  <c r="FC377" i="6"/>
  <c r="FF377" i="6"/>
  <c r="FD377" i="6"/>
  <c r="FG377" i="6"/>
  <c r="FB377" i="6"/>
  <c r="FI377" i="6"/>
  <c r="FH377" i="6"/>
  <c r="ES375" i="6"/>
  <c r="EY375" i="6" s="1"/>
  <c r="EN376" i="6"/>
  <c r="EK376" i="6"/>
  <c r="FJ376" i="6"/>
  <c r="EQ376" i="6"/>
  <c r="EP376" i="6"/>
  <c r="EL376" i="6"/>
  <c r="EY374" i="6"/>
  <c r="EO376" i="6"/>
  <c r="GX374" i="6"/>
  <c r="EW376" i="6" l="1"/>
  <c r="EK377" i="6"/>
  <c r="FJ377" i="6"/>
  <c r="EO377" i="6"/>
  <c r="EN377" i="6"/>
  <c r="EP377" i="6"/>
  <c r="EL377" i="6"/>
  <c r="EX376" i="6"/>
  <c r="BM383" i="5"/>
  <c r="BL383" i="5"/>
  <c r="EM377" i="6"/>
  <c r="EW377" i="6" s="1"/>
  <c r="BJ388" i="5"/>
  <c r="AX389" i="5"/>
  <c r="BG388" i="5"/>
  <c r="ES376" i="6"/>
  <c r="FG378" i="6"/>
  <c r="FB378" i="6"/>
  <c r="FD378" i="6"/>
  <c r="FE378" i="6"/>
  <c r="FI378" i="6"/>
  <c r="FF378" i="6"/>
  <c r="FC378" i="6"/>
  <c r="FH378" i="6"/>
  <c r="EQ378" i="6" s="1"/>
  <c r="GZ375" i="6"/>
  <c r="ET375" i="6"/>
  <c r="BK384" i="5"/>
  <c r="GV375" i="6"/>
  <c r="GW375" i="6"/>
  <c r="HA375" i="6"/>
  <c r="GU375" i="6"/>
  <c r="GY375" i="6"/>
  <c r="GT375" i="6"/>
  <c r="GX375" i="6"/>
  <c r="EQ377" i="6"/>
  <c r="ER377" i="6"/>
  <c r="EZ375" i="6"/>
  <c r="EP378" i="6" l="1"/>
  <c r="HA376" i="6"/>
  <c r="ET376" i="6"/>
  <c r="BK385" i="5"/>
  <c r="GT376" i="6"/>
  <c r="GV376" i="6"/>
  <c r="GZ376" i="6"/>
  <c r="GU376" i="6"/>
  <c r="GW376" i="6"/>
  <c r="GY376" i="6"/>
  <c r="GX376" i="6"/>
  <c r="EX377" i="6"/>
  <c r="EZ376" i="6"/>
  <c r="EL378" i="6"/>
  <c r="FD379" i="6"/>
  <c r="FI379" i="6"/>
  <c r="FH379" i="6"/>
  <c r="FE379" i="6"/>
  <c r="FC379" i="6"/>
  <c r="FG379" i="6"/>
  <c r="FB379" i="6"/>
  <c r="FF379" i="6"/>
  <c r="EN378" i="6"/>
  <c r="EK378" i="6"/>
  <c r="FJ378" i="6"/>
  <c r="BJ389" i="5"/>
  <c r="AX390" i="5"/>
  <c r="BG389" i="5"/>
  <c r="BL384" i="5"/>
  <c r="BM384" i="5"/>
  <c r="EY376" i="6"/>
  <c r="EO378" i="6"/>
  <c r="ER378" i="6"/>
  <c r="EM378" i="6"/>
  <c r="ES377" i="6"/>
  <c r="GV377" i="6" s="1"/>
  <c r="EX378" i="6" l="1"/>
  <c r="EY377" i="6"/>
  <c r="EZ377" i="6"/>
  <c r="EQ379" i="6"/>
  <c r="EN379" i="6"/>
  <c r="EM379" i="6"/>
  <c r="EW378" i="6"/>
  <c r="ER379" i="6"/>
  <c r="FI380" i="6"/>
  <c r="ER380" i="6" s="1"/>
  <c r="FC380" i="6"/>
  <c r="FH380" i="6"/>
  <c r="FG380" i="6"/>
  <c r="FE380" i="6"/>
  <c r="FF380" i="6"/>
  <c r="FB380" i="6"/>
  <c r="FD380" i="6"/>
  <c r="EL379" i="6"/>
  <c r="ES378" i="6"/>
  <c r="EK379" i="6"/>
  <c r="FJ379" i="6"/>
  <c r="BJ390" i="5"/>
  <c r="AX391" i="5"/>
  <c r="BG390" i="5"/>
  <c r="BM385" i="5"/>
  <c r="BL385" i="5"/>
  <c r="EO379" i="6"/>
  <c r="ET377" i="6"/>
  <c r="BK386" i="5"/>
  <c r="GX377" i="6"/>
  <c r="GW377" i="6"/>
  <c r="GU377" i="6"/>
  <c r="GT377" i="6"/>
  <c r="GY377" i="6"/>
  <c r="GZ377" i="6"/>
  <c r="EP379" i="6"/>
  <c r="HA377" i="6"/>
  <c r="EZ378" i="6" l="1"/>
  <c r="EY378" i="6"/>
  <c r="GW378" i="6"/>
  <c r="GZ378" i="6"/>
  <c r="EK380" i="6"/>
  <c r="FJ380" i="6"/>
  <c r="EQ380" i="6"/>
  <c r="EM380" i="6"/>
  <c r="EO380" i="6"/>
  <c r="EP380" i="6"/>
  <c r="EL380" i="6"/>
  <c r="EW379" i="6"/>
  <c r="BL386" i="5"/>
  <c r="BM386" i="5"/>
  <c r="FC381" i="6"/>
  <c r="FH381" i="6"/>
  <c r="FG381" i="6"/>
  <c r="FE381" i="6"/>
  <c r="FD381" i="6"/>
  <c r="FF381" i="6"/>
  <c r="FI381" i="6"/>
  <c r="FB381" i="6"/>
  <c r="ES379" i="6"/>
  <c r="GW379" i="6" s="1"/>
  <c r="EN380" i="6"/>
  <c r="AX392" i="5"/>
  <c r="BJ391" i="5"/>
  <c r="BG391" i="5"/>
  <c r="EX379" i="6"/>
  <c r="BK387" i="5"/>
  <c r="ET378" i="6"/>
  <c r="GU378" i="6"/>
  <c r="GX378" i="6"/>
  <c r="GY378" i="6"/>
  <c r="GT378" i="6"/>
  <c r="HA378" i="6"/>
  <c r="GV378" i="6"/>
  <c r="EZ379" i="6" l="1"/>
  <c r="EM381" i="6"/>
  <c r="EN381" i="6"/>
  <c r="BJ392" i="5"/>
  <c r="AX393" i="5"/>
  <c r="BG392" i="5"/>
  <c r="EQ381" i="6"/>
  <c r="BL387" i="5"/>
  <c r="BM387" i="5"/>
  <c r="FD382" i="6"/>
  <c r="FF382" i="6"/>
  <c r="FH382" i="6"/>
  <c r="FI382" i="6"/>
  <c r="FB382" i="6"/>
  <c r="FE382" i="6"/>
  <c r="FC382" i="6"/>
  <c r="FG382" i="6"/>
  <c r="HA380" i="6"/>
  <c r="EW380" i="6"/>
  <c r="EY380" i="6" s="1"/>
  <c r="EY379" i="6"/>
  <c r="ET379" i="6"/>
  <c r="BK388" i="5"/>
  <c r="GZ379" i="6"/>
  <c r="HA379" i="6"/>
  <c r="GT379" i="6"/>
  <c r="GV379" i="6"/>
  <c r="GX379" i="6"/>
  <c r="GU379" i="6"/>
  <c r="ER381" i="6"/>
  <c r="ES380" i="6"/>
  <c r="EP381" i="6"/>
  <c r="EL381" i="6"/>
  <c r="EX380" i="6"/>
  <c r="EZ380" i="6" s="1"/>
  <c r="EK381" i="6"/>
  <c r="FJ381" i="6"/>
  <c r="EO381" i="6"/>
  <c r="GY379" i="6"/>
  <c r="EW381" i="6" l="1"/>
  <c r="EP382" i="6"/>
  <c r="EN382" i="6"/>
  <c r="ER382" i="6"/>
  <c r="EO382" i="6"/>
  <c r="EX381" i="6"/>
  <c r="EK382" i="6"/>
  <c r="FJ382" i="6"/>
  <c r="EL382" i="6"/>
  <c r="BK389" i="5"/>
  <c r="ET380" i="6"/>
  <c r="GW380" i="6"/>
  <c r="GX380" i="6"/>
  <c r="GZ380" i="6"/>
  <c r="GU380" i="6"/>
  <c r="GT380" i="6"/>
  <c r="GY380" i="6"/>
  <c r="BJ393" i="5"/>
  <c r="AX394" i="5"/>
  <c r="BG393" i="5"/>
  <c r="ES381" i="6"/>
  <c r="GW381" i="6" s="1"/>
  <c r="EQ382" i="6"/>
  <c r="EM382" i="6"/>
  <c r="FD383" i="6"/>
  <c r="FG383" i="6"/>
  <c r="FI383" i="6"/>
  <c r="ER383" i="6" s="1"/>
  <c r="FC383" i="6"/>
  <c r="FH383" i="6"/>
  <c r="FF383" i="6"/>
  <c r="FE383" i="6"/>
  <c r="FB383" i="6"/>
  <c r="BL388" i="5"/>
  <c r="BM388" i="5"/>
  <c r="GV380" i="6"/>
  <c r="EY381" i="6" l="1"/>
  <c r="EO383" i="6"/>
  <c r="EP383" i="6"/>
  <c r="EZ381" i="6"/>
  <c r="ET381" i="6"/>
  <c r="BK390" i="5"/>
  <c r="GU381" i="6"/>
  <c r="GY381" i="6"/>
  <c r="GZ381" i="6"/>
  <c r="HA381" i="6"/>
  <c r="GT381" i="6"/>
  <c r="GX381" i="6"/>
  <c r="FJ383" i="6"/>
  <c r="EK383" i="6"/>
  <c r="BM389" i="5"/>
  <c r="BL389" i="5"/>
  <c r="EL383" i="6"/>
  <c r="EM383" i="6"/>
  <c r="FG384" i="6"/>
  <c r="FD384" i="6"/>
  <c r="FE384" i="6"/>
  <c r="FB384" i="6"/>
  <c r="FI384" i="6"/>
  <c r="FH384" i="6"/>
  <c r="FC384" i="6"/>
  <c r="FF384" i="6"/>
  <c r="EN383" i="6"/>
  <c r="ES382" i="6"/>
  <c r="EQ383" i="6"/>
  <c r="EX382" i="6"/>
  <c r="BJ394" i="5"/>
  <c r="AX395" i="5"/>
  <c r="BG394" i="5"/>
  <c r="EW382" i="6"/>
  <c r="GV381" i="6"/>
  <c r="EY382" i="6" l="1"/>
  <c r="EZ382" i="6"/>
  <c r="EQ384" i="6"/>
  <c r="FC385" i="6"/>
  <c r="FF385" i="6"/>
  <c r="FD385" i="6"/>
  <c r="FE385" i="6"/>
  <c r="FG385" i="6"/>
  <c r="FI385" i="6"/>
  <c r="FB385" i="6"/>
  <c r="FH385" i="6"/>
  <c r="ES383" i="6"/>
  <c r="EO384" i="6"/>
  <c r="EL384" i="6"/>
  <c r="ER384" i="6"/>
  <c r="ET382" i="6"/>
  <c r="BK391" i="5"/>
  <c r="GW382" i="6"/>
  <c r="GT382" i="6"/>
  <c r="HA382" i="6"/>
  <c r="GY382" i="6"/>
  <c r="GX382" i="6"/>
  <c r="GZ382" i="6"/>
  <c r="GV382" i="6"/>
  <c r="GU382" i="6"/>
  <c r="BM390" i="5"/>
  <c r="BL390" i="5"/>
  <c r="AX396" i="5"/>
  <c r="BJ395" i="5"/>
  <c r="BG395" i="5"/>
  <c r="EX383" i="6"/>
  <c r="EW383" i="6"/>
  <c r="EK384" i="6"/>
  <c r="FJ384" i="6"/>
  <c r="EN384" i="6"/>
  <c r="EM384" i="6"/>
  <c r="EP384" i="6"/>
  <c r="EZ383" i="6" l="1"/>
  <c r="EY383" i="6"/>
  <c r="ES384" i="6"/>
  <c r="HA384" i="6" s="1"/>
  <c r="FH386" i="6"/>
  <c r="FF386" i="6"/>
  <c r="FB386" i="6"/>
  <c r="FD386" i="6"/>
  <c r="FG386" i="6"/>
  <c r="FC386" i="6"/>
  <c r="FE386" i="6"/>
  <c r="FI386" i="6"/>
  <c r="EL385" i="6"/>
  <c r="BM391" i="5"/>
  <c r="BL391" i="5"/>
  <c r="HA383" i="6"/>
  <c r="BK392" i="5"/>
  <c r="ET383" i="6"/>
  <c r="GX383" i="6"/>
  <c r="GW383" i="6"/>
  <c r="GZ383" i="6"/>
  <c r="GT383" i="6"/>
  <c r="GV383" i="6"/>
  <c r="GU383" i="6"/>
  <c r="EK385" i="6"/>
  <c r="FJ385" i="6"/>
  <c r="EP385" i="6"/>
  <c r="EM385" i="6"/>
  <c r="EW384" i="6"/>
  <c r="EQ385" i="6"/>
  <c r="ER385" i="6"/>
  <c r="EN385" i="6"/>
  <c r="EX384" i="6"/>
  <c r="BJ396" i="5"/>
  <c r="AX397" i="5"/>
  <c r="BG396" i="5"/>
  <c r="EO385" i="6"/>
  <c r="GY383" i="6"/>
  <c r="GT384" i="6" l="1"/>
  <c r="EZ384" i="6"/>
  <c r="EY384" i="6"/>
  <c r="EW385" i="6"/>
  <c r="EL386" i="6"/>
  <c r="FF387" i="6"/>
  <c r="FG387" i="6"/>
  <c r="FD387" i="6"/>
  <c r="FH387" i="6"/>
  <c r="FE387" i="6"/>
  <c r="FB387" i="6"/>
  <c r="FI387" i="6"/>
  <c r="FC387" i="6"/>
  <c r="EL387" i="6" s="1"/>
  <c r="AX398" i="5"/>
  <c r="BJ397" i="5"/>
  <c r="BG397" i="5"/>
  <c r="BL392" i="5"/>
  <c r="BM392" i="5"/>
  <c r="EK386" i="6"/>
  <c r="FJ386" i="6"/>
  <c r="EO386" i="6"/>
  <c r="ES385" i="6"/>
  <c r="ET384" i="6"/>
  <c r="BK393" i="5"/>
  <c r="GV384" i="6"/>
  <c r="GX384" i="6"/>
  <c r="GY384" i="6"/>
  <c r="GZ384" i="6"/>
  <c r="GW384" i="6"/>
  <c r="EX385" i="6"/>
  <c r="ER386" i="6"/>
  <c r="EN386" i="6"/>
  <c r="EP386" i="6"/>
  <c r="EM386" i="6"/>
  <c r="EQ386" i="6"/>
  <c r="GU384" i="6"/>
  <c r="EW386" i="6" l="1"/>
  <c r="EX386" i="6"/>
  <c r="BJ398" i="5"/>
  <c r="AX399" i="5"/>
  <c r="BG398" i="5"/>
  <c r="ER387" i="6"/>
  <c r="EQ387" i="6"/>
  <c r="EO387" i="6"/>
  <c r="EY385" i="6"/>
  <c r="ET385" i="6"/>
  <c r="BK394" i="5"/>
  <c r="GY385" i="6"/>
  <c r="GV385" i="6"/>
  <c r="GU385" i="6"/>
  <c r="GZ385" i="6"/>
  <c r="HA385" i="6"/>
  <c r="GT385" i="6"/>
  <c r="GX385" i="6"/>
  <c r="ES386" i="6"/>
  <c r="EZ385" i="6"/>
  <c r="EN387" i="6"/>
  <c r="EM387" i="6"/>
  <c r="BM393" i="5"/>
  <c r="BL393" i="5"/>
  <c r="GW385" i="6"/>
  <c r="FC388" i="6"/>
  <c r="FD388" i="6"/>
  <c r="FH388" i="6"/>
  <c r="EQ388" i="6" s="1"/>
  <c r="FI388" i="6"/>
  <c r="FE388" i="6"/>
  <c r="FB388" i="6"/>
  <c r="FG388" i="6"/>
  <c r="FF388" i="6"/>
  <c r="EK387" i="6"/>
  <c r="FJ387" i="6"/>
  <c r="EP387" i="6"/>
  <c r="EY386" i="6" l="1"/>
  <c r="ES387" i="6"/>
  <c r="GZ387" i="6" s="1"/>
  <c r="GW386" i="6"/>
  <c r="EZ386" i="6"/>
  <c r="BM394" i="5"/>
  <c r="BL394" i="5"/>
  <c r="EX387" i="6"/>
  <c r="EO388" i="6"/>
  <c r="EN388" i="6"/>
  <c r="ER388" i="6"/>
  <c r="EM388" i="6"/>
  <c r="BJ399" i="5"/>
  <c r="AX400" i="5"/>
  <c r="BG399" i="5"/>
  <c r="EW387" i="6"/>
  <c r="EY387" i="6" s="1"/>
  <c r="EP388" i="6"/>
  <c r="EL388" i="6"/>
  <c r="BK395" i="5"/>
  <c r="ET386" i="6"/>
  <c r="HA386" i="6"/>
  <c r="GT386" i="6"/>
  <c r="GV386" i="6"/>
  <c r="GZ386" i="6"/>
  <c r="GX386" i="6"/>
  <c r="GU386" i="6"/>
  <c r="EK388" i="6"/>
  <c r="FJ388" i="6"/>
  <c r="FE389" i="6"/>
  <c r="FD389" i="6"/>
  <c r="FC389" i="6"/>
  <c r="FG389" i="6"/>
  <c r="FI389" i="6"/>
  <c r="FF389" i="6"/>
  <c r="FH389" i="6"/>
  <c r="FB389" i="6"/>
  <c r="GY386" i="6"/>
  <c r="HA387" i="6" l="1"/>
  <c r="GW387" i="6"/>
  <c r="EX388" i="6"/>
  <c r="GV387" i="6"/>
  <c r="EZ387" i="6"/>
  <c r="GX387" i="6"/>
  <c r="GU387" i="6"/>
  <c r="ET387" i="6"/>
  <c r="BK396" i="5"/>
  <c r="BM396" i="5" s="1"/>
  <c r="GY387" i="6"/>
  <c r="GT387" i="6"/>
  <c r="EL389" i="6"/>
  <c r="EP389" i="6"/>
  <c r="EO389" i="6"/>
  <c r="EM389" i="6"/>
  <c r="BL396" i="5"/>
  <c r="BM395" i="5"/>
  <c r="BL395" i="5"/>
  <c r="ER389" i="6"/>
  <c r="EN389" i="6"/>
  <c r="FE390" i="6"/>
  <c r="FG390" i="6"/>
  <c r="FI390" i="6"/>
  <c r="FF390" i="6"/>
  <c r="FH390" i="6"/>
  <c r="FB390" i="6"/>
  <c r="FD390" i="6"/>
  <c r="FC390" i="6"/>
  <c r="BJ400" i="5"/>
  <c r="AX401" i="5"/>
  <c r="BG400" i="5"/>
  <c r="ES388" i="6"/>
  <c r="EW388" i="6"/>
  <c r="EY388" i="6" s="1"/>
  <c r="FJ389" i="6"/>
  <c r="EK389" i="6"/>
  <c r="EQ389" i="6"/>
  <c r="EW389" i="6" l="1"/>
  <c r="EN390" i="6"/>
  <c r="ES389" i="6"/>
  <c r="EY389" i="6" s="1"/>
  <c r="BJ401" i="5"/>
  <c r="AX402" i="5"/>
  <c r="BG401" i="5"/>
  <c r="EQ390" i="6"/>
  <c r="GZ388" i="6"/>
  <c r="ET388" i="6"/>
  <c r="BK397" i="5"/>
  <c r="GX388" i="6"/>
  <c r="HA388" i="6"/>
  <c r="GT388" i="6"/>
  <c r="GW388" i="6"/>
  <c r="GU388" i="6"/>
  <c r="EL390" i="6"/>
  <c r="EM390" i="6"/>
  <c r="EK390" i="6"/>
  <c r="FJ390" i="6"/>
  <c r="EZ388" i="6"/>
  <c r="EO390" i="6"/>
  <c r="GV388" i="6"/>
  <c r="EP390" i="6"/>
  <c r="EX389" i="6"/>
  <c r="FD391" i="6"/>
  <c r="FF391" i="6"/>
  <c r="FG391" i="6"/>
  <c r="FC391" i="6"/>
  <c r="FE391" i="6"/>
  <c r="FH391" i="6"/>
  <c r="FI391" i="6"/>
  <c r="ER391" i="6" s="1"/>
  <c r="FB391" i="6"/>
  <c r="ER390" i="6"/>
  <c r="GY388" i="6"/>
  <c r="EW390" i="6" l="1"/>
  <c r="EZ389" i="6"/>
  <c r="GW389" i="6"/>
  <c r="EN391" i="6"/>
  <c r="EO391" i="6"/>
  <c r="BM397" i="5"/>
  <c r="BL397" i="5"/>
  <c r="EX390" i="6"/>
  <c r="EK391" i="6"/>
  <c r="FJ391" i="6"/>
  <c r="EQ391" i="6"/>
  <c r="EP391" i="6"/>
  <c r="FD392" i="6"/>
  <c r="FE392" i="6"/>
  <c r="FC392" i="6"/>
  <c r="FI392" i="6"/>
  <c r="FF392" i="6"/>
  <c r="FH392" i="6"/>
  <c r="FB392" i="6"/>
  <c r="FG392" i="6"/>
  <c r="EL391" i="6"/>
  <c r="EM391" i="6"/>
  <c r="BJ402" i="5"/>
  <c r="AX403" i="5"/>
  <c r="BG402" i="5"/>
  <c r="BK398" i="5"/>
  <c r="ET389" i="6"/>
  <c r="GU389" i="6"/>
  <c r="GY389" i="6"/>
  <c r="GX389" i="6"/>
  <c r="GV389" i="6"/>
  <c r="GZ389" i="6"/>
  <c r="GT389" i="6"/>
  <c r="ES390" i="6"/>
  <c r="GZ390" i="6" s="1"/>
  <c r="HA389" i="6"/>
  <c r="EM392" i="6" l="1"/>
  <c r="EN392" i="6"/>
  <c r="EL392" i="6"/>
  <c r="EX391" i="6"/>
  <c r="ES391" i="6"/>
  <c r="EY390" i="6"/>
  <c r="EZ390" i="6"/>
  <c r="EW391" i="6"/>
  <c r="BL398" i="5"/>
  <c r="BM398" i="5"/>
  <c r="FH393" i="6"/>
  <c r="FB393" i="6"/>
  <c r="FG393" i="6"/>
  <c r="FD393" i="6"/>
  <c r="FI393" i="6"/>
  <c r="FC393" i="6"/>
  <c r="FE393" i="6"/>
  <c r="FF393" i="6"/>
  <c r="EQ392" i="6"/>
  <c r="ER392" i="6"/>
  <c r="ET390" i="6"/>
  <c r="BK399" i="5"/>
  <c r="GT390" i="6"/>
  <c r="GY390" i="6"/>
  <c r="GX390" i="6"/>
  <c r="GW390" i="6"/>
  <c r="HA390" i="6"/>
  <c r="AX404" i="5"/>
  <c r="BJ403" i="5"/>
  <c r="BG403" i="5"/>
  <c r="GV390" i="6"/>
  <c r="EP392" i="6"/>
  <c r="EK392" i="6"/>
  <c r="FJ392" i="6"/>
  <c r="EO392" i="6"/>
  <c r="GU390" i="6"/>
  <c r="EY391" i="6" l="1"/>
  <c r="EX392" i="6"/>
  <c r="EW392" i="6"/>
  <c r="EN393" i="6"/>
  <c r="FJ393" i="6"/>
  <c r="EK393" i="6"/>
  <c r="AX405" i="5"/>
  <c r="BJ404" i="5"/>
  <c r="BG404" i="5"/>
  <c r="EO393" i="6"/>
  <c r="ER393" i="6"/>
  <c r="EP393" i="6"/>
  <c r="EZ391" i="6"/>
  <c r="EM393" i="6"/>
  <c r="EL393" i="6"/>
  <c r="ES392" i="6"/>
  <c r="EQ393" i="6"/>
  <c r="FF394" i="6"/>
  <c r="FD394" i="6"/>
  <c r="FG394" i="6"/>
  <c r="FE394" i="6"/>
  <c r="FH394" i="6"/>
  <c r="FI394" i="6"/>
  <c r="ER394" i="6" s="1"/>
  <c r="FB394" i="6"/>
  <c r="FC394" i="6"/>
  <c r="HA391" i="6"/>
  <c r="ET391" i="6"/>
  <c r="BK400" i="5"/>
  <c r="GU391" i="6"/>
  <c r="GZ391" i="6"/>
  <c r="GX391" i="6"/>
  <c r="GV391" i="6"/>
  <c r="GT391" i="6"/>
  <c r="GW391" i="6"/>
  <c r="GY391" i="6"/>
  <c r="BL399" i="5"/>
  <c r="BM399" i="5"/>
  <c r="EZ392" i="6" l="1"/>
  <c r="BM400" i="5"/>
  <c r="BL400" i="5"/>
  <c r="FC395" i="6"/>
  <c r="FF395" i="6"/>
  <c r="FB395" i="6"/>
  <c r="FD395" i="6"/>
  <c r="FE395" i="6"/>
  <c r="FI395" i="6"/>
  <c r="FH395" i="6"/>
  <c r="FG395" i="6"/>
  <c r="BJ405" i="5"/>
  <c r="AX406" i="5"/>
  <c r="BG405" i="5"/>
  <c r="EY392" i="6"/>
  <c r="BK401" i="5"/>
  <c r="ET392" i="6"/>
  <c r="HA392" i="6"/>
  <c r="GW392" i="6"/>
  <c r="GV392" i="6"/>
  <c r="GT392" i="6"/>
  <c r="GY392" i="6"/>
  <c r="EN394" i="6"/>
  <c r="EW393" i="6"/>
  <c r="EL394" i="6"/>
  <c r="FJ394" i="6"/>
  <c r="EK394" i="6"/>
  <c r="EQ394" i="6"/>
  <c r="ES393" i="6"/>
  <c r="EP394" i="6"/>
  <c r="EM394" i="6"/>
  <c r="EO394" i="6"/>
  <c r="GU392" i="6"/>
  <c r="GZ392" i="6"/>
  <c r="EX393" i="6"/>
  <c r="EZ393" i="6" s="1"/>
  <c r="GX392" i="6"/>
  <c r="EP395" i="6" l="1"/>
  <c r="FG396" i="6"/>
  <c r="FH396" i="6"/>
  <c r="FD396" i="6"/>
  <c r="FE396" i="6"/>
  <c r="FF396" i="6"/>
  <c r="FB396" i="6"/>
  <c r="FI396" i="6"/>
  <c r="FC396" i="6"/>
  <c r="EQ395" i="6"/>
  <c r="EM395" i="6"/>
  <c r="BM401" i="5"/>
  <c r="BL401" i="5"/>
  <c r="BJ406" i="5"/>
  <c r="AX407" i="5"/>
  <c r="BG406" i="5"/>
  <c r="GT393" i="6"/>
  <c r="ET393" i="6"/>
  <c r="BK402" i="5"/>
  <c r="GZ393" i="6"/>
  <c r="HA393" i="6"/>
  <c r="GV393" i="6"/>
  <c r="GU393" i="6"/>
  <c r="GW393" i="6"/>
  <c r="GY393" i="6"/>
  <c r="ER395" i="6"/>
  <c r="ES394" i="6"/>
  <c r="EK395" i="6"/>
  <c r="FJ395" i="6"/>
  <c r="EX394" i="6"/>
  <c r="EN395" i="6"/>
  <c r="EO395" i="6"/>
  <c r="EL395" i="6"/>
  <c r="EY393" i="6"/>
  <c r="EW394" i="6"/>
  <c r="GX393" i="6"/>
  <c r="EZ394" i="6" l="1"/>
  <c r="EW395" i="6"/>
  <c r="FF397" i="6"/>
  <c r="FB397" i="6"/>
  <c r="FG397" i="6"/>
  <c r="FC397" i="6"/>
  <c r="FD397" i="6"/>
  <c r="FE397" i="6"/>
  <c r="FH397" i="6"/>
  <c r="FI397" i="6"/>
  <c r="ES395" i="6"/>
  <c r="HA394" i="6"/>
  <c r="BK403" i="5"/>
  <c r="ET394" i="6"/>
  <c r="GZ394" i="6"/>
  <c r="GW394" i="6"/>
  <c r="GV394" i="6"/>
  <c r="GU394" i="6"/>
  <c r="GT394" i="6"/>
  <c r="EM396" i="6"/>
  <c r="BJ407" i="5"/>
  <c r="AX408" i="5"/>
  <c r="BG407" i="5"/>
  <c r="EL396" i="6"/>
  <c r="EK396" i="6"/>
  <c r="FJ396" i="6"/>
  <c r="EN396" i="6"/>
  <c r="EP396" i="6"/>
  <c r="BM402" i="5"/>
  <c r="BL402" i="5"/>
  <c r="GY394" i="6"/>
  <c r="EX395" i="6"/>
  <c r="ER396" i="6"/>
  <c r="EO396" i="6"/>
  <c r="EQ396" i="6"/>
  <c r="EY394" i="6"/>
  <c r="GX394" i="6"/>
  <c r="EZ395" i="6" l="1"/>
  <c r="BJ408" i="5"/>
  <c r="AX409" i="5"/>
  <c r="BG408" i="5"/>
  <c r="EX396" i="6"/>
  <c r="ET395" i="6"/>
  <c r="BK404" i="5"/>
  <c r="GY395" i="6"/>
  <c r="GT395" i="6"/>
  <c r="GZ395" i="6"/>
  <c r="GV395" i="6"/>
  <c r="GW395" i="6"/>
  <c r="GX395" i="6"/>
  <c r="HA395" i="6"/>
  <c r="EP397" i="6"/>
  <c r="EQ397" i="6"/>
  <c r="ES396" i="6"/>
  <c r="GU396" i="6" s="1"/>
  <c r="EK397" i="6"/>
  <c r="FJ397" i="6"/>
  <c r="ER397" i="6"/>
  <c r="EN397" i="6"/>
  <c r="EM397" i="6"/>
  <c r="EY395" i="6"/>
  <c r="EO397" i="6"/>
  <c r="BM403" i="5"/>
  <c r="BL403" i="5"/>
  <c r="EW396" i="6"/>
  <c r="EL397" i="6"/>
  <c r="FI398" i="6"/>
  <c r="FC398" i="6"/>
  <c r="FH398" i="6"/>
  <c r="EQ398" i="6" s="1"/>
  <c r="FD398" i="6"/>
  <c r="FB398" i="6"/>
  <c r="FG398" i="6"/>
  <c r="FE398" i="6"/>
  <c r="FF398" i="6"/>
  <c r="GU395" i="6"/>
  <c r="EX397" i="6" l="1"/>
  <c r="EM398" i="6"/>
  <c r="FC399" i="6"/>
  <c r="FF399" i="6"/>
  <c r="FB399" i="6"/>
  <c r="FH399" i="6"/>
  <c r="FG399" i="6"/>
  <c r="FD399" i="6"/>
  <c r="FE399" i="6"/>
  <c r="FI399" i="6"/>
  <c r="HA396" i="6"/>
  <c r="EK398" i="6"/>
  <c r="FJ398" i="6"/>
  <c r="ER398" i="6"/>
  <c r="EZ396" i="6"/>
  <c r="BK405" i="5"/>
  <c r="ET396" i="6"/>
  <c r="GZ396" i="6"/>
  <c r="GW396" i="6"/>
  <c r="GY396" i="6"/>
  <c r="GT396" i="6"/>
  <c r="EL398" i="6"/>
  <c r="ES397" i="6"/>
  <c r="GZ397" i="6" s="1"/>
  <c r="EW397" i="6"/>
  <c r="EN398" i="6"/>
  <c r="GX396" i="6"/>
  <c r="EY396" i="6"/>
  <c r="BM404" i="5"/>
  <c r="BL404" i="5"/>
  <c r="BJ409" i="5"/>
  <c r="AX410" i="5"/>
  <c r="BG409" i="5"/>
  <c r="EO398" i="6"/>
  <c r="EP398" i="6"/>
  <c r="GV396" i="6"/>
  <c r="EW398" i="6" l="1"/>
  <c r="EY397" i="6"/>
  <c r="EX398" i="6"/>
  <c r="BG410" i="5"/>
  <c r="BJ410" i="5"/>
  <c r="AX411" i="5"/>
  <c r="EQ399" i="6"/>
  <c r="ES398" i="6"/>
  <c r="EN399" i="6"/>
  <c r="EP399" i="6"/>
  <c r="ET397" i="6"/>
  <c r="BK406" i="5"/>
  <c r="GX397" i="6"/>
  <c r="GU397" i="6"/>
  <c r="HA397" i="6"/>
  <c r="GW397" i="6"/>
  <c r="GT397" i="6"/>
  <c r="GV397" i="6"/>
  <c r="EO399" i="6"/>
  <c r="ER399" i="6"/>
  <c r="EL399" i="6"/>
  <c r="EZ397" i="6"/>
  <c r="BL405" i="5"/>
  <c r="BM405" i="5"/>
  <c r="FE400" i="6"/>
  <c r="FH400" i="6"/>
  <c r="FD400" i="6"/>
  <c r="FG400" i="6"/>
  <c r="FI400" i="6"/>
  <c r="FB400" i="6"/>
  <c r="FF400" i="6"/>
  <c r="FC400" i="6"/>
  <c r="EM399" i="6"/>
  <c r="EK399" i="6"/>
  <c r="FJ399" i="6"/>
  <c r="GY397" i="6"/>
  <c r="EZ398" i="6" l="1"/>
  <c r="EO400" i="6"/>
  <c r="ER400" i="6"/>
  <c r="EL400" i="6"/>
  <c r="BM406" i="5"/>
  <c r="BL406" i="5"/>
  <c r="EP400" i="6"/>
  <c r="EQ400" i="6"/>
  <c r="EW399" i="6"/>
  <c r="EX399" i="6"/>
  <c r="FE401" i="6"/>
  <c r="FF401" i="6"/>
  <c r="FH401" i="6"/>
  <c r="EQ401" i="6" s="1"/>
  <c r="FB401" i="6"/>
  <c r="FD401" i="6"/>
  <c r="FC401" i="6"/>
  <c r="FI401" i="6"/>
  <c r="FG401" i="6"/>
  <c r="EN400" i="6"/>
  <c r="BJ411" i="5"/>
  <c r="AX412" i="5"/>
  <c r="BG411" i="5"/>
  <c r="ES399" i="6"/>
  <c r="GZ399" i="6" s="1"/>
  <c r="EK400" i="6"/>
  <c r="FJ400" i="6"/>
  <c r="EM400" i="6"/>
  <c r="GZ398" i="6"/>
  <c r="ET398" i="6"/>
  <c r="BK407" i="5"/>
  <c r="GV398" i="6"/>
  <c r="GU398" i="6"/>
  <c r="GT398" i="6"/>
  <c r="GW398" i="6"/>
  <c r="GX398" i="6"/>
  <c r="GY398" i="6"/>
  <c r="EY398" i="6"/>
  <c r="HA398" i="6"/>
  <c r="EZ399" i="6" l="1"/>
  <c r="EY399" i="6"/>
  <c r="EX400" i="6"/>
  <c r="EP401" i="6"/>
  <c r="EM401" i="6"/>
  <c r="EN401" i="6"/>
  <c r="ER401" i="6"/>
  <c r="ES400" i="6"/>
  <c r="BK408" i="5"/>
  <c r="ET399" i="6"/>
  <c r="GU399" i="6"/>
  <c r="HA399" i="6"/>
  <c r="GV399" i="6"/>
  <c r="GT399" i="6"/>
  <c r="GW399" i="6"/>
  <c r="GX399" i="6"/>
  <c r="GY399" i="6"/>
  <c r="BL407" i="5"/>
  <c r="BM407" i="5"/>
  <c r="FD402" i="6"/>
  <c r="FG402" i="6"/>
  <c r="FC402" i="6"/>
  <c r="FF402" i="6"/>
  <c r="FE402" i="6"/>
  <c r="FB402" i="6"/>
  <c r="FI402" i="6"/>
  <c r="ER402" i="6" s="1"/>
  <c r="FH402" i="6"/>
  <c r="EK401" i="6"/>
  <c r="FJ401" i="6"/>
  <c r="BJ412" i="5"/>
  <c r="AX413" i="5"/>
  <c r="BG412" i="5"/>
  <c r="EL401" i="6"/>
  <c r="EO401" i="6"/>
  <c r="EW400" i="6"/>
  <c r="EX401" i="6" l="1"/>
  <c r="EZ400" i="6"/>
  <c r="FD403" i="6"/>
  <c r="FF403" i="6"/>
  <c r="FH403" i="6"/>
  <c r="EQ403" i="6" s="1"/>
  <c r="FE403" i="6"/>
  <c r="FG403" i="6"/>
  <c r="FC403" i="6"/>
  <c r="FI403" i="6"/>
  <c r="FB403" i="6"/>
  <c r="EO402" i="6"/>
  <c r="BM408" i="5"/>
  <c r="BL408" i="5"/>
  <c r="EN402" i="6"/>
  <c r="EW401" i="6"/>
  <c r="EY400" i="6"/>
  <c r="ET400" i="6"/>
  <c r="BK409" i="5"/>
  <c r="GU400" i="6"/>
  <c r="GY400" i="6"/>
  <c r="GX400" i="6"/>
  <c r="GW400" i="6"/>
  <c r="GT400" i="6"/>
  <c r="GZ400" i="6"/>
  <c r="GV400" i="6"/>
  <c r="HA400" i="6"/>
  <c r="EQ402" i="6"/>
  <c r="EK402" i="6"/>
  <c r="FJ402" i="6"/>
  <c r="EP402" i="6"/>
  <c r="BJ413" i="5"/>
  <c r="AX414" i="5"/>
  <c r="BG413" i="5"/>
  <c r="ES401" i="6"/>
  <c r="EL402" i="6"/>
  <c r="EM402" i="6"/>
  <c r="BJ414" i="5" l="1"/>
  <c r="AX415" i="5"/>
  <c r="BG414" i="5"/>
  <c r="BM409" i="5"/>
  <c r="BL409" i="5"/>
  <c r="EY401" i="6"/>
  <c r="EW402" i="6"/>
  <c r="ES402" i="6"/>
  <c r="FC404" i="6"/>
  <c r="FF404" i="6"/>
  <c r="FD404" i="6"/>
  <c r="FH404" i="6"/>
  <c r="FI404" i="6"/>
  <c r="FG404" i="6"/>
  <c r="EP404" i="6" s="1"/>
  <c r="FB404" i="6"/>
  <c r="FE404" i="6"/>
  <c r="ER403" i="6"/>
  <c r="EM403" i="6"/>
  <c r="BK410" i="5"/>
  <c r="ET401" i="6"/>
  <c r="GV401" i="6"/>
  <c r="GW401" i="6"/>
  <c r="HA401" i="6"/>
  <c r="GY401" i="6"/>
  <c r="GT401" i="6"/>
  <c r="GX401" i="6"/>
  <c r="EK403" i="6"/>
  <c r="FJ403" i="6"/>
  <c r="EX402" i="6"/>
  <c r="EZ401" i="6"/>
  <c r="GZ401" i="6"/>
  <c r="EL403" i="6"/>
  <c r="EP403" i="6"/>
  <c r="EN403" i="6"/>
  <c r="EO403" i="6"/>
  <c r="GU401" i="6"/>
  <c r="EX403" i="6" l="1"/>
  <c r="EY402" i="6"/>
  <c r="EZ402" i="6"/>
  <c r="EO404" i="6"/>
  <c r="BL410" i="5"/>
  <c r="BM410" i="5"/>
  <c r="EW403" i="6"/>
  <c r="EK404" i="6"/>
  <c r="FJ404" i="6"/>
  <c r="FH405" i="6"/>
  <c r="FI405" i="6"/>
  <c r="FC405" i="6"/>
  <c r="FB405" i="6"/>
  <c r="FG405" i="6"/>
  <c r="FE405" i="6"/>
  <c r="FF405" i="6"/>
  <c r="FD405" i="6"/>
  <c r="EQ404" i="6"/>
  <c r="EL404" i="6"/>
  <c r="HA402" i="6"/>
  <c r="BK411" i="5"/>
  <c r="ET402" i="6"/>
  <c r="GX402" i="6"/>
  <c r="GT402" i="6"/>
  <c r="GU402" i="6"/>
  <c r="GZ402" i="6"/>
  <c r="GY402" i="6"/>
  <c r="GW402" i="6"/>
  <c r="GV402" i="6"/>
  <c r="AX416" i="5"/>
  <c r="BJ415" i="5"/>
  <c r="BG415" i="5"/>
  <c r="EN404" i="6"/>
  <c r="ER404" i="6"/>
  <c r="EM404" i="6"/>
  <c r="ES403" i="6"/>
  <c r="EZ403" i="6" l="1"/>
  <c r="EP405" i="6"/>
  <c r="EM405" i="6"/>
  <c r="EK405" i="6"/>
  <c r="FJ405" i="6"/>
  <c r="AX417" i="5"/>
  <c r="BJ416" i="5"/>
  <c r="BG416" i="5"/>
  <c r="EY403" i="6"/>
  <c r="EX404" i="6"/>
  <c r="EO405" i="6"/>
  <c r="FB406" i="6"/>
  <c r="FI406" i="6"/>
  <c r="FD406" i="6"/>
  <c r="FE406" i="6"/>
  <c r="FF406" i="6"/>
  <c r="FC406" i="6"/>
  <c r="FH406" i="6"/>
  <c r="FG406" i="6"/>
  <c r="BM411" i="5"/>
  <c r="BL411" i="5"/>
  <c r="ER405" i="6"/>
  <c r="GZ403" i="6"/>
  <c r="ES404" i="6"/>
  <c r="GT403" i="6"/>
  <c r="BK412" i="5"/>
  <c r="ET403" i="6"/>
  <c r="GU403" i="6"/>
  <c r="GY403" i="6"/>
  <c r="GW403" i="6"/>
  <c r="GV403" i="6"/>
  <c r="GX403" i="6"/>
  <c r="EN405" i="6"/>
  <c r="EW404" i="6"/>
  <c r="EL405" i="6"/>
  <c r="EQ405" i="6"/>
  <c r="HA403" i="6"/>
  <c r="EY404" i="6" l="1"/>
  <c r="EW405" i="6"/>
  <c r="EZ404" i="6"/>
  <c r="EX405" i="6"/>
  <c r="EM406" i="6"/>
  <c r="EK406" i="6"/>
  <c r="FJ406" i="6"/>
  <c r="BJ417" i="5"/>
  <c r="AX418" i="5"/>
  <c r="BG417" i="5"/>
  <c r="GY404" i="6"/>
  <c r="ET404" i="6"/>
  <c r="BK413" i="5"/>
  <c r="GX404" i="6"/>
  <c r="HA404" i="6"/>
  <c r="GW404" i="6"/>
  <c r="GT404" i="6"/>
  <c r="GZ404" i="6"/>
  <c r="EL406" i="6"/>
  <c r="EN406" i="6"/>
  <c r="EW406" i="6" s="1"/>
  <c r="ER406" i="6"/>
  <c r="EP406" i="6"/>
  <c r="GV404" i="6"/>
  <c r="EO406" i="6"/>
  <c r="FF407" i="6"/>
  <c r="FD407" i="6"/>
  <c r="FB407" i="6"/>
  <c r="FI407" i="6"/>
  <c r="FC407" i="6"/>
  <c r="FH407" i="6"/>
  <c r="FG407" i="6"/>
  <c r="FE407" i="6"/>
  <c r="BL412" i="5"/>
  <c r="BM412" i="5"/>
  <c r="ES405" i="6"/>
  <c r="GZ405" i="6" s="1"/>
  <c r="EQ406" i="6"/>
  <c r="GU404" i="6"/>
  <c r="EX406" i="6" l="1"/>
  <c r="EL407" i="6"/>
  <c r="ET405" i="6"/>
  <c r="BK414" i="5"/>
  <c r="GV405" i="6"/>
  <c r="GX405" i="6"/>
  <c r="GT405" i="6"/>
  <c r="HA405" i="6"/>
  <c r="GU405" i="6"/>
  <c r="GY405" i="6"/>
  <c r="ER407" i="6"/>
  <c r="EM407" i="6"/>
  <c r="EZ406" i="6"/>
  <c r="EN407" i="6"/>
  <c r="EW407" i="6" s="1"/>
  <c r="EQ407" i="6"/>
  <c r="BJ418" i="5"/>
  <c r="AX419" i="5"/>
  <c r="BG418" i="5"/>
  <c r="EY405" i="6"/>
  <c r="EP407" i="6"/>
  <c r="BM413" i="5"/>
  <c r="BL413" i="5"/>
  <c r="EK407" i="6"/>
  <c r="FJ407" i="6"/>
  <c r="ES406" i="6"/>
  <c r="GW406" i="6" s="1"/>
  <c r="EZ405" i="6"/>
  <c r="FB408" i="6"/>
  <c r="FD408" i="6"/>
  <c r="FF408" i="6"/>
  <c r="FC408" i="6"/>
  <c r="FE408" i="6"/>
  <c r="EN408" i="6" s="1"/>
  <c r="FG408" i="6"/>
  <c r="FH408" i="6"/>
  <c r="FI408" i="6"/>
  <c r="EO407" i="6"/>
  <c r="GW405" i="6"/>
  <c r="EX407" i="6" l="1"/>
  <c r="EO408" i="6"/>
  <c r="GZ406" i="6"/>
  <c r="ER408" i="6"/>
  <c r="EQ408" i="6"/>
  <c r="EP408" i="6"/>
  <c r="EL408" i="6"/>
  <c r="EM408" i="6"/>
  <c r="EW408" i="6" s="1"/>
  <c r="ES407" i="6"/>
  <c r="GY407" i="6" s="1"/>
  <c r="EK408" i="6"/>
  <c r="FJ408" i="6"/>
  <c r="BM414" i="5"/>
  <c r="BL414" i="5"/>
  <c r="FG409" i="6"/>
  <c r="FF409" i="6"/>
  <c r="FB409" i="6"/>
  <c r="FD409" i="6"/>
  <c r="FC409" i="6"/>
  <c r="FE409" i="6"/>
  <c r="FH409" i="6"/>
  <c r="FI409" i="6"/>
  <c r="BJ419" i="5"/>
  <c r="AX420" i="5"/>
  <c r="BG419" i="5"/>
  <c r="BK415" i="5"/>
  <c r="ET406" i="6"/>
  <c r="HA406" i="6"/>
  <c r="GY406" i="6"/>
  <c r="GT406" i="6"/>
  <c r="GV406" i="6"/>
  <c r="GX406" i="6"/>
  <c r="EY406" i="6"/>
  <c r="GU406" i="6"/>
  <c r="ES408" i="6" l="1"/>
  <c r="GT408" i="6"/>
  <c r="HA408" i="6"/>
  <c r="EY408" i="6"/>
  <c r="EY407" i="6"/>
  <c r="GV408" i="6"/>
  <c r="BL415" i="5"/>
  <c r="BM415" i="5"/>
  <c r="GZ408" i="6"/>
  <c r="EQ409" i="6"/>
  <c r="FJ409" i="6"/>
  <c r="EK409" i="6"/>
  <c r="FH410" i="6"/>
  <c r="FG410" i="6"/>
  <c r="FB410" i="6"/>
  <c r="FF410" i="6"/>
  <c r="FE410" i="6"/>
  <c r="FC410" i="6"/>
  <c r="FI410" i="6"/>
  <c r="FD410" i="6"/>
  <c r="GY408" i="6"/>
  <c r="EL409" i="6"/>
  <c r="EO409" i="6"/>
  <c r="GW408" i="6"/>
  <c r="BK417" i="5"/>
  <c r="ET408" i="6"/>
  <c r="ER409" i="6"/>
  <c r="EN409" i="6"/>
  <c r="EP409" i="6"/>
  <c r="ET407" i="6"/>
  <c r="BK416" i="5"/>
  <c r="GT407" i="6"/>
  <c r="GW407" i="6"/>
  <c r="GZ407" i="6"/>
  <c r="GX407" i="6"/>
  <c r="GV407" i="6"/>
  <c r="GU407" i="6"/>
  <c r="GU408" i="6"/>
  <c r="BJ420" i="5"/>
  <c r="AX421" i="5"/>
  <c r="BG420" i="5"/>
  <c r="EX408" i="6"/>
  <c r="EZ408" i="6" s="1"/>
  <c r="EM409" i="6"/>
  <c r="GX408" i="6"/>
  <c r="EZ407" i="6"/>
  <c r="HA407" i="6"/>
  <c r="EW409" i="6" l="1"/>
  <c r="EO410" i="6"/>
  <c r="ES409" i="6"/>
  <c r="ER410" i="6"/>
  <c r="EN410" i="6"/>
  <c r="FJ410" i="6"/>
  <c r="EK410" i="6"/>
  <c r="BJ421" i="5"/>
  <c r="AX422" i="5"/>
  <c r="BG421" i="5"/>
  <c r="EL410" i="6"/>
  <c r="EQ410" i="6"/>
  <c r="FD411" i="6"/>
  <c r="FG411" i="6"/>
  <c r="EP411" i="6" s="1"/>
  <c r="FC411" i="6"/>
  <c r="FI411" i="6"/>
  <c r="FE411" i="6"/>
  <c r="FF411" i="6"/>
  <c r="FH411" i="6"/>
  <c r="FB411" i="6"/>
  <c r="EP410" i="6"/>
  <c r="GT409" i="6"/>
  <c r="BL417" i="5"/>
  <c r="BM417" i="5"/>
  <c r="EM410" i="6"/>
  <c r="BM416" i="5"/>
  <c r="BL416" i="5"/>
  <c r="EX409" i="6"/>
  <c r="EY409" i="6" l="1"/>
  <c r="EZ409" i="6"/>
  <c r="EX410" i="6"/>
  <c r="ES410" i="6"/>
  <c r="GT410" i="6" s="1"/>
  <c r="EN411" i="6"/>
  <c r="FG412" i="6"/>
  <c r="FF412" i="6"/>
  <c r="FH412" i="6"/>
  <c r="EQ412" i="6" s="1"/>
  <c r="FC412" i="6"/>
  <c r="FD412" i="6"/>
  <c r="FE412" i="6"/>
  <c r="FB412" i="6"/>
  <c r="FI412" i="6"/>
  <c r="EK411" i="6"/>
  <c r="FJ411" i="6"/>
  <c r="ER411" i="6"/>
  <c r="EW410" i="6"/>
  <c r="EL411" i="6"/>
  <c r="EM411" i="6"/>
  <c r="BJ422" i="5"/>
  <c r="AX423" i="5"/>
  <c r="BG422" i="5"/>
  <c r="BK418" i="5"/>
  <c r="ET409" i="6"/>
  <c r="GV409" i="6"/>
  <c r="GW409" i="6"/>
  <c r="GY409" i="6"/>
  <c r="HA409" i="6"/>
  <c r="GZ409" i="6"/>
  <c r="GX409" i="6"/>
  <c r="GU409" i="6"/>
  <c r="EQ411" i="6"/>
  <c r="EO411" i="6"/>
  <c r="EZ410" i="6" l="1"/>
  <c r="EY410" i="6"/>
  <c r="EW411" i="6"/>
  <c r="EL412" i="6"/>
  <c r="ER412" i="6"/>
  <c r="EN412" i="6"/>
  <c r="FF413" i="6"/>
  <c r="FG413" i="6"/>
  <c r="FD413" i="6"/>
  <c r="FE413" i="6"/>
  <c r="FB413" i="6"/>
  <c r="FC413" i="6"/>
  <c r="FI413" i="6"/>
  <c r="ER413" i="6" s="1"/>
  <c r="FH413" i="6"/>
  <c r="ES411" i="6"/>
  <c r="EY411" i="6" s="1"/>
  <c r="BL418" i="5"/>
  <c r="BM418" i="5"/>
  <c r="EP412" i="6"/>
  <c r="EX412" i="6" s="1"/>
  <c r="BK419" i="5"/>
  <c r="ET410" i="6"/>
  <c r="GY410" i="6"/>
  <c r="GW410" i="6"/>
  <c r="GX410" i="6"/>
  <c r="HA410" i="6"/>
  <c r="GV410" i="6"/>
  <c r="GZ410" i="6"/>
  <c r="EX411" i="6"/>
  <c r="EK412" i="6"/>
  <c r="FJ412" i="6"/>
  <c r="EM412" i="6"/>
  <c r="EO412" i="6"/>
  <c r="BJ423" i="5"/>
  <c r="AX424" i="5"/>
  <c r="BG423" i="5"/>
  <c r="GU410" i="6"/>
  <c r="FG414" i="6" l="1"/>
  <c r="FF414" i="6"/>
  <c r="FE414" i="6"/>
  <c r="FH414" i="6"/>
  <c r="FC414" i="6"/>
  <c r="FD414" i="6"/>
  <c r="FB414" i="6"/>
  <c r="FI414" i="6"/>
  <c r="EM413" i="6"/>
  <c r="EK413" i="6"/>
  <c r="FJ413" i="6"/>
  <c r="ET411" i="6"/>
  <c r="BK420" i="5"/>
  <c r="GW411" i="6"/>
  <c r="GV411" i="6"/>
  <c r="GZ411" i="6"/>
  <c r="GX411" i="6"/>
  <c r="GT411" i="6"/>
  <c r="HA411" i="6"/>
  <c r="GY411" i="6"/>
  <c r="EL413" i="6"/>
  <c r="ES412" i="6"/>
  <c r="GX412" i="6" s="1"/>
  <c r="EZ411" i="6"/>
  <c r="EN413" i="6"/>
  <c r="EP413" i="6"/>
  <c r="BJ424" i="5"/>
  <c r="AX425" i="5"/>
  <c r="BG424" i="5"/>
  <c r="EQ413" i="6"/>
  <c r="EO413" i="6"/>
  <c r="EW412" i="6"/>
  <c r="BL419" i="5"/>
  <c r="BM419" i="5"/>
  <c r="GU411" i="6"/>
  <c r="EY412" i="6" l="1"/>
  <c r="GZ412" i="6"/>
  <c r="EM414" i="6"/>
  <c r="EX413" i="6"/>
  <c r="FF415" i="6"/>
  <c r="FD415" i="6"/>
  <c r="FE415" i="6"/>
  <c r="FG415" i="6"/>
  <c r="FI415" i="6"/>
  <c r="FH415" i="6"/>
  <c r="FB415" i="6"/>
  <c r="FC415" i="6"/>
  <c r="BM420" i="5"/>
  <c r="BL420" i="5"/>
  <c r="ES413" i="6"/>
  <c r="GZ413" i="6" s="1"/>
  <c r="EL414" i="6"/>
  <c r="EN414" i="6"/>
  <c r="EW414" i="6" s="1"/>
  <c r="BJ425" i="5"/>
  <c r="AX426" i="5"/>
  <c r="BG425" i="5"/>
  <c r="ER414" i="6"/>
  <c r="FJ414" i="6"/>
  <c r="EK414" i="6"/>
  <c r="EW413" i="6"/>
  <c r="EQ414" i="6"/>
  <c r="ET412" i="6"/>
  <c r="BK421" i="5"/>
  <c r="HA412" i="6"/>
  <c r="GT412" i="6"/>
  <c r="GV412" i="6"/>
  <c r="GU412" i="6"/>
  <c r="GW412" i="6"/>
  <c r="GY412" i="6"/>
  <c r="EO414" i="6"/>
  <c r="EP414" i="6"/>
  <c r="EZ412" i="6"/>
  <c r="FF416" i="6" l="1"/>
  <c r="FH416" i="6"/>
  <c r="FD416" i="6"/>
  <c r="FB416" i="6"/>
  <c r="FG416" i="6"/>
  <c r="FE416" i="6"/>
  <c r="FI416" i="6"/>
  <c r="FC416" i="6"/>
  <c r="EQ415" i="6"/>
  <c r="EY413" i="6"/>
  <c r="EK415" i="6"/>
  <c r="FJ415" i="6"/>
  <c r="ER415" i="6"/>
  <c r="EM415" i="6"/>
  <c r="BJ426" i="5"/>
  <c r="AX427" i="5"/>
  <c r="BG426" i="5"/>
  <c r="HA413" i="6"/>
  <c r="ET413" i="6"/>
  <c r="BK422" i="5"/>
  <c r="GW413" i="6"/>
  <c r="GU413" i="6"/>
  <c r="GY413" i="6"/>
  <c r="GV413" i="6"/>
  <c r="GT413" i="6"/>
  <c r="GX413" i="6"/>
  <c r="EL415" i="6"/>
  <c r="EP415" i="6"/>
  <c r="ES414" i="6"/>
  <c r="BL421" i="5"/>
  <c r="BM421" i="5"/>
  <c r="EX414" i="6"/>
  <c r="EN415" i="6"/>
  <c r="EO415" i="6"/>
  <c r="EZ413" i="6"/>
  <c r="EZ414" i="6" l="1"/>
  <c r="EW415" i="6"/>
  <c r="AX428" i="5"/>
  <c r="BJ427" i="5"/>
  <c r="BG427" i="5"/>
  <c r="EX415" i="6"/>
  <c r="FG417" i="6"/>
  <c r="FF417" i="6"/>
  <c r="FH417" i="6"/>
  <c r="FD417" i="6"/>
  <c r="FB417" i="6"/>
  <c r="FI417" i="6"/>
  <c r="FE417" i="6"/>
  <c r="FC417" i="6"/>
  <c r="ES415" i="6"/>
  <c r="GZ415" i="6" s="1"/>
  <c r="ET414" i="6"/>
  <c r="BK423" i="5"/>
  <c r="HA414" i="6"/>
  <c r="GV414" i="6"/>
  <c r="GT414" i="6"/>
  <c r="GZ414" i="6"/>
  <c r="GW414" i="6"/>
  <c r="GX414" i="6"/>
  <c r="GY414" i="6"/>
  <c r="EL416" i="6"/>
  <c r="EK416" i="6"/>
  <c r="FJ416" i="6"/>
  <c r="ER416" i="6"/>
  <c r="EN416" i="6"/>
  <c r="EM416" i="6"/>
  <c r="EO416" i="6"/>
  <c r="EP416" i="6"/>
  <c r="BL422" i="5"/>
  <c r="BM422" i="5"/>
  <c r="EQ416" i="6"/>
  <c r="EY414" i="6"/>
  <c r="GU414" i="6"/>
  <c r="EX416" i="6" l="1"/>
  <c r="EQ417" i="6"/>
  <c r="EK417" i="6"/>
  <c r="FJ417" i="6"/>
  <c r="EN417" i="6"/>
  <c r="ER417" i="6"/>
  <c r="EP417" i="6"/>
  <c r="FE418" i="6"/>
  <c r="FD418" i="6"/>
  <c r="FH418" i="6"/>
  <c r="FB418" i="6"/>
  <c r="FC418" i="6"/>
  <c r="FG418" i="6"/>
  <c r="FF418" i="6"/>
  <c r="FI418" i="6"/>
  <c r="BL423" i="5"/>
  <c r="BM423" i="5"/>
  <c r="EL417" i="6"/>
  <c r="EM417" i="6"/>
  <c r="EZ415" i="6"/>
  <c r="ET415" i="6"/>
  <c r="BK424" i="5"/>
  <c r="GU415" i="6"/>
  <c r="GY415" i="6"/>
  <c r="GV415" i="6"/>
  <c r="GT415" i="6"/>
  <c r="HA415" i="6"/>
  <c r="GW415" i="6"/>
  <c r="GX415" i="6"/>
  <c r="EW416" i="6"/>
  <c r="EO417" i="6"/>
  <c r="ES416" i="6"/>
  <c r="EY415" i="6"/>
  <c r="BJ428" i="5"/>
  <c r="AX429" i="5"/>
  <c r="BG428" i="5"/>
  <c r="EZ416" i="6" l="1"/>
  <c r="EW417" i="6"/>
  <c r="BK425" i="5"/>
  <c r="ET416" i="6"/>
  <c r="GT416" i="6"/>
  <c r="GW416" i="6"/>
  <c r="GZ416" i="6"/>
  <c r="GU416" i="6"/>
  <c r="HA416" i="6"/>
  <c r="GV416" i="6"/>
  <c r="GX416" i="6"/>
  <c r="EK418" i="6"/>
  <c r="FJ418" i="6"/>
  <c r="EP418" i="6"/>
  <c r="EM418" i="6"/>
  <c r="EW418" i="6" s="1"/>
  <c r="BM424" i="5"/>
  <c r="BL424" i="5"/>
  <c r="BJ429" i="5"/>
  <c r="AX430" i="5"/>
  <c r="BG429" i="5"/>
  <c r="EL418" i="6"/>
  <c r="ER418" i="6"/>
  <c r="EY416" i="6"/>
  <c r="EN418" i="6"/>
  <c r="ES417" i="6"/>
  <c r="GW417" i="6" s="1"/>
  <c r="EX417" i="6"/>
  <c r="EO418" i="6"/>
  <c r="EQ418" i="6"/>
  <c r="FD419" i="6"/>
  <c r="FE419" i="6"/>
  <c r="FF419" i="6"/>
  <c r="FH419" i="6"/>
  <c r="FI419" i="6"/>
  <c r="FC419" i="6"/>
  <c r="FG419" i="6"/>
  <c r="FB419" i="6"/>
  <c r="GY416" i="6"/>
  <c r="EZ417" i="6" l="1"/>
  <c r="ER419" i="6"/>
  <c r="ET417" i="6"/>
  <c r="BK426" i="5"/>
  <c r="GZ417" i="6"/>
  <c r="GT417" i="6"/>
  <c r="GV417" i="6"/>
  <c r="HA417" i="6"/>
  <c r="GU417" i="6"/>
  <c r="EL419" i="6"/>
  <c r="EO419" i="6"/>
  <c r="EM419" i="6"/>
  <c r="BM425" i="5"/>
  <c r="BL425" i="5"/>
  <c r="BJ430" i="5"/>
  <c r="AX431" i="5"/>
  <c r="BG430" i="5"/>
  <c r="EX418" i="6"/>
  <c r="EY417" i="6"/>
  <c r="EK419" i="6"/>
  <c r="FJ419" i="6"/>
  <c r="GY417" i="6"/>
  <c r="EQ419" i="6"/>
  <c r="EN419" i="6"/>
  <c r="ES418" i="6"/>
  <c r="GV418" i="6" s="1"/>
  <c r="EP419" i="6"/>
  <c r="FF420" i="6"/>
  <c r="FC420" i="6"/>
  <c r="FE420" i="6"/>
  <c r="EN420" i="6" s="1"/>
  <c r="FI420" i="6"/>
  <c r="FD420" i="6"/>
  <c r="FB420" i="6"/>
  <c r="FH420" i="6"/>
  <c r="FG420" i="6"/>
  <c r="GX417" i="6"/>
  <c r="EP420" i="6" l="1"/>
  <c r="EO420" i="6"/>
  <c r="FD421" i="6"/>
  <c r="FG421" i="6"/>
  <c r="FC421" i="6"/>
  <c r="FH421" i="6"/>
  <c r="FI421" i="6"/>
  <c r="FB421" i="6"/>
  <c r="FE421" i="6"/>
  <c r="FF421" i="6"/>
  <c r="EL420" i="6"/>
  <c r="GZ418" i="6"/>
  <c r="BJ431" i="5"/>
  <c r="AX432" i="5"/>
  <c r="BG431" i="5"/>
  <c r="EX419" i="6"/>
  <c r="EM420" i="6"/>
  <c r="EW419" i="6"/>
  <c r="EQ420" i="6"/>
  <c r="FJ420" i="6"/>
  <c r="EK420" i="6"/>
  <c r="ER420" i="6"/>
  <c r="EY418" i="6"/>
  <c r="ET418" i="6"/>
  <c r="BK427" i="5"/>
  <c r="HA418" i="6"/>
  <c r="GW418" i="6"/>
  <c r="GU418" i="6"/>
  <c r="GX418" i="6"/>
  <c r="GT418" i="6"/>
  <c r="BM426" i="5"/>
  <c r="BL426" i="5"/>
  <c r="ES419" i="6"/>
  <c r="EZ418" i="6"/>
  <c r="GY418" i="6"/>
  <c r="EZ419" i="6" l="1"/>
  <c r="FB422" i="6"/>
  <c r="FH422" i="6"/>
  <c r="FC422" i="6"/>
  <c r="FF422" i="6"/>
  <c r="FI422" i="6"/>
  <c r="FD422" i="6"/>
  <c r="FE422" i="6"/>
  <c r="FG422" i="6"/>
  <c r="EO421" i="6"/>
  <c r="EP421" i="6"/>
  <c r="EW420" i="6"/>
  <c r="ER421" i="6"/>
  <c r="EY419" i="6"/>
  <c r="ET419" i="6"/>
  <c r="BK428" i="5"/>
  <c r="GW419" i="6"/>
  <c r="GV419" i="6"/>
  <c r="GT419" i="6"/>
  <c r="HA419" i="6"/>
  <c r="GX419" i="6"/>
  <c r="GZ419" i="6"/>
  <c r="GU419" i="6"/>
  <c r="BL427" i="5"/>
  <c r="BM427" i="5"/>
  <c r="EL421" i="6"/>
  <c r="ES420" i="6"/>
  <c r="BJ432" i="5"/>
  <c r="AX433" i="5"/>
  <c r="BG432" i="5"/>
  <c r="EN421" i="6"/>
  <c r="EK421" i="6"/>
  <c r="FJ421" i="6"/>
  <c r="EQ421" i="6"/>
  <c r="EM421" i="6"/>
  <c r="EX420" i="6"/>
  <c r="GY419" i="6"/>
  <c r="EZ420" i="6" l="1"/>
  <c r="EY420" i="6"/>
  <c r="EX421" i="6"/>
  <c r="EP422" i="6"/>
  <c r="BL428" i="5"/>
  <c r="BM428" i="5"/>
  <c r="BJ433" i="5"/>
  <c r="AX434" i="5"/>
  <c r="BG433" i="5"/>
  <c r="GW420" i="6"/>
  <c r="ET420" i="6"/>
  <c r="BK429" i="5"/>
  <c r="GY420" i="6"/>
  <c r="GZ420" i="6"/>
  <c r="GT420" i="6"/>
  <c r="HA420" i="6"/>
  <c r="GX420" i="6"/>
  <c r="GU420" i="6"/>
  <c r="EM422" i="6"/>
  <c r="ES421" i="6"/>
  <c r="FF423" i="6"/>
  <c r="FD423" i="6"/>
  <c r="FI423" i="6"/>
  <c r="FE423" i="6"/>
  <c r="FC423" i="6"/>
  <c r="FB423" i="6"/>
  <c r="FG423" i="6"/>
  <c r="FH423" i="6"/>
  <c r="ER422" i="6"/>
  <c r="EO422" i="6"/>
  <c r="EL422" i="6"/>
  <c r="EK422" i="6"/>
  <c r="FJ422" i="6"/>
  <c r="EW421" i="6"/>
  <c r="EN422" i="6"/>
  <c r="EQ422" i="6"/>
  <c r="EX422" i="6" s="1"/>
  <c r="GV420" i="6"/>
  <c r="EW422" i="6" l="1"/>
  <c r="BG434" i="5"/>
  <c r="BJ434" i="5"/>
  <c r="AX435" i="5"/>
  <c r="ES422" i="6"/>
  <c r="EZ422" i="6" s="1"/>
  <c r="BM429" i="5"/>
  <c r="BL429" i="5"/>
  <c r="EY421" i="6"/>
  <c r="BK430" i="5"/>
  <c r="ET421" i="6"/>
  <c r="GT421" i="6"/>
  <c r="GU421" i="6"/>
  <c r="GW421" i="6"/>
  <c r="GY421" i="6"/>
  <c r="GV421" i="6"/>
  <c r="EQ423" i="6"/>
  <c r="EP423" i="6"/>
  <c r="FJ423" i="6"/>
  <c r="EK423" i="6"/>
  <c r="EN423" i="6"/>
  <c r="EM423" i="6"/>
  <c r="FG424" i="6"/>
  <c r="FF424" i="6"/>
  <c r="FD424" i="6"/>
  <c r="FE424" i="6"/>
  <c r="FC424" i="6"/>
  <c r="FB424" i="6"/>
  <c r="FI424" i="6"/>
  <c r="ER424" i="6" s="1"/>
  <c r="FH424" i="6"/>
  <c r="EO423" i="6"/>
  <c r="GX421" i="6"/>
  <c r="EL423" i="6"/>
  <c r="ER423" i="6"/>
  <c r="GZ421" i="6"/>
  <c r="EZ421" i="6"/>
  <c r="HA421" i="6"/>
  <c r="EY422" i="6" l="1"/>
  <c r="ES423" i="6"/>
  <c r="GV423" i="6" s="1"/>
  <c r="EO424" i="6"/>
  <c r="EQ424" i="6"/>
  <c r="EM424" i="6"/>
  <c r="BJ435" i="5"/>
  <c r="AX436" i="5"/>
  <c r="BG435" i="5"/>
  <c r="GZ423" i="6"/>
  <c r="EK424" i="6"/>
  <c r="FJ424" i="6"/>
  <c r="EN424" i="6"/>
  <c r="EW424" i="6" s="1"/>
  <c r="EP424" i="6"/>
  <c r="EX423" i="6"/>
  <c r="EL424" i="6"/>
  <c r="BL430" i="5"/>
  <c r="BM430" i="5"/>
  <c r="ET422" i="6"/>
  <c r="BK431" i="5"/>
  <c r="GY422" i="6"/>
  <c r="HA422" i="6"/>
  <c r="GU422" i="6"/>
  <c r="GT422" i="6"/>
  <c r="GX422" i="6"/>
  <c r="GV422" i="6"/>
  <c r="GW422" i="6"/>
  <c r="EW423" i="6"/>
  <c r="GZ422" i="6"/>
  <c r="FH425" i="6"/>
  <c r="FF425" i="6"/>
  <c r="FC425" i="6"/>
  <c r="FD425" i="6"/>
  <c r="FE425" i="6"/>
  <c r="FB425" i="6"/>
  <c r="FI425" i="6"/>
  <c r="FG425" i="6"/>
  <c r="GT423" i="6" l="1"/>
  <c r="EY423" i="6"/>
  <c r="GY423" i="6"/>
  <c r="GX423" i="6"/>
  <c r="GW423" i="6"/>
  <c r="ET423" i="6"/>
  <c r="EZ423" i="6"/>
  <c r="HA423" i="6"/>
  <c r="BK432" i="5"/>
  <c r="BL432" i="5" s="1"/>
  <c r="GU423" i="6"/>
  <c r="EO425" i="6"/>
  <c r="EL425" i="6"/>
  <c r="BM431" i="5"/>
  <c r="BL431" i="5"/>
  <c r="EM425" i="6"/>
  <c r="FH426" i="6"/>
  <c r="FB426" i="6"/>
  <c r="FC426" i="6"/>
  <c r="FI426" i="6"/>
  <c r="FF426" i="6"/>
  <c r="FE426" i="6"/>
  <c r="FD426" i="6"/>
  <c r="FG426" i="6"/>
  <c r="ER425" i="6"/>
  <c r="EQ425" i="6"/>
  <c r="ES424" i="6"/>
  <c r="GW424" i="6" s="1"/>
  <c r="BJ436" i="5"/>
  <c r="AX437" i="5"/>
  <c r="BG436" i="5"/>
  <c r="EX424" i="6"/>
  <c r="EP425" i="6"/>
  <c r="EK425" i="6"/>
  <c r="FJ425" i="6"/>
  <c r="EN425" i="6"/>
  <c r="BM432" i="5" l="1"/>
  <c r="EX425" i="6"/>
  <c r="EW425" i="6"/>
  <c r="EY424" i="6"/>
  <c r="EK426" i="6"/>
  <c r="FJ426" i="6"/>
  <c r="EN426" i="6"/>
  <c r="ES425" i="6"/>
  <c r="EY425" i="6" s="1"/>
  <c r="EZ424" i="6"/>
  <c r="EZ425" i="6"/>
  <c r="EP426" i="6"/>
  <c r="EM426" i="6"/>
  <c r="GW425" i="6"/>
  <c r="EQ426" i="6"/>
  <c r="HA424" i="6"/>
  <c r="ER426" i="6"/>
  <c r="FD427" i="6"/>
  <c r="FF427" i="6"/>
  <c r="FE427" i="6"/>
  <c r="FC427" i="6"/>
  <c r="FB427" i="6"/>
  <c r="FG427" i="6"/>
  <c r="FH427" i="6"/>
  <c r="EQ427" i="6" s="1"/>
  <c r="FI427" i="6"/>
  <c r="EO426" i="6"/>
  <c r="BJ437" i="5"/>
  <c r="AX438" i="5"/>
  <c r="BG437" i="5"/>
  <c r="EL426" i="6"/>
  <c r="BK433" i="5"/>
  <c r="ET424" i="6"/>
  <c r="GU424" i="6"/>
  <c r="GY424" i="6"/>
  <c r="GX424" i="6"/>
  <c r="GZ424" i="6"/>
  <c r="GV424" i="6"/>
  <c r="GT424" i="6"/>
  <c r="EM427" i="6" l="1"/>
  <c r="EX426" i="6"/>
  <c r="FC428" i="6"/>
  <c r="FD428" i="6"/>
  <c r="FF428" i="6"/>
  <c r="FH428" i="6"/>
  <c r="FE428" i="6"/>
  <c r="FG428" i="6"/>
  <c r="FB428" i="6"/>
  <c r="FI428" i="6"/>
  <c r="EO427" i="6"/>
  <c r="EX427" i="6" s="1"/>
  <c r="BM433" i="5"/>
  <c r="BL433" i="5"/>
  <c r="BJ438" i="5"/>
  <c r="AX439" i="5"/>
  <c r="BG438" i="5"/>
  <c r="BK434" i="5"/>
  <c r="ET425" i="6"/>
  <c r="GX425" i="6"/>
  <c r="GV425" i="6"/>
  <c r="GT425" i="6"/>
  <c r="GY425" i="6"/>
  <c r="ER427" i="6"/>
  <c r="EW426" i="6"/>
  <c r="EP427" i="6"/>
  <c r="EK427" i="6"/>
  <c r="FJ427" i="6"/>
  <c r="ES426" i="6"/>
  <c r="EL427" i="6"/>
  <c r="GU425" i="6"/>
  <c r="GZ425" i="6"/>
  <c r="EN427" i="6"/>
  <c r="EW427" i="6" s="1"/>
  <c r="HA425" i="6"/>
  <c r="BM434" i="5" l="1"/>
  <c r="BL434" i="5"/>
  <c r="ES427" i="6"/>
  <c r="EY427" i="6" s="1"/>
  <c r="FJ428" i="6"/>
  <c r="EK428" i="6"/>
  <c r="EN428" i="6"/>
  <c r="EL428" i="6"/>
  <c r="AX440" i="5"/>
  <c r="BJ439" i="5"/>
  <c r="BG439" i="5"/>
  <c r="ET426" i="6"/>
  <c r="BK435" i="5"/>
  <c r="GT426" i="6"/>
  <c r="GX426" i="6"/>
  <c r="HA426" i="6"/>
  <c r="GY426" i="6"/>
  <c r="GW426" i="6"/>
  <c r="GZ426" i="6"/>
  <c r="GV426" i="6"/>
  <c r="GU426" i="6"/>
  <c r="EO428" i="6"/>
  <c r="FC429" i="6"/>
  <c r="FF429" i="6"/>
  <c r="FD429" i="6"/>
  <c r="EM429" i="6" s="1"/>
  <c r="FG429" i="6"/>
  <c r="FE429" i="6"/>
  <c r="FH429" i="6"/>
  <c r="FB429" i="6"/>
  <c r="FI429" i="6"/>
  <c r="EP428" i="6"/>
  <c r="EY426" i="6"/>
  <c r="EM428" i="6"/>
  <c r="EZ426" i="6"/>
  <c r="ER428" i="6"/>
  <c r="EQ428" i="6"/>
  <c r="BL435" i="5" l="1"/>
  <c r="BM435" i="5"/>
  <c r="AX441" i="5"/>
  <c r="BJ440" i="5"/>
  <c r="BG440" i="5"/>
  <c r="EO429" i="6"/>
  <c r="EP429" i="6"/>
  <c r="EN429" i="6"/>
  <c r="EW429" i="6" s="1"/>
  <c r="EQ429" i="6"/>
  <c r="ES428" i="6"/>
  <c r="GZ427" i="6"/>
  <c r="BK436" i="5"/>
  <c r="ET427" i="6"/>
  <c r="GT427" i="6"/>
  <c r="HA427" i="6"/>
  <c r="GY427" i="6"/>
  <c r="GW427" i="6"/>
  <c r="FF430" i="6"/>
  <c r="FD430" i="6"/>
  <c r="FG430" i="6"/>
  <c r="FC430" i="6"/>
  <c r="FH430" i="6"/>
  <c r="FI430" i="6"/>
  <c r="FE430" i="6"/>
  <c r="FB430" i="6"/>
  <c r="ER429" i="6"/>
  <c r="EK429" i="6"/>
  <c r="FJ429" i="6"/>
  <c r="EW428" i="6"/>
  <c r="EL429" i="6"/>
  <c r="GX427" i="6"/>
  <c r="EX428" i="6"/>
  <c r="GV427" i="6"/>
  <c r="GU427" i="6"/>
  <c r="EZ427" i="6"/>
  <c r="EZ428" i="6" l="1"/>
  <c r="BM436" i="5"/>
  <c r="BL436" i="5"/>
  <c r="EY428" i="6"/>
  <c r="ET428" i="6"/>
  <c r="BK437" i="5"/>
  <c r="GZ428" i="6"/>
  <c r="GX428" i="6"/>
  <c r="GT428" i="6"/>
  <c r="GU428" i="6"/>
  <c r="HA428" i="6"/>
  <c r="GW428" i="6"/>
  <c r="GV428" i="6"/>
  <c r="GV429" i="6"/>
  <c r="ER430" i="6"/>
  <c r="FB431" i="6"/>
  <c r="FC431" i="6"/>
  <c r="FG431" i="6"/>
  <c r="FE431" i="6"/>
  <c r="FH431" i="6"/>
  <c r="FD431" i="6"/>
  <c r="FF431" i="6"/>
  <c r="FI431" i="6"/>
  <c r="FJ430" i="6"/>
  <c r="EK430" i="6"/>
  <c r="EL430" i="6"/>
  <c r="ES429" i="6"/>
  <c r="EX429" i="6"/>
  <c r="EZ429" i="6" s="1"/>
  <c r="EN430" i="6"/>
  <c r="EY429" i="6"/>
  <c r="EQ430" i="6"/>
  <c r="BJ441" i="5"/>
  <c r="AX442" i="5"/>
  <c r="BG441" i="5"/>
  <c r="EP430" i="6"/>
  <c r="EM430" i="6"/>
  <c r="EO430" i="6"/>
  <c r="GY428" i="6"/>
  <c r="EQ431" i="6" l="1"/>
  <c r="FH432" i="6"/>
  <c r="FD432" i="6"/>
  <c r="FI432" i="6"/>
  <c r="FC432" i="6"/>
  <c r="FG432" i="6"/>
  <c r="FE432" i="6"/>
  <c r="FF432" i="6"/>
  <c r="FB432" i="6"/>
  <c r="BM437" i="5"/>
  <c r="BL437" i="5"/>
  <c r="EN431" i="6"/>
  <c r="EK431" i="6"/>
  <c r="FJ431" i="6"/>
  <c r="EW430" i="6"/>
  <c r="EY430" i="6" s="1"/>
  <c r="EL431" i="6"/>
  <c r="EP431" i="6"/>
  <c r="EO431" i="6"/>
  <c r="BJ442" i="5"/>
  <c r="AX443" i="5"/>
  <c r="BG442" i="5"/>
  <c r="ET429" i="6"/>
  <c r="BK438" i="5"/>
  <c r="GZ429" i="6"/>
  <c r="GW429" i="6"/>
  <c r="GX429" i="6"/>
  <c r="GU429" i="6"/>
  <c r="HA429" i="6"/>
  <c r="EX430" i="6"/>
  <c r="ES430" i="6"/>
  <c r="ER431" i="6"/>
  <c r="GT429" i="6"/>
  <c r="EM431" i="6"/>
  <c r="GY429" i="6"/>
  <c r="EZ430" i="6" l="1"/>
  <c r="ES431" i="6"/>
  <c r="ER432" i="6"/>
  <c r="EN432" i="6"/>
  <c r="FG433" i="6"/>
  <c r="FF433" i="6"/>
  <c r="FD433" i="6"/>
  <c r="FH433" i="6"/>
  <c r="FC433" i="6"/>
  <c r="FI433" i="6"/>
  <c r="FE433" i="6"/>
  <c r="FB433" i="6"/>
  <c r="EM432" i="6"/>
  <c r="ET430" i="6"/>
  <c r="BK439" i="5"/>
  <c r="GX430" i="6"/>
  <c r="GZ430" i="6"/>
  <c r="GU430" i="6"/>
  <c r="GW430" i="6"/>
  <c r="HA430" i="6"/>
  <c r="EW431" i="6"/>
  <c r="EY431" i="6" s="1"/>
  <c r="EK432" i="6"/>
  <c r="FJ432" i="6"/>
  <c r="EO432" i="6"/>
  <c r="BL438" i="5"/>
  <c r="BM438" i="5"/>
  <c r="EP432" i="6"/>
  <c r="EL432" i="6"/>
  <c r="BJ443" i="5"/>
  <c r="AX444" i="5"/>
  <c r="BG443" i="5"/>
  <c r="EQ432" i="6"/>
  <c r="EX431" i="6"/>
  <c r="EZ431" i="6" s="1"/>
  <c r="GT430" i="6"/>
  <c r="GY430" i="6"/>
  <c r="GV430" i="6"/>
  <c r="EX432" i="6" l="1"/>
  <c r="BJ444" i="5"/>
  <c r="AX445" i="5"/>
  <c r="BG444" i="5"/>
  <c r="BM439" i="5"/>
  <c r="BL439" i="5"/>
  <c r="ER433" i="6"/>
  <c r="EL433" i="6"/>
  <c r="EQ433" i="6"/>
  <c r="FF434" i="6"/>
  <c r="FE434" i="6"/>
  <c r="FG434" i="6"/>
  <c r="FC434" i="6"/>
  <c r="FH434" i="6"/>
  <c r="FB434" i="6"/>
  <c r="FI434" i="6"/>
  <c r="FD434" i="6"/>
  <c r="EK433" i="6"/>
  <c r="FJ433" i="6"/>
  <c r="EM433" i="6"/>
  <c r="EP433" i="6"/>
  <c r="EW432" i="6"/>
  <c r="ES432" i="6"/>
  <c r="GZ432" i="6" s="1"/>
  <c r="ET431" i="6"/>
  <c r="BK440" i="5"/>
  <c r="GY431" i="6"/>
  <c r="GZ431" i="6"/>
  <c r="GX431" i="6"/>
  <c r="GV431" i="6"/>
  <c r="GW431" i="6"/>
  <c r="GT431" i="6"/>
  <c r="GU431" i="6"/>
  <c r="EN433" i="6"/>
  <c r="EO433" i="6"/>
  <c r="HA431" i="6"/>
  <c r="EZ432" i="6" l="1"/>
  <c r="EW433" i="6"/>
  <c r="ES433" i="6"/>
  <c r="GV433" i="6" s="1"/>
  <c r="EL434" i="6"/>
  <c r="ER434" i="6"/>
  <c r="EP434" i="6"/>
  <c r="EM434" i="6"/>
  <c r="EO434" i="6"/>
  <c r="EN434" i="6"/>
  <c r="EQ434" i="6"/>
  <c r="EK434" i="6"/>
  <c r="FJ434" i="6"/>
  <c r="EX433" i="6"/>
  <c r="BM440" i="5"/>
  <c r="BL440" i="5"/>
  <c r="BK441" i="5"/>
  <c r="ET432" i="6"/>
  <c r="HA432" i="6"/>
  <c r="GW432" i="6"/>
  <c r="GX432" i="6"/>
  <c r="GY432" i="6"/>
  <c r="GU432" i="6"/>
  <c r="GT432" i="6"/>
  <c r="GV432" i="6"/>
  <c r="EY432" i="6"/>
  <c r="FD435" i="6"/>
  <c r="FC435" i="6"/>
  <c r="FE435" i="6"/>
  <c r="FF435" i="6"/>
  <c r="FB435" i="6"/>
  <c r="FH435" i="6"/>
  <c r="FG435" i="6"/>
  <c r="FI435" i="6"/>
  <c r="BJ445" i="5"/>
  <c r="AX446" i="5"/>
  <c r="BG445" i="5"/>
  <c r="GT433" i="6"/>
  <c r="EY433" i="6" l="1"/>
  <c r="HA433" i="6"/>
  <c r="GX433" i="6"/>
  <c r="GW433" i="6"/>
  <c r="GU433" i="6"/>
  <c r="GZ433" i="6"/>
  <c r="ET433" i="6"/>
  <c r="GY433" i="6"/>
  <c r="BK442" i="5"/>
  <c r="EZ433" i="6"/>
  <c r="EQ435" i="6"/>
  <c r="EX434" i="6"/>
  <c r="ES434" i="6"/>
  <c r="EM435" i="6"/>
  <c r="EO435" i="6"/>
  <c r="BM441" i="5"/>
  <c r="BL441" i="5"/>
  <c r="EW434" i="6"/>
  <c r="EK435" i="6"/>
  <c r="FJ435" i="6"/>
  <c r="BL442" i="5"/>
  <c r="BM442" i="5"/>
  <c r="EN435" i="6"/>
  <c r="FG436" i="6"/>
  <c r="FH436" i="6"/>
  <c r="FD436" i="6"/>
  <c r="FB436" i="6"/>
  <c r="FI436" i="6"/>
  <c r="FE436" i="6"/>
  <c r="FF436" i="6"/>
  <c r="EO436" i="6" s="1"/>
  <c r="FC436" i="6"/>
  <c r="EL435" i="6"/>
  <c r="AX447" i="5"/>
  <c r="BJ446" i="5"/>
  <c r="BG446" i="5"/>
  <c r="ER435" i="6"/>
  <c r="GT434" i="6"/>
  <c r="EP435" i="6"/>
  <c r="EW435" i="6" l="1"/>
  <c r="ES435" i="6"/>
  <c r="GU435" i="6" s="1"/>
  <c r="FG437" i="6"/>
  <c r="FC437" i="6"/>
  <c r="FE437" i="6"/>
  <c r="FD437" i="6"/>
  <c r="FH437" i="6"/>
  <c r="EQ437" i="6" s="1"/>
  <c r="FI437" i="6"/>
  <c r="FB437" i="6"/>
  <c r="FF437" i="6"/>
  <c r="EY435" i="6"/>
  <c r="EY434" i="6"/>
  <c r="BK443" i="5"/>
  <c r="ET434" i="6"/>
  <c r="GU434" i="6"/>
  <c r="GX434" i="6"/>
  <c r="HA434" i="6"/>
  <c r="EN436" i="6"/>
  <c r="EW436" i="6" s="1"/>
  <c r="ER436" i="6"/>
  <c r="GY434" i="6"/>
  <c r="GZ434" i="6"/>
  <c r="BJ447" i="5"/>
  <c r="AX448" i="5"/>
  <c r="BG447" i="5"/>
  <c r="EX435" i="6"/>
  <c r="EQ436" i="6"/>
  <c r="GV434" i="6"/>
  <c r="EL436" i="6"/>
  <c r="EZ434" i="6"/>
  <c r="EK436" i="6"/>
  <c r="FJ436" i="6"/>
  <c r="EM436" i="6"/>
  <c r="EP436" i="6"/>
  <c r="GW434" i="6"/>
  <c r="GV435" i="6" l="1"/>
  <c r="GX435" i="6"/>
  <c r="GZ435" i="6"/>
  <c r="BK444" i="5"/>
  <c r="BM444" i="5" s="1"/>
  <c r="ET435" i="6"/>
  <c r="GT435" i="6"/>
  <c r="EZ435" i="6"/>
  <c r="HA435" i="6"/>
  <c r="GY435" i="6"/>
  <c r="GW435" i="6"/>
  <c r="BL443" i="5"/>
  <c r="BM443" i="5"/>
  <c r="ES436" i="6"/>
  <c r="HA436" i="6" s="1"/>
  <c r="GX436" i="6"/>
  <c r="GW436" i="6"/>
  <c r="GT436" i="6"/>
  <c r="BL444" i="5"/>
  <c r="EK437" i="6"/>
  <c r="FJ437" i="6"/>
  <c r="ER437" i="6"/>
  <c r="EX436" i="6"/>
  <c r="EZ436" i="6" s="1"/>
  <c r="EN437" i="6"/>
  <c r="EW437" i="6" s="1"/>
  <c r="FC438" i="6"/>
  <c r="FG438" i="6"/>
  <c r="FF438" i="6"/>
  <c r="FH438" i="6"/>
  <c r="FB438" i="6"/>
  <c r="FI438" i="6"/>
  <c r="FD438" i="6"/>
  <c r="FE438" i="6"/>
  <c r="BJ448" i="5"/>
  <c r="AX449" i="5"/>
  <c r="BG448" i="5"/>
  <c r="EP437" i="6"/>
  <c r="EO437" i="6"/>
  <c r="EM437" i="6"/>
  <c r="EL437" i="6"/>
  <c r="EX437" i="6" l="1"/>
  <c r="EL438" i="6"/>
  <c r="EM438" i="6"/>
  <c r="FJ438" i="6"/>
  <c r="EK438" i="6"/>
  <c r="EY436" i="6"/>
  <c r="BJ449" i="5"/>
  <c r="AX450" i="5"/>
  <c r="BG449" i="5"/>
  <c r="EN438" i="6"/>
  <c r="EW438" i="6" s="1"/>
  <c r="ER438" i="6"/>
  <c r="EQ438" i="6"/>
  <c r="EP438" i="6"/>
  <c r="ES437" i="6"/>
  <c r="EY437" i="6" s="1"/>
  <c r="FD439" i="6"/>
  <c r="FG439" i="6"/>
  <c r="FC439" i="6"/>
  <c r="FF439" i="6"/>
  <c r="FE439" i="6"/>
  <c r="FB439" i="6"/>
  <c r="FH439" i="6"/>
  <c r="FI439" i="6"/>
  <c r="ET436" i="6"/>
  <c r="BK445" i="5"/>
  <c r="GZ436" i="6"/>
  <c r="GU436" i="6"/>
  <c r="GY436" i="6"/>
  <c r="EO438" i="6"/>
  <c r="GV436" i="6"/>
  <c r="EX438" i="6" l="1"/>
  <c r="GY437" i="6"/>
  <c r="FD440" i="6"/>
  <c r="FH440" i="6"/>
  <c r="FE440" i="6"/>
  <c r="FF440" i="6"/>
  <c r="FG440" i="6"/>
  <c r="EP440" i="6" s="1"/>
  <c r="FB440" i="6"/>
  <c r="FC440" i="6"/>
  <c r="FI440" i="6"/>
  <c r="EQ439" i="6"/>
  <c r="EK439" i="6"/>
  <c r="FJ439" i="6"/>
  <c r="EL439" i="6"/>
  <c r="BJ450" i="5"/>
  <c r="AX451" i="5"/>
  <c r="BG450" i="5"/>
  <c r="EP439" i="6"/>
  <c r="GZ438" i="6"/>
  <c r="BL445" i="5"/>
  <c r="BM445" i="5"/>
  <c r="ER439" i="6"/>
  <c r="ES438" i="6"/>
  <c r="EZ438" i="6" s="1"/>
  <c r="GZ437" i="6"/>
  <c r="BK446" i="5"/>
  <c r="ET437" i="6"/>
  <c r="GV437" i="6"/>
  <c r="GU437" i="6"/>
  <c r="GX437" i="6"/>
  <c r="GT437" i="6"/>
  <c r="HA437" i="6"/>
  <c r="EY438" i="6"/>
  <c r="EN439" i="6"/>
  <c r="EO439" i="6"/>
  <c r="EM439" i="6"/>
  <c r="GW437" i="6"/>
  <c r="EZ437" i="6"/>
  <c r="FF441" i="6" l="1"/>
  <c r="FD441" i="6"/>
  <c r="FI441" i="6"/>
  <c r="FB441" i="6"/>
  <c r="FH441" i="6"/>
  <c r="FC441" i="6"/>
  <c r="FG441" i="6"/>
  <c r="EP441" i="6" s="1"/>
  <c r="FE441" i="6"/>
  <c r="EX439" i="6"/>
  <c r="EQ440" i="6"/>
  <c r="BJ451" i="5"/>
  <c r="AX452" i="5"/>
  <c r="BG451" i="5"/>
  <c r="EL440" i="6"/>
  <c r="BM446" i="5"/>
  <c r="BL446" i="5"/>
  <c r="EM440" i="6"/>
  <c r="ES439" i="6"/>
  <c r="ER440" i="6"/>
  <c r="EO440" i="6"/>
  <c r="EW439" i="6"/>
  <c r="EK440" i="6"/>
  <c r="FJ440" i="6"/>
  <c r="ET438" i="6"/>
  <c r="BK447" i="5"/>
  <c r="GT438" i="6"/>
  <c r="GU438" i="6"/>
  <c r="GV438" i="6"/>
  <c r="GX438" i="6"/>
  <c r="HA438" i="6"/>
  <c r="EN440" i="6"/>
  <c r="GW438" i="6"/>
  <c r="GY438" i="6"/>
  <c r="EX440" i="6" l="1"/>
  <c r="GT439" i="6"/>
  <c r="ET439" i="6"/>
  <c r="BK448" i="5"/>
  <c r="GZ439" i="6"/>
  <c r="GX439" i="6"/>
  <c r="GY439" i="6"/>
  <c r="GW439" i="6"/>
  <c r="HA439" i="6"/>
  <c r="GU439" i="6"/>
  <c r="FF442" i="6"/>
  <c r="FG442" i="6"/>
  <c r="FD442" i="6"/>
  <c r="FC442" i="6"/>
  <c r="FB442" i="6"/>
  <c r="FI442" i="6"/>
  <c r="FE442" i="6"/>
  <c r="FH442" i="6"/>
  <c r="EZ439" i="6"/>
  <c r="EQ441" i="6"/>
  <c r="EW440" i="6"/>
  <c r="BM447" i="5"/>
  <c r="BL447" i="5"/>
  <c r="ES440" i="6"/>
  <c r="EZ440" i="6" s="1"/>
  <c r="ER441" i="6"/>
  <c r="EO441" i="6"/>
  <c r="AX453" i="5"/>
  <c r="BJ452" i="5"/>
  <c r="BG452" i="5"/>
  <c r="EN441" i="6"/>
  <c r="EL441" i="6"/>
  <c r="EY439" i="6"/>
  <c r="EK441" i="6"/>
  <c r="FJ441" i="6"/>
  <c r="EM441" i="6"/>
  <c r="GV439" i="6"/>
  <c r="GY440" i="6" l="1"/>
  <c r="EX441" i="6"/>
  <c r="EN442" i="6"/>
  <c r="ES441" i="6"/>
  <c r="EL442" i="6"/>
  <c r="EW441" i="6"/>
  <c r="EY441" i="6" s="1"/>
  <c r="EO442" i="6"/>
  <c r="FJ442" i="6"/>
  <c r="EK442" i="6"/>
  <c r="EM442" i="6"/>
  <c r="ER442" i="6"/>
  <c r="FB443" i="6"/>
  <c r="FD443" i="6"/>
  <c r="FF443" i="6"/>
  <c r="FC443" i="6"/>
  <c r="FE443" i="6"/>
  <c r="FH443" i="6"/>
  <c r="FG443" i="6"/>
  <c r="FI443" i="6"/>
  <c r="BM448" i="5"/>
  <c r="BL448" i="5"/>
  <c r="EQ442" i="6"/>
  <c r="EP442" i="6"/>
  <c r="AX454" i="5"/>
  <c r="BJ453" i="5"/>
  <c r="BG453" i="5"/>
  <c r="BK449" i="5"/>
  <c r="ET440" i="6"/>
  <c r="HA440" i="6"/>
  <c r="GT440" i="6"/>
  <c r="GX440" i="6"/>
  <c r="GZ440" i="6"/>
  <c r="GU440" i="6"/>
  <c r="GW440" i="6"/>
  <c r="EY440" i="6"/>
  <c r="GV440" i="6"/>
  <c r="EZ441" i="6" l="1"/>
  <c r="EK443" i="6"/>
  <c r="FJ443" i="6"/>
  <c r="EL443" i="6"/>
  <c r="EM443" i="6"/>
  <c r="EX442" i="6"/>
  <c r="BM449" i="5"/>
  <c r="BL449" i="5"/>
  <c r="FC444" i="6"/>
  <c r="FG444" i="6"/>
  <c r="FD444" i="6"/>
  <c r="FB444" i="6"/>
  <c r="FH444" i="6"/>
  <c r="FI444" i="6"/>
  <c r="FF444" i="6"/>
  <c r="FE444" i="6"/>
  <c r="BJ454" i="5"/>
  <c r="AX455" i="5"/>
  <c r="BG454" i="5"/>
  <c r="ER443" i="6"/>
  <c r="EO443" i="6"/>
  <c r="ES442" i="6"/>
  <c r="ET441" i="6"/>
  <c r="BK450" i="5"/>
  <c r="GX441" i="6"/>
  <c r="GZ441" i="6"/>
  <c r="HA441" i="6"/>
  <c r="GV441" i="6"/>
  <c r="GW441" i="6"/>
  <c r="GT441" i="6"/>
  <c r="GY441" i="6"/>
  <c r="EP443" i="6"/>
  <c r="EQ443" i="6"/>
  <c r="EW442" i="6"/>
  <c r="EN443" i="6"/>
  <c r="GU441" i="6"/>
  <c r="EW443" i="6" l="1"/>
  <c r="EX443" i="6"/>
  <c r="EZ442" i="6"/>
  <c r="EQ444" i="6"/>
  <c r="FG445" i="6"/>
  <c r="FD445" i="6"/>
  <c r="FE445" i="6"/>
  <c r="FH445" i="6"/>
  <c r="FC445" i="6"/>
  <c r="FF445" i="6"/>
  <c r="FI445" i="6"/>
  <c r="ER445" i="6" s="1"/>
  <c r="FB445" i="6"/>
  <c r="ER444" i="6"/>
  <c r="EN444" i="6"/>
  <c r="EL444" i="6"/>
  <c r="EM444" i="6"/>
  <c r="EP444" i="6"/>
  <c r="EY442" i="6"/>
  <c r="ET442" i="6"/>
  <c r="BK451" i="5"/>
  <c r="GV442" i="6"/>
  <c r="HA442" i="6"/>
  <c r="GW442" i="6"/>
  <c r="GY442" i="6"/>
  <c r="GT442" i="6"/>
  <c r="GX442" i="6"/>
  <c r="ES443" i="6"/>
  <c r="BJ455" i="5"/>
  <c r="AX456" i="5"/>
  <c r="BG455" i="5"/>
  <c r="EO444" i="6"/>
  <c r="EK444" i="6"/>
  <c r="FJ444" i="6"/>
  <c r="BM450" i="5"/>
  <c r="BL450" i="5"/>
  <c r="GZ442" i="6"/>
  <c r="GU442" i="6"/>
  <c r="EZ443" i="6" l="1"/>
  <c r="EY443" i="6"/>
  <c r="FD446" i="6"/>
  <c r="FE446" i="6"/>
  <c r="FF446" i="6"/>
  <c r="FC446" i="6"/>
  <c r="FH446" i="6"/>
  <c r="EQ446" i="6" s="1"/>
  <c r="FG446" i="6"/>
  <c r="FB446" i="6"/>
  <c r="FI446" i="6"/>
  <c r="EL445" i="6"/>
  <c r="BJ456" i="5"/>
  <c r="AX457" i="5"/>
  <c r="BG456" i="5"/>
  <c r="EO445" i="6"/>
  <c r="EW444" i="6"/>
  <c r="EN445" i="6"/>
  <c r="EW445" i="6" s="1"/>
  <c r="ES444" i="6"/>
  <c r="GU444" i="6" s="1"/>
  <c r="EQ445" i="6"/>
  <c r="EP445" i="6"/>
  <c r="EX444" i="6"/>
  <c r="FJ445" i="6"/>
  <c r="EK445" i="6"/>
  <c r="ET443" i="6"/>
  <c r="BK452" i="5"/>
  <c r="GT443" i="6"/>
  <c r="HA443" i="6"/>
  <c r="GX443" i="6"/>
  <c r="GV443" i="6"/>
  <c r="GY443" i="6"/>
  <c r="GW443" i="6"/>
  <c r="GZ443" i="6"/>
  <c r="EM445" i="6"/>
  <c r="BM451" i="5"/>
  <c r="BL451" i="5"/>
  <c r="GU443" i="6"/>
  <c r="FD447" i="6" l="1"/>
  <c r="FI447" i="6"/>
  <c r="FH447" i="6"/>
  <c r="FG447" i="6"/>
  <c r="FB447" i="6"/>
  <c r="FC447" i="6"/>
  <c r="FF447" i="6"/>
  <c r="FE447" i="6"/>
  <c r="BM452" i="5"/>
  <c r="BL452" i="5"/>
  <c r="ER446" i="6"/>
  <c r="EK446" i="6"/>
  <c r="FJ446" i="6"/>
  <c r="EP446" i="6"/>
  <c r="EL446" i="6"/>
  <c r="EO446" i="6"/>
  <c r="EN446" i="6"/>
  <c r="BK453" i="5"/>
  <c r="ET444" i="6"/>
  <c r="GZ444" i="6"/>
  <c r="GV444" i="6"/>
  <c r="HA444" i="6"/>
  <c r="GT444" i="6"/>
  <c r="EY444" i="6"/>
  <c r="BJ457" i="5"/>
  <c r="AX458" i="5"/>
  <c r="BG457" i="5"/>
  <c r="ES445" i="6"/>
  <c r="GW445" i="6" s="1"/>
  <c r="HA445" i="6"/>
  <c r="GW444" i="6"/>
  <c r="EZ444" i="6"/>
  <c r="EM446" i="6"/>
  <c r="GX444" i="6"/>
  <c r="EX445" i="6"/>
  <c r="EZ445" i="6" s="1"/>
  <c r="GY444" i="6"/>
  <c r="EX446" i="6" l="1"/>
  <c r="FC448" i="6"/>
  <c r="FG448" i="6"/>
  <c r="FB448" i="6"/>
  <c r="FI448" i="6"/>
  <c r="FE448" i="6"/>
  <c r="FH448" i="6"/>
  <c r="FD448" i="6"/>
  <c r="FF448" i="6"/>
  <c r="EO447" i="6"/>
  <c r="EM447" i="6"/>
  <c r="ES446" i="6"/>
  <c r="GZ446" i="6" s="1"/>
  <c r="AX459" i="5"/>
  <c r="BJ458" i="5"/>
  <c r="BG458" i="5"/>
  <c r="EL447" i="6"/>
  <c r="BL453" i="5"/>
  <c r="BM453" i="5"/>
  <c r="EQ447" i="6"/>
  <c r="EW446" i="6"/>
  <c r="EY445" i="6"/>
  <c r="ET445" i="6"/>
  <c r="BK454" i="5"/>
  <c r="GZ445" i="6"/>
  <c r="GY445" i="6"/>
  <c r="GU445" i="6"/>
  <c r="GX445" i="6"/>
  <c r="GT445" i="6"/>
  <c r="EN447" i="6"/>
  <c r="EK447" i="6"/>
  <c r="FJ447" i="6"/>
  <c r="EP447" i="6"/>
  <c r="ER447" i="6"/>
  <c r="GV445" i="6"/>
  <c r="EW447" i="6" l="1"/>
  <c r="BK455" i="5"/>
  <c r="ET446" i="6"/>
  <c r="GV446" i="6"/>
  <c r="GX446" i="6"/>
  <c r="GW446" i="6"/>
  <c r="HA446" i="6"/>
  <c r="GT446" i="6"/>
  <c r="EO448" i="6"/>
  <c r="EN448" i="6"/>
  <c r="EY446" i="6"/>
  <c r="EX447" i="6"/>
  <c r="GU446" i="6"/>
  <c r="FG449" i="6"/>
  <c r="FD449" i="6"/>
  <c r="FC449" i="6"/>
  <c r="FE449" i="6"/>
  <c r="FF449" i="6"/>
  <c r="FB449" i="6"/>
  <c r="FI449" i="6"/>
  <c r="FH449" i="6"/>
  <c r="EQ449" i="6" s="1"/>
  <c r="ES447" i="6"/>
  <c r="GX447" i="6" s="1"/>
  <c r="EQ448" i="6"/>
  <c r="ER448" i="6"/>
  <c r="FJ448" i="6"/>
  <c r="EK448" i="6"/>
  <c r="EL448" i="6"/>
  <c r="EZ446" i="6"/>
  <c r="AX460" i="5"/>
  <c r="BJ459" i="5"/>
  <c r="BG459" i="5"/>
  <c r="EM448" i="6"/>
  <c r="BL454" i="5"/>
  <c r="BM454" i="5"/>
  <c r="EP448" i="6"/>
  <c r="GY446" i="6"/>
  <c r="GW447" i="6" l="1"/>
  <c r="EZ447" i="6"/>
  <c r="EY447" i="6"/>
  <c r="EP449" i="6"/>
  <c r="EL449" i="6"/>
  <c r="FC450" i="6"/>
  <c r="FI450" i="6"/>
  <c r="FB450" i="6"/>
  <c r="FF450" i="6"/>
  <c r="FH450" i="6"/>
  <c r="FG450" i="6"/>
  <c r="FD450" i="6"/>
  <c r="FE450" i="6"/>
  <c r="EW448" i="6"/>
  <c r="ES448" i="6"/>
  <c r="BL455" i="5"/>
  <c r="BM455" i="5"/>
  <c r="EO449" i="6"/>
  <c r="EM449" i="6"/>
  <c r="BJ460" i="5"/>
  <c r="AX461" i="5"/>
  <c r="BG460" i="5"/>
  <c r="ER449" i="6"/>
  <c r="EN449" i="6"/>
  <c r="EX448" i="6"/>
  <c r="ET447" i="6"/>
  <c r="BK456" i="5"/>
  <c r="GT447" i="6"/>
  <c r="GU447" i="6"/>
  <c r="GV447" i="6"/>
  <c r="GY447" i="6"/>
  <c r="GZ447" i="6"/>
  <c r="EK449" i="6"/>
  <c r="FJ449" i="6"/>
  <c r="HA447" i="6"/>
  <c r="EX449" i="6" l="1"/>
  <c r="BJ461" i="5"/>
  <c r="AX462" i="5"/>
  <c r="BG461" i="5"/>
  <c r="ES449" i="6"/>
  <c r="BL456" i="5"/>
  <c r="BM456" i="5"/>
  <c r="EO450" i="6"/>
  <c r="ET448" i="6"/>
  <c r="BK457" i="5"/>
  <c r="GY448" i="6"/>
  <c r="GZ448" i="6"/>
  <c r="GX448" i="6"/>
  <c r="HA448" i="6"/>
  <c r="GV448" i="6"/>
  <c r="GU448" i="6"/>
  <c r="EY448" i="6"/>
  <c r="EN450" i="6"/>
  <c r="EW450" i="6" s="1"/>
  <c r="EP450" i="6"/>
  <c r="EQ450" i="6"/>
  <c r="EW449" i="6"/>
  <c r="EL450" i="6"/>
  <c r="GW448" i="6"/>
  <c r="EM450" i="6"/>
  <c r="EZ448" i="6"/>
  <c r="FJ450" i="6"/>
  <c r="EK450" i="6"/>
  <c r="ER450" i="6"/>
  <c r="GT448" i="6"/>
  <c r="FH451" i="6"/>
  <c r="FF451" i="6"/>
  <c r="FB451" i="6"/>
  <c r="FI451" i="6"/>
  <c r="FG451" i="6"/>
  <c r="FE451" i="6"/>
  <c r="FC451" i="6"/>
  <c r="FD451" i="6"/>
  <c r="EM451" i="6" s="1"/>
  <c r="EN451" i="6" l="1"/>
  <c r="EW451" i="6" s="1"/>
  <c r="BJ462" i="5"/>
  <c r="AX463" i="5"/>
  <c r="BG462" i="5"/>
  <c r="EL451" i="6"/>
  <c r="EP451" i="6"/>
  <c r="ER451" i="6"/>
  <c r="EO451" i="6"/>
  <c r="BM457" i="5"/>
  <c r="BL457" i="5"/>
  <c r="GZ449" i="6"/>
  <c r="ET449" i="6"/>
  <c r="BK458" i="5"/>
  <c r="GW449" i="6"/>
  <c r="GX449" i="6"/>
  <c r="GY449" i="6"/>
  <c r="GU449" i="6"/>
  <c r="GV449" i="6"/>
  <c r="HA449" i="6"/>
  <c r="GT449" i="6"/>
  <c r="FJ451" i="6"/>
  <c r="EK451" i="6"/>
  <c r="EQ451" i="6"/>
  <c r="ES450" i="6"/>
  <c r="GY450" i="6" s="1"/>
  <c r="FH452" i="6"/>
  <c r="FC452" i="6"/>
  <c r="FF452" i="6"/>
  <c r="FG452" i="6"/>
  <c r="FB452" i="6"/>
  <c r="FE452" i="6"/>
  <c r="FI452" i="6"/>
  <c r="FD452" i="6"/>
  <c r="EY449" i="6"/>
  <c r="EX450" i="6"/>
  <c r="EZ449" i="6"/>
  <c r="EZ450" i="6" l="1"/>
  <c r="EN452" i="6"/>
  <c r="FJ452" i="6"/>
  <c r="EK452" i="6"/>
  <c r="EQ452" i="6"/>
  <c r="EM452" i="6"/>
  <c r="EP452" i="6"/>
  <c r="EX451" i="6"/>
  <c r="FC453" i="6"/>
  <c r="FI453" i="6"/>
  <c r="FH453" i="6"/>
  <c r="FD453" i="6"/>
  <c r="FB453" i="6"/>
  <c r="FE453" i="6"/>
  <c r="FG453" i="6"/>
  <c r="FF453" i="6"/>
  <c r="BM458" i="5"/>
  <c r="BL458" i="5"/>
  <c r="ER452" i="6"/>
  <c r="EO452" i="6"/>
  <c r="BJ463" i="5"/>
  <c r="AX464" i="5"/>
  <c r="BG463" i="5"/>
  <c r="EL452" i="6"/>
  <c r="BK459" i="5"/>
  <c r="ET450" i="6"/>
  <c r="GV450" i="6"/>
  <c r="GW450" i="6"/>
  <c r="GZ450" i="6"/>
  <c r="GT450" i="6"/>
  <c r="HA450" i="6"/>
  <c r="GX450" i="6"/>
  <c r="ES451" i="6"/>
  <c r="EY451" i="6" s="1"/>
  <c r="EY450" i="6"/>
  <c r="GU450" i="6"/>
  <c r="EP453" i="6" l="1"/>
  <c r="BM459" i="5"/>
  <c r="BL459" i="5"/>
  <c r="GV451" i="6"/>
  <c r="BK460" i="5"/>
  <c r="ET451" i="6"/>
  <c r="GW451" i="6"/>
  <c r="GU451" i="6"/>
  <c r="GY451" i="6"/>
  <c r="GX451" i="6"/>
  <c r="HA451" i="6"/>
  <c r="EQ453" i="6"/>
  <c r="EZ451" i="6"/>
  <c r="FE454" i="6"/>
  <c r="FD454" i="6"/>
  <c r="FG454" i="6"/>
  <c r="FB454" i="6"/>
  <c r="FH454" i="6"/>
  <c r="FC454" i="6"/>
  <c r="FF454" i="6"/>
  <c r="FI454" i="6"/>
  <c r="EX452" i="6"/>
  <c r="EN453" i="6"/>
  <c r="EM453" i="6"/>
  <c r="EL453" i="6"/>
  <c r="AX465" i="5"/>
  <c r="BJ464" i="5"/>
  <c r="BG464" i="5"/>
  <c r="ES452" i="6"/>
  <c r="GZ452" i="6" s="1"/>
  <c r="EW452" i="6"/>
  <c r="EO453" i="6"/>
  <c r="FJ453" i="6"/>
  <c r="EK453" i="6"/>
  <c r="ER453" i="6"/>
  <c r="GZ451" i="6"/>
  <c r="GT451" i="6"/>
  <c r="EY452" i="6" l="1"/>
  <c r="EM454" i="6"/>
  <c r="EK454" i="6"/>
  <c r="FJ454" i="6"/>
  <c r="ET452" i="6"/>
  <c r="BK461" i="5"/>
  <c r="GX452" i="6"/>
  <c r="GU452" i="6"/>
  <c r="GY452" i="6"/>
  <c r="GV452" i="6"/>
  <c r="HA452" i="6"/>
  <c r="GT452" i="6"/>
  <c r="EQ454" i="6"/>
  <c r="EP454" i="6"/>
  <c r="EX453" i="6"/>
  <c r="BL460" i="5"/>
  <c r="BM460" i="5"/>
  <c r="ES453" i="6"/>
  <c r="EN454" i="6"/>
  <c r="FG455" i="6"/>
  <c r="FE455" i="6"/>
  <c r="FH455" i="6"/>
  <c r="FF455" i="6"/>
  <c r="FB455" i="6"/>
  <c r="FD455" i="6"/>
  <c r="FI455" i="6"/>
  <c r="FC455" i="6"/>
  <c r="EW453" i="6"/>
  <c r="ER454" i="6"/>
  <c r="EL454" i="6"/>
  <c r="BJ465" i="5"/>
  <c r="AX466" i="5"/>
  <c r="BG465" i="5"/>
  <c r="EZ452" i="6"/>
  <c r="EO454" i="6"/>
  <c r="GW452" i="6"/>
  <c r="EW454" i="6" l="1"/>
  <c r="EY453" i="6"/>
  <c r="ET453" i="6"/>
  <c r="BK462" i="5"/>
  <c r="GU453" i="6"/>
  <c r="GV453" i="6"/>
  <c r="GY453" i="6"/>
  <c r="GW453" i="6"/>
  <c r="GT453" i="6"/>
  <c r="GX453" i="6"/>
  <c r="FG456" i="6"/>
  <c r="FE456" i="6"/>
  <c r="FH456" i="6"/>
  <c r="FI456" i="6"/>
  <c r="FD456" i="6"/>
  <c r="FF456" i="6"/>
  <c r="EO456" i="6" s="1"/>
  <c r="FC456" i="6"/>
  <c r="FB456" i="6"/>
  <c r="BL461" i="5"/>
  <c r="BM461" i="5"/>
  <c r="EN455" i="6"/>
  <c r="EW455" i="6" s="1"/>
  <c r="EZ453" i="6"/>
  <c r="EX454" i="6"/>
  <c r="EK455" i="6"/>
  <c r="FJ455" i="6"/>
  <c r="EP455" i="6"/>
  <c r="BJ466" i="5"/>
  <c r="AX467" i="5"/>
  <c r="BG466" i="5"/>
  <c r="EL455" i="6"/>
  <c r="ER455" i="6"/>
  <c r="EM455" i="6"/>
  <c r="EO455" i="6"/>
  <c r="EQ455" i="6"/>
  <c r="ES454" i="6"/>
  <c r="GZ453" i="6"/>
  <c r="HA453" i="6"/>
  <c r="EX455" i="6" l="1"/>
  <c r="EQ456" i="6"/>
  <c r="BJ467" i="5"/>
  <c r="AX468" i="5"/>
  <c r="BG467" i="5"/>
  <c r="EY454" i="6"/>
  <c r="ET454" i="6"/>
  <c r="BK463" i="5"/>
  <c r="GW454" i="6"/>
  <c r="GT454" i="6"/>
  <c r="GV454" i="6"/>
  <c r="HA454" i="6"/>
  <c r="GZ454" i="6"/>
  <c r="GU454" i="6"/>
  <c r="GX454" i="6"/>
  <c r="EL456" i="6"/>
  <c r="EM456" i="6"/>
  <c r="FG457" i="6"/>
  <c r="FI457" i="6"/>
  <c r="FF457" i="6"/>
  <c r="EO457" i="6" s="1"/>
  <c r="FH457" i="6"/>
  <c r="FC457" i="6"/>
  <c r="FD457" i="6"/>
  <c r="FE457" i="6"/>
  <c r="FB457" i="6"/>
  <c r="BM462" i="5"/>
  <c r="BL462" i="5"/>
  <c r="FJ456" i="6"/>
  <c r="EK456" i="6"/>
  <c r="ER456" i="6"/>
  <c r="EN456" i="6"/>
  <c r="EP456" i="6"/>
  <c r="ES455" i="6"/>
  <c r="EY455" i="6" s="1"/>
  <c r="EZ454" i="6"/>
  <c r="GY454" i="6"/>
  <c r="ES456" i="6" l="1"/>
  <c r="GT456" i="6" s="1"/>
  <c r="FD458" i="6"/>
  <c r="FB458" i="6"/>
  <c r="FI458" i="6"/>
  <c r="ER458" i="6" s="1"/>
  <c r="FG458" i="6"/>
  <c r="FH458" i="6"/>
  <c r="FF458" i="6"/>
  <c r="FE458" i="6"/>
  <c r="FC458" i="6"/>
  <c r="EM457" i="6"/>
  <c r="EL457" i="6"/>
  <c r="EX456" i="6"/>
  <c r="ET455" i="6"/>
  <c r="BK464" i="5"/>
  <c r="GY455" i="6"/>
  <c r="GT455" i="6"/>
  <c r="HA455" i="6"/>
  <c r="GV455" i="6"/>
  <c r="GW455" i="6"/>
  <c r="GX455" i="6"/>
  <c r="GZ455" i="6"/>
  <c r="BL463" i="5"/>
  <c r="BM463" i="5"/>
  <c r="BJ468" i="5"/>
  <c r="AX469" i="5"/>
  <c r="BG468" i="5"/>
  <c r="EQ457" i="6"/>
  <c r="ER457" i="6"/>
  <c r="EZ455" i="6"/>
  <c r="EW456" i="6"/>
  <c r="EK457" i="6"/>
  <c r="FJ457" i="6"/>
  <c r="EN457" i="6"/>
  <c r="EW457" i="6" s="1"/>
  <c r="EP457" i="6"/>
  <c r="GU455" i="6"/>
  <c r="EZ456" i="6" l="1"/>
  <c r="EY456" i="6"/>
  <c r="EO458" i="6"/>
  <c r="BJ469" i="5"/>
  <c r="AX470" i="5"/>
  <c r="BG469" i="5"/>
  <c r="EK458" i="6"/>
  <c r="FJ458" i="6"/>
  <c r="BM464" i="5"/>
  <c r="BL464" i="5"/>
  <c r="ES457" i="6"/>
  <c r="EN458" i="6"/>
  <c r="FG459" i="6"/>
  <c r="FI459" i="6"/>
  <c r="FD459" i="6"/>
  <c r="FE459" i="6"/>
  <c r="FF459" i="6"/>
  <c r="FB459" i="6"/>
  <c r="FH459" i="6"/>
  <c r="FC459" i="6"/>
  <c r="EL459" i="6" s="1"/>
  <c r="GX456" i="6"/>
  <c r="BK465" i="5"/>
  <c r="ET456" i="6"/>
  <c r="GZ456" i="6"/>
  <c r="GY456" i="6"/>
  <c r="GW456" i="6"/>
  <c r="GU456" i="6"/>
  <c r="EL458" i="6"/>
  <c r="EX457" i="6"/>
  <c r="EQ458" i="6"/>
  <c r="EP458" i="6"/>
  <c r="EM458" i="6"/>
  <c r="HA456" i="6"/>
  <c r="GV456" i="6"/>
  <c r="EO459" i="6" l="1"/>
  <c r="EN459" i="6"/>
  <c r="BK466" i="5"/>
  <c r="ET457" i="6"/>
  <c r="GT457" i="6"/>
  <c r="HA457" i="6"/>
  <c r="GZ457" i="6"/>
  <c r="GV457" i="6"/>
  <c r="GU457" i="6"/>
  <c r="ER459" i="6"/>
  <c r="EW458" i="6"/>
  <c r="ES458" i="6"/>
  <c r="BJ470" i="5"/>
  <c r="AX471" i="5"/>
  <c r="BG470" i="5"/>
  <c r="BM465" i="5"/>
  <c r="BL465" i="5"/>
  <c r="EY457" i="6"/>
  <c r="EM459" i="6"/>
  <c r="EX458" i="6"/>
  <c r="EZ457" i="6"/>
  <c r="GW457" i="6"/>
  <c r="FE460" i="6"/>
  <c r="FI460" i="6"/>
  <c r="FD460" i="6"/>
  <c r="FG460" i="6"/>
  <c r="FF460" i="6"/>
  <c r="FH460" i="6"/>
  <c r="FC460" i="6"/>
  <c r="FB460" i="6"/>
  <c r="GX457" i="6"/>
  <c r="EK459" i="6"/>
  <c r="FJ459" i="6"/>
  <c r="EP459" i="6"/>
  <c r="EQ459" i="6"/>
  <c r="GY457" i="6"/>
  <c r="EX459" i="6" l="1"/>
  <c r="EW459" i="6"/>
  <c r="AX472" i="5"/>
  <c r="BJ471" i="5"/>
  <c r="BG471" i="5"/>
  <c r="EK460" i="6"/>
  <c r="FJ460" i="6"/>
  <c r="HA458" i="6"/>
  <c r="ET458" i="6"/>
  <c r="BK467" i="5"/>
  <c r="GX458" i="6"/>
  <c r="GZ458" i="6"/>
  <c r="GV458" i="6"/>
  <c r="GY458" i="6"/>
  <c r="GT458" i="6"/>
  <c r="GW458" i="6"/>
  <c r="EM460" i="6"/>
  <c r="FF461" i="6"/>
  <c r="FB461" i="6"/>
  <c r="FH461" i="6"/>
  <c r="FG461" i="6"/>
  <c r="FC461" i="6"/>
  <c r="FI461" i="6"/>
  <c r="FD461" i="6"/>
  <c r="FE461" i="6"/>
  <c r="ES459" i="6"/>
  <c r="EL460" i="6"/>
  <c r="EQ460" i="6"/>
  <c r="EO460" i="6"/>
  <c r="EP460" i="6"/>
  <c r="ER460" i="6"/>
  <c r="BM466" i="5"/>
  <c r="BL466" i="5"/>
  <c r="GU459" i="6"/>
  <c r="EY458" i="6"/>
  <c r="EN460" i="6"/>
  <c r="EY459" i="6"/>
  <c r="EZ458" i="6"/>
  <c r="GU458" i="6"/>
  <c r="EZ459" i="6" l="1"/>
  <c r="EQ461" i="6"/>
  <c r="EO461" i="6"/>
  <c r="EM461" i="6"/>
  <c r="FE462" i="6"/>
  <c r="FG462" i="6"/>
  <c r="FC462" i="6"/>
  <c r="FD462" i="6"/>
  <c r="FI462" i="6"/>
  <c r="FB462" i="6"/>
  <c r="FF462" i="6"/>
  <c r="FH462" i="6"/>
  <c r="EQ462" i="6" s="1"/>
  <c r="EP461" i="6"/>
  <c r="BM467" i="5"/>
  <c r="BL467" i="5"/>
  <c r="BK468" i="5"/>
  <c r="ET459" i="6"/>
  <c r="GX459" i="6"/>
  <c r="GV459" i="6"/>
  <c r="GW459" i="6"/>
  <c r="HA459" i="6"/>
  <c r="GT459" i="6"/>
  <c r="GZ459" i="6"/>
  <c r="GY459" i="6"/>
  <c r="ES460" i="6"/>
  <c r="ER461" i="6"/>
  <c r="EK461" i="6"/>
  <c r="FJ461" i="6"/>
  <c r="EW460" i="6"/>
  <c r="EY460" i="6" s="1"/>
  <c r="EX460" i="6"/>
  <c r="EZ460" i="6" s="1"/>
  <c r="EN461" i="6"/>
  <c r="EW461" i="6" s="1"/>
  <c r="EL461" i="6"/>
  <c r="BJ472" i="5"/>
  <c r="AX473" i="5"/>
  <c r="BG472" i="5"/>
  <c r="BL468" i="5" l="1"/>
  <c r="BM468" i="5"/>
  <c r="EO462" i="6"/>
  <c r="EM462" i="6"/>
  <c r="EN462" i="6"/>
  <c r="FJ462" i="6"/>
  <c r="EK462" i="6"/>
  <c r="ES461" i="6"/>
  <c r="EY461" i="6" s="1"/>
  <c r="BJ473" i="5"/>
  <c r="AX474" i="5"/>
  <c r="BG473" i="5"/>
  <c r="EP462" i="6"/>
  <c r="EX461" i="6"/>
  <c r="FD463" i="6"/>
  <c r="FH463" i="6"/>
  <c r="FF463" i="6"/>
  <c r="FB463" i="6"/>
  <c r="FC463" i="6"/>
  <c r="FG463" i="6"/>
  <c r="EP463" i="6" s="1"/>
  <c r="FE463" i="6"/>
  <c r="FI463" i="6"/>
  <c r="ER462" i="6"/>
  <c r="EL462" i="6"/>
  <c r="ET460" i="6"/>
  <c r="BK469" i="5"/>
  <c r="GT460" i="6"/>
  <c r="GY460" i="6"/>
  <c r="GV460" i="6"/>
  <c r="GU460" i="6"/>
  <c r="GX460" i="6"/>
  <c r="GW460" i="6"/>
  <c r="GZ460" i="6"/>
  <c r="HA460" i="6"/>
  <c r="EZ461" i="6" l="1"/>
  <c r="EW462" i="6"/>
  <c r="EX462" i="6"/>
  <c r="FB464" i="6"/>
  <c r="FE464" i="6"/>
  <c r="FC464" i="6"/>
  <c r="FF464" i="6"/>
  <c r="FG464" i="6"/>
  <c r="FD464" i="6"/>
  <c r="FH464" i="6"/>
  <c r="FI464" i="6"/>
  <c r="ES462" i="6"/>
  <c r="GV462" i="6" s="1"/>
  <c r="EL463" i="6"/>
  <c r="BJ474" i="5"/>
  <c r="AX475" i="5"/>
  <c r="BG474" i="5"/>
  <c r="ET461" i="6"/>
  <c r="BK470" i="5"/>
  <c r="GY461" i="6"/>
  <c r="GX461" i="6"/>
  <c r="GV461" i="6"/>
  <c r="GW461" i="6"/>
  <c r="GT461" i="6"/>
  <c r="GU461" i="6"/>
  <c r="BM469" i="5"/>
  <c r="BL469" i="5"/>
  <c r="ER463" i="6"/>
  <c r="EO463" i="6"/>
  <c r="GZ461" i="6"/>
  <c r="EM463" i="6"/>
  <c r="EN463" i="6"/>
  <c r="EK463" i="6"/>
  <c r="FJ463" i="6"/>
  <c r="EQ463" i="6"/>
  <c r="HA461" i="6"/>
  <c r="EX463" i="6" l="1"/>
  <c r="EW463" i="6"/>
  <c r="GT462" i="6"/>
  <c r="BJ475" i="5"/>
  <c r="AX476" i="5"/>
  <c r="BG475" i="5"/>
  <c r="EP464" i="6"/>
  <c r="EL464" i="6"/>
  <c r="EK464" i="6"/>
  <c r="FJ464" i="6"/>
  <c r="BM470" i="5"/>
  <c r="BL470" i="5"/>
  <c r="ES463" i="6"/>
  <c r="GZ462" i="6"/>
  <c r="ET462" i="6"/>
  <c r="BK471" i="5"/>
  <c r="GX462" i="6"/>
  <c r="GU462" i="6"/>
  <c r="GW462" i="6"/>
  <c r="EM464" i="6"/>
  <c r="EY462" i="6"/>
  <c r="HA462" i="6"/>
  <c r="EZ462" i="6"/>
  <c r="FE465" i="6"/>
  <c r="FD465" i="6"/>
  <c r="FF465" i="6"/>
  <c r="FB465" i="6"/>
  <c r="FG465" i="6"/>
  <c r="FC465" i="6"/>
  <c r="FH465" i="6"/>
  <c r="FI465" i="6"/>
  <c r="ER465" i="6" s="1"/>
  <c r="ER464" i="6"/>
  <c r="EQ464" i="6"/>
  <c r="EO464" i="6"/>
  <c r="EN464" i="6"/>
  <c r="GY462" i="6"/>
  <c r="EL465" i="6" l="1"/>
  <c r="EK465" i="6"/>
  <c r="FJ465" i="6"/>
  <c r="FG466" i="6"/>
  <c r="FC466" i="6"/>
  <c r="FH466" i="6"/>
  <c r="FI466" i="6"/>
  <c r="FD466" i="6"/>
  <c r="FB466" i="6"/>
  <c r="FE466" i="6"/>
  <c r="FF466" i="6"/>
  <c r="EM465" i="6"/>
  <c r="EW464" i="6"/>
  <c r="BM471" i="5"/>
  <c r="BL471" i="5"/>
  <c r="GY463" i="6"/>
  <c r="ET463" i="6"/>
  <c r="BK472" i="5"/>
  <c r="HA463" i="6"/>
  <c r="GV463" i="6"/>
  <c r="GW463" i="6"/>
  <c r="GX463" i="6"/>
  <c r="GT463" i="6"/>
  <c r="EP465" i="6"/>
  <c r="EO465" i="6"/>
  <c r="EN465" i="6"/>
  <c r="GZ463" i="6"/>
  <c r="EZ463" i="6"/>
  <c r="EX464" i="6"/>
  <c r="EY463" i="6"/>
  <c r="EQ465" i="6"/>
  <c r="ES464" i="6"/>
  <c r="GX464" i="6" s="1"/>
  <c r="BJ476" i="5"/>
  <c r="AX477" i="5"/>
  <c r="BG476" i="5"/>
  <c r="GU463" i="6"/>
  <c r="EX465" i="6" l="1"/>
  <c r="EO466" i="6"/>
  <c r="EL466" i="6"/>
  <c r="FJ466" i="6"/>
  <c r="EK466" i="6"/>
  <c r="ER466" i="6"/>
  <c r="AX478" i="5"/>
  <c r="BJ477" i="5"/>
  <c r="BG477" i="5"/>
  <c r="EY464" i="6"/>
  <c r="BK473" i="5"/>
  <c r="ET464" i="6"/>
  <c r="GU464" i="6"/>
  <c r="GZ464" i="6"/>
  <c r="HA464" i="6"/>
  <c r="GT464" i="6"/>
  <c r="EZ464" i="6"/>
  <c r="EN466" i="6"/>
  <c r="EM466" i="6"/>
  <c r="EW465" i="6"/>
  <c r="EQ466" i="6"/>
  <c r="EP466" i="6"/>
  <c r="ES465" i="6"/>
  <c r="GY464" i="6"/>
  <c r="GV464" i="6"/>
  <c r="BL472" i="5"/>
  <c r="BM472" i="5"/>
  <c r="FF467" i="6"/>
  <c r="FB467" i="6"/>
  <c r="FC467" i="6"/>
  <c r="FE467" i="6"/>
  <c r="FD467" i="6"/>
  <c r="FG467" i="6"/>
  <c r="FI467" i="6"/>
  <c r="FH467" i="6"/>
  <c r="GW464" i="6"/>
  <c r="EP467" i="6" l="1"/>
  <c r="BM473" i="5"/>
  <c r="BL473" i="5"/>
  <c r="ET465" i="6"/>
  <c r="BK474" i="5"/>
  <c r="GW465" i="6"/>
  <c r="GT465" i="6"/>
  <c r="GY465" i="6"/>
  <c r="GZ465" i="6"/>
  <c r="GU465" i="6"/>
  <c r="EM467" i="6"/>
  <c r="EN467" i="6"/>
  <c r="EK467" i="6"/>
  <c r="EO467" i="6"/>
  <c r="FC468" i="6"/>
  <c r="FB468" i="6"/>
  <c r="FF468" i="6"/>
  <c r="FI468" i="6"/>
  <c r="ER468" i="6" s="1"/>
  <c r="FH468" i="6"/>
  <c r="FE468" i="6"/>
  <c r="FD468" i="6"/>
  <c r="FG468" i="6"/>
  <c r="ES466" i="6"/>
  <c r="EZ465" i="6"/>
  <c r="EW466" i="6"/>
  <c r="GX465" i="6"/>
  <c r="EL467" i="6"/>
  <c r="BJ478" i="5"/>
  <c r="AX479" i="5"/>
  <c r="BG478" i="5"/>
  <c r="HA465" i="6"/>
  <c r="EX466" i="6"/>
  <c r="EY465" i="6"/>
  <c r="EQ467" i="6"/>
  <c r="FJ467" i="6"/>
  <c r="ER467" i="6"/>
  <c r="GV465" i="6"/>
  <c r="EW467" i="6" l="1"/>
  <c r="EY466" i="6"/>
  <c r="EZ466" i="6"/>
  <c r="ES467" i="6"/>
  <c r="GT467" i="6" s="1"/>
  <c r="EK468" i="6"/>
  <c r="FJ468" i="6"/>
  <c r="ET466" i="6"/>
  <c r="BK475" i="5"/>
  <c r="GW466" i="6"/>
  <c r="GX466" i="6"/>
  <c r="GY466" i="6"/>
  <c r="GU466" i="6"/>
  <c r="HA466" i="6"/>
  <c r="GV466" i="6"/>
  <c r="GZ466" i="6"/>
  <c r="GT466" i="6"/>
  <c r="EX467" i="6"/>
  <c r="EO468" i="6"/>
  <c r="FF469" i="6"/>
  <c r="FE469" i="6"/>
  <c r="FG469" i="6"/>
  <c r="FD469" i="6"/>
  <c r="FI469" i="6"/>
  <c r="FH469" i="6"/>
  <c r="FB469" i="6"/>
  <c r="FC469" i="6"/>
  <c r="BL474" i="5"/>
  <c r="BM474" i="5"/>
  <c r="EM468" i="6"/>
  <c r="EN468" i="6"/>
  <c r="EQ468" i="6"/>
  <c r="EL468" i="6"/>
  <c r="BJ479" i="5"/>
  <c r="AX480" i="5"/>
  <c r="BG479" i="5"/>
  <c r="EP468" i="6"/>
  <c r="EZ467" i="6" l="1"/>
  <c r="EW468" i="6"/>
  <c r="EN469" i="6"/>
  <c r="BJ480" i="5"/>
  <c r="AX481" i="5"/>
  <c r="BG480" i="5"/>
  <c r="BM475" i="5"/>
  <c r="BL475" i="5"/>
  <c r="ES468" i="6"/>
  <c r="HA468" i="6" s="1"/>
  <c r="FC470" i="6"/>
  <c r="FD470" i="6"/>
  <c r="FG470" i="6"/>
  <c r="FB470" i="6"/>
  <c r="FH470" i="6"/>
  <c r="FE470" i="6"/>
  <c r="FI470" i="6"/>
  <c r="FF470" i="6"/>
  <c r="EL469" i="6"/>
  <c r="ER469" i="6"/>
  <c r="EY467" i="6"/>
  <c r="BK476" i="5"/>
  <c r="ET467" i="6"/>
  <c r="GZ467" i="6"/>
  <c r="GV467" i="6"/>
  <c r="GW467" i="6"/>
  <c r="GX467" i="6"/>
  <c r="HA467" i="6"/>
  <c r="EX468" i="6"/>
  <c r="EK469" i="6"/>
  <c r="FJ469" i="6"/>
  <c r="EM469" i="6"/>
  <c r="GY467" i="6"/>
  <c r="EO469" i="6"/>
  <c r="EQ469" i="6"/>
  <c r="EP469" i="6"/>
  <c r="GU467" i="6"/>
  <c r="EX469" i="6" l="1"/>
  <c r="EN470" i="6"/>
  <c r="ES469" i="6"/>
  <c r="GZ469" i="6"/>
  <c r="EQ470" i="6"/>
  <c r="GT469" i="6"/>
  <c r="ET468" i="6"/>
  <c r="BK477" i="5"/>
  <c r="GV468" i="6"/>
  <c r="GZ468" i="6"/>
  <c r="GY468" i="6"/>
  <c r="GT468" i="6"/>
  <c r="GX468" i="6"/>
  <c r="EZ468" i="6"/>
  <c r="EY468" i="6"/>
  <c r="ER470" i="6"/>
  <c r="FG471" i="6"/>
  <c r="FF471" i="6"/>
  <c r="FC471" i="6"/>
  <c r="FH471" i="6"/>
  <c r="FE471" i="6"/>
  <c r="EN471" i="6" s="1"/>
  <c r="FD471" i="6"/>
  <c r="FB471" i="6"/>
  <c r="FI471" i="6"/>
  <c r="EM470" i="6"/>
  <c r="BJ481" i="5"/>
  <c r="AX482" i="5"/>
  <c r="BG481" i="5"/>
  <c r="EO470" i="6"/>
  <c r="EP470" i="6"/>
  <c r="EL470" i="6"/>
  <c r="GW468" i="6"/>
  <c r="BL476" i="5"/>
  <c r="BM476" i="5"/>
  <c r="EW469" i="6"/>
  <c r="EK470" i="6"/>
  <c r="FJ470" i="6"/>
  <c r="GU468" i="6"/>
  <c r="EZ469" i="6" l="1"/>
  <c r="ER471" i="6"/>
  <c r="EX470" i="6"/>
  <c r="EY469" i="6"/>
  <c r="ET469" i="6"/>
  <c r="BK478" i="5"/>
  <c r="HA469" i="6"/>
  <c r="GV469" i="6"/>
  <c r="GW469" i="6"/>
  <c r="BL477" i="5"/>
  <c r="BM477" i="5"/>
  <c r="EQ471" i="6"/>
  <c r="EW470" i="6"/>
  <c r="FD472" i="6"/>
  <c r="FG472" i="6"/>
  <c r="FF472" i="6"/>
  <c r="FC472" i="6"/>
  <c r="FE472" i="6"/>
  <c r="FH472" i="6"/>
  <c r="FI472" i="6"/>
  <c r="FB472" i="6"/>
  <c r="EL471" i="6"/>
  <c r="GX469" i="6"/>
  <c r="EK471" i="6"/>
  <c r="FJ471" i="6"/>
  <c r="EO471" i="6"/>
  <c r="GY469" i="6"/>
  <c r="BJ482" i="5"/>
  <c r="AX483" i="5"/>
  <c r="BG482" i="5"/>
  <c r="EM471" i="6"/>
  <c r="EW471" i="6" s="1"/>
  <c r="ES470" i="6"/>
  <c r="EP471" i="6"/>
  <c r="GU469" i="6"/>
  <c r="EP472" i="6" l="1"/>
  <c r="EN472" i="6"/>
  <c r="EO472" i="6"/>
  <c r="EM472" i="6"/>
  <c r="EX471" i="6"/>
  <c r="ES471" i="6"/>
  <c r="EL472" i="6"/>
  <c r="EY470" i="6"/>
  <c r="ET470" i="6"/>
  <c r="BK479" i="5"/>
  <c r="GV470" i="6"/>
  <c r="GY470" i="6"/>
  <c r="GZ470" i="6"/>
  <c r="HA470" i="6"/>
  <c r="GX470" i="6"/>
  <c r="GT470" i="6"/>
  <c r="FF473" i="6"/>
  <c r="FD473" i="6"/>
  <c r="FC473" i="6"/>
  <c r="FG473" i="6"/>
  <c r="FI473" i="6"/>
  <c r="FB473" i="6"/>
  <c r="FH473" i="6"/>
  <c r="FE473" i="6"/>
  <c r="BJ483" i="5"/>
  <c r="AX484" i="5"/>
  <c r="BG483" i="5"/>
  <c r="BL478" i="5"/>
  <c r="BM478" i="5"/>
  <c r="EZ470" i="6"/>
  <c r="EK472" i="6"/>
  <c r="FJ472" i="6"/>
  <c r="ER472" i="6"/>
  <c r="GW470" i="6"/>
  <c r="EQ472" i="6"/>
  <c r="GU470" i="6"/>
  <c r="EX472" i="6" l="1"/>
  <c r="BL479" i="5"/>
  <c r="BM479" i="5"/>
  <c r="EN473" i="6"/>
  <c r="ES472" i="6"/>
  <c r="AX485" i="5"/>
  <c r="BJ484" i="5"/>
  <c r="BG484" i="5"/>
  <c r="ER473" i="6"/>
  <c r="EP473" i="6"/>
  <c r="EL473" i="6"/>
  <c r="EO473" i="6"/>
  <c r="FD474" i="6"/>
  <c r="FG474" i="6"/>
  <c r="FB474" i="6"/>
  <c r="FC474" i="6"/>
  <c r="FH474" i="6"/>
  <c r="FF474" i="6"/>
  <c r="EO474" i="6" s="1"/>
  <c r="FE474" i="6"/>
  <c r="FI474" i="6"/>
  <c r="GW471" i="6"/>
  <c r="ET471" i="6"/>
  <c r="BK480" i="5"/>
  <c r="GU471" i="6"/>
  <c r="GT471" i="6"/>
  <c r="HA471" i="6"/>
  <c r="GX471" i="6"/>
  <c r="GY471" i="6"/>
  <c r="GZ471" i="6"/>
  <c r="EZ471" i="6"/>
  <c r="GV471" i="6"/>
  <c r="EQ473" i="6"/>
  <c r="FJ473" i="6"/>
  <c r="EK473" i="6"/>
  <c r="EW472" i="6"/>
  <c r="EY472" i="6" s="1"/>
  <c r="EM473" i="6"/>
  <c r="EY471" i="6"/>
  <c r="ES473" i="6" l="1"/>
  <c r="GU473" i="6" s="1"/>
  <c r="EK474" i="6"/>
  <c r="FJ474" i="6"/>
  <c r="GT473" i="6"/>
  <c r="EM474" i="6"/>
  <c r="EL474" i="6"/>
  <c r="EX473" i="6"/>
  <c r="EZ473" i="6" s="1"/>
  <c r="FI475" i="6"/>
  <c r="FF475" i="6"/>
  <c r="FC475" i="6"/>
  <c r="FE475" i="6"/>
  <c r="FD475" i="6"/>
  <c r="FG475" i="6"/>
  <c r="FH475" i="6"/>
  <c r="EQ475" i="6" s="1"/>
  <c r="FB475" i="6"/>
  <c r="ET472" i="6"/>
  <c r="BK481" i="5"/>
  <c r="GY472" i="6"/>
  <c r="GW472" i="6"/>
  <c r="GV472" i="6"/>
  <c r="GX472" i="6"/>
  <c r="GT472" i="6"/>
  <c r="GU472" i="6"/>
  <c r="EZ472" i="6"/>
  <c r="EP474" i="6"/>
  <c r="BJ485" i="5"/>
  <c r="AX486" i="5"/>
  <c r="BG485" i="5"/>
  <c r="BM480" i="5"/>
  <c r="BL480" i="5"/>
  <c r="EW473" i="6"/>
  <c r="ER474" i="6"/>
  <c r="EN474" i="6"/>
  <c r="EW474" i="6" s="1"/>
  <c r="GZ472" i="6"/>
  <c r="EQ474" i="6"/>
  <c r="HA472" i="6"/>
  <c r="EX474" i="6" l="1"/>
  <c r="EM475" i="6"/>
  <c r="EN475" i="6"/>
  <c r="EL475" i="6"/>
  <c r="FG476" i="6"/>
  <c r="FF476" i="6"/>
  <c r="FE476" i="6"/>
  <c r="FH476" i="6"/>
  <c r="FB476" i="6"/>
  <c r="FC476" i="6"/>
  <c r="FD476" i="6"/>
  <c r="FI476" i="6"/>
  <c r="ER475" i="6"/>
  <c r="EO475" i="6"/>
  <c r="BJ486" i="5"/>
  <c r="AX487" i="5"/>
  <c r="BG486" i="5"/>
  <c r="ES474" i="6"/>
  <c r="GX474" i="6" s="1"/>
  <c r="EK475" i="6"/>
  <c r="FJ475" i="6"/>
  <c r="EP475" i="6"/>
  <c r="EY473" i="6"/>
  <c r="ET473" i="6"/>
  <c r="BK482" i="5"/>
  <c r="GY473" i="6"/>
  <c r="GZ473" i="6"/>
  <c r="GX473" i="6"/>
  <c r="GW473" i="6"/>
  <c r="HA473" i="6"/>
  <c r="BM481" i="5"/>
  <c r="BL481" i="5"/>
  <c r="GV473" i="6"/>
  <c r="EW475" i="6" l="1"/>
  <c r="EY474" i="6"/>
  <c r="GZ474" i="6"/>
  <c r="EZ474" i="6"/>
  <c r="EK476" i="6"/>
  <c r="FJ476" i="6"/>
  <c r="EX475" i="6"/>
  <c r="EM476" i="6"/>
  <c r="EL476" i="6"/>
  <c r="EQ476" i="6"/>
  <c r="EP476" i="6"/>
  <c r="ET474" i="6"/>
  <c r="BK483" i="5"/>
  <c r="GT474" i="6"/>
  <c r="GW474" i="6"/>
  <c r="GV474" i="6"/>
  <c r="GU474" i="6"/>
  <c r="HA474" i="6"/>
  <c r="FB477" i="6"/>
  <c r="FE477" i="6"/>
  <c r="FH477" i="6"/>
  <c r="FD477" i="6"/>
  <c r="FC477" i="6"/>
  <c r="FI477" i="6"/>
  <c r="ER477" i="6" s="1"/>
  <c r="FF477" i="6"/>
  <c r="FG477" i="6"/>
  <c r="BJ487" i="5"/>
  <c r="AX488" i="5"/>
  <c r="BG487" i="5"/>
  <c r="ER476" i="6"/>
  <c r="BM482" i="5"/>
  <c r="BL482" i="5"/>
  <c r="EN476" i="6"/>
  <c r="EO476" i="6"/>
  <c r="ES475" i="6"/>
  <c r="GY474" i="6"/>
  <c r="EW476" i="6" l="1"/>
  <c r="BL483" i="5"/>
  <c r="BM483" i="5"/>
  <c r="EX476" i="6"/>
  <c r="ET475" i="6"/>
  <c r="BK484" i="5"/>
  <c r="GV475" i="6"/>
  <c r="GT475" i="6"/>
  <c r="GW475" i="6"/>
  <c r="HA475" i="6"/>
  <c r="GU475" i="6"/>
  <c r="BJ488" i="5"/>
  <c r="AX489" i="5"/>
  <c r="BG488" i="5"/>
  <c r="EL477" i="6"/>
  <c r="EM477" i="6"/>
  <c r="EQ477" i="6"/>
  <c r="EN477" i="6"/>
  <c r="GY475" i="6"/>
  <c r="EY475" i="6"/>
  <c r="GZ475" i="6"/>
  <c r="FC478" i="6"/>
  <c r="FE478" i="6"/>
  <c r="FD478" i="6"/>
  <c r="FB478" i="6"/>
  <c r="FF478" i="6"/>
  <c r="FG478" i="6"/>
  <c r="FI478" i="6"/>
  <c r="FH478" i="6"/>
  <c r="EP477" i="6"/>
  <c r="EO477" i="6"/>
  <c r="EZ475" i="6"/>
  <c r="ES476" i="6"/>
  <c r="GW476" i="6" s="1"/>
  <c r="EK477" i="6"/>
  <c r="FJ477" i="6"/>
  <c r="GX475" i="6"/>
  <c r="FC479" i="6" l="1"/>
  <c r="FH479" i="6"/>
  <c r="FD479" i="6"/>
  <c r="FG479" i="6"/>
  <c r="FB479" i="6"/>
  <c r="FF479" i="6"/>
  <c r="FE479" i="6"/>
  <c r="FI479" i="6"/>
  <c r="ES477" i="6"/>
  <c r="HA477" i="6"/>
  <c r="EN478" i="6"/>
  <c r="EX477" i="6"/>
  <c r="EZ477" i="6" s="1"/>
  <c r="ET476" i="6"/>
  <c r="BK485" i="5"/>
  <c r="GT476" i="6"/>
  <c r="GZ476" i="6"/>
  <c r="GY476" i="6"/>
  <c r="GV476" i="6"/>
  <c r="GX476" i="6"/>
  <c r="ER478" i="6"/>
  <c r="EO478" i="6"/>
  <c r="EM478" i="6"/>
  <c r="EL478" i="6"/>
  <c r="EY476" i="6"/>
  <c r="EW477" i="6"/>
  <c r="HA476" i="6"/>
  <c r="BJ489" i="5"/>
  <c r="AX490" i="5"/>
  <c r="BG489" i="5"/>
  <c r="FJ478" i="6"/>
  <c r="EQ478" i="6"/>
  <c r="EP478" i="6"/>
  <c r="EK478" i="6"/>
  <c r="BM484" i="5"/>
  <c r="BL484" i="5"/>
  <c r="EZ476" i="6"/>
  <c r="GU476" i="6"/>
  <c r="ES478" i="6" l="1"/>
  <c r="GT478" i="6" s="1"/>
  <c r="EW478" i="6"/>
  <c r="ET478" i="6"/>
  <c r="AX491" i="5"/>
  <c r="BJ490" i="5"/>
  <c r="BG490" i="5"/>
  <c r="EP479" i="6"/>
  <c r="BL485" i="5"/>
  <c r="BM485" i="5"/>
  <c r="FE480" i="6"/>
  <c r="FG480" i="6"/>
  <c r="FB480" i="6"/>
  <c r="FC480" i="6"/>
  <c r="FF480" i="6"/>
  <c r="EO480" i="6" s="1"/>
  <c r="FI480" i="6"/>
  <c r="FD480" i="6"/>
  <c r="FH480" i="6"/>
  <c r="BK486" i="5"/>
  <c r="ET477" i="6"/>
  <c r="GV477" i="6"/>
  <c r="GW477" i="6"/>
  <c r="GU477" i="6"/>
  <c r="ER479" i="6"/>
  <c r="EQ479" i="6"/>
  <c r="GZ477" i="6"/>
  <c r="GY477" i="6"/>
  <c r="EX478" i="6"/>
  <c r="EY477" i="6"/>
  <c r="EN479" i="6"/>
  <c r="EO479" i="6"/>
  <c r="EK479" i="6"/>
  <c r="FJ479" i="6"/>
  <c r="EM479" i="6"/>
  <c r="EL479" i="6"/>
  <c r="GX477" i="6"/>
  <c r="GT477" i="6"/>
  <c r="EY478" i="6" l="1"/>
  <c r="GU478" i="6"/>
  <c r="GZ478" i="6"/>
  <c r="BK487" i="5"/>
  <c r="HA478" i="6"/>
  <c r="GY478" i="6"/>
  <c r="GW478" i="6"/>
  <c r="GV478" i="6"/>
  <c r="GX478" i="6"/>
  <c r="EZ478" i="6"/>
  <c r="ES479" i="6"/>
  <c r="GX479" i="6" s="1"/>
  <c r="EW479" i="6"/>
  <c r="BL486" i="5"/>
  <c r="BM486" i="5"/>
  <c r="EK480" i="6"/>
  <c r="FJ480" i="6"/>
  <c r="EM480" i="6"/>
  <c r="EX479" i="6"/>
  <c r="EZ479" i="6" s="1"/>
  <c r="EQ480" i="6"/>
  <c r="EY479" i="6"/>
  <c r="ET479" i="6"/>
  <c r="BK488" i="5"/>
  <c r="EL480" i="6"/>
  <c r="EP480" i="6"/>
  <c r="FG481" i="6"/>
  <c r="FC481" i="6"/>
  <c r="FH481" i="6"/>
  <c r="FE481" i="6"/>
  <c r="FD481" i="6"/>
  <c r="EM481" i="6" s="1"/>
  <c r="FB481" i="6"/>
  <c r="FI481" i="6"/>
  <c r="FF481" i="6"/>
  <c r="BJ491" i="5"/>
  <c r="AX492" i="5"/>
  <c r="BG491" i="5"/>
  <c r="BM487" i="5"/>
  <c r="BL487" i="5"/>
  <c r="ER480" i="6"/>
  <c r="EN480" i="6"/>
  <c r="GZ479" i="6"/>
  <c r="GU479" i="6"/>
  <c r="HA479" i="6"/>
  <c r="EW480" i="6" l="1"/>
  <c r="GT479" i="6"/>
  <c r="GV479" i="6"/>
  <c r="GW479" i="6"/>
  <c r="GY479" i="6"/>
  <c r="BJ492" i="5"/>
  <c r="AX493" i="5"/>
  <c r="BG492" i="5"/>
  <c r="EP481" i="6"/>
  <c r="EL481" i="6"/>
  <c r="GW480" i="6"/>
  <c r="BL488" i="5"/>
  <c r="BM488" i="5"/>
  <c r="EX480" i="6"/>
  <c r="EZ480" i="6" s="1"/>
  <c r="ER481" i="6"/>
  <c r="EN481" i="6"/>
  <c r="EW481" i="6" s="1"/>
  <c r="FC482" i="6"/>
  <c r="FH482" i="6"/>
  <c r="FG482" i="6"/>
  <c r="FI482" i="6"/>
  <c r="FD482" i="6"/>
  <c r="FF482" i="6"/>
  <c r="FB482" i="6"/>
  <c r="FE482" i="6"/>
  <c r="EO481" i="6"/>
  <c r="EK481" i="6"/>
  <c r="FJ481" i="6"/>
  <c r="ES480" i="6"/>
  <c r="EY480" i="6" s="1"/>
  <c r="EQ481" i="6"/>
  <c r="EX481" i="6" l="1"/>
  <c r="ER482" i="6"/>
  <c r="EQ482" i="6"/>
  <c r="EP482" i="6"/>
  <c r="FC483" i="6"/>
  <c r="FD483" i="6"/>
  <c r="FI483" i="6"/>
  <c r="FB483" i="6"/>
  <c r="FE483" i="6"/>
  <c r="FF483" i="6"/>
  <c r="EO483" i="6" s="1"/>
  <c r="FG483" i="6"/>
  <c r="FH483" i="6"/>
  <c r="EN482" i="6"/>
  <c r="EK482" i="6"/>
  <c r="FJ482" i="6"/>
  <c r="EM482" i="6"/>
  <c r="EL482" i="6"/>
  <c r="GX480" i="6"/>
  <c r="ET480" i="6"/>
  <c r="BK489" i="5"/>
  <c r="GT480" i="6"/>
  <c r="GZ480" i="6"/>
  <c r="HA480" i="6"/>
  <c r="GV480" i="6"/>
  <c r="GU480" i="6"/>
  <c r="ES481" i="6"/>
  <c r="BJ493" i="5"/>
  <c r="AX494" i="5"/>
  <c r="BG493" i="5"/>
  <c r="EO482" i="6"/>
  <c r="GY480" i="6"/>
  <c r="EW482" i="6" l="1"/>
  <c r="EQ483" i="6"/>
  <c r="ER483" i="6"/>
  <c r="BJ494" i="5"/>
  <c r="AX495" i="5"/>
  <c r="BG494" i="5"/>
  <c r="FD484" i="6"/>
  <c r="FI484" i="6"/>
  <c r="FF484" i="6"/>
  <c r="FC484" i="6"/>
  <c r="FE484" i="6"/>
  <c r="FG484" i="6"/>
  <c r="FH484" i="6"/>
  <c r="FB484" i="6"/>
  <c r="EP483" i="6"/>
  <c r="GV481" i="6"/>
  <c r="BK490" i="5"/>
  <c r="ET481" i="6"/>
  <c r="GX481" i="6"/>
  <c r="GY481" i="6"/>
  <c r="GU481" i="6"/>
  <c r="GW481" i="6"/>
  <c r="GT481" i="6"/>
  <c r="EK483" i="6"/>
  <c r="FJ483" i="6"/>
  <c r="EM483" i="6"/>
  <c r="BL489" i="5"/>
  <c r="BM489" i="5"/>
  <c r="EZ481" i="6"/>
  <c r="EY481" i="6"/>
  <c r="EX482" i="6"/>
  <c r="ES482" i="6"/>
  <c r="EN483" i="6"/>
  <c r="EL483" i="6"/>
  <c r="GZ481" i="6"/>
  <c r="HA481" i="6"/>
  <c r="EW483" i="6" l="1"/>
  <c r="EZ482" i="6"/>
  <c r="BL490" i="5"/>
  <c r="BM490" i="5"/>
  <c r="EL484" i="6"/>
  <c r="EP484" i="6"/>
  <c r="ER484" i="6"/>
  <c r="FF485" i="6"/>
  <c r="FD485" i="6"/>
  <c r="FI485" i="6"/>
  <c r="FG485" i="6"/>
  <c r="FB485" i="6"/>
  <c r="FC485" i="6"/>
  <c r="FE485" i="6"/>
  <c r="FH485" i="6"/>
  <c r="EY482" i="6"/>
  <c r="ET482" i="6"/>
  <c r="BK491" i="5"/>
  <c r="HA482" i="6"/>
  <c r="GU482" i="6"/>
  <c r="GZ482" i="6"/>
  <c r="GY482" i="6"/>
  <c r="GT482" i="6"/>
  <c r="GW482" i="6"/>
  <c r="EN484" i="6"/>
  <c r="BJ495" i="5"/>
  <c r="AX496" i="5"/>
  <c r="BG495" i="5"/>
  <c r="ES483" i="6"/>
  <c r="GT483" i="6" s="1"/>
  <c r="GX482" i="6"/>
  <c r="EK484" i="6"/>
  <c r="FJ484" i="6"/>
  <c r="EQ484" i="6"/>
  <c r="EO484" i="6"/>
  <c r="EM484" i="6"/>
  <c r="EX483" i="6"/>
  <c r="GV482" i="6"/>
  <c r="EY483" i="6" l="1"/>
  <c r="EZ483" i="6"/>
  <c r="EK485" i="6"/>
  <c r="FJ485" i="6"/>
  <c r="ER485" i="6"/>
  <c r="EQ485" i="6"/>
  <c r="GX483" i="6"/>
  <c r="ET483" i="6"/>
  <c r="BK492" i="5"/>
  <c r="HA483" i="6"/>
  <c r="GZ483" i="6"/>
  <c r="GY483" i="6"/>
  <c r="GV483" i="6"/>
  <c r="GU483" i="6"/>
  <c r="GW483" i="6"/>
  <c r="EW484" i="6"/>
  <c r="EY484" i="6" s="1"/>
  <c r="EX484" i="6"/>
  <c r="EZ484" i="6" s="1"/>
  <c r="FF486" i="6"/>
  <c r="FE486" i="6"/>
  <c r="FH486" i="6"/>
  <c r="FD486" i="6"/>
  <c r="FG486" i="6"/>
  <c r="FB486" i="6"/>
  <c r="FC486" i="6"/>
  <c r="FI486" i="6"/>
  <c r="BL491" i="5"/>
  <c r="BM491" i="5"/>
  <c r="EL485" i="6"/>
  <c r="EM485" i="6"/>
  <c r="ES484" i="6"/>
  <c r="GZ484" i="6" s="1"/>
  <c r="AX497" i="5"/>
  <c r="BJ496" i="5"/>
  <c r="BG496" i="5"/>
  <c r="GW484" i="6"/>
  <c r="EN485" i="6"/>
  <c r="EW485" i="6" s="1"/>
  <c r="EP485" i="6"/>
  <c r="EO485" i="6"/>
  <c r="ET484" i="6" l="1"/>
  <c r="BK493" i="5"/>
  <c r="GU484" i="6"/>
  <c r="GY484" i="6"/>
  <c r="HA484" i="6"/>
  <c r="GT484" i="6"/>
  <c r="EO486" i="6"/>
  <c r="BM492" i="5"/>
  <c r="BL492" i="5"/>
  <c r="BJ497" i="5"/>
  <c r="AX498" i="5"/>
  <c r="BG497" i="5"/>
  <c r="EN486" i="6"/>
  <c r="EW486" i="6" s="1"/>
  <c r="FB487" i="6"/>
  <c r="FI487" i="6"/>
  <c r="FF487" i="6"/>
  <c r="FD487" i="6"/>
  <c r="FH487" i="6"/>
  <c r="EQ487" i="6" s="1"/>
  <c r="FC487" i="6"/>
  <c r="FE487" i="6"/>
  <c r="FG487" i="6"/>
  <c r="ER486" i="6"/>
  <c r="EL486" i="6"/>
  <c r="EK486" i="6"/>
  <c r="FJ486" i="6"/>
  <c r="EM486" i="6"/>
  <c r="GX484" i="6"/>
  <c r="EX485" i="6"/>
  <c r="EP486" i="6"/>
  <c r="ES485" i="6"/>
  <c r="EQ486" i="6"/>
  <c r="GV484" i="6"/>
  <c r="EX486" i="6" l="1"/>
  <c r="ER487" i="6"/>
  <c r="ET485" i="6"/>
  <c r="BK494" i="5"/>
  <c r="GX485" i="6"/>
  <c r="GT485" i="6"/>
  <c r="GZ485" i="6"/>
  <c r="GV485" i="6"/>
  <c r="BJ498" i="5"/>
  <c r="AX499" i="5"/>
  <c r="BG498" i="5"/>
  <c r="EY485" i="6"/>
  <c r="EP487" i="6"/>
  <c r="HA485" i="6"/>
  <c r="FD488" i="6"/>
  <c r="FC488" i="6"/>
  <c r="FG488" i="6"/>
  <c r="FE488" i="6"/>
  <c r="FH488" i="6"/>
  <c r="FB488" i="6"/>
  <c r="FF488" i="6"/>
  <c r="FI488" i="6"/>
  <c r="ER488" i="6" s="1"/>
  <c r="EZ485" i="6"/>
  <c r="ES486" i="6"/>
  <c r="BM493" i="5"/>
  <c r="BL493" i="5"/>
  <c r="EL487" i="6"/>
  <c r="GW485" i="6"/>
  <c r="EM487" i="6"/>
  <c r="GY485" i="6"/>
  <c r="EZ486" i="6"/>
  <c r="FJ487" i="6"/>
  <c r="EK487" i="6"/>
  <c r="EN487" i="6"/>
  <c r="EO487" i="6"/>
  <c r="GU485" i="6"/>
  <c r="EW487" i="6" l="1"/>
  <c r="EX487" i="6"/>
  <c r="EM488" i="6"/>
  <c r="EP488" i="6"/>
  <c r="EK488" i="6"/>
  <c r="FJ488" i="6"/>
  <c r="EL488" i="6"/>
  <c r="FC489" i="6"/>
  <c r="FE489" i="6"/>
  <c r="FF489" i="6"/>
  <c r="FI489" i="6"/>
  <c r="FH489" i="6"/>
  <c r="FB489" i="6"/>
  <c r="FD489" i="6"/>
  <c r="FG489" i="6"/>
  <c r="EQ488" i="6"/>
  <c r="ES487" i="6"/>
  <c r="BJ499" i="5"/>
  <c r="AX500" i="5"/>
  <c r="BG499" i="5"/>
  <c r="BL494" i="5"/>
  <c r="BM494" i="5"/>
  <c r="EN488" i="6"/>
  <c r="ET486" i="6"/>
  <c r="BK495" i="5"/>
  <c r="GY486" i="6"/>
  <c r="GV486" i="6"/>
  <c r="HA486" i="6"/>
  <c r="GU486" i="6"/>
  <c r="GX486" i="6"/>
  <c r="GT486" i="6"/>
  <c r="GW486" i="6"/>
  <c r="GZ486" i="6"/>
  <c r="EY486" i="6"/>
  <c r="EO488" i="6"/>
  <c r="EW488" i="6" l="1"/>
  <c r="EY487" i="6"/>
  <c r="EX488" i="6"/>
  <c r="EM489" i="6"/>
  <c r="EQ489" i="6"/>
  <c r="ER489" i="6"/>
  <c r="EL489" i="6"/>
  <c r="FF490" i="6"/>
  <c r="FD490" i="6"/>
  <c r="FH490" i="6"/>
  <c r="FG490" i="6"/>
  <c r="FC490" i="6"/>
  <c r="FE490" i="6"/>
  <c r="FI490" i="6"/>
  <c r="FB490" i="6"/>
  <c r="GZ487" i="6"/>
  <c r="ET487" i="6"/>
  <c r="BK496" i="5"/>
  <c r="GW487" i="6"/>
  <c r="HA487" i="6"/>
  <c r="GU487" i="6"/>
  <c r="GV487" i="6"/>
  <c r="GT487" i="6"/>
  <c r="GX487" i="6"/>
  <c r="GY487" i="6"/>
  <c r="EK489" i="6"/>
  <c r="FJ489" i="6"/>
  <c r="EN489" i="6"/>
  <c r="ES488" i="6"/>
  <c r="BJ500" i="5"/>
  <c r="AX501" i="5"/>
  <c r="BG500" i="5"/>
  <c r="EP489" i="6"/>
  <c r="EO489" i="6"/>
  <c r="BM495" i="5"/>
  <c r="BL495" i="5"/>
  <c r="EZ487" i="6"/>
  <c r="EZ488" i="6" l="1"/>
  <c r="EY488" i="6"/>
  <c r="AX502" i="5"/>
  <c r="BJ501" i="5"/>
  <c r="BG501" i="5"/>
  <c r="FI491" i="6"/>
  <c r="FH491" i="6"/>
  <c r="FE491" i="6"/>
  <c r="FF491" i="6"/>
  <c r="FC491" i="6"/>
  <c r="FG491" i="6"/>
  <c r="FB491" i="6"/>
  <c r="FD491" i="6"/>
  <c r="EM491" i="6" s="1"/>
  <c r="EP490" i="6"/>
  <c r="EM490" i="6"/>
  <c r="BL496" i="5"/>
  <c r="BM496" i="5"/>
  <c r="FJ490" i="6"/>
  <c r="EK490" i="6"/>
  <c r="ER490" i="6"/>
  <c r="EN490" i="6"/>
  <c r="EL490" i="6"/>
  <c r="EQ490" i="6"/>
  <c r="HA488" i="6"/>
  <c r="BK497" i="5"/>
  <c r="ET488" i="6"/>
  <c r="GV488" i="6"/>
  <c r="GY488" i="6"/>
  <c r="GW488" i="6"/>
  <c r="GT488" i="6"/>
  <c r="GZ488" i="6"/>
  <c r="GX488" i="6"/>
  <c r="EW489" i="6"/>
  <c r="EO490" i="6"/>
  <c r="ES489" i="6"/>
  <c r="EX489" i="6"/>
  <c r="GU488" i="6"/>
  <c r="EZ489" i="6" l="1"/>
  <c r="ES490" i="6"/>
  <c r="HA490" i="6" s="1"/>
  <c r="GY490" i="6"/>
  <c r="GV490" i="6"/>
  <c r="ET489" i="6"/>
  <c r="BK498" i="5"/>
  <c r="GV489" i="6"/>
  <c r="GZ489" i="6"/>
  <c r="GX489" i="6"/>
  <c r="HA489" i="6"/>
  <c r="GT489" i="6"/>
  <c r="EK491" i="6"/>
  <c r="FJ491" i="6"/>
  <c r="EL491" i="6"/>
  <c r="EO491" i="6"/>
  <c r="GZ490" i="6"/>
  <c r="ER491" i="6"/>
  <c r="EW490" i="6"/>
  <c r="EY490" i="6" s="1"/>
  <c r="EY489" i="6"/>
  <c r="BL497" i="5"/>
  <c r="BM497" i="5"/>
  <c r="EQ491" i="6"/>
  <c r="GU489" i="6"/>
  <c r="GT490" i="6"/>
  <c r="ET490" i="6"/>
  <c r="BK499" i="5"/>
  <c r="GX490" i="6"/>
  <c r="EP491" i="6"/>
  <c r="EN491" i="6"/>
  <c r="EW491" i="6" s="1"/>
  <c r="EX490" i="6"/>
  <c r="EZ490" i="6" s="1"/>
  <c r="FH492" i="6"/>
  <c r="FF492" i="6"/>
  <c r="FC492" i="6"/>
  <c r="FI492" i="6"/>
  <c r="FE492" i="6"/>
  <c r="FD492" i="6"/>
  <c r="EM492" i="6" s="1"/>
  <c r="FG492" i="6"/>
  <c r="FB492" i="6"/>
  <c r="BJ502" i="5"/>
  <c r="AX503" i="5"/>
  <c r="BG502" i="5"/>
  <c r="GW489" i="6"/>
  <c r="GY489" i="6"/>
  <c r="GW490" i="6" l="1"/>
  <c r="GU490" i="6"/>
  <c r="EN492" i="6"/>
  <c r="EW492" i="6" s="1"/>
  <c r="ER492" i="6"/>
  <c r="BM499" i="5"/>
  <c r="BL499" i="5"/>
  <c r="EP492" i="6"/>
  <c r="EO492" i="6"/>
  <c r="BM498" i="5"/>
  <c r="BL498" i="5"/>
  <c r="EQ492" i="6"/>
  <c r="BJ503" i="5"/>
  <c r="AX504" i="5"/>
  <c r="BG503" i="5"/>
  <c r="EX491" i="6"/>
  <c r="EL492" i="6"/>
  <c r="ES491" i="6"/>
  <c r="EY491" i="6" s="1"/>
  <c r="FB493" i="6"/>
  <c r="FG493" i="6"/>
  <c r="FH493" i="6"/>
  <c r="FI493" i="6"/>
  <c r="FF493" i="6"/>
  <c r="FC493" i="6"/>
  <c r="FE493" i="6"/>
  <c r="FD493" i="6"/>
  <c r="EK492" i="6"/>
  <c r="FJ492" i="6"/>
  <c r="GV491" i="6" l="1"/>
  <c r="EX492" i="6"/>
  <c r="EZ491" i="6"/>
  <c r="BJ504" i="5"/>
  <c r="BG504" i="5"/>
  <c r="EO493" i="6"/>
  <c r="EP493" i="6"/>
  <c r="EN493" i="6"/>
  <c r="FB494" i="6"/>
  <c r="FF494" i="6"/>
  <c r="FI494" i="6"/>
  <c r="FC494" i="6"/>
  <c r="EL494" i="6" s="1"/>
  <c r="FE494" i="6"/>
  <c r="FD494" i="6"/>
  <c r="EM494" i="6" s="1"/>
  <c r="FH494" i="6"/>
  <c r="FG494" i="6"/>
  <c r="ES492" i="6"/>
  <c r="EM493" i="6"/>
  <c r="EL493" i="6"/>
  <c r="ER493" i="6"/>
  <c r="EQ493" i="6"/>
  <c r="EK493" i="6"/>
  <c r="FJ493" i="6"/>
  <c r="ET491" i="6"/>
  <c r="BK500" i="5"/>
  <c r="GY491" i="6"/>
  <c r="GZ491" i="6"/>
  <c r="GT491" i="6"/>
  <c r="GU491" i="6"/>
  <c r="GW491" i="6"/>
  <c r="GX491" i="6"/>
  <c r="HA491" i="6"/>
  <c r="EQ494" i="6" l="1"/>
  <c r="EN494" i="6"/>
  <c r="EW494" i="6" s="1"/>
  <c r="ER494" i="6"/>
  <c r="EP494" i="6"/>
  <c r="ET492" i="6"/>
  <c r="BK501" i="5"/>
  <c r="GU492" i="6"/>
  <c r="GW492" i="6"/>
  <c r="HA492" i="6"/>
  <c r="GT492" i="6"/>
  <c r="GY492" i="6"/>
  <c r="GX492" i="6"/>
  <c r="GV492" i="6"/>
  <c r="EY492" i="6"/>
  <c r="EK494" i="6"/>
  <c r="ES494" i="6" s="1"/>
  <c r="FJ494" i="6"/>
  <c r="ES493" i="6"/>
  <c r="EX493" i="6"/>
  <c r="FC495" i="6"/>
  <c r="FE495" i="6"/>
  <c r="FB495" i="6"/>
  <c r="FD495" i="6"/>
  <c r="FG495" i="6"/>
  <c r="FF495" i="6"/>
  <c r="FI495" i="6"/>
  <c r="FH495" i="6"/>
  <c r="EO494" i="6"/>
  <c r="BL500" i="5"/>
  <c r="BM500" i="5"/>
  <c r="EW493" i="6"/>
  <c r="GZ492" i="6"/>
  <c r="EZ492" i="6"/>
  <c r="EZ493" i="6" l="1"/>
  <c r="EY493" i="6"/>
  <c r="GU494" i="6"/>
  <c r="ET494" i="6"/>
  <c r="BK503" i="5"/>
  <c r="GX494" i="6"/>
  <c r="EP495" i="6"/>
  <c r="GZ494" i="6"/>
  <c r="GV494" i="6"/>
  <c r="BM501" i="5"/>
  <c r="BL501" i="5"/>
  <c r="GY494" i="6"/>
  <c r="EM495" i="6"/>
  <c r="GW494" i="6"/>
  <c r="EY494" i="6"/>
  <c r="EX494" i="6"/>
  <c r="EZ494" i="6" s="1"/>
  <c r="GT494" i="6"/>
  <c r="EQ495" i="6"/>
  <c r="ER495" i="6"/>
  <c r="EO495" i="6"/>
  <c r="HA494" i="6"/>
  <c r="EK495" i="6"/>
  <c r="FJ495" i="6"/>
  <c r="EN495" i="6"/>
  <c r="EL495" i="6"/>
  <c r="ET493" i="6"/>
  <c r="BK502" i="5"/>
  <c r="GX493" i="6"/>
  <c r="GZ493" i="6"/>
  <c r="GU493" i="6"/>
  <c r="HA493" i="6"/>
  <c r="GT493" i="6"/>
  <c r="GW493" i="6"/>
  <c r="GY493" i="6"/>
  <c r="GV493" i="6"/>
  <c r="BL502" i="5" l="1"/>
  <c r="BM502" i="5"/>
  <c r="BM503" i="5"/>
  <c r="BL503" i="5"/>
  <c r="EX495" i="6"/>
  <c r="EW495" i="6"/>
  <c r="ES495" i="6"/>
  <c r="BK504" i="5" l="1"/>
  <c r="ET495" i="6"/>
  <c r="GT495" i="6"/>
  <c r="GW495" i="6"/>
  <c r="GZ495" i="6"/>
  <c r="GU495" i="6"/>
  <c r="GV495" i="6"/>
  <c r="EY495" i="6"/>
  <c r="GX495" i="6"/>
  <c r="EZ495" i="6"/>
  <c r="GY495" i="6"/>
  <c r="HA495" i="6"/>
  <c r="BM504" i="5" l="1"/>
  <c r="BL504" i="5"/>
  <c r="C119" i="12"/>
  <c r="C107" i="12"/>
  <c r="C95" i="12"/>
  <c r="C83" i="12"/>
  <c r="C71" i="12"/>
  <c r="C59" i="12"/>
  <c r="C47" i="12"/>
  <c r="C35" i="12"/>
  <c r="C118" i="12"/>
  <c r="C106" i="12"/>
  <c r="C94" i="12"/>
  <c r="C82" i="12"/>
  <c r="C70" i="12"/>
  <c r="C58" i="12"/>
  <c r="C46" i="12"/>
  <c r="C34" i="12"/>
  <c r="C117" i="12"/>
  <c r="C105" i="12"/>
  <c r="C93" i="12"/>
  <c r="C81" i="12"/>
  <c r="C69" i="12"/>
  <c r="C57" i="12"/>
  <c r="C45" i="12"/>
  <c r="C33" i="12"/>
  <c r="C92" i="12"/>
  <c r="C80" i="12"/>
  <c r="C68" i="12"/>
  <c r="C56" i="12"/>
  <c r="C44" i="12"/>
  <c r="C32" i="12"/>
  <c r="C115" i="12"/>
  <c r="C103" i="12"/>
  <c r="C91" i="12"/>
  <c r="C79" i="12"/>
  <c r="C67" i="12"/>
  <c r="C55" i="12"/>
  <c r="C43" i="12"/>
  <c r="C31" i="12"/>
  <c r="C114" i="12"/>
  <c r="C102" i="12"/>
  <c r="C90" i="12"/>
  <c r="C78" i="12"/>
  <c r="C66" i="12"/>
  <c r="C54" i="12"/>
  <c r="C42" i="12"/>
  <c r="C30" i="12"/>
  <c r="C113" i="12"/>
  <c r="C101" i="12"/>
  <c r="C89" i="12"/>
  <c r="C77" i="12"/>
  <c r="C65" i="12"/>
  <c r="C53" i="12"/>
  <c r="C41" i="12"/>
  <c r="C29" i="12"/>
  <c r="C112" i="12"/>
  <c r="C100" i="12"/>
  <c r="C88" i="12"/>
  <c r="C76" i="12"/>
  <c r="C64" i="12"/>
  <c r="C52" i="12"/>
  <c r="C40" i="12"/>
  <c r="C28" i="12"/>
  <c r="C111" i="12"/>
  <c r="C99" i="12"/>
  <c r="C75" i="12"/>
  <c r="C63" i="12"/>
  <c r="C51" i="12"/>
  <c r="C39" i="12"/>
  <c r="C27" i="12"/>
  <c r="C110" i="12"/>
  <c r="C98" i="12"/>
  <c r="C86" i="12"/>
  <c r="C74" i="12"/>
  <c r="C62" i="12"/>
  <c r="C50" i="12"/>
  <c r="C38" i="12"/>
  <c r="C26" i="12"/>
  <c r="C109" i="12"/>
  <c r="C97" i="12"/>
  <c r="C85" i="12"/>
  <c r="C73" i="12"/>
  <c r="C61" i="12"/>
  <c r="C49" i="12"/>
  <c r="C37" i="12"/>
  <c r="C25" i="12"/>
  <c r="C72" i="12"/>
  <c r="C60" i="12"/>
  <c r="C48" i="12"/>
  <c r="C36" i="12"/>
  <c r="C24" i="12"/>
  <c r="O72" i="12" l="1"/>
  <c r="P72" i="12" s="1"/>
  <c r="J72" i="12"/>
  <c r="L72" i="12" s="1"/>
  <c r="C72" i="13"/>
  <c r="J51" i="12"/>
  <c r="L51" i="12" s="1"/>
  <c r="N51" i="12" s="1"/>
  <c r="O51" i="12"/>
  <c r="P51" i="12" s="1"/>
  <c r="O30" i="12"/>
  <c r="P30" i="12" s="1"/>
  <c r="J30" i="12"/>
  <c r="L30" i="12" s="1"/>
  <c r="N30" i="12" s="1"/>
  <c r="C104" i="12"/>
  <c r="O83" i="12"/>
  <c r="P83" i="12" s="1"/>
  <c r="J83" i="12"/>
  <c r="L83" i="12" s="1"/>
  <c r="C83" i="13" s="1"/>
  <c r="C84" i="12"/>
  <c r="O63" i="12"/>
  <c r="P63" i="12" s="1"/>
  <c r="J63" i="12"/>
  <c r="L63" i="12" s="1"/>
  <c r="O42" i="12"/>
  <c r="P42" i="12" s="1"/>
  <c r="J42" i="12"/>
  <c r="L42" i="12" s="1"/>
  <c r="N42" i="12" s="1"/>
  <c r="C116" i="12"/>
  <c r="O95" i="12"/>
  <c r="P95" i="12" s="1"/>
  <c r="J95" i="12"/>
  <c r="L95" i="12" s="1"/>
  <c r="C95" i="13"/>
  <c r="C96" i="12"/>
  <c r="J75" i="12"/>
  <c r="L75" i="12" s="1"/>
  <c r="C75" i="13" s="1"/>
  <c r="O75" i="12"/>
  <c r="P75" i="12" s="1"/>
  <c r="J54" i="12"/>
  <c r="L54" i="12" s="1"/>
  <c r="N54" i="12" s="1"/>
  <c r="O54" i="12"/>
  <c r="P54" i="12" s="1"/>
  <c r="O33" i="12"/>
  <c r="P33" i="12" s="1"/>
  <c r="J33" i="12"/>
  <c r="L33" i="12" s="1"/>
  <c r="N33" i="12" s="1"/>
  <c r="J107" i="12"/>
  <c r="L107" i="12" s="1"/>
  <c r="O107" i="12"/>
  <c r="P107" i="12" s="1"/>
  <c r="C108" i="12"/>
  <c r="C87" i="12"/>
  <c r="O66" i="12"/>
  <c r="P66" i="12" s="1"/>
  <c r="J66" i="12"/>
  <c r="L66" i="12" s="1"/>
  <c r="C66" i="13"/>
  <c r="J45" i="12"/>
  <c r="L45" i="12" s="1"/>
  <c r="N45" i="12" s="1"/>
  <c r="O45" i="12"/>
  <c r="P45" i="12" s="1"/>
  <c r="J119" i="12"/>
  <c r="L119" i="12" s="1"/>
  <c r="O119" i="12"/>
  <c r="P119" i="12" s="1"/>
  <c r="O99" i="12"/>
  <c r="P99" i="12" s="1"/>
  <c r="J99" i="12"/>
  <c r="L99" i="12" s="1"/>
  <c r="C99" i="13"/>
  <c r="J37" i="12"/>
  <c r="L37" i="12" s="1"/>
  <c r="N37" i="12" s="1"/>
  <c r="O37" i="12"/>
  <c r="P37" i="12" s="1"/>
  <c r="J111" i="12"/>
  <c r="L111" i="12" s="1"/>
  <c r="O111" i="12"/>
  <c r="P111" i="12" s="1"/>
  <c r="O90" i="12"/>
  <c r="P90" i="12" s="1"/>
  <c r="J90" i="12"/>
  <c r="L90" i="12" s="1"/>
  <c r="C90" i="13"/>
  <c r="O69" i="12"/>
  <c r="P69" i="12" s="1"/>
  <c r="J69" i="12"/>
  <c r="L69" i="12" s="1"/>
  <c r="O49" i="12"/>
  <c r="P49" i="12" s="1"/>
  <c r="J49" i="12"/>
  <c r="L49" i="12" s="1"/>
  <c r="N49" i="12" s="1"/>
  <c r="J28" i="12"/>
  <c r="L28" i="12" s="1"/>
  <c r="N28" i="12" s="1"/>
  <c r="O28" i="12"/>
  <c r="P28" i="12" s="1"/>
  <c r="J102" i="12"/>
  <c r="L102" i="12" s="1"/>
  <c r="O102" i="12"/>
  <c r="P102" i="12" s="1"/>
  <c r="O81" i="12"/>
  <c r="P81" i="12" s="1"/>
  <c r="J81" i="12"/>
  <c r="L81" i="12" s="1"/>
  <c r="C81" i="13"/>
  <c r="O61" i="12"/>
  <c r="P61" i="12" s="1"/>
  <c r="J61" i="12"/>
  <c r="L61" i="12" s="1"/>
  <c r="N61" i="12" s="1"/>
  <c r="O40" i="12"/>
  <c r="P40" i="12" s="1"/>
  <c r="J40" i="12"/>
  <c r="L40" i="12" s="1"/>
  <c r="N40" i="12" s="1"/>
  <c r="O114" i="12"/>
  <c r="P114" i="12" s="1"/>
  <c r="J114" i="12"/>
  <c r="L114" i="12" s="1"/>
  <c r="C114" i="13" s="1"/>
  <c r="J93" i="12"/>
  <c r="L93" i="12" s="1"/>
  <c r="C93" i="13" s="1"/>
  <c r="O93" i="12"/>
  <c r="P93" i="12" s="1"/>
  <c r="O25" i="12"/>
  <c r="P25" i="12" s="1"/>
  <c r="J25" i="12"/>
  <c r="L25" i="12" s="1"/>
  <c r="N25" i="12" s="1"/>
  <c r="J26" i="12"/>
  <c r="L26" i="12" s="1"/>
  <c r="N26" i="12" s="1"/>
  <c r="O26" i="12"/>
  <c r="P26" i="12" s="1"/>
  <c r="J100" i="12"/>
  <c r="L100" i="12" s="1"/>
  <c r="O100" i="12"/>
  <c r="P100" i="12" s="1"/>
  <c r="C100" i="13"/>
  <c r="O79" i="12"/>
  <c r="P79" i="12" s="1"/>
  <c r="J79" i="12"/>
  <c r="L79" i="12" s="1"/>
  <c r="O58" i="12"/>
  <c r="P58" i="12" s="1"/>
  <c r="J58" i="12"/>
  <c r="L58" i="12" s="1"/>
  <c r="N58" i="12" s="1"/>
  <c r="J64" i="12"/>
  <c r="L64" i="12" s="1"/>
  <c r="O64" i="12"/>
  <c r="P64" i="12" s="1"/>
  <c r="C64" i="13"/>
  <c r="J34" i="12"/>
  <c r="L34" i="12" s="1"/>
  <c r="N34" i="12" s="1"/>
  <c r="O34" i="12"/>
  <c r="P34" i="12" s="1"/>
  <c r="O38" i="12"/>
  <c r="P38" i="12" s="1"/>
  <c r="J38" i="12"/>
  <c r="L38" i="12" s="1"/>
  <c r="N38" i="12" s="1"/>
  <c r="J112" i="12"/>
  <c r="L112" i="12" s="1"/>
  <c r="C112" i="13" s="1"/>
  <c r="O112" i="12"/>
  <c r="P112" i="12" s="1"/>
  <c r="J91" i="12"/>
  <c r="L91" i="12" s="1"/>
  <c r="O91" i="12"/>
  <c r="P91" i="12" s="1"/>
  <c r="J70" i="12"/>
  <c r="L70" i="12" s="1"/>
  <c r="O70" i="12"/>
  <c r="P70" i="12" s="1"/>
  <c r="O117" i="12"/>
  <c r="P117" i="12" s="1"/>
  <c r="J117" i="12"/>
  <c r="L117" i="12" s="1"/>
  <c r="O76" i="12"/>
  <c r="P76" i="12" s="1"/>
  <c r="J76" i="12"/>
  <c r="L76" i="12" s="1"/>
  <c r="J50" i="12"/>
  <c r="L50" i="12" s="1"/>
  <c r="N50" i="12" s="1"/>
  <c r="O50" i="12"/>
  <c r="P50" i="12" s="1"/>
  <c r="O29" i="12"/>
  <c r="P29" i="12" s="1"/>
  <c r="J29" i="12"/>
  <c r="L29" i="12" s="1"/>
  <c r="N29" i="12" s="1"/>
  <c r="J103" i="12"/>
  <c r="L103" i="12" s="1"/>
  <c r="O103" i="12"/>
  <c r="P103" i="12" s="1"/>
  <c r="C103" i="13"/>
  <c r="O82" i="12"/>
  <c r="P82" i="12" s="1"/>
  <c r="J82" i="12"/>
  <c r="L82" i="12" s="1"/>
  <c r="C82" i="13"/>
  <c r="O52" i="12"/>
  <c r="P52" i="12" s="1"/>
  <c r="J52" i="12"/>
  <c r="L52" i="12" s="1"/>
  <c r="N52" i="12" s="1"/>
  <c r="O88" i="12"/>
  <c r="P88" i="12" s="1"/>
  <c r="J88" i="12"/>
  <c r="L88" i="12" s="1"/>
  <c r="J62" i="12"/>
  <c r="L62" i="12" s="1"/>
  <c r="N62" i="12" s="1"/>
  <c r="O62" i="12"/>
  <c r="P62" i="12" s="1"/>
  <c r="J41" i="12"/>
  <c r="L41" i="12" s="1"/>
  <c r="N41" i="12" s="1"/>
  <c r="O41" i="12"/>
  <c r="P41" i="12" s="1"/>
  <c r="O115" i="12"/>
  <c r="P115" i="12" s="1"/>
  <c r="J115" i="12"/>
  <c r="L115" i="12" s="1"/>
  <c r="C115" i="13"/>
  <c r="O94" i="12"/>
  <c r="P94" i="12" s="1"/>
  <c r="J94" i="12"/>
  <c r="L94" i="12" s="1"/>
  <c r="O78" i="12"/>
  <c r="P78" i="12" s="1"/>
  <c r="J78" i="12"/>
  <c r="L78" i="12" s="1"/>
  <c r="C78" i="13" s="1"/>
  <c r="J74" i="12"/>
  <c r="L74" i="12" s="1"/>
  <c r="C74" i="13" s="1"/>
  <c r="O74" i="12"/>
  <c r="P74" i="12" s="1"/>
  <c r="J53" i="12"/>
  <c r="L53" i="12" s="1"/>
  <c r="N53" i="12" s="1"/>
  <c r="O53" i="12"/>
  <c r="P53" i="12" s="1"/>
  <c r="J32" i="12"/>
  <c r="L32" i="12" s="1"/>
  <c r="N32" i="12" s="1"/>
  <c r="O32" i="12"/>
  <c r="P32" i="12" s="1"/>
  <c r="J106" i="12"/>
  <c r="L106" i="12" s="1"/>
  <c r="C106" i="13" s="1"/>
  <c r="O106" i="12"/>
  <c r="P106" i="12" s="1"/>
  <c r="J31" i="12"/>
  <c r="L31" i="12" s="1"/>
  <c r="N31" i="12" s="1"/>
  <c r="O31" i="12"/>
  <c r="P31" i="12" s="1"/>
  <c r="J43" i="12"/>
  <c r="L43" i="12" s="1"/>
  <c r="N43" i="12" s="1"/>
  <c r="O43" i="12"/>
  <c r="P43" i="12" s="1"/>
  <c r="O55" i="12"/>
  <c r="P55" i="12" s="1"/>
  <c r="J55" i="12"/>
  <c r="L55" i="12" s="1"/>
  <c r="N55" i="12" s="1"/>
  <c r="J67" i="12"/>
  <c r="L67" i="12" s="1"/>
  <c r="O67" i="12"/>
  <c r="P67" i="12" s="1"/>
  <c r="C67" i="13"/>
  <c r="O86" i="12"/>
  <c r="P86" i="12" s="1"/>
  <c r="J86" i="12"/>
  <c r="L86" i="12" s="1"/>
  <c r="C86" i="13"/>
  <c r="J65" i="12"/>
  <c r="L65" i="12" s="1"/>
  <c r="O65" i="12"/>
  <c r="P65" i="12" s="1"/>
  <c r="C65" i="13"/>
  <c r="O44" i="12"/>
  <c r="P44" i="12" s="1"/>
  <c r="J44" i="12"/>
  <c r="L44" i="12" s="1"/>
  <c r="N44" i="12" s="1"/>
  <c r="J118" i="12"/>
  <c r="L118" i="12" s="1"/>
  <c r="O118" i="12"/>
  <c r="P118" i="12" s="1"/>
  <c r="J85" i="12"/>
  <c r="L85" i="12" s="1"/>
  <c r="O85" i="12"/>
  <c r="P85" i="12" s="1"/>
  <c r="J24" i="12"/>
  <c r="L24" i="12" s="1"/>
  <c r="N24" i="12" s="1"/>
  <c r="O24" i="12"/>
  <c r="P24" i="12" s="1"/>
  <c r="O98" i="12"/>
  <c r="P98" i="12" s="1"/>
  <c r="J98" i="12"/>
  <c r="L98" i="12" s="1"/>
  <c r="C98" i="13" s="1"/>
  <c r="O77" i="12"/>
  <c r="P77" i="12" s="1"/>
  <c r="J77" i="12"/>
  <c r="L77" i="12" s="1"/>
  <c r="C77" i="13" s="1"/>
  <c r="J56" i="12"/>
  <c r="L56" i="12" s="1"/>
  <c r="N56" i="12" s="1"/>
  <c r="O56" i="12"/>
  <c r="P56" i="12" s="1"/>
  <c r="O35" i="12"/>
  <c r="P35" i="12" s="1"/>
  <c r="J35" i="12"/>
  <c r="L35" i="12" s="1"/>
  <c r="N35" i="12" s="1"/>
  <c r="O105" i="12"/>
  <c r="P105" i="12" s="1"/>
  <c r="J105" i="12"/>
  <c r="L105" i="12" s="1"/>
  <c r="O46" i="12"/>
  <c r="P46" i="12" s="1"/>
  <c r="J46" i="12"/>
  <c r="L46" i="12" s="1"/>
  <c r="N46" i="12" s="1"/>
  <c r="J36" i="12"/>
  <c r="L36" i="12" s="1"/>
  <c r="N36" i="12" s="1"/>
  <c r="O36" i="12"/>
  <c r="P36" i="12" s="1"/>
  <c r="J110" i="12"/>
  <c r="L110" i="12" s="1"/>
  <c r="C110" i="13" s="1"/>
  <c r="O110" i="12"/>
  <c r="P110" i="12" s="1"/>
  <c r="J89" i="12"/>
  <c r="L89" i="12" s="1"/>
  <c r="O89" i="12"/>
  <c r="P89" i="12" s="1"/>
  <c r="J68" i="12"/>
  <c r="L68" i="12" s="1"/>
  <c r="C68" i="13" s="1"/>
  <c r="O68" i="12"/>
  <c r="P68" i="12" s="1"/>
  <c r="O47" i="12"/>
  <c r="P47" i="12" s="1"/>
  <c r="J47" i="12"/>
  <c r="L47" i="12" s="1"/>
  <c r="N47" i="12" s="1"/>
  <c r="J57" i="12"/>
  <c r="L57" i="12" s="1"/>
  <c r="N57" i="12" s="1"/>
  <c r="O57" i="12"/>
  <c r="P57" i="12" s="1"/>
  <c r="O48" i="12"/>
  <c r="P48" i="12" s="1"/>
  <c r="J48" i="12"/>
  <c r="L48" i="12" s="1"/>
  <c r="N48" i="12" s="1"/>
  <c r="J27" i="12"/>
  <c r="L27" i="12" s="1"/>
  <c r="N27" i="12" s="1"/>
  <c r="O27" i="12"/>
  <c r="P27" i="12" s="1"/>
  <c r="J101" i="12"/>
  <c r="L101" i="12" s="1"/>
  <c r="O101" i="12"/>
  <c r="P101" i="12" s="1"/>
  <c r="C101" i="13"/>
  <c r="J80" i="12"/>
  <c r="L80" i="12" s="1"/>
  <c r="C80" i="13" s="1"/>
  <c r="O80" i="12"/>
  <c r="P80" i="12" s="1"/>
  <c r="O59" i="12"/>
  <c r="P59" i="12" s="1"/>
  <c r="J59" i="12"/>
  <c r="L59" i="12" s="1"/>
  <c r="N59" i="12" s="1"/>
  <c r="J73" i="12"/>
  <c r="L73" i="12" s="1"/>
  <c r="O73" i="12"/>
  <c r="P73" i="12" s="1"/>
  <c r="C73" i="13"/>
  <c r="O97" i="12"/>
  <c r="P97" i="12" s="1"/>
  <c r="J97" i="12"/>
  <c r="L97" i="12" s="1"/>
  <c r="C97" i="13"/>
  <c r="O109" i="12"/>
  <c r="P109" i="12" s="1"/>
  <c r="J109" i="12"/>
  <c r="L109" i="12" s="1"/>
  <c r="O60" i="12"/>
  <c r="P60" i="12" s="1"/>
  <c r="J60" i="12"/>
  <c r="L60" i="12" s="1"/>
  <c r="N60" i="12" s="1"/>
  <c r="J39" i="12"/>
  <c r="L39" i="12" s="1"/>
  <c r="N39" i="12" s="1"/>
  <c r="O39" i="12"/>
  <c r="P39" i="12" s="1"/>
  <c r="O113" i="12"/>
  <c r="P113" i="12" s="1"/>
  <c r="J113" i="12"/>
  <c r="L113" i="12" s="1"/>
  <c r="J92" i="12"/>
  <c r="L92" i="12" s="1"/>
  <c r="O92" i="12"/>
  <c r="P92" i="12" s="1"/>
  <c r="C92" i="13"/>
  <c r="J71" i="12"/>
  <c r="L71" i="12" s="1"/>
  <c r="O71" i="12"/>
  <c r="P71" i="12" s="1"/>
  <c r="C71" i="13"/>
  <c r="B95" i="13" l="1"/>
  <c r="E95" i="13"/>
  <c r="I95" i="13"/>
  <c r="F95" i="13"/>
  <c r="H95" i="13"/>
  <c r="G95" i="13"/>
  <c r="N95" i="12"/>
  <c r="H86" i="13"/>
  <c r="F86" i="13"/>
  <c r="G86" i="13"/>
  <c r="N86" i="12"/>
  <c r="B86" i="13"/>
  <c r="I86" i="13"/>
  <c r="E86" i="13"/>
  <c r="O87" i="12"/>
  <c r="P87" i="12" s="1"/>
  <c r="J87" i="12"/>
  <c r="L87" i="12" s="1"/>
  <c r="C87" i="13" s="1"/>
  <c r="H90" i="13"/>
  <c r="I90" i="13"/>
  <c r="G90" i="13"/>
  <c r="E90" i="13"/>
  <c r="N90" i="12"/>
  <c r="F90" i="13"/>
  <c r="B90" i="13"/>
  <c r="J104" i="12"/>
  <c r="L104" i="12" s="1"/>
  <c r="O104" i="12"/>
  <c r="P104" i="12" s="1"/>
  <c r="C104" i="13"/>
  <c r="O108" i="12"/>
  <c r="P108" i="12" s="1"/>
  <c r="J108" i="12"/>
  <c r="L108" i="12" s="1"/>
  <c r="C108" i="13" s="1"/>
  <c r="B72" i="13"/>
  <c r="I72" i="13"/>
  <c r="G72" i="13"/>
  <c r="F72" i="13"/>
  <c r="H72" i="13"/>
  <c r="E72" i="13"/>
  <c r="N72" i="12"/>
  <c r="B98" i="13"/>
  <c r="I98" i="13"/>
  <c r="F98" i="13"/>
  <c r="H98" i="13"/>
  <c r="G98" i="13"/>
  <c r="E98" i="13"/>
  <c r="N98" i="12"/>
  <c r="C107" i="13"/>
  <c r="B107" i="13"/>
  <c r="F107" i="13"/>
  <c r="I107" i="13"/>
  <c r="G107" i="13"/>
  <c r="H107" i="13"/>
  <c r="E107" i="13"/>
  <c r="N107" i="12"/>
  <c r="J95" i="13"/>
  <c r="C76" i="13"/>
  <c r="B76" i="13"/>
  <c r="E76" i="13"/>
  <c r="I76" i="13"/>
  <c r="G76" i="13"/>
  <c r="F76" i="13"/>
  <c r="H76" i="13"/>
  <c r="N76" i="12"/>
  <c r="H81" i="13"/>
  <c r="F81" i="13"/>
  <c r="I81" i="13"/>
  <c r="N81" i="12"/>
  <c r="G81" i="13"/>
  <c r="E81" i="13"/>
  <c r="B81" i="13"/>
  <c r="J81" i="13" s="1"/>
  <c r="B99" i="13"/>
  <c r="N99" i="12"/>
  <c r="G99" i="13"/>
  <c r="E99" i="13"/>
  <c r="F99" i="13"/>
  <c r="H99" i="13"/>
  <c r="I99" i="13"/>
  <c r="C63" i="13"/>
  <c r="E63" i="13"/>
  <c r="I63" i="13"/>
  <c r="G63" i="13"/>
  <c r="B63" i="13"/>
  <c r="H63" i="13"/>
  <c r="N63" i="12"/>
  <c r="F63" i="13"/>
  <c r="I68" i="13"/>
  <c r="B68" i="13"/>
  <c r="H68" i="13"/>
  <c r="E68" i="13"/>
  <c r="F68" i="13"/>
  <c r="N68" i="12"/>
  <c r="G68" i="13"/>
  <c r="C89" i="13"/>
  <c r="I89" i="13"/>
  <c r="F89" i="13"/>
  <c r="H89" i="13"/>
  <c r="G89" i="13"/>
  <c r="N89" i="12"/>
  <c r="B89" i="13"/>
  <c r="E89" i="13"/>
  <c r="E115" i="13"/>
  <c r="N115" i="12"/>
  <c r="G115" i="13"/>
  <c r="H115" i="13"/>
  <c r="F115" i="13"/>
  <c r="I115" i="13"/>
  <c r="B115" i="13"/>
  <c r="C79" i="13"/>
  <c r="G79" i="13"/>
  <c r="B79" i="13"/>
  <c r="J79" i="13" s="1"/>
  <c r="F79" i="13"/>
  <c r="N79" i="12"/>
  <c r="H79" i="13"/>
  <c r="E79" i="13"/>
  <c r="I79" i="13"/>
  <c r="B105" i="13"/>
  <c r="I105" i="13"/>
  <c r="F105" i="13"/>
  <c r="N105" i="12"/>
  <c r="G105" i="13"/>
  <c r="H105" i="13"/>
  <c r="E105" i="13"/>
  <c r="G119" i="13"/>
  <c r="F119" i="13"/>
  <c r="E119" i="13"/>
  <c r="N119" i="12"/>
  <c r="I119" i="13"/>
  <c r="H119" i="13"/>
  <c r="B119" i="13"/>
  <c r="B82" i="13"/>
  <c r="J82" i="13" s="1"/>
  <c r="I82" i="13"/>
  <c r="H82" i="13"/>
  <c r="F82" i="13"/>
  <c r="E82" i="13"/>
  <c r="N82" i="12"/>
  <c r="G82" i="13"/>
  <c r="I66" i="13"/>
  <c r="H66" i="13"/>
  <c r="N66" i="12"/>
  <c r="E66" i="13"/>
  <c r="G66" i="13"/>
  <c r="B66" i="13"/>
  <c r="F66" i="13"/>
  <c r="H71" i="13"/>
  <c r="B71" i="13"/>
  <c r="G71" i="13"/>
  <c r="N71" i="12"/>
  <c r="E71" i="13"/>
  <c r="F71" i="13"/>
  <c r="I71" i="13"/>
  <c r="C117" i="13"/>
  <c r="I117" i="13"/>
  <c r="H117" i="13"/>
  <c r="B117" i="13"/>
  <c r="F117" i="13"/>
  <c r="G117" i="13"/>
  <c r="E117" i="13"/>
  <c r="N117" i="12"/>
  <c r="C109" i="13"/>
  <c r="H109" i="13"/>
  <c r="I109" i="13"/>
  <c r="B109" i="13"/>
  <c r="G109" i="13"/>
  <c r="F109" i="13"/>
  <c r="N109" i="12"/>
  <c r="E109" i="13"/>
  <c r="C111" i="13"/>
  <c r="G111" i="13"/>
  <c r="I111" i="13"/>
  <c r="B111" i="13"/>
  <c r="N111" i="12"/>
  <c r="F111" i="13"/>
  <c r="H111" i="13"/>
  <c r="E111" i="13"/>
  <c r="G64" i="13"/>
  <c r="I64" i="13"/>
  <c r="B64" i="13"/>
  <c r="H64" i="13"/>
  <c r="F64" i="13"/>
  <c r="E64" i="13"/>
  <c r="N64" i="12"/>
  <c r="B67" i="13"/>
  <c r="I67" i="13"/>
  <c r="N67" i="12"/>
  <c r="G67" i="13"/>
  <c r="E67" i="13"/>
  <c r="H67" i="13"/>
  <c r="F67" i="13"/>
  <c r="G110" i="13"/>
  <c r="E110" i="13"/>
  <c r="N110" i="12"/>
  <c r="I110" i="13"/>
  <c r="F110" i="13"/>
  <c r="H110" i="13"/>
  <c r="B110" i="13"/>
  <c r="C102" i="13"/>
  <c r="I102" i="13"/>
  <c r="E102" i="13"/>
  <c r="G102" i="13"/>
  <c r="F102" i="13"/>
  <c r="N102" i="12"/>
  <c r="H102" i="13"/>
  <c r="B102" i="13"/>
  <c r="J84" i="12"/>
  <c r="L84" i="12" s="1"/>
  <c r="C84" i="13" s="1"/>
  <c r="O84" i="12"/>
  <c r="P84" i="12" s="1"/>
  <c r="B83" i="13"/>
  <c r="J83" i="13" s="1"/>
  <c r="G83" i="13"/>
  <c r="N83" i="12"/>
  <c r="I83" i="13"/>
  <c r="F83" i="13"/>
  <c r="E83" i="13"/>
  <c r="H83" i="13"/>
  <c r="I78" i="13"/>
  <c r="G78" i="13"/>
  <c r="N78" i="12"/>
  <c r="E78" i="13"/>
  <c r="F78" i="13"/>
  <c r="B78" i="13"/>
  <c r="J78" i="13" s="1"/>
  <c r="H78" i="13"/>
  <c r="B112" i="13"/>
  <c r="N112" i="12"/>
  <c r="E112" i="13"/>
  <c r="I112" i="13"/>
  <c r="G112" i="13"/>
  <c r="H112" i="13"/>
  <c r="F112" i="13"/>
  <c r="J72" i="13"/>
  <c r="C94" i="13"/>
  <c r="N94" i="12"/>
  <c r="I94" i="13"/>
  <c r="B94" i="13"/>
  <c r="H94" i="13"/>
  <c r="E94" i="13"/>
  <c r="G94" i="13"/>
  <c r="F94" i="13"/>
  <c r="B100" i="13"/>
  <c r="H100" i="13"/>
  <c r="I100" i="13"/>
  <c r="G100" i="13"/>
  <c r="F100" i="13"/>
  <c r="E100" i="13"/>
  <c r="N100" i="12"/>
  <c r="N118" i="12"/>
  <c r="H118" i="13"/>
  <c r="F118" i="13"/>
  <c r="B118" i="13"/>
  <c r="I118" i="13"/>
  <c r="E118" i="13"/>
  <c r="G118" i="13"/>
  <c r="B91" i="13"/>
  <c r="G91" i="13"/>
  <c r="F91" i="13"/>
  <c r="H91" i="13"/>
  <c r="E91" i="13"/>
  <c r="N91" i="12"/>
  <c r="I91" i="13"/>
  <c r="E69" i="13"/>
  <c r="I69" i="13"/>
  <c r="H69" i="13"/>
  <c r="F69" i="13"/>
  <c r="G69" i="13"/>
  <c r="N69" i="12"/>
  <c r="B69" i="13"/>
  <c r="G93" i="13"/>
  <c r="H93" i="13"/>
  <c r="I93" i="13"/>
  <c r="N93" i="12"/>
  <c r="E93" i="13"/>
  <c r="B93" i="13"/>
  <c r="F93" i="13"/>
  <c r="N92" i="12"/>
  <c r="I92" i="13"/>
  <c r="G92" i="13"/>
  <c r="B92" i="13"/>
  <c r="H92" i="13"/>
  <c r="E92" i="13"/>
  <c r="F92" i="13"/>
  <c r="C113" i="13"/>
  <c r="B113" i="13"/>
  <c r="N113" i="12"/>
  <c r="E113" i="13"/>
  <c r="I113" i="13"/>
  <c r="F113" i="13"/>
  <c r="G113" i="13"/>
  <c r="H113" i="13"/>
  <c r="C70" i="13"/>
  <c r="H70" i="13"/>
  <c r="E70" i="13"/>
  <c r="N70" i="12"/>
  <c r="G70" i="13"/>
  <c r="B70" i="13"/>
  <c r="F70" i="13"/>
  <c r="I70" i="13"/>
  <c r="G75" i="13"/>
  <c r="E75" i="13"/>
  <c r="H75" i="13"/>
  <c r="F75" i="13"/>
  <c r="I75" i="13"/>
  <c r="B75" i="13"/>
  <c r="J75" i="13" s="1"/>
  <c r="N75" i="12"/>
  <c r="F65" i="13"/>
  <c r="H65" i="13"/>
  <c r="E65" i="13"/>
  <c r="N65" i="12"/>
  <c r="B65" i="13"/>
  <c r="I65" i="13"/>
  <c r="G65" i="13"/>
  <c r="H97" i="13"/>
  <c r="E97" i="13"/>
  <c r="B97" i="13"/>
  <c r="F97" i="13"/>
  <c r="G97" i="13"/>
  <c r="N97" i="12"/>
  <c r="I97" i="13"/>
  <c r="H114" i="13"/>
  <c r="I114" i="13"/>
  <c r="F114" i="13"/>
  <c r="E114" i="13"/>
  <c r="N114" i="12"/>
  <c r="G114" i="13"/>
  <c r="B114" i="13"/>
  <c r="J116" i="12"/>
  <c r="L116" i="12" s="1"/>
  <c r="O116" i="12"/>
  <c r="P116" i="12" s="1"/>
  <c r="B101" i="13"/>
  <c r="F101" i="13"/>
  <c r="N101" i="12"/>
  <c r="I101" i="13"/>
  <c r="G101" i="13"/>
  <c r="E101" i="13"/>
  <c r="H101" i="13"/>
  <c r="C118" i="13"/>
  <c r="C88" i="13"/>
  <c r="F88" i="13"/>
  <c r="I88" i="13"/>
  <c r="H88" i="13"/>
  <c r="N88" i="12"/>
  <c r="G88" i="13"/>
  <c r="E88" i="13"/>
  <c r="B88" i="13"/>
  <c r="C91" i="13"/>
  <c r="C119" i="13"/>
  <c r="I74" i="13"/>
  <c r="F74" i="13"/>
  <c r="B74" i="13"/>
  <c r="J74" i="13" s="1"/>
  <c r="G74" i="13"/>
  <c r="H74" i="13"/>
  <c r="N74" i="12"/>
  <c r="E74" i="13"/>
  <c r="G103" i="13"/>
  <c r="E103" i="13"/>
  <c r="F103" i="13"/>
  <c r="N103" i="12"/>
  <c r="B103" i="13"/>
  <c r="H103" i="13"/>
  <c r="I103" i="13"/>
  <c r="I77" i="13"/>
  <c r="B77" i="13"/>
  <c r="J77" i="13" s="1"/>
  <c r="E77" i="13"/>
  <c r="F77" i="13"/>
  <c r="H77" i="13"/>
  <c r="G77" i="13"/>
  <c r="N77" i="12"/>
  <c r="B73" i="13"/>
  <c r="J73" i="13" s="1"/>
  <c r="F73" i="13"/>
  <c r="E73" i="13"/>
  <c r="N73" i="12"/>
  <c r="H73" i="13"/>
  <c r="G73" i="13"/>
  <c r="I73" i="13"/>
  <c r="B80" i="13"/>
  <c r="J80" i="13" s="1"/>
  <c r="I80" i="13"/>
  <c r="G80" i="13"/>
  <c r="N80" i="12"/>
  <c r="E80" i="13"/>
  <c r="F80" i="13"/>
  <c r="H80" i="13"/>
  <c r="C85" i="13"/>
  <c r="B85" i="13"/>
  <c r="F85" i="13"/>
  <c r="E85" i="13"/>
  <c r="N85" i="12"/>
  <c r="G85" i="13"/>
  <c r="I85" i="13"/>
  <c r="H85" i="13"/>
  <c r="C105" i="13"/>
  <c r="J105" i="13" s="1"/>
  <c r="E106" i="13"/>
  <c r="I106" i="13"/>
  <c r="B106" i="13"/>
  <c r="H106" i="13"/>
  <c r="F106" i="13"/>
  <c r="G106" i="13"/>
  <c r="N106" i="12"/>
  <c r="C69" i="13"/>
  <c r="O96" i="12"/>
  <c r="P96" i="12" s="1"/>
  <c r="J96" i="12"/>
  <c r="L96" i="12" s="1"/>
  <c r="J101" i="13" l="1"/>
  <c r="J92" i="13"/>
  <c r="J67" i="13"/>
  <c r="J76" i="13"/>
  <c r="K88" i="13"/>
  <c r="K90" i="13"/>
  <c r="K69" i="13"/>
  <c r="K78" i="13"/>
  <c r="K73" i="13"/>
  <c r="K86" i="13"/>
  <c r="K72" i="13"/>
  <c r="K109" i="13"/>
  <c r="K105" i="13"/>
  <c r="K89" i="13"/>
  <c r="K117" i="13"/>
  <c r="K80" i="13"/>
  <c r="K101" i="13"/>
  <c r="K100" i="13"/>
  <c r="K71" i="13"/>
  <c r="J86" i="13"/>
  <c r="J70" i="13"/>
  <c r="J93" i="13"/>
  <c r="J109" i="13"/>
  <c r="J119" i="13"/>
  <c r="K91" i="13"/>
  <c r="J85" i="13"/>
  <c r="K118" i="13"/>
  <c r="J118" i="13"/>
  <c r="F84" i="13"/>
  <c r="I84" i="13"/>
  <c r="G84" i="13"/>
  <c r="B84" i="13"/>
  <c r="E84" i="13"/>
  <c r="N84" i="12"/>
  <c r="H84" i="13"/>
  <c r="K66" i="13"/>
  <c r="G87" i="13"/>
  <c r="H87" i="13"/>
  <c r="B87" i="13"/>
  <c r="F87" i="13"/>
  <c r="N87" i="12"/>
  <c r="I87" i="13"/>
  <c r="E87" i="13"/>
  <c r="K87" i="13" s="1"/>
  <c r="J71" i="13"/>
  <c r="K85" i="13"/>
  <c r="J89" i="13"/>
  <c r="J66" i="13"/>
  <c r="K93" i="13"/>
  <c r="J102" i="13"/>
  <c r="K99" i="13"/>
  <c r="K107" i="13"/>
  <c r="K83" i="13"/>
  <c r="J88" i="13"/>
  <c r="K63" i="13"/>
  <c r="C96" i="13"/>
  <c r="G96" i="13"/>
  <c r="N96" i="12"/>
  <c r="H96" i="13"/>
  <c r="F96" i="13"/>
  <c r="B96" i="13"/>
  <c r="I96" i="13"/>
  <c r="E96" i="13"/>
  <c r="K97" i="13"/>
  <c r="K112" i="13"/>
  <c r="K64" i="13"/>
  <c r="J114" i="13"/>
  <c r="K92" i="13"/>
  <c r="K75" i="13"/>
  <c r="J103" i="13"/>
  <c r="K79" i="13"/>
  <c r="J115" i="13"/>
  <c r="J111" i="13"/>
  <c r="K115" i="13"/>
  <c r="K70" i="13"/>
  <c r="J69" i="13"/>
  <c r="J112" i="13"/>
  <c r="J94" i="13"/>
  <c r="K102" i="13"/>
  <c r="J64" i="13"/>
  <c r="K82" i="13"/>
  <c r="K81" i="13"/>
  <c r="J107" i="13"/>
  <c r="J91" i="13"/>
  <c r="F108" i="13"/>
  <c r="E108" i="13"/>
  <c r="H108" i="13"/>
  <c r="B108" i="13"/>
  <c r="N108" i="12"/>
  <c r="I108" i="13"/>
  <c r="G108" i="13"/>
  <c r="K108" i="13" s="1"/>
  <c r="K103" i="13"/>
  <c r="J98" i="13"/>
  <c r="J65" i="13"/>
  <c r="K68" i="13"/>
  <c r="H104" i="13"/>
  <c r="I104" i="13"/>
  <c r="E104" i="13"/>
  <c r="G104" i="13"/>
  <c r="F104" i="13"/>
  <c r="B104" i="13"/>
  <c r="N104" i="12"/>
  <c r="J113" i="13"/>
  <c r="K106" i="13"/>
  <c r="K110" i="13"/>
  <c r="J117" i="13"/>
  <c r="J99" i="13"/>
  <c r="J90" i="13"/>
  <c r="K95" i="13"/>
  <c r="I116" i="13"/>
  <c r="E116" i="13"/>
  <c r="N116" i="12"/>
  <c r="F116" i="13"/>
  <c r="G116" i="13"/>
  <c r="H116" i="13"/>
  <c r="B116" i="13"/>
  <c r="K94" i="13"/>
  <c r="J63" i="13"/>
  <c r="K114" i="13"/>
  <c r="K77" i="13"/>
  <c r="J97" i="13"/>
  <c r="K74" i="13"/>
  <c r="K65" i="13"/>
  <c r="K113" i="13"/>
  <c r="J110" i="13"/>
  <c r="K111" i="13"/>
  <c r="J68" i="13"/>
  <c r="K119" i="13"/>
  <c r="K76" i="13"/>
  <c r="K67" i="13"/>
  <c r="J106" i="13"/>
  <c r="C116" i="13"/>
  <c r="J100" i="13"/>
  <c r="K98" i="13"/>
  <c r="J87" i="13" l="1"/>
  <c r="K96" i="13"/>
  <c r="J84" i="13"/>
  <c r="J116" i="13"/>
  <c r="J104" i="13"/>
  <c r="K116" i="13"/>
  <c r="K104" i="13"/>
  <c r="J96" i="13"/>
  <c r="K84" i="13"/>
  <c r="J108" i="13"/>
  <c r="C180" i="12" l="1"/>
  <c r="O180" i="12" l="1"/>
  <c r="P180" i="12" s="1"/>
  <c r="J180" i="12"/>
  <c r="L180" i="12" s="1"/>
  <c r="C180" i="13" l="1"/>
  <c r="F180" i="13"/>
  <c r="H180" i="13"/>
  <c r="G180" i="13"/>
  <c r="E180" i="13"/>
  <c r="N180" i="12"/>
  <c r="N192" i="12" s="1"/>
  <c r="B180" i="13"/>
  <c r="I180" i="13"/>
  <c r="J180" i="13" l="1"/>
  <c r="N204" i="12"/>
  <c r="L192" i="12"/>
  <c r="K180" i="13"/>
  <c r="E192" i="12" l="1"/>
  <c r="F192" i="12"/>
  <c r="F192" i="13" s="1"/>
  <c r="G192" i="12"/>
  <c r="G192" i="13" s="1"/>
  <c r="D192" i="12"/>
  <c r="B192" i="12"/>
  <c r="H192" i="12"/>
  <c r="H192" i="13" s="1"/>
  <c r="C192" i="12"/>
  <c r="N216" i="12"/>
  <c r="L204" i="12"/>
  <c r="B204" i="12" l="1"/>
  <c r="G204" i="12"/>
  <c r="G204" i="13" s="1"/>
  <c r="E204" i="12"/>
  <c r="F204" i="12"/>
  <c r="F204" i="13" s="1"/>
  <c r="C204" i="12"/>
  <c r="H204" i="12"/>
  <c r="H204" i="13" s="1"/>
  <c r="L216" i="12"/>
  <c r="N228" i="12"/>
  <c r="I192" i="12"/>
  <c r="I192" i="13" s="1"/>
  <c r="C192" i="13"/>
  <c r="J192" i="12"/>
  <c r="B192" i="13"/>
  <c r="D204" i="12"/>
  <c r="D192" i="13"/>
  <c r="E192" i="13"/>
  <c r="I204" i="12" l="1"/>
  <c r="I204" i="13" s="1"/>
  <c r="J192" i="13"/>
  <c r="B204" i="13"/>
  <c r="B216" i="12"/>
  <c r="D216" i="12"/>
  <c r="G216" i="12"/>
  <c r="G216" i="13" s="1"/>
  <c r="F216" i="12"/>
  <c r="F216" i="13" s="1"/>
  <c r="E216" i="12"/>
  <c r="H216" i="12"/>
  <c r="H216" i="13" s="1"/>
  <c r="C216" i="12"/>
  <c r="K192" i="12"/>
  <c r="K192" i="13" s="1"/>
  <c r="J204" i="12"/>
  <c r="C204" i="13"/>
  <c r="O192" i="12"/>
  <c r="P192" i="12" s="1"/>
  <c r="E204" i="13"/>
  <c r="D204" i="13"/>
  <c r="O204" i="12"/>
  <c r="P204" i="12" s="1"/>
  <c r="L228" i="12"/>
  <c r="N240" i="12"/>
  <c r="K204" i="12" l="1"/>
  <c r="K204" i="13" s="1"/>
  <c r="N252" i="12"/>
  <c r="L240" i="12"/>
  <c r="B228" i="12"/>
  <c r="D228" i="12"/>
  <c r="E228" i="12"/>
  <c r="C228" i="12"/>
  <c r="G228" i="12"/>
  <c r="G228" i="13" s="1"/>
  <c r="F228" i="12"/>
  <c r="F228" i="13" s="1"/>
  <c r="H228" i="12"/>
  <c r="H228" i="13" s="1"/>
  <c r="O192" i="13"/>
  <c r="P192" i="13" s="1"/>
  <c r="B216" i="13"/>
  <c r="I216" i="12"/>
  <c r="I216" i="13" s="1"/>
  <c r="C216" i="13"/>
  <c r="J216" i="12"/>
  <c r="E216" i="13"/>
  <c r="J204" i="13"/>
  <c r="O204" i="13" s="1"/>
  <c r="P204" i="13" s="1"/>
  <c r="D216" i="13"/>
  <c r="I228" i="12" l="1"/>
  <c r="I228" i="13" s="1"/>
  <c r="C228" i="13"/>
  <c r="J228" i="12"/>
  <c r="E228" i="13"/>
  <c r="K228" i="12"/>
  <c r="K228" i="13" s="1"/>
  <c r="O216" i="12"/>
  <c r="P216" i="12" s="1"/>
  <c r="D228" i="13"/>
  <c r="O228" i="12"/>
  <c r="P228" i="12" s="1"/>
  <c r="L252" i="12"/>
  <c r="N264" i="12"/>
  <c r="C240" i="12"/>
  <c r="F240" i="12"/>
  <c r="F240" i="13" s="1"/>
  <c r="D240" i="12"/>
  <c r="B240" i="12"/>
  <c r="G240" i="12"/>
  <c r="G240" i="13" s="1"/>
  <c r="E240" i="12"/>
  <c r="H240" i="12"/>
  <c r="H240" i="13" s="1"/>
  <c r="B228" i="13"/>
  <c r="K216" i="12"/>
  <c r="K216" i="13" s="1"/>
  <c r="J216" i="13"/>
  <c r="I240" i="12" l="1"/>
  <c r="I240" i="13" s="1"/>
  <c r="O216" i="13"/>
  <c r="P216" i="13" s="1"/>
  <c r="J228" i="13"/>
  <c r="O228" i="13" s="1"/>
  <c r="P228" i="13" s="1"/>
  <c r="E240" i="13"/>
  <c r="B240" i="13"/>
  <c r="D240" i="13"/>
  <c r="O240" i="12"/>
  <c r="P240" i="12" s="1"/>
  <c r="J240" i="12"/>
  <c r="C240" i="13"/>
  <c r="N276" i="12"/>
  <c r="L264" i="12"/>
  <c r="D252" i="12"/>
  <c r="C252" i="12"/>
  <c r="B252" i="12"/>
  <c r="G252" i="12"/>
  <c r="G252" i="13" s="1"/>
  <c r="F252" i="12"/>
  <c r="F252" i="13" s="1"/>
  <c r="H252" i="12"/>
  <c r="H252" i="13" s="1"/>
  <c r="E252" i="12"/>
  <c r="K240" i="12" l="1"/>
  <c r="K240" i="13" s="1"/>
  <c r="I252" i="12"/>
  <c r="I252" i="13" s="1"/>
  <c r="E252" i="13"/>
  <c r="K252" i="12"/>
  <c r="K252" i="13" s="1"/>
  <c r="B252" i="13"/>
  <c r="J240" i="13"/>
  <c r="C252" i="13"/>
  <c r="J252" i="12"/>
  <c r="D252" i="13"/>
  <c r="C264" i="12"/>
  <c r="B264" i="12"/>
  <c r="F264" i="12"/>
  <c r="F264" i="13" s="1"/>
  <c r="H264" i="12"/>
  <c r="H264" i="13" s="1"/>
  <c r="G264" i="12"/>
  <c r="G264" i="13" s="1"/>
  <c r="D264" i="12"/>
  <c r="E264" i="12"/>
  <c r="N288" i="12"/>
  <c r="L276" i="12"/>
  <c r="O252" i="12" l="1"/>
  <c r="P252" i="12" s="1"/>
  <c r="O240" i="13"/>
  <c r="P240" i="13" s="1"/>
  <c r="I264" i="12"/>
  <c r="I264" i="13" s="1"/>
  <c r="E264" i="13"/>
  <c r="D264" i="13"/>
  <c r="L288" i="12"/>
  <c r="N300" i="12"/>
  <c r="J252" i="13"/>
  <c r="O252" i="13" s="1"/>
  <c r="P252" i="13" s="1"/>
  <c r="C276" i="12"/>
  <c r="B276" i="12"/>
  <c r="F276" i="12"/>
  <c r="F276" i="13" s="1"/>
  <c r="E276" i="12"/>
  <c r="H276" i="12"/>
  <c r="H276" i="13" s="1"/>
  <c r="G276" i="12"/>
  <c r="G276" i="13" s="1"/>
  <c r="D276" i="12"/>
  <c r="B264" i="13"/>
  <c r="J264" i="12"/>
  <c r="C264" i="13"/>
  <c r="O264" i="12" l="1"/>
  <c r="P264" i="12" s="1"/>
  <c r="K264" i="12"/>
  <c r="K264" i="13" s="1"/>
  <c r="I276" i="12"/>
  <c r="I276" i="13" s="1"/>
  <c r="H288" i="12"/>
  <c r="H288" i="13" s="1"/>
  <c r="G288" i="12"/>
  <c r="G288" i="13" s="1"/>
  <c r="B288" i="12"/>
  <c r="F288" i="12"/>
  <c r="F288" i="13" s="1"/>
  <c r="E288" i="12"/>
  <c r="D288" i="12"/>
  <c r="C288" i="12"/>
  <c r="N312" i="12"/>
  <c r="L300" i="12"/>
  <c r="J264" i="13"/>
  <c r="O264" i="13" s="1"/>
  <c r="P264" i="13" s="1"/>
  <c r="D276" i="13"/>
  <c r="E276" i="13"/>
  <c r="J276" i="12"/>
  <c r="C276" i="13"/>
  <c r="B276" i="13"/>
  <c r="K276" i="12" l="1"/>
  <c r="K276" i="13" s="1"/>
  <c r="O276" i="12"/>
  <c r="P276" i="12" s="1"/>
  <c r="I288" i="12"/>
  <c r="I288" i="13" s="1"/>
  <c r="N324" i="12"/>
  <c r="L312" i="12"/>
  <c r="C288" i="13"/>
  <c r="J288" i="12"/>
  <c r="D288" i="13"/>
  <c r="E288" i="13"/>
  <c r="C300" i="12"/>
  <c r="G300" i="12"/>
  <c r="G300" i="13" s="1"/>
  <c r="B300" i="12"/>
  <c r="F300" i="12"/>
  <c r="F300" i="13" s="1"/>
  <c r="D300" i="12"/>
  <c r="H300" i="12"/>
  <c r="H300" i="13" s="1"/>
  <c r="E300" i="12"/>
  <c r="J276" i="13"/>
  <c r="B288" i="13"/>
  <c r="O288" i="12" l="1"/>
  <c r="P288" i="12" s="1"/>
  <c r="K288" i="12"/>
  <c r="K288" i="13" s="1"/>
  <c r="O276" i="13"/>
  <c r="P276" i="13" s="1"/>
  <c r="C300" i="13"/>
  <c r="J300" i="12"/>
  <c r="B300" i="13"/>
  <c r="J288" i="13"/>
  <c r="O288" i="13" s="1"/>
  <c r="P288" i="13" s="1"/>
  <c r="I300" i="12"/>
  <c r="I300" i="13" s="1"/>
  <c r="E300" i="13"/>
  <c r="L324" i="12"/>
  <c r="N336" i="12"/>
  <c r="C312" i="12"/>
  <c r="B312" i="12"/>
  <c r="F312" i="12"/>
  <c r="F312" i="13" s="1"/>
  <c r="E312" i="12"/>
  <c r="H312" i="12"/>
  <c r="H312" i="13" s="1"/>
  <c r="G312" i="12"/>
  <c r="G312" i="13" s="1"/>
  <c r="D312" i="12"/>
  <c r="D300" i="13"/>
  <c r="O300" i="12" l="1"/>
  <c r="P300" i="12" s="1"/>
  <c r="K300" i="12"/>
  <c r="K300" i="13" s="1"/>
  <c r="I312" i="12"/>
  <c r="I312" i="13" s="1"/>
  <c r="L336" i="12"/>
  <c r="N348" i="12"/>
  <c r="B324" i="12"/>
  <c r="E324" i="12"/>
  <c r="D324" i="12"/>
  <c r="F324" i="12"/>
  <c r="F324" i="13" s="1"/>
  <c r="H324" i="12"/>
  <c r="H324" i="13" s="1"/>
  <c r="G324" i="12"/>
  <c r="G324" i="13" s="1"/>
  <c r="C324" i="12"/>
  <c r="J300" i="13"/>
  <c r="D312" i="13"/>
  <c r="E312" i="13"/>
  <c r="B312" i="13"/>
  <c r="J312" i="12"/>
  <c r="C312" i="13"/>
  <c r="O312" i="12" l="1"/>
  <c r="P312" i="12" s="1"/>
  <c r="O300" i="13"/>
  <c r="P300" i="13" s="1"/>
  <c r="K312" i="12"/>
  <c r="K312" i="13" s="1"/>
  <c r="I324" i="12"/>
  <c r="I324" i="13" s="1"/>
  <c r="J324" i="12"/>
  <c r="C324" i="13"/>
  <c r="J312" i="13"/>
  <c r="D324" i="13"/>
  <c r="B324" i="13"/>
  <c r="N360" i="12"/>
  <c r="L348" i="12"/>
  <c r="H336" i="12"/>
  <c r="H336" i="13" s="1"/>
  <c r="G336" i="12"/>
  <c r="G336" i="13" s="1"/>
  <c r="C336" i="12"/>
  <c r="D336" i="12"/>
  <c r="F336" i="12"/>
  <c r="F336" i="13" s="1"/>
  <c r="E336" i="12"/>
  <c r="B336" i="12"/>
  <c r="E324" i="13"/>
  <c r="O324" i="12" l="1"/>
  <c r="P324" i="12" s="1"/>
  <c r="O312" i="13"/>
  <c r="P312" i="13" s="1"/>
  <c r="K324" i="12"/>
  <c r="K324" i="13" s="1"/>
  <c r="I336" i="12"/>
  <c r="I336" i="13" s="1"/>
  <c r="J324" i="13"/>
  <c r="B336" i="13"/>
  <c r="E336" i="13"/>
  <c r="K336" i="12"/>
  <c r="K336" i="13" s="1"/>
  <c r="N372" i="12"/>
  <c r="L360" i="12"/>
  <c r="D336" i="13"/>
  <c r="O336" i="12"/>
  <c r="P336" i="12" s="1"/>
  <c r="J336" i="12"/>
  <c r="C336" i="13"/>
  <c r="C348" i="12"/>
  <c r="B348" i="12"/>
  <c r="H348" i="12"/>
  <c r="H348" i="13" s="1"/>
  <c r="G348" i="12"/>
  <c r="G348" i="13" s="1"/>
  <c r="E348" i="12"/>
  <c r="F348" i="12"/>
  <c r="F348" i="13" s="1"/>
  <c r="D348" i="12"/>
  <c r="O324" i="13" l="1"/>
  <c r="P324" i="13" s="1"/>
  <c r="I348" i="12"/>
  <c r="I348" i="13" s="1"/>
  <c r="L372" i="12"/>
  <c r="N384" i="12"/>
  <c r="C360" i="12"/>
  <c r="B360" i="12"/>
  <c r="G360" i="12"/>
  <c r="G360" i="13" s="1"/>
  <c r="E360" i="12"/>
  <c r="H360" i="12"/>
  <c r="H360" i="13" s="1"/>
  <c r="D360" i="12"/>
  <c r="F360" i="12"/>
  <c r="F360" i="13" s="1"/>
  <c r="J336" i="13"/>
  <c r="O336" i="13" s="1"/>
  <c r="P336" i="13" s="1"/>
  <c r="D348" i="13"/>
  <c r="E348" i="13"/>
  <c r="B348" i="13"/>
  <c r="C348" i="13"/>
  <c r="J348" i="12"/>
  <c r="K348" i="12" l="1"/>
  <c r="K348" i="13" s="1"/>
  <c r="O348" i="12"/>
  <c r="P348" i="12" s="1"/>
  <c r="I360" i="12"/>
  <c r="I360" i="13" s="1"/>
  <c r="D360" i="13"/>
  <c r="B360" i="13"/>
  <c r="J360" i="12"/>
  <c r="C360" i="13"/>
  <c r="N396" i="12"/>
  <c r="L384" i="12"/>
  <c r="J348" i="13"/>
  <c r="O348" i="13" s="1"/>
  <c r="P348" i="13" s="1"/>
  <c r="G372" i="12"/>
  <c r="G372" i="13" s="1"/>
  <c r="F372" i="12"/>
  <c r="F372" i="13" s="1"/>
  <c r="E372" i="12"/>
  <c r="D372" i="12"/>
  <c r="C372" i="12"/>
  <c r="B372" i="12"/>
  <c r="H372" i="12"/>
  <c r="H372" i="13" s="1"/>
  <c r="E360" i="13"/>
  <c r="K360" i="12" l="1"/>
  <c r="K360" i="13" s="1"/>
  <c r="O360" i="12"/>
  <c r="P360" i="12" s="1"/>
  <c r="H384" i="12"/>
  <c r="H384" i="13" s="1"/>
  <c r="E384" i="12"/>
  <c r="I384" i="12" s="1"/>
  <c r="I384" i="13" s="1"/>
  <c r="C384" i="12"/>
  <c r="B384" i="12"/>
  <c r="F384" i="12"/>
  <c r="F384" i="13" s="1"/>
  <c r="G384" i="12"/>
  <c r="G384" i="13" s="1"/>
  <c r="D384" i="12"/>
  <c r="I372" i="12"/>
  <c r="I372" i="13" s="1"/>
  <c r="J360" i="13"/>
  <c r="E372" i="13"/>
  <c r="K372" i="12"/>
  <c r="K372" i="13" s="1"/>
  <c r="C372" i="13"/>
  <c r="J372" i="12"/>
  <c r="N408" i="12"/>
  <c r="L396" i="12"/>
  <c r="D372" i="13"/>
  <c r="B372" i="13"/>
  <c r="O360" i="13" l="1"/>
  <c r="P360" i="13" s="1"/>
  <c r="L408" i="12"/>
  <c r="N420" i="12"/>
  <c r="D384" i="13"/>
  <c r="O384" i="12"/>
  <c r="P384" i="12" s="1"/>
  <c r="B384" i="13"/>
  <c r="J384" i="12"/>
  <c r="C384" i="13"/>
  <c r="E384" i="13"/>
  <c r="K384" i="12"/>
  <c r="K384" i="13" s="1"/>
  <c r="O372" i="12"/>
  <c r="P372" i="12" s="1"/>
  <c r="J372" i="13"/>
  <c r="O372" i="13" s="1"/>
  <c r="P372" i="13" s="1"/>
  <c r="F396" i="12"/>
  <c r="F396" i="13" s="1"/>
  <c r="C396" i="12"/>
  <c r="E396" i="12"/>
  <c r="D396" i="12"/>
  <c r="B396" i="12"/>
  <c r="H396" i="12"/>
  <c r="H396" i="13" s="1"/>
  <c r="G396" i="12"/>
  <c r="G396" i="13" s="1"/>
  <c r="I396" i="12" l="1"/>
  <c r="I396" i="13" s="1"/>
  <c r="E396" i="13"/>
  <c r="K396" i="12"/>
  <c r="K396" i="13" s="1"/>
  <c r="J384" i="13"/>
  <c r="D396" i="13"/>
  <c r="O396" i="12"/>
  <c r="P396" i="12" s="1"/>
  <c r="O384" i="13"/>
  <c r="P384" i="13" s="1"/>
  <c r="N432" i="12"/>
  <c r="L420" i="12"/>
  <c r="B408" i="12"/>
  <c r="G408" i="12"/>
  <c r="G408" i="13" s="1"/>
  <c r="C408" i="12"/>
  <c r="F408" i="12"/>
  <c r="F408" i="13" s="1"/>
  <c r="H408" i="12"/>
  <c r="H408" i="13" s="1"/>
  <c r="E408" i="12"/>
  <c r="D408" i="12"/>
  <c r="B396" i="13"/>
  <c r="J396" i="12"/>
  <c r="C396" i="13"/>
  <c r="I408" i="12" l="1"/>
  <c r="I408" i="13" s="1"/>
  <c r="D408" i="13"/>
  <c r="O408" i="12"/>
  <c r="P408" i="12" s="1"/>
  <c r="J408" i="12"/>
  <c r="C408" i="13"/>
  <c r="B408" i="13"/>
  <c r="J396" i="13"/>
  <c r="O396" i="13" s="1"/>
  <c r="P396" i="13" s="1"/>
  <c r="E408" i="13"/>
  <c r="H420" i="12"/>
  <c r="H420" i="13" s="1"/>
  <c r="D420" i="12"/>
  <c r="B420" i="12"/>
  <c r="F420" i="12"/>
  <c r="F420" i="13" s="1"/>
  <c r="E420" i="12"/>
  <c r="G420" i="12"/>
  <c r="G420" i="13" s="1"/>
  <c r="C420" i="12"/>
  <c r="N444" i="12"/>
  <c r="L432" i="12"/>
  <c r="K408" i="12" l="1"/>
  <c r="K408" i="13" s="1"/>
  <c r="I420" i="12"/>
  <c r="I420" i="13" s="1"/>
  <c r="C432" i="12"/>
  <c r="E432" i="12"/>
  <c r="H432" i="12"/>
  <c r="H432" i="13" s="1"/>
  <c r="F432" i="12"/>
  <c r="F432" i="13" s="1"/>
  <c r="B432" i="12"/>
  <c r="G432" i="12"/>
  <c r="G432" i="13" s="1"/>
  <c r="D432" i="12"/>
  <c r="L444" i="12"/>
  <c r="N456" i="12"/>
  <c r="J420" i="12"/>
  <c r="C420" i="13"/>
  <c r="D420" i="13"/>
  <c r="B420" i="13"/>
  <c r="E420" i="13"/>
  <c r="J408" i="13"/>
  <c r="O408" i="13" s="1"/>
  <c r="P408" i="13" s="1"/>
  <c r="O420" i="12" l="1"/>
  <c r="P420" i="12" s="1"/>
  <c r="K420" i="12"/>
  <c r="K420" i="13" s="1"/>
  <c r="I432" i="12"/>
  <c r="I432" i="13" s="1"/>
  <c r="J420" i="13"/>
  <c r="O420" i="13" s="1"/>
  <c r="P420" i="13" s="1"/>
  <c r="N468" i="12"/>
  <c r="L456" i="12"/>
  <c r="F444" i="12"/>
  <c r="F444" i="13" s="1"/>
  <c r="C444" i="12"/>
  <c r="E444" i="12"/>
  <c r="D444" i="12"/>
  <c r="G444" i="12"/>
  <c r="G444" i="13" s="1"/>
  <c r="H444" i="12"/>
  <c r="H444" i="13" s="1"/>
  <c r="B444" i="12"/>
  <c r="D432" i="13"/>
  <c r="B432" i="13"/>
  <c r="E432" i="13"/>
  <c r="C432" i="13"/>
  <c r="J432" i="12"/>
  <c r="K432" i="12" l="1"/>
  <c r="K432" i="13" s="1"/>
  <c r="O432" i="12"/>
  <c r="P432" i="12" s="1"/>
  <c r="B444" i="13"/>
  <c r="E444" i="13"/>
  <c r="C444" i="13"/>
  <c r="J444" i="12"/>
  <c r="D444" i="13"/>
  <c r="J432" i="13"/>
  <c r="O432" i="13" s="1"/>
  <c r="P432" i="13" s="1"/>
  <c r="I444" i="12"/>
  <c r="I444" i="13" s="1"/>
  <c r="H456" i="12"/>
  <c r="H456" i="13" s="1"/>
  <c r="G456" i="12"/>
  <c r="G456" i="13" s="1"/>
  <c r="F456" i="12"/>
  <c r="F456" i="13" s="1"/>
  <c r="E456" i="12"/>
  <c r="C456" i="12"/>
  <c r="B456" i="12"/>
  <c r="D456" i="12"/>
  <c r="N480" i="12"/>
  <c r="L468" i="12"/>
  <c r="I456" i="12" l="1"/>
  <c r="I456" i="13" s="1"/>
  <c r="K444" i="12"/>
  <c r="K444" i="13" s="1"/>
  <c r="G468" i="12"/>
  <c r="G468" i="13" s="1"/>
  <c r="F468" i="12"/>
  <c r="F468" i="13" s="1"/>
  <c r="E468" i="12"/>
  <c r="B468" i="12"/>
  <c r="D468" i="12"/>
  <c r="C468" i="12"/>
  <c r="H468" i="12"/>
  <c r="H468" i="13" s="1"/>
  <c r="E456" i="13"/>
  <c r="K456" i="12"/>
  <c r="K456" i="13" s="1"/>
  <c r="B456" i="13"/>
  <c r="N492" i="12"/>
  <c r="L492" i="12" s="1"/>
  <c r="L480" i="12"/>
  <c r="J456" i="12"/>
  <c r="C456" i="13"/>
  <c r="J444" i="13"/>
  <c r="D456" i="13"/>
  <c r="O444" i="12"/>
  <c r="P444" i="12" s="1"/>
  <c r="O444" i="13" l="1"/>
  <c r="P444" i="13" s="1"/>
  <c r="O456" i="12"/>
  <c r="P456" i="12" s="1"/>
  <c r="I468" i="12"/>
  <c r="I468" i="13" s="1"/>
  <c r="C468" i="13"/>
  <c r="J468" i="12"/>
  <c r="D468" i="13"/>
  <c r="B468" i="13"/>
  <c r="H480" i="12"/>
  <c r="H480" i="13" s="1"/>
  <c r="B480" i="12"/>
  <c r="D480" i="12"/>
  <c r="G480" i="12"/>
  <c r="G480" i="13" s="1"/>
  <c r="F480" i="12"/>
  <c r="F480" i="13" s="1"/>
  <c r="E480" i="12"/>
  <c r="C480" i="12"/>
  <c r="J456" i="13"/>
  <c r="O456" i="13" s="1"/>
  <c r="P456" i="13" s="1"/>
  <c r="E468" i="13"/>
  <c r="K468" i="12" l="1"/>
  <c r="K468" i="13" s="1"/>
  <c r="O468" i="13" s="1"/>
  <c r="P468" i="13" s="1"/>
  <c r="O468" i="12"/>
  <c r="P468" i="12" s="1"/>
  <c r="I480" i="12"/>
  <c r="I480" i="13" s="1"/>
  <c r="J480" i="12"/>
  <c r="C480" i="13"/>
  <c r="D480" i="13"/>
  <c r="B480" i="13"/>
  <c r="E480" i="13"/>
  <c r="H492" i="12"/>
  <c r="H492" i="13" s="1"/>
  <c r="G492" i="12"/>
  <c r="G492" i="13" s="1"/>
  <c r="B492" i="12"/>
  <c r="J468" i="13"/>
  <c r="D492" i="12"/>
  <c r="E492" i="12"/>
  <c r="C492" i="12"/>
  <c r="F492" i="12"/>
  <c r="F492" i="13" s="1"/>
  <c r="K480" i="12" l="1"/>
  <c r="K480" i="13" s="1"/>
  <c r="O480" i="12"/>
  <c r="P480" i="12" s="1"/>
  <c r="J480" i="13"/>
  <c r="E492" i="13"/>
  <c r="I492" i="12"/>
  <c r="I492" i="13" s="1"/>
  <c r="D492" i="13"/>
  <c r="C492" i="13"/>
  <c r="J492" i="12"/>
  <c r="B492" i="13"/>
  <c r="O480" i="13" l="1"/>
  <c r="P480" i="13" s="1"/>
  <c r="J492" i="13"/>
  <c r="K492" i="12"/>
  <c r="K492" i="13" s="1"/>
  <c r="O492" i="12"/>
  <c r="P492" i="12" s="1"/>
  <c r="O492" i="13" l="1"/>
  <c r="P492" i="13" s="1"/>
</calcChain>
</file>

<file path=xl/sharedStrings.xml><?xml version="1.0" encoding="utf-8"?>
<sst xmlns="http://schemas.openxmlformats.org/spreadsheetml/2006/main" count="928" uniqueCount="453">
  <si>
    <t>Name</t>
  </si>
  <si>
    <t>State</t>
  </si>
  <si>
    <t>City</t>
  </si>
  <si>
    <t>Capacity (MMgy)</t>
  </si>
  <si>
    <t>RBF Port Neches LLC</t>
  </si>
  <si>
    <t>TX</t>
  </si>
  <si>
    <t>Port Neches</t>
  </si>
  <si>
    <t>REG Grays Harbor LLC</t>
  </si>
  <si>
    <t>WA</t>
  </si>
  <si>
    <t>Hoquiam</t>
  </si>
  <si>
    <t>Louis Dreyfus Agricultural Industries LLC</t>
  </si>
  <si>
    <t>IN</t>
  </si>
  <si>
    <t>Claypool</t>
  </si>
  <si>
    <t>Cargill - Wichita</t>
  </si>
  <si>
    <t>KS</t>
  </si>
  <si>
    <t>Wichita</t>
  </si>
  <si>
    <t>Archer Daniels Midland Co. - Velva</t>
  </si>
  <si>
    <t>ND</t>
  </si>
  <si>
    <t>Velva</t>
  </si>
  <si>
    <t>REG Seneca LLC</t>
  </si>
  <si>
    <t>IL</t>
  </si>
  <si>
    <t>Seneca</t>
  </si>
  <si>
    <t>Ag Processing Inc. - Sergeant Bluff</t>
  </si>
  <si>
    <t>IA</t>
  </si>
  <si>
    <t>Sergeant Bluff</t>
  </si>
  <si>
    <t>Ag Processing Inc. - Algona</t>
  </si>
  <si>
    <t>Algona</t>
  </si>
  <si>
    <t>World Energy - Natchez</t>
  </si>
  <si>
    <t>MS</t>
  </si>
  <si>
    <t>Natchez</t>
  </si>
  <si>
    <t>Incobrasa Industries Ltd.</t>
  </si>
  <si>
    <t>Gilman</t>
  </si>
  <si>
    <t>FutureFuel Chemical Company</t>
  </si>
  <si>
    <t>AR</t>
  </si>
  <si>
    <t>Batesville</t>
  </si>
  <si>
    <t>Cargill - Iowa Falls</t>
  </si>
  <si>
    <t>Iowa Falls</t>
  </si>
  <si>
    <t>Cargill - Kansas City</t>
  </si>
  <si>
    <t>MO</t>
  </si>
  <si>
    <t>Kansas City</t>
  </si>
  <si>
    <t>Owensboro Grain Biodiesel LLC</t>
  </si>
  <si>
    <t>KY</t>
  </si>
  <si>
    <t>Owensboro</t>
  </si>
  <si>
    <t>REG Danville LLC</t>
  </si>
  <si>
    <t>Danville</t>
  </si>
  <si>
    <t>Mid-America Biofuels</t>
  </si>
  <si>
    <t>Mexico</t>
  </si>
  <si>
    <t>Archer Daniels Midland Co. - Deerfield</t>
  </si>
  <si>
    <t>Deerfield</t>
  </si>
  <si>
    <t>Hero BX - Erie</t>
  </si>
  <si>
    <t>PA</t>
  </si>
  <si>
    <t>Erie</t>
  </si>
  <si>
    <t>REG Ralston LLC</t>
  </si>
  <si>
    <t>Ralston</t>
  </si>
  <si>
    <t>REG Albert Lea LLC</t>
  </si>
  <si>
    <t>MN</t>
  </si>
  <si>
    <t>Albert Lea</t>
  </si>
  <si>
    <t>Western Iowa Energy LLC</t>
  </si>
  <si>
    <t>Wall Lake</t>
  </si>
  <si>
    <t>Ag Processing Inc. - St. Joseph</t>
  </si>
  <si>
    <t>St. Joseph</t>
  </si>
  <si>
    <t>Solfuels USA LLC</t>
  </si>
  <si>
    <t>Helena</t>
  </si>
  <si>
    <t>World Energy - Harrisburg</t>
  </si>
  <si>
    <t>Camp Hill</t>
  </si>
  <si>
    <t>Green Energy Biofuel (GEB3)</t>
  </si>
  <si>
    <t>SC</t>
  </si>
  <si>
    <t>Warrenville</t>
  </si>
  <si>
    <t>Seaboard Energy Oklahoma LLC</t>
  </si>
  <si>
    <t>OK</t>
  </si>
  <si>
    <t>Guymon</t>
  </si>
  <si>
    <t>REG Newton LLC</t>
  </si>
  <si>
    <t>Newton</t>
  </si>
  <si>
    <t>REG Mason City LLC</t>
  </si>
  <si>
    <t>Mason City</t>
  </si>
  <si>
    <t>Crimson Renewable Energy LP</t>
  </si>
  <si>
    <t>CA</t>
  </si>
  <si>
    <t>Bakersfield</t>
  </si>
  <si>
    <t>Minnesota Soybean Processors</t>
  </si>
  <si>
    <t>Brewster</t>
  </si>
  <si>
    <t>Iowa Renewable Energy LLC</t>
  </si>
  <si>
    <t>Washington</t>
  </si>
  <si>
    <t>Bioenergy Development Group</t>
  </si>
  <si>
    <t>TN</t>
  </si>
  <si>
    <t>Memphis</t>
  </si>
  <si>
    <t>Western Dubuque Biodiesel LLC</t>
  </si>
  <si>
    <t>Farley</t>
  </si>
  <si>
    <t>Seaboard Energy Missouri LLC</t>
  </si>
  <si>
    <t>American GreenFuels LLC</t>
  </si>
  <si>
    <t>CT</t>
  </si>
  <si>
    <t>New Haven</t>
  </si>
  <si>
    <t>REG Madison LLC</t>
  </si>
  <si>
    <t>WI</t>
  </si>
  <si>
    <t>DeForest</t>
  </si>
  <si>
    <t>World Energy - Rome</t>
  </si>
  <si>
    <t>GA</t>
  </si>
  <si>
    <t>Rome</t>
  </si>
  <si>
    <t>Hero BX - Moundville</t>
  </si>
  <si>
    <t>AL</t>
  </si>
  <si>
    <t>Moundville</t>
  </si>
  <si>
    <t>Scott Petroleum Corp. (C&amp;S Fuels)</t>
  </si>
  <si>
    <t>Greenville</t>
  </si>
  <si>
    <t>Rio Valley Biofuels LLC</t>
  </si>
  <si>
    <t>El Paso</t>
  </si>
  <si>
    <t>Delek Renewables - Crossett</t>
  </si>
  <si>
    <t>Crossett</t>
  </si>
  <si>
    <t>W2Fuel - Adrian</t>
  </si>
  <si>
    <t>MI</t>
  </si>
  <si>
    <t>Adrian</t>
  </si>
  <si>
    <t>Western Iowa Energy - Agron Bioenergy</t>
  </si>
  <si>
    <t>Watsonville</t>
  </si>
  <si>
    <t>New Leaf Biofuel LLC</t>
  </si>
  <si>
    <t>San Diego</t>
  </si>
  <si>
    <t>Delek Renewables - New Albany</t>
  </si>
  <si>
    <t>New Albany</t>
  </si>
  <si>
    <t>Imperial Western Products Inc. (Biotane)</t>
  </si>
  <si>
    <t>Coachella</t>
  </si>
  <si>
    <t>Delek Renewables - Cleburne</t>
  </si>
  <si>
    <t>Cleburne</t>
  </si>
  <si>
    <t>SeQuential-Pacific Biodiesel LLC (Crimson Renewable Energy)</t>
  </si>
  <si>
    <t>OR</t>
  </si>
  <si>
    <t>Salem</t>
  </si>
  <si>
    <t>Hero BX - Clinton</t>
  </si>
  <si>
    <t>Clinton</t>
  </si>
  <si>
    <t>W2Fuel - Crawfordsville</t>
  </si>
  <si>
    <t>Crawfordsville</t>
  </si>
  <si>
    <t>Canary Biofuels</t>
  </si>
  <si>
    <t>Stockton</t>
  </si>
  <si>
    <t>Genuine Bio-Fuel Inc.</t>
  </si>
  <si>
    <t>FL</t>
  </si>
  <si>
    <t>Indiantown</t>
  </si>
  <si>
    <t>Newport Biodiesel Inc.</t>
  </si>
  <si>
    <t>RI</t>
  </si>
  <si>
    <t>Newport</t>
  </si>
  <si>
    <t>White Mountain Biodiesel LLC</t>
  </si>
  <si>
    <t>NH</t>
  </si>
  <si>
    <t>North Haverhill</t>
  </si>
  <si>
    <t>Pacific Biodiesel</t>
  </si>
  <si>
    <t>HI</t>
  </si>
  <si>
    <t>Kea`au</t>
  </si>
  <si>
    <t>Virginia Biodiesel Refinery LLC</t>
  </si>
  <si>
    <t>VA</t>
  </si>
  <si>
    <t>West Point</t>
  </si>
  <si>
    <t>SMES Dublin LLC</t>
  </si>
  <si>
    <t>East Dublin</t>
  </si>
  <si>
    <t>Walsh BioFuels LLC</t>
  </si>
  <si>
    <t>Mauston</t>
  </si>
  <si>
    <t>Southeast Biodiesel</t>
  </si>
  <si>
    <t>Charleston</t>
  </si>
  <si>
    <t>Feedstock Mix</t>
  </si>
  <si>
    <t>Start Date</t>
  </si>
  <si>
    <t>Name Plate Capacity</t>
  </si>
  <si>
    <t>Pre-Treatment</t>
  </si>
  <si>
    <t>Pre-Treatment Tech</t>
  </si>
  <si>
    <t>SAF</t>
  </si>
  <si>
    <t>Probability</t>
  </si>
  <si>
    <t>SG Preston - OH</t>
  </si>
  <si>
    <t>2023</t>
  </si>
  <si>
    <t>St. Joseph Renewable Fuels - Newton, IL</t>
  </si>
  <si>
    <t>?</t>
  </si>
  <si>
    <t>PRODUCTION CAPACITY (million gallons/year)</t>
  </si>
  <si>
    <t>EMTS DATA (million gallons/month)</t>
  </si>
  <si>
    <t>Forge/Shell Ventures Sombra Ontario Canada</t>
  </si>
  <si>
    <t>Cielo - Aldersyde, AB</t>
  </si>
  <si>
    <t>Cielo - Edmonton, AB</t>
  </si>
  <si>
    <t>Cielo - Dunmore, Edmonton</t>
  </si>
  <si>
    <t>Cielo - Grande Prairie, AB</t>
  </si>
  <si>
    <t>Cielo - Halifax, NS</t>
  </si>
  <si>
    <t>Cielo - Kamloops, BC</t>
  </si>
  <si>
    <t>Cielo - Lethbridge, AB</t>
  </si>
  <si>
    <t>Cielo - Medicine Hat, AB</t>
  </si>
  <si>
    <t>Cielo - Toronto, ON</t>
  </si>
  <si>
    <t>Cielo - Winnipeg, MB</t>
  </si>
  <si>
    <t>Parkland - Burnaby, BC</t>
  </si>
  <si>
    <t>Come-by-Chance - Come-by-Chance, NL</t>
  </si>
  <si>
    <t>Tidewater</t>
  </si>
  <si>
    <t>Imperial</t>
  </si>
  <si>
    <t>Total</t>
  </si>
  <si>
    <t>EV 1.5</t>
  </si>
  <si>
    <t>EV 1.6</t>
  </si>
  <si>
    <t>EV 1.7</t>
  </si>
  <si>
    <t>Capacity Utilization</t>
  </si>
  <si>
    <t>Waste Products - Wood</t>
  </si>
  <si>
    <t>SBO</t>
  </si>
  <si>
    <t>mid-22 - mid-25(?)</t>
  </si>
  <si>
    <t>200 - 525</t>
  </si>
  <si>
    <t xml:space="preserve">Diamond Green Diesel - Norco, LA            </t>
  </si>
  <si>
    <t>Diamond Green Stage 2 - Port Arthur, TX</t>
  </si>
  <si>
    <t>East Kansas Agri-Energy LLC</t>
  </si>
  <si>
    <t>Seaboard - Houghton KS</t>
  </si>
  <si>
    <t xml:space="preserve">REG Geismar - Geismar, LA                                </t>
  </si>
  <si>
    <t>BP/Neste - Next Renewables - Port Westward, OR</t>
  </si>
  <si>
    <t xml:space="preserve">World Energy - Paramount - Long Beach, CA                           </t>
  </si>
  <si>
    <t>World Energy Paramount- Houston, TX</t>
  </si>
  <si>
    <t>Holly Frontier - Sinclair, WY</t>
  </si>
  <si>
    <t>Holly Frontier - Artesia, NM</t>
  </si>
  <si>
    <t>Holly Frontier - Cheyenne, WY</t>
  </si>
  <si>
    <t>Marathon - Martinez - Pacheco, CA</t>
  </si>
  <si>
    <t xml:space="preserve">Marathon - Dickinson, ND </t>
  </si>
  <si>
    <t>P66 - Rodeo CA</t>
  </si>
  <si>
    <t>P66 - Ryze - Las Vegas NV</t>
  </si>
  <si>
    <t>Global Clean Energy Holdings - Bakersfield, CA</t>
  </si>
  <si>
    <t>CVR Energy - Wynnewood OK</t>
  </si>
  <si>
    <t>CVR Energy - Coffeyville KS</t>
  </si>
  <si>
    <t>Chevron - Readifuels - IA</t>
  </si>
  <si>
    <r>
      <t xml:space="preserve">Fulcrum Bioenergy - Sierra - Reno NV </t>
    </r>
    <r>
      <rPr>
        <b/>
        <sz val="9"/>
        <color rgb="FFFF0000"/>
        <rFont val="Aptos Display"/>
        <family val="2"/>
      </rPr>
      <t>(CLOSED 6/2024)</t>
    </r>
  </si>
  <si>
    <t>Center Point/Fulcrum Bioenergy - Gary IN (https://indianapublicradio.org/news/2024/06/waste-to-jet-fuel-company-likely-wont-place-plant-in-gary-after-years-of-plans/)</t>
  </si>
  <si>
    <t>Shell - Jaxon Energy - Jackson, MS</t>
  </si>
  <si>
    <t>Red Rock Biofuels - Lakeview OR</t>
  </si>
  <si>
    <t>Suncor - Matsui - Lanza Jet - Soperton GA</t>
  </si>
  <si>
    <t>Gron - Baton Rouge</t>
  </si>
  <si>
    <t>PBF (ENI Sustained Mobility) - Chalmette LA</t>
  </si>
  <si>
    <t>Heartwell Renewables (Cargill - Loves) - Hastings NE</t>
  </si>
  <si>
    <t>Strategic Biofuels - Port of Colombia LA</t>
  </si>
  <si>
    <t>Vertex - Mobile AL</t>
  </si>
  <si>
    <t>SAFuels X  - Trenton ND</t>
  </si>
  <si>
    <t>Calumet Montana Refining - Great Falls</t>
  </si>
  <si>
    <t>Emerald One - Port Arthur TX</t>
  </si>
  <si>
    <t>Northwest Advanced Biofuels - Grays Harbor WA</t>
  </si>
  <si>
    <t>New Rise Renewables - Reno NV</t>
  </si>
  <si>
    <t>LanzaJet Marquis - Hennepin, IL</t>
  </si>
  <si>
    <t>Velocys (Bayou Fuels) - Natchez, MS</t>
  </si>
  <si>
    <t>Aemetis Carbon Zero - Riverbank, CA</t>
  </si>
  <si>
    <t>Gevo - Lake Preston, ND</t>
  </si>
  <si>
    <t>UrbanX - Bakersfield, CA</t>
  </si>
  <si>
    <t>Indaba Renewable Fuels -  Imperial CA</t>
  </si>
  <si>
    <t>Slate / Starwood - Douglas, WY</t>
  </si>
  <si>
    <t>HOBO Renewables #1</t>
  </si>
  <si>
    <t>Edgewood</t>
  </si>
  <si>
    <t>Valley Green Fuels - Kern County, CA</t>
  </si>
  <si>
    <t>Texmark Chemicals</t>
  </si>
  <si>
    <t>EIA Reported Capacity</t>
  </si>
  <si>
    <t>D4 Domestic RD</t>
  </si>
  <si>
    <t>D4 - Domestic Renewable Jet Fuel</t>
  </si>
  <si>
    <t>Pre-Treatment Capacity</t>
  </si>
  <si>
    <t>Total Feedstock Use</t>
  </si>
  <si>
    <t>Implied Monthly RD Yield</t>
  </si>
  <si>
    <t>Implied Monthly RD Yield ex. SAF</t>
  </si>
  <si>
    <t xml:space="preserve">Biodiesel </t>
  </si>
  <si>
    <t>Implied Monthly BD Yield</t>
  </si>
  <si>
    <t>RD Percent</t>
  </si>
  <si>
    <t>BD Percent</t>
  </si>
  <si>
    <t>Implied Monthly SAF Yield</t>
  </si>
  <si>
    <t>Biodiesel Annual Capacity (mmgal/yr)</t>
  </si>
  <si>
    <t>Pre-Aug Revisions</t>
  </si>
  <si>
    <t>23% YG - 10%CWG - 33% DCO, 33% - UCO</t>
  </si>
  <si>
    <t>100% DCO</t>
  </si>
  <si>
    <t>66% Tallow - 33% CWG</t>
  </si>
  <si>
    <t>60% Tallow - 40% DCO</t>
  </si>
  <si>
    <t>25% Canola - 25% SBO - 50% Tallow</t>
  </si>
  <si>
    <t>100% Tech Tallow</t>
  </si>
  <si>
    <t>100% SBO</t>
  </si>
  <si>
    <t>75% SBO - 25% Low CI Mix</t>
  </si>
  <si>
    <t>70% SBO - 30% DCO</t>
  </si>
  <si>
    <t>90% SBO - 10% UCO</t>
  </si>
  <si>
    <t>60% SBO - 20% UCO - 20% Tallow (Ultimately Camelina)</t>
  </si>
  <si>
    <t>75% SBO - 25% DCO</t>
  </si>
  <si>
    <t>DCO</t>
  </si>
  <si>
    <t>Municipal Solid Waste</t>
  </si>
  <si>
    <t>50% SBO - 20% UCO - 20% Tallow - 10% DCO</t>
  </si>
  <si>
    <t>Woody Biomass</t>
  </si>
  <si>
    <t>SBO - Canola Oil - DCO - UCO</t>
  </si>
  <si>
    <t>Tallow 70% - SBO 30%</t>
  </si>
  <si>
    <t>Canola - SBO</t>
  </si>
  <si>
    <t>SBO - DCO - UCO - Tallow - Canola</t>
  </si>
  <si>
    <t>UCO - Tallow - SBO</t>
  </si>
  <si>
    <t>Waste-based ethanol</t>
  </si>
  <si>
    <t>UCO</t>
  </si>
  <si>
    <t>UCO - Tallow - ?</t>
  </si>
  <si>
    <t>Canola</t>
  </si>
  <si>
    <t>? On capacity</t>
  </si>
  <si>
    <t>UCO, Tallow, CWG - Camelina Oil</t>
  </si>
  <si>
    <t>Neste RD from Koole Facility</t>
  </si>
  <si>
    <t>Expansion 2022</t>
  </si>
  <si>
    <t>Q4 2022</t>
  </si>
  <si>
    <t>2023 - 2024</t>
  </si>
  <si>
    <t>2024 - 2026</t>
  </si>
  <si>
    <t>Bankrupt and acquired by Next Renewable Fuels in April 2023</t>
  </si>
  <si>
    <t>Q1 - 2022</t>
  </si>
  <si>
    <t>Q1 - 2025</t>
  </si>
  <si>
    <t>Q1 2023</t>
  </si>
  <si>
    <t>2023/2024</t>
  </si>
  <si>
    <t>2024?</t>
  </si>
  <si>
    <t>? / 2027</t>
  </si>
  <si>
    <t>2024/2025</t>
  </si>
  <si>
    <t>2024</t>
  </si>
  <si>
    <t>Q2 2025</t>
  </si>
  <si>
    <t>Q1 2026</t>
  </si>
  <si>
    <t>12/22?</t>
  </si>
  <si>
    <t>290/690/982</t>
  </si>
  <si>
    <t>90 + 250 Expansion - 100</t>
  </si>
  <si>
    <t>500 + 250 Expansion</t>
  </si>
  <si>
    <t>42 - 75 + 175 Expansion - 3490 mil gal up 700%</t>
  </si>
  <si>
    <t>100 + 53.3 Expansion - 117</t>
  </si>
  <si>
    <t>75 1 Q 2022/125</t>
  </si>
  <si>
    <t>260/730</t>
  </si>
  <si>
    <r>
      <t>120/</t>
    </r>
    <r>
      <rPr>
        <sz val="8"/>
        <color theme="9"/>
        <rFont val="Aptos Display"/>
        <family val="2"/>
      </rPr>
      <t>800</t>
    </r>
  </si>
  <si>
    <t>150 + 50 Expansion</t>
  </si>
  <si>
    <t>55/110</t>
  </si>
  <si>
    <t>90/185 - 135</t>
  </si>
  <si>
    <t>45 to 90</t>
  </si>
  <si>
    <t>Yes</t>
  </si>
  <si>
    <t>No</t>
  </si>
  <si>
    <t>Ecofining</t>
  </si>
  <si>
    <t>RD Ready</t>
  </si>
  <si>
    <t>Alfa Laval</t>
  </si>
  <si>
    <t>Cincinnati, OH old-BD plant</t>
  </si>
  <si>
    <t>Beatrice, NE old-BD plant</t>
  </si>
  <si>
    <t>Pre-Treatment Start Date</t>
  </si>
  <si>
    <t>RD - Texmark</t>
  </si>
  <si>
    <t>175,000 tons of MSW</t>
  </si>
  <si>
    <t>700,000 tons of MSW</t>
  </si>
  <si>
    <t>Converting to a RNG facility</t>
  </si>
  <si>
    <t>5-million gallons of tankage, 16-car heated rail spur</t>
  </si>
  <si>
    <t>Pathway Approved Sep-19</t>
  </si>
  <si>
    <t>Yes - Only</t>
  </si>
  <si>
    <t>Yes - 25 Mmgy</t>
  </si>
  <si>
    <t>Only</t>
  </si>
  <si>
    <t>Yes - Alfa Laval</t>
  </si>
  <si>
    <t>No Feedstock</t>
  </si>
  <si>
    <t>100% - 80%</t>
  </si>
  <si>
    <t>EV App Required</t>
  </si>
  <si>
    <t>All RD Production</t>
  </si>
  <si>
    <t>D4</t>
  </si>
  <si>
    <t>D6</t>
  </si>
  <si>
    <t>(million pounds)</t>
  </si>
  <si>
    <t>Sinclair - Sinclair, WY</t>
  </si>
  <si>
    <t>Gron - Baton Rouge LA</t>
  </si>
  <si>
    <t>PBF - Chalmette LA</t>
  </si>
  <si>
    <t>Cargill - Loves - Hastings NE</t>
  </si>
  <si>
    <t>SAFuels X - Trenton ND</t>
  </si>
  <si>
    <t>HOBO Renewables #2</t>
  </si>
  <si>
    <t>Total Monthly Potential Demand</t>
  </si>
  <si>
    <t>Percent of Total</t>
  </si>
  <si>
    <t>RD Feedstock Usage (million pounds)</t>
  </si>
  <si>
    <t>Feedstock Use for Plants Not Yet Announced</t>
  </si>
  <si>
    <t>SAF Feedstock Usage</t>
  </si>
  <si>
    <t>SAF Feedstock Mix</t>
  </si>
  <si>
    <t>Soybean Oil</t>
  </si>
  <si>
    <t>Canola Oil</t>
  </si>
  <si>
    <t>Poultry Fat</t>
  </si>
  <si>
    <t>Yellow Grease</t>
  </si>
  <si>
    <t>Choice White Grease</t>
  </si>
  <si>
    <t>Distillers' Corn Oil</t>
  </si>
  <si>
    <t>Used Cooking Oil</t>
  </si>
  <si>
    <t>Tallow</t>
  </si>
  <si>
    <t>Tech Tallow</t>
  </si>
  <si>
    <t>Low CI Mix (Tallow)</t>
  </si>
  <si>
    <t>CWG</t>
  </si>
  <si>
    <t>Veg Oil Demand</t>
  </si>
  <si>
    <t>Fats and Grease Demand</t>
  </si>
  <si>
    <t>Veg Oil Percent</t>
  </si>
  <si>
    <t>Fat and Grease Percent</t>
  </si>
  <si>
    <t>SAF Production</t>
  </si>
  <si>
    <t>Composition</t>
  </si>
  <si>
    <t>As needed</t>
  </si>
  <si>
    <t>Minimal</t>
  </si>
  <si>
    <t>As Needed</t>
  </si>
  <si>
    <t>Check</t>
  </si>
  <si>
    <t>RD and Ethanol Split</t>
  </si>
  <si>
    <t>High Demand</t>
  </si>
  <si>
    <t>Jake Non Pre-treatment RBD Demand</t>
  </si>
  <si>
    <t>RBD Capacity</t>
  </si>
  <si>
    <t>SBO %</t>
  </si>
  <si>
    <t>SBO RBD Refining Demand</t>
  </si>
  <si>
    <t>Pre-treatment Production</t>
  </si>
  <si>
    <t>Non Pre-treatment Production</t>
  </si>
  <si>
    <t>Jake RD Demand</t>
  </si>
  <si>
    <t>EMTS DATA (million gallons)</t>
  </si>
  <si>
    <t>BP - Stage 1 - Cherry Point, WA</t>
  </si>
  <si>
    <t>BP - Stage 2 - Cherry Point, WA</t>
  </si>
  <si>
    <t>Chevron - El Segundo, CA</t>
  </si>
  <si>
    <t>Kern Oil</t>
  </si>
  <si>
    <t xml:space="preserve">Total </t>
  </si>
  <si>
    <t>100% Tallow</t>
  </si>
  <si>
    <t>100% SBO - will use Canola Oil</t>
  </si>
  <si>
    <t>50% SBO - 50% Tallow</t>
  </si>
  <si>
    <t>Org CP</t>
  </si>
  <si>
    <t>Org El S</t>
  </si>
  <si>
    <t>Org CP2</t>
  </si>
  <si>
    <t>bbl/d</t>
  </si>
  <si>
    <t>bbl/yr</t>
  </si>
  <si>
    <t>mgy</t>
  </si>
  <si>
    <t>Feedstock Usage (million pounds)</t>
  </si>
  <si>
    <t>Capacity Utiliztion</t>
  </si>
  <si>
    <t>Renewable Diesel</t>
  </si>
  <si>
    <t>Pounds per Gallon</t>
  </si>
  <si>
    <t xml:space="preserve">  Yellow Grease</t>
  </si>
  <si>
    <t xml:space="preserve">  Used Cooking Oil</t>
  </si>
  <si>
    <t xml:space="preserve">  Soybean Oil</t>
  </si>
  <si>
    <t xml:space="preserve">  Canola Oil</t>
  </si>
  <si>
    <t xml:space="preserve">  Tallow</t>
  </si>
  <si>
    <t xml:space="preserve">  Distillers' Corn Oil</t>
  </si>
  <si>
    <t xml:space="preserve">  Choice White Grease</t>
  </si>
  <si>
    <t xml:space="preserve">  Poultry Fat</t>
  </si>
  <si>
    <t>Co-Processing</t>
  </si>
  <si>
    <t>Biodiesel</t>
  </si>
  <si>
    <t>Corn Oil</t>
  </si>
  <si>
    <t>Cottonseed Oil</t>
  </si>
  <si>
    <t>Palm Oil</t>
  </si>
  <si>
    <t>Other (Sunflower Oil)</t>
  </si>
  <si>
    <t>White Grease</t>
  </si>
  <si>
    <t>Other (Lard)</t>
  </si>
  <si>
    <t>Other Grease</t>
  </si>
  <si>
    <t>Total Feedstocks</t>
  </si>
  <si>
    <t>SAF - 7% Loss</t>
  </si>
  <si>
    <r>
      <t xml:space="preserve">SOYBEAN OIL RENEWABLE DIESEL USE </t>
    </r>
    <r>
      <rPr>
        <sz val="8"/>
        <color theme="1"/>
        <rFont val="Arial"/>
        <family val="2"/>
      </rPr>
      <t>(Million Pounds)</t>
    </r>
  </si>
  <si>
    <t xml:space="preserve">15/16 </t>
  </si>
  <si>
    <t xml:space="preserve">16/17 </t>
  </si>
  <si>
    <t xml:space="preserve">17/18 </t>
  </si>
  <si>
    <t xml:space="preserve">18/19 </t>
  </si>
  <si>
    <t>19/20</t>
  </si>
  <si>
    <t>20/21</t>
  </si>
  <si>
    <t>21/22</t>
  </si>
  <si>
    <t>22/23</t>
  </si>
  <si>
    <t>23/24</t>
  </si>
  <si>
    <t>24/25</t>
  </si>
  <si>
    <t>25/26</t>
  </si>
  <si>
    <t>26/27</t>
  </si>
  <si>
    <t>27/28</t>
  </si>
  <si>
    <t>28/29</t>
  </si>
  <si>
    <t>29/30</t>
  </si>
  <si>
    <t>30/31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</si>
  <si>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</si>
  <si>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</si>
  <si>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</si>
  <si>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</si>
  <si>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</si>
  <si>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</si>
  <si>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</si>
  <si>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</si>
  <si>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</si>
  <si>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</si>
  <si>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</si>
  <si>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</si>
  <si>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   Total</t>
  </si>
  <si>
    <t>Adjusted RD Use</t>
  </si>
  <si>
    <t>Adjusted BD Use</t>
  </si>
  <si>
    <t>Production</t>
  </si>
  <si>
    <t>Estimated BD Use</t>
  </si>
  <si>
    <t>Estimated RD Use</t>
  </si>
  <si>
    <t>Reported Total</t>
  </si>
  <si>
    <t>CO</t>
  </si>
  <si>
    <t>BFT</t>
  </si>
  <si>
    <t>YG</t>
  </si>
  <si>
    <t>PF</t>
  </si>
  <si>
    <t>OTHER</t>
  </si>
  <si>
    <t>Co-Pro</t>
  </si>
  <si>
    <t>Vegetable Oils</t>
  </si>
  <si>
    <t>Fats and Greases</t>
  </si>
  <si>
    <t>RD Production</t>
  </si>
  <si>
    <t>RD Implied Yield</t>
  </si>
  <si>
    <t>SAF Implied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</si>
</sst>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.000_);[Red]\(#,##0.000\)"/>
    <numFmt numFmtId="165" formatCode="m/d/yy;@"/>
    <numFmt numFmtId="166" formatCode="#,##0.0_);[Red]\(#,##0.0\)"/>
    <numFmt numFmtId="167" formatCode="0.0%"/>
    <numFmt numFmtId="168" formatCode="[$-409]mmm\-yy;@"/>
    <numFmt numFmtId="169" formatCode="_(* #,##0_);_(* \(#,##0\);_(* &quot;-&quot;??_);_(@_)"/>
    <numFmt numFmtId="170" formatCode="0.00_);[Red]\(0.00\)"/>
    <numFmt numFmtId="171" formatCode="0_);[Red]\(0\)"/>
  </numFmts>
  <fonts count="41" x14ac:knownFonts="1">
    <font>
      <sz val="10"/>
      <color theme="1"/>
      <name val="Arial Narrow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8"/>
      <color theme="1"/>
      <name val="Arial Narrow"/>
      <family val="2"/>
    </font>
    <font>
      <sz val="2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rial Narrow"/>
      <family val="2"/>
    </font>
    <font>
      <sz val="9"/>
      <color theme="1"/>
      <name val="Aptos Display"/>
      <family val="2"/>
    </font>
    <font>
      <u/>
      <sz val="9"/>
      <color theme="1"/>
      <name val="Aptos Display"/>
      <family val="2"/>
    </font>
    <font>
      <b/>
      <sz val="9"/>
      <color rgb="FFFF0000"/>
      <name val="Aptos Display"/>
      <family val="2"/>
    </font>
    <font>
      <sz val="9"/>
      <name val="Aptos Display"/>
      <family val="2"/>
    </font>
    <font>
      <b/>
      <sz val="9"/>
      <color theme="0"/>
      <name val="Aptos Display"/>
      <family val="2"/>
    </font>
    <font>
      <b/>
      <sz val="9"/>
      <color theme="1"/>
      <name val="Aptos Display"/>
      <family val="2"/>
    </font>
    <font>
      <sz val="8"/>
      <color theme="1"/>
      <name val="Aptos Display"/>
      <family val="2"/>
    </font>
    <font>
      <sz val="8"/>
      <name val="Aptos Display"/>
      <family val="2"/>
    </font>
    <font>
      <b/>
      <sz val="8"/>
      <color theme="0"/>
      <name val="Aptos Display"/>
      <family val="2"/>
    </font>
    <font>
      <b/>
      <sz val="8"/>
      <color theme="1"/>
      <name val="Aptos Display"/>
      <family val="2"/>
    </font>
    <font>
      <b/>
      <sz val="8"/>
      <color rgb="FFFF0000"/>
      <name val="Aptos Display"/>
      <family val="2"/>
    </font>
    <font>
      <b/>
      <sz val="8"/>
      <name val="Aptos Display"/>
      <family val="2"/>
    </font>
    <font>
      <sz val="8"/>
      <color theme="9"/>
      <name val="Aptos Display"/>
      <family val="2"/>
    </font>
    <font>
      <sz val="10"/>
      <color theme="1"/>
      <name val="Aptos Display"/>
      <family val="2"/>
    </font>
    <font>
      <sz val="10"/>
      <color rgb="FFFF0000"/>
      <name val="Aptos Display"/>
      <family val="2"/>
    </font>
    <font>
      <sz val="10"/>
      <color rgb="FF6F0791"/>
      <name val="Aptos Display"/>
      <family val="2"/>
    </font>
    <font>
      <sz val="10"/>
      <color rgb="FF6F0791"/>
      <name val="Arial Narrow"/>
      <family val="2"/>
    </font>
    <font>
      <sz val="11"/>
      <color theme="1"/>
      <name val="Arial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rgb="FFFF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sz val="12"/>
      <color rgb="FF6F0791"/>
      <name val="Arial Narrow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name val="MS Sans Serif"/>
      <family val="2"/>
    </font>
    <font>
      <b/>
      <sz val="11"/>
      <name val="Arial"/>
      <family val="2"/>
    </font>
    <font>
      <sz val="8"/>
      <color theme="0"/>
      <name val="Avenir Next LT Pro Demi"/>
      <family val="2"/>
    </font>
    <font>
      <sz val="8"/>
      <color theme="1"/>
      <name val="Avenir Next LT Pro Demi"/>
      <family val="2"/>
    </font>
    <font>
      <sz val="8"/>
      <color rgb="FF6F0791"/>
      <name val="Avenir Next LT Pro Dem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C8C8C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0" fontId="36" fillId="0" borderId="0" applyFont="0" applyFill="0" applyBorder="0" applyAlignment="0" applyProtection="0"/>
  </cellStyleXfs>
  <cellXfs count="187">
    <xf numFmtId="0" fontId="0" fillId="0" borderId="0" xfId="0"/>
    <xf numFmtId="0" fontId="1" fillId="0" borderId="0" xfId="3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64" fontId="0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5" fillId="0" borderId="0" xfId="0" applyFont="1"/>
    <xf numFmtId="165" fontId="0" fillId="0" borderId="0" xfId="0" applyNumberFormat="1" applyAlignment="1">
      <alignment horizontal="center" vertical="center" wrapText="1"/>
    </xf>
    <xf numFmtId="165" fontId="0" fillId="0" borderId="0" xfId="0" applyNumberFormat="1"/>
    <xf numFmtId="165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/>
    <xf numFmtId="14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 vertical="center" wrapText="1"/>
    </xf>
    <xf numFmtId="167" fontId="0" fillId="0" borderId="0" xfId="2" applyNumberFormat="1" applyFont="1" applyAlignment="1">
      <alignment horizontal="center" vertical="center" wrapText="1"/>
    </xf>
    <xf numFmtId="167" fontId="0" fillId="0" borderId="0" xfId="2" applyNumberFormat="1" applyFont="1"/>
    <xf numFmtId="167" fontId="0" fillId="0" borderId="0" xfId="0" applyNumberForma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17" fontId="13" fillId="0" borderId="0" xfId="0" applyNumberFormat="1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168" fontId="13" fillId="2" borderId="0" xfId="0" applyNumberFormat="1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17" fontId="14" fillId="0" borderId="0" xfId="0" applyNumberFormat="1" applyFont="1" applyAlignment="1">
      <alignment horizontal="center" vertical="center" wrapText="1"/>
    </xf>
    <xf numFmtId="17" fontId="13" fillId="2" borderId="0" xfId="0" quotePrefix="1" applyNumberFormat="1" applyFont="1" applyFill="1" applyAlignment="1">
      <alignment horizontal="center" vertical="center" wrapText="1"/>
    </xf>
    <xf numFmtId="17" fontId="13" fillId="0" borderId="0" xfId="0" quotePrefix="1" applyNumberFormat="1" applyFont="1" applyAlignment="1">
      <alignment horizontal="center" vertical="center" wrapText="1"/>
    </xf>
    <xf numFmtId="17" fontId="15" fillId="3" borderId="0" xfId="0" quotePrefix="1" applyNumberFormat="1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9" fontId="13" fillId="0" borderId="0" xfId="1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9" fontId="13" fillId="0" borderId="0" xfId="2" applyFont="1" applyFill="1" applyAlignment="1">
      <alignment horizontal="center" vertical="center" wrapText="1"/>
    </xf>
    <xf numFmtId="9" fontId="13" fillId="0" borderId="0" xfId="2" quotePrefix="1" applyFont="1" applyFill="1" applyAlignment="1">
      <alignment horizontal="center" vertical="center" wrapText="1"/>
    </xf>
    <xf numFmtId="9" fontId="14" fillId="0" borderId="0" xfId="2" applyFont="1" applyFill="1" applyAlignment="1">
      <alignment horizontal="center" vertical="center" wrapText="1"/>
    </xf>
    <xf numFmtId="9" fontId="15" fillId="3" borderId="0" xfId="2" applyFont="1" applyFill="1" applyAlignment="1">
      <alignment horizontal="center" vertical="center" wrapText="1"/>
    </xf>
    <xf numFmtId="14" fontId="20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166" fontId="20" fillId="0" borderId="0" xfId="0" applyNumberFormat="1" applyFont="1" applyAlignment="1">
      <alignment horizontal="center" vertical="center" wrapText="1"/>
    </xf>
    <xf numFmtId="40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166" fontId="20" fillId="0" borderId="0" xfId="0" applyNumberFormat="1" applyFont="1"/>
    <xf numFmtId="3" fontId="20" fillId="0" borderId="0" xfId="0" applyNumberFormat="1" applyFont="1"/>
    <xf numFmtId="170" fontId="20" fillId="0" borderId="0" xfId="0" applyNumberFormat="1" applyFont="1"/>
    <xf numFmtId="167" fontId="20" fillId="0" borderId="0" xfId="2" applyNumberFormat="1" applyFont="1"/>
    <xf numFmtId="164" fontId="20" fillId="0" borderId="0" xfId="0" applyNumberFormat="1" applyFont="1"/>
    <xf numFmtId="164" fontId="20" fillId="2" borderId="0" xfId="0" applyNumberFormat="1" applyFont="1" applyFill="1"/>
    <xf numFmtId="40" fontId="20" fillId="2" borderId="0" xfId="0" applyNumberFormat="1" applyFont="1" applyFill="1"/>
    <xf numFmtId="166" fontId="0" fillId="0" borderId="0" xfId="0" applyNumberFormat="1"/>
    <xf numFmtId="166" fontId="20" fillId="0" borderId="0" xfId="0" applyNumberFormat="1" applyFont="1" applyAlignment="1">
      <alignment horizontal="right"/>
    </xf>
    <xf numFmtId="166" fontId="20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center"/>
    </xf>
    <xf numFmtId="167" fontId="20" fillId="0" borderId="0" xfId="2" applyNumberFormat="1" applyFont="1" applyAlignment="1">
      <alignment horizontal="center" vertical="center" wrapText="1"/>
    </xf>
    <xf numFmtId="2" fontId="20" fillId="0" borderId="0" xfId="0" applyNumberFormat="1" applyFont="1"/>
    <xf numFmtId="167" fontId="20" fillId="0" borderId="0" xfId="0" applyNumberFormat="1" applyFont="1"/>
    <xf numFmtId="38" fontId="20" fillId="0" borderId="0" xfId="0" applyNumberFormat="1" applyFont="1" applyAlignment="1">
      <alignment horizontal="right"/>
    </xf>
    <xf numFmtId="9" fontId="20" fillId="0" borderId="0" xfId="2" applyFont="1" applyAlignment="1">
      <alignment horizontal="right"/>
    </xf>
    <xf numFmtId="166" fontId="21" fillId="0" borderId="0" xfId="0" applyNumberFormat="1" applyFont="1" applyAlignment="1">
      <alignment horizontal="right"/>
    </xf>
    <xf numFmtId="166" fontId="22" fillId="0" borderId="0" xfId="0" applyNumberFormat="1" applyFont="1" applyAlignment="1">
      <alignment horizontal="right"/>
    </xf>
    <xf numFmtId="38" fontId="20" fillId="0" borderId="0" xfId="0" applyNumberFormat="1" applyFont="1"/>
    <xf numFmtId="40" fontId="20" fillId="0" borderId="0" xfId="0" applyNumberFormat="1" applyFont="1"/>
    <xf numFmtId="166" fontId="23" fillId="0" borderId="0" xfId="0" applyNumberFormat="1" applyFont="1" applyAlignment="1">
      <alignment horizontal="right"/>
    </xf>
    <xf numFmtId="4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/>
    <xf numFmtId="0" fontId="24" fillId="0" borderId="0" xfId="0" applyFont="1" applyAlignment="1">
      <alignment horizontal="center" vertical="center" wrapText="1"/>
    </xf>
    <xf numFmtId="40" fontId="0" fillId="0" borderId="0" xfId="0" applyNumberFormat="1"/>
    <xf numFmtId="9" fontId="0" fillId="0" borderId="0" xfId="2" applyFont="1"/>
    <xf numFmtId="9" fontId="0" fillId="0" borderId="0" xfId="0" applyNumberFormat="1" applyAlignment="1">
      <alignment horizontal="center" vertical="center" wrapText="1"/>
    </xf>
    <xf numFmtId="9" fontId="0" fillId="0" borderId="0" xfId="2" applyFont="1" applyFill="1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  <xf numFmtId="14" fontId="24" fillId="0" borderId="0" xfId="0" applyNumberFormat="1" applyFont="1"/>
    <xf numFmtId="14" fontId="24" fillId="4" borderId="0" xfId="0" applyNumberFormat="1" applyFont="1" applyFill="1"/>
    <xf numFmtId="9" fontId="0" fillId="4" borderId="0" xfId="2" applyFont="1" applyFill="1" applyAlignment="1">
      <alignment horizontal="center" vertical="center" wrapText="1"/>
    </xf>
    <xf numFmtId="9" fontId="0" fillId="4" borderId="0" xfId="0" applyNumberFormat="1" applyFill="1" applyAlignment="1">
      <alignment horizontal="center" vertical="center" wrapText="1"/>
    </xf>
    <xf numFmtId="9" fontId="0" fillId="0" borderId="0" xfId="0" applyNumberFormat="1"/>
    <xf numFmtId="9" fontId="0" fillId="4" borderId="0" xfId="0" applyNumberFormat="1" applyFill="1"/>
    <xf numFmtId="38" fontId="0" fillId="0" borderId="0" xfId="0" applyNumberFormat="1"/>
    <xf numFmtId="9" fontId="6" fillId="0" borderId="0" xfId="2" applyFont="1"/>
    <xf numFmtId="38" fontId="6" fillId="0" borderId="0" xfId="0" applyNumberFormat="1" applyFont="1" applyAlignment="1">
      <alignment horizontal="center"/>
    </xf>
    <xf numFmtId="38" fontId="6" fillId="4" borderId="0" xfId="0" applyNumberFormat="1" applyFont="1" applyFill="1" applyAlignment="1">
      <alignment horizontal="center"/>
    </xf>
    <xf numFmtId="38" fontId="26" fillId="0" borderId="0" xfId="0" applyNumberFormat="1" applyFont="1" applyAlignment="1">
      <alignment horizontal="center"/>
    </xf>
    <xf numFmtId="38" fontId="26" fillId="4" borderId="0" xfId="0" applyNumberFormat="1" applyFont="1" applyFill="1" applyAlignment="1">
      <alignment horizontal="center"/>
    </xf>
    <xf numFmtId="0" fontId="0" fillId="4" borderId="0" xfId="0" applyFill="1"/>
    <xf numFmtId="38" fontId="27" fillId="0" borderId="0" xfId="0" applyNumberFormat="1" applyFont="1" applyAlignment="1">
      <alignment horizontal="center"/>
    </xf>
    <xf numFmtId="9" fontId="6" fillId="0" borderId="0" xfId="2" applyFont="1" applyAlignment="1">
      <alignment horizontal="center"/>
    </xf>
    <xf numFmtId="167" fontId="6" fillId="0" borderId="0" xfId="2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24" fillId="5" borderId="0" xfId="0" applyNumberFormat="1" applyFont="1" applyFill="1"/>
    <xf numFmtId="38" fontId="6" fillId="5" borderId="0" xfId="0" applyNumberFormat="1" applyFont="1" applyFill="1" applyAlignment="1">
      <alignment horizontal="center"/>
    </xf>
    <xf numFmtId="38" fontId="26" fillId="5" borderId="0" xfId="0" applyNumberFormat="1" applyFont="1" applyFill="1" applyAlignment="1">
      <alignment horizontal="center"/>
    </xf>
    <xf numFmtId="0" fontId="0" fillId="5" borderId="0" xfId="0" applyFill="1"/>
    <xf numFmtId="38" fontId="27" fillId="5" borderId="0" xfId="0" applyNumberFormat="1" applyFont="1" applyFill="1" applyAlignment="1">
      <alignment horizontal="center"/>
    </xf>
    <xf numFmtId="9" fontId="6" fillId="5" borderId="0" xfId="2" applyFont="1" applyFill="1" applyAlignment="1">
      <alignment horizontal="center"/>
    </xf>
    <xf numFmtId="167" fontId="6" fillId="5" borderId="0" xfId="2" applyNumberFormat="1" applyFont="1" applyFill="1" applyAlignment="1">
      <alignment horizontal="center"/>
    </xf>
    <xf numFmtId="166" fontId="6" fillId="5" borderId="0" xfId="0" applyNumberFormat="1" applyFont="1" applyFill="1" applyAlignment="1">
      <alignment horizontal="center"/>
    </xf>
    <xf numFmtId="40" fontId="0" fillId="5" borderId="0" xfId="0" applyNumberFormat="1" applyFill="1"/>
    <xf numFmtId="166" fontId="0" fillId="5" borderId="0" xfId="0" applyNumberFormat="1" applyFill="1"/>
    <xf numFmtId="9" fontId="0" fillId="5" borderId="0" xfId="2" applyFont="1" applyFill="1"/>
    <xf numFmtId="3" fontId="0" fillId="5" borderId="0" xfId="0" applyNumberFormat="1" applyFill="1"/>
    <xf numFmtId="9" fontId="0" fillId="5" borderId="0" xfId="0" applyNumberFormat="1" applyFill="1"/>
    <xf numFmtId="38" fontId="0" fillId="5" borderId="0" xfId="0" applyNumberFormat="1" applyFill="1"/>
    <xf numFmtId="40" fontId="20" fillId="5" borderId="0" xfId="0" applyNumberFormat="1" applyFont="1" applyFill="1"/>
    <xf numFmtId="9" fontId="6" fillId="5" borderId="0" xfId="2" applyFont="1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6" fontId="30" fillId="0" borderId="0" xfId="0" applyNumberFormat="1" applyFont="1" applyAlignment="1">
      <alignment horizontal="center"/>
    </xf>
    <xf numFmtId="40" fontId="23" fillId="0" borderId="0" xfId="0" applyNumberFormat="1" applyFont="1"/>
    <xf numFmtId="0" fontId="24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166" fontId="0" fillId="2" borderId="0" xfId="0" applyNumberFormat="1" applyFill="1"/>
    <xf numFmtId="9" fontId="0" fillId="0" borderId="0" xfId="0" applyNumberFormat="1" applyAlignment="1">
      <alignment horizontal="center"/>
    </xf>
    <xf numFmtId="38" fontId="27" fillId="0" borderId="0" xfId="0" applyNumberFormat="1" applyFont="1"/>
    <xf numFmtId="166" fontId="6" fillId="0" borderId="0" xfId="0" applyNumberFormat="1" applyFont="1"/>
    <xf numFmtId="171" fontId="0" fillId="0" borderId="0" xfId="0" applyNumberForma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24" fillId="0" borderId="1" xfId="0" applyFont="1" applyBorder="1"/>
    <xf numFmtId="38" fontId="37" fillId="0" borderId="1" xfId="4" quotePrefix="1" applyNumberFormat="1" applyFont="1" applyBorder="1" applyAlignment="1">
      <alignment horizontal="right"/>
    </xf>
    <xf numFmtId="0" fontId="0" fillId="0" borderId="2" xfId="0" applyBorder="1"/>
    <xf numFmtId="0" fontId="38" fillId="6" borderId="0" xfId="0" applyFont="1" applyFill="1" applyAlignment="1">
      <alignment vertical="center"/>
    </xf>
    <xf numFmtId="0" fontId="38" fillId="6" borderId="0" xfId="0" applyFont="1" applyFill="1" applyAlignment="1">
      <alignment horizontal="left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/>
    <xf numFmtId="14" fontId="39" fillId="0" borderId="0" xfId="0" applyNumberFormat="1" applyFont="1"/>
    <xf numFmtId="38" fontId="39" fillId="0" borderId="0" xfId="0" applyNumberFormat="1" applyFont="1" applyAlignment="1">
      <alignment horizontal="center" vertical="center" wrapText="1"/>
    </xf>
    <xf numFmtId="164" fontId="39" fillId="0" borderId="0" xfId="0" applyNumberFormat="1" applyFont="1" applyAlignment="1">
      <alignment horizontal="center" vertical="center" wrapText="1"/>
    </xf>
    <xf numFmtId="40" fontId="39" fillId="0" borderId="0" xfId="0" applyNumberFormat="1" applyFont="1" applyAlignment="1">
      <alignment horizontal="center" vertical="center" wrapText="1"/>
    </xf>
    <xf numFmtId="38" fontId="40" fillId="0" borderId="0" xfId="0" applyNumberFormat="1" applyFont="1" applyAlignment="1">
      <alignment horizontal="center" vertical="center" wrapText="1"/>
    </xf>
    <xf numFmtId="164" fontId="40" fillId="0" borderId="0" xfId="0" applyNumberFormat="1" applyFont="1" applyAlignment="1">
      <alignment horizontal="center" vertical="center" wrapText="1"/>
    </xf>
    <xf numFmtId="40" fontId="40" fillId="0" borderId="0" xfId="0" applyNumberFormat="1" applyFont="1" applyAlignment="1">
      <alignment horizontal="center" vertical="center" wrapText="1"/>
    </xf>
    <xf numFmtId="0" fontId="38" fillId="7" borderId="0" xfId="0" applyFont="1" applyFill="1" applyAlignment="1">
      <alignment vertical="center"/>
    </xf>
    <xf numFmtId="0" fontId="39" fillId="7" borderId="0" xfId="0" applyFont="1" applyFill="1"/>
    <xf numFmtId="38" fontId="39" fillId="0" borderId="0" xfId="0" applyNumberFormat="1" applyFont="1"/>
    <xf numFmtId="164" fontId="39" fillId="0" borderId="0" xfId="0" applyNumberFormat="1" applyFont="1"/>
    <xf numFmtId="40" fontId="39" fillId="0" borderId="0" xfId="0" applyNumberFormat="1" applyFont="1" applyAlignment="1">
      <alignment horizontal="right"/>
    </xf>
    <xf numFmtId="38" fontId="40" fillId="0" borderId="0" xfId="0" applyNumberFormat="1" applyFont="1"/>
    <xf numFmtId="164" fontId="40" fillId="0" borderId="0" xfId="0" applyNumberFormat="1" applyFont="1"/>
    <xf numFmtId="40" fontId="40" fillId="0" borderId="0" xfId="0" applyNumberFormat="1" applyFont="1"/>
    <xf numFmtId="0" fontId="40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5">
    <cellStyle name="Comma" xfId="1" builtinId="3"/>
    <cellStyle name="Comma 9" xfId="4" xr:uid="{B99E0C75-C66D-422F-8215-C7950BEA64D3}"/>
    <cellStyle name="Normal" xfId="0" builtinId="0"/>
    <cellStyle name="Normal 2" xfId="3" xr:uid="{FCBF976F-8BCA-473B-8AB0-C25A977173F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/>
              <a:t>Despite historically</a:t>
            </a:r>
            <a:r>
              <a:rPr lang="en-US" sz="1200" baseline="0"/>
              <a:t> high margins, capacity utilization dropped sharply as the industry expanded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12660396617091"/>
          <c:y val="0.16824973869416765"/>
          <c:w val="0.73689031058617671"/>
          <c:h val="0.68246598378742485"/>
        </c:manualLayout>
      </c:layout>
      <c:areaChart>
        <c:grouping val="standard"/>
        <c:varyColors val="0"/>
        <c:ser>
          <c:idx val="0"/>
          <c:order val="0"/>
          <c:tx>
            <c:v>Renewable Diesel Production</c:v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cat>
            <c:numRef>
              <c:f>'Renewable Diesel'!$A$97:$A$288</c:f>
              <c:numCache>
                <c:formatCode>m/d/yyyy</c:formatCode>
                <c:ptCount val="19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  <c:pt idx="98">
                  <c:v>46082</c:v>
                </c:pt>
                <c:pt idx="99">
                  <c:v>46113</c:v>
                </c:pt>
                <c:pt idx="100">
                  <c:v>46143</c:v>
                </c:pt>
                <c:pt idx="101">
                  <c:v>46174</c:v>
                </c:pt>
                <c:pt idx="102">
                  <c:v>46204</c:v>
                </c:pt>
                <c:pt idx="103">
                  <c:v>46235</c:v>
                </c:pt>
                <c:pt idx="104">
                  <c:v>46266</c:v>
                </c:pt>
                <c:pt idx="105">
                  <c:v>46296</c:v>
                </c:pt>
                <c:pt idx="106">
                  <c:v>46327</c:v>
                </c:pt>
                <c:pt idx="107">
                  <c:v>46357</c:v>
                </c:pt>
                <c:pt idx="108">
                  <c:v>46388</c:v>
                </c:pt>
                <c:pt idx="109">
                  <c:v>46419</c:v>
                </c:pt>
                <c:pt idx="110">
                  <c:v>46447</c:v>
                </c:pt>
                <c:pt idx="111">
                  <c:v>46478</c:v>
                </c:pt>
                <c:pt idx="112">
                  <c:v>46508</c:v>
                </c:pt>
                <c:pt idx="113">
                  <c:v>46539</c:v>
                </c:pt>
                <c:pt idx="114">
                  <c:v>46569</c:v>
                </c:pt>
                <c:pt idx="115">
                  <c:v>46600</c:v>
                </c:pt>
                <c:pt idx="116">
                  <c:v>46631</c:v>
                </c:pt>
                <c:pt idx="117">
                  <c:v>46661</c:v>
                </c:pt>
                <c:pt idx="118">
                  <c:v>46692</c:v>
                </c:pt>
                <c:pt idx="119">
                  <c:v>46722</c:v>
                </c:pt>
                <c:pt idx="120">
                  <c:v>46753</c:v>
                </c:pt>
                <c:pt idx="121">
                  <c:v>46784</c:v>
                </c:pt>
                <c:pt idx="122">
                  <c:v>46813</c:v>
                </c:pt>
                <c:pt idx="123">
                  <c:v>46844</c:v>
                </c:pt>
                <c:pt idx="124">
                  <c:v>46874</c:v>
                </c:pt>
                <c:pt idx="125">
                  <c:v>46905</c:v>
                </c:pt>
                <c:pt idx="126">
                  <c:v>46935</c:v>
                </c:pt>
                <c:pt idx="127">
                  <c:v>46966</c:v>
                </c:pt>
                <c:pt idx="128">
                  <c:v>46997</c:v>
                </c:pt>
                <c:pt idx="129">
                  <c:v>47027</c:v>
                </c:pt>
                <c:pt idx="130">
                  <c:v>47058</c:v>
                </c:pt>
                <c:pt idx="131">
                  <c:v>47088</c:v>
                </c:pt>
                <c:pt idx="132">
                  <c:v>47119</c:v>
                </c:pt>
                <c:pt idx="133">
                  <c:v>47150</c:v>
                </c:pt>
                <c:pt idx="134">
                  <c:v>47178</c:v>
                </c:pt>
                <c:pt idx="135">
                  <c:v>47209</c:v>
                </c:pt>
                <c:pt idx="136">
                  <c:v>47239</c:v>
                </c:pt>
                <c:pt idx="137">
                  <c:v>47270</c:v>
                </c:pt>
                <c:pt idx="138">
                  <c:v>47300</c:v>
                </c:pt>
                <c:pt idx="139">
                  <c:v>47331</c:v>
                </c:pt>
                <c:pt idx="140">
                  <c:v>47362</c:v>
                </c:pt>
                <c:pt idx="141">
                  <c:v>47392</c:v>
                </c:pt>
                <c:pt idx="142">
                  <c:v>47423</c:v>
                </c:pt>
                <c:pt idx="143">
                  <c:v>47453</c:v>
                </c:pt>
                <c:pt idx="144">
                  <c:v>47484</c:v>
                </c:pt>
                <c:pt idx="145">
                  <c:v>47515</c:v>
                </c:pt>
                <c:pt idx="146">
                  <c:v>47543</c:v>
                </c:pt>
                <c:pt idx="147">
                  <c:v>47574</c:v>
                </c:pt>
                <c:pt idx="148">
                  <c:v>47604</c:v>
                </c:pt>
                <c:pt idx="149">
                  <c:v>47635</c:v>
                </c:pt>
                <c:pt idx="150">
                  <c:v>47665</c:v>
                </c:pt>
                <c:pt idx="151">
                  <c:v>47696</c:v>
                </c:pt>
                <c:pt idx="152">
                  <c:v>47727</c:v>
                </c:pt>
                <c:pt idx="153">
                  <c:v>47757</c:v>
                </c:pt>
                <c:pt idx="154">
                  <c:v>47788</c:v>
                </c:pt>
                <c:pt idx="155">
                  <c:v>47818</c:v>
                </c:pt>
                <c:pt idx="156">
                  <c:v>47849</c:v>
                </c:pt>
                <c:pt idx="157">
                  <c:v>47880</c:v>
                </c:pt>
                <c:pt idx="158">
                  <c:v>47908</c:v>
                </c:pt>
                <c:pt idx="159">
                  <c:v>47939</c:v>
                </c:pt>
                <c:pt idx="160">
                  <c:v>47969</c:v>
                </c:pt>
                <c:pt idx="161">
                  <c:v>48000</c:v>
                </c:pt>
                <c:pt idx="162">
                  <c:v>48030</c:v>
                </c:pt>
                <c:pt idx="163">
                  <c:v>48061</c:v>
                </c:pt>
                <c:pt idx="164">
                  <c:v>48092</c:v>
                </c:pt>
                <c:pt idx="165">
                  <c:v>48122</c:v>
                </c:pt>
                <c:pt idx="166">
                  <c:v>48153</c:v>
                </c:pt>
                <c:pt idx="167">
                  <c:v>48183</c:v>
                </c:pt>
                <c:pt idx="168">
                  <c:v>48214</c:v>
                </c:pt>
                <c:pt idx="169">
                  <c:v>48245</c:v>
                </c:pt>
                <c:pt idx="170">
                  <c:v>48274</c:v>
                </c:pt>
                <c:pt idx="171">
                  <c:v>48305</c:v>
                </c:pt>
                <c:pt idx="172">
                  <c:v>48335</c:v>
                </c:pt>
                <c:pt idx="173">
                  <c:v>48366</c:v>
                </c:pt>
                <c:pt idx="174">
                  <c:v>48396</c:v>
                </c:pt>
                <c:pt idx="175">
                  <c:v>48427</c:v>
                </c:pt>
                <c:pt idx="176">
                  <c:v>48458</c:v>
                </c:pt>
                <c:pt idx="177">
                  <c:v>48488</c:v>
                </c:pt>
                <c:pt idx="178">
                  <c:v>48519</c:v>
                </c:pt>
                <c:pt idx="179">
                  <c:v>48549</c:v>
                </c:pt>
                <c:pt idx="180">
                  <c:v>48580</c:v>
                </c:pt>
                <c:pt idx="181">
                  <c:v>48611</c:v>
                </c:pt>
                <c:pt idx="182">
                  <c:v>48639</c:v>
                </c:pt>
                <c:pt idx="183">
                  <c:v>48670</c:v>
                </c:pt>
                <c:pt idx="184">
                  <c:v>48700</c:v>
                </c:pt>
                <c:pt idx="185">
                  <c:v>48731</c:v>
                </c:pt>
                <c:pt idx="186">
                  <c:v>48761</c:v>
                </c:pt>
                <c:pt idx="187">
                  <c:v>48792</c:v>
                </c:pt>
                <c:pt idx="188">
                  <c:v>48823</c:v>
                </c:pt>
                <c:pt idx="189">
                  <c:v>48853</c:v>
                </c:pt>
                <c:pt idx="190">
                  <c:v>48884</c:v>
                </c:pt>
                <c:pt idx="191">
                  <c:v>48914</c:v>
                </c:pt>
              </c:numCache>
            </c:numRef>
          </c:cat>
          <c:val>
            <c:numRef>
              <c:f>'Renewable Diesel'!$BF$97:$BF$288</c:f>
              <c:numCache>
                <c:formatCode>0.00</c:formatCode>
                <c:ptCount val="192"/>
                <c:pt idx="0">
                  <c:v>13.498593</c:v>
                </c:pt>
                <c:pt idx="1">
                  <c:v>20.402573</c:v>
                </c:pt>
                <c:pt idx="2">
                  <c:v>22.899792000000001</c:v>
                </c:pt>
                <c:pt idx="3">
                  <c:v>24.904876999999999</c:v>
                </c:pt>
                <c:pt idx="4">
                  <c:v>21.142208</c:v>
                </c:pt>
                <c:pt idx="5">
                  <c:v>11.593513</c:v>
                </c:pt>
                <c:pt idx="6">
                  <c:v>8.1459250000000001</c:v>
                </c:pt>
                <c:pt idx="7">
                  <c:v>13.956386</c:v>
                </c:pt>
                <c:pt idx="8">
                  <c:v>28.769365000000001</c:v>
                </c:pt>
                <c:pt idx="9">
                  <c:v>36.134855000000002</c:v>
                </c:pt>
                <c:pt idx="10">
                  <c:v>37.024481000000002</c:v>
                </c:pt>
                <c:pt idx="11">
                  <c:v>45.232171999999998</c:v>
                </c:pt>
                <c:pt idx="12">
                  <c:v>33.700100999999997</c:v>
                </c:pt>
                <c:pt idx="13">
                  <c:v>38.013218000000002</c:v>
                </c:pt>
                <c:pt idx="14">
                  <c:v>33.048971000000002</c:v>
                </c:pt>
                <c:pt idx="15">
                  <c:v>35.807735000000001</c:v>
                </c:pt>
                <c:pt idx="16">
                  <c:v>37.168907000000004</c:v>
                </c:pt>
                <c:pt idx="17">
                  <c:v>37.508544000000001</c:v>
                </c:pt>
                <c:pt idx="18">
                  <c:v>43.325862000000001</c:v>
                </c:pt>
                <c:pt idx="19">
                  <c:v>26.839086000000002</c:v>
                </c:pt>
                <c:pt idx="20">
                  <c:v>37.928697999999997</c:v>
                </c:pt>
                <c:pt idx="21">
                  <c:v>46.809003000000004</c:v>
                </c:pt>
                <c:pt idx="22">
                  <c:v>40.211069000000002</c:v>
                </c:pt>
                <c:pt idx="23">
                  <c:v>49.910888</c:v>
                </c:pt>
                <c:pt idx="24">
                  <c:v>37.87379</c:v>
                </c:pt>
                <c:pt idx="25">
                  <c:v>33.947856999999999</c:v>
                </c:pt>
                <c:pt idx="26">
                  <c:v>41.944926000000002</c:v>
                </c:pt>
                <c:pt idx="27">
                  <c:v>36.791063000000001</c:v>
                </c:pt>
                <c:pt idx="28">
                  <c:v>42.165050000000001</c:v>
                </c:pt>
                <c:pt idx="29">
                  <c:v>50.363393000000002</c:v>
                </c:pt>
                <c:pt idx="30">
                  <c:v>44.596484000000004</c:v>
                </c:pt>
                <c:pt idx="31">
                  <c:v>40.341842</c:v>
                </c:pt>
                <c:pt idx="32">
                  <c:v>45.202404999999999</c:v>
                </c:pt>
                <c:pt idx="33">
                  <c:v>21.077662</c:v>
                </c:pt>
                <c:pt idx="34">
                  <c:v>43.316411000000002</c:v>
                </c:pt>
                <c:pt idx="35">
                  <c:v>49.899191999999999</c:v>
                </c:pt>
                <c:pt idx="36">
                  <c:v>41.961106999999998</c:v>
                </c:pt>
                <c:pt idx="37">
                  <c:v>46.988512999999998</c:v>
                </c:pt>
                <c:pt idx="38">
                  <c:v>55.444846999999996</c:v>
                </c:pt>
                <c:pt idx="39">
                  <c:v>47.871760000000002</c:v>
                </c:pt>
                <c:pt idx="40">
                  <c:v>58.109828</c:v>
                </c:pt>
                <c:pt idx="41">
                  <c:v>65.015321999999998</c:v>
                </c:pt>
                <c:pt idx="42">
                  <c:v>65.349163000000004</c:v>
                </c:pt>
                <c:pt idx="43">
                  <c:v>75.373880999999997</c:v>
                </c:pt>
                <c:pt idx="44">
                  <c:v>50.222971000000001</c:v>
                </c:pt>
                <c:pt idx="45">
                  <c:v>72.692228</c:v>
                </c:pt>
                <c:pt idx="46">
                  <c:v>101.510868</c:v>
                </c:pt>
                <c:pt idx="47">
                  <c:v>107.526235</c:v>
                </c:pt>
                <c:pt idx="48">
                  <c:v>83.391809999999992</c:v>
                </c:pt>
                <c:pt idx="49">
                  <c:v>97.79053900000001</c:v>
                </c:pt>
                <c:pt idx="50">
                  <c:v>106.30383599999999</c:v>
                </c:pt>
                <c:pt idx="51">
                  <c:v>101.597233</c:v>
                </c:pt>
                <c:pt idx="52">
                  <c:v>127.59518300000001</c:v>
                </c:pt>
                <c:pt idx="53">
                  <c:v>112.47790400000001</c:v>
                </c:pt>
                <c:pt idx="54">
                  <c:v>105.32678</c:v>
                </c:pt>
                <c:pt idx="55">
                  <c:v>115.38978</c:v>
                </c:pt>
                <c:pt idx="56">
                  <c:v>119.11131899999999</c:v>
                </c:pt>
                <c:pt idx="57">
                  <c:v>109.75346399999999</c:v>
                </c:pt>
                <c:pt idx="58">
                  <c:v>163.83760599999999</c:v>
                </c:pt>
                <c:pt idx="59">
                  <c:v>144.68732500000002</c:v>
                </c:pt>
                <c:pt idx="60">
                  <c:v>144.72083599999999</c:v>
                </c:pt>
                <c:pt idx="61">
                  <c:v>140.550375</c:v>
                </c:pt>
                <c:pt idx="62">
                  <c:v>175.18420100000003</c:v>
                </c:pt>
                <c:pt idx="63">
                  <c:v>170.43425400000001</c:v>
                </c:pt>
                <c:pt idx="64">
                  <c:v>223.75111099999998</c:v>
                </c:pt>
                <c:pt idx="65">
                  <c:v>193.81749600000001</c:v>
                </c:pt>
                <c:pt idx="66">
                  <c:v>180.13053200000002</c:v>
                </c:pt>
                <c:pt idx="67">
                  <c:v>230.44136399999999</c:v>
                </c:pt>
                <c:pt idx="68">
                  <c:v>227.26531</c:v>
                </c:pt>
                <c:pt idx="69">
                  <c:v>208.59210000000002</c:v>
                </c:pt>
                <c:pt idx="70">
                  <c:v>201.01795000000001</c:v>
                </c:pt>
                <c:pt idx="71">
                  <c:v>271.36654500000003</c:v>
                </c:pt>
                <c:pt idx="72">
                  <c:v>225.84338299999999</c:v>
                </c:pt>
                <c:pt idx="73">
                  <c:v>227.393371</c:v>
                </c:pt>
                <c:pt idx="74">
                  <c:v>212.071597</c:v>
                </c:pt>
                <c:pt idx="75">
                  <c:v>281.86322999999999</c:v>
                </c:pt>
                <c:pt idx="76">
                  <c:v>222.24125000000001</c:v>
                </c:pt>
                <c:pt idx="77">
                  <c:v>279.39835299999999</c:v>
                </c:pt>
                <c:pt idx="78">
                  <c:v>288.95637299999999</c:v>
                </c:pt>
                <c:pt idx="79">
                  <c:v>255.652916</c:v>
                </c:pt>
                <c:pt idx="80">
                  <c:v>260.35562600000003</c:v>
                </c:pt>
                <c:pt idx="81">
                  <c:v>288.83181999999999</c:v>
                </c:pt>
                <c:pt idx="82">
                  <c:v>256.39279900000002</c:v>
                </c:pt>
                <c:pt idx="83">
                  <c:v>309.851922</c:v>
                </c:pt>
                <c:pt idx="84">
                  <c:v>220.42661099999998</c:v>
                </c:pt>
                <c:pt idx="85">
                  <c:v>197.19524200000001</c:v>
                </c:pt>
                <c:pt idx="86">
                  <c:v>226.67318399999999</c:v>
                </c:pt>
                <c:pt idx="87">
                  <c:v>205.93128632325747</c:v>
                </c:pt>
                <c:pt idx="88">
                  <c:v>204.8511107883856</c:v>
                </c:pt>
                <c:pt idx="89">
                  <c:v>201.11246380080584</c:v>
                </c:pt>
                <c:pt idx="90">
                  <c:v>198.33196266093438</c:v>
                </c:pt>
                <c:pt idx="91">
                  <c:v>201.83626301401597</c:v>
                </c:pt>
                <c:pt idx="92">
                  <c:v>205.86467668103714</c:v>
                </c:pt>
                <c:pt idx="93">
                  <c:v>226.34921594393924</c:v>
                </c:pt>
                <c:pt idx="94">
                  <c:v>245.40289349991286</c:v>
                </c:pt>
                <c:pt idx="95">
                  <c:v>294.99482566110845</c:v>
                </c:pt>
                <c:pt idx="96">
                  <c:v>191.25663221530687</c:v>
                </c:pt>
                <c:pt idx="97">
                  <c:v>229.79663837291469</c:v>
                </c:pt>
                <c:pt idx="98">
                  <c:v>212.68460455912947</c:v>
                </c:pt>
                <c:pt idx="99">
                  <c:v>217.65831273987709</c:v>
                </c:pt>
                <c:pt idx="100">
                  <c:v>248.90744768100396</c:v>
                </c:pt>
                <c:pt idx="101">
                  <c:v>245.56047598792833</c:v>
                </c:pt>
                <c:pt idx="102">
                  <c:v>244.79345801243824</c:v>
                </c:pt>
                <c:pt idx="103">
                  <c:v>250.69301602226463</c:v>
                </c:pt>
                <c:pt idx="104">
                  <c:v>263.53064123057032</c:v>
                </c:pt>
                <c:pt idx="105">
                  <c:v>284.24692660426723</c:v>
                </c:pt>
                <c:pt idx="106">
                  <c:v>326.20505555239907</c:v>
                </c:pt>
                <c:pt idx="107">
                  <c:v>359.94848049094293</c:v>
                </c:pt>
                <c:pt idx="108">
                  <c:v>252.56418649107721</c:v>
                </c:pt>
                <c:pt idx="109">
                  <c:v>332.90748345601639</c:v>
                </c:pt>
                <c:pt idx="110">
                  <c:v>266.28099135641429</c:v>
                </c:pt>
                <c:pt idx="111">
                  <c:v>290.97860103059577</c:v>
                </c:pt>
                <c:pt idx="112">
                  <c:v>341.77124324923426</c:v>
                </c:pt>
                <c:pt idx="113">
                  <c:v>334.71171404179995</c:v>
                </c:pt>
                <c:pt idx="114">
                  <c:v>339.29278373728391</c:v>
                </c:pt>
                <c:pt idx="115">
                  <c:v>352.90445526846872</c:v>
                </c:pt>
                <c:pt idx="116">
                  <c:v>383.64028470080018</c:v>
                </c:pt>
                <c:pt idx="117">
                  <c:v>402.69822146320587</c:v>
                </c:pt>
                <c:pt idx="118">
                  <c:v>437.42482170770745</c:v>
                </c:pt>
                <c:pt idx="119">
                  <c:v>465.89194033739113</c:v>
                </c:pt>
                <c:pt idx="120">
                  <c:v>276.89098476996179</c:v>
                </c:pt>
                <c:pt idx="121">
                  <c:v>376.91194922796217</c:v>
                </c:pt>
                <c:pt idx="122">
                  <c:v>285.86309712616986</c:v>
                </c:pt>
                <c:pt idx="123">
                  <c:v>320.67496808008985</c:v>
                </c:pt>
                <c:pt idx="124">
                  <c:v>380.07950491241667</c:v>
                </c:pt>
                <c:pt idx="125">
                  <c:v>371.35260664495746</c:v>
                </c:pt>
                <c:pt idx="126">
                  <c:v>378.72906203664752</c:v>
                </c:pt>
                <c:pt idx="127">
                  <c:v>395.39243651362887</c:v>
                </c:pt>
                <c:pt idx="128">
                  <c:v>434.80542586940612</c:v>
                </c:pt>
                <c:pt idx="129">
                  <c:v>453.19148305257352</c:v>
                </c:pt>
                <c:pt idx="130">
                  <c:v>482.69200377156386</c:v>
                </c:pt>
                <c:pt idx="131">
                  <c:v>508.5425270977845</c:v>
                </c:pt>
                <c:pt idx="132">
                  <c:v>305.99493219555643</c:v>
                </c:pt>
                <c:pt idx="133">
                  <c:v>430.57397627050284</c:v>
                </c:pt>
                <c:pt idx="134">
                  <c:v>308.03275079133482</c:v>
                </c:pt>
                <c:pt idx="135">
                  <c:v>355.64927907212257</c:v>
                </c:pt>
                <c:pt idx="136">
                  <c:v>425.63710761368372</c:v>
                </c:pt>
                <c:pt idx="137">
                  <c:v>415.07439851088242</c:v>
                </c:pt>
                <c:pt idx="138">
                  <c:v>425.85075410292734</c:v>
                </c:pt>
                <c:pt idx="139">
                  <c:v>446.56872766690356</c:v>
                </c:pt>
                <c:pt idx="140">
                  <c:v>497.89482887842621</c:v>
                </c:pt>
                <c:pt idx="141">
                  <c:v>514.34053650640612</c:v>
                </c:pt>
                <c:pt idx="142">
                  <c:v>536.75824063451512</c:v>
                </c:pt>
                <c:pt idx="143">
                  <c:v>557.52675078843379</c:v>
                </c:pt>
                <c:pt idx="144">
                  <c:v>356.74752733018107</c:v>
                </c:pt>
                <c:pt idx="145">
                  <c:v>519.93955861108964</c:v>
                </c:pt>
                <c:pt idx="146">
                  <c:v>349.31334774621496</c:v>
                </c:pt>
                <c:pt idx="147">
                  <c:v>415.76293440582833</c:v>
                </c:pt>
                <c:pt idx="148">
                  <c:v>502.90066963300433</c:v>
                </c:pt>
                <c:pt idx="149">
                  <c:v>489.27678512356437</c:v>
                </c:pt>
                <c:pt idx="150">
                  <c:v>505.32122861548294</c:v>
                </c:pt>
                <c:pt idx="151">
                  <c:v>532.07270319117833</c:v>
                </c:pt>
                <c:pt idx="152">
                  <c:v>597.86207886886837</c:v>
                </c:pt>
                <c:pt idx="153">
                  <c:v>615.36243326045098</c:v>
                </c:pt>
                <c:pt idx="154">
                  <c:v>629.24887321524147</c:v>
                </c:pt>
                <c:pt idx="155">
                  <c:v>644.18778308328535</c:v>
                </c:pt>
                <c:pt idx="156">
                  <c:v>399.87553227401895</c:v>
                </c:pt>
                <c:pt idx="157">
                  <c:v>588.46251754683317</c:v>
                </c:pt>
                <c:pt idx="158">
                  <c:v>389.73146939019887</c:v>
                </c:pt>
                <c:pt idx="159">
                  <c:v>467.36943690174979</c:v>
                </c:pt>
                <c:pt idx="160">
                  <c:v>567.06288172239249</c:v>
                </c:pt>
                <c:pt idx="161">
                  <c:v>551.17790684204056</c:v>
                </c:pt>
                <c:pt idx="162">
                  <c:v>570.66384355714899</c:v>
                </c:pt>
                <c:pt idx="163">
                  <c:v>601.70724709906335</c:v>
                </c:pt>
                <c:pt idx="164">
                  <c:v>679.05398397392128</c:v>
                </c:pt>
                <c:pt idx="165">
                  <c:v>696.34165416719168</c:v>
                </c:pt>
                <c:pt idx="166">
                  <c:v>706.25538171812968</c:v>
                </c:pt>
                <c:pt idx="167">
                  <c:v>719.99880332780413</c:v>
                </c:pt>
                <c:pt idx="168">
                  <c:v>489.24665503041274</c:v>
                </c:pt>
                <c:pt idx="169">
                  <c:v>726.12324853358166</c:v>
                </c:pt>
                <c:pt idx="170">
                  <c:v>473.67974632866276</c:v>
                </c:pt>
                <c:pt idx="171">
                  <c:v>572.55676112604374</c:v>
                </c:pt>
                <c:pt idx="172">
                  <c:v>696.48817590118983</c:v>
                </c:pt>
                <c:pt idx="173">
                  <c:v>676.51475577651593</c:v>
                </c:pt>
                <c:pt idx="174">
                  <c:v>701.46843506276582</c:v>
                </c:pt>
                <c:pt idx="175">
                  <c:v>740.65109355173399</c:v>
                </c:pt>
                <c:pt idx="176">
                  <c:v>838.21815217443952</c:v>
                </c:pt>
                <c:pt idx="177">
                  <c:v>857.62948601812536</c:v>
                </c:pt>
                <c:pt idx="178">
                  <c:v>865.62608954877123</c:v>
                </c:pt>
                <c:pt idx="179">
                  <c:v>879.16966596938278</c:v>
                </c:pt>
                <c:pt idx="180">
                  <c:v>498.15232033900099</c:v>
                </c:pt>
                <c:pt idx="181">
                  <c:v>744.25407214246161</c:v>
                </c:pt>
                <c:pt idx="182">
                  <c:v>479.65511825537374</c:v>
                </c:pt>
                <c:pt idx="183">
                  <c:v>583.49949716307856</c:v>
                </c:pt>
                <c:pt idx="184">
                  <c:v>711.20269385492838</c:v>
                </c:pt>
                <c:pt idx="185">
                  <c:v>690.50568539416008</c:v>
                </c:pt>
                <c:pt idx="186">
                  <c:v>716.860713580641</c:v>
                </c:pt>
                <c:pt idx="187">
                  <c:v>757.48026877663096</c:v>
                </c:pt>
                <c:pt idx="188">
                  <c:v>859.16077300820314</c:v>
                </c:pt>
                <c:pt idx="189">
                  <c:v>877.93272242917374</c:v>
                </c:pt>
                <c:pt idx="190">
                  <c:v>882.57411040928423</c:v>
                </c:pt>
                <c:pt idx="191">
                  <c:v>893.9389349687815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B-4665-AE2A-0032F7DBB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216344"/>
        <c:axId val="906222248"/>
      </c:areaChart>
      <c:lineChart>
        <c:grouping val="standard"/>
        <c:varyColors val="0"/>
        <c:ser>
          <c:idx val="1"/>
          <c:order val="1"/>
          <c:tx>
            <c:strRef>
              <c:f>'Renewable Diesel'!$BG$5:$BG$7</c:f>
              <c:strCache>
                <c:ptCount val="3"/>
                <c:pt idx="0">
                  <c:v>350</c:v>
                </c:pt>
                <c:pt idx="1">
                  <c:v>350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7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20B-4665-AE2A-0032F7DBBB65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20B-4665-AE2A-0032F7DBBB65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20B-4665-AE2A-0032F7DBBB65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20B-4665-AE2A-0032F7DBBB65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20B-4665-AE2A-0032F7DBBB65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20B-4665-AE2A-0032F7DBBB65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20B-4665-AE2A-0032F7DBBB65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120B-4665-AE2A-0032F7DBBB65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20B-4665-AE2A-0032F7DBBB65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120B-4665-AE2A-0032F7DBBB65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120B-4665-AE2A-0032F7DBBB65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120B-4665-AE2A-0032F7DBBB65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20B-4665-AE2A-0032F7DBBB65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120B-4665-AE2A-0032F7DBBB65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20B-4665-AE2A-0032F7DBBB65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120B-4665-AE2A-0032F7DBBB65}"/>
              </c:ext>
            </c:extLst>
          </c:dPt>
          <c:dPt>
            <c:idx val="8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120B-4665-AE2A-0032F7DBBB65}"/>
              </c:ext>
            </c:extLst>
          </c:dPt>
          <c:dPt>
            <c:idx val="9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120B-4665-AE2A-0032F7DBBB65}"/>
              </c:ext>
            </c:extLst>
          </c:dPt>
          <c:dPt>
            <c:idx val="9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120B-4665-AE2A-0032F7DBBB65}"/>
              </c:ext>
            </c:extLst>
          </c:dPt>
          <c:dPt>
            <c:idx val="9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120B-4665-AE2A-0032F7DBBB65}"/>
              </c:ext>
            </c:extLst>
          </c:dPt>
          <c:dPt>
            <c:idx val="9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120B-4665-AE2A-0032F7DBBB65}"/>
              </c:ext>
            </c:extLst>
          </c:dPt>
          <c:dPt>
            <c:idx val="9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120B-4665-AE2A-0032F7DBBB65}"/>
              </c:ext>
            </c:extLst>
          </c:dPt>
          <c:dPt>
            <c:idx val="9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120B-4665-AE2A-0032F7DBBB65}"/>
              </c:ext>
            </c:extLst>
          </c:dPt>
          <c:dPt>
            <c:idx val="9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120B-4665-AE2A-0032F7DBBB65}"/>
              </c:ext>
            </c:extLst>
          </c:dPt>
          <c:dPt>
            <c:idx val="9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120B-4665-AE2A-0032F7DBBB65}"/>
              </c:ext>
            </c:extLst>
          </c:dPt>
          <c:dPt>
            <c:idx val="9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120B-4665-AE2A-0032F7DBBB65}"/>
              </c:ext>
            </c:extLst>
          </c:dPt>
          <c:dPt>
            <c:idx val="9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120B-4665-AE2A-0032F7DBBB65}"/>
              </c:ext>
            </c:extLst>
          </c:dPt>
          <c:dPt>
            <c:idx val="10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120B-4665-AE2A-0032F7DBBB65}"/>
              </c:ext>
            </c:extLst>
          </c:dPt>
          <c:dPt>
            <c:idx val="10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120B-4665-AE2A-0032F7DBBB65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120B-4665-AE2A-0032F7DBBB65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120B-4665-AE2A-0032F7DBBB65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120B-4665-AE2A-0032F7DBBB65}"/>
              </c:ext>
            </c:extLst>
          </c:dPt>
          <c:dPt>
            <c:idx val="10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120B-4665-AE2A-0032F7DBBB65}"/>
              </c:ext>
            </c:extLst>
          </c:dPt>
          <c:dPt>
            <c:idx val="10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120B-4665-AE2A-0032F7DBBB65}"/>
              </c:ext>
            </c:extLst>
          </c:dPt>
          <c:dPt>
            <c:idx val="10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120B-4665-AE2A-0032F7DBBB65}"/>
              </c:ext>
            </c:extLst>
          </c:dPt>
          <c:dPt>
            <c:idx val="10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120B-4665-AE2A-0032F7DBBB65}"/>
              </c:ext>
            </c:extLst>
          </c:dPt>
          <c:dPt>
            <c:idx val="10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120B-4665-AE2A-0032F7DBBB65}"/>
              </c:ext>
            </c:extLst>
          </c:dPt>
          <c:dPt>
            <c:idx val="11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120B-4665-AE2A-0032F7DBBB65}"/>
              </c:ext>
            </c:extLst>
          </c:dPt>
          <c:dPt>
            <c:idx val="11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120B-4665-AE2A-0032F7DBBB65}"/>
              </c:ext>
            </c:extLst>
          </c:dPt>
          <c:dPt>
            <c:idx val="11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120B-4665-AE2A-0032F7DBBB65}"/>
              </c:ext>
            </c:extLst>
          </c:dPt>
          <c:dPt>
            <c:idx val="11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120B-4665-AE2A-0032F7DBBB65}"/>
              </c:ext>
            </c:extLst>
          </c:dPt>
          <c:dPt>
            <c:idx val="11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120B-4665-AE2A-0032F7DBBB65}"/>
              </c:ext>
            </c:extLst>
          </c:dPt>
          <c:dPt>
            <c:idx val="11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120B-4665-AE2A-0032F7DBBB65}"/>
              </c:ext>
            </c:extLst>
          </c:dPt>
          <c:dPt>
            <c:idx val="11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120B-4665-AE2A-0032F7DBBB65}"/>
              </c:ext>
            </c:extLst>
          </c:dPt>
          <c:dPt>
            <c:idx val="11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120B-4665-AE2A-0032F7DBBB65}"/>
              </c:ext>
            </c:extLst>
          </c:dPt>
          <c:dPt>
            <c:idx val="11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120B-4665-AE2A-0032F7DBBB65}"/>
              </c:ext>
            </c:extLst>
          </c:dPt>
          <c:dPt>
            <c:idx val="11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120B-4665-AE2A-0032F7DBBB65}"/>
              </c:ext>
            </c:extLst>
          </c:dPt>
          <c:dPt>
            <c:idx val="12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120B-4665-AE2A-0032F7DBBB65}"/>
              </c:ext>
            </c:extLst>
          </c:dPt>
          <c:dPt>
            <c:idx val="12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120B-4665-AE2A-0032F7DBBB65}"/>
              </c:ext>
            </c:extLst>
          </c:dPt>
          <c:dPt>
            <c:idx val="12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4-120B-4665-AE2A-0032F7DBBB65}"/>
              </c:ext>
            </c:extLst>
          </c:dPt>
          <c:dPt>
            <c:idx val="12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6-120B-4665-AE2A-0032F7DBBB65}"/>
              </c:ext>
            </c:extLst>
          </c:dPt>
          <c:dPt>
            <c:idx val="12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8-120B-4665-AE2A-0032F7DBBB65}"/>
              </c:ext>
            </c:extLst>
          </c:dPt>
          <c:dPt>
            <c:idx val="12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A-120B-4665-AE2A-0032F7DBBB65}"/>
              </c:ext>
            </c:extLst>
          </c:dPt>
          <c:dPt>
            <c:idx val="12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C-120B-4665-AE2A-0032F7DBBB65}"/>
              </c:ext>
            </c:extLst>
          </c:dPt>
          <c:dPt>
            <c:idx val="12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E-120B-4665-AE2A-0032F7DBBB65}"/>
              </c:ext>
            </c:extLst>
          </c:dPt>
          <c:dPt>
            <c:idx val="12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0-120B-4665-AE2A-0032F7DBBB65}"/>
              </c:ext>
            </c:extLst>
          </c:dPt>
          <c:dPt>
            <c:idx val="12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2-120B-4665-AE2A-0032F7DBBB65}"/>
              </c:ext>
            </c:extLst>
          </c:dPt>
          <c:dPt>
            <c:idx val="13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4-120B-4665-AE2A-0032F7DBBB65}"/>
              </c:ext>
            </c:extLst>
          </c:dPt>
          <c:dPt>
            <c:idx val="13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6-120B-4665-AE2A-0032F7DBBB65}"/>
              </c:ext>
            </c:extLst>
          </c:dPt>
          <c:dPt>
            <c:idx val="13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8-120B-4665-AE2A-0032F7DBBB65}"/>
              </c:ext>
            </c:extLst>
          </c:dPt>
          <c:dPt>
            <c:idx val="13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A-120B-4665-AE2A-0032F7DBBB65}"/>
              </c:ext>
            </c:extLst>
          </c:dPt>
          <c:dPt>
            <c:idx val="13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C-120B-4665-AE2A-0032F7DBBB65}"/>
              </c:ext>
            </c:extLst>
          </c:dPt>
          <c:dPt>
            <c:idx val="13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E-120B-4665-AE2A-0032F7DBBB65}"/>
              </c:ext>
            </c:extLst>
          </c:dPt>
          <c:dPt>
            <c:idx val="13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0-120B-4665-AE2A-0032F7DBBB65}"/>
              </c:ext>
            </c:extLst>
          </c:dPt>
          <c:dPt>
            <c:idx val="13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2-120B-4665-AE2A-0032F7DBBB65}"/>
              </c:ext>
            </c:extLst>
          </c:dPt>
          <c:dPt>
            <c:idx val="13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4-120B-4665-AE2A-0032F7DBBB65}"/>
              </c:ext>
            </c:extLst>
          </c:dPt>
          <c:dPt>
            <c:idx val="13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6-120B-4665-AE2A-0032F7DBBB65}"/>
              </c:ext>
            </c:extLst>
          </c:dPt>
          <c:dPt>
            <c:idx val="14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8-120B-4665-AE2A-0032F7DBBB65}"/>
              </c:ext>
            </c:extLst>
          </c:dPt>
          <c:dPt>
            <c:idx val="14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A-120B-4665-AE2A-0032F7DBBB65}"/>
              </c:ext>
            </c:extLst>
          </c:dPt>
          <c:dPt>
            <c:idx val="14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C-120B-4665-AE2A-0032F7DBBB65}"/>
              </c:ext>
            </c:extLst>
          </c:dPt>
          <c:dPt>
            <c:idx val="14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E-120B-4665-AE2A-0032F7DBBB65}"/>
              </c:ext>
            </c:extLst>
          </c:dPt>
          <c:dPt>
            <c:idx val="14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0-120B-4665-AE2A-0032F7DBBB65}"/>
              </c:ext>
            </c:extLst>
          </c:dPt>
          <c:dPt>
            <c:idx val="14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2-120B-4665-AE2A-0032F7DBBB65}"/>
              </c:ext>
            </c:extLst>
          </c:dPt>
          <c:dPt>
            <c:idx val="14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4-120B-4665-AE2A-0032F7DBBB65}"/>
              </c:ext>
            </c:extLst>
          </c:dPt>
          <c:dPt>
            <c:idx val="14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6-120B-4665-AE2A-0032F7DBBB65}"/>
              </c:ext>
            </c:extLst>
          </c:dPt>
          <c:dPt>
            <c:idx val="14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8-120B-4665-AE2A-0032F7DBBB65}"/>
              </c:ext>
            </c:extLst>
          </c:dPt>
          <c:dPt>
            <c:idx val="14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A-120B-4665-AE2A-0032F7DBBB65}"/>
              </c:ext>
            </c:extLst>
          </c:dPt>
          <c:dPt>
            <c:idx val="15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C-120B-4665-AE2A-0032F7DBBB65}"/>
              </c:ext>
            </c:extLst>
          </c:dPt>
          <c:dPt>
            <c:idx val="15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E-120B-4665-AE2A-0032F7DBBB65}"/>
              </c:ext>
            </c:extLst>
          </c:dPt>
          <c:dPt>
            <c:idx val="15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0-120B-4665-AE2A-0032F7DBBB65}"/>
              </c:ext>
            </c:extLst>
          </c:dPt>
          <c:dPt>
            <c:idx val="15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2-120B-4665-AE2A-0032F7DBBB65}"/>
              </c:ext>
            </c:extLst>
          </c:dPt>
          <c:dPt>
            <c:idx val="15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4-120B-4665-AE2A-0032F7DBBB65}"/>
              </c:ext>
            </c:extLst>
          </c:dPt>
          <c:dPt>
            <c:idx val="15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6-120B-4665-AE2A-0032F7DBBB65}"/>
              </c:ext>
            </c:extLst>
          </c:dPt>
          <c:dPt>
            <c:idx val="15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8-120B-4665-AE2A-0032F7DBBB65}"/>
              </c:ext>
            </c:extLst>
          </c:dPt>
          <c:dPt>
            <c:idx val="15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A-120B-4665-AE2A-0032F7DBBB65}"/>
              </c:ext>
            </c:extLst>
          </c:dPt>
          <c:dPt>
            <c:idx val="15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C-120B-4665-AE2A-0032F7DBBB65}"/>
              </c:ext>
            </c:extLst>
          </c:dPt>
          <c:dPt>
            <c:idx val="15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E-120B-4665-AE2A-0032F7DBBB65}"/>
              </c:ext>
            </c:extLst>
          </c:dPt>
          <c:dPt>
            <c:idx val="16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0-120B-4665-AE2A-0032F7DBBB65}"/>
              </c:ext>
            </c:extLst>
          </c:dPt>
          <c:dPt>
            <c:idx val="16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2-120B-4665-AE2A-0032F7DBBB65}"/>
              </c:ext>
            </c:extLst>
          </c:dPt>
          <c:dPt>
            <c:idx val="16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4-120B-4665-AE2A-0032F7DBBB65}"/>
              </c:ext>
            </c:extLst>
          </c:dPt>
          <c:dPt>
            <c:idx val="16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6-120B-4665-AE2A-0032F7DBBB65}"/>
              </c:ext>
            </c:extLst>
          </c:dPt>
          <c:dPt>
            <c:idx val="16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8-120B-4665-AE2A-0032F7DBBB65}"/>
              </c:ext>
            </c:extLst>
          </c:dPt>
          <c:dPt>
            <c:idx val="16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A-120B-4665-AE2A-0032F7DBBB65}"/>
              </c:ext>
            </c:extLst>
          </c:dPt>
          <c:dPt>
            <c:idx val="16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C-120B-4665-AE2A-0032F7DBBB65}"/>
              </c:ext>
            </c:extLst>
          </c:dPt>
          <c:dPt>
            <c:idx val="16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E-120B-4665-AE2A-0032F7DBBB65}"/>
              </c:ext>
            </c:extLst>
          </c:dPt>
          <c:dPt>
            <c:idx val="16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0-120B-4665-AE2A-0032F7DBBB65}"/>
              </c:ext>
            </c:extLst>
          </c:dPt>
          <c:dPt>
            <c:idx val="16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2-120B-4665-AE2A-0032F7DBBB65}"/>
              </c:ext>
            </c:extLst>
          </c:dPt>
          <c:dPt>
            <c:idx val="17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4-120B-4665-AE2A-0032F7DBBB65}"/>
              </c:ext>
            </c:extLst>
          </c:dPt>
          <c:dPt>
            <c:idx val="17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6-120B-4665-AE2A-0032F7DBBB65}"/>
              </c:ext>
            </c:extLst>
          </c:dPt>
          <c:dPt>
            <c:idx val="17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8-120B-4665-AE2A-0032F7DBBB65}"/>
              </c:ext>
            </c:extLst>
          </c:dPt>
          <c:dPt>
            <c:idx val="17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A-120B-4665-AE2A-0032F7DBBB65}"/>
              </c:ext>
            </c:extLst>
          </c:dPt>
          <c:dPt>
            <c:idx val="17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C-120B-4665-AE2A-0032F7DBBB65}"/>
              </c:ext>
            </c:extLst>
          </c:dPt>
          <c:dPt>
            <c:idx val="17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E-120B-4665-AE2A-0032F7DBBB65}"/>
              </c:ext>
            </c:extLst>
          </c:dPt>
          <c:dPt>
            <c:idx val="17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0-120B-4665-AE2A-0032F7DBBB65}"/>
              </c:ext>
            </c:extLst>
          </c:dPt>
          <c:dPt>
            <c:idx val="17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2-120B-4665-AE2A-0032F7DBBB65}"/>
              </c:ext>
            </c:extLst>
          </c:dPt>
          <c:dPt>
            <c:idx val="17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4-120B-4665-AE2A-0032F7DBBB65}"/>
              </c:ext>
            </c:extLst>
          </c:dPt>
          <c:dPt>
            <c:idx val="17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6-120B-4665-AE2A-0032F7DBBB65}"/>
              </c:ext>
            </c:extLst>
          </c:dPt>
          <c:dPt>
            <c:idx val="18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8-120B-4665-AE2A-0032F7DBBB65}"/>
              </c:ext>
            </c:extLst>
          </c:dPt>
          <c:dPt>
            <c:idx val="18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A-120B-4665-AE2A-0032F7DBBB65}"/>
              </c:ext>
            </c:extLst>
          </c:dPt>
          <c:dPt>
            <c:idx val="18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C-120B-4665-AE2A-0032F7DBBB65}"/>
              </c:ext>
            </c:extLst>
          </c:dPt>
          <c:dPt>
            <c:idx val="18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E-120B-4665-AE2A-0032F7DBBB65}"/>
              </c:ext>
            </c:extLst>
          </c:dPt>
          <c:dPt>
            <c:idx val="18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0-120B-4665-AE2A-0032F7DBBB65}"/>
              </c:ext>
            </c:extLst>
          </c:dPt>
          <c:dPt>
            <c:idx val="18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2-120B-4665-AE2A-0032F7DBBB65}"/>
              </c:ext>
            </c:extLst>
          </c:dPt>
          <c:dPt>
            <c:idx val="18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4-120B-4665-AE2A-0032F7DBBB65}"/>
              </c:ext>
            </c:extLst>
          </c:dPt>
          <c:dPt>
            <c:idx val="18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6-120B-4665-AE2A-0032F7DBBB65}"/>
              </c:ext>
            </c:extLst>
          </c:dPt>
          <c:dPt>
            <c:idx val="18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8-120B-4665-AE2A-0032F7DBBB65}"/>
              </c:ext>
            </c:extLst>
          </c:dPt>
          <c:dPt>
            <c:idx val="18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A-120B-4665-AE2A-0032F7DBBB65}"/>
              </c:ext>
            </c:extLst>
          </c:dPt>
          <c:dPt>
            <c:idx val="19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C-120B-4665-AE2A-0032F7DBBB65}"/>
              </c:ext>
            </c:extLst>
          </c:dPt>
          <c:dPt>
            <c:idx val="19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E-120B-4665-AE2A-0032F7DBBB65}"/>
              </c:ext>
            </c:extLst>
          </c:dPt>
          <c:cat>
            <c:numRef>
              <c:f>'Renewable Diesel'!$A$97:$A$288</c:f>
              <c:numCache>
                <c:formatCode>m/d/yyyy</c:formatCode>
                <c:ptCount val="19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  <c:pt idx="98">
                  <c:v>46082</c:v>
                </c:pt>
                <c:pt idx="99">
                  <c:v>46113</c:v>
                </c:pt>
                <c:pt idx="100">
                  <c:v>46143</c:v>
                </c:pt>
                <c:pt idx="101">
                  <c:v>46174</c:v>
                </c:pt>
                <c:pt idx="102">
                  <c:v>46204</c:v>
                </c:pt>
                <c:pt idx="103">
                  <c:v>46235</c:v>
                </c:pt>
                <c:pt idx="104">
                  <c:v>46266</c:v>
                </c:pt>
                <c:pt idx="105">
                  <c:v>46296</c:v>
                </c:pt>
                <c:pt idx="106">
                  <c:v>46327</c:v>
                </c:pt>
                <c:pt idx="107">
                  <c:v>46357</c:v>
                </c:pt>
                <c:pt idx="108">
                  <c:v>46388</c:v>
                </c:pt>
                <c:pt idx="109">
                  <c:v>46419</c:v>
                </c:pt>
                <c:pt idx="110">
                  <c:v>46447</c:v>
                </c:pt>
                <c:pt idx="111">
                  <c:v>46478</c:v>
                </c:pt>
                <c:pt idx="112">
                  <c:v>46508</c:v>
                </c:pt>
                <c:pt idx="113">
                  <c:v>46539</c:v>
                </c:pt>
                <c:pt idx="114">
                  <c:v>46569</c:v>
                </c:pt>
                <c:pt idx="115">
                  <c:v>46600</c:v>
                </c:pt>
                <c:pt idx="116">
                  <c:v>46631</c:v>
                </c:pt>
                <c:pt idx="117">
                  <c:v>46661</c:v>
                </c:pt>
                <c:pt idx="118">
                  <c:v>46692</c:v>
                </c:pt>
                <c:pt idx="119">
                  <c:v>46722</c:v>
                </c:pt>
                <c:pt idx="120">
                  <c:v>46753</c:v>
                </c:pt>
                <c:pt idx="121">
                  <c:v>46784</c:v>
                </c:pt>
                <c:pt idx="122">
                  <c:v>46813</c:v>
                </c:pt>
                <c:pt idx="123">
                  <c:v>46844</c:v>
                </c:pt>
                <c:pt idx="124">
                  <c:v>46874</c:v>
                </c:pt>
                <c:pt idx="125">
                  <c:v>46905</c:v>
                </c:pt>
                <c:pt idx="126">
                  <c:v>46935</c:v>
                </c:pt>
                <c:pt idx="127">
                  <c:v>46966</c:v>
                </c:pt>
                <c:pt idx="128">
                  <c:v>46997</c:v>
                </c:pt>
                <c:pt idx="129">
                  <c:v>47027</c:v>
                </c:pt>
                <c:pt idx="130">
                  <c:v>47058</c:v>
                </c:pt>
                <c:pt idx="131">
                  <c:v>47088</c:v>
                </c:pt>
                <c:pt idx="132">
                  <c:v>47119</c:v>
                </c:pt>
                <c:pt idx="133">
                  <c:v>47150</c:v>
                </c:pt>
                <c:pt idx="134">
                  <c:v>47178</c:v>
                </c:pt>
                <c:pt idx="135">
                  <c:v>47209</c:v>
                </c:pt>
                <c:pt idx="136">
                  <c:v>47239</c:v>
                </c:pt>
                <c:pt idx="137">
                  <c:v>47270</c:v>
                </c:pt>
                <c:pt idx="138">
                  <c:v>47300</c:v>
                </c:pt>
                <c:pt idx="139">
                  <c:v>47331</c:v>
                </c:pt>
                <c:pt idx="140">
                  <c:v>47362</c:v>
                </c:pt>
                <c:pt idx="141">
                  <c:v>47392</c:v>
                </c:pt>
                <c:pt idx="142">
                  <c:v>47423</c:v>
                </c:pt>
                <c:pt idx="143">
                  <c:v>47453</c:v>
                </c:pt>
                <c:pt idx="144">
                  <c:v>47484</c:v>
                </c:pt>
                <c:pt idx="145">
                  <c:v>47515</c:v>
                </c:pt>
                <c:pt idx="146">
                  <c:v>47543</c:v>
                </c:pt>
                <c:pt idx="147">
                  <c:v>47574</c:v>
                </c:pt>
                <c:pt idx="148">
                  <c:v>47604</c:v>
                </c:pt>
                <c:pt idx="149">
                  <c:v>47635</c:v>
                </c:pt>
                <c:pt idx="150">
                  <c:v>47665</c:v>
                </c:pt>
                <c:pt idx="151">
                  <c:v>47696</c:v>
                </c:pt>
                <c:pt idx="152">
                  <c:v>47727</c:v>
                </c:pt>
                <c:pt idx="153">
                  <c:v>47757</c:v>
                </c:pt>
                <c:pt idx="154">
                  <c:v>47788</c:v>
                </c:pt>
                <c:pt idx="155">
                  <c:v>47818</c:v>
                </c:pt>
                <c:pt idx="156">
                  <c:v>47849</c:v>
                </c:pt>
                <c:pt idx="157">
                  <c:v>47880</c:v>
                </c:pt>
                <c:pt idx="158">
                  <c:v>47908</c:v>
                </c:pt>
                <c:pt idx="159">
                  <c:v>47939</c:v>
                </c:pt>
                <c:pt idx="160">
                  <c:v>47969</c:v>
                </c:pt>
                <c:pt idx="161">
                  <c:v>48000</c:v>
                </c:pt>
                <c:pt idx="162">
                  <c:v>48030</c:v>
                </c:pt>
                <c:pt idx="163">
                  <c:v>48061</c:v>
                </c:pt>
                <c:pt idx="164">
                  <c:v>48092</c:v>
                </c:pt>
                <c:pt idx="165">
                  <c:v>48122</c:v>
                </c:pt>
                <c:pt idx="166">
                  <c:v>48153</c:v>
                </c:pt>
                <c:pt idx="167">
                  <c:v>48183</c:v>
                </c:pt>
                <c:pt idx="168">
                  <c:v>48214</c:v>
                </c:pt>
                <c:pt idx="169">
                  <c:v>48245</c:v>
                </c:pt>
                <c:pt idx="170">
                  <c:v>48274</c:v>
                </c:pt>
                <c:pt idx="171">
                  <c:v>48305</c:v>
                </c:pt>
                <c:pt idx="172">
                  <c:v>48335</c:v>
                </c:pt>
                <c:pt idx="173">
                  <c:v>48366</c:v>
                </c:pt>
                <c:pt idx="174">
                  <c:v>48396</c:v>
                </c:pt>
                <c:pt idx="175">
                  <c:v>48427</c:v>
                </c:pt>
                <c:pt idx="176">
                  <c:v>48458</c:v>
                </c:pt>
                <c:pt idx="177">
                  <c:v>48488</c:v>
                </c:pt>
                <c:pt idx="178">
                  <c:v>48519</c:v>
                </c:pt>
                <c:pt idx="179">
                  <c:v>48549</c:v>
                </c:pt>
                <c:pt idx="180">
                  <c:v>48580</c:v>
                </c:pt>
                <c:pt idx="181">
                  <c:v>48611</c:v>
                </c:pt>
                <c:pt idx="182">
                  <c:v>48639</c:v>
                </c:pt>
                <c:pt idx="183">
                  <c:v>48670</c:v>
                </c:pt>
                <c:pt idx="184">
                  <c:v>48700</c:v>
                </c:pt>
                <c:pt idx="185">
                  <c:v>48731</c:v>
                </c:pt>
                <c:pt idx="186">
                  <c:v>48761</c:v>
                </c:pt>
                <c:pt idx="187">
                  <c:v>48792</c:v>
                </c:pt>
                <c:pt idx="188">
                  <c:v>48823</c:v>
                </c:pt>
                <c:pt idx="189">
                  <c:v>48853</c:v>
                </c:pt>
                <c:pt idx="190">
                  <c:v>48884</c:v>
                </c:pt>
                <c:pt idx="191">
                  <c:v>48914</c:v>
                </c:pt>
              </c:numCache>
            </c:numRef>
          </c:cat>
          <c:val>
            <c:numRef>
              <c:f>'Renewable Diesel'!$BG$97:$BG$288</c:f>
              <c:numCache>
                <c:formatCode>0.0%</c:formatCode>
                <c:ptCount val="192"/>
                <c:pt idx="0">
                  <c:v>0.3895466828747628</c:v>
                </c:pt>
                <c:pt idx="1">
                  <c:v>0.58878392987033523</c:v>
                </c:pt>
                <c:pt idx="2">
                  <c:v>0.73165476890756309</c:v>
                </c:pt>
                <c:pt idx="3">
                  <c:v>0.71871284827640725</c:v>
                </c:pt>
                <c:pt idx="4">
                  <c:v>0.61538324720893134</c:v>
                </c:pt>
                <c:pt idx="5">
                  <c:v>0.31893520085921012</c:v>
                </c:pt>
                <c:pt idx="6">
                  <c:v>0.36980878420398011</c:v>
                </c:pt>
                <c:pt idx="7">
                  <c:v>0.35977053092501365</c:v>
                </c:pt>
                <c:pt idx="8">
                  <c:v>0.69770560612604227</c:v>
                </c:pt>
                <c:pt idx="9">
                  <c:v>0.85483324097478797</c:v>
                </c:pt>
                <c:pt idx="10">
                  <c:v>0.78124266186842417</c:v>
                </c:pt>
                <c:pt idx="11">
                  <c:v>0.98624508841099157</c:v>
                </c:pt>
                <c:pt idx="12">
                  <c:v>0.71109589923690597</c:v>
                </c:pt>
                <c:pt idx="13">
                  <c:v>0.80210570990865993</c:v>
                </c:pt>
                <c:pt idx="14">
                  <c:v>0.77207337525601638</c:v>
                </c:pt>
                <c:pt idx="15">
                  <c:v>0.75556846311712333</c:v>
                </c:pt>
                <c:pt idx="16">
                  <c:v>0.81043315740740751</c:v>
                </c:pt>
                <c:pt idx="17">
                  <c:v>0.7914567325702393</c:v>
                </c:pt>
                <c:pt idx="18">
                  <c:v>0.9446797867383514</c:v>
                </c:pt>
                <c:pt idx="19">
                  <c:v>0.5663236437738467</c:v>
                </c:pt>
                <c:pt idx="20">
                  <c:v>0.80032227829806912</c:v>
                </c:pt>
                <c:pt idx="21">
                  <c:v>1.020626409498208</c:v>
                </c:pt>
                <c:pt idx="22">
                  <c:v>0.84848191611747026</c:v>
                </c:pt>
                <c:pt idx="23">
                  <c:v>1.0882601027479093</c:v>
                </c:pt>
                <c:pt idx="24">
                  <c:v>0.79916368077234368</c:v>
                </c:pt>
                <c:pt idx="25">
                  <c:v>0.71632372557521107</c:v>
                </c:pt>
                <c:pt idx="26">
                  <c:v>0.94610666110493147</c:v>
                </c:pt>
                <c:pt idx="27">
                  <c:v>0.77631737744247897</c:v>
                </c:pt>
                <c:pt idx="28">
                  <c:v>0.91936936977299877</c:v>
                </c:pt>
                <c:pt idx="29">
                  <c:v>1.0627031127876054</c:v>
                </c:pt>
                <c:pt idx="30">
                  <c:v>0.87797824487594389</c:v>
                </c:pt>
                <c:pt idx="31">
                  <c:v>0.70057913835759822</c:v>
                </c:pt>
                <c:pt idx="32">
                  <c:v>0.72116783919048877</c:v>
                </c:pt>
                <c:pt idx="33">
                  <c:v>0.34748629765130984</c:v>
                </c:pt>
                <c:pt idx="34">
                  <c:v>0.69107832918087253</c:v>
                </c:pt>
                <c:pt idx="35">
                  <c:v>0.8226379891598915</c:v>
                </c:pt>
                <c:pt idx="36">
                  <c:v>0.62459948839769985</c:v>
                </c:pt>
                <c:pt idx="37">
                  <c:v>0.69943343440316463</c:v>
                </c:pt>
                <c:pt idx="38">
                  <c:v>0.91373348180422609</c:v>
                </c:pt>
                <c:pt idx="39">
                  <c:v>0.58048544566625693</c:v>
                </c:pt>
                <c:pt idx="40">
                  <c:v>0.72811833916924129</c:v>
                </c:pt>
                <c:pt idx="41">
                  <c:v>0.84028867710066923</c:v>
                </c:pt>
                <c:pt idx="42">
                  <c:v>0.87275684211489213</c:v>
                </c:pt>
                <c:pt idx="43">
                  <c:v>0.97416757781240038</c:v>
                </c:pt>
                <c:pt idx="44">
                  <c:v>0.64910535799015612</c:v>
                </c:pt>
                <c:pt idx="45">
                  <c:v>0.87221115121630499</c:v>
                </c:pt>
                <c:pt idx="46">
                  <c:v>1.1752297021600535</c:v>
                </c:pt>
                <c:pt idx="47">
                  <c:v>1.1828533988848704</c:v>
                </c:pt>
                <c:pt idx="48">
                  <c:v>0.56106932073732707</c:v>
                </c:pt>
                <c:pt idx="49">
                  <c:v>0.65794556193548392</c:v>
                </c:pt>
                <c:pt idx="50">
                  <c:v>0.79185510489795896</c:v>
                </c:pt>
                <c:pt idx="51">
                  <c:v>0.62238578840925107</c:v>
                </c:pt>
                <c:pt idx="52">
                  <c:v>0.79733336406437261</c:v>
                </c:pt>
                <c:pt idx="53">
                  <c:v>0.68019343174776759</c:v>
                </c:pt>
                <c:pt idx="54">
                  <c:v>0.58945530052131245</c:v>
                </c:pt>
                <c:pt idx="55">
                  <c:v>0.61226750934015617</c:v>
                </c:pt>
                <c:pt idx="56">
                  <c:v>0.63201429639913353</c:v>
                </c:pt>
                <c:pt idx="57">
                  <c:v>0.60177278593961248</c:v>
                </c:pt>
                <c:pt idx="58">
                  <c:v>0.70020170001756332</c:v>
                </c:pt>
                <c:pt idx="59">
                  <c:v>0.59896646960417388</c:v>
                </c:pt>
                <c:pt idx="60">
                  <c:v>0.56817977110649776</c:v>
                </c:pt>
                <c:pt idx="61">
                  <c:v>0.50484054867247929</c:v>
                </c:pt>
                <c:pt idx="62">
                  <c:v>0.69665991202170319</c:v>
                </c:pt>
                <c:pt idx="63">
                  <c:v>0.61217995542128367</c:v>
                </c:pt>
                <c:pt idx="64">
                  <c:v>0.83047748134024801</c:v>
                </c:pt>
                <c:pt idx="65">
                  <c:v>0.61676884080209249</c:v>
                </c:pt>
                <c:pt idx="66">
                  <c:v>0.59168146310295189</c:v>
                </c:pt>
                <c:pt idx="67">
                  <c:v>0.73252192799414761</c:v>
                </c:pt>
                <c:pt idx="68">
                  <c:v>0.722425957552428</c:v>
                </c:pt>
                <c:pt idx="69">
                  <c:v>0.65799080891884887</c:v>
                </c:pt>
                <c:pt idx="70">
                  <c:v>0.60734520143700288</c:v>
                </c:pt>
                <c:pt idx="71">
                  <c:v>0.85600889227378796</c:v>
                </c:pt>
                <c:pt idx="72">
                  <c:v>0.61440011623486968</c:v>
                </c:pt>
                <c:pt idx="73">
                  <c:v>0.61861681187019257</c:v>
                </c:pt>
                <c:pt idx="74">
                  <c:v>0.58114021265493965</c:v>
                </c:pt>
                <c:pt idx="75">
                  <c:v>0.72145917917251046</c:v>
                </c:pt>
                <c:pt idx="76">
                  <c:v>0.59102408925318761</c:v>
                </c:pt>
                <c:pt idx="77">
                  <c:v>0.67177665618186244</c:v>
                </c:pt>
                <c:pt idx="78">
                  <c:v>0.7646011029795563</c:v>
                </c:pt>
                <c:pt idx="79">
                  <c:v>0.65465570121651773</c:v>
                </c:pt>
                <c:pt idx="80">
                  <c:v>0.66931823841386118</c:v>
                </c:pt>
                <c:pt idx="81">
                  <c:v>0.76727521324599701</c:v>
                </c:pt>
                <c:pt idx="82">
                  <c:v>0.63985130136471169</c:v>
                </c:pt>
                <c:pt idx="83">
                  <c:v>0.7990387984315388</c:v>
                </c:pt>
                <c:pt idx="84">
                  <c:v>0.56666934085786724</c:v>
                </c:pt>
                <c:pt idx="85">
                  <c:v>0.50694649478799836</c:v>
                </c:pt>
                <c:pt idx="86">
                  <c:v>0.64516307049282595</c:v>
                </c:pt>
                <c:pt idx="87">
                  <c:v>0.52940498315247908</c:v>
                </c:pt>
                <c:pt idx="88">
                  <c:v>0.52826519314512321</c:v>
                </c:pt>
                <c:pt idx="89">
                  <c:v>0.49702774000301875</c:v>
                </c:pt>
                <c:pt idx="90">
                  <c:v>0.50185961239953214</c:v>
                </c:pt>
                <c:pt idx="91">
                  <c:v>0.49027514383270904</c:v>
                </c:pt>
                <c:pt idx="92">
                  <c:v>0.5000604572373637</c:v>
                </c:pt>
                <c:pt idx="93">
                  <c:v>0.56814620840532748</c:v>
                </c:pt>
                <c:pt idx="94">
                  <c:v>0.59610169704379545</c:v>
                </c:pt>
                <c:pt idx="95">
                  <c:v>0.74044962338221454</c:v>
                </c:pt>
                <c:pt idx="96">
                  <c:v>0.4588960913751563</c:v>
                </c:pt>
                <c:pt idx="97">
                  <c:v>0.54594433492934547</c:v>
                </c:pt>
                <c:pt idx="98">
                  <c:v>0.54931417113920467</c:v>
                </c:pt>
                <c:pt idx="99">
                  <c:v>0.50550400006601615</c:v>
                </c:pt>
                <c:pt idx="100">
                  <c:v>0.5920927732319422</c:v>
                </c:pt>
                <c:pt idx="101">
                  <c:v>0.56473609699717087</c:v>
                </c:pt>
                <c:pt idx="102">
                  <c:v>0.58060379921574257</c:v>
                </c:pt>
                <c:pt idx="103">
                  <c:v>0.57457583211753716</c:v>
                </c:pt>
                <c:pt idx="104">
                  <c:v>0.60253292200398201</c:v>
                </c:pt>
                <c:pt idx="105">
                  <c:v>0.67156163753748233</c:v>
                </c:pt>
                <c:pt idx="106">
                  <c:v>0.74583086193188364</c:v>
                </c:pt>
                <c:pt idx="107">
                  <c:v>0.8504140884666902</c:v>
                </c:pt>
                <c:pt idx="108">
                  <c:v>0.57723518475703173</c:v>
                </c:pt>
                <c:pt idx="109">
                  <c:v>0.76041689060509166</c:v>
                </c:pt>
                <c:pt idx="110">
                  <c:v>0.67212699971419421</c:v>
                </c:pt>
                <c:pt idx="111">
                  <c:v>0.66338945752605438</c:v>
                </c:pt>
                <c:pt idx="112">
                  <c:v>0.80516237327838402</c:v>
                </c:pt>
                <c:pt idx="113">
                  <c:v>0.7619880923019382</c:v>
                </c:pt>
                <c:pt idx="114">
                  <c:v>0.79739348247604602</c:v>
                </c:pt>
                <c:pt idx="115">
                  <c:v>0.80231888162918652</c:v>
                </c:pt>
                <c:pt idx="116">
                  <c:v>0.87059898775558975</c:v>
                </c:pt>
                <c:pt idx="117">
                  <c:v>0.94430894570576318</c:v>
                </c:pt>
                <c:pt idx="118">
                  <c:v>0.99265281093955227</c:v>
                </c:pt>
                <c:pt idx="119">
                  <c:v>1.0924953316015864</c:v>
                </c:pt>
                <c:pt idx="120">
                  <c:v>0.61356954790819029</c:v>
                </c:pt>
                <c:pt idx="121">
                  <c:v>0.83227155813129072</c:v>
                </c:pt>
                <c:pt idx="122">
                  <c:v>0.6698880894365955</c:v>
                </c:pt>
                <c:pt idx="123">
                  <c:v>0.70298413785615621</c:v>
                </c:pt>
                <c:pt idx="124">
                  <c:v>0.86098454612755693</c:v>
                </c:pt>
                <c:pt idx="125">
                  <c:v>0.81407973184156435</c:v>
                </c:pt>
                <c:pt idx="126">
                  <c:v>0.85792542183530307</c:v>
                </c:pt>
                <c:pt idx="127">
                  <c:v>0.86677988232607561</c:v>
                </c:pt>
                <c:pt idx="128">
                  <c:v>0.95318109570574017</c:v>
                </c:pt>
                <c:pt idx="129">
                  <c:v>1.0266032719517661</c:v>
                </c:pt>
                <c:pt idx="130">
                  <c:v>1.0581581223909737</c:v>
                </c:pt>
                <c:pt idx="131">
                  <c:v>1.1519886003344004</c:v>
                </c:pt>
                <c:pt idx="132">
                  <c:v>0.67080254154456409</c:v>
                </c:pt>
                <c:pt idx="133">
                  <c:v>0.9439049056558082</c:v>
                </c:pt>
                <c:pt idx="134">
                  <c:v>0.74762019159728366</c:v>
                </c:pt>
                <c:pt idx="135">
                  <c:v>0.77965487398204747</c:v>
                </c:pt>
                <c:pt idx="136">
                  <c:v>0.96418503807054801</c:v>
                </c:pt>
                <c:pt idx="137">
                  <c:v>0.90992670843724677</c:v>
                </c:pt>
                <c:pt idx="138">
                  <c:v>0.96466900609091155</c:v>
                </c:pt>
                <c:pt idx="139">
                  <c:v>0.97896862325104639</c:v>
                </c:pt>
                <c:pt idx="140">
                  <c:v>1.0914857780066012</c:v>
                </c:pt>
                <c:pt idx="141">
                  <c:v>1.1651226852682242</c:v>
                </c:pt>
                <c:pt idx="142">
                  <c:v>1.1766822065618838</c:v>
                </c:pt>
                <c:pt idx="143">
                  <c:v>1.2629513306490034</c:v>
                </c:pt>
                <c:pt idx="144">
                  <c:v>0.78206245543271591</c:v>
                </c:pt>
                <c:pt idx="145">
                  <c:v>1.1398122670312072</c:v>
                </c:pt>
                <c:pt idx="146">
                  <c:v>0.84781151127148346</c:v>
                </c:pt>
                <c:pt idx="147">
                  <c:v>0.91143611784138423</c:v>
                </c:pt>
                <c:pt idx="148">
                  <c:v>1.1392082424728276</c:v>
                </c:pt>
                <c:pt idx="149">
                  <c:v>1.0725932897800019</c:v>
                </c:pt>
                <c:pt idx="150">
                  <c:v>1.1446914738756484</c:v>
                </c:pt>
                <c:pt idx="151">
                  <c:v>1.1664105644698386</c:v>
                </c:pt>
                <c:pt idx="152">
                  <c:v>1.3106341308360316</c:v>
                </c:pt>
                <c:pt idx="153">
                  <c:v>1.3939650479885424</c:v>
                </c:pt>
                <c:pt idx="154">
                  <c:v>1.3794403076815622</c:v>
                </c:pt>
                <c:pt idx="155">
                  <c:v>1.4592623881855626</c:v>
                </c:pt>
                <c:pt idx="156">
                  <c:v>0.876607731462268</c:v>
                </c:pt>
                <c:pt idx="157">
                  <c:v>1.2855405690985395</c:v>
                </c:pt>
                <c:pt idx="158">
                  <c:v>0.93589012748996003</c:v>
                </c:pt>
                <c:pt idx="159">
                  <c:v>1.0137153841812698</c:v>
                </c:pt>
                <c:pt idx="160">
                  <c:v>1.2709468477539658</c:v>
                </c:pt>
                <c:pt idx="161">
                  <c:v>1.195494355151993</c:v>
                </c:pt>
                <c:pt idx="162">
                  <c:v>1.2790176124615147</c:v>
                </c:pt>
                <c:pt idx="163">
                  <c:v>1.3050915293074821</c:v>
                </c:pt>
                <c:pt idx="164">
                  <c:v>1.4728551246466162</c:v>
                </c:pt>
                <c:pt idx="165">
                  <c:v>1.5606968095591833</c:v>
                </c:pt>
                <c:pt idx="166">
                  <c:v>1.5318544369408313</c:v>
                </c:pt>
                <c:pt idx="167">
                  <c:v>1.6137191111797733</c:v>
                </c:pt>
                <c:pt idx="168">
                  <c:v>1.0611666525550234</c:v>
                </c:pt>
                <c:pt idx="169">
                  <c:v>1.5749474606849621</c:v>
                </c:pt>
                <c:pt idx="170">
                  <c:v>1.098257657579415</c:v>
                </c:pt>
                <c:pt idx="171">
                  <c:v>1.2418646818629788</c:v>
                </c:pt>
                <c:pt idx="172">
                  <c:v>1.561025205830487</c:v>
                </c:pt>
                <c:pt idx="173">
                  <c:v>1.4673475871732198</c:v>
                </c:pt>
                <c:pt idx="174">
                  <c:v>1.5721873624209119</c:v>
                </c:pt>
                <c:pt idx="175">
                  <c:v>1.6064580791189145</c:v>
                </c:pt>
                <c:pt idx="176">
                  <c:v>1.8180791662203895</c:v>
                </c:pt>
                <c:pt idx="177">
                  <c:v>1.922188044621838</c:v>
                </c:pt>
                <c:pt idx="178">
                  <c:v>1.8775264590284504</c:v>
                </c:pt>
                <c:pt idx="179">
                  <c:v>1.9704656249246624</c:v>
                </c:pt>
                <c:pt idx="180">
                  <c:v>1.0804828705549248</c:v>
                </c:pt>
                <c:pt idx="181">
                  <c:v>1.6142728708830241</c:v>
                </c:pt>
                <c:pt idx="182">
                  <c:v>1.1518302344884312</c:v>
                </c:pt>
                <c:pt idx="183">
                  <c:v>1.2655992673748442</c:v>
                </c:pt>
                <c:pt idx="184">
                  <c:v>1.5940045645794139</c:v>
                </c:pt>
                <c:pt idx="185">
                  <c:v>1.4976936463559143</c:v>
                </c:pt>
                <c:pt idx="186">
                  <c:v>1.6066857725489467</c:v>
                </c:pt>
                <c:pt idx="187">
                  <c:v>1.6429602388272024</c:v>
                </c:pt>
                <c:pt idx="188">
                  <c:v>1.8635033109077201</c:v>
                </c:pt>
                <c:pt idx="189">
                  <c:v>1.9676932877748508</c:v>
                </c:pt>
                <c:pt idx="190">
                  <c:v>1.9142863926510223</c:v>
                </c:pt>
                <c:pt idx="191">
                  <c:v>2.0035676961119027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120B-4665-AE2A-0032F7DBB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036352"/>
        <c:axId val="1054036680"/>
      </c:lineChart>
      <c:dateAx>
        <c:axId val="9062163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22248"/>
        <c:crosses val="autoZero"/>
        <c:auto val="1"/>
        <c:lblOffset val="100"/>
        <c:baseTimeUnit val="months"/>
        <c:majorUnit val="12"/>
        <c:majorTimeUnit val="months"/>
      </c:dateAx>
      <c:valAx>
        <c:axId val="906222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U.S. Domestic Biomass-Based</a:t>
                </a:r>
                <a:r>
                  <a:rPr lang="en-US" baseline="0"/>
                  <a:t> Diesel Production (</a:t>
                </a:r>
                <a:r>
                  <a:rPr lang="en-US"/>
                  <a:t>million gallons per 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16344"/>
        <c:crosses val="autoZero"/>
        <c:crossBetween val="between"/>
      </c:valAx>
      <c:valAx>
        <c:axId val="10540366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U.S. Domestic Biomass-Based Diesel Capacity Utilization (percent of estimated capacity)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54036352"/>
        <c:crosses val="max"/>
        <c:crossBetween val="between"/>
      </c:valAx>
      <c:dateAx>
        <c:axId val="105403635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054036680"/>
        <c:crosses val="autoZero"/>
        <c:auto val="1"/>
        <c:lblOffset val="100"/>
        <c:baseTimeUnit val="months"/>
      </c:date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>
                <a:latin typeface="Aptos Display" panose="020B0004020202020204" pitchFamily="34" charset="0"/>
              </a:rPr>
              <a:t>Soybean Oil Percent of Renewable Diesel Feedstock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21536891221931E-2"/>
          <c:y val="0.14302438757655295"/>
          <c:w val="0.92296128379735465"/>
          <c:h val="0.65991934601924762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'RD Feedstock Breakdown'!$A$88:$A$351</c:f>
              <c:numCache>
                <c:formatCode>m/d/yyyy</c:formatCode>
                <c:ptCount val="26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  <c:pt idx="98">
                  <c:v>46082</c:v>
                </c:pt>
                <c:pt idx="99">
                  <c:v>46113</c:v>
                </c:pt>
                <c:pt idx="100">
                  <c:v>46143</c:v>
                </c:pt>
                <c:pt idx="101">
                  <c:v>46174</c:v>
                </c:pt>
                <c:pt idx="102">
                  <c:v>46204</c:v>
                </c:pt>
                <c:pt idx="103">
                  <c:v>46235</c:v>
                </c:pt>
                <c:pt idx="104">
                  <c:v>46266</c:v>
                </c:pt>
                <c:pt idx="105">
                  <c:v>46296</c:v>
                </c:pt>
                <c:pt idx="106">
                  <c:v>46327</c:v>
                </c:pt>
                <c:pt idx="107">
                  <c:v>46357</c:v>
                </c:pt>
                <c:pt idx="108">
                  <c:v>46388</c:v>
                </c:pt>
                <c:pt idx="109">
                  <c:v>46419</c:v>
                </c:pt>
                <c:pt idx="110">
                  <c:v>46447</c:v>
                </c:pt>
                <c:pt idx="111">
                  <c:v>46478</c:v>
                </c:pt>
                <c:pt idx="112">
                  <c:v>46508</c:v>
                </c:pt>
                <c:pt idx="113">
                  <c:v>46539</c:v>
                </c:pt>
                <c:pt idx="114">
                  <c:v>46569</c:v>
                </c:pt>
                <c:pt idx="115">
                  <c:v>46600</c:v>
                </c:pt>
                <c:pt idx="116">
                  <c:v>46631</c:v>
                </c:pt>
                <c:pt idx="117">
                  <c:v>46661</c:v>
                </c:pt>
                <c:pt idx="118">
                  <c:v>46692</c:v>
                </c:pt>
                <c:pt idx="119">
                  <c:v>46722</c:v>
                </c:pt>
                <c:pt idx="120">
                  <c:v>46753</c:v>
                </c:pt>
                <c:pt idx="121">
                  <c:v>46784</c:v>
                </c:pt>
                <c:pt idx="122">
                  <c:v>46813</c:v>
                </c:pt>
                <c:pt idx="123">
                  <c:v>46844</c:v>
                </c:pt>
                <c:pt idx="124">
                  <c:v>46874</c:v>
                </c:pt>
                <c:pt idx="125">
                  <c:v>46905</c:v>
                </c:pt>
                <c:pt idx="126">
                  <c:v>46935</c:v>
                </c:pt>
                <c:pt idx="127">
                  <c:v>46966</c:v>
                </c:pt>
                <c:pt idx="128">
                  <c:v>46997</c:v>
                </c:pt>
                <c:pt idx="129">
                  <c:v>47027</c:v>
                </c:pt>
                <c:pt idx="130">
                  <c:v>47058</c:v>
                </c:pt>
                <c:pt idx="131">
                  <c:v>47088</c:v>
                </c:pt>
                <c:pt idx="132">
                  <c:v>47119</c:v>
                </c:pt>
                <c:pt idx="133">
                  <c:v>47150</c:v>
                </c:pt>
                <c:pt idx="134">
                  <c:v>47178</c:v>
                </c:pt>
                <c:pt idx="135">
                  <c:v>47209</c:v>
                </c:pt>
                <c:pt idx="136">
                  <c:v>47239</c:v>
                </c:pt>
                <c:pt idx="137">
                  <c:v>47270</c:v>
                </c:pt>
                <c:pt idx="138">
                  <c:v>47300</c:v>
                </c:pt>
                <c:pt idx="139">
                  <c:v>47331</c:v>
                </c:pt>
                <c:pt idx="140">
                  <c:v>47362</c:v>
                </c:pt>
                <c:pt idx="141">
                  <c:v>47392</c:v>
                </c:pt>
                <c:pt idx="142">
                  <c:v>47423</c:v>
                </c:pt>
                <c:pt idx="143">
                  <c:v>47453</c:v>
                </c:pt>
                <c:pt idx="144">
                  <c:v>47484</c:v>
                </c:pt>
                <c:pt idx="145">
                  <c:v>47515</c:v>
                </c:pt>
                <c:pt idx="146">
                  <c:v>47543</c:v>
                </c:pt>
                <c:pt idx="147">
                  <c:v>47574</c:v>
                </c:pt>
                <c:pt idx="148">
                  <c:v>47604</c:v>
                </c:pt>
                <c:pt idx="149">
                  <c:v>47635</c:v>
                </c:pt>
                <c:pt idx="150">
                  <c:v>47665</c:v>
                </c:pt>
                <c:pt idx="151">
                  <c:v>47696</c:v>
                </c:pt>
                <c:pt idx="152">
                  <c:v>47727</c:v>
                </c:pt>
                <c:pt idx="153">
                  <c:v>47757</c:v>
                </c:pt>
                <c:pt idx="154">
                  <c:v>47788</c:v>
                </c:pt>
                <c:pt idx="155">
                  <c:v>47818</c:v>
                </c:pt>
                <c:pt idx="156">
                  <c:v>47849</c:v>
                </c:pt>
                <c:pt idx="157">
                  <c:v>47880</c:v>
                </c:pt>
                <c:pt idx="158">
                  <c:v>47908</c:v>
                </c:pt>
                <c:pt idx="159">
                  <c:v>47939</c:v>
                </c:pt>
                <c:pt idx="160">
                  <c:v>47969</c:v>
                </c:pt>
                <c:pt idx="161">
                  <c:v>48000</c:v>
                </c:pt>
                <c:pt idx="162">
                  <c:v>48030</c:v>
                </c:pt>
                <c:pt idx="163">
                  <c:v>48061</c:v>
                </c:pt>
                <c:pt idx="164">
                  <c:v>48092</c:v>
                </c:pt>
                <c:pt idx="165">
                  <c:v>48122</c:v>
                </c:pt>
                <c:pt idx="166">
                  <c:v>48153</c:v>
                </c:pt>
                <c:pt idx="167">
                  <c:v>48183</c:v>
                </c:pt>
                <c:pt idx="168">
                  <c:v>48214</c:v>
                </c:pt>
                <c:pt idx="169">
                  <c:v>48245</c:v>
                </c:pt>
                <c:pt idx="170">
                  <c:v>48274</c:v>
                </c:pt>
                <c:pt idx="171">
                  <c:v>48305</c:v>
                </c:pt>
                <c:pt idx="172">
                  <c:v>48335</c:v>
                </c:pt>
                <c:pt idx="173">
                  <c:v>48366</c:v>
                </c:pt>
                <c:pt idx="174">
                  <c:v>48396</c:v>
                </c:pt>
                <c:pt idx="175">
                  <c:v>48427</c:v>
                </c:pt>
                <c:pt idx="176">
                  <c:v>48458</c:v>
                </c:pt>
                <c:pt idx="177">
                  <c:v>48488</c:v>
                </c:pt>
                <c:pt idx="178">
                  <c:v>48519</c:v>
                </c:pt>
                <c:pt idx="179">
                  <c:v>48549</c:v>
                </c:pt>
                <c:pt idx="180">
                  <c:v>48580</c:v>
                </c:pt>
                <c:pt idx="181">
                  <c:v>48611</c:v>
                </c:pt>
                <c:pt idx="182">
                  <c:v>48639</c:v>
                </c:pt>
                <c:pt idx="183">
                  <c:v>48670</c:v>
                </c:pt>
                <c:pt idx="184">
                  <c:v>48700</c:v>
                </c:pt>
                <c:pt idx="185">
                  <c:v>48731</c:v>
                </c:pt>
                <c:pt idx="186">
                  <c:v>48761</c:v>
                </c:pt>
                <c:pt idx="187">
                  <c:v>48792</c:v>
                </c:pt>
                <c:pt idx="188">
                  <c:v>48823</c:v>
                </c:pt>
                <c:pt idx="189">
                  <c:v>48853</c:v>
                </c:pt>
                <c:pt idx="190">
                  <c:v>48884</c:v>
                </c:pt>
                <c:pt idx="191">
                  <c:v>48914</c:v>
                </c:pt>
                <c:pt idx="192">
                  <c:v>48945</c:v>
                </c:pt>
                <c:pt idx="193">
                  <c:v>48976</c:v>
                </c:pt>
                <c:pt idx="194">
                  <c:v>49004</c:v>
                </c:pt>
                <c:pt idx="195">
                  <c:v>49035</c:v>
                </c:pt>
                <c:pt idx="196">
                  <c:v>49065</c:v>
                </c:pt>
                <c:pt idx="197">
                  <c:v>49096</c:v>
                </c:pt>
                <c:pt idx="198">
                  <c:v>49126</c:v>
                </c:pt>
                <c:pt idx="199">
                  <c:v>49157</c:v>
                </c:pt>
                <c:pt idx="200">
                  <c:v>49188</c:v>
                </c:pt>
                <c:pt idx="201">
                  <c:v>49218</c:v>
                </c:pt>
                <c:pt idx="202">
                  <c:v>49249</c:v>
                </c:pt>
                <c:pt idx="203">
                  <c:v>49279</c:v>
                </c:pt>
                <c:pt idx="204">
                  <c:v>49310</c:v>
                </c:pt>
                <c:pt idx="205">
                  <c:v>49341</c:v>
                </c:pt>
                <c:pt idx="206">
                  <c:v>49369</c:v>
                </c:pt>
                <c:pt idx="207">
                  <c:v>49400</c:v>
                </c:pt>
                <c:pt idx="208">
                  <c:v>49430</c:v>
                </c:pt>
                <c:pt idx="209">
                  <c:v>49461</c:v>
                </c:pt>
                <c:pt idx="210">
                  <c:v>49491</c:v>
                </c:pt>
                <c:pt idx="211">
                  <c:v>49522</c:v>
                </c:pt>
                <c:pt idx="212">
                  <c:v>49553</c:v>
                </c:pt>
                <c:pt idx="213">
                  <c:v>49583</c:v>
                </c:pt>
                <c:pt idx="214">
                  <c:v>49614</c:v>
                </c:pt>
                <c:pt idx="215">
                  <c:v>49644</c:v>
                </c:pt>
                <c:pt idx="216">
                  <c:v>49675</c:v>
                </c:pt>
                <c:pt idx="217">
                  <c:v>49706</c:v>
                </c:pt>
                <c:pt idx="218">
                  <c:v>49735</c:v>
                </c:pt>
                <c:pt idx="219">
                  <c:v>49766</c:v>
                </c:pt>
                <c:pt idx="220">
                  <c:v>49796</c:v>
                </c:pt>
                <c:pt idx="221">
                  <c:v>49827</c:v>
                </c:pt>
                <c:pt idx="222">
                  <c:v>49857</c:v>
                </c:pt>
                <c:pt idx="223">
                  <c:v>49888</c:v>
                </c:pt>
                <c:pt idx="224">
                  <c:v>49919</c:v>
                </c:pt>
                <c:pt idx="225">
                  <c:v>49949</c:v>
                </c:pt>
                <c:pt idx="226">
                  <c:v>49980</c:v>
                </c:pt>
                <c:pt idx="227">
                  <c:v>50010</c:v>
                </c:pt>
                <c:pt idx="228">
                  <c:v>50041</c:v>
                </c:pt>
                <c:pt idx="229">
                  <c:v>50072</c:v>
                </c:pt>
                <c:pt idx="230">
                  <c:v>50100</c:v>
                </c:pt>
                <c:pt idx="231">
                  <c:v>50131</c:v>
                </c:pt>
                <c:pt idx="232">
                  <c:v>50161</c:v>
                </c:pt>
                <c:pt idx="233">
                  <c:v>50192</c:v>
                </c:pt>
                <c:pt idx="234">
                  <c:v>50222</c:v>
                </c:pt>
                <c:pt idx="235">
                  <c:v>50253</c:v>
                </c:pt>
                <c:pt idx="236">
                  <c:v>50284</c:v>
                </c:pt>
                <c:pt idx="237">
                  <c:v>50314</c:v>
                </c:pt>
                <c:pt idx="238">
                  <c:v>50345</c:v>
                </c:pt>
                <c:pt idx="239">
                  <c:v>50375</c:v>
                </c:pt>
                <c:pt idx="240">
                  <c:v>50406</c:v>
                </c:pt>
                <c:pt idx="241">
                  <c:v>50437</c:v>
                </c:pt>
                <c:pt idx="242">
                  <c:v>50465</c:v>
                </c:pt>
                <c:pt idx="243">
                  <c:v>50496</c:v>
                </c:pt>
                <c:pt idx="244">
                  <c:v>50526</c:v>
                </c:pt>
                <c:pt idx="245">
                  <c:v>50557</c:v>
                </c:pt>
                <c:pt idx="246">
                  <c:v>50587</c:v>
                </c:pt>
                <c:pt idx="247">
                  <c:v>50618</c:v>
                </c:pt>
                <c:pt idx="248">
                  <c:v>50649</c:v>
                </c:pt>
                <c:pt idx="249">
                  <c:v>50679</c:v>
                </c:pt>
                <c:pt idx="250">
                  <c:v>50710</c:v>
                </c:pt>
                <c:pt idx="251">
                  <c:v>50740</c:v>
                </c:pt>
                <c:pt idx="252">
                  <c:v>50771</c:v>
                </c:pt>
                <c:pt idx="253">
                  <c:v>50802</c:v>
                </c:pt>
                <c:pt idx="254">
                  <c:v>50830</c:v>
                </c:pt>
                <c:pt idx="255">
                  <c:v>50861</c:v>
                </c:pt>
                <c:pt idx="256">
                  <c:v>50891</c:v>
                </c:pt>
                <c:pt idx="257">
                  <c:v>50922</c:v>
                </c:pt>
                <c:pt idx="258">
                  <c:v>50952</c:v>
                </c:pt>
                <c:pt idx="259">
                  <c:v>50983</c:v>
                </c:pt>
                <c:pt idx="260">
                  <c:v>51014</c:v>
                </c:pt>
                <c:pt idx="261">
                  <c:v>51044</c:v>
                </c:pt>
                <c:pt idx="262">
                  <c:v>51075</c:v>
                </c:pt>
                <c:pt idx="263">
                  <c:v>51105</c:v>
                </c:pt>
              </c:numCache>
            </c:numRef>
          </c:cat>
          <c:val>
            <c:numRef>
              <c:f>'RD Feedstock Breakdown'!$EC$88:$EC$351</c:f>
              <c:numCache>
                <c:formatCode>0%</c:formatCode>
                <c:ptCount val="264"/>
                <c:pt idx="0">
                  <c:v>0.28188032284009629</c:v>
                </c:pt>
                <c:pt idx="1">
                  <c:v>0.28188032284009629</c:v>
                </c:pt>
                <c:pt idx="2">
                  <c:v>0.28188032284009629</c:v>
                </c:pt>
                <c:pt idx="3">
                  <c:v>0.28188032284009629</c:v>
                </c:pt>
                <c:pt idx="4">
                  <c:v>0.28805219605984672</c:v>
                </c:pt>
                <c:pt idx="5">
                  <c:v>0.29395203486663068</c:v>
                </c:pt>
                <c:pt idx="6">
                  <c:v>0.36636427076064199</c:v>
                </c:pt>
                <c:pt idx="7">
                  <c:v>0.3059456297711205</c:v>
                </c:pt>
                <c:pt idx="8">
                  <c:v>0.28773788632340519</c:v>
                </c:pt>
                <c:pt idx="9">
                  <c:v>0.28512653331378507</c:v>
                </c:pt>
                <c:pt idx="10">
                  <c:v>0.26269977770803499</c:v>
                </c:pt>
                <c:pt idx="11">
                  <c:v>0.26269977770803499</c:v>
                </c:pt>
                <c:pt idx="12">
                  <c:v>0.32649829515141487</c:v>
                </c:pt>
                <c:pt idx="13">
                  <c:v>0.32649829515141487</c:v>
                </c:pt>
                <c:pt idx="14">
                  <c:v>0.32649829515141487</c:v>
                </c:pt>
                <c:pt idx="15">
                  <c:v>0.32649829515141487</c:v>
                </c:pt>
                <c:pt idx="16">
                  <c:v>0.32649829515141487</c:v>
                </c:pt>
                <c:pt idx="17">
                  <c:v>0.32649829515141487</c:v>
                </c:pt>
                <c:pt idx="18">
                  <c:v>0.32649829515141487</c:v>
                </c:pt>
                <c:pt idx="19">
                  <c:v>0.32649829515141487</c:v>
                </c:pt>
                <c:pt idx="20">
                  <c:v>0.32649829515141487</c:v>
                </c:pt>
                <c:pt idx="21">
                  <c:v>0.37653634804818342</c:v>
                </c:pt>
                <c:pt idx="22">
                  <c:v>0.37653634804818342</c:v>
                </c:pt>
                <c:pt idx="23">
                  <c:v>0.37653634804818342</c:v>
                </c:pt>
                <c:pt idx="24">
                  <c:v>0.32774924647383408</c:v>
                </c:pt>
                <c:pt idx="25">
                  <c:v>0.33275305176351094</c:v>
                </c:pt>
                <c:pt idx="26">
                  <c:v>0.33275305176351094</c:v>
                </c:pt>
                <c:pt idx="27">
                  <c:v>0.33275305176351094</c:v>
                </c:pt>
                <c:pt idx="28">
                  <c:v>0.33275305176351094</c:v>
                </c:pt>
                <c:pt idx="29">
                  <c:v>0.33275305176351094</c:v>
                </c:pt>
                <c:pt idx="30">
                  <c:v>0.36214103007273318</c:v>
                </c:pt>
                <c:pt idx="31">
                  <c:v>0.38662280240498836</c:v>
                </c:pt>
                <c:pt idx="32">
                  <c:v>0.40733232163376915</c:v>
                </c:pt>
                <c:pt idx="33">
                  <c:v>0.33519554684620673</c:v>
                </c:pt>
                <c:pt idx="34">
                  <c:v>0.33519554684620673</c:v>
                </c:pt>
                <c:pt idx="35">
                  <c:v>0.34481378348454839</c:v>
                </c:pt>
                <c:pt idx="36">
                  <c:v>0.40156137965076416</c:v>
                </c:pt>
                <c:pt idx="37">
                  <c:v>0.51698021931086402</c:v>
                </c:pt>
                <c:pt idx="38">
                  <c:v>0.50928563000019067</c:v>
                </c:pt>
                <c:pt idx="39">
                  <c:v>0.34390383489790682</c:v>
                </c:pt>
                <c:pt idx="40">
                  <c:v>0.43876962467688746</c:v>
                </c:pt>
                <c:pt idx="41">
                  <c:v>0.4581263045054621</c:v>
                </c:pt>
                <c:pt idx="42">
                  <c:v>0.42751029348429187</c:v>
                </c:pt>
                <c:pt idx="43">
                  <c:v>0.45515717884514001</c:v>
                </c:pt>
                <c:pt idx="44">
                  <c:v>0.44539945460013475</c:v>
                </c:pt>
                <c:pt idx="45">
                  <c:v>0.33436297520466685</c:v>
                </c:pt>
                <c:pt idx="46">
                  <c:v>0.43357877378531312</c:v>
                </c:pt>
                <c:pt idx="47">
                  <c:v>0.40131309052374242</c:v>
                </c:pt>
                <c:pt idx="48">
                  <c:v>0.33421056242133146</c:v>
                </c:pt>
                <c:pt idx="49">
                  <c:v>0.57299916805942963</c:v>
                </c:pt>
                <c:pt idx="50">
                  <c:v>0.57299916805942963</c:v>
                </c:pt>
                <c:pt idx="51">
                  <c:v>0.46204696033183845</c:v>
                </c:pt>
                <c:pt idx="52">
                  <c:v>0.48326949620498572</c:v>
                </c:pt>
                <c:pt idx="53">
                  <c:v>0.42543267134367807</c:v>
                </c:pt>
                <c:pt idx="54">
                  <c:v>0.38840976132037264</c:v>
                </c:pt>
                <c:pt idx="55">
                  <c:v>0.46707647432943161</c:v>
                </c:pt>
                <c:pt idx="56">
                  <c:v>0.48056458417493952</c:v>
                </c:pt>
                <c:pt idx="57">
                  <c:v>0.25297772205314484</c:v>
                </c:pt>
                <c:pt idx="58">
                  <c:v>0.37815605110433909</c:v>
                </c:pt>
                <c:pt idx="59">
                  <c:v>0.35276118287426145</c:v>
                </c:pt>
                <c:pt idx="60">
                  <c:v>0.27253834218098744</c:v>
                </c:pt>
                <c:pt idx="61">
                  <c:v>0.25182321044266281</c:v>
                </c:pt>
                <c:pt idx="62">
                  <c:v>0.28257671889096486</c:v>
                </c:pt>
                <c:pt idx="63">
                  <c:v>0.33056872104882007</c:v>
                </c:pt>
                <c:pt idx="64">
                  <c:v>0.34693207564162387</c:v>
                </c:pt>
                <c:pt idx="65">
                  <c:v>0.28337434785405152</c:v>
                </c:pt>
                <c:pt idx="66">
                  <c:v>0.29108083443927502</c:v>
                </c:pt>
                <c:pt idx="67">
                  <c:v>0.37887084742973626</c:v>
                </c:pt>
                <c:pt idx="68">
                  <c:v>0.39003122202453538</c:v>
                </c:pt>
                <c:pt idx="69">
                  <c:v>0.36701882708902767</c:v>
                </c:pt>
                <c:pt idx="70">
                  <c:v>0.36548194080561403</c:v>
                </c:pt>
                <c:pt idx="71">
                  <c:v>0.39935327486560018</c:v>
                </c:pt>
                <c:pt idx="72">
                  <c:v>0.42523641147198155</c:v>
                </c:pt>
                <c:pt idx="73">
                  <c:v>0.39519295978187113</c:v>
                </c:pt>
                <c:pt idx="74">
                  <c:v>0.40270252153332298</c:v>
                </c:pt>
                <c:pt idx="75">
                  <c:v>0.40886155976266242</c:v>
                </c:pt>
                <c:pt idx="76">
                  <c:v>0.39101169782901329</c:v>
                </c:pt>
                <c:pt idx="77">
                  <c:v>0.38406062623589537</c:v>
                </c:pt>
                <c:pt idx="78">
                  <c:v>0.38290159909680427</c:v>
                </c:pt>
                <c:pt idx="79">
                  <c:v>0.36464192161136916</c:v>
                </c:pt>
                <c:pt idx="80">
                  <c:v>0.35992723014029104</c:v>
                </c:pt>
                <c:pt idx="81">
                  <c:v>0.36147392341363949</c:v>
                </c:pt>
                <c:pt idx="82">
                  <c:v>0.39426290989374579</c:v>
                </c:pt>
                <c:pt idx="83">
                  <c:v>0.39426290989374579</c:v>
                </c:pt>
                <c:pt idx="84">
                  <c:v>0.38569499058789064</c:v>
                </c:pt>
                <c:pt idx="85">
                  <c:v>0.40288234568998293</c:v>
                </c:pt>
                <c:pt idx="86">
                  <c:v>0.35991395793475212</c:v>
                </c:pt>
                <c:pt idx="87">
                  <c:v>0.39085119711851835</c:v>
                </c:pt>
                <c:pt idx="88">
                  <c:v>0.37457365414222132</c:v>
                </c:pt>
                <c:pt idx="89">
                  <c:v>0.37982721244438056</c:v>
                </c:pt>
                <c:pt idx="90">
                  <c:v>0.38227949268226924</c:v>
                </c:pt>
                <c:pt idx="91">
                  <c:v>0.38526010361241692</c:v>
                </c:pt>
                <c:pt idx="92">
                  <c:v>0.38526010361241692</c:v>
                </c:pt>
                <c:pt idx="93">
                  <c:v>0.40083789338748804</c:v>
                </c:pt>
                <c:pt idx="94">
                  <c:v>0.38980967954573564</c:v>
                </c:pt>
                <c:pt idx="95">
                  <c:v>0.37651035076866329</c:v>
                </c:pt>
                <c:pt idx="96">
                  <c:v>0.43859953606307572</c:v>
                </c:pt>
                <c:pt idx="97">
                  <c:v>0.44201233020675401</c:v>
                </c:pt>
                <c:pt idx="98">
                  <c:v>0.44706963056796373</c:v>
                </c:pt>
                <c:pt idx="99">
                  <c:v>0.44542072321595044</c:v>
                </c:pt>
                <c:pt idx="100">
                  <c:v>0.43858917338670389</c:v>
                </c:pt>
                <c:pt idx="101">
                  <c:v>0.42962529571929214</c:v>
                </c:pt>
                <c:pt idx="102">
                  <c:v>0.42962529571929214</c:v>
                </c:pt>
                <c:pt idx="103">
                  <c:v>0.42962529571929214</c:v>
                </c:pt>
                <c:pt idx="104">
                  <c:v>0.4303616917785657</c:v>
                </c:pt>
                <c:pt idx="105">
                  <c:v>0.48670812455423684</c:v>
                </c:pt>
                <c:pt idx="106">
                  <c:v>0.484190888679779</c:v>
                </c:pt>
                <c:pt idx="107">
                  <c:v>0.484190888679779</c:v>
                </c:pt>
                <c:pt idx="108">
                  <c:v>0.4883470005401544</c:v>
                </c:pt>
                <c:pt idx="109">
                  <c:v>0.49591861225432587</c:v>
                </c:pt>
                <c:pt idx="110">
                  <c:v>0.49584163802798364</c:v>
                </c:pt>
                <c:pt idx="111">
                  <c:v>0.48827235865578211</c:v>
                </c:pt>
                <c:pt idx="112">
                  <c:v>0.46920148889185803</c:v>
                </c:pt>
                <c:pt idx="113">
                  <c:v>0.46844298037725718</c:v>
                </c:pt>
                <c:pt idx="114">
                  <c:v>0.46795127116965646</c:v>
                </c:pt>
                <c:pt idx="115">
                  <c:v>0.4677397665823137</c:v>
                </c:pt>
                <c:pt idx="116">
                  <c:v>0.46218578150153811</c:v>
                </c:pt>
                <c:pt idx="117">
                  <c:v>0.54094443646670098</c:v>
                </c:pt>
                <c:pt idx="118">
                  <c:v>0.56904113839775594</c:v>
                </c:pt>
                <c:pt idx="119">
                  <c:v>0.50271441429767161</c:v>
                </c:pt>
                <c:pt idx="120">
                  <c:v>0.50504309511035306</c:v>
                </c:pt>
                <c:pt idx="121">
                  <c:v>0.51845658809385919</c:v>
                </c:pt>
                <c:pt idx="122">
                  <c:v>0.51497477334132125</c:v>
                </c:pt>
                <c:pt idx="123">
                  <c:v>0.50450316283710583</c:v>
                </c:pt>
                <c:pt idx="124">
                  <c:v>0.50758742376936816</c:v>
                </c:pt>
                <c:pt idx="125">
                  <c:v>0.51529807610002409</c:v>
                </c:pt>
                <c:pt idx="126">
                  <c:v>0.51529807610002409</c:v>
                </c:pt>
                <c:pt idx="127">
                  <c:v>0.50758742376936816</c:v>
                </c:pt>
                <c:pt idx="128">
                  <c:v>0.51638282016634607</c:v>
                </c:pt>
                <c:pt idx="129">
                  <c:v>0.5592789812252229</c:v>
                </c:pt>
                <c:pt idx="130">
                  <c:v>0.54385684416075153</c:v>
                </c:pt>
                <c:pt idx="131">
                  <c:v>0.56597261110647357</c:v>
                </c:pt>
                <c:pt idx="132">
                  <c:v>0.53224051959118146</c:v>
                </c:pt>
                <c:pt idx="133">
                  <c:v>0.52787857383649073</c:v>
                </c:pt>
                <c:pt idx="134">
                  <c:v>0.52787857383649073</c:v>
                </c:pt>
                <c:pt idx="135">
                  <c:v>0.52943277207204498</c:v>
                </c:pt>
                <c:pt idx="136">
                  <c:v>0.53378035853690087</c:v>
                </c:pt>
                <c:pt idx="137">
                  <c:v>0.52943277207204498</c:v>
                </c:pt>
                <c:pt idx="138">
                  <c:v>0.5753988047101366</c:v>
                </c:pt>
                <c:pt idx="139">
                  <c:v>0.59160070149421207</c:v>
                </c:pt>
                <c:pt idx="140">
                  <c:v>0.56051673678312852</c:v>
                </c:pt>
                <c:pt idx="141">
                  <c:v>0.51967178272249936</c:v>
                </c:pt>
                <c:pt idx="142">
                  <c:v>0.48890093130307993</c:v>
                </c:pt>
                <c:pt idx="143">
                  <c:v>0.50126263469493315</c:v>
                </c:pt>
                <c:pt idx="144">
                  <c:v>0.4888319467734849</c:v>
                </c:pt>
                <c:pt idx="145">
                  <c:v>0.4873175237593585</c:v>
                </c:pt>
                <c:pt idx="146">
                  <c:v>0.4981549627145711</c:v>
                </c:pt>
                <c:pt idx="147">
                  <c:v>0.4981549627145711</c:v>
                </c:pt>
                <c:pt idx="148">
                  <c:v>0.49970970085925775</c:v>
                </c:pt>
                <c:pt idx="149">
                  <c:v>0.49970970085925775</c:v>
                </c:pt>
                <c:pt idx="150">
                  <c:v>0.49970970085925775</c:v>
                </c:pt>
                <c:pt idx="151">
                  <c:v>0.49970970085925775</c:v>
                </c:pt>
                <c:pt idx="152">
                  <c:v>0.54618036498388001</c:v>
                </c:pt>
                <c:pt idx="153">
                  <c:v>0.5066400320910085</c:v>
                </c:pt>
                <c:pt idx="154">
                  <c:v>0.4911807252410918</c:v>
                </c:pt>
                <c:pt idx="155">
                  <c:v>0.48801897536073241</c:v>
                </c:pt>
                <c:pt idx="156">
                  <c:v>0.50510718841065705</c:v>
                </c:pt>
                <c:pt idx="157">
                  <c:v>0.50493027475078356</c:v>
                </c:pt>
                <c:pt idx="158">
                  <c:v>0.50563133297696616</c:v>
                </c:pt>
                <c:pt idx="159">
                  <c:v>0.50563133297696616</c:v>
                </c:pt>
                <c:pt idx="160">
                  <c:v>0.50563133297696616</c:v>
                </c:pt>
                <c:pt idx="161">
                  <c:v>0.50563133297696616</c:v>
                </c:pt>
                <c:pt idx="162">
                  <c:v>0.50563133297696616</c:v>
                </c:pt>
                <c:pt idx="163">
                  <c:v>0.50563133297696616</c:v>
                </c:pt>
                <c:pt idx="164">
                  <c:v>0.62815641342762962</c:v>
                </c:pt>
                <c:pt idx="165">
                  <c:v>0.49382505373229585</c:v>
                </c:pt>
                <c:pt idx="166">
                  <c:v>0.49382505373229585</c:v>
                </c:pt>
                <c:pt idx="167">
                  <c:v>0.47540679944815772</c:v>
                </c:pt>
                <c:pt idx="168">
                  <c:v>0.48971685857951919</c:v>
                </c:pt>
                <c:pt idx="169">
                  <c:v>0.50464773137400343</c:v>
                </c:pt>
                <c:pt idx="170">
                  <c:v>0.50464773137400343</c:v>
                </c:pt>
                <c:pt idx="171">
                  <c:v>0.48971685857951919</c:v>
                </c:pt>
                <c:pt idx="172">
                  <c:v>0.48971685857951919</c:v>
                </c:pt>
                <c:pt idx="173">
                  <c:v>0.48971685857951919</c:v>
                </c:pt>
                <c:pt idx="174">
                  <c:v>0.51805027161857797</c:v>
                </c:pt>
                <c:pt idx="175">
                  <c:v>0.51906501318649556</c:v>
                </c:pt>
                <c:pt idx="176">
                  <c:v>0.61963943954405931</c:v>
                </c:pt>
                <c:pt idx="177">
                  <c:v>0.52982727259379181</c:v>
                </c:pt>
                <c:pt idx="178">
                  <c:v>0.56144482638729354</c:v>
                </c:pt>
                <c:pt idx="179">
                  <c:v>0.51539212225682174</c:v>
                </c:pt>
                <c:pt idx="180">
                  <c:v>0.51526674489919178</c:v>
                </c:pt>
                <c:pt idx="181">
                  <c:v>0.51744915470027353</c:v>
                </c:pt>
                <c:pt idx="182">
                  <c:v>0.51744915470027353</c:v>
                </c:pt>
                <c:pt idx="183">
                  <c:v>0.51453488155055394</c:v>
                </c:pt>
                <c:pt idx="184">
                  <c:v>0.51453488155055394</c:v>
                </c:pt>
                <c:pt idx="185">
                  <c:v>0.4994366117096346</c:v>
                </c:pt>
                <c:pt idx="186">
                  <c:v>0.4994366117096346</c:v>
                </c:pt>
                <c:pt idx="187">
                  <c:v>0.51009686773847629</c:v>
                </c:pt>
                <c:pt idx="188">
                  <c:v>0.49789500291148592</c:v>
                </c:pt>
                <c:pt idx="189">
                  <c:v>0.53723530807270758</c:v>
                </c:pt>
                <c:pt idx="190">
                  <c:v>0.49286898953385994</c:v>
                </c:pt>
                <c:pt idx="191">
                  <c:v>0.48975454418770853</c:v>
                </c:pt>
                <c:pt idx="192">
                  <c:v>0.4913165339112005</c:v>
                </c:pt>
                <c:pt idx="193">
                  <c:v>0.49747001679340047</c:v>
                </c:pt>
                <c:pt idx="194">
                  <c:v>0.49053673629287547</c:v>
                </c:pt>
                <c:pt idx="195">
                  <c:v>0.55254156612654326</c:v>
                </c:pt>
                <c:pt idx="196">
                  <c:v>0.55116757714912656</c:v>
                </c:pt>
                <c:pt idx="197">
                  <c:v>0.58694745553543559</c:v>
                </c:pt>
                <c:pt idx="198">
                  <c:v>0.58187409362983555</c:v>
                </c:pt>
                <c:pt idx="199">
                  <c:v>0.58442625802123971</c:v>
                </c:pt>
                <c:pt idx="200">
                  <c:v>0.66583830558526436</c:v>
                </c:pt>
                <c:pt idx="201">
                  <c:v>0.49729429982037321</c:v>
                </c:pt>
                <c:pt idx="202">
                  <c:v>0.49729429982037321</c:v>
                </c:pt>
                <c:pt idx="203">
                  <c:v>0.49729429982037321</c:v>
                </c:pt>
                <c:pt idx="204">
                  <c:v>0.49729429982037321</c:v>
                </c:pt>
                <c:pt idx="205">
                  <c:v>0.49729429982037321</c:v>
                </c:pt>
                <c:pt idx="206">
                  <c:v>0.49729429982037321</c:v>
                </c:pt>
                <c:pt idx="207">
                  <c:v>0.49729429982037321</c:v>
                </c:pt>
                <c:pt idx="208">
                  <c:v>0.49729429982037321</c:v>
                </c:pt>
                <c:pt idx="209">
                  <c:v>0.49729429982037321</c:v>
                </c:pt>
                <c:pt idx="210">
                  <c:v>0.49729429982037321</c:v>
                </c:pt>
                <c:pt idx="211">
                  <c:v>0.49729429982037321</c:v>
                </c:pt>
                <c:pt idx="212">
                  <c:v>0.50481787631850195</c:v>
                </c:pt>
                <c:pt idx="213">
                  <c:v>0.60644053295414013</c:v>
                </c:pt>
                <c:pt idx="214">
                  <c:v>0.60644053295414013</c:v>
                </c:pt>
                <c:pt idx="215">
                  <c:v>0.60553020426270632</c:v>
                </c:pt>
                <c:pt idx="216">
                  <c:v>0.60553020426270632</c:v>
                </c:pt>
                <c:pt idx="217">
                  <c:v>0.60553020426270632</c:v>
                </c:pt>
                <c:pt idx="218">
                  <c:v>0.60553020426270632</c:v>
                </c:pt>
                <c:pt idx="219">
                  <c:v>0.60553020426270632</c:v>
                </c:pt>
                <c:pt idx="220">
                  <c:v>0.60553020426270632</c:v>
                </c:pt>
                <c:pt idx="221">
                  <c:v>0.60553020426270632</c:v>
                </c:pt>
                <c:pt idx="222">
                  <c:v>0.60553020426270632</c:v>
                </c:pt>
                <c:pt idx="223">
                  <c:v>0.60553020426270632</c:v>
                </c:pt>
                <c:pt idx="224">
                  <c:v>0.60553020426270632</c:v>
                </c:pt>
                <c:pt idx="225">
                  <c:v>0.59398976794558644</c:v>
                </c:pt>
                <c:pt idx="226">
                  <c:v>0.59398976794558644</c:v>
                </c:pt>
                <c:pt idx="227">
                  <c:v>0.59398976794558644</c:v>
                </c:pt>
                <c:pt idx="228">
                  <c:v>0.59089458603460909</c:v>
                </c:pt>
                <c:pt idx="229">
                  <c:v>0.59089458603460909</c:v>
                </c:pt>
                <c:pt idx="230">
                  <c:v>0.59089458603460909</c:v>
                </c:pt>
                <c:pt idx="231">
                  <c:v>0.59089458603460909</c:v>
                </c:pt>
                <c:pt idx="232">
                  <c:v>0.59089458603460909</c:v>
                </c:pt>
                <c:pt idx="233">
                  <c:v>0.59089458603460909</c:v>
                </c:pt>
                <c:pt idx="234">
                  <c:v>0.59089458603460909</c:v>
                </c:pt>
                <c:pt idx="235">
                  <c:v>0.59089458603460909</c:v>
                </c:pt>
                <c:pt idx="236">
                  <c:v>0.59089458603460909</c:v>
                </c:pt>
                <c:pt idx="237">
                  <c:v>0.56175306695826555</c:v>
                </c:pt>
                <c:pt idx="238">
                  <c:v>0.56175306695826555</c:v>
                </c:pt>
                <c:pt idx="239">
                  <c:v>0.56936715401941362</c:v>
                </c:pt>
                <c:pt idx="240">
                  <c:v>0.56806955470551901</c:v>
                </c:pt>
                <c:pt idx="241">
                  <c:v>0.56806955470551901</c:v>
                </c:pt>
                <c:pt idx="242">
                  <c:v>0.56806955470551901</c:v>
                </c:pt>
                <c:pt idx="243">
                  <c:v>0.56806955470551901</c:v>
                </c:pt>
                <c:pt idx="244">
                  <c:v>0.56806955470551901</c:v>
                </c:pt>
                <c:pt idx="245">
                  <c:v>0.56806955470551901</c:v>
                </c:pt>
                <c:pt idx="246">
                  <c:v>0.56806955470551901</c:v>
                </c:pt>
                <c:pt idx="247">
                  <c:v>0.56806955470551901</c:v>
                </c:pt>
                <c:pt idx="248">
                  <c:v>0.56806955470551901</c:v>
                </c:pt>
                <c:pt idx="249">
                  <c:v>0.59313877823216155</c:v>
                </c:pt>
                <c:pt idx="250">
                  <c:v>0.59313877823216155</c:v>
                </c:pt>
                <c:pt idx="251">
                  <c:v>0.59313877823216155</c:v>
                </c:pt>
                <c:pt idx="252">
                  <c:v>0.59134187137710503</c:v>
                </c:pt>
                <c:pt idx="253">
                  <c:v>0.59134187137710503</c:v>
                </c:pt>
                <c:pt idx="254">
                  <c:v>0.59134187137710503</c:v>
                </c:pt>
                <c:pt idx="255">
                  <c:v>0.59134187137710503</c:v>
                </c:pt>
                <c:pt idx="256">
                  <c:v>0.59134187137710503</c:v>
                </c:pt>
                <c:pt idx="257">
                  <c:v>0.59134187137710503</c:v>
                </c:pt>
                <c:pt idx="258">
                  <c:v>0.59134187137710503</c:v>
                </c:pt>
                <c:pt idx="259">
                  <c:v>0.59134187137710503</c:v>
                </c:pt>
                <c:pt idx="260">
                  <c:v>0.59134187137710503</c:v>
                </c:pt>
                <c:pt idx="261">
                  <c:v>0.58073866311707134</c:v>
                </c:pt>
                <c:pt idx="262">
                  <c:v>0.58073866311707134</c:v>
                </c:pt>
                <c:pt idx="263">
                  <c:v>0.58073866311707134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C-4FC6-9ABF-6EC2F1E39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59151"/>
        <c:axId val="91660791"/>
      </c:lineChart>
      <c:dateAx>
        <c:axId val="91659151"/>
        <c:scaling>
          <c:orientation val="minMax"/>
          <c:max val="47453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660791"/>
        <c:crosses val="autoZero"/>
        <c:auto val="1"/>
        <c:lblOffset val="100"/>
        <c:baseTimeUnit val="months"/>
        <c:majorUnit val="6"/>
        <c:majorTimeUnit val="months"/>
      </c:dateAx>
      <c:valAx>
        <c:axId val="91660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659151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200"/>
            </a:pPr>
            <a:r>
              <a:rPr lang="en-US" sz="1200"/>
              <a:t>Monthly Renewable Diesel Feedstock Demand by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961194954797317"/>
          <c:y val="9.3055175481400215E-2"/>
          <c:w val="0.85164989792942547"/>
          <c:h val="0.71811189205368975"/>
        </c:manualLayout>
      </c:layout>
      <c:areaChart>
        <c:grouping val="stacked"/>
        <c:varyColors val="0"/>
        <c:ser>
          <c:idx val="0"/>
          <c:order val="0"/>
          <c:tx>
            <c:v>Vegetable Oil (SBO, DCO, CO)</c:v>
          </c:tx>
          <c:spPr>
            <a:solidFill>
              <a:srgbClr val="8C8C8C"/>
            </a:solidFill>
            <a:ln>
              <a:solidFill>
                <a:srgbClr val="6F0791"/>
              </a:solidFill>
            </a:ln>
            <a:effectLst/>
          </c:spPr>
          <c:dLbls>
            <c:dLbl>
              <c:idx val="0"/>
              <c:layout>
                <c:manualLayout>
                  <c:x val="8.027922843443903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CB-4E36-886C-9FD36056944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CB-4E36-886C-9FD36056944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CB-4E36-886C-9FD36056944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CB-4E36-886C-9FD36056944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CB-4E36-886C-9FD36056944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CB-4E36-886C-9FD36056944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CB-4E36-886C-9FD36056944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CB-4E36-886C-9FD36056944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CB-4E36-886C-9FD36056944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CB-4E36-886C-9FD36056944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CB-4E36-886C-9FD36056944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CB-4E36-886C-9FD36056944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CB-4E36-886C-9FD36056944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CB-4E36-886C-9FD36056944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7CB-4E36-886C-9FD36056944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7CB-4E36-886C-9FD360569445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7CB-4E36-886C-9FD360569445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CB-4E36-886C-9FD36056944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7CB-4E36-886C-9FD36056944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7CB-4E36-886C-9FD360569445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7CB-4E36-886C-9FD36056944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7CB-4E36-886C-9FD360569445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7CB-4E36-886C-9FD36056944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7CB-4E36-886C-9FD360569445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7CB-4E36-886C-9FD360569445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7CB-4E36-886C-9FD360569445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7CB-4E36-886C-9FD360569445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7CB-4E36-886C-9FD360569445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7CB-4E36-886C-9FD360569445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7CB-4E36-886C-9FD360569445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7CB-4E36-886C-9FD360569445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7CB-4E36-886C-9FD360569445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7CB-4E36-886C-9FD360569445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7CB-4E36-886C-9FD360569445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7CB-4E36-886C-9FD360569445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7CB-4E36-886C-9FD360569445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7CB-4E36-886C-9FD360569445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7CB-4E36-886C-9FD36056944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7CB-4E36-886C-9FD360569445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7CB-4E36-886C-9FD360569445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7CB-4E36-886C-9FD360569445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7CB-4E36-886C-9FD360569445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7CB-4E36-886C-9FD360569445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7CB-4E36-886C-9FD360569445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7CB-4E36-886C-9FD360569445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7CB-4E36-886C-9FD360569445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7CB-4E36-886C-9FD36056944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7CB-4E36-886C-9FD360569445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7CB-4E36-886C-9FD360569445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7CB-4E36-886C-9FD360569445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7CB-4E36-886C-9FD360569445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7CB-4E36-886C-9FD360569445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7CB-4E36-886C-9FD360569445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7CB-4E36-886C-9FD360569445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7CB-4E36-886C-9FD360569445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7CB-4E36-886C-9FD360569445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7CB-4E36-886C-9FD360569445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7CB-4E36-886C-9FD360569445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7CB-4E36-886C-9FD360569445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B7CB-4E36-886C-9FD360569445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B7CB-4E36-886C-9FD360569445}"/>
                </c:ext>
              </c:extLst>
            </c:dLbl>
            <c:dLbl>
              <c:idx val="72"/>
              <c:layout>
                <c:manualLayout>
                  <c:x val="-9.365909984017902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B7CB-4E36-886C-9FD36056944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'RD Feedstock Breakdown'!$A$100:$A$172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'RD Feedstock Breakdown'!$EW$100:$EW$172</c:f>
              <c:numCache>
                <c:formatCode>#,##0.0_);[Red]\(#,##0.0\)</c:formatCode>
                <c:ptCount val="73"/>
                <c:pt idx="0">
                  <c:v>82.522691421978678</c:v>
                </c:pt>
                <c:pt idx="1">
                  <c:v>93.084381526643085</c:v>
                </c:pt>
                <c:pt idx="2">
                  <c:v>80.928245160064137</c:v>
                </c:pt>
                <c:pt idx="3">
                  <c:v>87.683733230502369</c:v>
                </c:pt>
                <c:pt idx="4">
                  <c:v>91.016885761061189</c:v>
                </c:pt>
                <c:pt idx="5">
                  <c:v>91.848567522088729</c:v>
                </c:pt>
                <c:pt idx="6">
                  <c:v>106.09365059224102</c:v>
                </c:pt>
                <c:pt idx="7">
                  <c:v>65.721868668166564</c:v>
                </c:pt>
                <c:pt idx="8">
                  <c:v>92.877414257346587</c:v>
                </c:pt>
                <c:pt idx="9">
                  <c:v>137.64287989988517</c:v>
                </c:pt>
                <c:pt idx="10">
                  <c:v>113.5569680428014</c:v>
                </c:pt>
                <c:pt idx="11">
                  <c:v>165.82990672125189</c:v>
                </c:pt>
                <c:pt idx="12">
                  <c:v>93.098296002061744</c:v>
                </c:pt>
                <c:pt idx="13">
                  <c:v>84.721897631859491</c:v>
                </c:pt>
                <c:pt idx="14">
                  <c:v>104.67976599370976</c:v>
                </c:pt>
                <c:pt idx="15">
                  <c:v>91.817538681551952</c:v>
                </c:pt>
                <c:pt idx="16">
                  <c:v>105.22911798945771</c:v>
                </c:pt>
                <c:pt idx="17">
                  <c:v>141.45151551372356</c:v>
                </c:pt>
                <c:pt idx="18">
                  <c:v>121.12662490036625</c:v>
                </c:pt>
                <c:pt idx="19">
                  <c:v>116.97807006164446</c:v>
                </c:pt>
                <c:pt idx="20">
                  <c:v>138.0930042905992</c:v>
                </c:pt>
                <c:pt idx="21">
                  <c:v>52.988538302471341</c:v>
                </c:pt>
                <c:pt idx="22">
                  <c:v>108.89601054420034</c:v>
                </c:pt>
                <c:pt idx="23">
                  <c:v>129.04446889756431</c:v>
                </c:pt>
                <c:pt idx="24">
                  <c:v>126.37470013945003</c:v>
                </c:pt>
                <c:pt idx="25">
                  <c:v>182.19098816873537</c:v>
                </c:pt>
                <c:pt idx="26">
                  <c:v>211.77947875994383</c:v>
                </c:pt>
                <c:pt idx="27">
                  <c:v>123.47461385484165</c:v>
                </c:pt>
                <c:pt idx="28">
                  <c:v>191.22620566198864</c:v>
                </c:pt>
                <c:pt idx="29">
                  <c:v>223.38921903069502</c:v>
                </c:pt>
                <c:pt idx="30">
                  <c:v>209.53079889812122</c:v>
                </c:pt>
                <c:pt idx="31">
                  <c:v>257.30222275926974</c:v>
                </c:pt>
                <c:pt idx="32">
                  <c:v>167.7696291884879</c:v>
                </c:pt>
                <c:pt idx="33">
                  <c:v>182.29192221251992</c:v>
                </c:pt>
                <c:pt idx="34">
                  <c:v>445.78284451411173</c:v>
                </c:pt>
                <c:pt idx="35">
                  <c:v>441.99412851537227</c:v>
                </c:pt>
                <c:pt idx="36">
                  <c:v>209.02817791074608</c:v>
                </c:pt>
                <c:pt idx="37">
                  <c:v>420.25423118312415</c:v>
                </c:pt>
                <c:pt idx="38">
                  <c:v>456.84007192144531</c:v>
                </c:pt>
                <c:pt idx="39">
                  <c:v>352.0701951433166</c:v>
                </c:pt>
                <c:pt idx="40">
                  <c:v>462.47144854944725</c:v>
                </c:pt>
                <c:pt idx="41">
                  <c:v>358.88831374393328</c:v>
                </c:pt>
                <c:pt idx="42">
                  <c:v>306.82462110332546</c:v>
                </c:pt>
                <c:pt idx="43">
                  <c:v>404.21888712036571</c:v>
                </c:pt>
                <c:pt idx="44">
                  <c:v>429.30511114322678</c:v>
                </c:pt>
                <c:pt idx="45">
                  <c:v>208.23885982621377</c:v>
                </c:pt>
                <c:pt idx="46">
                  <c:v>464.67136580511425</c:v>
                </c:pt>
                <c:pt idx="47">
                  <c:v>444.12891075143716</c:v>
                </c:pt>
                <c:pt idx="48">
                  <c:v>479.36165771864387</c:v>
                </c:pt>
                <c:pt idx="49">
                  <c:v>393.19818358197966</c:v>
                </c:pt>
                <c:pt idx="50">
                  <c:v>617.09183055857272</c:v>
                </c:pt>
                <c:pt idx="51">
                  <c:v>617.30894600783506</c:v>
                </c:pt>
                <c:pt idx="52">
                  <c:v>819.4922113044023</c:v>
                </c:pt>
                <c:pt idx="53">
                  <c:v>656.7025838469059</c:v>
                </c:pt>
                <c:pt idx="54">
                  <c:v>626.11957370970663</c:v>
                </c:pt>
                <c:pt idx="55">
                  <c:v>654.94984651927689</c:v>
                </c:pt>
                <c:pt idx="56">
                  <c:v>672.96826904882596</c:v>
                </c:pt>
                <c:pt idx="57">
                  <c:v>675.28519404294877</c:v>
                </c:pt>
                <c:pt idx="58">
                  <c:v>660.14076607859988</c:v>
                </c:pt>
                <c:pt idx="59">
                  <c:v>996.33616129350571</c:v>
                </c:pt>
                <c:pt idx="60">
                  <c:v>874.72947075051684</c:v>
                </c:pt>
                <c:pt idx="61">
                  <c:v>829.49522223264262</c:v>
                </c:pt>
                <c:pt idx="62">
                  <c:v>816.29916551487531</c:v>
                </c:pt>
                <c:pt idx="63">
                  <c:v>1106.126649000113</c:v>
                </c:pt>
                <c:pt idx="64">
                  <c:v>833.98517666268299</c:v>
                </c:pt>
                <c:pt idx="65">
                  <c:v>1019.8017210437511</c:v>
                </c:pt>
                <c:pt idx="66">
                  <c:v>1054.0444429561878</c:v>
                </c:pt>
                <c:pt idx="67">
                  <c:v>929.4050491404364</c:v>
                </c:pt>
                <c:pt idx="68">
                  <c:v>933.71612000270079</c:v>
                </c:pt>
                <c:pt idx="69">
                  <c:v>1005.1102315905732</c:v>
                </c:pt>
                <c:pt idx="70">
                  <c:v>999.37647693245094</c:v>
                </c:pt>
                <c:pt idx="71">
                  <c:v>1237.8638041945242</c:v>
                </c:pt>
                <c:pt idx="72">
                  <c:v>834.33429234587356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B7CB-4E36-886C-9FD360569445}"/>
            </c:ext>
          </c:extLst>
        </c:ser>
        <c:ser>
          <c:idx val="1"/>
          <c:order val="1"/>
          <c:tx>
            <c:v>Fats and Greases Demand (YG, UCO, CWG, Tallow)</c:v>
          </c:tx>
          <c:spPr>
            <a:solidFill>
              <a:srgbClr val="ECECEC"/>
            </a:solidFill>
            <a:ln>
              <a:solidFill>
                <a:srgbClr val="6F0791"/>
              </a:solidFill>
            </a:ln>
            <a:effectLst/>
          </c:spPr>
          <c:dLbls>
            <c:dLbl>
              <c:idx val="0"/>
              <c:layout>
                <c:manualLayout>
                  <c:x val="9.3659099840178901E-3"/>
                  <c:y val="-4.7252183227595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B7CB-4E36-886C-9FD36056944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B7CB-4E36-886C-9FD36056944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B7CB-4E36-886C-9FD36056944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B7CB-4E36-886C-9FD36056944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B7CB-4E36-886C-9FD36056944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B7CB-4E36-886C-9FD360569445}"/>
                </c:ext>
              </c:extLst>
            </c:dLbl>
            <c:dLbl>
              <c:idx val="6"/>
              <c:layout>
                <c:manualLayout>
                  <c:x val="1.3379871405739859E-3"/>
                  <c:y val="-3.78017465820765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B7CB-4E36-886C-9FD36056944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B7CB-4E36-886C-9FD36056944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B7CB-4E36-886C-9FD36056944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B7CB-4E36-886C-9FD36056944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B7CB-4E36-886C-9FD36056944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B7CB-4E36-886C-9FD360569445}"/>
                </c:ext>
              </c:extLst>
            </c:dLbl>
            <c:dLbl>
              <c:idx val="12"/>
              <c:layout>
                <c:manualLayout>
                  <c:x val="0"/>
                  <c:y val="-4.2526964904836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B7CB-4E36-886C-9FD36056944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B7CB-4E36-886C-9FD36056944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B7CB-4E36-886C-9FD36056944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B7CB-4E36-886C-9FD36056944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B7CB-4E36-886C-9FD36056944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B7CB-4E36-886C-9FD360569445}"/>
                </c:ext>
              </c:extLst>
            </c:dLbl>
            <c:dLbl>
              <c:idx val="18"/>
              <c:layout>
                <c:manualLayout>
                  <c:x val="0"/>
                  <c:y val="-3.78017465820766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B7CB-4E36-886C-9FD360569445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B7CB-4E36-886C-9FD360569445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B7CB-4E36-886C-9FD36056944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B7CB-4E36-886C-9FD36056944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B7CB-4E36-886C-9FD360569445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B7CB-4E36-886C-9FD360569445}"/>
                </c:ext>
              </c:extLst>
            </c:dLbl>
            <c:dLbl>
              <c:idx val="24"/>
              <c:layout>
                <c:manualLayout>
                  <c:x val="1.3379871405739859E-3"/>
                  <c:y val="-4.2526964904836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B7CB-4E36-886C-9FD36056944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B7CB-4E36-886C-9FD360569445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B7CB-4E36-886C-9FD36056944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B7CB-4E36-886C-9FD360569445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B7CB-4E36-886C-9FD360569445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B7CB-4E36-886C-9FD360569445}"/>
                </c:ext>
              </c:extLst>
            </c:dLbl>
            <c:dLbl>
              <c:idx val="30"/>
              <c:layout>
                <c:manualLayout>
                  <c:x val="-1.3379871405739859E-3"/>
                  <c:y val="-5.67026198731148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B7CB-4E36-886C-9FD360569445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B7CB-4E36-886C-9FD360569445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B7CB-4E36-886C-9FD360569445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B7CB-4E36-886C-9FD360569445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B7CB-4E36-886C-9FD360569445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B7CB-4E36-886C-9FD360569445}"/>
                </c:ext>
              </c:extLst>
            </c:dLbl>
            <c:dLbl>
              <c:idx val="36"/>
              <c:layout>
                <c:manualLayout>
                  <c:x val="-9.8117923508800536E-17"/>
                  <c:y val="-8.03287114869127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B7CB-4E36-886C-9FD360569445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B7CB-4E36-886C-9FD360569445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B7CB-4E36-886C-9FD360569445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B7CB-4E36-886C-9FD360569445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B7CB-4E36-886C-9FD360569445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B7CB-4E36-886C-9FD360569445}"/>
                </c:ext>
              </c:extLst>
            </c:dLbl>
            <c:dLbl>
              <c:idx val="42"/>
              <c:layout>
                <c:manualLayout>
                  <c:x val="0"/>
                  <c:y val="-8.26913206482925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B7CB-4E36-886C-9FD360569445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B7CB-4E36-886C-9FD360569445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B7CB-4E36-886C-9FD36056944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B7CB-4E36-886C-9FD360569445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B7CB-4E36-886C-9FD360569445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B7CB-4E36-886C-9FD360569445}"/>
                </c:ext>
              </c:extLst>
            </c:dLbl>
            <c:dLbl>
              <c:idx val="48"/>
              <c:layout>
                <c:manualLayout>
                  <c:x val="0"/>
                  <c:y val="-8.74165389710520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B7CB-4E36-886C-9FD360569445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B7CB-4E36-886C-9FD360569445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B7CB-4E36-886C-9FD360569445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B7CB-4E36-886C-9FD360569445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B7CB-4E36-886C-9FD360569445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B7CB-4E36-886C-9FD360569445}"/>
                </c:ext>
              </c:extLst>
            </c:dLbl>
            <c:dLbl>
              <c:idx val="54"/>
              <c:layout>
                <c:manualLayout>
                  <c:x val="1.3379871405739859E-3"/>
                  <c:y val="-6.37904473572542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B7CB-4E36-886C-9FD360569445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B7CB-4E36-886C-9FD36056944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B7CB-4E36-886C-9FD360569445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B7CB-4E36-886C-9FD360569445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B7CB-4E36-886C-9FD360569445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B7CB-4E36-886C-9FD360569445}"/>
                </c:ext>
              </c:extLst>
            </c:dLbl>
            <c:dLbl>
              <c:idx val="60"/>
              <c:layout>
                <c:manualLayout>
                  <c:x val="1.3379871405739859E-3"/>
                  <c:y val="-0.111042630584849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B7CB-4E36-886C-9FD360569445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B7CB-4E36-886C-9FD360569445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B7CB-4E36-886C-9FD360569445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B7CB-4E36-886C-9FD360569445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B7CB-4E36-886C-9FD360569445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B7CB-4E36-886C-9FD360569445}"/>
                </c:ext>
              </c:extLst>
            </c:dLbl>
            <c:dLbl>
              <c:idx val="66"/>
              <c:layout>
                <c:manualLayout>
                  <c:x val="-9.8117923508800536E-17"/>
                  <c:y val="-7.7966102325533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B7CB-4E36-886C-9FD360569445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B7CB-4E36-886C-9FD360569445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B7CB-4E36-886C-9FD360569445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B7CB-4E36-886C-9FD360569445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B7CB-4E36-886C-9FD360569445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B7CB-4E36-886C-9FD360569445}"/>
                </c:ext>
              </c:extLst>
            </c:dLbl>
            <c:dLbl>
              <c:idx val="72"/>
              <c:layout>
                <c:manualLayout>
                  <c:x val="-6.6899357028699299E-3"/>
                  <c:y val="-0.259887007751776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B7CB-4E36-886C-9FD36056944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'RD Feedstock Breakdown'!$A$100:$A$172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'RD Feedstock Breakdown'!$EX$100:$EX$172</c:f>
              <c:numCache>
                <c:formatCode>#,##0.0_);[Red]\(#,##0.0\)</c:formatCode>
                <c:ptCount val="73"/>
                <c:pt idx="0">
                  <c:v>206.11128666065926</c:v>
                </c:pt>
                <c:pt idx="1">
                  <c:v>232.4904982359588</c:v>
                </c:pt>
                <c:pt idx="2">
                  <c:v>202.12894719872844</c:v>
                </c:pt>
                <c:pt idx="3">
                  <c:v>219.00166807375214</c:v>
                </c:pt>
                <c:pt idx="4">
                  <c:v>227.32665535751323</c:v>
                </c:pt>
                <c:pt idx="5">
                  <c:v>229.40389005385924</c:v>
                </c:pt>
                <c:pt idx="6">
                  <c:v>264.98286051137251</c:v>
                </c:pt>
                <c:pt idx="7">
                  <c:v>164.14901985771758</c:v>
                </c:pt>
                <c:pt idx="8">
                  <c:v>231.9735702318392</c:v>
                </c:pt>
                <c:pt idx="9">
                  <c:v>278.56077454924628</c:v>
                </c:pt>
                <c:pt idx="10">
                  <c:v>229.8158611362588</c:v>
                </c:pt>
                <c:pt idx="11">
                  <c:v>335.60549803448072</c:v>
                </c:pt>
                <c:pt idx="12">
                  <c:v>233.63166490601452</c:v>
                </c:pt>
                <c:pt idx="13">
                  <c:v>207.96991979380033</c:v>
                </c:pt>
                <c:pt idx="14">
                  <c:v>256.96122426746672</c:v>
                </c:pt>
                <c:pt idx="15">
                  <c:v>225.38784764053455</c:v>
                </c:pt>
                <c:pt idx="16">
                  <c:v>258.30973856763859</c:v>
                </c:pt>
                <c:pt idx="17">
                  <c:v>347.22617361486169</c:v>
                </c:pt>
                <c:pt idx="18">
                  <c:v>261.19839059700848</c:v>
                </c:pt>
                <c:pt idx="19">
                  <c:v>227.23127674844011</c:v>
                </c:pt>
                <c:pt idx="20">
                  <c:v>246.03310369168696</c:v>
                </c:pt>
                <c:pt idx="21">
                  <c:v>127.16152366848472</c:v>
                </c:pt>
                <c:pt idx="22">
                  <c:v>261.32788459224332</c:v>
                </c:pt>
                <c:pt idx="23">
                  <c:v>296.96228986228141</c:v>
                </c:pt>
                <c:pt idx="24">
                  <c:v>227.71879363101885</c:v>
                </c:pt>
                <c:pt idx="25">
                  <c:v>205.76786791089702</c:v>
                </c:pt>
                <c:pt idx="26">
                  <c:v>246.73896972353737</c:v>
                </c:pt>
                <c:pt idx="27">
                  <c:v>283.38665800040485</c:v>
                </c:pt>
                <c:pt idx="28">
                  <c:v>296.62485986198431</c:v>
                </c:pt>
                <c:pt idx="29">
                  <c:v>318.00801736378793</c:v>
                </c:pt>
                <c:pt idx="30">
                  <c:v>334.58622374842116</c:v>
                </c:pt>
                <c:pt idx="31">
                  <c:v>367.93318970262703</c:v>
                </c:pt>
                <c:pt idx="32">
                  <c:v>254.40837068005965</c:v>
                </c:pt>
                <c:pt idx="33">
                  <c:v>426.16033997245853</c:v>
                </c:pt>
                <c:pt idx="34">
                  <c:v>672.88809688204071</c:v>
                </c:pt>
                <c:pt idx="35">
                  <c:v>765.66056000195886</c:v>
                </c:pt>
                <c:pt idx="36">
                  <c:v>483.56757595783341</c:v>
                </c:pt>
                <c:pt idx="37">
                  <c:v>365.53386726138763</c:v>
                </c:pt>
                <c:pt idx="38">
                  <c:v>395.85391026664223</c:v>
                </c:pt>
                <c:pt idx="39">
                  <c:v>474.95055069390401</c:v>
                </c:pt>
                <c:pt idx="40">
                  <c:v>573.57656634236366</c:v>
                </c:pt>
                <c:pt idx="41">
                  <c:v>565.02200936325698</c:v>
                </c:pt>
                <c:pt idx="42">
                  <c:v>566.58716642562547</c:v>
                </c:pt>
                <c:pt idx="43">
                  <c:v>544.67878256394931</c:v>
                </c:pt>
                <c:pt idx="44">
                  <c:v>547.49845772622007</c:v>
                </c:pt>
                <c:pt idx="45">
                  <c:v>708.45111193857474</c:v>
                </c:pt>
                <c:pt idx="46">
                  <c:v>874.5377048858503</c:v>
                </c:pt>
                <c:pt idx="47">
                  <c:v>742.31956111245609</c:v>
                </c:pt>
                <c:pt idx="48">
                  <c:v>704.83898291409366</c:v>
                </c:pt>
                <c:pt idx="49">
                  <c:v>759.10176054995532</c:v>
                </c:pt>
                <c:pt idx="50">
                  <c:v>797.20812809133224</c:v>
                </c:pt>
                <c:pt idx="51">
                  <c:v>763.33255696775154</c:v>
                </c:pt>
                <c:pt idx="52">
                  <c:v>992.87440169150909</c:v>
                </c:pt>
                <c:pt idx="53">
                  <c:v>929.68210895250934</c:v>
                </c:pt>
                <c:pt idx="54">
                  <c:v>844.14433730502185</c:v>
                </c:pt>
                <c:pt idx="55">
                  <c:v>1243.9246762613966</c:v>
                </c:pt>
                <c:pt idx="56">
                  <c:v>1195.1622147665742</c:v>
                </c:pt>
                <c:pt idx="57">
                  <c:v>1019.9354494628275</c:v>
                </c:pt>
                <c:pt idx="58">
                  <c:v>992.34408016328132</c:v>
                </c:pt>
                <c:pt idx="59">
                  <c:v>1183.7100936208733</c:v>
                </c:pt>
                <c:pt idx="60">
                  <c:v>929.52947552270552</c:v>
                </c:pt>
                <c:pt idx="61">
                  <c:v>998.58699118659035</c:v>
                </c:pt>
                <c:pt idx="62">
                  <c:v>891.13143092602684</c:v>
                </c:pt>
                <c:pt idx="63">
                  <c:v>1155.6530714652022</c:v>
                </c:pt>
                <c:pt idx="64">
                  <c:v>949.20201923649461</c:v>
                </c:pt>
                <c:pt idx="65">
                  <c:v>1219.9096848742533</c:v>
                </c:pt>
                <c:pt idx="66">
                  <c:v>1264.8969908410904</c:v>
                </c:pt>
                <c:pt idx="67">
                  <c:v>1124.1939294384374</c:v>
                </c:pt>
                <c:pt idx="68">
                  <c:v>1159.3535974222004</c:v>
                </c:pt>
                <c:pt idx="69">
                  <c:v>1324.3456462740487</c:v>
                </c:pt>
                <c:pt idx="70">
                  <c:v>1054.4753330267135</c:v>
                </c:pt>
                <c:pt idx="71">
                  <c:v>1239.4398142106211</c:v>
                </c:pt>
                <c:pt idx="72">
                  <c:v>945.29075844641125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B7CB-4E36-886C-9FD360569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936488"/>
        <c:axId val="975935504"/>
      </c:areaChart>
      <c:dateAx>
        <c:axId val="975936488"/>
        <c:scaling>
          <c:orientation val="minMax"/>
          <c:max val="45658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vert="horz"/>
          <a:lstStyle/>
          <a:p>
            <a:pPr>
              <a:defRPr b="0"/>
            </a:pPr>
            <a:endParaRPr lang="en-US"/>
          </a:p>
        </c:txPr>
        <c:crossAx val="975935504"/>
        <c:crosses val="autoZero"/>
        <c:auto val="1"/>
        <c:lblOffset val="100"/>
        <c:baseTimeUnit val="months"/>
        <c:majorUnit val="6"/>
        <c:majorTimeUnit val="months"/>
      </c:dateAx>
      <c:valAx>
        <c:axId val="9759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(million pounds)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b="0"/>
            </a:pPr>
            <a:endParaRPr lang="en-US"/>
          </a:p>
        </c:txPr>
        <c:crossAx val="975936488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legend>
      <c:legendPos val="b"/>
      <c:layout>
        <c:manualLayout>
          <c:xMode val="edge"/>
          <c:yMode val="edge"/>
          <c:x val="0.13955034266550018"/>
          <c:y val="0.23408136482939637"/>
          <c:w val="0.31767695618480712"/>
          <c:h val="0.17940834394000521"/>
        </c:manualLayout>
      </c:layout>
      <c:overlay val="0"/>
      <c:spPr>
        <a:solidFill>
          <a:schemeClr val="bg1"/>
        </a:solidFill>
        <a:ln>
          <a:solidFill>
            <a:srgbClr val="505A5B"/>
          </a:solidFill>
        </a:ln>
        <a:effectLst/>
      </c:spPr>
      <c:txPr>
        <a:bodyPr rot="0" vert="horz"/>
        <a:lstStyle/>
        <a:p>
          <a:pPr>
            <a:defRPr b="0"/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Renewable Diesel Production vs. Capacity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604133624029526E-2"/>
          <c:y val="0.10153688656037242"/>
          <c:w val="0.83139150171905107"/>
          <c:h val="0.72732606778307085"/>
        </c:manualLayout>
      </c:layout>
      <c:barChart>
        <c:barDir val="col"/>
        <c:grouping val="clustered"/>
        <c:varyColors val="0"/>
        <c:ser>
          <c:idx val="0"/>
          <c:order val="0"/>
          <c:tx>
            <c:v>Domestic Renewable Diesel Production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7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44-42B6-B0DD-DC8F6B689F39}"/>
              </c:ext>
            </c:extLst>
          </c:dPt>
          <c:dPt>
            <c:idx val="38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44-42B6-B0DD-DC8F6B689F39}"/>
              </c:ext>
            </c:extLst>
          </c:dPt>
          <c:dPt>
            <c:idx val="39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44-42B6-B0DD-DC8F6B689F39}"/>
              </c:ext>
            </c:extLst>
          </c:dPt>
          <c:dPt>
            <c:idx val="40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44-42B6-B0DD-DC8F6B689F39}"/>
              </c:ext>
            </c:extLst>
          </c:dPt>
          <c:dPt>
            <c:idx val="41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44-42B6-B0DD-DC8F6B689F39}"/>
              </c:ext>
            </c:extLst>
          </c:dPt>
          <c:dPt>
            <c:idx val="42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44-42B6-B0DD-DC8F6B689F39}"/>
              </c:ext>
            </c:extLst>
          </c:dPt>
          <c:dPt>
            <c:idx val="43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44-42B6-B0DD-DC8F6B689F39}"/>
              </c:ext>
            </c:extLst>
          </c:dPt>
          <c:dPt>
            <c:idx val="44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44-42B6-B0DD-DC8F6B689F39}"/>
              </c:ext>
            </c:extLst>
          </c:dPt>
          <c:dPt>
            <c:idx val="45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744-42B6-B0DD-DC8F6B689F39}"/>
              </c:ext>
            </c:extLst>
          </c:dPt>
          <c:dPt>
            <c:idx val="46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44-42B6-B0DD-DC8F6B689F39}"/>
              </c:ext>
            </c:extLst>
          </c:dPt>
          <c:dPt>
            <c:idx val="47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744-42B6-B0DD-DC8F6B689F39}"/>
              </c:ext>
            </c:extLst>
          </c:dPt>
          <c:dPt>
            <c:idx val="48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744-42B6-B0DD-DC8F6B689F39}"/>
              </c:ext>
            </c:extLst>
          </c:dPt>
          <c:dPt>
            <c:idx val="49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744-42B6-B0DD-DC8F6B689F39}"/>
              </c:ext>
            </c:extLst>
          </c:dPt>
          <c:dPt>
            <c:idx val="50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744-42B6-B0DD-DC8F6B689F39}"/>
              </c:ext>
            </c:extLst>
          </c:dPt>
          <c:dPt>
            <c:idx val="51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744-42B6-B0DD-DC8F6B689F39}"/>
              </c:ext>
            </c:extLst>
          </c:dPt>
          <c:dPt>
            <c:idx val="52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744-42B6-B0DD-DC8F6B689F39}"/>
              </c:ext>
            </c:extLst>
          </c:dPt>
          <c:dPt>
            <c:idx val="53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744-42B6-B0DD-DC8F6B689F39}"/>
              </c:ext>
            </c:extLst>
          </c:dPt>
          <c:dPt>
            <c:idx val="54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744-42B6-B0DD-DC8F6B689F39}"/>
              </c:ext>
            </c:extLst>
          </c:dPt>
          <c:dPt>
            <c:idx val="55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744-42B6-B0DD-DC8F6B689F39}"/>
              </c:ext>
            </c:extLst>
          </c:dPt>
          <c:dPt>
            <c:idx val="56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744-42B6-B0DD-DC8F6B689F39}"/>
              </c:ext>
            </c:extLst>
          </c:dPt>
          <c:dPt>
            <c:idx val="57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744-42B6-B0DD-DC8F6B689F39}"/>
              </c:ext>
            </c:extLst>
          </c:dPt>
          <c:dPt>
            <c:idx val="58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744-42B6-B0DD-DC8F6B689F39}"/>
              </c:ext>
            </c:extLst>
          </c:dPt>
          <c:dPt>
            <c:idx val="59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744-42B6-B0DD-DC8F6B689F39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'Renewable Diesel'!$A$109:$A$372</c15:sqref>
                  </c15:fullRef>
                </c:ext>
              </c:extLst>
              <c:f>'Renewable Diesel'!$A$121:$A$180</c:f>
              <c:numCache>
                <c:formatCode>m/d/yyyy</c:formatCode>
                <c:ptCount val="6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'Renewable Diesel'!$BA$109:$BA$372</c15:sqref>
                  </c15:fullRef>
                </c:ext>
              </c:extLst>
              <c:f>'Renewable Diesel'!$BA$121:$BA$180</c:f>
              <c:numCache>
                <c:formatCode>#,##0.0_);[Red]\(#,##0.0\)</c:formatCode>
                <c:ptCount val="60"/>
                <c:pt idx="0">
                  <c:v>37.8322</c:v>
                </c:pt>
                <c:pt idx="1">
                  <c:v>33.947856999999999</c:v>
                </c:pt>
                <c:pt idx="2">
                  <c:v>41.586367000000003</c:v>
                </c:pt>
                <c:pt idx="3">
                  <c:v>34.998849</c:v>
                </c:pt>
                <c:pt idx="4">
                  <c:v>42.165050000000001</c:v>
                </c:pt>
                <c:pt idx="5">
                  <c:v>49.749220000000001</c:v>
                </c:pt>
                <c:pt idx="6">
                  <c:v>42.614735000000003</c:v>
                </c:pt>
                <c:pt idx="7">
                  <c:v>40.277987000000003</c:v>
                </c:pt>
                <c:pt idx="8">
                  <c:v>44.831235999999997</c:v>
                </c:pt>
                <c:pt idx="9">
                  <c:v>20.889246</c:v>
                </c:pt>
                <c:pt idx="10">
                  <c:v>43.123558000000003</c:v>
                </c:pt>
                <c:pt idx="11">
                  <c:v>49.704529999999998</c:v>
                </c:pt>
                <c:pt idx="12">
                  <c:v>41.671281999999998</c:v>
                </c:pt>
                <c:pt idx="13">
                  <c:v>46.693787999999998</c:v>
                </c:pt>
                <c:pt idx="14">
                  <c:v>55.155940999999999</c:v>
                </c:pt>
                <c:pt idx="15">
                  <c:v>47.578471</c:v>
                </c:pt>
                <c:pt idx="16">
                  <c:v>57.822332000000003</c:v>
                </c:pt>
                <c:pt idx="17">
                  <c:v>64.658005000000003</c:v>
                </c:pt>
                <c:pt idx="18">
                  <c:v>63.817498000000001</c:v>
                </c:pt>
                <c:pt idx="19">
                  <c:v>74.377217000000002</c:v>
                </c:pt>
                <c:pt idx="20">
                  <c:v>49.922848999999999</c:v>
                </c:pt>
                <c:pt idx="21">
                  <c:v>72.254486999999997</c:v>
                </c:pt>
                <c:pt idx="22">
                  <c:v>101.10738600000001</c:v>
                </c:pt>
                <c:pt idx="23">
                  <c:v>107.217732</c:v>
                </c:pt>
                <c:pt idx="24">
                  <c:v>82.989689999999996</c:v>
                </c:pt>
                <c:pt idx="25">
                  <c:v>96.312600000000003</c:v>
                </c:pt>
                <c:pt idx="26">
                  <c:v>105.030255</c:v>
                </c:pt>
                <c:pt idx="27">
                  <c:v>101.188242</c:v>
                </c:pt>
                <c:pt idx="28">
                  <c:v>127.392352</c:v>
                </c:pt>
                <c:pt idx="29">
                  <c:v>111.243334</c:v>
                </c:pt>
                <c:pt idx="30">
                  <c:v>103.822288</c:v>
                </c:pt>
                <c:pt idx="31">
                  <c:v>114.997212</c:v>
                </c:pt>
                <c:pt idx="32">
                  <c:v>118.717748</c:v>
                </c:pt>
                <c:pt idx="33">
                  <c:v>107.31965599999999</c:v>
                </c:pt>
                <c:pt idx="34">
                  <c:v>149.57606899999999</c:v>
                </c:pt>
                <c:pt idx="35">
                  <c:v>121.63346900000001</c:v>
                </c:pt>
                <c:pt idx="36">
                  <c:v>115.17940299999999</c:v>
                </c:pt>
                <c:pt idx="37">
                  <c:v>111.34648</c:v>
                </c:pt>
                <c:pt idx="38">
                  <c:v>138.45949100000001</c:v>
                </c:pt>
                <c:pt idx="39">
                  <c:v>135.546066</c:v>
                </c:pt>
                <c:pt idx="40">
                  <c:v>167.708654</c:v>
                </c:pt>
                <c:pt idx="41">
                  <c:v>151.15248500000001</c:v>
                </c:pt>
                <c:pt idx="42">
                  <c:v>137.96741900000001</c:v>
                </c:pt>
                <c:pt idx="43">
                  <c:v>174.39988099999999</c:v>
                </c:pt>
                <c:pt idx="44">
                  <c:v>180.82377399999999</c:v>
                </c:pt>
                <c:pt idx="45">
                  <c:v>150.84520900000001</c:v>
                </c:pt>
                <c:pt idx="46">
                  <c:v>151.21486100000001</c:v>
                </c:pt>
                <c:pt idx="47">
                  <c:v>213.84924100000001</c:v>
                </c:pt>
                <c:pt idx="48">
                  <c:v>176.63105899999999</c:v>
                </c:pt>
                <c:pt idx="49">
                  <c:v>180.67303200000001</c:v>
                </c:pt>
                <c:pt idx="50">
                  <c:v>164.87995599999999</c:v>
                </c:pt>
                <c:pt idx="51">
                  <c:v>226.64486600000001</c:v>
                </c:pt>
                <c:pt idx="52">
                  <c:v>216.96470500000001</c:v>
                </c:pt>
                <c:pt idx="53">
                  <c:v>232.48853099999999</c:v>
                </c:pt>
                <c:pt idx="54">
                  <c:v>232.021863</c:v>
                </c:pt>
                <c:pt idx="55">
                  <c:v>203.463989</c:v>
                </c:pt>
                <c:pt idx="56">
                  <c:v>216.519419</c:v>
                </c:pt>
                <c:pt idx="57">
                  <c:v>229.161946</c:v>
                </c:pt>
                <c:pt idx="58">
                  <c:v>214.472488</c:v>
                </c:pt>
                <c:pt idx="59">
                  <c:v>254.28331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0744-42B6-B0DD-DC8F6B68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906216344"/>
        <c:axId val="906222248"/>
      </c:barChart>
      <c:lineChart>
        <c:grouping val="standard"/>
        <c:varyColors val="0"/>
        <c:ser>
          <c:idx val="1"/>
          <c:order val="1"/>
          <c:tx>
            <c:v>Domestic Capacity Utilization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37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0744-42B6-B0DD-DC8F6B689F39}"/>
              </c:ext>
            </c:extLst>
          </c:dPt>
          <c:dPt>
            <c:idx val="38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0744-42B6-B0DD-DC8F6B689F39}"/>
              </c:ext>
            </c:extLst>
          </c:dPt>
          <c:dPt>
            <c:idx val="39"/>
            <c:marker>
              <c:symbol val="circle"/>
              <c:size val="7"/>
              <c:spPr>
                <a:solidFill>
                  <a:srgbClr val="7030A0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0744-42B6-B0DD-DC8F6B689F39}"/>
              </c:ext>
            </c:extLst>
          </c:dPt>
          <c:dPt>
            <c:idx val="40"/>
            <c:marker>
              <c:symbol val="circle"/>
              <c:size val="7"/>
              <c:spPr>
                <a:solidFill>
                  <a:srgbClr val="7030A0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0744-42B6-B0DD-DC8F6B689F39}"/>
              </c:ext>
            </c:extLst>
          </c:dPt>
          <c:dPt>
            <c:idx val="41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0744-42B6-B0DD-DC8F6B689F39}"/>
              </c:ext>
            </c:extLst>
          </c:dPt>
          <c:dPt>
            <c:idx val="42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0744-42B6-B0DD-DC8F6B689F39}"/>
              </c:ext>
            </c:extLst>
          </c:dPt>
          <c:dPt>
            <c:idx val="4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0744-42B6-B0DD-DC8F6B689F39}"/>
              </c:ext>
            </c:extLst>
          </c:dPt>
          <c:dPt>
            <c:idx val="4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0744-42B6-B0DD-DC8F6B689F39}"/>
              </c:ext>
            </c:extLst>
          </c:dPt>
          <c:dPt>
            <c:idx val="4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0744-42B6-B0DD-DC8F6B689F39}"/>
              </c:ext>
            </c:extLst>
          </c:dPt>
          <c:dPt>
            <c:idx val="4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0744-42B6-B0DD-DC8F6B689F39}"/>
              </c:ext>
            </c:extLst>
          </c:dPt>
          <c:dPt>
            <c:idx val="4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0744-42B6-B0DD-DC8F6B689F39}"/>
              </c:ext>
            </c:extLst>
          </c:dPt>
          <c:dPt>
            <c:idx val="4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0744-42B6-B0DD-DC8F6B689F39}"/>
              </c:ext>
            </c:extLst>
          </c:dPt>
          <c:dPt>
            <c:idx val="4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0744-42B6-B0DD-DC8F6B689F39}"/>
              </c:ext>
            </c:extLst>
          </c:dPt>
          <c:dPt>
            <c:idx val="5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0744-42B6-B0DD-DC8F6B689F39}"/>
              </c:ext>
            </c:extLst>
          </c:dPt>
          <c:dPt>
            <c:idx val="5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0744-42B6-B0DD-DC8F6B689F39}"/>
              </c:ext>
            </c:extLst>
          </c:dPt>
          <c:dPt>
            <c:idx val="5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0744-42B6-B0DD-DC8F6B689F39}"/>
              </c:ext>
            </c:extLst>
          </c:dPt>
          <c:dPt>
            <c:idx val="5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0744-42B6-B0DD-DC8F6B689F39}"/>
              </c:ext>
            </c:extLst>
          </c:dPt>
          <c:dPt>
            <c:idx val="5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0744-42B6-B0DD-DC8F6B689F39}"/>
              </c:ext>
            </c:extLst>
          </c:dPt>
          <c:dPt>
            <c:idx val="5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0744-42B6-B0DD-DC8F6B689F39}"/>
              </c:ext>
            </c:extLst>
          </c:dPt>
          <c:dPt>
            <c:idx val="5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0744-42B6-B0DD-DC8F6B689F39}"/>
              </c:ext>
            </c:extLst>
          </c:dPt>
          <c:dPt>
            <c:idx val="5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0744-42B6-B0DD-DC8F6B689F39}"/>
              </c:ext>
            </c:extLst>
          </c:dPt>
          <c:dPt>
            <c:idx val="5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0744-42B6-B0DD-DC8F6B689F39}"/>
              </c:ext>
            </c:extLst>
          </c:dPt>
          <c:dPt>
            <c:idx val="5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0744-42B6-B0DD-DC8F6B689F39}"/>
              </c:ext>
            </c:extLst>
          </c:dPt>
          <c:cat>
            <c:strLit>
              <c:ptCount val="60"/>
              <c:pt idx="0">
                <c:v>13</c:v>
              </c:pt>
              <c:pt idx="1">
                <c:v>14</c:v>
              </c:pt>
              <c:pt idx="2">
                <c:v>15</c:v>
              </c:pt>
              <c:pt idx="3">
                <c:v>16</c:v>
              </c:pt>
              <c:pt idx="4">
                <c:v>17</c:v>
              </c:pt>
              <c:pt idx="5">
                <c:v>18</c:v>
              </c:pt>
              <c:pt idx="6">
                <c:v>19</c:v>
              </c:pt>
              <c:pt idx="7">
                <c:v>20</c:v>
              </c:pt>
              <c:pt idx="8">
                <c:v>21</c:v>
              </c:pt>
              <c:pt idx="9">
                <c:v>22</c:v>
              </c:pt>
              <c:pt idx="10">
                <c:v>23</c:v>
              </c:pt>
              <c:pt idx="11">
                <c:v>24</c:v>
              </c:pt>
              <c:pt idx="12">
                <c:v>25</c:v>
              </c:pt>
              <c:pt idx="13">
                <c:v>26</c:v>
              </c:pt>
              <c:pt idx="14">
                <c:v>27</c:v>
              </c:pt>
              <c:pt idx="15">
                <c:v>28</c:v>
              </c:pt>
              <c:pt idx="16">
                <c:v>29</c:v>
              </c:pt>
              <c:pt idx="17">
                <c:v>30</c:v>
              </c:pt>
              <c:pt idx="18">
                <c:v>31</c:v>
              </c:pt>
              <c:pt idx="19">
                <c:v>32</c:v>
              </c:pt>
              <c:pt idx="20">
                <c:v>33</c:v>
              </c:pt>
              <c:pt idx="21">
                <c:v>34</c:v>
              </c:pt>
              <c:pt idx="22">
                <c:v>35</c:v>
              </c:pt>
              <c:pt idx="23">
                <c:v>36</c:v>
              </c:pt>
              <c:pt idx="24">
                <c:v>37</c:v>
              </c:pt>
              <c:pt idx="25">
                <c:v>38</c:v>
              </c:pt>
              <c:pt idx="26">
                <c:v>39</c:v>
              </c:pt>
              <c:pt idx="27">
                <c:v>40</c:v>
              </c:pt>
              <c:pt idx="28">
                <c:v>41</c:v>
              </c:pt>
              <c:pt idx="29">
                <c:v>42</c:v>
              </c:pt>
              <c:pt idx="30">
                <c:v>43</c:v>
              </c:pt>
              <c:pt idx="31">
                <c:v>44</c:v>
              </c:pt>
              <c:pt idx="32">
                <c:v>45</c:v>
              </c:pt>
              <c:pt idx="33">
                <c:v>46</c:v>
              </c:pt>
              <c:pt idx="34">
                <c:v>47</c:v>
              </c:pt>
              <c:pt idx="35">
                <c:v>48</c:v>
              </c:pt>
              <c:pt idx="36">
                <c:v>49</c:v>
              </c:pt>
              <c:pt idx="37">
                <c:v>50</c:v>
              </c:pt>
              <c:pt idx="38">
                <c:v>51</c:v>
              </c:pt>
              <c:pt idx="39">
                <c:v>52</c:v>
              </c:pt>
              <c:pt idx="40">
                <c:v>53</c:v>
              </c:pt>
              <c:pt idx="41">
                <c:v>54</c:v>
              </c:pt>
              <c:pt idx="42">
                <c:v>55</c:v>
              </c:pt>
              <c:pt idx="43">
                <c:v>56</c:v>
              </c:pt>
              <c:pt idx="44">
                <c:v>57</c:v>
              </c:pt>
              <c:pt idx="45">
                <c:v>58</c:v>
              </c:pt>
              <c:pt idx="46">
                <c:v>59</c:v>
              </c:pt>
              <c:pt idx="47">
                <c:v>60</c:v>
              </c:pt>
              <c:pt idx="48">
                <c:v>61</c:v>
              </c:pt>
              <c:pt idx="49">
                <c:v>62</c:v>
              </c:pt>
              <c:pt idx="50">
                <c:v>63</c:v>
              </c:pt>
              <c:pt idx="51">
                <c:v>64</c:v>
              </c:pt>
              <c:pt idx="52">
                <c:v>65</c:v>
              </c:pt>
              <c:pt idx="53">
                <c:v>66</c:v>
              </c:pt>
              <c:pt idx="54">
                <c:v>67</c:v>
              </c:pt>
              <c:pt idx="55">
                <c:v>68</c:v>
              </c:pt>
              <c:pt idx="56">
                <c:v>69</c:v>
              </c:pt>
              <c:pt idx="57">
                <c:v>70</c:v>
              </c:pt>
              <c:pt idx="58">
                <c:v>71</c:v>
              </c:pt>
              <c:pt idx="59">
                <c:v>72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'Renewable Diesel'!$BG$109:$BG$372</c15:sqref>
                  </c15:fullRef>
                </c:ext>
              </c:extLst>
              <c:f>'Renewable Diesel'!$BG$121:$BG$180</c:f>
              <c:numCache>
                <c:formatCode>0.0%</c:formatCode>
                <c:ptCount val="60"/>
                <c:pt idx="0">
                  <c:v>0.79916368077234368</c:v>
                </c:pt>
                <c:pt idx="1">
                  <c:v>0.71632372557521107</c:v>
                </c:pt>
                <c:pt idx="2">
                  <c:v>0.94610666110493147</c:v>
                </c:pt>
                <c:pt idx="3">
                  <c:v>0.77631737744247897</c:v>
                </c:pt>
                <c:pt idx="4">
                  <c:v>0.91936936977299877</c:v>
                </c:pt>
                <c:pt idx="5">
                  <c:v>1.0627031127876054</c:v>
                </c:pt>
                <c:pt idx="6">
                  <c:v>0.87797824487594389</c:v>
                </c:pt>
                <c:pt idx="7">
                  <c:v>0.70057913835759822</c:v>
                </c:pt>
                <c:pt idx="8">
                  <c:v>0.72116783919048877</c:v>
                </c:pt>
                <c:pt idx="9">
                  <c:v>0.34748629765130984</c:v>
                </c:pt>
                <c:pt idx="10">
                  <c:v>0.69107832918087253</c:v>
                </c:pt>
                <c:pt idx="11">
                  <c:v>0.8226379891598915</c:v>
                </c:pt>
                <c:pt idx="12">
                  <c:v>0.62459948839769985</c:v>
                </c:pt>
                <c:pt idx="13">
                  <c:v>0.69943343440316463</c:v>
                </c:pt>
                <c:pt idx="14">
                  <c:v>0.91373348180422609</c:v>
                </c:pt>
                <c:pt idx="15">
                  <c:v>0.58048544566625693</c:v>
                </c:pt>
                <c:pt idx="16">
                  <c:v>0.72811833916924129</c:v>
                </c:pt>
                <c:pt idx="17">
                  <c:v>0.84028867710066923</c:v>
                </c:pt>
                <c:pt idx="18">
                  <c:v>0.87275684211489213</c:v>
                </c:pt>
                <c:pt idx="19">
                  <c:v>0.97416757781240038</c:v>
                </c:pt>
                <c:pt idx="20">
                  <c:v>0.64910535799015612</c:v>
                </c:pt>
                <c:pt idx="21">
                  <c:v>0.87221115121630499</c:v>
                </c:pt>
                <c:pt idx="22">
                  <c:v>1.1752297021600535</c:v>
                </c:pt>
                <c:pt idx="23">
                  <c:v>1.1828533988848704</c:v>
                </c:pt>
                <c:pt idx="24">
                  <c:v>0.56106932073732707</c:v>
                </c:pt>
                <c:pt idx="25">
                  <c:v>0.65794556193548392</c:v>
                </c:pt>
                <c:pt idx="26">
                  <c:v>0.79185510489795896</c:v>
                </c:pt>
                <c:pt idx="27">
                  <c:v>0.62238578840925107</c:v>
                </c:pt>
                <c:pt idx="28">
                  <c:v>0.79733336406437261</c:v>
                </c:pt>
                <c:pt idx="29">
                  <c:v>0.68019343174776759</c:v>
                </c:pt>
                <c:pt idx="30">
                  <c:v>0.58945530052131245</c:v>
                </c:pt>
                <c:pt idx="31">
                  <c:v>0.61226750934015617</c:v>
                </c:pt>
                <c:pt idx="32">
                  <c:v>0.63201429639913353</c:v>
                </c:pt>
                <c:pt idx="33">
                  <c:v>0.60177278593961248</c:v>
                </c:pt>
                <c:pt idx="34">
                  <c:v>0.70020170001756332</c:v>
                </c:pt>
                <c:pt idx="35">
                  <c:v>0.59896646960417388</c:v>
                </c:pt>
                <c:pt idx="36">
                  <c:v>0.56817977110649776</c:v>
                </c:pt>
                <c:pt idx="37">
                  <c:v>0.50484054867247929</c:v>
                </c:pt>
                <c:pt idx="38">
                  <c:v>0.69665991202170319</c:v>
                </c:pt>
                <c:pt idx="39">
                  <c:v>0.61217995542128367</c:v>
                </c:pt>
                <c:pt idx="40">
                  <c:v>0.83047748134024801</c:v>
                </c:pt>
                <c:pt idx="41">
                  <c:v>0.61676884080209249</c:v>
                </c:pt>
                <c:pt idx="42">
                  <c:v>0.59168146310295189</c:v>
                </c:pt>
                <c:pt idx="43">
                  <c:v>0.73252192799414761</c:v>
                </c:pt>
                <c:pt idx="44">
                  <c:v>0.722425957552428</c:v>
                </c:pt>
                <c:pt idx="45">
                  <c:v>0.65799080891884887</c:v>
                </c:pt>
                <c:pt idx="46">
                  <c:v>0.60734520143700288</c:v>
                </c:pt>
                <c:pt idx="47">
                  <c:v>0.85600889227378796</c:v>
                </c:pt>
                <c:pt idx="48">
                  <c:v>0.61440011623486968</c:v>
                </c:pt>
                <c:pt idx="49">
                  <c:v>0.61861681187019257</c:v>
                </c:pt>
                <c:pt idx="50">
                  <c:v>0.58114021265493965</c:v>
                </c:pt>
                <c:pt idx="51">
                  <c:v>0.72145917917251046</c:v>
                </c:pt>
                <c:pt idx="52">
                  <c:v>0.59102408925318761</c:v>
                </c:pt>
                <c:pt idx="53">
                  <c:v>0.67177665618186244</c:v>
                </c:pt>
                <c:pt idx="54">
                  <c:v>0.7646011029795563</c:v>
                </c:pt>
                <c:pt idx="55">
                  <c:v>0.65465570121651773</c:v>
                </c:pt>
                <c:pt idx="56">
                  <c:v>0.66931823841386118</c:v>
                </c:pt>
                <c:pt idx="57">
                  <c:v>0.76727521324599701</c:v>
                </c:pt>
                <c:pt idx="58">
                  <c:v>0.63985130136471169</c:v>
                </c:pt>
                <c:pt idx="59">
                  <c:v>0.7990387984315388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'Renewable Diesel'!$BG$181</c15:sqref>
                  <c15:spPr xmlns:c15="http://schemas.microsoft.com/office/drawing/2012/chart">
                    <a:ln w="15875" cap="rnd">
                      <a:solidFill>
                        <a:srgbClr val="6F0791"/>
                      </a:solidFill>
                      <a:prstDash val="dash"/>
                      <a:round/>
                    </a:ln>
                    <a:effectLst/>
                  </c15:spPr>
                  <c15:bubble3D val="0"/>
                  <c15:marker>
                    <c:symbol val="circle"/>
                    <c:size val="7"/>
                    <c:spPr>
                      <a:solidFill>
                        <a:schemeClr val="bg1"/>
                      </a:solidFill>
                      <a:ln w="9525">
                        <a:solidFill>
                          <a:srgbClr val="6F0791"/>
                        </a:solidFill>
                      </a:ln>
                      <a:effectLst/>
                    </c:spPr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D-0744-42B6-B0DD-DC8F6B68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036352"/>
        <c:axId val="1054036680"/>
      </c:lineChart>
      <c:dateAx>
        <c:axId val="906216344"/>
        <c:scaling>
          <c:orientation val="minMax"/>
          <c:max val="45170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22248"/>
        <c:crosses val="autoZero"/>
        <c:auto val="1"/>
        <c:lblOffset val="100"/>
        <c:baseTimeUnit val="months"/>
        <c:majorUnit val="3"/>
        <c:majorTimeUnit val="months"/>
      </c:dateAx>
      <c:valAx>
        <c:axId val="906222248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16344"/>
        <c:crosses val="autoZero"/>
        <c:crossBetween val="between"/>
      </c:valAx>
      <c:valAx>
        <c:axId val="10540366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 of estimated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54036352"/>
        <c:crosses val="max"/>
        <c:crossBetween val="between"/>
      </c:valAx>
      <c:catAx>
        <c:axId val="1054036352"/>
        <c:scaling>
          <c:orientation val="minMax"/>
        </c:scaling>
        <c:delete val="1"/>
        <c:axPos val="b"/>
        <c:majorTickMark val="out"/>
        <c:minorTickMark val="none"/>
        <c:tickLblPos val="nextTo"/>
        <c:crossAx val="1054036680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52096711869349666"/>
          <c:y val="0.10565671478565181"/>
          <c:w val="0.38073290317876934"/>
          <c:h val="0.193658409886264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Renewable Diesel Production vs. Capacity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38188976377953"/>
          <c:y val="0.10153688656037242"/>
          <c:w val="0.80361366287547387"/>
          <c:h val="0.72732606778307085"/>
        </c:manualLayout>
      </c:layout>
      <c:barChart>
        <c:barDir val="col"/>
        <c:grouping val="clustered"/>
        <c:varyColors val="0"/>
        <c:ser>
          <c:idx val="0"/>
          <c:order val="0"/>
          <c:tx>
            <c:v>Domestic Renewable Diesel Production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7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D3-4CDC-968B-476476184780}"/>
              </c:ext>
            </c:extLst>
          </c:dPt>
          <c:dPt>
            <c:idx val="38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D3-4CDC-968B-476476184780}"/>
              </c:ext>
            </c:extLst>
          </c:dPt>
          <c:dPt>
            <c:idx val="39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D3-4CDC-968B-476476184780}"/>
              </c:ext>
            </c:extLst>
          </c:dPt>
          <c:dPt>
            <c:idx val="40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D3-4CDC-968B-476476184780}"/>
              </c:ext>
            </c:extLst>
          </c:dPt>
          <c:dPt>
            <c:idx val="41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D3-4CDC-968B-476476184780}"/>
              </c:ext>
            </c:extLst>
          </c:dPt>
          <c:dPt>
            <c:idx val="42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D3-4CDC-968B-476476184780}"/>
              </c:ext>
            </c:extLst>
          </c:dPt>
          <c:dPt>
            <c:idx val="43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1D3-4CDC-968B-476476184780}"/>
              </c:ext>
            </c:extLst>
          </c:dPt>
          <c:dPt>
            <c:idx val="44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1D3-4CDC-968B-476476184780}"/>
              </c:ext>
            </c:extLst>
          </c:dPt>
          <c:dPt>
            <c:idx val="45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1D3-4CDC-968B-476476184780}"/>
              </c:ext>
            </c:extLst>
          </c:dPt>
          <c:dPt>
            <c:idx val="46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1D3-4CDC-968B-476476184780}"/>
              </c:ext>
            </c:extLst>
          </c:dPt>
          <c:dPt>
            <c:idx val="47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1D3-4CDC-968B-476476184780}"/>
              </c:ext>
            </c:extLst>
          </c:dPt>
          <c:dPt>
            <c:idx val="48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1D3-4CDC-968B-476476184780}"/>
              </c:ext>
            </c:extLst>
          </c:dPt>
          <c:dPt>
            <c:idx val="49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1D3-4CDC-968B-476476184780}"/>
              </c:ext>
            </c:extLst>
          </c:dPt>
          <c:dPt>
            <c:idx val="50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1D3-4CDC-968B-476476184780}"/>
              </c:ext>
            </c:extLst>
          </c:dPt>
          <c:dPt>
            <c:idx val="51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1D3-4CDC-968B-476476184780}"/>
              </c:ext>
            </c:extLst>
          </c:dPt>
          <c:dPt>
            <c:idx val="52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1D3-4CDC-968B-476476184780}"/>
              </c:ext>
            </c:extLst>
          </c:dPt>
          <c:dPt>
            <c:idx val="53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1D3-4CDC-968B-476476184780}"/>
              </c:ext>
            </c:extLst>
          </c:dPt>
          <c:dPt>
            <c:idx val="54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1D3-4CDC-968B-476476184780}"/>
              </c:ext>
            </c:extLst>
          </c:dPt>
          <c:dPt>
            <c:idx val="55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1D3-4CDC-968B-476476184780}"/>
              </c:ext>
            </c:extLst>
          </c:dPt>
          <c:dPt>
            <c:idx val="56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1D3-4CDC-968B-476476184780}"/>
              </c:ext>
            </c:extLst>
          </c:dPt>
          <c:dPt>
            <c:idx val="57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1D3-4CDC-968B-476476184780}"/>
              </c:ext>
            </c:extLst>
          </c:dPt>
          <c:dPt>
            <c:idx val="58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1D3-4CDC-968B-476476184780}"/>
              </c:ext>
            </c:extLst>
          </c:dPt>
          <c:dPt>
            <c:idx val="59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1D3-4CDC-968B-476476184780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'Renewable Diesel'!$A$109:$A$372</c15:sqref>
                  </c15:fullRef>
                </c:ext>
              </c:extLst>
              <c:f>'Renewable Diesel'!$A$121:$A$180</c:f>
              <c:numCache>
                <c:formatCode>m/d/yyyy</c:formatCode>
                <c:ptCount val="6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'Renewable Diesel'!$BA$109:$BA$372</c15:sqref>
                  </c15:fullRef>
                </c:ext>
              </c:extLst>
              <c:f>'Renewable Diesel'!$BA$121:$BA$180</c:f>
              <c:numCache>
                <c:formatCode>#,##0.0_);[Red]\(#,##0.0\)</c:formatCode>
                <c:ptCount val="60"/>
                <c:pt idx="0">
                  <c:v>37.8322</c:v>
                </c:pt>
                <c:pt idx="1">
                  <c:v>33.947856999999999</c:v>
                </c:pt>
                <c:pt idx="2">
                  <c:v>41.586367000000003</c:v>
                </c:pt>
                <c:pt idx="3">
                  <c:v>34.998849</c:v>
                </c:pt>
                <c:pt idx="4">
                  <c:v>42.165050000000001</c:v>
                </c:pt>
                <c:pt idx="5">
                  <c:v>49.749220000000001</c:v>
                </c:pt>
                <c:pt idx="6">
                  <c:v>42.614735000000003</c:v>
                </c:pt>
                <c:pt idx="7">
                  <c:v>40.277987000000003</c:v>
                </c:pt>
                <c:pt idx="8">
                  <c:v>44.831235999999997</c:v>
                </c:pt>
                <c:pt idx="9">
                  <c:v>20.889246</c:v>
                </c:pt>
                <c:pt idx="10">
                  <c:v>43.123558000000003</c:v>
                </c:pt>
                <c:pt idx="11">
                  <c:v>49.704529999999998</c:v>
                </c:pt>
                <c:pt idx="12">
                  <c:v>41.671281999999998</c:v>
                </c:pt>
                <c:pt idx="13">
                  <c:v>46.693787999999998</c:v>
                </c:pt>
                <c:pt idx="14">
                  <c:v>55.155940999999999</c:v>
                </c:pt>
                <c:pt idx="15">
                  <c:v>47.578471</c:v>
                </c:pt>
                <c:pt idx="16">
                  <c:v>57.822332000000003</c:v>
                </c:pt>
                <c:pt idx="17">
                  <c:v>64.658005000000003</c:v>
                </c:pt>
                <c:pt idx="18">
                  <c:v>63.817498000000001</c:v>
                </c:pt>
                <c:pt idx="19">
                  <c:v>74.377217000000002</c:v>
                </c:pt>
                <c:pt idx="20">
                  <c:v>49.922848999999999</c:v>
                </c:pt>
                <c:pt idx="21">
                  <c:v>72.254486999999997</c:v>
                </c:pt>
                <c:pt idx="22">
                  <c:v>101.10738600000001</c:v>
                </c:pt>
                <c:pt idx="23">
                  <c:v>107.217732</c:v>
                </c:pt>
                <c:pt idx="24">
                  <c:v>82.989689999999996</c:v>
                </c:pt>
                <c:pt idx="25">
                  <c:v>96.312600000000003</c:v>
                </c:pt>
                <c:pt idx="26">
                  <c:v>105.030255</c:v>
                </c:pt>
                <c:pt idx="27">
                  <c:v>101.188242</c:v>
                </c:pt>
                <c:pt idx="28">
                  <c:v>127.392352</c:v>
                </c:pt>
                <c:pt idx="29">
                  <c:v>111.243334</c:v>
                </c:pt>
                <c:pt idx="30">
                  <c:v>103.822288</c:v>
                </c:pt>
                <c:pt idx="31">
                  <c:v>114.997212</c:v>
                </c:pt>
                <c:pt idx="32">
                  <c:v>118.717748</c:v>
                </c:pt>
                <c:pt idx="33">
                  <c:v>107.31965599999999</c:v>
                </c:pt>
                <c:pt idx="34">
                  <c:v>149.57606899999999</c:v>
                </c:pt>
                <c:pt idx="35">
                  <c:v>121.63346900000001</c:v>
                </c:pt>
                <c:pt idx="36">
                  <c:v>115.17940299999999</c:v>
                </c:pt>
                <c:pt idx="37">
                  <c:v>111.34648</c:v>
                </c:pt>
                <c:pt idx="38">
                  <c:v>138.45949100000001</c:v>
                </c:pt>
                <c:pt idx="39">
                  <c:v>135.546066</c:v>
                </c:pt>
                <c:pt idx="40">
                  <c:v>167.708654</c:v>
                </c:pt>
                <c:pt idx="41">
                  <c:v>151.15248500000001</c:v>
                </c:pt>
                <c:pt idx="42">
                  <c:v>137.96741900000001</c:v>
                </c:pt>
                <c:pt idx="43">
                  <c:v>174.39988099999999</c:v>
                </c:pt>
                <c:pt idx="44">
                  <c:v>180.82377399999999</c:v>
                </c:pt>
                <c:pt idx="45">
                  <c:v>150.84520900000001</c:v>
                </c:pt>
                <c:pt idx="46">
                  <c:v>151.21486100000001</c:v>
                </c:pt>
                <c:pt idx="47">
                  <c:v>213.84924100000001</c:v>
                </c:pt>
                <c:pt idx="48">
                  <c:v>176.63105899999999</c:v>
                </c:pt>
                <c:pt idx="49">
                  <c:v>180.67303200000001</c:v>
                </c:pt>
                <c:pt idx="50">
                  <c:v>164.87995599999999</c:v>
                </c:pt>
                <c:pt idx="51">
                  <c:v>226.64486600000001</c:v>
                </c:pt>
                <c:pt idx="52">
                  <c:v>216.96470500000001</c:v>
                </c:pt>
                <c:pt idx="53">
                  <c:v>232.48853099999999</c:v>
                </c:pt>
                <c:pt idx="54">
                  <c:v>232.021863</c:v>
                </c:pt>
                <c:pt idx="55">
                  <c:v>203.463989</c:v>
                </c:pt>
                <c:pt idx="56">
                  <c:v>216.519419</c:v>
                </c:pt>
                <c:pt idx="57">
                  <c:v>229.161946</c:v>
                </c:pt>
                <c:pt idx="58">
                  <c:v>214.472488</c:v>
                </c:pt>
                <c:pt idx="59">
                  <c:v>254.28331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1D3-4CDC-968B-476476184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906216344"/>
        <c:axId val="906222248"/>
      </c:barChart>
      <c:lineChart>
        <c:grouping val="standard"/>
        <c:varyColors val="0"/>
        <c:ser>
          <c:idx val="1"/>
          <c:order val="1"/>
          <c:tx>
            <c:v>Domestic Capacity Utilization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37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31D3-4CDC-968B-476476184780}"/>
              </c:ext>
            </c:extLst>
          </c:dPt>
          <c:dPt>
            <c:idx val="38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31D3-4CDC-968B-476476184780}"/>
              </c:ext>
            </c:extLst>
          </c:dPt>
          <c:dPt>
            <c:idx val="39"/>
            <c:marker>
              <c:symbol val="circle"/>
              <c:size val="7"/>
              <c:spPr>
                <a:solidFill>
                  <a:srgbClr val="7030A0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31D3-4CDC-968B-476476184780}"/>
              </c:ext>
            </c:extLst>
          </c:dPt>
          <c:dPt>
            <c:idx val="40"/>
            <c:marker>
              <c:symbol val="circle"/>
              <c:size val="7"/>
              <c:spPr>
                <a:solidFill>
                  <a:srgbClr val="7030A0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31D3-4CDC-968B-476476184780}"/>
              </c:ext>
            </c:extLst>
          </c:dPt>
          <c:dPt>
            <c:idx val="41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31D3-4CDC-968B-476476184780}"/>
              </c:ext>
            </c:extLst>
          </c:dPt>
          <c:dPt>
            <c:idx val="42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31D3-4CDC-968B-476476184780}"/>
              </c:ext>
            </c:extLst>
          </c:dPt>
          <c:dPt>
            <c:idx val="4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31D3-4CDC-968B-476476184780}"/>
              </c:ext>
            </c:extLst>
          </c:dPt>
          <c:dPt>
            <c:idx val="4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31D3-4CDC-968B-476476184780}"/>
              </c:ext>
            </c:extLst>
          </c:dPt>
          <c:dPt>
            <c:idx val="4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31D3-4CDC-968B-476476184780}"/>
              </c:ext>
            </c:extLst>
          </c:dPt>
          <c:dPt>
            <c:idx val="4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31D3-4CDC-968B-476476184780}"/>
              </c:ext>
            </c:extLst>
          </c:dPt>
          <c:dPt>
            <c:idx val="4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31D3-4CDC-968B-476476184780}"/>
              </c:ext>
            </c:extLst>
          </c:dPt>
          <c:dPt>
            <c:idx val="4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31D3-4CDC-968B-476476184780}"/>
              </c:ext>
            </c:extLst>
          </c:dPt>
          <c:dPt>
            <c:idx val="4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31D3-4CDC-968B-476476184780}"/>
              </c:ext>
            </c:extLst>
          </c:dPt>
          <c:dPt>
            <c:idx val="5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31D3-4CDC-968B-476476184780}"/>
              </c:ext>
            </c:extLst>
          </c:dPt>
          <c:dPt>
            <c:idx val="5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31D3-4CDC-968B-476476184780}"/>
              </c:ext>
            </c:extLst>
          </c:dPt>
          <c:dPt>
            <c:idx val="5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31D3-4CDC-968B-476476184780}"/>
              </c:ext>
            </c:extLst>
          </c:dPt>
          <c:dPt>
            <c:idx val="5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31D3-4CDC-968B-476476184780}"/>
              </c:ext>
            </c:extLst>
          </c:dPt>
          <c:dPt>
            <c:idx val="5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31D3-4CDC-968B-476476184780}"/>
              </c:ext>
            </c:extLst>
          </c:dPt>
          <c:dPt>
            <c:idx val="5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31D3-4CDC-968B-476476184780}"/>
              </c:ext>
            </c:extLst>
          </c:dPt>
          <c:dPt>
            <c:idx val="5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31D3-4CDC-968B-476476184780}"/>
              </c:ext>
            </c:extLst>
          </c:dPt>
          <c:dPt>
            <c:idx val="5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31D3-4CDC-968B-476476184780}"/>
              </c:ext>
            </c:extLst>
          </c:dPt>
          <c:dPt>
            <c:idx val="5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31D3-4CDC-968B-476476184780}"/>
              </c:ext>
            </c:extLst>
          </c:dPt>
          <c:dPt>
            <c:idx val="5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31D3-4CDC-968B-476476184780}"/>
              </c:ext>
            </c:extLst>
          </c:dPt>
          <c:cat>
            <c:strLit>
              <c:ptCount val="60"/>
              <c:pt idx="0">
                <c:v>13</c:v>
              </c:pt>
              <c:pt idx="1">
                <c:v>14</c:v>
              </c:pt>
              <c:pt idx="2">
                <c:v>15</c:v>
              </c:pt>
              <c:pt idx="3">
                <c:v>16</c:v>
              </c:pt>
              <c:pt idx="4">
                <c:v>17</c:v>
              </c:pt>
              <c:pt idx="5">
                <c:v>18</c:v>
              </c:pt>
              <c:pt idx="6">
                <c:v>19</c:v>
              </c:pt>
              <c:pt idx="7">
                <c:v>20</c:v>
              </c:pt>
              <c:pt idx="8">
                <c:v>21</c:v>
              </c:pt>
              <c:pt idx="9">
                <c:v>22</c:v>
              </c:pt>
              <c:pt idx="10">
                <c:v>23</c:v>
              </c:pt>
              <c:pt idx="11">
                <c:v>24</c:v>
              </c:pt>
              <c:pt idx="12">
                <c:v>25</c:v>
              </c:pt>
              <c:pt idx="13">
                <c:v>26</c:v>
              </c:pt>
              <c:pt idx="14">
                <c:v>27</c:v>
              </c:pt>
              <c:pt idx="15">
                <c:v>28</c:v>
              </c:pt>
              <c:pt idx="16">
                <c:v>29</c:v>
              </c:pt>
              <c:pt idx="17">
                <c:v>30</c:v>
              </c:pt>
              <c:pt idx="18">
                <c:v>31</c:v>
              </c:pt>
              <c:pt idx="19">
                <c:v>32</c:v>
              </c:pt>
              <c:pt idx="20">
                <c:v>33</c:v>
              </c:pt>
              <c:pt idx="21">
                <c:v>34</c:v>
              </c:pt>
              <c:pt idx="22">
                <c:v>35</c:v>
              </c:pt>
              <c:pt idx="23">
                <c:v>36</c:v>
              </c:pt>
              <c:pt idx="24">
                <c:v>37</c:v>
              </c:pt>
              <c:pt idx="25">
                <c:v>38</c:v>
              </c:pt>
              <c:pt idx="26">
                <c:v>39</c:v>
              </c:pt>
              <c:pt idx="27">
                <c:v>40</c:v>
              </c:pt>
              <c:pt idx="28">
                <c:v>41</c:v>
              </c:pt>
              <c:pt idx="29">
                <c:v>42</c:v>
              </c:pt>
              <c:pt idx="30">
                <c:v>43</c:v>
              </c:pt>
              <c:pt idx="31">
                <c:v>44</c:v>
              </c:pt>
              <c:pt idx="32">
                <c:v>45</c:v>
              </c:pt>
              <c:pt idx="33">
                <c:v>46</c:v>
              </c:pt>
              <c:pt idx="34">
                <c:v>47</c:v>
              </c:pt>
              <c:pt idx="35">
                <c:v>48</c:v>
              </c:pt>
              <c:pt idx="36">
                <c:v>49</c:v>
              </c:pt>
              <c:pt idx="37">
                <c:v>50</c:v>
              </c:pt>
              <c:pt idx="38">
                <c:v>51</c:v>
              </c:pt>
              <c:pt idx="39">
                <c:v>52</c:v>
              </c:pt>
              <c:pt idx="40">
                <c:v>53</c:v>
              </c:pt>
              <c:pt idx="41">
                <c:v>54</c:v>
              </c:pt>
              <c:pt idx="42">
                <c:v>55</c:v>
              </c:pt>
              <c:pt idx="43">
                <c:v>56</c:v>
              </c:pt>
              <c:pt idx="44">
                <c:v>57</c:v>
              </c:pt>
              <c:pt idx="45">
                <c:v>58</c:v>
              </c:pt>
              <c:pt idx="46">
                <c:v>59</c:v>
              </c:pt>
              <c:pt idx="47">
                <c:v>60</c:v>
              </c:pt>
              <c:pt idx="48">
                <c:v>61</c:v>
              </c:pt>
              <c:pt idx="49">
                <c:v>62</c:v>
              </c:pt>
              <c:pt idx="50">
                <c:v>63</c:v>
              </c:pt>
              <c:pt idx="51">
                <c:v>64</c:v>
              </c:pt>
              <c:pt idx="52">
                <c:v>65</c:v>
              </c:pt>
              <c:pt idx="53">
                <c:v>66</c:v>
              </c:pt>
              <c:pt idx="54">
                <c:v>67</c:v>
              </c:pt>
              <c:pt idx="55">
                <c:v>68</c:v>
              </c:pt>
              <c:pt idx="56">
                <c:v>69</c:v>
              </c:pt>
              <c:pt idx="57">
                <c:v>70</c:v>
              </c:pt>
              <c:pt idx="58">
                <c:v>71</c:v>
              </c:pt>
              <c:pt idx="59">
                <c:v>72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'Renewable Diesel'!$BG$109:$BG$372</c15:sqref>
                  </c15:fullRef>
                </c:ext>
              </c:extLst>
              <c:f>'Renewable Diesel'!$BG$121:$BG$180</c:f>
              <c:numCache>
                <c:formatCode>0.0%</c:formatCode>
                <c:ptCount val="60"/>
                <c:pt idx="0">
                  <c:v>0.79916368077234368</c:v>
                </c:pt>
                <c:pt idx="1">
                  <c:v>0.71632372557521107</c:v>
                </c:pt>
                <c:pt idx="2">
                  <c:v>0.94610666110493147</c:v>
                </c:pt>
                <c:pt idx="3">
                  <c:v>0.77631737744247897</c:v>
                </c:pt>
                <c:pt idx="4">
                  <c:v>0.91936936977299877</c:v>
                </c:pt>
                <c:pt idx="5">
                  <c:v>1.0627031127876054</c:v>
                </c:pt>
                <c:pt idx="6">
                  <c:v>0.87797824487594389</c:v>
                </c:pt>
                <c:pt idx="7">
                  <c:v>0.70057913835759822</c:v>
                </c:pt>
                <c:pt idx="8">
                  <c:v>0.72116783919048877</c:v>
                </c:pt>
                <c:pt idx="9">
                  <c:v>0.34748629765130984</c:v>
                </c:pt>
                <c:pt idx="10">
                  <c:v>0.69107832918087253</c:v>
                </c:pt>
                <c:pt idx="11">
                  <c:v>0.8226379891598915</c:v>
                </c:pt>
                <c:pt idx="12">
                  <c:v>0.62459948839769985</c:v>
                </c:pt>
                <c:pt idx="13">
                  <c:v>0.69943343440316463</c:v>
                </c:pt>
                <c:pt idx="14">
                  <c:v>0.91373348180422609</c:v>
                </c:pt>
                <c:pt idx="15">
                  <c:v>0.58048544566625693</c:v>
                </c:pt>
                <c:pt idx="16">
                  <c:v>0.72811833916924129</c:v>
                </c:pt>
                <c:pt idx="17">
                  <c:v>0.84028867710066923</c:v>
                </c:pt>
                <c:pt idx="18">
                  <c:v>0.87275684211489213</c:v>
                </c:pt>
                <c:pt idx="19">
                  <c:v>0.97416757781240038</c:v>
                </c:pt>
                <c:pt idx="20">
                  <c:v>0.64910535799015612</c:v>
                </c:pt>
                <c:pt idx="21">
                  <c:v>0.87221115121630499</c:v>
                </c:pt>
                <c:pt idx="22">
                  <c:v>1.1752297021600535</c:v>
                </c:pt>
                <c:pt idx="23">
                  <c:v>1.1828533988848704</c:v>
                </c:pt>
                <c:pt idx="24">
                  <c:v>0.56106932073732707</c:v>
                </c:pt>
                <c:pt idx="25">
                  <c:v>0.65794556193548392</c:v>
                </c:pt>
                <c:pt idx="26">
                  <c:v>0.79185510489795896</c:v>
                </c:pt>
                <c:pt idx="27">
                  <c:v>0.62238578840925107</c:v>
                </c:pt>
                <c:pt idx="28">
                  <c:v>0.79733336406437261</c:v>
                </c:pt>
                <c:pt idx="29">
                  <c:v>0.68019343174776759</c:v>
                </c:pt>
                <c:pt idx="30">
                  <c:v>0.58945530052131245</c:v>
                </c:pt>
                <c:pt idx="31">
                  <c:v>0.61226750934015617</c:v>
                </c:pt>
                <c:pt idx="32">
                  <c:v>0.63201429639913353</c:v>
                </c:pt>
                <c:pt idx="33">
                  <c:v>0.60177278593961248</c:v>
                </c:pt>
                <c:pt idx="34">
                  <c:v>0.70020170001756332</c:v>
                </c:pt>
                <c:pt idx="35">
                  <c:v>0.59896646960417388</c:v>
                </c:pt>
                <c:pt idx="36">
                  <c:v>0.56817977110649776</c:v>
                </c:pt>
                <c:pt idx="37">
                  <c:v>0.50484054867247929</c:v>
                </c:pt>
                <c:pt idx="38">
                  <c:v>0.69665991202170319</c:v>
                </c:pt>
                <c:pt idx="39">
                  <c:v>0.61217995542128367</c:v>
                </c:pt>
                <c:pt idx="40">
                  <c:v>0.83047748134024801</c:v>
                </c:pt>
                <c:pt idx="41">
                  <c:v>0.61676884080209249</c:v>
                </c:pt>
                <c:pt idx="42">
                  <c:v>0.59168146310295189</c:v>
                </c:pt>
                <c:pt idx="43">
                  <c:v>0.73252192799414761</c:v>
                </c:pt>
                <c:pt idx="44">
                  <c:v>0.722425957552428</c:v>
                </c:pt>
                <c:pt idx="45">
                  <c:v>0.65799080891884887</c:v>
                </c:pt>
                <c:pt idx="46">
                  <c:v>0.60734520143700288</c:v>
                </c:pt>
                <c:pt idx="47">
                  <c:v>0.85600889227378796</c:v>
                </c:pt>
                <c:pt idx="48">
                  <c:v>0.61440011623486968</c:v>
                </c:pt>
                <c:pt idx="49">
                  <c:v>0.61861681187019257</c:v>
                </c:pt>
                <c:pt idx="50">
                  <c:v>0.58114021265493965</c:v>
                </c:pt>
                <c:pt idx="51">
                  <c:v>0.72145917917251046</c:v>
                </c:pt>
                <c:pt idx="52">
                  <c:v>0.59102408925318761</c:v>
                </c:pt>
                <c:pt idx="53">
                  <c:v>0.67177665618186244</c:v>
                </c:pt>
                <c:pt idx="54">
                  <c:v>0.7646011029795563</c:v>
                </c:pt>
                <c:pt idx="55">
                  <c:v>0.65465570121651773</c:v>
                </c:pt>
                <c:pt idx="56">
                  <c:v>0.66931823841386118</c:v>
                </c:pt>
                <c:pt idx="57">
                  <c:v>0.76727521324599701</c:v>
                </c:pt>
                <c:pt idx="58">
                  <c:v>0.63985130136471169</c:v>
                </c:pt>
                <c:pt idx="59">
                  <c:v>0.7990387984315388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'Renewable Diesel'!$BG$181</c15:sqref>
                  <c15:spPr xmlns:c15="http://schemas.microsoft.com/office/drawing/2012/chart">
                    <a:ln w="15875" cap="rnd">
                      <a:solidFill>
                        <a:srgbClr val="6F0791"/>
                      </a:solidFill>
                      <a:prstDash val="dash"/>
                      <a:round/>
                    </a:ln>
                    <a:effectLst/>
                  </c15:spPr>
                  <c15:bubble3D val="0"/>
                  <c15:marker>
                    <c:symbol val="circle"/>
                    <c:size val="7"/>
                    <c:spPr>
                      <a:solidFill>
                        <a:schemeClr val="bg1"/>
                      </a:solidFill>
                      <a:ln w="9525">
                        <a:solidFill>
                          <a:srgbClr val="6F0791"/>
                        </a:solidFill>
                      </a:ln>
                      <a:effectLst/>
                    </c:spPr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D-31D3-4CDC-968B-476476184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036352"/>
        <c:axId val="1054036680"/>
      </c:lineChart>
      <c:dateAx>
        <c:axId val="9062163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22248"/>
        <c:crosses val="autoZero"/>
        <c:auto val="0"/>
        <c:lblOffset val="100"/>
        <c:baseTimeUnit val="months"/>
        <c:majorUnit val="3"/>
        <c:majorTimeUnit val="months"/>
      </c:dateAx>
      <c:valAx>
        <c:axId val="906222248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16344"/>
        <c:crosses val="autoZero"/>
        <c:crossBetween val="between"/>
      </c:valAx>
      <c:valAx>
        <c:axId val="10540366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 of estimated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54036352"/>
        <c:crosses val="max"/>
        <c:crossBetween val="between"/>
      </c:valAx>
      <c:catAx>
        <c:axId val="1054036352"/>
        <c:scaling>
          <c:orientation val="minMax"/>
        </c:scaling>
        <c:delete val="1"/>
        <c:axPos val="b"/>
        <c:majorTickMark val="out"/>
        <c:minorTickMark val="none"/>
        <c:tickLblPos val="nextTo"/>
        <c:crossAx val="1054036680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45383748906386701"/>
          <c:y val="0.12649004811898512"/>
          <c:w val="0.36452928338822244"/>
          <c:h val="0.162408409886264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Renewable Diesel Production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44011217949563"/>
          <c:y val="0.12774169162491958"/>
          <c:w val="0.78928919787550333"/>
          <c:h val="0.69624448505623637"/>
        </c:manualLayout>
      </c:layout>
      <c:areaChart>
        <c:grouping val="standard"/>
        <c:varyColors val="0"/>
        <c:ser>
          <c:idx val="0"/>
          <c:order val="0"/>
          <c:tx>
            <c:v>Renewable Diesel Capacity</c:v>
          </c:tx>
          <c:spPr>
            <a:solidFill>
              <a:srgbClr val="206486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cat>
            <c:numRef>
              <c:f>'Renewable Diesel'!$A$109:$A$156</c:f>
              <c:numCache>
                <c:formatCode>m/d/yyyy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'Renewable Diesel'!$AW$109:$AW$156</c:f>
              <c:numCache>
                <c:formatCode>#,##0.0_);[Red]\(#,##0.0\)</c:formatCode>
                <c:ptCount val="48"/>
                <c:pt idx="0">
                  <c:v>558</c:v>
                </c:pt>
                <c:pt idx="1">
                  <c:v>558</c:v>
                </c:pt>
                <c:pt idx="2">
                  <c:v>558</c:v>
                </c:pt>
                <c:pt idx="3">
                  <c:v>558</c:v>
                </c:pt>
                <c:pt idx="4">
                  <c:v>558</c:v>
                </c:pt>
                <c:pt idx="5">
                  <c:v>558</c:v>
                </c:pt>
                <c:pt idx="6">
                  <c:v>558</c:v>
                </c:pt>
                <c:pt idx="7">
                  <c:v>558</c:v>
                </c:pt>
                <c:pt idx="8">
                  <c:v>558</c:v>
                </c:pt>
                <c:pt idx="9">
                  <c:v>558</c:v>
                </c:pt>
                <c:pt idx="10">
                  <c:v>558</c:v>
                </c:pt>
                <c:pt idx="11">
                  <c:v>558</c:v>
                </c:pt>
                <c:pt idx="12">
                  <c:v>558</c:v>
                </c:pt>
                <c:pt idx="13">
                  <c:v>558</c:v>
                </c:pt>
                <c:pt idx="14">
                  <c:v>558</c:v>
                </c:pt>
                <c:pt idx="15">
                  <c:v>558</c:v>
                </c:pt>
                <c:pt idx="16">
                  <c:v>558</c:v>
                </c:pt>
                <c:pt idx="17">
                  <c:v>558</c:v>
                </c:pt>
                <c:pt idx="18">
                  <c:v>618</c:v>
                </c:pt>
                <c:pt idx="19">
                  <c:v>678</c:v>
                </c:pt>
                <c:pt idx="20">
                  <c:v>738</c:v>
                </c:pt>
                <c:pt idx="21">
                  <c:v>738</c:v>
                </c:pt>
                <c:pt idx="22">
                  <c:v>738</c:v>
                </c:pt>
                <c:pt idx="23">
                  <c:v>738</c:v>
                </c:pt>
                <c:pt idx="24">
                  <c:v>738</c:v>
                </c:pt>
                <c:pt idx="25">
                  <c:v>738</c:v>
                </c:pt>
                <c:pt idx="26">
                  <c:v>738</c:v>
                </c:pt>
                <c:pt idx="27">
                  <c:v>608.07799999999997</c:v>
                </c:pt>
                <c:pt idx="28">
                  <c:v>788.07799999999997</c:v>
                </c:pt>
                <c:pt idx="29">
                  <c:v>813.07799999999997</c:v>
                </c:pt>
                <c:pt idx="30">
                  <c:v>883</c:v>
                </c:pt>
                <c:pt idx="31">
                  <c:v>883</c:v>
                </c:pt>
                <c:pt idx="32">
                  <c:v>883</c:v>
                </c:pt>
                <c:pt idx="33">
                  <c:v>1083</c:v>
                </c:pt>
                <c:pt idx="34">
                  <c:v>1283</c:v>
                </c:pt>
                <c:pt idx="35">
                  <c:v>1283</c:v>
                </c:pt>
                <c:pt idx="36">
                  <c:v>1336.3</c:v>
                </c:pt>
                <c:pt idx="37">
                  <c:v>1336.3</c:v>
                </c:pt>
                <c:pt idx="38">
                  <c:v>1336.3</c:v>
                </c:pt>
                <c:pt idx="39">
                  <c:v>1393.8</c:v>
                </c:pt>
                <c:pt idx="40">
                  <c:v>1431.8</c:v>
                </c:pt>
                <c:pt idx="41">
                  <c:v>1501.85</c:v>
                </c:pt>
                <c:pt idx="42">
                  <c:v>1566.85</c:v>
                </c:pt>
                <c:pt idx="43">
                  <c:v>1576.85</c:v>
                </c:pt>
                <c:pt idx="44">
                  <c:v>1601.85</c:v>
                </c:pt>
                <c:pt idx="45">
                  <c:v>1781.85</c:v>
                </c:pt>
                <c:pt idx="46">
                  <c:v>2010.85</c:v>
                </c:pt>
                <c:pt idx="47">
                  <c:v>2196.8500000000004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0-4297-9196-15AA8CDF5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940424"/>
        <c:axId val="975935832"/>
      </c:areaChart>
      <c:lineChart>
        <c:grouping val="stacked"/>
        <c:varyColors val="0"/>
        <c:ser>
          <c:idx val="1"/>
          <c:order val="1"/>
          <c:tx>
            <c:v>Capacity Utilization</c:v>
          </c:tx>
          <c:spPr>
            <a:ln w="28575" cap="rnd">
              <a:solidFill>
                <a:srgbClr val="D7BA2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D7BA2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'Renewable Diesel'!$A$109:$A$156</c:f>
              <c:numCache>
                <c:formatCode>m/d/yyyy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'Renewable Diesel'!$BG$109:$BG$156</c:f>
              <c:numCache>
                <c:formatCode>0.0%</c:formatCode>
                <c:ptCount val="48"/>
                <c:pt idx="0">
                  <c:v>0.71109589923690597</c:v>
                </c:pt>
                <c:pt idx="1">
                  <c:v>0.80210570990865993</c:v>
                </c:pt>
                <c:pt idx="2">
                  <c:v>0.77207337525601638</c:v>
                </c:pt>
                <c:pt idx="3">
                  <c:v>0.75556846311712333</c:v>
                </c:pt>
                <c:pt idx="4">
                  <c:v>0.81043315740740751</c:v>
                </c:pt>
                <c:pt idx="5">
                  <c:v>0.7914567325702393</c:v>
                </c:pt>
                <c:pt idx="6">
                  <c:v>0.9446797867383514</c:v>
                </c:pt>
                <c:pt idx="7">
                  <c:v>0.5663236437738467</c:v>
                </c:pt>
                <c:pt idx="8">
                  <c:v>0.80032227829806912</c:v>
                </c:pt>
                <c:pt idx="9">
                  <c:v>1.020626409498208</c:v>
                </c:pt>
                <c:pt idx="10">
                  <c:v>0.84848191611747026</c:v>
                </c:pt>
                <c:pt idx="11">
                  <c:v>1.0882601027479093</c:v>
                </c:pt>
                <c:pt idx="12">
                  <c:v>0.79916368077234368</c:v>
                </c:pt>
                <c:pt idx="13">
                  <c:v>0.71632372557521107</c:v>
                </c:pt>
                <c:pt idx="14">
                  <c:v>0.94610666110493147</c:v>
                </c:pt>
                <c:pt idx="15">
                  <c:v>0.77631737744247897</c:v>
                </c:pt>
                <c:pt idx="16">
                  <c:v>0.91936936977299877</c:v>
                </c:pt>
                <c:pt idx="17">
                  <c:v>1.0627031127876054</c:v>
                </c:pt>
                <c:pt idx="18">
                  <c:v>0.87797824487594389</c:v>
                </c:pt>
                <c:pt idx="19">
                  <c:v>0.70057913835759822</c:v>
                </c:pt>
                <c:pt idx="20">
                  <c:v>0.72116783919048877</c:v>
                </c:pt>
                <c:pt idx="21">
                  <c:v>0.34748629765130984</c:v>
                </c:pt>
                <c:pt idx="22">
                  <c:v>0.69107832918087253</c:v>
                </c:pt>
                <c:pt idx="23">
                  <c:v>0.8226379891598915</c:v>
                </c:pt>
                <c:pt idx="24">
                  <c:v>0.62459948839769985</c:v>
                </c:pt>
                <c:pt idx="25">
                  <c:v>0.69943343440316463</c:v>
                </c:pt>
                <c:pt idx="26">
                  <c:v>0.91373348180422609</c:v>
                </c:pt>
                <c:pt idx="27">
                  <c:v>0.58048544566625693</c:v>
                </c:pt>
                <c:pt idx="28">
                  <c:v>0.72811833916924129</c:v>
                </c:pt>
                <c:pt idx="29">
                  <c:v>0.84028867710066923</c:v>
                </c:pt>
                <c:pt idx="30">
                  <c:v>0.87275684211489213</c:v>
                </c:pt>
                <c:pt idx="31">
                  <c:v>0.97416757781240038</c:v>
                </c:pt>
                <c:pt idx="32">
                  <c:v>0.64910535799015612</c:v>
                </c:pt>
                <c:pt idx="33">
                  <c:v>0.87221115121630499</c:v>
                </c:pt>
                <c:pt idx="34">
                  <c:v>1.1752297021600535</c:v>
                </c:pt>
                <c:pt idx="35">
                  <c:v>1.1828533988848704</c:v>
                </c:pt>
                <c:pt idx="36">
                  <c:v>0.56106932073732707</c:v>
                </c:pt>
                <c:pt idx="37">
                  <c:v>0.65794556193548392</c:v>
                </c:pt>
                <c:pt idx="38">
                  <c:v>0.79185510489795896</c:v>
                </c:pt>
                <c:pt idx="39">
                  <c:v>0.62238578840925107</c:v>
                </c:pt>
                <c:pt idx="40">
                  <c:v>0.79733336406437261</c:v>
                </c:pt>
                <c:pt idx="41">
                  <c:v>0.68019343174776759</c:v>
                </c:pt>
                <c:pt idx="42">
                  <c:v>0.58945530052131245</c:v>
                </c:pt>
                <c:pt idx="43">
                  <c:v>0.61226750934015617</c:v>
                </c:pt>
                <c:pt idx="44">
                  <c:v>0.63201429639913353</c:v>
                </c:pt>
                <c:pt idx="45">
                  <c:v>0.60177278593961248</c:v>
                </c:pt>
                <c:pt idx="46">
                  <c:v>0.70020170001756332</c:v>
                </c:pt>
                <c:pt idx="47">
                  <c:v>0.59896646960417388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00-4297-9196-15AA8CDF5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703176"/>
        <c:axId val="457703832"/>
      </c:lineChart>
      <c:dateAx>
        <c:axId val="97594042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5935832"/>
        <c:crosses val="autoZero"/>
        <c:auto val="1"/>
        <c:lblOffset val="100"/>
        <c:baseTimeUnit val="days"/>
        <c:majorUnit val="3"/>
        <c:majorTimeUnit val="months"/>
      </c:dateAx>
      <c:valAx>
        <c:axId val="97593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Annual Production (million gallons)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5940424"/>
        <c:crossesAt val="1"/>
        <c:crossBetween val="midCat"/>
        <c:majorUnit val="500"/>
      </c:valAx>
      <c:valAx>
        <c:axId val="4577038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Estimated Capacity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7703176"/>
        <c:crosses val="max"/>
        <c:crossBetween val="between"/>
      </c:valAx>
      <c:dateAx>
        <c:axId val="4577031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57703832"/>
        <c:crosses val="autoZero"/>
        <c:auto val="1"/>
        <c:lblOffset val="100"/>
        <c:baseTimeUnit val="months"/>
      </c:dateAx>
      <c:spPr>
        <a:noFill/>
        <a:ln w="15875">
          <a:solidFill>
            <a:srgbClr val="505A5B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Co-Processing Production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041848644249026E-2"/>
          <c:y val="0.10398425841554088"/>
          <c:w val="0.80781207289317858"/>
          <c:h val="0.79673556430446191"/>
        </c:manualLayout>
      </c:layout>
      <c:areaChart>
        <c:grouping val="standard"/>
        <c:varyColors val="0"/>
        <c:ser>
          <c:idx val="0"/>
          <c:order val="0"/>
          <c:tx>
            <c:v>Co-Processing Capacity</c:v>
          </c:tx>
          <c:spPr>
            <a:solidFill>
              <a:srgbClr val="206486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cat>
            <c:numRef>
              <c:f>'Co-Processing'!$A$146:$A$205</c:f>
              <c:numCache>
                <c:formatCode>m/d/yyyy</c:formatCode>
                <c:ptCount val="6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</c:numCache>
            </c:numRef>
          </c:cat>
          <c:val>
            <c:numRef>
              <c:f>'Co-Processing'!$G$158:$G$205</c:f>
              <c:numCache>
                <c:formatCode>#,##0.0_);[Red]\(#,##0.0\)</c:formatCode>
                <c:ptCount val="48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</c:v>
                </c:pt>
                <c:pt idx="24">
                  <c:v>59</c:v>
                </c:pt>
                <c:pt idx="25">
                  <c:v>59</c:v>
                </c:pt>
                <c:pt idx="26">
                  <c:v>59</c:v>
                </c:pt>
                <c:pt idx="27">
                  <c:v>59</c:v>
                </c:pt>
                <c:pt idx="28">
                  <c:v>59</c:v>
                </c:pt>
                <c:pt idx="29">
                  <c:v>59</c:v>
                </c:pt>
                <c:pt idx="30">
                  <c:v>59</c:v>
                </c:pt>
                <c:pt idx="31">
                  <c:v>59</c:v>
                </c:pt>
                <c:pt idx="32">
                  <c:v>59</c:v>
                </c:pt>
                <c:pt idx="33">
                  <c:v>59</c:v>
                </c:pt>
                <c:pt idx="34">
                  <c:v>59</c:v>
                </c:pt>
                <c:pt idx="35">
                  <c:v>59</c:v>
                </c:pt>
                <c:pt idx="36">
                  <c:v>59</c:v>
                </c:pt>
                <c:pt idx="37">
                  <c:v>59</c:v>
                </c:pt>
                <c:pt idx="38">
                  <c:v>59</c:v>
                </c:pt>
                <c:pt idx="39">
                  <c:v>59</c:v>
                </c:pt>
                <c:pt idx="40">
                  <c:v>59</c:v>
                </c:pt>
                <c:pt idx="41">
                  <c:v>59</c:v>
                </c:pt>
                <c:pt idx="42">
                  <c:v>59</c:v>
                </c:pt>
                <c:pt idx="43">
                  <c:v>59</c:v>
                </c:pt>
                <c:pt idx="44">
                  <c:v>59</c:v>
                </c:pt>
                <c:pt idx="45">
                  <c:v>59</c:v>
                </c:pt>
                <c:pt idx="46">
                  <c:v>76.5</c:v>
                </c:pt>
                <c:pt idx="47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3-4D57-A863-B3049D824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320480"/>
        <c:axId val="1162908952"/>
      </c:areaChart>
      <c:lineChart>
        <c:grouping val="stacked"/>
        <c:varyColors val="0"/>
        <c:ser>
          <c:idx val="1"/>
          <c:order val="1"/>
          <c:tx>
            <c:v>Capacity Utilization</c:v>
          </c:tx>
          <c:spPr>
            <a:ln w="28575" cap="rnd">
              <a:solidFill>
                <a:srgbClr val="D7BA2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D7BA2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'Co-Processing'!$A$158:$A$205</c:f>
              <c:numCache>
                <c:formatCode>m/d/yyyy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'Co-Processing'!$L$158:$L$205</c:f>
              <c:numCache>
                <c:formatCode>0.0%</c:formatCode>
                <c:ptCount val="48"/>
                <c:pt idx="0">
                  <c:v>0.6064169491525423</c:v>
                </c:pt>
                <c:pt idx="1">
                  <c:v>0.47757803389830511</c:v>
                </c:pt>
                <c:pt idx="2">
                  <c:v>0.58479335593220338</c:v>
                </c:pt>
                <c:pt idx="3">
                  <c:v>0.60928962711864409</c:v>
                </c:pt>
                <c:pt idx="4">
                  <c:v>0.70540393220338982</c:v>
                </c:pt>
                <c:pt idx="5">
                  <c:v>0.50346854237288141</c:v>
                </c:pt>
                <c:pt idx="6">
                  <c:v>0.63112596610169491</c:v>
                </c:pt>
                <c:pt idx="7">
                  <c:v>0.73490583050847469</c:v>
                </c:pt>
                <c:pt idx="8">
                  <c:v>0.61814461016949152</c:v>
                </c:pt>
                <c:pt idx="9">
                  <c:v>0.4020597966101695</c:v>
                </c:pt>
                <c:pt idx="10">
                  <c:v>0.48705823728813558</c:v>
                </c:pt>
                <c:pt idx="11">
                  <c:v>0.61476711864406774</c:v>
                </c:pt>
                <c:pt idx="12">
                  <c:v>0.81870345762711871</c:v>
                </c:pt>
                <c:pt idx="13">
                  <c:v>0.68192725423728817</c:v>
                </c:pt>
                <c:pt idx="14">
                  <c:v>0.72461389830508471</c:v>
                </c:pt>
                <c:pt idx="15">
                  <c:v>0.62689525423728809</c:v>
                </c:pt>
                <c:pt idx="16">
                  <c:v>0.86565172881355934</c:v>
                </c:pt>
                <c:pt idx="17">
                  <c:v>0.68197749152542375</c:v>
                </c:pt>
                <c:pt idx="18">
                  <c:v>0.73721491525423732</c:v>
                </c:pt>
                <c:pt idx="19">
                  <c:v>0.74738989830508473</c:v>
                </c:pt>
                <c:pt idx="20">
                  <c:v>0.66743084745762704</c:v>
                </c:pt>
                <c:pt idx="21">
                  <c:v>0.88438983050847464</c:v>
                </c:pt>
                <c:pt idx="22">
                  <c:v>1.2064919999999999</c:v>
                </c:pt>
                <c:pt idx="23">
                  <c:v>1.6481617627118645</c:v>
                </c:pt>
                <c:pt idx="24">
                  <c:v>1.7701724745762712</c:v>
                </c:pt>
                <c:pt idx="25">
                  <c:v>0.91157735593220335</c:v>
                </c:pt>
                <c:pt idx="26">
                  <c:v>0.82700176271186443</c:v>
                </c:pt>
                <c:pt idx="27">
                  <c:v>0.62155159322033893</c:v>
                </c:pt>
                <c:pt idx="28">
                  <c:v>0.45337728813559319</c:v>
                </c:pt>
                <c:pt idx="29">
                  <c:v>0.85455050847457614</c:v>
                </c:pt>
                <c:pt idx="30">
                  <c:v>1.066692</c:v>
                </c:pt>
                <c:pt idx="31">
                  <c:v>1.5743790508474576</c:v>
                </c:pt>
                <c:pt idx="32">
                  <c:v>1.1846759999999998</c:v>
                </c:pt>
                <c:pt idx="33">
                  <c:v>1.0353532881355934</c:v>
                </c:pt>
                <c:pt idx="34">
                  <c:v>0.15329450847457626</c:v>
                </c:pt>
                <c:pt idx="35">
                  <c:v>2.2480128813559324</c:v>
                </c:pt>
                <c:pt idx="36">
                  <c:v>0.81773979661016938</c:v>
                </c:pt>
                <c:pt idx="37">
                  <c:v>0.95894684745762704</c:v>
                </c:pt>
                <c:pt idx="38">
                  <c:v>0.97193084745762715</c:v>
                </c:pt>
                <c:pt idx="39">
                  <c:v>1.0764244067796609</c:v>
                </c:pt>
                <c:pt idx="40">
                  <c:v>1.7661091525423729</c:v>
                </c:pt>
                <c:pt idx="41">
                  <c:v>0.93104440677966094</c:v>
                </c:pt>
                <c:pt idx="42">
                  <c:v>0.97357240677966095</c:v>
                </c:pt>
                <c:pt idx="43">
                  <c:v>1.4749305762711864</c:v>
                </c:pt>
                <c:pt idx="44">
                  <c:v>1.8092806779661019</c:v>
                </c:pt>
                <c:pt idx="45">
                  <c:v>1.1574630508474575</c:v>
                </c:pt>
                <c:pt idx="46">
                  <c:v>1.2709411764705882</c:v>
                </c:pt>
                <c:pt idx="47">
                  <c:v>0.96551473684210531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A3-4D57-A863-B3049D824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701864"/>
        <c:axId val="1091702192"/>
      </c:lineChart>
      <c:dateAx>
        <c:axId val="1208320480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2908952"/>
        <c:crosses val="autoZero"/>
        <c:auto val="1"/>
        <c:lblOffset val="100"/>
        <c:baseTimeUnit val="days"/>
        <c:majorUnit val="6"/>
        <c:majorTimeUnit val="months"/>
      </c:dateAx>
      <c:valAx>
        <c:axId val="116290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Annual Capacity (million gallons)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8320480"/>
        <c:crossesAt val="43101"/>
        <c:crossBetween val="between"/>
      </c:valAx>
      <c:valAx>
        <c:axId val="10917021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Estimated Capacity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1701864"/>
        <c:crosses val="max"/>
        <c:crossBetween val="between"/>
      </c:valAx>
      <c:dateAx>
        <c:axId val="1091701864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1091702192"/>
        <c:crosses val="max"/>
        <c:auto val="1"/>
        <c:lblOffset val="100"/>
        <c:baseTimeUnit val="months"/>
      </c:date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528637</xdr:colOff>
      <xdr:row>0</xdr:row>
      <xdr:rowOff>0</xdr:rowOff>
    </xdr:from>
    <xdr:to>
      <xdr:col>11</xdr:col>
      <xdr:colOff>147637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421CC-397E-4A49-8FB4-38E1E3050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23812</xdr:colOff>
      <xdr:row>0</xdr:row>
      <xdr:rowOff>76200</xdr:rowOff>
    </xdr:from>
    <xdr:to>
      <xdr:col>22</xdr:col>
      <xdr:colOff>176212</xdr:colOff>
      <xdr:row>23</xdr:row>
      <xdr:rowOff>9525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2A487FA-FCCB-4AB7-B706-77938F6FA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528637</xdr:colOff>
      <xdr:row>22</xdr:row>
      <xdr:rowOff>142875</xdr:rowOff>
    </xdr:from>
    <xdr:to>
      <xdr:col>11</xdr:col>
      <xdr:colOff>147637</xdr:colOff>
      <xdr:row>45</xdr:row>
      <xdr:rowOff>76200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03F5469-8B88-402F-905D-D03110A21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</xdr:colOff>
      <xdr:row>23</xdr:row>
      <xdr:rowOff>76200</xdr:rowOff>
    </xdr:from>
    <xdr:to>
      <xdr:col>22</xdr:col>
      <xdr:colOff>176212</xdr:colOff>
      <xdr:row>46</xdr:row>
      <xdr:rowOff>9525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665F1DD-A6E6-4783-961D-10B17CA03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490537</xdr:colOff>
      <xdr:row>45</xdr:row>
      <xdr:rowOff>152400</xdr:rowOff>
    </xdr:from>
    <xdr:to>
      <xdr:col>11</xdr:col>
      <xdr:colOff>109537</xdr:colOff>
      <xdr:row>68</xdr:row>
      <xdr:rowOff>85725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87909944-3D25-45A2-AF91-3F1E330F7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52387</xdr:colOff>
      <xdr:row>47</xdr:row>
      <xdr:rowOff>19050</xdr:rowOff>
    </xdr:from>
    <xdr:to>
      <xdr:col>22</xdr:col>
      <xdr:colOff>204787</xdr:colOff>
      <xdr:row>69</xdr:row>
      <xdr:rowOff>114300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3DA638EA-4D0D-437E-B1B7-0DAF06493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514350</xdr:colOff>
      <xdr:row>69</xdr:row>
      <xdr:rowOff>114300</xdr:rowOff>
    </xdr:from>
    <xdr:to>
      <xdr:col>11</xdr:col>
      <xdr:colOff>133350</xdr:colOff>
      <xdr:row>92</xdr:row>
      <xdr:rowOff>47625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4E77B232-6282-4990-B563-7A39D02F4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0.9375</cdr:y>
    </cdr:from>
    <cdr:to>
      <cdr:x>0.30716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71791C-B342-49CF-8107-DF114815E9A8}"/>
            </a:ext>
          </a:extLst>
        </cdr:cNvPr>
        <cdr:cNvSpPr txBox="1"/>
      </cdr:nvSpPr>
      <cdr:spPr>
        <a:xfrm xmlns:a="http://schemas.openxmlformats.org/drawingml/2006/main">
          <a:off x="0" y="3429001"/>
          <a:ext cx="1685203" cy="2285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0">
              <a:latin typeface="Aptos Display" panose="020B0004020202020204" pitchFamily="34" charset="0"/>
              <a:cs typeface="Arial" panose="020B0604020202020204" pitchFamily="34" charset="0"/>
            </a:rPr>
            <a:t>Source: EPA, EIA, Fastmarkets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0.92708</cdr:y>
    </cdr:from>
    <cdr:to>
      <cdr:x>0.56383</cdr:x>
      <cdr:y>0.99829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040211-FB72-42C8-A8F9-1477420CF210}"/>
            </a:ext>
          </a:extLst>
        </cdr:cNvPr>
        <cdr:cNvSpPr txBox="1"/>
      </cdr:nvSpPr>
      <cdr:spPr>
        <a:xfrm xmlns:a="http://schemas.openxmlformats.org/drawingml/2006/main">
          <a:off x="0" y="3390900"/>
          <a:ext cx="3093397" cy="2604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</a:t>
          </a:r>
          <a:r>
            <a:rPr lang="en-US" sz="1000" b="0" baseline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 Jacobsen Estimates based on EIA Feedstock Data</a:t>
          </a:r>
          <a:endParaRPr lang="en-US" sz="1000" b="0">
            <a:solidFill>
              <a:sysClr val="windowText" lastClr="000000"/>
            </a:solidFill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0.00698</cdr:x>
      <cdr:y>0.92969</cdr:y>
    </cdr:from>
    <cdr:to>
      <cdr:x>0.35851</cdr:x>
      <cdr:y>0.98767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6268CB4-4C76-4016-8C6F-83AAE15DA657}"/>
            </a:ext>
          </a:extLst>
        </cdr:cNvPr>
        <cdr:cNvSpPr txBox="1"/>
      </cdr:nvSpPr>
      <cdr:spPr>
        <a:xfrm xmlns:a="http://schemas.openxmlformats.org/drawingml/2006/main">
          <a:off x="38295" y="3400425"/>
          <a:ext cx="1928618" cy="212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0">
              <a:latin typeface="Aptos Display" panose="020B0004020202020204" pitchFamily="34" charset="0"/>
              <a:cs typeface="Arial" panose="020B0604020202020204" pitchFamily="34" charset="0"/>
            </a:rPr>
            <a:t>Source:</a:t>
          </a:r>
          <a:r>
            <a:rPr lang="en-US" sz="1000" b="0" baseline="0">
              <a:latin typeface="Aptos Display" panose="020B0004020202020204" pitchFamily="34" charset="0"/>
              <a:cs typeface="Arial" panose="020B0604020202020204" pitchFamily="34" charset="0"/>
            </a:rPr>
            <a:t> The Jacobsen</a:t>
          </a:r>
          <a:endParaRPr lang="en-US" sz="1000" b="0"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0.00873</cdr:x>
      <cdr:y>0.9401</cdr:y>
    </cdr:from>
    <cdr:to>
      <cdr:x>0.44705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71791C-B342-49CF-8107-DF114815E9A8}"/>
            </a:ext>
          </a:extLst>
        </cdr:cNvPr>
        <cdr:cNvSpPr txBox="1"/>
      </cdr:nvSpPr>
      <cdr:spPr>
        <a:xfrm xmlns:a="http://schemas.openxmlformats.org/drawingml/2006/main">
          <a:off x="47896" y="3438525"/>
          <a:ext cx="2404792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Aptos Display" panose="020B0004020202020204" pitchFamily="34" charset="0"/>
              <a:cs typeface="Arial" panose="020B0604020202020204" pitchFamily="34" charset="0"/>
            </a:rPr>
            <a:t>Source: EPA, EIA, Fastmarkets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0.00873</cdr:x>
      <cdr:y>0.94792</cdr:y>
    </cdr:from>
    <cdr:to>
      <cdr:x>0.46615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71791C-B342-49CF-8107-DF114815E9A8}"/>
            </a:ext>
          </a:extLst>
        </cdr:cNvPr>
        <cdr:cNvSpPr txBox="1"/>
      </cdr:nvSpPr>
      <cdr:spPr>
        <a:xfrm xmlns:a="http://schemas.openxmlformats.org/drawingml/2006/main">
          <a:off x="47896" y="3467101"/>
          <a:ext cx="2509567" cy="1904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Aptos Display" panose="020B0004020202020204" pitchFamily="34" charset="0"/>
              <a:cs typeface="Arial" panose="020B0604020202020204" pitchFamily="34" charset="0"/>
            </a:rPr>
            <a:t>Source: EPA, EIA, Fastmarkets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0.9349</cdr:y>
    </cdr:from>
    <cdr:to>
      <cdr:x>0.59983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BA35E2-1CFB-4DD6-B888-3D8CD7968BAD}"/>
            </a:ext>
          </a:extLst>
        </cdr:cNvPr>
        <cdr:cNvSpPr txBox="1"/>
      </cdr:nvSpPr>
      <cdr:spPr>
        <a:xfrm xmlns:a="http://schemas.openxmlformats.org/drawingml/2006/main">
          <a:off x="0" y="3419475"/>
          <a:ext cx="3290888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Aptos Display" panose="020B0004020202020204" pitchFamily="34" charset="0"/>
              <a:cs typeface="Arial" panose="020B0604020202020204" pitchFamily="34" charset="0"/>
            </a:rPr>
            <a:t>Source: EPA, The Jacobsen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Biofuels\EMTS%20Data.xlsx" TargetMode="External"/><Relationship Id="rId1" Type="http://schemas.openxmlformats.org/officeDocument/2006/relationships/externalLinkPath" Target="EMT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Biofuels\US%20Biodiesel%20Feedstock%20Usage.xlsx" TargetMode="External"/><Relationship Id="rId1" Type="http://schemas.openxmlformats.org/officeDocument/2006/relationships/externalLinkPath" Target="US%20Biodiesel%20Feedstock%20Usag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/Users/torem/Dropbox/RLC%20Documents/Models/Oilseeds/US%20Oilseed%20Balance%20Shee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Fats%20and%20Greases/US%20Fat%20and%20Grease%20Balance%20Sheet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Biofuels\US%20Credit%20Generation%20and%20Tracking.xlsx" TargetMode="External"/><Relationship Id="rId1" Type="http://schemas.openxmlformats.org/officeDocument/2006/relationships/externalLinkPath" Target="US%20Credit%20Generation%20and%20Trac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FS Data"/>
      <sheetName val="RIN Summary"/>
      <sheetName val="Monthly RIN Summary"/>
      <sheetName val="Monthly Gallon Summary"/>
      <sheetName val="Qtrly Gallon Summary"/>
      <sheetName val="Production Summary"/>
      <sheetName val="D3 Gallon Forecast"/>
      <sheetName val="Monthly D3 Gallon Data"/>
      <sheetName val="D3 RIN Forecast"/>
      <sheetName val="Monthly D3 RIN Data"/>
      <sheetName val="D4 Gallon Forecast"/>
      <sheetName val="Monthly D4 Gallon Data"/>
      <sheetName val="D4 RIN Forecast"/>
      <sheetName val="Monthly D4 RIN Data"/>
      <sheetName val="D5 Gallon Forecast"/>
      <sheetName val="Monthly D5 Gallon Data"/>
      <sheetName val="D5 RIN Forecast"/>
      <sheetName val="Monthly D5 RIN Data"/>
      <sheetName val="D6 Gallon Forecast"/>
      <sheetName val="Monthly D6 Gallon Data"/>
      <sheetName val="D6 RIN Forecast"/>
      <sheetName val="Monthly D6 RIN Data"/>
      <sheetName val="D7 Gallon Forecast"/>
      <sheetName val="Monthly D7 Gallon Data"/>
      <sheetName val="D7 RIN Forecast"/>
      <sheetName val="Monthly D7 RIN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9">
          <cell r="O69">
            <v>119548309</v>
          </cell>
          <cell r="P69">
            <v>120715672</v>
          </cell>
          <cell r="Q69">
            <v>65635810</v>
          </cell>
          <cell r="R69">
            <v>98015663.363137141</v>
          </cell>
          <cell r="S69">
            <v>90708468.784077719</v>
          </cell>
          <cell r="T69">
            <v>73650931.236886859</v>
          </cell>
          <cell r="U69">
            <v>82344485.293023407</v>
          </cell>
          <cell r="V69">
            <v>79639224.581323087</v>
          </cell>
          <cell r="W69">
            <v>84515444.617420524</v>
          </cell>
          <cell r="X69">
            <v>87891592.070975751</v>
          </cell>
          <cell r="Y69">
            <v>102340019.60040376</v>
          </cell>
        </row>
        <row r="70">
          <cell r="O70">
            <v>114742607</v>
          </cell>
          <cell r="P70">
            <v>125799224</v>
          </cell>
          <cell r="Q70">
            <v>73721896</v>
          </cell>
          <cell r="R70">
            <v>103981212.43447548</v>
          </cell>
          <cell r="S70">
            <v>96954079.202789247</v>
          </cell>
          <cell r="T70">
            <v>76714622.401454777</v>
          </cell>
          <cell r="U70">
            <v>87564249.538713023</v>
          </cell>
          <cell r="V70">
            <v>85185989.865512088</v>
          </cell>
          <cell r="W70">
            <v>89701855.18186897</v>
          </cell>
          <cell r="X70">
            <v>93295735.701281473</v>
          </cell>
          <cell r="Y70">
            <v>87267964.936471209</v>
          </cell>
        </row>
        <row r="71">
          <cell r="O71">
            <v>130887285</v>
          </cell>
          <cell r="P71">
            <v>133485081</v>
          </cell>
          <cell r="Q71">
            <v>95833393</v>
          </cell>
          <cell r="R71">
            <v>114301406.64373817</v>
          </cell>
          <cell r="S71">
            <v>111934357.2928541</v>
          </cell>
          <cell r="T71">
            <v>87322837.1273157</v>
          </cell>
          <cell r="U71">
            <v>99621771.395883515</v>
          </cell>
          <cell r="V71">
            <v>98786236.673304528</v>
          </cell>
          <cell r="W71">
            <v>101963452.45301311</v>
          </cell>
          <cell r="X71">
            <v>106881449.69804786</v>
          </cell>
          <cell r="Y71">
            <v>99802002.947552264</v>
          </cell>
        </row>
        <row r="72">
          <cell r="O72">
            <v>133835520</v>
          </cell>
          <cell r="P72">
            <v>135031996</v>
          </cell>
          <cell r="Q72">
            <v>131791986.24915777</v>
          </cell>
          <cell r="R72">
            <v>121892905.63593009</v>
          </cell>
          <cell r="S72">
            <v>122289121.48130514</v>
          </cell>
          <cell r="T72">
            <v>96018766.815526187</v>
          </cell>
          <cell r="U72">
            <v>111393326.89138438</v>
          </cell>
          <cell r="V72">
            <v>113219959.76514225</v>
          </cell>
          <cell r="W72">
            <v>112488573.71474865</v>
          </cell>
          <cell r="X72">
            <v>118814240.39004086</v>
          </cell>
          <cell r="Y72">
            <v>111376681.07702474</v>
          </cell>
        </row>
        <row r="73">
          <cell r="O73">
            <v>163593533</v>
          </cell>
          <cell r="P73">
            <v>142081952</v>
          </cell>
          <cell r="Q73">
            <v>137817630.89019856</v>
          </cell>
          <cell r="R73">
            <v>129766553.07013708</v>
          </cell>
          <cell r="S73">
            <v>130779197.61732134</v>
          </cell>
          <cell r="T73">
            <v>104833421.36076534</v>
          </cell>
          <cell r="U73">
            <v>118413201.74282238</v>
          </cell>
          <cell r="V73">
            <v>120638216.89668246</v>
          </cell>
          <cell r="W73">
            <v>120378611.99403523</v>
          </cell>
          <cell r="X73">
            <v>127292580.98696111</v>
          </cell>
          <cell r="Y73">
            <v>119371961.24934368</v>
          </cell>
        </row>
        <row r="74">
          <cell r="O74">
            <v>153006295</v>
          </cell>
          <cell r="P74">
            <v>132929485</v>
          </cell>
          <cell r="Q74">
            <v>139596321.19621357</v>
          </cell>
          <cell r="R74">
            <v>127816904.80437458</v>
          </cell>
          <cell r="S74">
            <v>127674341.35939272</v>
          </cell>
          <cell r="T74">
            <v>101406344.05221833</v>
          </cell>
          <cell r="U74">
            <v>115503631.64849998</v>
          </cell>
          <cell r="V74">
            <v>118772689.92453365</v>
          </cell>
          <cell r="W74">
            <v>117738407.09695759</v>
          </cell>
          <cell r="X74">
            <v>124308963.57834576</v>
          </cell>
          <cell r="Y74">
            <v>116581969.68812892</v>
          </cell>
        </row>
        <row r="75">
          <cell r="O75">
            <v>142593233</v>
          </cell>
          <cell r="P75">
            <v>144952117</v>
          </cell>
          <cell r="Q75">
            <v>136977353.88914844</v>
          </cell>
          <cell r="R75">
            <v>125361596.77078378</v>
          </cell>
          <cell r="S75">
            <v>126065298.59349771</v>
          </cell>
          <cell r="T75">
            <v>100650848.29994829</v>
          </cell>
          <cell r="U75">
            <v>116344794.60040227</v>
          </cell>
          <cell r="V75">
            <v>117492258.72953446</v>
          </cell>
          <cell r="W75">
            <v>116690999.91890374</v>
          </cell>
          <cell r="X75">
            <v>123485105.04889673</v>
          </cell>
          <cell r="Y75">
            <v>115963265.86554125</v>
          </cell>
        </row>
        <row r="76">
          <cell r="O76">
            <v>152345476</v>
          </cell>
          <cell r="P76">
            <v>138321175</v>
          </cell>
          <cell r="Q76">
            <v>143289233.95318782</v>
          </cell>
          <cell r="R76">
            <v>130916081.05035864</v>
          </cell>
          <cell r="S76">
            <v>131433918.3824055</v>
          </cell>
          <cell r="T76">
            <v>103681957.97008775</v>
          </cell>
          <cell r="U76">
            <v>118846941.10506542</v>
          </cell>
          <cell r="V76">
            <v>121910977.68815117</v>
          </cell>
          <cell r="W76">
            <v>120848488.13724701</v>
          </cell>
          <cell r="X76">
            <v>127651891.20661637</v>
          </cell>
          <cell r="Y76">
            <v>119651288.00815092</v>
          </cell>
        </row>
        <row r="77">
          <cell r="O77">
            <v>143870897</v>
          </cell>
          <cell r="P77">
            <v>132214867</v>
          </cell>
          <cell r="Q77">
            <v>135304452.47691944</v>
          </cell>
          <cell r="R77">
            <v>122572542.30596884</v>
          </cell>
          <cell r="S77">
            <v>123936831.90819335</v>
          </cell>
          <cell r="T77">
            <v>97963149.874461755</v>
          </cell>
          <cell r="U77">
            <v>112304818.78177434</v>
          </cell>
          <cell r="V77">
            <v>114907565.04846516</v>
          </cell>
          <cell r="W77">
            <v>113856970.1359885</v>
          </cell>
          <cell r="X77">
            <v>120431400.6916357</v>
          </cell>
          <cell r="Y77">
            <v>112895989.23649925</v>
          </cell>
        </row>
        <row r="78">
          <cell r="O78">
            <v>144087366</v>
          </cell>
          <cell r="P78">
            <v>147491702</v>
          </cell>
          <cell r="Q78">
            <v>134025739.70324802</v>
          </cell>
          <cell r="R78">
            <v>124382872.26247028</v>
          </cell>
          <cell r="S78">
            <v>126174916.54740903</v>
          </cell>
          <cell r="T78">
            <v>100682564.20731442</v>
          </cell>
          <cell r="U78">
            <v>116115517.25071931</v>
          </cell>
          <cell r="V78">
            <v>116712415.42931686</v>
          </cell>
          <cell r="W78">
            <v>116323248.07050106</v>
          </cell>
          <cell r="X78">
            <v>123220796.42813019</v>
          </cell>
          <cell r="Y78">
            <v>115638486.79446085</v>
          </cell>
        </row>
        <row r="79">
          <cell r="O79">
            <v>135022031</v>
          </cell>
          <cell r="P79">
            <v>133073995</v>
          </cell>
          <cell r="Q79">
            <v>129213658.56247669</v>
          </cell>
          <cell r="R79">
            <v>120145810.83906877</v>
          </cell>
          <cell r="S79">
            <v>120805944.43290494</v>
          </cell>
          <cell r="T79">
            <v>95038972.472854599</v>
          </cell>
          <cell r="U79">
            <v>109788301.75630318</v>
          </cell>
          <cell r="V79">
            <v>111591017.02713788</v>
          </cell>
          <cell r="W79">
            <v>111006017.23645702</v>
          </cell>
          <cell r="X79">
            <v>117278389.90295777</v>
          </cell>
          <cell r="Y79">
            <v>109917278.80385731</v>
          </cell>
        </row>
        <row r="80">
          <cell r="O80">
            <v>135716325</v>
          </cell>
          <cell r="P80">
            <v>174669226</v>
          </cell>
          <cell r="Q80">
            <v>257708565.14586091</v>
          </cell>
          <cell r="R80">
            <v>137135371.71240735</v>
          </cell>
          <cell r="S80">
            <v>156028924.25371695</v>
          </cell>
          <cell r="T80">
            <v>128243865.93361497</v>
          </cell>
          <cell r="U80">
            <v>156675742.89320016</v>
          </cell>
          <cell r="V80">
            <v>162205422.22578073</v>
          </cell>
          <cell r="W80">
            <v>147436286.37179971</v>
          </cell>
          <cell r="X80">
            <v>160567598.28760839</v>
          </cell>
          <cell r="Y80">
            <v>132379850.15611649</v>
          </cell>
        </row>
        <row r="133">
          <cell r="I133">
            <v>18110934</v>
          </cell>
          <cell r="J133">
            <v>13358879</v>
          </cell>
          <cell r="K133">
            <v>33505471</v>
          </cell>
          <cell r="L133">
            <v>37832200</v>
          </cell>
          <cell r="M133">
            <v>41671282</v>
          </cell>
          <cell r="N133">
            <v>82989690</v>
          </cell>
          <cell r="O133">
            <v>144619899</v>
          </cell>
          <cell r="P133">
            <v>225009486</v>
          </cell>
          <cell r="Q133">
            <v>211951267</v>
          </cell>
          <cell r="R133">
            <v>167363506.03565693</v>
          </cell>
          <cell r="S133">
            <v>184113019.90570003</v>
          </cell>
          <cell r="T133">
            <v>187503083.12669492</v>
          </cell>
          <cell r="U133">
            <v>188609601.32131937</v>
          </cell>
          <cell r="V133">
            <v>197485801.8869448</v>
          </cell>
          <cell r="W133">
            <v>214408949.45894167</v>
          </cell>
        </row>
        <row r="134">
          <cell r="I134">
            <v>20685125</v>
          </cell>
          <cell r="J134">
            <v>20164577</v>
          </cell>
          <cell r="K134">
            <v>37825609</v>
          </cell>
          <cell r="L134">
            <v>33947857</v>
          </cell>
          <cell r="M134">
            <v>46693788</v>
          </cell>
          <cell r="N134">
            <v>96681669</v>
          </cell>
          <cell r="O134">
            <v>138971779</v>
          </cell>
          <cell r="P134">
            <v>226138432</v>
          </cell>
          <cell r="Q134">
            <v>181467123</v>
          </cell>
          <cell r="R134">
            <v>184551993.80017194</v>
          </cell>
          <cell r="S134">
            <v>203021708.33424437</v>
          </cell>
          <cell r="T134">
            <v>206759936.22730693</v>
          </cell>
          <cell r="U134">
            <v>207980095.5310359</v>
          </cell>
          <cell r="V134">
            <v>217767895.45563465</v>
          </cell>
          <cell r="W134">
            <v>236429076.13812566</v>
          </cell>
        </row>
        <row r="135">
          <cell r="I135">
            <v>15398643</v>
          </cell>
          <cell r="J135">
            <v>22796002</v>
          </cell>
          <cell r="K135">
            <v>32865031</v>
          </cell>
          <cell r="L135">
            <v>41664100</v>
          </cell>
          <cell r="M135">
            <v>55155941</v>
          </cell>
          <cell r="N135">
            <v>105277299</v>
          </cell>
          <cell r="O135">
            <v>174387031</v>
          </cell>
          <cell r="P135">
            <v>209952339</v>
          </cell>
          <cell r="Q135">
            <v>222828169</v>
          </cell>
          <cell r="R135">
            <v>194381009.33101276</v>
          </cell>
          <cell r="S135">
            <v>213834398.47768328</v>
          </cell>
          <cell r="T135">
            <v>217771719.85796398</v>
          </cell>
          <cell r="U135">
            <v>219056863.36749589</v>
          </cell>
          <cell r="V135">
            <v>229365949.65422308</v>
          </cell>
          <cell r="W135">
            <v>249021002.20433873</v>
          </cell>
        </row>
        <row r="136">
          <cell r="H136">
            <v>20862107</v>
          </cell>
          <cell r="I136">
            <v>20068138</v>
          </cell>
          <cell r="J136">
            <v>24720243</v>
          </cell>
          <cell r="K136">
            <v>35561760</v>
          </cell>
          <cell r="L136">
            <v>35556621</v>
          </cell>
          <cell r="M136">
            <v>47578471</v>
          </cell>
          <cell r="N136">
            <v>101188242</v>
          </cell>
          <cell r="O136">
            <v>169520733</v>
          </cell>
          <cell r="P136">
            <v>279120152</v>
          </cell>
          <cell r="Q136">
            <v>197526811.40333843</v>
          </cell>
          <cell r="R136">
            <v>188734385.3867617</v>
          </cell>
          <cell r="S136">
            <v>207622668.02775827</v>
          </cell>
          <cell r="T136">
            <v>211445613.14639378</v>
          </cell>
          <cell r="U136">
            <v>212693424.19151622</v>
          </cell>
          <cell r="V136">
            <v>222703039.17870483</v>
          </cell>
          <cell r="W136">
            <v>241787127.05106226</v>
          </cell>
        </row>
        <row r="137">
          <cell r="H137">
            <v>21624392</v>
          </cell>
          <cell r="I137">
            <v>24025408</v>
          </cell>
          <cell r="J137">
            <v>21078019</v>
          </cell>
          <cell r="K137">
            <v>36914619</v>
          </cell>
          <cell r="L137">
            <v>42165050</v>
          </cell>
          <cell r="M137">
            <v>57822332</v>
          </cell>
          <cell r="N137">
            <v>127392352</v>
          </cell>
          <cell r="O137">
            <v>222124396</v>
          </cell>
          <cell r="P137">
            <v>218975034</v>
          </cell>
          <cell r="Q137">
            <v>193874942.81081852</v>
          </cell>
          <cell r="R137">
            <v>210834210.38909155</v>
          </cell>
          <cell r="S137">
            <v>231934213.69829154</v>
          </cell>
          <cell r="T137">
            <v>236204806.01138088</v>
          </cell>
          <cell r="U137">
            <v>237598729.30667263</v>
          </cell>
          <cell r="V137">
            <v>248780418.68350813</v>
          </cell>
          <cell r="W137">
            <v>270099155.00873709</v>
          </cell>
        </row>
        <row r="138">
          <cell r="H138">
            <v>22043211</v>
          </cell>
          <cell r="I138">
            <v>17375071</v>
          </cell>
          <cell r="J138">
            <v>11453319</v>
          </cell>
          <cell r="K138">
            <v>37285265</v>
          </cell>
          <cell r="L138">
            <v>49854880</v>
          </cell>
          <cell r="M138">
            <v>64658005</v>
          </cell>
          <cell r="N138">
            <v>111675640</v>
          </cell>
          <cell r="O138">
            <v>192695635</v>
          </cell>
          <cell r="P138">
            <v>276399741</v>
          </cell>
          <cell r="Q138">
            <v>190309892.98933783</v>
          </cell>
          <cell r="R138">
            <v>209114517.14255437</v>
          </cell>
          <cell r="S138">
            <v>230042415.87192467</v>
          </cell>
          <cell r="T138">
            <v>234278174.61248335</v>
          </cell>
          <cell r="U138">
            <v>235660728.21367908</v>
          </cell>
          <cell r="V138">
            <v>246751212.86775759</v>
          </cell>
          <cell r="W138">
            <v>267896060.49240258</v>
          </cell>
        </row>
        <row r="139">
          <cell r="H139">
            <v>19094815</v>
          </cell>
          <cell r="I139">
            <v>19135415</v>
          </cell>
          <cell r="J139">
            <v>8063694</v>
          </cell>
          <cell r="K139">
            <v>43179249</v>
          </cell>
          <cell r="L139">
            <v>43059759</v>
          </cell>
          <cell r="M139">
            <v>64256004</v>
          </cell>
          <cell r="N139">
            <v>104188807</v>
          </cell>
          <cell r="O139">
            <v>178359770</v>
          </cell>
          <cell r="P139">
            <v>285699486</v>
          </cell>
          <cell r="Q139">
            <v>187398408.05446762</v>
          </cell>
          <cell r="R139">
            <v>204816536.25140023</v>
          </cell>
          <cell r="S139">
            <v>225314298.85220358</v>
          </cell>
          <cell r="T139">
            <v>229462999.02612028</v>
          </cell>
          <cell r="U139">
            <v>230817136.67112064</v>
          </cell>
          <cell r="V139">
            <v>241679675.93064594</v>
          </cell>
          <cell r="W139">
            <v>262389928.42397761</v>
          </cell>
        </row>
        <row r="140">
          <cell r="H140">
            <v>24325149</v>
          </cell>
          <cell r="I140">
            <v>24232162</v>
          </cell>
          <cell r="J140">
            <v>13886150</v>
          </cell>
          <cell r="K140">
            <v>26567329</v>
          </cell>
          <cell r="L140">
            <v>40277987</v>
          </cell>
          <cell r="M140">
            <v>74651823</v>
          </cell>
          <cell r="N140">
            <v>114997212</v>
          </cell>
          <cell r="O140">
            <v>228402500</v>
          </cell>
          <cell r="P140">
            <v>251626126</v>
          </cell>
          <cell r="Q140">
            <v>190065868.83781767</v>
          </cell>
          <cell r="R140">
            <v>207747570.2872304</v>
          </cell>
          <cell r="S140">
            <v>228538666.81966308</v>
          </cell>
          <cell r="T140">
            <v>232746737.10908294</v>
          </cell>
          <cell r="U140">
            <v>234120253.18709138</v>
          </cell>
          <cell r="V140">
            <v>245138241.18560976</v>
          </cell>
          <cell r="W140">
            <v>266144868.45443362</v>
          </cell>
        </row>
        <row r="141">
          <cell r="H141">
            <v>18860534</v>
          </cell>
          <cell r="I141">
            <v>21583936</v>
          </cell>
          <cell r="J141">
            <v>28618283</v>
          </cell>
          <cell r="K141">
            <v>37653169</v>
          </cell>
          <cell r="L141">
            <v>44831236</v>
          </cell>
          <cell r="M141">
            <v>49922849</v>
          </cell>
          <cell r="N141">
            <v>118717748</v>
          </cell>
          <cell r="O141">
            <v>226606008</v>
          </cell>
          <cell r="P141">
            <v>251116801</v>
          </cell>
          <cell r="Q141">
            <v>193511743.0486123</v>
          </cell>
          <cell r="R141">
            <v>211533933.20513019</v>
          </cell>
          <cell r="S141">
            <v>232703963.82966334</v>
          </cell>
          <cell r="T141">
            <v>236988729.51088852</v>
          </cell>
          <cell r="U141">
            <v>238387279.00005898</v>
          </cell>
          <cell r="V141">
            <v>249606078.49846527</v>
          </cell>
          <cell r="W141">
            <v>270995568.07663333</v>
          </cell>
        </row>
        <row r="142">
          <cell r="H142">
            <v>20108545</v>
          </cell>
          <cell r="I142">
            <v>25021680</v>
          </cell>
          <cell r="J142">
            <v>35905766</v>
          </cell>
          <cell r="K142">
            <v>46592429</v>
          </cell>
          <cell r="L142">
            <v>20889246</v>
          </cell>
          <cell r="M142">
            <v>72254487</v>
          </cell>
          <cell r="N142">
            <v>107988833</v>
          </cell>
          <cell r="O142">
            <v>207126963</v>
          </cell>
          <cell r="P142">
            <v>284446069</v>
          </cell>
          <cell r="Q142">
            <v>211544890.34916314</v>
          </cell>
          <cell r="R142">
            <v>232447756.1543175</v>
          </cell>
          <cell r="S142">
            <v>255710813.96178031</v>
          </cell>
          <cell r="T142">
            <v>260419203.54806</v>
          </cell>
          <cell r="U142">
            <v>261956024.07469007</v>
          </cell>
          <cell r="V142">
            <v>274283997.79804009</v>
          </cell>
        </row>
        <row r="143">
          <cell r="H143">
            <v>26977711</v>
          </cell>
          <cell r="I143">
            <v>22579304</v>
          </cell>
          <cell r="J143">
            <v>36871698</v>
          </cell>
          <cell r="K143">
            <v>40119894</v>
          </cell>
          <cell r="L143">
            <v>43128210</v>
          </cell>
          <cell r="M143">
            <v>101107386</v>
          </cell>
          <cell r="N143">
            <v>163685380</v>
          </cell>
          <cell r="O143">
            <v>201017950</v>
          </cell>
          <cell r="P143">
            <v>254007376</v>
          </cell>
          <cell r="Q143">
            <v>229022357.08691242</v>
          </cell>
          <cell r="R143">
            <v>282418876.1436699</v>
          </cell>
          <cell r="S143">
            <v>310682976.21649331</v>
          </cell>
          <cell r="T143">
            <v>316403565.29596317</v>
          </cell>
          <cell r="U143">
            <v>318270768.20274127</v>
          </cell>
          <cell r="V143">
            <v>333248983.27213436</v>
          </cell>
        </row>
        <row r="144">
          <cell r="H144">
            <v>26878185</v>
          </cell>
          <cell r="I144">
            <v>24979072</v>
          </cell>
          <cell r="J144">
            <v>44959932</v>
          </cell>
          <cell r="K144">
            <v>49773555</v>
          </cell>
          <cell r="L144">
            <v>49704530</v>
          </cell>
          <cell r="M144">
            <v>107217732</v>
          </cell>
          <cell r="N144">
            <v>144586770</v>
          </cell>
          <cell r="O144">
            <v>271248613</v>
          </cell>
          <cell r="P144">
            <v>307690828</v>
          </cell>
          <cell r="Q144">
            <v>279923412.01707482</v>
          </cell>
          <cell r="R144">
            <v>320452443.0538559</v>
          </cell>
          <cell r="S144">
            <v>352522891.1865344</v>
          </cell>
          <cell r="T144">
            <v>359013876.38998365</v>
          </cell>
          <cell r="U144">
            <v>361132536.94598007</v>
          </cell>
          <cell r="V144">
            <v>378127879.74003363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1</v>
          </cell>
        </row>
        <row r="150">
          <cell r="C150">
            <v>0</v>
          </cell>
          <cell r="D150">
            <v>9500</v>
          </cell>
          <cell r="E150">
            <v>70905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1</v>
          </cell>
        </row>
        <row r="151">
          <cell r="C151">
            <v>0</v>
          </cell>
          <cell r="D151">
            <v>58000</v>
          </cell>
          <cell r="E151">
            <v>68357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1</v>
          </cell>
        </row>
        <row r="152">
          <cell r="C152">
            <v>0</v>
          </cell>
          <cell r="D152">
            <v>133864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1</v>
          </cell>
        </row>
        <row r="153">
          <cell r="C153">
            <v>0</v>
          </cell>
          <cell r="D153">
            <v>138592</v>
          </cell>
          <cell r="E153">
            <v>0</v>
          </cell>
          <cell r="F153">
            <v>61012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1</v>
          </cell>
        </row>
        <row r="154">
          <cell r="C154">
            <v>0</v>
          </cell>
          <cell r="D154">
            <v>0</v>
          </cell>
          <cell r="E154">
            <v>46481</v>
          </cell>
          <cell r="F154">
            <v>28389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1</v>
          </cell>
        </row>
        <row r="155">
          <cell r="C155">
            <v>28604</v>
          </cell>
          <cell r="D155">
            <v>227664</v>
          </cell>
          <cell r="E155">
            <v>58759</v>
          </cell>
          <cell r="F155">
            <v>8646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1</v>
          </cell>
        </row>
        <row r="156">
          <cell r="C156">
            <v>65973</v>
          </cell>
          <cell r="D156">
            <v>45870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1</v>
          </cell>
        </row>
        <row r="157">
          <cell r="C157">
            <v>15600</v>
          </cell>
          <cell r="D157">
            <v>142502</v>
          </cell>
          <cell r="E157">
            <v>0</v>
          </cell>
          <cell r="F157">
            <v>17718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</v>
          </cell>
        </row>
        <row r="158">
          <cell r="C158">
            <v>30000</v>
          </cell>
          <cell r="D158">
            <v>203290</v>
          </cell>
          <cell r="E158">
            <v>0</v>
          </cell>
          <cell r="F158">
            <v>33044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1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25050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1</v>
          </cell>
        </row>
        <row r="160">
          <cell r="C160">
            <v>0</v>
          </cell>
          <cell r="D160">
            <v>0</v>
          </cell>
          <cell r="E160">
            <v>258432</v>
          </cell>
          <cell r="F160">
            <v>31434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1</v>
          </cell>
        </row>
        <row r="165">
          <cell r="C165">
            <v>215640</v>
          </cell>
          <cell r="D165">
            <v>18663</v>
          </cell>
          <cell r="E165">
            <v>613304</v>
          </cell>
          <cell r="F165">
            <v>630860</v>
          </cell>
          <cell r="G165">
            <v>313748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29440496</v>
          </cell>
          <cell r="P165">
            <v>48378427</v>
          </cell>
          <cell r="Q165">
            <v>36068372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</row>
        <row r="166">
          <cell r="C166">
            <v>236655</v>
          </cell>
          <cell r="D166">
            <v>9705</v>
          </cell>
          <cell r="E166">
            <v>428214</v>
          </cell>
          <cell r="F166">
            <v>890908</v>
          </cell>
          <cell r="G166">
            <v>357612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369069</v>
          </cell>
          <cell r="O166">
            <v>27625299</v>
          </cell>
          <cell r="P166">
            <v>45465400</v>
          </cell>
          <cell r="Q166">
            <v>37563478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</row>
        <row r="167">
          <cell r="C167">
            <v>755025</v>
          </cell>
          <cell r="D167">
            <v>1006848</v>
          </cell>
          <cell r="E167">
            <v>592656</v>
          </cell>
          <cell r="F167">
            <v>1153647</v>
          </cell>
          <cell r="G167">
            <v>583782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77733</v>
          </cell>
          <cell r="M167">
            <v>0</v>
          </cell>
          <cell r="N167">
            <v>247044</v>
          </cell>
          <cell r="O167">
            <v>35927540</v>
          </cell>
          <cell r="P167">
            <v>45072383</v>
          </cell>
          <cell r="Q167">
            <v>36495940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</row>
        <row r="168">
          <cell r="C168">
            <v>391384</v>
          </cell>
          <cell r="D168">
            <v>1863128</v>
          </cell>
          <cell r="E168">
            <v>686226</v>
          </cell>
          <cell r="F168">
            <v>945154</v>
          </cell>
          <cell r="G168">
            <v>621806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557772</v>
          </cell>
          <cell r="M168">
            <v>0</v>
          </cell>
          <cell r="N168">
            <v>0</v>
          </cell>
          <cell r="O168">
            <v>33974667</v>
          </cell>
          <cell r="P168">
            <v>52475286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</row>
        <row r="169">
          <cell r="C169">
            <v>822133</v>
          </cell>
          <cell r="D169">
            <v>2453173</v>
          </cell>
          <cell r="E169">
            <v>705362</v>
          </cell>
          <cell r="F169">
            <v>818082</v>
          </cell>
          <cell r="G169">
            <v>577621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54415742</v>
          </cell>
          <cell r="P169">
            <v>2010329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</row>
        <row r="170">
          <cell r="C170">
            <v>1539698</v>
          </cell>
          <cell r="D170">
            <v>906500</v>
          </cell>
          <cell r="E170">
            <v>1093912</v>
          </cell>
          <cell r="F170">
            <v>729739</v>
          </cell>
          <cell r="G170">
            <v>500170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105660</v>
          </cell>
          <cell r="M170">
            <v>0</v>
          </cell>
          <cell r="N170">
            <v>432306</v>
          </cell>
          <cell r="O170">
            <v>41543150</v>
          </cell>
          <cell r="P170">
            <v>43911210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</row>
        <row r="171">
          <cell r="C171">
            <v>1458311</v>
          </cell>
          <cell r="D171">
            <v>757671</v>
          </cell>
          <cell r="E171">
            <v>10972434</v>
          </cell>
          <cell r="F171">
            <v>344722</v>
          </cell>
          <cell r="G171">
            <v>474873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445024</v>
          </cell>
          <cell r="M171">
            <v>438506</v>
          </cell>
          <cell r="N171">
            <v>366519</v>
          </cell>
          <cell r="O171">
            <v>40392351</v>
          </cell>
          <cell r="P171">
            <v>53677623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</row>
        <row r="172">
          <cell r="C172">
            <v>1776803</v>
          </cell>
          <cell r="D172">
            <v>358250</v>
          </cell>
          <cell r="E172">
            <v>7229572</v>
          </cell>
          <cell r="F172">
            <v>474247</v>
          </cell>
          <cell r="G172">
            <v>333225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274606</v>
          </cell>
          <cell r="N172">
            <v>0</v>
          </cell>
          <cell r="O172">
            <v>54002619</v>
          </cell>
          <cell r="P172">
            <v>48162137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</row>
        <row r="173">
          <cell r="C173">
            <v>1937964</v>
          </cell>
          <cell r="D173">
            <v>305963</v>
          </cell>
          <cell r="E173">
            <v>1971496</v>
          </cell>
          <cell r="F173">
            <v>368827</v>
          </cell>
          <cell r="G173">
            <v>336516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45782234</v>
          </cell>
          <cell r="P173">
            <v>34597382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</row>
        <row r="174">
          <cell r="C174">
            <v>2410880</v>
          </cell>
          <cell r="D174">
            <v>570293</v>
          </cell>
          <cell r="E174">
            <v>2016071</v>
          </cell>
          <cell r="F174">
            <v>411779</v>
          </cell>
          <cell r="G174">
            <v>47132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669177</v>
          </cell>
          <cell r="O174">
            <v>56281754</v>
          </cell>
          <cell r="P174">
            <v>55284123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</row>
        <row r="175">
          <cell r="C175">
            <v>2186856</v>
          </cell>
          <cell r="D175">
            <v>568839</v>
          </cell>
          <cell r="E175">
            <v>1251406</v>
          </cell>
          <cell r="F175">
            <v>365512</v>
          </cell>
          <cell r="G175">
            <v>80928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4652</v>
          </cell>
          <cell r="M175">
            <v>0</v>
          </cell>
          <cell r="N175">
            <v>14109311</v>
          </cell>
          <cell r="O175">
            <v>49803089</v>
          </cell>
          <cell r="P175">
            <v>39534888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</row>
        <row r="176">
          <cell r="C176">
            <v>1160739</v>
          </cell>
          <cell r="D176">
            <v>552904</v>
          </cell>
          <cell r="E176">
            <v>1351606</v>
          </cell>
          <cell r="F176">
            <v>322854</v>
          </cell>
          <cell r="G176">
            <v>71180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22953301</v>
          </cell>
          <cell r="O176">
            <v>57399372</v>
          </cell>
          <cell r="P176">
            <v>53407518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</row>
        <row r="181">
          <cell r="C181">
            <v>1937082</v>
          </cell>
          <cell r="D181">
            <v>3685968</v>
          </cell>
          <cell r="E181">
            <v>261671</v>
          </cell>
          <cell r="F181">
            <v>9463611</v>
          </cell>
          <cell r="G181">
            <v>17024881</v>
          </cell>
          <cell r="H181">
            <v>11522833</v>
          </cell>
          <cell r="I181">
            <v>18110934</v>
          </cell>
          <cell r="J181">
            <v>13358879</v>
          </cell>
          <cell r="K181">
            <v>33505471</v>
          </cell>
          <cell r="L181">
            <v>37832200</v>
          </cell>
          <cell r="M181">
            <v>41671282</v>
          </cell>
          <cell r="N181">
            <v>82989690</v>
          </cell>
          <cell r="O181">
            <v>115179403</v>
          </cell>
          <cell r="P181">
            <v>176631059</v>
          </cell>
          <cell r="Q181">
            <v>175882895</v>
          </cell>
          <cell r="R181">
            <v>167363506.03565693</v>
          </cell>
          <cell r="S181">
            <v>184113019.90570003</v>
          </cell>
          <cell r="T181">
            <v>187503083.12669492</v>
          </cell>
          <cell r="U181">
            <v>188609601.32131937</v>
          </cell>
          <cell r="V181">
            <v>197485801.8869448</v>
          </cell>
          <cell r="W181">
            <v>214408949.45894167</v>
          </cell>
          <cell r="X181">
            <v>254659006.54638639</v>
          </cell>
          <cell r="Y181">
            <v>253139358.43034077</v>
          </cell>
          <cell r="Z181">
            <v>245506194.51056814</v>
          </cell>
          <cell r="AA181">
            <v>260094530.44331792</v>
          </cell>
          <cell r="AB181">
            <v>281964617.45584697</v>
          </cell>
          <cell r="AC181">
            <v>321357396.38182151</v>
          </cell>
          <cell r="AD181">
            <v>354497325.15878499</v>
          </cell>
          <cell r="AE181">
            <v>354726053.95795661</v>
          </cell>
          <cell r="AF181">
            <v>310498367.83100873</v>
          </cell>
          <cell r="AG181">
            <v>329087679.74111909</v>
          </cell>
          <cell r="AH181">
            <v>347929757.7010892</v>
          </cell>
          <cell r="AI181">
            <v>378167244.38818866</v>
          </cell>
          <cell r="AJ181">
            <v>385634947.27047312</v>
          </cell>
          <cell r="AK181">
            <v>383390369.26658916</v>
          </cell>
          <cell r="AL181">
            <v>364780856.08891368</v>
          </cell>
          <cell r="AM181">
            <v>380537041.97759515</v>
          </cell>
          <cell r="AN181">
            <v>394162753.34874737</v>
          </cell>
          <cell r="AO181">
            <v>408416513.60872501</v>
          </cell>
          <cell r="AP181">
            <v>426560134.73594898</v>
          </cell>
          <cell r="AQ181">
            <v>459075334.98651177</v>
          </cell>
        </row>
        <row r="182">
          <cell r="C182">
            <v>0</v>
          </cell>
          <cell r="D182">
            <v>1447398</v>
          </cell>
          <cell r="E182">
            <v>210451</v>
          </cell>
          <cell r="F182">
            <v>10879008</v>
          </cell>
          <cell r="G182">
            <v>12732771</v>
          </cell>
          <cell r="H182">
            <v>7052579</v>
          </cell>
          <cell r="I182">
            <v>20685125</v>
          </cell>
          <cell r="J182">
            <v>20164577</v>
          </cell>
          <cell r="K182">
            <v>37825609</v>
          </cell>
          <cell r="L182">
            <v>33947857</v>
          </cell>
          <cell r="M182">
            <v>46693788</v>
          </cell>
          <cell r="N182">
            <v>96312600</v>
          </cell>
          <cell r="O182">
            <v>111346480</v>
          </cell>
          <cell r="P182">
            <v>180673032</v>
          </cell>
          <cell r="Q182">
            <v>143903645</v>
          </cell>
          <cell r="R182">
            <v>184551993.80017194</v>
          </cell>
          <cell r="S182">
            <v>203021708.33424437</v>
          </cell>
          <cell r="T182">
            <v>206759936.22730693</v>
          </cell>
          <cell r="U182">
            <v>207980095.5310359</v>
          </cell>
          <cell r="V182">
            <v>217767895.45563465</v>
          </cell>
          <cell r="W182">
            <v>236429076.13812566</v>
          </cell>
          <cell r="X182">
            <v>280812875.58169174</v>
          </cell>
          <cell r="Y182">
            <v>279137157.28243995</v>
          </cell>
          <cell r="Z182">
            <v>270720055.76630986</v>
          </cell>
          <cell r="AA182">
            <v>286806636.08712399</v>
          </cell>
          <cell r="AB182">
            <v>310922814.44852602</v>
          </cell>
          <cell r="AC182">
            <v>354361291.95370638</v>
          </cell>
          <cell r="AD182">
            <v>390904742.04659146</v>
          </cell>
          <cell r="AE182">
            <v>391156961.64288533</v>
          </cell>
          <cell r="AF182">
            <v>342387024.58051616</v>
          </cell>
          <cell r="AG182">
            <v>362885487.22417772</v>
          </cell>
          <cell r="AH182">
            <v>383662675.37719071</v>
          </cell>
          <cell r="AI182">
            <v>417005598.14328915</v>
          </cell>
          <cell r="AJ182">
            <v>425240245.52059293</v>
          </cell>
          <cell r="AK182">
            <v>422765145.92648822</v>
          </cell>
          <cell r="AL182">
            <v>402244407.31421942</v>
          </cell>
          <cell r="AM182">
            <v>419618777.56565756</v>
          </cell>
          <cell r="AN182">
            <v>434643870.3117193</v>
          </cell>
          <cell r="AO182">
            <v>450361513.52700961</v>
          </cell>
          <cell r="AP182">
            <v>470368512.26346481</v>
          </cell>
          <cell r="AQ182">
            <v>506223073.25584</v>
          </cell>
        </row>
        <row r="183">
          <cell r="C183">
            <v>1631344</v>
          </cell>
          <cell r="D183">
            <v>3639708</v>
          </cell>
          <cell r="E183">
            <v>519014</v>
          </cell>
          <cell r="F183">
            <v>13061163</v>
          </cell>
          <cell r="G183">
            <v>14824699</v>
          </cell>
          <cell r="H183">
            <v>17471358</v>
          </cell>
          <cell r="I183">
            <v>15398643</v>
          </cell>
          <cell r="J183">
            <v>22796002</v>
          </cell>
          <cell r="K183">
            <v>32865031</v>
          </cell>
          <cell r="L183">
            <v>41586367</v>
          </cell>
          <cell r="M183">
            <v>55155941</v>
          </cell>
          <cell r="N183">
            <v>105030255</v>
          </cell>
          <cell r="O183">
            <v>138459491</v>
          </cell>
          <cell r="P183">
            <v>164879956</v>
          </cell>
          <cell r="Q183">
            <v>186332229</v>
          </cell>
          <cell r="R183">
            <v>194381009.33101276</v>
          </cell>
          <cell r="S183">
            <v>213834398.47768328</v>
          </cell>
          <cell r="T183">
            <v>217771719.85796398</v>
          </cell>
          <cell r="U183">
            <v>219056863.36749589</v>
          </cell>
          <cell r="V183">
            <v>229365949.65422308</v>
          </cell>
          <cell r="W183">
            <v>249021002.20433873</v>
          </cell>
          <cell r="X183">
            <v>295768629.01744759</v>
          </cell>
          <cell r="Y183">
            <v>294003663.9923842</v>
          </cell>
          <cell r="Z183">
            <v>285138277.8502084</v>
          </cell>
          <cell r="AA183">
            <v>302081609.94354802</v>
          </cell>
          <cell r="AB183">
            <v>327482186.73803008</v>
          </cell>
          <cell r="AC183">
            <v>373234144.9119525</v>
          </cell>
          <cell r="AD183">
            <v>411723854.86969918</v>
          </cell>
          <cell r="AE183">
            <v>411989507.37602627</v>
          </cell>
          <cell r="AF183">
            <v>360622142.57010639</v>
          </cell>
          <cell r="AG183">
            <v>382212328.49203867</v>
          </cell>
          <cell r="AH183">
            <v>404096084.50616229</v>
          </cell>
          <cell r="AI183">
            <v>439214810.93042368</v>
          </cell>
          <cell r="AJ183">
            <v>447888025.64745587</v>
          </cell>
          <cell r="AK183">
            <v>445281105.24854761</v>
          </cell>
          <cell r="AL183">
            <v>423667456.9669165</v>
          </cell>
          <cell r="AM183">
            <v>441967165.12190968</v>
          </cell>
          <cell r="AN183">
            <v>457792476.09868467</v>
          </cell>
          <cell r="AO183">
            <v>474347221.94337583</v>
          </cell>
          <cell r="AP183">
            <v>495419769.18601006</v>
          </cell>
          <cell r="AQ183">
            <v>533183900.64461988</v>
          </cell>
        </row>
        <row r="184">
          <cell r="C184">
            <v>1295875</v>
          </cell>
          <cell r="D184">
            <v>1185054</v>
          </cell>
          <cell r="E184">
            <v>337601</v>
          </cell>
          <cell r="F184">
            <v>11812263</v>
          </cell>
          <cell r="G184">
            <v>14552778</v>
          </cell>
          <cell r="H184">
            <v>20862107</v>
          </cell>
          <cell r="I184">
            <v>20068138</v>
          </cell>
          <cell r="J184">
            <v>24720243</v>
          </cell>
          <cell r="K184">
            <v>35561760</v>
          </cell>
          <cell r="L184">
            <v>34998849</v>
          </cell>
          <cell r="M184">
            <v>47578471</v>
          </cell>
          <cell r="N184">
            <v>101188242</v>
          </cell>
          <cell r="O184">
            <v>135546066</v>
          </cell>
          <cell r="P184">
            <v>226644866</v>
          </cell>
          <cell r="Q184">
            <v>197526811.40333843</v>
          </cell>
          <cell r="R184">
            <v>188734385.3867617</v>
          </cell>
          <cell r="S184">
            <v>207622668.02775827</v>
          </cell>
          <cell r="T184">
            <v>211445613.14639378</v>
          </cell>
          <cell r="U184">
            <v>212693424.19151622</v>
          </cell>
          <cell r="V184">
            <v>222703039.17870483</v>
          </cell>
          <cell r="W184">
            <v>241787127.05106226</v>
          </cell>
          <cell r="X184">
            <v>287176770.02712715</v>
          </cell>
          <cell r="Y184">
            <v>285463075.92511117</v>
          </cell>
          <cell r="Z184">
            <v>276855222.6655854</v>
          </cell>
          <cell r="AA184">
            <v>293306363.54630131</v>
          </cell>
          <cell r="AB184">
            <v>317969072.45122391</v>
          </cell>
          <cell r="AC184">
            <v>362391970.22253615</v>
          </cell>
          <cell r="AD184">
            <v>399763582.69430584</v>
          </cell>
          <cell r="AE184">
            <v>400021518.19263792</v>
          </cell>
          <cell r="AF184">
            <v>350146337.18113518</v>
          </cell>
          <cell r="AG184">
            <v>371109344.23818147</v>
          </cell>
          <cell r="AH184">
            <v>392357393.39429069</v>
          </cell>
          <cell r="AI184">
            <v>426455946.90041918</v>
          </cell>
          <cell r="AJ184">
            <v>434877211.17196608</v>
          </cell>
          <cell r="AK184">
            <v>432346019.87435168</v>
          </cell>
          <cell r="AL184">
            <v>411360232.02172905</v>
          </cell>
          <cell r="AM184">
            <v>429128347.24695808</v>
          </cell>
          <cell r="AN184">
            <v>444493944.69413352</v>
          </cell>
          <cell r="AO184">
            <v>460567787.4681012</v>
          </cell>
          <cell r="AP184">
            <v>481028192.86500603</v>
          </cell>
          <cell r="AQ184">
            <v>517695304.35411412</v>
          </cell>
        </row>
        <row r="185">
          <cell r="C185">
            <v>2322891</v>
          </cell>
          <cell r="D185">
            <v>765981</v>
          </cell>
          <cell r="E185">
            <v>261377</v>
          </cell>
          <cell r="F185">
            <v>14578090</v>
          </cell>
          <cell r="G185">
            <v>14822472</v>
          </cell>
          <cell r="H185">
            <v>21624392</v>
          </cell>
          <cell r="I185">
            <v>24025408</v>
          </cell>
          <cell r="J185">
            <v>21078019</v>
          </cell>
          <cell r="K185">
            <v>36914619</v>
          </cell>
          <cell r="L185">
            <v>42165050</v>
          </cell>
          <cell r="M185">
            <v>57822332</v>
          </cell>
          <cell r="N185">
            <v>127392352</v>
          </cell>
          <cell r="O185">
            <v>167708654</v>
          </cell>
          <cell r="P185">
            <v>216964705</v>
          </cell>
          <cell r="Q185">
            <v>193874942.81081852</v>
          </cell>
          <cell r="R185">
            <v>210834210.38909155</v>
          </cell>
          <cell r="S185">
            <v>231934213.69829154</v>
          </cell>
          <cell r="T185">
            <v>236204806.01138088</v>
          </cell>
          <cell r="U185">
            <v>237598729.30667263</v>
          </cell>
          <cell r="V185">
            <v>248780418.68350813</v>
          </cell>
          <cell r="W185">
            <v>270099155.00873709</v>
          </cell>
          <cell r="X185">
            <v>320803691.53021324</v>
          </cell>
          <cell r="Y185">
            <v>318889332.67023879</v>
          </cell>
          <cell r="Z185">
            <v>309273544.10368657</v>
          </cell>
          <cell r="AA185">
            <v>327651028.89787358</v>
          </cell>
          <cell r="AB185">
            <v>355201614.06215012</v>
          </cell>
          <cell r="AC185">
            <v>404826204.49180114</v>
          </cell>
          <cell r="AD185">
            <v>446573840.41042984</v>
          </cell>
          <cell r="AE185">
            <v>446861978.82787144</v>
          </cell>
          <cell r="AF185">
            <v>391146670.8567</v>
          </cell>
          <cell r="AG185">
            <v>414564338.13124698</v>
          </cell>
          <cell r="AH185">
            <v>438300424.46737844</v>
          </cell>
          <cell r="AI185">
            <v>476391743.06384158</v>
          </cell>
          <cell r="AJ185">
            <v>485799094.03240544</v>
          </cell>
          <cell r="AK185">
            <v>482971513.26336503</v>
          </cell>
          <cell r="AL185">
            <v>459528397.67934579</v>
          </cell>
          <cell r="AM185">
            <v>479377067.73454988</v>
          </cell>
          <cell r="AN185">
            <v>496541897.54705685</v>
          </cell>
          <cell r="AO185">
            <v>514497904.56836981</v>
          </cell>
          <cell r="AP185">
            <v>537354118.11555803</v>
          </cell>
          <cell r="AQ185">
            <v>578314759.61293483</v>
          </cell>
        </row>
        <row r="186">
          <cell r="C186">
            <v>2203702</v>
          </cell>
          <cell r="D186">
            <v>2175694</v>
          </cell>
          <cell r="E186">
            <v>459266</v>
          </cell>
          <cell r="F186">
            <v>14129892</v>
          </cell>
          <cell r="G186">
            <v>13375766</v>
          </cell>
          <cell r="H186">
            <v>22043211</v>
          </cell>
          <cell r="I186">
            <v>17375071</v>
          </cell>
          <cell r="J186">
            <v>11453319</v>
          </cell>
          <cell r="K186">
            <v>37285265</v>
          </cell>
          <cell r="L186">
            <v>49749220</v>
          </cell>
          <cell r="M186">
            <v>64658005</v>
          </cell>
          <cell r="N186">
            <v>111243334</v>
          </cell>
          <cell r="O186">
            <v>151152485</v>
          </cell>
          <cell r="P186">
            <v>232488531</v>
          </cell>
          <cell r="Q186">
            <v>190309892.98933783</v>
          </cell>
          <cell r="R186">
            <v>209114517.14255437</v>
          </cell>
          <cell r="S186">
            <v>230042415.87192467</v>
          </cell>
          <cell r="T186">
            <v>234278174.61248335</v>
          </cell>
          <cell r="U186">
            <v>235660728.21367908</v>
          </cell>
          <cell r="V186">
            <v>246751212.86775759</v>
          </cell>
          <cell r="W186">
            <v>267896060.49240258</v>
          </cell>
          <cell r="X186">
            <v>318187019.68758118</v>
          </cell>
          <cell r="Y186">
            <v>316288275.51365256</v>
          </cell>
          <cell r="Z186">
            <v>306750919.22157568</v>
          </cell>
          <cell r="AA186">
            <v>324978505.96823716</v>
          </cell>
          <cell r="AB186">
            <v>352304371.64720011</v>
          </cell>
          <cell r="AC186">
            <v>401524193.45383418</v>
          </cell>
          <cell r="AD186">
            <v>442931310.02593148</v>
          </cell>
          <cell r="AE186">
            <v>443217098.20955843</v>
          </cell>
          <cell r="AF186">
            <v>387956238.49263352</v>
          </cell>
          <cell r="AG186">
            <v>411182896.89728516</v>
          </cell>
          <cell r="AH186">
            <v>434725377.14218438</v>
          </cell>
          <cell r="AI186">
            <v>472505999.56073052</v>
          </cell>
          <cell r="AJ186">
            <v>481836618.39982361</v>
          </cell>
          <cell r="AK186">
            <v>479032101.11532676</v>
          </cell>
          <cell r="AL186">
            <v>455780201.9732371</v>
          </cell>
          <cell r="AM186">
            <v>475466974.09079766</v>
          </cell>
          <cell r="AN186">
            <v>492491797.0142327</v>
          </cell>
          <cell r="AO186">
            <v>510301343.8194719</v>
          </cell>
          <cell r="AP186">
            <v>532971128.05802953</v>
          </cell>
          <cell r="AQ186">
            <v>573597669.41849363</v>
          </cell>
        </row>
        <row r="187">
          <cell r="C187">
            <v>4169020</v>
          </cell>
          <cell r="D187">
            <v>4738922</v>
          </cell>
          <cell r="E187">
            <v>323610</v>
          </cell>
          <cell r="F187">
            <v>12259921</v>
          </cell>
          <cell r="G187">
            <v>14570194</v>
          </cell>
          <cell r="H187">
            <v>19094815</v>
          </cell>
          <cell r="I187">
            <v>19135415</v>
          </cell>
          <cell r="J187">
            <v>8063694</v>
          </cell>
          <cell r="K187">
            <v>43179249</v>
          </cell>
          <cell r="L187">
            <v>42614735</v>
          </cell>
          <cell r="M187">
            <v>63817498</v>
          </cell>
          <cell r="N187">
            <v>103822288</v>
          </cell>
          <cell r="O187">
            <v>137967419</v>
          </cell>
          <cell r="P187">
            <v>232021863</v>
          </cell>
          <cell r="Q187">
            <v>187398408.05446762</v>
          </cell>
          <cell r="R187">
            <v>204816536.25140023</v>
          </cell>
          <cell r="S187">
            <v>225314298.85220358</v>
          </cell>
          <cell r="T187">
            <v>229462999.02612028</v>
          </cell>
          <cell r="U187">
            <v>230817136.67112064</v>
          </cell>
          <cell r="V187">
            <v>241679675.93064594</v>
          </cell>
          <cell r="W187">
            <v>262389928.42397761</v>
          </cell>
          <cell r="X187">
            <v>311647245.45708984</v>
          </cell>
          <cell r="Y187">
            <v>309787526.62816477</v>
          </cell>
          <cell r="Z187">
            <v>300446193.91042221</v>
          </cell>
          <cell r="AA187">
            <v>318299144.68919629</v>
          </cell>
          <cell r="AB187">
            <v>345063375.28836048</v>
          </cell>
          <cell r="AC187">
            <v>393271570.27691621</v>
          </cell>
          <cell r="AD187">
            <v>433827636.43789667</v>
          </cell>
          <cell r="AE187">
            <v>434107550.74835151</v>
          </cell>
          <cell r="AF187">
            <v>379982480.752473</v>
          </cell>
          <cell r="AG187">
            <v>402731756.06888831</v>
          </cell>
          <cell r="AH187">
            <v>425790362.06342179</v>
          </cell>
          <cell r="AI187">
            <v>462794470.27611709</v>
          </cell>
          <cell r="AJ187">
            <v>471933314.66539657</v>
          </cell>
          <cell r="AK187">
            <v>469186439.29817253</v>
          </cell>
          <cell r="AL187">
            <v>446412442.02325743</v>
          </cell>
          <cell r="AM187">
            <v>465694587.18556893</v>
          </cell>
          <cell r="AN187">
            <v>482369494.83482754</v>
          </cell>
          <cell r="AO187">
            <v>499812997.74749064</v>
          </cell>
          <cell r="AP187">
            <v>522016844.46628493</v>
          </cell>
          <cell r="AQ187">
            <v>561808378.76541758</v>
          </cell>
        </row>
        <row r="188">
          <cell r="C188">
            <v>5456641</v>
          </cell>
          <cell r="D188">
            <v>3843433</v>
          </cell>
          <cell r="E188">
            <v>1660247</v>
          </cell>
          <cell r="F188">
            <v>1080266</v>
          </cell>
          <cell r="G188">
            <v>14322147</v>
          </cell>
          <cell r="H188">
            <v>24325149</v>
          </cell>
          <cell r="I188">
            <v>24232162</v>
          </cell>
          <cell r="J188">
            <v>13886150</v>
          </cell>
          <cell r="K188">
            <v>26567329</v>
          </cell>
          <cell r="L188">
            <v>40277987</v>
          </cell>
          <cell r="M188">
            <v>74377217</v>
          </cell>
          <cell r="N188">
            <v>114997212</v>
          </cell>
          <cell r="O188">
            <v>174399881</v>
          </cell>
          <cell r="P188">
            <v>203463989</v>
          </cell>
          <cell r="Q188">
            <v>190065868.83781767</v>
          </cell>
          <cell r="R188">
            <v>207747570.2872304</v>
          </cell>
          <cell r="S188">
            <v>228538666.81966308</v>
          </cell>
          <cell r="T188">
            <v>232746737.10908294</v>
          </cell>
          <cell r="U188">
            <v>234120253.18709138</v>
          </cell>
          <cell r="V188">
            <v>245138241.18560976</v>
          </cell>
          <cell r="W188">
            <v>266144868.45443362</v>
          </cell>
          <cell r="X188">
            <v>316107084.00492197</v>
          </cell>
          <cell r="Y188">
            <v>314220751.60619235</v>
          </cell>
          <cell r="Z188">
            <v>304745739.42761701</v>
          </cell>
          <cell r="AA188">
            <v>322854175.46812975</v>
          </cell>
          <cell r="AB188">
            <v>350001416.5031929</v>
          </cell>
          <cell r="AC188">
            <v>398899496.51228207</v>
          </cell>
          <cell r="AD188">
            <v>440035941.64291418</v>
          </cell>
          <cell r="AE188">
            <v>440319861.67666698</v>
          </cell>
          <cell r="AF188">
            <v>385420233.01842099</v>
          </cell>
          <cell r="AG188">
            <v>408495062.61606413</v>
          </cell>
          <cell r="AH188">
            <v>431883649.57905716</v>
          </cell>
          <cell r="AI188">
            <v>469417306.34589767</v>
          </cell>
          <cell r="AJ188">
            <v>478686932.47987109</v>
          </cell>
          <cell r="AK188">
            <v>475900747.8589077</v>
          </cell>
          <cell r="AL188">
            <v>452800842.51833361</v>
          </cell>
          <cell r="AM188">
            <v>472358925.47741157</v>
          </cell>
          <cell r="AN188">
            <v>489272459.9619776</v>
          </cell>
          <cell r="AO188">
            <v>506965588.71871006</v>
          </cell>
          <cell r="AP188">
            <v>529487184.34416127</v>
          </cell>
          <cell r="AQ188">
            <v>569848156.7536304</v>
          </cell>
        </row>
        <row r="189">
          <cell r="C189">
            <v>2055944</v>
          </cell>
          <cell r="D189">
            <v>2250327</v>
          </cell>
          <cell r="E189">
            <v>7796489</v>
          </cell>
          <cell r="F189">
            <v>4936875</v>
          </cell>
          <cell r="G189">
            <v>13139388</v>
          </cell>
          <cell r="H189">
            <v>18860534</v>
          </cell>
          <cell r="I189">
            <v>21583936</v>
          </cell>
          <cell r="J189">
            <v>28618283</v>
          </cell>
          <cell r="K189">
            <v>37653169</v>
          </cell>
          <cell r="L189">
            <v>44831236</v>
          </cell>
          <cell r="M189">
            <v>49922849</v>
          </cell>
          <cell r="N189">
            <v>118717748</v>
          </cell>
          <cell r="O189">
            <v>180823774</v>
          </cell>
          <cell r="P189">
            <v>216519419</v>
          </cell>
          <cell r="Q189">
            <v>193511743.0486123</v>
          </cell>
          <cell r="R189">
            <v>211533933.20513019</v>
          </cell>
          <cell r="S189">
            <v>232703963.82966334</v>
          </cell>
          <cell r="T189">
            <v>236988729.51088852</v>
          </cell>
          <cell r="U189">
            <v>238387279.00005898</v>
          </cell>
          <cell r="V189">
            <v>249606078.49846527</v>
          </cell>
          <cell r="W189">
            <v>270995568.07663333</v>
          </cell>
          <cell r="X189">
            <v>321868384.31426781</v>
          </cell>
          <cell r="Y189">
            <v>319947672.02346283</v>
          </cell>
          <cell r="Z189">
            <v>310299970.29328412</v>
          </cell>
          <cell r="AA189">
            <v>328738446.82779711</v>
          </cell>
          <cell r="AB189">
            <v>356380467.68934071</v>
          </cell>
          <cell r="AC189">
            <v>406169753.67810476</v>
          </cell>
          <cell r="AD189">
            <v>448055942.8861357</v>
          </cell>
          <cell r="AE189">
            <v>448345037.5858832</v>
          </cell>
          <cell r="AF189">
            <v>392444820.00199711</v>
          </cell>
          <cell r="AG189">
            <v>415940206.52362531</v>
          </cell>
          <cell r="AH189">
            <v>439755068.8854416</v>
          </cell>
          <cell r="AI189">
            <v>477972806.07718748</v>
          </cell>
          <cell r="AJ189">
            <v>487411378.44051003</v>
          </cell>
          <cell r="AK189">
            <v>484574413.412745</v>
          </cell>
          <cell r="AL189">
            <v>461053494.12304205</v>
          </cell>
          <cell r="AM189">
            <v>480968038.53174889</v>
          </cell>
          <cell r="AN189">
            <v>498189835.48934621</v>
          </cell>
          <cell r="AO189">
            <v>516205435.43808097</v>
          </cell>
          <cell r="AP189">
            <v>539137504.86310661</v>
          </cell>
          <cell r="AQ189">
            <v>580234087.74951315</v>
          </cell>
        </row>
        <row r="190">
          <cell r="C190">
            <v>3327224</v>
          </cell>
          <cell r="D190">
            <v>1960831</v>
          </cell>
          <cell r="E190">
            <v>9036993</v>
          </cell>
          <cell r="F190">
            <v>13434456</v>
          </cell>
          <cell r="G190">
            <v>12990321</v>
          </cell>
          <cell r="H190">
            <v>20108545</v>
          </cell>
          <cell r="I190">
            <v>25021680</v>
          </cell>
          <cell r="J190">
            <v>35905766</v>
          </cell>
          <cell r="K190">
            <v>46592429</v>
          </cell>
          <cell r="L190">
            <v>20889246</v>
          </cell>
          <cell r="M190">
            <v>72254487</v>
          </cell>
          <cell r="N190">
            <v>107319656</v>
          </cell>
          <cell r="O190">
            <v>150845209</v>
          </cell>
          <cell r="P190">
            <v>229161946</v>
          </cell>
          <cell r="Q190">
            <v>211544890.34916314</v>
          </cell>
          <cell r="R190">
            <v>232447756.1543175</v>
          </cell>
          <cell r="S190">
            <v>255710813.96178031</v>
          </cell>
          <cell r="T190">
            <v>260419203.54806</v>
          </cell>
          <cell r="U190">
            <v>261956024.07469007</v>
          </cell>
          <cell r="V190">
            <v>274283997.79804009</v>
          </cell>
          <cell r="W190">
            <v>297788211.90873742</v>
          </cell>
          <cell r="X190">
            <v>353690694.33561963</v>
          </cell>
          <cell r="Y190">
            <v>351580086.09678602</v>
          </cell>
          <cell r="Z190">
            <v>340978540.58942062</v>
          </cell>
          <cell r="AA190">
            <v>361239982.48865175</v>
          </cell>
          <cell r="AB190">
            <v>391614899.77724504</v>
          </cell>
          <cell r="AC190">
            <v>446326726.07033795</v>
          </cell>
          <cell r="AD190">
            <v>492354096.46778798</v>
          </cell>
          <cell r="AE190">
            <v>492671773.22656715</v>
          </cell>
          <cell r="AF190">
            <v>431244843.0455265</v>
          </cell>
          <cell r="AG190">
            <v>457063158.7841875</v>
          </cell>
          <cell r="AH190">
            <v>483232536.12829411</v>
          </cell>
          <cell r="AI190">
            <v>525228763.97180539</v>
          </cell>
          <cell r="AJ190">
            <v>535600504.02273577</v>
          </cell>
          <cell r="AK190">
            <v>532483055.4649539</v>
          </cell>
          <cell r="AL190">
            <v>506636682.59825939</v>
          </cell>
          <cell r="AM190">
            <v>528520127.45507324</v>
          </cell>
          <cell r="AN190">
            <v>547444599.75643575</v>
          </cell>
          <cell r="AO190">
            <v>567241356.33542073</v>
          </cell>
          <cell r="AP190">
            <v>592440661.2462461</v>
          </cell>
          <cell r="AQ190">
            <v>637600358.94964731</v>
          </cell>
        </row>
        <row r="191">
          <cell r="C191">
            <v>1513543</v>
          </cell>
          <cell r="D191">
            <v>3106752</v>
          </cell>
          <cell r="E191">
            <v>10007036</v>
          </cell>
          <cell r="F191">
            <v>15552834</v>
          </cell>
          <cell r="G191">
            <v>12263324</v>
          </cell>
          <cell r="H191">
            <v>26977711</v>
          </cell>
          <cell r="I191">
            <v>22579304</v>
          </cell>
          <cell r="J191">
            <v>36871698</v>
          </cell>
          <cell r="K191">
            <v>40119894</v>
          </cell>
          <cell r="L191">
            <v>43123558</v>
          </cell>
          <cell r="M191">
            <v>101107386</v>
          </cell>
          <cell r="N191">
            <v>149576069</v>
          </cell>
          <cell r="O191">
            <v>151214861</v>
          </cell>
          <cell r="P191">
            <v>214472488</v>
          </cell>
          <cell r="Q191">
            <v>229022357.08691242</v>
          </cell>
          <cell r="R191">
            <v>282418876.1436699</v>
          </cell>
          <cell r="S191">
            <v>310682976.21649331</v>
          </cell>
          <cell r="T191">
            <v>316403565.29596317</v>
          </cell>
          <cell r="U191">
            <v>318270768.20274127</v>
          </cell>
          <cell r="V191">
            <v>333248983.27213436</v>
          </cell>
          <cell r="W191">
            <v>361806082.91295201</v>
          </cell>
          <cell r="X191">
            <v>429726361.09434277</v>
          </cell>
          <cell r="Y191">
            <v>427162018.82383597</v>
          </cell>
          <cell r="Z191">
            <v>414281375.80490148</v>
          </cell>
          <cell r="AA191">
            <v>438898579.02037263</v>
          </cell>
          <cell r="AB191">
            <v>475803430.86977649</v>
          </cell>
          <cell r="AC191">
            <v>542277088.21583819</v>
          </cell>
          <cell r="AD191">
            <v>598199323.96702552</v>
          </cell>
          <cell r="AE191">
            <v>598585294.19395173</v>
          </cell>
          <cell r="AF191">
            <v>523952934.33082581</v>
          </cell>
          <cell r="AG191">
            <v>555321616.20355725</v>
          </cell>
          <cell r="AH191">
            <v>587116830.15260339</v>
          </cell>
          <cell r="AI191">
            <v>638141316.9708972</v>
          </cell>
          <cell r="AJ191">
            <v>650742751.44933295</v>
          </cell>
          <cell r="AK191">
            <v>646955120.48790538</v>
          </cell>
          <cell r="AL191">
            <v>615552349.82594168</v>
          </cell>
          <cell r="AM191">
            <v>642140250.71542311</v>
          </cell>
          <cell r="AN191">
            <v>665133065.47683811</v>
          </cell>
          <cell r="AO191">
            <v>689185686.3187232</v>
          </cell>
          <cell r="AP191">
            <v>719802283.74370444</v>
          </cell>
          <cell r="AQ191">
            <v>774670316.38633978</v>
          </cell>
        </row>
        <row r="192">
          <cell r="C192">
            <v>4376143</v>
          </cell>
          <cell r="D192">
            <v>1064197</v>
          </cell>
          <cell r="E192">
            <v>11718468</v>
          </cell>
          <cell r="F192">
            <v>21686185</v>
          </cell>
          <cell r="G192">
            <v>12950507</v>
          </cell>
          <cell r="H192">
            <v>26878185</v>
          </cell>
          <cell r="I192">
            <v>24979072</v>
          </cell>
          <cell r="J192">
            <v>44959932</v>
          </cell>
          <cell r="K192">
            <v>49773555</v>
          </cell>
          <cell r="L192">
            <v>49704530</v>
          </cell>
          <cell r="M192">
            <v>107217732</v>
          </cell>
          <cell r="N192">
            <v>121633469</v>
          </cell>
          <cell r="O192">
            <v>213849241</v>
          </cell>
          <cell r="P192">
            <v>254283310</v>
          </cell>
          <cell r="Q192">
            <v>279923412.01707482</v>
          </cell>
          <cell r="R192">
            <v>320452443.0538559</v>
          </cell>
          <cell r="S192">
            <v>352522891.1865344</v>
          </cell>
          <cell r="T192">
            <v>359013876.38998365</v>
          </cell>
          <cell r="U192">
            <v>361132536.94598007</v>
          </cell>
          <cell r="V192">
            <v>378127879.74003363</v>
          </cell>
          <cell r="W192">
            <v>410530785.91751242</v>
          </cell>
          <cell r="X192">
            <v>487597940.11527967</v>
          </cell>
          <cell r="Y192">
            <v>484688255.90213108</v>
          </cell>
          <cell r="Z192">
            <v>470072966.79722595</v>
          </cell>
          <cell r="AA192">
            <v>498005387.67244387</v>
          </cell>
          <cell r="AB192">
            <v>539880244.25839615</v>
          </cell>
          <cell r="AC192">
            <v>615305960.08212948</v>
          </cell>
          <cell r="AD192">
            <v>678759286.26272488</v>
          </cell>
          <cell r="AE192">
            <v>679197235.39648533</v>
          </cell>
          <cell r="AF192">
            <v>594514078.32292271</v>
          </cell>
          <cell r="AG192">
            <v>630107204.6704073</v>
          </cell>
          <cell r="AH192">
            <v>666184304.49644184</v>
          </cell>
          <cell r="AI192">
            <v>724080298.13453579</v>
          </cell>
          <cell r="AJ192">
            <v>738378777.47039795</v>
          </cell>
          <cell r="AK192">
            <v>734081063.3390007</v>
          </cell>
          <cell r="AL192">
            <v>698449257.43886375</v>
          </cell>
          <cell r="AM192">
            <v>728617771.35708332</v>
          </cell>
          <cell r="AN192">
            <v>754707046.13782406</v>
          </cell>
          <cell r="AO192">
            <v>781998851.89768124</v>
          </cell>
          <cell r="AP192">
            <v>816738610.00733471</v>
          </cell>
          <cell r="AQ192">
            <v>878995762.73726463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210331</v>
          </cell>
          <cell r="J341">
            <v>139714</v>
          </cell>
          <cell r="K341">
            <v>194630</v>
          </cell>
          <cell r="L341">
            <v>41590</v>
          </cell>
          <cell r="M341">
            <v>289825</v>
          </cell>
          <cell r="N341">
            <v>402120</v>
          </cell>
          <cell r="O341">
            <v>100937</v>
          </cell>
          <cell r="P341">
            <v>833897</v>
          </cell>
          <cell r="Q341">
            <v>8475344</v>
          </cell>
          <cell r="R341">
            <v>23893126.179649942</v>
          </cell>
          <cell r="S341">
            <v>68451166.585377201</v>
          </cell>
          <cell r="T341">
            <v>89387901.643266886</v>
          </cell>
          <cell r="U341">
            <v>117385330.87423706</v>
          </cell>
          <cell r="V341">
            <v>159261725.44323626</v>
          </cell>
          <cell r="W341">
            <v>185466582.8150773</v>
          </cell>
          <cell r="X341">
            <v>234587648.48402637</v>
          </cell>
          <cell r="Y341">
            <v>245012961.90866026</v>
          </cell>
          <cell r="Z341">
            <v>266411351.41822481</v>
          </cell>
          <cell r="AA341">
            <v>278358621.71511191</v>
          </cell>
          <cell r="AB341">
            <v>214097894.14772648</v>
          </cell>
          <cell r="AC341">
            <v>233718178.31806746</v>
          </cell>
          <cell r="AD341">
            <v>263183367.04348183</v>
          </cell>
          <cell r="AE341">
            <v>263103099.37063354</v>
          </cell>
          <cell r="AF341">
            <v>261654578.54580531</v>
          </cell>
          <cell r="AG341">
            <v>273020100.644651</v>
          </cell>
          <cell r="AH341">
            <v>281873905.02968735</v>
          </cell>
          <cell r="AI341">
            <v>288354734.98635715</v>
          </cell>
          <cell r="AJ341">
            <v>291649181.10102969</v>
          </cell>
          <cell r="AK341">
            <v>300312804.89545679</v>
          </cell>
          <cell r="AL341">
            <v>316754724.74837255</v>
          </cell>
          <cell r="AM341">
            <v>328193303.39483994</v>
          </cell>
          <cell r="AN341">
            <v>328569010.11343735</v>
          </cell>
          <cell r="AO341">
            <v>328019659.05087328</v>
          </cell>
          <cell r="AP341">
            <v>335730614.99024582</v>
          </cell>
          <cell r="AQ341">
            <v>376918950.81091923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190622</v>
          </cell>
          <cell r="J342">
            <v>237996</v>
          </cell>
          <cell r="K342">
            <v>187609</v>
          </cell>
          <cell r="L342">
            <v>0</v>
          </cell>
          <cell r="M342">
            <v>294725</v>
          </cell>
          <cell r="N342">
            <v>1108870</v>
          </cell>
          <cell r="O342">
            <v>1578596</v>
          </cell>
          <cell r="P342">
            <v>1254939</v>
          </cell>
          <cell r="Q342">
            <v>15728119</v>
          </cell>
          <cell r="R342">
            <v>45244644.57274276</v>
          </cell>
          <cell r="S342">
            <v>129885775.12177198</v>
          </cell>
          <cell r="T342">
            <v>170152013.0006552</v>
          </cell>
          <cell r="U342">
            <v>222593880.73946691</v>
          </cell>
          <cell r="V342">
            <v>302171663.15545493</v>
          </cell>
          <cell r="W342">
            <v>352033441.4087075</v>
          </cell>
          <cell r="X342">
            <v>445310372.95188993</v>
          </cell>
          <cell r="Y342">
            <v>465116914.86002159</v>
          </cell>
          <cell r="Z342">
            <v>505607053.25518018</v>
          </cell>
          <cell r="AA342">
            <v>528328342.24558318</v>
          </cell>
          <cell r="AB342">
            <v>406379956.00577486</v>
          </cell>
          <cell r="AC342">
            <v>443621535.19489545</v>
          </cell>
          <cell r="AD342">
            <v>499541357.99300319</v>
          </cell>
          <cell r="AE342">
            <v>499375527.98162818</v>
          </cell>
          <cell r="AF342">
            <v>496636149.71817642</v>
          </cell>
          <cell r="AG342">
            <v>518211486.68275392</v>
          </cell>
          <cell r="AH342">
            <v>535015112.55638307</v>
          </cell>
          <cell r="AI342">
            <v>547314188.6058799</v>
          </cell>
          <cell r="AJ342">
            <v>553566408.73780203</v>
          </cell>
          <cell r="AK342">
            <v>570012347.69929874</v>
          </cell>
          <cell r="AL342">
            <v>601220239.23310149</v>
          </cell>
          <cell r="AM342">
            <v>622930866.45601022</v>
          </cell>
          <cell r="AN342">
            <v>623643704.16930509</v>
          </cell>
          <cell r="AO342">
            <v>622601088.24775302</v>
          </cell>
          <cell r="AP342">
            <v>637237224.08494902</v>
          </cell>
          <cell r="AQ342">
            <v>715415135.40490758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184825</v>
          </cell>
          <cell r="J343">
            <v>103790</v>
          </cell>
          <cell r="K343">
            <v>183940</v>
          </cell>
          <cell r="L343">
            <v>280826</v>
          </cell>
          <cell r="M343">
            <v>288906</v>
          </cell>
          <cell r="N343">
            <v>1026537</v>
          </cell>
          <cell r="O343">
            <v>797170</v>
          </cell>
          <cell r="P343">
            <v>2119258</v>
          </cell>
          <cell r="Q343">
            <v>3845015</v>
          </cell>
          <cell r="R343">
            <v>18303595.228116713</v>
          </cell>
          <cell r="S343">
            <v>52446592.878731005</v>
          </cell>
          <cell r="T343">
            <v>68091377.268205896</v>
          </cell>
          <cell r="U343">
            <v>88975887.423838913</v>
          </cell>
          <cell r="V343">
            <v>119947398.0919919</v>
          </cell>
          <cell r="W343">
            <v>140710467.1858601</v>
          </cell>
          <cell r="X343">
            <v>177911117.31121516</v>
          </cell>
          <cell r="Y343">
            <v>185651454.26298955</v>
          </cell>
          <cell r="Z343">
            <v>201763535.67193198</v>
          </cell>
          <cell r="AA343">
            <v>210792400.77562943</v>
          </cell>
          <cell r="AB343">
            <v>162245927.2591306</v>
          </cell>
          <cell r="AC343">
            <v>177083898.6748009</v>
          </cell>
          <cell r="AD343">
            <v>199373302.58687672</v>
          </cell>
          <cell r="AE343">
            <v>199303475.4453105</v>
          </cell>
          <cell r="AF343">
            <v>198215810.21517587</v>
          </cell>
          <cell r="AG343">
            <v>206842861.06158769</v>
          </cell>
          <cell r="AH343">
            <v>213541202.54829344</v>
          </cell>
          <cell r="AI343">
            <v>218445697.56765974</v>
          </cell>
          <cell r="AJ343">
            <v>220942202.27381268</v>
          </cell>
          <cell r="AK343">
            <v>227508293.3043544</v>
          </cell>
          <cell r="AL343">
            <v>239965568.85772124</v>
          </cell>
          <cell r="AM343">
            <v>248629031.41110516</v>
          </cell>
          <cell r="AN343">
            <v>248913158.45657554</v>
          </cell>
          <cell r="AO343">
            <v>248497498.97531804</v>
          </cell>
          <cell r="AP343">
            <v>254339530.78464967</v>
          </cell>
          <cell r="AQ343">
            <v>285542533.46912926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184634</v>
          </cell>
          <cell r="K344">
            <v>245975</v>
          </cell>
          <cell r="L344">
            <v>1234442</v>
          </cell>
          <cell r="M344">
            <v>293289</v>
          </cell>
          <cell r="N344">
            <v>408991</v>
          </cell>
          <cell r="O344">
            <v>913521</v>
          </cell>
          <cell r="P344">
            <v>2743078</v>
          </cell>
          <cell r="Q344">
            <v>8404474.9199190307</v>
          </cell>
          <cell r="R344">
            <v>28923927.353115387</v>
          </cell>
          <cell r="S344">
            <v>83355933.002837479</v>
          </cell>
          <cell r="T344">
            <v>109229354.93369608</v>
          </cell>
          <cell r="U344">
            <v>142955854.88060638</v>
          </cell>
          <cell r="V344">
            <v>193059895.2271235</v>
          </cell>
          <cell r="W344">
            <v>225582309.85068756</v>
          </cell>
          <cell r="X344">
            <v>285379991.09891659</v>
          </cell>
          <cell r="Y344">
            <v>298036421.23796737</v>
          </cell>
          <cell r="Z344">
            <v>323925068.68341893</v>
          </cell>
          <cell r="AA344">
            <v>338393109.16389787</v>
          </cell>
          <cell r="AB344">
            <v>260370452.06182569</v>
          </cell>
          <cell r="AC344">
            <v>284225342.16662228</v>
          </cell>
          <cell r="AD344">
            <v>320037354.05648094</v>
          </cell>
          <cell r="AE344">
            <v>319919901.25644851</v>
          </cell>
          <cell r="AF344">
            <v>318162229.56939334</v>
          </cell>
          <cell r="AG344">
            <v>332000092.05509609</v>
          </cell>
          <cell r="AH344">
            <v>342761904.05742484</v>
          </cell>
          <cell r="AI344">
            <v>350638082.08908695</v>
          </cell>
          <cell r="AJ344">
            <v>354642505.65695173</v>
          </cell>
          <cell r="AK344">
            <v>365179719.8424052</v>
          </cell>
          <cell r="AL344">
            <v>385175082.77066052</v>
          </cell>
          <cell r="AM344">
            <v>399083000.98258507</v>
          </cell>
          <cell r="AN344">
            <v>399539152.94475967</v>
          </cell>
          <cell r="AO344">
            <v>398871270.24936539</v>
          </cell>
          <cell r="AP344">
            <v>408248266.88676333</v>
          </cell>
          <cell r="AQ344">
            <v>458333380.20550692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134485</v>
          </cell>
          <cell r="J345">
            <v>64189</v>
          </cell>
          <cell r="K345">
            <v>254288</v>
          </cell>
          <cell r="L345">
            <v>0</v>
          </cell>
          <cell r="M345">
            <v>287496</v>
          </cell>
          <cell r="N345">
            <v>202831</v>
          </cell>
          <cell r="O345">
            <v>1626715</v>
          </cell>
          <cell r="P345">
            <v>3266216</v>
          </cell>
          <cell r="Q345">
            <v>10976167.97756708</v>
          </cell>
          <cell r="R345">
            <v>38073237.291912429</v>
          </cell>
          <cell r="S345">
            <v>109837029.55094272</v>
          </cell>
          <cell r="T345">
            <v>143874698.90103579</v>
          </cell>
          <cell r="U345">
            <v>188038378.30701107</v>
          </cell>
          <cell r="V345">
            <v>254120250.94949621</v>
          </cell>
          <cell r="W345">
            <v>296963726.71365535</v>
          </cell>
          <cell r="X345">
            <v>375684484.37097663</v>
          </cell>
          <cell r="Y345">
            <v>392313361.18468958</v>
          </cell>
          <cell r="Z345">
            <v>426364929.53210127</v>
          </cell>
          <cell r="AA345">
            <v>445440739.38154668</v>
          </cell>
          <cell r="AB345">
            <v>342738510.04728287</v>
          </cell>
          <cell r="AC345">
            <v>374136377.92329395</v>
          </cell>
          <cell r="AD345">
            <v>421271062.99150306</v>
          </cell>
          <cell r="AE345">
            <v>421115927.37514073</v>
          </cell>
          <cell r="AF345">
            <v>418807093.62650222</v>
          </cell>
          <cell r="AG345">
            <v>437021630.05349731</v>
          </cell>
          <cell r="AH345">
            <v>451186611.20667756</v>
          </cell>
          <cell r="AI345">
            <v>461553589.61231804</v>
          </cell>
          <cell r="AJ345">
            <v>466825144.41902298</v>
          </cell>
          <cell r="AK345">
            <v>480696187.74489999</v>
          </cell>
          <cell r="AL345">
            <v>507016344.33260828</v>
          </cell>
          <cell r="AM345">
            <v>525323499.07992679</v>
          </cell>
          <cell r="AN345">
            <v>525923930.99888676</v>
          </cell>
          <cell r="AO345">
            <v>525044899.08814824</v>
          </cell>
          <cell r="AP345">
            <v>537388142.71860778</v>
          </cell>
          <cell r="AQ345">
            <v>603316444.99528301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127471</v>
          </cell>
          <cell r="J346">
            <v>140194</v>
          </cell>
          <cell r="K346">
            <v>223279</v>
          </cell>
          <cell r="L346">
            <v>508513</v>
          </cell>
          <cell r="M346">
            <v>357317</v>
          </cell>
          <cell r="N346">
            <v>802264</v>
          </cell>
          <cell r="O346">
            <v>1121861</v>
          </cell>
          <cell r="P346">
            <v>2998612</v>
          </cell>
          <cell r="Q346">
            <v>10802570.811467988</v>
          </cell>
          <cell r="R346">
            <v>36445958.845373936</v>
          </cell>
          <cell r="S346">
            <v>104669298.16987525</v>
          </cell>
          <cell r="T346">
            <v>137074432.0324741</v>
          </cell>
          <cell r="U346">
            <v>179413670.29720333</v>
          </cell>
          <cell r="V346">
            <v>242525572.25580677</v>
          </cell>
          <cell r="W346">
            <v>283281846.34963793</v>
          </cell>
          <cell r="X346">
            <v>358327736.08893472</v>
          </cell>
          <cell r="Y346">
            <v>374217409.88050759</v>
          </cell>
          <cell r="Z346">
            <v>406744663.62686306</v>
          </cell>
          <cell r="AA346">
            <v>424935415.13276678</v>
          </cell>
          <cell r="AB346">
            <v>326942653.39627159</v>
          </cell>
          <cell r="AC346">
            <v>356892661.65201229</v>
          </cell>
          <cell r="AD346">
            <v>401863801.65960729</v>
          </cell>
          <cell r="AE346">
            <v>401720573.79123837</v>
          </cell>
          <cell r="AF346">
            <v>399514559.7619276</v>
          </cell>
          <cell r="AG346">
            <v>416886920.29490292</v>
          </cell>
          <cell r="AH346">
            <v>430400375.67974269</v>
          </cell>
          <cell r="AI346">
            <v>440291291.20100427</v>
          </cell>
          <cell r="AJ346">
            <v>445320140.93675435</v>
          </cell>
          <cell r="AK346">
            <v>458551336.62133384</v>
          </cell>
          <cell r="AL346">
            <v>483658705.4162572</v>
          </cell>
          <cell r="AM346">
            <v>501122836.16229832</v>
          </cell>
          <cell r="AN346">
            <v>501695805.331774</v>
          </cell>
          <cell r="AO346">
            <v>500857178.0697338</v>
          </cell>
          <cell r="AP346">
            <v>512631656.95782721</v>
          </cell>
          <cell r="AQ346">
            <v>575522777.05733383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120661</v>
          </cell>
          <cell r="J347">
            <v>82231</v>
          </cell>
          <cell r="K347">
            <v>146613</v>
          </cell>
          <cell r="L347">
            <v>1536725</v>
          </cell>
          <cell r="M347">
            <v>1093159</v>
          </cell>
          <cell r="N347">
            <v>1137973</v>
          </cell>
          <cell r="O347">
            <v>1770762</v>
          </cell>
          <cell r="P347">
            <v>3256887</v>
          </cell>
          <cell r="Q347">
            <v>10933554.606466778</v>
          </cell>
          <cell r="R347">
            <v>39976921.76103799</v>
          </cell>
          <cell r="S347">
            <v>113978484.88508038</v>
          </cell>
          <cell r="T347">
            <v>149266063.01052725</v>
          </cell>
          <cell r="U347">
            <v>195033617.43180668</v>
          </cell>
          <cell r="V347">
            <v>263641552.68483701</v>
          </cell>
          <cell r="W347">
            <v>308273915.13317132</v>
          </cell>
          <cell r="X347">
            <v>389821189.605676</v>
          </cell>
          <cell r="Y347">
            <v>407073186.95247626</v>
          </cell>
          <cell r="Z347">
            <v>442411963.37090188</v>
          </cell>
          <cell r="AA347">
            <v>462226636.22094756</v>
          </cell>
          <cell r="AB347">
            <v>355663914.97845483</v>
          </cell>
          <cell r="AC347">
            <v>388224907.21705157</v>
          </cell>
          <cell r="AD347">
            <v>437136654.29824138</v>
          </cell>
          <cell r="AE347">
            <v>436978857.05731893</v>
          </cell>
          <cell r="AF347">
            <v>434585897.58986247</v>
          </cell>
          <cell r="AG347">
            <v>453485869.98691624</v>
          </cell>
          <cell r="AH347">
            <v>468181633.19149017</v>
          </cell>
          <cell r="AI347">
            <v>478940012.97739762</v>
          </cell>
          <cell r="AJ347">
            <v>484410871.98217189</v>
          </cell>
          <cell r="AK347">
            <v>498804641.53052044</v>
          </cell>
          <cell r="AL347">
            <v>526115917.04737741</v>
          </cell>
          <cell r="AM347">
            <v>545112400.17848992</v>
          </cell>
          <cell r="AN347">
            <v>545735697.52009904</v>
          </cell>
          <cell r="AO347">
            <v>544823654.04887807</v>
          </cell>
          <cell r="AP347">
            <v>557631844.53683186</v>
          </cell>
          <cell r="AQ347">
            <v>626043616.75138581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174175</v>
          </cell>
          <cell r="J348">
            <v>70236</v>
          </cell>
          <cell r="K348">
            <v>271757</v>
          </cell>
          <cell r="L348">
            <v>63855</v>
          </cell>
          <cell r="M348">
            <v>722058</v>
          </cell>
          <cell r="N348">
            <v>392568</v>
          </cell>
          <cell r="O348">
            <v>2038864</v>
          </cell>
          <cell r="P348">
            <v>4026790</v>
          </cell>
          <cell r="Q348">
            <v>11770394.176198298</v>
          </cell>
          <cell r="R348">
            <v>42945445.735034242</v>
          </cell>
          <cell r="S348">
            <v>124365788.44880567</v>
          </cell>
          <cell r="T348">
            <v>162645699.40454593</v>
          </cell>
          <cell r="U348">
            <v>212448474.47981218</v>
          </cell>
          <cell r="V348">
            <v>286934462.00556856</v>
          </cell>
          <cell r="W348">
            <v>335562378.64462978</v>
          </cell>
          <cell r="X348">
            <v>424544009.54681194</v>
          </cell>
          <cell r="Y348">
            <v>443259517.17043865</v>
          </cell>
          <cell r="Z348">
            <v>481708352.9436273</v>
          </cell>
          <cell r="AA348">
            <v>503259707.61227572</v>
          </cell>
          <cell r="AB348">
            <v>387256820.03295845</v>
          </cell>
          <cell r="AC348">
            <v>422728045.30291945</v>
          </cell>
          <cell r="AD348">
            <v>475970232.15940487</v>
          </cell>
          <cell r="AE348">
            <v>475793497.8353042</v>
          </cell>
          <cell r="AF348">
            <v>473188160.68332803</v>
          </cell>
          <cell r="AG348">
            <v>493772319.37976605</v>
          </cell>
          <cell r="AH348">
            <v>509774334.43475008</v>
          </cell>
          <cell r="AI348">
            <v>521485534.56446302</v>
          </cell>
          <cell r="AJ348">
            <v>527442051.93918288</v>
          </cell>
          <cell r="AK348">
            <v>543115106.44728863</v>
          </cell>
          <cell r="AL348">
            <v>572853291.73189974</v>
          </cell>
          <cell r="AM348">
            <v>593537068.20316672</v>
          </cell>
          <cell r="AN348">
            <v>594215278.47558987</v>
          </cell>
          <cell r="AO348">
            <v>593222292.30504501</v>
          </cell>
          <cell r="AP348">
            <v>607168442.55397356</v>
          </cell>
          <cell r="AQ348">
            <v>681657563.17546654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230790</v>
          </cell>
          <cell r="I349">
            <v>137952</v>
          </cell>
          <cell r="J349">
            <v>151082</v>
          </cell>
          <cell r="K349">
            <v>275529</v>
          </cell>
          <cell r="L349">
            <v>371169</v>
          </cell>
          <cell r="M349">
            <v>300122</v>
          </cell>
          <cell r="N349">
            <v>393571</v>
          </cell>
          <cell r="O349">
            <v>659302</v>
          </cell>
          <cell r="P349">
            <v>9238825</v>
          </cell>
          <cell r="Q349">
            <v>12352933.632424854</v>
          </cell>
          <cell r="R349">
            <v>51996708.025440149</v>
          </cell>
          <cell r="S349">
            <v>150936320.87113687</v>
          </cell>
          <cell r="T349">
            <v>197816696.35851759</v>
          </cell>
          <cell r="U349">
            <v>259507549.87836725</v>
          </cell>
          <cell r="V349">
            <v>348256000.37040305</v>
          </cell>
          <cell r="W349">
            <v>408058415.89728802</v>
          </cell>
          <cell r="X349">
            <v>516349767.86017174</v>
          </cell>
          <cell r="Y349">
            <v>539213100.98474038</v>
          </cell>
          <cell r="Z349">
            <v>585995628.15935934</v>
          </cell>
          <cell r="AA349">
            <v>611940915.26851034</v>
          </cell>
          <cell r="AB349">
            <v>471000513.1409145</v>
          </cell>
          <cell r="AC349">
            <v>514155322.37966496</v>
          </cell>
          <cell r="AD349">
            <v>578915721.47631049</v>
          </cell>
          <cell r="AE349">
            <v>578683382.78706324</v>
          </cell>
          <cell r="AF349">
            <v>575489927.87385142</v>
          </cell>
          <cell r="AG349">
            <v>600551254.67594326</v>
          </cell>
          <cell r="AH349">
            <v>620013971.22608721</v>
          </cell>
          <cell r="AI349">
            <v>634255257.49864268</v>
          </cell>
          <cell r="AJ349">
            <v>641495949.18487644</v>
          </cell>
          <cell r="AK349">
            <v>660557182.06234705</v>
          </cell>
          <cell r="AL349">
            <v>696730183.44994998</v>
          </cell>
          <cell r="AM349">
            <v>721886079.01795352</v>
          </cell>
          <cell r="AN349">
            <v>722710121.16820073</v>
          </cell>
          <cell r="AO349">
            <v>721501953.68708563</v>
          </cell>
          <cell r="AP349">
            <v>738464122.65584946</v>
          </cell>
          <cell r="AQ349">
            <v>829061549.92710483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181093</v>
          </cell>
          <cell r="I350">
            <v>160272</v>
          </cell>
          <cell r="J350">
            <v>229089</v>
          </cell>
          <cell r="K350">
            <v>216574</v>
          </cell>
          <cell r="L350">
            <v>188416</v>
          </cell>
          <cell r="M350">
            <v>437741</v>
          </cell>
          <cell r="N350">
            <v>1764631</v>
          </cell>
          <cell r="O350">
            <v>1465137</v>
          </cell>
          <cell r="P350">
            <v>4385751</v>
          </cell>
          <cell r="Q350">
            <v>14804325.59477609</v>
          </cell>
          <cell r="R350">
            <v>51799170.449949764</v>
          </cell>
          <cell r="S350">
            <v>146987407.50142556</v>
          </cell>
          <cell r="T350">
            <v>192772279.50451347</v>
          </cell>
          <cell r="U350">
            <v>252384512.43171611</v>
          </cell>
          <cell r="V350">
            <v>341078435.46241087</v>
          </cell>
          <cell r="W350">
            <v>398553442.25845426</v>
          </cell>
          <cell r="X350">
            <v>503938791.68250573</v>
          </cell>
          <cell r="Y350">
            <v>526352636.33238775</v>
          </cell>
          <cell r="Z350">
            <v>572111719.76345897</v>
          </cell>
          <cell r="AA350">
            <v>597690999.03600705</v>
          </cell>
          <cell r="AB350">
            <v>459867651.55774254</v>
          </cell>
          <cell r="AC350">
            <v>501975978.49151564</v>
          </cell>
          <cell r="AD350">
            <v>565240532.89830947</v>
          </cell>
          <cell r="AE350">
            <v>565039481.05127645</v>
          </cell>
          <cell r="AF350">
            <v>561935442.73680806</v>
          </cell>
          <cell r="AG350">
            <v>586370467.75575387</v>
          </cell>
          <cell r="AH350">
            <v>605376039.6682775</v>
          </cell>
          <cell r="AI350">
            <v>619289828.24733794</v>
          </cell>
          <cell r="AJ350">
            <v>626362980.64901257</v>
          </cell>
          <cell r="AK350">
            <v>644972984.62789977</v>
          </cell>
          <cell r="AL350">
            <v>680287550.5487324</v>
          </cell>
          <cell r="AM350">
            <v>704851538.19353807</v>
          </cell>
          <cell r="AN350">
            <v>705657706.53742337</v>
          </cell>
          <cell r="AO350">
            <v>704478070.10873139</v>
          </cell>
          <cell r="AP350">
            <v>721039351.58478773</v>
          </cell>
          <cell r="AQ350">
            <v>809498519.53192782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192991</v>
          </cell>
          <cell r="I351">
            <v>68957</v>
          </cell>
          <cell r="J351">
            <v>152783</v>
          </cell>
          <cell r="K351">
            <v>91175</v>
          </cell>
          <cell r="L351">
            <v>188201</v>
          </cell>
          <cell r="M351">
            <v>403482</v>
          </cell>
          <cell r="N351">
            <v>152226</v>
          </cell>
          <cell r="O351">
            <v>0</v>
          </cell>
          <cell r="P351">
            <v>2385423</v>
          </cell>
          <cell r="Q351">
            <v>16380536.413000446</v>
          </cell>
          <cell r="R351">
            <v>43786179.408729203</v>
          </cell>
          <cell r="S351">
            <v>126741845.49121414</v>
          </cell>
          <cell r="T351">
            <v>166288438.47560069</v>
          </cell>
          <cell r="U351">
            <v>218487472.43177387</v>
          </cell>
          <cell r="V351">
            <v>295999889.94310719</v>
          </cell>
          <cell r="W351">
            <v>344449298.80517775</v>
          </cell>
          <cell r="X351">
            <v>435899728.45442837</v>
          </cell>
          <cell r="Y351">
            <v>455412091.58544821</v>
          </cell>
          <cell r="Z351">
            <v>495146020.60505652</v>
          </cell>
          <cell r="AA351">
            <v>517269841.89440447</v>
          </cell>
          <cell r="AB351">
            <v>397846892.7623831</v>
          </cell>
          <cell r="AC351">
            <v>434342760.19127095</v>
          </cell>
          <cell r="AD351">
            <v>489113496.70413357</v>
          </cell>
          <cell r="AE351">
            <v>488950199.75573337</v>
          </cell>
          <cell r="AF351">
            <v>486248291.63399762</v>
          </cell>
          <cell r="AG351">
            <v>507374062.69245309</v>
          </cell>
          <cell r="AH351">
            <v>523833758.70202166</v>
          </cell>
          <cell r="AI351">
            <v>535877398.32850617</v>
          </cell>
          <cell r="AJ351">
            <v>541996698.55620825</v>
          </cell>
          <cell r="AK351">
            <v>558096380.04823458</v>
          </cell>
          <cell r="AL351">
            <v>588653158.76595783</v>
          </cell>
          <cell r="AM351">
            <v>609911185.05111206</v>
          </cell>
          <cell r="AN351">
            <v>610608945.57455766</v>
          </cell>
          <cell r="AO351">
            <v>609587575.00664842</v>
          </cell>
          <cell r="AP351">
            <v>623917610.26345956</v>
          </cell>
          <cell r="AQ351">
            <v>700461781.47597051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178772</v>
          </cell>
          <cell r="I352">
            <v>201266</v>
          </cell>
          <cell r="J352">
            <v>272240</v>
          </cell>
          <cell r="K352">
            <v>137333</v>
          </cell>
          <cell r="L352">
            <v>194662</v>
          </cell>
          <cell r="M352">
            <v>308503</v>
          </cell>
          <cell r="N352">
            <v>100555</v>
          </cell>
          <cell r="O352">
            <v>117932</v>
          </cell>
          <cell r="P352">
            <v>2161094</v>
          </cell>
          <cell r="Q352">
            <v>15071413.644033596</v>
          </cell>
          <cell r="R352">
            <v>39496037.437086999</v>
          </cell>
          <cell r="S352">
            <v>113369049.15085673</v>
          </cell>
          <cell r="T352">
            <v>149528650.70780087</v>
          </cell>
          <cell r="U352">
            <v>196394213.84245372</v>
          </cell>
          <cell r="V352">
            <v>266059903.34325171</v>
          </cell>
          <cell r="W352">
            <v>309468017.41029167</v>
          </cell>
          <cell r="X352">
            <v>391571725.85410309</v>
          </cell>
          <cell r="Y352">
            <v>409250679.06665039</v>
          </cell>
          <cell r="Z352">
            <v>444930081.94314384</v>
          </cell>
          <cell r="AA352">
            <v>464793606.62914944</v>
          </cell>
          <cell r="AB352">
            <v>357470227.66794682</v>
          </cell>
          <cell r="AC352">
            <v>390266701.19342613</v>
          </cell>
          <cell r="AD352">
            <v>439499413.31568813</v>
          </cell>
          <cell r="AE352">
            <v>439345534.13390923</v>
          </cell>
          <cell r="AF352">
            <v>436914123.79586601</v>
          </cell>
          <cell r="AG352">
            <v>455895319.30239582</v>
          </cell>
          <cell r="AH352">
            <v>470687319.42735004</v>
          </cell>
          <cell r="AI352">
            <v>481511001.08934021</v>
          </cell>
          <cell r="AJ352">
            <v>487007779.77842999</v>
          </cell>
          <cell r="AK352">
            <v>501473541.98431492</v>
          </cell>
          <cell r="AL352">
            <v>528930301.44974709</v>
          </cell>
          <cell r="AM352">
            <v>548032045.3438158</v>
          </cell>
          <cell r="AN352">
            <v>548659093.50410557</v>
          </cell>
          <cell r="AO352">
            <v>547741032.26588535</v>
          </cell>
          <cell r="AP352">
            <v>560617173.41559696</v>
          </cell>
          <cell r="AQ352">
            <v>629395537.2838068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</row>
      </sheetData>
      <sheetData sheetId="11">
        <row r="14">
          <cell r="B14">
            <v>32877627</v>
          </cell>
          <cell r="AG14">
            <v>0</v>
          </cell>
        </row>
        <row r="15">
          <cell r="B15">
            <v>41535834</v>
          </cell>
          <cell r="AG15">
            <v>0</v>
          </cell>
        </row>
        <row r="16">
          <cell r="B16">
            <v>63342553</v>
          </cell>
          <cell r="AG16">
            <v>0</v>
          </cell>
        </row>
        <row r="17">
          <cell r="B17">
            <v>70300597</v>
          </cell>
          <cell r="AG17">
            <v>0</v>
          </cell>
        </row>
        <row r="18">
          <cell r="B18">
            <v>77560283</v>
          </cell>
          <cell r="AG18">
            <v>0</v>
          </cell>
        </row>
        <row r="19">
          <cell r="B19">
            <v>77783252</v>
          </cell>
          <cell r="AG19">
            <v>0</v>
          </cell>
        </row>
        <row r="20">
          <cell r="B20">
            <v>86877103</v>
          </cell>
          <cell r="AG20">
            <v>0</v>
          </cell>
        </row>
        <row r="21">
          <cell r="B21">
            <v>100747046</v>
          </cell>
          <cell r="AG21">
            <v>0</v>
          </cell>
        </row>
        <row r="22">
          <cell r="B22">
            <v>114082130</v>
          </cell>
          <cell r="AG22">
            <v>0</v>
          </cell>
        </row>
        <row r="23">
          <cell r="B23">
            <v>111790839</v>
          </cell>
          <cell r="AG23">
            <v>0</v>
          </cell>
        </row>
        <row r="24">
          <cell r="B24">
            <v>105277138</v>
          </cell>
          <cell r="AG24">
            <v>0</v>
          </cell>
        </row>
        <row r="25">
          <cell r="B25">
            <v>150743545</v>
          </cell>
          <cell r="AG25">
            <v>0</v>
          </cell>
        </row>
        <row r="26">
          <cell r="B26">
            <v>60117730</v>
          </cell>
          <cell r="AG26">
            <v>0</v>
          </cell>
        </row>
        <row r="27">
          <cell r="B27">
            <v>72510777</v>
          </cell>
          <cell r="AG27">
            <v>0</v>
          </cell>
        </row>
        <row r="28">
          <cell r="B28">
            <v>95151425</v>
          </cell>
          <cell r="AG28">
            <v>0</v>
          </cell>
        </row>
        <row r="29">
          <cell r="B29">
            <v>92581599</v>
          </cell>
          <cell r="AG29">
            <v>0</v>
          </cell>
        </row>
        <row r="30">
          <cell r="B30">
            <v>107554758</v>
          </cell>
          <cell r="AG30">
            <v>0</v>
          </cell>
        </row>
        <row r="31">
          <cell r="B31">
            <v>106613644</v>
          </cell>
          <cell r="AG31">
            <v>0</v>
          </cell>
        </row>
        <row r="32">
          <cell r="B32">
            <v>97342403</v>
          </cell>
          <cell r="AG32">
            <v>0</v>
          </cell>
        </row>
        <row r="33">
          <cell r="B33">
            <v>96254350</v>
          </cell>
          <cell r="AG33">
            <v>0</v>
          </cell>
        </row>
        <row r="34">
          <cell r="B34">
            <v>81339106</v>
          </cell>
          <cell r="AG34">
            <v>0</v>
          </cell>
        </row>
        <row r="35">
          <cell r="B35">
            <v>80600435</v>
          </cell>
          <cell r="AG35">
            <v>0</v>
          </cell>
        </row>
        <row r="36">
          <cell r="B36">
            <v>67979938</v>
          </cell>
          <cell r="AG36">
            <v>0</v>
          </cell>
        </row>
        <row r="37">
          <cell r="B37">
            <v>58155836</v>
          </cell>
          <cell r="AG37">
            <v>0</v>
          </cell>
        </row>
        <row r="38">
          <cell r="B38">
            <v>71157810</v>
          </cell>
          <cell r="AG38">
            <v>0</v>
          </cell>
        </row>
        <row r="39">
          <cell r="B39">
            <v>74511501</v>
          </cell>
          <cell r="AG39">
            <v>0</v>
          </cell>
        </row>
        <row r="40">
          <cell r="B40">
            <v>101030322</v>
          </cell>
          <cell r="AG40">
            <v>0</v>
          </cell>
        </row>
        <row r="41">
          <cell r="B41">
            <v>110954540</v>
          </cell>
          <cell r="AG41">
            <v>0</v>
          </cell>
        </row>
        <row r="42">
          <cell r="B42">
            <v>118930694</v>
          </cell>
          <cell r="AG42">
            <v>0</v>
          </cell>
        </row>
        <row r="43">
          <cell r="B43">
            <v>117472586</v>
          </cell>
          <cell r="AG43">
            <v>0</v>
          </cell>
        </row>
        <row r="44">
          <cell r="B44">
            <v>128278779</v>
          </cell>
          <cell r="AG44">
            <v>0</v>
          </cell>
        </row>
        <row r="45">
          <cell r="B45">
            <v>129887145</v>
          </cell>
          <cell r="AG45">
            <v>0</v>
          </cell>
        </row>
        <row r="46">
          <cell r="B46">
            <v>127580018</v>
          </cell>
          <cell r="AG46">
            <v>0</v>
          </cell>
        </row>
        <row r="47">
          <cell r="B47">
            <v>130088019</v>
          </cell>
          <cell r="AG47">
            <v>0</v>
          </cell>
        </row>
        <row r="48">
          <cell r="B48">
            <v>110331788</v>
          </cell>
          <cell r="AG48">
            <v>0</v>
          </cell>
        </row>
        <row r="49">
          <cell r="B49">
            <v>158363160</v>
          </cell>
          <cell r="AG49">
            <v>0</v>
          </cell>
        </row>
        <row r="50">
          <cell r="B50">
            <v>56695627</v>
          </cell>
          <cell r="AG50">
            <v>0</v>
          </cell>
        </row>
        <row r="51">
          <cell r="B51">
            <v>69859288</v>
          </cell>
          <cell r="AG51">
            <v>0</v>
          </cell>
        </row>
        <row r="52">
          <cell r="B52">
            <v>90811260</v>
          </cell>
          <cell r="AG52">
            <v>0</v>
          </cell>
        </row>
        <row r="53">
          <cell r="B53">
            <v>103350473</v>
          </cell>
          <cell r="AG53">
            <v>0</v>
          </cell>
        </row>
        <row r="54">
          <cell r="B54">
            <v>109855624</v>
          </cell>
          <cell r="AG54">
            <v>0</v>
          </cell>
        </row>
        <row r="55">
          <cell r="B55">
            <v>113250338</v>
          </cell>
          <cell r="AG55">
            <v>0</v>
          </cell>
        </row>
        <row r="56">
          <cell r="B56">
            <v>128017921</v>
          </cell>
          <cell r="AG56">
            <v>0</v>
          </cell>
        </row>
        <row r="57">
          <cell r="B57">
            <v>127377367</v>
          </cell>
          <cell r="AG57">
            <v>0</v>
          </cell>
        </row>
        <row r="58">
          <cell r="B58">
            <v>124535190</v>
          </cell>
          <cell r="AG58">
            <v>0</v>
          </cell>
        </row>
        <row r="59">
          <cell r="B59">
            <v>121329751</v>
          </cell>
          <cell r="AG59">
            <v>0</v>
          </cell>
        </row>
        <row r="60">
          <cell r="B60">
            <v>97332075</v>
          </cell>
          <cell r="AG60">
            <v>0</v>
          </cell>
        </row>
        <row r="61">
          <cell r="B61">
            <v>163494776</v>
          </cell>
          <cell r="AG61">
            <v>0</v>
          </cell>
        </row>
        <row r="62">
          <cell r="B62">
            <v>55879853</v>
          </cell>
          <cell r="AG62">
            <v>0</v>
          </cell>
        </row>
        <row r="63">
          <cell r="B63">
            <v>62835451</v>
          </cell>
          <cell r="AG63">
            <v>0</v>
          </cell>
        </row>
        <row r="64">
          <cell r="B64">
            <v>92371029</v>
          </cell>
          <cell r="AG64">
            <v>0</v>
          </cell>
        </row>
        <row r="65">
          <cell r="B65">
            <v>106492710</v>
          </cell>
          <cell r="AG65">
            <v>0</v>
          </cell>
        </row>
        <row r="66">
          <cell r="B66">
            <v>121530326</v>
          </cell>
          <cell r="AG66">
            <v>0</v>
          </cell>
        </row>
        <row r="67">
          <cell r="B67">
            <v>130919551</v>
          </cell>
          <cell r="AG67">
            <v>0</v>
          </cell>
        </row>
        <row r="68">
          <cell r="B68">
            <v>129173039</v>
          </cell>
          <cell r="AG68">
            <v>0</v>
          </cell>
        </row>
        <row r="69">
          <cell r="B69">
            <v>125600893</v>
          </cell>
          <cell r="AG69">
            <v>0</v>
          </cell>
        </row>
        <row r="70">
          <cell r="B70">
            <v>117829158</v>
          </cell>
          <cell r="AG70">
            <v>0</v>
          </cell>
        </row>
        <row r="71">
          <cell r="B71">
            <v>105019500</v>
          </cell>
          <cell r="AG71">
            <v>0</v>
          </cell>
        </row>
        <row r="72">
          <cell r="B72">
            <v>96476718</v>
          </cell>
          <cell r="AG72">
            <v>0</v>
          </cell>
        </row>
        <row r="73">
          <cell r="B73">
            <v>110100066</v>
          </cell>
          <cell r="AG73">
            <v>0</v>
          </cell>
        </row>
        <row r="74">
          <cell r="B74">
            <v>85560071</v>
          </cell>
          <cell r="AG74">
            <v>0</v>
          </cell>
        </row>
        <row r="75">
          <cell r="B75">
            <v>100399613</v>
          </cell>
          <cell r="AG75">
            <v>0</v>
          </cell>
        </row>
        <row r="76">
          <cell r="B76">
            <v>126575151</v>
          </cell>
          <cell r="AG76">
            <v>0</v>
          </cell>
        </row>
        <row r="77">
          <cell r="B77">
            <v>126257818</v>
          </cell>
          <cell r="AG77">
            <v>0</v>
          </cell>
        </row>
        <row r="78">
          <cell r="B78">
            <v>135261004</v>
          </cell>
          <cell r="AG78">
            <v>0</v>
          </cell>
        </row>
        <row r="79">
          <cell r="B79">
            <v>142561451</v>
          </cell>
          <cell r="AG79">
            <v>0</v>
          </cell>
        </row>
        <row r="80">
          <cell r="B80">
            <v>137963278</v>
          </cell>
          <cell r="AG80">
            <v>0</v>
          </cell>
        </row>
        <row r="81">
          <cell r="B81">
            <v>161632981</v>
          </cell>
          <cell r="AG81">
            <v>0</v>
          </cell>
        </row>
        <row r="82">
          <cell r="B82">
            <v>146610102</v>
          </cell>
          <cell r="AG82">
            <v>230790</v>
          </cell>
        </row>
        <row r="83">
          <cell r="B83">
            <v>143064387</v>
          </cell>
          <cell r="AG83">
            <v>181093</v>
          </cell>
        </row>
        <row r="84">
          <cell r="B84">
            <v>139703517</v>
          </cell>
          <cell r="AG84">
            <v>192991</v>
          </cell>
        </row>
        <row r="85">
          <cell r="B85">
            <v>187163249</v>
          </cell>
          <cell r="AG85">
            <v>178772</v>
          </cell>
        </row>
        <row r="86">
          <cell r="B86">
            <v>65936175</v>
          </cell>
          <cell r="AG86">
            <v>210331</v>
          </cell>
        </row>
        <row r="87">
          <cell r="B87">
            <v>78476257</v>
          </cell>
          <cell r="AG87">
            <v>190622</v>
          </cell>
        </row>
        <row r="88">
          <cell r="B88">
            <v>111494709</v>
          </cell>
          <cell r="AG88">
            <v>184825</v>
          </cell>
        </row>
        <row r="89">
          <cell r="B89">
            <v>124324164</v>
          </cell>
          <cell r="AG89">
            <v>0</v>
          </cell>
        </row>
        <row r="90">
          <cell r="B90">
            <v>147074058</v>
          </cell>
          <cell r="AG90">
            <v>134485</v>
          </cell>
        </row>
        <row r="91">
          <cell r="B91">
            <v>145011076</v>
          </cell>
          <cell r="AG91">
            <v>127471</v>
          </cell>
        </row>
        <row r="92">
          <cell r="B92">
            <v>150290364</v>
          </cell>
          <cell r="AG92">
            <v>120661</v>
          </cell>
        </row>
        <row r="93">
          <cell r="B93">
            <v>157536696</v>
          </cell>
          <cell r="AG93">
            <v>174175</v>
          </cell>
        </row>
        <row r="94">
          <cell r="B94">
            <v>148333215</v>
          </cell>
          <cell r="AG94">
            <v>137952</v>
          </cell>
        </row>
        <row r="95">
          <cell r="B95">
            <v>149347918</v>
          </cell>
          <cell r="AG95">
            <v>160272</v>
          </cell>
        </row>
        <row r="96">
          <cell r="B96">
            <v>147829945</v>
          </cell>
          <cell r="AG96">
            <v>68957</v>
          </cell>
        </row>
        <row r="97">
          <cell r="B97">
            <v>162595163</v>
          </cell>
          <cell r="AG97">
            <v>201266</v>
          </cell>
        </row>
        <row r="98">
          <cell r="B98">
            <v>110496056</v>
          </cell>
          <cell r="AG98">
            <v>139714</v>
          </cell>
        </row>
        <row r="99">
          <cell r="B99">
            <v>115536272</v>
          </cell>
          <cell r="AG99">
            <v>237996</v>
          </cell>
        </row>
        <row r="100">
          <cell r="B100">
            <v>145194734</v>
          </cell>
          <cell r="AG100">
            <v>103790</v>
          </cell>
        </row>
        <row r="101">
          <cell r="B101">
            <v>144637673</v>
          </cell>
          <cell r="AG101">
            <v>184634</v>
          </cell>
        </row>
        <row r="102">
          <cell r="B102">
            <v>166235446</v>
          </cell>
          <cell r="AG102">
            <v>64189</v>
          </cell>
        </row>
        <row r="103">
          <cell r="B103">
            <v>160548223</v>
          </cell>
          <cell r="AG103">
            <v>140194</v>
          </cell>
        </row>
        <row r="104">
          <cell r="B104">
            <v>169779870</v>
          </cell>
          <cell r="AG104">
            <v>82231</v>
          </cell>
        </row>
        <row r="105">
          <cell r="B105">
            <v>180631297</v>
          </cell>
          <cell r="AG105">
            <v>70236</v>
          </cell>
        </row>
        <row r="106">
          <cell r="B106">
            <v>157006356</v>
          </cell>
          <cell r="AG106">
            <v>151082</v>
          </cell>
        </row>
        <row r="107">
          <cell r="B107">
            <v>170944979</v>
          </cell>
          <cell r="AG107">
            <v>229089</v>
          </cell>
        </row>
        <row r="108">
          <cell r="B108">
            <v>150780540</v>
          </cell>
          <cell r="AG108">
            <v>152783</v>
          </cell>
        </row>
        <row r="109">
          <cell r="B109">
            <v>183329377</v>
          </cell>
          <cell r="AG109">
            <v>272240</v>
          </cell>
        </row>
        <row r="110">
          <cell r="B110">
            <v>107668977</v>
          </cell>
          <cell r="AG110">
            <v>194630</v>
          </cell>
        </row>
        <row r="111">
          <cell r="B111">
            <v>117330452</v>
          </cell>
          <cell r="AG111">
            <v>187609</v>
          </cell>
        </row>
        <row r="112">
          <cell r="B112">
            <v>147658797</v>
          </cell>
          <cell r="AG112">
            <v>183940</v>
          </cell>
        </row>
        <row r="113">
          <cell r="B113">
            <v>160888556</v>
          </cell>
          <cell r="AG113">
            <v>245975</v>
          </cell>
        </row>
        <row r="114">
          <cell r="B114">
            <v>164042436</v>
          </cell>
          <cell r="AG114">
            <v>254288</v>
          </cell>
        </row>
        <row r="115">
          <cell r="B115">
            <v>144102423</v>
          </cell>
          <cell r="AG115">
            <v>223279</v>
          </cell>
        </row>
        <row r="116">
          <cell r="B116">
            <v>169452631</v>
          </cell>
          <cell r="AG116">
            <v>146613</v>
          </cell>
        </row>
        <row r="117">
          <cell r="B117">
            <v>153598697</v>
          </cell>
          <cell r="AG117">
            <v>271757</v>
          </cell>
        </row>
        <row r="118">
          <cell r="B118">
            <v>143659811</v>
          </cell>
          <cell r="AG118">
            <v>275529</v>
          </cell>
        </row>
        <row r="119">
          <cell r="B119">
            <v>146618360</v>
          </cell>
          <cell r="AG119">
            <v>216574</v>
          </cell>
        </row>
        <row r="120">
          <cell r="B120">
            <v>119139678</v>
          </cell>
          <cell r="AG120">
            <v>91175</v>
          </cell>
        </row>
        <row r="121">
          <cell r="B121">
            <v>139601581</v>
          </cell>
          <cell r="AG121">
            <v>137333</v>
          </cell>
        </row>
        <row r="122">
          <cell r="B122">
            <v>118403817</v>
          </cell>
          <cell r="AG122">
            <v>41590</v>
          </cell>
        </row>
        <row r="123">
          <cell r="B123">
            <v>128033003</v>
          </cell>
          <cell r="AG123">
            <v>0</v>
          </cell>
        </row>
        <row r="124">
          <cell r="B124">
            <v>150090658</v>
          </cell>
          <cell r="AG124">
            <v>280826</v>
          </cell>
        </row>
        <row r="125">
          <cell r="B125">
            <v>149356126</v>
          </cell>
          <cell r="AG125">
            <v>1234442</v>
          </cell>
        </row>
        <row r="126">
          <cell r="B126">
            <v>143174223</v>
          </cell>
          <cell r="AG126">
            <v>0</v>
          </cell>
        </row>
        <row r="127">
          <cell r="B127">
            <v>165519330</v>
          </cell>
          <cell r="AG127">
            <v>508513</v>
          </cell>
        </row>
        <row r="128">
          <cell r="B128">
            <v>162738265</v>
          </cell>
          <cell r="AG128">
            <v>1536725</v>
          </cell>
        </row>
        <row r="129">
          <cell r="B129">
            <v>171493499</v>
          </cell>
          <cell r="AG129">
            <v>63855</v>
          </cell>
        </row>
        <row r="130">
          <cell r="B130">
            <v>167865219</v>
          </cell>
          <cell r="AG130">
            <v>371169</v>
          </cell>
        </row>
        <row r="131">
          <cell r="B131">
            <v>149489760</v>
          </cell>
          <cell r="AG131">
            <v>188416</v>
          </cell>
        </row>
        <row r="132">
          <cell r="B132">
            <v>142828517</v>
          </cell>
          <cell r="AG132">
            <v>188201</v>
          </cell>
        </row>
        <row r="133">
          <cell r="B133">
            <v>175881221</v>
          </cell>
          <cell r="AG133">
            <v>194662</v>
          </cell>
        </row>
        <row r="134">
          <cell r="B134">
            <v>107302585</v>
          </cell>
          <cell r="AG134">
            <v>289825</v>
          </cell>
        </row>
        <row r="135">
          <cell r="B135">
            <v>109881050</v>
          </cell>
          <cell r="AG135">
            <v>294725</v>
          </cell>
        </row>
        <row r="136">
          <cell r="B136">
            <v>150336910</v>
          </cell>
          <cell r="AG136">
            <v>288906</v>
          </cell>
        </row>
        <row r="137">
          <cell r="B137">
            <v>144396494</v>
          </cell>
          <cell r="AG137">
            <v>293289</v>
          </cell>
        </row>
        <row r="138">
          <cell r="B138">
            <v>150501950</v>
          </cell>
          <cell r="AG138">
            <v>287496</v>
          </cell>
        </row>
        <row r="139">
          <cell r="B139">
            <v>154457118</v>
          </cell>
          <cell r="AG139">
            <v>357317</v>
          </cell>
        </row>
        <row r="140">
          <cell r="B140">
            <v>146890338</v>
          </cell>
          <cell r="AG140">
            <v>1093159</v>
          </cell>
        </row>
        <row r="141">
          <cell r="B141">
            <v>154582245</v>
          </cell>
          <cell r="AG141">
            <v>722058</v>
          </cell>
        </row>
        <row r="142">
          <cell r="B142">
            <v>139934774</v>
          </cell>
          <cell r="AG142">
            <v>300122</v>
          </cell>
        </row>
        <row r="143">
          <cell r="B143">
            <v>139778878</v>
          </cell>
          <cell r="AG143">
            <v>437741</v>
          </cell>
        </row>
        <row r="144">
          <cell r="B144">
            <v>140856752</v>
          </cell>
          <cell r="AG144">
            <v>403482</v>
          </cell>
        </row>
        <row r="145">
          <cell r="B145">
            <v>165708240</v>
          </cell>
          <cell r="AG145">
            <v>308503</v>
          </cell>
        </row>
        <row r="146">
          <cell r="B146">
            <v>90715015</v>
          </cell>
          <cell r="AG146">
            <v>402120</v>
          </cell>
        </row>
        <row r="147">
          <cell r="B147">
            <v>110442650</v>
          </cell>
          <cell r="AG147">
            <v>1108870</v>
          </cell>
        </row>
        <row r="148">
          <cell r="B148">
            <v>135867416</v>
          </cell>
          <cell r="AG148">
            <v>1026537</v>
          </cell>
        </row>
        <row r="149">
          <cell r="B149">
            <v>144286382</v>
          </cell>
          <cell r="AG149">
            <v>408991</v>
          </cell>
        </row>
        <row r="150">
          <cell r="B150">
            <v>139875243</v>
          </cell>
          <cell r="AG150">
            <v>202831</v>
          </cell>
        </row>
        <row r="151">
          <cell r="B151">
            <v>142855221</v>
          </cell>
          <cell r="AG151">
            <v>802264</v>
          </cell>
        </row>
        <row r="152">
          <cell r="B152">
            <v>137545866</v>
          </cell>
          <cell r="AG152">
            <v>1137973</v>
          </cell>
        </row>
        <row r="153">
          <cell r="B153">
            <v>151833118</v>
          </cell>
          <cell r="AG153">
            <v>392568</v>
          </cell>
        </row>
        <row r="154">
          <cell r="B154">
            <v>141860945</v>
          </cell>
          <cell r="AG154">
            <v>393571</v>
          </cell>
        </row>
        <row r="155">
          <cell r="B155">
            <v>138040230</v>
          </cell>
          <cell r="AG155">
            <v>1764631</v>
          </cell>
        </row>
        <row r="156">
          <cell r="B156">
            <v>141295576</v>
          </cell>
          <cell r="AG156">
            <v>152226</v>
          </cell>
        </row>
        <row r="157">
          <cell r="B157">
            <v>145591401</v>
          </cell>
          <cell r="AG157">
            <v>100555</v>
          </cell>
        </row>
        <row r="158">
          <cell r="AG158">
            <v>100937</v>
          </cell>
        </row>
        <row r="159">
          <cell r="AG159">
            <v>1578596</v>
          </cell>
        </row>
        <row r="160">
          <cell r="AG160">
            <v>797170</v>
          </cell>
        </row>
        <row r="161">
          <cell r="AG161">
            <v>913521</v>
          </cell>
        </row>
        <row r="162">
          <cell r="AG162">
            <v>1626715</v>
          </cell>
        </row>
        <row r="163">
          <cell r="AG163">
            <v>1121861</v>
          </cell>
        </row>
        <row r="164">
          <cell r="AG164">
            <v>1770762</v>
          </cell>
        </row>
        <row r="165">
          <cell r="AG165">
            <v>2038864</v>
          </cell>
        </row>
        <row r="166">
          <cell r="AG166">
            <v>659302</v>
          </cell>
        </row>
        <row r="167">
          <cell r="AG167">
            <v>1465137</v>
          </cell>
        </row>
        <row r="168">
          <cell r="AG168">
            <v>0</v>
          </cell>
        </row>
        <row r="169">
          <cell r="AG169">
            <v>117932</v>
          </cell>
        </row>
        <row r="170">
          <cell r="AG170">
            <v>833897</v>
          </cell>
        </row>
        <row r="171">
          <cell r="AG171">
            <v>1254939</v>
          </cell>
        </row>
        <row r="172">
          <cell r="AG172">
            <v>2119258</v>
          </cell>
        </row>
        <row r="173">
          <cell r="AG173">
            <v>2743078</v>
          </cell>
        </row>
        <row r="174">
          <cell r="AG174">
            <v>3266216</v>
          </cell>
        </row>
        <row r="175">
          <cell r="AG175">
            <v>2998612</v>
          </cell>
        </row>
        <row r="176">
          <cell r="AG176">
            <v>3256887</v>
          </cell>
        </row>
        <row r="177">
          <cell r="AG177">
            <v>4026790</v>
          </cell>
        </row>
        <row r="178">
          <cell r="AG178">
            <v>9238825</v>
          </cell>
        </row>
      </sheetData>
      <sheetData sheetId="12"/>
      <sheetData sheetId="13"/>
      <sheetData sheetId="14">
        <row r="136">
          <cell r="C136">
            <v>1833004</v>
          </cell>
          <cell r="D136">
            <v>50472</v>
          </cell>
          <cell r="E136">
            <v>1243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</row>
        <row r="137">
          <cell r="C137">
            <v>591021</v>
          </cell>
          <cell r="D137">
            <v>1390888</v>
          </cell>
          <cell r="E137">
            <v>1742</v>
          </cell>
          <cell r="F137">
            <v>300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</row>
        <row r="138">
          <cell r="C138">
            <v>557144</v>
          </cell>
          <cell r="D138">
            <v>362441</v>
          </cell>
          <cell r="E138">
            <v>1677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</row>
        <row r="139">
          <cell r="C139">
            <v>189755</v>
          </cell>
          <cell r="D139">
            <v>1300</v>
          </cell>
          <cell r="E139">
            <v>1300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</row>
        <row r="140">
          <cell r="C140">
            <v>4116009</v>
          </cell>
          <cell r="D140">
            <v>1250</v>
          </cell>
          <cell r="E140">
            <v>1050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</row>
        <row r="141">
          <cell r="C141">
            <v>391438</v>
          </cell>
          <cell r="D141">
            <v>61048</v>
          </cell>
          <cell r="E141">
            <v>1250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</row>
        <row r="142">
          <cell r="B142">
            <v>37764</v>
          </cell>
          <cell r="C142">
            <v>274273</v>
          </cell>
          <cell r="D142">
            <v>294827</v>
          </cell>
          <cell r="E142">
            <v>1250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</row>
        <row r="143">
          <cell r="B143">
            <v>157694</v>
          </cell>
          <cell r="C143">
            <v>580234</v>
          </cell>
          <cell r="D143">
            <v>810</v>
          </cell>
          <cell r="E143">
            <v>250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</row>
        <row r="144">
          <cell r="B144">
            <v>497989</v>
          </cell>
          <cell r="C144">
            <v>1263302</v>
          </cell>
          <cell r="D144">
            <v>1000</v>
          </cell>
          <cell r="E144">
            <v>700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</row>
        <row r="145">
          <cell r="B145">
            <v>1167125</v>
          </cell>
          <cell r="C145">
            <v>687473</v>
          </cell>
          <cell r="D145">
            <v>1050</v>
          </cell>
          <cell r="E145">
            <v>500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</row>
        <row r="146">
          <cell r="B146">
            <v>1441986</v>
          </cell>
          <cell r="C146">
            <v>1280544</v>
          </cell>
          <cell r="D146">
            <v>1200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</row>
        <row r="147">
          <cell r="B147">
            <v>1872516</v>
          </cell>
          <cell r="C147">
            <v>419381</v>
          </cell>
          <cell r="D147">
            <v>1000</v>
          </cell>
          <cell r="E147">
            <v>650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</row>
        <row r="152">
          <cell r="C152">
            <v>442129</v>
          </cell>
          <cell r="D152">
            <v>462261</v>
          </cell>
          <cell r="E152">
            <v>402535</v>
          </cell>
          <cell r="F152">
            <v>234258</v>
          </cell>
          <cell r="G152">
            <v>166050</v>
          </cell>
          <cell r="H152">
            <v>235311</v>
          </cell>
          <cell r="I152">
            <v>449601</v>
          </cell>
          <cell r="J152">
            <v>321773</v>
          </cell>
          <cell r="K152">
            <v>2981550</v>
          </cell>
          <cell r="L152">
            <v>4025292</v>
          </cell>
          <cell r="M152">
            <v>8703348</v>
          </cell>
          <cell r="N152">
            <v>4020554</v>
          </cell>
          <cell r="O152">
            <v>3658476</v>
          </cell>
          <cell r="P152">
            <v>5200778</v>
          </cell>
          <cell r="Q152">
            <v>5416008</v>
          </cell>
          <cell r="R152">
            <v>5937533.8844495649</v>
          </cell>
          <cell r="S152">
            <v>6214707.3119492158</v>
          </cell>
          <cell r="T152">
            <v>6809707.318395297</v>
          </cell>
          <cell r="U152">
            <v>7705781.8718978278</v>
          </cell>
          <cell r="V152">
            <v>8221829.8078431087</v>
          </cell>
          <cell r="W152">
            <v>8373344.3202624619</v>
          </cell>
          <cell r="X152">
            <v>9400006.6353150103</v>
          </cell>
          <cell r="Y152">
            <v>9750870.210260829</v>
          </cell>
          <cell r="Z152">
            <v>10270938.943144886</v>
          </cell>
          <cell r="AA152">
            <v>10853958.908365149</v>
          </cell>
          <cell r="AB152">
            <v>10583586.781363338</v>
          </cell>
          <cell r="AC152">
            <v>11443625.784014061</v>
          </cell>
          <cell r="AD152">
            <v>12641580.616318449</v>
          </cell>
          <cell r="AE152">
            <v>13811853.323497228</v>
          </cell>
          <cell r="AF152">
            <v>13794033.974486617</v>
          </cell>
          <cell r="AG152">
            <v>13840996.832624484</v>
          </cell>
          <cell r="AH152">
            <v>14544871.159587309</v>
          </cell>
          <cell r="AI152">
            <v>15707792.551286601</v>
          </cell>
          <cell r="AJ152">
            <v>16099231.31321382</v>
          </cell>
          <cell r="AK152">
            <v>16066784.200494088</v>
          </cell>
          <cell r="AL152">
            <v>15994169.829607673</v>
          </cell>
          <cell r="AM152">
            <v>15720770.112049596</v>
          </cell>
          <cell r="AN152">
            <v>16322664.884684358</v>
          </cell>
          <cell r="AO152">
            <v>16911485.1891094</v>
          </cell>
          <cell r="AP152">
            <v>17062823.486536875</v>
          </cell>
        </row>
        <row r="153">
          <cell r="C153">
            <v>134530</v>
          </cell>
          <cell r="D153">
            <v>331993</v>
          </cell>
          <cell r="E153">
            <v>581378</v>
          </cell>
          <cell r="F153">
            <v>523001</v>
          </cell>
          <cell r="G153">
            <v>390698</v>
          </cell>
          <cell r="H153">
            <v>302371</v>
          </cell>
          <cell r="I153">
            <v>357500</v>
          </cell>
          <cell r="J153">
            <v>1440235</v>
          </cell>
          <cell r="K153">
            <v>2348092</v>
          </cell>
          <cell r="L153">
            <v>3352809</v>
          </cell>
          <cell r="M153">
            <v>4481922</v>
          </cell>
          <cell r="N153">
            <v>4714822</v>
          </cell>
          <cell r="O153">
            <v>2098580</v>
          </cell>
          <cell r="P153">
            <v>3935204</v>
          </cell>
          <cell r="Q153">
            <v>4635669</v>
          </cell>
          <cell r="R153">
            <v>4368884.0825830866</v>
          </cell>
          <cell r="S153">
            <v>5065750.4129629154</v>
          </cell>
          <cell r="T153">
            <v>5180321.0742486808</v>
          </cell>
          <cell r="U153">
            <v>6040317.1538219014</v>
          </cell>
          <cell r="V153">
            <v>6481096.9353217538</v>
          </cell>
          <cell r="W153">
            <v>6512611.9529533442</v>
          </cell>
          <cell r="X153">
            <v>7373888.2269634949</v>
          </cell>
          <cell r="Y153">
            <v>7603250.7819719575</v>
          </cell>
          <cell r="Z153">
            <v>8039398.4959352035</v>
          </cell>
          <cell r="AA153">
            <v>8493683.2100004666</v>
          </cell>
          <cell r="AB153">
            <v>8271844.5337041849</v>
          </cell>
          <cell r="AC153">
            <v>8951175.4451111443</v>
          </cell>
          <cell r="AD153">
            <v>9883140.4629495945</v>
          </cell>
          <cell r="AE153">
            <v>10802992.247526623</v>
          </cell>
          <cell r="AF153">
            <v>10787672.563861012</v>
          </cell>
          <cell r="AG153">
            <v>10823220.59135548</v>
          </cell>
          <cell r="AH153">
            <v>11374556.788697243</v>
          </cell>
          <cell r="AI153">
            <v>12283565.633218382</v>
          </cell>
          <cell r="AJ153">
            <v>12590263.834875172</v>
          </cell>
          <cell r="AK153">
            <v>12564551.721336858</v>
          </cell>
          <cell r="AL153">
            <v>12507669.812683295</v>
          </cell>
          <cell r="AM153">
            <v>12293995.05104439</v>
          </cell>
          <cell r="AN153">
            <v>12764661.331877131</v>
          </cell>
          <cell r="AO153">
            <v>13225184.290717352</v>
          </cell>
          <cell r="AP153">
            <v>13343475.173394755</v>
          </cell>
        </row>
        <row r="154">
          <cell r="C154">
            <v>207870</v>
          </cell>
          <cell r="D154">
            <v>287273</v>
          </cell>
          <cell r="E154">
            <v>692789</v>
          </cell>
          <cell r="F154">
            <v>738516</v>
          </cell>
          <cell r="G154">
            <v>701443</v>
          </cell>
          <cell r="H154">
            <v>453723</v>
          </cell>
          <cell r="I154">
            <v>457937</v>
          </cell>
          <cell r="J154">
            <v>2271977</v>
          </cell>
          <cell r="K154">
            <v>2875234</v>
          </cell>
          <cell r="L154">
            <v>3562685</v>
          </cell>
          <cell r="M154">
            <v>4066092</v>
          </cell>
          <cell r="N154">
            <v>4778660</v>
          </cell>
          <cell r="O154">
            <v>9786748</v>
          </cell>
          <cell r="P154">
            <v>5284964</v>
          </cell>
          <cell r="Q154">
            <v>6570323</v>
          </cell>
          <cell r="R154">
            <v>6704516.1413329868</v>
          </cell>
          <cell r="S154">
            <v>8495048.8839351721</v>
          </cell>
          <cell r="T154">
            <v>9493159.8891130928</v>
          </cell>
          <cell r="U154">
            <v>9521401.5164470449</v>
          </cell>
          <cell r="V154">
            <v>10451487.852984844</v>
          </cell>
          <cell r="W154">
            <v>10719555.236267576</v>
          </cell>
          <cell r="X154">
            <v>12259716.569288185</v>
          </cell>
          <cell r="Y154">
            <v>12623526.577462206</v>
          </cell>
          <cell r="Z154">
            <v>13136718.482216381</v>
          </cell>
          <cell r="AA154">
            <v>13961294.168036874</v>
          </cell>
          <cell r="AB154">
            <v>13640523.98555973</v>
          </cell>
          <cell r="AC154">
            <v>14765248.113286629</v>
          </cell>
          <cell r="AD154">
            <v>16279553.403193215</v>
          </cell>
          <cell r="AE154">
            <v>17770126.321995769</v>
          </cell>
          <cell r="AF154">
            <v>17765268.397546172</v>
          </cell>
          <cell r="AG154">
            <v>17829633.583749469</v>
          </cell>
          <cell r="AH154">
            <v>18734792.2122459</v>
          </cell>
          <cell r="AI154">
            <v>20226976.48295787</v>
          </cell>
          <cell r="AJ154">
            <v>20730820.570488285</v>
          </cell>
          <cell r="AK154">
            <v>20692352.624093533</v>
          </cell>
          <cell r="AL154">
            <v>20598836.516013481</v>
          </cell>
          <cell r="AM154">
            <v>20245951.83713587</v>
          </cell>
          <cell r="AN154">
            <v>21020440.297812</v>
          </cell>
          <cell r="AO154">
            <v>21779070.204209246</v>
          </cell>
          <cell r="AP154">
            <v>21974432.598501984</v>
          </cell>
        </row>
        <row r="155">
          <cell r="C155">
            <v>89893</v>
          </cell>
          <cell r="D155">
            <v>369002</v>
          </cell>
          <cell r="E155">
            <v>648696</v>
          </cell>
          <cell r="F155">
            <v>918911</v>
          </cell>
          <cell r="G155">
            <v>558072</v>
          </cell>
          <cell r="H155">
            <v>390974</v>
          </cell>
          <cell r="I155">
            <v>335064</v>
          </cell>
          <cell r="J155">
            <v>1030741</v>
          </cell>
          <cell r="K155">
            <v>2995674</v>
          </cell>
          <cell r="L155">
            <v>3082235</v>
          </cell>
          <cell r="M155">
            <v>3055962</v>
          </cell>
          <cell r="N155">
            <v>5292420</v>
          </cell>
          <cell r="O155">
            <v>4886807</v>
          </cell>
          <cell r="P155">
            <v>3922034</v>
          </cell>
          <cell r="Q155">
            <v>3804545.0782076744</v>
          </cell>
          <cell r="R155">
            <v>4609817.1129421378</v>
          </cell>
          <cell r="S155">
            <v>5774191.7129221698</v>
          </cell>
          <cell r="T155">
            <v>5925854.1080651917</v>
          </cell>
          <cell r="U155">
            <v>6261916.9535265518</v>
          </cell>
          <cell r="V155">
            <v>6759238.9705435019</v>
          </cell>
          <cell r="W155">
            <v>7039318.3173633562</v>
          </cell>
          <cell r="X155">
            <v>7998556.86054652</v>
          </cell>
          <cell r="Y155">
            <v>8180121.5623535784</v>
          </cell>
          <cell r="Z155">
            <v>8566039.6809830815</v>
          </cell>
          <cell r="AA155">
            <v>9091144.9891102128</v>
          </cell>
          <cell r="AB155">
            <v>8892371.2987734117</v>
          </cell>
          <cell r="AC155">
            <v>9614079.1110444833</v>
          </cell>
          <cell r="AD155">
            <v>10596287.161482276</v>
          </cell>
          <cell r="AE155">
            <v>11575523.602335015</v>
          </cell>
          <cell r="AF155">
            <v>11570328.558080548</v>
          </cell>
          <cell r="AG155">
            <v>11612625.860388728</v>
          </cell>
          <cell r="AH155">
            <v>12200354.842341354</v>
          </cell>
          <cell r="AI155">
            <v>13172372.778771644</v>
          </cell>
          <cell r="AJ155">
            <v>13501705.6301654</v>
          </cell>
          <cell r="AK155">
            <v>13476200.619701881</v>
          </cell>
          <cell r="AL155">
            <v>13415205.67477086</v>
          </cell>
          <cell r="AM155">
            <v>13185206.980684943</v>
          </cell>
          <cell r="AN155">
            <v>13689738.794349477</v>
          </cell>
          <cell r="AO155">
            <v>14183932.803343907</v>
          </cell>
          <cell r="AP155">
            <v>14311068.390806342</v>
          </cell>
        </row>
        <row r="156">
          <cell r="C156">
            <v>264610</v>
          </cell>
          <cell r="D156">
            <v>407252</v>
          </cell>
          <cell r="E156">
            <v>1824678</v>
          </cell>
          <cell r="F156">
            <v>761660</v>
          </cell>
          <cell r="G156">
            <v>341069</v>
          </cell>
          <cell r="H156">
            <v>309105</v>
          </cell>
          <cell r="I156">
            <v>367344</v>
          </cell>
          <cell r="J156">
            <v>430228</v>
          </cell>
          <cell r="K156">
            <v>3468236</v>
          </cell>
          <cell r="L156">
            <v>4256121</v>
          </cell>
          <cell r="M156">
            <v>2229105</v>
          </cell>
          <cell r="N156">
            <v>8683370</v>
          </cell>
          <cell r="O156">
            <v>7140938</v>
          </cell>
          <cell r="P156">
            <v>1427701</v>
          </cell>
          <cell r="Q156">
            <v>4462045.4060335485</v>
          </cell>
          <cell r="R156">
            <v>5265471.1928895842</v>
          </cell>
          <cell r="S156">
            <v>6918971.409732407</v>
          </cell>
          <cell r="T156">
            <v>6497308.2643882446</v>
          </cell>
          <cell r="U156">
            <v>6401308.2830608003</v>
          </cell>
          <cell r="V156">
            <v>7571275.4663272398</v>
          </cell>
          <cell r="W156">
            <v>7836899.7994705858</v>
          </cell>
          <cell r="X156">
            <v>8871242.3329781238</v>
          </cell>
          <cell r="Y156">
            <v>8948708.724064244</v>
          </cell>
          <cell r="Z156">
            <v>9367418.5076400824</v>
          </cell>
          <cell r="AA156">
            <v>10046947.749192206</v>
          </cell>
          <cell r="AB156">
            <v>9805216.359429935</v>
          </cell>
          <cell r="AC156">
            <v>10584144.29052403</v>
          </cell>
          <cell r="AD156">
            <v>11649775.456186704</v>
          </cell>
          <cell r="AE156">
            <v>12737429.886017809</v>
          </cell>
          <cell r="AF156">
            <v>12745301.091631114</v>
          </cell>
          <cell r="AG156">
            <v>12784649.780309452</v>
          </cell>
          <cell r="AH156">
            <v>13428285.496437877</v>
          </cell>
          <cell r="AI156">
            <v>14497576.787099108</v>
          </cell>
          <cell r="AJ156">
            <v>14862859.853075251</v>
          </cell>
          <cell r="AK156">
            <v>14835883.012585936</v>
          </cell>
          <cell r="AL156">
            <v>14767143.517288383</v>
          </cell>
          <cell r="AM156">
            <v>14513616.741672307</v>
          </cell>
          <cell r="AN156">
            <v>15069237.576195538</v>
          </cell>
          <cell r="AO156">
            <v>15613686.46857398</v>
          </cell>
          <cell r="AP156">
            <v>15753601.70262092</v>
          </cell>
        </row>
        <row r="157">
          <cell r="C157">
            <v>428889</v>
          </cell>
          <cell r="D157">
            <v>449386</v>
          </cell>
          <cell r="E157">
            <v>5655066</v>
          </cell>
          <cell r="F157">
            <v>776903</v>
          </cell>
          <cell r="G157">
            <v>544047</v>
          </cell>
          <cell r="H157">
            <v>526111</v>
          </cell>
          <cell r="I157">
            <v>372167</v>
          </cell>
          <cell r="J157">
            <v>930706</v>
          </cell>
          <cell r="K157">
            <v>2475387</v>
          </cell>
          <cell r="L157">
            <v>3353056</v>
          </cell>
          <cell r="M157">
            <v>4201540</v>
          </cell>
          <cell r="N157">
            <v>4577635</v>
          </cell>
          <cell r="O157">
            <v>9795364</v>
          </cell>
          <cell r="P157">
            <v>6189823</v>
          </cell>
          <cell r="Q157">
            <v>5285417.4387381254</v>
          </cell>
          <cell r="R157">
            <v>6608411.4173958665</v>
          </cell>
          <cell r="S157">
            <v>8323594.8128836397</v>
          </cell>
          <cell r="T157">
            <v>9328508.2962895669</v>
          </cell>
          <cell r="U157">
            <v>9309794.25953863</v>
          </cell>
          <cell r="V157">
            <v>9957230.1778068468</v>
          </cell>
          <cell r="W157">
            <v>10446422.056520691</v>
          </cell>
          <cell r="X157">
            <v>11928521.352495473</v>
          </cell>
          <cell r="Y157">
            <v>12268533.154106138</v>
          </cell>
          <cell r="Z157">
            <v>12743109.505597992</v>
          </cell>
          <cell r="AA157">
            <v>13525600.573040994</v>
          </cell>
          <cell r="AB157">
            <v>13251409.817632904</v>
          </cell>
          <cell r="AC157">
            <v>14336701.812314557</v>
          </cell>
          <cell r="AD157">
            <v>15801170.262425991</v>
          </cell>
          <cell r="AE157">
            <v>17243992.109078597</v>
          </cell>
          <cell r="AF157">
            <v>17240361.307880208</v>
          </cell>
          <cell r="AG157">
            <v>17307977.035917915</v>
          </cell>
          <cell r="AH157">
            <v>18184438.039260261</v>
          </cell>
          <cell r="AI157">
            <v>19631598.109538496</v>
          </cell>
          <cell r="AJ157">
            <v>20120431.229344469</v>
          </cell>
          <cell r="AK157">
            <v>20083729.640953183</v>
          </cell>
          <cell r="AL157">
            <v>19993462.91791939</v>
          </cell>
          <cell r="AM157">
            <v>19650481.194039784</v>
          </cell>
          <cell r="AN157">
            <v>20402053.017086837</v>
          </cell>
          <cell r="AO157">
            <v>21138435.584624019</v>
          </cell>
          <cell r="AP157">
            <v>21328175.444446594</v>
          </cell>
        </row>
        <row r="158">
          <cell r="B158">
            <v>277228</v>
          </cell>
          <cell r="C158">
            <v>536158</v>
          </cell>
          <cell r="D158">
            <v>259627</v>
          </cell>
          <cell r="E158">
            <v>4356292</v>
          </cell>
          <cell r="F158">
            <v>1384274</v>
          </cell>
          <cell r="G158">
            <v>476182</v>
          </cell>
          <cell r="H158">
            <v>425193</v>
          </cell>
          <cell r="I158">
            <v>516394</v>
          </cell>
          <cell r="J158">
            <v>2489820</v>
          </cell>
          <cell r="K158">
            <v>3103036</v>
          </cell>
          <cell r="L158">
            <v>3624640</v>
          </cell>
          <cell r="M158">
            <v>5244569</v>
          </cell>
          <cell r="N158">
            <v>4786731</v>
          </cell>
          <cell r="O158">
            <v>4437004</v>
          </cell>
          <cell r="P158">
            <v>6786703</v>
          </cell>
          <cell r="Q158">
            <v>4676792.1621910194</v>
          </cell>
          <cell r="R158">
            <v>5702803.8427504646</v>
          </cell>
          <cell r="S158">
            <v>6767794.7157582389</v>
          </cell>
          <cell r="T158">
            <v>7310523.0692350771</v>
          </cell>
          <cell r="U158">
            <v>8139773.5773264272</v>
          </cell>
          <cell r="V158">
            <v>8353535.1907142075</v>
          </cell>
          <cell r="W158">
            <v>8705707.2095988765</v>
          </cell>
          <cell r="X158">
            <v>9891588.2615788933</v>
          </cell>
          <cell r="Y158">
            <v>10205901.053373573</v>
          </cell>
          <cell r="Z158">
            <v>10706973.900305437</v>
          </cell>
          <cell r="AA158">
            <v>11289540.991109733</v>
          </cell>
          <cell r="AB158">
            <v>11051446.873012669</v>
          </cell>
          <cell r="AC158">
            <v>11958008.055857308</v>
          </cell>
          <cell r="AD158">
            <v>13193307.982895501</v>
          </cell>
          <cell r="AE158">
            <v>14407361.72253938</v>
          </cell>
          <cell r="AF158">
            <v>14390355.926277425</v>
          </cell>
          <cell r="AG158">
            <v>14446825.557806795</v>
          </cell>
          <cell r="AH158">
            <v>15180485.659977095</v>
          </cell>
          <cell r="AI158">
            <v>16390955.841522472</v>
          </cell>
          <cell r="AJ158">
            <v>16798987.999267172</v>
          </cell>
          <cell r="AK158">
            <v>16766178.759196563</v>
          </cell>
          <cell r="AL158">
            <v>16691271.480748378</v>
          </cell>
          <cell r="AM158">
            <v>16405439.946088003</v>
          </cell>
          <cell r="AN158">
            <v>17033105.953995343</v>
          </cell>
          <cell r="AO158">
            <v>17647663.268482916</v>
          </cell>
          <cell r="AP158">
            <v>17805813.383538153</v>
          </cell>
        </row>
        <row r="159">
          <cell r="B159">
            <v>572804</v>
          </cell>
          <cell r="C159">
            <v>565704</v>
          </cell>
          <cell r="D159">
            <v>1232738</v>
          </cell>
          <cell r="E159">
            <v>6366182</v>
          </cell>
          <cell r="F159">
            <v>488601</v>
          </cell>
          <cell r="G159">
            <v>445036</v>
          </cell>
          <cell r="H159">
            <v>474815</v>
          </cell>
          <cell r="I159">
            <v>440230</v>
          </cell>
          <cell r="J159">
            <v>2138451</v>
          </cell>
          <cell r="K159">
            <v>3613287</v>
          </cell>
          <cell r="L159">
            <v>3674667</v>
          </cell>
          <cell r="M159">
            <v>7740697</v>
          </cell>
          <cell r="N159">
            <v>7251742</v>
          </cell>
          <cell r="O159">
            <v>8073780</v>
          </cell>
          <cell r="P159">
            <v>8864247</v>
          </cell>
          <cell r="Q159">
            <v>6692932.859866092</v>
          </cell>
          <cell r="R159">
            <v>8493882.9758975357</v>
          </cell>
          <cell r="S159">
            <v>10098230.367046395</v>
          </cell>
          <cell r="T159">
            <v>10879831.078158621</v>
          </cell>
          <cell r="U159">
            <v>11730880.826499688</v>
          </cell>
          <cell r="V159">
            <v>12273843.120493958</v>
          </cell>
          <cell r="W159">
            <v>12834170.303376196</v>
          </cell>
          <cell r="X159">
            <v>14560599.345535606</v>
          </cell>
          <cell r="Y159">
            <v>14990559.582780313</v>
          </cell>
          <cell r="Z159">
            <v>15692967.085042037</v>
          </cell>
          <cell r="AA159">
            <v>16593854.399156081</v>
          </cell>
          <cell r="AB159">
            <v>16244881.782357566</v>
          </cell>
          <cell r="AC159">
            <v>17569057.674494725</v>
          </cell>
          <cell r="AD159">
            <v>19377404.704483926</v>
          </cell>
          <cell r="AE159">
            <v>21160311.576358572</v>
          </cell>
          <cell r="AF159">
            <v>21142897.098765869</v>
          </cell>
          <cell r="AG159">
            <v>21224353.030179393</v>
          </cell>
          <cell r="AH159">
            <v>22300245.930673808</v>
          </cell>
          <cell r="AI159">
            <v>24077827.908714287</v>
          </cell>
          <cell r="AJ159">
            <v>24677927.581519194</v>
          </cell>
          <cell r="AK159">
            <v>24630661.235033907</v>
          </cell>
          <cell r="AL159">
            <v>24520096.8128036</v>
          </cell>
          <cell r="AM159">
            <v>24099912.888213206</v>
          </cell>
          <cell r="AN159">
            <v>25022004.519630011</v>
          </cell>
          <cell r="AO159">
            <v>25924980.611098327</v>
          </cell>
          <cell r="AP159">
            <v>26157375.988568727</v>
          </cell>
        </row>
        <row r="160">
          <cell r="B160">
            <v>475747</v>
          </cell>
          <cell r="C160">
            <v>626260</v>
          </cell>
          <cell r="D160">
            <v>1039125</v>
          </cell>
          <cell r="E160">
            <v>7872406</v>
          </cell>
          <cell r="F160">
            <v>626006</v>
          </cell>
          <cell r="G160">
            <v>370351</v>
          </cell>
          <cell r="H160">
            <v>354877</v>
          </cell>
          <cell r="I160">
            <v>383102</v>
          </cell>
          <cell r="J160">
            <v>3630173</v>
          </cell>
          <cell r="K160">
            <v>3039211</v>
          </cell>
          <cell r="L160">
            <v>3281535</v>
          </cell>
          <cell r="M160">
            <v>5824657</v>
          </cell>
          <cell r="N160">
            <v>8895630</v>
          </cell>
          <cell r="O160">
            <v>7402500</v>
          </cell>
          <cell r="P160">
            <v>6811136</v>
          </cell>
          <cell r="Q160">
            <v>6055753.1815380659</v>
          </cell>
          <cell r="R160">
            <v>7694771.139350838</v>
          </cell>
          <cell r="S160">
            <v>9452791.6906419229</v>
          </cell>
          <cell r="T160">
            <v>9641413.7215841096</v>
          </cell>
          <cell r="U160">
            <v>10331052.233753035</v>
          </cell>
          <cell r="V160">
            <v>11064294.5305705</v>
          </cell>
          <cell r="W160">
            <v>11564030.26330157</v>
          </cell>
          <cell r="X160">
            <v>13109153.695279913</v>
          </cell>
          <cell r="Y160">
            <v>13409317.55312174</v>
          </cell>
          <cell r="Z160">
            <v>14059092.749521568</v>
          </cell>
          <cell r="AA160">
            <v>14908278.897703221</v>
          </cell>
          <cell r="AB160">
            <v>14586659.853056431</v>
          </cell>
          <cell r="AC160">
            <v>15766684.360459544</v>
          </cell>
          <cell r="AD160">
            <v>17379409.812630791</v>
          </cell>
          <cell r="AE160">
            <v>18987288.097930685</v>
          </cell>
          <cell r="AF160">
            <v>18976848.764843225</v>
          </cell>
          <cell r="AG160">
            <v>19046752.006160077</v>
          </cell>
          <cell r="AH160">
            <v>20010374.945450641</v>
          </cell>
          <cell r="AI160">
            <v>21605043.357569523</v>
          </cell>
          <cell r="AJ160">
            <v>22145296.316788375</v>
          </cell>
          <cell r="AK160">
            <v>22103183.934283827</v>
          </cell>
          <cell r="AL160">
            <v>22003224.361149654</v>
          </cell>
          <cell r="AM160">
            <v>21625974.090379197</v>
          </cell>
          <cell r="AN160">
            <v>22453548.115895078</v>
          </cell>
          <cell r="AO160">
            <v>23264098.307860933</v>
          </cell>
          <cell r="AP160">
            <v>23472587.163329612</v>
          </cell>
        </row>
        <row r="161">
          <cell r="B161">
            <v>286731</v>
          </cell>
          <cell r="C161">
            <v>462449</v>
          </cell>
          <cell r="D161">
            <v>1118390</v>
          </cell>
          <cell r="E161">
            <v>7878198</v>
          </cell>
          <cell r="F161">
            <v>842544</v>
          </cell>
          <cell r="G161">
            <v>376668</v>
          </cell>
          <cell r="H161">
            <v>531220</v>
          </cell>
          <cell r="I161">
            <v>325147</v>
          </cell>
          <cell r="J161">
            <v>3099580</v>
          </cell>
          <cell r="K161">
            <v>1976794</v>
          </cell>
          <cell r="L161">
            <v>4348250</v>
          </cell>
          <cell r="M161">
            <v>5090487</v>
          </cell>
          <cell r="N161">
            <v>5690860</v>
          </cell>
          <cell r="O161">
            <v>6904320</v>
          </cell>
          <cell r="P161">
            <v>5111224</v>
          </cell>
          <cell r="Q161">
            <v>5102652.0862763887</v>
          </cell>
          <cell r="R161">
            <v>6135541.1758462833</v>
          </cell>
          <cell r="S161">
            <v>7422919.2870181222</v>
          </cell>
          <cell r="T161">
            <v>7904607.97806466</v>
          </cell>
          <cell r="U161">
            <v>8252402.5756668607</v>
          </cell>
          <cell r="V161">
            <v>8922547.5825188924</v>
          </cell>
          <cell r="W161">
            <v>9272958.208105186</v>
          </cell>
          <cell r="X161">
            <v>10520709.252081923</v>
          </cell>
          <cell r="Y161">
            <v>10800932.179264164</v>
          </cell>
          <cell r="Z161">
            <v>11291540.475558244</v>
          </cell>
          <cell r="AA161">
            <v>11984169.530725475</v>
          </cell>
          <cell r="AB161">
            <v>11719453.683657413</v>
          </cell>
          <cell r="AC161">
            <v>12671579.517024415</v>
          </cell>
          <cell r="AD161">
            <v>13971307.9127429</v>
          </cell>
          <cell r="AE161">
            <v>15258637.76793259</v>
          </cell>
          <cell r="AF161">
            <v>15251801.874976644</v>
          </cell>
          <cell r="AG161">
            <v>15307472.201539619</v>
          </cell>
          <cell r="AH161">
            <v>16082700.567389639</v>
          </cell>
          <cell r="AI161">
            <v>17364453.718956657</v>
          </cell>
          <cell r="AJ161">
            <v>17797973.252469543</v>
          </cell>
          <cell r="AK161">
            <v>17764404.354395576</v>
          </cell>
          <cell r="AL161">
            <v>17684057.325440697</v>
          </cell>
          <cell r="AM161">
            <v>17380952.263997275</v>
          </cell>
          <cell r="AN161">
            <v>18046034.996381707</v>
          </cell>
          <cell r="AO161">
            <v>18697401.186145853</v>
          </cell>
          <cell r="AP161">
            <v>18865015.599514659</v>
          </cell>
        </row>
        <row r="162">
          <cell r="B162">
            <v>442052</v>
          </cell>
          <cell r="C162">
            <v>252977</v>
          </cell>
          <cell r="D162">
            <v>1903918</v>
          </cell>
          <cell r="E162">
            <v>4420456</v>
          </cell>
          <cell r="F162">
            <v>519406</v>
          </cell>
          <cell r="G162">
            <v>311314</v>
          </cell>
          <cell r="H162">
            <v>383524</v>
          </cell>
          <cell r="I162">
            <v>597475</v>
          </cell>
          <cell r="J162">
            <v>3453701</v>
          </cell>
          <cell r="K162">
            <v>2394703</v>
          </cell>
          <cell r="L162">
            <v>5931919</v>
          </cell>
          <cell r="M162">
            <v>753698</v>
          </cell>
          <cell r="N162">
            <v>8102250</v>
          </cell>
          <cell r="O162">
            <v>4408772</v>
          </cell>
          <cell r="P162">
            <v>7182048</v>
          </cell>
          <cell r="Q162">
            <v>4958576.6474295296</v>
          </cell>
          <cell r="R162">
            <v>5587028.3498493591</v>
          </cell>
          <cell r="S162">
            <v>7754788.9790439336</v>
          </cell>
          <cell r="T162">
            <v>7702219.050266644</v>
          </cell>
          <cell r="U162">
            <v>8645189.307739649</v>
          </cell>
          <cell r="V162">
            <v>8878900.9115846809</v>
          </cell>
          <cell r="W162">
            <v>9256184.4286924172</v>
          </cell>
          <cell r="X162">
            <v>10637020.630191445</v>
          </cell>
          <cell r="Y162">
            <v>10860213.584955294</v>
          </cell>
          <cell r="Z162">
            <v>11411609.439419452</v>
          </cell>
          <cell r="AA162">
            <v>12039655.545330543</v>
          </cell>
          <cell r="AB162">
            <v>11792196.543886909</v>
          </cell>
          <cell r="AC162">
            <v>12766957.152845845</v>
          </cell>
          <cell r="AD162">
            <v>14067597.608061876</v>
          </cell>
          <cell r="AE162">
            <v>15367552.132275471</v>
          </cell>
          <cell r="AF162">
            <v>15351491.213674629</v>
          </cell>
          <cell r="AG162">
            <v>15412602.950728495</v>
          </cell>
          <cell r="AH162">
            <v>16194874.675729336</v>
          </cell>
          <cell r="AI162">
            <v>17483966.806376908</v>
          </cell>
          <cell r="AJ162">
            <v>17920440.820795547</v>
          </cell>
          <cell r="AK162">
            <v>17885789.696728092</v>
          </cell>
          <cell r="AL162">
            <v>17805843.159840528</v>
          </cell>
          <cell r="AM162">
            <v>17500708.45078088</v>
          </cell>
          <cell r="AN162">
            <v>18170094.126997132</v>
          </cell>
          <cell r="AO162">
            <v>18825908.768559109</v>
          </cell>
          <cell r="AP162">
            <v>18994645.34043552</v>
          </cell>
        </row>
        <row r="163">
          <cell r="B163">
            <v>587400</v>
          </cell>
          <cell r="C163">
            <v>524569</v>
          </cell>
          <cell r="D163">
            <v>2177367</v>
          </cell>
          <cell r="E163">
            <v>568154</v>
          </cell>
          <cell r="F163">
            <v>790638</v>
          </cell>
          <cell r="G163">
            <v>298845</v>
          </cell>
          <cell r="H163">
            <v>278792</v>
          </cell>
          <cell r="I163">
            <v>545276</v>
          </cell>
          <cell r="J163">
            <v>2370500</v>
          </cell>
          <cell r="K163">
            <v>3022605</v>
          </cell>
          <cell r="L163">
            <v>8103462</v>
          </cell>
          <cell r="M163">
            <v>11052730</v>
          </cell>
          <cell r="N163">
            <v>9172390</v>
          </cell>
          <cell r="O163">
            <v>3567815</v>
          </cell>
          <cell r="P163">
            <v>6420761</v>
          </cell>
          <cell r="Q163">
            <v>4053190.7131135985</v>
          </cell>
          <cell r="R163">
            <v>7535818.5525191203</v>
          </cell>
          <cell r="S163">
            <v>7885913.298689872</v>
          </cell>
          <cell r="T163">
            <v>7592007.4744835496</v>
          </cell>
          <cell r="U163">
            <v>8724133.9689324051</v>
          </cell>
          <cell r="V163">
            <v>9171874.9656463414</v>
          </cell>
          <cell r="W163">
            <v>9818163.5517482311</v>
          </cell>
          <cell r="X163">
            <v>10877479.751060799</v>
          </cell>
          <cell r="Y163">
            <v>11116352.116611347</v>
          </cell>
          <cell r="Z163">
            <v>11749743.204617172</v>
          </cell>
          <cell r="AA163">
            <v>12438198.935362041</v>
          </cell>
          <cell r="AB163">
            <v>12182752.96412833</v>
          </cell>
          <cell r="AC163">
            <v>13132327.782153785</v>
          </cell>
          <cell r="AD163">
            <v>14485473.349991143</v>
          </cell>
          <cell r="AE163">
            <v>15840495.727021843</v>
          </cell>
          <cell r="AF163">
            <v>15826977.592402697</v>
          </cell>
          <cell r="AG163">
            <v>15884284.487294436</v>
          </cell>
          <cell r="AH163">
            <v>16683910.753199071</v>
          </cell>
          <cell r="AI163">
            <v>18016541.818767786</v>
          </cell>
          <cell r="AJ163">
            <v>18468698.907797992</v>
          </cell>
          <cell r="AK163">
            <v>18432382.102480888</v>
          </cell>
          <cell r="AL163">
            <v>18348662.15320304</v>
          </cell>
          <cell r="AM163">
            <v>18033860.084762484</v>
          </cell>
          <cell r="AN163">
            <v>18724527.137018859</v>
          </cell>
          <cell r="AO163">
            <v>19400547.352985799</v>
          </cell>
          <cell r="AP163">
            <v>19574169.494234145</v>
          </cell>
        </row>
      </sheetData>
      <sheetData sheetId="15"/>
      <sheetData sheetId="16"/>
      <sheetData sheetId="17"/>
      <sheetData sheetId="18">
        <row r="62"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</row>
        <row r="64">
          <cell r="O64">
            <v>2023</v>
          </cell>
          <cell r="P64">
            <v>2024</v>
          </cell>
          <cell r="Q64">
            <v>2025</v>
          </cell>
          <cell r="R64">
            <v>2026</v>
          </cell>
          <cell r="S64">
            <v>2027</v>
          </cell>
          <cell r="T64">
            <v>2028</v>
          </cell>
          <cell r="U64">
            <v>2029</v>
          </cell>
          <cell r="V64">
            <v>2030</v>
          </cell>
          <cell r="W64">
            <v>2031</v>
          </cell>
          <cell r="X64">
            <v>2032</v>
          </cell>
          <cell r="Y64">
            <v>2033</v>
          </cell>
        </row>
        <row r="65">
          <cell r="O65">
            <v>0</v>
          </cell>
          <cell r="P65">
            <v>1089558</v>
          </cell>
          <cell r="Q65">
            <v>0</v>
          </cell>
          <cell r="R65">
            <v>388266.34903294611</v>
          </cell>
          <cell r="S65">
            <v>469047.44631292822</v>
          </cell>
          <cell r="T65">
            <v>490325.69551466766</v>
          </cell>
          <cell r="U65">
            <v>525688.32868096605</v>
          </cell>
          <cell r="V65">
            <v>562323.84028202365</v>
          </cell>
          <cell r="W65">
            <v>584545.91798252985</v>
          </cell>
          <cell r="X65">
            <v>662824.52381182078</v>
          </cell>
          <cell r="Y65">
            <v>680144.63789405813</v>
          </cell>
        </row>
        <row r="66">
          <cell r="O66">
            <v>0</v>
          </cell>
          <cell r="P66">
            <v>646803</v>
          </cell>
          <cell r="Q66">
            <v>102606</v>
          </cell>
          <cell r="R66">
            <v>414542.4954444457</v>
          </cell>
          <cell r="S66">
            <v>500790.49951327825</v>
          </cell>
          <cell r="T66">
            <v>523508.76635444968</v>
          </cell>
          <cell r="U66">
            <v>561264.5858705003</v>
          </cell>
          <cell r="V66">
            <v>600379.42659469019</v>
          </cell>
          <cell r="W66">
            <v>624105.39606609161</v>
          </cell>
          <cell r="X66">
            <v>707681.5511493457</v>
          </cell>
          <cell r="Y66">
            <v>726173.81382139062</v>
          </cell>
        </row>
        <row r="67">
          <cell r="O67">
            <v>0</v>
          </cell>
          <cell r="P67">
            <v>877507</v>
          </cell>
          <cell r="Q67">
            <v>0</v>
          </cell>
          <cell r="R67">
            <v>510538.94673617312</v>
          </cell>
          <cell r="S67">
            <v>616759.57704378408</v>
          </cell>
          <cell r="T67">
            <v>644738.75928016193</v>
          </cell>
          <cell r="U67">
            <v>691237.77093931462</v>
          </cell>
          <cell r="V67">
            <v>739410.51512003096</v>
          </cell>
          <cell r="W67">
            <v>768630.75574032532</v>
          </cell>
          <cell r="X67">
            <v>871560.81154248572</v>
          </cell>
          <cell r="Y67">
            <v>894335.36520370294</v>
          </cell>
        </row>
        <row r="68">
          <cell r="O68">
            <v>0</v>
          </cell>
          <cell r="P68">
            <v>1001787</v>
          </cell>
          <cell r="Q68">
            <v>432681.47152891645</v>
          </cell>
          <cell r="R68">
            <v>523338.83410284703</v>
          </cell>
          <cell r="S68">
            <v>632222.55625221925</v>
          </cell>
          <cell r="T68">
            <v>660903.21363271051</v>
          </cell>
          <cell r="U68">
            <v>708568.01708052855</v>
          </cell>
          <cell r="V68">
            <v>757948.51574030786</v>
          </cell>
          <cell r="W68">
            <v>787901.3464816066</v>
          </cell>
          <cell r="X68">
            <v>893411.99506583728</v>
          </cell>
          <cell r="Y68">
            <v>916757.53694167256</v>
          </cell>
        </row>
        <row r="69">
          <cell r="O69">
            <v>0</v>
          </cell>
          <cell r="P69">
            <v>1403015</v>
          </cell>
          <cell r="Q69">
            <v>449465.43806489097</v>
          </cell>
          <cell r="R69">
            <v>543639.45258674037</v>
          </cell>
          <cell r="S69">
            <v>656746.83779801778</v>
          </cell>
          <cell r="T69">
            <v>686540.03459925868</v>
          </cell>
          <cell r="U69">
            <v>736053.78356162598</v>
          </cell>
          <cell r="V69">
            <v>787349.78055348515</v>
          </cell>
          <cell r="W69">
            <v>818464.4990618825</v>
          </cell>
          <cell r="X69">
            <v>928067.96721790824</v>
          </cell>
          <cell r="Y69">
            <v>952319.09627366986</v>
          </cell>
        </row>
        <row r="70">
          <cell r="O70">
            <v>0</v>
          </cell>
          <cell r="P70">
            <v>2323018</v>
          </cell>
          <cell r="Q70">
            <v>448729.11148699315</v>
          </cell>
          <cell r="R70">
            <v>542748.84756167582</v>
          </cell>
          <cell r="S70">
            <v>655670.9371599108</v>
          </cell>
          <cell r="T70">
            <v>685415.32593101775</v>
          </cell>
          <cell r="U70">
            <v>734847.96011515125</v>
          </cell>
          <cell r="V70">
            <v>786059.92260129296</v>
          </cell>
          <cell r="W70">
            <v>817123.66812653909</v>
          </cell>
          <cell r="X70">
            <v>926547.58088230866</v>
          </cell>
          <cell r="Y70">
            <v>950758.98107494635</v>
          </cell>
        </row>
        <row r="71">
          <cell r="O71">
            <v>0</v>
          </cell>
          <cell r="P71">
            <v>606134</v>
          </cell>
          <cell r="Q71">
            <v>448303.93446367659</v>
          </cell>
          <cell r="R71">
            <v>542234.58554143365</v>
          </cell>
          <cell r="S71">
            <v>655049.67990202294</v>
          </cell>
          <cell r="T71">
            <v>684765.88545444782</v>
          </cell>
          <cell r="U71">
            <v>734151.68153577263</v>
          </cell>
          <cell r="V71">
            <v>785315.11998099368</v>
          </cell>
          <cell r="W71">
            <v>816349.43217883259</v>
          </cell>
          <cell r="X71">
            <v>925669.66426777188</v>
          </cell>
          <cell r="Y71">
            <v>949858.12382473284</v>
          </cell>
        </row>
        <row r="72">
          <cell r="O72">
            <v>54198</v>
          </cell>
          <cell r="P72">
            <v>279593</v>
          </cell>
          <cell r="Q72">
            <v>462849.03651519306</v>
          </cell>
          <cell r="R72">
            <v>559827.24261234968</v>
          </cell>
          <cell r="S72">
            <v>676302.59273756738</v>
          </cell>
          <cell r="T72">
            <v>706982.93268435332</v>
          </cell>
          <cell r="U72">
            <v>757971.03779907443</v>
          </cell>
          <cell r="V72">
            <v>810794.4604119173</v>
          </cell>
          <cell r="W72">
            <v>842835.67262404284</v>
          </cell>
          <cell r="X72">
            <v>955702.77059969655</v>
          </cell>
          <cell r="Y72">
            <v>980676.01830076741</v>
          </cell>
        </row>
        <row r="73">
          <cell r="O73">
            <v>1015738</v>
          </cell>
          <cell r="P73">
            <v>252609</v>
          </cell>
          <cell r="Q73">
            <v>435296.4495163933</v>
          </cell>
          <cell r="R73">
            <v>526501.71400693676</v>
          </cell>
          <cell r="S73">
            <v>636043.49192100135</v>
          </cell>
          <cell r="T73">
            <v>664897.48532961356</v>
          </cell>
          <cell r="U73">
            <v>712850.35845453839</v>
          </cell>
          <cell r="V73">
            <v>762529.29586314992</v>
          </cell>
          <cell r="W73">
            <v>792663.15121078177</v>
          </cell>
          <cell r="X73">
            <v>898811.46986328962</v>
          </cell>
          <cell r="Y73">
            <v>922298.10416421853</v>
          </cell>
        </row>
        <row r="74">
          <cell r="O74">
            <v>699159</v>
          </cell>
        </row>
        <row r="75">
          <cell r="O75">
            <v>998989</v>
          </cell>
        </row>
        <row r="76">
          <cell r="O76">
            <v>130372</v>
          </cell>
        </row>
        <row r="209">
          <cell r="P209">
            <v>0</v>
          </cell>
        </row>
        <row r="210">
          <cell r="P210">
            <v>0</v>
          </cell>
        </row>
        <row r="216">
          <cell r="O216">
            <v>192792</v>
          </cell>
        </row>
        <row r="217">
          <cell r="O217">
            <v>0</v>
          </cell>
        </row>
        <row r="218">
          <cell r="O218">
            <v>4124</v>
          </cell>
        </row>
        <row r="219">
          <cell r="O219">
            <v>357112</v>
          </cell>
        </row>
        <row r="220">
          <cell r="O220">
            <v>0</v>
          </cell>
        </row>
        <row r="273">
          <cell r="P273">
            <v>0</v>
          </cell>
        </row>
        <row r="274">
          <cell r="P274">
            <v>0</v>
          </cell>
          <cell r="Q274">
            <v>0</v>
          </cell>
        </row>
        <row r="275">
          <cell r="Q275">
            <v>0</v>
          </cell>
        </row>
        <row r="276">
          <cell r="Q276">
            <v>0</v>
          </cell>
        </row>
        <row r="277">
          <cell r="Q277">
            <v>0</v>
          </cell>
        </row>
        <row r="278">
          <cell r="Q278">
            <v>0</v>
          </cell>
        </row>
        <row r="279">
          <cell r="Q279">
            <v>0</v>
          </cell>
        </row>
        <row r="280">
          <cell r="O280">
            <v>872978</v>
          </cell>
          <cell r="Q280">
            <v>0</v>
          </cell>
        </row>
        <row r="281">
          <cell r="O281">
            <v>0</v>
          </cell>
          <cell r="Q281">
            <v>0</v>
          </cell>
        </row>
        <row r="282">
          <cell r="O282">
            <v>488155</v>
          </cell>
          <cell r="P282">
            <v>0</v>
          </cell>
          <cell r="Q282">
            <v>0</v>
          </cell>
        </row>
        <row r="283">
          <cell r="O283">
            <v>449778</v>
          </cell>
          <cell r="P283">
            <v>0</v>
          </cell>
          <cell r="Q283">
            <v>0</v>
          </cell>
        </row>
        <row r="284">
          <cell r="O284">
            <v>14397</v>
          </cell>
          <cell r="P284">
            <v>0</v>
          </cell>
          <cell r="Q284">
            <v>0</v>
          </cell>
        </row>
        <row r="285">
          <cell r="Q285">
            <v>0</v>
          </cell>
        </row>
      </sheetData>
      <sheetData sheetId="19">
        <row r="16">
          <cell r="B16">
            <v>125801</v>
          </cell>
          <cell r="O16">
            <v>0</v>
          </cell>
        </row>
        <row r="17">
          <cell r="B17">
            <v>226270</v>
          </cell>
          <cell r="O17">
            <v>0</v>
          </cell>
        </row>
        <row r="18">
          <cell r="B18">
            <v>178482</v>
          </cell>
          <cell r="O18">
            <v>0</v>
          </cell>
        </row>
        <row r="19">
          <cell r="B19">
            <v>0</v>
          </cell>
          <cell r="O19">
            <v>0</v>
          </cell>
        </row>
        <row r="20">
          <cell r="B20">
            <v>317472</v>
          </cell>
          <cell r="O20">
            <v>0</v>
          </cell>
        </row>
        <row r="21">
          <cell r="B21">
            <v>422024</v>
          </cell>
          <cell r="O21">
            <v>0</v>
          </cell>
        </row>
        <row r="22">
          <cell r="B22">
            <v>157468</v>
          </cell>
          <cell r="O22">
            <v>0</v>
          </cell>
        </row>
        <row r="23">
          <cell r="B23">
            <v>206406</v>
          </cell>
          <cell r="O23">
            <v>0</v>
          </cell>
        </row>
        <row r="24">
          <cell r="B24">
            <v>145377</v>
          </cell>
          <cell r="O24">
            <v>0</v>
          </cell>
        </row>
        <row r="25">
          <cell r="B25">
            <v>1886711</v>
          </cell>
          <cell r="O25">
            <v>0</v>
          </cell>
        </row>
        <row r="26">
          <cell r="B26">
            <v>506372</v>
          </cell>
          <cell r="O26">
            <v>0</v>
          </cell>
        </row>
        <row r="27">
          <cell r="B27">
            <v>0</v>
          </cell>
          <cell r="O27">
            <v>0</v>
          </cell>
        </row>
        <row r="28">
          <cell r="B28">
            <v>0</v>
          </cell>
          <cell r="O28">
            <v>0</v>
          </cell>
        </row>
        <row r="29">
          <cell r="B29">
            <v>417419</v>
          </cell>
          <cell r="O29">
            <v>0</v>
          </cell>
        </row>
        <row r="30">
          <cell r="B30">
            <v>0</v>
          </cell>
          <cell r="O30">
            <v>0</v>
          </cell>
        </row>
        <row r="31">
          <cell r="B31">
            <v>0</v>
          </cell>
          <cell r="O31">
            <v>0</v>
          </cell>
        </row>
        <row r="32">
          <cell r="B32">
            <v>0</v>
          </cell>
          <cell r="O32">
            <v>0</v>
          </cell>
        </row>
        <row r="33">
          <cell r="B33">
            <v>0</v>
          </cell>
          <cell r="O33">
            <v>0</v>
          </cell>
        </row>
        <row r="34">
          <cell r="B34">
            <v>0</v>
          </cell>
          <cell r="O34">
            <v>0</v>
          </cell>
        </row>
        <row r="35">
          <cell r="B35">
            <v>99089</v>
          </cell>
          <cell r="O35">
            <v>0</v>
          </cell>
        </row>
        <row r="36">
          <cell r="B36">
            <v>0</v>
          </cell>
          <cell r="O36">
            <v>0</v>
          </cell>
        </row>
        <row r="37">
          <cell r="B37">
            <v>111810</v>
          </cell>
          <cell r="O37">
            <v>0</v>
          </cell>
        </row>
        <row r="38">
          <cell r="B38">
            <v>45342</v>
          </cell>
          <cell r="O38">
            <v>0</v>
          </cell>
        </row>
        <row r="39">
          <cell r="B39">
            <v>72018</v>
          </cell>
          <cell r="O39">
            <v>0</v>
          </cell>
        </row>
        <row r="40">
          <cell r="B40">
            <v>6128</v>
          </cell>
          <cell r="O40">
            <v>0</v>
          </cell>
        </row>
        <row r="41">
          <cell r="B41">
            <v>6161</v>
          </cell>
          <cell r="O41">
            <v>0</v>
          </cell>
        </row>
        <row r="42">
          <cell r="B42">
            <v>0</v>
          </cell>
          <cell r="O42">
            <v>0</v>
          </cell>
        </row>
        <row r="43">
          <cell r="B43">
            <v>89168</v>
          </cell>
          <cell r="O43">
            <v>0</v>
          </cell>
        </row>
        <row r="44">
          <cell r="B44">
            <v>51184</v>
          </cell>
          <cell r="O44">
            <v>0</v>
          </cell>
        </row>
        <row r="45">
          <cell r="B45">
            <v>67324</v>
          </cell>
          <cell r="O45">
            <v>0</v>
          </cell>
        </row>
        <row r="46">
          <cell r="B46">
            <v>212273</v>
          </cell>
          <cell r="O46">
            <v>0</v>
          </cell>
        </row>
        <row r="47">
          <cell r="B47">
            <v>0</v>
          </cell>
          <cell r="O47">
            <v>0</v>
          </cell>
        </row>
        <row r="48">
          <cell r="B48">
            <v>68564</v>
          </cell>
          <cell r="O48">
            <v>0</v>
          </cell>
        </row>
        <row r="49">
          <cell r="B49">
            <v>1353829</v>
          </cell>
          <cell r="O49">
            <v>0</v>
          </cell>
        </row>
        <row r="50">
          <cell r="B50">
            <v>1569005</v>
          </cell>
          <cell r="O50">
            <v>0</v>
          </cell>
        </row>
        <row r="51">
          <cell r="B51">
            <v>2583684</v>
          </cell>
          <cell r="O51">
            <v>0</v>
          </cell>
        </row>
        <row r="52">
          <cell r="B52">
            <v>0</v>
          </cell>
          <cell r="O52">
            <v>0</v>
          </cell>
        </row>
        <row r="53">
          <cell r="B53">
            <v>0</v>
          </cell>
          <cell r="O53">
            <v>0</v>
          </cell>
        </row>
        <row r="54">
          <cell r="B54">
            <v>0</v>
          </cell>
          <cell r="O54">
            <v>0</v>
          </cell>
        </row>
        <row r="55">
          <cell r="B55">
            <v>39300</v>
          </cell>
          <cell r="O55">
            <v>0</v>
          </cell>
        </row>
        <row r="56">
          <cell r="B56">
            <v>519127</v>
          </cell>
          <cell r="O56">
            <v>0</v>
          </cell>
        </row>
        <row r="57">
          <cell r="B57">
            <v>423385</v>
          </cell>
          <cell r="O57">
            <v>0</v>
          </cell>
        </row>
        <row r="58">
          <cell r="B58">
            <v>226113</v>
          </cell>
          <cell r="O58">
            <v>0</v>
          </cell>
        </row>
        <row r="59">
          <cell r="B59">
            <v>73435</v>
          </cell>
          <cell r="O59">
            <v>0</v>
          </cell>
        </row>
        <row r="60">
          <cell r="B60">
            <v>0</v>
          </cell>
          <cell r="O60">
            <v>0</v>
          </cell>
        </row>
        <row r="61">
          <cell r="B61">
            <v>8378</v>
          </cell>
          <cell r="O61">
            <v>0</v>
          </cell>
        </row>
        <row r="62">
          <cell r="B62">
            <v>11780</v>
          </cell>
          <cell r="O62">
            <v>0</v>
          </cell>
        </row>
        <row r="63">
          <cell r="B63">
            <v>1909</v>
          </cell>
          <cell r="O63">
            <v>0</v>
          </cell>
        </row>
        <row r="64">
          <cell r="B64">
            <v>0</v>
          </cell>
          <cell r="O64">
            <v>0</v>
          </cell>
        </row>
        <row r="65">
          <cell r="B65">
            <v>11859</v>
          </cell>
          <cell r="O65">
            <v>0</v>
          </cell>
        </row>
        <row r="66">
          <cell r="B66">
            <v>0</v>
          </cell>
          <cell r="O66">
            <v>0</v>
          </cell>
        </row>
        <row r="67">
          <cell r="B67">
            <v>11381</v>
          </cell>
          <cell r="O67">
            <v>0</v>
          </cell>
        </row>
        <row r="68">
          <cell r="B68">
            <v>0</v>
          </cell>
          <cell r="O68">
            <v>0</v>
          </cell>
        </row>
        <row r="69">
          <cell r="B69">
            <v>0</v>
          </cell>
          <cell r="O69">
            <v>0</v>
          </cell>
        </row>
        <row r="70">
          <cell r="B70">
            <v>0</v>
          </cell>
          <cell r="O70">
            <v>0</v>
          </cell>
        </row>
        <row r="71">
          <cell r="B71">
            <v>9774</v>
          </cell>
          <cell r="O71">
            <v>0</v>
          </cell>
        </row>
        <row r="72">
          <cell r="B72">
            <v>0</v>
          </cell>
          <cell r="O72">
            <v>0</v>
          </cell>
        </row>
        <row r="73">
          <cell r="B73">
            <v>11416</v>
          </cell>
          <cell r="O73">
            <v>0</v>
          </cell>
        </row>
        <row r="74">
          <cell r="B74">
            <v>0</v>
          </cell>
          <cell r="O74">
            <v>0</v>
          </cell>
        </row>
        <row r="75">
          <cell r="B75">
            <v>0</v>
          </cell>
          <cell r="O75">
            <v>0</v>
          </cell>
        </row>
        <row r="76">
          <cell r="B76">
            <v>11640</v>
          </cell>
          <cell r="O76">
            <v>0</v>
          </cell>
        </row>
        <row r="77">
          <cell r="B77">
            <v>2305</v>
          </cell>
          <cell r="O77">
            <v>0</v>
          </cell>
        </row>
        <row r="78">
          <cell r="B78">
            <v>181227</v>
          </cell>
          <cell r="O78">
            <v>0</v>
          </cell>
        </row>
        <row r="79">
          <cell r="B79">
            <v>8970</v>
          </cell>
          <cell r="O79">
            <v>0</v>
          </cell>
        </row>
        <row r="80">
          <cell r="B80">
            <v>25350</v>
          </cell>
          <cell r="O80">
            <v>0</v>
          </cell>
        </row>
        <row r="81">
          <cell r="B81">
            <v>32484</v>
          </cell>
          <cell r="O81">
            <v>0</v>
          </cell>
        </row>
        <row r="82">
          <cell r="B82">
            <v>0</v>
          </cell>
          <cell r="O82">
            <v>0</v>
          </cell>
        </row>
        <row r="83">
          <cell r="B83">
            <v>13418</v>
          </cell>
          <cell r="O83">
            <v>0</v>
          </cell>
        </row>
        <row r="84">
          <cell r="B84">
            <v>53953</v>
          </cell>
          <cell r="O84">
            <v>0</v>
          </cell>
        </row>
        <row r="85">
          <cell r="B85">
            <v>20981</v>
          </cell>
          <cell r="O85">
            <v>0</v>
          </cell>
        </row>
        <row r="86">
          <cell r="B86">
            <v>4170</v>
          </cell>
          <cell r="O86">
            <v>0</v>
          </cell>
        </row>
        <row r="87">
          <cell r="B87">
            <v>0</v>
          </cell>
          <cell r="O87">
            <v>0</v>
          </cell>
        </row>
        <row r="88">
          <cell r="B88">
            <v>0</v>
          </cell>
          <cell r="O88">
            <v>0</v>
          </cell>
        </row>
        <row r="89">
          <cell r="B89">
            <v>0</v>
          </cell>
          <cell r="O89">
            <v>0</v>
          </cell>
        </row>
        <row r="90">
          <cell r="B90">
            <v>0</v>
          </cell>
          <cell r="O90">
            <v>0</v>
          </cell>
        </row>
        <row r="91">
          <cell r="B91">
            <v>0</v>
          </cell>
          <cell r="O91">
            <v>0</v>
          </cell>
        </row>
        <row r="92">
          <cell r="B92">
            <v>0</v>
          </cell>
          <cell r="O92">
            <v>0</v>
          </cell>
        </row>
        <row r="93">
          <cell r="B93">
            <v>0</v>
          </cell>
          <cell r="O93">
            <v>0</v>
          </cell>
        </row>
        <row r="94">
          <cell r="B94">
            <v>0</v>
          </cell>
          <cell r="O94">
            <v>0</v>
          </cell>
        </row>
        <row r="95">
          <cell r="B95">
            <v>0</v>
          </cell>
          <cell r="O95">
            <v>0</v>
          </cell>
        </row>
        <row r="96">
          <cell r="B96">
            <v>0</v>
          </cell>
          <cell r="O96">
            <v>0</v>
          </cell>
        </row>
        <row r="97">
          <cell r="B97">
            <v>0</v>
          </cell>
          <cell r="O97">
            <v>0</v>
          </cell>
        </row>
        <row r="98">
          <cell r="B98">
            <v>0</v>
          </cell>
          <cell r="O98">
            <v>0</v>
          </cell>
        </row>
        <row r="99">
          <cell r="B99">
            <v>0</v>
          </cell>
          <cell r="O99">
            <v>0</v>
          </cell>
        </row>
        <row r="100">
          <cell r="B100">
            <v>0</v>
          </cell>
          <cell r="O100">
            <v>0</v>
          </cell>
        </row>
        <row r="101">
          <cell r="B101">
            <v>0</v>
          </cell>
          <cell r="O101">
            <v>0</v>
          </cell>
        </row>
        <row r="102">
          <cell r="B102">
            <v>0</v>
          </cell>
          <cell r="O102">
            <v>0</v>
          </cell>
        </row>
        <row r="103">
          <cell r="B103">
            <v>0</v>
          </cell>
          <cell r="O103">
            <v>0</v>
          </cell>
        </row>
        <row r="104">
          <cell r="B104">
            <v>0</v>
          </cell>
          <cell r="O104">
            <v>0</v>
          </cell>
        </row>
        <row r="105">
          <cell r="B105">
            <v>0</v>
          </cell>
          <cell r="O105">
            <v>0</v>
          </cell>
        </row>
        <row r="106">
          <cell r="B106">
            <v>0</v>
          </cell>
          <cell r="O106">
            <v>0</v>
          </cell>
        </row>
        <row r="107">
          <cell r="B107">
            <v>0</v>
          </cell>
          <cell r="O107">
            <v>0</v>
          </cell>
        </row>
        <row r="108">
          <cell r="B108">
            <v>0</v>
          </cell>
          <cell r="O108">
            <v>0</v>
          </cell>
        </row>
        <row r="109">
          <cell r="B109">
            <v>331927</v>
          </cell>
          <cell r="O109">
            <v>0</v>
          </cell>
        </row>
        <row r="110">
          <cell r="B110">
            <v>0</v>
          </cell>
          <cell r="O110">
            <v>0</v>
          </cell>
        </row>
        <row r="111">
          <cell r="B111">
            <v>0</v>
          </cell>
          <cell r="O111">
            <v>0</v>
          </cell>
        </row>
        <row r="112">
          <cell r="B112">
            <v>11178</v>
          </cell>
          <cell r="O112">
            <v>0</v>
          </cell>
        </row>
        <row r="113">
          <cell r="B113">
            <v>0</v>
          </cell>
          <cell r="O113">
            <v>0</v>
          </cell>
        </row>
        <row r="114">
          <cell r="B114">
            <v>0</v>
          </cell>
          <cell r="O114">
            <v>0</v>
          </cell>
        </row>
        <row r="115">
          <cell r="B115">
            <v>0</v>
          </cell>
          <cell r="O115">
            <v>0</v>
          </cell>
        </row>
        <row r="116">
          <cell r="B116">
            <v>0</v>
          </cell>
          <cell r="O116">
            <v>0</v>
          </cell>
        </row>
        <row r="117">
          <cell r="B117">
            <v>0</v>
          </cell>
          <cell r="O117">
            <v>0</v>
          </cell>
        </row>
        <row r="118">
          <cell r="B118">
            <v>0</v>
          </cell>
          <cell r="O118">
            <v>0</v>
          </cell>
        </row>
        <row r="119">
          <cell r="B119">
            <v>0</v>
          </cell>
          <cell r="O119">
            <v>0</v>
          </cell>
        </row>
        <row r="120">
          <cell r="B120">
            <v>0</v>
          </cell>
          <cell r="O120">
            <v>0</v>
          </cell>
        </row>
        <row r="121">
          <cell r="B121">
            <v>0</v>
          </cell>
          <cell r="O121">
            <v>0</v>
          </cell>
        </row>
        <row r="122">
          <cell r="B122">
            <v>0</v>
          </cell>
          <cell r="O122">
            <v>0</v>
          </cell>
        </row>
        <row r="123">
          <cell r="B123">
            <v>0</v>
          </cell>
          <cell r="O123">
            <v>0</v>
          </cell>
        </row>
        <row r="124">
          <cell r="B124">
            <v>0</v>
          </cell>
          <cell r="O124">
            <v>0</v>
          </cell>
        </row>
        <row r="125">
          <cell r="B125">
            <v>0</v>
          </cell>
          <cell r="O125">
            <v>0</v>
          </cell>
        </row>
        <row r="126">
          <cell r="B126">
            <v>0</v>
          </cell>
          <cell r="O126">
            <v>0</v>
          </cell>
        </row>
        <row r="127">
          <cell r="B127">
            <v>0</v>
          </cell>
          <cell r="O127">
            <v>0</v>
          </cell>
        </row>
        <row r="128">
          <cell r="B128">
            <v>0</v>
          </cell>
          <cell r="O128">
            <v>0</v>
          </cell>
        </row>
        <row r="129">
          <cell r="B129">
            <v>0</v>
          </cell>
          <cell r="O129">
            <v>0</v>
          </cell>
        </row>
        <row r="130">
          <cell r="B130">
            <v>0</v>
          </cell>
          <cell r="O130">
            <v>0</v>
          </cell>
        </row>
        <row r="131">
          <cell r="B131">
            <v>0</v>
          </cell>
          <cell r="O131">
            <v>0</v>
          </cell>
        </row>
        <row r="132">
          <cell r="B132">
            <v>0</v>
          </cell>
          <cell r="O132">
            <v>0</v>
          </cell>
        </row>
        <row r="133">
          <cell r="B133">
            <v>0</v>
          </cell>
          <cell r="O133">
            <v>0</v>
          </cell>
        </row>
        <row r="134">
          <cell r="B134">
            <v>0</v>
          </cell>
          <cell r="O134">
            <v>0</v>
          </cell>
        </row>
        <row r="135">
          <cell r="B135">
            <v>0</v>
          </cell>
          <cell r="O135">
            <v>0</v>
          </cell>
        </row>
        <row r="136">
          <cell r="B136">
            <v>0</v>
          </cell>
          <cell r="O136">
            <v>0</v>
          </cell>
        </row>
        <row r="137">
          <cell r="B137">
            <v>0</v>
          </cell>
          <cell r="O137">
            <v>0</v>
          </cell>
        </row>
        <row r="138">
          <cell r="B138">
            <v>0</v>
          </cell>
          <cell r="O138">
            <v>0</v>
          </cell>
        </row>
        <row r="139">
          <cell r="B139">
            <v>0</v>
          </cell>
          <cell r="O139">
            <v>0</v>
          </cell>
        </row>
        <row r="140">
          <cell r="B140">
            <v>0</v>
          </cell>
          <cell r="O140">
            <v>0</v>
          </cell>
        </row>
        <row r="141">
          <cell r="B141">
            <v>0</v>
          </cell>
          <cell r="O141">
            <v>0</v>
          </cell>
        </row>
        <row r="142">
          <cell r="B142">
            <v>0</v>
          </cell>
          <cell r="O142">
            <v>0</v>
          </cell>
        </row>
        <row r="143">
          <cell r="B143">
            <v>0</v>
          </cell>
          <cell r="O143">
            <v>0</v>
          </cell>
        </row>
        <row r="144">
          <cell r="B144">
            <v>0</v>
          </cell>
          <cell r="O144">
            <v>0</v>
          </cell>
        </row>
        <row r="145">
          <cell r="B145">
            <v>0</v>
          </cell>
          <cell r="O145">
            <v>0</v>
          </cell>
        </row>
        <row r="146">
          <cell r="B146">
            <v>0</v>
          </cell>
          <cell r="O146">
            <v>0</v>
          </cell>
        </row>
        <row r="147">
          <cell r="B147">
            <v>0</v>
          </cell>
          <cell r="O147">
            <v>0</v>
          </cell>
        </row>
        <row r="148">
          <cell r="B148">
            <v>0</v>
          </cell>
          <cell r="O148">
            <v>0</v>
          </cell>
        </row>
        <row r="149">
          <cell r="B149">
            <v>0</v>
          </cell>
          <cell r="O149">
            <v>0</v>
          </cell>
        </row>
        <row r="150">
          <cell r="B150">
            <v>0</v>
          </cell>
          <cell r="O150">
            <v>0</v>
          </cell>
        </row>
        <row r="151">
          <cell r="B151">
            <v>0</v>
          </cell>
          <cell r="O151">
            <v>0</v>
          </cell>
        </row>
        <row r="152">
          <cell r="B152">
            <v>0</v>
          </cell>
          <cell r="O152">
            <v>0</v>
          </cell>
        </row>
        <row r="153">
          <cell r="B153">
            <v>0</v>
          </cell>
          <cell r="O153">
            <v>0</v>
          </cell>
        </row>
        <row r="154">
          <cell r="B154">
            <v>0</v>
          </cell>
          <cell r="O154">
            <v>0</v>
          </cell>
        </row>
        <row r="155">
          <cell r="B155">
            <v>0</v>
          </cell>
          <cell r="O155">
            <v>0</v>
          </cell>
        </row>
        <row r="156">
          <cell r="B156">
            <v>0</v>
          </cell>
          <cell r="O156">
            <v>0</v>
          </cell>
        </row>
        <row r="157">
          <cell r="B157">
            <v>0</v>
          </cell>
          <cell r="O157">
            <v>0</v>
          </cell>
        </row>
        <row r="158">
          <cell r="B158">
            <v>0</v>
          </cell>
          <cell r="O158">
            <v>0</v>
          </cell>
        </row>
        <row r="159">
          <cell r="B159">
            <v>0</v>
          </cell>
          <cell r="O159">
            <v>0</v>
          </cell>
        </row>
        <row r="160">
          <cell r="O160">
            <v>0</v>
          </cell>
        </row>
        <row r="161">
          <cell r="O161">
            <v>0</v>
          </cell>
        </row>
        <row r="162">
          <cell r="O162">
            <v>0</v>
          </cell>
        </row>
        <row r="163">
          <cell r="O163">
            <v>0</v>
          </cell>
        </row>
        <row r="164">
          <cell r="O164">
            <v>0</v>
          </cell>
        </row>
        <row r="165">
          <cell r="O165">
            <v>0</v>
          </cell>
        </row>
        <row r="166">
          <cell r="O166">
            <v>0</v>
          </cell>
        </row>
        <row r="167">
          <cell r="O167">
            <v>872978</v>
          </cell>
        </row>
        <row r="168">
          <cell r="O168">
            <v>0</v>
          </cell>
        </row>
        <row r="169">
          <cell r="O169">
            <v>488155</v>
          </cell>
        </row>
        <row r="170">
          <cell r="O170">
            <v>449778</v>
          </cell>
        </row>
        <row r="171">
          <cell r="O171">
            <v>14397</v>
          </cell>
        </row>
        <row r="172">
          <cell r="O172">
            <v>0</v>
          </cell>
        </row>
        <row r="173">
          <cell r="O173">
            <v>0</v>
          </cell>
        </row>
        <row r="174">
          <cell r="O174">
            <v>0</v>
          </cell>
        </row>
        <row r="175">
          <cell r="O175">
            <v>38123</v>
          </cell>
        </row>
        <row r="176">
          <cell r="O176">
            <v>0</v>
          </cell>
        </row>
        <row r="177">
          <cell r="O177">
            <v>0</v>
          </cell>
        </row>
        <row r="178">
          <cell r="O178">
            <v>0</v>
          </cell>
        </row>
        <row r="179">
          <cell r="O179">
            <v>0</v>
          </cell>
        </row>
        <row r="180">
          <cell r="O180">
            <v>0</v>
          </cell>
        </row>
      </sheetData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 EIA"/>
      <sheetName val="SBO Fuel Value"/>
      <sheetName val="US LCFS"/>
      <sheetName val="Days of Sales Chart"/>
      <sheetName val="Sheet1"/>
      <sheetName val="Balance Sheet"/>
      <sheetName val="EPA Requirements"/>
      <sheetName val="Brazil"/>
      <sheetName val="Malaysia"/>
      <sheetName val="Thailand"/>
      <sheetName val="Philippines"/>
      <sheetName val="Peru"/>
      <sheetName val="European Union"/>
      <sheetName val="EU Plant List"/>
      <sheetName val="Australia"/>
      <sheetName val="Colombia"/>
      <sheetName val="Canada Biofuel Bal Sheets"/>
      <sheetName val="Canada"/>
      <sheetName val="Canada Biodiesel Plants"/>
      <sheetName val="Indonesia"/>
      <sheetName val="China"/>
      <sheetName val="Argentina"/>
      <sheetName val="India"/>
      <sheetName val="Brazil - GAIN"/>
      <sheetName val="Japan"/>
      <sheetName val="Sheet2"/>
      <sheetName val="World"/>
      <sheetName val="US Biodiesel Imports"/>
      <sheetName val="US Biodiesel Exports"/>
    </sheetNames>
    <sheetDataSet>
      <sheetData sheetId="0">
        <row r="138">
          <cell r="S138">
            <v>26.606940999999999</v>
          </cell>
        </row>
        <row r="139">
          <cell r="S139">
            <v>29.246338999999999</v>
          </cell>
        </row>
        <row r="140">
          <cell r="S140">
            <v>33.772053999999997</v>
          </cell>
        </row>
        <row r="141">
          <cell r="S141">
            <v>34.189838000000002</v>
          </cell>
        </row>
        <row r="142">
          <cell r="S142">
            <v>31.915064000000001</v>
          </cell>
        </row>
        <row r="143">
          <cell r="S143">
            <v>27.066293999999999</v>
          </cell>
        </row>
        <row r="144">
          <cell r="S144">
            <v>27.597480999999998</v>
          </cell>
        </row>
        <row r="145">
          <cell r="S145">
            <v>27.427433000000001</v>
          </cell>
        </row>
        <row r="146">
          <cell r="S146">
            <v>30.356883</v>
          </cell>
        </row>
        <row r="147">
          <cell r="S147">
            <v>28.404342</v>
          </cell>
        </row>
        <row r="148">
          <cell r="S148">
            <v>22.167712999999999</v>
          </cell>
        </row>
        <row r="149">
          <cell r="S149">
            <v>24.694725999999999</v>
          </cell>
        </row>
        <row r="150">
          <cell r="P150">
            <v>269</v>
          </cell>
          <cell r="R150">
            <v>2114.4475000000002</v>
          </cell>
          <cell r="S150">
            <v>35.355468999999999</v>
          </cell>
        </row>
        <row r="151">
          <cell r="P151">
            <v>298</v>
          </cell>
          <cell r="R151">
            <v>2103.5974999999999</v>
          </cell>
          <cell r="S151">
            <v>40.342354999999998</v>
          </cell>
        </row>
        <row r="152">
          <cell r="P152">
            <v>440</v>
          </cell>
          <cell r="R152">
            <v>2081.4974999999999</v>
          </cell>
          <cell r="S152">
            <v>59.590170000000001</v>
          </cell>
        </row>
        <row r="153">
          <cell r="P153">
            <v>532</v>
          </cell>
          <cell r="R153">
            <v>2101.3975</v>
          </cell>
          <cell r="S153">
            <v>71.051699999999997</v>
          </cell>
        </row>
        <row r="154">
          <cell r="P154">
            <v>573</v>
          </cell>
          <cell r="R154">
            <v>2064.3975</v>
          </cell>
          <cell r="S154">
            <v>77.196652</v>
          </cell>
        </row>
        <row r="155">
          <cell r="P155">
            <v>623</v>
          </cell>
          <cell r="R155">
            <v>2068.9974999999999</v>
          </cell>
          <cell r="S155">
            <v>81.391040000000004</v>
          </cell>
        </row>
        <row r="156">
          <cell r="P156">
            <v>691</v>
          </cell>
          <cell r="R156">
            <v>1958.4974999999999</v>
          </cell>
          <cell r="S156">
            <v>91.679738</v>
          </cell>
        </row>
        <row r="157">
          <cell r="P157">
            <v>725</v>
          </cell>
          <cell r="R157">
            <v>2007.6575</v>
          </cell>
          <cell r="S157">
            <v>95.484891000000005</v>
          </cell>
        </row>
        <row r="158">
          <cell r="P158">
            <v>725</v>
          </cell>
          <cell r="R158">
            <v>2087.0946509999999</v>
          </cell>
          <cell r="S158">
            <v>95.942150999999996</v>
          </cell>
        </row>
        <row r="159">
          <cell r="P159">
            <v>795</v>
          </cell>
          <cell r="R159">
            <v>2118.9381509999998</v>
          </cell>
          <cell r="S159">
            <v>105.342474</v>
          </cell>
        </row>
        <row r="160">
          <cell r="P160">
            <v>795</v>
          </cell>
          <cell r="R160">
            <v>2097.7631510000001</v>
          </cell>
          <cell r="S160">
            <v>104.747315</v>
          </cell>
        </row>
        <row r="161">
          <cell r="P161">
            <v>821</v>
          </cell>
          <cell r="R161">
            <v>2089.9381509999998</v>
          </cell>
          <cell r="S161">
            <v>109.357332</v>
          </cell>
        </row>
        <row r="162">
          <cell r="P162">
            <v>562</v>
          </cell>
          <cell r="R162">
            <v>2248</v>
          </cell>
          <cell r="S162">
            <v>73.546000000000006</v>
          </cell>
        </row>
        <row r="163">
          <cell r="P163">
            <v>586</v>
          </cell>
          <cell r="R163">
            <v>2248</v>
          </cell>
          <cell r="S163">
            <v>79.236000000000004</v>
          </cell>
        </row>
        <row r="164">
          <cell r="P164">
            <v>713</v>
          </cell>
          <cell r="R164">
            <v>2233</v>
          </cell>
          <cell r="S164">
            <v>94.524000000000001</v>
          </cell>
        </row>
        <row r="165">
          <cell r="P165">
            <v>711</v>
          </cell>
          <cell r="R165">
            <v>2203</v>
          </cell>
          <cell r="S165">
            <v>93.942999999999998</v>
          </cell>
        </row>
        <row r="166">
          <cell r="P166">
            <v>767</v>
          </cell>
          <cell r="R166">
            <v>2199</v>
          </cell>
          <cell r="S166">
            <v>101.97</v>
          </cell>
        </row>
        <row r="167">
          <cell r="P167">
            <v>703</v>
          </cell>
          <cell r="R167">
            <v>2183</v>
          </cell>
          <cell r="S167">
            <v>93.373999999999995</v>
          </cell>
        </row>
        <row r="168">
          <cell r="P168">
            <v>642</v>
          </cell>
          <cell r="R168">
            <v>2180</v>
          </cell>
          <cell r="S168">
            <v>89.316999999999993</v>
          </cell>
        </row>
        <row r="169">
          <cell r="P169">
            <v>693</v>
          </cell>
          <cell r="R169">
            <v>2180</v>
          </cell>
          <cell r="S169">
            <v>91.405000000000001</v>
          </cell>
        </row>
        <row r="170">
          <cell r="P170">
            <v>618</v>
          </cell>
          <cell r="R170">
            <v>2210</v>
          </cell>
          <cell r="S170">
            <v>81.852999999999994</v>
          </cell>
        </row>
        <row r="171">
          <cell r="P171">
            <v>574</v>
          </cell>
          <cell r="R171">
            <v>2210</v>
          </cell>
          <cell r="S171">
            <v>75.283000000000001</v>
          </cell>
        </row>
        <row r="172">
          <cell r="P172">
            <v>436</v>
          </cell>
          <cell r="R172">
            <v>2172</v>
          </cell>
          <cell r="S172">
            <v>57.228999999999999</v>
          </cell>
        </row>
        <row r="173">
          <cell r="P173">
            <v>454</v>
          </cell>
          <cell r="R173">
            <v>2104</v>
          </cell>
          <cell r="S173">
            <v>59.031999999999996</v>
          </cell>
        </row>
        <row r="174">
          <cell r="P174">
            <v>525</v>
          </cell>
          <cell r="R174">
            <v>2112</v>
          </cell>
          <cell r="S174">
            <v>68.864000000000004</v>
          </cell>
        </row>
        <row r="175">
          <cell r="P175">
            <v>542</v>
          </cell>
          <cell r="R175">
            <v>2121</v>
          </cell>
          <cell r="S175">
            <v>70.233999999999995</v>
          </cell>
        </row>
        <row r="176">
          <cell r="P176">
            <v>770</v>
          </cell>
          <cell r="R176">
            <v>2140</v>
          </cell>
          <cell r="S176">
            <v>101.28400000000001</v>
          </cell>
        </row>
        <row r="177">
          <cell r="P177">
            <v>814</v>
          </cell>
          <cell r="R177">
            <v>2141</v>
          </cell>
          <cell r="S177">
            <v>107.01900000000001</v>
          </cell>
        </row>
        <row r="178">
          <cell r="P178">
            <v>813</v>
          </cell>
          <cell r="R178">
            <v>2153</v>
          </cell>
          <cell r="S178">
            <v>111.101</v>
          </cell>
        </row>
        <row r="179">
          <cell r="P179">
            <v>886</v>
          </cell>
          <cell r="R179">
            <v>2162</v>
          </cell>
          <cell r="S179">
            <v>113.369</v>
          </cell>
        </row>
        <row r="180">
          <cell r="P180">
            <v>984</v>
          </cell>
          <cell r="R180">
            <v>2156</v>
          </cell>
          <cell r="S180">
            <v>129.02600000000001</v>
          </cell>
        </row>
        <row r="181">
          <cell r="P181">
            <v>991</v>
          </cell>
          <cell r="R181">
            <v>2153</v>
          </cell>
          <cell r="S181">
            <v>129.619</v>
          </cell>
        </row>
        <row r="182">
          <cell r="P182">
            <v>972.107482</v>
          </cell>
          <cell r="R182">
            <v>2153</v>
          </cell>
          <cell r="S182">
            <v>127.065</v>
          </cell>
        </row>
        <row r="183">
          <cell r="P183">
            <v>1046</v>
          </cell>
          <cell r="R183">
            <v>2137</v>
          </cell>
          <cell r="S183">
            <v>137.434</v>
          </cell>
        </row>
        <row r="184">
          <cell r="P184">
            <v>988</v>
          </cell>
          <cell r="R184">
            <v>2136</v>
          </cell>
          <cell r="S184">
            <v>129.34100000000001</v>
          </cell>
        </row>
        <row r="185">
          <cell r="P185">
            <v>1022.3464200000001</v>
          </cell>
          <cell r="R185">
            <v>2116</v>
          </cell>
          <cell r="S185">
            <v>135.1</v>
          </cell>
        </row>
        <row r="186">
          <cell r="P186">
            <v>495</v>
          </cell>
          <cell r="R186">
            <v>1959</v>
          </cell>
          <cell r="S186">
            <v>73</v>
          </cell>
        </row>
        <row r="187">
          <cell r="P187">
            <v>545</v>
          </cell>
          <cell r="R187">
            <v>2102</v>
          </cell>
          <cell r="S187">
            <v>76</v>
          </cell>
        </row>
        <row r="188">
          <cell r="P188">
            <v>715</v>
          </cell>
          <cell r="R188">
            <v>2073</v>
          </cell>
          <cell r="S188">
            <v>99</v>
          </cell>
        </row>
        <row r="189">
          <cell r="P189">
            <v>699</v>
          </cell>
          <cell r="R189">
            <v>2079</v>
          </cell>
          <cell r="S189">
            <v>93</v>
          </cell>
        </row>
        <row r="190">
          <cell r="P190">
            <v>790.84</v>
          </cell>
          <cell r="R190">
            <v>2120</v>
          </cell>
          <cell r="S190">
            <v>106</v>
          </cell>
        </row>
        <row r="191">
          <cell r="P191">
            <v>829.86999999999989</v>
          </cell>
          <cell r="R191">
            <v>2002</v>
          </cell>
          <cell r="S191">
            <v>110</v>
          </cell>
        </row>
        <row r="192">
          <cell r="P192">
            <v>912.36999999999989</v>
          </cell>
          <cell r="R192">
            <v>2106</v>
          </cell>
          <cell r="S192">
            <v>121</v>
          </cell>
        </row>
        <row r="193">
          <cell r="P193">
            <v>935.45999999999992</v>
          </cell>
          <cell r="R193">
            <v>2118</v>
          </cell>
          <cell r="S193">
            <v>124</v>
          </cell>
        </row>
        <row r="194">
          <cell r="P194">
            <v>858.52</v>
          </cell>
          <cell r="R194">
            <v>2131</v>
          </cell>
          <cell r="S194">
            <v>114</v>
          </cell>
        </row>
        <row r="195">
          <cell r="P195">
            <v>882.40000000000009</v>
          </cell>
          <cell r="R195">
            <v>2146</v>
          </cell>
          <cell r="S195">
            <v>122</v>
          </cell>
        </row>
        <row r="196">
          <cell r="P196">
            <v>806.94999999999993</v>
          </cell>
          <cell r="R196">
            <v>2131</v>
          </cell>
          <cell r="S196">
            <v>108</v>
          </cell>
        </row>
        <row r="197">
          <cell r="P197">
            <v>905.8</v>
          </cell>
          <cell r="R197">
            <v>2145</v>
          </cell>
          <cell r="S197">
            <v>124</v>
          </cell>
        </row>
        <row r="198">
          <cell r="P198">
            <v>545</v>
          </cell>
          <cell r="R198">
            <v>2106</v>
          </cell>
          <cell r="S198">
            <v>73</v>
          </cell>
        </row>
        <row r="199">
          <cell r="P199">
            <v>541</v>
          </cell>
          <cell r="R199">
            <v>2155</v>
          </cell>
          <cell r="S199">
            <v>78</v>
          </cell>
        </row>
        <row r="200">
          <cell r="P200">
            <v>735.6</v>
          </cell>
          <cell r="R200">
            <v>2160</v>
          </cell>
          <cell r="S200">
            <v>98</v>
          </cell>
        </row>
        <row r="201">
          <cell r="P201">
            <v>803.39</v>
          </cell>
          <cell r="R201">
            <v>2209</v>
          </cell>
          <cell r="S201">
            <v>108</v>
          </cell>
        </row>
        <row r="202">
          <cell r="P202">
            <v>864</v>
          </cell>
          <cell r="R202">
            <v>2168</v>
          </cell>
          <cell r="S202">
            <v>117</v>
          </cell>
        </row>
        <row r="203">
          <cell r="P203">
            <v>910.6</v>
          </cell>
          <cell r="R203">
            <v>2151</v>
          </cell>
          <cell r="S203">
            <v>122</v>
          </cell>
        </row>
        <row r="204">
          <cell r="P204">
            <v>893.4</v>
          </cell>
          <cell r="R204">
            <v>2131</v>
          </cell>
          <cell r="S204">
            <v>122</v>
          </cell>
        </row>
        <row r="205">
          <cell r="P205">
            <v>908.83</v>
          </cell>
          <cell r="R205">
            <v>2134</v>
          </cell>
          <cell r="S205">
            <v>124</v>
          </cell>
        </row>
        <row r="206">
          <cell r="P206">
            <v>793</v>
          </cell>
          <cell r="R206">
            <v>2154</v>
          </cell>
          <cell r="S206">
            <v>107</v>
          </cell>
        </row>
        <row r="207">
          <cell r="P207">
            <v>809</v>
          </cell>
          <cell r="R207">
            <v>2166</v>
          </cell>
          <cell r="S207">
            <v>106</v>
          </cell>
        </row>
        <row r="208">
          <cell r="P208">
            <v>803</v>
          </cell>
          <cell r="R208">
            <v>2122</v>
          </cell>
          <cell r="S208">
            <v>106</v>
          </cell>
        </row>
        <row r="209">
          <cell r="P209">
            <v>818</v>
          </cell>
          <cell r="R209">
            <v>2029</v>
          </cell>
          <cell r="S209">
            <v>108</v>
          </cell>
        </row>
        <row r="210">
          <cell r="P210">
            <v>752.2299999999999</v>
          </cell>
          <cell r="R210">
            <v>2270</v>
          </cell>
          <cell r="S210">
            <v>105</v>
          </cell>
        </row>
        <row r="211">
          <cell r="P211">
            <v>797.44</v>
          </cell>
          <cell r="R211">
            <v>2270</v>
          </cell>
          <cell r="S211">
            <v>105</v>
          </cell>
        </row>
        <row r="212">
          <cell r="P212">
            <v>839.56</v>
          </cell>
          <cell r="R212">
            <v>2299</v>
          </cell>
          <cell r="S212">
            <v>121</v>
          </cell>
        </row>
        <row r="213">
          <cell r="P213">
            <v>847.63999999999987</v>
          </cell>
          <cell r="R213">
            <v>2290</v>
          </cell>
          <cell r="S213">
            <v>120</v>
          </cell>
        </row>
        <row r="214">
          <cell r="P214">
            <v>986.3499999999998</v>
          </cell>
          <cell r="R214">
            <v>2275</v>
          </cell>
          <cell r="S214">
            <v>135</v>
          </cell>
        </row>
        <row r="215">
          <cell r="P215">
            <v>982.96</v>
          </cell>
          <cell r="R215">
            <v>2275</v>
          </cell>
          <cell r="S215">
            <v>135</v>
          </cell>
        </row>
        <row r="216">
          <cell r="P216">
            <v>1021.3599999999999</v>
          </cell>
          <cell r="R216">
            <v>2275</v>
          </cell>
          <cell r="S216">
            <v>140</v>
          </cell>
        </row>
        <row r="217">
          <cell r="P217">
            <v>1045.07</v>
          </cell>
          <cell r="R217">
            <v>2275</v>
          </cell>
          <cell r="S217">
            <v>142</v>
          </cell>
        </row>
        <row r="218">
          <cell r="P218">
            <v>1012.1100000000001</v>
          </cell>
          <cell r="R218">
            <v>2279</v>
          </cell>
          <cell r="S218">
            <v>135</v>
          </cell>
        </row>
        <row r="219">
          <cell r="P219">
            <v>1018.8900000000002</v>
          </cell>
          <cell r="R219">
            <v>2312</v>
          </cell>
          <cell r="S219">
            <v>143</v>
          </cell>
        </row>
        <row r="220">
          <cell r="P220">
            <v>1059.49</v>
          </cell>
          <cell r="R220">
            <v>2312</v>
          </cell>
          <cell r="S220">
            <v>142</v>
          </cell>
        </row>
        <row r="221">
          <cell r="P221">
            <v>1054.58</v>
          </cell>
          <cell r="R221">
            <v>2316</v>
          </cell>
          <cell r="S221">
            <v>143</v>
          </cell>
        </row>
        <row r="222">
          <cell r="P222">
            <v>712</v>
          </cell>
          <cell r="R222">
            <v>2316</v>
          </cell>
          <cell r="S222">
            <v>93</v>
          </cell>
        </row>
        <row r="223">
          <cell r="P223">
            <v>736</v>
          </cell>
          <cell r="R223">
            <v>2316</v>
          </cell>
          <cell r="S223">
            <v>94</v>
          </cell>
        </row>
        <row r="224">
          <cell r="P224">
            <v>857</v>
          </cell>
          <cell r="R224">
            <v>2362</v>
          </cell>
          <cell r="S224">
            <v>116</v>
          </cell>
        </row>
        <row r="225">
          <cell r="P225">
            <v>950</v>
          </cell>
          <cell r="R225">
            <v>2328</v>
          </cell>
          <cell r="S225">
            <v>127</v>
          </cell>
        </row>
        <row r="226">
          <cell r="P226">
            <v>1054</v>
          </cell>
          <cell r="R226">
            <v>2329</v>
          </cell>
          <cell r="S226">
            <v>136</v>
          </cell>
        </row>
        <row r="227">
          <cell r="P227">
            <v>1069</v>
          </cell>
          <cell r="R227">
            <v>2329</v>
          </cell>
          <cell r="S227">
            <v>140</v>
          </cell>
        </row>
        <row r="228">
          <cell r="P228">
            <v>1136</v>
          </cell>
          <cell r="R228">
            <v>2330</v>
          </cell>
          <cell r="S228">
            <v>150</v>
          </cell>
        </row>
        <row r="229">
          <cell r="P229">
            <v>1140</v>
          </cell>
          <cell r="R229">
            <v>2321</v>
          </cell>
          <cell r="S229">
            <v>149</v>
          </cell>
        </row>
        <row r="230">
          <cell r="P230">
            <v>1068</v>
          </cell>
          <cell r="R230">
            <v>2350</v>
          </cell>
          <cell r="S230">
            <v>147</v>
          </cell>
        </row>
        <row r="231">
          <cell r="P231">
            <v>1126</v>
          </cell>
          <cell r="R231">
            <v>2357</v>
          </cell>
          <cell r="S231">
            <v>148</v>
          </cell>
        </row>
        <row r="232">
          <cell r="P232">
            <v>1141</v>
          </cell>
          <cell r="R232">
            <v>2417</v>
          </cell>
          <cell r="S232">
            <v>148</v>
          </cell>
        </row>
        <row r="233">
          <cell r="P233">
            <v>1132</v>
          </cell>
          <cell r="R233">
            <v>2401</v>
          </cell>
          <cell r="S233">
            <v>148</v>
          </cell>
        </row>
        <row r="234">
          <cell r="P234">
            <v>942</v>
          </cell>
          <cell r="R234">
            <v>2549</v>
          </cell>
          <cell r="S234">
            <v>126</v>
          </cell>
        </row>
        <row r="235">
          <cell r="P235">
            <v>953</v>
          </cell>
          <cell r="R235">
            <v>2550</v>
          </cell>
          <cell r="S235">
            <v>128</v>
          </cell>
        </row>
        <row r="236">
          <cell r="P236">
            <v>1116</v>
          </cell>
          <cell r="R236">
            <v>2548</v>
          </cell>
          <cell r="S236">
            <v>149</v>
          </cell>
        </row>
        <row r="237">
          <cell r="P237">
            <v>1078</v>
          </cell>
          <cell r="R237">
            <v>2567</v>
          </cell>
          <cell r="S237">
            <v>143</v>
          </cell>
        </row>
        <row r="238">
          <cell r="P238">
            <v>1148</v>
          </cell>
          <cell r="R238">
            <v>2511</v>
          </cell>
          <cell r="S238">
            <v>151</v>
          </cell>
        </row>
        <row r="239">
          <cell r="P239">
            <v>1194</v>
          </cell>
          <cell r="R239">
            <v>2512</v>
          </cell>
          <cell r="S239">
            <v>159</v>
          </cell>
        </row>
        <row r="240">
          <cell r="P240">
            <v>1260</v>
          </cell>
          <cell r="R240">
            <v>2512</v>
          </cell>
          <cell r="S240">
            <v>166</v>
          </cell>
        </row>
        <row r="241">
          <cell r="P241">
            <v>1316</v>
          </cell>
          <cell r="R241">
            <v>2512</v>
          </cell>
          <cell r="S241">
            <v>172</v>
          </cell>
        </row>
        <row r="242">
          <cell r="P242">
            <v>1242</v>
          </cell>
          <cell r="R242">
            <v>2512</v>
          </cell>
          <cell r="S242">
            <v>164</v>
          </cell>
        </row>
        <row r="243">
          <cell r="P243">
            <v>1292</v>
          </cell>
          <cell r="R243">
            <v>2517</v>
          </cell>
          <cell r="S243">
            <v>171</v>
          </cell>
        </row>
        <row r="244">
          <cell r="P244">
            <v>1218</v>
          </cell>
          <cell r="R244">
            <v>2502</v>
          </cell>
          <cell r="S244">
            <v>160</v>
          </cell>
        </row>
        <row r="245">
          <cell r="P245">
            <v>1283</v>
          </cell>
          <cell r="R245">
            <v>2507</v>
          </cell>
          <cell r="S245">
            <v>168</v>
          </cell>
        </row>
        <row r="246">
          <cell r="P246">
            <v>1114</v>
          </cell>
          <cell r="R246">
            <v>2564</v>
          </cell>
          <cell r="S246">
            <v>144</v>
          </cell>
        </row>
        <row r="247">
          <cell r="P247">
            <v>985</v>
          </cell>
          <cell r="R247">
            <v>2563</v>
          </cell>
          <cell r="S247">
            <v>131</v>
          </cell>
        </row>
        <row r="248">
          <cell r="P248">
            <v>1079</v>
          </cell>
          <cell r="R248">
            <v>2563</v>
          </cell>
          <cell r="S248">
            <v>141</v>
          </cell>
        </row>
        <row r="249">
          <cell r="P249">
            <v>1166</v>
          </cell>
          <cell r="R249">
            <v>2563</v>
          </cell>
          <cell r="S249">
            <v>152</v>
          </cell>
        </row>
        <row r="250">
          <cell r="P250">
            <v>1178</v>
          </cell>
          <cell r="R250">
            <v>2553</v>
          </cell>
          <cell r="S250">
            <v>155</v>
          </cell>
        </row>
        <row r="251">
          <cell r="P251">
            <v>1092</v>
          </cell>
          <cell r="R251">
            <v>2504</v>
          </cell>
          <cell r="S251">
            <v>142</v>
          </cell>
        </row>
        <row r="252">
          <cell r="P252">
            <v>1220</v>
          </cell>
          <cell r="R252">
            <v>2561</v>
          </cell>
          <cell r="S252">
            <v>159</v>
          </cell>
        </row>
        <row r="253">
          <cell r="P253">
            <v>1198</v>
          </cell>
          <cell r="R253">
            <v>2561</v>
          </cell>
          <cell r="S253">
            <v>156</v>
          </cell>
        </row>
        <row r="254">
          <cell r="P254">
            <v>1083</v>
          </cell>
          <cell r="R254">
            <v>2547</v>
          </cell>
          <cell r="S254">
            <v>142</v>
          </cell>
        </row>
        <row r="255">
          <cell r="P255">
            <v>1096</v>
          </cell>
          <cell r="R255">
            <v>2515</v>
          </cell>
          <cell r="S255">
            <v>144</v>
          </cell>
        </row>
        <row r="256">
          <cell r="P256">
            <v>979</v>
          </cell>
          <cell r="R256">
            <v>2510</v>
          </cell>
          <cell r="S256">
            <v>127</v>
          </cell>
        </row>
        <row r="257">
          <cell r="P257">
            <v>1023</v>
          </cell>
          <cell r="R257">
            <v>2513</v>
          </cell>
          <cell r="S257">
            <v>133</v>
          </cell>
        </row>
        <row r="258">
          <cell r="P258">
            <v>1042</v>
          </cell>
          <cell r="R258">
            <v>2515</v>
          </cell>
          <cell r="S258">
            <v>134</v>
          </cell>
        </row>
        <row r="259">
          <cell r="P259">
            <v>1007</v>
          </cell>
          <cell r="R259">
            <v>2515</v>
          </cell>
          <cell r="S259">
            <v>132</v>
          </cell>
        </row>
        <row r="260">
          <cell r="P260">
            <v>1149</v>
          </cell>
          <cell r="R260">
            <v>2514</v>
          </cell>
          <cell r="S260">
            <v>151</v>
          </cell>
        </row>
        <row r="261">
          <cell r="P261">
            <v>1070</v>
          </cell>
          <cell r="R261">
            <v>2514</v>
          </cell>
          <cell r="S261">
            <v>144</v>
          </cell>
        </row>
        <row r="262">
          <cell r="P262">
            <v>1148</v>
          </cell>
          <cell r="R262">
            <v>2514</v>
          </cell>
          <cell r="S262">
            <v>152</v>
          </cell>
        </row>
        <row r="263">
          <cell r="P263">
            <v>1136</v>
          </cell>
          <cell r="R263">
            <v>2514</v>
          </cell>
          <cell r="S263">
            <v>151</v>
          </cell>
        </row>
        <row r="264">
          <cell r="P264">
            <v>1238</v>
          </cell>
          <cell r="R264">
            <v>2509</v>
          </cell>
          <cell r="S264">
            <v>162</v>
          </cell>
        </row>
        <row r="265">
          <cell r="P265">
            <v>1239</v>
          </cell>
          <cell r="R265">
            <v>2459</v>
          </cell>
          <cell r="S265">
            <v>163</v>
          </cell>
        </row>
        <row r="266">
          <cell r="P266">
            <v>1201</v>
          </cell>
          <cell r="R266">
            <v>2460</v>
          </cell>
          <cell r="S266">
            <v>159</v>
          </cell>
        </row>
        <row r="267">
          <cell r="P267">
            <v>1170</v>
          </cell>
          <cell r="R267">
            <v>2454</v>
          </cell>
          <cell r="S267">
            <v>160</v>
          </cell>
        </row>
        <row r="268">
          <cell r="P268">
            <v>1130</v>
          </cell>
          <cell r="R268">
            <v>2451</v>
          </cell>
          <cell r="S268">
            <v>151</v>
          </cell>
        </row>
        <row r="269">
          <cell r="P269">
            <v>1176</v>
          </cell>
          <cell r="R269">
            <v>2476</v>
          </cell>
          <cell r="S269">
            <v>158.56804967639999</v>
          </cell>
        </row>
        <row r="270">
          <cell r="P270">
            <v>1091.5842810939832</v>
          </cell>
          <cell r="R270">
            <v>2394</v>
          </cell>
          <cell r="S270">
            <v>140.79400000000001</v>
          </cell>
        </row>
        <row r="271">
          <cell r="P271">
            <v>825</v>
          </cell>
          <cell r="R271">
            <v>2394</v>
          </cell>
          <cell r="S271">
            <v>108.27</v>
          </cell>
        </row>
        <row r="272">
          <cell r="P272">
            <v>1120</v>
          </cell>
          <cell r="R272">
            <v>2410</v>
          </cell>
          <cell r="S272">
            <v>150.571</v>
          </cell>
        </row>
        <row r="273">
          <cell r="P273">
            <v>1098.4491370055848</v>
          </cell>
          <cell r="R273">
            <v>2410</v>
          </cell>
          <cell r="S273">
            <v>144.03899999999999</v>
          </cell>
        </row>
        <row r="274">
          <cell r="P274">
            <v>1152.002085541234</v>
          </cell>
          <cell r="R274">
            <v>2428</v>
          </cell>
          <cell r="S274">
            <v>148.54599999999999</v>
          </cell>
        </row>
        <row r="275">
          <cell r="P275">
            <v>1107.1802649803265</v>
          </cell>
          <cell r="R275">
            <v>2428</v>
          </cell>
          <cell r="S275">
            <v>143.429</v>
          </cell>
        </row>
        <row r="276">
          <cell r="P276">
            <v>1122.7433542020506</v>
          </cell>
          <cell r="R276">
            <v>2430</v>
          </cell>
          <cell r="S276">
            <v>149.16999999999999</v>
          </cell>
        </row>
        <row r="277">
          <cell r="P277">
            <v>974.61993890298515</v>
          </cell>
          <cell r="R277">
            <v>2430</v>
          </cell>
          <cell r="S277">
            <v>149.50200000000001</v>
          </cell>
        </row>
        <row r="278">
          <cell r="P278">
            <v>927.64935006759151</v>
          </cell>
          <cell r="R278">
            <v>2462</v>
          </cell>
          <cell r="S278">
            <v>133.76499999999999</v>
          </cell>
        </row>
        <row r="279">
          <cell r="P279">
            <v>1120.6281059220171</v>
          </cell>
          <cell r="R279">
            <v>2461</v>
          </cell>
          <cell r="S279">
            <v>145.87200000000001</v>
          </cell>
        </row>
        <row r="280">
          <cell r="P280">
            <v>1006.8738858571434</v>
          </cell>
          <cell r="R280">
            <v>2389</v>
          </cell>
          <cell r="S280">
            <v>141.10400000000001</v>
          </cell>
        </row>
        <row r="281">
          <cell r="P281">
            <v>1170.3698271871317</v>
          </cell>
          <cell r="R281">
            <v>2244</v>
          </cell>
          <cell r="S281">
            <v>153.76300000000001</v>
          </cell>
        </row>
        <row r="282">
          <cell r="P282">
            <v>980.93640517501228</v>
          </cell>
          <cell r="R282">
            <v>2263</v>
          </cell>
          <cell r="S282">
            <v>119.98699999999999</v>
          </cell>
        </row>
        <row r="283">
          <cell r="P283">
            <v>1000.55606805024</v>
          </cell>
          <cell r="R283">
            <v>2285</v>
          </cell>
          <cell r="S283">
            <v>113.685</v>
          </cell>
        </row>
        <row r="284">
          <cell r="P284">
            <v>1162.5500048392919</v>
          </cell>
          <cell r="R284">
            <v>2284</v>
          </cell>
          <cell r="S284">
            <v>132.755</v>
          </cell>
        </row>
        <row r="285">
          <cell r="P285">
            <v>1064.7795800254089</v>
          </cell>
          <cell r="R285">
            <v>2225</v>
          </cell>
          <cell r="S285">
            <v>126.742</v>
          </cell>
        </row>
        <row r="286">
          <cell r="P286">
            <v>1106.5127672152128</v>
          </cell>
          <cell r="R286">
            <v>2223</v>
          </cell>
          <cell r="S286">
            <v>136.148</v>
          </cell>
        </row>
        <row r="287">
          <cell r="P287">
            <v>1100.3121860233359</v>
          </cell>
          <cell r="R287">
            <v>2223</v>
          </cell>
          <cell r="S287">
            <v>137.149</v>
          </cell>
        </row>
        <row r="288">
          <cell r="P288">
            <v>1197.5608419021528</v>
          </cell>
          <cell r="R288">
            <v>2097</v>
          </cell>
          <cell r="S288">
            <v>146.58000000000001</v>
          </cell>
        </row>
        <row r="289">
          <cell r="P289">
            <v>1199.9937980129771</v>
          </cell>
          <cell r="R289">
            <v>2092</v>
          </cell>
          <cell r="S289">
            <v>147.78700000000001</v>
          </cell>
        </row>
        <row r="290">
          <cell r="P290">
            <v>1127.0133168606978</v>
          </cell>
          <cell r="R290">
            <v>2092</v>
          </cell>
          <cell r="S290">
            <v>140.709</v>
          </cell>
        </row>
        <row r="291">
          <cell r="P291">
            <v>1181.4359047020864</v>
          </cell>
          <cell r="R291">
            <v>2092</v>
          </cell>
          <cell r="S291">
            <v>145.48400000000001</v>
          </cell>
        </row>
        <row r="292">
          <cell r="P292">
            <v>1122.971731781553</v>
          </cell>
          <cell r="R292">
            <v>2092</v>
          </cell>
          <cell r="S292">
            <v>142.108</v>
          </cell>
        </row>
        <row r="293">
          <cell r="P293">
            <v>1099.8245384403133</v>
          </cell>
          <cell r="R293">
            <v>2090</v>
          </cell>
        </row>
        <row r="294">
          <cell r="P294">
            <v>1047.7821345392967</v>
          </cell>
          <cell r="R294">
            <v>2051</v>
          </cell>
        </row>
        <row r="295">
          <cell r="P295">
            <v>965.18531852105127</v>
          </cell>
          <cell r="R295">
            <v>2063</v>
          </cell>
        </row>
        <row r="296">
          <cell r="P296">
            <v>1141.8089540145584</v>
          </cell>
          <cell r="R296">
            <v>2087</v>
          </cell>
        </row>
        <row r="297">
          <cell r="P297">
            <v>1074.820182255625</v>
          </cell>
          <cell r="R297">
            <v>2087</v>
          </cell>
        </row>
        <row r="298">
          <cell r="P298">
            <v>1250.3420917340447</v>
          </cell>
          <cell r="R298">
            <v>2082</v>
          </cell>
        </row>
        <row r="299">
          <cell r="P299">
            <v>1183.2358927981593</v>
          </cell>
          <cell r="R299">
            <v>2082</v>
          </cell>
        </row>
        <row r="300">
          <cell r="P300">
            <v>1178.889898504053</v>
          </cell>
          <cell r="R300">
            <v>2080</v>
          </cell>
        </row>
        <row r="301">
          <cell r="P301">
            <v>1143.9357035737248</v>
          </cell>
          <cell r="R301">
            <v>2080</v>
          </cell>
        </row>
        <row r="302">
          <cell r="P302">
            <v>1146.0268185449395</v>
          </cell>
          <cell r="R302">
            <v>2070</v>
          </cell>
        </row>
        <row r="303">
          <cell r="P303">
            <v>1165.1931496672823</v>
          </cell>
          <cell r="R303">
            <v>2079</v>
          </cell>
        </row>
        <row r="304">
          <cell r="P304">
            <v>1089.2298088213965</v>
          </cell>
          <cell r="R304">
            <v>2079</v>
          </cell>
        </row>
        <row r="305">
          <cell r="P305">
            <v>1131.3412180919649</v>
          </cell>
          <cell r="R305">
            <v>2073</v>
          </cell>
        </row>
        <row r="306">
          <cell r="P306">
            <v>1019.625347931446</v>
          </cell>
          <cell r="R306">
            <v>2073</v>
          </cell>
        </row>
        <row r="307">
          <cell r="P307">
            <v>995.05829515130119</v>
          </cell>
          <cell r="R307">
            <v>1984</v>
          </cell>
        </row>
        <row r="308">
          <cell r="P308">
            <v>1041.6466047179379</v>
          </cell>
          <cell r="R308">
            <v>1984</v>
          </cell>
        </row>
        <row r="309">
          <cell r="P309">
            <v>1025.2540769445259</v>
          </cell>
          <cell r="R309">
            <v>1991</v>
          </cell>
        </row>
        <row r="310">
          <cell r="P310">
            <v>1096.6826403827017</v>
          </cell>
          <cell r="R310">
            <v>2022</v>
          </cell>
        </row>
        <row r="311">
          <cell r="P311">
            <v>1119.2413816459248</v>
          </cell>
          <cell r="R311">
            <v>2022</v>
          </cell>
        </row>
        <row r="312">
          <cell r="P312">
            <v>1129.5446177507156</v>
          </cell>
          <cell r="R312">
            <v>2022</v>
          </cell>
        </row>
        <row r="313">
          <cell r="P313">
            <v>1169.2290978090057</v>
          </cell>
          <cell r="R313">
            <v>1995</v>
          </cell>
        </row>
        <row r="314">
          <cell r="P314">
            <v>1108.9973535235845</v>
          </cell>
          <cell r="R314">
            <v>1995</v>
          </cell>
        </row>
        <row r="315">
          <cell r="P315">
            <v>1055.0724276408428</v>
          </cell>
          <cell r="R315">
            <v>1995</v>
          </cell>
        </row>
        <row r="316">
          <cell r="P316">
            <v>1016.3060760953927</v>
          </cell>
          <cell r="R316">
            <v>1995</v>
          </cell>
        </row>
        <row r="317">
          <cell r="P317">
            <v>947.76232217708207</v>
          </cell>
          <cell r="R317">
            <v>1995</v>
          </cell>
        </row>
        <row r="318">
          <cell r="P318">
            <v>630.81908722675325</v>
          </cell>
          <cell r="R318">
            <v>1984</v>
          </cell>
        </row>
        <row r="319">
          <cell r="P319">
            <v>602.71194513330249</v>
          </cell>
          <cell r="R319">
            <v>1984</v>
          </cell>
        </row>
        <row r="320">
          <cell r="P320">
            <v>763.74486752865425</v>
          </cell>
          <cell r="R320">
            <v>1984</v>
          </cell>
        </row>
        <row r="321">
          <cell r="P321">
            <v>1043.7106742474616</v>
          </cell>
          <cell r="R321">
            <v>1984</v>
          </cell>
        </row>
        <row r="322">
          <cell r="P322">
            <v>1091.1805931895663</v>
          </cell>
          <cell r="R322">
            <v>1984</v>
          </cell>
        </row>
        <row r="323">
          <cell r="P323">
            <v>1096.2792753786096</v>
          </cell>
          <cell r="R323">
            <v>1967.3333333333333</v>
          </cell>
        </row>
        <row r="324">
          <cell r="P324">
            <v>1065.9645059948446</v>
          </cell>
          <cell r="R324">
            <v>1950.6666666666665</v>
          </cell>
        </row>
        <row r="325">
          <cell r="P325">
            <v>1106.1161533011973</v>
          </cell>
          <cell r="R325">
            <v>1933.9999999999998</v>
          </cell>
        </row>
        <row r="326">
          <cell r="P326">
            <v>1049.4844247506844</v>
          </cell>
          <cell r="R326">
            <v>1917.333333333333</v>
          </cell>
        </row>
        <row r="327">
          <cell r="P327">
            <v>1000.6225000022445</v>
          </cell>
          <cell r="R327">
            <v>1900.6666666666663</v>
          </cell>
        </row>
        <row r="328">
          <cell r="P328">
            <v>989.61271913507392</v>
          </cell>
          <cell r="R328">
            <v>1883.9999999999995</v>
          </cell>
        </row>
        <row r="329">
          <cell r="P329">
            <v>1907.8210754572785</v>
          </cell>
          <cell r="R329">
            <v>1867.3333333333328</v>
          </cell>
        </row>
        <row r="330">
          <cell r="P330">
            <v>956.94945681007221</v>
          </cell>
          <cell r="R330">
            <v>1866.7777777777771</v>
          </cell>
        </row>
        <row r="331">
          <cell r="P331">
            <v>871.19890772105953</v>
          </cell>
          <cell r="R331">
            <v>1866.2222222222215</v>
          </cell>
        </row>
        <row r="332">
          <cell r="P332">
            <v>930.23677455528991</v>
          </cell>
          <cell r="R332">
            <v>1865.6666666666658</v>
          </cell>
        </row>
        <row r="333">
          <cell r="P333">
            <v>950.77801422682194</v>
          </cell>
          <cell r="R333">
            <v>1865.1111111111102</v>
          </cell>
        </row>
        <row r="334">
          <cell r="P334">
            <v>1019.3917473243047</v>
          </cell>
          <cell r="R334">
            <v>1864.5555555555545</v>
          </cell>
        </row>
        <row r="335">
          <cell r="P335">
            <v>1000.4235136865046</v>
          </cell>
          <cell r="R335">
            <v>1863.9999999999989</v>
          </cell>
        </row>
        <row r="336">
          <cell r="P336">
            <v>1008.4448567060484</v>
          </cell>
          <cell r="R336">
            <v>1863.4444444444432</v>
          </cell>
        </row>
        <row r="337">
          <cell r="P337">
            <v>992.05764055859333</v>
          </cell>
          <cell r="R337">
            <v>1862.8888888888875</v>
          </cell>
        </row>
        <row r="338">
          <cell r="P338">
            <v>947.27876287864854</v>
          </cell>
          <cell r="R338">
            <v>1862.3333333333319</v>
          </cell>
        </row>
        <row r="339">
          <cell r="P339">
            <v>979.35363314938854</v>
          </cell>
          <cell r="R339">
            <v>1861.7777777777762</v>
          </cell>
        </row>
        <row r="340">
          <cell r="P340">
            <v>927.34441452754879</v>
          </cell>
          <cell r="R340">
            <v>1861.2222222222206</v>
          </cell>
        </row>
        <row r="341">
          <cell r="P341">
            <v>989.56912105623269</v>
          </cell>
          <cell r="R341">
            <v>1860.6666666666649</v>
          </cell>
        </row>
        <row r="342">
          <cell r="P342">
            <v>875.0105523660925</v>
          </cell>
          <cell r="R342">
            <v>1860.1111111111093</v>
          </cell>
        </row>
        <row r="343">
          <cell r="P343">
            <v>829.76539558964748</v>
          </cell>
          <cell r="R343">
            <v>1859.5555555555536</v>
          </cell>
        </row>
        <row r="344">
          <cell r="P344">
            <v>926.61276170143333</v>
          </cell>
          <cell r="R344">
            <v>1858.999999999998</v>
          </cell>
        </row>
        <row r="345">
          <cell r="P345">
            <v>957.71107641147148</v>
          </cell>
          <cell r="R345">
            <v>1858.4444444444423</v>
          </cell>
        </row>
        <row r="346">
          <cell r="P346">
            <v>1032.4565599034318</v>
          </cell>
          <cell r="R346">
            <v>1857.8888888888866</v>
          </cell>
        </row>
        <row r="347">
          <cell r="P347">
            <v>1017.8738341558103</v>
          </cell>
          <cell r="R347">
            <v>1857.333333333331</v>
          </cell>
        </row>
        <row r="348">
          <cell r="P348">
            <v>1024.3503325055788</v>
          </cell>
          <cell r="R348">
            <v>1856.7777777777753</v>
          </cell>
        </row>
        <row r="349">
          <cell r="P349">
            <v>1030.3015358511564</v>
          </cell>
          <cell r="R349">
            <v>1856.2222222222197</v>
          </cell>
        </row>
        <row r="350">
          <cell r="P350">
            <v>986.34476813968524</v>
          </cell>
          <cell r="R350">
            <v>1855.666666666664</v>
          </cell>
        </row>
        <row r="351">
          <cell r="P351">
            <v>989.21880216068462</v>
          </cell>
          <cell r="R351">
            <v>1855.1111111111084</v>
          </cell>
        </row>
        <row r="352">
          <cell r="P352">
            <v>946.16213488537892</v>
          </cell>
          <cell r="R352">
            <v>1854.5555555555527</v>
          </cell>
        </row>
        <row r="353">
          <cell r="P353">
            <v>1127.7448650508711</v>
          </cell>
          <cell r="R353">
            <v>1853.999999999997</v>
          </cell>
        </row>
        <row r="354">
          <cell r="P354">
            <v>694.86255468368267</v>
          </cell>
          <cell r="R354">
            <v>1853.4444444444414</v>
          </cell>
        </row>
        <row r="355">
          <cell r="P355">
            <v>648.81188090682986</v>
          </cell>
          <cell r="R355">
            <v>1852.8888888888857</v>
          </cell>
        </row>
        <row r="356">
          <cell r="P356">
            <v>718.31266417723134</v>
          </cell>
          <cell r="R356">
            <v>1843.9999999999968</v>
          </cell>
        </row>
        <row r="357">
          <cell r="P357">
            <v>761.93429506336702</v>
          </cell>
          <cell r="R357">
            <v>1843.9999999999968</v>
          </cell>
        </row>
        <row r="358">
          <cell r="P358">
            <v>827.51674171210016</v>
          </cell>
          <cell r="R358">
            <v>1843.9999999999968</v>
          </cell>
        </row>
        <row r="359">
          <cell r="P359">
            <v>814.60490378635598</v>
          </cell>
          <cell r="R359">
            <v>1843.9999999999968</v>
          </cell>
        </row>
        <row r="360">
          <cell r="P360">
            <v>806.7174152748629</v>
          </cell>
          <cell r="R360">
            <v>1843.9999999999968</v>
          </cell>
        </row>
        <row r="361">
          <cell r="P361">
            <v>811.83143042447739</v>
          </cell>
          <cell r="R361">
            <v>1843.9999999999968</v>
          </cell>
        </row>
        <row r="362">
          <cell r="P362">
            <v>780.33713539680821</v>
          </cell>
          <cell r="R362">
            <v>1843.9999999999968</v>
          </cell>
        </row>
        <row r="363">
          <cell r="P363">
            <v>775.40193779649996</v>
          </cell>
          <cell r="R363">
            <v>1843.9999999999968</v>
          </cell>
        </row>
        <row r="364">
          <cell r="P364">
            <v>742.49487398341</v>
          </cell>
          <cell r="R364">
            <v>1843.9999999999968</v>
          </cell>
        </row>
        <row r="365">
          <cell r="P365">
            <v>914.57468631328788</v>
          </cell>
          <cell r="R365">
            <v>1843.9999999999968</v>
          </cell>
        </row>
        <row r="366">
          <cell r="P366">
            <v>765.00915576027955</v>
          </cell>
          <cell r="R366">
            <v>1863.9999999999968</v>
          </cell>
        </row>
        <row r="367">
          <cell r="P367">
            <v>721.35627445053615</v>
          </cell>
          <cell r="R367">
            <v>1863.9999999999968</v>
          </cell>
        </row>
        <row r="368">
          <cell r="P368">
            <v>787.73338561446883</v>
          </cell>
          <cell r="R368">
            <v>1863.9999999999968</v>
          </cell>
        </row>
        <row r="369">
          <cell r="P369">
            <v>880.30866937267012</v>
          </cell>
          <cell r="R369">
            <v>1863.9999999999968</v>
          </cell>
        </row>
        <row r="370">
          <cell r="P370">
            <v>917.01839666428884</v>
          </cell>
          <cell r="R370">
            <v>1863.9999999999968</v>
          </cell>
        </row>
        <row r="371">
          <cell r="P371">
            <v>910.07161665841568</v>
          </cell>
          <cell r="R371">
            <v>1863.9999999999968</v>
          </cell>
        </row>
        <row r="372">
          <cell r="P372">
            <v>900.36819574487311</v>
          </cell>
          <cell r="R372">
            <v>1863.9999999999968</v>
          </cell>
        </row>
        <row r="373">
          <cell r="P373">
            <v>913.36120022146144</v>
          </cell>
          <cell r="R373">
            <v>1863.9999999999968</v>
          </cell>
        </row>
        <row r="374">
          <cell r="P374">
            <v>892.60752664249787</v>
          </cell>
          <cell r="R374">
            <v>1863.9999999999968</v>
          </cell>
        </row>
        <row r="375">
          <cell r="P375">
            <v>861.10692276970428</v>
          </cell>
          <cell r="R375">
            <v>1860.6666666666636</v>
          </cell>
        </row>
        <row r="376">
          <cell r="P376">
            <v>828.62325479671392</v>
          </cell>
          <cell r="R376">
            <v>1857.3333333333303</v>
          </cell>
        </row>
        <row r="377">
          <cell r="P377">
            <v>1054.095279558748</v>
          </cell>
          <cell r="R377">
            <v>1853.999999999997</v>
          </cell>
        </row>
        <row r="378">
          <cell r="P378">
            <v>747.84257868445866</v>
          </cell>
          <cell r="R378">
            <v>1850.6666666666638</v>
          </cell>
        </row>
        <row r="379">
          <cell r="P379">
            <v>694.16496157689619</v>
          </cell>
          <cell r="R379">
            <v>1850.6666666666638</v>
          </cell>
        </row>
        <row r="380">
          <cell r="P380">
            <v>779.84212977180141</v>
          </cell>
          <cell r="R380">
            <v>1850.6666666666638</v>
          </cell>
        </row>
        <row r="381">
          <cell r="P381">
            <v>870.48583361502062</v>
          </cell>
          <cell r="R381">
            <v>1847.3333333333305</v>
          </cell>
        </row>
        <row r="382">
          <cell r="P382">
            <v>925.63735558432495</v>
          </cell>
          <cell r="R382">
            <v>1847.3333333333305</v>
          </cell>
        </row>
        <row r="383">
          <cell r="P383">
            <v>917.08519048839719</v>
          </cell>
          <cell r="R383">
            <v>1847.3333333333305</v>
          </cell>
        </row>
        <row r="384">
          <cell r="P384">
            <v>909.80913132225805</v>
          </cell>
          <cell r="R384">
            <v>1847.3333333333305</v>
          </cell>
        </row>
        <row r="385">
          <cell r="P385">
            <v>919.82475270737564</v>
          </cell>
          <cell r="R385">
            <v>1847.3333333333305</v>
          </cell>
        </row>
        <row r="386">
          <cell r="P386">
            <v>882.37779422307551</v>
          </cell>
          <cell r="R386">
            <v>1847.3333333333305</v>
          </cell>
        </row>
        <row r="387">
          <cell r="P387">
            <v>872.14404384957459</v>
          </cell>
          <cell r="R387">
            <v>1847.3333333333305</v>
          </cell>
        </row>
        <row r="388">
          <cell r="P388">
            <v>839.95591658387582</v>
          </cell>
          <cell r="R388">
            <v>1847.3333333333305</v>
          </cell>
        </row>
        <row r="389">
          <cell r="P389">
            <v>1131.6077762030309</v>
          </cell>
          <cell r="R389">
            <v>1847.3333333333305</v>
          </cell>
        </row>
        <row r="390">
          <cell r="P390">
            <v>784.37169677173574</v>
          </cell>
          <cell r="R390">
            <v>1867.3333333333305</v>
          </cell>
        </row>
        <row r="391">
          <cell r="P391">
            <v>730.30728599632664</v>
          </cell>
          <cell r="R391">
            <v>1867.3333333333305</v>
          </cell>
        </row>
        <row r="392">
          <cell r="P392">
            <v>803.33266138772149</v>
          </cell>
          <cell r="R392">
            <v>1867.3333333333305</v>
          </cell>
        </row>
        <row r="393">
          <cell r="P393">
            <v>858.58504960782761</v>
          </cell>
          <cell r="R393">
            <v>1877.3333333333305</v>
          </cell>
        </row>
        <row r="394">
          <cell r="P394">
            <v>917.02104181612128</v>
          </cell>
          <cell r="R394">
            <v>1877.3333333333305</v>
          </cell>
        </row>
        <row r="395">
          <cell r="P395">
            <v>905.24066725086107</v>
          </cell>
          <cell r="R395">
            <v>1877.3333333333305</v>
          </cell>
        </row>
        <row r="396">
          <cell r="P396">
            <v>903.02099111086295</v>
          </cell>
          <cell r="R396">
            <v>1887.3333333333305</v>
          </cell>
        </row>
        <row r="397">
          <cell r="P397">
            <v>907.02341589656714</v>
          </cell>
          <cell r="R397">
            <v>1887.3333333333305</v>
          </cell>
        </row>
        <row r="398">
          <cell r="P398">
            <v>872.30109602461005</v>
          </cell>
          <cell r="R398">
            <v>1887.3333333333305</v>
          </cell>
        </row>
        <row r="399">
          <cell r="P399">
            <v>869.38564661874909</v>
          </cell>
          <cell r="R399">
            <v>1897.3333333333305</v>
          </cell>
        </row>
        <row r="400">
          <cell r="P400">
            <v>832.47646650138279</v>
          </cell>
          <cell r="R400">
            <v>1897.3333333333305</v>
          </cell>
        </row>
        <row r="401">
          <cell r="P401">
            <v>1014.7665040456507</v>
          </cell>
          <cell r="R401">
            <v>1897.3333333333305</v>
          </cell>
        </row>
        <row r="402">
          <cell r="P402">
            <v>806.25347943515317</v>
          </cell>
          <cell r="R402">
            <v>1897.3333333333305</v>
          </cell>
        </row>
        <row r="403">
          <cell r="P403">
            <v>755.23608633060724</v>
          </cell>
          <cell r="R403">
            <v>1897.3333333333305</v>
          </cell>
        </row>
        <row r="404">
          <cell r="P404">
            <v>836.63587771027198</v>
          </cell>
          <cell r="R404">
            <v>1897.3333333333305</v>
          </cell>
        </row>
        <row r="405">
          <cell r="P405">
            <v>903.06980533504236</v>
          </cell>
          <cell r="R405">
            <v>1897.3333333333305</v>
          </cell>
        </row>
        <row r="406">
          <cell r="P406">
            <v>963.74240944829364</v>
          </cell>
          <cell r="R406">
            <v>1897.3333333333305</v>
          </cell>
        </row>
        <row r="407">
          <cell r="P407">
            <v>952.55995470080336</v>
          </cell>
          <cell r="R407">
            <v>1897.3333333333305</v>
          </cell>
        </row>
        <row r="408">
          <cell r="P408">
            <v>948.07949775754093</v>
          </cell>
          <cell r="R408">
            <v>1897.3333333333305</v>
          </cell>
        </row>
        <row r="409">
          <cell r="P409">
            <v>956.30189329772645</v>
          </cell>
          <cell r="R409">
            <v>1897.3333333333305</v>
          </cell>
        </row>
        <row r="410">
          <cell r="P410">
            <v>921.20791369187759</v>
          </cell>
          <cell r="R410">
            <v>1897.3333333333305</v>
          </cell>
        </row>
        <row r="411">
          <cell r="P411">
            <v>911.10916256633845</v>
          </cell>
          <cell r="R411">
            <v>1897.3333333333305</v>
          </cell>
        </row>
        <row r="412">
          <cell r="P412">
            <v>874.39383577708736</v>
          </cell>
          <cell r="R412">
            <v>1897.3333333333305</v>
          </cell>
        </row>
        <row r="413">
          <cell r="P413">
            <v>1093.9756835453261</v>
          </cell>
          <cell r="R413">
            <v>1897.3333333333305</v>
          </cell>
        </row>
        <row r="414">
          <cell r="P414">
            <v>928.98881361136728</v>
          </cell>
          <cell r="R414">
            <v>1897.3333333333305</v>
          </cell>
        </row>
        <row r="415">
          <cell r="P415">
            <v>698.46967665610532</v>
          </cell>
          <cell r="R415">
            <v>1897.3333333333305</v>
          </cell>
        </row>
        <row r="416">
          <cell r="P416">
            <v>772.44326951378184</v>
          </cell>
          <cell r="R416">
            <v>1897.3333333333305</v>
          </cell>
        </row>
        <row r="417">
          <cell r="P417">
            <v>841.79612932064856</v>
          </cell>
          <cell r="R417">
            <v>1897.3333333333305</v>
          </cell>
        </row>
        <row r="418">
          <cell r="P418">
            <v>896.4068977904858</v>
          </cell>
          <cell r="R418">
            <v>1897.3333333333305</v>
          </cell>
        </row>
        <row r="419">
          <cell r="P419">
            <v>886.51321088036298</v>
          </cell>
          <cell r="R419">
            <v>1897.3333333333305</v>
          </cell>
        </row>
        <row r="420">
          <cell r="P420">
            <v>880.27280859981602</v>
          </cell>
          <cell r="R420">
            <v>1897.3333333333305</v>
          </cell>
        </row>
        <row r="421">
          <cell r="P421">
            <v>888.42625166787286</v>
          </cell>
          <cell r="R421">
            <v>1897.3333333333305</v>
          </cell>
        </row>
        <row r="422">
          <cell r="P422">
            <v>856.89434328400375</v>
          </cell>
          <cell r="R422">
            <v>1897.3333333333305</v>
          </cell>
        </row>
        <row r="423">
          <cell r="P423">
            <v>845.10274719093798</v>
          </cell>
          <cell r="R423">
            <v>1897.3333333333305</v>
          </cell>
        </row>
        <row r="424">
          <cell r="P424">
            <v>811.58870547537731</v>
          </cell>
          <cell r="R424">
            <v>1897.3333333333305</v>
          </cell>
        </row>
        <row r="425">
          <cell r="P425">
            <v>892.17071402225781</v>
          </cell>
          <cell r="R425">
            <v>1897.3333333333305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Chart1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>
        <row r="13">
          <cell r="M13">
            <v>2285.3031666666666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3">
          <cell r="Q3" t="str">
            <v xml:space="preserve">75/76 </v>
          </cell>
        </row>
        <row r="419">
          <cell r="BA419">
            <v>20</v>
          </cell>
          <cell r="BB419">
            <v>15</v>
          </cell>
          <cell r="BC419">
            <v>75</v>
          </cell>
          <cell r="BD419">
            <v>30</v>
          </cell>
          <cell r="BE419">
            <v>30</v>
          </cell>
          <cell r="BF419">
            <v>50</v>
          </cell>
          <cell r="BG419">
            <v>65</v>
          </cell>
          <cell r="BH419">
            <v>130</v>
          </cell>
          <cell r="BI419">
            <v>200</v>
          </cell>
          <cell r="BJ419">
            <v>125</v>
          </cell>
          <cell r="BK419">
            <v>175</v>
          </cell>
          <cell r="BL419">
            <v>75</v>
          </cell>
          <cell r="BM419">
            <v>275</v>
          </cell>
          <cell r="BN419">
            <v>525</v>
          </cell>
        </row>
        <row r="420">
          <cell r="BA420">
            <v>20</v>
          </cell>
          <cell r="BB420">
            <v>20</v>
          </cell>
          <cell r="BC420">
            <v>60</v>
          </cell>
          <cell r="BD420">
            <v>30</v>
          </cell>
          <cell r="BE420">
            <v>30</v>
          </cell>
          <cell r="BF420">
            <v>65</v>
          </cell>
          <cell r="BG420">
            <v>65</v>
          </cell>
          <cell r="BH420">
            <v>150</v>
          </cell>
          <cell r="BI420">
            <v>200</v>
          </cell>
          <cell r="BJ420">
            <v>225</v>
          </cell>
          <cell r="BK420">
            <v>325</v>
          </cell>
          <cell r="BL420">
            <v>125</v>
          </cell>
          <cell r="BM420">
            <v>275</v>
          </cell>
          <cell r="BN420">
            <v>575</v>
          </cell>
        </row>
        <row r="421">
          <cell r="BA421">
            <v>20</v>
          </cell>
          <cell r="BB421">
            <v>20</v>
          </cell>
          <cell r="BC421">
            <v>35</v>
          </cell>
          <cell r="BD421">
            <v>40</v>
          </cell>
          <cell r="BE421">
            <v>30</v>
          </cell>
          <cell r="BF421">
            <v>70</v>
          </cell>
          <cell r="BG421">
            <v>60</v>
          </cell>
          <cell r="BH421">
            <v>150</v>
          </cell>
          <cell r="BI421">
            <v>200</v>
          </cell>
          <cell r="BJ421">
            <v>275</v>
          </cell>
          <cell r="BK421">
            <v>275</v>
          </cell>
          <cell r="BL421">
            <v>150</v>
          </cell>
          <cell r="BM421">
            <v>325</v>
          </cell>
          <cell r="BN421">
            <v>575</v>
          </cell>
        </row>
        <row r="422">
          <cell r="BA422">
            <v>10</v>
          </cell>
          <cell r="BB422">
            <v>5</v>
          </cell>
          <cell r="BC422">
            <v>25</v>
          </cell>
          <cell r="BD422">
            <v>40</v>
          </cell>
          <cell r="BE422">
            <v>25</v>
          </cell>
          <cell r="BF422">
            <v>50</v>
          </cell>
          <cell r="BG422">
            <v>50</v>
          </cell>
          <cell r="BH422">
            <v>150</v>
          </cell>
          <cell r="BI422">
            <v>175</v>
          </cell>
          <cell r="BJ422">
            <v>175</v>
          </cell>
          <cell r="BK422">
            <v>125</v>
          </cell>
          <cell r="BL422">
            <v>225</v>
          </cell>
          <cell r="BM422">
            <v>300</v>
          </cell>
          <cell r="BN422">
            <v>150</v>
          </cell>
        </row>
        <row r="423">
          <cell r="BA423">
            <v>15</v>
          </cell>
          <cell r="BB423">
            <v>6</v>
          </cell>
          <cell r="BC423">
            <v>25</v>
          </cell>
          <cell r="BD423">
            <v>30</v>
          </cell>
          <cell r="BE423">
            <v>15</v>
          </cell>
          <cell r="BF423">
            <v>55</v>
          </cell>
          <cell r="BG423">
            <v>75</v>
          </cell>
          <cell r="BH423">
            <v>150</v>
          </cell>
          <cell r="BI423">
            <v>150</v>
          </cell>
          <cell r="BJ423">
            <v>225</v>
          </cell>
          <cell r="BK423">
            <v>100</v>
          </cell>
          <cell r="BL423">
            <v>250</v>
          </cell>
          <cell r="BM423">
            <v>225</v>
          </cell>
        </row>
        <row r="424">
          <cell r="BA424">
            <v>15</v>
          </cell>
          <cell r="BB424">
            <v>8</v>
          </cell>
          <cell r="BC424">
            <v>30</v>
          </cell>
          <cell r="BD424">
            <v>30</v>
          </cell>
          <cell r="BE424">
            <v>25</v>
          </cell>
          <cell r="BF424">
            <v>40</v>
          </cell>
          <cell r="BG424">
            <v>85</v>
          </cell>
          <cell r="BH424">
            <v>150</v>
          </cell>
          <cell r="BI424">
            <v>165</v>
          </cell>
          <cell r="BJ424">
            <v>225</v>
          </cell>
          <cell r="BK424">
            <v>200</v>
          </cell>
          <cell r="BL424">
            <v>150</v>
          </cell>
          <cell r="BM424">
            <v>325</v>
          </cell>
        </row>
        <row r="425">
          <cell r="BA425">
            <v>10</v>
          </cell>
          <cell r="BB425">
            <v>7</v>
          </cell>
          <cell r="BC425">
            <v>35</v>
          </cell>
          <cell r="BD425">
            <v>30</v>
          </cell>
          <cell r="BE425">
            <v>35</v>
          </cell>
          <cell r="BF425">
            <v>50</v>
          </cell>
          <cell r="BG425">
            <v>80</v>
          </cell>
          <cell r="BH425">
            <v>150</v>
          </cell>
          <cell r="BI425">
            <v>145</v>
          </cell>
          <cell r="BJ425">
            <v>150</v>
          </cell>
          <cell r="BK425">
            <v>150</v>
          </cell>
          <cell r="BL425">
            <v>225</v>
          </cell>
          <cell r="BM425">
            <v>400</v>
          </cell>
        </row>
        <row r="426">
          <cell r="BA426">
            <v>10</v>
          </cell>
          <cell r="BB426">
            <v>15</v>
          </cell>
          <cell r="BC426">
            <v>30</v>
          </cell>
          <cell r="BD426">
            <v>30</v>
          </cell>
          <cell r="BE426">
            <v>40</v>
          </cell>
          <cell r="BF426">
            <v>60</v>
          </cell>
          <cell r="BG426">
            <v>70</v>
          </cell>
          <cell r="BH426">
            <v>150</v>
          </cell>
          <cell r="BI426">
            <v>175</v>
          </cell>
          <cell r="BJ426">
            <v>175</v>
          </cell>
          <cell r="BK426">
            <v>125</v>
          </cell>
          <cell r="BL426">
            <v>300</v>
          </cell>
          <cell r="BM426">
            <v>325</v>
          </cell>
        </row>
        <row r="427">
          <cell r="BA427">
            <v>10</v>
          </cell>
          <cell r="BB427">
            <v>45</v>
          </cell>
          <cell r="BC427">
            <v>35</v>
          </cell>
          <cell r="BD427">
            <v>30</v>
          </cell>
          <cell r="BE427">
            <v>55</v>
          </cell>
          <cell r="BF427">
            <v>50</v>
          </cell>
          <cell r="BG427">
            <v>40</v>
          </cell>
          <cell r="BH427">
            <v>150</v>
          </cell>
          <cell r="BI427">
            <v>180</v>
          </cell>
          <cell r="BJ427">
            <v>225</v>
          </cell>
          <cell r="BK427">
            <v>100</v>
          </cell>
          <cell r="BL427">
            <v>300</v>
          </cell>
          <cell r="BM427">
            <v>475</v>
          </cell>
        </row>
        <row r="428">
          <cell r="BA428">
            <v>15</v>
          </cell>
          <cell r="BB428">
            <v>55</v>
          </cell>
          <cell r="BC428">
            <v>35</v>
          </cell>
          <cell r="BD428">
            <v>30</v>
          </cell>
          <cell r="BE428">
            <v>60</v>
          </cell>
          <cell r="BF428">
            <v>50</v>
          </cell>
          <cell r="BG428">
            <v>45</v>
          </cell>
          <cell r="BH428">
            <v>200</v>
          </cell>
          <cell r="BI428">
            <v>190</v>
          </cell>
          <cell r="BJ428">
            <v>175</v>
          </cell>
          <cell r="BK428">
            <v>175</v>
          </cell>
          <cell r="BL428">
            <v>325</v>
          </cell>
          <cell r="BM428">
            <v>325</v>
          </cell>
        </row>
        <row r="429">
          <cell r="BA429">
            <v>20</v>
          </cell>
          <cell r="BB429">
            <v>65</v>
          </cell>
          <cell r="BC429">
            <v>7</v>
          </cell>
          <cell r="BD429">
            <v>30</v>
          </cell>
          <cell r="BE429">
            <v>60</v>
          </cell>
          <cell r="BF429">
            <v>65</v>
          </cell>
          <cell r="BG429">
            <v>60</v>
          </cell>
          <cell r="BH429">
            <v>125</v>
          </cell>
          <cell r="BI429">
            <v>200</v>
          </cell>
          <cell r="BJ429">
            <v>300</v>
          </cell>
          <cell r="BK429">
            <v>125</v>
          </cell>
          <cell r="BL429">
            <v>350</v>
          </cell>
          <cell r="BM429">
            <v>375</v>
          </cell>
        </row>
        <row r="430">
          <cell r="BA430">
            <v>15</v>
          </cell>
          <cell r="BB430">
            <v>75</v>
          </cell>
          <cell r="BC430">
            <v>15</v>
          </cell>
          <cell r="BD430">
            <v>30</v>
          </cell>
          <cell r="BE430">
            <v>50</v>
          </cell>
          <cell r="BF430">
            <v>60</v>
          </cell>
          <cell r="BG430">
            <v>125</v>
          </cell>
          <cell r="BH430">
            <v>175</v>
          </cell>
          <cell r="BI430">
            <v>225</v>
          </cell>
          <cell r="BJ430">
            <v>200</v>
          </cell>
          <cell r="BK430">
            <v>125</v>
          </cell>
          <cell r="BL430">
            <v>425</v>
          </cell>
          <cell r="BM430">
            <v>300</v>
          </cell>
        </row>
      </sheetData>
      <sheetData sheetId="6">
        <row r="2">
          <cell r="BN2" t="str">
            <v xml:space="preserve">24/25 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38">
          <cell r="BK338">
            <v>115.738</v>
          </cell>
        </row>
        <row r="354"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118.42897831700598</v>
          </cell>
          <cell r="BN354">
            <v>305.68705604539582</v>
          </cell>
        </row>
        <row r="355"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153.48099999999999</v>
          </cell>
          <cell r="BN355">
            <v>286.1257328193683</v>
          </cell>
        </row>
        <row r="356"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51.556572499689651</v>
          </cell>
          <cell r="BM356">
            <v>192.85144460311525</v>
          </cell>
          <cell r="BN356">
            <v>385.53581233031178</v>
          </cell>
        </row>
        <row r="357"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146.07996437261107</v>
          </cell>
          <cell r="BM357">
            <v>222.99070168894596</v>
          </cell>
          <cell r="BN357">
            <v>132.30799919897123</v>
          </cell>
        </row>
        <row r="358"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101.2013087028801</v>
          </cell>
          <cell r="BM358">
            <v>165.63675300765462</v>
          </cell>
        </row>
        <row r="359"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130.60040634938554</v>
          </cell>
          <cell r="BM359">
            <v>179.44746136889708</v>
          </cell>
        </row>
        <row r="360"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100.9321089743211</v>
          </cell>
          <cell r="BM360">
            <v>183.2167777601274</v>
          </cell>
        </row>
        <row r="361"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122.16582600942689</v>
          </cell>
          <cell r="BM361">
            <v>236.76362369430382</v>
          </cell>
        </row>
        <row r="362"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120.49615156397007</v>
          </cell>
          <cell r="BM362">
            <v>221.58517125267599</v>
          </cell>
        </row>
        <row r="363"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129.52873204713234</v>
          </cell>
          <cell r="BM363">
            <v>404.0496515421533</v>
          </cell>
        </row>
        <row r="364"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104.03873049476189</v>
          </cell>
          <cell r="BM364">
            <v>268.26246105254052</v>
          </cell>
        </row>
        <row r="365"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123.60631598724758</v>
          </cell>
          <cell r="BM365">
            <v>153.97948991647192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US Fat and Grease Balance Sheet"/>
    </sheetNames>
    <sheetDataSet>
      <sheetData sheetId="0"/>
      <sheetData sheetId="1"/>
      <sheetData sheetId="2">
        <row r="134">
          <cell r="S134">
            <v>2.9200218389999995</v>
          </cell>
        </row>
      </sheetData>
      <sheetData sheetId="3">
        <row r="39">
          <cell r="S39">
            <v>0</v>
          </cell>
        </row>
        <row r="119">
          <cell r="S119"/>
          <cell r="T119">
            <v>18.831926520020431</v>
          </cell>
          <cell r="U119">
            <v>8.9274193952319774</v>
          </cell>
          <cell r="V119">
            <v>36.086466032700365</v>
          </cell>
          <cell r="W119">
            <v>45.313600843338243</v>
          </cell>
          <cell r="X119">
            <v>44.460511471254563</v>
          </cell>
          <cell r="Z119">
            <v>43.385064679304456</v>
          </cell>
          <cell r="AA119">
            <v>25</v>
          </cell>
          <cell r="AB119">
            <v>100</v>
          </cell>
          <cell r="AC119">
            <v>75</v>
          </cell>
          <cell r="AD119">
            <v>100</v>
          </cell>
          <cell r="AE119">
            <v>175</v>
          </cell>
          <cell r="AF119">
            <v>250</v>
          </cell>
          <cell r="AG119">
            <v>350</v>
          </cell>
          <cell r="AH119">
            <v>278.00289324755357</v>
          </cell>
        </row>
        <row r="120">
          <cell r="S120"/>
          <cell r="T120">
            <v>12.081204163925806</v>
          </cell>
          <cell r="U120">
            <v>12.000210056831225</v>
          </cell>
          <cell r="V120">
            <v>36.756991981058562</v>
          </cell>
          <cell r="W120">
            <v>52.90878924623771</v>
          </cell>
          <cell r="X120">
            <v>42.096547358602727</v>
          </cell>
          <cell r="Z120">
            <v>51.458800117140107</v>
          </cell>
          <cell r="AA120">
            <v>100</v>
          </cell>
          <cell r="AB120">
            <v>100</v>
          </cell>
          <cell r="AC120">
            <v>100</v>
          </cell>
          <cell r="AD120">
            <v>100</v>
          </cell>
          <cell r="AE120">
            <v>175</v>
          </cell>
          <cell r="AF120">
            <v>275</v>
          </cell>
          <cell r="AG120">
            <v>350</v>
          </cell>
        </row>
        <row r="121">
          <cell r="S121"/>
          <cell r="T121">
            <v>18.077024092149479</v>
          </cell>
          <cell r="U121">
            <v>5.279573185131814</v>
          </cell>
          <cell r="V121">
            <v>43.515416090564848</v>
          </cell>
          <cell r="W121">
            <v>74.027488260093833</v>
          </cell>
          <cell r="X121">
            <v>44.40674602919654</v>
          </cell>
          <cell r="Z121">
            <v>57.211897197053112</v>
          </cell>
          <cell r="AA121">
            <v>100</v>
          </cell>
          <cell r="AB121">
            <v>125</v>
          </cell>
          <cell r="AC121">
            <v>125</v>
          </cell>
          <cell r="AD121">
            <v>150</v>
          </cell>
          <cell r="AE121">
            <v>175</v>
          </cell>
          <cell r="AF121">
            <v>300</v>
          </cell>
          <cell r="AG121">
            <v>250</v>
          </cell>
        </row>
        <row r="122">
          <cell r="R122"/>
          <cell r="S122"/>
          <cell r="T122">
            <v>12.095020959363737</v>
          </cell>
          <cell r="U122">
            <v>2.8566518403369416</v>
          </cell>
          <cell r="V122">
            <v>32.956814948287544</v>
          </cell>
          <cell r="W122">
            <v>59.128444301991131</v>
          </cell>
          <cell r="X122">
            <v>37.998271228483091</v>
          </cell>
          <cell r="Z122">
            <v>30.669966186349875</v>
          </cell>
          <cell r="AA122">
            <v>75</v>
          </cell>
          <cell r="AB122">
            <v>100</v>
          </cell>
          <cell r="AC122">
            <v>100</v>
          </cell>
          <cell r="AD122">
            <v>150</v>
          </cell>
          <cell r="AE122">
            <v>225</v>
          </cell>
          <cell r="AF122">
            <v>250</v>
          </cell>
          <cell r="AG122">
            <v>300</v>
          </cell>
        </row>
        <row r="123">
          <cell r="R123"/>
          <cell r="S123"/>
          <cell r="T123">
            <v>4.7882215594659057</v>
          </cell>
          <cell r="U123">
            <v>2.316631271005325</v>
          </cell>
          <cell r="V123">
            <v>38.426871855780128</v>
          </cell>
          <cell r="W123">
            <v>44.641014125582331</v>
          </cell>
          <cell r="X123">
            <v>22.529236612705784</v>
          </cell>
          <cell r="Z123">
            <v>46.356403517354352</v>
          </cell>
          <cell r="AA123">
            <v>100</v>
          </cell>
          <cell r="AB123">
            <v>75</v>
          </cell>
          <cell r="AC123">
            <v>75</v>
          </cell>
          <cell r="AD123">
            <v>100</v>
          </cell>
          <cell r="AE123">
            <v>175</v>
          </cell>
          <cell r="AF123">
            <v>250</v>
          </cell>
          <cell r="AG123">
            <v>250</v>
          </cell>
        </row>
        <row r="124">
          <cell r="R124"/>
          <cell r="S124"/>
          <cell r="T124">
            <v>15.359614337973317</v>
          </cell>
          <cell r="U124">
            <v>3.8525972755761946</v>
          </cell>
          <cell r="V124">
            <v>46.409055283339484</v>
          </cell>
          <cell r="W124">
            <v>52.546225574512761</v>
          </cell>
          <cell r="X124">
            <v>50.475190321607577</v>
          </cell>
          <cell r="Z124">
            <v>52.030300218285369</v>
          </cell>
          <cell r="AA124">
            <v>100</v>
          </cell>
          <cell r="AB124">
            <v>100</v>
          </cell>
          <cell r="AC124">
            <v>100</v>
          </cell>
          <cell r="AD124">
            <v>100</v>
          </cell>
          <cell r="AE124">
            <v>175</v>
          </cell>
          <cell r="AF124">
            <v>225</v>
          </cell>
          <cell r="AG124">
            <v>300</v>
          </cell>
        </row>
        <row r="125">
          <cell r="R125"/>
          <cell r="S125"/>
          <cell r="T125">
            <v>10.388865466941118</v>
          </cell>
          <cell r="U125">
            <v>3.3426295422573795</v>
          </cell>
          <cell r="V125">
            <v>41.650902884077595</v>
          </cell>
          <cell r="W125">
            <v>51.748586629882077</v>
          </cell>
          <cell r="X125">
            <v>56.439873544540376</v>
          </cell>
          <cell r="Z125">
            <v>56.586026074362167</v>
          </cell>
          <cell r="AA125">
            <v>100</v>
          </cell>
          <cell r="AB125">
            <v>75</v>
          </cell>
          <cell r="AC125">
            <v>100</v>
          </cell>
          <cell r="AD125">
            <v>100</v>
          </cell>
          <cell r="AE125">
            <v>225</v>
          </cell>
          <cell r="AF125">
            <v>250</v>
          </cell>
          <cell r="AG125">
            <v>294.2252865610605</v>
          </cell>
        </row>
        <row r="126">
          <cell r="R126"/>
          <cell r="S126"/>
          <cell r="T126">
            <v>10.962497545968748</v>
          </cell>
          <cell r="U126">
            <v>3.1562464567279007</v>
          </cell>
          <cell r="V126">
            <v>50.465205428757088</v>
          </cell>
          <cell r="W126">
            <v>52.517620695153198</v>
          </cell>
          <cell r="X126">
            <v>55.005584547757913</v>
          </cell>
          <cell r="Z126">
            <v>47.452443974608656</v>
          </cell>
          <cell r="AA126">
            <v>100</v>
          </cell>
          <cell r="AB126">
            <v>100</v>
          </cell>
          <cell r="AC126">
            <v>100</v>
          </cell>
          <cell r="AD126">
            <v>125</v>
          </cell>
          <cell r="AE126">
            <v>250</v>
          </cell>
          <cell r="AF126">
            <v>250</v>
          </cell>
          <cell r="AG126">
            <v>196.87942383997199</v>
          </cell>
        </row>
        <row r="127">
          <cell r="R127"/>
          <cell r="S127"/>
          <cell r="T127">
            <v>10.062864838853088</v>
          </cell>
          <cell r="U127">
            <v>5.2226278765239602</v>
          </cell>
          <cell r="V127">
            <v>48.606977035884682</v>
          </cell>
          <cell r="W127">
            <v>47.319918369208644</v>
          </cell>
          <cell r="X127">
            <v>50.084074392684897</v>
          </cell>
          <cell r="Z127">
            <v>25.714584129183852</v>
          </cell>
          <cell r="AA127">
            <v>100</v>
          </cell>
          <cell r="AB127">
            <v>125</v>
          </cell>
          <cell r="AC127">
            <v>100</v>
          </cell>
          <cell r="AD127">
            <v>150</v>
          </cell>
          <cell r="AE127">
            <v>300</v>
          </cell>
          <cell r="AF127">
            <v>325</v>
          </cell>
          <cell r="AG127">
            <v>189.14366479408429</v>
          </cell>
        </row>
        <row r="128">
          <cell r="R128"/>
          <cell r="S128"/>
          <cell r="T128">
            <v>18.688773157646359</v>
          </cell>
          <cell r="U128">
            <v>37.071595058845602</v>
          </cell>
          <cell r="V128">
            <v>41.180348278009902</v>
          </cell>
          <cell r="W128">
            <v>51.306905876423379</v>
          </cell>
          <cell r="X128">
            <v>43.385064679304456</v>
          </cell>
          <cell r="Z128">
            <v>12.930590088974176</v>
          </cell>
          <cell r="AA128">
            <v>100</v>
          </cell>
          <cell r="AB128">
            <v>100</v>
          </cell>
          <cell r="AC128">
            <v>100</v>
          </cell>
          <cell r="AD128">
            <v>150</v>
          </cell>
          <cell r="AE128">
            <v>275</v>
          </cell>
          <cell r="AF128">
            <v>250</v>
          </cell>
          <cell r="AG128">
            <v>215.09079118514842</v>
          </cell>
        </row>
        <row r="129">
          <cell r="R129"/>
          <cell r="S129"/>
          <cell r="T129">
            <v>13.867573467103288</v>
          </cell>
          <cell r="U129">
            <v>29.023821031014958</v>
          </cell>
          <cell r="V129">
            <v>5.0752334892742095</v>
          </cell>
          <cell r="W129">
            <v>49.977962330641034</v>
          </cell>
          <cell r="X129">
            <v>55.268834115372051</v>
          </cell>
          <cell r="Z129">
            <v>31.879968465929078</v>
          </cell>
          <cell r="AA129">
            <v>50</v>
          </cell>
          <cell r="AB129">
            <v>100</v>
          </cell>
          <cell r="AC129">
            <v>125</v>
          </cell>
          <cell r="AD129">
            <v>175</v>
          </cell>
          <cell r="AE129">
            <v>300</v>
          </cell>
          <cell r="AF129">
            <v>325</v>
          </cell>
          <cell r="AG129">
            <v>201.33132983936451</v>
          </cell>
        </row>
        <row r="130">
          <cell r="R130"/>
          <cell r="S130"/>
          <cell r="T130">
            <v>8.8111193273940582</v>
          </cell>
          <cell r="U130">
            <v>31.890890970180457</v>
          </cell>
          <cell r="V130">
            <v>17.380105191447168</v>
          </cell>
          <cell r="W130">
            <v>45.955723435975209</v>
          </cell>
          <cell r="X130">
            <v>43.377132826558281</v>
          </cell>
          <cell r="Z130">
            <v>67.395519207619245</v>
          </cell>
          <cell r="AA130">
            <v>100</v>
          </cell>
          <cell r="AB130">
            <v>125</v>
          </cell>
          <cell r="AC130">
            <v>100</v>
          </cell>
          <cell r="AD130">
            <v>200</v>
          </cell>
          <cell r="AE130">
            <v>300</v>
          </cell>
          <cell r="AF130">
            <v>275</v>
          </cell>
          <cell r="AG130">
            <v>278.06667403418078</v>
          </cell>
        </row>
        <row r="131">
          <cell r="R131"/>
        </row>
        <row r="132">
          <cell r="R132"/>
        </row>
        <row r="151">
          <cell r="S151"/>
          <cell r="T151"/>
          <cell r="U151"/>
          <cell r="V151"/>
          <cell r="W151"/>
          <cell r="X151"/>
          <cell r="Y151"/>
          <cell r="Z151">
            <v>0.36415179127325842</v>
          </cell>
          <cell r="AA151">
            <v>0.54855373870345925</v>
          </cell>
          <cell r="AB151">
            <v>0.53341252752175261</v>
          </cell>
          <cell r="AC151">
            <v>0.47984715079165219</v>
          </cell>
          <cell r="AD151">
            <v>0.60976698223962433</v>
          </cell>
          <cell r="AE151">
            <v>2.6678619081365396</v>
          </cell>
          <cell r="AF151">
            <v>1.6490059097773133</v>
          </cell>
          <cell r="AG151">
            <v>2.2767485897945545</v>
          </cell>
        </row>
        <row r="152">
          <cell r="S152"/>
          <cell r="T152"/>
          <cell r="U152"/>
          <cell r="V152"/>
          <cell r="W152"/>
          <cell r="X152"/>
          <cell r="Y152"/>
          <cell r="Z152">
            <v>0.15667624457690726</v>
          </cell>
          <cell r="AA152">
            <v>0.37629801450015199</v>
          </cell>
          <cell r="AB152">
            <v>0.22456013739782152</v>
          </cell>
          <cell r="AC152">
            <v>0.47929960102188635</v>
          </cell>
          <cell r="AD152">
            <v>0.6004960760238951</v>
          </cell>
          <cell r="AE152">
            <v>0.16453394083071346</v>
          </cell>
          <cell r="AF152">
            <v>0</v>
          </cell>
          <cell r="AG152">
            <v>1.2246676319487977</v>
          </cell>
        </row>
        <row r="153">
          <cell r="S153"/>
          <cell r="T153"/>
          <cell r="U153"/>
          <cell r="V153"/>
          <cell r="W153"/>
          <cell r="X153"/>
          <cell r="Y153"/>
          <cell r="Z153">
            <v>0.45729369086555122</v>
          </cell>
          <cell r="AA153">
            <v>0.67051551198445747</v>
          </cell>
          <cell r="AB153">
            <v>0.33824532327123691</v>
          </cell>
          <cell r="AC153">
            <v>0.4957541082891293</v>
          </cell>
          <cell r="AD153">
            <v>0.52202602196782499</v>
          </cell>
          <cell r="AE153">
            <v>0.12693221856556294</v>
          </cell>
          <cell r="AF153">
            <v>9.9732725740063449E-2</v>
          </cell>
          <cell r="AG153">
            <v>1.1094979261115343</v>
          </cell>
        </row>
        <row r="154">
          <cell r="R154"/>
          <cell r="S154"/>
          <cell r="T154"/>
          <cell r="U154"/>
          <cell r="V154"/>
          <cell r="W154"/>
          <cell r="X154"/>
          <cell r="Y154"/>
          <cell r="Z154">
            <v>0.31744224422202272</v>
          </cell>
          <cell r="AA154">
            <v>0.47936539118988752</v>
          </cell>
          <cell r="AB154">
            <v>9.812655562458257E-2</v>
          </cell>
          <cell r="AC154">
            <v>0.67143030138568172</v>
          </cell>
          <cell r="AD154">
            <v>0.68191187433821754</v>
          </cell>
          <cell r="AE154">
            <v>0.12946456692254774</v>
          </cell>
          <cell r="AF154">
            <v>0.63915761438580088</v>
          </cell>
          <cell r="AG154">
            <v>5.2702273774285056</v>
          </cell>
        </row>
        <row r="155">
          <cell r="R155"/>
          <cell r="S155"/>
          <cell r="T155"/>
          <cell r="U155"/>
          <cell r="V155"/>
          <cell r="W155"/>
          <cell r="X155"/>
          <cell r="Y155"/>
          <cell r="Z155">
            <v>0.54074741511848867</v>
          </cell>
          <cell r="AA155">
            <v>0.46207296755764066</v>
          </cell>
          <cell r="AB155">
            <v>0</v>
          </cell>
          <cell r="AC155">
            <v>0.52630464778362085</v>
          </cell>
          <cell r="AD155">
            <v>1.0139066868738926</v>
          </cell>
          <cell r="AE155">
            <v>2.0067774416601174</v>
          </cell>
          <cell r="AF155">
            <v>1.3576556376026356</v>
          </cell>
        </row>
        <row r="156">
          <cell r="R156"/>
          <cell r="S156"/>
          <cell r="T156"/>
          <cell r="U156"/>
          <cell r="V156"/>
          <cell r="W156"/>
          <cell r="X156"/>
          <cell r="Y156"/>
          <cell r="Z156">
            <v>0.23581982140518298</v>
          </cell>
          <cell r="AA156">
            <v>0.45303637699978372</v>
          </cell>
          <cell r="AB156">
            <v>0.66257485236424696</v>
          </cell>
          <cell r="AC156">
            <v>0.51591337881949195</v>
          </cell>
          <cell r="AD156">
            <v>0.93862466170377512</v>
          </cell>
          <cell r="AE156">
            <v>0.74568117154995917</v>
          </cell>
          <cell r="AF156">
            <v>3.0609971634533442</v>
          </cell>
        </row>
        <row r="157">
          <cell r="R157"/>
          <cell r="S157"/>
          <cell r="T157"/>
          <cell r="U157"/>
          <cell r="V157"/>
          <cell r="W157"/>
          <cell r="X157"/>
          <cell r="Y157"/>
          <cell r="Z157">
            <v>0.41950435403530739</v>
          </cell>
          <cell r="AA157">
            <v>0.60582593689530173</v>
          </cell>
          <cell r="AB157">
            <v>2.9125160273700641</v>
          </cell>
          <cell r="AC157">
            <v>0.65392649769890931</v>
          </cell>
          <cell r="AD157">
            <v>0.37683483737953793</v>
          </cell>
          <cell r="AE157">
            <v>1.3179069347579038</v>
          </cell>
          <cell r="AF157">
            <v>3.0950489829388785</v>
          </cell>
        </row>
        <row r="158">
          <cell r="R158"/>
          <cell r="S158"/>
          <cell r="T158"/>
          <cell r="U158"/>
          <cell r="V158"/>
          <cell r="W158"/>
          <cell r="X158"/>
          <cell r="Y158"/>
          <cell r="Z158">
            <v>0.14406844007428904</v>
          </cell>
          <cell r="AA158">
            <v>0.62630050143808325</v>
          </cell>
          <cell r="AB158">
            <v>0</v>
          </cell>
          <cell r="AC158">
            <v>0.50803944273436352</v>
          </cell>
          <cell r="AD158">
            <v>0.19757146308136264</v>
          </cell>
          <cell r="AE158">
            <v>2.2568586591387509</v>
          </cell>
          <cell r="AF158">
            <v>3.5227041969997632</v>
          </cell>
        </row>
        <row r="159">
          <cell r="R159"/>
          <cell r="S159"/>
          <cell r="T159"/>
          <cell r="U159"/>
          <cell r="V159"/>
          <cell r="W159"/>
          <cell r="X159"/>
          <cell r="Y159"/>
          <cell r="Z159">
            <v>0.3109523754712486</v>
          </cell>
          <cell r="AA159">
            <v>0.54992665662789342</v>
          </cell>
          <cell r="AB159">
            <v>1.1997746857495397</v>
          </cell>
          <cell r="AC159">
            <v>0.57525924787277449</v>
          </cell>
          <cell r="AD159">
            <v>1.1014410438218039</v>
          </cell>
          <cell r="AE159">
            <v>1.8426852120282931</v>
          </cell>
          <cell r="AF159">
            <v>3.0911004090010388</v>
          </cell>
        </row>
        <row r="160">
          <cell r="R160"/>
          <cell r="S160"/>
          <cell r="T160"/>
          <cell r="U160"/>
          <cell r="V160"/>
          <cell r="W160"/>
          <cell r="X160"/>
          <cell r="Y160"/>
          <cell r="Z160">
            <v>0.13053095303558962</v>
          </cell>
          <cell r="AA160">
            <v>0.36110156758219691</v>
          </cell>
          <cell r="AB160">
            <v>3.7391740607798467</v>
          </cell>
          <cell r="AC160">
            <v>1.6994145256767124</v>
          </cell>
          <cell r="AD160">
            <v>1.6454838005261112</v>
          </cell>
          <cell r="AE160">
            <v>2.7223969918743958</v>
          </cell>
          <cell r="AF160">
            <v>3.3898458508061116</v>
          </cell>
        </row>
        <row r="161">
          <cell r="R161"/>
          <cell r="S161"/>
          <cell r="T161"/>
          <cell r="U161"/>
          <cell r="V161"/>
          <cell r="W161"/>
          <cell r="X161"/>
          <cell r="Y161"/>
          <cell r="Z161">
            <v>0.16043705477714609</v>
          </cell>
          <cell r="AA161">
            <v>0.66932590357904886</v>
          </cell>
          <cell r="AB161">
            <v>0.1593000174543</v>
          </cell>
          <cell r="AC161">
            <v>1.2845542461581902</v>
          </cell>
          <cell r="AD161">
            <v>0.59663520859089902</v>
          </cell>
          <cell r="AE161">
            <v>2.9307803625982971</v>
          </cell>
          <cell r="AF161">
            <v>4.1592425556456281</v>
          </cell>
        </row>
        <row r="162">
          <cell r="R162"/>
          <cell r="T162"/>
          <cell r="U162"/>
          <cell r="V162"/>
          <cell r="W162"/>
          <cell r="X162"/>
          <cell r="Y162"/>
          <cell r="Z162">
            <v>0.35392681878538262</v>
          </cell>
          <cell r="AA162">
            <v>0.6786161787450985</v>
          </cell>
          <cell r="AB162">
            <v>0.94527209532198309</v>
          </cell>
          <cell r="AC162">
            <v>0.51147057560362663</v>
          </cell>
          <cell r="AD162">
            <v>0.61858171859598987</v>
          </cell>
          <cell r="AE162">
            <v>0.92993485861982306</v>
          </cell>
          <cell r="AF162">
            <v>9.3970577217692828</v>
          </cell>
        </row>
      </sheetData>
      <sheetData sheetId="4"/>
      <sheetData sheetId="5">
        <row r="31">
          <cell r="S31">
            <v>82.89025980480001</v>
          </cell>
        </row>
      </sheetData>
      <sheetData sheetId="6">
        <row r="18">
          <cell r="S18">
            <v>74.060748694799997</v>
          </cell>
        </row>
      </sheetData>
      <sheetData sheetId="7">
        <row r="66">
          <cell r="B66">
            <v>199.83863125699997</v>
          </cell>
        </row>
      </sheetData>
      <sheetData sheetId="8"/>
      <sheetData sheetId="9"/>
      <sheetData sheetId="10"/>
      <sheetData sheetId="11"/>
      <sheetData sheetId="12">
        <row r="102">
          <cell r="AD102">
            <v>36.393954469162871</v>
          </cell>
        </row>
        <row r="118">
          <cell r="S118"/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28.860490029874004</v>
          </cell>
          <cell r="Y118">
            <v>54.386776459977902</v>
          </cell>
          <cell r="Z118">
            <v>67.500721020744351</v>
          </cell>
          <cell r="AA118">
            <v>79.858667711728003</v>
          </cell>
          <cell r="AB118">
            <v>97.277860124849866</v>
          </cell>
          <cell r="AC118">
            <v>37.752600706340999</v>
          </cell>
          <cell r="AD118">
            <v>75</v>
          </cell>
          <cell r="AE118">
            <v>100</v>
          </cell>
          <cell r="AF118">
            <v>375</v>
          </cell>
          <cell r="AG118">
            <v>500</v>
          </cell>
        </row>
        <row r="119">
          <cell r="S119"/>
          <cell r="T119">
            <v>0</v>
          </cell>
          <cell r="U119">
            <v>0</v>
          </cell>
          <cell r="V119">
            <v>0</v>
          </cell>
          <cell r="W119">
            <v>13.037149147701001</v>
          </cell>
          <cell r="X119">
            <v>27.325978607343956</v>
          </cell>
          <cell r="Y119">
            <v>72.8316047794778</v>
          </cell>
          <cell r="Z119">
            <v>60.709112119902564</v>
          </cell>
          <cell r="AA119">
            <v>75.388793860610406</v>
          </cell>
          <cell r="AB119">
            <v>81.877285241507678</v>
          </cell>
          <cell r="AC119">
            <v>77.58484638926069</v>
          </cell>
          <cell r="AD119">
            <v>75</v>
          </cell>
          <cell r="AE119">
            <v>100</v>
          </cell>
          <cell r="AF119">
            <v>400</v>
          </cell>
          <cell r="AG119">
            <v>600</v>
          </cell>
        </row>
        <row r="120">
          <cell r="S120"/>
          <cell r="T120">
            <v>0</v>
          </cell>
          <cell r="U120">
            <v>0</v>
          </cell>
          <cell r="V120">
            <v>0</v>
          </cell>
          <cell r="W120">
            <v>31.503501753338767</v>
          </cell>
          <cell r="X120">
            <v>28.825589464110816</v>
          </cell>
          <cell r="Y120">
            <v>72.526709054455978</v>
          </cell>
          <cell r="Z120">
            <v>67.496394661781878</v>
          </cell>
          <cell r="AA120">
            <v>92.101193552873127</v>
          </cell>
          <cell r="AB120">
            <v>110.5976298761133</v>
          </cell>
          <cell r="AC120">
            <v>89.375390455784185</v>
          </cell>
          <cell r="AD120">
            <v>50</v>
          </cell>
          <cell r="AE120">
            <v>100</v>
          </cell>
          <cell r="AF120">
            <v>675</v>
          </cell>
          <cell r="AG120">
            <v>600</v>
          </cell>
        </row>
        <row r="121">
          <cell r="R121"/>
          <cell r="S121"/>
          <cell r="T121">
            <v>0</v>
          </cell>
          <cell r="U121">
            <v>0</v>
          </cell>
          <cell r="V121">
            <v>0</v>
          </cell>
          <cell r="W121">
            <v>38.381831895093647</v>
          </cell>
          <cell r="X121">
            <v>28.678806735619354</v>
          </cell>
          <cell r="Y121">
            <v>49.110513653275483</v>
          </cell>
          <cell r="Z121">
            <v>36.183245852647666</v>
          </cell>
          <cell r="AA121">
            <v>68.619732100248754</v>
          </cell>
          <cell r="AB121">
            <v>90.45039095069238</v>
          </cell>
          <cell r="AC121">
            <v>51.040208645626954</v>
          </cell>
          <cell r="AD121">
            <v>75</v>
          </cell>
          <cell r="AE121">
            <v>125</v>
          </cell>
          <cell r="AF121">
            <v>525</v>
          </cell>
          <cell r="AG121">
            <v>600</v>
          </cell>
        </row>
        <row r="122">
          <cell r="R122"/>
          <cell r="S122"/>
          <cell r="T122">
            <v>0</v>
          </cell>
          <cell r="U122">
            <v>0</v>
          </cell>
          <cell r="V122">
            <v>0</v>
          </cell>
          <cell r="W122">
            <v>28.977659061070604</v>
          </cell>
          <cell r="X122">
            <v>19.332084556775225</v>
          </cell>
          <cell r="Y122">
            <v>55.957853241346854</v>
          </cell>
          <cell r="Z122">
            <v>54.689500963959077</v>
          </cell>
          <cell r="AA122">
            <v>77.402048006572869</v>
          </cell>
          <cell r="AB122">
            <v>81.074456440409037</v>
          </cell>
          <cell r="AC122">
            <v>58.726461272240613</v>
          </cell>
          <cell r="AD122">
            <v>75</v>
          </cell>
          <cell r="AE122">
            <v>125</v>
          </cell>
          <cell r="AF122">
            <v>625</v>
          </cell>
        </row>
        <row r="123">
          <cell r="R123"/>
          <cell r="S123"/>
          <cell r="T123">
            <v>0</v>
          </cell>
          <cell r="U123">
            <v>0</v>
          </cell>
          <cell r="V123">
            <v>0</v>
          </cell>
          <cell r="W123">
            <v>34.109140203688796</v>
          </cell>
          <cell r="X123">
            <v>59.54868713480213</v>
          </cell>
          <cell r="Y123">
            <v>41.771794577469485</v>
          </cell>
          <cell r="Z123">
            <v>61.383345946536373</v>
          </cell>
          <cell r="AA123">
            <v>67.293909184690293</v>
          </cell>
          <cell r="AB123">
            <v>100.17310005409709</v>
          </cell>
          <cell r="AC123">
            <v>69.295226688505878</v>
          </cell>
          <cell r="AD123">
            <v>75</v>
          </cell>
          <cell r="AE123">
            <v>125</v>
          </cell>
          <cell r="AF123">
            <v>475</v>
          </cell>
        </row>
        <row r="124">
          <cell r="R124"/>
          <cell r="S124"/>
          <cell r="T124">
            <v>0</v>
          </cell>
          <cell r="U124">
            <v>0</v>
          </cell>
          <cell r="V124">
            <v>0</v>
          </cell>
          <cell r="W124">
            <v>33.591371737983302</v>
          </cell>
          <cell r="X124">
            <v>66.585590865872902</v>
          </cell>
          <cell r="Y124">
            <v>53.793041323555798</v>
          </cell>
          <cell r="Z124">
            <v>66.758015996256063</v>
          </cell>
          <cell r="AA124">
            <v>72.911270586895313</v>
          </cell>
          <cell r="AB124">
            <v>87.864616449569837</v>
          </cell>
          <cell r="AC124">
            <v>72.128994248112278</v>
          </cell>
          <cell r="AD124">
            <v>75</v>
          </cell>
          <cell r="AE124">
            <v>125</v>
          </cell>
          <cell r="AF124">
            <v>400</v>
          </cell>
        </row>
        <row r="125">
          <cell r="R125"/>
          <cell r="S125"/>
          <cell r="T125">
            <v>0</v>
          </cell>
          <cell r="U125">
            <v>0</v>
          </cell>
          <cell r="V125">
            <v>0</v>
          </cell>
          <cell r="W125">
            <v>34.090572022436625</v>
          </cell>
          <cell r="X125">
            <v>64.89347190235658</v>
          </cell>
          <cell r="Y125">
            <v>64.761071631144176</v>
          </cell>
          <cell r="Z125">
            <v>56.430429612878129</v>
          </cell>
          <cell r="AA125">
            <v>75.682872309464642</v>
          </cell>
          <cell r="AB125">
            <v>100.69880138627509</v>
          </cell>
          <cell r="AC125">
            <v>103.07605204529671</v>
          </cell>
          <cell r="AD125">
            <v>100</v>
          </cell>
          <cell r="AE125">
            <v>125</v>
          </cell>
          <cell r="AF125">
            <v>350</v>
          </cell>
        </row>
        <row r="126">
          <cell r="R126"/>
          <cell r="S126"/>
          <cell r="T126">
            <v>0</v>
          </cell>
          <cell r="U126">
            <v>0</v>
          </cell>
          <cell r="V126">
            <v>0</v>
          </cell>
          <cell r="W126">
            <v>30.716606424826217</v>
          </cell>
          <cell r="X126">
            <v>59.087263612940056</v>
          </cell>
          <cell r="Y126">
            <v>46.915910438390988</v>
          </cell>
          <cell r="Z126">
            <v>30.817430434859904</v>
          </cell>
          <cell r="AA126">
            <v>76.374437000957158</v>
          </cell>
          <cell r="AB126">
            <v>127.8199417270128</v>
          </cell>
          <cell r="AC126">
            <v>110.22639911128921</v>
          </cell>
          <cell r="AD126">
            <v>100</v>
          </cell>
          <cell r="AE126">
            <v>150</v>
          </cell>
          <cell r="AF126">
            <v>475</v>
          </cell>
        </row>
        <row r="127">
          <cell r="R127"/>
          <cell r="S127"/>
          <cell r="T127">
            <v>0</v>
          </cell>
          <cell r="U127">
            <v>0</v>
          </cell>
          <cell r="V127">
            <v>0</v>
          </cell>
          <cell r="W127">
            <v>33.3046651176642</v>
          </cell>
          <cell r="X127">
            <v>51.184029747087301</v>
          </cell>
          <cell r="Y127">
            <v>51.616293051080817</v>
          </cell>
          <cell r="Z127">
            <v>34.697875923006812</v>
          </cell>
          <cell r="AA127">
            <v>88.219588524448284</v>
          </cell>
          <cell r="AB127">
            <v>96.80553445978569</v>
          </cell>
          <cell r="AC127">
            <v>112.21608377214092</v>
          </cell>
          <cell r="AD127">
            <v>100</v>
          </cell>
          <cell r="AE127">
            <v>150</v>
          </cell>
          <cell r="AF127">
            <v>575</v>
          </cell>
        </row>
        <row r="128">
          <cell r="R128"/>
          <cell r="S128"/>
          <cell r="T128">
            <v>0</v>
          </cell>
          <cell r="U128">
            <v>0</v>
          </cell>
          <cell r="V128">
            <v>0</v>
          </cell>
          <cell r="W128">
            <v>32.442012829507014</v>
          </cell>
          <cell r="X128">
            <v>65.204043611751729</v>
          </cell>
          <cell r="Y128">
            <v>65.4216696535388</v>
          </cell>
          <cell r="Z128">
            <v>34.750786316440831</v>
          </cell>
          <cell r="AA128">
            <v>54.649417553245236</v>
          </cell>
          <cell r="AB128">
            <v>80.260257719563043</v>
          </cell>
          <cell r="AC128">
            <v>80.611634529624979</v>
          </cell>
          <cell r="AD128">
            <v>100</v>
          </cell>
          <cell r="AE128">
            <v>325</v>
          </cell>
          <cell r="AF128">
            <v>475</v>
          </cell>
        </row>
        <row r="129">
          <cell r="R129"/>
          <cell r="S129"/>
          <cell r="T129">
            <v>0</v>
          </cell>
          <cell r="U129">
            <v>0</v>
          </cell>
          <cell r="V129">
            <v>0</v>
          </cell>
          <cell r="W129">
            <v>29.831071531804508</v>
          </cell>
          <cell r="X129">
            <v>51.17467205245412</v>
          </cell>
          <cell r="Y129">
            <v>58.225950948197124</v>
          </cell>
          <cell r="Z129">
            <v>67.371270080021532</v>
          </cell>
          <cell r="AA129">
            <v>77.229949419772993</v>
          </cell>
          <cell r="AB129">
            <v>83.001945297577933</v>
          </cell>
          <cell r="AC129">
            <v>74.852014713039011</v>
          </cell>
          <cell r="AD129">
            <v>75</v>
          </cell>
          <cell r="AE129">
            <v>375</v>
          </cell>
          <cell r="AF129">
            <v>400</v>
          </cell>
        </row>
        <row r="150">
          <cell r="S150"/>
          <cell r="T150"/>
          <cell r="U150"/>
          <cell r="V150"/>
          <cell r="W150"/>
        </row>
        <row r="151">
          <cell r="S151"/>
          <cell r="T151"/>
          <cell r="U151"/>
          <cell r="V151"/>
          <cell r="W151"/>
        </row>
        <row r="152">
          <cell r="S152"/>
          <cell r="T152"/>
          <cell r="U152"/>
          <cell r="V152"/>
          <cell r="W152"/>
        </row>
        <row r="153">
          <cell r="R153"/>
          <cell r="S153"/>
          <cell r="T153"/>
          <cell r="U153"/>
          <cell r="V153"/>
        </row>
        <row r="154">
          <cell r="R154"/>
          <cell r="S154"/>
          <cell r="T154"/>
          <cell r="U154"/>
          <cell r="V154"/>
        </row>
        <row r="155">
          <cell r="R155"/>
          <cell r="S155"/>
          <cell r="T155"/>
          <cell r="U155"/>
          <cell r="V155"/>
        </row>
        <row r="156">
          <cell r="R156"/>
          <cell r="S156"/>
          <cell r="T156"/>
          <cell r="U156"/>
          <cell r="V156"/>
        </row>
        <row r="157">
          <cell r="R157"/>
          <cell r="S157"/>
          <cell r="T157"/>
          <cell r="U157"/>
          <cell r="V157"/>
        </row>
        <row r="158">
          <cell r="R158"/>
          <cell r="S158"/>
          <cell r="T158"/>
          <cell r="U158"/>
          <cell r="V158"/>
        </row>
        <row r="159">
          <cell r="R159"/>
          <cell r="S159"/>
          <cell r="T159"/>
          <cell r="U159"/>
          <cell r="V159"/>
        </row>
        <row r="160">
          <cell r="R160"/>
          <cell r="S160"/>
          <cell r="T160"/>
          <cell r="U160"/>
          <cell r="V160"/>
        </row>
        <row r="161">
          <cell r="R161"/>
          <cell r="S161"/>
          <cell r="T161"/>
          <cell r="U161"/>
          <cell r="V161"/>
        </row>
      </sheetData>
      <sheetData sheetId="13"/>
      <sheetData sheetId="14"/>
      <sheetData sheetId="15">
        <row r="103">
          <cell r="AD103">
            <v>46.165559674440175</v>
          </cell>
        </row>
        <row r="119">
          <cell r="S119">
            <v>0</v>
          </cell>
          <cell r="T119">
            <v>8.8824043025948303</v>
          </cell>
          <cell r="U119">
            <v>4.2107719761425146</v>
          </cell>
          <cell r="V119">
            <v>17.020806703633642</v>
          </cell>
          <cell r="W119">
            <v>21.372944646371508</v>
          </cell>
          <cell r="X119">
            <v>12.240490621491988</v>
          </cell>
          <cell r="Y119">
            <v>12.287952426892769</v>
          </cell>
          <cell r="Z119">
            <v>15.250869837712099</v>
          </cell>
          <cell r="AA119">
            <v>26.774014316896825</v>
          </cell>
          <cell r="AB119">
            <v>23.160976922762881</v>
          </cell>
          <cell r="AC119">
            <v>14.749481696811479</v>
          </cell>
          <cell r="AD119">
            <v>50</v>
          </cell>
          <cell r="AE119">
            <v>75</v>
          </cell>
          <cell r="AF119">
            <v>125</v>
          </cell>
          <cell r="AG119">
            <v>100</v>
          </cell>
        </row>
        <row r="120">
          <cell r="S120">
            <v>0</v>
          </cell>
          <cell r="T120">
            <v>5.6983091842514657</v>
          </cell>
          <cell r="U120">
            <v>5.6601069108634032</v>
          </cell>
          <cell r="V120">
            <v>17.337071880346528</v>
          </cell>
          <cell r="W120">
            <v>21.011707926349015</v>
          </cell>
          <cell r="X120">
            <v>11.589664088172265</v>
          </cell>
          <cell r="Y120">
            <v>16.455310517678047</v>
          </cell>
          <cell r="Z120">
            <v>13.716398179201171</v>
          </cell>
          <cell r="AA120">
            <v>29.759923597743516</v>
          </cell>
          <cell r="AB120">
            <v>19.494239609538901</v>
          </cell>
          <cell r="AC120">
            <v>30.311455379446894</v>
          </cell>
          <cell r="AD120">
            <v>50</v>
          </cell>
          <cell r="AE120">
            <v>75</v>
          </cell>
          <cell r="AF120">
            <v>125</v>
          </cell>
          <cell r="AG120">
            <v>75</v>
          </cell>
        </row>
        <row r="121">
          <cell r="S121">
            <v>0</v>
          </cell>
          <cell r="T121">
            <v>8.526341497961873</v>
          </cell>
          <cell r="U121">
            <v>2.4902021323003884</v>
          </cell>
          <cell r="V121">
            <v>20.524799664076969</v>
          </cell>
          <cell r="W121">
            <v>25.386776280576132</v>
          </cell>
          <cell r="X121">
            <v>12.225688376364936</v>
          </cell>
          <cell r="Y121">
            <v>16.3864234754944</v>
          </cell>
          <cell r="Z121">
            <v>15.249892355747313</v>
          </cell>
          <cell r="AA121">
            <v>36.35718709682908</v>
          </cell>
          <cell r="AB121">
            <v>26.33229339117192</v>
          </cell>
          <cell r="AC121">
            <v>30.838368458826825</v>
          </cell>
          <cell r="AD121">
            <v>75</v>
          </cell>
          <cell r="AE121">
            <v>50</v>
          </cell>
          <cell r="AF121">
            <v>125</v>
          </cell>
          <cell r="AG121">
            <v>75</v>
          </cell>
        </row>
        <row r="122">
          <cell r="R122">
            <v>0</v>
          </cell>
          <cell r="S122">
            <v>0</v>
          </cell>
          <cell r="T122">
            <v>5.7048261151196629</v>
          </cell>
          <cell r="U122">
            <v>1.3473893162576318</v>
          </cell>
          <cell r="V122">
            <v>15.544652565699014</v>
          </cell>
          <cell r="W122">
            <v>16.278741381773653</v>
          </cell>
          <cell r="X122">
            <v>10.347996065878531</v>
          </cell>
          <cell r="Y122">
            <v>11.095852608138969</v>
          </cell>
          <cell r="Z122">
            <v>8.1751122722834051</v>
          </cell>
          <cell r="AA122">
            <v>16.337736352138798</v>
          </cell>
          <cell r="AB122">
            <v>19.971992887716258</v>
          </cell>
          <cell r="AC122">
            <v>20.786729519783734</v>
          </cell>
          <cell r="AD122">
            <v>75</v>
          </cell>
          <cell r="AE122">
            <v>50</v>
          </cell>
          <cell r="AF122">
            <v>100</v>
          </cell>
          <cell r="AG122">
            <v>75</v>
          </cell>
        </row>
        <row r="123">
          <cell r="R123">
            <v>0</v>
          </cell>
          <cell r="S123">
            <v>0</v>
          </cell>
          <cell r="T123">
            <v>2.2584476280938217</v>
          </cell>
          <cell r="U123">
            <v>1.0926792618496848</v>
          </cell>
          <cell r="V123">
            <v>18.124699644732438</v>
          </cell>
          <cell r="W123">
            <v>12.290185080110216</v>
          </cell>
          <cell r="X123">
            <v>6.0695702336788457</v>
          </cell>
          <cell r="Y123">
            <v>12.642915857436659</v>
          </cell>
          <cell r="Z123">
            <v>12.356348911213049</v>
          </cell>
          <cell r="AA123">
            <v>18.428726180386725</v>
          </cell>
          <cell r="AB123">
            <v>16.457847927105902</v>
          </cell>
          <cell r="AC123">
            <v>10.984261722250752</v>
          </cell>
          <cell r="AD123">
            <v>25</v>
          </cell>
          <cell r="AE123">
            <v>50</v>
          </cell>
          <cell r="AF123">
            <v>100</v>
          </cell>
        </row>
        <row r="124">
          <cell r="R124">
            <v>0</v>
          </cell>
          <cell r="S124">
            <v>0</v>
          </cell>
          <cell r="T124">
            <v>7.2446281232443672</v>
          </cell>
          <cell r="U124">
            <v>1.817144230058624</v>
          </cell>
          <cell r="V124">
            <v>21.889634705714048</v>
          </cell>
          <cell r="W124">
            <v>14.466580793958567</v>
          </cell>
          <cell r="X124">
            <v>13.454215936751391</v>
          </cell>
          <cell r="Y124">
            <v>9.437768846837276</v>
          </cell>
          <cell r="Z124">
            <v>13.868732142078613</v>
          </cell>
          <cell r="AA124">
            <v>16.022069931110323</v>
          </cell>
          <cell r="AB124">
            <v>20.334809747245913</v>
          </cell>
          <cell r="AC124">
            <v>22.026843396563571</v>
          </cell>
          <cell r="AD124">
            <v>50</v>
          </cell>
          <cell r="AE124">
            <v>100</v>
          </cell>
          <cell r="AF124">
            <v>125</v>
          </cell>
        </row>
        <row r="125">
          <cell r="R125">
            <v>0</v>
          </cell>
          <cell r="S125">
            <v>0</v>
          </cell>
          <cell r="T125">
            <v>4.9000883273697333</v>
          </cell>
          <cell r="U125">
            <v>1.5766091162560103</v>
          </cell>
          <cell r="V125">
            <v>19.645369717813068</v>
          </cell>
          <cell r="W125">
            <v>14.246981610368405</v>
          </cell>
          <cell r="X125">
            <v>15.044108625898959</v>
          </cell>
          <cell r="Y125">
            <v>12.15380604820643</v>
          </cell>
          <cell r="Z125">
            <v>15.08306573895581</v>
          </cell>
          <cell r="AA125">
            <v>17.359512774079008</v>
          </cell>
          <cell r="AB125">
            <v>17.836228069729785</v>
          </cell>
          <cell r="AC125">
            <v>22.927611851197486</v>
          </cell>
          <cell r="AD125">
            <v>75</v>
          </cell>
          <cell r="AE125">
            <v>100</v>
          </cell>
          <cell r="AF125">
            <v>150</v>
          </cell>
        </row>
        <row r="126">
          <cell r="R126">
            <v>0</v>
          </cell>
          <cell r="S126">
            <v>0</v>
          </cell>
          <cell r="T126">
            <v>5.1706518324601261</v>
          </cell>
          <cell r="U126">
            <v>1.4886983059054109</v>
          </cell>
          <cell r="V126">
            <v>23.802788172265959</v>
          </cell>
          <cell r="W126">
            <v>14.458705541381773</v>
          </cell>
          <cell r="X126">
            <v>14.661797360592907</v>
          </cell>
          <cell r="Y126">
            <v>14.631883320087802</v>
          </cell>
          <cell r="Z126">
            <v>12.515748830597143</v>
          </cell>
          <cell r="AA126">
            <v>18.019406026799928</v>
          </cell>
          <cell r="AB126">
            <v>20.441525388150914</v>
          </cell>
          <cell r="AC126">
            <v>22.214094747103474</v>
          </cell>
          <cell r="AD126">
            <v>75</v>
          </cell>
          <cell r="AE126">
            <v>100</v>
          </cell>
          <cell r="AF126">
            <v>100</v>
          </cell>
        </row>
        <row r="127">
          <cell r="R127">
            <v>0</v>
          </cell>
          <cell r="S127">
            <v>0</v>
          </cell>
          <cell r="T127">
            <v>4.7463244849662853</v>
          </cell>
          <cell r="U127">
            <v>2.4633428912315978</v>
          </cell>
          <cell r="V127">
            <v>22.926322567193292</v>
          </cell>
          <cell r="W127">
            <v>13.027718256964997</v>
          </cell>
          <cell r="X127">
            <v>13.349963567805368</v>
          </cell>
          <cell r="Y127">
            <v>10.600011860521741</v>
          </cell>
          <cell r="Z127">
            <v>6.7118682947690012</v>
          </cell>
          <cell r="AA127">
            <v>18.18406131259362</v>
          </cell>
          <cell r="AB127">
            <v>25.947027650329339</v>
          </cell>
          <cell r="AC127">
            <v>25.939171000907059</v>
          </cell>
          <cell r="AD127">
            <v>100</v>
          </cell>
          <cell r="AE127">
            <v>100</v>
          </cell>
          <cell r="AF127">
            <v>125</v>
          </cell>
        </row>
        <row r="128">
          <cell r="R128">
            <v>0</v>
          </cell>
          <cell r="S128">
            <v>0</v>
          </cell>
          <cell r="T128">
            <v>8.8148835398873828</v>
          </cell>
          <cell r="U128">
            <v>17.485459870750717</v>
          </cell>
          <cell r="V128">
            <v>19.423424488093847</v>
          </cell>
          <cell r="W128">
            <v>14.125381814470867</v>
          </cell>
          <cell r="X128">
            <v>11.564335367655078</v>
          </cell>
          <cell r="Y128">
            <v>11.661999381981659</v>
          </cell>
          <cell r="Z128">
            <v>0</v>
          </cell>
          <cell r="AA128">
            <v>21.004284544581896</v>
          </cell>
          <cell r="AB128">
            <v>19.651205010697758</v>
          </cell>
          <cell r="AC128">
            <v>41.370437561614104</v>
          </cell>
          <cell r="AD128">
            <v>75</v>
          </cell>
          <cell r="AE128">
            <v>100</v>
          </cell>
          <cell r="AF128">
            <v>125</v>
          </cell>
        </row>
        <row r="129">
          <cell r="R129">
            <v>0</v>
          </cell>
          <cell r="S129">
            <v>0</v>
          </cell>
          <cell r="T129">
            <v>6.5408812051064924</v>
          </cell>
          <cell r="U129">
            <v>13.689587867155181</v>
          </cell>
          <cell r="V129">
            <v>2.3938217756891342</v>
          </cell>
          <cell r="W129">
            <v>13.759508357995713</v>
          </cell>
          <cell r="X129">
            <v>14.73196681424667</v>
          </cell>
          <cell r="Y129">
            <v>14.781136458457897</v>
          </cell>
          <cell r="Z129">
            <v>8.9285023063293796</v>
          </cell>
          <cell r="AA129">
            <v>13.011531063375138</v>
          </cell>
          <cell r="AB129">
            <v>16.292568265441115</v>
          </cell>
          <cell r="AC129">
            <v>45.632908645469719</v>
          </cell>
          <cell r="AD129">
            <v>75</v>
          </cell>
          <cell r="AE129">
            <v>150</v>
          </cell>
          <cell r="AF129">
            <v>125</v>
          </cell>
        </row>
        <row r="130">
          <cell r="R130">
            <v>0</v>
          </cell>
          <cell r="S130">
            <v>0</v>
          </cell>
          <cell r="T130">
            <v>4.1559170348885024</v>
          </cell>
          <cell r="U130">
            <v>15.041891060161495</v>
          </cell>
          <cell r="V130">
            <v>8.1976276281633229</v>
          </cell>
          <cell r="W130">
            <v>12.652139687723238</v>
          </cell>
          <cell r="X130">
            <v>11.562221123826664</v>
          </cell>
          <cell r="Y130">
            <v>13.155361685915388</v>
          </cell>
          <cell r="Z130">
            <v>19.946238833301759</v>
          </cell>
          <cell r="AA130">
            <v>18.387751066499593</v>
          </cell>
          <cell r="AB130">
            <v>16.849121823783744</v>
          </cell>
          <cell r="AC130">
            <v>13.049667802948235</v>
          </cell>
          <cell r="AD130">
            <v>75</v>
          </cell>
          <cell r="AE130">
            <v>150</v>
          </cell>
          <cell r="AF130">
            <v>100</v>
          </cell>
        </row>
        <row r="151">
          <cell r="S151"/>
          <cell r="T151"/>
          <cell r="U151"/>
          <cell r="V151"/>
          <cell r="W151"/>
        </row>
        <row r="152">
          <cell r="S152"/>
          <cell r="T152"/>
          <cell r="U152"/>
          <cell r="V152"/>
          <cell r="W152"/>
        </row>
        <row r="153">
          <cell r="S153"/>
          <cell r="T153"/>
          <cell r="U153"/>
          <cell r="V153"/>
          <cell r="W153"/>
        </row>
        <row r="154">
          <cell r="R154"/>
          <cell r="S154"/>
          <cell r="T154"/>
          <cell r="U154"/>
          <cell r="V154"/>
        </row>
        <row r="155">
          <cell r="R155"/>
          <cell r="S155"/>
          <cell r="T155"/>
          <cell r="U155"/>
          <cell r="V155"/>
        </row>
        <row r="156">
          <cell r="R156"/>
          <cell r="S156"/>
          <cell r="T156"/>
          <cell r="U156"/>
          <cell r="V156"/>
        </row>
        <row r="157">
          <cell r="R157"/>
          <cell r="S157"/>
          <cell r="T157"/>
          <cell r="U157"/>
          <cell r="V157"/>
        </row>
        <row r="158">
          <cell r="R158"/>
          <cell r="S158"/>
          <cell r="T158"/>
          <cell r="U158"/>
          <cell r="V158"/>
        </row>
        <row r="159">
          <cell r="R159"/>
          <cell r="S159"/>
          <cell r="T159"/>
          <cell r="U159"/>
          <cell r="V159"/>
        </row>
        <row r="160">
          <cell r="R160"/>
          <cell r="S160"/>
          <cell r="T160"/>
          <cell r="U160"/>
          <cell r="V160"/>
        </row>
        <row r="161">
          <cell r="R161"/>
          <cell r="S161"/>
          <cell r="T161"/>
          <cell r="U161"/>
          <cell r="V161"/>
        </row>
        <row r="162">
          <cell r="R162"/>
          <cell r="S162"/>
          <cell r="T162"/>
          <cell r="U162"/>
          <cell r="V162"/>
        </row>
      </sheetData>
      <sheetData sheetId="16">
        <row r="103">
          <cell r="AD103">
            <v>64.256</v>
          </cell>
        </row>
        <row r="119">
          <cell r="S119">
            <v>0</v>
          </cell>
          <cell r="T119">
            <v>16.418696268764279</v>
          </cell>
          <cell r="U119">
            <v>7.7834090611155435</v>
          </cell>
          <cell r="V119">
            <v>31.462140879431576</v>
          </cell>
          <cell r="W119">
            <v>39.506858116711904</v>
          </cell>
          <cell r="X119">
            <v>22.6259569873693</v>
          </cell>
          <cell r="Y119">
            <v>22.713687847246391</v>
          </cell>
          <cell r="Z119">
            <v>28.190497884306364</v>
          </cell>
          <cell r="AA119">
            <v>23.03072208886811</v>
          </cell>
          <cell r="AB119">
            <v>9.5494481735205383</v>
          </cell>
          <cell r="AC119">
            <v>9.8972166087740145</v>
          </cell>
          <cell r="AD119">
            <v>275</v>
          </cell>
          <cell r="AE119">
            <v>550</v>
          </cell>
          <cell r="AF119">
            <v>500</v>
          </cell>
          <cell r="AG119">
            <v>850</v>
          </cell>
        </row>
        <row r="120">
          <cell r="S120">
            <v>0</v>
          </cell>
          <cell r="T120">
            <v>10.533049898933701</v>
          </cell>
          <cell r="U120">
            <v>10.462434837721991</v>
          </cell>
          <cell r="V120">
            <v>32.046741816288161</v>
          </cell>
          <cell r="W120">
            <v>38.839129449436385</v>
          </cell>
          <cell r="X120">
            <v>21.422935506900579</v>
          </cell>
          <cell r="Y120">
            <v>30.416848433597153</v>
          </cell>
          <cell r="Z120">
            <v>25.354100976910701</v>
          </cell>
          <cell r="AA120">
            <v>30.031044903409331</v>
          </cell>
          <cell r="AB120">
            <v>8.0376242959995139</v>
          </cell>
          <cell r="AC120">
            <v>20.339632658578616</v>
          </cell>
          <cell r="AD120">
            <v>325</v>
          </cell>
          <cell r="AE120">
            <v>900</v>
          </cell>
          <cell r="AF120">
            <v>500</v>
          </cell>
          <cell r="AG120">
            <v>525</v>
          </cell>
        </row>
        <row r="121">
          <cell r="S121">
            <v>0</v>
          </cell>
          <cell r="T121">
            <v>15.760531334731153</v>
          </cell>
          <cell r="U121">
            <v>4.6030186270765894</v>
          </cell>
          <cell r="V121">
            <v>37.939102993011623</v>
          </cell>
          <cell r="W121">
            <v>46.926232447230888</v>
          </cell>
          <cell r="X121">
            <v>22.598595750641326</v>
          </cell>
          <cell r="Y121">
            <v>30.289514056109237</v>
          </cell>
          <cell r="Z121">
            <v>28.188691056003883</v>
          </cell>
          <cell r="AA121">
            <v>36.688411335481895</v>
          </cell>
          <cell r="AB121">
            <v>10.857006242331554</v>
          </cell>
          <cell r="AC121">
            <v>23.43064006941583</v>
          </cell>
          <cell r="AD121">
            <v>475</v>
          </cell>
          <cell r="AE121">
            <v>725</v>
          </cell>
          <cell r="AF121">
            <v>625</v>
          </cell>
          <cell r="AG121">
            <v>900</v>
          </cell>
        </row>
        <row r="122">
          <cell r="R122">
            <v>0</v>
          </cell>
          <cell r="S122">
            <v>0</v>
          </cell>
          <cell r="T122">
            <v>10.545096131562204</v>
          </cell>
          <cell r="U122">
            <v>2.490584214112995</v>
          </cell>
          <cell r="V122">
            <v>28.733541098227288</v>
          </cell>
          <cell r="W122">
            <v>30.090468895569863</v>
          </cell>
          <cell r="X122">
            <v>19.127772009476526</v>
          </cell>
          <cell r="Y122">
            <v>20.510148785142476</v>
          </cell>
          <cell r="Z122">
            <v>7.722706638601724</v>
          </cell>
          <cell r="AA122">
            <v>20.243336193620998</v>
          </cell>
          <cell r="AB122">
            <v>7.9499351862920928</v>
          </cell>
          <cell r="AC122">
            <v>21.966176319188886</v>
          </cell>
          <cell r="AD122">
            <v>350</v>
          </cell>
          <cell r="AE122">
            <v>525</v>
          </cell>
          <cell r="AF122">
            <v>475</v>
          </cell>
          <cell r="AG122">
            <v>550</v>
          </cell>
        </row>
        <row r="123">
          <cell r="R123">
            <v>0</v>
          </cell>
          <cell r="S123">
            <v>0</v>
          </cell>
          <cell r="T123">
            <v>4.1746315953835964</v>
          </cell>
          <cell r="U123">
            <v>2.0197649542080152</v>
          </cell>
          <cell r="V123">
            <v>33.502633779291948</v>
          </cell>
          <cell r="W123">
            <v>22.717814799116844</v>
          </cell>
          <cell r="X123">
            <v>11.219308055994862</v>
          </cell>
          <cell r="Y123">
            <v>23.369820641259857</v>
          </cell>
          <cell r="Z123">
            <v>11.672556239873021</v>
          </cell>
          <cell r="AA123">
            <v>22.834185327082704</v>
          </cell>
          <cell r="AB123">
            <v>7.125858353851366</v>
          </cell>
          <cell r="AC123">
            <v>25.321986377236524</v>
          </cell>
          <cell r="AD123">
            <v>550</v>
          </cell>
          <cell r="AE123">
            <v>500</v>
          </cell>
          <cell r="AF123">
            <v>550</v>
          </cell>
        </row>
        <row r="124">
          <cell r="R124">
            <v>0</v>
          </cell>
          <cell r="S124">
            <v>0</v>
          </cell>
          <cell r="T124">
            <v>13.391345933324468</v>
          </cell>
          <cell r="U124">
            <v>3.3589035325890628</v>
          </cell>
          <cell r="V124">
            <v>40.461934789697473</v>
          </cell>
          <cell r="W124">
            <v>26.740777385482971</v>
          </cell>
          <cell r="X124">
            <v>24.869469737530061</v>
          </cell>
          <cell r="Y124">
            <v>17.445260863183119</v>
          </cell>
          <cell r="Z124">
            <v>13.101245122435994</v>
          </cell>
          <cell r="AA124">
            <v>19.852208478729214</v>
          </cell>
          <cell r="AB124">
            <v>8.8044909974369627</v>
          </cell>
          <cell r="AC124">
            <v>24.753179279303193</v>
          </cell>
          <cell r="AD124">
            <v>500</v>
          </cell>
          <cell r="AE124">
            <v>850</v>
          </cell>
          <cell r="AF124">
            <v>425</v>
          </cell>
        </row>
        <row r="125">
          <cell r="R125">
            <v>0</v>
          </cell>
          <cell r="S125">
            <v>0</v>
          </cell>
          <cell r="T125">
            <v>9.0575771149820277</v>
          </cell>
          <cell r="U125">
            <v>2.9142859672363963</v>
          </cell>
          <cell r="V125">
            <v>36.31351912118263</v>
          </cell>
          <cell r="W125">
            <v>26.33485887812768</v>
          </cell>
          <cell r="X125">
            <v>27.808309749059038</v>
          </cell>
          <cell r="Y125">
            <v>22.465724731385723</v>
          </cell>
          <cell r="Z125">
            <v>14.248378252567463</v>
          </cell>
          <cell r="AA125">
            <v>21.50937226974748</v>
          </cell>
          <cell r="AB125">
            <v>7.7226643091380387</v>
          </cell>
          <cell r="AC125">
            <v>39.408998466586418</v>
          </cell>
          <cell r="AD125">
            <v>475</v>
          </cell>
          <cell r="AE125">
            <v>775</v>
          </cell>
          <cell r="AF125">
            <v>950</v>
          </cell>
        </row>
        <row r="126">
          <cell r="R126">
            <v>0</v>
          </cell>
          <cell r="S126">
            <v>0</v>
          </cell>
          <cell r="T126">
            <v>9.5577007144216157</v>
          </cell>
          <cell r="U126">
            <v>2.7517870711361847</v>
          </cell>
          <cell r="V126">
            <v>43.998306768810501</v>
          </cell>
          <cell r="W126">
            <v>26.726220360639999</v>
          </cell>
          <cell r="X126">
            <v>27.101625800507701</v>
          </cell>
          <cell r="Y126">
            <v>27.046331138331457</v>
          </cell>
          <cell r="Z126">
            <v>12.200660499541463</v>
          </cell>
          <cell r="AA126">
            <v>22.327015588185713</v>
          </cell>
          <cell r="AB126">
            <v>8.8506963424248113</v>
          </cell>
          <cell r="AC126">
            <v>28.970590945231024</v>
          </cell>
          <cell r="AD126">
            <v>700</v>
          </cell>
          <cell r="AE126">
            <v>1000</v>
          </cell>
          <cell r="AF126">
            <v>575</v>
          </cell>
        </row>
        <row r="127">
          <cell r="R127">
            <v>0</v>
          </cell>
          <cell r="S127">
            <v>0</v>
          </cell>
          <cell r="T127">
            <v>8.7733520628975565</v>
          </cell>
          <cell r="U127">
            <v>4.5533706144333035</v>
          </cell>
          <cell r="V127">
            <v>42.378202338808038</v>
          </cell>
          <cell r="W127">
            <v>24.081109331361674</v>
          </cell>
          <cell r="X127">
            <v>24.676764257942303</v>
          </cell>
          <cell r="Y127">
            <v>19.593611060055363</v>
          </cell>
          <cell r="Z127">
            <v>6.7453516771195634</v>
          </cell>
          <cell r="AA127">
            <v>22.531032364716822</v>
          </cell>
          <cell r="AB127">
            <v>11.234448425981132</v>
          </cell>
          <cell r="AC127">
            <v>44.986784829291061</v>
          </cell>
          <cell r="AD127">
            <v>550</v>
          </cell>
          <cell r="AE127">
            <v>775</v>
          </cell>
          <cell r="AF127">
            <v>775</v>
          </cell>
        </row>
        <row r="128">
          <cell r="R128">
            <v>0</v>
          </cell>
          <cell r="S128">
            <v>0</v>
          </cell>
          <cell r="T128">
            <v>16.29388739304073</v>
          </cell>
          <cell r="U128">
            <v>32.321029865039442</v>
          </cell>
          <cell r="V128">
            <v>35.903264060624693</v>
          </cell>
          <cell r="W128">
            <v>26.110087515873637</v>
          </cell>
          <cell r="X128">
            <v>21.376116587734</v>
          </cell>
          <cell r="Y128">
            <v>21.55664381133132</v>
          </cell>
          <cell r="Z128">
            <v>0.45589965334307392</v>
          </cell>
          <cell r="AA128">
            <v>26.025441002222177</v>
          </cell>
          <cell r="AB128">
            <v>8.508506337459572</v>
          </cell>
          <cell r="AC128">
            <v>58.724540258144557</v>
          </cell>
          <cell r="AD128">
            <v>400</v>
          </cell>
          <cell r="AE128">
            <v>650</v>
          </cell>
          <cell r="AF128">
            <v>750</v>
          </cell>
        </row>
        <row r="129">
          <cell r="R129">
            <v>0</v>
          </cell>
          <cell r="S129">
            <v>0</v>
          </cell>
          <cell r="T129">
            <v>12.090503672000109</v>
          </cell>
          <cell r="U129">
            <v>25.304543407207948</v>
          </cell>
          <cell r="V129">
            <v>4.4248641829005795</v>
          </cell>
          <cell r="W129">
            <v>25.433788064731385</v>
          </cell>
          <cell r="X129">
            <v>27.231330653792725</v>
          </cell>
          <cell r="Y129">
            <v>27.32221837140219</v>
          </cell>
          <cell r="Z129">
            <v>6.6999426407406375</v>
          </cell>
          <cell r="AA129">
            <v>16.121988507616241</v>
          </cell>
          <cell r="AB129">
            <v>7.0542961749436364</v>
          </cell>
          <cell r="AC129">
            <v>57.914400035189715</v>
          </cell>
          <cell r="AD129">
            <v>575</v>
          </cell>
          <cell r="AE129">
            <v>850</v>
          </cell>
          <cell r="AF129">
            <v>625</v>
          </cell>
        </row>
        <row r="130">
          <cell r="R130">
            <v>0</v>
          </cell>
          <cell r="S130">
            <v>0</v>
          </cell>
          <cell r="T130">
            <v>7.6820123459235283</v>
          </cell>
          <cell r="U130">
            <v>27.804210685668188</v>
          </cell>
          <cell r="V130">
            <v>15.152919588666423</v>
          </cell>
          <cell r="W130">
            <v>23.386870447005094</v>
          </cell>
          <cell r="X130">
            <v>21.372208509912468</v>
          </cell>
          <cell r="Y130">
            <v>24.317052058042989</v>
          </cell>
          <cell r="Z130">
            <v>17.862739401842877</v>
          </cell>
          <cell r="AA130">
            <v>22.783414951792587</v>
          </cell>
          <cell r="AB130">
            <v>7.2952706839224026</v>
          </cell>
          <cell r="AC130">
            <v>22.233589202047256</v>
          </cell>
          <cell r="AD130">
            <v>625</v>
          </cell>
          <cell r="AE130">
            <v>750</v>
          </cell>
          <cell r="AF130">
            <v>900</v>
          </cell>
        </row>
        <row r="151">
          <cell r="S151"/>
          <cell r="T151"/>
          <cell r="U151"/>
          <cell r="V151"/>
          <cell r="W151"/>
        </row>
        <row r="152">
          <cell r="S152"/>
          <cell r="T152"/>
          <cell r="U152"/>
          <cell r="V152"/>
          <cell r="W152"/>
        </row>
        <row r="153">
          <cell r="S153"/>
          <cell r="T153"/>
          <cell r="U153"/>
          <cell r="V153"/>
          <cell r="W153"/>
        </row>
        <row r="154">
          <cell r="R154"/>
          <cell r="S154"/>
          <cell r="T154"/>
          <cell r="U154"/>
          <cell r="V154"/>
        </row>
        <row r="155">
          <cell r="R155"/>
          <cell r="S155"/>
          <cell r="T155"/>
          <cell r="U155"/>
          <cell r="V155"/>
        </row>
        <row r="156">
          <cell r="R156"/>
          <cell r="S156"/>
          <cell r="T156"/>
          <cell r="U156"/>
          <cell r="V156"/>
        </row>
        <row r="157">
          <cell r="R157"/>
          <cell r="S157"/>
          <cell r="T157"/>
          <cell r="U157"/>
          <cell r="V157"/>
        </row>
        <row r="158">
          <cell r="R158"/>
          <cell r="S158"/>
          <cell r="T158"/>
          <cell r="U158"/>
          <cell r="V158"/>
        </row>
        <row r="159">
          <cell r="R159"/>
          <cell r="S159"/>
          <cell r="T159"/>
          <cell r="U159"/>
          <cell r="V159"/>
        </row>
        <row r="160">
          <cell r="R160"/>
          <cell r="S160"/>
          <cell r="T160"/>
          <cell r="U160"/>
          <cell r="V160"/>
        </row>
        <row r="161">
          <cell r="R161"/>
          <cell r="S161"/>
          <cell r="T161"/>
          <cell r="U161"/>
          <cell r="V161"/>
        </row>
        <row r="162">
          <cell r="R162"/>
          <cell r="S162"/>
          <cell r="T162"/>
          <cell r="U162"/>
          <cell r="V162"/>
        </row>
      </sheetData>
      <sheetData sheetId="17">
        <row r="105">
          <cell r="AD105">
            <v>42.256396960623931</v>
          </cell>
        </row>
        <row r="121">
          <cell r="S121">
            <v>0</v>
          </cell>
          <cell r="T121">
            <v>5.8724241436569038</v>
          </cell>
          <cell r="U121">
            <v>2.7838677652749415</v>
          </cell>
          <cell r="V121">
            <v>11.252966294467813</v>
          </cell>
          <cell r="W121">
            <v>14.130295344215407</v>
          </cell>
          <cell r="X121">
            <v>8.0925558223978431</v>
          </cell>
          <cell r="Y121">
            <v>8.1239342468021096</v>
          </cell>
          <cell r="Z121">
            <v>10.082807897022454</v>
          </cell>
          <cell r="AA121">
            <v>17.701104649247856</v>
          </cell>
          <cell r="AB121">
            <v>25.387848835491077</v>
          </cell>
          <cell r="AC121">
            <v>11.082834073754878</v>
          </cell>
          <cell r="AD121">
            <v>25.017622961455949</v>
          </cell>
          <cell r="AE121">
            <v>42.646067316317762</v>
          </cell>
          <cell r="AF121">
            <v>39.964994319050767</v>
          </cell>
          <cell r="AG121">
            <v>41.46952504892699</v>
          </cell>
        </row>
        <row r="122">
          <cell r="S122">
            <v>0</v>
          </cell>
          <cell r="T122">
            <v>3.7673232710027191</v>
          </cell>
          <cell r="U122">
            <v>3.7420666011930486</v>
          </cell>
          <cell r="V122">
            <v>11.462058697409221</v>
          </cell>
          <cell r="W122">
            <v>13.891470903898515</v>
          </cell>
          <cell r="X122">
            <v>7.6622748627163793</v>
          </cell>
          <cell r="Y122">
            <v>10.879099789136434</v>
          </cell>
          <cell r="Z122">
            <v>9.0683226171118783</v>
          </cell>
          <cell r="AA122">
            <v>19.675178914983647</v>
          </cell>
          <cell r="AB122">
            <v>21.368563598170429</v>
          </cell>
          <cell r="AC122">
            <v>22.77617867596371</v>
          </cell>
          <cell r="AD122">
            <v>13.846146407033714</v>
          </cell>
          <cell r="AE122">
            <v>41.199536434294487</v>
          </cell>
          <cell r="AF122">
            <v>20</v>
          </cell>
          <cell r="AG122">
            <v>12.565816501386035</v>
          </cell>
        </row>
        <row r="123">
          <cell r="S123">
            <v>0</v>
          </cell>
          <cell r="T123">
            <v>5.6370203341304759</v>
          </cell>
          <cell r="U123">
            <v>1.6463473881767254</v>
          </cell>
          <cell r="V123">
            <v>13.569561234207274</v>
          </cell>
          <cell r="W123">
            <v>16.783959937076965</v>
          </cell>
          <cell r="X123">
            <v>8.0827696137652278</v>
          </cell>
          <cell r="Y123">
            <v>10.833556497486649</v>
          </cell>
          <cell r="Z123">
            <v>10.082161654350489</v>
          </cell>
          <cell r="AA123">
            <v>24.03682787108653</v>
          </cell>
          <cell r="AB123">
            <v>28.864079712019564</v>
          </cell>
          <cell r="AC123">
            <v>26.237467198707179</v>
          </cell>
          <cell r="AD123">
            <v>10.753734767633375</v>
          </cell>
          <cell r="AE123">
            <v>24.537963962559687</v>
          </cell>
          <cell r="AF123">
            <v>37.337066481050392</v>
          </cell>
          <cell r="AG123">
            <v>7.6301571834763919</v>
          </cell>
        </row>
        <row r="124">
          <cell r="R124">
            <v>0</v>
          </cell>
          <cell r="S124">
            <v>0</v>
          </cell>
          <cell r="T124">
            <v>3.7716318096448713</v>
          </cell>
          <cell r="U124">
            <v>0.89079952703630161</v>
          </cell>
          <cell r="V124">
            <v>10.277036478164135</v>
          </cell>
          <cell r="W124">
            <v>10.762364632597036</v>
          </cell>
          <cell r="X124">
            <v>6.8413708569851455</v>
          </cell>
          <cell r="Y124">
            <v>7.3358012685212444</v>
          </cell>
          <cell r="Z124">
            <v>5.4048121487600334</v>
          </cell>
          <cell r="AA124">
            <v>17.908570187061347</v>
          </cell>
          <cell r="AB124">
            <v>25.900736572615578</v>
          </cell>
          <cell r="AC124">
            <v>5.9888459600141681</v>
          </cell>
          <cell r="AD124">
            <v>25.188835125358384</v>
          </cell>
          <cell r="AE124">
            <v>22.653640084626534</v>
          </cell>
          <cell r="AF124">
            <v>38.985611907851876</v>
          </cell>
          <cell r="AG124">
            <v>25.047278792155979</v>
          </cell>
        </row>
        <row r="125">
          <cell r="R125">
            <v>0</v>
          </cell>
          <cell r="S125">
            <v>0</v>
          </cell>
          <cell r="T125">
            <v>1.4931275279293936</v>
          </cell>
          <cell r="U125">
            <v>0.72240306340083849</v>
          </cell>
          <cell r="V125">
            <v>11.982783057866795</v>
          </cell>
          <cell r="W125">
            <v>8.1254103208707829</v>
          </cell>
          <cell r="X125">
            <v>4.0127750964301931</v>
          </cell>
          <cell r="Y125">
            <v>8.3586112271138795</v>
          </cell>
          <cell r="Z125">
            <v>8.1691532159213516</v>
          </cell>
          <cell r="AA125">
            <v>20.200603629913864</v>
          </cell>
          <cell r="AB125">
            <v>23.215910035985935</v>
          </cell>
          <cell r="AC125">
            <v>26.825504507983858</v>
          </cell>
          <cell r="AD125">
            <v>19.743035420778099</v>
          </cell>
          <cell r="AE125">
            <v>19.259742136543952</v>
          </cell>
          <cell r="AF125">
            <v>39.253174454193235</v>
          </cell>
        </row>
        <row r="126">
          <cell r="R126">
            <v>0</v>
          </cell>
          <cell r="S126">
            <v>0</v>
          </cell>
          <cell r="T126">
            <v>4.7896411437078728</v>
          </cell>
          <cell r="U126">
            <v>1.2013686030915922</v>
          </cell>
          <cell r="V126">
            <v>14.471894654031134</v>
          </cell>
          <cell r="W126">
            <v>9.5642908650068819</v>
          </cell>
          <cell r="X126">
            <v>8.8949860656389355</v>
          </cell>
          <cell r="Y126">
            <v>6.2395923164890759</v>
          </cell>
          <cell r="Z126">
            <v>9.1690351731975213</v>
          </cell>
          <cell r="AA126">
            <v>17.562553203138918</v>
          </cell>
          <cell r="AB126">
            <v>28.684863038102449</v>
          </cell>
          <cell r="AC126">
            <v>31.65318283519581</v>
          </cell>
          <cell r="AD126">
            <v>26.785649829329582</v>
          </cell>
          <cell r="AE126">
            <v>15.69122701761828</v>
          </cell>
          <cell r="AF126">
            <v>56.757263749573816</v>
          </cell>
        </row>
        <row r="127">
          <cell r="R127">
            <v>0</v>
          </cell>
          <cell r="S127">
            <v>0</v>
          </cell>
          <cell r="T127">
            <v>3.2395954990802656</v>
          </cell>
          <cell r="U127">
            <v>1.0423436182370875</v>
          </cell>
          <cell r="V127">
            <v>12.988143695311152</v>
          </cell>
          <cell r="W127">
            <v>9.4191072521346886</v>
          </cell>
          <cell r="X127">
            <v>9.9461118527016037</v>
          </cell>
          <cell r="Y127">
            <v>8.0352460486358002</v>
          </cell>
          <cell r="Z127">
            <v>9.9718675696773982</v>
          </cell>
          <cell r="AA127">
            <v>19.028587940647217</v>
          </cell>
          <cell r="AB127">
            <v>25.16029240774435</v>
          </cell>
          <cell r="AC127">
            <v>42.184652289280749</v>
          </cell>
          <cell r="AD127">
            <v>38.988505099559198</v>
          </cell>
          <cell r="AE127">
            <v>11.443236373317834</v>
          </cell>
          <cell r="AF127">
            <v>59.166951151108044</v>
          </cell>
        </row>
        <row r="128">
          <cell r="R128">
            <v>0</v>
          </cell>
          <cell r="S128">
            <v>0</v>
          </cell>
          <cell r="T128">
            <v>3.4184731548993219</v>
          </cell>
          <cell r="U128">
            <v>0.98422314233840646</v>
          </cell>
          <cell r="V128">
            <v>15.736737845667692</v>
          </cell>
          <cell r="W128">
            <v>9.5590842991049154</v>
          </cell>
          <cell r="X128">
            <v>9.6933543978175187</v>
          </cell>
          <cell r="Y128">
            <v>9.6735773275883279</v>
          </cell>
          <cell r="Z128">
            <v>8.2745372879810599</v>
          </cell>
          <cell r="AA128">
            <v>19.751928333563626</v>
          </cell>
          <cell r="AB128">
            <v>28.835399167106448</v>
          </cell>
          <cell r="AC128">
            <v>39.677181664278109</v>
          </cell>
          <cell r="AD128">
            <v>42.194931195916446</v>
          </cell>
          <cell r="AE128">
            <v>13.992306874219544</v>
          </cell>
          <cell r="AF128">
            <v>44.593066972851631</v>
          </cell>
        </row>
        <row r="129">
          <cell r="R129">
            <v>0</v>
          </cell>
          <cell r="S129">
            <v>0</v>
          </cell>
          <cell r="T129">
            <v>3.1379376067134794</v>
          </cell>
          <cell r="U129">
            <v>1.6285899375632027</v>
          </cell>
          <cell r="V129">
            <v>15.157280121725764</v>
          </cell>
          <cell r="W129">
            <v>8.6130156456188072</v>
          </cell>
          <cell r="X129">
            <v>8.8260616947618775</v>
          </cell>
          <cell r="Y129">
            <v>7.0079860646056016</v>
          </cell>
          <cell r="Z129">
            <v>4.4374176270868952</v>
          </cell>
          <cell r="AA129">
            <v>19.932414826842177</v>
          </cell>
          <cell r="AB129">
            <v>36.601617799564529</v>
          </cell>
          <cell r="AC129">
            <v>42.205418999045385</v>
          </cell>
          <cell r="AD129">
            <v>35.571376600113204</v>
          </cell>
          <cell r="AE129">
            <v>46.334547270147297</v>
          </cell>
          <cell r="AF129">
            <v>52.469775457957539</v>
          </cell>
        </row>
        <row r="130">
          <cell r="R130">
            <v>0</v>
          </cell>
          <cell r="S130">
            <v>0</v>
          </cell>
          <cell r="T130">
            <v>5.8277841403859982</v>
          </cell>
          <cell r="U130">
            <v>11.560162452630509</v>
          </cell>
          <cell r="V130">
            <v>12.841409040912241</v>
          </cell>
          <cell r="W130">
            <v>9.3387139765117997</v>
          </cell>
          <cell r="X130">
            <v>7.6455292851873766</v>
          </cell>
          <cell r="Y130">
            <v>7.7100978970361203</v>
          </cell>
          <cell r="Z130">
            <v>0</v>
          </cell>
          <cell r="AA130">
            <v>23.023795701441198</v>
          </cell>
          <cell r="AB130">
            <v>27.720550684861088</v>
          </cell>
          <cell r="AC130">
            <v>39.386659029678334</v>
          </cell>
          <cell r="AD130">
            <v>42.285085782848462</v>
          </cell>
          <cell r="AE130">
            <v>38.998194290992615</v>
          </cell>
          <cell r="AF130">
            <v>53.035715775176904</v>
          </cell>
        </row>
        <row r="131">
          <cell r="R131">
            <v>0</v>
          </cell>
          <cell r="S131">
            <v>0</v>
          </cell>
          <cell r="T131">
            <v>4.3243729288969677</v>
          </cell>
          <cell r="U131">
            <v>9.050597514944231</v>
          </cell>
          <cell r="V131">
            <v>1.5826274409803507</v>
          </cell>
          <cell r="W131">
            <v>9.0968240505263065</v>
          </cell>
          <cell r="X131">
            <v>9.7397455301895537</v>
          </cell>
          <cell r="Y131">
            <v>9.7722530581025389</v>
          </cell>
          <cell r="Z131">
            <v>5.902900917836849</v>
          </cell>
          <cell r="AA131">
            <v>14.262558304723646</v>
          </cell>
          <cell r="AB131">
            <v>22.982761827727906</v>
          </cell>
          <cell r="AC131">
            <v>39.682748457597292</v>
          </cell>
          <cell r="AD131">
            <v>43.627141795865406</v>
          </cell>
          <cell r="AE131">
            <v>18.849286736358728</v>
          </cell>
          <cell r="AF131">
            <v>46.565569139430352</v>
          </cell>
        </row>
        <row r="132">
          <cell r="R132">
            <v>0</v>
          </cell>
          <cell r="S132">
            <v>0</v>
          </cell>
          <cell r="T132">
            <v>2.7476015168083139</v>
          </cell>
          <cell r="U132">
            <v>9.9446457534188841</v>
          </cell>
          <cell r="V132">
            <v>5.4196977264671444</v>
          </cell>
          <cell r="W132">
            <v>8.3647093782255162</v>
          </cell>
          <cell r="X132">
            <v>7.6441314951205657</v>
          </cell>
          <cell r="Y132">
            <v>8.6974045484892226</v>
          </cell>
          <cell r="Z132">
            <v>13.187057299971132</v>
          </cell>
          <cell r="AA132">
            <v>20.155688857931118</v>
          </cell>
          <cell r="AB132">
            <v>23.767852162619732</v>
          </cell>
          <cell r="AC132">
            <v>37.927154019818765</v>
          </cell>
          <cell r="AD132">
            <v>44.360165078380383</v>
          </cell>
          <cell r="AE132">
            <v>18.240668577987794</v>
          </cell>
          <cell r="AF132">
            <v>46.698294380795424</v>
          </cell>
        </row>
        <row r="153">
          <cell r="S153"/>
          <cell r="T153"/>
          <cell r="U153"/>
          <cell r="V153"/>
          <cell r="W153"/>
        </row>
        <row r="154">
          <cell r="S154"/>
          <cell r="T154"/>
          <cell r="U154"/>
          <cell r="V154"/>
          <cell r="W154"/>
        </row>
        <row r="155">
          <cell r="S155"/>
          <cell r="T155"/>
          <cell r="U155"/>
          <cell r="V155"/>
          <cell r="W155"/>
        </row>
        <row r="156">
          <cell r="R156"/>
          <cell r="S156"/>
          <cell r="T156"/>
          <cell r="U156"/>
          <cell r="V156"/>
        </row>
        <row r="157">
          <cell r="R157"/>
          <cell r="S157"/>
          <cell r="T157"/>
          <cell r="U157"/>
          <cell r="V157"/>
        </row>
        <row r="158">
          <cell r="R158"/>
          <cell r="S158"/>
          <cell r="T158"/>
          <cell r="U158"/>
          <cell r="V158"/>
        </row>
        <row r="159">
          <cell r="R159"/>
          <cell r="S159"/>
          <cell r="T159"/>
          <cell r="U159"/>
          <cell r="V159"/>
        </row>
        <row r="160">
          <cell r="R160"/>
          <cell r="S160"/>
          <cell r="T160"/>
          <cell r="U160"/>
          <cell r="V160"/>
        </row>
        <row r="161">
          <cell r="R161"/>
          <cell r="S161"/>
          <cell r="T161"/>
          <cell r="U161"/>
          <cell r="V161"/>
        </row>
        <row r="162">
          <cell r="R162"/>
          <cell r="S162"/>
          <cell r="T162"/>
          <cell r="U162"/>
          <cell r="V162"/>
        </row>
        <row r="163">
          <cell r="R163"/>
          <cell r="S163"/>
          <cell r="T163"/>
          <cell r="U163"/>
          <cell r="V163"/>
        </row>
        <row r="164">
          <cell r="R164"/>
          <cell r="S164"/>
          <cell r="T164"/>
          <cell r="U164"/>
          <cell r="V164"/>
        </row>
      </sheetData>
      <sheetData sheetId="18"/>
      <sheetData sheetId="19">
        <row r="82">
          <cell r="B82">
            <v>50.53604167621706</v>
          </cell>
        </row>
      </sheetData>
      <sheetData sheetId="20"/>
      <sheetData sheetId="21"/>
      <sheetData sheetId="22">
        <row r="99">
          <cell r="B99">
            <v>56.662541489965335</v>
          </cell>
        </row>
        <row r="258">
          <cell r="S258"/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0.88558032126876574</v>
          </cell>
          <cell r="AE258">
            <v>2.0472533050537822</v>
          </cell>
          <cell r="AF258">
            <v>2.0621475523781059</v>
          </cell>
          <cell r="AG258">
            <v>2.4838394687270715</v>
          </cell>
        </row>
        <row r="259">
          <cell r="S259"/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1.2225087193173301</v>
          </cell>
          <cell r="AE259">
            <v>2.6948553905506341</v>
          </cell>
          <cell r="AF259">
            <v>1.908103485901439</v>
          </cell>
          <cell r="AG259">
            <v>2.1805499649340123</v>
          </cell>
        </row>
        <row r="260">
          <cell r="S260"/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1.3033529114945115</v>
          </cell>
          <cell r="AE260">
            <v>2.1842269960846288</v>
          </cell>
          <cell r="AF260">
            <v>2.4425379621316625</v>
          </cell>
          <cell r="AG260">
            <v>2.6352050458789842</v>
          </cell>
        </row>
        <row r="261">
          <cell r="R261"/>
          <cell r="S261"/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0.82414040175265846</v>
          </cell>
          <cell r="AE261">
            <v>2.1733543895632792</v>
          </cell>
          <cell r="AF261">
            <v>2.0116125510223508</v>
          </cell>
          <cell r="AG261">
            <v>1.7522045772085939</v>
          </cell>
        </row>
        <row r="262">
          <cell r="R262"/>
          <cell r="S262"/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0.96643943930547882</v>
          </cell>
          <cell r="AE262">
            <v>1.9546584969178649</v>
          </cell>
          <cell r="AF262">
            <v>2.0254184694128581</v>
          </cell>
        </row>
        <row r="263">
          <cell r="R263"/>
          <cell r="S263"/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1.0505742243619454</v>
          </cell>
          <cell r="AE263">
            <v>2.3738588454061702</v>
          </cell>
          <cell r="AF263">
            <v>1.8880366711344845</v>
          </cell>
        </row>
        <row r="264">
          <cell r="R264"/>
          <cell r="S264"/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0.97005285080910109</v>
          </cell>
          <cell r="AE264">
            <v>2.1215567611678705</v>
          </cell>
          <cell r="AF264">
            <v>2.5971053399290769</v>
          </cell>
        </row>
        <row r="265">
          <cell r="R265"/>
          <cell r="S265"/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1.1842085578895425</v>
          </cell>
          <cell r="AE265">
            <v>2.5941501411745449</v>
          </cell>
          <cell r="AF265">
            <v>1.9573915861108051</v>
          </cell>
        </row>
        <row r="266">
          <cell r="R266"/>
          <cell r="S266"/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0.99831727157414019</v>
          </cell>
          <cell r="AE266">
            <v>2.1441244405825155</v>
          </cell>
          <cell r="AF266">
            <v>2.303135980062903</v>
          </cell>
        </row>
        <row r="267">
          <cell r="R267"/>
          <cell r="S267"/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0.89798628447988482</v>
          </cell>
          <cell r="AE267">
            <v>1.9914329415293657</v>
          </cell>
          <cell r="AF267">
            <v>2.3279776626464415</v>
          </cell>
        </row>
        <row r="268">
          <cell r="R268"/>
          <cell r="S268"/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0.97674475468991817</v>
          </cell>
          <cell r="AE268">
            <v>2.5400546872498198</v>
          </cell>
          <cell r="AF268">
            <v>2.043973635889913</v>
          </cell>
        </row>
        <row r="269">
          <cell r="R269"/>
          <cell r="S269"/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0.75551209858196278</v>
          </cell>
          <cell r="AD269">
            <v>0.99315602108944989</v>
          </cell>
          <cell r="AE269">
            <v>2.4580397321197953</v>
          </cell>
          <cell r="AF269">
            <v>2.0497995475920767</v>
          </cell>
        </row>
        <row r="290">
          <cell r="S290"/>
          <cell r="T290"/>
          <cell r="U290"/>
          <cell r="V290"/>
          <cell r="W290"/>
        </row>
        <row r="291">
          <cell r="S291"/>
          <cell r="T291"/>
          <cell r="U291"/>
          <cell r="V291"/>
          <cell r="W291"/>
        </row>
        <row r="292">
          <cell r="S292"/>
          <cell r="T292"/>
          <cell r="U292"/>
          <cell r="V292"/>
          <cell r="W292"/>
        </row>
        <row r="293">
          <cell r="R293"/>
          <cell r="S293"/>
          <cell r="T293"/>
          <cell r="U293"/>
          <cell r="V293"/>
        </row>
        <row r="294">
          <cell r="R294"/>
          <cell r="S294"/>
          <cell r="T294"/>
          <cell r="U294"/>
          <cell r="V294"/>
        </row>
        <row r="295">
          <cell r="R295"/>
          <cell r="S295"/>
          <cell r="T295"/>
          <cell r="U295"/>
          <cell r="V295"/>
        </row>
        <row r="296">
          <cell r="R296"/>
          <cell r="S296"/>
          <cell r="T296"/>
          <cell r="U296"/>
          <cell r="V296"/>
        </row>
        <row r="297">
          <cell r="R297"/>
          <cell r="S297"/>
          <cell r="T297"/>
          <cell r="U297"/>
          <cell r="V297"/>
        </row>
        <row r="298">
          <cell r="R298"/>
          <cell r="S298"/>
          <cell r="T298"/>
          <cell r="U298"/>
          <cell r="V298"/>
        </row>
        <row r="299">
          <cell r="R299"/>
          <cell r="S299"/>
          <cell r="T299"/>
          <cell r="U299"/>
          <cell r="V299"/>
        </row>
        <row r="300">
          <cell r="R300"/>
          <cell r="S300"/>
          <cell r="T300"/>
          <cell r="U300"/>
          <cell r="V300"/>
        </row>
        <row r="301">
          <cell r="R301"/>
          <cell r="S301"/>
          <cell r="T301"/>
          <cell r="U301"/>
          <cell r="V301"/>
        </row>
      </sheetData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mestic BBD Production Chart"/>
      <sheetName val="Chart1"/>
      <sheetName val="Chart2"/>
      <sheetName val="Chart3"/>
      <sheetName val="Chart4"/>
      <sheetName val="Chart5"/>
      <sheetName val="Graph Dashboard"/>
      <sheetName val="Dom Production"/>
      <sheetName val="Feedstock Yields"/>
      <sheetName val="Feedstock Use"/>
      <sheetName val="Feedstock Use - chart data"/>
      <sheetName val="BBD Prod and Profit - data"/>
      <sheetName val="Biodiesel"/>
      <sheetName val="Renewable Diesel"/>
      <sheetName val="SAF"/>
      <sheetName val="Renewable Fuel - E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>
        <row r="3">
          <cell r="B3">
            <v>485714</v>
          </cell>
        </row>
      </sheetData>
      <sheetData sheetId="13">
        <row r="28">
          <cell r="P28">
            <v>518276102</v>
          </cell>
        </row>
        <row r="49">
          <cell r="C49">
            <v>4427855</v>
          </cell>
          <cell r="D49">
            <v>4217364</v>
          </cell>
          <cell r="E49">
            <v>1278753</v>
          </cell>
          <cell r="F49">
            <v>10328729</v>
          </cell>
          <cell r="G49">
            <v>17504679</v>
          </cell>
          <cell r="H49">
            <v>11758144</v>
          </cell>
          <cell r="I49">
            <v>18560535</v>
          </cell>
          <cell r="J49">
            <v>13680652</v>
          </cell>
          <cell r="K49">
            <v>36487021</v>
          </cell>
          <cell r="L49">
            <v>41857492</v>
          </cell>
          <cell r="M49">
            <v>50374630</v>
          </cell>
          <cell r="N49">
            <v>87010244</v>
          </cell>
          <cell r="O49">
            <v>148278375</v>
          </cell>
          <cell r="P49">
            <v>230210264</v>
          </cell>
          <cell r="Q49">
            <v>217367275</v>
          </cell>
          <cell r="R49">
            <v>173301039.9201065</v>
          </cell>
          <cell r="S49">
            <v>190327727.21764925</v>
          </cell>
          <cell r="T49">
            <v>194312790.4450902</v>
          </cell>
          <cell r="U49">
            <v>196315383.19321719</v>
          </cell>
          <cell r="V49">
            <v>205707631.69478792</v>
          </cell>
          <cell r="W49">
            <v>222782293.77920413</v>
          </cell>
          <cell r="X49">
            <v>264059013.18170139</v>
          </cell>
          <cell r="Y49">
            <v>262890228.64060161</v>
          </cell>
          <cell r="Z49">
            <v>255777133.45371303</v>
          </cell>
          <cell r="AA49">
            <v>270948489.35168308</v>
          </cell>
          <cell r="AB49">
            <v>292548204.23721027</v>
          </cell>
          <cell r="AC49">
            <v>332801022.16583556</v>
          </cell>
          <cell r="AD49">
            <v>367138905.77510345</v>
          </cell>
          <cell r="AE49">
            <v>368537907.28145385</v>
          </cell>
          <cell r="AF49">
            <v>324292401.80549532</v>
          </cell>
          <cell r="AG49">
            <v>342928676.57374358</v>
          </cell>
          <cell r="AH49">
            <v>362474628.86067653</v>
          </cell>
          <cell r="AI49">
            <v>393875036.93947524</v>
          </cell>
          <cell r="AJ49">
            <v>401734178.58368695</v>
          </cell>
          <cell r="AK49">
            <v>399457153.46708328</v>
          </cell>
          <cell r="AL49">
            <v>380775025.91852134</v>
          </cell>
          <cell r="AM49">
            <v>396257812.08964473</v>
          </cell>
          <cell r="AN49">
            <v>410485418.23343176</v>
          </cell>
          <cell r="AO49">
            <v>425327998.7978344</v>
          </cell>
          <cell r="AP49">
            <v>443622958.22248584</v>
          </cell>
        </row>
        <row r="50">
          <cell r="B50">
            <v>0</v>
          </cell>
          <cell r="C50">
            <v>962206</v>
          </cell>
          <cell r="D50">
            <v>3189484</v>
          </cell>
          <cell r="E50">
            <v>1292690</v>
          </cell>
          <cell r="F50">
            <v>12293217</v>
          </cell>
          <cell r="G50">
            <v>13481081</v>
          </cell>
          <cell r="H50">
            <v>7354950</v>
          </cell>
          <cell r="I50">
            <v>21042625</v>
          </cell>
          <cell r="J50">
            <v>21604812</v>
          </cell>
          <cell r="K50">
            <v>40173701</v>
          </cell>
          <cell r="L50">
            <v>37300666</v>
          </cell>
          <cell r="M50">
            <v>51175710</v>
          </cell>
          <cell r="N50">
            <v>101396491</v>
          </cell>
          <cell r="O50">
            <v>141070359</v>
          </cell>
          <cell r="P50">
            <v>230073636</v>
          </cell>
          <cell r="Q50">
            <v>186102792</v>
          </cell>
          <cell r="R50">
            <v>188920877.88275504</v>
          </cell>
          <cell r="S50">
            <v>208087458.74720728</v>
          </cell>
          <cell r="T50">
            <v>211940257.3015556</v>
          </cell>
          <cell r="U50">
            <v>214020412.68485782</v>
          </cell>
          <cell r="V50">
            <v>224248992.3909564</v>
          </cell>
          <cell r="W50">
            <v>242941688.091079</v>
          </cell>
          <cell r="X50">
            <v>288186763.80865526</v>
          </cell>
          <cell r="Y50">
            <v>286740408.06441188</v>
          </cell>
          <cell r="Z50">
            <v>278759454.26224506</v>
          </cell>
          <cell r="AA50">
            <v>295300319.29712445</v>
          </cell>
          <cell r="AB50">
            <v>319194658.98223019</v>
          </cell>
          <cell r="AC50">
            <v>363312467.39881754</v>
          </cell>
          <cell r="AD50">
            <v>400787882.50954103</v>
          </cell>
          <cell r="AE50">
            <v>401959953.89041197</v>
          </cell>
          <cell r="AF50">
            <v>353174697.14437717</v>
          </cell>
          <cell r="AG50">
            <v>373708707.81553322</v>
          </cell>
          <cell r="AH50">
            <v>395037232.16588795</v>
          </cell>
          <cell r="AI50">
            <v>429289163.77650756</v>
          </cell>
          <cell r="AJ50">
            <v>437830509.35546809</v>
          </cell>
          <cell r="AK50">
            <v>435329697.64782506</v>
          </cell>
          <cell r="AL50">
            <v>414752077.1269027</v>
          </cell>
          <cell r="AM50">
            <v>431912772.61670196</v>
          </cell>
          <cell r="AN50">
            <v>447408531.64359641</v>
          </cell>
          <cell r="AO50">
            <v>463586697.81772697</v>
          </cell>
          <cell r="AP50">
            <v>483711987.43685955</v>
          </cell>
        </row>
        <row r="51">
          <cell r="B51">
            <v>0</v>
          </cell>
          <cell r="C51">
            <v>3151383</v>
          </cell>
          <cell r="D51">
            <v>5354270</v>
          </cell>
          <cell r="E51">
            <v>1874493</v>
          </cell>
          <cell r="F51">
            <v>14953326</v>
          </cell>
          <cell r="G51">
            <v>16109924</v>
          </cell>
          <cell r="H51">
            <v>17925081</v>
          </cell>
          <cell r="I51">
            <v>15856580</v>
          </cell>
          <cell r="J51">
            <v>25067979</v>
          </cell>
          <cell r="K51">
            <v>35740265</v>
          </cell>
          <cell r="L51">
            <v>45226785</v>
          </cell>
          <cell r="M51">
            <v>59222033</v>
          </cell>
          <cell r="N51">
            <v>110055959</v>
          </cell>
          <cell r="O51">
            <v>184175802</v>
          </cell>
          <cell r="P51">
            <v>215239327</v>
          </cell>
          <cell r="Q51">
            <v>229400517</v>
          </cell>
          <cell r="R51">
            <v>201087551.47234574</v>
          </cell>
          <cell r="S51">
            <v>222331474.36161846</v>
          </cell>
          <cell r="T51">
            <v>227266907.74707708</v>
          </cell>
          <cell r="U51">
            <v>228580293.88394293</v>
          </cell>
          <cell r="V51">
            <v>239819467.50720793</v>
          </cell>
          <cell r="W51">
            <v>259742588.4406063</v>
          </cell>
          <cell r="X51">
            <v>308030377.58673579</v>
          </cell>
          <cell r="Y51">
            <v>306629223.56984639</v>
          </cell>
          <cell r="Z51">
            <v>298277030.33242476</v>
          </cell>
          <cell r="AA51">
            <v>316044939.1115849</v>
          </cell>
          <cell r="AB51">
            <v>341124746.72358978</v>
          </cell>
          <cell r="AC51">
            <v>388001430.02523911</v>
          </cell>
          <cell r="AD51">
            <v>428005446.27289242</v>
          </cell>
          <cell r="AE51">
            <v>429761672.69802207</v>
          </cell>
          <cell r="AF51">
            <v>378389450.96765256</v>
          </cell>
          <cell r="AG51">
            <v>400044003.07578814</v>
          </cell>
          <cell r="AH51">
            <v>422832918.71840817</v>
          </cell>
          <cell r="AI51">
            <v>459443830.41338158</v>
          </cell>
          <cell r="AJ51">
            <v>468620890.21794415</v>
          </cell>
          <cell r="AK51">
            <v>465975502.87264115</v>
          </cell>
          <cell r="AL51">
            <v>444268339.48293</v>
          </cell>
          <cell r="AM51">
            <v>462215163.95904553</v>
          </cell>
          <cell r="AN51">
            <v>478814964.39649665</v>
          </cell>
          <cell r="AO51">
            <v>496128341.14758509</v>
          </cell>
          <cell r="AP51">
            <v>517396251.78451204</v>
          </cell>
        </row>
        <row r="52">
          <cell r="B52">
            <v>0</v>
          </cell>
          <cell r="C52">
            <v>1966907</v>
          </cell>
          <cell r="D52">
            <v>3552348</v>
          </cell>
          <cell r="E52">
            <v>1673823</v>
          </cell>
          <cell r="F52">
            <v>13676328</v>
          </cell>
          <cell r="G52">
            <v>15732656</v>
          </cell>
          <cell r="H52">
            <v>21253081</v>
          </cell>
          <cell r="I52">
            <v>20403202</v>
          </cell>
          <cell r="J52">
            <v>25750984</v>
          </cell>
          <cell r="K52">
            <v>38557434</v>
          </cell>
          <cell r="L52">
            <v>38638856</v>
          </cell>
          <cell r="M52">
            <v>50634433</v>
          </cell>
          <cell r="N52">
            <v>106480662</v>
          </cell>
          <cell r="O52">
            <v>174407540</v>
          </cell>
          <cell r="P52">
            <v>283042186</v>
          </cell>
          <cell r="Q52">
            <v>201331356.4815461</v>
          </cell>
          <cell r="R52">
            <v>193344202.49970382</v>
          </cell>
          <cell r="S52">
            <v>213396859.74068043</v>
          </cell>
          <cell r="T52">
            <v>217371467.25445896</v>
          </cell>
          <cell r="U52">
            <v>218955341.14504278</v>
          </cell>
          <cell r="V52">
            <v>229462278.14924833</v>
          </cell>
          <cell r="W52">
            <v>248826445.36842561</v>
          </cell>
          <cell r="X52">
            <v>295175326.88767368</v>
          </cell>
          <cell r="Y52">
            <v>293643197.48746473</v>
          </cell>
          <cell r="Z52">
            <v>285421262.34656847</v>
          </cell>
          <cell r="AA52">
            <v>302397508.53541154</v>
          </cell>
          <cell r="AB52">
            <v>326861443.74999732</v>
          </cell>
          <cell r="AC52">
            <v>372006049.33358061</v>
          </cell>
          <cell r="AD52">
            <v>410359869.85578811</v>
          </cell>
          <cell r="AE52">
            <v>411597041.79497296</v>
          </cell>
          <cell r="AF52">
            <v>361716665.73921573</v>
          </cell>
          <cell r="AG52">
            <v>382721970.09857023</v>
          </cell>
          <cell r="AH52">
            <v>404557748.23663205</v>
          </cell>
          <cell r="AI52">
            <v>439628319.67919081</v>
          </cell>
          <cell r="AJ52">
            <v>448378916.80213147</v>
          </cell>
          <cell r="AK52">
            <v>445822220.49405354</v>
          </cell>
          <cell r="AL52">
            <v>424775437.69649988</v>
          </cell>
          <cell r="AM52">
            <v>442313554.22764301</v>
          </cell>
          <cell r="AN52">
            <v>458183683.48848301</v>
          </cell>
          <cell r="AO52">
            <v>474751720.2714451</v>
          </cell>
          <cell r="AP52">
            <v>495339261.25581235</v>
          </cell>
        </row>
        <row r="53">
          <cell r="B53">
            <v>0</v>
          </cell>
          <cell r="C53">
            <v>7525643</v>
          </cell>
          <cell r="D53">
            <v>3766248</v>
          </cell>
          <cell r="E53">
            <v>2792467</v>
          </cell>
          <cell r="F53">
            <v>16218844</v>
          </cell>
          <cell r="G53">
            <v>15741162</v>
          </cell>
          <cell r="H53">
            <v>21933497</v>
          </cell>
          <cell r="I53">
            <v>24392752</v>
          </cell>
          <cell r="J53">
            <v>21508247</v>
          </cell>
          <cell r="K53">
            <v>40382855</v>
          </cell>
          <cell r="L53">
            <v>46421171</v>
          </cell>
          <cell r="M53">
            <v>60051437</v>
          </cell>
          <cell r="N53">
            <v>136075722</v>
          </cell>
          <cell r="O53">
            <v>229265334</v>
          </cell>
          <cell r="P53">
            <v>220402735</v>
          </cell>
          <cell r="Q53">
            <v>198336988.21685207</v>
          </cell>
          <cell r="R53">
            <v>216099681.58198112</v>
          </cell>
          <cell r="S53">
            <v>238853185.10802394</v>
          </cell>
          <cell r="T53">
            <v>242702114.27576911</v>
          </cell>
          <cell r="U53">
            <v>244000037.58973342</v>
          </cell>
          <cell r="V53">
            <v>256351694.14983538</v>
          </cell>
          <cell r="W53">
            <v>277936054.80820769</v>
          </cell>
          <cell r="X53">
            <v>329674933.86319137</v>
          </cell>
          <cell r="Y53">
            <v>327838041.39430302</v>
          </cell>
          <cell r="Z53">
            <v>318640962.61132663</v>
          </cell>
          <cell r="AA53">
            <v>337697976.64706576</v>
          </cell>
          <cell r="AB53">
            <v>365006830.42158008</v>
          </cell>
          <cell r="AC53">
            <v>415410348.78232515</v>
          </cell>
          <cell r="AD53">
            <v>458223615.86661655</v>
          </cell>
          <cell r="AE53">
            <v>459599408.71388924</v>
          </cell>
          <cell r="AF53">
            <v>403891971.94833112</v>
          </cell>
          <cell r="AG53">
            <v>427348987.91155642</v>
          </cell>
          <cell r="AH53">
            <v>451728709.96381629</v>
          </cell>
          <cell r="AI53">
            <v>490889319.8509407</v>
          </cell>
          <cell r="AJ53">
            <v>500661953.8854807</v>
          </cell>
          <cell r="AK53">
            <v>497807396.27595097</v>
          </cell>
          <cell r="AL53">
            <v>474295541.19663417</v>
          </cell>
          <cell r="AM53">
            <v>493890684.47622216</v>
          </cell>
          <cell r="AN53">
            <v>511611135.12325239</v>
          </cell>
          <cell r="AO53">
            <v>530111591.03694379</v>
          </cell>
          <cell r="AP53">
            <v>553107719.81817889</v>
          </cell>
        </row>
        <row r="54">
          <cell r="B54">
            <v>0</v>
          </cell>
          <cell r="C54">
            <v>4563727</v>
          </cell>
          <cell r="D54">
            <v>3592628</v>
          </cell>
          <cell r="E54">
            <v>7255975</v>
          </cell>
          <cell r="F54">
            <v>15664923</v>
          </cell>
          <cell r="G54">
            <v>14419983</v>
          </cell>
          <cell r="H54">
            <v>22569322</v>
          </cell>
          <cell r="I54">
            <v>17747238</v>
          </cell>
          <cell r="J54">
            <v>12384025</v>
          </cell>
          <cell r="K54">
            <v>39760652</v>
          </cell>
          <cell r="L54">
            <v>53207936</v>
          </cell>
          <cell r="M54">
            <v>68859545</v>
          </cell>
          <cell r="N54">
            <v>116253275</v>
          </cell>
          <cell r="O54">
            <v>202490999</v>
          </cell>
          <cell r="P54">
            <v>282589564</v>
          </cell>
          <cell r="Q54">
            <v>195595310.42807597</v>
          </cell>
          <cell r="R54">
            <v>215722928.55995023</v>
          </cell>
          <cell r="S54">
            <v>238366010.68480831</v>
          </cell>
          <cell r="T54">
            <v>243606682.90877292</v>
          </cell>
          <cell r="U54">
            <v>244970522.4732177</v>
          </cell>
          <cell r="V54">
            <v>256708443.04556444</v>
          </cell>
          <cell r="W54">
            <v>278342482.54892325</v>
          </cell>
          <cell r="X54">
            <v>330115541.04007667</v>
          </cell>
          <cell r="Y54">
            <v>328556808.6677587</v>
          </cell>
          <cell r="Z54">
            <v>319494028.72717369</v>
          </cell>
          <cell r="AA54">
            <v>338504106.54127818</v>
          </cell>
          <cell r="AB54">
            <v>365555781.46483302</v>
          </cell>
          <cell r="AC54">
            <v>415860895.26614875</v>
          </cell>
          <cell r="AD54">
            <v>458732480.2883575</v>
          </cell>
          <cell r="AE54">
            <v>460461090.31863701</v>
          </cell>
          <cell r="AF54">
            <v>405196599.80051374</v>
          </cell>
          <cell r="AG54">
            <v>428490873.9332031</v>
          </cell>
          <cell r="AH54">
            <v>452909815.18144464</v>
          </cell>
          <cell r="AI54">
            <v>492137597.67026901</v>
          </cell>
          <cell r="AJ54">
            <v>501957049.62916809</v>
          </cell>
          <cell r="AK54">
            <v>499115830.75627995</v>
          </cell>
          <cell r="AL54">
            <v>475773664.89115649</v>
          </cell>
          <cell r="AM54">
            <v>495117455.28483742</v>
          </cell>
          <cell r="AN54">
            <v>512893850.03131956</v>
          </cell>
          <cell r="AO54">
            <v>531439779.40409589</v>
          </cell>
          <cell r="AP54">
            <v>554299303.5024761</v>
          </cell>
        </row>
        <row r="55">
          <cell r="B55">
            <v>314992</v>
          </cell>
          <cell r="C55">
            <v>6466366</v>
          </cell>
          <cell r="D55">
            <v>6278711</v>
          </cell>
          <cell r="E55">
            <v>15712345</v>
          </cell>
          <cell r="F55">
            <v>13997563</v>
          </cell>
          <cell r="G55">
            <v>15521249</v>
          </cell>
          <cell r="H55">
            <v>19520008</v>
          </cell>
          <cell r="I55">
            <v>19651809</v>
          </cell>
          <cell r="J55">
            <v>10553514</v>
          </cell>
          <cell r="K55">
            <v>46282285</v>
          </cell>
          <cell r="L55">
            <v>46684399</v>
          </cell>
          <cell r="M55">
            <v>69500573</v>
          </cell>
          <cell r="N55">
            <v>108975538</v>
          </cell>
          <cell r="O55">
            <v>182796774</v>
          </cell>
          <cell r="P55">
            <v>292633360</v>
          </cell>
          <cell r="Q55">
            <v>192075200.21665865</v>
          </cell>
          <cell r="R55">
            <v>210519340.09415069</v>
          </cell>
          <cell r="S55">
            <v>232082093.56796181</v>
          </cell>
          <cell r="T55">
            <v>236773522.09535536</v>
          </cell>
          <cell r="U55">
            <v>238956910.24844706</v>
          </cell>
          <cell r="V55">
            <v>250033211.12136015</v>
          </cell>
          <cell r="W55">
            <v>271095635.63357651</v>
          </cell>
          <cell r="X55">
            <v>321538833.71866876</v>
          </cell>
          <cell r="Y55">
            <v>319993427.68153834</v>
          </cell>
          <cell r="Z55">
            <v>311153167.81072766</v>
          </cell>
          <cell r="AA55">
            <v>329588685.68030602</v>
          </cell>
          <cell r="AB55">
            <v>356114822.16137314</v>
          </cell>
          <cell r="AC55">
            <v>405229578.33277351</v>
          </cell>
          <cell r="AD55">
            <v>447020944.42079216</v>
          </cell>
          <cell r="AE55">
            <v>448514912.47089088</v>
          </cell>
          <cell r="AF55">
            <v>394372836.6787504</v>
          </cell>
          <cell r="AG55">
            <v>417178581.6266951</v>
          </cell>
          <cell r="AH55">
            <v>440970847.72339886</v>
          </cell>
          <cell r="AI55">
            <v>479185426.11763954</v>
          </cell>
          <cell r="AJ55">
            <v>488732302.66466373</v>
          </cell>
          <cell r="AK55">
            <v>485952618.05736911</v>
          </cell>
          <cell r="AL55">
            <v>463103713.50400579</v>
          </cell>
          <cell r="AM55">
            <v>482100027.13165694</v>
          </cell>
          <cell r="AN55">
            <v>499402600.78882289</v>
          </cell>
          <cell r="AO55">
            <v>517460661.01597357</v>
          </cell>
          <cell r="AP55">
            <v>539822657.84982312</v>
          </cell>
        </row>
        <row r="56">
          <cell r="B56">
            <v>730498</v>
          </cell>
          <cell r="C56">
            <v>8445355</v>
          </cell>
          <cell r="D56">
            <v>5481101</v>
          </cell>
          <cell r="E56">
            <v>15256251</v>
          </cell>
          <cell r="F56">
            <v>2043114</v>
          </cell>
          <cell r="G56">
            <v>15100408</v>
          </cell>
          <cell r="H56">
            <v>24799964</v>
          </cell>
          <cell r="I56">
            <v>24672392</v>
          </cell>
          <cell r="J56">
            <v>16024601</v>
          </cell>
          <cell r="K56">
            <v>30180616</v>
          </cell>
          <cell r="L56">
            <v>43952654</v>
          </cell>
          <cell r="M56">
            <v>82392520</v>
          </cell>
          <cell r="N56">
            <v>122248954</v>
          </cell>
          <cell r="O56">
            <v>236476280</v>
          </cell>
          <cell r="P56">
            <v>260490373</v>
          </cell>
          <cell r="Q56">
            <v>196758801.69768375</v>
          </cell>
          <cell r="R56">
            <v>216241453.26312792</v>
          </cell>
          <cell r="S56">
            <v>238636897.18670946</v>
          </cell>
          <cell r="T56">
            <v>243626568.18724155</v>
          </cell>
          <cell r="U56">
            <v>245851134.01359108</v>
          </cell>
          <cell r="V56">
            <v>257412084.30610371</v>
          </cell>
          <cell r="W56">
            <v>278979038.75780982</v>
          </cell>
          <cell r="X56">
            <v>330667683.35045755</v>
          </cell>
          <cell r="Y56">
            <v>329211311.18897265</v>
          </cell>
          <cell r="Z56">
            <v>320438706.51265907</v>
          </cell>
          <cell r="AA56">
            <v>339448029.86728585</v>
          </cell>
          <cell r="AB56">
            <v>366246298.28555048</v>
          </cell>
          <cell r="AC56">
            <v>416468554.18677682</v>
          </cell>
          <cell r="AD56">
            <v>459413346.3473981</v>
          </cell>
          <cell r="AE56">
            <v>461480173.25302553</v>
          </cell>
          <cell r="AF56">
            <v>406563130.11718684</v>
          </cell>
          <cell r="AG56">
            <v>429719415.64624351</v>
          </cell>
          <cell r="AH56">
            <v>454183895.50973094</v>
          </cell>
          <cell r="AI56">
            <v>493495134.25461197</v>
          </cell>
          <cell r="AJ56">
            <v>503364860.06139028</v>
          </cell>
          <cell r="AK56">
            <v>500531409.09394163</v>
          </cell>
          <cell r="AL56">
            <v>477320939.33113724</v>
          </cell>
          <cell r="AM56">
            <v>496458838.36562479</v>
          </cell>
          <cell r="AN56">
            <v>514294464.48160762</v>
          </cell>
          <cell r="AO56">
            <v>532890569.32980841</v>
          </cell>
          <cell r="AP56">
            <v>555644560.33273005</v>
          </cell>
        </row>
        <row r="57">
          <cell r="B57">
            <v>973736</v>
          </cell>
          <cell r="C57">
            <v>5899070</v>
          </cell>
          <cell r="D57">
            <v>3738917</v>
          </cell>
          <cell r="E57">
            <v>17641091</v>
          </cell>
          <cell r="F57">
            <v>5949426</v>
          </cell>
          <cell r="G57">
            <v>13846255</v>
          </cell>
          <cell r="H57">
            <v>19215411</v>
          </cell>
          <cell r="I57">
            <v>21967038</v>
          </cell>
          <cell r="J57">
            <v>32248456</v>
          </cell>
          <cell r="K57">
            <v>40692380</v>
          </cell>
          <cell r="L57">
            <v>48112771</v>
          </cell>
          <cell r="M57">
            <v>55747506</v>
          </cell>
          <cell r="N57">
            <v>127613378</v>
          </cell>
          <cell r="O57">
            <v>234008508</v>
          </cell>
          <cell r="P57">
            <v>257927937</v>
          </cell>
          <cell r="Q57">
            <v>199567496.23015037</v>
          </cell>
          <cell r="R57">
            <v>219228704.34448102</v>
          </cell>
          <cell r="S57">
            <v>242156755.52030525</v>
          </cell>
          <cell r="T57">
            <v>246630143.23247263</v>
          </cell>
          <cell r="U57">
            <v>248718331.233812</v>
          </cell>
          <cell r="V57">
            <v>260670373.02903578</v>
          </cell>
          <cell r="W57">
            <v>282559598.33993489</v>
          </cell>
          <cell r="X57">
            <v>334977538.00954771</v>
          </cell>
          <cell r="Y57">
            <v>333356989.57658458</v>
          </cell>
          <cell r="Z57">
            <v>324359063.04280567</v>
          </cell>
          <cell r="AA57">
            <v>343646725.72550035</v>
          </cell>
          <cell r="AB57">
            <v>370967127.54239714</v>
          </cell>
          <cell r="AC57">
            <v>421936438.03856432</v>
          </cell>
          <cell r="AD57">
            <v>465435352.69876647</v>
          </cell>
          <cell r="AE57">
            <v>467332325.68381387</v>
          </cell>
          <cell r="AF57">
            <v>411421668.76684034</v>
          </cell>
          <cell r="AG57">
            <v>434986958.52978539</v>
          </cell>
          <cell r="AH57">
            <v>459765443.83089226</v>
          </cell>
          <cell r="AI57">
            <v>499577849.43475699</v>
          </cell>
          <cell r="AJ57">
            <v>509556674.75729841</v>
          </cell>
          <cell r="AK57">
            <v>506677597.34702885</v>
          </cell>
          <cell r="AL57">
            <v>483056718.48419172</v>
          </cell>
          <cell r="AM57">
            <v>502594012.62212807</v>
          </cell>
          <cell r="AN57">
            <v>520643383.6052413</v>
          </cell>
          <cell r="AO57">
            <v>539469533.74594188</v>
          </cell>
          <cell r="AP57">
            <v>562610092.02643621</v>
          </cell>
        </row>
        <row r="58">
          <cell r="B58">
            <v>1453856</v>
          </cell>
          <cell r="C58">
            <v>6918026</v>
          </cell>
          <cell r="D58">
            <v>3853854</v>
          </cell>
          <cell r="E58">
            <v>18931762</v>
          </cell>
          <cell r="F58">
            <v>14721823</v>
          </cell>
          <cell r="G58">
            <v>13414121</v>
          </cell>
          <cell r="H58">
            <v>20639765</v>
          </cell>
          <cell r="I58">
            <v>25346827</v>
          </cell>
          <cell r="J58">
            <v>39005346</v>
          </cell>
          <cell r="K58">
            <v>48569223</v>
          </cell>
          <cell r="L58">
            <v>25237496</v>
          </cell>
          <cell r="M58">
            <v>77344974</v>
          </cell>
          <cell r="N58">
            <v>113679693</v>
          </cell>
          <cell r="O58">
            <v>214031283</v>
          </cell>
          <cell r="P58">
            <v>289557293</v>
          </cell>
          <cell r="Q58">
            <v>216647542.43543953</v>
          </cell>
          <cell r="R58">
            <v>238583297.33016378</v>
          </cell>
          <cell r="S58">
            <v>263133733.24879843</v>
          </cell>
          <cell r="T58">
            <v>268323811.52612466</v>
          </cell>
          <cell r="U58">
            <v>270208426.65035695</v>
          </cell>
          <cell r="V58">
            <v>283206545.38055897</v>
          </cell>
          <cell r="W58">
            <v>307061170.11684263</v>
          </cell>
          <cell r="X58">
            <v>364211403.58770156</v>
          </cell>
          <cell r="Y58">
            <v>362381018.27605021</v>
          </cell>
          <cell r="Z58">
            <v>352270081.06497884</v>
          </cell>
          <cell r="AA58">
            <v>373224152.01937723</v>
          </cell>
          <cell r="AB58">
            <v>403334353.46090245</v>
          </cell>
          <cell r="AC58">
            <v>458998305.58736235</v>
          </cell>
          <cell r="AD58">
            <v>506325404.38053089</v>
          </cell>
          <cell r="AE58">
            <v>507930410.99449974</v>
          </cell>
          <cell r="AF58">
            <v>446496644.92050314</v>
          </cell>
          <cell r="AG58">
            <v>472370630.98572713</v>
          </cell>
          <cell r="AH58">
            <v>499315236.69568378</v>
          </cell>
          <cell r="AI58">
            <v>542593217.69076204</v>
          </cell>
          <cell r="AJ58">
            <v>553398477.27520537</v>
          </cell>
          <cell r="AK58">
            <v>550247459.81934953</v>
          </cell>
          <cell r="AL58">
            <v>524320739.92370009</v>
          </cell>
          <cell r="AM58">
            <v>545901079.71907055</v>
          </cell>
          <cell r="AN58">
            <v>565490634.75281751</v>
          </cell>
          <cell r="AO58">
            <v>585938757.52156663</v>
          </cell>
          <cell r="AP58">
            <v>611305676.8457607</v>
          </cell>
        </row>
        <row r="59">
          <cell r="B59">
            <v>2233776</v>
          </cell>
          <cell r="C59">
            <v>5233920</v>
          </cell>
          <cell r="D59">
            <v>5580709</v>
          </cell>
          <cell r="E59">
            <v>15678898</v>
          </cell>
          <cell r="F59">
            <v>16462802</v>
          </cell>
          <cell r="G59">
            <v>12655566</v>
          </cell>
          <cell r="H59">
            <v>27361235</v>
          </cell>
          <cell r="I59">
            <v>23176779</v>
          </cell>
          <cell r="J59">
            <v>40325399</v>
          </cell>
          <cell r="K59">
            <v>42514597</v>
          </cell>
          <cell r="L59">
            <v>49060129</v>
          </cell>
          <cell r="M59">
            <v>101861084</v>
          </cell>
          <cell r="N59">
            <v>171787630</v>
          </cell>
          <cell r="O59">
            <v>205619514</v>
          </cell>
          <cell r="P59">
            <v>261189424</v>
          </cell>
          <cell r="Q59">
            <v>233980933.73434195</v>
          </cell>
          <cell r="R59">
            <v>288005904.49351925</v>
          </cell>
          <cell r="S59">
            <v>318437765.19553727</v>
          </cell>
          <cell r="T59">
            <v>324105784.34622979</v>
          </cell>
          <cell r="U59">
            <v>326915957.51048094</v>
          </cell>
          <cell r="V59">
            <v>342127884.18371904</v>
          </cell>
          <cell r="W59">
            <v>371062267.34164441</v>
          </cell>
          <cell r="X59">
            <v>440363381.72453421</v>
          </cell>
          <cell r="Y59">
            <v>438022232.40879124</v>
          </cell>
          <cell r="Z59">
            <v>425692985.24432093</v>
          </cell>
          <cell r="AA59">
            <v>450938234.56570315</v>
          </cell>
          <cell r="AB59">
            <v>487595627.41366339</v>
          </cell>
          <cell r="AC59">
            <v>555044045.36868405</v>
          </cell>
          <cell r="AD59">
            <v>612266921.57508743</v>
          </cell>
          <cell r="AE59">
            <v>613952846.32622719</v>
          </cell>
          <cell r="AF59">
            <v>539304425.54450047</v>
          </cell>
          <cell r="AG59">
            <v>570734219.15428579</v>
          </cell>
          <cell r="AH59">
            <v>603311704.82833278</v>
          </cell>
          <cell r="AI59">
            <v>655625283.77727413</v>
          </cell>
          <cell r="AJ59">
            <v>668663192.27012849</v>
          </cell>
          <cell r="AK59">
            <v>664840910.18463349</v>
          </cell>
          <cell r="AL59">
            <v>633358192.98578227</v>
          </cell>
          <cell r="AM59">
            <v>659640959.16620398</v>
          </cell>
          <cell r="AN59">
            <v>683303159.60383523</v>
          </cell>
          <cell r="AO59">
            <v>708011595.0872823</v>
          </cell>
          <cell r="AP59">
            <v>738796929.08413994</v>
          </cell>
        </row>
        <row r="60">
          <cell r="B60">
            <v>3069735</v>
          </cell>
          <cell r="C60">
            <v>6480832</v>
          </cell>
          <cell r="D60">
            <v>3795468</v>
          </cell>
          <cell r="E60">
            <v>13897310</v>
          </cell>
          <cell r="F60">
            <v>22831111</v>
          </cell>
          <cell r="G60">
            <v>13320532</v>
          </cell>
          <cell r="H60">
            <v>27156977</v>
          </cell>
          <cell r="I60">
            <v>25524348</v>
          </cell>
          <cell r="J60">
            <v>47330432</v>
          </cell>
          <cell r="K60">
            <v>52796160</v>
          </cell>
          <cell r="L60">
            <v>57807992</v>
          </cell>
          <cell r="M60">
            <v>118270462</v>
          </cell>
          <cell r="N60">
            <v>153759160</v>
          </cell>
          <cell r="O60">
            <v>274816428</v>
          </cell>
          <cell r="P60">
            <v>314111589</v>
          </cell>
          <cell r="Q60">
            <v>283976602.73018843</v>
          </cell>
          <cell r="R60">
            <v>327988261.60637504</v>
          </cell>
          <cell r="S60">
            <v>360408804.48522425</v>
          </cell>
          <cell r="T60">
            <v>366605883.8644672</v>
          </cell>
          <cell r="U60">
            <v>369856670.91491246</v>
          </cell>
          <cell r="V60">
            <v>387299754.70567995</v>
          </cell>
          <cell r="W60">
            <v>420348949.46926063</v>
          </cell>
          <cell r="X60">
            <v>498475419.86634046</v>
          </cell>
          <cell r="Y60">
            <v>495804608.01874244</v>
          </cell>
          <cell r="Z60">
            <v>481822710.00184309</v>
          </cell>
          <cell r="AA60">
            <v>510443586.60780591</v>
          </cell>
          <cell r="AB60">
            <v>552062997.22252452</v>
          </cell>
          <cell r="AC60">
            <v>628438287.86428332</v>
          </cell>
          <cell r="AD60">
            <v>693244759.61271596</v>
          </cell>
          <cell r="AE60">
            <v>695037731.12350714</v>
          </cell>
          <cell r="AF60">
            <v>610341055.9153254</v>
          </cell>
          <cell r="AG60">
            <v>645991489.15770173</v>
          </cell>
          <cell r="AH60">
            <v>682868215.24964094</v>
          </cell>
          <cell r="AI60">
            <v>742096839.95330358</v>
          </cell>
          <cell r="AJ60">
            <v>756847476.378196</v>
          </cell>
          <cell r="AK60">
            <v>752513445.44148159</v>
          </cell>
          <cell r="AL60">
            <v>716797919.59206676</v>
          </cell>
          <cell r="AM60">
            <v>746651631.44184577</v>
          </cell>
          <cell r="AN60">
            <v>773431573.27484298</v>
          </cell>
          <cell r="AO60">
            <v>801399399.2506671</v>
          </cell>
          <cell r="AP60">
            <v>836312779.50156879</v>
          </cell>
        </row>
      </sheetData>
      <sheetData sheetId="14"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I19">
            <v>210331</v>
          </cell>
          <cell r="J19">
            <v>139714</v>
          </cell>
          <cell r="K19">
            <v>194630</v>
          </cell>
          <cell r="L19">
            <v>41590</v>
          </cell>
          <cell r="M19">
            <v>289825</v>
          </cell>
          <cell r="N19">
            <v>402120</v>
          </cell>
          <cell r="O19">
            <v>100937</v>
          </cell>
          <cell r="P19">
            <v>9660626</v>
          </cell>
          <cell r="Q19">
            <v>16372550</v>
          </cell>
          <cell r="R19">
            <v>26182438.797614936</v>
          </cell>
          <cell r="S19">
            <v>71838724.914646059</v>
          </cell>
          <cell r="T19">
            <v>93857296.725430235</v>
          </cell>
          <cell r="U19">
            <v>125658564.4711547</v>
          </cell>
          <cell r="V19">
            <v>169330013.3135882</v>
          </cell>
          <cell r="W19">
            <v>193602858.8713778</v>
          </cell>
          <cell r="X19">
            <v>242091548.40398535</v>
          </cell>
          <cell r="Y19">
            <v>253057899.32075387</v>
          </cell>
          <cell r="Z19">
            <v>275462176.70737106</v>
          </cell>
          <cell r="AA19">
            <v>287580160.678868</v>
          </cell>
          <cell r="AB19">
            <v>222493016.48350796</v>
          </cell>
          <cell r="AC19">
            <v>242188863.88938624</v>
          </cell>
          <cell r="AD19">
            <v>271900291.41320002</v>
          </cell>
          <cell r="AE19">
            <v>270958485.92603678</v>
          </cell>
          <cell r="AF19">
            <v>269082448.10783219</v>
          </cell>
          <cell r="AG19">
            <v>280584246.7841081</v>
          </cell>
          <cell r="AH19">
            <v>289698756.54173476</v>
          </cell>
          <cell r="AI19">
            <v>296364712.56034964</v>
          </cell>
          <cell r="AJ19">
            <v>299747823.08860928</v>
          </cell>
          <cell r="AK19">
            <v>308646117.02075291</v>
          </cell>
          <cell r="AL19">
            <v>325545514.02043581</v>
          </cell>
          <cell r="AM19">
            <v>337304404.30988789</v>
          </cell>
          <cell r="AN19">
            <v>337690618.44112271</v>
          </cell>
          <cell r="AO19">
            <v>337125014.36640096</v>
          </cell>
          <cell r="AP19">
            <v>345049411.98056835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190622</v>
          </cell>
          <cell r="J20">
            <v>237996</v>
          </cell>
          <cell r="K20">
            <v>187609</v>
          </cell>
          <cell r="L20">
            <v>0</v>
          </cell>
          <cell r="M20">
            <v>294725</v>
          </cell>
          <cell r="N20">
            <v>2519869</v>
          </cell>
          <cell r="O20">
            <v>3064876</v>
          </cell>
          <cell r="P20">
            <v>1254939</v>
          </cell>
          <cell r="Q20">
            <v>15728119</v>
          </cell>
          <cell r="R20">
            <v>49769109.030017033</v>
          </cell>
          <cell r="S20">
            <v>136410063.87786058</v>
          </cell>
          <cell r="T20">
            <v>178659613.65068796</v>
          </cell>
          <cell r="U20">
            <v>228615208.3670066</v>
          </cell>
          <cell r="V20">
            <v>311957213.97490871</v>
          </cell>
          <cell r="W20">
            <v>362133384.0720005</v>
          </cell>
          <cell r="X20">
            <v>454257575.951814</v>
          </cell>
          <cell r="Y20">
            <v>474189259.34671611</v>
          </cell>
          <cell r="Z20">
            <v>515067003.81089395</v>
          </cell>
          <cell r="AA20">
            <v>538532430.72217834</v>
          </cell>
          <cell r="AB20">
            <v>415940792.25408375</v>
          </cell>
          <cell r="AC20">
            <v>453101106.43873698</v>
          </cell>
          <cell r="AD20">
            <v>509185560.96955699</v>
          </cell>
          <cell r="AE20">
            <v>508035806.06366986</v>
          </cell>
          <cell r="AF20">
            <v>504915344.10027957</v>
          </cell>
          <cell r="AG20">
            <v>526656338.85305774</v>
          </cell>
          <cell r="AH20">
            <v>543714229.79158998</v>
          </cell>
          <cell r="AI20">
            <v>556206414.11382818</v>
          </cell>
          <cell r="AJ20">
            <v>562563938.92635345</v>
          </cell>
          <cell r="AK20">
            <v>579284937.640288</v>
          </cell>
          <cell r="AL20">
            <v>610998757.72198415</v>
          </cell>
          <cell r="AM20">
            <v>633058851.40300572</v>
          </cell>
          <cell r="AN20">
            <v>633783166.94524372</v>
          </cell>
          <cell r="AO20">
            <v>632724907.1701597</v>
          </cell>
          <cell r="AP20">
            <v>647599819.92666256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0</v>
          </cell>
          <cell r="I21">
            <v>184825</v>
          </cell>
          <cell r="J21">
            <v>103790</v>
          </cell>
          <cell r="K21">
            <v>183940</v>
          </cell>
          <cell r="L21">
            <v>280826</v>
          </cell>
          <cell r="M21">
            <v>288906</v>
          </cell>
          <cell r="N21">
            <v>2922508</v>
          </cell>
          <cell r="O21">
            <v>2211806</v>
          </cell>
          <cell r="P21">
            <v>7782698</v>
          </cell>
          <cell r="Q21">
            <v>8826708</v>
          </cell>
          <cell r="R21">
            <v>20133954.750928383</v>
          </cell>
          <cell r="S21">
            <v>55068922.522667557</v>
          </cell>
          <cell r="T21">
            <v>71495946.13161619</v>
          </cell>
          <cell r="U21">
            <v>94672703.8684403</v>
          </cell>
          <cell r="V21">
            <v>127038842.03956485</v>
          </cell>
          <cell r="W21">
            <v>146606946.06226254</v>
          </cell>
          <cell r="X21">
            <v>183311874.61042628</v>
          </cell>
          <cell r="Y21">
            <v>191403068.62090603</v>
          </cell>
          <cell r="Z21">
            <v>208189234.01892436</v>
          </cell>
          <cell r="AA21">
            <v>217377392.87950662</v>
          </cell>
          <cell r="AB21">
            <v>168260433.80499935</v>
          </cell>
          <cell r="AC21">
            <v>183139013.65481985</v>
          </cell>
          <cell r="AD21">
            <v>205597022.29338294</v>
          </cell>
          <cell r="AE21">
            <v>204910697.61726433</v>
          </cell>
          <cell r="AF21">
            <v>203523933.66342291</v>
          </cell>
          <cell r="AG21">
            <v>212249282.99278367</v>
          </cell>
          <cell r="AH21">
            <v>219131196.24082625</v>
          </cell>
          <cell r="AI21">
            <v>224167182.04883334</v>
          </cell>
          <cell r="AJ21">
            <v>226727591.49033585</v>
          </cell>
          <cell r="AK21">
            <v>233462263.37527874</v>
          </cell>
          <cell r="AL21">
            <v>246246159.71347085</v>
          </cell>
          <cell r="AM21">
            <v>255137979.39059666</v>
          </cell>
          <cell r="AN21">
            <v>255429626.02287757</v>
          </cell>
          <cell r="AO21">
            <v>255002530.41339225</v>
          </cell>
          <cell r="AP21">
            <v>260997138.52264854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184634</v>
          </cell>
          <cell r="K22">
            <v>245975</v>
          </cell>
          <cell r="L22">
            <v>1234442</v>
          </cell>
          <cell r="M22">
            <v>293289</v>
          </cell>
          <cell r="N22">
            <v>408991</v>
          </cell>
          <cell r="O22">
            <v>2311450</v>
          </cell>
          <cell r="P22">
            <v>8403241</v>
          </cell>
          <cell r="Q22">
            <v>13308048.905589283</v>
          </cell>
          <cell r="R22">
            <v>31816320.088426925</v>
          </cell>
          <cell r="S22">
            <v>87516229.652979359</v>
          </cell>
          <cell r="T22">
            <v>114690822.68038088</v>
          </cell>
          <cell r="U22">
            <v>150061451.47635484</v>
          </cell>
          <cell r="V22">
            <v>202442069.6704239</v>
          </cell>
          <cell r="W22">
            <v>233865427.44251126</v>
          </cell>
          <cell r="X22">
            <v>292896545.58886433</v>
          </cell>
          <cell r="Y22">
            <v>305934444.5542323</v>
          </cell>
          <cell r="Z22">
            <v>332579381.29099256</v>
          </cell>
          <cell r="AA22">
            <v>347384122.91677815</v>
          </cell>
          <cell r="AB22">
            <v>268642630.10744131</v>
          </cell>
          <cell r="AC22">
            <v>292518605.05435014</v>
          </cell>
          <cell r="AD22">
            <v>328537416.85152793</v>
          </cell>
          <cell r="AE22">
            <v>327570325.19799984</v>
          </cell>
          <cell r="AF22">
            <v>325424212.82770789</v>
          </cell>
          <cell r="AG22">
            <v>339399858.27864075</v>
          </cell>
          <cell r="AH22">
            <v>350405082.0411765</v>
          </cell>
          <cell r="AI22">
            <v>358458174.30512685</v>
          </cell>
          <cell r="AJ22">
            <v>362551299.51928526</v>
          </cell>
          <cell r="AK22">
            <v>373322139.26566219</v>
          </cell>
          <cell r="AL22">
            <v>393763558.47419029</v>
          </cell>
          <cell r="AM22">
            <v>407982263.31526423</v>
          </cell>
          <cell r="AN22">
            <v>408448622.59732509</v>
          </cell>
          <cell r="AO22">
            <v>407765619.10970992</v>
          </cell>
          <cell r="AP22">
            <v>417351566.19460899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134485</v>
          </cell>
          <cell r="J23">
            <v>64189</v>
          </cell>
          <cell r="K23">
            <v>254288</v>
          </cell>
          <cell r="L23">
            <v>0</v>
          </cell>
          <cell r="M23">
            <v>287496</v>
          </cell>
          <cell r="N23">
            <v>202831</v>
          </cell>
          <cell r="O23">
            <v>1626715</v>
          </cell>
          <cell r="P23">
            <v>18055498</v>
          </cell>
          <cell r="Q23">
            <v>15695583.131274737</v>
          </cell>
          <cell r="R23">
            <v>41780561.021103673</v>
          </cell>
          <cell r="S23">
            <v>115278881.02848986</v>
          </cell>
          <cell r="T23">
            <v>151068433.84608757</v>
          </cell>
          <cell r="U23">
            <v>199076953.03664705</v>
          </cell>
          <cell r="V23">
            <v>266401465.28689945</v>
          </cell>
          <cell r="W23">
            <v>308291621.86943632</v>
          </cell>
          <cell r="X23">
            <v>386018298.39756542</v>
          </cell>
          <cell r="Y23">
            <v>403229734.6331256</v>
          </cell>
          <cell r="Z23">
            <v>438403054.22398633</v>
          </cell>
          <cell r="AA23">
            <v>457698449.26422077</v>
          </cell>
          <cell r="AB23">
            <v>354118209.6740467</v>
          </cell>
          <cell r="AC23">
            <v>385558497.24723381</v>
          </cell>
          <cell r="AD23">
            <v>432981750.12180865</v>
          </cell>
          <cell r="AE23">
            <v>431649760.04424119</v>
          </cell>
          <cell r="AF23">
            <v>428784834.20417035</v>
          </cell>
          <cell r="AG23">
            <v>447206387.44169664</v>
          </cell>
          <cell r="AH23">
            <v>461707527.31536746</v>
          </cell>
          <cell r="AI23">
            <v>472316737.85257494</v>
          </cell>
          <cell r="AJ23">
            <v>477707934.64939249</v>
          </cell>
          <cell r="AK23">
            <v>491899049.01143104</v>
          </cell>
          <cell r="AL23">
            <v>518835955.28814048</v>
          </cell>
          <cell r="AM23">
            <v>537570582.76409626</v>
          </cell>
          <cell r="AN23">
            <v>538184535.36821783</v>
          </cell>
          <cell r="AO23">
            <v>537284345.16967785</v>
          </cell>
          <cell r="AP23">
            <v>549915216.37465036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127471</v>
          </cell>
          <cell r="J24">
            <v>140194</v>
          </cell>
          <cell r="K24">
            <v>223279</v>
          </cell>
          <cell r="L24">
            <v>508513</v>
          </cell>
          <cell r="M24">
            <v>357317</v>
          </cell>
          <cell r="N24">
            <v>2331749</v>
          </cell>
          <cell r="O24">
            <v>2431985</v>
          </cell>
          <cell r="P24">
            <v>6269264</v>
          </cell>
          <cell r="Q24">
            <v>15877313.805032866</v>
          </cell>
          <cell r="R24">
            <v>40090554.729911327</v>
          </cell>
          <cell r="S24">
            <v>109912763.07836901</v>
          </cell>
          <cell r="T24">
            <v>143928153.63409781</v>
          </cell>
          <cell r="U24">
            <v>186830021.40693691</v>
          </cell>
          <cell r="V24">
            <v>253326951.88233766</v>
          </cell>
          <cell r="W24">
            <v>292980878.73686874</v>
          </cell>
          <cell r="X24">
            <v>367072831.51779979</v>
          </cell>
          <cell r="Y24">
            <v>383321965.71480089</v>
          </cell>
          <cell r="Z24">
            <v>416600885.09563607</v>
          </cell>
          <cell r="AA24">
            <v>435320747.81909347</v>
          </cell>
          <cell r="AB24">
            <v>336504831.94912809</v>
          </cell>
          <cell r="AC24">
            <v>366454290.76937747</v>
          </cell>
          <cell r="AD24">
            <v>411647918.89044106</v>
          </cell>
          <cell r="AE24">
            <v>410524297.58924985</v>
          </cell>
          <cell r="AF24">
            <v>407889172.2767899</v>
          </cell>
          <cell r="AG24">
            <v>425417319.98768061</v>
          </cell>
          <cell r="AH24">
            <v>439206283.68416983</v>
          </cell>
          <cell r="AI24">
            <v>449299655.95658058</v>
          </cell>
          <cell r="AJ24">
            <v>454432264.35824293</v>
          </cell>
          <cell r="AK24">
            <v>467934926.58408231</v>
          </cell>
          <cell r="AL24">
            <v>493555094.71268988</v>
          </cell>
          <cell r="AM24">
            <v>511376509.82642299</v>
          </cell>
          <cell r="AN24">
            <v>511961350.36461264</v>
          </cell>
          <cell r="AO24">
            <v>511105718.42924017</v>
          </cell>
          <cell r="AP24">
            <v>523121130.4948082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120661</v>
          </cell>
          <cell r="J25">
            <v>82231</v>
          </cell>
          <cell r="K25">
            <v>146613</v>
          </cell>
          <cell r="L25">
            <v>1536725</v>
          </cell>
          <cell r="M25">
            <v>1093159</v>
          </cell>
          <cell r="N25">
            <v>1137973</v>
          </cell>
          <cell r="O25">
            <v>1770762</v>
          </cell>
          <cell r="P25">
            <v>10194334</v>
          </cell>
          <cell r="Q25">
            <v>18644432.350191236</v>
          </cell>
          <cell r="R25">
            <v>44099613.937141791</v>
          </cell>
          <cell r="S25">
            <v>119714909.12933441</v>
          </cell>
          <cell r="T25">
            <v>156729366.16105363</v>
          </cell>
          <cell r="U25">
            <v>204877289.07731122</v>
          </cell>
          <cell r="V25">
            <v>276984839.96866107</v>
          </cell>
          <cell r="W25">
            <v>319843626.76435572</v>
          </cell>
          <cell r="X25">
            <v>400302116.39205301</v>
          </cell>
          <cell r="Y25">
            <v>418099543.24597806</v>
          </cell>
          <cell r="Z25">
            <v>454528927.20170164</v>
          </cell>
          <cell r="AA25">
            <v>474837622.02182615</v>
          </cell>
          <cell r="AB25">
            <v>367229900.51074994</v>
          </cell>
          <cell r="AC25">
            <v>399822694.51615721</v>
          </cell>
          <cell r="AD25">
            <v>449029832.94191366</v>
          </cell>
          <cell r="AE25">
            <v>447687612.60758471</v>
          </cell>
          <cell r="AF25">
            <v>444750406.21882141</v>
          </cell>
          <cell r="AG25">
            <v>463838349.9205718</v>
          </cell>
          <cell r="AH25">
            <v>478876025.6222105</v>
          </cell>
          <cell r="AI25">
            <v>489883207.73802304</v>
          </cell>
          <cell r="AJ25">
            <v>495478516.72862762</v>
          </cell>
          <cell r="AK25">
            <v>510198651.27004594</v>
          </cell>
          <cell r="AL25">
            <v>538133553.04368472</v>
          </cell>
          <cell r="AM25">
            <v>557565317.01577449</v>
          </cell>
          <cell r="AN25">
            <v>558203082.99026334</v>
          </cell>
          <cell r="AO25">
            <v>557269834.33797264</v>
          </cell>
          <cell r="AP25">
            <v>570370293.67011321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174175</v>
          </cell>
          <cell r="J26">
            <v>70236</v>
          </cell>
          <cell r="K26">
            <v>271757</v>
          </cell>
          <cell r="L26">
            <v>63855</v>
          </cell>
          <cell r="M26">
            <v>722058</v>
          </cell>
          <cell r="N26">
            <v>2039562</v>
          </cell>
          <cell r="O26">
            <v>3475188</v>
          </cell>
          <cell r="P26">
            <v>11018726</v>
          </cell>
          <cell r="Q26">
            <v>18121210.075139798</v>
          </cell>
          <cell r="R26">
            <v>47239990.308537669</v>
          </cell>
          <cell r="S26">
            <v>130514077.87124597</v>
          </cell>
          <cell r="T26">
            <v>170777984.37477323</v>
          </cell>
          <cell r="U26">
            <v>222275866.58954853</v>
          </cell>
          <cell r="V26">
            <v>300230446.138376</v>
          </cell>
          <cell r="W26">
            <v>347471708.85113049</v>
          </cell>
          <cell r="X26">
            <v>435321484.67285985</v>
          </cell>
          <cell r="Y26">
            <v>454545640.3650158</v>
          </cell>
          <cell r="Z26">
            <v>494004571.30375582</v>
          </cell>
          <cell r="AA26">
            <v>516092136.11016458</v>
          </cell>
          <cell r="AB26">
            <v>399082243.85461897</v>
          </cell>
          <cell r="AC26">
            <v>434569912.87510228</v>
          </cell>
          <cell r="AD26">
            <v>488098371.86020541</v>
          </cell>
          <cell r="AE26">
            <v>486706304.34401494</v>
          </cell>
          <cell r="AF26">
            <v>483555339.51892412</v>
          </cell>
          <cell r="AG26">
            <v>504336771.8224569</v>
          </cell>
          <cell r="AH26">
            <v>520683279.40178376</v>
          </cell>
          <cell r="AI26">
            <v>532645954.37678677</v>
          </cell>
          <cell r="AJ26">
            <v>538729626.88032687</v>
          </cell>
          <cell r="AK26">
            <v>554737404.44404888</v>
          </cell>
          <cell r="AL26">
            <v>585111928.0152998</v>
          </cell>
          <cell r="AM26">
            <v>606238745.74514627</v>
          </cell>
          <cell r="AN26">
            <v>606931515.43055546</v>
          </cell>
          <cell r="AO26">
            <v>605917152.94723928</v>
          </cell>
          <cell r="AP26">
            <v>620161664.5515734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230790</v>
          </cell>
          <cell r="I27">
            <v>137952</v>
          </cell>
          <cell r="J27">
            <v>151082</v>
          </cell>
          <cell r="K27">
            <v>275529</v>
          </cell>
          <cell r="L27">
            <v>371169</v>
          </cell>
          <cell r="M27">
            <v>300122</v>
          </cell>
          <cell r="N27">
            <v>393571</v>
          </cell>
          <cell r="O27">
            <v>2163064</v>
          </cell>
          <cell r="P27">
            <v>20695121</v>
          </cell>
          <cell r="Q27">
            <v>19561239.887186892</v>
          </cell>
          <cell r="R27">
            <v>57196378.827984162</v>
          </cell>
          <cell r="S27">
            <v>158438136.91469371</v>
          </cell>
          <cell r="T27">
            <v>207707531.17644346</v>
          </cell>
          <cell r="U27">
            <v>272210401.21531743</v>
          </cell>
          <cell r="V27">
            <v>364517050.31771886</v>
          </cell>
          <cell r="W27">
            <v>422783169.87744755</v>
          </cell>
          <cell r="X27">
            <v>529699158.65717715</v>
          </cell>
          <cell r="Y27">
            <v>553216309.27787578</v>
          </cell>
          <cell r="Z27">
            <v>601295020.64447892</v>
          </cell>
          <cell r="AA27">
            <v>627805091.66413951</v>
          </cell>
          <cell r="AB27">
            <v>485655028.48193932</v>
          </cell>
          <cell r="AC27">
            <v>528836985.62768936</v>
          </cell>
          <cell r="AD27">
            <v>593954856.84986866</v>
          </cell>
          <cell r="AE27">
            <v>592214013.69778848</v>
          </cell>
          <cell r="AF27">
            <v>588334729.41870618</v>
          </cell>
          <cell r="AG27">
            <v>613646961.06679022</v>
          </cell>
          <cell r="AH27">
            <v>633537549.88372314</v>
          </cell>
          <cell r="AI27">
            <v>648090266.54360902</v>
          </cell>
          <cell r="AJ27">
            <v>655487645.3890146</v>
          </cell>
          <cell r="AK27">
            <v>674963043.56951916</v>
          </cell>
          <cell r="AL27">
            <v>711925965.47816062</v>
          </cell>
          <cell r="AM27">
            <v>737631047.17210543</v>
          </cell>
          <cell r="AN27">
            <v>738472948.13120592</v>
          </cell>
          <cell r="AO27">
            <v>737238126.62097335</v>
          </cell>
          <cell r="AP27">
            <v>754570145.35132217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181093</v>
          </cell>
          <cell r="I28">
            <v>160272</v>
          </cell>
          <cell r="J28">
            <v>229089</v>
          </cell>
          <cell r="K28">
            <v>216574</v>
          </cell>
          <cell r="L28">
            <v>188416</v>
          </cell>
          <cell r="M28">
            <v>437741</v>
          </cell>
          <cell r="N28">
            <v>1764631</v>
          </cell>
          <cell r="O28">
            <v>2895877</v>
          </cell>
          <cell r="P28">
            <v>9266341</v>
          </cell>
          <cell r="Q28">
            <v>20223333.555152789</v>
          </cell>
          <cell r="R28">
            <v>56979087.494944744</v>
          </cell>
          <cell r="S28">
            <v>154446777.87649685</v>
          </cell>
          <cell r="T28">
            <v>202410893.47973916</v>
          </cell>
          <cell r="U28">
            <v>262415001.66691062</v>
          </cell>
          <cell r="V28">
            <v>355512244.73193038</v>
          </cell>
          <cell r="W28">
            <v>411903283.55131447</v>
          </cell>
          <cell r="X28">
            <v>515939900.55258411</v>
          </cell>
          <cell r="Y28">
            <v>538791882.46172917</v>
          </cell>
          <cell r="Z28">
            <v>585518802.14841163</v>
          </cell>
          <cell r="AA28">
            <v>611830248.44069135</v>
          </cell>
          <cell r="AB28">
            <v>472940604.86853898</v>
          </cell>
          <cell r="AC28">
            <v>515030164.72771519</v>
          </cell>
          <cell r="AD28">
            <v>578586018.2915113</v>
          </cell>
          <cell r="AE28">
            <v>577044010.81661201</v>
          </cell>
          <cell r="AF28">
            <v>573360524.79421484</v>
          </cell>
          <cell r="AG28">
            <v>598013443.49350882</v>
          </cell>
          <cell r="AH28">
            <v>617390805.59099126</v>
          </cell>
          <cell r="AI28">
            <v>631579134.77789879</v>
          </cell>
          <cell r="AJ28">
            <v>638794277.7892096</v>
          </cell>
          <cell r="AK28">
            <v>657775923.47029114</v>
          </cell>
          <cell r="AL28">
            <v>693790418.43302131</v>
          </cell>
          <cell r="AM28">
            <v>718841028.67455041</v>
          </cell>
          <cell r="AN28">
            <v>719663281.76985824</v>
          </cell>
          <cell r="AO28">
            <v>718460667.8787055</v>
          </cell>
          <cell r="AP28">
            <v>735350840.53289282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192991</v>
          </cell>
          <cell r="I29">
            <v>68957</v>
          </cell>
          <cell r="J29">
            <v>152783</v>
          </cell>
          <cell r="K29">
            <v>91175</v>
          </cell>
          <cell r="L29">
            <v>188201</v>
          </cell>
          <cell r="M29">
            <v>403482</v>
          </cell>
          <cell r="N29">
            <v>152226</v>
          </cell>
          <cell r="O29">
            <v>0</v>
          </cell>
          <cell r="P29">
            <v>3655714</v>
          </cell>
          <cell r="Q29">
            <v>20123971.125173315</v>
          </cell>
          <cell r="R29">
            <v>48164797.349602126</v>
          </cell>
          <cell r="S29">
            <v>133043937.76577485</v>
          </cell>
          <cell r="T29">
            <v>174602860.39938071</v>
          </cell>
          <cell r="U29">
            <v>225879709.25137934</v>
          </cell>
          <cell r="V29">
            <v>307527381.62205279</v>
          </cell>
          <cell r="W29">
            <v>355278001.20339346</v>
          </cell>
          <cell r="X29">
            <v>445595739.02338171</v>
          </cell>
          <cell r="Y29">
            <v>465404449.19100988</v>
          </cell>
          <cell r="Z29">
            <v>505792693.43018126</v>
          </cell>
          <cell r="AA29">
            <v>528621390.94683194</v>
          </cell>
          <cell r="AB29">
            <v>408354490.67827815</v>
          </cell>
          <cell r="AC29">
            <v>444815499.4983936</v>
          </cell>
          <cell r="AD29">
            <v>499806183.71295327</v>
          </cell>
          <cell r="AE29">
            <v>498563868.8264128</v>
          </cell>
          <cell r="AF29">
            <v>495413625.3095938</v>
          </cell>
          <cell r="AG29">
            <v>516712549.78378665</v>
          </cell>
          <cell r="AH29">
            <v>533466114.97746742</v>
          </cell>
          <cell r="AI29">
            <v>545728418.89480829</v>
          </cell>
          <cell r="AJ29">
            <v>551962576.0185771</v>
          </cell>
          <cell r="AK29">
            <v>568362351.65299749</v>
          </cell>
          <cell r="AL29">
            <v>599479440.28035152</v>
          </cell>
          <cell r="AM29">
            <v>621126869.43814158</v>
          </cell>
          <cell r="AN29">
            <v>621837557.27874005</v>
          </cell>
          <cell r="AO29">
            <v>620798103.85034108</v>
          </cell>
          <cell r="AP29">
            <v>635392015.41745877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>
            <v>178772</v>
          </cell>
          <cell r="I30">
            <v>201266</v>
          </cell>
          <cell r="J30">
            <v>272240</v>
          </cell>
          <cell r="K30">
            <v>137333</v>
          </cell>
          <cell r="L30">
            <v>194662</v>
          </cell>
          <cell r="M30">
            <v>308503</v>
          </cell>
          <cell r="N30">
            <v>1543846</v>
          </cell>
          <cell r="O30">
            <v>2422129</v>
          </cell>
          <cell r="P30">
            <v>5564685</v>
          </cell>
          <cell r="Q30">
            <v>17062339.941113248</v>
          </cell>
          <cell r="R30">
            <v>43520641.180795692</v>
          </cell>
          <cell r="S30">
            <v>119092501.60839956</v>
          </cell>
          <cell r="T30">
            <v>157005083.24319091</v>
          </cell>
          <cell r="U30">
            <v>203358520.52710912</v>
          </cell>
          <cell r="V30">
            <v>276075783.68819708</v>
          </cell>
          <cell r="W30">
            <v>319237069.65708202</v>
          </cell>
          <cell r="X30">
            <v>400302653.62388659</v>
          </cell>
          <cell r="Y30">
            <v>418238282.08050859</v>
          </cell>
          <cell r="Z30">
            <v>454506628.32126623</v>
          </cell>
          <cell r="AA30">
            <v>474936299.98842728</v>
          </cell>
          <cell r="AB30">
            <v>366915672.78283215</v>
          </cell>
          <cell r="AC30">
            <v>399673796.39598131</v>
          </cell>
          <cell r="AD30">
            <v>449099730.41624707</v>
          </cell>
          <cell r="AE30">
            <v>447974187.91155297</v>
          </cell>
          <cell r="AF30">
            <v>445136769.02387118</v>
          </cell>
          <cell r="AG30">
            <v>464280954.23693538</v>
          </cell>
          <cell r="AH30">
            <v>479334886.1594367</v>
          </cell>
          <cell r="AI30">
            <v>490353846.55170214</v>
          </cell>
          <cell r="AJ30">
            <v>495953320.5968008</v>
          </cell>
          <cell r="AK30">
            <v>510688610.56693208</v>
          </cell>
          <cell r="AL30">
            <v>538649305.60635626</v>
          </cell>
          <cell r="AM30">
            <v>558100124.34282148</v>
          </cell>
          <cell r="AN30">
            <v>558738603.15538108</v>
          </cell>
          <cell r="AO30">
            <v>557804320.40282571</v>
          </cell>
          <cell r="AP30">
            <v>570917432.02633893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FD0B-BFE9-4CF8-8EB9-AAEDF82CF671}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6E6E-BB19-4B95-9C9E-D82E32149A3B}">
  <dimension ref="A1:E60"/>
  <sheetViews>
    <sheetView workbookViewId="0"/>
  </sheetViews>
  <sheetFormatPr defaultColWidth="8.83203125" defaultRowHeight="15" x14ac:dyDescent="0.25"/>
  <cols>
    <col min="1" max="16384" width="8.83203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>
        <v>144</v>
      </c>
      <c r="E2" s="1">
        <f>MEDIAN(D2:D60)</f>
        <v>36</v>
      </c>
    </row>
    <row r="3" spans="1:5" x14ac:dyDescent="0.25">
      <c r="A3" s="1" t="s">
        <v>7</v>
      </c>
      <c r="B3" s="1" t="s">
        <v>8</v>
      </c>
      <c r="C3" s="1" t="s">
        <v>9</v>
      </c>
      <c r="D3" s="1">
        <v>107</v>
      </c>
    </row>
    <row r="4" spans="1:5" x14ac:dyDescent="0.25">
      <c r="A4" s="1" t="s">
        <v>10</v>
      </c>
      <c r="B4" s="1" t="s">
        <v>11</v>
      </c>
      <c r="C4" s="1" t="s">
        <v>12</v>
      </c>
      <c r="D4" s="1">
        <v>99</v>
      </c>
    </row>
    <row r="5" spans="1:5" x14ac:dyDescent="0.25">
      <c r="A5" s="1" t="s">
        <v>13</v>
      </c>
      <c r="B5" s="1" t="s">
        <v>14</v>
      </c>
      <c r="C5" s="1" t="s">
        <v>15</v>
      </c>
      <c r="D5" s="1">
        <v>90</v>
      </c>
    </row>
    <row r="6" spans="1:5" x14ac:dyDescent="0.25">
      <c r="A6" s="1" t="s">
        <v>16</v>
      </c>
      <c r="B6" s="1" t="s">
        <v>17</v>
      </c>
      <c r="C6" s="1" t="s">
        <v>18</v>
      </c>
      <c r="D6" s="1">
        <v>85</v>
      </c>
    </row>
    <row r="7" spans="1:5" x14ac:dyDescent="0.25">
      <c r="A7" s="1" t="s">
        <v>19</v>
      </c>
      <c r="B7" s="1" t="s">
        <v>20</v>
      </c>
      <c r="C7" s="1" t="s">
        <v>21</v>
      </c>
      <c r="D7" s="1">
        <v>76</v>
      </c>
    </row>
    <row r="8" spans="1:5" x14ac:dyDescent="0.25">
      <c r="A8" s="1" t="s">
        <v>22</v>
      </c>
      <c r="B8" s="1" t="s">
        <v>23</v>
      </c>
      <c r="C8" s="1" t="s">
        <v>24</v>
      </c>
      <c r="D8" s="1">
        <v>76</v>
      </c>
    </row>
    <row r="9" spans="1:5" x14ac:dyDescent="0.25">
      <c r="A9" s="1" t="s">
        <v>25</v>
      </c>
      <c r="B9" s="1" t="s">
        <v>23</v>
      </c>
      <c r="C9" s="1" t="s">
        <v>26</v>
      </c>
      <c r="D9" s="1">
        <v>76</v>
      </c>
    </row>
    <row r="10" spans="1:5" x14ac:dyDescent="0.25">
      <c r="A10" s="1" t="s">
        <v>27</v>
      </c>
      <c r="B10" s="1" t="s">
        <v>28</v>
      </c>
      <c r="C10" s="1" t="s">
        <v>29</v>
      </c>
      <c r="D10" s="1">
        <v>72</v>
      </c>
    </row>
    <row r="11" spans="1:5" x14ac:dyDescent="0.25">
      <c r="A11" s="1" t="s">
        <v>30</v>
      </c>
      <c r="B11" s="1" t="s">
        <v>20</v>
      </c>
      <c r="C11" s="1" t="s">
        <v>31</v>
      </c>
      <c r="D11" s="1">
        <v>62</v>
      </c>
    </row>
    <row r="12" spans="1:5" x14ac:dyDescent="0.25">
      <c r="A12" s="1" t="s">
        <v>32</v>
      </c>
      <c r="B12" s="1" t="s">
        <v>33</v>
      </c>
      <c r="C12" s="1" t="s">
        <v>34</v>
      </c>
      <c r="D12" s="1">
        <v>60</v>
      </c>
    </row>
    <row r="13" spans="1:5" x14ac:dyDescent="0.25">
      <c r="A13" s="1" t="s">
        <v>35</v>
      </c>
      <c r="B13" s="1" t="s">
        <v>23</v>
      </c>
      <c r="C13" s="1" t="s">
        <v>36</v>
      </c>
      <c r="D13" s="1">
        <v>56</v>
      </c>
    </row>
    <row r="14" spans="1:5" x14ac:dyDescent="0.25">
      <c r="A14" s="1" t="s">
        <v>37</v>
      </c>
      <c r="B14" s="1" t="s">
        <v>38</v>
      </c>
      <c r="C14" s="1" t="s">
        <v>39</v>
      </c>
      <c r="D14" s="1">
        <v>56</v>
      </c>
    </row>
    <row r="15" spans="1:5" x14ac:dyDescent="0.25">
      <c r="A15" s="1" t="s">
        <v>40</v>
      </c>
      <c r="B15" s="1" t="s">
        <v>41</v>
      </c>
      <c r="C15" s="1" t="s">
        <v>42</v>
      </c>
      <c r="D15" s="1">
        <v>54</v>
      </c>
    </row>
    <row r="16" spans="1:5" x14ac:dyDescent="0.25">
      <c r="A16" s="1" t="s">
        <v>43</v>
      </c>
      <c r="B16" s="1" t="s">
        <v>20</v>
      </c>
      <c r="C16" s="1" t="s">
        <v>44</v>
      </c>
      <c r="D16" s="1">
        <v>50</v>
      </c>
    </row>
    <row r="17" spans="1:4" x14ac:dyDescent="0.25">
      <c r="A17" s="1" t="s">
        <v>45</v>
      </c>
      <c r="B17" s="1" t="s">
        <v>38</v>
      </c>
      <c r="C17" s="1" t="s">
        <v>46</v>
      </c>
      <c r="D17" s="1">
        <v>50</v>
      </c>
    </row>
    <row r="18" spans="1:4" x14ac:dyDescent="0.25">
      <c r="A18" s="1" t="s">
        <v>47</v>
      </c>
      <c r="B18" s="1" t="s">
        <v>38</v>
      </c>
      <c r="C18" s="1" t="s">
        <v>48</v>
      </c>
      <c r="D18" s="1">
        <v>50</v>
      </c>
    </row>
    <row r="19" spans="1:4" x14ac:dyDescent="0.25">
      <c r="A19" s="1" t="s">
        <v>49</v>
      </c>
      <c r="B19" s="1" t="s">
        <v>50</v>
      </c>
      <c r="C19" s="1" t="s">
        <v>51</v>
      </c>
      <c r="D19" s="1">
        <v>50</v>
      </c>
    </row>
    <row r="20" spans="1:4" x14ac:dyDescent="0.25">
      <c r="A20" s="1" t="s">
        <v>52</v>
      </c>
      <c r="B20" s="1" t="s">
        <v>23</v>
      </c>
      <c r="C20" s="1" t="s">
        <v>53</v>
      </c>
      <c r="D20" s="1">
        <v>49</v>
      </c>
    </row>
    <row r="21" spans="1:4" x14ac:dyDescent="0.25">
      <c r="A21" s="1" t="s">
        <v>54</v>
      </c>
      <c r="B21" s="1" t="s">
        <v>55</v>
      </c>
      <c r="C21" s="1" t="s">
        <v>56</v>
      </c>
      <c r="D21" s="1">
        <v>46</v>
      </c>
    </row>
    <row r="22" spans="1:4" x14ac:dyDescent="0.25">
      <c r="A22" s="1" t="s">
        <v>57</v>
      </c>
      <c r="B22" s="1" t="s">
        <v>23</v>
      </c>
      <c r="C22" s="1" t="s">
        <v>58</v>
      </c>
      <c r="D22" s="1">
        <v>45</v>
      </c>
    </row>
    <row r="23" spans="1:4" x14ac:dyDescent="0.25">
      <c r="A23" s="1" t="s">
        <v>59</v>
      </c>
      <c r="B23" s="1" t="s">
        <v>38</v>
      </c>
      <c r="C23" s="1" t="s">
        <v>60</v>
      </c>
      <c r="D23" s="1">
        <v>42</v>
      </c>
    </row>
    <row r="24" spans="1:4" x14ac:dyDescent="0.25">
      <c r="A24" s="1" t="s">
        <v>61</v>
      </c>
      <c r="B24" s="1" t="s">
        <v>33</v>
      </c>
      <c r="C24" s="1" t="s">
        <v>62</v>
      </c>
      <c r="D24" s="1">
        <v>40</v>
      </c>
    </row>
    <row r="25" spans="1:4" x14ac:dyDescent="0.25">
      <c r="A25" s="1" t="s">
        <v>63</v>
      </c>
      <c r="B25" s="1" t="s">
        <v>50</v>
      </c>
      <c r="C25" s="1" t="s">
        <v>64</v>
      </c>
      <c r="D25" s="1">
        <v>40</v>
      </c>
    </row>
    <row r="26" spans="1:4" x14ac:dyDescent="0.25">
      <c r="A26" s="1" t="s">
        <v>65</v>
      </c>
      <c r="B26" s="1" t="s">
        <v>66</v>
      </c>
      <c r="C26" s="1" t="s">
        <v>67</v>
      </c>
      <c r="D26" s="1">
        <v>40</v>
      </c>
    </row>
    <row r="27" spans="1:4" x14ac:dyDescent="0.25">
      <c r="A27" s="1" t="s">
        <v>68</v>
      </c>
      <c r="B27" s="1" t="s">
        <v>69</v>
      </c>
      <c r="C27" s="1" t="s">
        <v>70</v>
      </c>
      <c r="D27" s="1">
        <v>38</v>
      </c>
    </row>
    <row r="28" spans="1:4" x14ac:dyDescent="0.25">
      <c r="A28" s="1" t="s">
        <v>71</v>
      </c>
      <c r="B28" s="1" t="s">
        <v>23</v>
      </c>
      <c r="C28" s="1" t="s">
        <v>72</v>
      </c>
      <c r="D28" s="1">
        <v>38</v>
      </c>
    </row>
    <row r="29" spans="1:4" x14ac:dyDescent="0.25">
      <c r="A29" s="1" t="s">
        <v>73</v>
      </c>
      <c r="B29" s="1" t="s">
        <v>23</v>
      </c>
      <c r="C29" s="1" t="s">
        <v>74</v>
      </c>
      <c r="D29" s="1">
        <v>38</v>
      </c>
    </row>
    <row r="30" spans="1:4" x14ac:dyDescent="0.25">
      <c r="A30" s="1" t="s">
        <v>75</v>
      </c>
      <c r="B30" s="1" t="s">
        <v>76</v>
      </c>
      <c r="C30" s="1" t="s">
        <v>77</v>
      </c>
      <c r="D30" s="1">
        <v>37</v>
      </c>
    </row>
    <row r="31" spans="1:4" x14ac:dyDescent="0.25">
      <c r="A31" s="1" t="s">
        <v>78</v>
      </c>
      <c r="B31" s="1" t="s">
        <v>55</v>
      </c>
      <c r="C31" s="1" t="s">
        <v>79</v>
      </c>
      <c r="D31" s="1">
        <v>36</v>
      </c>
    </row>
    <row r="32" spans="1:4" x14ac:dyDescent="0.25">
      <c r="A32" s="1" t="s">
        <v>80</v>
      </c>
      <c r="B32" s="1" t="s">
        <v>23</v>
      </c>
      <c r="C32" s="1" t="s">
        <v>81</v>
      </c>
      <c r="D32" s="1">
        <v>36</v>
      </c>
    </row>
    <row r="33" spans="1:4" x14ac:dyDescent="0.25">
      <c r="A33" s="1" t="s">
        <v>82</v>
      </c>
      <c r="B33" s="1" t="s">
        <v>83</v>
      </c>
      <c r="C33" s="1" t="s">
        <v>84</v>
      </c>
      <c r="D33" s="1">
        <v>36</v>
      </c>
    </row>
    <row r="34" spans="1:4" x14ac:dyDescent="0.25">
      <c r="A34" s="1" t="s">
        <v>85</v>
      </c>
      <c r="B34" s="1" t="s">
        <v>23</v>
      </c>
      <c r="C34" s="1" t="s">
        <v>86</v>
      </c>
      <c r="D34" s="1">
        <v>36</v>
      </c>
    </row>
    <row r="35" spans="1:4" x14ac:dyDescent="0.25">
      <c r="A35" s="1" t="s">
        <v>87</v>
      </c>
      <c r="B35" s="1" t="s">
        <v>38</v>
      </c>
      <c r="C35" s="1" t="s">
        <v>60</v>
      </c>
      <c r="D35" s="1">
        <v>35</v>
      </c>
    </row>
    <row r="36" spans="1:4" x14ac:dyDescent="0.25">
      <c r="A36" s="1" t="s">
        <v>88</v>
      </c>
      <c r="B36" s="1" t="s">
        <v>89</v>
      </c>
      <c r="C36" s="1" t="s">
        <v>90</v>
      </c>
      <c r="D36" s="1">
        <v>35</v>
      </c>
    </row>
    <row r="37" spans="1:4" x14ac:dyDescent="0.25">
      <c r="A37" s="1" t="s">
        <v>91</v>
      </c>
      <c r="B37" s="1" t="s">
        <v>92</v>
      </c>
      <c r="C37" s="1" t="s">
        <v>93</v>
      </c>
      <c r="D37" s="1">
        <v>28</v>
      </c>
    </row>
    <row r="38" spans="1:4" x14ac:dyDescent="0.25">
      <c r="A38" s="1" t="s">
        <v>94</v>
      </c>
      <c r="B38" s="1" t="s">
        <v>95</v>
      </c>
      <c r="C38" s="1" t="s">
        <v>96</v>
      </c>
      <c r="D38" s="1">
        <v>20</v>
      </c>
    </row>
    <row r="39" spans="1:4" x14ac:dyDescent="0.25">
      <c r="A39" s="1" t="s">
        <v>97</v>
      </c>
      <c r="B39" s="1" t="s">
        <v>98</v>
      </c>
      <c r="C39" s="1" t="s">
        <v>99</v>
      </c>
      <c r="D39" s="1">
        <v>20</v>
      </c>
    </row>
    <row r="40" spans="1:4" x14ac:dyDescent="0.25">
      <c r="A40" s="1" t="s">
        <v>100</v>
      </c>
      <c r="B40" s="1" t="s">
        <v>28</v>
      </c>
      <c r="C40" s="1" t="s">
        <v>101</v>
      </c>
      <c r="D40" s="1">
        <v>17</v>
      </c>
    </row>
    <row r="41" spans="1:4" x14ac:dyDescent="0.25">
      <c r="A41" s="1" t="s">
        <v>102</v>
      </c>
      <c r="B41" s="1" t="s">
        <v>5</v>
      </c>
      <c r="C41" s="1" t="s">
        <v>103</v>
      </c>
      <c r="D41" s="1">
        <v>15</v>
      </c>
    </row>
    <row r="42" spans="1:4" x14ac:dyDescent="0.25">
      <c r="A42" s="1" t="s">
        <v>104</v>
      </c>
      <c r="B42" s="1" t="s">
        <v>33</v>
      </c>
      <c r="C42" s="1" t="s">
        <v>105</v>
      </c>
      <c r="D42" s="1">
        <v>15</v>
      </c>
    </row>
    <row r="43" spans="1:4" x14ac:dyDescent="0.25">
      <c r="A43" s="1" t="s">
        <v>106</v>
      </c>
      <c r="B43" s="1" t="s">
        <v>107</v>
      </c>
      <c r="C43" s="1" t="s">
        <v>108</v>
      </c>
      <c r="D43" s="1">
        <v>15</v>
      </c>
    </row>
    <row r="44" spans="1:4" x14ac:dyDescent="0.25">
      <c r="A44" s="1" t="s">
        <v>109</v>
      </c>
      <c r="B44" s="1" t="s">
        <v>76</v>
      </c>
      <c r="C44" s="1" t="s">
        <v>110</v>
      </c>
      <c r="D44" s="1">
        <v>15</v>
      </c>
    </row>
    <row r="45" spans="1:4" x14ac:dyDescent="0.25">
      <c r="A45" s="1" t="s">
        <v>111</v>
      </c>
      <c r="B45" s="1" t="s">
        <v>76</v>
      </c>
      <c r="C45" s="1" t="s">
        <v>112</v>
      </c>
      <c r="D45" s="1">
        <v>12</v>
      </c>
    </row>
    <row r="46" spans="1:4" x14ac:dyDescent="0.25">
      <c r="A46" s="1" t="s">
        <v>113</v>
      </c>
      <c r="B46" s="1" t="s">
        <v>28</v>
      </c>
      <c r="C46" s="1" t="s">
        <v>114</v>
      </c>
      <c r="D46" s="1">
        <v>12</v>
      </c>
    </row>
    <row r="47" spans="1:4" x14ac:dyDescent="0.25">
      <c r="A47" s="1" t="s">
        <v>115</v>
      </c>
      <c r="B47" s="1" t="s">
        <v>76</v>
      </c>
      <c r="C47" s="1" t="s">
        <v>116</v>
      </c>
      <c r="D47" s="1">
        <v>12</v>
      </c>
    </row>
    <row r="48" spans="1:4" x14ac:dyDescent="0.25">
      <c r="A48" s="1" t="s">
        <v>117</v>
      </c>
      <c r="B48" s="1" t="s">
        <v>5</v>
      </c>
      <c r="C48" s="1" t="s">
        <v>118</v>
      </c>
      <c r="D48" s="1">
        <v>12</v>
      </c>
    </row>
    <row r="49" spans="1:4" x14ac:dyDescent="0.25">
      <c r="A49" s="1" t="s">
        <v>119</v>
      </c>
      <c r="B49" s="1" t="s">
        <v>120</v>
      </c>
      <c r="C49" s="1" t="s">
        <v>121</v>
      </c>
      <c r="D49" s="1">
        <v>12</v>
      </c>
    </row>
    <row r="50" spans="1:4" x14ac:dyDescent="0.25">
      <c r="A50" s="1" t="s">
        <v>122</v>
      </c>
      <c r="B50" s="1" t="s">
        <v>23</v>
      </c>
      <c r="C50" s="1" t="s">
        <v>123</v>
      </c>
      <c r="D50" s="1">
        <v>10</v>
      </c>
    </row>
    <row r="51" spans="1:4" x14ac:dyDescent="0.25">
      <c r="A51" s="1" t="s">
        <v>124</v>
      </c>
      <c r="B51" s="1" t="s">
        <v>23</v>
      </c>
      <c r="C51" s="1" t="s">
        <v>125</v>
      </c>
      <c r="D51" s="1">
        <v>10</v>
      </c>
    </row>
    <row r="52" spans="1:4" x14ac:dyDescent="0.25">
      <c r="A52" s="1" t="s">
        <v>126</v>
      </c>
      <c r="B52" s="1" t="s">
        <v>76</v>
      </c>
      <c r="C52" s="1" t="s">
        <v>127</v>
      </c>
      <c r="D52" s="1">
        <v>10</v>
      </c>
    </row>
    <row r="53" spans="1:4" x14ac:dyDescent="0.25">
      <c r="A53" s="1" t="s">
        <v>128</v>
      </c>
      <c r="B53" s="1" t="s">
        <v>129</v>
      </c>
      <c r="C53" s="1" t="s">
        <v>130</v>
      </c>
      <c r="D53" s="1">
        <v>9</v>
      </c>
    </row>
    <row r="54" spans="1:4" x14ac:dyDescent="0.25">
      <c r="A54" s="1" t="s">
        <v>131</v>
      </c>
      <c r="B54" s="1" t="s">
        <v>132</v>
      </c>
      <c r="C54" s="1" t="s">
        <v>133</v>
      </c>
      <c r="D54" s="1">
        <v>8</v>
      </c>
    </row>
    <row r="55" spans="1:4" x14ac:dyDescent="0.25">
      <c r="A55" s="1" t="s">
        <v>134</v>
      </c>
      <c r="B55" s="1" t="s">
        <v>135</v>
      </c>
      <c r="C55" s="1" t="s">
        <v>136</v>
      </c>
      <c r="D55" s="1">
        <v>8</v>
      </c>
    </row>
    <row r="56" spans="1:4" x14ac:dyDescent="0.25">
      <c r="A56" s="1" t="s">
        <v>137</v>
      </c>
      <c r="B56" s="1" t="s">
        <v>138</v>
      </c>
      <c r="C56" s="1" t="s">
        <v>139</v>
      </c>
      <c r="D56" s="1">
        <v>6</v>
      </c>
    </row>
    <row r="57" spans="1:4" x14ac:dyDescent="0.25">
      <c r="A57" s="1" t="s">
        <v>140</v>
      </c>
      <c r="B57" s="1" t="s">
        <v>141</v>
      </c>
      <c r="C57" s="1" t="s">
        <v>142</v>
      </c>
      <c r="D57" s="1">
        <v>5</v>
      </c>
    </row>
    <row r="58" spans="1:4" x14ac:dyDescent="0.25">
      <c r="A58" s="1" t="s">
        <v>143</v>
      </c>
      <c r="B58" s="1" t="s">
        <v>95</v>
      </c>
      <c r="C58" s="1" t="s">
        <v>144</v>
      </c>
      <c r="D58" s="1">
        <v>5</v>
      </c>
    </row>
    <row r="59" spans="1:4" x14ac:dyDescent="0.25">
      <c r="A59" s="1" t="s">
        <v>145</v>
      </c>
      <c r="B59" s="1" t="s">
        <v>92</v>
      </c>
      <c r="C59" s="1" t="s">
        <v>146</v>
      </c>
      <c r="D59" s="1">
        <v>5</v>
      </c>
    </row>
    <row r="60" spans="1:4" x14ac:dyDescent="0.25">
      <c r="A60" s="1" t="s">
        <v>147</v>
      </c>
      <c r="B60" s="1" t="s">
        <v>66</v>
      </c>
      <c r="C60" s="1" t="s">
        <v>148</v>
      </c>
      <c r="D60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076A-67AF-4DC1-A07D-5560F64CED4F}">
  <dimension ref="A1:I19"/>
  <sheetViews>
    <sheetView workbookViewId="0"/>
  </sheetViews>
  <sheetFormatPr defaultColWidth="9" defaultRowHeight="12.75" x14ac:dyDescent="0.2"/>
  <cols>
    <col min="1" max="1" width="42" bestFit="1" customWidth="1"/>
    <col min="3" max="3" width="11.1640625" bestFit="1" customWidth="1"/>
  </cols>
  <sheetData>
    <row r="1" spans="1:9" x14ac:dyDescent="0.2">
      <c r="B1" t="s">
        <v>149</v>
      </c>
      <c r="C1" t="s">
        <v>150</v>
      </c>
      <c r="D1" t="s">
        <v>151</v>
      </c>
      <c r="E1" t="s">
        <v>152</v>
      </c>
      <c r="F1" t="s">
        <v>153</v>
      </c>
      <c r="H1" t="s">
        <v>154</v>
      </c>
      <c r="I1" t="s">
        <v>155</v>
      </c>
    </row>
    <row r="2" spans="1:9" x14ac:dyDescent="0.2">
      <c r="A2" t="s">
        <v>156</v>
      </c>
      <c r="C2" t="s">
        <v>157</v>
      </c>
      <c r="D2">
        <v>240</v>
      </c>
      <c r="E2" t="e">
        <v>#N/A</v>
      </c>
      <c r="I2">
        <v>0.01</v>
      </c>
    </row>
    <row r="3" spans="1:9" x14ac:dyDescent="0.2">
      <c r="A3" s="2" t="s">
        <v>158</v>
      </c>
      <c r="C3" t="s">
        <v>159</v>
      </c>
      <c r="D3">
        <v>90</v>
      </c>
    </row>
    <row r="4" spans="1:9" x14ac:dyDescent="0.2">
      <c r="A4" s="2"/>
    </row>
    <row r="5" spans="1:9" x14ac:dyDescent="0.2">
      <c r="A5" s="2"/>
    </row>
    <row r="6" spans="1:9" x14ac:dyDescent="0.2">
      <c r="A6" s="2"/>
    </row>
    <row r="7" spans="1:9" x14ac:dyDescent="0.2">
      <c r="A7" s="2"/>
    </row>
    <row r="19" spans="3:3" x14ac:dyDescent="0.2">
      <c r="C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2C2B-F906-4CB2-B411-513B152D9D34}">
  <dimension ref="A1:BC378"/>
  <sheetViews>
    <sheetView zoomScale="115" zoomScaleNormal="115" workbookViewId="0"/>
  </sheetViews>
  <sheetFormatPr defaultColWidth="9" defaultRowHeight="12.75" x14ac:dyDescent="0.2"/>
  <cols>
    <col min="1" max="1" width="10.33203125" customWidth="1"/>
    <col min="2" max="2" width="11.6640625" style="16" customWidth="1"/>
    <col min="3" max="5" width="15.1640625" style="16" customWidth="1"/>
    <col min="6" max="6" width="15.1640625" customWidth="1"/>
    <col min="7" max="7" width="15.1640625" style="16" customWidth="1"/>
    <col min="8" max="12" width="15.1640625" customWidth="1"/>
    <col min="13" max="33" width="11.6640625" customWidth="1"/>
    <col min="34" max="34" width="9.83203125" customWidth="1"/>
    <col min="36" max="40" width="10.83203125" customWidth="1"/>
  </cols>
  <sheetData>
    <row r="1" spans="1:55" ht="51.75" customHeight="1" x14ac:dyDescent="0.35">
      <c r="B1" s="4"/>
      <c r="C1" s="4" t="s">
        <v>160</v>
      </c>
      <c r="D1" s="4"/>
      <c r="E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J1" s="171" t="s">
        <v>161</v>
      </c>
      <c r="AK1" s="171"/>
      <c r="AL1" s="171"/>
      <c r="AM1" s="171"/>
      <c r="AN1" s="171"/>
      <c r="AO1" s="171"/>
      <c r="AQ1" s="172"/>
      <c r="AR1" s="172"/>
      <c r="AS1" s="172"/>
      <c r="AT1" s="172"/>
      <c r="AU1" s="172"/>
      <c r="AV1" s="5"/>
      <c r="AX1" s="173"/>
      <c r="AY1" s="173"/>
      <c r="AZ1" s="173"/>
      <c r="BA1" s="173"/>
      <c r="BB1" s="173"/>
    </row>
    <row r="2" spans="1:55" ht="63.75" x14ac:dyDescent="0.2">
      <c r="B2" s="6" t="s">
        <v>162</v>
      </c>
      <c r="C2" s="6" t="s">
        <v>163</v>
      </c>
      <c r="D2" s="6" t="s">
        <v>164</v>
      </c>
      <c r="E2" s="6" t="s">
        <v>165</v>
      </c>
      <c r="F2" s="6" t="s">
        <v>166</v>
      </c>
      <c r="G2" s="6" t="s">
        <v>167</v>
      </c>
      <c r="H2" s="6" t="s">
        <v>168</v>
      </c>
      <c r="I2" s="6" t="s">
        <v>169</v>
      </c>
      <c r="J2" s="6" t="s">
        <v>170</v>
      </c>
      <c r="K2" s="7" t="s">
        <v>171</v>
      </c>
      <c r="L2" s="7" t="s">
        <v>172</v>
      </c>
      <c r="M2" s="7" t="s">
        <v>173</v>
      </c>
      <c r="N2" s="7" t="s">
        <v>174</v>
      </c>
      <c r="O2" s="7" t="s">
        <v>175</v>
      </c>
      <c r="P2" s="7" t="s">
        <v>176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 t="s">
        <v>177</v>
      </c>
      <c r="AJ2" s="7" t="s">
        <v>178</v>
      </c>
      <c r="AK2" s="7" t="s">
        <v>179</v>
      </c>
      <c r="AL2" s="7" t="s">
        <v>180</v>
      </c>
      <c r="AM2" s="7" t="s">
        <v>177</v>
      </c>
      <c r="AN2" s="7" t="s">
        <v>181</v>
      </c>
      <c r="AO2" s="8"/>
      <c r="AP2" s="8"/>
      <c r="AQ2" s="8"/>
      <c r="AR2" s="8"/>
      <c r="AS2" s="8"/>
      <c r="AT2" s="8"/>
      <c r="AU2" s="8"/>
      <c r="AV2" s="8"/>
      <c r="AW2" s="7"/>
      <c r="AX2" s="8"/>
      <c r="AY2" s="8"/>
      <c r="AZ2" s="8"/>
      <c r="BA2" s="8"/>
      <c r="BB2" s="8"/>
    </row>
    <row r="3" spans="1:55" ht="25.5" x14ac:dyDescent="0.2">
      <c r="A3" s="7" t="s">
        <v>149</v>
      </c>
      <c r="B3" s="9"/>
      <c r="C3" s="9" t="s">
        <v>182</v>
      </c>
      <c r="D3" s="9" t="s">
        <v>182</v>
      </c>
      <c r="E3" s="9" t="s">
        <v>182</v>
      </c>
      <c r="F3" s="9" t="s">
        <v>182</v>
      </c>
      <c r="G3" s="9" t="s">
        <v>182</v>
      </c>
      <c r="H3" s="9" t="s">
        <v>182</v>
      </c>
      <c r="I3" s="9" t="s">
        <v>182</v>
      </c>
      <c r="J3" s="9" t="s">
        <v>182</v>
      </c>
      <c r="K3" s="9" t="s">
        <v>182</v>
      </c>
      <c r="L3" s="9" t="s">
        <v>182</v>
      </c>
      <c r="M3" s="7"/>
      <c r="N3" s="7" t="s">
        <v>183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8"/>
      <c r="AI3" s="10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7"/>
      <c r="AX3" s="8"/>
      <c r="AY3" s="8"/>
      <c r="AZ3" s="8"/>
      <c r="BA3" s="8"/>
      <c r="BB3" s="8"/>
    </row>
    <row r="4" spans="1:55" s="12" customFormat="1" ht="30.75" customHeight="1" x14ac:dyDescent="0.2">
      <c r="A4" s="11" t="s">
        <v>150</v>
      </c>
      <c r="B4" s="11">
        <v>44927</v>
      </c>
      <c r="C4" s="11">
        <v>44373</v>
      </c>
      <c r="D4" s="11"/>
      <c r="E4" s="11"/>
      <c r="G4" s="11"/>
      <c r="H4" s="11"/>
      <c r="I4" s="11"/>
      <c r="J4" s="11"/>
      <c r="K4" s="11"/>
      <c r="L4" s="11"/>
      <c r="M4" s="11"/>
      <c r="N4" s="11" t="s">
        <v>184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3"/>
      <c r="AI4" s="14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1"/>
      <c r="AX4" s="13"/>
      <c r="AY4" s="13"/>
      <c r="AZ4" s="13"/>
      <c r="BA4" s="13"/>
      <c r="BB4" s="13"/>
    </row>
    <row r="5" spans="1:55" ht="30.75" customHeight="1" x14ac:dyDescent="0.2">
      <c r="A5" s="7" t="s">
        <v>151</v>
      </c>
      <c r="B5" s="9">
        <v>7.5</v>
      </c>
      <c r="C5" s="9">
        <v>1.6</v>
      </c>
      <c r="D5" s="9">
        <v>1.6</v>
      </c>
      <c r="E5" s="9">
        <v>1.6</v>
      </c>
      <c r="F5" s="9">
        <v>1.6</v>
      </c>
      <c r="G5" s="9">
        <v>1.6</v>
      </c>
      <c r="H5" s="9">
        <v>1.6</v>
      </c>
      <c r="I5" s="9">
        <v>1.6</v>
      </c>
      <c r="J5" s="9">
        <v>1.6</v>
      </c>
      <c r="K5" s="9">
        <v>1.6</v>
      </c>
      <c r="L5" s="9">
        <v>1.6</v>
      </c>
      <c r="M5" s="7"/>
      <c r="N5" s="7" t="s">
        <v>185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  <c r="AI5" s="10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7"/>
      <c r="AX5" s="8"/>
      <c r="AY5" s="8"/>
      <c r="AZ5" s="8"/>
      <c r="BA5" s="8"/>
      <c r="BB5" s="8"/>
    </row>
    <row r="6" spans="1:55" ht="30.75" customHeight="1" x14ac:dyDescent="0.2">
      <c r="A6" s="7" t="s">
        <v>155</v>
      </c>
      <c r="B6" s="9"/>
      <c r="C6" s="9"/>
      <c r="D6" s="9"/>
      <c r="E6" s="9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8"/>
      <c r="AI6" s="10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7"/>
      <c r="AX6" s="8"/>
      <c r="AY6" s="8"/>
      <c r="AZ6" s="8"/>
      <c r="BA6" s="8"/>
      <c r="BB6" s="8"/>
    </row>
    <row r="7" spans="1:55" x14ac:dyDescent="0.2">
      <c r="A7" s="15">
        <v>40544</v>
      </c>
      <c r="K7" s="7"/>
      <c r="N7" s="7"/>
      <c r="O7" s="7"/>
      <c r="P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J7" s="17"/>
      <c r="AK7" s="17"/>
      <c r="AL7" s="17"/>
      <c r="AM7" s="17"/>
      <c r="AN7" s="7"/>
      <c r="AO7" s="7"/>
      <c r="AP7" s="7"/>
      <c r="AQ7" s="7"/>
      <c r="AR7" s="7"/>
      <c r="AS7" s="7"/>
      <c r="AT7" s="7"/>
      <c r="AU7" s="7"/>
      <c r="AV7" s="7"/>
    </row>
    <row r="8" spans="1:55" x14ac:dyDescent="0.2">
      <c r="A8" s="15">
        <v>40575</v>
      </c>
      <c r="K8" s="7"/>
      <c r="N8" s="7"/>
      <c r="O8" s="7"/>
      <c r="P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J8" s="17"/>
      <c r="AK8" s="17"/>
      <c r="AL8" s="17"/>
      <c r="AM8" s="17"/>
      <c r="AN8" s="7"/>
      <c r="AO8" s="7"/>
      <c r="AP8" s="7"/>
      <c r="AQ8" s="7"/>
      <c r="AR8" s="7"/>
      <c r="AS8" s="7"/>
      <c r="AT8" s="7"/>
      <c r="AU8" s="7"/>
      <c r="AV8" s="7"/>
    </row>
    <row r="9" spans="1:55" x14ac:dyDescent="0.2">
      <c r="A9" s="15">
        <v>40603</v>
      </c>
      <c r="K9" s="7"/>
      <c r="N9" s="7"/>
      <c r="O9" s="7"/>
      <c r="P9" s="18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J9" s="17"/>
      <c r="AK9" s="17"/>
      <c r="AL9" s="17"/>
      <c r="AM9" s="17"/>
      <c r="AN9" s="7"/>
      <c r="AO9" s="7"/>
      <c r="AP9" s="7"/>
      <c r="AQ9" s="7"/>
      <c r="AR9" s="7"/>
      <c r="AS9" s="7"/>
      <c r="AT9" s="7"/>
      <c r="AU9" s="7"/>
      <c r="AV9" s="7"/>
    </row>
    <row r="10" spans="1:55" x14ac:dyDescent="0.2">
      <c r="A10" s="15">
        <v>40634</v>
      </c>
      <c r="K10" s="7"/>
      <c r="N10" s="7"/>
      <c r="O10" s="7"/>
      <c r="P10" s="18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J10" s="17"/>
      <c r="AK10" s="17"/>
      <c r="AL10" s="17"/>
      <c r="AM10" s="17"/>
      <c r="AN10" s="7"/>
      <c r="AO10" s="7"/>
      <c r="AP10" s="7"/>
      <c r="AQ10" s="7"/>
      <c r="AR10" s="7"/>
      <c r="AS10" s="7"/>
      <c r="AT10" s="7"/>
      <c r="AU10" s="7"/>
      <c r="AV10" s="7"/>
    </row>
    <row r="11" spans="1:55" x14ac:dyDescent="0.2">
      <c r="A11" s="15">
        <v>40664</v>
      </c>
      <c r="K11" s="7"/>
      <c r="N11" s="7"/>
      <c r="O11" s="7"/>
      <c r="P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J11" s="17"/>
      <c r="AK11" s="17"/>
      <c r="AL11" s="17"/>
      <c r="AM11" s="17"/>
      <c r="AN11" s="7"/>
      <c r="AO11" s="7"/>
      <c r="AP11" s="7"/>
      <c r="AQ11" s="7"/>
      <c r="AR11" s="7"/>
      <c r="AS11" s="7"/>
      <c r="AT11" s="7"/>
      <c r="AU11" s="7"/>
      <c r="AV11" s="7"/>
    </row>
    <row r="12" spans="1:55" x14ac:dyDescent="0.2">
      <c r="A12" s="15">
        <v>40695</v>
      </c>
      <c r="K12" s="7"/>
      <c r="N12" s="7"/>
      <c r="O12" s="7"/>
      <c r="P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J12" s="17"/>
      <c r="AK12" s="17"/>
      <c r="AL12" s="17"/>
      <c r="AM12" s="17"/>
      <c r="AN12" s="7"/>
      <c r="AO12" s="7"/>
      <c r="AP12" s="7"/>
      <c r="AQ12" s="7"/>
      <c r="AR12" s="7"/>
      <c r="AS12" s="7"/>
      <c r="AT12" s="7"/>
      <c r="AU12" s="7"/>
      <c r="AV12" s="7"/>
    </row>
    <row r="13" spans="1:55" x14ac:dyDescent="0.2">
      <c r="A13" s="15">
        <v>40725</v>
      </c>
      <c r="K13" s="7"/>
      <c r="N13" s="7"/>
      <c r="O13" s="7"/>
      <c r="P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J13" s="17"/>
      <c r="AK13" s="17"/>
      <c r="AL13" s="17"/>
      <c r="AM13" s="17"/>
      <c r="AN13" s="7"/>
      <c r="AO13" s="7"/>
      <c r="AP13" s="7"/>
      <c r="AQ13" s="7"/>
      <c r="AR13" s="7"/>
      <c r="AS13" s="7"/>
      <c r="AT13" s="7"/>
      <c r="AU13" s="7"/>
      <c r="AV13" s="7"/>
    </row>
    <row r="14" spans="1:55" x14ac:dyDescent="0.2">
      <c r="A14" s="15">
        <v>40756</v>
      </c>
      <c r="K14" s="7"/>
      <c r="N14" s="7"/>
      <c r="O14" s="7"/>
      <c r="P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J14" s="17"/>
      <c r="AK14" s="17"/>
      <c r="AL14" s="17"/>
      <c r="AM14" s="17"/>
      <c r="AN14" s="7"/>
      <c r="AO14" s="7"/>
      <c r="AP14" s="7"/>
      <c r="AQ14" s="7"/>
      <c r="AR14" s="7"/>
      <c r="AS14" s="7"/>
      <c r="AT14" s="7"/>
      <c r="AU14" s="7"/>
      <c r="AV14" s="7"/>
    </row>
    <row r="15" spans="1:55" x14ac:dyDescent="0.2">
      <c r="A15" s="15">
        <v>40787</v>
      </c>
      <c r="B15" s="19"/>
      <c r="C15" s="19"/>
      <c r="D15" s="19"/>
      <c r="E15" s="19"/>
      <c r="G15" s="19"/>
      <c r="H15" s="20"/>
      <c r="I15" s="20"/>
      <c r="J15" s="20"/>
      <c r="K15" s="21"/>
      <c r="N15" s="21"/>
      <c r="O15" s="21"/>
      <c r="P15" s="21"/>
      <c r="R15" s="21"/>
      <c r="S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0"/>
      <c r="AI15" s="20"/>
      <c r="AJ15" s="17"/>
      <c r="AK15" s="17"/>
      <c r="AL15" s="17"/>
      <c r="AM15" s="17"/>
      <c r="AN15" s="22"/>
      <c r="AO15" s="20"/>
      <c r="AP15" s="21"/>
      <c r="AQ15" s="21"/>
      <c r="AR15" s="21"/>
      <c r="AS15" s="21"/>
      <c r="AT15" s="21"/>
      <c r="AU15" s="21"/>
      <c r="AV15" s="21"/>
      <c r="AX15" s="23"/>
      <c r="AY15" s="24"/>
      <c r="AZ15" s="24"/>
      <c r="BA15" s="23"/>
      <c r="BB15" s="24"/>
      <c r="BC15" s="24"/>
    </row>
    <row r="16" spans="1:55" x14ac:dyDescent="0.2">
      <c r="A16" s="15">
        <v>40817</v>
      </c>
      <c r="B16" s="19"/>
      <c r="C16" s="19"/>
      <c r="D16" s="19"/>
      <c r="E16" s="19"/>
      <c r="G16" s="19"/>
      <c r="H16" s="20"/>
      <c r="I16" s="20"/>
      <c r="J16" s="20"/>
      <c r="K16" s="21"/>
      <c r="N16" s="21"/>
      <c r="O16" s="21"/>
      <c r="P16" s="21"/>
      <c r="R16" s="21"/>
      <c r="S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0"/>
      <c r="AI16" s="20"/>
      <c r="AJ16" s="17"/>
      <c r="AK16" s="17"/>
      <c r="AL16" s="17"/>
      <c r="AM16" s="17"/>
      <c r="AN16" s="22"/>
      <c r="AO16" s="20"/>
      <c r="AP16" s="21"/>
      <c r="AQ16" s="21"/>
      <c r="AR16" s="21"/>
      <c r="AS16" s="21"/>
      <c r="AT16" s="21"/>
      <c r="AU16" s="21"/>
      <c r="AV16" s="21"/>
      <c r="AX16" s="23"/>
      <c r="AY16" s="24"/>
      <c r="AZ16" s="24"/>
      <c r="BA16" s="23"/>
      <c r="BB16" s="24"/>
      <c r="BC16" s="24"/>
    </row>
    <row r="17" spans="1:55" x14ac:dyDescent="0.2">
      <c r="A17" s="15">
        <v>40848</v>
      </c>
      <c r="B17" s="19"/>
      <c r="C17" s="19"/>
      <c r="D17" s="19"/>
      <c r="E17" s="19"/>
      <c r="G17" s="19"/>
      <c r="H17" s="20"/>
      <c r="I17" s="20"/>
      <c r="J17" s="20"/>
      <c r="K17" s="21"/>
      <c r="N17" s="21"/>
      <c r="O17" s="21"/>
      <c r="P17" s="21"/>
      <c r="R17" s="21"/>
      <c r="S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0"/>
      <c r="AI17" s="20"/>
      <c r="AJ17" s="17"/>
      <c r="AK17" s="17"/>
      <c r="AL17" s="17"/>
      <c r="AM17" s="17"/>
      <c r="AN17" s="22"/>
      <c r="AO17" s="20"/>
      <c r="AP17" s="21"/>
      <c r="AQ17" s="21"/>
      <c r="AR17" s="21"/>
      <c r="AS17" s="21"/>
      <c r="AT17" s="21"/>
      <c r="AU17" s="21"/>
      <c r="AV17" s="21"/>
      <c r="AX17" s="23"/>
      <c r="AY17" s="24"/>
      <c r="AZ17" s="24"/>
      <c r="BA17" s="23"/>
      <c r="BB17" s="24"/>
      <c r="BC17" s="24"/>
    </row>
    <row r="18" spans="1:55" x14ac:dyDescent="0.2">
      <c r="A18" s="15">
        <v>40878</v>
      </c>
      <c r="B18" s="19"/>
      <c r="C18" s="19"/>
      <c r="D18" s="19"/>
      <c r="E18" s="19"/>
      <c r="G18" s="19"/>
      <c r="H18" s="20"/>
      <c r="I18" s="20"/>
      <c r="J18" s="20"/>
      <c r="K18" s="21"/>
      <c r="N18" s="21"/>
      <c r="O18" s="21"/>
      <c r="P18" s="21"/>
      <c r="R18" s="21"/>
      <c r="S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0"/>
      <c r="AI18" s="20"/>
      <c r="AJ18" s="17"/>
      <c r="AK18" s="17"/>
      <c r="AL18" s="17"/>
      <c r="AM18" s="17"/>
      <c r="AN18" s="22"/>
      <c r="AO18" s="20"/>
      <c r="AP18" s="21"/>
      <c r="AQ18" s="21"/>
      <c r="AR18" s="21"/>
      <c r="AS18" s="21"/>
      <c r="AT18" s="21"/>
      <c r="AU18" s="21"/>
      <c r="AV18" s="21"/>
      <c r="AX18" s="23"/>
      <c r="AY18" s="24"/>
      <c r="AZ18" s="24"/>
      <c r="BA18" s="23"/>
      <c r="BB18" s="24"/>
      <c r="BC18" s="24"/>
    </row>
    <row r="19" spans="1:55" x14ac:dyDescent="0.2">
      <c r="A19" s="15">
        <v>40909</v>
      </c>
      <c r="B19" s="19"/>
      <c r="C19" s="19"/>
      <c r="D19" s="19"/>
      <c r="E19" s="19"/>
      <c r="G19" s="19"/>
      <c r="H19" s="20"/>
      <c r="I19" s="20"/>
      <c r="J19" s="20"/>
      <c r="K19" s="21"/>
      <c r="N19" s="21"/>
      <c r="O19" s="21"/>
      <c r="P19" s="21"/>
      <c r="R19" s="21"/>
      <c r="S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0"/>
      <c r="AI19" s="20"/>
      <c r="AJ19" s="17"/>
      <c r="AK19" s="17"/>
      <c r="AL19" s="17"/>
      <c r="AM19" s="17"/>
      <c r="AN19" s="22"/>
      <c r="AO19" s="20"/>
      <c r="AP19" s="21"/>
      <c r="AQ19" s="21"/>
      <c r="AR19" s="21"/>
      <c r="AS19" s="21"/>
      <c r="AT19" s="21"/>
      <c r="AU19" s="21"/>
      <c r="AV19" s="21"/>
      <c r="AX19" s="23"/>
      <c r="AY19" s="24"/>
      <c r="AZ19" s="24"/>
      <c r="BA19" s="23"/>
      <c r="BB19" s="24"/>
      <c r="BC19" s="24"/>
    </row>
    <row r="20" spans="1:55" x14ac:dyDescent="0.2">
      <c r="A20" s="15">
        <v>40940</v>
      </c>
      <c r="B20" s="19"/>
      <c r="C20" s="19"/>
      <c r="D20" s="19"/>
      <c r="E20" s="19"/>
      <c r="G20" s="19"/>
      <c r="H20" s="20"/>
      <c r="I20" s="20"/>
      <c r="J20" s="20"/>
      <c r="K20" s="21"/>
      <c r="N20" s="21"/>
      <c r="O20" s="21"/>
      <c r="P20" s="21"/>
      <c r="R20" s="21"/>
      <c r="S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0"/>
      <c r="AI20" s="20"/>
      <c r="AJ20" s="17"/>
      <c r="AK20" s="17"/>
      <c r="AL20" s="17"/>
      <c r="AM20" s="17"/>
      <c r="AN20" s="22"/>
      <c r="AO20" s="20"/>
      <c r="AP20" s="21"/>
      <c r="AQ20" s="21"/>
      <c r="AR20" s="21"/>
      <c r="AS20" s="21"/>
      <c r="AT20" s="21"/>
      <c r="AU20" s="21"/>
      <c r="AV20" s="21"/>
      <c r="AX20" s="23"/>
      <c r="AY20" s="24"/>
      <c r="AZ20" s="24"/>
      <c r="BA20" s="23"/>
      <c r="BB20" s="24"/>
      <c r="BC20" s="24"/>
    </row>
    <row r="21" spans="1:55" x14ac:dyDescent="0.2">
      <c r="A21" s="15">
        <v>40969</v>
      </c>
      <c r="B21" s="19"/>
      <c r="C21" s="19"/>
      <c r="D21" s="19"/>
      <c r="E21" s="19"/>
      <c r="G21" s="19"/>
      <c r="H21" s="20"/>
      <c r="I21" s="20"/>
      <c r="J21" s="20"/>
      <c r="K21" s="21"/>
      <c r="N21" s="21"/>
      <c r="O21" s="21"/>
      <c r="P21" s="21"/>
      <c r="R21" s="21"/>
      <c r="S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0"/>
      <c r="AI21" s="20"/>
      <c r="AJ21" s="17"/>
      <c r="AK21" s="17"/>
      <c r="AL21" s="17"/>
      <c r="AM21" s="17"/>
      <c r="AN21" s="22"/>
      <c r="AO21" s="20"/>
      <c r="AP21" s="21"/>
      <c r="AQ21" s="21"/>
      <c r="AR21" s="21"/>
      <c r="AS21" s="21"/>
      <c r="AT21" s="21"/>
      <c r="AU21" s="21"/>
      <c r="AV21" s="21"/>
      <c r="AX21" s="23"/>
      <c r="AY21" s="24"/>
      <c r="AZ21" s="24"/>
      <c r="BA21" s="23"/>
      <c r="BB21" s="24"/>
      <c r="BC21" s="24"/>
    </row>
    <row r="22" spans="1:55" x14ac:dyDescent="0.2">
      <c r="A22" s="15">
        <v>41000</v>
      </c>
      <c r="B22" s="19"/>
      <c r="C22" s="19"/>
      <c r="D22" s="19"/>
      <c r="E22" s="19"/>
      <c r="G22" s="19"/>
      <c r="H22" s="20"/>
      <c r="I22" s="20"/>
      <c r="J22" s="20"/>
      <c r="K22" s="21"/>
      <c r="N22" s="21"/>
      <c r="O22" s="21"/>
      <c r="P22" s="21"/>
      <c r="R22" s="21"/>
      <c r="S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0"/>
      <c r="AI22" s="20"/>
      <c r="AJ22" s="17"/>
      <c r="AK22" s="17"/>
      <c r="AL22" s="17"/>
      <c r="AM22" s="17"/>
      <c r="AN22" s="22"/>
      <c r="AO22" s="20"/>
      <c r="AP22" s="21"/>
      <c r="AQ22" s="21"/>
      <c r="AR22" s="21"/>
      <c r="AS22" s="21"/>
      <c r="AT22" s="21"/>
      <c r="AU22" s="21"/>
      <c r="AV22" s="21"/>
      <c r="AX22" s="23"/>
      <c r="AY22" s="24"/>
      <c r="AZ22" s="24"/>
      <c r="BA22" s="23"/>
      <c r="BB22" s="24"/>
      <c r="BC22" s="24"/>
    </row>
    <row r="23" spans="1:55" x14ac:dyDescent="0.2">
      <c r="A23" s="15">
        <v>41030</v>
      </c>
      <c r="B23" s="19"/>
      <c r="C23" s="19"/>
      <c r="D23" s="19"/>
      <c r="E23" s="19"/>
      <c r="G23" s="19"/>
      <c r="H23" s="20"/>
      <c r="I23" s="20"/>
      <c r="J23" s="20"/>
      <c r="K23" s="21"/>
      <c r="N23" s="21"/>
      <c r="O23" s="21"/>
      <c r="P23" s="21"/>
      <c r="R23" s="21"/>
      <c r="S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0"/>
      <c r="AI23" s="20"/>
      <c r="AJ23" s="17"/>
      <c r="AK23" s="17"/>
      <c r="AL23" s="17"/>
      <c r="AM23" s="17"/>
      <c r="AN23" s="22"/>
      <c r="AO23" s="20"/>
      <c r="AP23" s="21"/>
      <c r="AQ23" s="21"/>
      <c r="AR23" s="21"/>
      <c r="AS23" s="21"/>
      <c r="AT23" s="21"/>
      <c r="AU23" s="21"/>
      <c r="AV23" s="21"/>
      <c r="AX23" s="23"/>
      <c r="AY23" s="24"/>
      <c r="AZ23" s="24"/>
      <c r="BA23" s="23"/>
      <c r="BB23" s="24"/>
      <c r="BC23" s="24"/>
    </row>
    <row r="24" spans="1:55" x14ac:dyDescent="0.2">
      <c r="A24" s="15">
        <v>41061</v>
      </c>
      <c r="B24" s="19"/>
      <c r="C24" s="19"/>
      <c r="D24" s="19"/>
      <c r="E24" s="19"/>
      <c r="G24" s="19"/>
      <c r="H24" s="20"/>
      <c r="I24" s="20"/>
      <c r="J24" s="20"/>
      <c r="K24" s="21"/>
      <c r="N24" s="21"/>
      <c r="O24" s="21"/>
      <c r="P24" s="21"/>
      <c r="R24" s="21"/>
      <c r="S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0"/>
      <c r="AI24" s="20"/>
      <c r="AJ24" s="17"/>
      <c r="AK24" s="17"/>
      <c r="AL24" s="17"/>
      <c r="AM24" s="17"/>
      <c r="AN24" s="22"/>
      <c r="AO24" s="20"/>
      <c r="AP24" s="21"/>
      <c r="AQ24" s="21"/>
      <c r="AR24" s="21"/>
      <c r="AS24" s="21"/>
      <c r="AT24" s="21"/>
      <c r="AU24" s="21"/>
      <c r="AV24" s="21"/>
      <c r="AX24" s="23"/>
      <c r="AY24" s="24"/>
      <c r="AZ24" s="24"/>
      <c r="BA24" s="23"/>
      <c r="BB24" s="24"/>
      <c r="BC24" s="24"/>
    </row>
    <row r="25" spans="1:55" x14ac:dyDescent="0.2">
      <c r="A25" s="15">
        <v>41091</v>
      </c>
      <c r="B25" s="19"/>
      <c r="C25" s="19"/>
      <c r="D25" s="19"/>
      <c r="E25" s="19"/>
      <c r="G25" s="19"/>
      <c r="H25" s="20"/>
      <c r="I25" s="20"/>
      <c r="J25" s="20"/>
      <c r="K25" s="21"/>
      <c r="N25" s="21"/>
      <c r="O25" s="21"/>
      <c r="P25" s="21"/>
      <c r="R25" s="21"/>
      <c r="S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0"/>
      <c r="AI25" s="20"/>
      <c r="AJ25" s="17"/>
      <c r="AK25" s="17"/>
      <c r="AL25" s="17"/>
      <c r="AM25" s="17"/>
      <c r="AN25" s="22"/>
      <c r="AO25" s="20"/>
      <c r="AP25" s="21"/>
      <c r="AQ25" s="21"/>
      <c r="AR25" s="21"/>
      <c r="AS25" s="21"/>
      <c r="AT25" s="21"/>
      <c r="AU25" s="21"/>
      <c r="AV25" s="21"/>
      <c r="AX25" s="23"/>
      <c r="AY25" s="24"/>
      <c r="AZ25" s="24"/>
      <c r="BA25" s="23"/>
      <c r="BB25" s="24"/>
      <c r="BC25" s="24"/>
    </row>
    <row r="26" spans="1:55" x14ac:dyDescent="0.2">
      <c r="A26" s="15">
        <v>41122</v>
      </c>
      <c r="B26" s="19"/>
      <c r="C26" s="19"/>
      <c r="D26" s="19"/>
      <c r="E26" s="19"/>
      <c r="G26" s="19"/>
      <c r="H26" s="20"/>
      <c r="I26" s="20"/>
      <c r="J26" s="20"/>
      <c r="K26" s="21"/>
      <c r="N26" s="21"/>
      <c r="O26" s="21"/>
      <c r="P26" s="21"/>
      <c r="R26" s="21"/>
      <c r="S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0"/>
      <c r="AI26" s="20"/>
      <c r="AJ26" s="17"/>
      <c r="AK26" s="17"/>
      <c r="AL26" s="17"/>
      <c r="AM26" s="17"/>
      <c r="AN26" s="22"/>
      <c r="AO26" s="20"/>
      <c r="AP26" s="21"/>
      <c r="AQ26" s="21"/>
      <c r="AR26" s="21"/>
      <c r="AS26" s="21"/>
      <c r="AT26" s="21"/>
      <c r="AU26" s="21"/>
      <c r="AV26" s="21"/>
      <c r="AX26" s="23"/>
      <c r="AY26" s="24"/>
      <c r="AZ26" s="24"/>
      <c r="BA26" s="23"/>
      <c r="BB26" s="24"/>
      <c r="BC26" s="24"/>
    </row>
    <row r="27" spans="1:55" x14ac:dyDescent="0.2">
      <c r="A27" s="15">
        <v>41153</v>
      </c>
      <c r="B27" s="19"/>
      <c r="C27" s="19"/>
      <c r="D27" s="19"/>
      <c r="E27" s="19"/>
      <c r="G27" s="19"/>
      <c r="H27" s="20"/>
      <c r="I27" s="20"/>
      <c r="J27" s="20"/>
      <c r="K27" s="21"/>
      <c r="N27" s="21"/>
      <c r="O27" s="21"/>
      <c r="P27" s="21"/>
      <c r="R27" s="21"/>
      <c r="S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0"/>
      <c r="AI27" s="20"/>
      <c r="AJ27" s="17"/>
      <c r="AK27" s="17"/>
      <c r="AL27" s="17"/>
      <c r="AM27" s="17"/>
      <c r="AN27" s="22"/>
      <c r="AO27" s="20"/>
      <c r="AP27" s="21"/>
      <c r="AQ27" s="21"/>
      <c r="AR27" s="21"/>
      <c r="AS27" s="21"/>
      <c r="AT27" s="21"/>
      <c r="AU27" s="21"/>
      <c r="AV27" s="21"/>
      <c r="AX27" s="23"/>
      <c r="AY27" s="24"/>
      <c r="AZ27" s="24"/>
      <c r="BA27" s="23"/>
      <c r="BB27" s="24"/>
      <c r="BC27" s="24"/>
    </row>
    <row r="28" spans="1:55" x14ac:dyDescent="0.2">
      <c r="A28" s="15">
        <v>41183</v>
      </c>
      <c r="B28" s="19"/>
      <c r="C28" s="19"/>
      <c r="D28" s="19"/>
      <c r="E28" s="19"/>
      <c r="G28" s="19"/>
      <c r="H28" s="20"/>
      <c r="I28" s="20"/>
      <c r="J28" s="20"/>
      <c r="K28" s="21"/>
      <c r="N28" s="21"/>
      <c r="O28" s="21"/>
      <c r="P28" s="21"/>
      <c r="R28" s="21"/>
      <c r="S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0"/>
      <c r="AI28" s="20"/>
      <c r="AJ28" s="17"/>
      <c r="AK28" s="17"/>
      <c r="AL28" s="17"/>
      <c r="AM28" s="17"/>
      <c r="AN28" s="22"/>
      <c r="AO28" s="20"/>
      <c r="AP28" s="21"/>
      <c r="AQ28" s="21"/>
      <c r="AR28" s="21"/>
      <c r="AS28" s="21"/>
      <c r="AT28" s="21"/>
      <c r="AU28" s="21"/>
      <c r="AV28" s="21"/>
      <c r="AX28" s="23"/>
      <c r="AY28" s="24"/>
      <c r="AZ28" s="24"/>
      <c r="BA28" s="23"/>
      <c r="BB28" s="24"/>
      <c r="BC28" s="24"/>
    </row>
    <row r="29" spans="1:55" x14ac:dyDescent="0.2">
      <c r="A29" s="15">
        <v>41214</v>
      </c>
      <c r="B29" s="19"/>
      <c r="C29" s="19"/>
      <c r="D29" s="19"/>
      <c r="E29" s="19"/>
      <c r="G29" s="19"/>
      <c r="H29" s="20"/>
      <c r="I29" s="20"/>
      <c r="J29" s="20"/>
      <c r="K29" s="21"/>
      <c r="N29" s="21"/>
      <c r="O29" s="21"/>
      <c r="P29" s="21"/>
      <c r="R29" s="21"/>
      <c r="S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0"/>
      <c r="AI29" s="20"/>
      <c r="AJ29" s="17"/>
      <c r="AK29" s="17"/>
      <c r="AL29" s="17"/>
      <c r="AM29" s="17"/>
      <c r="AN29" s="22"/>
      <c r="AO29" s="20"/>
      <c r="AP29" s="21"/>
      <c r="AQ29" s="21"/>
      <c r="AR29" s="21"/>
      <c r="AS29" s="21"/>
      <c r="AT29" s="21"/>
      <c r="AU29" s="21"/>
      <c r="AV29" s="21"/>
      <c r="AX29" s="23"/>
      <c r="AY29" s="24"/>
      <c r="AZ29" s="24"/>
      <c r="BA29" s="23"/>
      <c r="BB29" s="24"/>
      <c r="BC29" s="24"/>
    </row>
    <row r="30" spans="1:55" x14ac:dyDescent="0.2">
      <c r="A30" s="15">
        <v>41244</v>
      </c>
      <c r="B30" s="19"/>
      <c r="C30" s="19"/>
      <c r="D30" s="19"/>
      <c r="E30" s="19"/>
      <c r="G30" s="19"/>
      <c r="H30" s="20"/>
      <c r="I30" s="20"/>
      <c r="J30" s="20"/>
      <c r="K30" s="21"/>
      <c r="N30" s="21"/>
      <c r="O30" s="21"/>
      <c r="P30" s="21"/>
      <c r="R30" s="21"/>
      <c r="S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0"/>
      <c r="AI30" s="20"/>
      <c r="AJ30" s="17"/>
      <c r="AK30" s="17"/>
      <c r="AL30" s="17"/>
      <c r="AM30" s="17"/>
      <c r="AN30" s="22"/>
      <c r="AO30" s="20"/>
      <c r="AP30" s="21"/>
      <c r="AQ30" s="21"/>
      <c r="AR30" s="21"/>
      <c r="AS30" s="21"/>
      <c r="AT30" s="21"/>
      <c r="AU30" s="21"/>
      <c r="AV30" s="21"/>
      <c r="AX30" s="23"/>
      <c r="AY30" s="24"/>
      <c r="AZ30" s="24"/>
      <c r="BA30" s="23"/>
      <c r="BB30" s="24"/>
      <c r="BC30" s="24"/>
    </row>
    <row r="31" spans="1:55" x14ac:dyDescent="0.2">
      <c r="A31" s="15">
        <v>41275</v>
      </c>
      <c r="B31" s="19"/>
      <c r="C31" s="19"/>
      <c r="D31" s="19"/>
      <c r="E31" s="19"/>
      <c r="G31" s="19"/>
      <c r="H31" s="20"/>
      <c r="I31" s="20"/>
      <c r="J31" s="20"/>
      <c r="K31" s="21"/>
      <c r="N31" s="21"/>
      <c r="O31" s="21"/>
      <c r="P31" s="21"/>
      <c r="R31" s="21"/>
      <c r="S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0"/>
      <c r="AI31" s="20"/>
      <c r="AJ31" s="17"/>
      <c r="AK31" s="17"/>
      <c r="AL31" s="17"/>
      <c r="AM31" s="17"/>
      <c r="AN31" s="22"/>
      <c r="AO31" s="20"/>
      <c r="AP31" s="21"/>
      <c r="AQ31" s="21"/>
      <c r="AR31" s="21"/>
      <c r="AS31" s="21"/>
      <c r="AT31" s="21"/>
      <c r="AU31" s="21"/>
      <c r="AV31" s="21"/>
      <c r="AX31" s="23"/>
      <c r="AY31" s="24"/>
      <c r="AZ31" s="24"/>
      <c r="BA31" s="23"/>
      <c r="BB31" s="24"/>
      <c r="BC31" s="24"/>
    </row>
    <row r="32" spans="1:55" x14ac:dyDescent="0.2">
      <c r="A32" s="15">
        <v>41306</v>
      </c>
      <c r="B32" s="19"/>
      <c r="C32" s="19"/>
      <c r="D32" s="19"/>
      <c r="E32" s="19"/>
      <c r="G32" s="19"/>
      <c r="H32" s="20"/>
      <c r="I32" s="20"/>
      <c r="J32" s="20"/>
      <c r="K32" s="21"/>
      <c r="N32" s="21"/>
      <c r="O32" s="21"/>
      <c r="P32" s="21"/>
      <c r="R32" s="21"/>
      <c r="S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0"/>
      <c r="AI32" s="20"/>
      <c r="AJ32" s="17"/>
      <c r="AK32" s="17"/>
      <c r="AL32" s="17"/>
      <c r="AM32" s="17"/>
      <c r="AN32" s="22"/>
      <c r="AO32" s="20"/>
      <c r="AP32" s="21"/>
      <c r="AQ32" s="21"/>
      <c r="AR32" s="21"/>
      <c r="AS32" s="21"/>
      <c r="AT32" s="21"/>
      <c r="AU32" s="21"/>
      <c r="AV32" s="21"/>
      <c r="AX32" s="23"/>
      <c r="AY32" s="24"/>
      <c r="AZ32" s="24"/>
      <c r="BA32" s="23"/>
      <c r="BB32" s="24"/>
      <c r="BC32" s="24"/>
    </row>
    <row r="33" spans="1:55" x14ac:dyDescent="0.2">
      <c r="A33" s="15">
        <v>41334</v>
      </c>
      <c r="B33" s="19"/>
      <c r="C33" s="19"/>
      <c r="D33" s="19"/>
      <c r="E33" s="19"/>
      <c r="G33" s="19"/>
      <c r="H33" s="20"/>
      <c r="I33" s="20"/>
      <c r="J33" s="20"/>
      <c r="K33" s="21"/>
      <c r="N33" s="21"/>
      <c r="O33" s="21"/>
      <c r="P33" s="21"/>
      <c r="R33" s="21"/>
      <c r="S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0"/>
      <c r="AI33" s="20"/>
      <c r="AJ33" s="17"/>
      <c r="AK33" s="17"/>
      <c r="AL33" s="17"/>
      <c r="AM33" s="17"/>
      <c r="AN33" s="22"/>
      <c r="AO33" s="20"/>
      <c r="AP33" s="21"/>
      <c r="AQ33" s="21"/>
      <c r="AR33" s="21"/>
      <c r="AS33" s="21"/>
      <c r="AT33" s="21"/>
      <c r="AU33" s="21"/>
      <c r="AV33" s="21"/>
      <c r="AX33" s="23"/>
      <c r="AY33" s="24"/>
      <c r="AZ33" s="24"/>
      <c r="BA33" s="23"/>
      <c r="BB33" s="24"/>
      <c r="BC33" s="24"/>
    </row>
    <row r="34" spans="1:55" x14ac:dyDescent="0.2">
      <c r="A34" s="15">
        <v>41365</v>
      </c>
      <c r="B34" s="19"/>
      <c r="C34" s="19"/>
      <c r="D34" s="19"/>
      <c r="E34" s="19"/>
      <c r="G34" s="19"/>
      <c r="H34" s="20"/>
      <c r="I34" s="20"/>
      <c r="J34" s="20"/>
      <c r="K34" s="21"/>
      <c r="N34" s="21"/>
      <c r="O34" s="21"/>
      <c r="P34" s="21"/>
      <c r="R34" s="21"/>
      <c r="S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0"/>
      <c r="AI34" s="20"/>
      <c r="AJ34" s="17"/>
      <c r="AK34" s="17"/>
      <c r="AL34" s="17"/>
      <c r="AM34" s="17"/>
      <c r="AN34" s="22"/>
      <c r="AO34" s="20"/>
      <c r="AP34" s="21"/>
      <c r="AQ34" s="21"/>
      <c r="AR34" s="21"/>
      <c r="AS34" s="21"/>
      <c r="AT34" s="21"/>
      <c r="AU34" s="21"/>
      <c r="AV34" s="21"/>
      <c r="AX34" s="23"/>
      <c r="AY34" s="24"/>
      <c r="AZ34" s="24"/>
      <c r="BA34" s="23"/>
      <c r="BB34" s="24"/>
      <c r="BC34" s="24"/>
    </row>
    <row r="35" spans="1:55" x14ac:dyDescent="0.2">
      <c r="A35" s="15">
        <v>41395</v>
      </c>
      <c r="B35" s="19"/>
      <c r="C35" s="19"/>
      <c r="D35" s="19"/>
      <c r="E35" s="19"/>
      <c r="G35" s="19"/>
      <c r="H35" s="20"/>
      <c r="I35" s="20"/>
      <c r="J35" s="20"/>
      <c r="K35" s="21"/>
      <c r="N35" s="21"/>
      <c r="O35" s="21"/>
      <c r="P35" s="21"/>
      <c r="R35" s="21"/>
      <c r="S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0"/>
      <c r="AI35" s="20"/>
      <c r="AJ35" s="17"/>
      <c r="AK35" s="17"/>
      <c r="AL35" s="17"/>
      <c r="AM35" s="17"/>
      <c r="AN35" s="22"/>
      <c r="AO35" s="20"/>
      <c r="AP35" s="21"/>
      <c r="AQ35" s="21"/>
      <c r="AR35" s="21"/>
      <c r="AS35" s="21"/>
      <c r="AT35" s="21"/>
      <c r="AU35" s="21"/>
      <c r="AV35" s="21"/>
      <c r="AX35" s="23"/>
      <c r="AY35" s="24"/>
      <c r="AZ35" s="24"/>
      <c r="BA35" s="23"/>
      <c r="BB35" s="24"/>
      <c r="BC35" s="24"/>
    </row>
    <row r="36" spans="1:55" x14ac:dyDescent="0.2">
      <c r="A36" s="15">
        <v>41426</v>
      </c>
      <c r="B36" s="19"/>
      <c r="C36" s="19"/>
      <c r="D36" s="19"/>
      <c r="E36" s="19"/>
      <c r="G36" s="19"/>
      <c r="H36" s="20"/>
      <c r="I36" s="20"/>
      <c r="J36" s="20"/>
      <c r="K36" s="21"/>
      <c r="N36" s="21"/>
      <c r="O36" s="21"/>
      <c r="P36" s="21"/>
      <c r="R36" s="21"/>
      <c r="S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0"/>
      <c r="AI36" s="20"/>
      <c r="AJ36" s="17"/>
      <c r="AK36" s="17"/>
      <c r="AL36" s="17"/>
      <c r="AM36" s="17"/>
      <c r="AN36" s="22"/>
      <c r="AO36" s="20"/>
      <c r="AP36" s="21"/>
      <c r="AQ36" s="21"/>
      <c r="AR36" s="21"/>
      <c r="AS36" s="21"/>
      <c r="AT36" s="21"/>
      <c r="AU36" s="21"/>
      <c r="AV36" s="21"/>
      <c r="AX36" s="23"/>
      <c r="AY36" s="24"/>
      <c r="AZ36" s="24"/>
      <c r="BA36" s="23"/>
      <c r="BB36" s="24"/>
      <c r="BC36" s="24"/>
    </row>
    <row r="37" spans="1:55" x14ac:dyDescent="0.2">
      <c r="A37" s="15">
        <v>41456</v>
      </c>
      <c r="B37" s="19"/>
      <c r="C37" s="19"/>
      <c r="D37" s="19"/>
      <c r="E37" s="19"/>
      <c r="G37" s="19"/>
      <c r="H37" s="20"/>
      <c r="I37" s="20"/>
      <c r="J37" s="20"/>
      <c r="K37" s="21"/>
      <c r="N37" s="21"/>
      <c r="O37" s="21"/>
      <c r="P37" s="21"/>
      <c r="R37" s="21"/>
      <c r="S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0"/>
      <c r="AI37" s="20"/>
      <c r="AJ37" s="17"/>
      <c r="AK37" s="17"/>
      <c r="AL37" s="17"/>
      <c r="AM37" s="17"/>
      <c r="AN37" s="22"/>
      <c r="AO37" s="20"/>
      <c r="AP37" s="21"/>
      <c r="AQ37" s="21"/>
      <c r="AR37" s="21"/>
      <c r="AS37" s="21"/>
      <c r="AT37" s="21"/>
      <c r="AU37" s="21"/>
      <c r="AV37" s="21"/>
      <c r="AX37" s="23"/>
      <c r="AY37" s="24"/>
      <c r="AZ37" s="24"/>
      <c r="BA37" s="23"/>
      <c r="BB37" s="24"/>
      <c r="BC37" s="24"/>
    </row>
    <row r="38" spans="1:55" x14ac:dyDescent="0.2">
      <c r="A38" s="15">
        <v>41487</v>
      </c>
      <c r="B38" s="19"/>
      <c r="C38" s="19"/>
      <c r="D38" s="19"/>
      <c r="E38" s="19"/>
      <c r="G38" s="19"/>
      <c r="H38" s="20"/>
      <c r="I38" s="20"/>
      <c r="J38" s="20"/>
      <c r="K38" s="21"/>
      <c r="N38" s="21"/>
      <c r="O38" s="21"/>
      <c r="P38" s="21"/>
      <c r="R38" s="21"/>
      <c r="S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0"/>
      <c r="AI38" s="20"/>
      <c r="AJ38" s="17"/>
      <c r="AK38" s="17"/>
      <c r="AL38" s="17"/>
      <c r="AM38" s="17"/>
      <c r="AN38" s="22"/>
      <c r="AO38" s="20"/>
      <c r="AP38" s="21"/>
      <c r="AQ38" s="21"/>
      <c r="AR38" s="21"/>
      <c r="AS38" s="21"/>
      <c r="AT38" s="21"/>
      <c r="AU38" s="21"/>
      <c r="AV38" s="21"/>
      <c r="AX38" s="23"/>
      <c r="AY38" s="24"/>
      <c r="AZ38" s="24"/>
      <c r="BA38" s="23"/>
      <c r="BB38" s="24"/>
      <c r="BC38" s="24"/>
    </row>
    <row r="39" spans="1:55" x14ac:dyDescent="0.2">
      <c r="A39" s="15">
        <v>41518</v>
      </c>
      <c r="B39" s="19"/>
      <c r="C39" s="19"/>
      <c r="D39" s="19"/>
      <c r="E39" s="19"/>
      <c r="G39" s="19"/>
      <c r="H39" s="20"/>
      <c r="I39" s="20"/>
      <c r="J39" s="20"/>
      <c r="K39" s="21"/>
      <c r="N39" s="21"/>
      <c r="O39" s="21"/>
      <c r="P39" s="21"/>
      <c r="R39" s="21"/>
      <c r="S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0"/>
      <c r="AI39" s="20"/>
      <c r="AJ39" s="17"/>
      <c r="AK39" s="17"/>
      <c r="AL39" s="17"/>
      <c r="AM39" s="17"/>
      <c r="AN39" s="22"/>
      <c r="AO39" s="20"/>
      <c r="AP39" s="21"/>
      <c r="AQ39" s="21"/>
      <c r="AR39" s="21"/>
      <c r="AS39" s="21"/>
      <c r="AT39" s="21"/>
      <c r="AU39" s="21"/>
      <c r="AV39" s="21"/>
      <c r="AX39" s="23"/>
      <c r="AY39" s="24"/>
      <c r="AZ39" s="24"/>
      <c r="BA39" s="23"/>
      <c r="BB39" s="24"/>
      <c r="BC39" s="24"/>
    </row>
    <row r="40" spans="1:55" x14ac:dyDescent="0.2">
      <c r="A40" s="15">
        <v>41548</v>
      </c>
      <c r="B40" s="19"/>
      <c r="C40" s="19"/>
      <c r="D40" s="19"/>
      <c r="E40" s="19"/>
      <c r="G40" s="19"/>
      <c r="H40" s="20"/>
      <c r="I40" s="20"/>
      <c r="J40" s="20"/>
      <c r="K40" s="21"/>
      <c r="N40" s="21"/>
      <c r="O40" s="21"/>
      <c r="P40" s="21"/>
      <c r="R40" s="21"/>
      <c r="S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0"/>
      <c r="AI40" s="20"/>
      <c r="AJ40" s="17"/>
      <c r="AK40" s="17"/>
      <c r="AL40" s="17"/>
      <c r="AM40" s="17"/>
      <c r="AN40" s="22"/>
      <c r="AO40" s="20"/>
      <c r="AP40" s="21"/>
      <c r="AQ40" s="21"/>
      <c r="AR40" s="21"/>
      <c r="AS40" s="21"/>
      <c r="AT40" s="21"/>
      <c r="AU40" s="21"/>
      <c r="AV40" s="21"/>
      <c r="AX40" s="23"/>
      <c r="AY40" s="24"/>
      <c r="AZ40" s="24"/>
      <c r="BA40" s="23"/>
      <c r="BB40" s="24"/>
      <c r="BC40" s="24"/>
    </row>
    <row r="41" spans="1:55" x14ac:dyDescent="0.2">
      <c r="A41" s="15">
        <v>41579</v>
      </c>
      <c r="B41" s="19"/>
      <c r="C41" s="19"/>
      <c r="D41" s="19"/>
      <c r="E41" s="19"/>
      <c r="G41" s="19"/>
      <c r="H41" s="20"/>
      <c r="I41" s="20"/>
      <c r="J41" s="20"/>
      <c r="K41" s="21"/>
      <c r="N41" s="21"/>
      <c r="O41" s="21"/>
      <c r="P41" s="21"/>
      <c r="R41" s="21"/>
      <c r="S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0"/>
      <c r="AI41" s="20"/>
      <c r="AJ41" s="17"/>
      <c r="AK41" s="17"/>
      <c r="AL41" s="17"/>
      <c r="AM41" s="17"/>
      <c r="AN41" s="22"/>
      <c r="AO41" s="20"/>
      <c r="AP41" s="21"/>
      <c r="AQ41" s="21"/>
      <c r="AR41" s="21"/>
      <c r="AS41" s="21"/>
      <c r="AT41" s="21"/>
      <c r="AU41" s="21"/>
      <c r="AV41" s="21"/>
      <c r="AX41" s="23"/>
      <c r="AY41" s="24"/>
      <c r="AZ41" s="24"/>
      <c r="BA41" s="23"/>
      <c r="BB41" s="24"/>
      <c r="BC41" s="24"/>
    </row>
    <row r="42" spans="1:55" x14ac:dyDescent="0.2">
      <c r="A42" s="15">
        <v>41609</v>
      </c>
      <c r="B42" s="19"/>
      <c r="C42" s="19"/>
      <c r="D42" s="19"/>
      <c r="E42" s="19"/>
      <c r="G42" s="19"/>
      <c r="H42" s="20"/>
      <c r="I42" s="20"/>
      <c r="J42" s="20"/>
      <c r="K42" s="21"/>
      <c r="N42" s="21"/>
      <c r="O42" s="21"/>
      <c r="P42" s="21"/>
      <c r="R42" s="21"/>
      <c r="S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0"/>
      <c r="AI42" s="20"/>
      <c r="AJ42" s="17"/>
      <c r="AK42" s="17"/>
      <c r="AL42" s="17"/>
      <c r="AM42" s="17"/>
      <c r="AN42" s="22"/>
      <c r="AO42" s="20"/>
      <c r="AP42" s="21"/>
      <c r="AQ42" s="21"/>
      <c r="AR42" s="21"/>
      <c r="AS42" s="21"/>
      <c r="AT42" s="21"/>
      <c r="AU42" s="21"/>
      <c r="AV42" s="21"/>
      <c r="AX42" s="23"/>
      <c r="AY42" s="24"/>
      <c r="AZ42" s="24"/>
      <c r="BA42" s="23"/>
      <c r="BB42" s="24"/>
      <c r="BC42" s="24"/>
    </row>
    <row r="43" spans="1:55" x14ac:dyDescent="0.2">
      <c r="A43" s="15">
        <v>41640</v>
      </c>
      <c r="B43" s="19"/>
      <c r="C43" s="19"/>
      <c r="D43" s="19"/>
      <c r="E43" s="19"/>
      <c r="G43" s="19"/>
      <c r="H43" s="20"/>
      <c r="I43" s="20"/>
      <c r="J43" s="20"/>
      <c r="K43" s="21"/>
      <c r="N43" s="21"/>
      <c r="O43" s="21"/>
      <c r="P43" s="21"/>
      <c r="R43" s="21"/>
      <c r="S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0"/>
      <c r="AI43" s="20"/>
      <c r="AJ43" s="17"/>
      <c r="AK43" s="17"/>
      <c r="AL43" s="17"/>
      <c r="AM43" s="17"/>
      <c r="AN43" s="22"/>
      <c r="AO43" s="20"/>
      <c r="AP43" s="21"/>
      <c r="AQ43" s="21"/>
      <c r="AR43" s="21"/>
      <c r="AS43" s="21"/>
      <c r="AT43" s="21"/>
      <c r="AU43" s="21"/>
      <c r="AV43" s="21"/>
      <c r="AX43" s="23"/>
      <c r="AY43" s="24"/>
      <c r="AZ43" s="24"/>
      <c r="BA43" s="23"/>
      <c r="BB43" s="24"/>
      <c r="BC43" s="24"/>
    </row>
    <row r="44" spans="1:55" x14ac:dyDescent="0.2">
      <c r="A44" s="15">
        <v>41671</v>
      </c>
      <c r="B44" s="19"/>
      <c r="C44" s="19"/>
      <c r="D44" s="19"/>
      <c r="E44" s="19"/>
      <c r="G44" s="19"/>
      <c r="H44" s="20"/>
      <c r="I44" s="20"/>
      <c r="J44" s="20"/>
      <c r="K44" s="21"/>
      <c r="N44" s="21"/>
      <c r="O44" s="21"/>
      <c r="P44" s="21"/>
      <c r="R44" s="21"/>
      <c r="S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0"/>
      <c r="AI44" s="20"/>
      <c r="AJ44" s="17"/>
      <c r="AK44" s="17"/>
      <c r="AL44" s="17"/>
      <c r="AM44" s="17"/>
      <c r="AN44" s="22"/>
      <c r="AO44" s="20"/>
      <c r="AP44" s="21"/>
      <c r="AQ44" s="21"/>
      <c r="AR44" s="21"/>
      <c r="AS44" s="21"/>
      <c r="AT44" s="21"/>
      <c r="AU44" s="21"/>
      <c r="AV44" s="21"/>
      <c r="AX44" s="23"/>
      <c r="AY44" s="24"/>
      <c r="AZ44" s="24"/>
      <c r="BA44" s="23"/>
      <c r="BB44" s="24"/>
      <c r="BC44" s="24"/>
    </row>
    <row r="45" spans="1:55" x14ac:dyDescent="0.2">
      <c r="A45" s="15">
        <v>41699</v>
      </c>
      <c r="B45" s="19"/>
      <c r="C45" s="19"/>
      <c r="D45" s="19"/>
      <c r="E45" s="19"/>
      <c r="G45" s="19"/>
      <c r="H45" s="20"/>
      <c r="I45" s="20"/>
      <c r="J45" s="20"/>
      <c r="K45" s="21"/>
      <c r="N45" s="21"/>
      <c r="O45" s="21"/>
      <c r="P45" s="21"/>
      <c r="R45" s="21"/>
      <c r="S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0"/>
      <c r="AI45" s="20"/>
      <c r="AJ45" s="17"/>
      <c r="AK45" s="17"/>
      <c r="AL45" s="17"/>
      <c r="AM45" s="17"/>
      <c r="AN45" s="22"/>
      <c r="AO45" s="20"/>
      <c r="AP45" s="21"/>
      <c r="AQ45" s="21"/>
      <c r="AR45" s="21"/>
      <c r="AS45" s="21"/>
      <c r="AT45" s="21"/>
      <c r="AU45" s="21"/>
      <c r="AV45" s="21"/>
      <c r="AX45" s="23"/>
      <c r="AY45" s="24"/>
      <c r="AZ45" s="24"/>
      <c r="BA45" s="23"/>
      <c r="BB45" s="24"/>
      <c r="BC45" s="24"/>
    </row>
    <row r="46" spans="1:55" x14ac:dyDescent="0.2">
      <c r="A46" s="15">
        <v>41730</v>
      </c>
      <c r="B46" s="19"/>
      <c r="C46" s="19"/>
      <c r="D46" s="19"/>
      <c r="E46" s="19"/>
      <c r="G46" s="19"/>
      <c r="H46" s="20"/>
      <c r="I46" s="20"/>
      <c r="J46" s="20"/>
      <c r="K46" s="21"/>
      <c r="N46" s="21"/>
      <c r="O46" s="21"/>
      <c r="P46" s="21"/>
      <c r="R46" s="21"/>
      <c r="S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0"/>
      <c r="AI46" s="20"/>
      <c r="AJ46" s="17"/>
      <c r="AK46" s="17"/>
      <c r="AL46" s="17"/>
      <c r="AM46" s="17"/>
      <c r="AN46" s="22"/>
      <c r="AO46" s="20"/>
      <c r="AP46" s="21"/>
      <c r="AQ46" s="21"/>
      <c r="AR46" s="21"/>
      <c r="AS46" s="21"/>
      <c r="AT46" s="21"/>
      <c r="AU46" s="21"/>
      <c r="AV46" s="21"/>
      <c r="AX46" s="23"/>
      <c r="AY46" s="24"/>
      <c r="AZ46" s="24"/>
      <c r="BA46" s="23"/>
      <c r="BB46" s="24"/>
      <c r="BC46" s="24"/>
    </row>
    <row r="47" spans="1:55" x14ac:dyDescent="0.2">
      <c r="A47" s="15">
        <v>41760</v>
      </c>
      <c r="B47" s="19"/>
      <c r="C47" s="19"/>
      <c r="D47" s="19"/>
      <c r="E47" s="19"/>
      <c r="G47" s="19"/>
      <c r="H47" s="20"/>
      <c r="I47" s="20"/>
      <c r="J47" s="20"/>
      <c r="K47" s="21"/>
      <c r="N47" s="21"/>
      <c r="O47" s="21"/>
      <c r="P47" s="21"/>
      <c r="R47" s="21"/>
      <c r="S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0"/>
      <c r="AI47" s="20"/>
      <c r="AJ47" s="17"/>
      <c r="AK47" s="17"/>
      <c r="AL47" s="17"/>
      <c r="AM47" s="17"/>
      <c r="AN47" s="22"/>
      <c r="AO47" s="20"/>
      <c r="AP47" s="21"/>
      <c r="AQ47" s="21"/>
      <c r="AR47" s="21"/>
      <c r="AS47" s="21"/>
      <c r="AT47" s="21"/>
      <c r="AU47" s="21"/>
      <c r="AV47" s="21"/>
      <c r="AX47" s="23"/>
      <c r="AY47" s="24"/>
      <c r="AZ47" s="24"/>
      <c r="BA47" s="23"/>
      <c r="BB47" s="24"/>
      <c r="BC47" s="24"/>
    </row>
    <row r="48" spans="1:55" x14ac:dyDescent="0.2">
      <c r="A48" s="15">
        <v>41791</v>
      </c>
      <c r="B48" s="19"/>
      <c r="C48" s="19"/>
      <c r="D48" s="19"/>
      <c r="E48" s="19"/>
      <c r="G48" s="19"/>
      <c r="H48" s="20"/>
      <c r="I48" s="20"/>
      <c r="J48" s="20"/>
      <c r="K48" s="21"/>
      <c r="N48" s="21"/>
      <c r="O48" s="21"/>
      <c r="P48" s="21"/>
      <c r="R48" s="21"/>
      <c r="S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0"/>
      <c r="AI48" s="20"/>
      <c r="AJ48" s="17"/>
      <c r="AK48" s="17"/>
      <c r="AL48" s="17"/>
      <c r="AM48" s="17"/>
      <c r="AN48" s="22"/>
      <c r="AO48" s="20"/>
      <c r="AP48" s="21"/>
      <c r="AQ48" s="21"/>
      <c r="AR48" s="21"/>
      <c r="AS48" s="21"/>
      <c r="AT48" s="21"/>
      <c r="AU48" s="21"/>
      <c r="AV48" s="21"/>
      <c r="AX48" s="23"/>
      <c r="AY48" s="24"/>
      <c r="AZ48" s="24"/>
      <c r="BA48" s="23"/>
      <c r="BB48" s="24"/>
      <c r="BC48" s="24"/>
    </row>
    <row r="49" spans="1:55" x14ac:dyDescent="0.2">
      <c r="A49" s="15">
        <v>41821</v>
      </c>
      <c r="B49" s="19"/>
      <c r="C49" s="19"/>
      <c r="D49" s="19"/>
      <c r="E49" s="19"/>
      <c r="G49" s="19"/>
      <c r="H49" s="20"/>
      <c r="I49" s="20"/>
      <c r="J49" s="20"/>
      <c r="K49" s="21"/>
      <c r="N49" s="21"/>
      <c r="O49" s="21"/>
      <c r="P49" s="21"/>
      <c r="R49" s="21"/>
      <c r="S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0"/>
      <c r="AI49" s="20"/>
      <c r="AJ49" s="17"/>
      <c r="AK49" s="17"/>
      <c r="AL49" s="17"/>
      <c r="AM49" s="17"/>
      <c r="AN49" s="22"/>
      <c r="AO49" s="20"/>
      <c r="AP49" s="21"/>
      <c r="AQ49" s="21"/>
      <c r="AR49" s="21"/>
      <c r="AS49" s="21"/>
      <c r="AT49" s="21"/>
      <c r="AU49" s="21"/>
      <c r="AV49" s="21"/>
      <c r="AX49" s="23"/>
      <c r="AY49" s="24"/>
      <c r="AZ49" s="24"/>
      <c r="BA49" s="23"/>
      <c r="BB49" s="24"/>
      <c r="BC49" s="24"/>
    </row>
    <row r="50" spans="1:55" x14ac:dyDescent="0.2">
      <c r="A50" s="15">
        <v>41852</v>
      </c>
      <c r="B50" s="19"/>
      <c r="C50" s="19"/>
      <c r="D50" s="19"/>
      <c r="E50" s="19"/>
      <c r="G50" s="19"/>
      <c r="H50" s="20"/>
      <c r="I50" s="20"/>
      <c r="J50" s="20"/>
      <c r="K50" s="21"/>
      <c r="N50" s="21"/>
      <c r="O50" s="21"/>
      <c r="P50" s="21"/>
      <c r="R50" s="21"/>
      <c r="S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0"/>
      <c r="AI50" s="20"/>
      <c r="AJ50" s="17"/>
      <c r="AK50" s="17"/>
      <c r="AL50" s="17"/>
      <c r="AM50" s="17"/>
      <c r="AN50" s="22"/>
      <c r="AO50" s="20"/>
      <c r="AP50" s="21"/>
      <c r="AQ50" s="21"/>
      <c r="AR50" s="21"/>
      <c r="AS50" s="21"/>
      <c r="AT50" s="21"/>
      <c r="AU50" s="21"/>
      <c r="AV50" s="21"/>
      <c r="AX50" s="23"/>
      <c r="AY50" s="24"/>
      <c r="AZ50" s="24"/>
      <c r="BA50" s="23"/>
      <c r="BB50" s="24"/>
      <c r="BC50" s="24"/>
    </row>
    <row r="51" spans="1:55" x14ac:dyDescent="0.2">
      <c r="A51" s="15">
        <v>41883</v>
      </c>
      <c r="B51" s="19"/>
      <c r="C51" s="19"/>
      <c r="D51" s="19"/>
      <c r="E51" s="19"/>
      <c r="G51" s="19"/>
      <c r="H51" s="20"/>
      <c r="I51" s="20"/>
      <c r="J51" s="20"/>
      <c r="K51" s="21"/>
      <c r="N51" s="21"/>
      <c r="O51" s="21"/>
      <c r="P51" s="21"/>
      <c r="R51" s="21"/>
      <c r="S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0"/>
      <c r="AI51" s="20"/>
      <c r="AJ51" s="17"/>
      <c r="AK51" s="17"/>
      <c r="AL51" s="17"/>
      <c r="AM51" s="17"/>
      <c r="AN51" s="22"/>
      <c r="AO51" s="20"/>
      <c r="AP51" s="21"/>
      <c r="AQ51" s="21"/>
      <c r="AR51" s="21"/>
      <c r="AS51" s="21"/>
      <c r="AT51" s="21"/>
      <c r="AU51" s="21"/>
      <c r="AV51" s="21"/>
      <c r="AX51" s="23"/>
      <c r="AY51" s="24"/>
      <c r="AZ51" s="24"/>
      <c r="BA51" s="23"/>
      <c r="BB51" s="24"/>
      <c r="BC51" s="24"/>
    </row>
    <row r="52" spans="1:55" x14ac:dyDescent="0.2">
      <c r="A52" s="15">
        <v>41913</v>
      </c>
      <c r="B52" s="19"/>
      <c r="C52" s="19"/>
      <c r="D52" s="19"/>
      <c r="E52" s="19"/>
      <c r="G52" s="19"/>
      <c r="H52" s="20"/>
      <c r="I52" s="20"/>
      <c r="J52" s="20"/>
      <c r="K52" s="21"/>
      <c r="N52" s="21"/>
      <c r="O52" s="21"/>
      <c r="P52" s="21"/>
      <c r="R52" s="21"/>
      <c r="S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0"/>
      <c r="AI52" s="20"/>
      <c r="AJ52" s="17"/>
      <c r="AK52" s="17"/>
      <c r="AL52" s="17"/>
      <c r="AM52" s="17"/>
      <c r="AN52" s="22"/>
      <c r="AO52" s="20"/>
      <c r="AP52" s="21"/>
      <c r="AQ52" s="21"/>
      <c r="AR52" s="21"/>
      <c r="AS52" s="21"/>
      <c r="AT52" s="21"/>
      <c r="AU52" s="21"/>
      <c r="AV52" s="21"/>
      <c r="AX52" s="23"/>
      <c r="AY52" s="24"/>
      <c r="AZ52" s="24"/>
      <c r="BA52" s="23"/>
      <c r="BB52" s="24"/>
      <c r="BC52" s="24"/>
    </row>
    <row r="53" spans="1:55" x14ac:dyDescent="0.2">
      <c r="A53" s="15">
        <v>41944</v>
      </c>
      <c r="B53" s="19"/>
      <c r="C53" s="19"/>
      <c r="D53" s="19"/>
      <c r="E53" s="19"/>
      <c r="G53" s="19"/>
      <c r="H53" s="20"/>
      <c r="I53" s="20"/>
      <c r="J53" s="20"/>
      <c r="K53" s="21"/>
      <c r="N53" s="21"/>
      <c r="O53" s="21"/>
      <c r="P53" s="21"/>
      <c r="R53" s="21"/>
      <c r="S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0"/>
      <c r="AI53" s="20"/>
      <c r="AJ53" s="17"/>
      <c r="AK53" s="17"/>
      <c r="AL53" s="17"/>
      <c r="AM53" s="17"/>
      <c r="AN53" s="22"/>
      <c r="AO53" s="20"/>
      <c r="AP53" s="21"/>
      <c r="AQ53" s="21"/>
      <c r="AR53" s="21"/>
      <c r="AS53" s="21"/>
      <c r="AT53" s="21"/>
      <c r="AU53" s="21"/>
      <c r="AV53" s="21"/>
      <c r="AX53" s="23"/>
      <c r="AY53" s="24"/>
      <c r="AZ53" s="24"/>
      <c r="BA53" s="23"/>
      <c r="BB53" s="24"/>
      <c r="BC53" s="24"/>
    </row>
    <row r="54" spans="1:55" x14ac:dyDescent="0.2">
      <c r="A54" s="15">
        <v>41974</v>
      </c>
      <c r="B54" s="19"/>
      <c r="C54" s="19"/>
      <c r="D54" s="19"/>
      <c r="E54" s="19"/>
      <c r="G54" s="19"/>
      <c r="H54" s="20"/>
      <c r="I54" s="20"/>
      <c r="J54" s="20"/>
      <c r="K54" s="21"/>
      <c r="N54" s="21"/>
      <c r="O54" s="21"/>
      <c r="P54" s="21"/>
      <c r="R54" s="21"/>
      <c r="S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0"/>
      <c r="AI54" s="20"/>
      <c r="AJ54" s="17"/>
      <c r="AK54" s="17"/>
      <c r="AL54" s="17"/>
      <c r="AM54" s="17"/>
      <c r="AN54" s="22"/>
      <c r="AO54" s="20"/>
      <c r="AP54" s="21"/>
      <c r="AQ54" s="21"/>
      <c r="AR54" s="21"/>
      <c r="AS54" s="21"/>
      <c r="AT54" s="21"/>
      <c r="AU54" s="21"/>
      <c r="AV54" s="21"/>
      <c r="AX54" s="23"/>
      <c r="AY54" s="24"/>
      <c r="AZ54" s="24"/>
      <c r="BA54" s="23"/>
      <c r="BB54" s="24"/>
      <c r="BC54" s="24"/>
    </row>
    <row r="55" spans="1:55" x14ac:dyDescent="0.2">
      <c r="A55" s="15">
        <v>42005</v>
      </c>
      <c r="B55" s="19"/>
      <c r="C55" s="19"/>
      <c r="D55" s="19"/>
      <c r="E55" s="19"/>
      <c r="G55" s="19"/>
      <c r="H55" s="20"/>
      <c r="I55" s="20"/>
      <c r="J55" s="20"/>
      <c r="K55" s="21"/>
      <c r="N55" s="21"/>
      <c r="O55" s="21"/>
      <c r="P55" s="21"/>
      <c r="R55" s="21"/>
      <c r="S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0"/>
      <c r="AI55" s="20"/>
      <c r="AJ55" s="17"/>
      <c r="AK55" s="17"/>
      <c r="AL55" s="17"/>
      <c r="AM55" s="17"/>
      <c r="AN55" s="22"/>
      <c r="AO55" s="20"/>
      <c r="AP55" s="21"/>
      <c r="AQ55" s="21"/>
      <c r="AR55" s="21"/>
      <c r="AS55" s="21"/>
      <c r="AT55" s="21"/>
      <c r="AU55" s="21"/>
      <c r="AV55" s="21"/>
      <c r="AX55" s="23"/>
      <c r="AY55" s="24"/>
      <c r="AZ55" s="24"/>
      <c r="BA55" s="23"/>
      <c r="BB55" s="24"/>
      <c r="BC55" s="24"/>
    </row>
    <row r="56" spans="1:55" x14ac:dyDescent="0.2">
      <c r="A56" s="15">
        <v>42036</v>
      </c>
      <c r="B56" s="19"/>
      <c r="C56" s="19"/>
      <c r="D56" s="19"/>
      <c r="E56" s="19"/>
      <c r="G56" s="19"/>
      <c r="H56" s="20"/>
      <c r="I56" s="20"/>
      <c r="J56" s="20"/>
      <c r="K56" s="21"/>
      <c r="N56" s="21"/>
      <c r="O56" s="21"/>
      <c r="P56" s="21"/>
      <c r="R56" s="21"/>
      <c r="S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0"/>
      <c r="AI56" s="20"/>
      <c r="AJ56" s="17"/>
      <c r="AK56" s="17"/>
      <c r="AL56" s="17"/>
      <c r="AM56" s="17"/>
      <c r="AN56" s="22"/>
      <c r="AO56" s="20"/>
      <c r="AP56" s="21"/>
      <c r="AQ56" s="21"/>
      <c r="AR56" s="21"/>
      <c r="AS56" s="21"/>
      <c r="AT56" s="21"/>
      <c r="AU56" s="21"/>
      <c r="AV56" s="21"/>
      <c r="AX56" s="23"/>
      <c r="AY56" s="24"/>
      <c r="AZ56" s="24"/>
      <c r="BA56" s="23"/>
      <c r="BB56" s="24"/>
      <c r="BC56" s="24"/>
    </row>
    <row r="57" spans="1:55" x14ac:dyDescent="0.2">
      <c r="A57" s="15">
        <v>42064</v>
      </c>
      <c r="B57" s="19"/>
      <c r="C57" s="19"/>
      <c r="D57" s="19"/>
      <c r="E57" s="19"/>
      <c r="G57" s="19"/>
      <c r="H57" s="20"/>
      <c r="I57" s="20"/>
      <c r="J57" s="20"/>
      <c r="K57" s="21"/>
      <c r="N57" s="21"/>
      <c r="O57" s="21"/>
      <c r="P57" s="21"/>
      <c r="R57" s="21"/>
      <c r="S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0"/>
      <c r="AI57" s="20"/>
      <c r="AJ57" s="17"/>
      <c r="AK57" s="17"/>
      <c r="AL57" s="17"/>
      <c r="AM57" s="17"/>
      <c r="AN57" s="22"/>
      <c r="AO57" s="20"/>
      <c r="AP57" s="21"/>
      <c r="AQ57" s="21"/>
      <c r="AR57" s="21"/>
      <c r="AS57" s="21"/>
      <c r="AT57" s="21"/>
      <c r="AU57" s="21"/>
      <c r="AV57" s="21"/>
      <c r="AX57" s="23"/>
      <c r="AY57" s="24"/>
      <c r="AZ57" s="24"/>
      <c r="BA57" s="23"/>
      <c r="BB57" s="24"/>
      <c r="BC57" s="24"/>
    </row>
    <row r="58" spans="1:55" x14ac:dyDescent="0.2">
      <c r="A58" s="15">
        <v>42095</v>
      </c>
      <c r="B58" s="19"/>
      <c r="C58" s="19"/>
      <c r="D58" s="19"/>
      <c r="E58" s="19"/>
      <c r="G58" s="19"/>
      <c r="H58" s="20"/>
      <c r="I58" s="20"/>
      <c r="J58" s="20"/>
      <c r="K58" s="21"/>
      <c r="N58" s="21"/>
      <c r="O58" s="21"/>
      <c r="P58" s="21"/>
      <c r="R58" s="21"/>
      <c r="S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0"/>
      <c r="AI58" s="20"/>
      <c r="AJ58" s="17"/>
      <c r="AK58" s="17"/>
      <c r="AL58" s="17"/>
      <c r="AM58" s="17"/>
      <c r="AN58" s="22"/>
      <c r="AO58" s="20"/>
      <c r="AP58" s="21"/>
      <c r="AQ58" s="21"/>
      <c r="AR58" s="21"/>
      <c r="AS58" s="21"/>
      <c r="AT58" s="21"/>
      <c r="AU58" s="21"/>
      <c r="AV58" s="21"/>
      <c r="AX58" s="23"/>
      <c r="AY58" s="24"/>
      <c r="AZ58" s="24"/>
      <c r="BA58" s="23"/>
      <c r="BB58" s="24"/>
      <c r="BC58" s="24"/>
    </row>
    <row r="59" spans="1:55" x14ac:dyDescent="0.2">
      <c r="A59" s="15">
        <v>42125</v>
      </c>
      <c r="B59" s="19"/>
      <c r="C59" s="19"/>
      <c r="D59" s="19"/>
      <c r="E59" s="19"/>
      <c r="G59" s="19"/>
      <c r="H59" s="20"/>
      <c r="I59" s="20"/>
      <c r="J59" s="20"/>
      <c r="K59" s="21"/>
      <c r="N59" s="21"/>
      <c r="O59" s="21"/>
      <c r="P59" s="21"/>
      <c r="R59" s="21"/>
      <c r="S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0"/>
      <c r="AI59" s="20"/>
      <c r="AJ59" s="17"/>
      <c r="AK59" s="17"/>
      <c r="AL59" s="17"/>
      <c r="AM59" s="17"/>
      <c r="AN59" s="22"/>
      <c r="AO59" s="20"/>
      <c r="AP59" s="21"/>
      <c r="AQ59" s="21"/>
      <c r="AR59" s="21"/>
      <c r="AS59" s="21"/>
      <c r="AT59" s="21"/>
      <c r="AU59" s="21"/>
      <c r="AV59" s="21"/>
      <c r="AX59" s="23"/>
      <c r="AY59" s="24"/>
      <c r="AZ59" s="24"/>
      <c r="BA59" s="23"/>
      <c r="BB59" s="24"/>
      <c r="BC59" s="24"/>
    </row>
    <row r="60" spans="1:55" x14ac:dyDescent="0.2">
      <c r="A60" s="15">
        <v>42156</v>
      </c>
      <c r="B60" s="19"/>
      <c r="C60" s="19"/>
      <c r="D60" s="19"/>
      <c r="E60" s="19"/>
      <c r="G60" s="19"/>
      <c r="H60" s="20"/>
      <c r="I60" s="20"/>
      <c r="J60" s="20"/>
      <c r="K60" s="21"/>
      <c r="N60" s="21"/>
      <c r="O60" s="21"/>
      <c r="P60" s="21"/>
      <c r="R60" s="21"/>
      <c r="S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0"/>
      <c r="AI60" s="20"/>
      <c r="AJ60" s="17"/>
      <c r="AK60" s="17"/>
      <c r="AL60" s="17"/>
      <c r="AM60" s="17"/>
      <c r="AN60" s="22"/>
      <c r="AO60" s="20"/>
      <c r="AP60" s="21"/>
      <c r="AQ60" s="21"/>
      <c r="AR60" s="21"/>
      <c r="AS60" s="21"/>
      <c r="AT60" s="21"/>
      <c r="AU60" s="21"/>
      <c r="AV60" s="21"/>
      <c r="AX60" s="23"/>
      <c r="AY60" s="24"/>
      <c r="AZ60" s="24"/>
      <c r="BA60" s="23"/>
      <c r="BB60" s="24"/>
      <c r="BC60" s="24"/>
    </row>
    <row r="61" spans="1:55" x14ac:dyDescent="0.2">
      <c r="A61" s="15">
        <v>42186</v>
      </c>
      <c r="B61" s="19"/>
      <c r="C61" s="19"/>
      <c r="D61" s="19"/>
      <c r="E61" s="19"/>
      <c r="G61" s="19"/>
      <c r="H61" s="20"/>
      <c r="I61" s="20"/>
      <c r="J61" s="20"/>
      <c r="K61" s="21"/>
      <c r="N61" s="21"/>
      <c r="O61" s="21"/>
      <c r="P61" s="21"/>
      <c r="R61" s="21"/>
      <c r="S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0"/>
      <c r="AI61" s="20"/>
      <c r="AJ61" s="17"/>
      <c r="AK61" s="17"/>
      <c r="AL61" s="17"/>
      <c r="AM61" s="17"/>
      <c r="AN61" s="22"/>
      <c r="AO61" s="20"/>
      <c r="AP61" s="21"/>
      <c r="AQ61" s="21"/>
      <c r="AR61" s="21"/>
      <c r="AS61" s="21"/>
      <c r="AT61" s="21"/>
      <c r="AU61" s="21"/>
      <c r="AV61" s="21"/>
      <c r="AX61" s="23"/>
      <c r="AY61" s="24"/>
      <c r="AZ61" s="24"/>
      <c r="BA61" s="23"/>
      <c r="BB61" s="24"/>
      <c r="BC61" s="24"/>
    </row>
    <row r="62" spans="1:55" x14ac:dyDescent="0.2">
      <c r="A62" s="15">
        <v>42217</v>
      </c>
      <c r="B62" s="19"/>
      <c r="C62" s="19"/>
      <c r="D62" s="19"/>
      <c r="E62" s="19"/>
      <c r="G62" s="19"/>
      <c r="H62" s="20"/>
      <c r="I62" s="20"/>
      <c r="J62" s="20"/>
      <c r="K62" s="21"/>
      <c r="N62" s="21"/>
      <c r="O62" s="21"/>
      <c r="P62" s="21"/>
      <c r="R62" s="21"/>
      <c r="S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0"/>
      <c r="AI62" s="20"/>
      <c r="AJ62" s="17"/>
      <c r="AK62" s="17"/>
      <c r="AL62" s="17"/>
      <c r="AM62" s="17"/>
      <c r="AN62" s="22"/>
      <c r="AO62" s="20"/>
      <c r="AP62" s="21"/>
      <c r="AQ62" s="21"/>
      <c r="AR62" s="21"/>
      <c r="AS62" s="21"/>
      <c r="AT62" s="21"/>
      <c r="AU62" s="21"/>
      <c r="AV62" s="21"/>
      <c r="AX62" s="23"/>
      <c r="AY62" s="24"/>
      <c r="AZ62" s="24"/>
      <c r="BA62" s="23"/>
      <c r="BB62" s="24"/>
      <c r="BC62" s="24"/>
    </row>
    <row r="63" spans="1:55" x14ac:dyDescent="0.2">
      <c r="A63" s="15">
        <v>42248</v>
      </c>
      <c r="B63" s="19"/>
      <c r="C63" s="19"/>
      <c r="D63" s="19"/>
      <c r="E63" s="19"/>
      <c r="G63" s="19"/>
      <c r="H63" s="20"/>
      <c r="I63" s="20"/>
      <c r="J63" s="20"/>
      <c r="K63" s="21"/>
      <c r="N63" s="21"/>
      <c r="O63" s="21"/>
      <c r="P63" s="21"/>
      <c r="R63" s="21"/>
      <c r="S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0"/>
      <c r="AI63" s="20"/>
      <c r="AJ63" s="17"/>
      <c r="AK63" s="17"/>
      <c r="AL63" s="17"/>
      <c r="AM63" s="17"/>
      <c r="AN63" s="22"/>
      <c r="AO63" s="20"/>
      <c r="AP63" s="21"/>
      <c r="AQ63" s="21"/>
      <c r="AR63" s="21"/>
      <c r="AS63" s="21"/>
      <c r="AT63" s="21"/>
      <c r="AU63" s="21"/>
      <c r="AV63" s="21"/>
      <c r="AX63" s="23"/>
      <c r="AY63" s="24"/>
      <c r="AZ63" s="24"/>
      <c r="BA63" s="23"/>
      <c r="BB63" s="24"/>
      <c r="BC63" s="24"/>
    </row>
    <row r="64" spans="1:55" x14ac:dyDescent="0.2">
      <c r="A64" s="15">
        <v>42278</v>
      </c>
      <c r="B64" s="19"/>
      <c r="C64" s="19"/>
      <c r="D64" s="19"/>
      <c r="E64" s="19"/>
      <c r="G64" s="19"/>
      <c r="H64" s="20"/>
      <c r="I64" s="20"/>
      <c r="J64" s="20"/>
      <c r="K64" s="21"/>
      <c r="N64" s="21"/>
      <c r="O64" s="21"/>
      <c r="P64" s="21"/>
      <c r="R64" s="21"/>
      <c r="S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0"/>
      <c r="AI64" s="20"/>
      <c r="AJ64" s="17"/>
      <c r="AK64" s="17"/>
      <c r="AL64" s="17"/>
      <c r="AM64" s="17"/>
      <c r="AN64" s="22"/>
      <c r="AO64" s="20"/>
      <c r="AP64" s="21"/>
      <c r="AQ64" s="21"/>
      <c r="AR64" s="21"/>
      <c r="AS64" s="21"/>
      <c r="AT64" s="21"/>
      <c r="AU64" s="21"/>
      <c r="AV64" s="21"/>
      <c r="AX64" s="23"/>
      <c r="AY64" s="24"/>
      <c r="AZ64" s="24"/>
      <c r="BA64" s="23"/>
      <c r="BB64" s="24"/>
      <c r="BC64" s="24"/>
    </row>
    <row r="65" spans="1:55" x14ac:dyDescent="0.2">
      <c r="A65" s="15">
        <v>42309</v>
      </c>
      <c r="B65" s="19"/>
      <c r="C65" s="19"/>
      <c r="D65" s="19"/>
      <c r="E65" s="19"/>
      <c r="G65" s="19"/>
      <c r="H65" s="20"/>
      <c r="I65" s="20"/>
      <c r="J65" s="20"/>
      <c r="K65" s="21"/>
      <c r="N65" s="21"/>
      <c r="O65" s="21"/>
      <c r="P65" s="21"/>
      <c r="R65" s="21"/>
      <c r="S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0"/>
      <c r="AI65" s="20"/>
      <c r="AJ65" s="17"/>
      <c r="AK65" s="17"/>
      <c r="AL65" s="17"/>
      <c r="AM65" s="17"/>
      <c r="AN65" s="22"/>
      <c r="AO65" s="20"/>
      <c r="AP65" s="21"/>
      <c r="AQ65" s="21"/>
      <c r="AR65" s="21"/>
      <c r="AS65" s="21"/>
      <c r="AT65" s="21"/>
      <c r="AU65" s="21"/>
      <c r="AV65" s="21"/>
      <c r="AX65" s="23"/>
      <c r="AY65" s="24"/>
      <c r="AZ65" s="24"/>
      <c r="BA65" s="23"/>
      <c r="BB65" s="24"/>
      <c r="BC65" s="24"/>
    </row>
    <row r="66" spans="1:55" x14ac:dyDescent="0.2">
      <c r="A66" s="15">
        <v>42339</v>
      </c>
      <c r="B66" s="19"/>
      <c r="C66" s="19"/>
      <c r="D66" s="19"/>
      <c r="E66" s="19"/>
      <c r="G66" s="19"/>
      <c r="H66" s="20"/>
      <c r="I66" s="20"/>
      <c r="J66" s="20"/>
      <c r="K66" s="21"/>
      <c r="N66" s="21"/>
      <c r="O66" s="21"/>
      <c r="P66" s="21"/>
      <c r="R66" s="21"/>
      <c r="S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0"/>
      <c r="AI66" s="20"/>
      <c r="AJ66" s="17"/>
      <c r="AK66" s="17"/>
      <c r="AL66" s="17"/>
      <c r="AM66" s="17"/>
      <c r="AN66" s="22"/>
      <c r="AO66" s="20"/>
      <c r="AP66" s="21"/>
      <c r="AQ66" s="21"/>
      <c r="AR66" s="21"/>
      <c r="AS66" s="21"/>
      <c r="AT66" s="21"/>
      <c r="AU66" s="21"/>
      <c r="AV66" s="21"/>
      <c r="AX66" s="23"/>
      <c r="AY66" s="24"/>
      <c r="AZ66" s="24"/>
      <c r="BA66" s="23"/>
      <c r="BB66" s="24"/>
      <c r="BC66" s="24"/>
    </row>
    <row r="67" spans="1:55" x14ac:dyDescent="0.2">
      <c r="A67" s="15">
        <v>42370</v>
      </c>
      <c r="B67" s="19"/>
      <c r="C67" s="19"/>
      <c r="D67" s="19"/>
      <c r="E67" s="19"/>
      <c r="G67" s="19"/>
      <c r="H67" s="20"/>
      <c r="I67" s="20"/>
      <c r="J67" s="20"/>
      <c r="K67" s="21"/>
      <c r="N67" s="21"/>
      <c r="O67" s="21"/>
      <c r="P67" s="21"/>
      <c r="R67" s="21"/>
      <c r="S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0"/>
      <c r="AI67" s="20"/>
      <c r="AJ67" s="17"/>
      <c r="AK67" s="17"/>
      <c r="AL67" s="17"/>
      <c r="AM67" s="17"/>
      <c r="AN67" s="22"/>
      <c r="AO67" s="20"/>
      <c r="AP67" s="21"/>
      <c r="AQ67" s="21"/>
      <c r="AR67" s="21"/>
      <c r="AS67" s="21"/>
      <c r="AT67" s="21"/>
      <c r="AU67" s="21"/>
      <c r="AV67" s="21"/>
      <c r="AX67" s="23"/>
      <c r="AY67" s="24"/>
      <c r="AZ67" s="24"/>
      <c r="BA67" s="23"/>
      <c r="BB67" s="23"/>
      <c r="BC67" s="24"/>
    </row>
    <row r="68" spans="1:55" x14ac:dyDescent="0.2">
      <c r="A68" s="15">
        <v>42401</v>
      </c>
      <c r="B68" s="19"/>
      <c r="C68" s="19"/>
      <c r="D68" s="19"/>
      <c r="E68" s="19"/>
      <c r="G68" s="19"/>
      <c r="H68" s="20"/>
      <c r="I68" s="20"/>
      <c r="J68" s="20"/>
      <c r="K68" s="21"/>
      <c r="N68" s="21"/>
      <c r="O68" s="21"/>
      <c r="P68" s="21"/>
      <c r="R68" s="21"/>
      <c r="S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0"/>
      <c r="AI68" s="20"/>
      <c r="AJ68" s="17"/>
      <c r="AK68" s="17"/>
      <c r="AL68" s="17"/>
      <c r="AM68" s="17"/>
      <c r="AN68" s="22"/>
      <c r="AO68" s="20"/>
      <c r="AP68" s="21"/>
      <c r="AQ68" s="21"/>
      <c r="AR68" s="21"/>
      <c r="AS68" s="21"/>
      <c r="AT68" s="21"/>
      <c r="AU68" s="21"/>
      <c r="AV68" s="21"/>
      <c r="AX68" s="23"/>
      <c r="AY68" s="24"/>
      <c r="AZ68" s="24"/>
      <c r="BA68" s="23"/>
      <c r="BB68" s="23"/>
      <c r="BC68" s="24"/>
    </row>
    <row r="69" spans="1:55" x14ac:dyDescent="0.2">
      <c r="A69" s="15">
        <v>42430</v>
      </c>
      <c r="B69" s="19"/>
      <c r="C69" s="19"/>
      <c r="D69" s="19"/>
      <c r="E69" s="19"/>
      <c r="G69" s="19"/>
      <c r="H69" s="20"/>
      <c r="I69" s="20"/>
      <c r="J69" s="20"/>
      <c r="K69" s="21"/>
      <c r="N69" s="21"/>
      <c r="O69" s="21"/>
      <c r="P69" s="21"/>
      <c r="R69" s="21"/>
      <c r="S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0"/>
      <c r="AI69" s="20"/>
      <c r="AJ69" s="17"/>
      <c r="AK69" s="17"/>
      <c r="AL69" s="17"/>
      <c r="AM69" s="17"/>
      <c r="AN69" s="22"/>
      <c r="AO69" s="20"/>
      <c r="AP69" s="21"/>
      <c r="AQ69" s="21"/>
      <c r="AR69" s="21"/>
      <c r="AS69" s="21"/>
      <c r="AT69" s="21"/>
      <c r="AU69" s="21"/>
      <c r="AV69" s="21"/>
      <c r="AX69" s="23"/>
      <c r="AY69" s="24"/>
      <c r="AZ69" s="24"/>
      <c r="BA69" s="23"/>
      <c r="BB69" s="23"/>
      <c r="BC69" s="24"/>
    </row>
    <row r="70" spans="1:55" x14ac:dyDescent="0.2">
      <c r="A70" s="15">
        <v>42461</v>
      </c>
      <c r="B70" s="19"/>
      <c r="C70" s="19"/>
      <c r="D70" s="19"/>
      <c r="E70" s="19"/>
      <c r="G70" s="19"/>
      <c r="H70" s="20"/>
      <c r="I70" s="20"/>
      <c r="J70" s="20"/>
      <c r="K70" s="20"/>
      <c r="N70" s="20"/>
      <c r="O70" s="20"/>
      <c r="P70" s="20"/>
      <c r="R70" s="20"/>
      <c r="S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17"/>
      <c r="AK70" s="17"/>
      <c r="AL70" s="17"/>
      <c r="AM70" s="17"/>
      <c r="AN70" s="22"/>
      <c r="AO70" s="20"/>
      <c r="AP70" s="20"/>
      <c r="AQ70" s="21"/>
      <c r="AR70" s="20"/>
      <c r="AS70" s="20"/>
      <c r="AT70" s="21"/>
      <c r="AU70" s="21"/>
      <c r="AV70" s="21"/>
      <c r="AX70" s="23"/>
      <c r="AY70" s="23"/>
      <c r="AZ70" s="24"/>
      <c r="BA70" s="23"/>
      <c r="BB70" s="23"/>
      <c r="BC70" s="24"/>
    </row>
    <row r="71" spans="1:55" x14ac:dyDescent="0.2">
      <c r="A71" s="15">
        <v>42491</v>
      </c>
      <c r="B71" s="19"/>
      <c r="C71" s="19"/>
      <c r="D71" s="19"/>
      <c r="E71" s="19"/>
      <c r="G71" s="19"/>
      <c r="H71" s="20"/>
      <c r="I71" s="20"/>
      <c r="J71" s="20"/>
      <c r="K71" s="20"/>
      <c r="N71" s="20"/>
      <c r="O71" s="20"/>
      <c r="P71" s="20"/>
      <c r="R71" s="20"/>
      <c r="S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17"/>
      <c r="AK71" s="17"/>
      <c r="AL71" s="17"/>
      <c r="AM71" s="17"/>
      <c r="AN71" s="22"/>
      <c r="AO71" s="20"/>
      <c r="AP71" s="20"/>
      <c r="AQ71" s="21"/>
      <c r="AR71" s="20"/>
      <c r="AS71" s="20"/>
      <c r="AT71" s="21"/>
      <c r="AU71" s="21"/>
      <c r="AV71" s="21"/>
      <c r="AX71" s="23"/>
      <c r="AY71" s="23"/>
      <c r="AZ71" s="24"/>
      <c r="BA71" s="23"/>
      <c r="BB71" s="23"/>
      <c r="BC71" s="24"/>
    </row>
    <row r="72" spans="1:55" x14ac:dyDescent="0.2">
      <c r="A72" s="15">
        <v>42522</v>
      </c>
      <c r="B72" s="19"/>
      <c r="C72" s="19"/>
      <c r="D72" s="19"/>
      <c r="E72" s="19"/>
      <c r="G72" s="19"/>
      <c r="H72" s="20"/>
      <c r="I72" s="20"/>
      <c r="J72" s="20"/>
      <c r="K72" s="20"/>
      <c r="N72" s="20"/>
      <c r="O72" s="20"/>
      <c r="P72" s="20"/>
      <c r="R72" s="20"/>
      <c r="S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17"/>
      <c r="AK72" s="17"/>
      <c r="AL72" s="17"/>
      <c r="AM72" s="17"/>
      <c r="AN72" s="22"/>
      <c r="AO72" s="20"/>
      <c r="AP72" s="20"/>
      <c r="AQ72" s="21"/>
      <c r="AR72" s="20"/>
      <c r="AS72" s="20"/>
      <c r="AT72" s="21"/>
      <c r="AU72" s="21"/>
      <c r="AV72" s="21"/>
      <c r="AX72" s="23"/>
      <c r="AY72" s="23"/>
      <c r="AZ72" s="24"/>
      <c r="BA72" s="23"/>
      <c r="BB72" s="23"/>
      <c r="BC72" s="24"/>
    </row>
    <row r="73" spans="1:55" x14ac:dyDescent="0.2">
      <c r="A73" s="15">
        <v>42552</v>
      </c>
      <c r="B73" s="19"/>
      <c r="C73" s="19"/>
      <c r="D73" s="19"/>
      <c r="E73" s="19"/>
      <c r="G73" s="19"/>
      <c r="H73" s="20"/>
      <c r="I73" s="20"/>
      <c r="J73" s="20"/>
      <c r="K73" s="20"/>
      <c r="N73" s="20"/>
      <c r="O73" s="20"/>
      <c r="P73" s="20"/>
      <c r="R73" s="20"/>
      <c r="S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17"/>
      <c r="AK73" s="17"/>
      <c r="AL73" s="17"/>
      <c r="AM73" s="17"/>
      <c r="AN73" s="22"/>
      <c r="AO73" s="20"/>
      <c r="AP73" s="20"/>
      <c r="AQ73" s="21"/>
      <c r="AR73" s="20"/>
      <c r="AS73" s="20"/>
      <c r="AT73" s="21"/>
      <c r="AU73" s="21"/>
      <c r="AV73" s="21"/>
      <c r="AX73" s="23"/>
      <c r="AY73" s="23"/>
      <c r="AZ73" s="24"/>
      <c r="BA73" s="23"/>
      <c r="BB73" s="23"/>
      <c r="BC73" s="24"/>
    </row>
    <row r="74" spans="1:55" x14ac:dyDescent="0.2">
      <c r="A74" s="15">
        <v>42583</v>
      </c>
      <c r="B74" s="19"/>
      <c r="C74" s="19"/>
      <c r="D74" s="19"/>
      <c r="E74" s="19"/>
      <c r="G74" s="19"/>
      <c r="H74" s="20"/>
      <c r="I74" s="20"/>
      <c r="J74" s="20"/>
      <c r="K74" s="20"/>
      <c r="N74" s="20"/>
      <c r="O74" s="20"/>
      <c r="P74" s="20"/>
      <c r="R74" s="20"/>
      <c r="S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17"/>
      <c r="AK74" s="17"/>
      <c r="AL74" s="17"/>
      <c r="AM74" s="17"/>
      <c r="AN74" s="22"/>
      <c r="AO74" s="20"/>
      <c r="AP74" s="20"/>
      <c r="AQ74" s="21"/>
      <c r="AR74" s="20"/>
      <c r="AS74" s="20"/>
      <c r="AT74" s="21"/>
      <c r="AU74" s="21"/>
      <c r="AV74" s="21"/>
      <c r="AX74" s="23"/>
      <c r="AY74" s="23"/>
      <c r="AZ74" s="24"/>
      <c r="BA74" s="23"/>
      <c r="BB74" s="23"/>
      <c r="BC74" s="24"/>
    </row>
    <row r="75" spans="1:55" x14ac:dyDescent="0.2">
      <c r="A75" s="15">
        <v>42614</v>
      </c>
      <c r="B75" s="19"/>
      <c r="C75" s="19"/>
      <c r="D75" s="19"/>
      <c r="E75" s="19"/>
      <c r="G75" s="19"/>
      <c r="H75" s="20"/>
      <c r="I75" s="20"/>
      <c r="J75" s="20"/>
      <c r="K75" s="20"/>
      <c r="N75" s="20"/>
      <c r="O75" s="20"/>
      <c r="P75" s="20"/>
      <c r="R75" s="20"/>
      <c r="S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17"/>
      <c r="AK75" s="17"/>
      <c r="AL75" s="17"/>
      <c r="AM75" s="17"/>
      <c r="AN75" s="22"/>
      <c r="AO75" s="20"/>
      <c r="AP75" s="20"/>
      <c r="AQ75" s="21"/>
      <c r="AR75" s="20"/>
      <c r="AS75" s="20"/>
      <c r="AT75" s="21"/>
      <c r="AU75" s="21"/>
      <c r="AV75" s="21"/>
      <c r="AX75" s="23"/>
      <c r="AY75" s="23"/>
      <c r="AZ75" s="24"/>
      <c r="BA75" s="23"/>
      <c r="BB75" s="23"/>
      <c r="BC75" s="24"/>
    </row>
    <row r="76" spans="1:55" x14ac:dyDescent="0.2">
      <c r="A76" s="15">
        <v>42644</v>
      </c>
      <c r="B76" s="19"/>
      <c r="C76" s="19"/>
      <c r="D76" s="19"/>
      <c r="E76" s="19"/>
      <c r="G76" s="19"/>
      <c r="H76" s="20"/>
      <c r="I76" s="20"/>
      <c r="J76" s="20"/>
      <c r="K76" s="20"/>
      <c r="N76" s="20"/>
      <c r="O76" s="20"/>
      <c r="P76" s="20"/>
      <c r="R76" s="20"/>
      <c r="S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17"/>
      <c r="AK76" s="17"/>
      <c r="AL76" s="17"/>
      <c r="AM76" s="17"/>
      <c r="AN76" s="22"/>
      <c r="AO76" s="20"/>
      <c r="AP76" s="20"/>
      <c r="AQ76" s="21"/>
      <c r="AR76" s="20"/>
      <c r="AS76" s="20"/>
      <c r="AT76" s="21"/>
      <c r="AU76" s="21"/>
      <c r="AV76" s="21"/>
      <c r="AX76" s="23"/>
      <c r="AY76" s="23"/>
      <c r="AZ76" s="24"/>
      <c r="BA76" s="23"/>
      <c r="BB76" s="23"/>
      <c r="BC76" s="24"/>
    </row>
    <row r="77" spans="1:55" x14ac:dyDescent="0.2">
      <c r="A77" s="15">
        <v>42675</v>
      </c>
      <c r="B77" s="19"/>
      <c r="C77" s="19"/>
      <c r="D77" s="19"/>
      <c r="E77" s="19"/>
      <c r="G77" s="19"/>
      <c r="H77" s="20"/>
      <c r="I77" s="20"/>
      <c r="J77" s="20"/>
      <c r="K77" s="20"/>
      <c r="N77" s="20"/>
      <c r="O77" s="20"/>
      <c r="P77" s="20"/>
      <c r="R77" s="20"/>
      <c r="S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17"/>
      <c r="AK77" s="17"/>
      <c r="AL77" s="17"/>
      <c r="AM77" s="17"/>
      <c r="AN77" s="22"/>
      <c r="AO77" s="20"/>
      <c r="AP77" s="20"/>
      <c r="AQ77" s="21"/>
      <c r="AR77" s="20"/>
      <c r="AS77" s="20"/>
      <c r="AT77" s="21"/>
      <c r="AU77" s="21"/>
      <c r="AV77" s="21"/>
      <c r="AX77" s="23"/>
      <c r="AY77" s="23"/>
      <c r="AZ77" s="24"/>
      <c r="BA77" s="23"/>
      <c r="BB77" s="23"/>
      <c r="BC77" s="24"/>
    </row>
    <row r="78" spans="1:55" x14ac:dyDescent="0.2">
      <c r="A78" s="15">
        <v>42705</v>
      </c>
      <c r="B78" s="19"/>
      <c r="C78" s="19"/>
      <c r="D78" s="19"/>
      <c r="E78" s="19"/>
      <c r="G78" s="19"/>
      <c r="H78" s="20"/>
      <c r="I78" s="20"/>
      <c r="J78" s="20"/>
      <c r="K78" s="20"/>
      <c r="N78" s="20"/>
      <c r="O78" s="20"/>
      <c r="P78" s="20"/>
      <c r="R78" s="20"/>
      <c r="S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17"/>
      <c r="AK78" s="17"/>
      <c r="AL78" s="17"/>
      <c r="AM78" s="17"/>
      <c r="AN78" s="22"/>
      <c r="AO78" s="20"/>
      <c r="AP78" s="20"/>
      <c r="AQ78" s="21"/>
      <c r="AR78" s="20"/>
      <c r="AS78" s="20"/>
      <c r="AT78" s="21"/>
      <c r="AU78" s="21"/>
      <c r="AV78" s="21"/>
      <c r="AX78" s="23"/>
      <c r="AY78" s="23"/>
      <c r="AZ78" s="24"/>
      <c r="BA78" s="23"/>
      <c r="BB78" s="23"/>
      <c r="BC78" s="24"/>
    </row>
    <row r="79" spans="1:55" x14ac:dyDescent="0.2">
      <c r="A79" s="15">
        <v>42736</v>
      </c>
      <c r="B79" s="19"/>
      <c r="C79" s="19"/>
      <c r="D79" s="19"/>
      <c r="E79" s="19"/>
      <c r="G79" s="19"/>
      <c r="H79" s="20"/>
      <c r="I79" s="20"/>
      <c r="J79" s="20"/>
      <c r="K79" s="20"/>
      <c r="N79" s="20"/>
      <c r="O79" s="20"/>
      <c r="P79" s="20"/>
      <c r="R79" s="20"/>
      <c r="S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17"/>
      <c r="AK79" s="17"/>
      <c r="AL79" s="17"/>
      <c r="AM79" s="17"/>
      <c r="AN79" s="22"/>
      <c r="AO79" s="20"/>
      <c r="AP79" s="20"/>
      <c r="AQ79" s="21"/>
      <c r="AR79" s="20"/>
      <c r="AS79" s="20"/>
      <c r="AT79" s="21"/>
      <c r="AU79" s="21"/>
      <c r="AV79" s="21"/>
      <c r="AX79" s="23"/>
      <c r="AY79" s="23"/>
      <c r="AZ79" s="24"/>
      <c r="BA79" s="23"/>
      <c r="BB79" s="23"/>
      <c r="BC79" s="24"/>
    </row>
    <row r="80" spans="1:55" x14ac:dyDescent="0.2">
      <c r="A80" s="15">
        <v>42767</v>
      </c>
      <c r="B80" s="19"/>
      <c r="C80" s="19"/>
      <c r="D80" s="19"/>
      <c r="E80" s="19"/>
      <c r="G80" s="19"/>
      <c r="H80" s="20"/>
      <c r="I80" s="20"/>
      <c r="J80" s="20"/>
      <c r="K80" s="20"/>
      <c r="N80" s="20"/>
      <c r="O80" s="20"/>
      <c r="P80" s="20"/>
      <c r="R80" s="20"/>
      <c r="S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17"/>
      <c r="AK80" s="17"/>
      <c r="AL80" s="17"/>
      <c r="AM80" s="17"/>
      <c r="AN80" s="22"/>
      <c r="AO80" s="20"/>
      <c r="AP80" s="20"/>
      <c r="AQ80" s="21"/>
      <c r="AR80" s="20"/>
      <c r="AS80" s="20"/>
      <c r="AT80" s="21"/>
      <c r="AU80" s="21"/>
      <c r="AV80" s="21"/>
      <c r="AX80" s="23"/>
      <c r="AY80" s="23"/>
      <c r="AZ80" s="24"/>
      <c r="BA80" s="23"/>
      <c r="BB80" s="23"/>
      <c r="BC80" s="24"/>
    </row>
    <row r="81" spans="1:55" x14ac:dyDescent="0.2">
      <c r="A81" s="15">
        <v>42795</v>
      </c>
      <c r="B81" s="19"/>
      <c r="C81" s="19"/>
      <c r="D81" s="19"/>
      <c r="E81" s="19"/>
      <c r="G81" s="19"/>
      <c r="H81" s="20"/>
      <c r="I81" s="20"/>
      <c r="J81" s="20"/>
      <c r="K81" s="20"/>
      <c r="N81" s="20"/>
      <c r="O81" s="20"/>
      <c r="P81" s="20"/>
      <c r="R81" s="20"/>
      <c r="S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17"/>
      <c r="AK81" s="17"/>
      <c r="AL81" s="17"/>
      <c r="AM81" s="17"/>
      <c r="AN81" s="22"/>
      <c r="AO81" s="20"/>
      <c r="AP81" s="20"/>
      <c r="AQ81" s="21"/>
      <c r="AR81" s="20"/>
      <c r="AS81" s="20"/>
      <c r="AT81" s="21"/>
      <c r="AU81" s="21"/>
      <c r="AV81" s="21"/>
      <c r="AX81" s="23"/>
      <c r="AY81" s="23"/>
      <c r="AZ81" s="24"/>
      <c r="BA81" s="23"/>
      <c r="BB81" s="23"/>
      <c r="BC81" s="24"/>
    </row>
    <row r="82" spans="1:55" x14ac:dyDescent="0.2">
      <c r="A82" s="15">
        <v>42826</v>
      </c>
      <c r="B82" s="19"/>
      <c r="C82" s="19"/>
      <c r="D82" s="19"/>
      <c r="E82" s="19"/>
      <c r="G82" s="19"/>
      <c r="H82" s="20"/>
      <c r="I82" s="20"/>
      <c r="J82" s="20"/>
      <c r="K82" s="20"/>
      <c r="N82" s="20"/>
      <c r="O82" s="20"/>
      <c r="P82" s="20"/>
      <c r="R82" s="20"/>
      <c r="S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17"/>
      <c r="AK82" s="17"/>
      <c r="AL82" s="17"/>
      <c r="AM82" s="17"/>
      <c r="AN82" s="22"/>
      <c r="AO82" s="20"/>
      <c r="AP82" s="20"/>
      <c r="AQ82" s="21"/>
      <c r="AR82" s="20"/>
      <c r="AS82" s="20"/>
      <c r="AT82" s="21"/>
      <c r="AU82" s="21"/>
      <c r="AV82" s="21"/>
      <c r="AX82" s="23"/>
      <c r="AY82" s="23"/>
      <c r="AZ82" s="24"/>
      <c r="BA82" s="23"/>
      <c r="BB82" s="23"/>
      <c r="BC82" s="24"/>
    </row>
    <row r="83" spans="1:55" x14ac:dyDescent="0.2">
      <c r="A83" s="15">
        <v>42856</v>
      </c>
      <c r="B83" s="19"/>
      <c r="C83" s="19"/>
      <c r="D83" s="19"/>
      <c r="E83" s="19"/>
      <c r="G83" s="19"/>
      <c r="H83" s="20"/>
      <c r="I83" s="20"/>
      <c r="J83" s="20"/>
      <c r="K83" s="20"/>
      <c r="N83" s="20"/>
      <c r="O83" s="20"/>
      <c r="P83" s="20"/>
      <c r="R83" s="20"/>
      <c r="S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17"/>
      <c r="AK83" s="17"/>
      <c r="AL83" s="17"/>
      <c r="AM83" s="17"/>
      <c r="AN83" s="22"/>
      <c r="AO83" s="20"/>
      <c r="AP83" s="20"/>
      <c r="AQ83" s="21"/>
      <c r="AR83" s="20"/>
      <c r="AS83" s="20"/>
      <c r="AT83" s="21"/>
      <c r="AU83" s="21"/>
      <c r="AV83" s="21"/>
      <c r="AX83" s="23"/>
      <c r="AY83" s="23"/>
      <c r="AZ83" s="24"/>
      <c r="BA83" s="23"/>
      <c r="BB83" s="23"/>
      <c r="BC83" s="24"/>
    </row>
    <row r="84" spans="1:55" x14ac:dyDescent="0.2">
      <c r="A84" s="15">
        <v>42887</v>
      </c>
      <c r="B84" s="19"/>
      <c r="C84" s="19"/>
      <c r="D84" s="19"/>
      <c r="E84" s="19"/>
      <c r="G84" s="19"/>
      <c r="H84" s="20"/>
      <c r="I84" s="20"/>
      <c r="J84" s="20"/>
      <c r="K84" s="20"/>
      <c r="N84" s="20"/>
      <c r="O84" s="20"/>
      <c r="P84" s="20"/>
      <c r="R84" s="20"/>
      <c r="S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17"/>
      <c r="AK84" s="17"/>
      <c r="AL84" s="17"/>
      <c r="AM84" s="17"/>
      <c r="AN84" s="22"/>
      <c r="AO84" s="20"/>
      <c r="AP84" s="20"/>
      <c r="AQ84" s="21"/>
      <c r="AR84" s="20"/>
      <c r="AS84" s="20"/>
      <c r="AT84" s="21"/>
      <c r="AU84" s="21"/>
      <c r="AV84" s="21"/>
      <c r="AX84" s="23"/>
      <c r="AY84" s="23"/>
      <c r="AZ84" s="24"/>
      <c r="BA84" s="23"/>
      <c r="BB84" s="23"/>
      <c r="BC84" s="24"/>
    </row>
    <row r="85" spans="1:55" x14ac:dyDescent="0.2">
      <c r="A85" s="15">
        <v>42917</v>
      </c>
      <c r="B85" s="19"/>
      <c r="C85" s="19"/>
      <c r="D85" s="19"/>
      <c r="E85" s="19"/>
      <c r="G85" s="19"/>
      <c r="H85" s="20"/>
      <c r="I85" s="20"/>
      <c r="J85" s="20"/>
      <c r="K85" s="20"/>
      <c r="N85" s="20"/>
      <c r="O85" s="20"/>
      <c r="P85" s="20"/>
      <c r="R85" s="20"/>
      <c r="S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17"/>
      <c r="AK85" s="17"/>
      <c r="AL85" s="17"/>
      <c r="AM85" s="17"/>
      <c r="AN85" s="22"/>
      <c r="AO85" s="20"/>
      <c r="AP85" s="20"/>
      <c r="AQ85" s="21"/>
      <c r="AR85" s="20"/>
      <c r="AS85" s="20"/>
      <c r="AT85" s="21"/>
      <c r="AU85" s="21"/>
      <c r="AV85" s="21"/>
      <c r="AX85" s="23"/>
      <c r="AY85" s="23"/>
      <c r="AZ85" s="24"/>
      <c r="BA85" s="23"/>
      <c r="BB85" s="23"/>
      <c r="BC85" s="24"/>
    </row>
    <row r="86" spans="1:55" x14ac:dyDescent="0.2">
      <c r="A86" s="15">
        <v>42948</v>
      </c>
      <c r="B86" s="19"/>
      <c r="C86" s="19"/>
      <c r="D86" s="19"/>
      <c r="E86" s="19"/>
      <c r="G86" s="19"/>
      <c r="H86" s="20"/>
      <c r="I86" s="20"/>
      <c r="J86" s="20"/>
      <c r="K86" s="20"/>
      <c r="N86" s="20"/>
      <c r="O86" s="20"/>
      <c r="P86" s="20"/>
      <c r="R86" s="20"/>
      <c r="S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17"/>
      <c r="AK86" s="17"/>
      <c r="AL86" s="17"/>
      <c r="AM86" s="17"/>
      <c r="AN86" s="22"/>
      <c r="AO86" s="20"/>
      <c r="AP86" s="20"/>
      <c r="AQ86" s="21"/>
      <c r="AR86" s="20"/>
      <c r="AS86" s="20"/>
      <c r="AT86" s="21"/>
      <c r="AU86" s="21"/>
      <c r="AV86" s="21"/>
      <c r="AX86" s="23"/>
      <c r="AY86" s="23"/>
      <c r="AZ86" s="24"/>
      <c r="BA86" s="23"/>
      <c r="BB86" s="23"/>
      <c r="BC86" s="24"/>
    </row>
    <row r="87" spans="1:55" x14ac:dyDescent="0.2">
      <c r="A87" s="15">
        <v>42979</v>
      </c>
      <c r="B87" s="19"/>
      <c r="C87" s="19"/>
      <c r="D87" s="19"/>
      <c r="E87" s="19"/>
      <c r="G87" s="19"/>
      <c r="H87" s="20"/>
      <c r="I87" s="20"/>
      <c r="J87" s="20"/>
      <c r="K87" s="20"/>
      <c r="N87" s="20"/>
      <c r="O87" s="20"/>
      <c r="P87" s="20"/>
      <c r="R87" s="20"/>
      <c r="S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17"/>
      <c r="AK87" s="17"/>
      <c r="AL87" s="17"/>
      <c r="AM87" s="17"/>
      <c r="AN87" s="22"/>
      <c r="AO87" s="20"/>
      <c r="AP87" s="20"/>
      <c r="AQ87" s="21"/>
      <c r="AR87" s="20"/>
      <c r="AS87" s="20"/>
      <c r="AT87" s="21"/>
      <c r="AU87" s="21"/>
      <c r="AV87" s="21"/>
      <c r="AX87" s="23"/>
      <c r="AY87" s="23"/>
      <c r="AZ87" s="24"/>
      <c r="BA87" s="23"/>
      <c r="BB87" s="23"/>
      <c r="BC87" s="24"/>
    </row>
    <row r="88" spans="1:55" x14ac:dyDescent="0.2">
      <c r="A88" s="15">
        <v>43009</v>
      </c>
      <c r="B88" s="19"/>
      <c r="C88" s="19"/>
      <c r="D88" s="19"/>
      <c r="E88" s="19"/>
      <c r="G88" s="19"/>
      <c r="H88" s="20"/>
      <c r="I88" s="20"/>
      <c r="J88" s="20"/>
      <c r="K88" s="20"/>
      <c r="N88" s="20"/>
      <c r="O88" s="20"/>
      <c r="P88" s="20"/>
      <c r="R88" s="20"/>
      <c r="S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17"/>
      <c r="AK88" s="17"/>
      <c r="AL88" s="17"/>
      <c r="AM88" s="17"/>
      <c r="AN88" s="22"/>
      <c r="AO88" s="20"/>
      <c r="AP88" s="20"/>
      <c r="AQ88" s="21"/>
      <c r="AR88" s="20"/>
      <c r="AS88" s="20"/>
      <c r="AT88" s="21"/>
      <c r="AU88" s="21"/>
      <c r="AV88" s="21"/>
      <c r="AX88" s="23"/>
      <c r="AY88" s="23"/>
      <c r="AZ88" s="24"/>
      <c r="BA88" s="23"/>
      <c r="BB88" s="23"/>
      <c r="BC88" s="24"/>
    </row>
    <row r="89" spans="1:55" x14ac:dyDescent="0.2">
      <c r="A89" s="15">
        <v>43040</v>
      </c>
      <c r="B89" s="19"/>
      <c r="C89" s="19"/>
      <c r="D89" s="19"/>
      <c r="E89" s="19"/>
      <c r="G89" s="19"/>
      <c r="H89" s="20"/>
      <c r="I89" s="20"/>
      <c r="J89" s="20"/>
      <c r="K89" s="20"/>
      <c r="N89" s="20"/>
      <c r="O89" s="20"/>
      <c r="P89" s="20"/>
      <c r="R89" s="20"/>
      <c r="S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17"/>
      <c r="AK89" s="17"/>
      <c r="AL89" s="17"/>
      <c r="AM89" s="17"/>
      <c r="AN89" s="22"/>
      <c r="AO89" s="20"/>
      <c r="AP89" s="20"/>
      <c r="AQ89" s="21"/>
      <c r="AR89" s="20"/>
      <c r="AS89" s="20"/>
      <c r="AT89" s="21"/>
      <c r="AU89" s="21"/>
      <c r="AV89" s="21"/>
      <c r="AX89" s="23"/>
      <c r="AY89" s="23"/>
      <c r="AZ89" s="24"/>
      <c r="BA89" s="23"/>
      <c r="BB89" s="23"/>
      <c r="BC89" s="24"/>
    </row>
    <row r="90" spans="1:55" x14ac:dyDescent="0.2">
      <c r="A90" s="15">
        <v>43070</v>
      </c>
      <c r="B90" s="19"/>
      <c r="C90" s="19"/>
      <c r="D90" s="19"/>
      <c r="E90" s="19"/>
      <c r="G90" s="19"/>
      <c r="H90" s="20"/>
      <c r="I90" s="20"/>
      <c r="J90" s="20"/>
      <c r="K90" s="20"/>
      <c r="N90" s="20"/>
      <c r="O90" s="20"/>
      <c r="P90" s="20"/>
      <c r="R90" s="20"/>
      <c r="S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17"/>
      <c r="AK90" s="17"/>
      <c r="AL90" s="17"/>
      <c r="AM90" s="17"/>
      <c r="AN90" s="22"/>
      <c r="AO90" s="20"/>
      <c r="AP90" s="20"/>
      <c r="AQ90" s="21"/>
      <c r="AR90" s="20"/>
      <c r="AS90" s="20"/>
      <c r="AT90" s="21"/>
      <c r="AU90" s="21"/>
      <c r="AV90" s="21"/>
      <c r="AX90" s="23"/>
      <c r="AY90" s="23"/>
      <c r="AZ90" s="24"/>
      <c r="BA90" s="23"/>
      <c r="BB90" s="23"/>
      <c r="BC90" s="24"/>
    </row>
    <row r="91" spans="1:55" x14ac:dyDescent="0.2">
      <c r="A91" s="15">
        <v>43101</v>
      </c>
      <c r="B91" s="19"/>
      <c r="C91" s="19"/>
      <c r="D91" s="19"/>
      <c r="E91" s="19"/>
      <c r="G91" s="19"/>
      <c r="H91" s="20"/>
      <c r="I91" s="20"/>
      <c r="J91" s="20"/>
      <c r="K91" s="20"/>
      <c r="N91" s="20"/>
      <c r="O91" s="20"/>
      <c r="P91" s="20"/>
      <c r="R91" s="20"/>
      <c r="S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17"/>
      <c r="AK91" s="17"/>
      <c r="AL91" s="17"/>
      <c r="AM91" s="17"/>
      <c r="AN91" s="22"/>
      <c r="AO91" s="20"/>
      <c r="AP91" s="20"/>
      <c r="AQ91" s="21"/>
      <c r="AR91" s="20"/>
      <c r="AS91" s="20"/>
      <c r="AT91" s="21"/>
      <c r="AU91" s="21"/>
      <c r="AV91" s="21"/>
      <c r="AX91" s="23"/>
      <c r="AY91" s="23"/>
      <c r="AZ91" s="24"/>
      <c r="BA91" s="23"/>
      <c r="BB91" s="23"/>
      <c r="BC91" s="24"/>
    </row>
    <row r="92" spans="1:55" x14ac:dyDescent="0.2">
      <c r="A92" s="15">
        <v>43132</v>
      </c>
      <c r="B92" s="19"/>
      <c r="C92" s="19"/>
      <c r="D92" s="19"/>
      <c r="E92" s="19"/>
      <c r="G92" s="19"/>
      <c r="H92" s="20"/>
      <c r="I92" s="20"/>
      <c r="J92" s="20"/>
      <c r="K92" s="20"/>
      <c r="N92" s="20"/>
      <c r="O92" s="20"/>
      <c r="P92" s="20"/>
      <c r="R92" s="20"/>
      <c r="S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17"/>
      <c r="AK92" s="17"/>
      <c r="AL92" s="17"/>
      <c r="AM92" s="17"/>
      <c r="AN92" s="22"/>
      <c r="AO92" s="20"/>
      <c r="AP92" s="20"/>
      <c r="AQ92" s="21"/>
      <c r="AR92" s="20"/>
      <c r="AS92" s="20"/>
      <c r="AT92" s="21"/>
      <c r="AU92" s="21"/>
      <c r="AV92" s="21"/>
      <c r="AX92" s="23"/>
      <c r="AY92" s="23"/>
      <c r="AZ92" s="24"/>
      <c r="BA92" s="23"/>
      <c r="BB92" s="23"/>
      <c r="BC92" s="24"/>
    </row>
    <row r="93" spans="1:55" x14ac:dyDescent="0.2">
      <c r="A93" s="15">
        <v>43160</v>
      </c>
      <c r="B93" s="19"/>
      <c r="C93" s="19"/>
      <c r="D93" s="19"/>
      <c r="E93" s="19"/>
      <c r="G93" s="19"/>
      <c r="H93" s="20"/>
      <c r="I93" s="20"/>
      <c r="J93" s="20"/>
      <c r="K93" s="20"/>
      <c r="N93" s="20"/>
      <c r="O93" s="20"/>
      <c r="P93" s="20"/>
      <c r="R93" s="20"/>
      <c r="S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17"/>
      <c r="AK93" s="17"/>
      <c r="AL93" s="17"/>
      <c r="AM93" s="17"/>
      <c r="AN93" s="22"/>
      <c r="AO93" s="20"/>
      <c r="AP93" s="20"/>
      <c r="AQ93" s="21"/>
      <c r="AR93" s="20"/>
      <c r="AS93" s="20"/>
      <c r="AT93" s="21"/>
      <c r="AU93" s="21"/>
      <c r="AV93" s="21"/>
      <c r="AX93" s="23"/>
      <c r="AY93" s="23"/>
      <c r="AZ93" s="24"/>
      <c r="BA93" s="23"/>
      <c r="BB93" s="23"/>
      <c r="BC93" s="24"/>
    </row>
    <row r="94" spans="1:55" x14ac:dyDescent="0.2">
      <c r="A94" s="15">
        <v>43191</v>
      </c>
      <c r="B94" s="19"/>
      <c r="C94" s="19"/>
      <c r="D94" s="19"/>
      <c r="E94" s="19"/>
      <c r="G94" s="19"/>
      <c r="H94" s="20"/>
      <c r="I94" s="20"/>
      <c r="J94" s="20"/>
      <c r="K94" s="20"/>
      <c r="N94" s="20"/>
      <c r="O94" s="20"/>
      <c r="P94" s="20"/>
      <c r="R94" s="20"/>
      <c r="S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17"/>
      <c r="AK94" s="17"/>
      <c r="AL94" s="17"/>
      <c r="AM94" s="17"/>
      <c r="AN94" s="22"/>
      <c r="AO94" s="20"/>
      <c r="AP94" s="20"/>
      <c r="AQ94" s="21"/>
      <c r="AR94" s="20"/>
      <c r="AS94" s="20"/>
      <c r="AT94" s="21"/>
      <c r="AU94" s="21"/>
      <c r="AV94" s="21"/>
      <c r="AX94" s="23"/>
      <c r="AY94" s="23"/>
      <c r="AZ94" s="24"/>
      <c r="BA94" s="23"/>
      <c r="BB94" s="23"/>
      <c r="BC94" s="24"/>
    </row>
    <row r="95" spans="1:55" x14ac:dyDescent="0.2">
      <c r="A95" s="15">
        <v>43221</v>
      </c>
      <c r="B95" s="19"/>
      <c r="C95" s="19"/>
      <c r="D95" s="19"/>
      <c r="E95" s="19"/>
      <c r="G95" s="19"/>
      <c r="H95" s="20"/>
      <c r="I95" s="20"/>
      <c r="J95" s="20"/>
      <c r="K95" s="20"/>
      <c r="N95" s="20"/>
      <c r="O95" s="20"/>
      <c r="P95" s="20"/>
      <c r="R95" s="20"/>
      <c r="S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17"/>
      <c r="AK95" s="17"/>
      <c r="AL95" s="17"/>
      <c r="AM95" s="17"/>
      <c r="AN95" s="22"/>
      <c r="AO95" s="20"/>
      <c r="AP95" s="20"/>
      <c r="AQ95" s="21"/>
      <c r="AR95" s="20"/>
      <c r="AS95" s="20"/>
      <c r="AT95" s="21"/>
      <c r="AU95" s="21"/>
      <c r="AV95" s="21"/>
      <c r="AX95" s="23"/>
      <c r="AY95" s="23"/>
      <c r="AZ95" s="24"/>
      <c r="BA95" s="23"/>
      <c r="BB95" s="23"/>
      <c r="BC95" s="24"/>
    </row>
    <row r="96" spans="1:55" x14ac:dyDescent="0.2">
      <c r="A96" s="15">
        <v>43252</v>
      </c>
      <c r="B96" s="19"/>
      <c r="C96" s="19"/>
      <c r="D96" s="19"/>
      <c r="E96" s="19"/>
      <c r="G96" s="19"/>
      <c r="H96" s="20"/>
      <c r="I96" s="20"/>
      <c r="J96" s="20"/>
      <c r="K96" s="20"/>
      <c r="N96" s="20"/>
      <c r="O96" s="20"/>
      <c r="P96" s="20"/>
      <c r="R96" s="20"/>
      <c r="S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17"/>
      <c r="AK96" s="17"/>
      <c r="AL96" s="17"/>
      <c r="AM96" s="17"/>
      <c r="AN96" s="22"/>
      <c r="AO96" s="20"/>
      <c r="AP96" s="20"/>
      <c r="AQ96" s="21"/>
      <c r="AR96" s="20"/>
      <c r="AS96" s="20"/>
      <c r="AT96" s="21"/>
      <c r="AU96" s="21"/>
      <c r="AV96" s="21"/>
      <c r="AX96" s="23"/>
      <c r="AY96" s="23"/>
      <c r="AZ96" s="24"/>
      <c r="BA96" s="23"/>
      <c r="BB96" s="23"/>
      <c r="BC96" s="24"/>
    </row>
    <row r="97" spans="1:55" x14ac:dyDescent="0.2">
      <c r="A97" s="15">
        <v>43282</v>
      </c>
      <c r="B97" s="19"/>
      <c r="C97" s="19"/>
      <c r="D97" s="19"/>
      <c r="E97" s="19"/>
      <c r="G97" s="19"/>
      <c r="H97" s="20"/>
      <c r="I97" s="20"/>
      <c r="J97" s="20"/>
      <c r="K97" s="20"/>
      <c r="N97" s="20"/>
      <c r="O97" s="20"/>
      <c r="P97" s="20"/>
      <c r="R97" s="20"/>
      <c r="S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17"/>
      <c r="AK97" s="17"/>
      <c r="AL97" s="17"/>
      <c r="AM97" s="17"/>
      <c r="AN97" s="22"/>
      <c r="AO97" s="20"/>
      <c r="AP97" s="20"/>
      <c r="AQ97" s="21"/>
      <c r="AR97" s="20"/>
      <c r="AS97" s="20"/>
      <c r="AT97" s="21"/>
      <c r="AU97" s="21"/>
      <c r="AV97" s="21"/>
      <c r="AX97" s="23"/>
      <c r="AY97" s="23"/>
      <c r="AZ97" s="24"/>
      <c r="BA97" s="23"/>
      <c r="BB97" s="23"/>
      <c r="BC97" s="24"/>
    </row>
    <row r="98" spans="1:55" x14ac:dyDescent="0.2">
      <c r="A98" s="15">
        <v>43313</v>
      </c>
      <c r="B98" s="19"/>
      <c r="C98" s="19"/>
      <c r="D98" s="19"/>
      <c r="E98" s="19"/>
      <c r="G98" s="19"/>
      <c r="H98" s="20"/>
      <c r="I98" s="20"/>
      <c r="J98" s="20"/>
      <c r="K98" s="20"/>
      <c r="N98" s="20"/>
      <c r="O98" s="20"/>
      <c r="P98" s="20"/>
      <c r="R98" s="20"/>
      <c r="S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17"/>
      <c r="AK98" s="17"/>
      <c r="AL98" s="17"/>
      <c r="AM98" s="17"/>
      <c r="AN98" s="22"/>
      <c r="AO98" s="20"/>
      <c r="AP98" s="20"/>
      <c r="AQ98" s="21"/>
      <c r="AR98" s="20"/>
      <c r="AS98" s="20"/>
      <c r="AT98" s="21"/>
      <c r="AU98" s="21"/>
      <c r="AV98" s="21"/>
      <c r="AX98" s="23"/>
      <c r="AY98" s="23"/>
      <c r="AZ98" s="24"/>
      <c r="BA98" s="23"/>
      <c r="BB98" s="23"/>
      <c r="BC98" s="24"/>
    </row>
    <row r="99" spans="1:55" x14ac:dyDescent="0.2">
      <c r="A99" s="15">
        <v>43344</v>
      </c>
      <c r="B99" s="19"/>
      <c r="C99" s="19"/>
      <c r="D99" s="19"/>
      <c r="E99" s="19"/>
      <c r="G99" s="19"/>
      <c r="H99" s="20"/>
      <c r="I99" s="20"/>
      <c r="J99" s="20"/>
      <c r="K99" s="20"/>
      <c r="N99" s="20"/>
      <c r="O99" s="20"/>
      <c r="P99" s="20"/>
      <c r="R99" s="20"/>
      <c r="S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17"/>
      <c r="AK99" s="17"/>
      <c r="AL99" s="17"/>
      <c r="AM99" s="17"/>
      <c r="AN99" s="22"/>
      <c r="AO99" s="20"/>
      <c r="AP99" s="20"/>
      <c r="AQ99" s="21"/>
      <c r="AR99" s="20"/>
      <c r="AS99" s="20"/>
      <c r="AT99" s="21"/>
      <c r="AU99" s="21"/>
      <c r="AV99" s="21"/>
      <c r="AX99" s="23"/>
      <c r="AY99" s="23"/>
      <c r="AZ99" s="24"/>
      <c r="BA99" s="23"/>
      <c r="BB99" s="23"/>
      <c r="BC99" s="24"/>
    </row>
    <row r="100" spans="1:55" x14ac:dyDescent="0.2">
      <c r="A100" s="15">
        <v>43374</v>
      </c>
      <c r="B100" s="19"/>
      <c r="C100" s="19"/>
      <c r="D100" s="19"/>
      <c r="E100" s="19"/>
      <c r="G100" s="19"/>
      <c r="H100" s="20"/>
      <c r="I100" s="20"/>
      <c r="J100" s="20"/>
      <c r="K100" s="20"/>
      <c r="N100" s="20"/>
      <c r="O100" s="20"/>
      <c r="P100" s="20"/>
      <c r="R100" s="20"/>
      <c r="S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17"/>
      <c r="AK100" s="17"/>
      <c r="AL100" s="17"/>
      <c r="AM100" s="17"/>
      <c r="AN100" s="22"/>
      <c r="AO100" s="20"/>
      <c r="AP100" s="20"/>
      <c r="AQ100" s="21"/>
      <c r="AR100" s="20"/>
      <c r="AS100" s="20"/>
      <c r="AT100" s="21"/>
      <c r="AU100" s="21"/>
      <c r="AV100" s="21"/>
      <c r="AX100" s="23"/>
      <c r="AY100" s="23"/>
      <c r="AZ100" s="24"/>
      <c r="BA100" s="23"/>
      <c r="BB100" s="23"/>
      <c r="BC100" s="24"/>
    </row>
    <row r="101" spans="1:55" x14ac:dyDescent="0.2">
      <c r="A101" s="15">
        <v>43405</v>
      </c>
      <c r="B101" s="19"/>
      <c r="C101" s="19"/>
      <c r="D101" s="19"/>
      <c r="E101" s="19"/>
      <c r="G101" s="19"/>
      <c r="H101" s="20"/>
      <c r="I101" s="20"/>
      <c r="J101" s="20"/>
      <c r="K101" s="20"/>
      <c r="N101" s="20"/>
      <c r="O101" s="20"/>
      <c r="P101" s="20"/>
      <c r="R101" s="20"/>
      <c r="S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17"/>
      <c r="AK101" s="17"/>
      <c r="AL101" s="17"/>
      <c r="AM101" s="17"/>
      <c r="AN101" s="22"/>
      <c r="AO101" s="20"/>
      <c r="AP101" s="20"/>
      <c r="AQ101" s="21"/>
      <c r="AR101" s="20"/>
      <c r="AS101" s="20"/>
      <c r="AT101" s="21"/>
      <c r="AU101" s="21"/>
      <c r="AV101" s="21"/>
      <c r="AX101" s="23"/>
      <c r="AY101" s="23"/>
      <c r="AZ101" s="24"/>
      <c r="BA101" s="23"/>
      <c r="BB101" s="23"/>
      <c r="BC101" s="24"/>
    </row>
    <row r="102" spans="1:55" x14ac:dyDescent="0.2">
      <c r="A102" s="15">
        <v>43435</v>
      </c>
      <c r="B102" s="19"/>
      <c r="C102" s="19"/>
      <c r="D102" s="19"/>
      <c r="E102" s="19"/>
      <c r="G102" s="19"/>
      <c r="H102" s="20"/>
      <c r="I102" s="20"/>
      <c r="J102" s="20"/>
      <c r="K102" s="20"/>
      <c r="N102" s="20"/>
      <c r="O102" s="20"/>
      <c r="P102" s="20"/>
      <c r="R102" s="20"/>
      <c r="S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17"/>
      <c r="AK102" s="17"/>
      <c r="AL102" s="17"/>
      <c r="AM102" s="17"/>
      <c r="AN102" s="22"/>
      <c r="AO102" s="20"/>
      <c r="AP102" s="20"/>
      <c r="AQ102" s="21"/>
      <c r="AR102" s="20"/>
      <c r="AS102" s="20"/>
      <c r="AT102" s="21"/>
      <c r="AU102" s="21"/>
      <c r="AV102" s="21"/>
      <c r="AX102" s="23"/>
      <c r="AY102" s="23"/>
      <c r="AZ102" s="24"/>
      <c r="BA102" s="23"/>
      <c r="BB102" s="23"/>
      <c r="BC102" s="24"/>
    </row>
    <row r="103" spans="1:55" x14ac:dyDescent="0.2">
      <c r="A103" s="15">
        <v>43466</v>
      </c>
      <c r="B103" s="19"/>
      <c r="C103" s="19"/>
      <c r="D103" s="19"/>
      <c r="E103" s="19"/>
      <c r="G103" s="19"/>
      <c r="H103" s="20"/>
      <c r="I103" s="20"/>
      <c r="J103" s="20"/>
      <c r="K103" s="20"/>
      <c r="N103" s="20"/>
      <c r="O103" s="20"/>
      <c r="P103" s="20"/>
      <c r="R103" s="20"/>
      <c r="S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17"/>
      <c r="AK103" s="17"/>
      <c r="AL103" s="17"/>
      <c r="AM103" s="17"/>
      <c r="AN103" s="22"/>
      <c r="AO103" s="20"/>
      <c r="AP103" s="20"/>
      <c r="AQ103" s="21"/>
      <c r="AR103" s="20"/>
      <c r="AS103" s="20"/>
      <c r="AT103" s="21"/>
      <c r="AU103" s="21"/>
      <c r="AV103" s="21"/>
      <c r="AX103" s="23"/>
      <c r="AY103" s="23"/>
      <c r="AZ103" s="24"/>
      <c r="BA103" s="23"/>
      <c r="BB103" s="23"/>
      <c r="BC103" s="24"/>
    </row>
    <row r="104" spans="1:55" x14ac:dyDescent="0.2">
      <c r="A104" s="15">
        <v>43497</v>
      </c>
      <c r="B104" s="19"/>
      <c r="C104" s="19"/>
      <c r="D104" s="19"/>
      <c r="E104" s="19"/>
      <c r="G104" s="19"/>
      <c r="H104" s="20"/>
      <c r="I104" s="20"/>
      <c r="J104" s="20"/>
      <c r="K104" s="20"/>
      <c r="N104" s="20"/>
      <c r="O104" s="20"/>
      <c r="P104" s="20"/>
      <c r="R104" s="20"/>
      <c r="S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17"/>
      <c r="AK104" s="17"/>
      <c r="AL104" s="17"/>
      <c r="AM104" s="17"/>
      <c r="AN104" s="22"/>
      <c r="AO104" s="20"/>
      <c r="AP104" s="20"/>
      <c r="AQ104" s="21"/>
      <c r="AR104" s="20"/>
      <c r="AS104" s="20"/>
      <c r="AT104" s="21"/>
      <c r="AU104" s="21"/>
      <c r="AV104" s="21"/>
      <c r="AX104" s="23"/>
      <c r="AY104" s="23"/>
      <c r="AZ104" s="24"/>
      <c r="BA104" s="23"/>
      <c r="BB104" s="23"/>
      <c r="BC104" s="24"/>
    </row>
    <row r="105" spans="1:55" x14ac:dyDescent="0.2">
      <c r="A105" s="15">
        <v>43525</v>
      </c>
      <c r="B105" s="19"/>
      <c r="C105" s="19"/>
      <c r="D105" s="19"/>
      <c r="E105" s="19"/>
      <c r="G105" s="19"/>
      <c r="H105" s="20"/>
      <c r="I105" s="20"/>
      <c r="J105" s="20"/>
      <c r="K105" s="20"/>
      <c r="N105" s="20"/>
      <c r="O105" s="20"/>
      <c r="P105" s="20"/>
      <c r="R105" s="20"/>
      <c r="S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17"/>
      <c r="AK105" s="17"/>
      <c r="AL105" s="17"/>
      <c r="AM105" s="17"/>
      <c r="AN105" s="22"/>
      <c r="AO105" s="20"/>
      <c r="AP105" s="20"/>
      <c r="AQ105" s="21"/>
      <c r="AR105" s="20"/>
      <c r="AS105" s="20"/>
      <c r="AT105" s="21"/>
      <c r="AU105" s="21"/>
      <c r="AV105" s="21"/>
      <c r="AX105" s="23"/>
      <c r="AY105" s="23"/>
      <c r="AZ105" s="24"/>
      <c r="BA105" s="23"/>
      <c r="BB105" s="23"/>
      <c r="BC105" s="24"/>
    </row>
    <row r="106" spans="1:55" x14ac:dyDescent="0.2">
      <c r="A106" s="15">
        <v>43556</v>
      </c>
      <c r="B106" s="19"/>
      <c r="C106" s="19"/>
      <c r="D106" s="19"/>
      <c r="E106" s="19"/>
      <c r="G106" s="19"/>
      <c r="H106" s="20"/>
      <c r="I106" s="20"/>
      <c r="J106" s="20"/>
      <c r="K106" s="20"/>
      <c r="N106" s="20"/>
      <c r="O106" s="20"/>
      <c r="P106" s="20"/>
      <c r="R106" s="20"/>
      <c r="S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17"/>
      <c r="AK106" s="17"/>
      <c r="AL106" s="17"/>
      <c r="AM106" s="17"/>
      <c r="AN106" s="22"/>
      <c r="AO106" s="20"/>
      <c r="AP106" s="20"/>
      <c r="AQ106" s="21"/>
      <c r="AR106" s="20"/>
      <c r="AS106" s="20"/>
      <c r="AT106" s="21"/>
      <c r="AU106" s="21"/>
      <c r="AV106" s="21"/>
      <c r="AX106" s="23"/>
      <c r="AY106" s="23"/>
      <c r="AZ106" s="24"/>
      <c r="BA106" s="23"/>
      <c r="BB106" s="23"/>
      <c r="BC106" s="24"/>
    </row>
    <row r="107" spans="1:55" x14ac:dyDescent="0.2">
      <c r="A107" s="15">
        <v>43586</v>
      </c>
      <c r="B107" s="19"/>
      <c r="C107" s="19"/>
      <c r="D107" s="19"/>
      <c r="E107" s="19"/>
      <c r="G107" s="19"/>
      <c r="H107" s="20"/>
      <c r="I107" s="20"/>
      <c r="J107" s="20"/>
      <c r="K107" s="20"/>
      <c r="N107" s="20"/>
      <c r="O107" s="20"/>
      <c r="P107" s="20"/>
      <c r="R107" s="20"/>
      <c r="S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17"/>
      <c r="AK107" s="17"/>
      <c r="AL107" s="17"/>
      <c r="AM107" s="17"/>
      <c r="AN107" s="22"/>
      <c r="AO107" s="20"/>
      <c r="AP107" s="20"/>
      <c r="AQ107" s="21"/>
      <c r="AR107" s="20"/>
      <c r="AS107" s="20"/>
      <c r="AT107" s="21"/>
      <c r="AU107" s="21"/>
      <c r="AV107" s="21"/>
      <c r="AX107" s="23"/>
      <c r="AY107" s="23"/>
      <c r="AZ107" s="24"/>
      <c r="BA107" s="23"/>
      <c r="BB107" s="23"/>
      <c r="BC107" s="24"/>
    </row>
    <row r="108" spans="1:55" x14ac:dyDescent="0.2">
      <c r="A108" s="15">
        <v>43617</v>
      </c>
      <c r="B108" s="19"/>
      <c r="C108" s="19"/>
      <c r="D108" s="19"/>
      <c r="E108" s="19"/>
      <c r="G108" s="19"/>
      <c r="H108" s="20"/>
      <c r="I108" s="20"/>
      <c r="J108" s="20"/>
      <c r="K108" s="20"/>
      <c r="N108" s="20"/>
      <c r="O108" s="20"/>
      <c r="P108" s="20"/>
      <c r="R108" s="20"/>
      <c r="S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17"/>
      <c r="AK108" s="17"/>
      <c r="AL108" s="17"/>
      <c r="AM108" s="17"/>
      <c r="AN108" s="22"/>
      <c r="AO108" s="20"/>
      <c r="AP108" s="20"/>
      <c r="AQ108" s="21"/>
      <c r="AR108" s="20"/>
      <c r="AS108" s="20"/>
      <c r="AT108" s="21"/>
      <c r="AU108" s="21"/>
      <c r="AV108" s="21"/>
      <c r="AX108" s="23"/>
      <c r="AY108" s="23"/>
      <c r="AZ108" s="24"/>
      <c r="BA108" s="23"/>
      <c r="BB108" s="23"/>
      <c r="BC108" s="24"/>
    </row>
    <row r="109" spans="1:55" x14ac:dyDescent="0.2">
      <c r="A109" s="15">
        <v>43647</v>
      </c>
      <c r="B109" s="19"/>
      <c r="C109" s="19"/>
      <c r="D109" s="19"/>
      <c r="E109" s="19"/>
      <c r="G109" s="19"/>
      <c r="H109" s="20"/>
      <c r="I109" s="20"/>
      <c r="J109" s="20"/>
      <c r="K109" s="20"/>
      <c r="N109" s="20"/>
      <c r="O109" s="20"/>
      <c r="P109" s="20"/>
      <c r="R109" s="20"/>
      <c r="S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17"/>
      <c r="AK109" s="17"/>
      <c r="AL109" s="17"/>
      <c r="AM109" s="17"/>
      <c r="AN109" s="22"/>
      <c r="AO109" s="20"/>
      <c r="AP109" s="20"/>
      <c r="AQ109" s="21"/>
      <c r="AR109" s="20"/>
      <c r="AS109" s="20"/>
      <c r="AT109" s="21"/>
      <c r="AU109" s="21"/>
      <c r="AV109" s="21"/>
      <c r="AX109" s="23"/>
      <c r="AY109" s="23"/>
      <c r="AZ109" s="24"/>
      <c r="BA109" s="23"/>
      <c r="BB109" s="23"/>
      <c r="BC109" s="24"/>
    </row>
    <row r="110" spans="1:55" x14ac:dyDescent="0.2">
      <c r="A110" s="15">
        <v>43678</v>
      </c>
      <c r="B110" s="19"/>
      <c r="C110" s="19"/>
      <c r="D110" s="19"/>
      <c r="E110" s="19"/>
      <c r="G110" s="19"/>
      <c r="H110" s="20"/>
      <c r="I110" s="20"/>
      <c r="J110" s="20"/>
      <c r="K110" s="20"/>
      <c r="N110" s="20"/>
      <c r="O110" s="20"/>
      <c r="P110" s="20"/>
      <c r="R110" s="20"/>
      <c r="S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17"/>
      <c r="AK110" s="17"/>
      <c r="AL110" s="17"/>
      <c r="AM110" s="17"/>
      <c r="AN110" s="22"/>
      <c r="AO110" s="20"/>
      <c r="AP110" s="20"/>
      <c r="AQ110" s="21"/>
      <c r="AR110" s="20"/>
      <c r="AS110" s="20"/>
      <c r="AT110" s="21"/>
      <c r="AU110" s="21"/>
      <c r="AV110" s="21"/>
      <c r="AX110" s="23"/>
      <c r="AY110" s="23"/>
      <c r="AZ110" s="24"/>
      <c r="BA110" s="23"/>
      <c r="BB110" s="23"/>
      <c r="BC110" s="24"/>
    </row>
    <row r="111" spans="1:55" x14ac:dyDescent="0.2">
      <c r="A111" s="15">
        <v>43709</v>
      </c>
      <c r="B111" s="19"/>
      <c r="C111" s="19"/>
      <c r="D111" s="19"/>
      <c r="E111" s="19"/>
      <c r="G111" s="19"/>
      <c r="H111" s="20"/>
      <c r="I111" s="20"/>
      <c r="J111" s="20"/>
      <c r="K111" s="20"/>
      <c r="N111" s="20"/>
      <c r="O111" s="20"/>
      <c r="P111" s="20"/>
      <c r="R111" s="20"/>
      <c r="S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17"/>
      <c r="AK111" s="17"/>
      <c r="AL111" s="17"/>
      <c r="AM111" s="17"/>
      <c r="AN111" s="22"/>
      <c r="AO111" s="20"/>
      <c r="AP111" s="20"/>
      <c r="AQ111" s="21"/>
      <c r="AR111" s="20"/>
      <c r="AS111" s="20"/>
      <c r="AT111" s="21"/>
      <c r="AU111" s="21"/>
      <c r="AV111" s="21"/>
      <c r="AX111" s="23"/>
      <c r="AY111" s="23"/>
      <c r="AZ111" s="24"/>
      <c r="BA111" s="23"/>
      <c r="BB111" s="23"/>
      <c r="BC111" s="24"/>
    </row>
    <row r="112" spans="1:55" x14ac:dyDescent="0.2">
      <c r="A112" s="15">
        <v>43739</v>
      </c>
      <c r="B112" s="19"/>
      <c r="C112" s="19"/>
      <c r="D112" s="19"/>
      <c r="E112" s="19"/>
      <c r="G112" s="19"/>
      <c r="H112" s="20"/>
      <c r="I112" s="20"/>
      <c r="J112" s="20"/>
      <c r="K112" s="20"/>
      <c r="N112" s="20"/>
      <c r="O112" s="20"/>
      <c r="P112" s="20"/>
      <c r="R112" s="20"/>
      <c r="S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17"/>
      <c r="AK112" s="17"/>
      <c r="AL112" s="17"/>
      <c r="AM112" s="17"/>
      <c r="AN112" s="22"/>
      <c r="AO112" s="20"/>
      <c r="AP112" s="20"/>
      <c r="AQ112" s="21"/>
      <c r="AR112" s="20"/>
      <c r="AS112" s="20"/>
      <c r="AT112" s="21"/>
      <c r="AU112" s="21"/>
      <c r="AV112" s="21"/>
      <c r="AX112" s="23"/>
      <c r="AY112" s="23"/>
      <c r="AZ112" s="24"/>
      <c r="BA112" s="23"/>
      <c r="BB112" s="23"/>
      <c r="BC112" s="24"/>
    </row>
    <row r="113" spans="1:55" x14ac:dyDescent="0.2">
      <c r="A113" s="15">
        <v>43770</v>
      </c>
      <c r="B113" s="19"/>
      <c r="C113" s="19"/>
      <c r="D113" s="19"/>
      <c r="E113" s="19"/>
      <c r="G113" s="19"/>
      <c r="H113" s="20"/>
      <c r="I113" s="20"/>
      <c r="J113" s="20"/>
      <c r="K113" s="20"/>
      <c r="N113" s="20"/>
      <c r="O113" s="20"/>
      <c r="P113" s="20"/>
      <c r="R113" s="20"/>
      <c r="S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17"/>
      <c r="AK113" s="17"/>
      <c r="AL113" s="17"/>
      <c r="AM113" s="17"/>
      <c r="AN113" s="22"/>
      <c r="AO113" s="20"/>
      <c r="AP113" s="20"/>
      <c r="AQ113" s="21"/>
      <c r="AR113" s="20"/>
      <c r="AS113" s="20"/>
      <c r="AT113" s="21"/>
      <c r="AU113" s="21"/>
      <c r="AV113" s="21"/>
      <c r="AX113" s="23"/>
      <c r="AY113" s="23"/>
      <c r="AZ113" s="24"/>
      <c r="BA113" s="23"/>
      <c r="BB113" s="23"/>
      <c r="BC113" s="24"/>
    </row>
    <row r="114" spans="1:55" x14ac:dyDescent="0.2">
      <c r="A114" s="15">
        <v>43800</v>
      </c>
      <c r="B114" s="19"/>
      <c r="C114" s="19"/>
      <c r="D114" s="19"/>
      <c r="E114" s="19"/>
      <c r="G114" s="19"/>
      <c r="H114" s="20"/>
      <c r="I114" s="20"/>
      <c r="J114" s="20"/>
      <c r="K114" s="20"/>
      <c r="N114" s="20"/>
      <c r="O114" s="20"/>
      <c r="P114" s="20"/>
      <c r="R114" s="20"/>
      <c r="S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17"/>
      <c r="AK114" s="17"/>
      <c r="AL114" s="17"/>
      <c r="AM114" s="17"/>
      <c r="AN114" s="22"/>
      <c r="AO114" s="20"/>
      <c r="AP114" s="20"/>
      <c r="AQ114" s="21"/>
      <c r="AR114" s="20"/>
      <c r="AS114" s="20"/>
      <c r="AT114" s="21"/>
      <c r="AU114" s="21"/>
      <c r="AV114" s="21"/>
      <c r="AX114" s="23"/>
      <c r="AY114" s="23"/>
      <c r="AZ114" s="24"/>
      <c r="BA114" s="23"/>
      <c r="BB114" s="23"/>
      <c r="BC114" s="24"/>
    </row>
    <row r="115" spans="1:55" x14ac:dyDescent="0.2">
      <c r="A115" s="15">
        <v>43831</v>
      </c>
      <c r="B115" s="19"/>
      <c r="C115" s="19"/>
      <c r="D115" s="19"/>
      <c r="E115" s="19"/>
      <c r="G115" s="19"/>
      <c r="H115" s="20"/>
      <c r="I115" s="20"/>
      <c r="J115" s="20"/>
      <c r="K115" s="20"/>
      <c r="N115" s="20"/>
      <c r="O115" s="20"/>
      <c r="P115" s="20"/>
      <c r="R115" s="20"/>
      <c r="S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17"/>
      <c r="AK115" s="17"/>
      <c r="AL115" s="17"/>
      <c r="AM115" s="17"/>
      <c r="AN115" s="22"/>
      <c r="AO115" s="20"/>
      <c r="AP115" s="20"/>
      <c r="AQ115" s="21"/>
      <c r="AR115" s="20"/>
      <c r="AS115" s="20"/>
      <c r="AT115" s="21"/>
      <c r="AU115" s="21"/>
      <c r="AV115" s="21"/>
      <c r="AX115" s="23"/>
      <c r="AY115" s="23"/>
      <c r="AZ115" s="24"/>
      <c r="BA115" s="23"/>
      <c r="BB115" s="23"/>
      <c r="BC115" s="24"/>
    </row>
    <row r="116" spans="1:55" x14ac:dyDescent="0.2">
      <c r="A116" s="15">
        <v>43862</v>
      </c>
      <c r="B116" s="19"/>
      <c r="C116" s="19"/>
      <c r="D116" s="19"/>
      <c r="E116" s="19"/>
      <c r="G116" s="19"/>
      <c r="H116" s="20"/>
      <c r="I116" s="20"/>
      <c r="J116" s="20"/>
      <c r="K116" s="20"/>
      <c r="N116" s="20"/>
      <c r="O116" s="20"/>
      <c r="P116" s="20"/>
      <c r="R116" s="20"/>
      <c r="S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17"/>
      <c r="AK116" s="17"/>
      <c r="AL116" s="17"/>
      <c r="AM116" s="17"/>
      <c r="AN116" s="22"/>
      <c r="AO116" s="20"/>
      <c r="AP116" s="20"/>
      <c r="AQ116" s="21"/>
      <c r="AR116" s="20"/>
      <c r="AS116" s="20"/>
      <c r="AT116" s="21"/>
      <c r="AU116" s="21"/>
      <c r="AV116" s="21"/>
      <c r="AX116" s="23"/>
      <c r="AY116" s="23"/>
      <c r="AZ116" s="24"/>
      <c r="BA116" s="23"/>
      <c r="BB116" s="23"/>
      <c r="BC116" s="24"/>
    </row>
    <row r="117" spans="1:55" x14ac:dyDescent="0.2">
      <c r="A117" s="15">
        <v>43891</v>
      </c>
      <c r="B117" s="19"/>
      <c r="C117" s="19"/>
      <c r="D117" s="19"/>
      <c r="E117" s="19"/>
      <c r="G117" s="19"/>
      <c r="H117" s="20"/>
      <c r="I117" s="20"/>
      <c r="J117" s="20"/>
      <c r="K117" s="20"/>
      <c r="N117" s="20"/>
      <c r="O117" s="20"/>
      <c r="P117" s="20"/>
      <c r="R117" s="20"/>
      <c r="S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17"/>
      <c r="AK117" s="17"/>
      <c r="AL117" s="17"/>
      <c r="AM117" s="17"/>
      <c r="AN117" s="22"/>
      <c r="AO117" s="20"/>
      <c r="AP117" s="20"/>
      <c r="AQ117" s="21"/>
      <c r="AR117" s="20"/>
      <c r="AS117" s="20"/>
      <c r="AT117" s="21"/>
      <c r="AU117" s="21"/>
      <c r="AV117" s="21"/>
      <c r="AX117" s="23"/>
      <c r="AY117" s="23"/>
      <c r="AZ117" s="24"/>
      <c r="BA117" s="23"/>
      <c r="BB117" s="23"/>
      <c r="BC117" s="24"/>
    </row>
    <row r="118" spans="1:55" x14ac:dyDescent="0.2">
      <c r="A118" s="15">
        <v>43922</v>
      </c>
      <c r="B118" s="19"/>
      <c r="C118" s="19"/>
      <c r="D118" s="19"/>
      <c r="E118" s="19"/>
      <c r="G118" s="19"/>
      <c r="H118" s="20"/>
      <c r="I118" s="20"/>
      <c r="J118" s="20"/>
      <c r="K118" s="20"/>
      <c r="N118" s="20"/>
      <c r="O118" s="20"/>
      <c r="P118" s="20"/>
      <c r="R118" s="20"/>
      <c r="S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17"/>
      <c r="AK118" s="17"/>
      <c r="AL118" s="17"/>
      <c r="AM118" s="17"/>
      <c r="AN118" s="22"/>
      <c r="AO118" s="20"/>
      <c r="AP118" s="20"/>
      <c r="AQ118" s="21"/>
      <c r="AR118" s="20"/>
      <c r="AS118" s="20"/>
      <c r="AT118" s="21"/>
      <c r="AU118" s="21"/>
      <c r="AV118" s="21"/>
      <c r="AX118" s="23"/>
      <c r="AY118" s="23"/>
      <c r="AZ118" s="24"/>
      <c r="BA118" s="23"/>
      <c r="BB118" s="23"/>
      <c r="BC118" s="24"/>
    </row>
    <row r="119" spans="1:55" x14ac:dyDescent="0.2">
      <c r="A119" s="15">
        <v>43952</v>
      </c>
      <c r="B119" s="19"/>
      <c r="C119" s="19"/>
      <c r="D119" s="19"/>
      <c r="E119" s="19"/>
      <c r="G119" s="19"/>
      <c r="H119" s="20"/>
      <c r="I119" s="20"/>
      <c r="J119" s="20"/>
      <c r="K119" s="20"/>
      <c r="N119" s="20"/>
      <c r="O119" s="20"/>
      <c r="P119" s="20"/>
      <c r="R119" s="20"/>
      <c r="S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17"/>
      <c r="AK119" s="17"/>
      <c r="AL119" s="17"/>
      <c r="AM119" s="17"/>
      <c r="AN119" s="22"/>
      <c r="AO119" s="20"/>
      <c r="AP119" s="20"/>
      <c r="AQ119" s="21"/>
      <c r="AR119" s="20"/>
      <c r="AS119" s="20"/>
      <c r="AT119" s="21"/>
      <c r="AU119" s="21"/>
      <c r="AV119" s="21"/>
      <c r="AX119" s="23"/>
      <c r="AY119" s="23"/>
      <c r="AZ119" s="24"/>
      <c r="BA119" s="23"/>
      <c r="BB119" s="23"/>
      <c r="BC119" s="24"/>
    </row>
    <row r="120" spans="1:55" x14ac:dyDescent="0.2">
      <c r="A120" s="15">
        <v>43983</v>
      </c>
      <c r="B120" s="19"/>
      <c r="C120" s="19"/>
      <c r="D120" s="19"/>
      <c r="E120" s="19"/>
      <c r="G120" s="19"/>
      <c r="H120" s="20"/>
      <c r="I120" s="20"/>
      <c r="J120" s="20"/>
      <c r="K120" s="20"/>
      <c r="N120" s="20"/>
      <c r="O120" s="20"/>
      <c r="P120" s="20"/>
      <c r="R120" s="20"/>
      <c r="S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17"/>
      <c r="AK120" s="17"/>
      <c r="AL120" s="17"/>
      <c r="AM120" s="17"/>
      <c r="AN120" s="22"/>
      <c r="AO120" s="20"/>
      <c r="AP120" s="20"/>
      <c r="AQ120" s="21"/>
      <c r="AR120" s="20"/>
      <c r="AS120" s="20"/>
      <c r="AT120" s="21"/>
      <c r="AU120" s="21"/>
      <c r="AV120" s="21"/>
      <c r="AX120" s="23"/>
      <c r="AY120" s="23"/>
      <c r="AZ120" s="24"/>
      <c r="BA120" s="23"/>
      <c r="BB120" s="23"/>
      <c r="BC120" s="24"/>
    </row>
    <row r="121" spans="1:55" x14ac:dyDescent="0.2">
      <c r="A121" s="15">
        <v>44013</v>
      </c>
      <c r="B121" s="19"/>
      <c r="C121" s="19">
        <v>0.26667000000000002</v>
      </c>
      <c r="D121" s="19"/>
      <c r="E121" s="19"/>
      <c r="G121" s="19"/>
      <c r="H121" s="20"/>
      <c r="I121" s="20"/>
      <c r="J121" s="20"/>
      <c r="K121" s="20"/>
      <c r="N121" s="20"/>
      <c r="O121" s="20"/>
      <c r="P121" s="20"/>
      <c r="R121" s="20"/>
      <c r="S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17"/>
      <c r="AK121" s="17"/>
      <c r="AL121" s="17"/>
      <c r="AM121" s="17"/>
      <c r="AN121" s="22"/>
      <c r="AO121" s="20"/>
      <c r="AP121" s="20"/>
      <c r="AQ121" s="21"/>
      <c r="AR121" s="20"/>
      <c r="AS121" s="20"/>
      <c r="AT121" s="21"/>
      <c r="AU121" s="21"/>
      <c r="AV121" s="21"/>
      <c r="AX121" s="23"/>
      <c r="AY121" s="23"/>
      <c r="AZ121" s="24"/>
      <c r="BA121" s="23"/>
      <c r="BB121" s="23"/>
      <c r="BC121" s="24"/>
    </row>
    <row r="122" spans="1:55" x14ac:dyDescent="0.2">
      <c r="A122" s="15">
        <v>44044</v>
      </c>
      <c r="B122" s="19"/>
      <c r="C122" s="19">
        <v>0.26667000000000002</v>
      </c>
      <c r="D122" s="19"/>
      <c r="E122" s="19"/>
      <c r="G122" s="19"/>
      <c r="H122" s="20"/>
      <c r="I122" s="20"/>
      <c r="J122" s="20"/>
      <c r="K122" s="20"/>
      <c r="N122" s="20"/>
      <c r="O122" s="20"/>
      <c r="P122" s="20"/>
      <c r="R122" s="20"/>
      <c r="S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17"/>
      <c r="AK122" s="17"/>
      <c r="AL122" s="17"/>
      <c r="AM122" s="17"/>
      <c r="AN122" s="22"/>
      <c r="AO122" s="20"/>
      <c r="AP122" s="20"/>
      <c r="AQ122" s="21"/>
      <c r="AR122" s="20"/>
      <c r="AS122" s="20"/>
      <c r="AT122" s="21"/>
      <c r="AU122" s="21"/>
      <c r="AV122" s="21"/>
      <c r="AX122" s="23"/>
      <c r="AY122" s="23"/>
      <c r="AZ122" s="24"/>
      <c r="BA122" s="23"/>
      <c r="BB122" s="23"/>
      <c r="BC122" s="24"/>
    </row>
    <row r="123" spans="1:55" x14ac:dyDescent="0.2">
      <c r="A123" s="15">
        <v>44075</v>
      </c>
      <c r="B123" s="19"/>
      <c r="C123" s="19">
        <v>0.26667000000000002</v>
      </c>
      <c r="D123" s="19"/>
      <c r="E123" s="19"/>
      <c r="G123" s="19"/>
      <c r="H123" s="20"/>
      <c r="I123" s="20"/>
      <c r="J123" s="20"/>
      <c r="K123" s="20"/>
      <c r="N123" s="20"/>
      <c r="O123" s="20"/>
      <c r="P123" s="20"/>
      <c r="R123" s="20"/>
      <c r="S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17"/>
      <c r="AK123" s="17"/>
      <c r="AL123" s="17"/>
      <c r="AM123" s="17"/>
      <c r="AN123" s="22"/>
      <c r="AO123" s="20"/>
      <c r="AP123" s="20"/>
      <c r="AQ123" s="21"/>
      <c r="AR123" s="20"/>
      <c r="AS123" s="20"/>
      <c r="AT123" s="21"/>
      <c r="AU123" s="21"/>
      <c r="AV123" s="21"/>
      <c r="AX123" s="23"/>
      <c r="AY123" s="23"/>
      <c r="AZ123" s="24"/>
      <c r="BA123" s="23"/>
      <c r="BB123" s="23"/>
      <c r="BC123" s="24"/>
    </row>
    <row r="124" spans="1:55" x14ac:dyDescent="0.2">
      <c r="A124" s="15">
        <v>44105</v>
      </c>
      <c r="B124" s="19"/>
      <c r="C124" s="19">
        <v>0.26667000000000002</v>
      </c>
      <c r="D124" s="19"/>
      <c r="E124" s="19"/>
      <c r="G124" s="19"/>
      <c r="H124" s="20"/>
      <c r="I124" s="20"/>
      <c r="J124" s="20"/>
      <c r="K124" s="20"/>
      <c r="N124" s="20"/>
      <c r="O124" s="20"/>
      <c r="P124" s="20"/>
      <c r="R124" s="20"/>
      <c r="S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17"/>
      <c r="AK124" s="17"/>
      <c r="AL124" s="17"/>
      <c r="AM124" s="17"/>
      <c r="AN124" s="22"/>
      <c r="AO124" s="20"/>
      <c r="AP124" s="20"/>
      <c r="AQ124" s="21"/>
      <c r="AR124" s="20"/>
      <c r="AS124" s="20"/>
      <c r="AT124" s="21"/>
      <c r="AU124" s="21"/>
      <c r="AV124" s="21"/>
      <c r="AX124" s="23"/>
      <c r="AY124" s="23"/>
      <c r="AZ124" s="24"/>
      <c r="BA124" s="23"/>
      <c r="BB124" s="23"/>
      <c r="BC124" s="24"/>
    </row>
    <row r="125" spans="1:55" x14ac:dyDescent="0.2">
      <c r="A125" s="15">
        <v>44136</v>
      </c>
      <c r="B125" s="19"/>
      <c r="C125" s="19">
        <v>0.26667000000000002</v>
      </c>
      <c r="D125" s="19"/>
      <c r="E125" s="19"/>
      <c r="G125" s="19"/>
      <c r="H125" s="20"/>
      <c r="I125" s="20"/>
      <c r="J125" s="20"/>
      <c r="K125" s="20"/>
      <c r="N125" s="20"/>
      <c r="O125" s="20"/>
      <c r="P125" s="20"/>
      <c r="R125" s="20"/>
      <c r="S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17"/>
      <c r="AK125" s="17"/>
      <c r="AL125" s="17"/>
      <c r="AM125" s="17"/>
      <c r="AN125" s="22"/>
      <c r="AO125" s="20"/>
      <c r="AP125" s="20"/>
      <c r="AQ125" s="21"/>
      <c r="AR125" s="20"/>
      <c r="AS125" s="20"/>
      <c r="AT125" s="21"/>
      <c r="AU125" s="21"/>
      <c r="AV125" s="21"/>
      <c r="AX125" s="23"/>
      <c r="AY125" s="23"/>
      <c r="AZ125" s="24"/>
      <c r="BA125" s="23"/>
      <c r="BB125" s="23"/>
      <c r="BC125" s="24"/>
    </row>
    <row r="126" spans="1:55" x14ac:dyDescent="0.2">
      <c r="A126" s="15">
        <v>44166</v>
      </c>
      <c r="B126" s="19"/>
      <c r="C126" s="19">
        <v>0.26667000000000002</v>
      </c>
      <c r="D126" s="19"/>
      <c r="E126" s="19"/>
      <c r="G126" s="19"/>
      <c r="H126" s="20"/>
      <c r="I126" s="20"/>
      <c r="J126" s="20"/>
      <c r="K126" s="20"/>
      <c r="N126" s="20"/>
      <c r="O126" s="20"/>
      <c r="P126" s="20"/>
      <c r="R126" s="20"/>
      <c r="S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17"/>
      <c r="AK126" s="17"/>
      <c r="AL126" s="17"/>
      <c r="AM126" s="17"/>
      <c r="AN126" s="22"/>
      <c r="AO126" s="20"/>
      <c r="AP126" s="20"/>
      <c r="AQ126" s="21"/>
      <c r="AR126" s="20"/>
      <c r="AS126" s="20"/>
      <c r="AT126" s="21"/>
      <c r="AU126" s="21"/>
      <c r="AV126" s="21"/>
      <c r="AX126" s="23"/>
      <c r="AY126" s="23"/>
      <c r="AZ126" s="24"/>
      <c r="BA126" s="23"/>
      <c r="BB126" s="23"/>
      <c r="BC126" s="24"/>
    </row>
    <row r="127" spans="1:55" x14ac:dyDescent="0.2">
      <c r="A127" s="15">
        <v>44197</v>
      </c>
      <c r="B127" s="19"/>
      <c r="C127" s="19">
        <v>1.6</v>
      </c>
      <c r="D127" s="19"/>
      <c r="E127" s="19"/>
      <c r="G127" s="19"/>
      <c r="H127" s="20"/>
      <c r="I127" s="20"/>
      <c r="J127" s="20"/>
      <c r="K127" s="20"/>
      <c r="N127" s="20"/>
      <c r="O127" s="20"/>
      <c r="P127" s="20"/>
      <c r="R127" s="20"/>
      <c r="S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17"/>
      <c r="AK127" s="17"/>
      <c r="AL127" s="17"/>
      <c r="AM127" s="17"/>
      <c r="AN127" s="22"/>
      <c r="AO127" s="20"/>
      <c r="AP127" s="20"/>
      <c r="AQ127" s="21"/>
      <c r="AR127" s="20"/>
      <c r="AS127" s="20"/>
      <c r="AT127" s="21"/>
      <c r="AU127" s="21"/>
      <c r="AV127" s="21"/>
      <c r="AX127" s="23"/>
      <c r="AY127" s="23"/>
      <c r="AZ127" s="24"/>
      <c r="BA127" s="23"/>
      <c r="BB127" s="23"/>
      <c r="BC127" s="24"/>
    </row>
    <row r="128" spans="1:55" x14ac:dyDescent="0.2">
      <c r="A128" s="15">
        <v>44228</v>
      </c>
      <c r="B128" s="19"/>
      <c r="C128" s="19">
        <v>1.6</v>
      </c>
      <c r="D128" s="19"/>
      <c r="E128" s="19"/>
      <c r="G128" s="19"/>
      <c r="H128" s="20"/>
      <c r="I128" s="20"/>
      <c r="J128" s="20"/>
      <c r="K128" s="20"/>
      <c r="N128" s="20"/>
      <c r="O128" s="20"/>
      <c r="P128" s="20"/>
      <c r="R128" s="20"/>
      <c r="S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17"/>
      <c r="AK128" s="17"/>
      <c r="AL128" s="17"/>
      <c r="AM128" s="17"/>
      <c r="AN128" s="22"/>
      <c r="AO128" s="20"/>
      <c r="AP128" s="20"/>
      <c r="AQ128" s="21"/>
      <c r="AR128" s="20"/>
      <c r="AS128" s="20"/>
      <c r="AT128" s="21"/>
      <c r="AU128" s="21"/>
      <c r="AV128" s="21"/>
      <c r="AX128" s="23"/>
      <c r="AY128" s="23"/>
      <c r="AZ128" s="24"/>
      <c r="BA128" s="23"/>
      <c r="BB128" s="23"/>
      <c r="BC128" s="24"/>
    </row>
    <row r="129" spans="1:55" x14ac:dyDescent="0.2">
      <c r="A129" s="15">
        <v>44256</v>
      </c>
      <c r="B129" s="19"/>
      <c r="C129" s="19">
        <v>1.6</v>
      </c>
      <c r="D129" s="19"/>
      <c r="E129" s="19"/>
      <c r="G129" s="19"/>
      <c r="H129" s="20"/>
      <c r="I129" s="20"/>
      <c r="J129" s="20"/>
      <c r="K129" s="20"/>
      <c r="N129" s="20"/>
      <c r="O129" s="20"/>
      <c r="P129" s="20"/>
      <c r="R129" s="20"/>
      <c r="S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17"/>
      <c r="AK129" s="17"/>
      <c r="AL129" s="17"/>
      <c r="AM129" s="17"/>
      <c r="AN129" s="22"/>
      <c r="AO129" s="20"/>
      <c r="AP129" s="20"/>
      <c r="AQ129" s="21"/>
      <c r="AR129" s="20"/>
      <c r="AS129" s="20"/>
      <c r="AT129" s="21"/>
      <c r="AU129" s="21"/>
      <c r="AV129" s="21"/>
      <c r="AX129" s="23"/>
      <c r="AY129" s="23"/>
      <c r="AZ129" s="24"/>
      <c r="BA129" s="23"/>
      <c r="BB129" s="23"/>
      <c r="BC129" s="24"/>
    </row>
    <row r="130" spans="1:55" x14ac:dyDescent="0.2">
      <c r="A130" s="15">
        <v>44287</v>
      </c>
      <c r="B130" s="19"/>
      <c r="C130" s="19">
        <v>1.6</v>
      </c>
      <c r="D130" s="19"/>
      <c r="E130" s="19"/>
      <c r="G130" s="19"/>
      <c r="H130" s="20"/>
      <c r="I130" s="20"/>
      <c r="J130" s="20"/>
      <c r="K130" s="20"/>
      <c r="N130" s="20"/>
      <c r="O130" s="20"/>
      <c r="P130" s="20"/>
      <c r="R130" s="20"/>
      <c r="S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17"/>
      <c r="AK130" s="17"/>
      <c r="AL130" s="17"/>
      <c r="AM130" s="17"/>
      <c r="AN130" s="22"/>
      <c r="AO130" s="20"/>
      <c r="AP130" s="20"/>
      <c r="AQ130" s="21"/>
      <c r="AR130" s="20"/>
      <c r="AS130" s="20"/>
      <c r="AT130" s="21"/>
      <c r="AU130" s="21"/>
      <c r="AV130" s="21"/>
      <c r="AX130" s="23"/>
      <c r="AY130" s="23"/>
      <c r="AZ130" s="24"/>
      <c r="BA130" s="23"/>
      <c r="BB130" s="23"/>
      <c r="BC130" s="24"/>
    </row>
    <row r="131" spans="1:55" x14ac:dyDescent="0.2">
      <c r="A131" s="15">
        <v>44317</v>
      </c>
      <c r="B131" s="19"/>
      <c r="C131" s="19">
        <v>1.6</v>
      </c>
      <c r="D131" s="19"/>
      <c r="E131" s="19"/>
      <c r="G131" s="19"/>
      <c r="H131" s="20"/>
      <c r="I131" s="20"/>
      <c r="J131" s="20"/>
      <c r="K131" s="20"/>
      <c r="N131" s="20"/>
      <c r="O131" s="20"/>
      <c r="P131" s="20"/>
      <c r="R131" s="20"/>
      <c r="S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17"/>
      <c r="AK131" s="17"/>
      <c r="AL131" s="17"/>
      <c r="AM131" s="17"/>
      <c r="AN131" s="22"/>
      <c r="AO131" s="20"/>
      <c r="AP131" s="20"/>
      <c r="AQ131" s="21"/>
      <c r="AR131" s="20"/>
      <c r="AS131" s="20"/>
      <c r="AT131" s="21"/>
      <c r="AU131" s="21"/>
      <c r="AV131" s="21"/>
      <c r="AX131" s="23"/>
      <c r="AY131" s="23"/>
      <c r="AZ131" s="24"/>
      <c r="BA131" s="23"/>
      <c r="BB131" s="23"/>
      <c r="BC131" s="24"/>
    </row>
    <row r="132" spans="1:55" x14ac:dyDescent="0.2">
      <c r="A132" s="15">
        <v>44348</v>
      </c>
      <c r="B132" s="19"/>
      <c r="C132" s="19">
        <v>1.6</v>
      </c>
      <c r="D132" s="19"/>
      <c r="E132" s="19"/>
      <c r="G132" s="19"/>
      <c r="H132" s="20"/>
      <c r="I132" s="20"/>
      <c r="J132" s="20"/>
      <c r="K132" s="20"/>
      <c r="N132" s="20"/>
      <c r="O132" s="20"/>
      <c r="P132" s="20"/>
      <c r="R132" s="20"/>
      <c r="S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17"/>
      <c r="AK132" s="17"/>
      <c r="AL132" s="17"/>
      <c r="AM132" s="17"/>
      <c r="AN132" s="22"/>
      <c r="AO132" s="20"/>
      <c r="AP132" s="20"/>
      <c r="AQ132" s="20"/>
      <c r="AR132" s="20"/>
      <c r="AS132" s="20"/>
      <c r="AT132" s="20"/>
      <c r="AU132" s="21"/>
      <c r="AV132" s="21"/>
      <c r="AX132" s="23"/>
      <c r="AY132" s="23"/>
      <c r="AZ132" s="24"/>
      <c r="BA132" s="23"/>
      <c r="BB132" s="23"/>
      <c r="BC132" s="24"/>
    </row>
    <row r="133" spans="1:55" x14ac:dyDescent="0.2">
      <c r="A133" s="15">
        <v>44378</v>
      </c>
      <c r="B133" s="19"/>
      <c r="C133" s="19">
        <v>1.6</v>
      </c>
      <c r="D133" s="19"/>
      <c r="E133" s="19"/>
      <c r="G133" s="19"/>
      <c r="H133" s="20"/>
      <c r="I133" s="20"/>
      <c r="J133" s="20"/>
      <c r="K133" s="20"/>
      <c r="N133" s="20"/>
      <c r="O133" s="20"/>
      <c r="P133" s="20"/>
      <c r="R133" s="20"/>
      <c r="S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17"/>
      <c r="AK133" s="17"/>
      <c r="AL133" s="17"/>
      <c r="AM133" s="17"/>
      <c r="AN133" s="22"/>
      <c r="AO133" s="20"/>
      <c r="AP133" s="20"/>
      <c r="AQ133" s="20"/>
      <c r="AR133" s="20"/>
      <c r="AS133" s="20"/>
      <c r="AT133" s="20"/>
      <c r="AU133" s="21"/>
      <c r="AV133" s="21"/>
      <c r="AX133" s="23"/>
      <c r="AY133" s="23"/>
      <c r="AZ133" s="24"/>
      <c r="BA133" s="23"/>
      <c r="BB133" s="23"/>
      <c r="BC133" s="24"/>
    </row>
    <row r="134" spans="1:55" x14ac:dyDescent="0.2">
      <c r="A134" s="15">
        <v>44409</v>
      </c>
      <c r="B134" s="19"/>
      <c r="C134" s="19">
        <v>1.6</v>
      </c>
      <c r="D134" s="19"/>
      <c r="E134" s="19"/>
      <c r="G134" s="19"/>
      <c r="H134" s="20"/>
      <c r="I134" s="20"/>
      <c r="J134" s="20"/>
      <c r="K134" s="20"/>
      <c r="N134" s="20"/>
      <c r="O134" s="20"/>
      <c r="P134" s="20"/>
      <c r="R134" s="20"/>
      <c r="S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17"/>
      <c r="AK134" s="17"/>
      <c r="AL134" s="17"/>
      <c r="AM134" s="17"/>
      <c r="AN134" s="22"/>
      <c r="AO134" s="20"/>
      <c r="AP134" s="20"/>
      <c r="AQ134" s="20"/>
      <c r="AR134" s="20"/>
      <c r="AS134" s="20"/>
      <c r="AT134" s="20"/>
      <c r="AU134" s="21"/>
      <c r="AV134" s="21"/>
      <c r="AX134" s="23"/>
      <c r="AY134" s="23"/>
      <c r="AZ134" s="24"/>
      <c r="BA134" s="23"/>
      <c r="BB134" s="23"/>
      <c r="BC134" s="24"/>
    </row>
    <row r="135" spans="1:55" x14ac:dyDescent="0.2">
      <c r="A135" s="15">
        <v>44440</v>
      </c>
      <c r="B135" s="19"/>
      <c r="C135" s="19">
        <v>1.6</v>
      </c>
      <c r="D135" s="19"/>
      <c r="E135" s="19"/>
      <c r="G135" s="19"/>
      <c r="H135" s="20"/>
      <c r="I135" s="20"/>
      <c r="J135" s="20"/>
      <c r="K135" s="20"/>
      <c r="N135" s="20"/>
      <c r="O135" s="20"/>
      <c r="P135" s="20"/>
      <c r="R135" s="20"/>
      <c r="S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17"/>
      <c r="AK135" s="17"/>
      <c r="AL135" s="17"/>
      <c r="AM135" s="17"/>
      <c r="AN135" s="22"/>
      <c r="AO135" s="20"/>
      <c r="AP135" s="20"/>
      <c r="AQ135" s="20"/>
      <c r="AR135" s="20"/>
      <c r="AS135" s="20"/>
      <c r="AT135" s="20"/>
      <c r="AU135" s="21"/>
      <c r="AV135" s="21"/>
      <c r="AX135" s="23"/>
      <c r="AY135" s="23"/>
      <c r="AZ135" s="24"/>
      <c r="BA135" s="23"/>
      <c r="BB135" s="23"/>
      <c r="BC135" s="24"/>
    </row>
    <row r="136" spans="1:55" x14ac:dyDescent="0.2">
      <c r="A136" s="15">
        <v>44470</v>
      </c>
      <c r="B136" s="19"/>
      <c r="C136" s="19">
        <v>1.6</v>
      </c>
      <c r="D136" s="19"/>
      <c r="E136" s="19"/>
      <c r="G136" s="19"/>
      <c r="H136" s="20"/>
      <c r="I136" s="20"/>
      <c r="J136" s="20"/>
      <c r="K136" s="20"/>
      <c r="N136" s="20"/>
      <c r="O136" s="20"/>
      <c r="P136" s="20"/>
      <c r="R136" s="20"/>
      <c r="S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17"/>
      <c r="AK136" s="17"/>
      <c r="AL136" s="17"/>
      <c r="AM136" s="17"/>
      <c r="AN136" s="22"/>
      <c r="AO136" s="20"/>
      <c r="AP136" s="20"/>
      <c r="AQ136" s="20"/>
      <c r="AR136" s="20"/>
      <c r="AS136" s="20"/>
      <c r="AT136" s="20"/>
      <c r="AU136" s="21"/>
      <c r="AV136" s="21"/>
      <c r="AX136" s="23"/>
      <c r="AY136" s="23"/>
      <c r="AZ136" s="24"/>
      <c r="BA136" s="23"/>
      <c r="BB136" s="23"/>
      <c r="BC136" s="24"/>
    </row>
    <row r="137" spans="1:55" x14ac:dyDescent="0.2">
      <c r="A137" s="15">
        <v>44501</v>
      </c>
      <c r="B137" s="19"/>
      <c r="C137" s="19">
        <v>1.6</v>
      </c>
      <c r="D137" s="19"/>
      <c r="E137" s="19"/>
      <c r="G137" s="19"/>
      <c r="H137" s="20"/>
      <c r="I137" s="20"/>
      <c r="J137" s="20"/>
      <c r="K137" s="20"/>
      <c r="N137" s="20"/>
      <c r="O137" s="20"/>
      <c r="P137" s="20"/>
      <c r="R137" s="20"/>
      <c r="S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17"/>
      <c r="AK137" s="17"/>
      <c r="AL137" s="17"/>
      <c r="AM137" s="17"/>
      <c r="AN137" s="22"/>
      <c r="AO137" s="20"/>
      <c r="AP137" s="20"/>
      <c r="AQ137" s="20"/>
      <c r="AR137" s="20"/>
      <c r="AS137" s="20"/>
      <c r="AT137" s="20"/>
      <c r="AU137" s="21"/>
      <c r="AV137" s="21"/>
      <c r="AX137" s="23"/>
      <c r="AY137" s="23"/>
      <c r="AZ137" s="24"/>
      <c r="BA137" s="23"/>
      <c r="BB137" s="23"/>
      <c r="BC137" s="24"/>
    </row>
    <row r="138" spans="1:55" x14ac:dyDescent="0.2">
      <c r="A138" s="15">
        <v>44531</v>
      </c>
      <c r="B138" s="19"/>
      <c r="C138" s="19">
        <v>1.6</v>
      </c>
      <c r="D138" s="19"/>
      <c r="E138" s="19"/>
      <c r="G138" s="19"/>
      <c r="H138" s="20"/>
      <c r="I138" s="20"/>
      <c r="J138" s="20"/>
      <c r="K138" s="20"/>
      <c r="N138" s="20"/>
      <c r="O138" s="20"/>
      <c r="P138" s="20"/>
      <c r="R138" s="20"/>
      <c r="S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17"/>
      <c r="AK138" s="17"/>
      <c r="AL138" s="17"/>
      <c r="AM138" s="17"/>
      <c r="AN138" s="22"/>
      <c r="AO138" s="20"/>
      <c r="AP138" s="20"/>
      <c r="AQ138" s="20"/>
      <c r="AR138" s="20"/>
      <c r="AS138" s="20"/>
      <c r="AT138" s="20"/>
      <c r="AU138" s="21"/>
      <c r="AV138" s="21"/>
      <c r="AX138" s="23"/>
      <c r="AY138" s="23"/>
      <c r="AZ138" s="24"/>
      <c r="BA138" s="23"/>
      <c r="BB138" s="23"/>
      <c r="BC138" s="24"/>
    </row>
    <row r="139" spans="1:55" x14ac:dyDescent="0.2">
      <c r="A139" s="15">
        <v>44562</v>
      </c>
      <c r="B139" s="19"/>
      <c r="C139" s="19">
        <v>1.6</v>
      </c>
      <c r="D139" s="19"/>
      <c r="E139" s="19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R139" s="20"/>
      <c r="S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17"/>
      <c r="AK139" s="17"/>
      <c r="AL139" s="17"/>
      <c r="AM139" s="17"/>
      <c r="AN139" s="22"/>
      <c r="AO139" s="20"/>
      <c r="AP139" s="20"/>
      <c r="AQ139" s="20"/>
      <c r="AR139" s="20"/>
      <c r="AS139" s="20"/>
      <c r="AT139" s="20"/>
      <c r="AU139" s="21"/>
      <c r="AV139" s="21"/>
      <c r="AX139" s="23"/>
      <c r="AY139" s="23"/>
      <c r="AZ139" s="24"/>
      <c r="BA139" s="23"/>
      <c r="BB139" s="23"/>
      <c r="BC139" s="24"/>
    </row>
    <row r="140" spans="1:55" x14ac:dyDescent="0.2">
      <c r="A140" s="15">
        <v>44593</v>
      </c>
      <c r="B140" s="19"/>
      <c r="C140" s="19">
        <v>1.6</v>
      </c>
      <c r="D140" s="19"/>
      <c r="E140" s="19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R140" s="20"/>
      <c r="S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17"/>
      <c r="AK140" s="17"/>
      <c r="AL140" s="17"/>
      <c r="AM140" s="17"/>
      <c r="AN140" s="22"/>
      <c r="AO140" s="20"/>
      <c r="AP140" s="20"/>
      <c r="AQ140" s="20"/>
      <c r="AR140" s="20"/>
      <c r="AS140" s="20"/>
      <c r="AT140" s="20"/>
      <c r="AU140" s="21"/>
      <c r="AV140" s="21"/>
      <c r="AX140" s="23"/>
      <c r="AY140" s="23"/>
      <c r="AZ140" s="24"/>
      <c r="BA140" s="23"/>
      <c r="BB140" s="23"/>
      <c r="BC140" s="24"/>
    </row>
    <row r="141" spans="1:55" x14ac:dyDescent="0.2">
      <c r="A141" s="15">
        <v>44621</v>
      </c>
      <c r="B141" s="19"/>
      <c r="C141" s="19">
        <v>1.6</v>
      </c>
      <c r="D141" s="19"/>
      <c r="E141" s="19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R141" s="20"/>
      <c r="S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17"/>
      <c r="AK141" s="17"/>
      <c r="AL141" s="17"/>
      <c r="AM141" s="17"/>
      <c r="AN141" s="22"/>
      <c r="AO141" s="20"/>
      <c r="AP141" s="20"/>
      <c r="AQ141" s="20"/>
      <c r="AR141" s="20"/>
      <c r="AS141" s="20"/>
      <c r="AT141" s="20"/>
      <c r="AU141" s="21"/>
      <c r="AV141" s="21"/>
      <c r="AX141" s="23"/>
      <c r="AY141" s="23"/>
      <c r="AZ141" s="24"/>
      <c r="BA141" s="23"/>
      <c r="BB141" s="23"/>
      <c r="BC141" s="24"/>
    </row>
    <row r="142" spans="1:55" x14ac:dyDescent="0.2">
      <c r="A142" s="15">
        <v>44652</v>
      </c>
      <c r="B142" s="19"/>
      <c r="C142" s="19">
        <v>1.6</v>
      </c>
      <c r="D142" s="19"/>
      <c r="E142" s="19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R142" s="20"/>
      <c r="S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17"/>
      <c r="AK142" s="17"/>
      <c r="AL142" s="17"/>
      <c r="AM142" s="17"/>
      <c r="AN142" s="22"/>
      <c r="AO142" s="20"/>
      <c r="AP142" s="20"/>
      <c r="AQ142" s="20"/>
      <c r="AR142" s="20"/>
      <c r="AS142" s="20"/>
      <c r="AT142" s="20"/>
      <c r="AU142" s="21"/>
      <c r="AV142" s="21"/>
      <c r="AX142" s="23"/>
      <c r="AY142" s="23"/>
      <c r="AZ142" s="24"/>
      <c r="BA142" s="23"/>
      <c r="BB142" s="23"/>
      <c r="BC142" s="24"/>
    </row>
    <row r="143" spans="1:55" x14ac:dyDescent="0.2">
      <c r="A143" s="15">
        <v>44682</v>
      </c>
      <c r="B143" s="19"/>
      <c r="C143" s="19">
        <v>1.6</v>
      </c>
      <c r="D143" s="19"/>
      <c r="E143" s="19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R143" s="20"/>
      <c r="S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17"/>
      <c r="AK143" s="17"/>
      <c r="AL143" s="17"/>
      <c r="AM143" s="17"/>
      <c r="AN143" s="22"/>
      <c r="AO143" s="20"/>
      <c r="AP143" s="20"/>
      <c r="AQ143" s="20"/>
      <c r="AR143" s="20"/>
      <c r="AS143" s="20"/>
      <c r="AT143" s="20"/>
      <c r="AU143" s="21"/>
      <c r="AV143" s="21"/>
      <c r="AX143" s="23"/>
      <c r="AY143" s="23"/>
      <c r="AZ143" s="24"/>
      <c r="BA143" s="23"/>
      <c r="BB143" s="23"/>
      <c r="BC143" s="24"/>
    </row>
    <row r="144" spans="1:55" x14ac:dyDescent="0.2">
      <c r="A144" s="15">
        <v>44713</v>
      </c>
      <c r="B144" s="19"/>
      <c r="C144" s="19">
        <v>1.6</v>
      </c>
      <c r="D144" s="19"/>
      <c r="E144" s="19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17"/>
      <c r="AK144" s="17"/>
      <c r="AL144" s="17"/>
      <c r="AM144" s="17"/>
      <c r="AN144" s="22"/>
      <c r="AO144" s="20"/>
      <c r="AP144" s="20"/>
      <c r="AQ144" s="20"/>
      <c r="AR144" s="20"/>
      <c r="AS144" s="20"/>
      <c r="AT144" s="20"/>
      <c r="AU144" s="21"/>
      <c r="AV144" s="21"/>
      <c r="AX144" s="23"/>
      <c r="AY144" s="23"/>
      <c r="AZ144" s="24"/>
      <c r="BA144" s="23"/>
      <c r="BB144" s="23"/>
      <c r="BC144" s="24"/>
    </row>
    <row r="145" spans="1:55" x14ac:dyDescent="0.2">
      <c r="A145" s="15">
        <v>44743</v>
      </c>
      <c r="B145" s="19"/>
      <c r="C145" s="19">
        <v>1.6</v>
      </c>
      <c r="D145" s="19"/>
      <c r="E145" s="19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17"/>
      <c r="AK145" s="17"/>
      <c r="AL145" s="17"/>
      <c r="AM145" s="17"/>
      <c r="AN145" s="22"/>
      <c r="AO145" s="20"/>
      <c r="AP145" s="20"/>
      <c r="AQ145" s="20"/>
      <c r="AR145" s="20"/>
      <c r="AS145" s="20"/>
      <c r="AT145" s="20"/>
      <c r="AU145" s="21"/>
      <c r="AV145" s="21"/>
      <c r="AX145" s="23"/>
      <c r="AY145" s="23"/>
      <c r="AZ145" s="23"/>
      <c r="BA145" s="23"/>
      <c r="BB145" s="23"/>
      <c r="BC145" s="24"/>
    </row>
    <row r="146" spans="1:55" x14ac:dyDescent="0.2">
      <c r="A146" s="15">
        <v>44774</v>
      </c>
      <c r="B146" s="19"/>
      <c r="C146" s="19">
        <v>1.6</v>
      </c>
      <c r="D146" s="19"/>
      <c r="E146" s="19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17"/>
      <c r="AK146" s="17"/>
      <c r="AL146" s="17"/>
      <c r="AM146" s="17"/>
      <c r="AN146" s="22"/>
      <c r="AO146" s="20"/>
      <c r="AP146" s="20"/>
      <c r="AQ146" s="20"/>
      <c r="AR146" s="20"/>
      <c r="AS146" s="20"/>
      <c r="AT146" s="20"/>
      <c r="AU146" s="21"/>
      <c r="AV146" s="21"/>
      <c r="AX146" s="23"/>
      <c r="AY146" s="23"/>
      <c r="AZ146" s="23"/>
      <c r="BA146" s="23"/>
      <c r="BB146" s="23"/>
      <c r="BC146" s="24"/>
    </row>
    <row r="147" spans="1:55" x14ac:dyDescent="0.2">
      <c r="A147" s="15">
        <v>44805</v>
      </c>
      <c r="B147" s="19"/>
      <c r="C147" s="19">
        <v>1.6</v>
      </c>
      <c r="D147" s="19"/>
      <c r="E147" s="19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17"/>
      <c r="AK147" s="17"/>
      <c r="AL147" s="17"/>
      <c r="AM147" s="17"/>
      <c r="AN147" s="22"/>
      <c r="AO147" s="20"/>
      <c r="AP147" s="20"/>
      <c r="AQ147" s="20"/>
      <c r="AR147" s="20"/>
      <c r="AS147" s="20"/>
      <c r="AT147" s="20"/>
      <c r="AU147" s="21"/>
      <c r="AV147" s="21"/>
      <c r="AX147" s="23"/>
      <c r="AY147" s="23"/>
      <c r="AZ147" s="23"/>
      <c r="BA147" s="23"/>
      <c r="BB147" s="23"/>
      <c r="BC147" s="24"/>
    </row>
    <row r="148" spans="1:55" x14ac:dyDescent="0.2">
      <c r="A148" s="15">
        <v>44835</v>
      </c>
      <c r="B148" s="19"/>
      <c r="C148" s="19">
        <v>1.6</v>
      </c>
      <c r="D148" s="19"/>
      <c r="E148" s="19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17"/>
      <c r="AK148" s="17"/>
      <c r="AL148" s="17"/>
      <c r="AM148" s="17"/>
      <c r="AN148" s="22"/>
      <c r="AO148" s="20"/>
      <c r="AP148" s="20"/>
      <c r="AQ148" s="20"/>
      <c r="AR148" s="20"/>
      <c r="AS148" s="20"/>
      <c r="AT148" s="20"/>
      <c r="AU148" s="21"/>
      <c r="AV148" s="21"/>
      <c r="AX148" s="23"/>
      <c r="AY148" s="23"/>
      <c r="AZ148" s="23"/>
      <c r="BA148" s="23"/>
      <c r="BB148" s="23"/>
      <c r="BC148" s="24"/>
    </row>
    <row r="149" spans="1:55" x14ac:dyDescent="0.2">
      <c r="A149" s="15">
        <v>44866</v>
      </c>
      <c r="B149" s="19"/>
      <c r="C149" s="19">
        <v>1.6</v>
      </c>
      <c r="D149" s="19"/>
      <c r="E149" s="19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17"/>
      <c r="AK149" s="17"/>
      <c r="AL149" s="17"/>
      <c r="AM149" s="17"/>
      <c r="AN149" s="22"/>
      <c r="AO149" s="20"/>
      <c r="AP149" s="20"/>
      <c r="AQ149" s="20"/>
      <c r="AR149" s="20"/>
      <c r="AS149" s="20"/>
      <c r="AT149" s="20"/>
      <c r="AU149" s="21"/>
      <c r="AV149" s="21"/>
      <c r="AX149" s="23"/>
      <c r="AY149" s="23"/>
      <c r="AZ149" s="23"/>
      <c r="BA149" s="23"/>
      <c r="BB149" s="23"/>
      <c r="BC149" s="24"/>
    </row>
    <row r="150" spans="1:55" x14ac:dyDescent="0.2">
      <c r="A150" s="15">
        <v>44896</v>
      </c>
      <c r="B150" s="19"/>
      <c r="C150" s="19">
        <v>1.6</v>
      </c>
      <c r="D150" s="19"/>
      <c r="E150" s="19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17"/>
      <c r="AK150" s="17"/>
      <c r="AL150" s="17"/>
      <c r="AM150" s="17"/>
      <c r="AN150" s="22"/>
      <c r="AO150" s="20"/>
      <c r="AP150" s="20"/>
      <c r="AQ150" s="20"/>
      <c r="AR150" s="20"/>
      <c r="AS150" s="20"/>
      <c r="AT150" s="20"/>
      <c r="AU150" s="21"/>
      <c r="AV150" s="21"/>
      <c r="AX150" s="23"/>
      <c r="AY150" s="23"/>
      <c r="AZ150" s="23"/>
      <c r="BA150" s="23"/>
      <c r="BB150" s="23"/>
      <c r="BC150" s="24"/>
    </row>
    <row r="151" spans="1:55" x14ac:dyDescent="0.2">
      <c r="A151" s="15">
        <v>44927</v>
      </c>
      <c r="B151" s="19">
        <v>7.5</v>
      </c>
      <c r="C151" s="19">
        <v>1.6</v>
      </c>
      <c r="D151" s="19"/>
      <c r="E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17"/>
      <c r="AK151" s="17"/>
      <c r="AL151" s="17"/>
      <c r="AM151" s="17"/>
      <c r="AN151" s="22"/>
      <c r="AO151" s="20"/>
      <c r="AP151" s="20"/>
      <c r="AQ151" s="20"/>
      <c r="AR151" s="20"/>
      <c r="AS151" s="20"/>
      <c r="AT151" s="20"/>
      <c r="AU151" s="21"/>
      <c r="AV151" s="21"/>
      <c r="AX151" s="23"/>
      <c r="AY151" s="23"/>
      <c r="AZ151" s="23"/>
      <c r="BA151" s="23"/>
      <c r="BB151" s="23"/>
      <c r="BC151" s="24"/>
    </row>
    <row r="152" spans="1:55" x14ac:dyDescent="0.2">
      <c r="A152" s="15">
        <v>44958</v>
      </c>
      <c r="B152" s="19">
        <v>7.5</v>
      </c>
      <c r="C152" s="19">
        <v>1.6</v>
      </c>
      <c r="D152" s="19"/>
      <c r="E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17"/>
      <c r="AK152" s="17"/>
      <c r="AL152" s="17"/>
      <c r="AM152" s="17"/>
      <c r="AN152" s="22"/>
      <c r="AO152" s="20"/>
      <c r="AP152" s="20"/>
      <c r="AQ152" s="20"/>
      <c r="AR152" s="20"/>
      <c r="AS152" s="20"/>
      <c r="AT152" s="20"/>
      <c r="AU152" s="21"/>
      <c r="AV152" s="21"/>
      <c r="AX152" s="23"/>
      <c r="AY152" s="23"/>
      <c r="AZ152" s="23"/>
      <c r="BA152" s="23"/>
      <c r="BB152" s="23"/>
      <c r="BC152" s="24"/>
    </row>
    <row r="153" spans="1:55" x14ac:dyDescent="0.2">
      <c r="A153" s="15">
        <v>44986</v>
      </c>
      <c r="B153" s="19">
        <v>7.5</v>
      </c>
      <c r="C153" s="19">
        <v>1.6</v>
      </c>
      <c r="D153" s="19"/>
      <c r="E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17"/>
      <c r="AK153" s="17"/>
      <c r="AL153" s="17"/>
      <c r="AM153" s="17"/>
      <c r="AN153" s="22"/>
      <c r="AO153" s="20"/>
      <c r="AP153" s="20"/>
      <c r="AQ153" s="20"/>
      <c r="AR153" s="20"/>
      <c r="AS153" s="20"/>
      <c r="AT153" s="20"/>
      <c r="AU153" s="21"/>
      <c r="AV153" s="21"/>
      <c r="AX153" s="23"/>
      <c r="AY153" s="23"/>
      <c r="AZ153" s="23"/>
      <c r="BA153" s="23"/>
      <c r="BB153" s="23"/>
      <c r="BC153" s="24"/>
    </row>
    <row r="154" spans="1:55" x14ac:dyDescent="0.2">
      <c r="A154" s="15">
        <v>45017</v>
      </c>
      <c r="B154" s="19">
        <v>7.5</v>
      </c>
      <c r="C154" s="19">
        <v>1.6</v>
      </c>
      <c r="D154" s="19"/>
      <c r="E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17"/>
      <c r="AK154" s="17"/>
      <c r="AL154" s="17"/>
      <c r="AM154" s="17"/>
      <c r="AN154" s="22"/>
      <c r="AO154" s="20"/>
      <c r="AP154" s="20"/>
      <c r="AQ154" s="20"/>
      <c r="AR154" s="20"/>
      <c r="AS154" s="20"/>
      <c r="AT154" s="20"/>
      <c r="AU154" s="21"/>
      <c r="AV154" s="21"/>
      <c r="AX154" s="23"/>
      <c r="AY154" s="23"/>
      <c r="AZ154" s="23"/>
      <c r="BA154" s="23"/>
      <c r="BB154" s="23"/>
      <c r="BC154" s="24"/>
    </row>
    <row r="155" spans="1:55" x14ac:dyDescent="0.2">
      <c r="A155" s="15">
        <v>45047</v>
      </c>
      <c r="B155" s="19">
        <v>7.5</v>
      </c>
      <c r="C155" s="19">
        <v>1.6</v>
      </c>
      <c r="D155" s="19"/>
      <c r="E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17"/>
      <c r="AK155" s="17"/>
      <c r="AL155" s="17"/>
      <c r="AM155" s="17"/>
      <c r="AN155" s="22"/>
      <c r="AO155" s="20"/>
      <c r="AP155" s="20"/>
      <c r="AQ155" s="20"/>
      <c r="AR155" s="20"/>
      <c r="AS155" s="20"/>
      <c r="AT155" s="20"/>
      <c r="AU155" s="21"/>
      <c r="AV155" s="21"/>
      <c r="AX155" s="23"/>
      <c r="AY155" s="23"/>
      <c r="AZ155" s="23"/>
      <c r="BA155" s="23"/>
      <c r="BB155" s="23"/>
      <c r="BC155" s="24"/>
    </row>
    <row r="156" spans="1:55" x14ac:dyDescent="0.2">
      <c r="A156" s="15">
        <v>45078</v>
      </c>
      <c r="B156" s="19">
        <v>7.5</v>
      </c>
      <c r="C156" s="19">
        <v>1.6</v>
      </c>
      <c r="D156" s="19"/>
      <c r="E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17"/>
      <c r="AK156" s="17"/>
      <c r="AL156" s="17"/>
      <c r="AM156" s="17"/>
      <c r="AN156" s="22"/>
      <c r="AO156" s="20"/>
      <c r="AP156" s="20"/>
      <c r="AQ156" s="20"/>
      <c r="AR156" s="20"/>
      <c r="AS156" s="20"/>
      <c r="AT156" s="20"/>
      <c r="AU156" s="21"/>
      <c r="AV156" s="21"/>
      <c r="AX156" s="23"/>
      <c r="AY156" s="23"/>
      <c r="AZ156" s="23"/>
      <c r="BA156" s="23"/>
      <c r="BB156" s="23"/>
      <c r="BC156" s="24"/>
    </row>
    <row r="157" spans="1:55" x14ac:dyDescent="0.2">
      <c r="A157" s="15">
        <v>45108</v>
      </c>
      <c r="B157" s="19">
        <v>7.5</v>
      </c>
      <c r="C157" s="19">
        <v>1.6</v>
      </c>
      <c r="D157" s="19"/>
      <c r="E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17"/>
      <c r="AK157" s="17"/>
      <c r="AL157" s="17"/>
      <c r="AM157" s="17"/>
      <c r="AN157" s="22"/>
      <c r="AO157" s="20"/>
      <c r="AP157" s="20"/>
      <c r="AQ157" s="20"/>
      <c r="AR157" s="20"/>
      <c r="AS157" s="20"/>
      <c r="AT157" s="20"/>
      <c r="AU157" s="21"/>
      <c r="AV157" s="21"/>
      <c r="AX157" s="23"/>
      <c r="AY157" s="23"/>
      <c r="AZ157" s="23"/>
      <c r="BA157" s="23"/>
      <c r="BB157" s="23"/>
      <c r="BC157" s="24"/>
    </row>
    <row r="158" spans="1:55" x14ac:dyDescent="0.2">
      <c r="A158" s="15">
        <v>45139</v>
      </c>
      <c r="B158" s="19">
        <v>7.5</v>
      </c>
      <c r="C158" s="19">
        <v>1.6</v>
      </c>
      <c r="D158" s="19"/>
      <c r="E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17"/>
      <c r="AK158" s="17"/>
      <c r="AL158" s="17"/>
      <c r="AM158" s="17"/>
      <c r="AN158" s="22"/>
      <c r="AO158" s="20"/>
      <c r="AP158" s="20"/>
      <c r="AQ158" s="20"/>
      <c r="AR158" s="20"/>
      <c r="AS158" s="20"/>
      <c r="AT158" s="20"/>
      <c r="AU158" s="21"/>
      <c r="AV158" s="21"/>
      <c r="AX158" s="23"/>
      <c r="AY158" s="23"/>
      <c r="AZ158" s="23"/>
      <c r="BA158" s="23"/>
      <c r="BB158" s="23"/>
      <c r="BC158" s="24"/>
    </row>
    <row r="159" spans="1:55" x14ac:dyDescent="0.2">
      <c r="A159" s="15">
        <v>45170</v>
      </c>
      <c r="B159" s="19">
        <v>7.5</v>
      </c>
      <c r="C159" s="19">
        <v>1.6</v>
      </c>
      <c r="D159" s="19"/>
      <c r="E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17"/>
      <c r="AK159" s="17"/>
      <c r="AL159" s="17"/>
      <c r="AM159" s="17"/>
      <c r="AN159" s="22"/>
      <c r="AO159" s="20"/>
      <c r="AP159" s="20"/>
      <c r="AQ159" s="20"/>
      <c r="AR159" s="20"/>
      <c r="AS159" s="20"/>
      <c r="AT159" s="20"/>
      <c r="AU159" s="21"/>
      <c r="AV159" s="21"/>
      <c r="AX159" s="23"/>
      <c r="AY159" s="23"/>
      <c r="AZ159" s="23"/>
      <c r="BA159" s="23"/>
      <c r="BB159" s="23"/>
      <c r="BC159" s="24"/>
    </row>
    <row r="160" spans="1:55" x14ac:dyDescent="0.2">
      <c r="A160" s="15">
        <v>45200</v>
      </c>
      <c r="B160" s="19">
        <v>7.5</v>
      </c>
      <c r="C160" s="19">
        <v>1.6</v>
      </c>
      <c r="D160" s="19"/>
      <c r="E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17"/>
      <c r="AK160" s="17"/>
      <c r="AL160" s="17"/>
      <c r="AM160" s="17"/>
      <c r="AN160" s="22"/>
      <c r="AO160" s="20"/>
      <c r="AP160" s="20"/>
      <c r="AQ160" s="20"/>
      <c r="AR160" s="20"/>
      <c r="AS160" s="20"/>
      <c r="AT160" s="20"/>
      <c r="AU160" s="21"/>
      <c r="AV160" s="21"/>
      <c r="AX160" s="23"/>
      <c r="AY160" s="23"/>
      <c r="AZ160" s="23"/>
      <c r="BA160" s="23"/>
      <c r="BB160" s="23"/>
      <c r="BC160" s="24"/>
    </row>
    <row r="161" spans="1:55" x14ac:dyDescent="0.2">
      <c r="A161" s="15">
        <v>45231</v>
      </c>
      <c r="B161" s="19">
        <v>7.5</v>
      </c>
      <c r="C161" s="19">
        <v>1.6</v>
      </c>
      <c r="D161" s="19"/>
      <c r="E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17"/>
      <c r="AK161" s="17"/>
      <c r="AL161" s="17"/>
      <c r="AM161" s="17"/>
      <c r="AN161" s="22"/>
      <c r="AO161" s="20"/>
      <c r="AP161" s="20"/>
      <c r="AQ161" s="20"/>
      <c r="AR161" s="20"/>
      <c r="AS161" s="20"/>
      <c r="AT161" s="20"/>
      <c r="AU161" s="21"/>
      <c r="AV161" s="21"/>
      <c r="AX161" s="23"/>
      <c r="AY161" s="23"/>
      <c r="AZ161" s="23"/>
      <c r="BA161" s="23"/>
      <c r="BB161" s="23"/>
      <c r="BC161" s="24"/>
    </row>
    <row r="162" spans="1:55" x14ac:dyDescent="0.2">
      <c r="A162" s="15">
        <v>45261</v>
      </c>
      <c r="B162" s="19">
        <v>7.5</v>
      </c>
      <c r="C162" s="19">
        <v>1.6</v>
      </c>
      <c r="D162" s="19"/>
      <c r="E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17"/>
      <c r="AK162" s="17"/>
      <c r="AL162" s="17"/>
      <c r="AM162" s="17"/>
      <c r="AN162" s="22"/>
      <c r="AO162" s="20"/>
      <c r="AP162" s="20"/>
      <c r="AQ162" s="20"/>
      <c r="AR162" s="20"/>
      <c r="AS162" s="20"/>
      <c r="AT162" s="20"/>
      <c r="AU162" s="21"/>
      <c r="AV162" s="21"/>
      <c r="AX162" s="23"/>
      <c r="AY162" s="23"/>
      <c r="AZ162" s="23"/>
      <c r="BA162" s="23"/>
      <c r="BB162" s="23"/>
      <c r="BC162" s="24"/>
    </row>
    <row r="163" spans="1:55" x14ac:dyDescent="0.2">
      <c r="A163" s="15">
        <v>45292</v>
      </c>
      <c r="B163" s="19">
        <v>7.5</v>
      </c>
      <c r="C163" s="19">
        <v>1.6</v>
      </c>
      <c r="D163" s="19"/>
      <c r="E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17"/>
      <c r="AK163" s="17"/>
      <c r="AL163" s="17"/>
      <c r="AM163" s="17"/>
      <c r="AN163" s="22"/>
      <c r="AO163" s="20"/>
      <c r="AP163" s="20"/>
      <c r="AQ163" s="20"/>
      <c r="AR163" s="20"/>
      <c r="AS163" s="20"/>
      <c r="AT163" s="20"/>
      <c r="AU163" s="21"/>
      <c r="AV163" s="21"/>
      <c r="AX163" s="23"/>
      <c r="AY163" s="23"/>
      <c r="AZ163" s="23"/>
      <c r="BA163" s="23"/>
      <c r="BB163" s="23"/>
      <c r="BC163" s="24"/>
    </row>
    <row r="164" spans="1:55" x14ac:dyDescent="0.2">
      <c r="A164" s="15">
        <v>45323</v>
      </c>
      <c r="B164" s="19">
        <v>7.5</v>
      </c>
      <c r="C164" s="19">
        <v>1.6</v>
      </c>
      <c r="D164" s="19"/>
      <c r="E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17"/>
      <c r="AK164" s="17"/>
      <c r="AL164" s="17"/>
      <c r="AM164" s="17"/>
      <c r="AN164" s="22"/>
      <c r="AO164" s="20"/>
      <c r="AP164" s="20"/>
      <c r="AQ164" s="20"/>
      <c r="AR164" s="20"/>
      <c r="AS164" s="20"/>
      <c r="AT164" s="20"/>
      <c r="AU164" s="21"/>
      <c r="AV164" s="21"/>
      <c r="AX164" s="23"/>
      <c r="AY164" s="23"/>
      <c r="AZ164" s="23"/>
      <c r="BA164" s="23"/>
      <c r="BB164" s="23"/>
      <c r="BC164" s="24"/>
    </row>
    <row r="165" spans="1:55" x14ac:dyDescent="0.2">
      <c r="A165" s="15">
        <v>45352</v>
      </c>
      <c r="B165" s="19">
        <v>7.5</v>
      </c>
      <c r="C165" s="19">
        <v>1.6</v>
      </c>
      <c r="D165" s="19"/>
      <c r="E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17"/>
      <c r="AK165" s="17"/>
      <c r="AL165" s="17"/>
      <c r="AM165" s="17"/>
      <c r="AN165" s="22"/>
      <c r="AO165" s="20"/>
      <c r="AP165" s="20"/>
      <c r="AQ165" s="20"/>
      <c r="AR165" s="20"/>
      <c r="AS165" s="20"/>
      <c r="AT165" s="20"/>
      <c r="AU165" s="21"/>
      <c r="AV165" s="21"/>
      <c r="AX165" s="23"/>
      <c r="AY165" s="23"/>
      <c r="AZ165" s="23"/>
      <c r="BA165" s="23"/>
      <c r="BB165" s="23"/>
      <c r="BC165" s="24"/>
    </row>
    <row r="166" spans="1:55" x14ac:dyDescent="0.2">
      <c r="A166" s="15">
        <v>45383</v>
      </c>
      <c r="B166" s="19">
        <v>7.5</v>
      </c>
      <c r="C166" s="19">
        <v>1.6</v>
      </c>
      <c r="D166" s="19"/>
      <c r="E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17"/>
      <c r="AK166" s="17"/>
      <c r="AL166" s="17"/>
      <c r="AM166" s="17"/>
      <c r="AN166" s="22"/>
      <c r="AO166" s="20"/>
      <c r="AP166" s="20"/>
      <c r="AQ166" s="20"/>
      <c r="AR166" s="20"/>
      <c r="AS166" s="20"/>
      <c r="AT166" s="20"/>
      <c r="AU166" s="21"/>
      <c r="AV166" s="21"/>
      <c r="AX166" s="23"/>
      <c r="AY166" s="23"/>
      <c r="AZ166" s="23"/>
      <c r="BA166" s="23"/>
      <c r="BB166" s="23"/>
      <c r="BC166" s="24"/>
    </row>
    <row r="167" spans="1:55" x14ac:dyDescent="0.2">
      <c r="A167" s="15">
        <v>45413</v>
      </c>
      <c r="B167" s="19">
        <v>7.5</v>
      </c>
      <c r="C167" s="19">
        <v>1.6</v>
      </c>
      <c r="D167" s="19"/>
      <c r="E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17"/>
      <c r="AK167" s="17"/>
      <c r="AL167" s="17"/>
      <c r="AM167" s="17"/>
      <c r="AN167" s="22"/>
      <c r="AO167" s="20"/>
      <c r="AP167" s="20"/>
      <c r="AQ167" s="20"/>
      <c r="AR167" s="20"/>
      <c r="AS167" s="20"/>
      <c r="AT167" s="20"/>
      <c r="AU167" s="21"/>
      <c r="AV167" s="21"/>
      <c r="AX167" s="23"/>
      <c r="AY167" s="23"/>
      <c r="AZ167" s="23"/>
      <c r="BA167" s="23"/>
      <c r="BB167" s="23"/>
      <c r="BC167" s="24"/>
    </row>
    <row r="168" spans="1:55" x14ac:dyDescent="0.2">
      <c r="A168" s="15">
        <v>45444</v>
      </c>
      <c r="B168" s="19">
        <v>7.5</v>
      </c>
      <c r="C168" s="19">
        <v>1.6</v>
      </c>
      <c r="D168" s="19"/>
      <c r="E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17"/>
      <c r="AK168" s="17"/>
      <c r="AL168" s="17"/>
      <c r="AM168" s="17"/>
      <c r="AN168" s="22"/>
      <c r="AO168" s="20"/>
      <c r="AP168" s="20"/>
      <c r="AQ168" s="20"/>
      <c r="AR168" s="20"/>
      <c r="AS168" s="20"/>
      <c r="AT168" s="20"/>
      <c r="AU168" s="21"/>
      <c r="AV168" s="21"/>
      <c r="AX168" s="23"/>
      <c r="AY168" s="23"/>
      <c r="AZ168" s="23"/>
      <c r="BA168" s="23"/>
      <c r="BB168" s="23"/>
      <c r="BC168" s="24"/>
    </row>
    <row r="169" spans="1:55" x14ac:dyDescent="0.2">
      <c r="A169" s="15">
        <v>45474</v>
      </c>
      <c r="B169" s="19">
        <v>7.5</v>
      </c>
      <c r="C169" s="19">
        <v>1.6</v>
      </c>
      <c r="D169" s="19"/>
      <c r="E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17"/>
      <c r="AK169" s="17"/>
      <c r="AL169" s="17"/>
      <c r="AM169" s="17"/>
      <c r="AN169" s="22"/>
      <c r="AO169" s="20"/>
      <c r="AP169" s="20"/>
      <c r="AQ169" s="20"/>
      <c r="AR169" s="20"/>
      <c r="AS169" s="20"/>
      <c r="AT169" s="20"/>
      <c r="AU169" s="21"/>
      <c r="AV169" s="21"/>
      <c r="AX169" s="23"/>
      <c r="AY169" s="23"/>
      <c r="AZ169" s="23"/>
      <c r="BA169" s="23"/>
      <c r="BB169" s="23"/>
      <c r="BC169" s="24"/>
    </row>
    <row r="170" spans="1:55" x14ac:dyDescent="0.2">
      <c r="A170" s="15">
        <v>45505</v>
      </c>
      <c r="B170" s="19">
        <v>7.5</v>
      </c>
      <c r="C170" s="19">
        <v>1.6</v>
      </c>
      <c r="D170" s="19"/>
      <c r="E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17"/>
      <c r="AK170" s="17"/>
      <c r="AL170" s="17"/>
      <c r="AM170" s="17"/>
      <c r="AN170" s="22"/>
      <c r="AO170" s="20"/>
      <c r="AP170" s="20"/>
      <c r="AQ170" s="20"/>
      <c r="AR170" s="20"/>
      <c r="AS170" s="20"/>
      <c r="AT170" s="20"/>
      <c r="AU170" s="21"/>
      <c r="AV170" s="21"/>
      <c r="AX170" s="23"/>
      <c r="AY170" s="23"/>
      <c r="AZ170" s="23"/>
      <c r="BA170" s="23"/>
      <c r="BB170" s="23"/>
      <c r="BC170" s="24"/>
    </row>
    <row r="171" spans="1:55" x14ac:dyDescent="0.2">
      <c r="A171" s="15">
        <v>45536</v>
      </c>
      <c r="B171" s="19">
        <v>7.5</v>
      </c>
      <c r="C171" s="19">
        <v>1.6</v>
      </c>
      <c r="D171" s="19"/>
      <c r="E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17"/>
      <c r="AK171" s="17"/>
      <c r="AL171" s="17"/>
      <c r="AM171" s="17"/>
      <c r="AN171" s="22"/>
      <c r="AO171" s="20"/>
      <c r="AP171" s="20"/>
      <c r="AQ171" s="20"/>
      <c r="AR171" s="20"/>
      <c r="AS171" s="20"/>
      <c r="AT171" s="20"/>
      <c r="AU171" s="21"/>
      <c r="AV171" s="21"/>
      <c r="AX171" s="23"/>
      <c r="AY171" s="23"/>
      <c r="AZ171" s="23"/>
      <c r="BA171" s="23"/>
      <c r="BB171" s="23"/>
      <c r="BC171" s="24"/>
    </row>
    <row r="172" spans="1:55" x14ac:dyDescent="0.2">
      <c r="A172" s="15">
        <v>45566</v>
      </c>
      <c r="B172" s="19">
        <v>7.5</v>
      </c>
      <c r="C172" s="19">
        <v>1.6</v>
      </c>
      <c r="D172" s="19"/>
      <c r="E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J172" s="17"/>
      <c r="AK172" s="17"/>
      <c r="AL172" s="17"/>
      <c r="AM172" s="17"/>
      <c r="AN172" s="22"/>
    </row>
    <row r="173" spans="1:55" x14ac:dyDescent="0.2">
      <c r="A173" s="15">
        <v>45597</v>
      </c>
      <c r="B173" s="19">
        <v>7.5</v>
      </c>
      <c r="C173" s="19">
        <v>1.6</v>
      </c>
      <c r="D173" s="19"/>
      <c r="E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J173" s="17"/>
      <c r="AK173" s="17"/>
      <c r="AL173" s="17"/>
      <c r="AM173" s="17"/>
      <c r="AN173" s="22"/>
    </row>
    <row r="174" spans="1:55" x14ac:dyDescent="0.2">
      <c r="A174" s="15">
        <v>45627</v>
      </c>
      <c r="B174" s="19">
        <v>7.5</v>
      </c>
      <c r="C174" s="19">
        <v>1.6</v>
      </c>
      <c r="D174" s="19"/>
      <c r="E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J174" s="17"/>
      <c r="AK174" s="17"/>
      <c r="AL174" s="17"/>
      <c r="AM174" s="17"/>
      <c r="AN174" s="22"/>
    </row>
    <row r="175" spans="1:55" x14ac:dyDescent="0.2">
      <c r="A175" s="15">
        <v>45658</v>
      </c>
      <c r="B175" s="19">
        <v>7.5</v>
      </c>
      <c r="C175" s="19">
        <v>1.6</v>
      </c>
      <c r="D175" s="19"/>
      <c r="E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J175" s="17"/>
      <c r="AK175" s="17"/>
      <c r="AL175" s="17"/>
      <c r="AM175" s="17"/>
      <c r="AN175" s="22"/>
    </row>
    <row r="176" spans="1:55" x14ac:dyDescent="0.2">
      <c r="A176" s="15">
        <v>45689</v>
      </c>
      <c r="B176" s="19">
        <v>7.5</v>
      </c>
      <c r="C176" s="19">
        <v>1.6</v>
      </c>
      <c r="D176" s="19"/>
      <c r="E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J176" s="17"/>
      <c r="AK176" s="17"/>
      <c r="AL176" s="17"/>
      <c r="AM176" s="17"/>
      <c r="AN176" s="22"/>
    </row>
    <row r="177" spans="1:40" x14ac:dyDescent="0.2">
      <c r="A177" s="15">
        <v>45717</v>
      </c>
      <c r="B177" s="19">
        <v>7.5</v>
      </c>
      <c r="C177" s="19">
        <v>1.6</v>
      </c>
      <c r="D177" s="19"/>
      <c r="E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J177" s="17"/>
      <c r="AK177" s="17"/>
      <c r="AL177" s="17"/>
      <c r="AM177" s="17"/>
      <c r="AN177" s="22"/>
    </row>
    <row r="178" spans="1:40" x14ac:dyDescent="0.2">
      <c r="A178" s="15">
        <v>45748</v>
      </c>
      <c r="B178" s="19">
        <v>7.5</v>
      </c>
      <c r="C178" s="19">
        <v>1.6</v>
      </c>
      <c r="D178" s="19"/>
      <c r="E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J178" s="17"/>
      <c r="AK178" s="17"/>
      <c r="AL178" s="17"/>
      <c r="AM178" s="17"/>
      <c r="AN178" s="22"/>
    </row>
    <row r="179" spans="1:40" x14ac:dyDescent="0.2">
      <c r="A179" s="15">
        <v>45778</v>
      </c>
      <c r="B179" s="19">
        <v>7.5</v>
      </c>
      <c r="C179" s="19">
        <v>1.6</v>
      </c>
      <c r="D179" s="19"/>
      <c r="E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J179" s="17"/>
      <c r="AK179" s="17"/>
      <c r="AL179" s="17"/>
      <c r="AM179" s="17"/>
      <c r="AN179" s="22"/>
    </row>
    <row r="180" spans="1:40" x14ac:dyDescent="0.2">
      <c r="A180" s="15">
        <v>45809</v>
      </c>
      <c r="B180" s="19">
        <v>7.5</v>
      </c>
      <c r="C180" s="19">
        <v>1.6</v>
      </c>
      <c r="D180" s="19"/>
      <c r="E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J180" s="17"/>
      <c r="AK180" s="17"/>
      <c r="AL180" s="17"/>
      <c r="AM180" s="17"/>
      <c r="AN180" s="22"/>
    </row>
    <row r="181" spans="1:40" x14ac:dyDescent="0.2">
      <c r="A181" s="15">
        <v>45839</v>
      </c>
      <c r="B181" s="19">
        <v>7.5</v>
      </c>
      <c r="C181" s="19">
        <v>1.6</v>
      </c>
      <c r="D181" s="19"/>
      <c r="E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J181" s="17"/>
      <c r="AK181" s="17"/>
      <c r="AL181" s="17"/>
      <c r="AM181" s="17"/>
      <c r="AN181" s="22"/>
    </row>
    <row r="182" spans="1:40" x14ac:dyDescent="0.2">
      <c r="A182" s="15">
        <v>45870</v>
      </c>
      <c r="B182" s="19">
        <v>7.5</v>
      </c>
      <c r="C182" s="19">
        <v>1.6</v>
      </c>
      <c r="D182" s="19"/>
      <c r="E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J182" s="17"/>
      <c r="AK182" s="17"/>
      <c r="AL182" s="17"/>
      <c r="AM182" s="17"/>
      <c r="AN182" s="22"/>
    </row>
    <row r="183" spans="1:40" x14ac:dyDescent="0.2">
      <c r="A183" s="15">
        <v>45901</v>
      </c>
      <c r="B183" s="19">
        <v>7.5</v>
      </c>
      <c r="C183" s="19">
        <v>1.6</v>
      </c>
      <c r="D183" s="19"/>
      <c r="E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J183" s="17"/>
      <c r="AK183" s="17"/>
      <c r="AL183" s="17"/>
      <c r="AM183" s="17"/>
      <c r="AN183" s="22"/>
    </row>
    <row r="184" spans="1:40" x14ac:dyDescent="0.2">
      <c r="A184" s="15">
        <v>45931</v>
      </c>
      <c r="B184" s="19">
        <v>7.5</v>
      </c>
      <c r="C184" s="19">
        <v>1.6</v>
      </c>
      <c r="D184" s="19"/>
      <c r="E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J184" s="17"/>
      <c r="AK184" s="17"/>
      <c r="AL184" s="17"/>
      <c r="AM184" s="17"/>
      <c r="AN184" s="22"/>
    </row>
    <row r="185" spans="1:40" x14ac:dyDescent="0.2">
      <c r="A185" s="15">
        <v>45962</v>
      </c>
      <c r="B185" s="19">
        <v>7.5</v>
      </c>
      <c r="C185" s="19">
        <v>1.6</v>
      </c>
      <c r="D185" s="19"/>
      <c r="E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J185" s="17"/>
      <c r="AK185" s="17"/>
      <c r="AL185" s="17"/>
      <c r="AM185" s="17"/>
      <c r="AN185" s="22"/>
    </row>
    <row r="186" spans="1:40" x14ac:dyDescent="0.2">
      <c r="A186" s="15">
        <v>45992</v>
      </c>
      <c r="B186" s="19">
        <v>7.5</v>
      </c>
      <c r="C186" s="19">
        <v>1.6</v>
      </c>
      <c r="D186" s="19"/>
      <c r="E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J186" s="17"/>
      <c r="AK186" s="17"/>
      <c r="AL186" s="17"/>
      <c r="AM186" s="17"/>
      <c r="AN186" s="22"/>
    </row>
    <row r="187" spans="1:40" x14ac:dyDescent="0.2">
      <c r="A187" s="15">
        <v>46023</v>
      </c>
      <c r="B187" s="19">
        <v>7.5</v>
      </c>
      <c r="C187" s="19">
        <v>1.6</v>
      </c>
      <c r="D187" s="19"/>
      <c r="E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J187" s="17"/>
      <c r="AK187" s="17"/>
      <c r="AL187" s="17"/>
      <c r="AM187" s="17"/>
      <c r="AN187" s="22"/>
    </row>
    <row r="188" spans="1:40" x14ac:dyDescent="0.2">
      <c r="A188" s="15">
        <v>46054</v>
      </c>
      <c r="B188" s="19">
        <v>7.5</v>
      </c>
      <c r="C188" s="19">
        <v>1.6</v>
      </c>
      <c r="D188" s="19"/>
      <c r="E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J188" s="17"/>
      <c r="AK188" s="17"/>
      <c r="AL188" s="17"/>
      <c r="AM188" s="17"/>
      <c r="AN188" s="22"/>
    </row>
    <row r="189" spans="1:40" x14ac:dyDescent="0.2">
      <c r="A189" s="15">
        <v>46082</v>
      </c>
      <c r="B189" s="19">
        <v>7.5</v>
      </c>
      <c r="C189" s="19">
        <v>1.6</v>
      </c>
      <c r="D189" s="19"/>
      <c r="E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J189" s="17"/>
      <c r="AK189" s="17"/>
      <c r="AL189" s="17"/>
      <c r="AM189" s="17"/>
      <c r="AN189" s="22"/>
    </row>
    <row r="190" spans="1:40" x14ac:dyDescent="0.2">
      <c r="A190" s="15">
        <v>46113</v>
      </c>
      <c r="B190" s="19">
        <v>7.5</v>
      </c>
      <c r="C190" s="19">
        <v>1.6</v>
      </c>
      <c r="D190" s="19"/>
      <c r="E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J190" s="17"/>
      <c r="AK190" s="17"/>
      <c r="AL190" s="17"/>
      <c r="AM190" s="17"/>
      <c r="AN190" s="22"/>
    </row>
    <row r="191" spans="1:40" x14ac:dyDescent="0.2">
      <c r="A191" s="15">
        <v>46143</v>
      </c>
      <c r="B191" s="19">
        <v>7.5</v>
      </c>
      <c r="C191" s="19">
        <v>1.6</v>
      </c>
      <c r="D191" s="19"/>
      <c r="E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J191" s="17"/>
      <c r="AK191" s="17"/>
      <c r="AL191" s="17"/>
      <c r="AM191" s="17"/>
      <c r="AN191" s="22"/>
    </row>
    <row r="192" spans="1:40" x14ac:dyDescent="0.2">
      <c r="A192" s="15">
        <v>46174</v>
      </c>
      <c r="B192" s="19">
        <v>7.5</v>
      </c>
      <c r="C192" s="19">
        <v>1.6</v>
      </c>
      <c r="D192" s="19"/>
      <c r="E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J192" s="17"/>
      <c r="AK192" s="17"/>
      <c r="AL192" s="17"/>
      <c r="AM192" s="17"/>
      <c r="AN192" s="22"/>
    </row>
    <row r="193" spans="1:40" x14ac:dyDescent="0.2">
      <c r="A193" s="15">
        <v>46204</v>
      </c>
      <c r="B193" s="19">
        <v>7.5</v>
      </c>
      <c r="C193" s="19">
        <v>1.6</v>
      </c>
      <c r="D193" s="19"/>
      <c r="E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J193" s="17"/>
      <c r="AK193" s="17"/>
      <c r="AL193" s="17"/>
      <c r="AM193" s="17"/>
      <c r="AN193" s="22"/>
    </row>
    <row r="194" spans="1:40" x14ac:dyDescent="0.2">
      <c r="A194" s="15">
        <v>46235</v>
      </c>
      <c r="B194" s="19">
        <v>7.5</v>
      </c>
      <c r="C194" s="19">
        <v>1.6</v>
      </c>
      <c r="D194" s="19"/>
      <c r="E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J194" s="17"/>
      <c r="AK194" s="17"/>
      <c r="AL194" s="17"/>
      <c r="AM194" s="17"/>
      <c r="AN194" s="22"/>
    </row>
    <row r="195" spans="1:40" x14ac:dyDescent="0.2">
      <c r="A195" s="15">
        <v>46266</v>
      </c>
      <c r="B195" s="19">
        <v>7.5</v>
      </c>
      <c r="C195" s="19">
        <v>1.6</v>
      </c>
      <c r="D195" s="19"/>
      <c r="E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J195" s="17"/>
      <c r="AK195" s="17"/>
      <c r="AL195" s="17"/>
      <c r="AM195" s="17"/>
      <c r="AN195" s="22"/>
    </row>
    <row r="196" spans="1:40" x14ac:dyDescent="0.2">
      <c r="A196" s="15">
        <v>46296</v>
      </c>
      <c r="B196" s="19">
        <v>7.5</v>
      </c>
      <c r="C196" s="19">
        <v>1.6</v>
      </c>
      <c r="D196" s="19"/>
      <c r="E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J196" s="17"/>
      <c r="AK196" s="17"/>
      <c r="AL196" s="17"/>
      <c r="AM196" s="17"/>
      <c r="AN196" s="22"/>
    </row>
    <row r="197" spans="1:40" x14ac:dyDescent="0.2">
      <c r="A197" s="15">
        <v>46327</v>
      </c>
      <c r="B197" s="19">
        <v>7.5</v>
      </c>
      <c r="C197" s="19">
        <v>1.6</v>
      </c>
      <c r="D197" s="19"/>
      <c r="E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J197" s="17"/>
      <c r="AK197" s="17"/>
      <c r="AL197" s="17"/>
      <c r="AM197" s="17"/>
      <c r="AN197" s="22"/>
    </row>
    <row r="198" spans="1:40" x14ac:dyDescent="0.2">
      <c r="A198" s="15">
        <v>46357</v>
      </c>
      <c r="B198" s="19">
        <v>7.5</v>
      </c>
      <c r="C198" s="19">
        <v>1.6</v>
      </c>
      <c r="D198" s="19"/>
      <c r="E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J198" s="17"/>
      <c r="AK198" s="17"/>
      <c r="AL198" s="17"/>
      <c r="AM198" s="17"/>
      <c r="AN198" s="22"/>
    </row>
    <row r="199" spans="1:40" x14ac:dyDescent="0.2">
      <c r="A199" s="15">
        <v>46388</v>
      </c>
      <c r="B199" s="19">
        <v>7.5</v>
      </c>
      <c r="C199" s="19">
        <v>1.6</v>
      </c>
      <c r="D199" s="19"/>
      <c r="E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J199" s="17"/>
      <c r="AK199" s="17"/>
      <c r="AL199" s="17"/>
      <c r="AM199" s="17"/>
      <c r="AN199" s="22"/>
    </row>
    <row r="200" spans="1:40" x14ac:dyDescent="0.2">
      <c r="A200" s="15">
        <v>46419</v>
      </c>
      <c r="B200" s="19">
        <v>7.5</v>
      </c>
      <c r="C200" s="19">
        <v>1.6</v>
      </c>
      <c r="D200" s="19"/>
      <c r="E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J200" s="17"/>
      <c r="AK200" s="17"/>
      <c r="AL200" s="17"/>
      <c r="AM200" s="17"/>
      <c r="AN200" s="22"/>
    </row>
    <row r="201" spans="1:40" x14ac:dyDescent="0.2">
      <c r="A201" s="15">
        <v>46447</v>
      </c>
      <c r="B201" s="19">
        <v>7.5</v>
      </c>
      <c r="C201" s="19">
        <v>1.6</v>
      </c>
      <c r="D201" s="19"/>
      <c r="E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J201" s="17"/>
      <c r="AK201" s="17"/>
      <c r="AL201" s="17"/>
      <c r="AM201" s="17"/>
      <c r="AN201" s="22"/>
    </row>
    <row r="202" spans="1:40" x14ac:dyDescent="0.2">
      <c r="A202" s="15">
        <v>46478</v>
      </c>
      <c r="B202" s="19">
        <v>7.5</v>
      </c>
      <c r="C202" s="19">
        <v>1.6</v>
      </c>
      <c r="D202" s="19"/>
      <c r="E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J202" s="17"/>
      <c r="AK202" s="17"/>
      <c r="AL202" s="17"/>
      <c r="AM202" s="17"/>
      <c r="AN202" s="22"/>
    </row>
    <row r="203" spans="1:40" x14ac:dyDescent="0.2">
      <c r="A203" s="15">
        <v>46508</v>
      </c>
      <c r="B203" s="19">
        <v>7.5</v>
      </c>
      <c r="C203" s="19">
        <v>1.6</v>
      </c>
      <c r="D203" s="19"/>
      <c r="E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J203" s="17"/>
      <c r="AK203" s="17"/>
      <c r="AL203" s="17"/>
      <c r="AM203" s="17"/>
      <c r="AN203" s="22"/>
    </row>
    <row r="204" spans="1:40" x14ac:dyDescent="0.2">
      <c r="A204" s="15">
        <v>46539</v>
      </c>
      <c r="B204" s="19">
        <v>7.5</v>
      </c>
      <c r="C204" s="19">
        <v>1.6</v>
      </c>
      <c r="D204" s="19"/>
      <c r="E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J204" s="17"/>
      <c r="AK204" s="17"/>
      <c r="AL204" s="17"/>
      <c r="AM204" s="17"/>
      <c r="AN204" s="22"/>
    </row>
    <row r="205" spans="1:40" x14ac:dyDescent="0.2">
      <c r="A205" s="15">
        <v>46569</v>
      </c>
      <c r="B205" s="19">
        <v>7.5</v>
      </c>
      <c r="C205" s="19">
        <v>1.6</v>
      </c>
      <c r="D205" s="19"/>
      <c r="E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J205" s="17"/>
      <c r="AK205" s="17"/>
      <c r="AL205" s="17"/>
      <c r="AM205" s="17"/>
      <c r="AN205" s="22"/>
    </row>
    <row r="206" spans="1:40" x14ac:dyDescent="0.2">
      <c r="A206" s="15">
        <v>46600</v>
      </c>
      <c r="B206" s="19">
        <v>7.5</v>
      </c>
      <c r="C206" s="19">
        <v>1.6</v>
      </c>
      <c r="D206" s="19"/>
      <c r="E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J206" s="17"/>
      <c r="AK206" s="17"/>
      <c r="AL206" s="17"/>
      <c r="AM206" s="17"/>
      <c r="AN206" s="22"/>
    </row>
    <row r="207" spans="1:40" x14ac:dyDescent="0.2">
      <c r="A207" s="15">
        <v>46631</v>
      </c>
      <c r="B207" s="19">
        <v>7.5</v>
      </c>
      <c r="C207" s="19">
        <v>1.6</v>
      </c>
      <c r="D207" s="19"/>
      <c r="E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J207" s="17"/>
      <c r="AK207" s="17"/>
      <c r="AL207" s="17"/>
      <c r="AM207" s="17"/>
      <c r="AN207" s="22"/>
    </row>
    <row r="208" spans="1:40" x14ac:dyDescent="0.2">
      <c r="A208" s="15">
        <v>46661</v>
      </c>
      <c r="B208" s="19">
        <v>7.5</v>
      </c>
      <c r="C208" s="19">
        <v>1.6</v>
      </c>
      <c r="D208" s="19"/>
      <c r="E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J208" s="17"/>
      <c r="AK208" s="17"/>
      <c r="AL208" s="17"/>
      <c r="AM208" s="17"/>
      <c r="AN208" s="22"/>
    </row>
    <row r="209" spans="1:40" x14ac:dyDescent="0.2">
      <c r="A209" s="15">
        <v>46692</v>
      </c>
      <c r="B209" s="19">
        <v>7.5</v>
      </c>
      <c r="C209" s="19">
        <v>1.6</v>
      </c>
      <c r="D209" s="19"/>
      <c r="E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J209" s="17"/>
      <c r="AK209" s="17"/>
      <c r="AL209" s="17"/>
      <c r="AM209" s="17"/>
      <c r="AN209" s="22"/>
    </row>
    <row r="210" spans="1:40" x14ac:dyDescent="0.2">
      <c r="A210" s="15">
        <v>46722</v>
      </c>
      <c r="B210" s="19">
        <v>7.5</v>
      </c>
      <c r="C210" s="19">
        <v>1.6</v>
      </c>
      <c r="D210" s="19"/>
      <c r="E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J210" s="17"/>
      <c r="AK210" s="17"/>
      <c r="AL210" s="17"/>
      <c r="AM210" s="17"/>
      <c r="AN210" s="22"/>
    </row>
    <row r="211" spans="1:40" x14ac:dyDescent="0.2">
      <c r="A211" s="15">
        <v>46753</v>
      </c>
      <c r="B211" s="19">
        <v>7.5</v>
      </c>
      <c r="C211" s="19">
        <v>1.6</v>
      </c>
      <c r="D211" s="19"/>
      <c r="E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J211" s="17"/>
      <c r="AK211" s="17"/>
      <c r="AL211" s="17"/>
      <c r="AM211" s="17"/>
      <c r="AN211" s="22"/>
    </row>
    <row r="212" spans="1:40" x14ac:dyDescent="0.2">
      <c r="A212" s="15">
        <v>46784</v>
      </c>
      <c r="B212" s="19">
        <v>7.5</v>
      </c>
      <c r="C212" s="19">
        <v>1.6</v>
      </c>
      <c r="D212" s="19"/>
      <c r="E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J212" s="17"/>
      <c r="AK212" s="17"/>
      <c r="AL212" s="17"/>
      <c r="AM212" s="17"/>
      <c r="AN212" s="22"/>
    </row>
    <row r="213" spans="1:40" x14ac:dyDescent="0.2">
      <c r="A213" s="15">
        <v>46813</v>
      </c>
      <c r="B213" s="19">
        <v>7.5</v>
      </c>
      <c r="C213" s="19">
        <v>1.6</v>
      </c>
      <c r="D213" s="19"/>
      <c r="E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J213" s="17"/>
      <c r="AK213" s="17"/>
      <c r="AL213" s="17"/>
      <c r="AM213" s="17"/>
      <c r="AN213" s="22"/>
    </row>
    <row r="214" spans="1:40" x14ac:dyDescent="0.2">
      <c r="A214" s="15">
        <v>46844</v>
      </c>
      <c r="B214" s="19">
        <v>7.5</v>
      </c>
      <c r="C214" s="19">
        <v>1.6</v>
      </c>
      <c r="D214" s="19"/>
      <c r="E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J214" s="17"/>
      <c r="AK214" s="17"/>
      <c r="AL214" s="17"/>
      <c r="AM214" s="17"/>
      <c r="AN214" s="22"/>
    </row>
    <row r="215" spans="1:40" x14ac:dyDescent="0.2">
      <c r="A215" s="15">
        <v>46874</v>
      </c>
      <c r="B215" s="19">
        <v>7.5</v>
      </c>
      <c r="C215" s="19">
        <v>1.6</v>
      </c>
      <c r="D215" s="19"/>
      <c r="E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J215" s="17"/>
      <c r="AK215" s="17"/>
      <c r="AL215" s="17"/>
      <c r="AM215" s="17"/>
      <c r="AN215" s="22"/>
    </row>
    <row r="216" spans="1:40" x14ac:dyDescent="0.2">
      <c r="A216" s="15">
        <v>46905</v>
      </c>
      <c r="B216" s="19">
        <v>7.5</v>
      </c>
      <c r="C216" s="19">
        <v>1.6</v>
      </c>
      <c r="D216" s="19"/>
      <c r="E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J216" s="17"/>
      <c r="AK216" s="17"/>
      <c r="AL216" s="17"/>
      <c r="AM216" s="17"/>
      <c r="AN216" s="22"/>
    </row>
    <row r="217" spans="1:40" x14ac:dyDescent="0.2">
      <c r="A217" s="15">
        <v>46935</v>
      </c>
      <c r="B217" s="19">
        <v>7.5</v>
      </c>
      <c r="C217" s="19">
        <v>1.6</v>
      </c>
      <c r="D217" s="19"/>
      <c r="E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J217" s="17"/>
      <c r="AK217" s="17"/>
      <c r="AL217" s="17"/>
      <c r="AM217" s="17"/>
      <c r="AN217" s="22"/>
    </row>
    <row r="218" spans="1:40" x14ac:dyDescent="0.2">
      <c r="A218" s="15">
        <v>46966</v>
      </c>
      <c r="B218" s="19">
        <v>7.5</v>
      </c>
      <c r="C218" s="19">
        <v>1.6</v>
      </c>
      <c r="D218" s="19"/>
      <c r="E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J218" s="17"/>
      <c r="AK218" s="17"/>
      <c r="AL218" s="17"/>
      <c r="AM218" s="17"/>
      <c r="AN218" s="22"/>
    </row>
    <row r="219" spans="1:40" x14ac:dyDescent="0.2">
      <c r="A219" s="15">
        <v>46997</v>
      </c>
      <c r="B219" s="19">
        <v>7.5</v>
      </c>
      <c r="C219" s="19">
        <v>1.6</v>
      </c>
      <c r="D219" s="19"/>
      <c r="E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J219" s="17"/>
      <c r="AK219" s="17"/>
      <c r="AL219" s="17"/>
      <c r="AM219" s="17"/>
      <c r="AN219" s="22"/>
    </row>
    <row r="220" spans="1:40" x14ac:dyDescent="0.2">
      <c r="A220" s="15">
        <v>47027</v>
      </c>
      <c r="B220" s="19">
        <v>7.5</v>
      </c>
      <c r="C220" s="19">
        <v>1.6</v>
      </c>
      <c r="D220" s="19"/>
      <c r="E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J220" s="17"/>
      <c r="AK220" s="17"/>
      <c r="AL220" s="17"/>
      <c r="AM220" s="17"/>
      <c r="AN220" s="22"/>
    </row>
    <row r="221" spans="1:40" x14ac:dyDescent="0.2">
      <c r="A221" s="15">
        <v>47058</v>
      </c>
      <c r="B221" s="19">
        <v>7.5</v>
      </c>
      <c r="C221" s="19">
        <v>1.6</v>
      </c>
      <c r="D221" s="19"/>
      <c r="E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J221" s="17"/>
      <c r="AK221" s="17"/>
      <c r="AL221" s="17"/>
      <c r="AM221" s="17"/>
      <c r="AN221" s="22"/>
    </row>
    <row r="222" spans="1:40" x14ac:dyDescent="0.2">
      <c r="A222" s="15">
        <v>47088</v>
      </c>
      <c r="B222" s="19">
        <v>7.5</v>
      </c>
      <c r="C222" s="19">
        <v>1.6</v>
      </c>
      <c r="D222" s="19"/>
      <c r="E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J222" s="17"/>
      <c r="AK222" s="17"/>
      <c r="AL222" s="17"/>
      <c r="AM222" s="17"/>
      <c r="AN222" s="22"/>
    </row>
    <row r="223" spans="1:40" x14ac:dyDescent="0.2">
      <c r="A223" s="15">
        <v>47119</v>
      </c>
      <c r="B223" s="19">
        <v>7.5</v>
      </c>
      <c r="C223" s="19">
        <v>1.6</v>
      </c>
      <c r="D223" s="19"/>
      <c r="E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J223" s="17"/>
      <c r="AK223" s="17"/>
      <c r="AL223" s="17"/>
      <c r="AM223" s="17"/>
      <c r="AN223" s="22"/>
    </row>
    <row r="224" spans="1:40" x14ac:dyDescent="0.2">
      <c r="A224" s="15">
        <v>47150</v>
      </c>
      <c r="B224" s="19">
        <v>7.5</v>
      </c>
      <c r="C224" s="19">
        <v>1.6</v>
      </c>
      <c r="D224" s="19"/>
      <c r="E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J224" s="17"/>
      <c r="AK224" s="17"/>
      <c r="AL224" s="17"/>
      <c r="AM224" s="17"/>
      <c r="AN224" s="22"/>
    </row>
    <row r="225" spans="1:40" x14ac:dyDescent="0.2">
      <c r="A225" s="15">
        <v>47178</v>
      </c>
      <c r="B225" s="19">
        <v>7.5</v>
      </c>
      <c r="C225" s="19">
        <v>1.6</v>
      </c>
      <c r="D225" s="19"/>
      <c r="E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J225" s="17"/>
      <c r="AK225" s="17"/>
      <c r="AL225" s="17"/>
      <c r="AM225" s="17"/>
      <c r="AN225" s="22"/>
    </row>
    <row r="226" spans="1:40" x14ac:dyDescent="0.2">
      <c r="A226" s="15">
        <v>47209</v>
      </c>
      <c r="B226" s="19">
        <v>7.5</v>
      </c>
      <c r="C226" s="19">
        <v>1.6</v>
      </c>
      <c r="D226" s="19"/>
      <c r="E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J226" s="17"/>
      <c r="AK226" s="17"/>
      <c r="AL226" s="17"/>
      <c r="AM226" s="17"/>
      <c r="AN226" s="22"/>
    </row>
    <row r="227" spans="1:40" x14ac:dyDescent="0.2">
      <c r="A227" s="15">
        <v>47239</v>
      </c>
      <c r="B227" s="19">
        <v>7.5</v>
      </c>
      <c r="C227" s="19">
        <v>1.6</v>
      </c>
      <c r="D227" s="19"/>
      <c r="E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J227" s="17"/>
      <c r="AK227" s="17"/>
      <c r="AL227" s="17"/>
      <c r="AM227" s="17"/>
      <c r="AN227" s="22"/>
    </row>
    <row r="228" spans="1:40" x14ac:dyDescent="0.2">
      <c r="A228" s="15">
        <v>47270</v>
      </c>
      <c r="B228" s="19">
        <v>7.5</v>
      </c>
      <c r="C228" s="19">
        <v>1.6</v>
      </c>
      <c r="D228" s="19"/>
      <c r="E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J228" s="17"/>
      <c r="AK228" s="17"/>
      <c r="AL228" s="17"/>
      <c r="AM228" s="17"/>
      <c r="AN228" s="22"/>
    </row>
    <row r="229" spans="1:40" x14ac:dyDescent="0.2">
      <c r="A229" s="15">
        <v>47300</v>
      </c>
      <c r="B229" s="19">
        <v>7.5</v>
      </c>
      <c r="C229" s="19">
        <v>1.6</v>
      </c>
      <c r="D229" s="19"/>
      <c r="E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J229" s="17"/>
      <c r="AK229" s="17"/>
      <c r="AL229" s="17"/>
      <c r="AM229" s="17"/>
      <c r="AN229" s="22"/>
    </row>
    <row r="230" spans="1:40" x14ac:dyDescent="0.2">
      <c r="A230" s="15">
        <v>47331</v>
      </c>
      <c r="B230" s="19">
        <v>7.5</v>
      </c>
      <c r="C230" s="19">
        <v>1.6</v>
      </c>
      <c r="D230" s="19"/>
      <c r="E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J230" s="17"/>
      <c r="AK230" s="17"/>
      <c r="AL230" s="17"/>
      <c r="AM230" s="17"/>
      <c r="AN230" s="22"/>
    </row>
    <row r="231" spans="1:40" x14ac:dyDescent="0.2">
      <c r="A231" s="15">
        <v>47362</v>
      </c>
      <c r="B231" s="19">
        <v>7.5</v>
      </c>
      <c r="C231" s="19">
        <v>1.6</v>
      </c>
      <c r="D231" s="19"/>
      <c r="E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J231" s="17"/>
      <c r="AK231" s="17"/>
      <c r="AL231" s="17"/>
      <c r="AM231" s="17"/>
      <c r="AN231" s="22"/>
    </row>
    <row r="232" spans="1:40" x14ac:dyDescent="0.2">
      <c r="A232" s="15">
        <v>47392</v>
      </c>
      <c r="B232" s="19">
        <v>7.5</v>
      </c>
      <c r="C232" s="19">
        <v>1.6</v>
      </c>
      <c r="D232" s="19"/>
      <c r="E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J232" s="17"/>
      <c r="AK232" s="17"/>
      <c r="AL232" s="17"/>
      <c r="AM232" s="17"/>
      <c r="AN232" s="22"/>
    </row>
    <row r="233" spans="1:40" x14ac:dyDescent="0.2">
      <c r="A233" s="15">
        <v>47423</v>
      </c>
      <c r="B233" s="19">
        <v>7.5</v>
      </c>
      <c r="C233" s="19">
        <v>1.6</v>
      </c>
      <c r="D233" s="19"/>
      <c r="E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J233" s="17"/>
      <c r="AK233" s="17"/>
      <c r="AL233" s="17"/>
      <c r="AM233" s="17"/>
      <c r="AN233" s="22"/>
    </row>
    <row r="234" spans="1:40" x14ac:dyDescent="0.2">
      <c r="A234" s="15">
        <v>47453</v>
      </c>
      <c r="B234" s="19">
        <v>7.5</v>
      </c>
      <c r="C234" s="19">
        <v>1.6</v>
      </c>
      <c r="D234" s="19"/>
      <c r="E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J234" s="17"/>
      <c r="AK234" s="17"/>
      <c r="AL234" s="17"/>
      <c r="AM234" s="17"/>
      <c r="AN234" s="22"/>
    </row>
    <row r="235" spans="1:40" x14ac:dyDescent="0.2">
      <c r="A235" s="15">
        <v>47484</v>
      </c>
      <c r="B235" s="19">
        <v>7.5</v>
      </c>
      <c r="C235" s="19">
        <v>1.6</v>
      </c>
      <c r="D235" s="19"/>
      <c r="E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J235" s="17"/>
      <c r="AK235" s="17"/>
      <c r="AL235" s="17"/>
      <c r="AM235" s="17"/>
      <c r="AN235" s="22"/>
    </row>
    <row r="236" spans="1:40" x14ac:dyDescent="0.2">
      <c r="A236" s="15">
        <v>47515</v>
      </c>
      <c r="B236" s="19">
        <v>7.5</v>
      </c>
      <c r="C236" s="19">
        <v>1.6</v>
      </c>
      <c r="D236" s="19"/>
      <c r="E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J236" s="17"/>
      <c r="AK236" s="17"/>
      <c r="AL236" s="17"/>
      <c r="AM236" s="17"/>
      <c r="AN236" s="22"/>
    </row>
    <row r="237" spans="1:40" x14ac:dyDescent="0.2">
      <c r="A237" s="15">
        <v>47543</v>
      </c>
      <c r="B237" s="19">
        <v>7.5</v>
      </c>
      <c r="C237" s="19">
        <v>1.6</v>
      </c>
      <c r="D237" s="19"/>
      <c r="E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J237" s="17"/>
      <c r="AK237" s="17"/>
      <c r="AL237" s="17"/>
      <c r="AM237" s="17"/>
      <c r="AN237" s="22"/>
    </row>
    <row r="238" spans="1:40" x14ac:dyDescent="0.2">
      <c r="A238" s="15">
        <v>47574</v>
      </c>
      <c r="B238" s="19">
        <v>7.5</v>
      </c>
      <c r="C238" s="19">
        <v>1.6</v>
      </c>
      <c r="D238" s="19"/>
      <c r="E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J238" s="17"/>
      <c r="AK238" s="17"/>
      <c r="AL238" s="17"/>
      <c r="AM238" s="17"/>
      <c r="AN238" s="22"/>
    </row>
    <row r="239" spans="1:40" x14ac:dyDescent="0.2">
      <c r="A239" s="15">
        <v>47604</v>
      </c>
      <c r="B239" s="19">
        <v>7.5</v>
      </c>
      <c r="C239" s="19">
        <v>1.6</v>
      </c>
      <c r="D239" s="19"/>
      <c r="E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J239" s="17"/>
      <c r="AK239" s="17"/>
      <c r="AL239" s="17"/>
      <c r="AM239" s="17"/>
      <c r="AN239" s="22"/>
    </row>
    <row r="240" spans="1:40" x14ac:dyDescent="0.2">
      <c r="A240" s="15">
        <v>47635</v>
      </c>
      <c r="B240" s="19">
        <v>7.5</v>
      </c>
      <c r="C240" s="19">
        <v>1.6</v>
      </c>
      <c r="D240" s="19"/>
      <c r="E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J240" s="17"/>
      <c r="AK240" s="17"/>
      <c r="AL240" s="17"/>
      <c r="AM240" s="17"/>
      <c r="AN240" s="22"/>
    </row>
    <row r="241" spans="1:40" x14ac:dyDescent="0.2">
      <c r="A241" s="15">
        <v>47665</v>
      </c>
      <c r="B241" s="19">
        <v>7.5</v>
      </c>
      <c r="C241" s="19">
        <v>1.6</v>
      </c>
      <c r="D241" s="19"/>
      <c r="E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J241" s="17"/>
      <c r="AK241" s="17"/>
      <c r="AL241" s="17"/>
      <c r="AM241" s="17"/>
      <c r="AN241" s="22"/>
    </row>
    <row r="242" spans="1:40" x14ac:dyDescent="0.2">
      <c r="A242" s="15">
        <v>47696</v>
      </c>
      <c r="B242" s="19">
        <v>7.5</v>
      </c>
      <c r="C242" s="19">
        <v>1.6</v>
      </c>
      <c r="D242" s="19"/>
      <c r="E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J242" s="17"/>
      <c r="AK242" s="17"/>
      <c r="AL242" s="17"/>
      <c r="AM242" s="17"/>
      <c r="AN242" s="22"/>
    </row>
    <row r="243" spans="1:40" x14ac:dyDescent="0.2">
      <c r="A243" s="15">
        <v>47727</v>
      </c>
      <c r="B243" s="19">
        <v>7.5</v>
      </c>
      <c r="C243" s="19">
        <v>1.6</v>
      </c>
      <c r="D243" s="19"/>
      <c r="E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J243" s="17"/>
      <c r="AK243" s="17"/>
      <c r="AL243" s="17"/>
      <c r="AM243" s="17"/>
      <c r="AN243" s="22"/>
    </row>
    <row r="244" spans="1:40" x14ac:dyDescent="0.2">
      <c r="A244" s="15">
        <v>47757</v>
      </c>
      <c r="B244" s="19">
        <v>7.5</v>
      </c>
      <c r="C244" s="19">
        <v>1.6</v>
      </c>
      <c r="D244" s="19"/>
      <c r="E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J244" s="17"/>
      <c r="AK244" s="17"/>
      <c r="AL244" s="17"/>
      <c r="AM244" s="17"/>
      <c r="AN244" s="22"/>
    </row>
    <row r="245" spans="1:40" x14ac:dyDescent="0.2">
      <c r="A245" s="15">
        <v>47788</v>
      </c>
      <c r="B245" s="19">
        <v>7.5</v>
      </c>
      <c r="C245" s="19">
        <v>1.6</v>
      </c>
      <c r="D245" s="19"/>
      <c r="E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J245" s="17"/>
      <c r="AK245" s="17"/>
      <c r="AL245" s="17"/>
      <c r="AM245" s="17"/>
      <c r="AN245" s="22"/>
    </row>
    <row r="246" spans="1:40" x14ac:dyDescent="0.2">
      <c r="A246" s="15">
        <v>47818</v>
      </c>
      <c r="B246" s="19">
        <v>7.5</v>
      </c>
      <c r="C246" s="19">
        <v>1.6</v>
      </c>
      <c r="D246" s="19"/>
      <c r="E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J246" s="17"/>
      <c r="AK246" s="17"/>
      <c r="AL246" s="17"/>
      <c r="AM246" s="17"/>
      <c r="AN246" s="22"/>
    </row>
    <row r="247" spans="1:40" x14ac:dyDescent="0.2">
      <c r="A247" s="15">
        <v>47849</v>
      </c>
      <c r="B247" s="19">
        <v>7.5</v>
      </c>
      <c r="C247" s="19">
        <v>1.6</v>
      </c>
      <c r="D247" s="19"/>
      <c r="E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J247" s="17"/>
      <c r="AK247" s="17"/>
      <c r="AL247" s="17"/>
      <c r="AM247" s="17"/>
      <c r="AN247" s="22"/>
    </row>
    <row r="248" spans="1:40" x14ac:dyDescent="0.2">
      <c r="A248" s="15">
        <v>47880</v>
      </c>
      <c r="B248" s="19">
        <v>7.5</v>
      </c>
      <c r="C248" s="19">
        <v>1.6</v>
      </c>
      <c r="D248" s="19"/>
      <c r="E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J248" s="17"/>
      <c r="AK248" s="17"/>
      <c r="AL248" s="17"/>
      <c r="AM248" s="17"/>
      <c r="AN248" s="22"/>
    </row>
    <row r="249" spans="1:40" x14ac:dyDescent="0.2">
      <c r="A249" s="15">
        <v>47908</v>
      </c>
      <c r="B249" s="19">
        <v>7.5</v>
      </c>
      <c r="C249" s="19">
        <v>1.6</v>
      </c>
      <c r="D249" s="19"/>
      <c r="E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J249" s="17"/>
      <c r="AK249" s="17"/>
      <c r="AL249" s="17"/>
      <c r="AM249" s="17"/>
      <c r="AN249" s="22"/>
    </row>
    <row r="250" spans="1:40" x14ac:dyDescent="0.2">
      <c r="A250" s="15">
        <v>47939</v>
      </c>
      <c r="B250" s="19">
        <v>7.5</v>
      </c>
      <c r="C250" s="19">
        <v>1.6</v>
      </c>
      <c r="D250" s="19"/>
      <c r="E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J250" s="17"/>
      <c r="AK250" s="17"/>
      <c r="AL250" s="17"/>
      <c r="AM250" s="17"/>
      <c r="AN250" s="22"/>
    </row>
    <row r="251" spans="1:40" x14ac:dyDescent="0.2">
      <c r="A251" s="15">
        <v>47969</v>
      </c>
      <c r="B251" s="19">
        <v>7.5</v>
      </c>
      <c r="C251" s="19">
        <v>1.6</v>
      </c>
      <c r="D251" s="19"/>
      <c r="E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J251" s="17"/>
      <c r="AK251" s="17"/>
      <c r="AL251" s="17"/>
      <c r="AM251" s="17"/>
      <c r="AN251" s="22"/>
    </row>
    <row r="252" spans="1:40" x14ac:dyDescent="0.2">
      <c r="A252" s="15">
        <v>48000</v>
      </c>
      <c r="B252" s="19">
        <v>7.5</v>
      </c>
      <c r="C252" s="19">
        <v>1.6</v>
      </c>
      <c r="D252" s="19"/>
      <c r="E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J252" s="17"/>
      <c r="AK252" s="17"/>
      <c r="AL252" s="17"/>
      <c r="AM252" s="17"/>
      <c r="AN252" s="22"/>
    </row>
    <row r="253" spans="1:40" x14ac:dyDescent="0.2">
      <c r="A253" s="15">
        <v>48030</v>
      </c>
      <c r="B253" s="19">
        <v>7.5</v>
      </c>
      <c r="C253" s="19">
        <v>1.6</v>
      </c>
      <c r="D253" s="19"/>
      <c r="E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J253" s="17"/>
      <c r="AK253" s="17"/>
      <c r="AL253" s="17"/>
      <c r="AM253" s="17"/>
      <c r="AN253" s="22"/>
    </row>
    <row r="254" spans="1:40" x14ac:dyDescent="0.2">
      <c r="A254" s="15">
        <v>48061</v>
      </c>
      <c r="B254" s="19">
        <v>7.5</v>
      </c>
      <c r="C254" s="19">
        <v>1.6</v>
      </c>
      <c r="D254" s="19"/>
      <c r="E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J254" s="17"/>
      <c r="AK254" s="17"/>
      <c r="AL254" s="17"/>
      <c r="AM254" s="17"/>
      <c r="AN254" s="22"/>
    </row>
    <row r="255" spans="1:40" x14ac:dyDescent="0.2">
      <c r="A255" s="15">
        <v>48092</v>
      </c>
      <c r="B255" s="19">
        <v>7.5</v>
      </c>
      <c r="C255" s="19">
        <v>1.6</v>
      </c>
      <c r="D255" s="19"/>
      <c r="E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J255" s="17"/>
      <c r="AK255" s="17"/>
      <c r="AL255" s="17"/>
      <c r="AM255" s="17"/>
      <c r="AN255" s="22"/>
    </row>
    <row r="256" spans="1:40" x14ac:dyDescent="0.2">
      <c r="A256" s="15">
        <v>48122</v>
      </c>
      <c r="B256" s="19">
        <v>7.5</v>
      </c>
      <c r="C256" s="19">
        <v>1.6</v>
      </c>
      <c r="D256" s="19"/>
      <c r="E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J256" s="17"/>
      <c r="AK256" s="17"/>
      <c r="AL256" s="17"/>
      <c r="AM256" s="17"/>
      <c r="AN256" s="22"/>
    </row>
    <row r="257" spans="1:40" x14ac:dyDescent="0.2">
      <c r="A257" s="15">
        <v>48153</v>
      </c>
      <c r="B257" s="19">
        <v>7.5</v>
      </c>
      <c r="C257" s="19">
        <v>1.6</v>
      </c>
      <c r="D257" s="19"/>
      <c r="E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J257" s="17"/>
      <c r="AK257" s="17"/>
      <c r="AL257" s="17"/>
      <c r="AM257" s="17"/>
      <c r="AN257" s="22"/>
    </row>
    <row r="258" spans="1:40" x14ac:dyDescent="0.2">
      <c r="A258" s="15">
        <v>48183</v>
      </c>
      <c r="B258" s="19">
        <v>7.5</v>
      </c>
      <c r="C258" s="19">
        <v>1.6</v>
      </c>
      <c r="D258" s="19"/>
      <c r="E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J258" s="17"/>
      <c r="AK258" s="17"/>
      <c r="AL258" s="17"/>
      <c r="AM258" s="17"/>
      <c r="AN258" s="22"/>
    </row>
    <row r="259" spans="1:40" x14ac:dyDescent="0.2">
      <c r="A259" s="15">
        <v>48214</v>
      </c>
      <c r="B259" s="19">
        <v>7.5</v>
      </c>
      <c r="C259" s="19">
        <v>1.6</v>
      </c>
      <c r="D259" s="19"/>
      <c r="E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J259" s="17"/>
      <c r="AK259" s="17"/>
      <c r="AL259" s="17"/>
      <c r="AM259" s="17"/>
      <c r="AN259" s="22"/>
    </row>
    <row r="260" spans="1:40" x14ac:dyDescent="0.2">
      <c r="A260" s="15">
        <v>48245</v>
      </c>
      <c r="B260" s="19">
        <v>7.5</v>
      </c>
      <c r="C260" s="19">
        <v>1.6</v>
      </c>
      <c r="D260" s="19"/>
      <c r="E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J260" s="17"/>
      <c r="AK260" s="17"/>
      <c r="AL260" s="17"/>
      <c r="AM260" s="17"/>
      <c r="AN260" s="22"/>
    </row>
    <row r="261" spans="1:40" x14ac:dyDescent="0.2">
      <c r="A261" s="15">
        <v>48274</v>
      </c>
      <c r="B261" s="19">
        <v>7.5</v>
      </c>
      <c r="C261" s="19">
        <v>1.6</v>
      </c>
      <c r="D261" s="19"/>
      <c r="E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J261" s="17"/>
      <c r="AK261" s="17"/>
      <c r="AL261" s="17"/>
      <c r="AM261" s="17"/>
      <c r="AN261" s="22"/>
    </row>
    <row r="262" spans="1:40" x14ac:dyDescent="0.2">
      <c r="A262" s="15">
        <v>48305</v>
      </c>
      <c r="B262" s="19">
        <v>7.5</v>
      </c>
      <c r="C262" s="19">
        <v>1.6</v>
      </c>
      <c r="D262" s="19"/>
      <c r="E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J262" s="17"/>
      <c r="AK262" s="17"/>
      <c r="AL262" s="17"/>
      <c r="AM262" s="17"/>
      <c r="AN262" s="22"/>
    </row>
    <row r="263" spans="1:40" x14ac:dyDescent="0.2">
      <c r="A263" s="15">
        <v>48335</v>
      </c>
      <c r="B263" s="19">
        <v>7.5</v>
      </c>
      <c r="C263" s="19">
        <v>1.6</v>
      </c>
      <c r="D263" s="19"/>
      <c r="E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J263" s="17"/>
      <c r="AK263" s="17"/>
      <c r="AL263" s="17"/>
      <c r="AM263" s="17"/>
      <c r="AN263" s="22"/>
    </row>
    <row r="264" spans="1:40" x14ac:dyDescent="0.2">
      <c r="A264" s="15">
        <v>48366</v>
      </c>
      <c r="B264" s="19">
        <v>7.5</v>
      </c>
      <c r="C264" s="19">
        <v>1.6</v>
      </c>
      <c r="D264" s="19"/>
      <c r="E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J264" s="17"/>
      <c r="AK264" s="17"/>
      <c r="AL264" s="17"/>
      <c r="AM264" s="17"/>
      <c r="AN264" s="22"/>
    </row>
    <row r="265" spans="1:40" x14ac:dyDescent="0.2">
      <c r="A265" s="15">
        <v>48396</v>
      </c>
      <c r="B265" s="19">
        <v>7.5</v>
      </c>
      <c r="C265" s="19">
        <v>1.6</v>
      </c>
      <c r="D265" s="19"/>
      <c r="E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J265" s="17"/>
      <c r="AK265" s="17"/>
      <c r="AL265" s="17"/>
      <c r="AM265" s="17"/>
      <c r="AN265" s="22"/>
    </row>
    <row r="266" spans="1:40" x14ac:dyDescent="0.2">
      <c r="A266" s="15">
        <v>48427</v>
      </c>
      <c r="B266" s="19">
        <v>7.5</v>
      </c>
      <c r="C266" s="19">
        <v>1.6</v>
      </c>
      <c r="D266" s="19"/>
      <c r="E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J266" s="17"/>
      <c r="AK266" s="17"/>
      <c r="AL266" s="17"/>
      <c r="AM266" s="17"/>
      <c r="AN266" s="22"/>
    </row>
    <row r="267" spans="1:40" x14ac:dyDescent="0.2">
      <c r="A267" s="15">
        <v>48458</v>
      </c>
      <c r="B267" s="19">
        <v>7.5</v>
      </c>
      <c r="C267" s="19">
        <v>1.6</v>
      </c>
      <c r="D267" s="19"/>
      <c r="E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J267" s="17"/>
      <c r="AK267" s="17"/>
      <c r="AL267" s="17"/>
      <c r="AM267" s="17"/>
      <c r="AN267" s="22"/>
    </row>
    <row r="268" spans="1:40" x14ac:dyDescent="0.2">
      <c r="A268" s="15">
        <v>48488</v>
      </c>
      <c r="B268" s="19">
        <v>7.5</v>
      </c>
      <c r="C268" s="19">
        <v>1.6</v>
      </c>
      <c r="D268" s="19"/>
      <c r="E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J268" s="17"/>
      <c r="AK268" s="17"/>
      <c r="AL268" s="17"/>
      <c r="AM268" s="17"/>
      <c r="AN268" s="22"/>
    </row>
    <row r="269" spans="1:40" x14ac:dyDescent="0.2">
      <c r="A269" s="15">
        <v>48519</v>
      </c>
      <c r="B269" s="19">
        <v>7.5</v>
      </c>
      <c r="C269" s="19">
        <v>1.6</v>
      </c>
      <c r="D269" s="19"/>
      <c r="E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J269" s="17"/>
      <c r="AK269" s="17"/>
      <c r="AL269" s="17"/>
      <c r="AM269" s="17"/>
      <c r="AN269" s="22"/>
    </row>
    <row r="270" spans="1:40" x14ac:dyDescent="0.2">
      <c r="A270" s="15">
        <v>48549</v>
      </c>
      <c r="B270" s="19">
        <v>7.5</v>
      </c>
      <c r="C270" s="19">
        <v>1.6</v>
      </c>
      <c r="D270" s="19"/>
      <c r="E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J270" s="17"/>
      <c r="AK270" s="17"/>
      <c r="AL270" s="17"/>
      <c r="AM270" s="17"/>
      <c r="AN270" s="22"/>
    </row>
    <row r="271" spans="1:40" x14ac:dyDescent="0.2">
      <c r="A271" s="15">
        <v>48580</v>
      </c>
      <c r="B271" s="19">
        <v>7.5</v>
      </c>
      <c r="C271" s="19">
        <v>1.6</v>
      </c>
      <c r="D271" s="19"/>
      <c r="E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J271" s="17"/>
      <c r="AK271" s="17"/>
      <c r="AL271" s="17"/>
      <c r="AM271" s="17"/>
      <c r="AN271" s="22"/>
    </row>
    <row r="272" spans="1:40" x14ac:dyDescent="0.2">
      <c r="A272" s="15">
        <v>48611</v>
      </c>
      <c r="B272" s="19">
        <v>7.5</v>
      </c>
      <c r="C272" s="19">
        <v>1.6</v>
      </c>
      <c r="D272" s="19"/>
      <c r="E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J272" s="17"/>
      <c r="AK272" s="17"/>
      <c r="AL272" s="17"/>
      <c r="AM272" s="17"/>
      <c r="AN272" s="22"/>
    </row>
    <row r="273" spans="1:40" x14ac:dyDescent="0.2">
      <c r="A273" s="15">
        <v>48639</v>
      </c>
      <c r="B273" s="19">
        <v>7.5</v>
      </c>
      <c r="C273" s="19">
        <v>1.6</v>
      </c>
      <c r="D273" s="19"/>
      <c r="E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J273" s="17"/>
      <c r="AK273" s="17"/>
      <c r="AL273" s="17"/>
      <c r="AM273" s="17"/>
      <c r="AN273" s="22"/>
    </row>
    <row r="274" spans="1:40" x14ac:dyDescent="0.2">
      <c r="A274" s="15">
        <v>48670</v>
      </c>
      <c r="B274" s="19">
        <v>7.5</v>
      </c>
      <c r="C274" s="19">
        <v>1.6</v>
      </c>
      <c r="D274" s="19"/>
      <c r="E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J274" s="17"/>
      <c r="AK274" s="17"/>
      <c r="AL274" s="17"/>
      <c r="AM274" s="17"/>
      <c r="AN274" s="22"/>
    </row>
    <row r="275" spans="1:40" x14ac:dyDescent="0.2">
      <c r="A275" s="15">
        <v>48700</v>
      </c>
      <c r="B275" s="19">
        <v>7.5</v>
      </c>
      <c r="C275" s="19">
        <v>1.6</v>
      </c>
      <c r="D275" s="19"/>
      <c r="E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J275" s="17"/>
      <c r="AK275" s="17"/>
      <c r="AL275" s="17"/>
      <c r="AM275" s="17"/>
      <c r="AN275" s="22"/>
    </row>
    <row r="276" spans="1:40" x14ac:dyDescent="0.2">
      <c r="A276" s="15">
        <v>48731</v>
      </c>
      <c r="B276" s="19">
        <v>7.5</v>
      </c>
      <c r="C276" s="19">
        <v>1.6</v>
      </c>
      <c r="D276" s="19"/>
      <c r="E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J276" s="17"/>
      <c r="AK276" s="17"/>
      <c r="AL276" s="17"/>
      <c r="AM276" s="17"/>
      <c r="AN276" s="22"/>
    </row>
    <row r="277" spans="1:40" x14ac:dyDescent="0.2">
      <c r="A277" s="15">
        <v>48761</v>
      </c>
      <c r="B277" s="19">
        <v>7.5</v>
      </c>
      <c r="C277" s="19">
        <v>1.6</v>
      </c>
      <c r="D277" s="19"/>
      <c r="E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J277" s="17"/>
      <c r="AK277" s="17"/>
      <c r="AL277" s="17"/>
      <c r="AM277" s="17"/>
      <c r="AN277" s="22"/>
    </row>
    <row r="278" spans="1:40" x14ac:dyDescent="0.2">
      <c r="A278" s="15">
        <v>48792</v>
      </c>
      <c r="B278" s="19">
        <v>7.5</v>
      </c>
      <c r="C278" s="19">
        <v>1.6</v>
      </c>
      <c r="D278" s="19"/>
      <c r="E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J278" s="17"/>
      <c r="AK278" s="17"/>
      <c r="AL278" s="17"/>
      <c r="AM278" s="17"/>
      <c r="AN278" s="22"/>
    </row>
    <row r="279" spans="1:40" x14ac:dyDescent="0.2">
      <c r="A279" s="15">
        <v>48823</v>
      </c>
      <c r="B279" s="19">
        <v>7.5</v>
      </c>
      <c r="C279" s="19">
        <v>1.6</v>
      </c>
      <c r="D279" s="19"/>
      <c r="E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J279" s="17"/>
      <c r="AK279" s="17"/>
      <c r="AL279" s="17"/>
      <c r="AM279" s="17"/>
      <c r="AN279" s="22"/>
    </row>
    <row r="280" spans="1:40" x14ac:dyDescent="0.2">
      <c r="A280" s="15">
        <v>48853</v>
      </c>
      <c r="B280" s="19">
        <v>7.5</v>
      </c>
      <c r="C280" s="19">
        <v>1.6</v>
      </c>
      <c r="D280" s="19"/>
      <c r="E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J280" s="17"/>
      <c r="AK280" s="17"/>
      <c r="AL280" s="17"/>
      <c r="AM280" s="17"/>
      <c r="AN280" s="22"/>
    </row>
    <row r="281" spans="1:40" x14ac:dyDescent="0.2">
      <c r="A281" s="15">
        <v>48884</v>
      </c>
      <c r="B281" s="19">
        <v>7.5</v>
      </c>
      <c r="C281" s="19">
        <v>1.6</v>
      </c>
      <c r="D281" s="19"/>
      <c r="E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J281" s="17"/>
      <c r="AK281" s="17"/>
      <c r="AL281" s="17"/>
      <c r="AM281" s="17"/>
      <c r="AN281" s="22"/>
    </row>
    <row r="282" spans="1:40" x14ac:dyDescent="0.2">
      <c r="A282" s="15">
        <v>48914</v>
      </c>
      <c r="B282" s="19">
        <v>7.5</v>
      </c>
      <c r="C282" s="19">
        <v>1.6</v>
      </c>
      <c r="D282" s="19"/>
      <c r="E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J282" s="17"/>
      <c r="AK282" s="17"/>
      <c r="AL282" s="17"/>
      <c r="AM282" s="17"/>
      <c r="AN282" s="22"/>
    </row>
    <row r="283" spans="1:40" x14ac:dyDescent="0.2">
      <c r="A283" s="15">
        <v>48945</v>
      </c>
      <c r="B283" s="19">
        <v>7.5</v>
      </c>
      <c r="C283" s="19">
        <v>1.6</v>
      </c>
      <c r="D283" s="19"/>
      <c r="E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J283" s="17"/>
      <c r="AK283" s="17"/>
      <c r="AL283" s="17"/>
      <c r="AM283" s="17"/>
      <c r="AN283" s="22"/>
    </row>
    <row r="284" spans="1:40" x14ac:dyDescent="0.2">
      <c r="A284" s="15">
        <v>48976</v>
      </c>
      <c r="B284" s="19">
        <v>7.5</v>
      </c>
      <c r="C284" s="19">
        <v>1.6</v>
      </c>
      <c r="D284" s="19"/>
      <c r="E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J284" s="17"/>
      <c r="AK284" s="17"/>
      <c r="AL284" s="17"/>
      <c r="AM284" s="17"/>
      <c r="AN284" s="22"/>
    </row>
    <row r="285" spans="1:40" x14ac:dyDescent="0.2">
      <c r="A285" s="15">
        <v>49004</v>
      </c>
      <c r="B285" s="19">
        <v>7.5</v>
      </c>
      <c r="C285" s="19">
        <v>1.6</v>
      </c>
      <c r="D285" s="19"/>
      <c r="E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J285" s="17"/>
      <c r="AK285" s="17"/>
      <c r="AL285" s="17"/>
      <c r="AM285" s="17"/>
      <c r="AN285" s="22"/>
    </row>
    <row r="286" spans="1:40" x14ac:dyDescent="0.2">
      <c r="A286" s="15">
        <v>49035</v>
      </c>
      <c r="B286" s="19">
        <v>7.5</v>
      </c>
      <c r="C286" s="19">
        <v>1.6</v>
      </c>
      <c r="D286" s="19"/>
      <c r="E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J286" s="17"/>
      <c r="AK286" s="17"/>
      <c r="AL286" s="17"/>
      <c r="AM286" s="17"/>
      <c r="AN286" s="22"/>
    </row>
    <row r="287" spans="1:40" x14ac:dyDescent="0.2">
      <c r="A287" s="15">
        <v>49065</v>
      </c>
      <c r="B287" s="19">
        <v>7.5</v>
      </c>
      <c r="C287" s="19">
        <v>1.6</v>
      </c>
      <c r="D287" s="19"/>
      <c r="E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J287" s="17"/>
      <c r="AK287" s="17"/>
      <c r="AL287" s="17"/>
      <c r="AM287" s="17"/>
      <c r="AN287" s="22"/>
    </row>
    <row r="288" spans="1:40" x14ac:dyDescent="0.2">
      <c r="A288" s="15">
        <v>49096</v>
      </c>
      <c r="B288" s="19">
        <v>7.5</v>
      </c>
      <c r="C288" s="19">
        <v>1.6</v>
      </c>
      <c r="D288" s="19"/>
      <c r="E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J288" s="17"/>
      <c r="AK288" s="17"/>
      <c r="AL288" s="17"/>
      <c r="AM288" s="17"/>
      <c r="AN288" s="22"/>
    </row>
    <row r="289" spans="1:40" x14ac:dyDescent="0.2">
      <c r="A289" s="15">
        <v>49126</v>
      </c>
      <c r="B289" s="19">
        <v>7.5</v>
      </c>
      <c r="C289" s="19">
        <v>1.6</v>
      </c>
      <c r="D289" s="19"/>
      <c r="E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J289" s="17"/>
      <c r="AK289" s="17"/>
      <c r="AL289" s="17"/>
      <c r="AM289" s="17"/>
      <c r="AN289" s="22"/>
    </row>
    <row r="290" spans="1:40" x14ac:dyDescent="0.2">
      <c r="A290" s="15">
        <v>49157</v>
      </c>
      <c r="B290" s="19">
        <v>7.5</v>
      </c>
      <c r="C290" s="19">
        <v>1.6</v>
      </c>
      <c r="D290" s="19"/>
      <c r="E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J290" s="17"/>
      <c r="AK290" s="17"/>
      <c r="AL290" s="17"/>
      <c r="AM290" s="17"/>
      <c r="AN290" s="22"/>
    </row>
    <row r="291" spans="1:40" x14ac:dyDescent="0.2">
      <c r="A291" s="15">
        <v>49188</v>
      </c>
      <c r="B291" s="19">
        <v>7.5</v>
      </c>
      <c r="C291" s="19">
        <v>1.6</v>
      </c>
      <c r="D291" s="19"/>
      <c r="E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J291" s="17"/>
      <c r="AK291" s="17"/>
      <c r="AL291" s="17"/>
      <c r="AM291" s="17"/>
      <c r="AN291" s="22"/>
    </row>
    <row r="292" spans="1:40" x14ac:dyDescent="0.2">
      <c r="A292" s="15">
        <v>49218</v>
      </c>
      <c r="B292" s="19">
        <v>7.5</v>
      </c>
      <c r="C292" s="19">
        <v>1.6</v>
      </c>
      <c r="D292" s="19"/>
      <c r="E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J292" s="17"/>
      <c r="AK292" s="17"/>
      <c r="AL292" s="17"/>
      <c r="AM292" s="17"/>
      <c r="AN292" s="22"/>
    </row>
    <row r="293" spans="1:40" x14ac:dyDescent="0.2">
      <c r="A293" s="15">
        <v>49249</v>
      </c>
      <c r="B293" s="19">
        <v>7.5</v>
      </c>
      <c r="C293" s="19">
        <v>1.6</v>
      </c>
      <c r="D293" s="19"/>
      <c r="E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J293" s="17"/>
      <c r="AK293" s="17"/>
      <c r="AL293" s="17"/>
      <c r="AM293" s="17"/>
      <c r="AN293" s="22"/>
    </row>
    <row r="294" spans="1:40" x14ac:dyDescent="0.2">
      <c r="A294" s="15">
        <v>49279</v>
      </c>
      <c r="B294" s="19">
        <v>7.5</v>
      </c>
      <c r="C294" s="19">
        <v>1.6</v>
      </c>
      <c r="D294" s="19"/>
      <c r="E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J294" s="17"/>
      <c r="AK294" s="17"/>
      <c r="AL294" s="17"/>
      <c r="AM294" s="17"/>
      <c r="AN294" s="22"/>
    </row>
    <row r="295" spans="1:40" x14ac:dyDescent="0.2">
      <c r="A295" s="15">
        <v>49310</v>
      </c>
      <c r="B295" s="19">
        <v>7.5</v>
      </c>
      <c r="C295" s="19">
        <v>1.6</v>
      </c>
      <c r="D295" s="19"/>
      <c r="E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J295" s="17"/>
      <c r="AK295" s="17"/>
      <c r="AL295" s="17"/>
      <c r="AM295" s="17"/>
      <c r="AN295" s="22"/>
    </row>
    <row r="296" spans="1:40" x14ac:dyDescent="0.2">
      <c r="A296" s="15">
        <v>49341</v>
      </c>
      <c r="B296" s="19">
        <v>7.5</v>
      </c>
      <c r="C296" s="19">
        <v>1.6</v>
      </c>
      <c r="D296" s="19"/>
      <c r="E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J296" s="17"/>
      <c r="AK296" s="17"/>
      <c r="AL296" s="17"/>
      <c r="AM296" s="17"/>
      <c r="AN296" s="22"/>
    </row>
    <row r="297" spans="1:40" x14ac:dyDescent="0.2">
      <c r="A297" s="15">
        <v>49369</v>
      </c>
      <c r="B297" s="19">
        <v>7.5</v>
      </c>
      <c r="C297" s="19">
        <v>1.6</v>
      </c>
      <c r="D297" s="19"/>
      <c r="E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J297" s="17"/>
      <c r="AK297" s="17"/>
      <c r="AL297" s="17"/>
      <c r="AM297" s="17"/>
      <c r="AN297" s="22"/>
    </row>
    <row r="298" spans="1:40" x14ac:dyDescent="0.2">
      <c r="A298" s="15">
        <v>49400</v>
      </c>
      <c r="B298" s="19">
        <v>7.5</v>
      </c>
      <c r="C298" s="19">
        <v>1.6</v>
      </c>
      <c r="D298" s="19"/>
      <c r="E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J298" s="17"/>
      <c r="AK298" s="17"/>
      <c r="AL298" s="17"/>
      <c r="AM298" s="17"/>
      <c r="AN298" s="22"/>
    </row>
    <row r="299" spans="1:40" x14ac:dyDescent="0.2">
      <c r="A299" s="15">
        <v>49430</v>
      </c>
      <c r="B299" s="19">
        <v>7.5</v>
      </c>
      <c r="C299" s="19">
        <v>1.6</v>
      </c>
      <c r="D299" s="19"/>
      <c r="E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J299" s="17"/>
      <c r="AK299" s="17"/>
      <c r="AL299" s="17"/>
      <c r="AM299" s="17"/>
      <c r="AN299" s="22"/>
    </row>
    <row r="300" spans="1:40" x14ac:dyDescent="0.2">
      <c r="A300" s="15">
        <v>49461</v>
      </c>
      <c r="B300" s="19">
        <v>7.5</v>
      </c>
      <c r="C300" s="19">
        <v>1.6</v>
      </c>
      <c r="D300" s="19"/>
      <c r="E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J300" s="17"/>
      <c r="AK300" s="17"/>
      <c r="AL300" s="17"/>
      <c r="AM300" s="17"/>
      <c r="AN300" s="22"/>
    </row>
    <row r="301" spans="1:40" x14ac:dyDescent="0.2">
      <c r="A301" s="15">
        <v>49491</v>
      </c>
      <c r="B301" s="19">
        <v>7.5</v>
      </c>
      <c r="C301" s="19">
        <v>1.6</v>
      </c>
      <c r="D301" s="19"/>
      <c r="E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J301" s="17"/>
      <c r="AK301" s="17"/>
      <c r="AL301" s="17"/>
      <c r="AM301" s="17"/>
      <c r="AN301" s="22"/>
    </row>
    <row r="302" spans="1:40" x14ac:dyDescent="0.2">
      <c r="A302" s="15">
        <v>49522</v>
      </c>
      <c r="B302" s="19">
        <v>7.5</v>
      </c>
      <c r="C302" s="19">
        <v>1.6</v>
      </c>
      <c r="D302" s="19"/>
      <c r="E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J302" s="17"/>
      <c r="AK302" s="17"/>
      <c r="AL302" s="17"/>
      <c r="AM302" s="17"/>
      <c r="AN302" s="22"/>
    </row>
    <row r="303" spans="1:40" x14ac:dyDescent="0.2">
      <c r="A303" s="15">
        <v>49553</v>
      </c>
      <c r="B303" s="19">
        <v>7.5</v>
      </c>
      <c r="C303" s="19">
        <v>1.6</v>
      </c>
      <c r="D303" s="19"/>
      <c r="E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J303" s="17"/>
      <c r="AK303" s="17"/>
      <c r="AL303" s="17"/>
      <c r="AM303" s="17"/>
      <c r="AN303" s="22"/>
    </row>
    <row r="304" spans="1:40" x14ac:dyDescent="0.2">
      <c r="A304" s="15">
        <v>49583</v>
      </c>
      <c r="B304" s="19">
        <v>7.5</v>
      </c>
      <c r="C304" s="19">
        <v>1.6</v>
      </c>
      <c r="D304" s="19"/>
      <c r="E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J304" s="17"/>
      <c r="AK304" s="17"/>
      <c r="AL304" s="17"/>
      <c r="AM304" s="17"/>
      <c r="AN304" s="22"/>
    </row>
    <row r="305" spans="1:40" x14ac:dyDescent="0.2">
      <c r="A305" s="15">
        <v>49614</v>
      </c>
      <c r="B305" s="19">
        <v>7.5</v>
      </c>
      <c r="C305" s="19">
        <v>1.6</v>
      </c>
      <c r="D305" s="19"/>
      <c r="E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J305" s="17"/>
      <c r="AK305" s="17"/>
      <c r="AL305" s="17"/>
      <c r="AM305" s="17"/>
      <c r="AN305" s="22"/>
    </row>
    <row r="306" spans="1:40" x14ac:dyDescent="0.2">
      <c r="A306" s="15">
        <v>49644</v>
      </c>
      <c r="B306" s="19">
        <v>7.5</v>
      </c>
      <c r="C306" s="19">
        <v>1.6</v>
      </c>
      <c r="D306" s="19"/>
      <c r="E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J306" s="17"/>
      <c r="AK306" s="17"/>
      <c r="AL306" s="17"/>
      <c r="AM306" s="17"/>
      <c r="AN306" s="22"/>
    </row>
    <row r="307" spans="1:40" x14ac:dyDescent="0.2">
      <c r="A307" s="15">
        <v>49675</v>
      </c>
      <c r="B307" s="19">
        <v>7.5</v>
      </c>
      <c r="C307" s="19">
        <v>1.6</v>
      </c>
      <c r="D307" s="19"/>
      <c r="E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J307" s="17"/>
      <c r="AK307" s="17"/>
      <c r="AL307" s="17"/>
      <c r="AM307" s="17"/>
      <c r="AN307" s="22"/>
    </row>
    <row r="308" spans="1:40" x14ac:dyDescent="0.2">
      <c r="A308" s="15">
        <v>49706</v>
      </c>
      <c r="B308" s="19">
        <v>7.5</v>
      </c>
      <c r="C308" s="19">
        <v>1.6</v>
      </c>
      <c r="D308" s="19"/>
      <c r="E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J308" s="17"/>
      <c r="AK308" s="17"/>
      <c r="AL308" s="17"/>
      <c r="AM308" s="17"/>
      <c r="AN308" s="22"/>
    </row>
    <row r="309" spans="1:40" x14ac:dyDescent="0.2">
      <c r="A309" s="15">
        <v>49735</v>
      </c>
      <c r="B309" s="19">
        <v>7.5</v>
      </c>
      <c r="C309" s="19">
        <v>1.6</v>
      </c>
      <c r="D309" s="19"/>
      <c r="E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J309" s="17"/>
      <c r="AK309" s="17"/>
      <c r="AL309" s="17"/>
      <c r="AM309" s="17"/>
      <c r="AN309" s="22"/>
    </row>
    <row r="310" spans="1:40" x14ac:dyDescent="0.2">
      <c r="A310" s="15">
        <v>49766</v>
      </c>
      <c r="B310" s="19">
        <v>7.5</v>
      </c>
      <c r="C310" s="19">
        <v>1.6</v>
      </c>
      <c r="D310" s="19"/>
      <c r="E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J310" s="17"/>
      <c r="AK310" s="17"/>
      <c r="AL310" s="17"/>
      <c r="AM310" s="17"/>
      <c r="AN310" s="22"/>
    </row>
    <row r="311" spans="1:40" x14ac:dyDescent="0.2">
      <c r="A311" s="15">
        <v>49796</v>
      </c>
      <c r="B311" s="19">
        <v>7.5</v>
      </c>
      <c r="C311" s="19">
        <v>1.6</v>
      </c>
      <c r="D311" s="19"/>
      <c r="E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J311" s="17"/>
      <c r="AK311" s="17"/>
      <c r="AL311" s="17"/>
      <c r="AM311" s="17"/>
      <c r="AN311" s="22"/>
    </row>
    <row r="312" spans="1:40" x14ac:dyDescent="0.2">
      <c r="A312" s="15">
        <v>49827</v>
      </c>
      <c r="B312" s="19">
        <v>7.5</v>
      </c>
      <c r="C312" s="19">
        <v>1.6</v>
      </c>
      <c r="D312" s="19"/>
      <c r="E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J312" s="17"/>
      <c r="AK312" s="17"/>
      <c r="AL312" s="17"/>
      <c r="AM312" s="17"/>
      <c r="AN312" s="22"/>
    </row>
    <row r="313" spans="1:40" x14ac:dyDescent="0.2">
      <c r="A313" s="15">
        <v>49857</v>
      </c>
      <c r="B313" s="19">
        <v>7.5</v>
      </c>
      <c r="C313" s="19">
        <v>1.6</v>
      </c>
      <c r="D313" s="19"/>
      <c r="E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J313" s="17"/>
      <c r="AK313" s="17"/>
      <c r="AL313" s="17"/>
      <c r="AM313" s="17"/>
      <c r="AN313" s="22"/>
    </row>
    <row r="314" spans="1:40" x14ac:dyDescent="0.2">
      <c r="A314" s="15">
        <v>49888</v>
      </c>
      <c r="B314" s="19">
        <v>7.5</v>
      </c>
      <c r="C314" s="19">
        <v>1.6</v>
      </c>
      <c r="D314" s="19"/>
      <c r="E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J314" s="17"/>
      <c r="AK314" s="17"/>
      <c r="AL314" s="17"/>
      <c r="AM314" s="17"/>
      <c r="AN314" s="22"/>
    </row>
    <row r="315" spans="1:40" x14ac:dyDescent="0.2">
      <c r="A315" s="15">
        <v>49919</v>
      </c>
      <c r="B315" s="19">
        <v>7.5</v>
      </c>
      <c r="C315" s="19">
        <v>1.6</v>
      </c>
      <c r="D315" s="19"/>
      <c r="E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J315" s="17"/>
      <c r="AK315" s="17"/>
      <c r="AL315" s="17"/>
      <c r="AM315" s="17"/>
      <c r="AN315" s="22"/>
    </row>
    <row r="316" spans="1:40" x14ac:dyDescent="0.2">
      <c r="A316" s="15">
        <v>49949</v>
      </c>
      <c r="B316" s="19">
        <v>7.5</v>
      </c>
      <c r="C316" s="19">
        <v>1.6</v>
      </c>
      <c r="D316" s="19"/>
      <c r="E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J316" s="17"/>
      <c r="AK316" s="17"/>
      <c r="AL316" s="17"/>
      <c r="AM316" s="17"/>
      <c r="AN316" s="22"/>
    </row>
    <row r="317" spans="1:40" x14ac:dyDescent="0.2">
      <c r="A317" s="15">
        <v>49980</v>
      </c>
      <c r="B317" s="19">
        <v>7.5</v>
      </c>
      <c r="C317" s="19">
        <v>1.6</v>
      </c>
      <c r="D317" s="19"/>
      <c r="E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J317" s="17"/>
      <c r="AK317" s="17"/>
      <c r="AL317" s="17"/>
      <c r="AM317" s="17"/>
      <c r="AN317" s="22"/>
    </row>
    <row r="318" spans="1:40" x14ac:dyDescent="0.2">
      <c r="A318" s="15">
        <v>50010</v>
      </c>
      <c r="B318" s="19">
        <v>7.5</v>
      </c>
      <c r="C318" s="19">
        <v>1.6</v>
      </c>
      <c r="D318" s="19"/>
      <c r="E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J318" s="17"/>
      <c r="AK318" s="17"/>
      <c r="AL318" s="17"/>
      <c r="AM318" s="17"/>
      <c r="AN318" s="22"/>
    </row>
    <row r="319" spans="1:40" x14ac:dyDescent="0.2">
      <c r="A319" s="15">
        <v>50041</v>
      </c>
      <c r="B319" s="19">
        <v>7.5</v>
      </c>
      <c r="C319" s="19">
        <v>1.6</v>
      </c>
      <c r="D319" s="19"/>
      <c r="E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J319" s="17"/>
      <c r="AK319" s="17"/>
      <c r="AL319" s="17"/>
      <c r="AM319" s="17"/>
      <c r="AN319" s="22"/>
    </row>
    <row r="320" spans="1:40" x14ac:dyDescent="0.2">
      <c r="A320" s="15">
        <v>50072</v>
      </c>
      <c r="B320" s="19">
        <v>7.5</v>
      </c>
      <c r="C320" s="19">
        <v>1.6</v>
      </c>
      <c r="D320" s="19"/>
      <c r="E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J320" s="17"/>
      <c r="AK320" s="17"/>
      <c r="AL320" s="17"/>
      <c r="AM320" s="17"/>
      <c r="AN320" s="22"/>
    </row>
    <row r="321" spans="1:40" x14ac:dyDescent="0.2">
      <c r="A321" s="15">
        <v>50100</v>
      </c>
      <c r="B321" s="19">
        <v>7.5</v>
      </c>
      <c r="C321" s="19">
        <v>1.6</v>
      </c>
      <c r="D321" s="19"/>
      <c r="E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J321" s="17"/>
      <c r="AK321" s="17"/>
      <c r="AL321" s="17"/>
      <c r="AM321" s="17"/>
      <c r="AN321" s="22"/>
    </row>
    <row r="322" spans="1:40" x14ac:dyDescent="0.2">
      <c r="A322" s="15">
        <v>50131</v>
      </c>
      <c r="B322" s="19">
        <v>7.5</v>
      </c>
      <c r="C322" s="19">
        <v>1.6</v>
      </c>
      <c r="D322" s="19"/>
      <c r="E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J322" s="17"/>
      <c r="AK322" s="17"/>
      <c r="AL322" s="17"/>
      <c r="AM322" s="17"/>
      <c r="AN322" s="22"/>
    </row>
    <row r="323" spans="1:40" x14ac:dyDescent="0.2">
      <c r="A323" s="15">
        <v>50161</v>
      </c>
      <c r="B323" s="19">
        <v>7.5</v>
      </c>
      <c r="C323" s="19">
        <v>1.6</v>
      </c>
      <c r="D323" s="19"/>
      <c r="E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J323" s="17"/>
      <c r="AK323" s="17"/>
      <c r="AL323" s="17"/>
      <c r="AM323" s="17"/>
      <c r="AN323" s="22"/>
    </row>
    <row r="324" spans="1:40" x14ac:dyDescent="0.2">
      <c r="A324" s="15">
        <v>50192</v>
      </c>
      <c r="B324" s="19">
        <v>7.5</v>
      </c>
      <c r="C324" s="19">
        <v>1.6</v>
      </c>
      <c r="D324" s="19"/>
      <c r="E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J324" s="17"/>
      <c r="AK324" s="17"/>
      <c r="AL324" s="17"/>
      <c r="AM324" s="17"/>
      <c r="AN324" s="22"/>
    </row>
    <row r="325" spans="1:40" x14ac:dyDescent="0.2">
      <c r="A325" s="15">
        <v>50222</v>
      </c>
      <c r="B325" s="19">
        <v>7.5</v>
      </c>
      <c r="C325" s="19">
        <v>1.6</v>
      </c>
      <c r="D325" s="19"/>
      <c r="E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J325" s="17"/>
      <c r="AK325" s="17"/>
      <c r="AL325" s="17"/>
      <c r="AM325" s="17"/>
      <c r="AN325" s="22"/>
    </row>
    <row r="326" spans="1:40" x14ac:dyDescent="0.2">
      <c r="A326" s="15">
        <v>50253</v>
      </c>
      <c r="B326" s="19">
        <v>7.5</v>
      </c>
      <c r="C326" s="19">
        <v>1.6</v>
      </c>
      <c r="D326" s="19"/>
      <c r="E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J326" s="17"/>
      <c r="AK326" s="17"/>
      <c r="AL326" s="17"/>
      <c r="AM326" s="17"/>
      <c r="AN326" s="22"/>
    </row>
    <row r="327" spans="1:40" x14ac:dyDescent="0.2">
      <c r="A327" s="15">
        <v>50284</v>
      </c>
      <c r="B327" s="19">
        <v>7.5</v>
      </c>
      <c r="C327" s="19">
        <v>1.6</v>
      </c>
      <c r="D327" s="19"/>
      <c r="E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J327" s="17"/>
      <c r="AK327" s="17"/>
      <c r="AL327" s="17"/>
      <c r="AM327" s="17"/>
      <c r="AN327" s="22"/>
    </row>
    <row r="328" spans="1:40" x14ac:dyDescent="0.2">
      <c r="A328" s="15">
        <v>50314</v>
      </c>
      <c r="B328" s="19">
        <v>7.5</v>
      </c>
      <c r="C328" s="19">
        <v>1.6</v>
      </c>
      <c r="D328" s="19"/>
      <c r="E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J328" s="17"/>
      <c r="AK328" s="17"/>
      <c r="AL328" s="17"/>
      <c r="AM328" s="17"/>
      <c r="AN328" s="22"/>
    </row>
    <row r="329" spans="1:40" x14ac:dyDescent="0.2">
      <c r="A329" s="15">
        <v>50345</v>
      </c>
      <c r="B329" s="19">
        <v>7.5</v>
      </c>
      <c r="C329" s="19">
        <v>1.6</v>
      </c>
      <c r="D329" s="19"/>
      <c r="E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J329" s="17"/>
      <c r="AK329" s="17"/>
      <c r="AL329" s="17"/>
      <c r="AM329" s="17"/>
      <c r="AN329" s="22"/>
    </row>
    <row r="330" spans="1:40" x14ac:dyDescent="0.2">
      <c r="A330" s="15">
        <v>50375</v>
      </c>
      <c r="B330" s="19">
        <v>7.5</v>
      </c>
      <c r="C330" s="19">
        <v>1.6</v>
      </c>
      <c r="D330" s="19"/>
      <c r="E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J330" s="17"/>
      <c r="AK330" s="17"/>
      <c r="AL330" s="17"/>
      <c r="AM330" s="17"/>
      <c r="AN330" s="22"/>
    </row>
    <row r="331" spans="1:40" x14ac:dyDescent="0.2">
      <c r="A331" s="15">
        <v>50406</v>
      </c>
      <c r="B331" s="19">
        <v>7.5</v>
      </c>
      <c r="C331" s="19">
        <v>1.6</v>
      </c>
      <c r="D331" s="19"/>
      <c r="E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J331" s="17"/>
      <c r="AK331" s="17"/>
      <c r="AL331" s="17"/>
      <c r="AM331" s="17"/>
      <c r="AN331" s="22"/>
    </row>
    <row r="332" spans="1:40" x14ac:dyDescent="0.2">
      <c r="A332" s="15">
        <v>50437</v>
      </c>
      <c r="B332" s="19">
        <v>7.5</v>
      </c>
      <c r="C332" s="19">
        <v>1.6</v>
      </c>
      <c r="D332" s="19"/>
      <c r="E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J332" s="17"/>
      <c r="AK332" s="17"/>
      <c r="AL332" s="17"/>
      <c r="AM332" s="17"/>
      <c r="AN332" s="22"/>
    </row>
    <row r="333" spans="1:40" x14ac:dyDescent="0.2">
      <c r="A333" s="15">
        <v>50465</v>
      </c>
      <c r="B333" s="19">
        <v>7.5</v>
      </c>
      <c r="C333" s="19">
        <v>1.6</v>
      </c>
      <c r="D333" s="19"/>
      <c r="E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J333" s="17"/>
      <c r="AK333" s="17"/>
      <c r="AL333" s="17"/>
      <c r="AM333" s="17"/>
      <c r="AN333" s="22"/>
    </row>
    <row r="334" spans="1:40" x14ac:dyDescent="0.2">
      <c r="A334" s="15">
        <v>50496</v>
      </c>
      <c r="B334" s="19">
        <v>7.5</v>
      </c>
      <c r="C334" s="19">
        <v>1.6</v>
      </c>
      <c r="D334" s="19"/>
      <c r="E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J334" s="17"/>
      <c r="AK334" s="17"/>
      <c r="AL334" s="17"/>
      <c r="AM334" s="17"/>
      <c r="AN334" s="22"/>
    </row>
    <row r="335" spans="1:40" x14ac:dyDescent="0.2">
      <c r="A335" s="15">
        <v>50526</v>
      </c>
      <c r="B335" s="19">
        <v>7.5</v>
      </c>
      <c r="C335" s="19">
        <v>1.6</v>
      </c>
      <c r="D335" s="19"/>
      <c r="E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J335" s="17"/>
      <c r="AK335" s="17"/>
      <c r="AL335" s="17"/>
      <c r="AM335" s="17"/>
      <c r="AN335" s="22"/>
    </row>
    <row r="336" spans="1:40" x14ac:dyDescent="0.2">
      <c r="A336" s="15">
        <v>50557</v>
      </c>
      <c r="B336" s="19">
        <v>7.5</v>
      </c>
      <c r="C336" s="19">
        <v>1.6</v>
      </c>
      <c r="D336" s="19"/>
      <c r="E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J336" s="17"/>
      <c r="AK336" s="17"/>
      <c r="AL336" s="17"/>
      <c r="AM336" s="17"/>
      <c r="AN336" s="22"/>
    </row>
    <row r="337" spans="1:40" x14ac:dyDescent="0.2">
      <c r="A337" s="15">
        <v>50587</v>
      </c>
      <c r="B337" s="19">
        <v>7.5</v>
      </c>
      <c r="C337" s="19">
        <v>1.6</v>
      </c>
      <c r="D337" s="19"/>
      <c r="E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J337" s="17"/>
      <c r="AK337" s="17"/>
      <c r="AL337" s="17"/>
      <c r="AM337" s="17"/>
      <c r="AN337" s="22"/>
    </row>
    <row r="338" spans="1:40" x14ac:dyDescent="0.2">
      <c r="A338" s="15">
        <v>50618</v>
      </c>
      <c r="B338" s="19">
        <v>7.5</v>
      </c>
      <c r="C338" s="19">
        <v>1.6</v>
      </c>
      <c r="D338" s="19"/>
      <c r="E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J338" s="17"/>
      <c r="AK338" s="17"/>
      <c r="AL338" s="17"/>
      <c r="AM338" s="17"/>
      <c r="AN338" s="22"/>
    </row>
    <row r="339" spans="1:40" x14ac:dyDescent="0.2">
      <c r="A339" s="15">
        <v>50649</v>
      </c>
      <c r="B339" s="19">
        <v>7.5</v>
      </c>
      <c r="C339" s="19">
        <v>1.6</v>
      </c>
      <c r="D339" s="19"/>
      <c r="E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J339" s="17"/>
      <c r="AK339" s="17"/>
      <c r="AL339" s="17"/>
      <c r="AM339" s="17"/>
      <c r="AN339" s="22"/>
    </row>
    <row r="340" spans="1:40" x14ac:dyDescent="0.2">
      <c r="A340" s="15">
        <v>50679</v>
      </c>
      <c r="B340" s="19">
        <v>7.5</v>
      </c>
      <c r="C340" s="19">
        <v>1.6</v>
      </c>
      <c r="D340" s="19"/>
      <c r="E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J340" s="17"/>
      <c r="AK340" s="17"/>
      <c r="AL340" s="17"/>
      <c r="AM340" s="17"/>
      <c r="AN340" s="22"/>
    </row>
    <row r="341" spans="1:40" x14ac:dyDescent="0.2">
      <c r="A341" s="15">
        <v>50710</v>
      </c>
      <c r="B341" s="19">
        <v>7.5</v>
      </c>
      <c r="C341" s="19">
        <v>1.6</v>
      </c>
      <c r="D341" s="19"/>
      <c r="E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J341" s="17"/>
      <c r="AK341" s="17"/>
      <c r="AL341" s="17"/>
      <c r="AM341" s="17"/>
      <c r="AN341" s="22"/>
    </row>
    <row r="342" spans="1:40" x14ac:dyDescent="0.2">
      <c r="A342" s="15">
        <v>50740</v>
      </c>
      <c r="B342" s="19">
        <v>7.5</v>
      </c>
      <c r="C342" s="19">
        <v>1.6</v>
      </c>
      <c r="D342" s="19"/>
      <c r="E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J342" s="17"/>
      <c r="AK342" s="17"/>
      <c r="AL342" s="17"/>
      <c r="AM342" s="17"/>
      <c r="AN342" s="22"/>
    </row>
    <row r="343" spans="1:40" x14ac:dyDescent="0.2">
      <c r="A343" s="15">
        <v>50771</v>
      </c>
      <c r="B343" s="19">
        <v>7.5</v>
      </c>
      <c r="C343" s="19">
        <v>1.6</v>
      </c>
      <c r="D343" s="19"/>
      <c r="E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J343" s="17"/>
      <c r="AK343" s="17"/>
      <c r="AL343" s="17"/>
      <c r="AM343" s="17"/>
      <c r="AN343" s="22"/>
    </row>
    <row r="344" spans="1:40" x14ac:dyDescent="0.2">
      <c r="A344" s="15">
        <v>50802</v>
      </c>
      <c r="B344" s="19">
        <v>7.5</v>
      </c>
      <c r="C344" s="19">
        <v>1.6</v>
      </c>
      <c r="D344" s="19"/>
      <c r="E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J344" s="17"/>
      <c r="AK344" s="17"/>
      <c r="AL344" s="17"/>
      <c r="AM344" s="17"/>
      <c r="AN344" s="22"/>
    </row>
    <row r="345" spans="1:40" x14ac:dyDescent="0.2">
      <c r="A345" s="15">
        <v>50830</v>
      </c>
      <c r="B345" s="19">
        <v>7.5</v>
      </c>
      <c r="C345" s="19">
        <v>1.6</v>
      </c>
      <c r="D345" s="19"/>
      <c r="E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J345" s="17"/>
      <c r="AK345" s="17"/>
      <c r="AL345" s="17"/>
      <c r="AM345" s="17"/>
      <c r="AN345" s="22"/>
    </row>
    <row r="346" spans="1:40" x14ac:dyDescent="0.2">
      <c r="A346" s="15">
        <v>50861</v>
      </c>
      <c r="B346" s="19">
        <v>7.5</v>
      </c>
      <c r="C346" s="19">
        <v>1.6</v>
      </c>
      <c r="D346" s="19"/>
      <c r="E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J346" s="17"/>
      <c r="AK346" s="17"/>
      <c r="AL346" s="17"/>
      <c r="AM346" s="17"/>
      <c r="AN346" s="22"/>
    </row>
    <row r="347" spans="1:40" x14ac:dyDescent="0.2">
      <c r="A347" s="15">
        <v>50891</v>
      </c>
      <c r="B347" s="19">
        <v>7.5</v>
      </c>
      <c r="C347" s="19">
        <v>1.6</v>
      </c>
      <c r="D347" s="19"/>
      <c r="E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J347" s="17"/>
      <c r="AK347" s="17"/>
      <c r="AL347" s="17"/>
      <c r="AM347" s="17"/>
      <c r="AN347" s="22"/>
    </row>
    <row r="348" spans="1:40" x14ac:dyDescent="0.2">
      <c r="A348" s="15">
        <v>50922</v>
      </c>
      <c r="B348" s="19">
        <v>7.5</v>
      </c>
      <c r="C348" s="19">
        <v>1.6</v>
      </c>
      <c r="D348" s="19"/>
      <c r="E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J348" s="17"/>
      <c r="AK348" s="17"/>
      <c r="AL348" s="17"/>
      <c r="AM348" s="17"/>
      <c r="AN348" s="22"/>
    </row>
    <row r="349" spans="1:40" x14ac:dyDescent="0.2">
      <c r="A349" s="15">
        <v>50952</v>
      </c>
      <c r="B349" s="19">
        <v>7.5</v>
      </c>
      <c r="C349" s="19">
        <v>1.6</v>
      </c>
      <c r="D349" s="19"/>
      <c r="E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J349" s="17"/>
      <c r="AK349" s="17"/>
      <c r="AL349" s="17"/>
      <c r="AM349" s="17"/>
      <c r="AN349" s="22"/>
    </row>
    <row r="350" spans="1:40" x14ac:dyDescent="0.2">
      <c r="A350" s="15">
        <v>50983</v>
      </c>
      <c r="B350" s="19">
        <v>7.5</v>
      </c>
      <c r="C350" s="19">
        <v>1.6</v>
      </c>
      <c r="D350" s="19"/>
      <c r="E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J350" s="17"/>
      <c r="AK350" s="17"/>
      <c r="AL350" s="17"/>
      <c r="AM350" s="17"/>
      <c r="AN350" s="22"/>
    </row>
    <row r="351" spans="1:40" x14ac:dyDescent="0.2">
      <c r="A351" s="15">
        <v>51014</v>
      </c>
      <c r="B351" s="19">
        <v>7.5</v>
      </c>
      <c r="C351" s="19">
        <v>1.6</v>
      </c>
      <c r="D351" s="19"/>
      <c r="E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J351" s="17"/>
      <c r="AK351" s="17"/>
      <c r="AL351" s="17"/>
      <c r="AM351" s="17"/>
      <c r="AN351" s="22"/>
    </row>
    <row r="352" spans="1:40" x14ac:dyDescent="0.2">
      <c r="A352" s="15">
        <v>51044</v>
      </c>
      <c r="B352" s="19">
        <v>7.5</v>
      </c>
      <c r="C352" s="19">
        <v>1.6</v>
      </c>
      <c r="D352" s="19"/>
      <c r="E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J352" s="17"/>
      <c r="AK352" s="17"/>
      <c r="AL352" s="17"/>
      <c r="AM352" s="17"/>
      <c r="AN352" s="22"/>
    </row>
    <row r="353" spans="1:40" x14ac:dyDescent="0.2">
      <c r="A353" s="15">
        <v>51075</v>
      </c>
      <c r="B353" s="19">
        <v>7.5</v>
      </c>
      <c r="C353" s="19">
        <v>1.6</v>
      </c>
      <c r="D353" s="19"/>
      <c r="E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J353" s="17"/>
      <c r="AK353" s="17"/>
      <c r="AL353" s="17"/>
      <c r="AM353" s="17"/>
      <c r="AN353" s="22"/>
    </row>
    <row r="354" spans="1:40" x14ac:dyDescent="0.2">
      <c r="A354" s="15">
        <v>51105</v>
      </c>
      <c r="B354" s="19">
        <v>7.5</v>
      </c>
      <c r="C354" s="19">
        <v>1.6</v>
      </c>
      <c r="D354" s="19"/>
      <c r="E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J354" s="17"/>
      <c r="AK354" s="17"/>
      <c r="AL354" s="17"/>
      <c r="AM354" s="17"/>
      <c r="AN354" s="22"/>
    </row>
    <row r="355" spans="1:40" x14ac:dyDescent="0.2">
      <c r="A355" s="15">
        <v>51136</v>
      </c>
      <c r="B355" s="19">
        <v>7.5</v>
      </c>
      <c r="C355" s="19">
        <v>1.6</v>
      </c>
      <c r="D355" s="19"/>
      <c r="E355" s="1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J355" s="17"/>
      <c r="AK355" s="17"/>
      <c r="AL355" s="17"/>
      <c r="AM355" s="17"/>
      <c r="AN355" s="22"/>
    </row>
    <row r="356" spans="1:40" x14ac:dyDescent="0.2">
      <c r="A356" s="15">
        <v>51167</v>
      </c>
      <c r="B356" s="19">
        <v>7.5</v>
      </c>
      <c r="C356" s="19">
        <v>1.6</v>
      </c>
      <c r="D356" s="19"/>
      <c r="E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J356" s="17"/>
      <c r="AK356" s="17"/>
      <c r="AL356" s="17"/>
      <c r="AM356" s="17"/>
      <c r="AN356" s="22"/>
    </row>
    <row r="357" spans="1:40" x14ac:dyDescent="0.2">
      <c r="A357" s="15">
        <v>51196</v>
      </c>
      <c r="B357" s="19">
        <v>7.5</v>
      </c>
      <c r="C357" s="19">
        <v>1.6</v>
      </c>
      <c r="D357" s="19"/>
      <c r="E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J357" s="17"/>
      <c r="AK357" s="17"/>
      <c r="AL357" s="17"/>
      <c r="AM357" s="17"/>
      <c r="AN357" s="22"/>
    </row>
    <row r="358" spans="1:40" x14ac:dyDescent="0.2">
      <c r="A358" s="15">
        <v>51227</v>
      </c>
      <c r="B358" s="19">
        <v>7.5</v>
      </c>
      <c r="C358" s="19">
        <v>1.6</v>
      </c>
      <c r="D358" s="19"/>
      <c r="E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J358" s="17"/>
      <c r="AK358" s="17"/>
      <c r="AL358" s="17"/>
      <c r="AM358" s="17"/>
      <c r="AN358" s="22"/>
    </row>
    <row r="359" spans="1:40" x14ac:dyDescent="0.2">
      <c r="A359" s="15">
        <v>51257</v>
      </c>
      <c r="B359" s="19">
        <v>7.5</v>
      </c>
      <c r="C359" s="19">
        <v>1.6</v>
      </c>
      <c r="D359" s="19"/>
      <c r="E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J359" s="17"/>
      <c r="AK359" s="17"/>
      <c r="AL359" s="17"/>
      <c r="AM359" s="17"/>
      <c r="AN359" s="22"/>
    </row>
    <row r="360" spans="1:40" x14ac:dyDescent="0.2">
      <c r="A360" s="15">
        <v>51288</v>
      </c>
      <c r="B360" s="19">
        <v>7.5</v>
      </c>
      <c r="C360" s="19">
        <v>1.6</v>
      </c>
      <c r="D360" s="19"/>
      <c r="E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J360" s="17"/>
      <c r="AK360" s="17"/>
      <c r="AL360" s="17"/>
      <c r="AM360" s="17"/>
      <c r="AN360" s="22"/>
    </row>
    <row r="361" spans="1:40" x14ac:dyDescent="0.2">
      <c r="A361" s="15">
        <v>51318</v>
      </c>
      <c r="B361" s="19">
        <v>7.5</v>
      </c>
      <c r="C361" s="19">
        <v>1.6</v>
      </c>
      <c r="D361" s="19"/>
      <c r="E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J361" s="17"/>
      <c r="AK361" s="17"/>
      <c r="AL361" s="17"/>
      <c r="AM361" s="17"/>
      <c r="AN361" s="22"/>
    </row>
    <row r="362" spans="1:40" x14ac:dyDescent="0.2">
      <c r="A362" s="15">
        <v>51349</v>
      </c>
      <c r="B362" s="19">
        <v>7.5</v>
      </c>
      <c r="C362" s="19">
        <v>1.6</v>
      </c>
      <c r="D362" s="19"/>
      <c r="E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J362" s="17"/>
      <c r="AK362" s="17"/>
      <c r="AL362" s="17"/>
      <c r="AM362" s="17"/>
      <c r="AN362" s="22"/>
    </row>
    <row r="363" spans="1:40" x14ac:dyDescent="0.2">
      <c r="A363" s="15">
        <v>51380</v>
      </c>
      <c r="B363" s="19">
        <v>7.5</v>
      </c>
      <c r="C363" s="19">
        <v>1.6</v>
      </c>
      <c r="D363" s="19"/>
      <c r="E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J363" s="17"/>
      <c r="AK363" s="17"/>
      <c r="AL363" s="17"/>
      <c r="AM363" s="17"/>
      <c r="AN363" s="22"/>
    </row>
    <row r="364" spans="1:40" x14ac:dyDescent="0.2">
      <c r="A364" s="15">
        <v>51410</v>
      </c>
      <c r="B364" s="19">
        <v>7.5</v>
      </c>
      <c r="C364" s="19">
        <v>1.6</v>
      </c>
      <c r="D364" s="19"/>
      <c r="E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J364" s="17"/>
      <c r="AK364" s="17"/>
      <c r="AL364" s="17"/>
      <c r="AM364" s="17"/>
      <c r="AN364" s="22"/>
    </row>
    <row r="365" spans="1:40" x14ac:dyDescent="0.2">
      <c r="A365" s="15">
        <v>51441</v>
      </c>
      <c r="B365" s="19">
        <v>7.5</v>
      </c>
      <c r="C365" s="19">
        <v>1.6</v>
      </c>
      <c r="D365" s="19"/>
      <c r="E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J365" s="17"/>
      <c r="AK365" s="17"/>
      <c r="AL365" s="17"/>
      <c r="AM365" s="17"/>
      <c r="AN365" s="22"/>
    </row>
    <row r="366" spans="1:40" x14ac:dyDescent="0.2">
      <c r="A366" s="15">
        <v>51471</v>
      </c>
      <c r="B366" s="19">
        <v>7.5</v>
      </c>
      <c r="C366" s="19">
        <v>1.6</v>
      </c>
      <c r="D366" s="19"/>
      <c r="E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J366" s="17"/>
      <c r="AK366" s="17"/>
      <c r="AL366" s="17"/>
      <c r="AM366" s="17"/>
      <c r="AN366" s="22"/>
    </row>
    <row r="367" spans="1:40" x14ac:dyDescent="0.2">
      <c r="A367" s="15">
        <v>51502</v>
      </c>
      <c r="B367" s="19">
        <v>7.5</v>
      </c>
      <c r="C367" s="19">
        <v>1.6</v>
      </c>
      <c r="D367" s="19"/>
      <c r="E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J367" s="17"/>
      <c r="AK367" s="17"/>
      <c r="AL367" s="17"/>
      <c r="AM367" s="17"/>
      <c r="AN367" s="22"/>
    </row>
    <row r="368" spans="1:40" x14ac:dyDescent="0.2">
      <c r="A368" s="15">
        <v>51533</v>
      </c>
      <c r="B368" s="19">
        <v>7.5</v>
      </c>
      <c r="C368" s="19">
        <v>1.6</v>
      </c>
      <c r="D368" s="19"/>
      <c r="E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J368" s="17"/>
      <c r="AK368" s="17"/>
      <c r="AL368" s="17"/>
      <c r="AM368" s="17"/>
      <c r="AN368" s="22"/>
    </row>
    <row r="369" spans="1:40" x14ac:dyDescent="0.2">
      <c r="A369" s="15">
        <v>51561</v>
      </c>
      <c r="B369" s="19">
        <v>7.5</v>
      </c>
      <c r="C369" s="19">
        <v>1.6</v>
      </c>
      <c r="D369" s="19"/>
      <c r="E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J369" s="17"/>
      <c r="AK369" s="17"/>
      <c r="AL369" s="17"/>
      <c r="AM369" s="17"/>
      <c r="AN369" s="22"/>
    </row>
    <row r="370" spans="1:40" x14ac:dyDescent="0.2">
      <c r="A370" s="15">
        <v>51592</v>
      </c>
      <c r="B370" s="19">
        <v>7.5</v>
      </c>
      <c r="C370" s="19">
        <v>1.6</v>
      </c>
      <c r="D370" s="19"/>
      <c r="E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J370" s="17"/>
      <c r="AK370" s="17"/>
      <c r="AL370" s="17"/>
      <c r="AM370" s="17"/>
      <c r="AN370" s="22"/>
    </row>
    <row r="371" spans="1:40" x14ac:dyDescent="0.2">
      <c r="A371" s="15">
        <v>51622</v>
      </c>
      <c r="B371" s="19">
        <v>7.5</v>
      </c>
      <c r="C371" s="19">
        <v>1.6</v>
      </c>
      <c r="D371" s="19"/>
      <c r="E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J371" s="17"/>
      <c r="AK371" s="17"/>
      <c r="AL371" s="17"/>
      <c r="AM371" s="17"/>
      <c r="AN371" s="22"/>
    </row>
    <row r="372" spans="1:40" x14ac:dyDescent="0.2">
      <c r="A372" s="15">
        <v>51653</v>
      </c>
      <c r="B372" s="19">
        <v>7.5</v>
      </c>
      <c r="C372" s="19">
        <v>1.6</v>
      </c>
      <c r="D372" s="19"/>
      <c r="E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J372" s="17"/>
      <c r="AK372" s="17"/>
      <c r="AL372" s="17"/>
      <c r="AM372" s="17"/>
      <c r="AN372" s="22"/>
    </row>
    <row r="373" spans="1:40" x14ac:dyDescent="0.2">
      <c r="A373" s="15">
        <v>51683</v>
      </c>
      <c r="B373" s="19">
        <v>7.5</v>
      </c>
      <c r="C373" s="19">
        <v>1.6</v>
      </c>
      <c r="D373" s="19"/>
      <c r="E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J373" s="17"/>
      <c r="AK373" s="17"/>
      <c r="AL373" s="17"/>
      <c r="AM373" s="17"/>
      <c r="AN373" s="22"/>
    </row>
    <row r="374" spans="1:40" x14ac:dyDescent="0.2">
      <c r="A374" s="15">
        <v>51714</v>
      </c>
      <c r="B374" s="19">
        <v>7.5</v>
      </c>
      <c r="C374" s="19">
        <v>1.6</v>
      </c>
      <c r="D374" s="19"/>
      <c r="E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J374" s="17"/>
      <c r="AK374" s="17"/>
      <c r="AL374" s="17"/>
      <c r="AM374" s="17"/>
      <c r="AN374" s="22"/>
    </row>
    <row r="375" spans="1:40" x14ac:dyDescent="0.2">
      <c r="A375" s="15">
        <v>51745</v>
      </c>
      <c r="B375" s="19">
        <v>7.5</v>
      </c>
      <c r="C375" s="19">
        <v>1.6</v>
      </c>
      <c r="D375" s="19"/>
      <c r="E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J375" s="17"/>
      <c r="AK375" s="17"/>
      <c r="AL375" s="17"/>
      <c r="AM375" s="17"/>
      <c r="AN375" s="22"/>
    </row>
    <row r="376" spans="1:40" x14ac:dyDescent="0.2">
      <c r="A376" s="15">
        <v>51775</v>
      </c>
      <c r="B376" s="19">
        <v>7.5</v>
      </c>
      <c r="C376" s="19">
        <v>1.6</v>
      </c>
      <c r="D376" s="19"/>
      <c r="E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J376" s="17"/>
      <c r="AK376" s="17"/>
      <c r="AL376" s="17"/>
      <c r="AM376" s="17"/>
      <c r="AN376" s="22"/>
    </row>
    <row r="377" spans="1:40" x14ac:dyDescent="0.2">
      <c r="A377" s="15">
        <v>51806</v>
      </c>
      <c r="B377" s="19">
        <v>7.5</v>
      </c>
      <c r="C377" s="19">
        <v>1.6</v>
      </c>
      <c r="D377" s="19"/>
      <c r="E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J377" s="17"/>
      <c r="AK377" s="17"/>
      <c r="AL377" s="17"/>
      <c r="AM377" s="17"/>
      <c r="AN377" s="22"/>
    </row>
    <row r="378" spans="1:40" x14ac:dyDescent="0.2">
      <c r="A378" s="15">
        <v>51836</v>
      </c>
      <c r="B378" s="19">
        <v>7.5</v>
      </c>
      <c r="C378" s="19">
        <v>1.6</v>
      </c>
      <c r="D378" s="19"/>
      <c r="E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J378" s="17"/>
      <c r="AK378" s="17"/>
      <c r="AL378" s="17"/>
      <c r="AM378" s="17"/>
      <c r="AN378" s="22"/>
    </row>
  </sheetData>
  <mergeCells count="3">
    <mergeCell ref="AJ1:AO1"/>
    <mergeCell ref="AQ1:AU1"/>
    <mergeCell ref="AX1:B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BF8F-075F-4367-9446-A99F4FE60D47}">
  <sheetPr>
    <pageSetUpPr fitToPage="1"/>
  </sheetPr>
  <dimension ref="A1:CO504"/>
  <sheetViews>
    <sheetView zoomScale="128" zoomScaleNormal="100" workbookViewId="0">
      <pane xSplit="1" ySplit="2" topLeftCell="BM10" activePane="bottomRight" state="frozen"/>
      <selection pane="topRight"/>
      <selection pane="bottomLeft"/>
      <selection pane="bottomRight" activeCell="BU13" sqref="BU13"/>
    </sheetView>
  </sheetViews>
  <sheetFormatPr defaultColWidth="9" defaultRowHeight="12.75" x14ac:dyDescent="0.2"/>
  <cols>
    <col min="1" max="1" width="16.83203125" customWidth="1"/>
    <col min="2" max="48" width="11.6640625" customWidth="1"/>
    <col min="49" max="49" width="9.83203125" customWidth="1"/>
    <col min="50" max="50" width="9.1640625" bestFit="1" customWidth="1"/>
    <col min="51" max="58" width="10.83203125" customWidth="1"/>
    <col min="59" max="62" width="9.1640625" bestFit="1" customWidth="1"/>
    <col min="63" max="63" width="10.5" customWidth="1"/>
    <col min="64" max="66" width="9.1640625" bestFit="1" customWidth="1"/>
    <col min="69" max="71" width="9.1640625" bestFit="1" customWidth="1"/>
    <col min="73" max="74" width="9.1640625" bestFit="1" customWidth="1"/>
    <col min="76" max="77" width="9.1640625" bestFit="1" customWidth="1"/>
    <col min="80" max="80" width="16.5" bestFit="1" customWidth="1"/>
    <col min="81" max="81" width="11.1640625" bestFit="1" customWidth="1"/>
    <col min="82" max="82" width="13.6640625" bestFit="1" customWidth="1"/>
    <col min="84" max="84" width="15.1640625" bestFit="1" customWidth="1"/>
    <col min="85" max="85" width="12.83203125" bestFit="1" customWidth="1"/>
  </cols>
  <sheetData>
    <row r="1" spans="1:92" s="25" customFormat="1" ht="15.75" x14ac:dyDescent="0.25">
      <c r="B1" s="175" t="s">
        <v>160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Y1" s="176" t="s">
        <v>161</v>
      </c>
      <c r="AZ1" s="176"/>
      <c r="BA1" s="176"/>
      <c r="BB1" s="176"/>
      <c r="BC1" s="176"/>
      <c r="BD1" s="176"/>
      <c r="BF1" s="176"/>
      <c r="BG1" s="176"/>
      <c r="BH1" s="176"/>
      <c r="BI1" s="176"/>
      <c r="BJ1" s="176"/>
      <c r="BK1" s="26"/>
      <c r="BM1" s="177"/>
      <c r="BN1" s="177"/>
      <c r="BO1" s="177"/>
      <c r="BP1" s="177"/>
      <c r="BQ1" s="177"/>
    </row>
    <row r="2" spans="1:92" s="36" customFormat="1" ht="192" x14ac:dyDescent="0.2">
      <c r="A2" s="27"/>
      <c r="B2" s="28" t="s">
        <v>186</v>
      </c>
      <c r="C2" s="29" t="s">
        <v>187</v>
      </c>
      <c r="D2" s="29" t="s">
        <v>188</v>
      </c>
      <c r="E2" s="29" t="s">
        <v>189</v>
      </c>
      <c r="F2" s="29" t="s">
        <v>190</v>
      </c>
      <c r="G2" s="29" t="s">
        <v>191</v>
      </c>
      <c r="H2" s="29" t="s">
        <v>192</v>
      </c>
      <c r="I2" s="29" t="s">
        <v>193</v>
      </c>
      <c r="J2" s="29" t="s">
        <v>194</v>
      </c>
      <c r="K2" s="29" t="s">
        <v>195</v>
      </c>
      <c r="L2" s="29" t="s">
        <v>196</v>
      </c>
      <c r="M2" s="29" t="s">
        <v>197</v>
      </c>
      <c r="N2" s="29" t="s">
        <v>198</v>
      </c>
      <c r="O2" s="29" t="s">
        <v>199</v>
      </c>
      <c r="P2" s="29" t="s">
        <v>200</v>
      </c>
      <c r="Q2" s="29" t="s">
        <v>201</v>
      </c>
      <c r="R2" s="29" t="s">
        <v>202</v>
      </c>
      <c r="S2" s="29" t="s">
        <v>203</v>
      </c>
      <c r="T2" s="29" t="s">
        <v>204</v>
      </c>
      <c r="U2" s="30" t="s">
        <v>205</v>
      </c>
      <c r="V2" s="30" t="s">
        <v>206</v>
      </c>
      <c r="W2" s="29" t="s">
        <v>207</v>
      </c>
      <c r="X2" s="30" t="s">
        <v>208</v>
      </c>
      <c r="Y2" s="29" t="s">
        <v>209</v>
      </c>
      <c r="Z2" s="29" t="s">
        <v>210</v>
      </c>
      <c r="AA2" s="29" t="s">
        <v>211</v>
      </c>
      <c r="AB2" s="29" t="s">
        <v>212</v>
      </c>
      <c r="AC2" s="30" t="s">
        <v>213</v>
      </c>
      <c r="AD2" s="29" t="s">
        <v>214</v>
      </c>
      <c r="AE2" s="29" t="s">
        <v>215</v>
      </c>
      <c r="AF2" s="29" t="s">
        <v>216</v>
      </c>
      <c r="AG2" s="29" t="s">
        <v>217</v>
      </c>
      <c r="AH2" s="30" t="s">
        <v>218</v>
      </c>
      <c r="AI2" s="31" t="s">
        <v>219</v>
      </c>
      <c r="AJ2" s="30" t="s">
        <v>220</v>
      </c>
      <c r="AK2" s="30" t="s">
        <v>221</v>
      </c>
      <c r="AL2" s="30" t="s">
        <v>222</v>
      </c>
      <c r="AM2" s="30" t="s">
        <v>223</v>
      </c>
      <c r="AN2" s="29" t="s">
        <v>224</v>
      </c>
      <c r="AO2" s="29" t="s">
        <v>225</v>
      </c>
      <c r="AP2" s="29" t="s">
        <v>225</v>
      </c>
      <c r="AQ2" s="29" t="s">
        <v>226</v>
      </c>
      <c r="AR2" s="29" t="s">
        <v>227</v>
      </c>
      <c r="AS2" s="29" t="s">
        <v>228</v>
      </c>
      <c r="AT2" s="32" t="s">
        <v>229</v>
      </c>
      <c r="AU2" s="30" t="s">
        <v>230</v>
      </c>
      <c r="AV2" s="30"/>
      <c r="AW2" s="30" t="s">
        <v>177</v>
      </c>
      <c r="AX2" s="30" t="s">
        <v>231</v>
      </c>
      <c r="AY2" s="178" t="s">
        <v>232</v>
      </c>
      <c r="AZ2" s="178"/>
      <c r="BA2" s="178"/>
      <c r="BB2" s="178" t="s">
        <v>233</v>
      </c>
      <c r="BC2" s="178"/>
      <c r="BD2" s="178"/>
      <c r="BE2" s="178"/>
      <c r="BF2" s="178"/>
      <c r="BG2" s="33" t="s">
        <v>181</v>
      </c>
      <c r="BH2" s="27"/>
      <c r="BI2" s="33" t="s">
        <v>234</v>
      </c>
      <c r="BJ2" s="27"/>
      <c r="BK2" s="33" t="s">
        <v>235</v>
      </c>
      <c r="BL2" s="33" t="s">
        <v>236</v>
      </c>
      <c r="BM2" s="33" t="s">
        <v>237</v>
      </c>
      <c r="BN2" s="34"/>
      <c r="BO2" s="34"/>
      <c r="BP2" s="34"/>
      <c r="BQ2" s="178" t="s">
        <v>238</v>
      </c>
      <c r="BR2" s="178"/>
      <c r="BS2" s="178"/>
      <c r="BT2" s="27"/>
      <c r="BU2" s="35" t="s">
        <v>235</v>
      </c>
      <c r="BV2" s="33" t="s">
        <v>239</v>
      </c>
      <c r="BW2" s="27"/>
      <c r="BX2" s="33" t="s">
        <v>240</v>
      </c>
      <c r="BY2" s="33" t="s">
        <v>241</v>
      </c>
      <c r="BZ2" s="27"/>
      <c r="CA2" s="27"/>
      <c r="CB2" s="174" t="s">
        <v>154</v>
      </c>
      <c r="CC2" s="174"/>
      <c r="CD2" s="174"/>
      <c r="CE2" s="27"/>
      <c r="CF2" s="35" t="s">
        <v>235</v>
      </c>
      <c r="CG2" s="33" t="s">
        <v>242</v>
      </c>
      <c r="CH2" s="35" t="s">
        <v>243</v>
      </c>
      <c r="CN2" s="36" t="s">
        <v>244</v>
      </c>
    </row>
    <row r="3" spans="1:92" s="36" customFormat="1" ht="56.25" x14ac:dyDescent="0.2">
      <c r="A3" s="37" t="s">
        <v>149</v>
      </c>
      <c r="B3" s="37" t="s">
        <v>245</v>
      </c>
      <c r="C3" s="37" t="s">
        <v>245</v>
      </c>
      <c r="D3" s="37" t="s">
        <v>246</v>
      </c>
      <c r="E3" s="37" t="s">
        <v>247</v>
      </c>
      <c r="F3" s="37" t="s">
        <v>248</v>
      </c>
      <c r="G3" s="37" t="s">
        <v>249</v>
      </c>
      <c r="H3" s="37" t="s">
        <v>250</v>
      </c>
      <c r="I3" s="37"/>
      <c r="J3" s="37" t="s">
        <v>251</v>
      </c>
      <c r="K3" s="37" t="s">
        <v>252</v>
      </c>
      <c r="L3" s="37" t="s">
        <v>252</v>
      </c>
      <c r="M3" s="37" t="s">
        <v>251</v>
      </c>
      <c r="N3" s="37" t="s">
        <v>253</v>
      </c>
      <c r="O3" s="37" t="s">
        <v>254</v>
      </c>
      <c r="P3" s="37" t="s">
        <v>251</v>
      </c>
      <c r="Q3" s="37" t="s">
        <v>255</v>
      </c>
      <c r="R3" s="37" t="s">
        <v>251</v>
      </c>
      <c r="S3" s="37" t="s">
        <v>256</v>
      </c>
      <c r="T3" s="37" t="s">
        <v>257</v>
      </c>
      <c r="U3" s="37" t="s">
        <v>258</v>
      </c>
      <c r="V3" s="37" t="s">
        <v>258</v>
      </c>
      <c r="W3" s="37" t="s">
        <v>259</v>
      </c>
      <c r="X3" s="37" t="s">
        <v>260</v>
      </c>
      <c r="Y3" s="37" t="s">
        <v>257</v>
      </c>
      <c r="Z3" s="37" t="s">
        <v>261</v>
      </c>
      <c r="AA3" s="37" t="s">
        <v>183</v>
      </c>
      <c r="AB3" s="37" t="s">
        <v>262</v>
      </c>
      <c r="AC3" s="37" t="s">
        <v>260</v>
      </c>
      <c r="AD3" s="37" t="s">
        <v>183</v>
      </c>
      <c r="AE3" s="37" t="s">
        <v>263</v>
      </c>
      <c r="AF3" s="37" t="s">
        <v>264</v>
      </c>
      <c r="AG3" s="37" t="s">
        <v>265</v>
      </c>
      <c r="AH3" s="37" t="s">
        <v>260</v>
      </c>
      <c r="AI3" s="38" t="s">
        <v>183</v>
      </c>
      <c r="AJ3" s="37" t="s">
        <v>266</v>
      </c>
      <c r="AK3" s="37" t="s">
        <v>260</v>
      </c>
      <c r="AL3" s="37" t="s">
        <v>260</v>
      </c>
      <c r="AM3" s="37" t="s">
        <v>266</v>
      </c>
      <c r="AN3" s="37" t="s">
        <v>267</v>
      </c>
      <c r="AO3" s="37" t="s">
        <v>268</v>
      </c>
      <c r="AP3" s="37" t="s">
        <v>268</v>
      </c>
      <c r="AQ3" s="37" t="s">
        <v>269</v>
      </c>
      <c r="AR3" s="37"/>
      <c r="AS3" s="37" t="s">
        <v>270</v>
      </c>
      <c r="AT3" s="39" t="s">
        <v>271</v>
      </c>
      <c r="AU3" s="37" t="s">
        <v>272</v>
      </c>
      <c r="AV3" s="37"/>
      <c r="AW3" s="40"/>
      <c r="AX3" s="41"/>
      <c r="AY3" s="40"/>
      <c r="AZ3" s="40"/>
      <c r="BA3" s="40"/>
      <c r="BB3" s="36">
        <f>BB160/BB161</f>
        <v>0.62435364751619105</v>
      </c>
      <c r="BC3" s="40"/>
      <c r="BD3" s="40"/>
      <c r="BF3" s="40"/>
      <c r="BG3" s="40"/>
      <c r="BH3" s="40"/>
      <c r="BI3" s="35"/>
      <c r="BJ3" s="40"/>
      <c r="BK3" s="37"/>
      <c r="BL3" s="40"/>
      <c r="BM3" s="40"/>
      <c r="BN3" s="40"/>
      <c r="BO3" s="40"/>
      <c r="BP3" s="40"/>
    </row>
    <row r="4" spans="1:92" s="36" customFormat="1" ht="30.75" customHeight="1" x14ac:dyDescent="0.2">
      <c r="A4" s="37" t="s">
        <v>150</v>
      </c>
      <c r="B4" s="37" t="s">
        <v>273</v>
      </c>
      <c r="C4" s="37" t="s">
        <v>274</v>
      </c>
      <c r="D4" s="37">
        <v>2020</v>
      </c>
      <c r="E4" s="37">
        <v>2022</v>
      </c>
      <c r="F4" s="37">
        <v>2024</v>
      </c>
      <c r="G4" s="37">
        <f>2024+1</f>
        <v>2025</v>
      </c>
      <c r="H4" s="37">
        <v>2025</v>
      </c>
      <c r="I4" s="37">
        <v>2025</v>
      </c>
      <c r="J4" s="37">
        <v>2016</v>
      </c>
      <c r="K4" s="37">
        <v>2022</v>
      </c>
      <c r="L4" s="37">
        <v>2022</v>
      </c>
      <c r="M4" s="37" t="s">
        <v>275</v>
      </c>
      <c r="N4" s="37">
        <v>2020</v>
      </c>
      <c r="O4" s="37" t="s">
        <v>276</v>
      </c>
      <c r="P4" s="37">
        <v>2023</v>
      </c>
      <c r="Q4" s="37">
        <v>2023</v>
      </c>
      <c r="R4" s="42">
        <v>44652</v>
      </c>
      <c r="S4" s="43">
        <v>2023</v>
      </c>
      <c r="T4" s="37">
        <v>2024</v>
      </c>
      <c r="U4" s="44">
        <v>44896</v>
      </c>
      <c r="V4" s="45">
        <v>2025</v>
      </c>
      <c r="W4" s="37">
        <v>2018</v>
      </c>
      <c r="X4" s="45" t="s">
        <v>277</v>
      </c>
      <c r="Y4" s="37" t="s">
        <v>278</v>
      </c>
      <c r="Z4" s="37">
        <v>2024</v>
      </c>
      <c r="AA4" s="42">
        <v>45039</v>
      </c>
      <c r="AB4" s="42">
        <v>45474</v>
      </c>
      <c r="AC4" s="45" t="s">
        <v>279</v>
      </c>
      <c r="AD4" s="37" t="s">
        <v>280</v>
      </c>
      <c r="AE4" s="37" t="s">
        <v>281</v>
      </c>
      <c r="AF4" s="37">
        <v>2022</v>
      </c>
      <c r="AG4" s="37">
        <v>2023</v>
      </c>
      <c r="AH4" s="45" t="s">
        <v>282</v>
      </c>
      <c r="AI4" s="46">
        <v>45474</v>
      </c>
      <c r="AJ4" s="47">
        <v>46082</v>
      </c>
      <c r="AK4" s="48" t="s">
        <v>283</v>
      </c>
      <c r="AL4" s="47" t="s">
        <v>284</v>
      </c>
      <c r="AM4" s="47" t="s">
        <v>285</v>
      </c>
      <c r="AN4" s="48" t="s">
        <v>283</v>
      </c>
      <c r="AO4" s="48">
        <v>45809</v>
      </c>
      <c r="AP4" s="48" t="s">
        <v>283</v>
      </c>
      <c r="AQ4" s="48" t="s">
        <v>283</v>
      </c>
      <c r="AR4" s="48" t="s">
        <v>286</v>
      </c>
      <c r="AS4" s="48" t="s">
        <v>287</v>
      </c>
      <c r="AT4" s="49">
        <v>45809</v>
      </c>
      <c r="AU4" s="48" t="s">
        <v>288</v>
      </c>
      <c r="AV4" s="48"/>
      <c r="AW4" s="40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0"/>
      <c r="BO4" s="40"/>
      <c r="BP4" s="40"/>
    </row>
    <row r="5" spans="1:92" s="36" customFormat="1" ht="30.75" customHeight="1" x14ac:dyDescent="0.2">
      <c r="A5" s="37" t="s">
        <v>151</v>
      </c>
      <c r="B5" s="50" t="s">
        <v>289</v>
      </c>
      <c r="C5" s="37">
        <v>470</v>
      </c>
      <c r="D5" s="37">
        <v>3</v>
      </c>
      <c r="E5" s="37">
        <v>85</v>
      </c>
      <c r="F5" s="50" t="s">
        <v>290</v>
      </c>
      <c r="G5" s="37" t="s">
        <v>291</v>
      </c>
      <c r="H5" s="50" t="s">
        <v>292</v>
      </c>
      <c r="I5" s="37">
        <v>250</v>
      </c>
      <c r="J5" s="50" t="s">
        <v>293</v>
      </c>
      <c r="K5" s="37" t="s">
        <v>294</v>
      </c>
      <c r="L5" s="37">
        <v>125</v>
      </c>
      <c r="M5" s="37" t="s">
        <v>295</v>
      </c>
      <c r="N5" s="51">
        <v>184</v>
      </c>
      <c r="O5" s="37" t="s">
        <v>296</v>
      </c>
      <c r="P5" s="37">
        <v>100</v>
      </c>
      <c r="Q5" s="37">
        <v>140</v>
      </c>
      <c r="R5" s="50">
        <v>92</v>
      </c>
      <c r="S5" s="37">
        <v>150</v>
      </c>
      <c r="T5" s="37">
        <v>36</v>
      </c>
      <c r="U5" s="37">
        <v>11</v>
      </c>
      <c r="V5" s="37">
        <v>33</v>
      </c>
      <c r="W5" s="37">
        <v>20</v>
      </c>
      <c r="X5" s="37">
        <v>16.100000000000001</v>
      </c>
      <c r="Y5" s="37">
        <v>10</v>
      </c>
      <c r="Z5" s="37">
        <v>920</v>
      </c>
      <c r="AA5" s="37">
        <v>306</v>
      </c>
      <c r="AB5" s="37">
        <v>80</v>
      </c>
      <c r="AC5" s="37">
        <v>32</v>
      </c>
      <c r="AD5" s="37" t="s">
        <v>297</v>
      </c>
      <c r="AE5" s="37" t="s">
        <v>298</v>
      </c>
      <c r="AF5" s="50" t="s">
        <v>299</v>
      </c>
      <c r="AG5" s="37">
        <v>120</v>
      </c>
      <c r="AH5" s="37">
        <v>60</v>
      </c>
      <c r="AI5" s="38">
        <v>47</v>
      </c>
      <c r="AJ5" s="37">
        <v>120</v>
      </c>
      <c r="AK5" s="37">
        <v>35</v>
      </c>
      <c r="AL5" s="37" t="s">
        <v>300</v>
      </c>
      <c r="AM5" s="37">
        <v>46</v>
      </c>
      <c r="AN5" s="37">
        <v>75</v>
      </c>
      <c r="AO5" s="37">
        <v>95</v>
      </c>
      <c r="AP5" s="37">
        <v>95</v>
      </c>
      <c r="AQ5" s="37">
        <v>100</v>
      </c>
      <c r="AR5" s="37">
        <v>120</v>
      </c>
      <c r="AS5" s="37">
        <v>120</v>
      </c>
      <c r="AT5" s="39">
        <v>220</v>
      </c>
      <c r="AU5" s="37">
        <v>350</v>
      </c>
      <c r="AV5" s="37"/>
      <c r="AW5" s="40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</row>
    <row r="6" spans="1:92" s="36" customFormat="1" ht="30.75" customHeight="1" x14ac:dyDescent="0.2">
      <c r="A6" s="37">
        <f>MEDIAN(B6:BA6)</f>
        <v>113.5</v>
      </c>
      <c r="B6" s="50">
        <v>982</v>
      </c>
      <c r="C6" s="37">
        <v>470</v>
      </c>
      <c r="D6" s="37">
        <v>3</v>
      </c>
      <c r="E6" s="37">
        <v>85</v>
      </c>
      <c r="F6" s="50">
        <v>340</v>
      </c>
      <c r="G6" s="37">
        <v>750</v>
      </c>
      <c r="H6" s="50"/>
      <c r="I6" s="37">
        <v>250</v>
      </c>
      <c r="J6" s="50">
        <v>117</v>
      </c>
      <c r="K6" s="37">
        <v>75</v>
      </c>
      <c r="L6" s="37">
        <v>125</v>
      </c>
      <c r="M6" s="37">
        <v>730</v>
      </c>
      <c r="N6" s="51">
        <v>184</v>
      </c>
      <c r="O6" s="37">
        <v>800</v>
      </c>
      <c r="P6" s="37">
        <v>100</v>
      </c>
      <c r="Q6" s="37">
        <v>140</v>
      </c>
      <c r="R6" s="50">
        <v>82</v>
      </c>
      <c r="S6" s="37">
        <v>150</v>
      </c>
      <c r="T6" s="37">
        <v>36</v>
      </c>
      <c r="U6" s="37">
        <v>11</v>
      </c>
      <c r="V6" s="37">
        <v>33</v>
      </c>
      <c r="W6" s="37">
        <v>20</v>
      </c>
      <c r="X6" s="37">
        <v>16.100000000000001</v>
      </c>
      <c r="Y6" s="37">
        <v>10</v>
      </c>
      <c r="Z6" s="37">
        <v>920</v>
      </c>
      <c r="AA6" s="37">
        <v>306</v>
      </c>
      <c r="AB6" s="37">
        <v>80</v>
      </c>
      <c r="AC6" s="37">
        <v>32</v>
      </c>
      <c r="AD6" s="37">
        <v>200</v>
      </c>
      <c r="AE6" s="37">
        <v>110</v>
      </c>
      <c r="AF6" s="50">
        <v>135</v>
      </c>
      <c r="AG6" s="37">
        <v>120</v>
      </c>
      <c r="AH6" s="37">
        <v>60</v>
      </c>
      <c r="AI6" s="38"/>
      <c r="AJ6" s="37">
        <v>120</v>
      </c>
      <c r="AK6" s="37">
        <v>35</v>
      </c>
      <c r="AL6" s="37">
        <v>90</v>
      </c>
      <c r="AM6" s="37"/>
      <c r="AN6" s="37">
        <v>75</v>
      </c>
      <c r="AO6" s="37">
        <v>95</v>
      </c>
      <c r="AP6" s="37">
        <v>95</v>
      </c>
      <c r="AQ6" s="37">
        <v>100</v>
      </c>
      <c r="AR6" s="37">
        <v>120</v>
      </c>
      <c r="AS6" s="37">
        <v>120</v>
      </c>
      <c r="AT6" s="39"/>
      <c r="AU6" s="37">
        <v>350</v>
      </c>
      <c r="AV6" s="37"/>
      <c r="AW6" s="40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0"/>
      <c r="BO6" s="40"/>
      <c r="BP6" s="40"/>
      <c r="BQ6" s="35"/>
      <c r="BR6" s="35"/>
      <c r="BS6" s="35"/>
      <c r="BU6" s="35"/>
      <c r="BV6" s="35"/>
      <c r="BX6" s="35"/>
      <c r="BY6" s="35"/>
    </row>
    <row r="7" spans="1:92" s="36" customFormat="1" ht="30.75" customHeight="1" x14ac:dyDescent="0.2">
      <c r="A7" s="37" t="s">
        <v>152</v>
      </c>
      <c r="B7" s="37" t="s">
        <v>301</v>
      </c>
      <c r="C7" s="37" t="s">
        <v>301</v>
      </c>
      <c r="D7" s="37"/>
      <c r="E7" s="37" t="s">
        <v>301</v>
      </c>
      <c r="F7" s="37" t="s">
        <v>301</v>
      </c>
      <c r="G7" s="37" t="s">
        <v>301</v>
      </c>
      <c r="H7" s="37" t="s">
        <v>301</v>
      </c>
      <c r="I7" s="37" t="s">
        <v>301</v>
      </c>
      <c r="J7" s="37" t="s">
        <v>301</v>
      </c>
      <c r="K7" s="37" t="s">
        <v>301</v>
      </c>
      <c r="L7" s="37" t="s">
        <v>301</v>
      </c>
      <c r="M7" s="37" t="s">
        <v>301</v>
      </c>
      <c r="N7" s="37" t="s">
        <v>301</v>
      </c>
      <c r="O7" s="37" t="s">
        <v>301</v>
      </c>
      <c r="P7" s="37" t="s">
        <v>301</v>
      </c>
      <c r="Q7" s="37" t="s">
        <v>301</v>
      </c>
      <c r="R7" s="37" t="s">
        <v>301</v>
      </c>
      <c r="S7" s="37" t="s">
        <v>301</v>
      </c>
      <c r="T7" s="37" t="s">
        <v>302</v>
      </c>
      <c r="U7" s="37" t="e">
        <v>#N/A</v>
      </c>
      <c r="V7" s="37" t="e">
        <v>#N/A</v>
      </c>
      <c r="W7" s="37" t="s">
        <v>302</v>
      </c>
      <c r="X7" s="37" t="e">
        <v>#N/A</v>
      </c>
      <c r="Y7" s="37" t="e">
        <v>#N/A</v>
      </c>
      <c r="Z7" s="37" t="s">
        <v>301</v>
      </c>
      <c r="AA7" s="37" t="s">
        <v>301</v>
      </c>
      <c r="AB7" s="37" t="s">
        <v>301</v>
      </c>
      <c r="AC7" s="37" t="e">
        <v>#N/A</v>
      </c>
      <c r="AD7" s="37" t="s">
        <v>301</v>
      </c>
      <c r="AE7" s="37" t="s">
        <v>301</v>
      </c>
      <c r="AF7" s="37" t="s">
        <v>301</v>
      </c>
      <c r="AG7" s="37" t="s">
        <v>302</v>
      </c>
      <c r="AH7" s="37" t="e">
        <v>#N/A</v>
      </c>
      <c r="AI7" s="38" t="s">
        <v>301</v>
      </c>
      <c r="AJ7" s="37" t="e">
        <v>#N/A</v>
      </c>
      <c r="AK7" s="37" t="e">
        <v>#N/A</v>
      </c>
      <c r="AL7" s="37" t="s">
        <v>301</v>
      </c>
      <c r="AM7" s="37" t="e">
        <v>#N/A</v>
      </c>
      <c r="AN7" s="37" t="s">
        <v>302</v>
      </c>
      <c r="AO7" s="37" t="s">
        <v>301</v>
      </c>
      <c r="AP7" s="37" t="s">
        <v>301</v>
      </c>
      <c r="AQ7" s="37"/>
      <c r="AR7" s="37"/>
      <c r="AS7" s="37"/>
      <c r="AT7" s="39"/>
      <c r="AU7" s="37"/>
      <c r="AV7" s="37"/>
      <c r="AW7" s="40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0"/>
      <c r="BO7" s="40"/>
      <c r="BP7" s="40"/>
      <c r="BQ7" s="35"/>
      <c r="BR7" s="35"/>
      <c r="BS7" s="35"/>
      <c r="BU7" s="35"/>
      <c r="BV7" s="35"/>
      <c r="BX7" s="35"/>
      <c r="BY7" s="35"/>
    </row>
    <row r="8" spans="1:92" s="36" customFormat="1" ht="36" customHeight="1" x14ac:dyDescent="0.2">
      <c r="A8" s="37" t="s">
        <v>153</v>
      </c>
      <c r="B8" s="37" t="s">
        <v>303</v>
      </c>
      <c r="C8" s="37" t="s">
        <v>303</v>
      </c>
      <c r="D8" s="37"/>
      <c r="E8" s="37" t="s">
        <v>304</v>
      </c>
      <c r="F8" s="37"/>
      <c r="G8" s="37"/>
      <c r="H8" s="37"/>
      <c r="I8" s="37" t="s">
        <v>303</v>
      </c>
      <c r="J8" s="37"/>
      <c r="K8" s="37" t="s">
        <v>305</v>
      </c>
      <c r="L8" s="37"/>
      <c r="M8" s="37" t="s">
        <v>306</v>
      </c>
      <c r="N8" s="37" t="s">
        <v>307</v>
      </c>
      <c r="O8" s="37"/>
      <c r="P8" s="37"/>
      <c r="Q8" s="37"/>
      <c r="R8" s="37"/>
      <c r="S8" s="37" t="s">
        <v>303</v>
      </c>
      <c r="T8" s="37"/>
      <c r="U8" s="37"/>
      <c r="V8" s="37"/>
      <c r="W8" s="37"/>
      <c r="X8" s="37"/>
      <c r="Y8" s="37"/>
      <c r="Z8" s="37" t="s">
        <v>305</v>
      </c>
      <c r="AA8" s="37" t="s">
        <v>303</v>
      </c>
      <c r="AB8" s="37"/>
      <c r="AC8" s="37"/>
      <c r="AD8" s="37"/>
      <c r="AE8" s="37"/>
      <c r="AF8" s="37"/>
      <c r="AG8" s="37"/>
      <c r="AH8" s="37"/>
      <c r="AI8" s="38"/>
      <c r="AJ8" s="37"/>
      <c r="AK8" s="37"/>
      <c r="AL8" s="52">
        <f>1320*42*365</f>
        <v>20235600</v>
      </c>
      <c r="AM8" s="37"/>
      <c r="AN8" s="37"/>
      <c r="AO8" s="37"/>
      <c r="AP8" s="37"/>
      <c r="AQ8" s="37"/>
      <c r="AR8" s="37"/>
      <c r="AS8" s="37"/>
      <c r="AT8" s="39"/>
      <c r="AU8" s="37"/>
      <c r="AV8" s="37"/>
      <c r="AW8" s="40"/>
      <c r="AX8" s="41"/>
      <c r="AY8" s="40"/>
      <c r="AZ8" s="40"/>
      <c r="BA8" s="40"/>
      <c r="BB8" s="40"/>
      <c r="BC8" s="53"/>
      <c r="BD8" s="53"/>
      <c r="BE8" s="53"/>
      <c r="BG8" s="40"/>
      <c r="BH8" s="40"/>
      <c r="BI8" s="40"/>
      <c r="BJ8" s="40"/>
      <c r="BK8" s="40"/>
      <c r="BL8" s="37"/>
      <c r="BM8" s="40"/>
      <c r="BN8" s="40"/>
      <c r="BO8" s="40"/>
      <c r="BP8" s="40"/>
      <c r="BQ8" s="40"/>
    </row>
    <row r="9" spans="1:92" s="36" customFormat="1" ht="22.5" x14ac:dyDescent="0.2">
      <c r="A9" s="37" t="s">
        <v>308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>
        <v>2022</v>
      </c>
      <c r="N9" s="37">
        <v>2020</v>
      </c>
      <c r="O9" s="37"/>
      <c r="P9" s="37"/>
      <c r="Q9" s="37" t="s">
        <v>159</v>
      </c>
      <c r="R9" s="37"/>
      <c r="S9" s="37" t="s">
        <v>159</v>
      </c>
      <c r="T9" s="37"/>
      <c r="U9" s="37">
        <f>11/0.175</f>
        <v>62.857142857142861</v>
      </c>
      <c r="V9" s="37">
        <f>33/0.7</f>
        <v>47.142857142857146</v>
      </c>
      <c r="W9" s="37"/>
      <c r="X9" s="37"/>
      <c r="Y9" s="37"/>
      <c r="Z9" s="37" t="s">
        <v>159</v>
      </c>
      <c r="AA9" s="37"/>
      <c r="AB9" s="37"/>
      <c r="AC9" s="37"/>
      <c r="AD9" s="37"/>
      <c r="AE9" s="37" t="s">
        <v>159</v>
      </c>
      <c r="AF9" s="37" t="s">
        <v>159</v>
      </c>
      <c r="AG9" s="37"/>
      <c r="AH9" s="37"/>
      <c r="AI9" s="38"/>
      <c r="AJ9" s="37" t="s">
        <v>159</v>
      </c>
      <c r="AK9" s="37"/>
      <c r="AL9" s="37"/>
      <c r="AM9" s="37"/>
      <c r="AN9" s="37"/>
      <c r="AO9" s="37"/>
      <c r="AP9" s="37"/>
      <c r="AQ9" s="37"/>
      <c r="AR9" s="37"/>
      <c r="AS9" s="37"/>
      <c r="AT9" s="39"/>
      <c r="AU9" s="37"/>
      <c r="AV9" s="37"/>
      <c r="AW9" s="40"/>
      <c r="AX9" s="41"/>
      <c r="AY9" s="40"/>
      <c r="AZ9" s="40"/>
      <c r="BA9" s="40"/>
      <c r="BB9" s="37" t="s">
        <v>309</v>
      </c>
      <c r="BC9" s="53"/>
      <c r="BD9" s="53"/>
      <c r="BE9" s="53"/>
      <c r="BG9" s="40"/>
      <c r="BH9" s="40"/>
      <c r="BI9" s="40"/>
      <c r="BJ9" s="40"/>
      <c r="BK9" s="40"/>
      <c r="BL9" s="37"/>
      <c r="BM9" s="40"/>
      <c r="BN9" s="40"/>
      <c r="BO9" s="40"/>
      <c r="BP9" s="40"/>
      <c r="BQ9" s="40"/>
    </row>
    <row r="10" spans="1:92" s="36" customFormat="1" ht="56.25" x14ac:dyDescent="0.2">
      <c r="A10" s="37" t="s">
        <v>234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>
        <f>2000*42*350/1000000</f>
        <v>29.4</v>
      </c>
      <c r="N10" s="37">
        <f>3000*42*350/1000000</f>
        <v>44.1</v>
      </c>
      <c r="O10" s="37"/>
      <c r="P10" s="37"/>
      <c r="Q10" s="37"/>
      <c r="R10" s="37"/>
      <c r="S10" s="37"/>
      <c r="T10" s="37"/>
      <c r="U10" s="37" t="s">
        <v>310</v>
      </c>
      <c r="V10" s="37" t="s">
        <v>311</v>
      </c>
      <c r="W10" s="37"/>
      <c r="X10" s="37" t="s">
        <v>312</v>
      </c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8" t="s">
        <v>313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9"/>
      <c r="AU10" s="37"/>
      <c r="AV10" s="37"/>
      <c r="AW10" s="40"/>
      <c r="AX10" s="41"/>
      <c r="AY10" s="40"/>
      <c r="AZ10" s="40"/>
      <c r="BA10" s="40"/>
      <c r="BB10" s="37" t="s">
        <v>314</v>
      </c>
      <c r="BC10" s="53"/>
      <c r="BD10" s="53"/>
      <c r="BE10" s="53"/>
      <c r="BG10" s="40"/>
      <c r="BH10" s="40"/>
      <c r="BI10" s="40"/>
      <c r="BJ10" s="40"/>
      <c r="BK10" s="40"/>
      <c r="BL10" s="37"/>
      <c r="BM10" s="40"/>
      <c r="BN10" s="40"/>
      <c r="BO10" s="40"/>
      <c r="BP10" s="40"/>
      <c r="BQ10" s="40"/>
    </row>
    <row r="11" spans="1:92" s="36" customFormat="1" ht="12" customHeight="1" x14ac:dyDescent="0.2">
      <c r="A11" s="37" t="s">
        <v>154</v>
      </c>
      <c r="B11" s="37"/>
      <c r="C11" s="37"/>
      <c r="D11" s="37"/>
      <c r="E11" s="37"/>
      <c r="F11" s="37"/>
      <c r="G11" s="54"/>
      <c r="H11" s="37" t="s">
        <v>315</v>
      </c>
      <c r="I11" s="37" t="s">
        <v>315</v>
      </c>
      <c r="J11" s="37"/>
      <c r="K11" s="37"/>
      <c r="L11" s="37"/>
      <c r="M11" s="37"/>
      <c r="N11" s="37"/>
      <c r="O11" s="37" t="s">
        <v>301</v>
      </c>
      <c r="P11" s="37"/>
      <c r="Q11" s="37"/>
      <c r="R11" s="37" t="s">
        <v>301</v>
      </c>
      <c r="S11" s="37" t="s">
        <v>316</v>
      </c>
      <c r="T11" s="37" t="s">
        <v>301</v>
      </c>
      <c r="U11" s="37"/>
      <c r="V11" s="37" t="s">
        <v>317</v>
      </c>
      <c r="W11" s="37"/>
      <c r="X11" s="37" t="s">
        <v>302</v>
      </c>
      <c r="Y11" s="37" t="s">
        <v>301</v>
      </c>
      <c r="Z11" s="37" t="s">
        <v>318</v>
      </c>
      <c r="AA11" s="37"/>
      <c r="AB11" s="37"/>
      <c r="AC11" s="37"/>
      <c r="AD11" s="37"/>
      <c r="AE11" s="37" t="s">
        <v>301</v>
      </c>
      <c r="AF11" s="37" t="s">
        <v>301</v>
      </c>
      <c r="AG11" s="37"/>
      <c r="AH11" s="37"/>
      <c r="AI11" s="38" t="s">
        <v>301</v>
      </c>
      <c r="AJ11" s="37" t="s">
        <v>301</v>
      </c>
      <c r="AK11" s="37" t="s">
        <v>301</v>
      </c>
      <c r="AL11" s="37" t="s">
        <v>301</v>
      </c>
      <c r="AM11" s="37" t="s">
        <v>301</v>
      </c>
      <c r="AN11" s="37"/>
      <c r="AO11" s="37" t="s">
        <v>301</v>
      </c>
      <c r="AP11" s="37" t="s">
        <v>301</v>
      </c>
      <c r="AQ11" s="37" t="s">
        <v>301</v>
      </c>
      <c r="AR11" s="37" t="s">
        <v>301</v>
      </c>
      <c r="AS11" s="37" t="s">
        <v>159</v>
      </c>
      <c r="AT11" s="39" t="s">
        <v>301</v>
      </c>
      <c r="AU11" s="37" t="s">
        <v>301</v>
      </c>
      <c r="AV11" s="37"/>
      <c r="AW11" s="40"/>
      <c r="AX11" s="41"/>
      <c r="AY11" s="40"/>
      <c r="AZ11" s="40"/>
      <c r="BA11" s="40"/>
      <c r="BB11" s="36" t="s">
        <v>319</v>
      </c>
      <c r="BC11" s="53"/>
      <c r="BD11" s="53"/>
      <c r="BE11" s="53"/>
      <c r="BG11" s="40"/>
      <c r="BH11" s="40"/>
      <c r="BI11" s="40"/>
      <c r="BJ11" s="40"/>
      <c r="BK11" s="40"/>
      <c r="BL11" s="37"/>
      <c r="BM11" s="40"/>
      <c r="BN11" s="40"/>
      <c r="BO11" s="40"/>
      <c r="BP11" s="40"/>
      <c r="BQ11" s="40"/>
    </row>
    <row r="12" spans="1:92" s="55" customFormat="1" ht="22.5" x14ac:dyDescent="0.2">
      <c r="A12" s="55" t="s">
        <v>155</v>
      </c>
      <c r="B12" s="55">
        <v>1</v>
      </c>
      <c r="C12" s="55">
        <v>1</v>
      </c>
      <c r="D12" s="55">
        <v>1</v>
      </c>
      <c r="E12" s="55">
        <v>1</v>
      </c>
      <c r="F12" s="55">
        <v>1</v>
      </c>
      <c r="G12" s="55">
        <v>0.05</v>
      </c>
      <c r="H12" s="55">
        <v>0.7</v>
      </c>
      <c r="I12" s="55">
        <v>0.5</v>
      </c>
      <c r="J12" s="55">
        <v>1</v>
      </c>
      <c r="K12" s="55">
        <v>1</v>
      </c>
      <c r="L12" s="55">
        <v>1</v>
      </c>
      <c r="M12" s="56">
        <v>1</v>
      </c>
      <c r="N12" s="55">
        <v>1</v>
      </c>
      <c r="O12" s="56" t="s">
        <v>320</v>
      </c>
      <c r="P12" s="55">
        <v>0.5</v>
      </c>
      <c r="Q12" s="55">
        <v>0.15</v>
      </c>
      <c r="R12" s="55">
        <v>1</v>
      </c>
      <c r="S12" s="55">
        <v>0.4</v>
      </c>
      <c r="T12" s="55">
        <v>1</v>
      </c>
      <c r="U12" s="55">
        <v>1</v>
      </c>
      <c r="V12" s="55">
        <v>0</v>
      </c>
      <c r="W12" s="55">
        <v>1</v>
      </c>
      <c r="X12" s="55">
        <v>0</v>
      </c>
      <c r="Y12" s="55">
        <v>0.35</v>
      </c>
      <c r="Z12" s="55">
        <v>0.25</v>
      </c>
      <c r="AA12" s="55">
        <v>1</v>
      </c>
      <c r="AB12" s="55">
        <v>0.75</v>
      </c>
      <c r="AC12" s="55">
        <v>0.05</v>
      </c>
      <c r="AD12" s="55">
        <v>0.9</v>
      </c>
      <c r="AE12" s="55">
        <v>0.01</v>
      </c>
      <c r="AF12" s="55">
        <v>1</v>
      </c>
      <c r="AG12" s="55">
        <v>0.15</v>
      </c>
      <c r="AH12" s="55">
        <v>0.05</v>
      </c>
      <c r="AI12" s="57">
        <v>1</v>
      </c>
      <c r="AJ12" s="55">
        <v>0.75</v>
      </c>
      <c r="AK12" s="55">
        <v>0.4</v>
      </c>
      <c r="AL12" s="55">
        <v>0.5</v>
      </c>
      <c r="AM12" s="55">
        <v>0.01</v>
      </c>
      <c r="AN12" s="55">
        <v>0.01</v>
      </c>
      <c r="AO12" s="55">
        <v>0.2</v>
      </c>
      <c r="AP12" s="55">
        <v>0.1</v>
      </c>
      <c r="AQ12" s="55">
        <v>0.05</v>
      </c>
      <c r="AR12" s="55">
        <v>1</v>
      </c>
      <c r="AS12" s="55">
        <v>1</v>
      </c>
      <c r="AT12" s="58">
        <v>0.25</v>
      </c>
      <c r="AU12" s="55">
        <v>1</v>
      </c>
      <c r="AY12" s="37" t="s">
        <v>178</v>
      </c>
      <c r="AZ12" s="37" t="s">
        <v>180</v>
      </c>
      <c r="BA12" s="37" t="s">
        <v>177</v>
      </c>
      <c r="BB12" s="37" t="s">
        <v>179</v>
      </c>
      <c r="BC12" s="55" t="s">
        <v>179</v>
      </c>
      <c r="BD12" s="55" t="s">
        <v>321</v>
      </c>
      <c r="BE12" s="55" t="s">
        <v>177</v>
      </c>
      <c r="BF12" s="55" t="s">
        <v>322</v>
      </c>
      <c r="BQ12" s="55" t="s">
        <v>323</v>
      </c>
      <c r="BR12" s="55" t="s">
        <v>324</v>
      </c>
      <c r="BS12" s="55" t="s">
        <v>177</v>
      </c>
      <c r="CB12" s="55" t="s">
        <v>323</v>
      </c>
      <c r="CC12" s="55" t="s">
        <v>324</v>
      </c>
      <c r="CD12" s="55" t="s">
        <v>177</v>
      </c>
    </row>
    <row r="13" spans="1:92" ht="13.5" x14ac:dyDescent="0.25">
      <c r="A13" s="59">
        <v>40544</v>
      </c>
      <c r="B13" s="60"/>
      <c r="C13" s="61"/>
      <c r="D13" s="60"/>
      <c r="E13" s="60"/>
      <c r="F13" s="60"/>
      <c r="G13" s="60"/>
      <c r="H13" s="60"/>
      <c r="I13" s="60"/>
      <c r="J13" s="61"/>
      <c r="K13" s="60"/>
      <c r="L13" s="60"/>
      <c r="M13" s="61"/>
      <c r="N13" s="61"/>
      <c r="O13" s="61"/>
      <c r="P13" s="60"/>
      <c r="Q13" s="61"/>
      <c r="R13" s="61"/>
      <c r="S13" s="60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0"/>
      <c r="AY13" s="62">
        <f>'[1]D4 Gallon Forecast'!$C149/1000000</f>
        <v>0</v>
      </c>
      <c r="AZ13" s="62">
        <f>'[1]D4 Gallon Forecast'!$C181/1000000</f>
        <v>1.937082</v>
      </c>
      <c r="BA13" s="62">
        <f>SUM(AY13:AZ13)+BB13</f>
        <v>2.1527219999999998</v>
      </c>
      <c r="BB13" s="62">
        <f>'[1]D4 Gallon Forecast'!$C165/1000000</f>
        <v>0.21564</v>
      </c>
      <c r="BC13" s="63">
        <f>'[1]D4 Gallon Forecast'!$C341</f>
        <v>0</v>
      </c>
      <c r="BD13" s="64">
        <f>'[1]D4 Gallon Forecast'!$C357/1000000</f>
        <v>0</v>
      </c>
      <c r="BE13" s="64">
        <f>BD13+BC13+BB13</f>
        <v>0.21564</v>
      </c>
      <c r="BF13" s="65">
        <f>BA13</f>
        <v>2.1527219999999998</v>
      </c>
      <c r="BG13" s="61"/>
      <c r="BH13" s="61"/>
      <c r="BI13" s="61"/>
      <c r="BJ13" s="61"/>
      <c r="BK13" s="61"/>
      <c r="BL13" s="60"/>
      <c r="BM13" s="60"/>
      <c r="BN13" s="60"/>
      <c r="BO13" s="60"/>
      <c r="BP13" s="60"/>
      <c r="BQ13" s="66">
        <f>'[1]Monthly D4 Gallon Data'!$B14/1000000</f>
        <v>32.877626999999997</v>
      </c>
      <c r="BR13" s="66">
        <f>'[1]Monthly D6 Gallon Data'!$B16/1000000</f>
        <v>0.125801</v>
      </c>
      <c r="BS13" s="66">
        <f>SUM(BQ13:BR13)</f>
        <v>33.003428</v>
      </c>
      <c r="BT13" s="60"/>
      <c r="BU13" s="67">
        <f>'[2]US EIA'!$P150</f>
        <v>269</v>
      </c>
      <c r="BV13" s="68">
        <f>BU13/BS13</f>
        <v>8.1506684699540912</v>
      </c>
      <c r="BW13" s="60"/>
      <c r="BX13" s="69">
        <f t="shared" ref="BX13:BX76" si="0">BF13/(BF13+BS13)</f>
        <v>6.1233155507642335E-2</v>
      </c>
      <c r="BY13" s="69">
        <f t="shared" ref="BY13:BY76" si="1">BS13/(BS13+BF13)</f>
        <v>0.9387668444923577</v>
      </c>
      <c r="BZ13" s="60"/>
      <c r="CA13" s="60"/>
      <c r="CB13" s="70">
        <f>'[1]Monthly D4 Gallon Data'!$AG14/1000000</f>
        <v>0</v>
      </c>
      <c r="CC13" s="70">
        <f>'[1]Monthly D6 Gallon Data'!$O16/1000000</f>
        <v>0</v>
      </c>
      <c r="CD13" s="70">
        <f>SUM(CB13:CC13)</f>
        <v>0</v>
      </c>
      <c r="CE13" s="60"/>
      <c r="CF13" s="71">
        <f>'RD Feedstock Breakdown'!GQ4</f>
        <v>0</v>
      </c>
      <c r="CG13" s="72" t="e">
        <f t="shared" ref="CG13:CG76" si="2">CF13/CB13</f>
        <v>#DIV/0!</v>
      </c>
      <c r="CH13" s="73">
        <f>'[2]US EIA'!$R150+AW13</f>
        <v>2114.4475000000002</v>
      </c>
    </row>
    <row r="14" spans="1:92" ht="13.5" x14ac:dyDescent="0.25">
      <c r="A14" s="59">
        <v>40575</v>
      </c>
      <c r="B14" s="60"/>
      <c r="C14" s="61"/>
      <c r="D14" s="60"/>
      <c r="E14" s="60"/>
      <c r="F14" s="60"/>
      <c r="G14" s="60"/>
      <c r="H14" s="60"/>
      <c r="I14" s="60"/>
      <c r="J14" s="61"/>
      <c r="K14" s="60"/>
      <c r="L14" s="60"/>
      <c r="M14" s="61"/>
      <c r="N14" s="61"/>
      <c r="O14" s="61"/>
      <c r="P14" s="60"/>
      <c r="Q14" s="61"/>
      <c r="R14" s="61"/>
      <c r="S14" s="60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0"/>
      <c r="AY14" s="62">
        <f>'[1]D4 Gallon Forecast'!$C150/1000000</f>
        <v>0</v>
      </c>
      <c r="AZ14" s="62">
        <f>'[1]D4 Gallon Forecast'!$C182/1000000</f>
        <v>0</v>
      </c>
      <c r="BA14" s="62">
        <f t="shared" ref="BA14:BA77" si="3">SUM(AY14:AZ14)+BB14</f>
        <v>0.236655</v>
      </c>
      <c r="BB14" s="62">
        <f>'[1]D4 Gallon Forecast'!$C166/1000000</f>
        <v>0.236655</v>
      </c>
      <c r="BC14" s="63">
        <f>'[1]D4 Gallon Forecast'!$C342</f>
        <v>0</v>
      </c>
      <c r="BD14" s="64">
        <f>'[1]D4 Gallon Forecast'!$C358/1000000</f>
        <v>0</v>
      </c>
      <c r="BE14" s="64">
        <f t="shared" ref="BE14:BE77" si="4">BD14+BC14</f>
        <v>0</v>
      </c>
      <c r="BF14" s="65">
        <f t="shared" ref="BF14:BF20" si="5">BA14</f>
        <v>0.236655</v>
      </c>
      <c r="BG14" s="61"/>
      <c r="BH14" s="61"/>
      <c r="BI14" s="61"/>
      <c r="BJ14" s="61"/>
      <c r="BK14" s="61"/>
      <c r="BL14" s="60"/>
      <c r="BM14" s="60"/>
      <c r="BN14" s="60"/>
      <c r="BO14" s="60"/>
      <c r="BP14" s="60"/>
      <c r="BQ14" s="66">
        <f>'[1]Monthly D4 Gallon Data'!$B15/1000000</f>
        <v>41.535834000000001</v>
      </c>
      <c r="BR14" s="66">
        <f>'[1]Monthly D6 Gallon Data'!$B17/1000000</f>
        <v>0.22627</v>
      </c>
      <c r="BS14" s="66">
        <f t="shared" ref="BS14:BS77" si="6">SUM(BQ14:BR14)</f>
        <v>41.762104000000001</v>
      </c>
      <c r="BT14" s="60"/>
      <c r="BU14" s="67">
        <f>'[2]US EIA'!$P151</f>
        <v>298</v>
      </c>
      <c r="BV14" s="68">
        <f t="shared" ref="BV14:BV77" si="7">BU14/BS14</f>
        <v>7.1356558089123094</v>
      </c>
      <c r="BW14" s="60"/>
      <c r="BX14" s="69">
        <f t="shared" si="0"/>
        <v>5.6348093523430065E-3</v>
      </c>
      <c r="BY14" s="69">
        <f t="shared" si="1"/>
        <v>0.99436519064765705</v>
      </c>
      <c r="BZ14" s="60"/>
      <c r="CA14" s="60"/>
      <c r="CB14" s="70">
        <f>'[1]Monthly D4 Gallon Data'!$AG15/1000000</f>
        <v>0</v>
      </c>
      <c r="CC14" s="70">
        <f>'[1]Monthly D6 Gallon Data'!$O17/1000000</f>
        <v>0</v>
      </c>
      <c r="CD14" s="70">
        <f t="shared" ref="CD14:CD77" si="8">SUM(CB14:CC14)</f>
        <v>0</v>
      </c>
      <c r="CE14" s="60"/>
      <c r="CF14" s="71">
        <f>'RD Feedstock Breakdown'!GQ5</f>
        <v>0</v>
      </c>
      <c r="CG14" s="72" t="e">
        <f t="shared" si="2"/>
        <v>#DIV/0!</v>
      </c>
      <c r="CH14" s="73">
        <f>'[2]US EIA'!$R151+AW14</f>
        <v>2103.5974999999999</v>
      </c>
    </row>
    <row r="15" spans="1:92" ht="13.5" x14ac:dyDescent="0.25">
      <c r="A15" s="59">
        <v>40603</v>
      </c>
      <c r="B15" s="60"/>
      <c r="C15" s="61"/>
      <c r="D15" s="60"/>
      <c r="E15" s="60"/>
      <c r="F15" s="60"/>
      <c r="G15" s="60"/>
      <c r="H15" s="60"/>
      <c r="I15" s="60"/>
      <c r="J15" s="61"/>
      <c r="K15" s="60"/>
      <c r="L15" s="60"/>
      <c r="M15" s="61"/>
      <c r="N15" s="61"/>
      <c r="O15" s="61"/>
      <c r="P15" s="60"/>
      <c r="Q15" s="61"/>
      <c r="R15" s="61"/>
      <c r="S15" s="60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0"/>
      <c r="AY15" s="62">
        <f>'[1]D4 Gallon Forecast'!$C151/1000000</f>
        <v>0</v>
      </c>
      <c r="AZ15" s="62">
        <f>'[1]D4 Gallon Forecast'!$C183/1000000</f>
        <v>1.6313439999999999</v>
      </c>
      <c r="BA15" s="62">
        <f t="shared" si="3"/>
        <v>2.3863689999999997</v>
      </c>
      <c r="BB15" s="62">
        <f>'[1]D4 Gallon Forecast'!$C167/1000000</f>
        <v>0.75502499999999995</v>
      </c>
      <c r="BC15" s="63">
        <f>'[1]D4 Gallon Forecast'!$C343</f>
        <v>0</v>
      </c>
      <c r="BD15" s="64">
        <f>'[1]D4 Gallon Forecast'!$C359/1000000</f>
        <v>0</v>
      </c>
      <c r="BE15" s="64">
        <f t="shared" si="4"/>
        <v>0</v>
      </c>
      <c r="BF15" s="65">
        <f t="shared" si="5"/>
        <v>2.3863689999999997</v>
      </c>
      <c r="BG15" s="61"/>
      <c r="BH15" s="61"/>
      <c r="BI15" s="61"/>
      <c r="BJ15" s="61"/>
      <c r="BK15" s="61"/>
      <c r="BL15" s="60"/>
      <c r="BM15" s="60"/>
      <c r="BN15" s="60"/>
      <c r="BO15" s="60"/>
      <c r="BP15" s="60"/>
      <c r="BQ15" s="66">
        <f>'[1]Monthly D4 Gallon Data'!$B16/1000000</f>
        <v>63.342553000000002</v>
      </c>
      <c r="BR15" s="66">
        <f>'[1]Monthly D6 Gallon Data'!$B18/1000000</f>
        <v>0.178482</v>
      </c>
      <c r="BS15" s="66">
        <f t="shared" si="6"/>
        <v>63.521035000000005</v>
      </c>
      <c r="BT15" s="60"/>
      <c r="BU15" s="67">
        <f>'[2]US EIA'!$P152</f>
        <v>440</v>
      </c>
      <c r="BV15" s="68">
        <f t="shared" si="7"/>
        <v>6.926839274580459</v>
      </c>
      <c r="BW15" s="60"/>
      <c r="BX15" s="69">
        <f t="shared" si="0"/>
        <v>3.6207904653625861E-2</v>
      </c>
      <c r="BY15" s="69">
        <f t="shared" si="1"/>
        <v>0.96379209534637422</v>
      </c>
      <c r="BZ15" s="60"/>
      <c r="CA15" s="60"/>
      <c r="CB15" s="70">
        <f>'[1]Monthly D4 Gallon Data'!$AG16/1000000</f>
        <v>0</v>
      </c>
      <c r="CC15" s="70">
        <f>'[1]Monthly D6 Gallon Data'!$O18/1000000</f>
        <v>0</v>
      </c>
      <c r="CD15" s="70">
        <f t="shared" si="8"/>
        <v>0</v>
      </c>
      <c r="CE15" s="60"/>
      <c r="CF15" s="71">
        <f>'RD Feedstock Breakdown'!GQ6</f>
        <v>0</v>
      </c>
      <c r="CG15" s="72" t="e">
        <f t="shared" si="2"/>
        <v>#DIV/0!</v>
      </c>
      <c r="CH15" s="73">
        <f>'[2]US EIA'!$R152+AW15</f>
        <v>2081.4974999999999</v>
      </c>
    </row>
    <row r="16" spans="1:92" ht="13.5" x14ac:dyDescent="0.25">
      <c r="A16" s="59">
        <v>40634</v>
      </c>
      <c r="B16" s="60"/>
      <c r="C16" s="61"/>
      <c r="D16" s="60"/>
      <c r="E16" s="60"/>
      <c r="F16" s="60"/>
      <c r="G16" s="60"/>
      <c r="H16" s="60"/>
      <c r="I16" s="60"/>
      <c r="J16" s="61"/>
      <c r="K16" s="60"/>
      <c r="L16" s="60"/>
      <c r="M16" s="61"/>
      <c r="N16" s="61"/>
      <c r="O16" s="61"/>
      <c r="P16" s="60"/>
      <c r="Q16" s="61"/>
      <c r="R16" s="61"/>
      <c r="S16" s="60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0"/>
      <c r="AY16" s="62">
        <f>'[1]D4 Gallon Forecast'!$C152/1000000</f>
        <v>0</v>
      </c>
      <c r="AZ16" s="62">
        <f>'[1]D4 Gallon Forecast'!$C184/1000000</f>
        <v>1.2958750000000001</v>
      </c>
      <c r="BA16" s="62">
        <f t="shared" si="3"/>
        <v>1.6872590000000001</v>
      </c>
      <c r="BB16" s="62">
        <f>'[1]D4 Gallon Forecast'!$C168/1000000</f>
        <v>0.39138400000000001</v>
      </c>
      <c r="BC16" s="63">
        <f>'[1]D4 Gallon Forecast'!$C344</f>
        <v>0</v>
      </c>
      <c r="BD16" s="64">
        <f>'[1]D4 Gallon Forecast'!$C360/1000000</f>
        <v>0</v>
      </c>
      <c r="BE16" s="64">
        <f t="shared" si="4"/>
        <v>0</v>
      </c>
      <c r="BF16" s="65">
        <f t="shared" si="5"/>
        <v>1.6872590000000001</v>
      </c>
      <c r="BG16" s="61"/>
      <c r="BH16" s="61"/>
      <c r="BI16" s="61"/>
      <c r="BJ16" s="61"/>
      <c r="BK16" s="61"/>
      <c r="BL16" s="60"/>
      <c r="BM16" s="60"/>
      <c r="BN16" s="60"/>
      <c r="BO16" s="60"/>
      <c r="BP16" s="60"/>
      <c r="BQ16" s="66">
        <f>'[1]Monthly D4 Gallon Data'!$B17/1000000</f>
        <v>70.300596999999996</v>
      </c>
      <c r="BR16" s="66">
        <f>'[1]Monthly D6 Gallon Data'!$B19/1000000</f>
        <v>0</v>
      </c>
      <c r="BS16" s="66">
        <f t="shared" si="6"/>
        <v>70.300596999999996</v>
      </c>
      <c r="BT16" s="60"/>
      <c r="BU16" s="67">
        <f>'[2]US EIA'!$P153</f>
        <v>532</v>
      </c>
      <c r="BV16" s="68">
        <f t="shared" si="7"/>
        <v>7.5675033029947105</v>
      </c>
      <c r="BW16" s="60"/>
      <c r="BX16" s="69">
        <f t="shared" si="0"/>
        <v>2.3438106004990623E-2</v>
      </c>
      <c r="BY16" s="69">
        <f t="shared" si="1"/>
        <v>0.97656189399500937</v>
      </c>
      <c r="BZ16" s="60"/>
      <c r="CA16" s="60"/>
      <c r="CB16" s="70">
        <f>'[1]Monthly D4 Gallon Data'!$AG17/1000000</f>
        <v>0</v>
      </c>
      <c r="CC16" s="70">
        <f>'[1]Monthly D6 Gallon Data'!$O19/1000000</f>
        <v>0</v>
      </c>
      <c r="CD16" s="70">
        <f t="shared" si="8"/>
        <v>0</v>
      </c>
      <c r="CE16" s="60"/>
      <c r="CF16" s="71">
        <f>'RD Feedstock Breakdown'!GQ7</f>
        <v>0</v>
      </c>
      <c r="CG16" s="72" t="e">
        <f t="shared" si="2"/>
        <v>#DIV/0!</v>
      </c>
      <c r="CH16" s="73">
        <f>'[2]US EIA'!$R153+AW16</f>
        <v>2101.3975</v>
      </c>
    </row>
    <row r="17" spans="1:86" ht="13.5" x14ac:dyDescent="0.25">
      <c r="A17" s="59">
        <v>40664</v>
      </c>
      <c r="B17" s="60"/>
      <c r="C17" s="61"/>
      <c r="D17" s="60"/>
      <c r="E17" s="60"/>
      <c r="F17" s="60"/>
      <c r="G17" s="60"/>
      <c r="H17" s="60"/>
      <c r="I17" s="60"/>
      <c r="J17" s="61"/>
      <c r="K17" s="60"/>
      <c r="L17" s="60"/>
      <c r="M17" s="61"/>
      <c r="N17" s="61"/>
      <c r="O17" s="61"/>
      <c r="P17" s="60"/>
      <c r="Q17" s="61"/>
      <c r="R17" s="61"/>
      <c r="S17" s="60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0"/>
      <c r="AY17" s="62">
        <f>'[1]D4 Gallon Forecast'!$C153/1000000</f>
        <v>0</v>
      </c>
      <c r="AZ17" s="62">
        <f>'[1]D4 Gallon Forecast'!$C185/1000000</f>
        <v>2.3228909999999998</v>
      </c>
      <c r="BA17" s="62">
        <f t="shared" si="3"/>
        <v>3.1450239999999998</v>
      </c>
      <c r="BB17" s="62">
        <f>'[1]D4 Gallon Forecast'!$C169/1000000</f>
        <v>0.822133</v>
      </c>
      <c r="BC17" s="63">
        <f>'[1]D4 Gallon Forecast'!$C345</f>
        <v>0</v>
      </c>
      <c r="BD17" s="64">
        <f>'[1]D4 Gallon Forecast'!$C361/1000000</f>
        <v>0</v>
      </c>
      <c r="BE17" s="64">
        <f t="shared" si="4"/>
        <v>0</v>
      </c>
      <c r="BF17" s="65">
        <f t="shared" si="5"/>
        <v>3.1450239999999998</v>
      </c>
      <c r="BG17" s="61"/>
      <c r="BH17" s="61"/>
      <c r="BI17" s="61"/>
      <c r="BJ17" s="61"/>
      <c r="BK17" s="61"/>
      <c r="BL17" s="60"/>
      <c r="BM17" s="60"/>
      <c r="BN17" s="60"/>
      <c r="BO17" s="60"/>
      <c r="BP17" s="60"/>
      <c r="BQ17" s="66">
        <f>'[1]Monthly D4 Gallon Data'!$B18/1000000</f>
        <v>77.560282999999998</v>
      </c>
      <c r="BR17" s="66">
        <f>'[1]Monthly D6 Gallon Data'!$B20/1000000</f>
        <v>0.31747199999999998</v>
      </c>
      <c r="BS17" s="66">
        <f t="shared" si="6"/>
        <v>77.877754999999993</v>
      </c>
      <c r="BT17" s="60"/>
      <c r="BU17" s="67">
        <f>'[2]US EIA'!$P154</f>
        <v>573</v>
      </c>
      <c r="BV17" s="68">
        <f t="shared" si="7"/>
        <v>7.3576851310107747</v>
      </c>
      <c r="BW17" s="60"/>
      <c r="BX17" s="69">
        <f t="shared" si="0"/>
        <v>3.8816540716284244E-2</v>
      </c>
      <c r="BY17" s="69">
        <f t="shared" si="1"/>
        <v>0.96118345928371562</v>
      </c>
      <c r="BZ17" s="60"/>
      <c r="CA17" s="60"/>
      <c r="CB17" s="70">
        <f>'[1]Monthly D4 Gallon Data'!$AG18/1000000</f>
        <v>0</v>
      </c>
      <c r="CC17" s="70">
        <f>'[1]Monthly D6 Gallon Data'!$O20/1000000</f>
        <v>0</v>
      </c>
      <c r="CD17" s="70">
        <f t="shared" si="8"/>
        <v>0</v>
      </c>
      <c r="CE17" s="60"/>
      <c r="CF17" s="71">
        <f>'RD Feedstock Breakdown'!GQ8</f>
        <v>0</v>
      </c>
      <c r="CG17" s="72" t="e">
        <f t="shared" si="2"/>
        <v>#DIV/0!</v>
      </c>
      <c r="CH17" s="73">
        <f>'[2]US EIA'!$R154+AW17</f>
        <v>2064.3975</v>
      </c>
    </row>
    <row r="18" spans="1:86" ht="13.5" x14ac:dyDescent="0.25">
      <c r="A18" s="59">
        <v>40695</v>
      </c>
      <c r="B18" s="60"/>
      <c r="C18" s="61"/>
      <c r="D18" s="60"/>
      <c r="E18" s="60"/>
      <c r="F18" s="60"/>
      <c r="G18" s="60"/>
      <c r="H18" s="60"/>
      <c r="I18" s="60"/>
      <c r="J18" s="61"/>
      <c r="K18" s="60"/>
      <c r="L18" s="60"/>
      <c r="M18" s="61"/>
      <c r="N18" s="61"/>
      <c r="O18" s="61"/>
      <c r="P18" s="60"/>
      <c r="Q18" s="61"/>
      <c r="R18" s="61"/>
      <c r="S18" s="60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0"/>
      <c r="AY18" s="62">
        <f>'[1]D4 Gallon Forecast'!$C154/1000000</f>
        <v>0</v>
      </c>
      <c r="AZ18" s="62">
        <f>'[1]D4 Gallon Forecast'!$C186/1000000</f>
        <v>2.2037019999999998</v>
      </c>
      <c r="BA18" s="62">
        <f t="shared" si="3"/>
        <v>3.7433999999999998</v>
      </c>
      <c r="BB18" s="62">
        <f>'[1]D4 Gallon Forecast'!$C170/1000000</f>
        <v>1.539698</v>
      </c>
      <c r="BC18" s="63">
        <f>'[1]D4 Gallon Forecast'!$C346</f>
        <v>0</v>
      </c>
      <c r="BD18" s="64">
        <f>'[1]D4 Gallon Forecast'!$C362/1000000</f>
        <v>0</v>
      </c>
      <c r="BE18" s="64">
        <f t="shared" si="4"/>
        <v>0</v>
      </c>
      <c r="BF18" s="65">
        <f t="shared" si="5"/>
        <v>3.7433999999999998</v>
      </c>
      <c r="BG18" s="61"/>
      <c r="BH18" s="61"/>
      <c r="BI18" s="61"/>
      <c r="BJ18" s="61"/>
      <c r="BK18" s="61"/>
      <c r="BL18" s="60"/>
      <c r="BM18" s="60"/>
      <c r="BN18" s="60"/>
      <c r="BO18" s="60"/>
      <c r="BP18" s="60"/>
      <c r="BQ18" s="66">
        <f>'[1]Monthly D4 Gallon Data'!$B19/1000000</f>
        <v>77.783252000000005</v>
      </c>
      <c r="BR18" s="66">
        <f>'[1]Monthly D6 Gallon Data'!$B21/1000000</f>
        <v>0.42202400000000001</v>
      </c>
      <c r="BS18" s="66">
        <f t="shared" si="6"/>
        <v>78.205275999999998</v>
      </c>
      <c r="BT18" s="60"/>
      <c r="BU18" s="67">
        <f>'[2]US EIA'!$P155</f>
        <v>623</v>
      </c>
      <c r="BV18" s="68">
        <f t="shared" si="7"/>
        <v>7.9662144533573418</v>
      </c>
      <c r="BW18" s="60"/>
      <c r="BX18" s="69">
        <f t="shared" si="0"/>
        <v>4.5679810617074525E-2</v>
      </c>
      <c r="BY18" s="69">
        <f t="shared" si="1"/>
        <v>0.95432018938292551</v>
      </c>
      <c r="BZ18" s="60"/>
      <c r="CA18" s="60"/>
      <c r="CB18" s="70">
        <f>'[1]Monthly D4 Gallon Data'!$AG19/1000000</f>
        <v>0</v>
      </c>
      <c r="CC18" s="70">
        <f>'[1]Monthly D6 Gallon Data'!$O21/1000000</f>
        <v>0</v>
      </c>
      <c r="CD18" s="70">
        <f t="shared" si="8"/>
        <v>0</v>
      </c>
      <c r="CE18" s="60"/>
      <c r="CF18" s="71">
        <f>'RD Feedstock Breakdown'!GQ9</f>
        <v>0</v>
      </c>
      <c r="CG18" s="72" t="e">
        <f t="shared" si="2"/>
        <v>#DIV/0!</v>
      </c>
      <c r="CH18" s="73">
        <f>'[2]US EIA'!$R155+AW18</f>
        <v>2068.9974999999999</v>
      </c>
    </row>
    <row r="19" spans="1:86" ht="13.5" x14ac:dyDescent="0.25">
      <c r="A19" s="59">
        <v>40725</v>
      </c>
      <c r="B19" s="60"/>
      <c r="C19" s="61"/>
      <c r="D19" s="60"/>
      <c r="E19" s="60"/>
      <c r="F19" s="60"/>
      <c r="G19" s="60"/>
      <c r="H19" s="60"/>
      <c r="I19" s="60"/>
      <c r="J19" s="61"/>
      <c r="K19" s="60"/>
      <c r="L19" s="60"/>
      <c r="M19" s="61"/>
      <c r="N19" s="61"/>
      <c r="O19" s="61"/>
      <c r="P19" s="60"/>
      <c r="Q19" s="61"/>
      <c r="R19" s="61"/>
      <c r="S19" s="60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0"/>
      <c r="AY19" s="62">
        <f>'[1]D4 Gallon Forecast'!$C155/1000000</f>
        <v>2.8604000000000001E-2</v>
      </c>
      <c r="AZ19" s="62">
        <f>'[1]D4 Gallon Forecast'!$C187/1000000</f>
        <v>4.1690199999999997</v>
      </c>
      <c r="BA19" s="62">
        <f t="shared" si="3"/>
        <v>5.6559349999999995</v>
      </c>
      <c r="BB19" s="62">
        <f>'[1]D4 Gallon Forecast'!$C171/1000000</f>
        <v>1.4583109999999999</v>
      </c>
      <c r="BC19" s="63">
        <f>'[1]D4 Gallon Forecast'!$C347</f>
        <v>0</v>
      </c>
      <c r="BD19" s="64">
        <f>'[1]D4 Gallon Forecast'!$C363/1000000</f>
        <v>0</v>
      </c>
      <c r="BE19" s="64">
        <f t="shared" si="4"/>
        <v>0</v>
      </c>
      <c r="BF19" s="65">
        <f t="shared" si="5"/>
        <v>5.6559349999999995</v>
      </c>
      <c r="BG19" s="61"/>
      <c r="BH19" s="61"/>
      <c r="BI19" s="61"/>
      <c r="BJ19" s="61"/>
      <c r="BK19" s="61"/>
      <c r="BL19" s="60"/>
      <c r="BM19" s="60"/>
      <c r="BN19" s="60"/>
      <c r="BO19" s="60"/>
      <c r="BP19" s="60"/>
      <c r="BQ19" s="66">
        <f>'[1]Monthly D4 Gallon Data'!$B20/1000000</f>
        <v>86.877103000000005</v>
      </c>
      <c r="BR19" s="66">
        <f>'[1]Monthly D6 Gallon Data'!$B22/1000000</f>
        <v>0.157468</v>
      </c>
      <c r="BS19" s="66">
        <f t="shared" si="6"/>
        <v>87.034571</v>
      </c>
      <c r="BT19" s="60"/>
      <c r="BU19" s="67">
        <f>'[2]US EIA'!$P156</f>
        <v>691</v>
      </c>
      <c r="BV19" s="68">
        <f t="shared" si="7"/>
        <v>7.9393738839707728</v>
      </c>
      <c r="BW19" s="60"/>
      <c r="BX19" s="69">
        <f t="shared" si="0"/>
        <v>6.1019571950551223E-2</v>
      </c>
      <c r="BY19" s="69">
        <f t="shared" si="1"/>
        <v>0.93898042804944881</v>
      </c>
      <c r="BZ19" s="60"/>
      <c r="CA19" s="60"/>
      <c r="CB19" s="70">
        <f>'[1]Monthly D4 Gallon Data'!$AG20/1000000</f>
        <v>0</v>
      </c>
      <c r="CC19" s="70">
        <f>'[1]Monthly D6 Gallon Data'!$O22/1000000</f>
        <v>0</v>
      </c>
      <c r="CD19" s="70">
        <f t="shared" si="8"/>
        <v>0</v>
      </c>
      <c r="CE19" s="60"/>
      <c r="CF19" s="71">
        <f>'RD Feedstock Breakdown'!GQ10</f>
        <v>0</v>
      </c>
      <c r="CG19" s="72" t="e">
        <f t="shared" si="2"/>
        <v>#DIV/0!</v>
      </c>
      <c r="CH19" s="73">
        <f>'[2]US EIA'!$R156+AW19</f>
        <v>1958.4974999999999</v>
      </c>
    </row>
    <row r="20" spans="1:86" ht="13.5" x14ac:dyDescent="0.25">
      <c r="A20" s="59">
        <v>40756</v>
      </c>
      <c r="B20" s="60"/>
      <c r="C20" s="61"/>
      <c r="D20" s="60"/>
      <c r="E20" s="60"/>
      <c r="F20" s="60"/>
      <c r="G20" s="60"/>
      <c r="H20" s="60"/>
      <c r="I20" s="60"/>
      <c r="J20" s="61"/>
      <c r="K20" s="60"/>
      <c r="L20" s="60"/>
      <c r="M20" s="61"/>
      <c r="N20" s="61"/>
      <c r="O20" s="61"/>
      <c r="P20" s="60"/>
      <c r="Q20" s="61"/>
      <c r="R20" s="61"/>
      <c r="S20" s="60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0"/>
      <c r="AY20" s="62">
        <f>'[1]D4 Gallon Forecast'!$C156/1000000</f>
        <v>6.5973000000000004E-2</v>
      </c>
      <c r="AZ20" s="62">
        <f>'[1]D4 Gallon Forecast'!$C188/1000000</f>
        <v>5.4566410000000003</v>
      </c>
      <c r="BA20" s="62">
        <f t="shared" si="3"/>
        <v>7.299417</v>
      </c>
      <c r="BB20" s="62">
        <f>'[1]D4 Gallon Forecast'!$C172/1000000</f>
        <v>1.7768029999999999</v>
      </c>
      <c r="BC20" s="63">
        <f>'[1]D4 Gallon Forecast'!$C348</f>
        <v>0</v>
      </c>
      <c r="BD20" s="64">
        <f>'[1]D4 Gallon Forecast'!$C364/1000000</f>
        <v>0</v>
      </c>
      <c r="BE20" s="64">
        <f t="shared" si="4"/>
        <v>0</v>
      </c>
      <c r="BF20" s="65">
        <f t="shared" si="5"/>
        <v>7.299417</v>
      </c>
      <c r="BG20" s="61"/>
      <c r="BH20" s="61"/>
      <c r="BI20" s="61"/>
      <c r="BJ20" s="61"/>
      <c r="BK20" s="61"/>
      <c r="BL20" s="60"/>
      <c r="BM20" s="60"/>
      <c r="BN20" s="60"/>
      <c r="BO20" s="60"/>
      <c r="BP20" s="60"/>
      <c r="BQ20" s="66">
        <f>'[1]Monthly D4 Gallon Data'!$B21/1000000</f>
        <v>100.747046</v>
      </c>
      <c r="BR20" s="66">
        <f>'[1]Monthly D6 Gallon Data'!$B23/1000000</f>
        <v>0.20640600000000001</v>
      </c>
      <c r="BS20" s="66">
        <f t="shared" si="6"/>
        <v>100.953452</v>
      </c>
      <c r="BT20" s="60"/>
      <c r="BU20" s="67">
        <f>'[2]US EIA'!$P157</f>
        <v>725</v>
      </c>
      <c r="BV20" s="68">
        <f t="shared" si="7"/>
        <v>7.1815275816422801</v>
      </c>
      <c r="BW20" s="60"/>
      <c r="BX20" s="69">
        <f t="shared" si="0"/>
        <v>6.7429316815612525E-2</v>
      </c>
      <c r="BY20" s="69">
        <f t="shared" si="1"/>
        <v>0.93257068318438741</v>
      </c>
      <c r="BZ20" s="60"/>
      <c r="CA20" s="60"/>
      <c r="CB20" s="70">
        <f>'[1]Monthly D4 Gallon Data'!$AG21/1000000</f>
        <v>0</v>
      </c>
      <c r="CC20" s="70">
        <f>'[1]Monthly D6 Gallon Data'!$O23/1000000</f>
        <v>0</v>
      </c>
      <c r="CD20" s="70">
        <f t="shared" si="8"/>
        <v>0</v>
      </c>
      <c r="CE20" s="60"/>
      <c r="CF20" s="71">
        <f>'RD Feedstock Breakdown'!GQ11</f>
        <v>0</v>
      </c>
      <c r="CG20" s="72" t="e">
        <f t="shared" si="2"/>
        <v>#DIV/0!</v>
      </c>
      <c r="CH20" s="73">
        <f>'[2]US EIA'!$R157+AW20</f>
        <v>2007.6575</v>
      </c>
    </row>
    <row r="21" spans="1:86" ht="13.5" x14ac:dyDescent="0.25">
      <c r="A21" s="59">
        <v>40787</v>
      </c>
      <c r="B21" s="74">
        <f>40*$B$12</f>
        <v>40</v>
      </c>
      <c r="C21" s="75"/>
      <c r="D21" s="74"/>
      <c r="E21" s="74"/>
      <c r="F21" s="74"/>
      <c r="G21" s="74"/>
      <c r="H21" s="74"/>
      <c r="I21" s="74"/>
      <c r="J21" s="75"/>
      <c r="K21" s="60"/>
      <c r="L21" s="60"/>
      <c r="M21" s="75"/>
      <c r="N21" s="75"/>
      <c r="O21" s="75"/>
      <c r="P21" s="60"/>
      <c r="Q21" s="75"/>
      <c r="R21" s="75"/>
      <c r="S21" s="60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4">
        <f t="shared" ref="AW21:AW84" si="9">SUM(B21:AS21)</f>
        <v>40</v>
      </c>
      <c r="AX21" s="66">
        <f t="shared" ref="AX21:AX84" si="10">AW21</f>
        <v>40</v>
      </c>
      <c r="AY21" s="62">
        <f>'[1]D4 Gallon Forecast'!$C157/1000000</f>
        <v>1.5599999999999999E-2</v>
      </c>
      <c r="AZ21" s="62">
        <f>'[1]D4 Gallon Forecast'!$C189/1000000</f>
        <v>2.0559440000000002</v>
      </c>
      <c r="BA21" s="62">
        <f t="shared" si="3"/>
        <v>4.0095080000000003</v>
      </c>
      <c r="BB21" s="62">
        <f>'[1]D4 Gallon Forecast'!$C173/1000000</f>
        <v>1.937964</v>
      </c>
      <c r="BC21" s="63">
        <f>'[1]D4 Gallon Forecast'!$C349</f>
        <v>0</v>
      </c>
      <c r="BD21" s="64">
        <f>'[1]D4 Gallon Forecast'!$C365/1000000</f>
        <v>0</v>
      </c>
      <c r="BE21" s="64">
        <f t="shared" si="4"/>
        <v>0</v>
      </c>
      <c r="BF21" s="76">
        <f t="shared" ref="BF21:BF84" si="11">BA21+BE21</f>
        <v>4.0095080000000003</v>
      </c>
      <c r="BG21" s="77">
        <f>(BF21/(A21-A20)*365)/AX21</f>
        <v>1.1802180806451612</v>
      </c>
      <c r="BH21" s="75"/>
      <c r="BI21" s="75"/>
      <c r="BJ21" s="75"/>
      <c r="BK21" s="75">
        <f>'RD Feedstock Breakdown'!ES12</f>
        <v>34.759646630936004</v>
      </c>
      <c r="BL21" s="78">
        <f>BK21/BF21</f>
        <v>8.669304720413578</v>
      </c>
      <c r="BM21" s="78">
        <f t="shared" ref="BM21:BM84" si="12">BK21/BA21</f>
        <v>8.669304720413578</v>
      </c>
      <c r="BN21" s="79"/>
      <c r="BO21" s="79"/>
      <c r="BP21" s="69"/>
      <c r="BQ21" s="66">
        <f>'[1]Monthly D4 Gallon Data'!$B22/1000000</f>
        <v>114.08213000000001</v>
      </c>
      <c r="BR21" s="66">
        <f>'[1]Monthly D6 Gallon Data'!$B24/1000000</f>
        <v>0.14537700000000001</v>
      </c>
      <c r="BS21" s="66">
        <f t="shared" si="6"/>
        <v>114.227507</v>
      </c>
      <c r="BT21" s="60"/>
      <c r="BU21" s="67">
        <f>'[2]US EIA'!$P158</f>
        <v>725</v>
      </c>
      <c r="BV21" s="68">
        <f t="shared" si="7"/>
        <v>6.3469826055119976</v>
      </c>
      <c r="BW21" s="60"/>
      <c r="BX21" s="69">
        <f t="shared" si="0"/>
        <v>3.3910768129591227E-2</v>
      </c>
      <c r="BY21" s="69">
        <f t="shared" si="1"/>
        <v>0.96608923187040885</v>
      </c>
      <c r="BZ21" s="60"/>
      <c r="CA21" s="60"/>
      <c r="CB21" s="70">
        <f>'[1]Monthly D4 Gallon Data'!$AG22/1000000</f>
        <v>0</v>
      </c>
      <c r="CC21" s="70">
        <f>'[1]Monthly D6 Gallon Data'!$O24/1000000</f>
        <v>0</v>
      </c>
      <c r="CD21" s="70">
        <f t="shared" si="8"/>
        <v>0</v>
      </c>
      <c r="CE21" s="60"/>
      <c r="CF21" s="71">
        <f>'RD Feedstock Breakdown'!GQ12</f>
        <v>0</v>
      </c>
      <c r="CG21" s="72" t="e">
        <f t="shared" si="2"/>
        <v>#DIV/0!</v>
      </c>
      <c r="CH21" s="73">
        <f>'[2]US EIA'!$R158+AW21</f>
        <v>2127.0946509999999</v>
      </c>
    </row>
    <row r="22" spans="1:86" ht="13.5" x14ac:dyDescent="0.25">
      <c r="A22" s="59">
        <v>40817</v>
      </c>
      <c r="B22" s="74">
        <f>40*$B$12</f>
        <v>40</v>
      </c>
      <c r="C22" s="75"/>
      <c r="D22" s="74"/>
      <c r="E22" s="74"/>
      <c r="F22" s="74"/>
      <c r="G22" s="74"/>
      <c r="H22" s="74"/>
      <c r="I22" s="74"/>
      <c r="J22" s="75"/>
      <c r="K22" s="60"/>
      <c r="L22" s="60"/>
      <c r="M22" s="75"/>
      <c r="N22" s="75"/>
      <c r="O22" s="75"/>
      <c r="P22" s="60"/>
      <c r="Q22" s="75"/>
      <c r="R22" s="75"/>
      <c r="S22" s="60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4">
        <f t="shared" si="9"/>
        <v>40</v>
      </c>
      <c r="AX22" s="66">
        <f t="shared" si="10"/>
        <v>40</v>
      </c>
      <c r="AY22" s="62">
        <f>'[1]D4 Gallon Forecast'!$C158/1000000</f>
        <v>0.03</v>
      </c>
      <c r="AZ22" s="62">
        <f>'[1]D4 Gallon Forecast'!$C190/1000000</f>
        <v>3.3272240000000002</v>
      </c>
      <c r="BA22" s="62">
        <f t="shared" si="3"/>
        <v>5.7681040000000001</v>
      </c>
      <c r="BB22" s="62">
        <f>'[1]D4 Gallon Forecast'!$C174/1000000</f>
        <v>2.4108800000000001</v>
      </c>
      <c r="BC22" s="63">
        <f>'[1]D4 Gallon Forecast'!$C350</f>
        <v>0</v>
      </c>
      <c r="BD22" s="64">
        <f>'[1]D4 Gallon Forecast'!$C366/1000000</f>
        <v>0</v>
      </c>
      <c r="BE22" s="64">
        <f t="shared" si="4"/>
        <v>0</v>
      </c>
      <c r="BF22" s="76">
        <f t="shared" si="11"/>
        <v>5.7681040000000001</v>
      </c>
      <c r="BG22" s="77">
        <f>(BF22/(A22-A21)*365)/AX22</f>
        <v>1.7544649666666667</v>
      </c>
      <c r="BH22" s="75"/>
      <c r="BI22" s="75">
        <f t="shared" ref="BI22:BI85" si="13">SUMIF($B$7:$AN$7,"Yes",B22:AN22)*0.25</f>
        <v>10</v>
      </c>
      <c r="BJ22" s="75">
        <f t="shared" ref="BJ22:BJ85" si="14">AX22-BI22</f>
        <v>30</v>
      </c>
      <c r="BK22" s="75">
        <f>'RD Feedstock Breakdown'!ES13</f>
        <v>50.005451235036446</v>
      </c>
      <c r="BL22" s="78">
        <f t="shared" ref="BL22:BL85" si="15">BK22/BF22</f>
        <v>8.669304720413578</v>
      </c>
      <c r="BM22" s="78">
        <f t="shared" si="12"/>
        <v>8.669304720413578</v>
      </c>
      <c r="BN22" s="79"/>
      <c r="BO22" s="79"/>
      <c r="BP22" s="69"/>
      <c r="BQ22" s="66">
        <f>'[1]Monthly D4 Gallon Data'!$B23/1000000</f>
        <v>111.79083900000001</v>
      </c>
      <c r="BR22" s="66">
        <f>'[1]Monthly D6 Gallon Data'!$B25/1000000</f>
        <v>1.886711</v>
      </c>
      <c r="BS22" s="66">
        <f t="shared" si="6"/>
        <v>113.67755000000001</v>
      </c>
      <c r="BT22" s="60"/>
      <c r="BU22" s="67">
        <f>'[2]US EIA'!$P159</f>
        <v>795</v>
      </c>
      <c r="BV22" s="68">
        <f t="shared" si="7"/>
        <v>6.9934652884408566</v>
      </c>
      <c r="BW22" s="60"/>
      <c r="BX22" s="69">
        <f t="shared" si="0"/>
        <v>4.8290614240347328E-2</v>
      </c>
      <c r="BY22" s="69">
        <f t="shared" si="1"/>
        <v>0.95170938575965269</v>
      </c>
      <c r="BZ22" s="60"/>
      <c r="CA22" s="60"/>
      <c r="CB22" s="70">
        <f>'[1]Monthly D4 Gallon Data'!$AG23/1000000</f>
        <v>0</v>
      </c>
      <c r="CC22" s="70">
        <f>'[1]Monthly D6 Gallon Data'!$O25/1000000</f>
        <v>0</v>
      </c>
      <c r="CD22" s="70">
        <f t="shared" si="8"/>
        <v>0</v>
      </c>
      <c r="CE22" s="60"/>
      <c r="CF22" s="71">
        <f>'RD Feedstock Breakdown'!GQ13</f>
        <v>0</v>
      </c>
      <c r="CG22" s="72" t="e">
        <f t="shared" si="2"/>
        <v>#DIV/0!</v>
      </c>
      <c r="CH22" s="73">
        <f>'[2]US EIA'!$R159+AW22</f>
        <v>2158.9381509999998</v>
      </c>
    </row>
    <row r="23" spans="1:86" ht="13.5" x14ac:dyDescent="0.25">
      <c r="A23" s="59">
        <v>40848</v>
      </c>
      <c r="B23" s="74">
        <f>120*$B$12</f>
        <v>120</v>
      </c>
      <c r="C23" s="75"/>
      <c r="D23" s="74"/>
      <c r="E23" s="74"/>
      <c r="F23" s="74"/>
      <c r="G23" s="74"/>
      <c r="H23" s="74"/>
      <c r="I23" s="74"/>
      <c r="J23" s="75"/>
      <c r="K23" s="60"/>
      <c r="L23" s="60"/>
      <c r="M23" s="75"/>
      <c r="N23" s="75"/>
      <c r="O23" s="75"/>
      <c r="P23" s="60"/>
      <c r="Q23" s="75"/>
      <c r="R23" s="75"/>
      <c r="S23" s="60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4">
        <f t="shared" si="9"/>
        <v>120</v>
      </c>
      <c r="AX23" s="66">
        <f t="shared" si="10"/>
        <v>120</v>
      </c>
      <c r="AY23" s="62">
        <f>'[1]D4 Gallon Forecast'!$C159/1000000</f>
        <v>0</v>
      </c>
      <c r="AZ23" s="62">
        <f>'[1]D4 Gallon Forecast'!$C191/1000000</f>
        <v>1.5135430000000001</v>
      </c>
      <c r="BA23" s="62">
        <f t="shared" si="3"/>
        <v>3.700399</v>
      </c>
      <c r="BB23" s="62">
        <f>'[1]D4 Gallon Forecast'!$C175/1000000</f>
        <v>2.1868560000000001</v>
      </c>
      <c r="BC23" s="63">
        <f>'[1]D4 Gallon Forecast'!$C351</f>
        <v>0</v>
      </c>
      <c r="BD23" s="64">
        <f>'[1]D4 Gallon Forecast'!$C367/1000000</f>
        <v>0</v>
      </c>
      <c r="BE23" s="64">
        <f t="shared" si="4"/>
        <v>0</v>
      </c>
      <c r="BF23" s="76">
        <f t="shared" si="11"/>
        <v>3.700399</v>
      </c>
      <c r="BG23" s="77">
        <f>(BF23/(A23-A22)*365)/AX23</f>
        <v>0.36307678360215057</v>
      </c>
      <c r="BH23" s="75"/>
      <c r="BI23" s="75">
        <f t="shared" si="13"/>
        <v>30</v>
      </c>
      <c r="BJ23" s="75">
        <f t="shared" si="14"/>
        <v>90</v>
      </c>
      <c r="BK23" s="75">
        <f>'RD Feedstock Breakdown'!ES14</f>
        <v>32.079886518113689</v>
      </c>
      <c r="BL23" s="78">
        <f t="shared" si="15"/>
        <v>8.6693047204135798</v>
      </c>
      <c r="BM23" s="78">
        <f t="shared" si="12"/>
        <v>8.6693047204135798</v>
      </c>
      <c r="BN23" s="79"/>
      <c r="BO23" s="79"/>
      <c r="BP23" s="69"/>
      <c r="BQ23" s="66">
        <f>'[1]Monthly D4 Gallon Data'!$B24/1000000</f>
        <v>105.27713799999999</v>
      </c>
      <c r="BR23" s="66">
        <f>'[1]Monthly D6 Gallon Data'!$B26/1000000</f>
        <v>0.50637200000000004</v>
      </c>
      <c r="BS23" s="66">
        <f t="shared" si="6"/>
        <v>105.78350999999999</v>
      </c>
      <c r="BT23" s="60"/>
      <c r="BU23" s="67">
        <f>'[2]US EIA'!$P160</f>
        <v>795</v>
      </c>
      <c r="BV23" s="68">
        <f t="shared" si="7"/>
        <v>7.5153490369151115</v>
      </c>
      <c r="BW23" s="60"/>
      <c r="BX23" s="69">
        <f t="shared" si="0"/>
        <v>3.3798564864906316E-2</v>
      </c>
      <c r="BY23" s="69">
        <f t="shared" si="1"/>
        <v>0.9662014351350936</v>
      </c>
      <c r="BZ23" s="60"/>
      <c r="CA23" s="60"/>
      <c r="CB23" s="70">
        <f>'[1]Monthly D4 Gallon Data'!$AG24/1000000</f>
        <v>0</v>
      </c>
      <c r="CC23" s="70">
        <f>'[1]Monthly D6 Gallon Data'!$O26/1000000</f>
        <v>0</v>
      </c>
      <c r="CD23" s="70">
        <f t="shared" si="8"/>
        <v>0</v>
      </c>
      <c r="CE23" s="60"/>
      <c r="CF23" s="71">
        <f>'RD Feedstock Breakdown'!GQ14</f>
        <v>0</v>
      </c>
      <c r="CG23" s="72" t="e">
        <f t="shared" si="2"/>
        <v>#DIV/0!</v>
      </c>
      <c r="CH23" s="73">
        <f>'[2]US EIA'!$R160+AW23</f>
        <v>2217.7631510000001</v>
      </c>
    </row>
    <row r="24" spans="1:86" ht="13.5" x14ac:dyDescent="0.25">
      <c r="A24" s="59">
        <v>40878</v>
      </c>
      <c r="B24" s="74">
        <f>120*$B$12</f>
        <v>120</v>
      </c>
      <c r="C24" s="75"/>
      <c r="D24" s="74"/>
      <c r="E24" s="74"/>
      <c r="F24" s="74"/>
      <c r="G24" s="74"/>
      <c r="H24" s="74"/>
      <c r="I24" s="74"/>
      <c r="J24" s="75"/>
      <c r="K24" s="60"/>
      <c r="L24" s="60"/>
      <c r="M24" s="75"/>
      <c r="N24" s="75"/>
      <c r="O24" s="75"/>
      <c r="P24" s="60"/>
      <c r="Q24" s="75"/>
      <c r="R24" s="75"/>
      <c r="S24" s="60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4">
        <f t="shared" si="9"/>
        <v>120</v>
      </c>
      <c r="AX24" s="66">
        <f t="shared" si="10"/>
        <v>120</v>
      </c>
      <c r="AY24" s="62">
        <f>'[1]D4 Gallon Forecast'!$C160/1000000</f>
        <v>0</v>
      </c>
      <c r="AZ24" s="62">
        <f>'[1]D4 Gallon Forecast'!$C192/1000000</f>
        <v>4.3761429999999999</v>
      </c>
      <c r="BA24" s="62">
        <f t="shared" si="3"/>
        <v>5.5368820000000003</v>
      </c>
      <c r="BB24" s="62">
        <f>'[1]D4 Gallon Forecast'!$C176/1000000</f>
        <v>1.160739</v>
      </c>
      <c r="BC24" s="63">
        <f>'[1]D4 Gallon Forecast'!$C352</f>
        <v>0</v>
      </c>
      <c r="BD24" s="64">
        <f>'[1]D4 Gallon Forecast'!$C368/1000000</f>
        <v>0</v>
      </c>
      <c r="BE24" s="64">
        <f t="shared" si="4"/>
        <v>0</v>
      </c>
      <c r="BF24" s="76">
        <f t="shared" si="11"/>
        <v>5.5368820000000003</v>
      </c>
      <c r="BG24" s="77">
        <f t="shared" ref="BG24:BG87" si="16">(BF24/(A24-A23)*365)/AX24</f>
        <v>0.56137831388888892</v>
      </c>
      <c r="BH24" s="75"/>
      <c r="BI24" s="75">
        <f t="shared" si="13"/>
        <v>30</v>
      </c>
      <c r="BJ24" s="75">
        <f t="shared" si="14"/>
        <v>90</v>
      </c>
      <c r="BK24" s="75">
        <f>'RD Feedstock Breakdown'!ES15</f>
        <v>48.000917258972983</v>
      </c>
      <c r="BL24" s="78">
        <f t="shared" si="15"/>
        <v>8.6693047204135798</v>
      </c>
      <c r="BM24" s="78">
        <f t="shared" si="12"/>
        <v>8.6693047204135798</v>
      </c>
      <c r="BN24" s="79"/>
      <c r="BO24" s="79"/>
      <c r="BP24" s="69"/>
      <c r="BQ24" s="66">
        <f>'[1]Monthly D4 Gallon Data'!$B25/1000000</f>
        <v>150.74354500000001</v>
      </c>
      <c r="BR24" s="66">
        <f>'[1]Monthly D6 Gallon Data'!$B27/1000000</f>
        <v>0</v>
      </c>
      <c r="BS24" s="66">
        <f t="shared" si="6"/>
        <v>150.74354500000001</v>
      </c>
      <c r="BT24" s="60"/>
      <c r="BU24" s="67">
        <f>'[2]US EIA'!$P161</f>
        <v>821</v>
      </c>
      <c r="BV24" s="68">
        <f t="shared" si="7"/>
        <v>5.446336027191081</v>
      </c>
      <c r="BW24" s="60"/>
      <c r="BX24" s="69">
        <f t="shared" si="0"/>
        <v>3.5429145583278962E-2</v>
      </c>
      <c r="BY24" s="69">
        <f t="shared" si="1"/>
        <v>0.96457085441672108</v>
      </c>
      <c r="BZ24" s="60"/>
      <c r="CA24" s="60"/>
      <c r="CB24" s="70">
        <f>'[1]Monthly D4 Gallon Data'!$AG25/1000000</f>
        <v>0</v>
      </c>
      <c r="CC24" s="70">
        <f>'[1]Monthly D6 Gallon Data'!$O27/1000000</f>
        <v>0</v>
      </c>
      <c r="CD24" s="70">
        <f t="shared" si="8"/>
        <v>0</v>
      </c>
      <c r="CE24" s="60"/>
      <c r="CF24" s="71">
        <f>'RD Feedstock Breakdown'!GQ15</f>
        <v>0</v>
      </c>
      <c r="CG24" s="72" t="e">
        <f t="shared" si="2"/>
        <v>#DIV/0!</v>
      </c>
      <c r="CH24" s="73">
        <f>'[2]US EIA'!$R161+AW24</f>
        <v>2209.9381509999998</v>
      </c>
    </row>
    <row r="25" spans="1:86" ht="13.5" x14ac:dyDescent="0.25">
      <c r="A25" s="59">
        <v>40909</v>
      </c>
      <c r="B25" s="74">
        <f>160*$B$12</f>
        <v>160</v>
      </c>
      <c r="C25" s="75"/>
      <c r="D25" s="74"/>
      <c r="E25" s="74"/>
      <c r="F25" s="74"/>
      <c r="G25" s="74"/>
      <c r="H25" s="74"/>
      <c r="I25" s="74"/>
      <c r="J25" s="75"/>
      <c r="K25" s="60"/>
      <c r="L25" s="60"/>
      <c r="M25" s="75"/>
      <c r="N25" s="75"/>
      <c r="O25" s="75"/>
      <c r="P25" s="60"/>
      <c r="Q25" s="75"/>
      <c r="R25" s="75"/>
      <c r="S25" s="60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4">
        <f t="shared" si="9"/>
        <v>160</v>
      </c>
      <c r="AX25" s="66">
        <f t="shared" si="10"/>
        <v>160</v>
      </c>
      <c r="AY25" s="62">
        <f>'[1]D4 Gallon Forecast'!$D149/1000000</f>
        <v>0</v>
      </c>
      <c r="AZ25" s="62">
        <f>'[1]D4 Gallon Forecast'!$D181/1000000</f>
        <v>3.6859679999999999</v>
      </c>
      <c r="BA25" s="62">
        <f t="shared" si="3"/>
        <v>3.704631</v>
      </c>
      <c r="BB25" s="62">
        <f>'[1]D4 Gallon Forecast'!$D165/1000000</f>
        <v>1.8662999999999999E-2</v>
      </c>
      <c r="BC25" s="63">
        <f>'[1]D4 Gallon Forecast'!$D341</f>
        <v>0</v>
      </c>
      <c r="BD25" s="64">
        <f>'[1]D4 Gallon Forecast'!$D357/1000000</f>
        <v>0</v>
      </c>
      <c r="BE25" s="64">
        <f t="shared" si="4"/>
        <v>0</v>
      </c>
      <c r="BF25" s="76">
        <f t="shared" si="11"/>
        <v>3.704631</v>
      </c>
      <c r="BG25" s="77">
        <f t="shared" si="16"/>
        <v>0.27261901512096776</v>
      </c>
      <c r="BH25" s="75"/>
      <c r="BI25" s="75">
        <f t="shared" si="13"/>
        <v>40</v>
      </c>
      <c r="BJ25" s="75">
        <f t="shared" si="14"/>
        <v>120</v>
      </c>
      <c r="BK25" s="75">
        <f>'RD Feedstock Breakdown'!ES16</f>
        <v>32.116575015690472</v>
      </c>
      <c r="BL25" s="78">
        <f t="shared" si="15"/>
        <v>8.669304720413578</v>
      </c>
      <c r="BM25" s="78">
        <f t="shared" si="12"/>
        <v>8.669304720413578</v>
      </c>
      <c r="BN25" s="79"/>
      <c r="BO25" s="79"/>
      <c r="BP25" s="69"/>
      <c r="BQ25" s="66">
        <f>'[1]Monthly D4 Gallon Data'!$B26/1000000</f>
        <v>60.117730000000002</v>
      </c>
      <c r="BR25" s="66">
        <f>'[1]Monthly D6 Gallon Data'!$B28/1000000</f>
        <v>0</v>
      </c>
      <c r="BS25" s="66">
        <f t="shared" si="6"/>
        <v>60.117730000000002</v>
      </c>
      <c r="BT25" s="60"/>
      <c r="BU25" s="67">
        <f>'[2]US EIA'!$P162</f>
        <v>562</v>
      </c>
      <c r="BV25" s="68">
        <f t="shared" si="7"/>
        <v>9.348323697518186</v>
      </c>
      <c r="BW25" s="60"/>
      <c r="BX25" s="69">
        <f t="shared" si="0"/>
        <v>5.8045972319952246E-2</v>
      </c>
      <c r="BY25" s="69">
        <f t="shared" si="1"/>
        <v>0.94195402768004777</v>
      </c>
      <c r="BZ25" s="60"/>
      <c r="CA25" s="60"/>
      <c r="CB25" s="70">
        <f>'[1]Monthly D4 Gallon Data'!$AG26/1000000</f>
        <v>0</v>
      </c>
      <c r="CC25" s="70">
        <f>'[1]Monthly D6 Gallon Data'!$O28/1000000</f>
        <v>0</v>
      </c>
      <c r="CD25" s="70">
        <f t="shared" si="8"/>
        <v>0</v>
      </c>
      <c r="CE25" s="60"/>
      <c r="CF25" s="71">
        <f>'RD Feedstock Breakdown'!GQ16</f>
        <v>0</v>
      </c>
      <c r="CG25" s="72" t="e">
        <f t="shared" si="2"/>
        <v>#DIV/0!</v>
      </c>
      <c r="CH25" s="73">
        <f>'[2]US EIA'!$R162+AW25</f>
        <v>2408</v>
      </c>
    </row>
    <row r="26" spans="1:86" ht="13.5" x14ac:dyDescent="0.25">
      <c r="A26" s="59">
        <v>40940</v>
      </c>
      <c r="B26" s="74">
        <f t="shared" ref="B26:B89" si="17">160*$B$12</f>
        <v>160</v>
      </c>
      <c r="C26" s="75"/>
      <c r="D26" s="74"/>
      <c r="E26" s="74"/>
      <c r="F26" s="74"/>
      <c r="G26" s="74"/>
      <c r="H26" s="74"/>
      <c r="I26" s="74"/>
      <c r="J26" s="75"/>
      <c r="K26" s="60"/>
      <c r="L26" s="60"/>
      <c r="M26" s="75"/>
      <c r="N26" s="75"/>
      <c r="O26" s="75"/>
      <c r="P26" s="60"/>
      <c r="Q26" s="75"/>
      <c r="R26" s="75"/>
      <c r="S26" s="60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4">
        <f t="shared" si="9"/>
        <v>160</v>
      </c>
      <c r="AX26" s="66">
        <f t="shared" si="10"/>
        <v>160</v>
      </c>
      <c r="AY26" s="62">
        <f>'[1]D4 Gallon Forecast'!$D150/1000000</f>
        <v>9.4999999999999998E-3</v>
      </c>
      <c r="AZ26" s="62">
        <f>'[1]D4 Gallon Forecast'!$D182/1000000</f>
        <v>1.447398</v>
      </c>
      <c r="BA26" s="62">
        <f t="shared" si="3"/>
        <v>1.4666030000000001</v>
      </c>
      <c r="BB26" s="62">
        <f>'[1]D4 Gallon Forecast'!$D166/1000000</f>
        <v>9.7050000000000001E-3</v>
      </c>
      <c r="BC26" s="63">
        <f>'[1]D4 Gallon Forecast'!$D342</f>
        <v>0</v>
      </c>
      <c r="BD26" s="64">
        <f>'[1]D4 Gallon Forecast'!$D358/1000000</f>
        <v>0</v>
      </c>
      <c r="BE26" s="64">
        <f t="shared" si="4"/>
        <v>0</v>
      </c>
      <c r="BF26" s="76">
        <f t="shared" si="11"/>
        <v>1.4666030000000001</v>
      </c>
      <c r="BG26" s="77">
        <f t="shared" si="16"/>
        <v>0.10792542237903227</v>
      </c>
      <c r="BH26" s="75"/>
      <c r="BI26" s="75">
        <f t="shared" si="13"/>
        <v>40</v>
      </c>
      <c r="BJ26" s="75">
        <f t="shared" si="14"/>
        <v>120</v>
      </c>
      <c r="BK26" s="75">
        <f>'RD Feedstock Breakdown'!ES17</f>
        <v>12.714428310872718</v>
      </c>
      <c r="BL26" s="78">
        <f t="shared" si="15"/>
        <v>8.6693047204135798</v>
      </c>
      <c r="BM26" s="78">
        <f t="shared" si="12"/>
        <v>8.6693047204135798</v>
      </c>
      <c r="BN26" s="79"/>
      <c r="BO26" s="79"/>
      <c r="BP26" s="69"/>
      <c r="BQ26" s="66">
        <f>'[1]Monthly D4 Gallon Data'!$B27/1000000</f>
        <v>72.510777000000004</v>
      </c>
      <c r="BR26" s="66">
        <f>'[1]Monthly D6 Gallon Data'!$B29/1000000</f>
        <v>0.41741899999999998</v>
      </c>
      <c r="BS26" s="66">
        <f t="shared" si="6"/>
        <v>72.928196</v>
      </c>
      <c r="BT26" s="60"/>
      <c r="BU26" s="67">
        <f>'[2]US EIA'!$P163</f>
        <v>586</v>
      </c>
      <c r="BV26" s="68">
        <f t="shared" si="7"/>
        <v>8.035300914340457</v>
      </c>
      <c r="BW26" s="60"/>
      <c r="BX26" s="69">
        <f t="shared" si="0"/>
        <v>1.9713784024068672E-2</v>
      </c>
      <c r="BY26" s="69">
        <f t="shared" si="1"/>
        <v>0.98028621597593124</v>
      </c>
      <c r="BZ26" s="60"/>
      <c r="CA26" s="60"/>
      <c r="CB26" s="70">
        <f>'[1]Monthly D4 Gallon Data'!$AG27/1000000</f>
        <v>0</v>
      </c>
      <c r="CC26" s="70">
        <f>'[1]Monthly D6 Gallon Data'!$O29/1000000</f>
        <v>0</v>
      </c>
      <c r="CD26" s="70">
        <f t="shared" si="8"/>
        <v>0</v>
      </c>
      <c r="CE26" s="60"/>
      <c r="CF26" s="71">
        <f>'RD Feedstock Breakdown'!GQ17</f>
        <v>0</v>
      </c>
      <c r="CG26" s="72" t="e">
        <f t="shared" si="2"/>
        <v>#DIV/0!</v>
      </c>
      <c r="CH26" s="73">
        <f>'[2]US EIA'!$R163+AW26</f>
        <v>2408</v>
      </c>
    </row>
    <row r="27" spans="1:86" ht="13.5" x14ac:dyDescent="0.25">
      <c r="A27" s="59">
        <v>40969</v>
      </c>
      <c r="B27" s="74">
        <f t="shared" si="17"/>
        <v>160</v>
      </c>
      <c r="C27" s="75"/>
      <c r="D27" s="74"/>
      <c r="E27" s="74"/>
      <c r="F27" s="74"/>
      <c r="G27" s="74"/>
      <c r="H27" s="74"/>
      <c r="I27" s="74"/>
      <c r="J27" s="75"/>
      <c r="K27" s="60"/>
      <c r="L27" s="60"/>
      <c r="M27" s="75"/>
      <c r="N27" s="75"/>
      <c r="O27" s="75"/>
      <c r="P27" s="60"/>
      <c r="Q27" s="75"/>
      <c r="R27" s="75"/>
      <c r="S27" s="60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4">
        <f>SUM(B27:AS27)</f>
        <v>160</v>
      </c>
      <c r="AX27" s="66">
        <f t="shared" si="10"/>
        <v>160</v>
      </c>
      <c r="AY27" s="62">
        <f>'[1]D4 Gallon Forecast'!$D151/1000000</f>
        <v>5.8000000000000003E-2</v>
      </c>
      <c r="AZ27" s="62">
        <f>'[1]D4 Gallon Forecast'!$D183/1000000</f>
        <v>3.6397080000000002</v>
      </c>
      <c r="BA27" s="62">
        <f t="shared" si="3"/>
        <v>4.7045560000000002</v>
      </c>
      <c r="BB27" s="62">
        <f>'[1]D4 Gallon Forecast'!$D167/1000000</f>
        <v>1.006848</v>
      </c>
      <c r="BC27" s="63">
        <f>'[1]D4 Gallon Forecast'!$D343</f>
        <v>0</v>
      </c>
      <c r="BD27" s="64">
        <f>'[1]D4 Gallon Forecast'!$D359/1000000</f>
        <v>0</v>
      </c>
      <c r="BE27" s="64">
        <f t="shared" si="4"/>
        <v>0</v>
      </c>
      <c r="BF27" s="76">
        <f t="shared" si="11"/>
        <v>4.7045560000000002</v>
      </c>
      <c r="BG27" s="77">
        <f t="shared" si="16"/>
        <v>0.37007821982758621</v>
      </c>
      <c r="BH27" s="75"/>
      <c r="BI27" s="75">
        <f t="shared" si="13"/>
        <v>40</v>
      </c>
      <c r="BJ27" s="75">
        <f t="shared" si="14"/>
        <v>120</v>
      </c>
      <c r="BK27" s="75">
        <f>'RD Feedstock Breakdown'!ES18</f>
        <v>40.785229538250029</v>
      </c>
      <c r="BL27" s="78">
        <f t="shared" si="15"/>
        <v>8.6693047204135798</v>
      </c>
      <c r="BM27" s="78">
        <f t="shared" si="12"/>
        <v>8.6693047204135798</v>
      </c>
      <c r="BN27" s="79"/>
      <c r="BO27" s="79"/>
      <c r="BP27" s="69"/>
      <c r="BQ27" s="66">
        <f>'[1]Monthly D4 Gallon Data'!$B28/1000000</f>
        <v>95.151425000000003</v>
      </c>
      <c r="BR27" s="66">
        <f>'[1]Monthly D6 Gallon Data'!$B30/1000000</f>
        <v>0</v>
      </c>
      <c r="BS27" s="66">
        <f t="shared" si="6"/>
        <v>95.151425000000003</v>
      </c>
      <c r="BT27" s="60"/>
      <c r="BU27" s="67">
        <f>'[2]US EIA'!$P164</f>
        <v>713</v>
      </c>
      <c r="BV27" s="68">
        <f t="shared" si="7"/>
        <v>7.4933192014728105</v>
      </c>
      <c r="BW27" s="60"/>
      <c r="BX27" s="69">
        <f t="shared" si="0"/>
        <v>4.7113412265210236E-2</v>
      </c>
      <c r="BY27" s="69">
        <f t="shared" si="1"/>
        <v>0.95288658773478985</v>
      </c>
      <c r="BZ27" s="60"/>
      <c r="CA27" s="60"/>
      <c r="CB27" s="70">
        <f>'[1]Monthly D4 Gallon Data'!$AG28/1000000</f>
        <v>0</v>
      </c>
      <c r="CC27" s="70">
        <f>'[1]Monthly D6 Gallon Data'!$O30/1000000</f>
        <v>0</v>
      </c>
      <c r="CD27" s="70">
        <f t="shared" si="8"/>
        <v>0</v>
      </c>
      <c r="CE27" s="60"/>
      <c r="CF27" s="71">
        <f>'RD Feedstock Breakdown'!GQ18</f>
        <v>0</v>
      </c>
      <c r="CG27" s="72" t="e">
        <f t="shared" si="2"/>
        <v>#DIV/0!</v>
      </c>
      <c r="CH27" s="73">
        <f>'[2]US EIA'!$R164+AW27</f>
        <v>2393</v>
      </c>
    </row>
    <row r="28" spans="1:86" ht="13.5" x14ac:dyDescent="0.25">
      <c r="A28" s="59">
        <v>41000</v>
      </c>
      <c r="B28" s="74">
        <f t="shared" si="17"/>
        <v>160</v>
      </c>
      <c r="C28" s="75"/>
      <c r="D28" s="74"/>
      <c r="E28" s="74"/>
      <c r="F28" s="74"/>
      <c r="G28" s="74"/>
      <c r="H28" s="74"/>
      <c r="I28" s="74"/>
      <c r="J28" s="75"/>
      <c r="K28" s="60"/>
      <c r="L28" s="60"/>
      <c r="M28" s="75"/>
      <c r="N28" s="75"/>
      <c r="O28" s="75"/>
      <c r="P28" s="60"/>
      <c r="Q28" s="75"/>
      <c r="R28" s="75"/>
      <c r="S28" s="60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4">
        <f t="shared" si="9"/>
        <v>160</v>
      </c>
      <c r="AX28" s="66">
        <f t="shared" si="10"/>
        <v>160</v>
      </c>
      <c r="AY28" s="62">
        <f>'[1]D4 Gallon Forecast'!$D152/1000000</f>
        <v>0.13386400000000001</v>
      </c>
      <c r="AZ28" s="62">
        <f>'[1]D4 Gallon Forecast'!$D184/1000000</f>
        <v>1.1850540000000001</v>
      </c>
      <c r="BA28" s="62">
        <f t="shared" si="3"/>
        <v>3.1820459999999997</v>
      </c>
      <c r="BB28" s="62">
        <f>'[1]D4 Gallon Forecast'!$D168/1000000</f>
        <v>1.8631279999999999</v>
      </c>
      <c r="BC28" s="63">
        <f>'[1]D4 Gallon Forecast'!$D344</f>
        <v>0</v>
      </c>
      <c r="BD28" s="64">
        <f>'[1]D4 Gallon Forecast'!$D360/1000000</f>
        <v>0</v>
      </c>
      <c r="BE28" s="64">
        <f t="shared" si="4"/>
        <v>0</v>
      </c>
      <c r="BF28" s="76">
        <f t="shared" si="11"/>
        <v>3.1820459999999997</v>
      </c>
      <c r="BG28" s="77">
        <f t="shared" si="16"/>
        <v>0.23416265927419352</v>
      </c>
      <c r="BH28" s="75"/>
      <c r="BI28" s="75">
        <f t="shared" si="13"/>
        <v>40</v>
      </c>
      <c r="BJ28" s="75">
        <f t="shared" si="14"/>
        <v>120</v>
      </c>
      <c r="BK28" s="75">
        <f>'RD Feedstock Breakdown'!ES19</f>
        <v>27.586126408373147</v>
      </c>
      <c r="BL28" s="78">
        <f t="shared" si="15"/>
        <v>8.6693047204135798</v>
      </c>
      <c r="BM28" s="78">
        <f t="shared" si="12"/>
        <v>8.6693047204135798</v>
      </c>
      <c r="BN28" s="79"/>
      <c r="BO28" s="79"/>
      <c r="BP28" s="69"/>
      <c r="BQ28" s="66">
        <f>'[1]Monthly D4 Gallon Data'!$B29/1000000</f>
        <v>92.581598999999997</v>
      </c>
      <c r="BR28" s="66">
        <f>'[1]Monthly D6 Gallon Data'!$B31/1000000</f>
        <v>0</v>
      </c>
      <c r="BS28" s="66">
        <f t="shared" si="6"/>
        <v>92.581598999999997</v>
      </c>
      <c r="BT28" s="60"/>
      <c r="BU28" s="67">
        <f>'[2]US EIA'!$P165</f>
        <v>711</v>
      </c>
      <c r="BV28" s="68">
        <f t="shared" si="7"/>
        <v>7.6797118183279593</v>
      </c>
      <c r="BW28" s="60"/>
      <c r="BX28" s="69">
        <f t="shared" si="0"/>
        <v>3.3228121172705988E-2</v>
      </c>
      <c r="BY28" s="69">
        <f t="shared" si="1"/>
        <v>0.96677187882729398</v>
      </c>
      <c r="BZ28" s="60"/>
      <c r="CA28" s="60"/>
      <c r="CB28" s="70">
        <f>'[1]Monthly D4 Gallon Data'!$AG29/1000000</f>
        <v>0</v>
      </c>
      <c r="CC28" s="70">
        <f>'[1]Monthly D6 Gallon Data'!$O31/1000000</f>
        <v>0</v>
      </c>
      <c r="CD28" s="70">
        <f t="shared" si="8"/>
        <v>0</v>
      </c>
      <c r="CE28" s="60"/>
      <c r="CF28" s="71">
        <f>'RD Feedstock Breakdown'!GQ19</f>
        <v>0</v>
      </c>
      <c r="CG28" s="72" t="e">
        <f t="shared" si="2"/>
        <v>#DIV/0!</v>
      </c>
      <c r="CH28" s="73">
        <f>'[2]US EIA'!$R165+AW28</f>
        <v>2363</v>
      </c>
    </row>
    <row r="29" spans="1:86" ht="13.5" x14ac:dyDescent="0.25">
      <c r="A29" s="59">
        <v>41030</v>
      </c>
      <c r="B29" s="74">
        <f t="shared" si="17"/>
        <v>160</v>
      </c>
      <c r="C29" s="75"/>
      <c r="D29" s="74"/>
      <c r="E29" s="74"/>
      <c r="F29" s="74"/>
      <c r="G29" s="74"/>
      <c r="H29" s="74"/>
      <c r="I29" s="74"/>
      <c r="J29" s="75"/>
      <c r="K29" s="60"/>
      <c r="L29" s="60"/>
      <c r="M29" s="75"/>
      <c r="N29" s="75"/>
      <c r="O29" s="75"/>
      <c r="P29" s="60"/>
      <c r="Q29" s="75"/>
      <c r="R29" s="75"/>
      <c r="S29" s="60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4">
        <f t="shared" si="9"/>
        <v>160</v>
      </c>
      <c r="AX29" s="66">
        <f t="shared" si="10"/>
        <v>160</v>
      </c>
      <c r="AY29" s="62">
        <f>'[1]D4 Gallon Forecast'!$D153/1000000</f>
        <v>0.13859199999999999</v>
      </c>
      <c r="AZ29" s="62">
        <f>'[1]D4 Gallon Forecast'!$D185/1000000</f>
        <v>0.76598100000000002</v>
      </c>
      <c r="BA29" s="62">
        <f t="shared" si="3"/>
        <v>3.3577460000000001</v>
      </c>
      <c r="BB29" s="62">
        <f>'[1]D4 Gallon Forecast'!$D169/1000000</f>
        <v>2.453173</v>
      </c>
      <c r="BC29" s="63">
        <f>'[1]D4 Gallon Forecast'!$D345</f>
        <v>0</v>
      </c>
      <c r="BD29" s="64">
        <f>'[1]D4 Gallon Forecast'!$D361/1000000</f>
        <v>0</v>
      </c>
      <c r="BE29" s="64">
        <f t="shared" si="4"/>
        <v>0</v>
      </c>
      <c r="BF29" s="76">
        <f t="shared" si="11"/>
        <v>3.3577460000000001</v>
      </c>
      <c r="BG29" s="77">
        <f t="shared" si="16"/>
        <v>0.2553286020833333</v>
      </c>
      <c r="BH29" s="75"/>
      <c r="BI29" s="75">
        <f t="shared" si="13"/>
        <v>40</v>
      </c>
      <c r="BJ29" s="75">
        <f t="shared" si="14"/>
        <v>120</v>
      </c>
      <c r="BK29" s="75">
        <f>'RD Feedstock Breakdown'!ES20</f>
        <v>29.10932324774981</v>
      </c>
      <c r="BL29" s="78">
        <f t="shared" si="15"/>
        <v>8.669304720413578</v>
      </c>
      <c r="BM29" s="78">
        <f t="shared" si="12"/>
        <v>8.669304720413578</v>
      </c>
      <c r="BN29" s="79"/>
      <c r="BO29" s="79"/>
      <c r="BP29" s="69"/>
      <c r="BQ29" s="66">
        <f>'[1]Monthly D4 Gallon Data'!$B30/1000000</f>
        <v>107.55475800000001</v>
      </c>
      <c r="BR29" s="66">
        <f>'[1]Monthly D6 Gallon Data'!$B32/1000000</f>
        <v>0</v>
      </c>
      <c r="BS29" s="66">
        <f t="shared" si="6"/>
        <v>107.55475800000001</v>
      </c>
      <c r="BT29" s="60"/>
      <c r="BU29" s="67">
        <f>'[2]US EIA'!$P166</f>
        <v>767</v>
      </c>
      <c r="BV29" s="68">
        <f t="shared" si="7"/>
        <v>7.1312512273980477</v>
      </c>
      <c r="BW29" s="60"/>
      <c r="BX29" s="69">
        <f t="shared" si="0"/>
        <v>3.0273827376577845E-2</v>
      </c>
      <c r="BY29" s="69">
        <f t="shared" si="1"/>
        <v>0.96972617262342209</v>
      </c>
      <c r="BZ29" s="60"/>
      <c r="CA29" s="60"/>
      <c r="CB29" s="70">
        <f>'[1]Monthly D4 Gallon Data'!$AG30/1000000</f>
        <v>0</v>
      </c>
      <c r="CC29" s="70">
        <f>'[1]Monthly D6 Gallon Data'!$O32/1000000</f>
        <v>0</v>
      </c>
      <c r="CD29" s="70">
        <f t="shared" si="8"/>
        <v>0</v>
      </c>
      <c r="CE29" s="60"/>
      <c r="CF29" s="71">
        <f>'RD Feedstock Breakdown'!GQ20</f>
        <v>0</v>
      </c>
      <c r="CG29" s="72" t="e">
        <f t="shared" si="2"/>
        <v>#DIV/0!</v>
      </c>
      <c r="CH29" s="73">
        <f>'[2]US EIA'!$R166+AW29</f>
        <v>2359</v>
      </c>
    </row>
    <row r="30" spans="1:86" ht="13.5" x14ac:dyDescent="0.25">
      <c r="A30" s="59">
        <v>41061</v>
      </c>
      <c r="B30" s="74">
        <f t="shared" si="17"/>
        <v>160</v>
      </c>
      <c r="C30" s="75"/>
      <c r="D30" s="74"/>
      <c r="E30" s="74"/>
      <c r="F30" s="74"/>
      <c r="G30" s="74"/>
      <c r="H30" s="74"/>
      <c r="I30" s="74"/>
      <c r="J30" s="75"/>
      <c r="K30" s="60"/>
      <c r="L30" s="60"/>
      <c r="M30" s="75"/>
      <c r="N30" s="75"/>
      <c r="O30" s="75"/>
      <c r="P30" s="60"/>
      <c r="Q30" s="75"/>
      <c r="R30" s="75"/>
      <c r="S30" s="60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4">
        <f t="shared" si="9"/>
        <v>160</v>
      </c>
      <c r="AX30" s="66">
        <f t="shared" si="10"/>
        <v>160</v>
      </c>
      <c r="AY30" s="62">
        <f>'[1]D4 Gallon Forecast'!$D154/1000000</f>
        <v>0</v>
      </c>
      <c r="AZ30" s="62">
        <f>'[1]D4 Gallon Forecast'!$D186/1000000</f>
        <v>2.175694</v>
      </c>
      <c r="BA30" s="62">
        <f t="shared" si="3"/>
        <v>3.0821939999999999</v>
      </c>
      <c r="BB30" s="62">
        <f>'[1]D4 Gallon Forecast'!$D170/1000000</f>
        <v>0.90649999999999997</v>
      </c>
      <c r="BC30" s="63">
        <f>'[1]D4 Gallon Forecast'!$D346</f>
        <v>0</v>
      </c>
      <c r="BD30" s="64">
        <f>'[1]D4 Gallon Forecast'!$D362/1000000</f>
        <v>0</v>
      </c>
      <c r="BE30" s="64">
        <f t="shared" si="4"/>
        <v>0</v>
      </c>
      <c r="BF30" s="76">
        <f t="shared" si="11"/>
        <v>3.0821939999999999</v>
      </c>
      <c r="BG30" s="77">
        <f t="shared" si="16"/>
        <v>0.22681467943548386</v>
      </c>
      <c r="BH30" s="75"/>
      <c r="BI30" s="75">
        <f t="shared" si="13"/>
        <v>40</v>
      </c>
      <c r="BJ30" s="75">
        <f t="shared" si="14"/>
        <v>120</v>
      </c>
      <c r="BK30" s="75">
        <f>'RD Feedstock Breakdown'!ES21</f>
        <v>26.720478993430408</v>
      </c>
      <c r="BL30" s="78">
        <f t="shared" si="15"/>
        <v>8.669304720413578</v>
      </c>
      <c r="BM30" s="78">
        <f t="shared" si="12"/>
        <v>8.669304720413578</v>
      </c>
      <c r="BN30" s="79"/>
      <c r="BO30" s="79"/>
      <c r="BP30" s="69"/>
      <c r="BQ30" s="66">
        <f>'[1]Monthly D4 Gallon Data'!$B31/1000000</f>
        <v>106.61364399999999</v>
      </c>
      <c r="BR30" s="66">
        <f>'[1]Monthly D6 Gallon Data'!$B33/1000000</f>
        <v>0</v>
      </c>
      <c r="BS30" s="66">
        <f t="shared" si="6"/>
        <v>106.61364399999999</v>
      </c>
      <c r="BT30" s="60"/>
      <c r="BU30" s="67">
        <f>'[2]US EIA'!$P167</f>
        <v>703</v>
      </c>
      <c r="BV30" s="68">
        <f t="shared" si="7"/>
        <v>6.5939027466315663</v>
      </c>
      <c r="BW30" s="60"/>
      <c r="BX30" s="69">
        <f t="shared" si="0"/>
        <v>2.8097638490167696E-2</v>
      </c>
      <c r="BY30" s="69">
        <f t="shared" si="1"/>
        <v>0.97190236150983234</v>
      </c>
      <c r="BZ30" s="60"/>
      <c r="CA30" s="60"/>
      <c r="CB30" s="70">
        <f>'[1]Monthly D4 Gallon Data'!$AG31/1000000</f>
        <v>0</v>
      </c>
      <c r="CC30" s="70">
        <f>'[1]Monthly D6 Gallon Data'!$O33/1000000</f>
        <v>0</v>
      </c>
      <c r="CD30" s="70">
        <f t="shared" si="8"/>
        <v>0</v>
      </c>
      <c r="CE30" s="60"/>
      <c r="CF30" s="71">
        <f>'RD Feedstock Breakdown'!GQ21</f>
        <v>0</v>
      </c>
      <c r="CG30" s="72" t="e">
        <f t="shared" si="2"/>
        <v>#DIV/0!</v>
      </c>
      <c r="CH30" s="73">
        <f>'[2]US EIA'!$R167+AW30</f>
        <v>2343</v>
      </c>
    </row>
    <row r="31" spans="1:86" ht="13.5" x14ac:dyDescent="0.25">
      <c r="A31" s="59">
        <v>41091</v>
      </c>
      <c r="B31" s="74">
        <f t="shared" si="17"/>
        <v>160</v>
      </c>
      <c r="C31" s="75"/>
      <c r="D31" s="74"/>
      <c r="E31" s="74"/>
      <c r="F31" s="74"/>
      <c r="G31" s="74"/>
      <c r="H31" s="74"/>
      <c r="I31" s="74"/>
      <c r="J31" s="75"/>
      <c r="K31" s="60"/>
      <c r="L31" s="60"/>
      <c r="M31" s="75"/>
      <c r="N31" s="75"/>
      <c r="O31" s="75"/>
      <c r="P31" s="60"/>
      <c r="Q31" s="75"/>
      <c r="R31" s="75"/>
      <c r="S31" s="60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4">
        <f t="shared" si="9"/>
        <v>160</v>
      </c>
      <c r="AX31" s="66">
        <f t="shared" si="10"/>
        <v>160</v>
      </c>
      <c r="AY31" s="62">
        <f>'[1]D4 Gallon Forecast'!$D155/1000000</f>
        <v>0.22766400000000001</v>
      </c>
      <c r="AZ31" s="62">
        <f>'[1]D4 Gallon Forecast'!$D187/1000000</f>
        <v>4.7389219999999996</v>
      </c>
      <c r="BA31" s="62">
        <f t="shared" si="3"/>
        <v>5.7242569999999997</v>
      </c>
      <c r="BB31" s="62">
        <f>'[1]D4 Gallon Forecast'!$D171/1000000</f>
        <v>0.75767099999999998</v>
      </c>
      <c r="BC31" s="63">
        <f>'[1]D4 Gallon Forecast'!$D347</f>
        <v>0</v>
      </c>
      <c r="BD31" s="64">
        <f>'[1]D4 Gallon Forecast'!$D363/1000000</f>
        <v>0</v>
      </c>
      <c r="BE31" s="64">
        <f t="shared" si="4"/>
        <v>0</v>
      </c>
      <c r="BF31" s="76">
        <f t="shared" si="11"/>
        <v>5.7242569999999997</v>
      </c>
      <c r="BG31" s="77">
        <f t="shared" si="16"/>
        <v>0.43528204270833326</v>
      </c>
      <c r="BH31" s="75"/>
      <c r="BI31" s="75">
        <f t="shared" si="13"/>
        <v>40</v>
      </c>
      <c r="BJ31" s="75">
        <f t="shared" si="14"/>
        <v>120</v>
      </c>
      <c r="BK31" s="75">
        <f>'RD Feedstock Breakdown'!ES22</f>
        <v>49.625328230960477</v>
      </c>
      <c r="BL31" s="78">
        <f t="shared" si="15"/>
        <v>8.6693047204135798</v>
      </c>
      <c r="BM31" s="78">
        <f t="shared" si="12"/>
        <v>8.6693047204135798</v>
      </c>
      <c r="BN31" s="79"/>
      <c r="BO31" s="79"/>
      <c r="BP31" s="69"/>
      <c r="BQ31" s="66">
        <f>'[1]Monthly D4 Gallon Data'!$B32/1000000</f>
        <v>97.342403000000004</v>
      </c>
      <c r="BR31" s="66">
        <f>'[1]Monthly D6 Gallon Data'!$B34/1000000</f>
        <v>0</v>
      </c>
      <c r="BS31" s="66">
        <f t="shared" si="6"/>
        <v>97.342403000000004</v>
      </c>
      <c r="BT31" s="60"/>
      <c r="BU31" s="67">
        <f>'[2]US EIA'!$P168</f>
        <v>642</v>
      </c>
      <c r="BV31" s="68">
        <f t="shared" si="7"/>
        <v>6.5952758532168145</v>
      </c>
      <c r="BW31" s="60"/>
      <c r="BX31" s="69">
        <f t="shared" si="0"/>
        <v>5.5539366464383337E-2</v>
      </c>
      <c r="BY31" s="69">
        <f t="shared" si="1"/>
        <v>0.94446063353561671</v>
      </c>
      <c r="BZ31" s="60"/>
      <c r="CA31" s="60"/>
      <c r="CB31" s="70">
        <f>'[1]Monthly D4 Gallon Data'!$AG32/1000000</f>
        <v>0</v>
      </c>
      <c r="CC31" s="70">
        <f>'[1]Monthly D6 Gallon Data'!$O34/1000000</f>
        <v>0</v>
      </c>
      <c r="CD31" s="70">
        <f t="shared" si="8"/>
        <v>0</v>
      </c>
      <c r="CE31" s="60"/>
      <c r="CF31" s="71">
        <f>'RD Feedstock Breakdown'!GQ22</f>
        <v>0</v>
      </c>
      <c r="CG31" s="72" t="e">
        <f t="shared" si="2"/>
        <v>#DIV/0!</v>
      </c>
      <c r="CH31" s="73">
        <f>'[2]US EIA'!$R168+AW31</f>
        <v>2340</v>
      </c>
    </row>
    <row r="32" spans="1:86" ht="13.5" x14ac:dyDescent="0.25">
      <c r="A32" s="59">
        <v>41122</v>
      </c>
      <c r="B32" s="74">
        <f t="shared" si="17"/>
        <v>160</v>
      </c>
      <c r="C32" s="75"/>
      <c r="D32" s="74"/>
      <c r="E32" s="74"/>
      <c r="F32" s="74"/>
      <c r="G32" s="74"/>
      <c r="H32" s="74"/>
      <c r="I32" s="74"/>
      <c r="J32" s="75"/>
      <c r="K32" s="60"/>
      <c r="L32" s="60"/>
      <c r="M32" s="75"/>
      <c r="N32" s="75"/>
      <c r="O32" s="75"/>
      <c r="P32" s="60"/>
      <c r="Q32" s="75"/>
      <c r="R32" s="75"/>
      <c r="S32" s="60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4">
        <f t="shared" si="9"/>
        <v>160</v>
      </c>
      <c r="AX32" s="66">
        <f t="shared" si="10"/>
        <v>160</v>
      </c>
      <c r="AY32" s="62">
        <f>'[1]D4 Gallon Forecast'!$D156/1000000</f>
        <v>4.5870000000000001E-2</v>
      </c>
      <c r="AZ32" s="62">
        <f>'[1]D4 Gallon Forecast'!$D188/1000000</f>
        <v>3.8434330000000001</v>
      </c>
      <c r="BA32" s="62">
        <f t="shared" si="3"/>
        <v>4.2475529999999999</v>
      </c>
      <c r="BB32" s="62">
        <f>'[1]D4 Gallon Forecast'!$D172/1000000</f>
        <v>0.35825000000000001</v>
      </c>
      <c r="BC32" s="63">
        <f>'[1]D4 Gallon Forecast'!$D348</f>
        <v>0</v>
      </c>
      <c r="BD32" s="64">
        <f>'[1]D4 Gallon Forecast'!$D364/1000000</f>
        <v>0</v>
      </c>
      <c r="BE32" s="64">
        <f t="shared" si="4"/>
        <v>0</v>
      </c>
      <c r="BF32" s="76">
        <f t="shared" si="11"/>
        <v>4.2475529999999999</v>
      </c>
      <c r="BG32" s="77">
        <f t="shared" si="16"/>
        <v>0.31257194455645154</v>
      </c>
      <c r="BH32" s="75"/>
      <c r="BI32" s="75">
        <f t="shared" si="13"/>
        <v>40</v>
      </c>
      <c r="BJ32" s="75">
        <f t="shared" si="14"/>
        <v>120</v>
      </c>
      <c r="BK32" s="75">
        <f>'RD Feedstock Breakdown'!ES23</f>
        <v>36.823331273106859</v>
      </c>
      <c r="BL32" s="78">
        <f t="shared" si="15"/>
        <v>8.6693047204135798</v>
      </c>
      <c r="BM32" s="78">
        <f t="shared" si="12"/>
        <v>8.6693047204135798</v>
      </c>
      <c r="BN32" s="79"/>
      <c r="BO32" s="79"/>
      <c r="BP32" s="69"/>
      <c r="BQ32" s="66">
        <f>'[1]Monthly D4 Gallon Data'!$B33/1000000</f>
        <v>96.254350000000002</v>
      </c>
      <c r="BR32" s="66">
        <f>'[1]Monthly D6 Gallon Data'!$B35/1000000</f>
        <v>9.9088999999999997E-2</v>
      </c>
      <c r="BS32" s="66">
        <f t="shared" si="6"/>
        <v>96.353439000000009</v>
      </c>
      <c r="BT32" s="60"/>
      <c r="BU32" s="67">
        <f>'[2]US EIA'!$P169</f>
        <v>693</v>
      </c>
      <c r="BV32" s="68">
        <f t="shared" si="7"/>
        <v>7.1922705322432749</v>
      </c>
      <c r="BW32" s="60"/>
      <c r="BX32" s="69">
        <f t="shared" si="0"/>
        <v>4.2221780477075213E-2</v>
      </c>
      <c r="BY32" s="69">
        <f t="shared" si="1"/>
        <v>0.95777821952292486</v>
      </c>
      <c r="BZ32" s="60"/>
      <c r="CA32" s="60"/>
      <c r="CB32" s="70">
        <f>'[1]Monthly D4 Gallon Data'!$AG33/1000000</f>
        <v>0</v>
      </c>
      <c r="CC32" s="70">
        <f>'[1]Monthly D6 Gallon Data'!$O35/1000000</f>
        <v>0</v>
      </c>
      <c r="CD32" s="70">
        <f t="shared" si="8"/>
        <v>0</v>
      </c>
      <c r="CE32" s="60"/>
      <c r="CF32" s="71">
        <f>'RD Feedstock Breakdown'!GQ23</f>
        <v>0</v>
      </c>
      <c r="CG32" s="72" t="e">
        <f t="shared" si="2"/>
        <v>#DIV/0!</v>
      </c>
      <c r="CH32" s="73">
        <f>'[2]US EIA'!$R169+AW32</f>
        <v>2340</v>
      </c>
    </row>
    <row r="33" spans="1:86" ht="13.5" x14ac:dyDescent="0.25">
      <c r="A33" s="59">
        <v>41153</v>
      </c>
      <c r="B33" s="74">
        <f t="shared" si="17"/>
        <v>160</v>
      </c>
      <c r="C33" s="75"/>
      <c r="D33" s="74"/>
      <c r="E33" s="74"/>
      <c r="F33" s="74"/>
      <c r="G33" s="74"/>
      <c r="H33" s="74"/>
      <c r="I33" s="74"/>
      <c r="J33" s="75"/>
      <c r="K33" s="60"/>
      <c r="L33" s="60"/>
      <c r="M33" s="75"/>
      <c r="N33" s="75"/>
      <c r="O33" s="75"/>
      <c r="P33" s="60"/>
      <c r="Q33" s="75"/>
      <c r="R33" s="75"/>
      <c r="S33" s="60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4">
        <f t="shared" si="9"/>
        <v>160</v>
      </c>
      <c r="AX33" s="66">
        <f t="shared" si="10"/>
        <v>160</v>
      </c>
      <c r="AY33" s="62">
        <f>'[1]D4 Gallon Forecast'!$D157/1000000</f>
        <v>0.14250199999999999</v>
      </c>
      <c r="AZ33" s="62">
        <f>'[1]D4 Gallon Forecast'!$D189/1000000</f>
        <v>2.250327</v>
      </c>
      <c r="BA33" s="62">
        <f t="shared" si="3"/>
        <v>2.6987920000000001</v>
      </c>
      <c r="BB33" s="62">
        <f>'[1]D4 Gallon Forecast'!$D173/1000000</f>
        <v>0.30596299999999998</v>
      </c>
      <c r="BC33" s="63">
        <f>'[1]D4 Gallon Forecast'!$D349</f>
        <v>0</v>
      </c>
      <c r="BD33" s="64">
        <f>'[1]D4 Gallon Forecast'!$D365/1000000</f>
        <v>0</v>
      </c>
      <c r="BE33" s="64">
        <f t="shared" si="4"/>
        <v>0</v>
      </c>
      <c r="BF33" s="76">
        <f t="shared" si="11"/>
        <v>2.6987920000000001</v>
      </c>
      <c r="BG33" s="77">
        <f t="shared" si="16"/>
        <v>0.19860062096774195</v>
      </c>
      <c r="BH33" s="75"/>
      <c r="BI33" s="75">
        <f t="shared" si="13"/>
        <v>40</v>
      </c>
      <c r="BJ33" s="75">
        <f t="shared" si="14"/>
        <v>120</v>
      </c>
      <c r="BK33" s="75">
        <f>'RD Feedstock Breakdown'!ES24</f>
        <v>23.396650225014401</v>
      </c>
      <c r="BL33" s="78">
        <f t="shared" si="15"/>
        <v>8.669304720413578</v>
      </c>
      <c r="BM33" s="78">
        <f t="shared" si="12"/>
        <v>8.669304720413578</v>
      </c>
      <c r="BN33" s="79"/>
      <c r="BO33" s="79"/>
      <c r="BP33" s="69"/>
      <c r="BQ33" s="66">
        <f>'[1]Monthly D4 Gallon Data'!$B34/1000000</f>
        <v>81.339106000000001</v>
      </c>
      <c r="BR33" s="66">
        <f>'[1]Monthly D6 Gallon Data'!$B36/1000000</f>
        <v>0</v>
      </c>
      <c r="BS33" s="66">
        <f t="shared" si="6"/>
        <v>81.339106000000001</v>
      </c>
      <c r="BT33" s="60"/>
      <c r="BU33" s="67">
        <f>'[2]US EIA'!$P170</f>
        <v>618</v>
      </c>
      <c r="BV33" s="68">
        <f t="shared" si="7"/>
        <v>7.5978213972501738</v>
      </c>
      <c r="BW33" s="60"/>
      <c r="BX33" s="69">
        <f t="shared" si="0"/>
        <v>3.2113987429814105E-2</v>
      </c>
      <c r="BY33" s="69">
        <f t="shared" si="1"/>
        <v>0.96788601257018592</v>
      </c>
      <c r="BZ33" s="60"/>
      <c r="CA33" s="60"/>
      <c r="CB33" s="70">
        <f>'[1]Monthly D4 Gallon Data'!$AG34/1000000</f>
        <v>0</v>
      </c>
      <c r="CC33" s="70">
        <f>'[1]Monthly D6 Gallon Data'!$O36/1000000</f>
        <v>0</v>
      </c>
      <c r="CD33" s="70">
        <f t="shared" si="8"/>
        <v>0</v>
      </c>
      <c r="CE33" s="60"/>
      <c r="CF33" s="71">
        <f>'RD Feedstock Breakdown'!GQ24</f>
        <v>0</v>
      </c>
      <c r="CG33" s="72" t="e">
        <f t="shared" si="2"/>
        <v>#DIV/0!</v>
      </c>
      <c r="CH33" s="73">
        <f>'[2]US EIA'!$R170+AW33</f>
        <v>2370</v>
      </c>
    </row>
    <row r="34" spans="1:86" ht="13.5" x14ac:dyDescent="0.25">
      <c r="A34" s="59">
        <v>41183</v>
      </c>
      <c r="B34" s="74">
        <f t="shared" si="17"/>
        <v>160</v>
      </c>
      <c r="C34" s="75"/>
      <c r="D34" s="74"/>
      <c r="E34" s="74"/>
      <c r="F34" s="74"/>
      <c r="G34" s="74"/>
      <c r="H34" s="74"/>
      <c r="I34" s="74"/>
      <c r="J34" s="75"/>
      <c r="K34" s="60"/>
      <c r="L34" s="60"/>
      <c r="M34" s="75"/>
      <c r="N34" s="75"/>
      <c r="O34" s="75"/>
      <c r="P34" s="60"/>
      <c r="Q34" s="75"/>
      <c r="R34" s="75"/>
      <c r="S34" s="60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4">
        <f t="shared" si="9"/>
        <v>160</v>
      </c>
      <c r="AX34" s="66">
        <f t="shared" si="10"/>
        <v>160</v>
      </c>
      <c r="AY34" s="62">
        <f>'[1]D4 Gallon Forecast'!$D158/1000000</f>
        <v>0.20329</v>
      </c>
      <c r="AZ34" s="62">
        <f>'[1]D4 Gallon Forecast'!$D190/1000000</f>
        <v>1.960831</v>
      </c>
      <c r="BA34" s="62">
        <f t="shared" si="3"/>
        <v>2.7344140000000001</v>
      </c>
      <c r="BB34" s="62">
        <f>'[1]D4 Gallon Forecast'!$D174/1000000</f>
        <v>0.57029300000000005</v>
      </c>
      <c r="BC34" s="63">
        <f>'[1]D4 Gallon Forecast'!$D350</f>
        <v>0</v>
      </c>
      <c r="BD34" s="64">
        <f>'[1]D4 Gallon Forecast'!$D366/1000000</f>
        <v>0</v>
      </c>
      <c r="BE34" s="64">
        <f t="shared" si="4"/>
        <v>0</v>
      </c>
      <c r="BF34" s="76">
        <f t="shared" si="11"/>
        <v>2.7344140000000001</v>
      </c>
      <c r="BG34" s="77">
        <f t="shared" si="16"/>
        <v>0.20792939791666668</v>
      </c>
      <c r="BH34" s="75"/>
      <c r="BI34" s="75">
        <f t="shared" si="13"/>
        <v>40</v>
      </c>
      <c r="BJ34" s="75">
        <f t="shared" si="14"/>
        <v>120</v>
      </c>
      <c r="BK34" s="75">
        <f>'RD Feedstock Breakdown'!ES25</f>
        <v>23.705468197764979</v>
      </c>
      <c r="BL34" s="78">
        <f t="shared" si="15"/>
        <v>8.6693047204135798</v>
      </c>
      <c r="BM34" s="78">
        <f t="shared" si="12"/>
        <v>8.6693047204135798</v>
      </c>
      <c r="BN34" s="79"/>
      <c r="BO34" s="79"/>
      <c r="BP34" s="69"/>
      <c r="BQ34" s="66">
        <f>'[1]Monthly D4 Gallon Data'!$B35/1000000</f>
        <v>80.600435000000004</v>
      </c>
      <c r="BR34" s="66">
        <f>'[1]Monthly D6 Gallon Data'!$B37/1000000</f>
        <v>0.11181000000000001</v>
      </c>
      <c r="BS34" s="66">
        <f t="shared" si="6"/>
        <v>80.71224500000001</v>
      </c>
      <c r="BT34" s="60"/>
      <c r="BU34" s="67">
        <f>'[2]US EIA'!$P171</f>
        <v>574</v>
      </c>
      <c r="BV34" s="68">
        <f t="shared" si="7"/>
        <v>7.1116842308128083</v>
      </c>
      <c r="BW34" s="60"/>
      <c r="BX34" s="69">
        <f t="shared" si="0"/>
        <v>3.2768405982557071E-2</v>
      </c>
      <c r="BY34" s="69">
        <f t="shared" si="1"/>
        <v>0.96723159401744296</v>
      </c>
      <c r="BZ34" s="60"/>
      <c r="CA34" s="60"/>
      <c r="CB34" s="70">
        <f>'[1]Monthly D4 Gallon Data'!$AG35/1000000</f>
        <v>0</v>
      </c>
      <c r="CC34" s="70">
        <f>'[1]Monthly D6 Gallon Data'!$O37/1000000</f>
        <v>0</v>
      </c>
      <c r="CD34" s="70">
        <f t="shared" si="8"/>
        <v>0</v>
      </c>
      <c r="CE34" s="60"/>
      <c r="CF34" s="71">
        <f>'RD Feedstock Breakdown'!GQ25</f>
        <v>0</v>
      </c>
      <c r="CG34" s="72" t="e">
        <f t="shared" si="2"/>
        <v>#DIV/0!</v>
      </c>
      <c r="CH34" s="73">
        <f>'[2]US EIA'!$R171+AW34</f>
        <v>2370</v>
      </c>
    </row>
    <row r="35" spans="1:86" ht="13.5" x14ac:dyDescent="0.25">
      <c r="A35" s="59">
        <v>41214</v>
      </c>
      <c r="B35" s="74">
        <f t="shared" si="17"/>
        <v>160</v>
      </c>
      <c r="C35" s="75"/>
      <c r="D35" s="74"/>
      <c r="E35" s="74"/>
      <c r="F35" s="74"/>
      <c r="G35" s="74"/>
      <c r="H35" s="74"/>
      <c r="I35" s="74"/>
      <c r="J35" s="75"/>
      <c r="K35" s="60"/>
      <c r="L35" s="60"/>
      <c r="M35" s="75"/>
      <c r="N35" s="75"/>
      <c r="O35" s="75"/>
      <c r="P35" s="60"/>
      <c r="Q35" s="75"/>
      <c r="R35" s="75"/>
      <c r="S35" s="60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4">
        <f t="shared" si="9"/>
        <v>160</v>
      </c>
      <c r="AX35" s="66">
        <f t="shared" si="10"/>
        <v>160</v>
      </c>
      <c r="AY35" s="62">
        <f>'[1]D4 Gallon Forecast'!$D159/1000000</f>
        <v>0</v>
      </c>
      <c r="AZ35" s="62">
        <f>'[1]D4 Gallon Forecast'!$D191/1000000</f>
        <v>3.1067520000000002</v>
      </c>
      <c r="BA35" s="62">
        <f t="shared" si="3"/>
        <v>3.6755910000000003</v>
      </c>
      <c r="BB35" s="62">
        <f>'[1]D4 Gallon Forecast'!$D175/1000000</f>
        <v>0.56883899999999998</v>
      </c>
      <c r="BC35" s="63">
        <f>'[1]D4 Gallon Forecast'!$D351</f>
        <v>0</v>
      </c>
      <c r="BD35" s="64">
        <f>'[1]D4 Gallon Forecast'!$D367/1000000</f>
        <v>0</v>
      </c>
      <c r="BE35" s="64">
        <f t="shared" si="4"/>
        <v>0</v>
      </c>
      <c r="BF35" s="76">
        <f t="shared" si="11"/>
        <v>3.6755910000000003</v>
      </c>
      <c r="BG35" s="77">
        <f t="shared" si="16"/>
        <v>0.27048199899193548</v>
      </c>
      <c r="BH35" s="75"/>
      <c r="BI35" s="75">
        <f t="shared" si="13"/>
        <v>40</v>
      </c>
      <c r="BJ35" s="75">
        <f t="shared" si="14"/>
        <v>120</v>
      </c>
      <c r="BK35" s="75">
        <f>'RD Feedstock Breakdown'!ES26</f>
        <v>31.864818406609668</v>
      </c>
      <c r="BL35" s="78">
        <f t="shared" si="15"/>
        <v>8.669304720413578</v>
      </c>
      <c r="BM35" s="78">
        <f t="shared" si="12"/>
        <v>8.669304720413578</v>
      </c>
      <c r="BN35" s="79"/>
      <c r="BO35" s="79"/>
      <c r="BP35" s="69"/>
      <c r="BQ35" s="66">
        <f>'[1]Monthly D4 Gallon Data'!$B36/1000000</f>
        <v>67.979938000000004</v>
      </c>
      <c r="BR35" s="66">
        <f>'[1]Monthly D6 Gallon Data'!$B38/1000000</f>
        <v>4.5342E-2</v>
      </c>
      <c r="BS35" s="66">
        <f t="shared" si="6"/>
        <v>68.025280000000009</v>
      </c>
      <c r="BT35" s="60"/>
      <c r="BU35" s="67">
        <f>'[2]US EIA'!$P172</f>
        <v>436</v>
      </c>
      <c r="BV35" s="68">
        <f t="shared" si="7"/>
        <v>6.4093819238965271</v>
      </c>
      <c r="BW35" s="60"/>
      <c r="BX35" s="69">
        <f t="shared" si="0"/>
        <v>5.1262850070538192E-2</v>
      </c>
      <c r="BY35" s="69">
        <f t="shared" si="1"/>
        <v>0.9487371499294619</v>
      </c>
      <c r="BZ35" s="60"/>
      <c r="CA35" s="60"/>
      <c r="CB35" s="70">
        <f>'[1]Monthly D4 Gallon Data'!$AG36/1000000</f>
        <v>0</v>
      </c>
      <c r="CC35" s="70">
        <f>'[1]Monthly D6 Gallon Data'!$O38/1000000</f>
        <v>0</v>
      </c>
      <c r="CD35" s="70">
        <f t="shared" si="8"/>
        <v>0</v>
      </c>
      <c r="CE35" s="60"/>
      <c r="CF35" s="71">
        <f>'RD Feedstock Breakdown'!GQ26</f>
        <v>0</v>
      </c>
      <c r="CG35" s="72" t="e">
        <f t="shared" si="2"/>
        <v>#DIV/0!</v>
      </c>
      <c r="CH35" s="73">
        <f>'[2]US EIA'!$R172+AW35</f>
        <v>2332</v>
      </c>
    </row>
    <row r="36" spans="1:86" ht="13.5" x14ac:dyDescent="0.25">
      <c r="A36" s="59">
        <v>41244</v>
      </c>
      <c r="B36" s="74">
        <f t="shared" si="17"/>
        <v>160</v>
      </c>
      <c r="C36" s="75"/>
      <c r="D36" s="74"/>
      <c r="E36" s="74"/>
      <c r="F36" s="74"/>
      <c r="G36" s="74"/>
      <c r="H36" s="74"/>
      <c r="I36" s="74"/>
      <c r="J36" s="75"/>
      <c r="K36" s="60"/>
      <c r="L36" s="60"/>
      <c r="M36" s="75"/>
      <c r="N36" s="75"/>
      <c r="O36" s="75"/>
      <c r="P36" s="60"/>
      <c r="Q36" s="75"/>
      <c r="R36" s="75"/>
      <c r="S36" s="60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4">
        <f t="shared" si="9"/>
        <v>160</v>
      </c>
      <c r="AX36" s="66">
        <f t="shared" si="10"/>
        <v>160</v>
      </c>
      <c r="AY36" s="62">
        <f>'[1]D4 Gallon Forecast'!$D160/1000000</f>
        <v>0</v>
      </c>
      <c r="AZ36" s="62">
        <f>'[1]D4 Gallon Forecast'!$D192/1000000</f>
        <v>1.0641970000000001</v>
      </c>
      <c r="BA36" s="62">
        <f t="shared" si="3"/>
        <v>1.6171009999999999</v>
      </c>
      <c r="BB36" s="62">
        <f>'[1]D4 Gallon Forecast'!$D176/1000000</f>
        <v>0.55290399999999995</v>
      </c>
      <c r="BC36" s="63">
        <f>'[1]D4 Gallon Forecast'!$D352</f>
        <v>0</v>
      </c>
      <c r="BD36" s="64">
        <f>'[1]D4 Gallon Forecast'!$D368/1000000</f>
        <v>0</v>
      </c>
      <c r="BE36" s="64">
        <f t="shared" si="4"/>
        <v>0</v>
      </c>
      <c r="BF36" s="76">
        <f t="shared" si="11"/>
        <v>1.6171009999999999</v>
      </c>
      <c r="BG36" s="77">
        <f t="shared" si="16"/>
        <v>0.12296705520833331</v>
      </c>
      <c r="BH36" s="75"/>
      <c r="BI36" s="75">
        <f t="shared" si="13"/>
        <v>40</v>
      </c>
      <c r="BJ36" s="75">
        <f t="shared" si="14"/>
        <v>120</v>
      </c>
      <c r="BK36" s="75">
        <f>'RD Feedstock Breakdown'!ES27</f>
        <v>14.019141332685518</v>
      </c>
      <c r="BL36" s="78">
        <f t="shared" si="15"/>
        <v>8.669304720413578</v>
      </c>
      <c r="BM36" s="78">
        <f t="shared" si="12"/>
        <v>8.669304720413578</v>
      </c>
      <c r="BN36" s="79"/>
      <c r="BO36" s="79"/>
      <c r="BP36" s="69"/>
      <c r="BQ36" s="66">
        <f>'[1]Monthly D4 Gallon Data'!$B37/1000000</f>
        <v>58.155836000000001</v>
      </c>
      <c r="BR36" s="66">
        <f>'[1]Monthly D6 Gallon Data'!$B39/1000000</f>
        <v>7.2017999999999999E-2</v>
      </c>
      <c r="BS36" s="66">
        <f t="shared" si="6"/>
        <v>58.227854000000001</v>
      </c>
      <c r="BT36" s="60"/>
      <c r="BU36" s="67">
        <f>'[2]US EIA'!$P173</f>
        <v>454</v>
      </c>
      <c r="BV36" s="68">
        <f t="shared" si="7"/>
        <v>7.7969557318736147</v>
      </c>
      <c r="BW36" s="60"/>
      <c r="BX36" s="69">
        <f t="shared" si="0"/>
        <v>2.7021509164807625E-2</v>
      </c>
      <c r="BY36" s="69">
        <f t="shared" si="1"/>
        <v>0.97297849083519239</v>
      </c>
      <c r="BZ36" s="60"/>
      <c r="CA36" s="60"/>
      <c r="CB36" s="70">
        <f>'[1]Monthly D4 Gallon Data'!$AG37/1000000</f>
        <v>0</v>
      </c>
      <c r="CC36" s="70">
        <f>'[1]Monthly D6 Gallon Data'!$O39/1000000</f>
        <v>0</v>
      </c>
      <c r="CD36" s="70">
        <f t="shared" si="8"/>
        <v>0</v>
      </c>
      <c r="CE36" s="60"/>
      <c r="CF36" s="71">
        <f>'RD Feedstock Breakdown'!GQ27</f>
        <v>0</v>
      </c>
      <c r="CG36" s="72" t="e">
        <f t="shared" si="2"/>
        <v>#DIV/0!</v>
      </c>
      <c r="CH36" s="73">
        <f>'[2]US EIA'!$R173+AW36</f>
        <v>2264</v>
      </c>
    </row>
    <row r="37" spans="1:86" ht="13.5" x14ac:dyDescent="0.25">
      <c r="A37" s="59">
        <v>41275</v>
      </c>
      <c r="B37" s="74">
        <f t="shared" si="17"/>
        <v>160</v>
      </c>
      <c r="C37" s="75"/>
      <c r="D37" s="74"/>
      <c r="E37" s="74"/>
      <c r="F37" s="74"/>
      <c r="G37" s="74"/>
      <c r="H37" s="74"/>
      <c r="I37" s="74"/>
      <c r="J37" s="75"/>
      <c r="K37" s="60"/>
      <c r="L37" s="60"/>
      <c r="M37" s="75"/>
      <c r="N37" s="75"/>
      <c r="O37" s="75"/>
      <c r="P37" s="60"/>
      <c r="Q37" s="75"/>
      <c r="R37" s="75"/>
      <c r="S37" s="60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4">
        <f t="shared" si="9"/>
        <v>160</v>
      </c>
      <c r="AX37" s="66">
        <f t="shared" si="10"/>
        <v>160</v>
      </c>
      <c r="AY37" s="62">
        <f>'[1]D4 Gallon Forecast'!$E149/1000000</f>
        <v>0</v>
      </c>
      <c r="AZ37" s="62">
        <f>'[1]D4 Gallon Forecast'!$E181/1000000</f>
        <v>0.26167099999999999</v>
      </c>
      <c r="BA37" s="62">
        <f t="shared" si="3"/>
        <v>0.87497499999999995</v>
      </c>
      <c r="BB37" s="62">
        <f>'[1]D4 Gallon Forecast'!$E165/1000000</f>
        <v>0.61330399999999996</v>
      </c>
      <c r="BC37" s="63">
        <f>'[1]D4 Gallon Forecast'!$E341</f>
        <v>0</v>
      </c>
      <c r="BD37" s="64">
        <f>'[1]D4 Gallon Forecast'!$E357/1000000</f>
        <v>0</v>
      </c>
      <c r="BE37" s="64">
        <f t="shared" si="4"/>
        <v>0</v>
      </c>
      <c r="BF37" s="76">
        <f t="shared" si="11"/>
        <v>0.87497499999999995</v>
      </c>
      <c r="BG37" s="77">
        <f t="shared" si="16"/>
        <v>6.4388281249999985E-2</v>
      </c>
      <c r="BH37" s="75"/>
      <c r="BI37" s="75">
        <f t="shared" si="13"/>
        <v>40</v>
      </c>
      <c r="BJ37" s="75">
        <f t="shared" si="14"/>
        <v>120</v>
      </c>
      <c r="BK37" s="75">
        <f>'RD Feedstock Breakdown'!ES28</f>
        <v>7.5854248977438701</v>
      </c>
      <c r="BL37" s="78">
        <f t="shared" si="15"/>
        <v>8.669304720413578</v>
      </c>
      <c r="BM37" s="78">
        <f t="shared" si="12"/>
        <v>8.669304720413578</v>
      </c>
      <c r="BN37" s="79"/>
      <c r="BO37" s="79"/>
      <c r="BP37" s="69"/>
      <c r="BQ37" s="66">
        <f>'[1]Monthly D4 Gallon Data'!$B38/1000000</f>
        <v>71.157809999999998</v>
      </c>
      <c r="BR37" s="66">
        <f>'[1]Monthly D6 Gallon Data'!$B40/1000000</f>
        <v>6.1279999999999998E-3</v>
      </c>
      <c r="BS37" s="66">
        <f t="shared" si="6"/>
        <v>71.163938000000002</v>
      </c>
      <c r="BT37" s="60"/>
      <c r="BU37" s="67">
        <f>'[2]US EIA'!$P174</f>
        <v>525</v>
      </c>
      <c r="BV37" s="68">
        <f t="shared" si="7"/>
        <v>7.3773320414055776</v>
      </c>
      <c r="BW37" s="60"/>
      <c r="BX37" s="69">
        <f t="shared" si="0"/>
        <v>1.2145866220940894E-2</v>
      </c>
      <c r="BY37" s="69">
        <f t="shared" si="1"/>
        <v>0.98785413377905906</v>
      </c>
      <c r="BZ37" s="60"/>
      <c r="CA37" s="60"/>
      <c r="CB37" s="70">
        <f>'[1]Monthly D4 Gallon Data'!$AG38/1000000</f>
        <v>0</v>
      </c>
      <c r="CC37" s="70">
        <f>'[1]Monthly D6 Gallon Data'!$O40/1000000</f>
        <v>0</v>
      </c>
      <c r="CD37" s="70">
        <f t="shared" si="8"/>
        <v>0</v>
      </c>
      <c r="CE37" s="60"/>
      <c r="CF37" s="71">
        <f>'RD Feedstock Breakdown'!GQ28</f>
        <v>0</v>
      </c>
      <c r="CG37" s="72" t="e">
        <f t="shared" si="2"/>
        <v>#DIV/0!</v>
      </c>
      <c r="CH37" s="73">
        <f>'[2]US EIA'!$R174+AW37</f>
        <v>2272</v>
      </c>
    </row>
    <row r="38" spans="1:86" ht="13.5" x14ac:dyDescent="0.25">
      <c r="A38" s="59">
        <v>41306</v>
      </c>
      <c r="B38" s="74">
        <f t="shared" si="17"/>
        <v>160</v>
      </c>
      <c r="C38" s="75"/>
      <c r="D38" s="74"/>
      <c r="E38" s="74"/>
      <c r="F38" s="74"/>
      <c r="G38" s="74"/>
      <c r="H38" s="74"/>
      <c r="I38" s="74"/>
      <c r="J38" s="75"/>
      <c r="K38" s="60"/>
      <c r="L38" s="60"/>
      <c r="M38" s="75"/>
      <c r="N38" s="75"/>
      <c r="O38" s="75"/>
      <c r="P38" s="60"/>
      <c r="Q38" s="75"/>
      <c r="R38" s="75"/>
      <c r="S38" s="60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4">
        <f t="shared" si="9"/>
        <v>160</v>
      </c>
      <c r="AX38" s="66">
        <f t="shared" si="10"/>
        <v>160</v>
      </c>
      <c r="AY38" s="62">
        <f>'[1]D4 Gallon Forecast'!$E150/1000000</f>
        <v>7.0904999999999996E-2</v>
      </c>
      <c r="AZ38" s="62">
        <f>'[1]D4 Gallon Forecast'!$E182/1000000</f>
        <v>0.210451</v>
      </c>
      <c r="BA38" s="62">
        <f t="shared" si="3"/>
        <v>0.70957000000000003</v>
      </c>
      <c r="BB38" s="62">
        <f>'[1]D4 Gallon Forecast'!$E166/1000000</f>
        <v>0.42821399999999998</v>
      </c>
      <c r="BC38" s="63">
        <f>'[1]D4 Gallon Forecast'!$E342</f>
        <v>0</v>
      </c>
      <c r="BD38" s="64">
        <f>'[1]D4 Gallon Forecast'!$E358/1000000</f>
        <v>0</v>
      </c>
      <c r="BE38" s="64">
        <f t="shared" si="4"/>
        <v>0</v>
      </c>
      <c r="BF38" s="76">
        <f t="shared" si="11"/>
        <v>0.70957000000000003</v>
      </c>
      <c r="BG38" s="77">
        <f t="shared" si="16"/>
        <v>5.2216340725806457E-2</v>
      </c>
      <c r="BH38" s="75"/>
      <c r="BI38" s="75">
        <f t="shared" si="13"/>
        <v>40</v>
      </c>
      <c r="BJ38" s="75">
        <f t="shared" si="14"/>
        <v>120</v>
      </c>
      <c r="BK38" s="75">
        <f>'RD Feedstock Breakdown'!ES29</f>
        <v>6.1514785504638629</v>
      </c>
      <c r="BL38" s="78">
        <f t="shared" si="15"/>
        <v>8.669304720413578</v>
      </c>
      <c r="BM38" s="78">
        <f t="shared" si="12"/>
        <v>8.669304720413578</v>
      </c>
      <c r="BN38" s="79"/>
      <c r="BO38" s="79"/>
      <c r="BP38" s="69"/>
      <c r="BQ38" s="66">
        <f>'[1]Monthly D4 Gallon Data'!$B39/1000000</f>
        <v>74.511500999999996</v>
      </c>
      <c r="BR38" s="66">
        <f>'[1]Monthly D6 Gallon Data'!$B41/1000000</f>
        <v>6.1609999999999998E-3</v>
      </c>
      <c r="BS38" s="66">
        <f t="shared" si="6"/>
        <v>74.517662000000001</v>
      </c>
      <c r="BT38" s="60"/>
      <c r="BU38" s="67">
        <f>'[2]US EIA'!$P175</f>
        <v>542</v>
      </c>
      <c r="BV38" s="68">
        <f t="shared" si="7"/>
        <v>7.2734434421734813</v>
      </c>
      <c r="BW38" s="60"/>
      <c r="BX38" s="69">
        <f t="shared" si="0"/>
        <v>9.4323555597526174E-3</v>
      </c>
      <c r="BY38" s="69">
        <f t="shared" si="1"/>
        <v>0.99056764444024736</v>
      </c>
      <c r="BZ38" s="60"/>
      <c r="CA38" s="60"/>
      <c r="CB38" s="70">
        <f>'[1]Monthly D4 Gallon Data'!$AG39/1000000</f>
        <v>0</v>
      </c>
      <c r="CC38" s="70">
        <f>'[1]Monthly D6 Gallon Data'!$O41/1000000</f>
        <v>0</v>
      </c>
      <c r="CD38" s="70">
        <f t="shared" si="8"/>
        <v>0</v>
      </c>
      <c r="CE38" s="60"/>
      <c r="CF38" s="71">
        <f>'RD Feedstock Breakdown'!GQ29</f>
        <v>0</v>
      </c>
      <c r="CG38" s="72" t="e">
        <f t="shared" si="2"/>
        <v>#DIV/0!</v>
      </c>
      <c r="CH38" s="73">
        <f>'[2]US EIA'!$R175+AW38</f>
        <v>2281</v>
      </c>
    </row>
    <row r="39" spans="1:86" ht="13.5" x14ac:dyDescent="0.25">
      <c r="A39" s="59">
        <v>41334</v>
      </c>
      <c r="B39" s="74">
        <f t="shared" si="17"/>
        <v>160</v>
      </c>
      <c r="C39" s="75"/>
      <c r="D39" s="74"/>
      <c r="E39" s="74"/>
      <c r="F39" s="74"/>
      <c r="G39" s="74"/>
      <c r="H39" s="74"/>
      <c r="I39" s="74"/>
      <c r="J39" s="75"/>
      <c r="K39" s="60"/>
      <c r="L39" s="60"/>
      <c r="M39" s="75"/>
      <c r="N39" s="75"/>
      <c r="O39" s="75"/>
      <c r="P39" s="60"/>
      <c r="Q39" s="75"/>
      <c r="R39" s="75"/>
      <c r="S39" s="60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4">
        <f t="shared" si="9"/>
        <v>160</v>
      </c>
      <c r="AX39" s="66">
        <f t="shared" si="10"/>
        <v>160</v>
      </c>
      <c r="AY39" s="62">
        <f>'[1]D4 Gallon Forecast'!$E151/1000000</f>
        <v>6.8357000000000001E-2</v>
      </c>
      <c r="AZ39" s="62">
        <f>'[1]D4 Gallon Forecast'!$E183/1000000</f>
        <v>0.51901399999999998</v>
      </c>
      <c r="BA39" s="62">
        <f t="shared" si="3"/>
        <v>1.1800269999999999</v>
      </c>
      <c r="BB39" s="62">
        <f>'[1]D4 Gallon Forecast'!$E167/1000000</f>
        <v>0.59265599999999996</v>
      </c>
      <c r="BC39" s="63">
        <f>'[1]D4 Gallon Forecast'!$E343</f>
        <v>0</v>
      </c>
      <c r="BD39" s="64">
        <f>'[1]D4 Gallon Forecast'!$E359/1000000</f>
        <v>0</v>
      </c>
      <c r="BE39" s="64">
        <f t="shared" si="4"/>
        <v>0</v>
      </c>
      <c r="BF39" s="76">
        <f t="shared" si="11"/>
        <v>1.1800269999999999</v>
      </c>
      <c r="BG39" s="77">
        <f t="shared" si="16"/>
        <v>9.6140592633928573E-2</v>
      </c>
      <c r="BH39" s="75"/>
      <c r="BI39" s="75">
        <f t="shared" si="13"/>
        <v>40</v>
      </c>
      <c r="BJ39" s="75">
        <f t="shared" si="14"/>
        <v>120</v>
      </c>
      <c r="BK39" s="75">
        <f>'RD Feedstock Breakdown'!ES30</f>
        <v>10.230013641315473</v>
      </c>
      <c r="BL39" s="78">
        <f t="shared" si="15"/>
        <v>8.669304720413578</v>
      </c>
      <c r="BM39" s="78">
        <f t="shared" si="12"/>
        <v>8.669304720413578</v>
      </c>
      <c r="BN39" s="79"/>
      <c r="BO39" s="79"/>
      <c r="BP39" s="69"/>
      <c r="BQ39" s="66">
        <f>'[1]Monthly D4 Gallon Data'!$B40/1000000</f>
        <v>101.030322</v>
      </c>
      <c r="BR39" s="66">
        <f>'[1]Monthly D6 Gallon Data'!$B42/1000000</f>
        <v>0</v>
      </c>
      <c r="BS39" s="66">
        <f t="shared" si="6"/>
        <v>101.030322</v>
      </c>
      <c r="BT39" s="60"/>
      <c r="BU39" s="67">
        <f>'[2]US EIA'!$P176</f>
        <v>770</v>
      </c>
      <c r="BV39" s="68">
        <f t="shared" si="7"/>
        <v>7.6214742738323649</v>
      </c>
      <c r="BW39" s="60"/>
      <c r="BX39" s="69">
        <f t="shared" si="0"/>
        <v>1.1545083365286229E-2</v>
      </c>
      <c r="BY39" s="69">
        <f t="shared" si="1"/>
        <v>0.98845491663471385</v>
      </c>
      <c r="BZ39" s="60"/>
      <c r="CA39" s="60"/>
      <c r="CB39" s="70">
        <f>'[1]Monthly D4 Gallon Data'!$AG40/1000000</f>
        <v>0</v>
      </c>
      <c r="CC39" s="70">
        <f>'[1]Monthly D6 Gallon Data'!$O42/1000000</f>
        <v>0</v>
      </c>
      <c r="CD39" s="70">
        <f t="shared" si="8"/>
        <v>0</v>
      </c>
      <c r="CE39" s="60"/>
      <c r="CF39" s="71">
        <f>'RD Feedstock Breakdown'!GQ30</f>
        <v>0</v>
      </c>
      <c r="CG39" s="72" t="e">
        <f t="shared" si="2"/>
        <v>#DIV/0!</v>
      </c>
      <c r="CH39" s="73">
        <f>'[2]US EIA'!$R176+AW39</f>
        <v>2300</v>
      </c>
    </row>
    <row r="40" spans="1:86" ht="13.5" x14ac:dyDescent="0.25">
      <c r="A40" s="59">
        <v>41365</v>
      </c>
      <c r="B40" s="74">
        <f t="shared" si="17"/>
        <v>160</v>
      </c>
      <c r="C40" s="75"/>
      <c r="D40" s="74"/>
      <c r="E40" s="74"/>
      <c r="F40" s="74"/>
      <c r="G40" s="74"/>
      <c r="H40" s="74"/>
      <c r="I40" s="74"/>
      <c r="J40" s="75"/>
      <c r="K40" s="60"/>
      <c r="L40" s="60"/>
      <c r="M40" s="75"/>
      <c r="N40" s="75"/>
      <c r="O40" s="75"/>
      <c r="P40" s="60"/>
      <c r="Q40" s="75"/>
      <c r="R40" s="75"/>
      <c r="S40" s="60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4">
        <f t="shared" si="9"/>
        <v>160</v>
      </c>
      <c r="AX40" s="66">
        <f t="shared" si="10"/>
        <v>160</v>
      </c>
      <c r="AY40" s="62">
        <f>'[1]D4 Gallon Forecast'!$E152/1000000</f>
        <v>0</v>
      </c>
      <c r="AZ40" s="62">
        <f>'[1]D4 Gallon Forecast'!$E184/1000000</f>
        <v>0.33760099999999998</v>
      </c>
      <c r="BA40" s="62">
        <f t="shared" si="3"/>
        <v>1.023827</v>
      </c>
      <c r="BB40" s="62">
        <f>'[1]D4 Gallon Forecast'!$E168/1000000</f>
        <v>0.686226</v>
      </c>
      <c r="BC40" s="63">
        <f>'[1]D4 Gallon Forecast'!$E344</f>
        <v>0</v>
      </c>
      <c r="BD40" s="64">
        <f>'[1]D4 Gallon Forecast'!$E360/1000000</f>
        <v>0</v>
      </c>
      <c r="BE40" s="64">
        <f t="shared" si="4"/>
        <v>0</v>
      </c>
      <c r="BF40" s="76">
        <f t="shared" si="11"/>
        <v>1.023827</v>
      </c>
      <c r="BG40" s="77">
        <f t="shared" si="16"/>
        <v>7.5342107862903226E-2</v>
      </c>
      <c r="BH40" s="75"/>
      <c r="BI40" s="75">
        <f t="shared" si="13"/>
        <v>40</v>
      </c>
      <c r="BJ40" s="75">
        <f t="shared" si="14"/>
        <v>120</v>
      </c>
      <c r="BK40" s="75">
        <f>'RD Feedstock Breakdown'!ES31</f>
        <v>8.8758682439868739</v>
      </c>
      <c r="BL40" s="78">
        <f t="shared" si="15"/>
        <v>8.6693047204135798</v>
      </c>
      <c r="BM40" s="78">
        <f t="shared" si="12"/>
        <v>8.6693047204135798</v>
      </c>
      <c r="BN40" s="79"/>
      <c r="BO40" s="79"/>
      <c r="BP40" s="69"/>
      <c r="BQ40" s="66">
        <f>'[1]Monthly D4 Gallon Data'!$B41/1000000</f>
        <v>110.95453999999999</v>
      </c>
      <c r="BR40" s="66">
        <f>'[1]Monthly D6 Gallon Data'!$B43/1000000</f>
        <v>8.9167999999999997E-2</v>
      </c>
      <c r="BS40" s="66">
        <f t="shared" si="6"/>
        <v>111.043708</v>
      </c>
      <c r="BT40" s="60"/>
      <c r="BU40" s="67">
        <f>'[2]US EIA'!$P177</f>
        <v>814</v>
      </c>
      <c r="BV40" s="68">
        <f t="shared" si="7"/>
        <v>7.3304468543143395</v>
      </c>
      <c r="BW40" s="60"/>
      <c r="BX40" s="69">
        <f t="shared" si="0"/>
        <v>9.1358036919434345E-3</v>
      </c>
      <c r="BY40" s="69">
        <f t="shared" si="1"/>
        <v>0.99086419630805656</v>
      </c>
      <c r="BZ40" s="60"/>
      <c r="CA40" s="60"/>
      <c r="CB40" s="70">
        <f>'[1]Monthly D4 Gallon Data'!$AG41/1000000</f>
        <v>0</v>
      </c>
      <c r="CC40" s="70">
        <f>'[1]Monthly D6 Gallon Data'!$O43/1000000</f>
        <v>0</v>
      </c>
      <c r="CD40" s="70">
        <f t="shared" si="8"/>
        <v>0</v>
      </c>
      <c r="CE40" s="60"/>
      <c r="CF40" s="71">
        <f>'RD Feedstock Breakdown'!GQ31</f>
        <v>0</v>
      </c>
      <c r="CG40" s="72" t="e">
        <f t="shared" si="2"/>
        <v>#DIV/0!</v>
      </c>
      <c r="CH40" s="73">
        <f>'[2]US EIA'!$R177+AW40</f>
        <v>2301</v>
      </c>
    </row>
    <row r="41" spans="1:86" ht="13.5" x14ac:dyDescent="0.25">
      <c r="A41" s="59">
        <v>41395</v>
      </c>
      <c r="B41" s="74">
        <f t="shared" si="17"/>
        <v>160</v>
      </c>
      <c r="C41" s="75"/>
      <c r="D41" s="74"/>
      <c r="E41" s="74"/>
      <c r="F41" s="74"/>
      <c r="G41" s="74"/>
      <c r="H41" s="74"/>
      <c r="I41" s="74"/>
      <c r="J41" s="75"/>
      <c r="K41" s="60"/>
      <c r="L41" s="60"/>
      <c r="M41" s="75"/>
      <c r="N41" s="75"/>
      <c r="O41" s="75"/>
      <c r="P41" s="60"/>
      <c r="Q41" s="75"/>
      <c r="R41" s="75"/>
      <c r="S41" s="60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4">
        <f t="shared" si="9"/>
        <v>160</v>
      </c>
      <c r="AX41" s="66">
        <f t="shared" si="10"/>
        <v>160</v>
      </c>
      <c r="AY41" s="62">
        <f>'[1]D4 Gallon Forecast'!$E153/1000000</f>
        <v>0</v>
      </c>
      <c r="AZ41" s="62">
        <f>'[1]D4 Gallon Forecast'!$E185/1000000</f>
        <v>0.26137700000000003</v>
      </c>
      <c r="BA41" s="62">
        <f t="shared" si="3"/>
        <v>0.96673900000000001</v>
      </c>
      <c r="BB41" s="62">
        <f>'[1]D4 Gallon Forecast'!$E169/1000000</f>
        <v>0.70536200000000004</v>
      </c>
      <c r="BC41" s="63">
        <f>'[1]D4 Gallon Forecast'!$E345</f>
        <v>0</v>
      </c>
      <c r="BD41" s="64">
        <f>'[1]D4 Gallon Forecast'!$E361/1000000</f>
        <v>0</v>
      </c>
      <c r="BE41" s="64">
        <f t="shared" si="4"/>
        <v>0</v>
      </c>
      <c r="BF41" s="76">
        <f t="shared" si="11"/>
        <v>0.96673900000000001</v>
      </c>
      <c r="BG41" s="77">
        <f t="shared" si="16"/>
        <v>7.3512444791666673E-2</v>
      </c>
      <c r="BH41" s="75"/>
      <c r="BI41" s="75">
        <f t="shared" si="13"/>
        <v>40</v>
      </c>
      <c r="BJ41" s="75">
        <f t="shared" si="14"/>
        <v>120</v>
      </c>
      <c r="BK41" s="75">
        <f>'RD Feedstock Breakdown'!ES32</f>
        <v>8.380954976107903</v>
      </c>
      <c r="BL41" s="78">
        <f t="shared" si="15"/>
        <v>8.669304720413578</v>
      </c>
      <c r="BM41" s="78">
        <f t="shared" si="12"/>
        <v>8.669304720413578</v>
      </c>
      <c r="BN41" s="79"/>
      <c r="BO41" s="79"/>
      <c r="BP41" s="69"/>
      <c r="BQ41" s="66">
        <f>'[1]Monthly D4 Gallon Data'!$B42/1000000</f>
        <v>118.930694</v>
      </c>
      <c r="BR41" s="66">
        <f>'[1]Monthly D6 Gallon Data'!$B44/1000000</f>
        <v>5.1184E-2</v>
      </c>
      <c r="BS41" s="66">
        <f t="shared" si="6"/>
        <v>118.98187800000001</v>
      </c>
      <c r="BT41" s="60"/>
      <c r="BU41" s="67">
        <f>'[2]US EIA'!$P178</f>
        <v>813</v>
      </c>
      <c r="BV41" s="68">
        <f t="shared" si="7"/>
        <v>6.8329733373346144</v>
      </c>
      <c r="BW41" s="60"/>
      <c r="BX41" s="69">
        <f t="shared" si="0"/>
        <v>8.0596093909111096E-3</v>
      </c>
      <c r="BY41" s="69">
        <f t="shared" si="1"/>
        <v>0.9919403906090889</v>
      </c>
      <c r="BZ41" s="60"/>
      <c r="CA41" s="60"/>
      <c r="CB41" s="70">
        <f>'[1]Monthly D4 Gallon Data'!$AG42/1000000</f>
        <v>0</v>
      </c>
      <c r="CC41" s="70">
        <f>'[1]Monthly D6 Gallon Data'!$O44/1000000</f>
        <v>0</v>
      </c>
      <c r="CD41" s="70">
        <f t="shared" si="8"/>
        <v>0</v>
      </c>
      <c r="CE41" s="60"/>
      <c r="CF41" s="71">
        <f>'RD Feedstock Breakdown'!GQ32</f>
        <v>0</v>
      </c>
      <c r="CG41" s="72" t="e">
        <f t="shared" si="2"/>
        <v>#DIV/0!</v>
      </c>
      <c r="CH41" s="73">
        <f>'[2]US EIA'!$R178+AW41</f>
        <v>2313</v>
      </c>
    </row>
    <row r="42" spans="1:86" ht="13.5" x14ac:dyDescent="0.25">
      <c r="A42" s="59">
        <v>41426</v>
      </c>
      <c r="B42" s="74">
        <f t="shared" si="17"/>
        <v>160</v>
      </c>
      <c r="C42" s="75"/>
      <c r="D42" s="74"/>
      <c r="E42" s="74"/>
      <c r="F42" s="74"/>
      <c r="G42" s="74"/>
      <c r="H42" s="74"/>
      <c r="I42" s="74"/>
      <c r="J42" s="75"/>
      <c r="K42" s="60"/>
      <c r="L42" s="60"/>
      <c r="M42" s="75"/>
      <c r="N42" s="75"/>
      <c r="O42" s="75"/>
      <c r="P42" s="60"/>
      <c r="Q42" s="75"/>
      <c r="R42" s="75"/>
      <c r="S42" s="60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4">
        <f t="shared" si="9"/>
        <v>160</v>
      </c>
      <c r="AX42" s="66">
        <f t="shared" si="10"/>
        <v>160</v>
      </c>
      <c r="AY42" s="62">
        <f>'[1]D4 Gallon Forecast'!$E154/1000000</f>
        <v>4.6481000000000001E-2</v>
      </c>
      <c r="AZ42" s="62">
        <f>'[1]D4 Gallon Forecast'!$E186/1000000</f>
        <v>0.45926600000000001</v>
      </c>
      <c r="BA42" s="62">
        <f t="shared" si="3"/>
        <v>1.5996589999999999</v>
      </c>
      <c r="BB42" s="62">
        <f>'[1]D4 Gallon Forecast'!$E170/1000000</f>
        <v>1.093912</v>
      </c>
      <c r="BC42" s="63">
        <f>'[1]D4 Gallon Forecast'!$E346</f>
        <v>0</v>
      </c>
      <c r="BD42" s="64">
        <f>'[1]D4 Gallon Forecast'!$E362/1000000</f>
        <v>0</v>
      </c>
      <c r="BE42" s="64">
        <f t="shared" si="4"/>
        <v>0</v>
      </c>
      <c r="BF42" s="76">
        <f t="shared" si="11"/>
        <v>1.5996589999999999</v>
      </c>
      <c r="BG42" s="77">
        <f t="shared" si="16"/>
        <v>0.11771684173387095</v>
      </c>
      <c r="BH42" s="75"/>
      <c r="BI42" s="75">
        <f t="shared" si="13"/>
        <v>40</v>
      </c>
      <c r="BJ42" s="75">
        <f t="shared" si="14"/>
        <v>120</v>
      </c>
      <c r="BK42" s="75">
        <f>'RD Feedstock Breakdown'!ES33</f>
        <v>13.867931319752064</v>
      </c>
      <c r="BL42" s="78">
        <f t="shared" si="15"/>
        <v>8.669304720413578</v>
      </c>
      <c r="BM42" s="78">
        <f t="shared" si="12"/>
        <v>8.669304720413578</v>
      </c>
      <c r="BN42" s="79"/>
      <c r="BO42" s="79"/>
      <c r="BP42" s="69"/>
      <c r="BQ42" s="66">
        <f>'[1]Monthly D4 Gallon Data'!$B43/1000000</f>
        <v>117.47258600000001</v>
      </c>
      <c r="BR42" s="66">
        <f>'[1]Monthly D6 Gallon Data'!$B45/1000000</f>
        <v>6.7323999999999995E-2</v>
      </c>
      <c r="BS42" s="66">
        <f t="shared" si="6"/>
        <v>117.53991000000001</v>
      </c>
      <c r="BT42" s="60"/>
      <c r="BU42" s="67">
        <f>'[2]US EIA'!$P179</f>
        <v>886</v>
      </c>
      <c r="BV42" s="68">
        <f t="shared" si="7"/>
        <v>7.5378652238205728</v>
      </c>
      <c r="BW42" s="60"/>
      <c r="BX42" s="69">
        <f t="shared" si="0"/>
        <v>1.3426765040588654E-2</v>
      </c>
      <c r="BY42" s="69">
        <f t="shared" si="1"/>
        <v>0.98657323495941129</v>
      </c>
      <c r="BZ42" s="60"/>
      <c r="CA42" s="60"/>
      <c r="CB42" s="70">
        <f>'[1]Monthly D4 Gallon Data'!$AG43/1000000</f>
        <v>0</v>
      </c>
      <c r="CC42" s="70">
        <f>'[1]Monthly D6 Gallon Data'!$O45/1000000</f>
        <v>0</v>
      </c>
      <c r="CD42" s="70">
        <f t="shared" si="8"/>
        <v>0</v>
      </c>
      <c r="CE42" s="60"/>
      <c r="CF42" s="71">
        <f>'RD Feedstock Breakdown'!GQ33</f>
        <v>0</v>
      </c>
      <c r="CG42" s="72" t="e">
        <f t="shared" si="2"/>
        <v>#DIV/0!</v>
      </c>
      <c r="CH42" s="73">
        <f>'[2]US EIA'!$R179+AW42</f>
        <v>2322</v>
      </c>
    </row>
    <row r="43" spans="1:86" ht="13.5" x14ac:dyDescent="0.25">
      <c r="A43" s="59">
        <v>41456</v>
      </c>
      <c r="B43" s="74">
        <f t="shared" si="17"/>
        <v>160</v>
      </c>
      <c r="C43" s="75"/>
      <c r="D43" s="74"/>
      <c r="E43" s="74"/>
      <c r="F43" s="74"/>
      <c r="G43" s="74"/>
      <c r="H43" s="74"/>
      <c r="I43" s="74"/>
      <c r="J43" s="75"/>
      <c r="K43" s="60"/>
      <c r="L43" s="60"/>
      <c r="M43" s="75"/>
      <c r="N43" s="75"/>
      <c r="O43" s="75"/>
      <c r="P43" s="60"/>
      <c r="Q43" s="75"/>
      <c r="R43" s="75"/>
      <c r="S43" s="60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4">
        <f t="shared" si="9"/>
        <v>160</v>
      </c>
      <c r="AX43" s="66">
        <f t="shared" si="10"/>
        <v>160</v>
      </c>
      <c r="AY43" s="62">
        <f>'[1]D4 Gallon Forecast'!$E155/1000000</f>
        <v>5.8758999999999999E-2</v>
      </c>
      <c r="AZ43" s="62">
        <f>'[1]D4 Gallon Forecast'!$E187/1000000</f>
        <v>0.32361000000000001</v>
      </c>
      <c r="BA43" s="62">
        <f t="shared" si="3"/>
        <v>11.354803</v>
      </c>
      <c r="BB43" s="62">
        <f>'[1]D4 Gallon Forecast'!$E171/1000000</f>
        <v>10.972434</v>
      </c>
      <c r="BC43" s="63">
        <f>'[1]D4 Gallon Forecast'!$E347</f>
        <v>0</v>
      </c>
      <c r="BD43" s="64">
        <f>'[1]D4 Gallon Forecast'!$E363/1000000</f>
        <v>0</v>
      </c>
      <c r="BE43" s="64">
        <f t="shared" si="4"/>
        <v>0</v>
      </c>
      <c r="BF43" s="76">
        <f t="shared" si="11"/>
        <v>11.354803</v>
      </c>
      <c r="BG43" s="77">
        <f t="shared" si="16"/>
        <v>0.8634381447916667</v>
      </c>
      <c r="BH43" s="75"/>
      <c r="BI43" s="75">
        <f t="shared" si="13"/>
        <v>40</v>
      </c>
      <c r="BJ43" s="75">
        <f t="shared" si="14"/>
        <v>120</v>
      </c>
      <c r="BK43" s="75">
        <f>'RD Feedstock Breakdown'!ES34</f>
        <v>98.438247247266261</v>
      </c>
      <c r="BL43" s="78">
        <f t="shared" si="15"/>
        <v>8.669304720413578</v>
      </c>
      <c r="BM43" s="78">
        <f t="shared" si="12"/>
        <v>8.669304720413578</v>
      </c>
      <c r="BN43" s="79"/>
      <c r="BO43" s="79"/>
      <c r="BP43" s="69"/>
      <c r="BQ43" s="66">
        <f>'[1]Monthly D4 Gallon Data'!$B44/1000000</f>
        <v>128.27877899999999</v>
      </c>
      <c r="BR43" s="66">
        <f>'[1]Monthly D6 Gallon Data'!$B46/1000000</f>
        <v>0.21227299999999999</v>
      </c>
      <c r="BS43" s="66">
        <f t="shared" si="6"/>
        <v>128.491052</v>
      </c>
      <c r="BT43" s="60"/>
      <c r="BU43" s="67">
        <f>'[2]US EIA'!$P180</f>
        <v>984</v>
      </c>
      <c r="BV43" s="68">
        <f t="shared" si="7"/>
        <v>7.6581208160705234</v>
      </c>
      <c r="BW43" s="60"/>
      <c r="BX43" s="69">
        <f t="shared" si="0"/>
        <v>8.1195134457149265E-2</v>
      </c>
      <c r="BY43" s="69">
        <f t="shared" si="1"/>
        <v>0.91880486554285068</v>
      </c>
      <c r="BZ43" s="60"/>
      <c r="CA43" s="60"/>
      <c r="CB43" s="70">
        <f>'[1]Monthly D4 Gallon Data'!$AG44/1000000</f>
        <v>0</v>
      </c>
      <c r="CC43" s="70">
        <f>'[1]Monthly D6 Gallon Data'!$O46/1000000</f>
        <v>0</v>
      </c>
      <c r="CD43" s="70">
        <f t="shared" si="8"/>
        <v>0</v>
      </c>
      <c r="CE43" s="60"/>
      <c r="CF43" s="71">
        <f>'RD Feedstock Breakdown'!GQ34</f>
        <v>0</v>
      </c>
      <c r="CG43" s="72" t="e">
        <f t="shared" si="2"/>
        <v>#DIV/0!</v>
      </c>
      <c r="CH43" s="73">
        <f>'[2]US EIA'!$R180+AW43</f>
        <v>2316</v>
      </c>
    </row>
    <row r="44" spans="1:86" ht="13.5" x14ac:dyDescent="0.25">
      <c r="A44" s="59">
        <v>41487</v>
      </c>
      <c r="B44" s="74">
        <f t="shared" si="17"/>
        <v>160</v>
      </c>
      <c r="C44" s="75"/>
      <c r="D44" s="74"/>
      <c r="E44" s="74"/>
      <c r="F44" s="74"/>
      <c r="G44" s="74"/>
      <c r="H44" s="74"/>
      <c r="I44" s="74"/>
      <c r="J44" s="75"/>
      <c r="K44" s="60"/>
      <c r="L44" s="60"/>
      <c r="M44" s="75"/>
      <c r="N44" s="75"/>
      <c r="O44" s="75"/>
      <c r="P44" s="60"/>
      <c r="Q44" s="75"/>
      <c r="R44" s="75"/>
      <c r="S44" s="60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4">
        <f t="shared" si="9"/>
        <v>160</v>
      </c>
      <c r="AX44" s="66">
        <f t="shared" si="10"/>
        <v>160</v>
      </c>
      <c r="AY44" s="62">
        <f>'[1]D4 Gallon Forecast'!$E156/1000000</f>
        <v>0</v>
      </c>
      <c r="AZ44" s="62">
        <f>'[1]D4 Gallon Forecast'!$E188/1000000</f>
        <v>1.660247</v>
      </c>
      <c r="BA44" s="62">
        <f t="shared" si="3"/>
        <v>8.8898189999999992</v>
      </c>
      <c r="BB44" s="62">
        <f>'[1]D4 Gallon Forecast'!$E172/1000000</f>
        <v>7.2295720000000001</v>
      </c>
      <c r="BC44" s="63">
        <f>'[1]D4 Gallon Forecast'!$E348</f>
        <v>0</v>
      </c>
      <c r="BD44" s="64">
        <f>'[1]D4 Gallon Forecast'!$E364/1000000</f>
        <v>0</v>
      </c>
      <c r="BE44" s="64">
        <f t="shared" si="4"/>
        <v>0</v>
      </c>
      <c r="BF44" s="76">
        <f t="shared" si="11"/>
        <v>8.8898189999999992</v>
      </c>
      <c r="BG44" s="77">
        <f t="shared" si="16"/>
        <v>0.65419030947580636</v>
      </c>
      <c r="BH44" s="75"/>
      <c r="BI44" s="75">
        <f t="shared" si="13"/>
        <v>40</v>
      </c>
      <c r="BJ44" s="75">
        <f t="shared" si="14"/>
        <v>120</v>
      </c>
      <c r="BK44" s="75">
        <f>'RD Feedstock Breakdown'!ES35</f>
        <v>77.068549820322318</v>
      </c>
      <c r="BL44" s="78">
        <f t="shared" si="15"/>
        <v>8.6693047204135798</v>
      </c>
      <c r="BM44" s="78">
        <f t="shared" si="12"/>
        <v>8.6693047204135798</v>
      </c>
      <c r="BN44" s="79"/>
      <c r="BO44" s="79"/>
      <c r="BP44" s="69"/>
      <c r="BQ44" s="66">
        <f>'[1]Monthly D4 Gallon Data'!$B45/1000000</f>
        <v>129.887145</v>
      </c>
      <c r="BR44" s="66">
        <f>'[1]Monthly D6 Gallon Data'!$B47/1000000</f>
        <v>0</v>
      </c>
      <c r="BS44" s="66">
        <f t="shared" si="6"/>
        <v>129.887145</v>
      </c>
      <c r="BT44" s="60"/>
      <c r="BU44" s="67">
        <f>'[2]US EIA'!$P181</f>
        <v>991</v>
      </c>
      <c r="BV44" s="68">
        <f t="shared" si="7"/>
        <v>7.6297003833597232</v>
      </c>
      <c r="BW44" s="60"/>
      <c r="BX44" s="69">
        <f t="shared" si="0"/>
        <v>6.4058318785529852E-2</v>
      </c>
      <c r="BY44" s="69">
        <f t="shared" si="1"/>
        <v>0.93594168121447019</v>
      </c>
      <c r="BZ44" s="60"/>
      <c r="CA44" s="60"/>
      <c r="CB44" s="70">
        <f>'[1]Monthly D4 Gallon Data'!$AG45/1000000</f>
        <v>0</v>
      </c>
      <c r="CC44" s="70">
        <f>'[1]Monthly D6 Gallon Data'!$O47/1000000</f>
        <v>0</v>
      </c>
      <c r="CD44" s="70">
        <f t="shared" si="8"/>
        <v>0</v>
      </c>
      <c r="CE44" s="60"/>
      <c r="CF44" s="71">
        <f>'RD Feedstock Breakdown'!GQ35</f>
        <v>0</v>
      </c>
      <c r="CG44" s="72" t="e">
        <f t="shared" si="2"/>
        <v>#DIV/0!</v>
      </c>
      <c r="CH44" s="73">
        <f>'[2]US EIA'!$R181+AW44</f>
        <v>2313</v>
      </c>
    </row>
    <row r="45" spans="1:86" ht="13.5" x14ac:dyDescent="0.25">
      <c r="A45" s="59">
        <v>41518</v>
      </c>
      <c r="B45" s="74">
        <f t="shared" si="17"/>
        <v>160</v>
      </c>
      <c r="C45" s="75"/>
      <c r="D45" s="74"/>
      <c r="E45" s="74"/>
      <c r="F45" s="74"/>
      <c r="G45" s="74"/>
      <c r="H45" s="74"/>
      <c r="I45" s="74"/>
      <c r="J45" s="75"/>
      <c r="K45" s="60"/>
      <c r="L45" s="60"/>
      <c r="M45" s="75"/>
      <c r="N45" s="75"/>
      <c r="O45" s="75"/>
      <c r="P45" s="60"/>
      <c r="Q45" s="75"/>
      <c r="R45" s="75"/>
      <c r="S45" s="60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4">
        <f t="shared" si="9"/>
        <v>160</v>
      </c>
      <c r="AX45" s="66">
        <f t="shared" si="10"/>
        <v>160</v>
      </c>
      <c r="AY45" s="62">
        <f>'[1]D4 Gallon Forecast'!$E157/1000000</f>
        <v>0</v>
      </c>
      <c r="AZ45" s="62">
        <f>'[1]D4 Gallon Forecast'!$E189/1000000</f>
        <v>7.7964890000000002</v>
      </c>
      <c r="BA45" s="62">
        <f t="shared" si="3"/>
        <v>9.7679849999999995</v>
      </c>
      <c r="BB45" s="62">
        <f>'[1]D4 Gallon Forecast'!$E173/1000000</f>
        <v>1.9714959999999999</v>
      </c>
      <c r="BC45" s="63">
        <f>'[1]D4 Gallon Forecast'!$E349</f>
        <v>0</v>
      </c>
      <c r="BD45" s="64">
        <f>'[1]D4 Gallon Forecast'!$E365/1000000</f>
        <v>0</v>
      </c>
      <c r="BE45" s="64">
        <f t="shared" si="4"/>
        <v>0</v>
      </c>
      <c r="BF45" s="76">
        <f t="shared" si="11"/>
        <v>9.7679849999999995</v>
      </c>
      <c r="BG45" s="77">
        <f t="shared" si="16"/>
        <v>0.71881341229838713</v>
      </c>
      <c r="BH45" s="75"/>
      <c r="BI45" s="75">
        <f t="shared" si="13"/>
        <v>40</v>
      </c>
      <c r="BJ45" s="75">
        <f t="shared" si="14"/>
        <v>120</v>
      </c>
      <c r="BK45" s="75">
        <f>'RD Feedstock Breakdown'!ES36</f>
        <v>84.681638469429032</v>
      </c>
      <c r="BL45" s="78">
        <f t="shared" si="15"/>
        <v>8.6693047204135798</v>
      </c>
      <c r="BM45" s="78">
        <f t="shared" si="12"/>
        <v>8.6693047204135798</v>
      </c>
      <c r="BN45" s="79"/>
      <c r="BO45" s="79"/>
      <c r="BP45" s="69"/>
      <c r="BQ45" s="66">
        <f>'[1]Monthly D4 Gallon Data'!$B46/1000000</f>
        <v>127.580018</v>
      </c>
      <c r="BR45" s="66">
        <f>'[1]Monthly D6 Gallon Data'!$B48/1000000</f>
        <v>6.8564E-2</v>
      </c>
      <c r="BS45" s="66">
        <f t="shared" si="6"/>
        <v>127.64858199999999</v>
      </c>
      <c r="BT45" s="60"/>
      <c r="BU45" s="67">
        <f>'[2]US EIA'!$P182</f>
        <v>972.107482</v>
      </c>
      <c r="BV45" s="68">
        <f t="shared" si="7"/>
        <v>7.6154976950703617</v>
      </c>
      <c r="BW45" s="60"/>
      <c r="BX45" s="69">
        <f t="shared" si="0"/>
        <v>7.1083023053544928E-2</v>
      </c>
      <c r="BY45" s="69">
        <f t="shared" si="1"/>
        <v>0.92891697694645514</v>
      </c>
      <c r="BZ45" s="60"/>
      <c r="CA45" s="60"/>
      <c r="CB45" s="70">
        <f>'[1]Monthly D4 Gallon Data'!$AG46/1000000</f>
        <v>0</v>
      </c>
      <c r="CC45" s="70">
        <f>'[1]Monthly D6 Gallon Data'!$O48/1000000</f>
        <v>0</v>
      </c>
      <c r="CD45" s="70">
        <f t="shared" si="8"/>
        <v>0</v>
      </c>
      <c r="CE45" s="60"/>
      <c r="CF45" s="71">
        <f>'RD Feedstock Breakdown'!GQ36</f>
        <v>0</v>
      </c>
      <c r="CG45" s="72" t="e">
        <f t="shared" si="2"/>
        <v>#DIV/0!</v>
      </c>
      <c r="CH45" s="73">
        <f>'[2]US EIA'!$R182+AW45</f>
        <v>2313</v>
      </c>
    </row>
    <row r="46" spans="1:86" ht="13.5" x14ac:dyDescent="0.25">
      <c r="A46" s="59">
        <v>41548</v>
      </c>
      <c r="B46" s="74">
        <f t="shared" si="17"/>
        <v>160</v>
      </c>
      <c r="C46" s="75"/>
      <c r="D46" s="74"/>
      <c r="E46" s="74"/>
      <c r="F46" s="74"/>
      <c r="G46" s="74"/>
      <c r="H46" s="74"/>
      <c r="I46" s="74"/>
      <c r="J46" s="75"/>
      <c r="K46" s="60"/>
      <c r="L46" s="60"/>
      <c r="M46" s="75"/>
      <c r="N46" s="75"/>
      <c r="O46" s="75"/>
      <c r="P46" s="60"/>
      <c r="Q46" s="75"/>
      <c r="R46" s="75"/>
      <c r="S46" s="60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4">
        <f t="shared" si="9"/>
        <v>160</v>
      </c>
      <c r="AX46" s="66">
        <f t="shared" si="10"/>
        <v>160</v>
      </c>
      <c r="AY46" s="62">
        <f>'[1]D4 Gallon Forecast'!$E158/1000000</f>
        <v>0</v>
      </c>
      <c r="AZ46" s="62">
        <f>'[1]D4 Gallon Forecast'!$E190/1000000</f>
        <v>9.0369930000000007</v>
      </c>
      <c r="BA46" s="62">
        <f t="shared" si="3"/>
        <v>11.053064000000001</v>
      </c>
      <c r="BB46" s="62">
        <f>'[1]D4 Gallon Forecast'!$E174/1000000</f>
        <v>2.0160710000000002</v>
      </c>
      <c r="BC46" s="63">
        <f>'[1]D4 Gallon Forecast'!$E350</f>
        <v>0</v>
      </c>
      <c r="BD46" s="64">
        <f>'[1]D4 Gallon Forecast'!$E366/1000000</f>
        <v>0</v>
      </c>
      <c r="BE46" s="64">
        <f t="shared" si="4"/>
        <v>0</v>
      </c>
      <c r="BF46" s="76">
        <f t="shared" si="11"/>
        <v>11.053064000000001</v>
      </c>
      <c r="BG46" s="77">
        <f t="shared" si="16"/>
        <v>0.84049340833333341</v>
      </c>
      <c r="BH46" s="75"/>
      <c r="BI46" s="75">
        <f t="shared" si="13"/>
        <v>40</v>
      </c>
      <c r="BJ46" s="75">
        <f t="shared" si="14"/>
        <v>120</v>
      </c>
      <c r="BK46" s="75">
        <f>'RD Feedstock Breakdown'!ES37</f>
        <v>95.822379910233394</v>
      </c>
      <c r="BL46" s="78">
        <f t="shared" si="15"/>
        <v>8.669304720413578</v>
      </c>
      <c r="BM46" s="78">
        <f t="shared" si="12"/>
        <v>8.669304720413578</v>
      </c>
      <c r="BN46" s="79"/>
      <c r="BO46" s="79"/>
      <c r="BP46" s="69"/>
      <c r="BQ46" s="66">
        <f>'[1]Monthly D4 Gallon Data'!$B47/1000000</f>
        <v>130.088019</v>
      </c>
      <c r="BR46" s="66">
        <f>'[1]Monthly D6 Gallon Data'!$B49/1000000</f>
        <v>1.3538289999999999</v>
      </c>
      <c r="BS46" s="66">
        <f t="shared" si="6"/>
        <v>131.44184799999999</v>
      </c>
      <c r="BT46" s="60"/>
      <c r="BU46" s="67">
        <f>'[2]US EIA'!$P183</f>
        <v>1046</v>
      </c>
      <c r="BV46" s="68">
        <f t="shared" si="7"/>
        <v>7.9578917667073581</v>
      </c>
      <c r="BW46" s="60"/>
      <c r="BX46" s="69">
        <f t="shared" si="0"/>
        <v>7.7568130994038587E-2</v>
      </c>
      <c r="BY46" s="69">
        <f t="shared" si="1"/>
        <v>0.92243186900596141</v>
      </c>
      <c r="BZ46" s="60"/>
      <c r="CA46" s="60"/>
      <c r="CB46" s="70">
        <f>'[1]Monthly D4 Gallon Data'!$AG47/1000000</f>
        <v>0</v>
      </c>
      <c r="CC46" s="70">
        <f>'[1]Monthly D6 Gallon Data'!$O49/1000000</f>
        <v>0</v>
      </c>
      <c r="CD46" s="70">
        <f t="shared" si="8"/>
        <v>0</v>
      </c>
      <c r="CE46" s="60"/>
      <c r="CF46" s="71">
        <f>'RD Feedstock Breakdown'!GQ37</f>
        <v>0</v>
      </c>
      <c r="CG46" s="72" t="e">
        <f t="shared" si="2"/>
        <v>#DIV/0!</v>
      </c>
      <c r="CH46" s="73">
        <f>'[2]US EIA'!$R183+AW46</f>
        <v>2297</v>
      </c>
    </row>
    <row r="47" spans="1:86" ht="13.5" x14ac:dyDescent="0.25">
      <c r="A47" s="59">
        <v>41579</v>
      </c>
      <c r="B47" s="74">
        <f t="shared" si="17"/>
        <v>160</v>
      </c>
      <c r="C47" s="75"/>
      <c r="D47" s="74"/>
      <c r="E47" s="74"/>
      <c r="F47" s="74"/>
      <c r="G47" s="74"/>
      <c r="H47" s="74"/>
      <c r="I47" s="74"/>
      <c r="J47" s="75"/>
      <c r="K47" s="60"/>
      <c r="L47" s="60"/>
      <c r="M47" s="75"/>
      <c r="N47" s="75"/>
      <c r="O47" s="75"/>
      <c r="P47" s="60"/>
      <c r="Q47" s="75"/>
      <c r="R47" s="75"/>
      <c r="S47" s="60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4">
        <f t="shared" si="9"/>
        <v>160</v>
      </c>
      <c r="AX47" s="66">
        <f t="shared" si="10"/>
        <v>160</v>
      </c>
      <c r="AY47" s="62">
        <f>'[1]D4 Gallon Forecast'!$E159/1000000</f>
        <v>0</v>
      </c>
      <c r="AZ47" s="62">
        <f>'[1]D4 Gallon Forecast'!$E191/1000000</f>
        <v>10.007035999999999</v>
      </c>
      <c r="BA47" s="62">
        <f t="shared" si="3"/>
        <v>11.258441999999999</v>
      </c>
      <c r="BB47" s="62">
        <f>'[1]D4 Gallon Forecast'!$E175/1000000</f>
        <v>1.251406</v>
      </c>
      <c r="BC47" s="63">
        <f>'[1]D4 Gallon Forecast'!$E351</f>
        <v>0</v>
      </c>
      <c r="BD47" s="64">
        <f>'[1]D4 Gallon Forecast'!$E367/1000000</f>
        <v>0</v>
      </c>
      <c r="BE47" s="64">
        <f t="shared" si="4"/>
        <v>0</v>
      </c>
      <c r="BF47" s="76">
        <f t="shared" si="11"/>
        <v>11.258441999999999</v>
      </c>
      <c r="BG47" s="77">
        <f t="shared" si="16"/>
        <v>0.82849421975806448</v>
      </c>
      <c r="BH47" s="75"/>
      <c r="BI47" s="75">
        <f t="shared" si="13"/>
        <v>40</v>
      </c>
      <c r="BJ47" s="75">
        <f t="shared" si="14"/>
        <v>120</v>
      </c>
      <c r="BK47" s="75">
        <f>'RD Feedstock Breakdown'!ES38</f>
        <v>97.60286437510247</v>
      </c>
      <c r="BL47" s="78">
        <f t="shared" si="15"/>
        <v>8.669304720413578</v>
      </c>
      <c r="BM47" s="78">
        <f t="shared" si="12"/>
        <v>8.669304720413578</v>
      </c>
      <c r="BN47" s="79"/>
      <c r="BO47" s="79"/>
      <c r="BP47" s="69"/>
      <c r="BQ47" s="66">
        <f>'[1]Monthly D4 Gallon Data'!$B48/1000000</f>
        <v>110.331788</v>
      </c>
      <c r="BR47" s="66">
        <f>'[1]Monthly D6 Gallon Data'!$B50/1000000</f>
        <v>1.569005</v>
      </c>
      <c r="BS47" s="66">
        <f t="shared" si="6"/>
        <v>111.90079300000001</v>
      </c>
      <c r="BT47" s="60"/>
      <c r="BU47" s="67">
        <f>'[2]US EIA'!$P184</f>
        <v>988</v>
      </c>
      <c r="BV47" s="68">
        <f t="shared" si="7"/>
        <v>8.829249315507532</v>
      </c>
      <c r="BW47" s="60"/>
      <c r="BX47" s="69">
        <f t="shared" si="0"/>
        <v>9.1413705192306516E-2</v>
      </c>
      <c r="BY47" s="69">
        <f t="shared" si="1"/>
        <v>0.90858629480769348</v>
      </c>
      <c r="BZ47" s="60"/>
      <c r="CA47" s="60"/>
      <c r="CB47" s="70">
        <f>'[1]Monthly D4 Gallon Data'!$AG48/1000000</f>
        <v>0</v>
      </c>
      <c r="CC47" s="70">
        <f>'[1]Monthly D6 Gallon Data'!$O50/1000000</f>
        <v>0</v>
      </c>
      <c r="CD47" s="70">
        <f t="shared" si="8"/>
        <v>0</v>
      </c>
      <c r="CE47" s="60"/>
      <c r="CF47" s="71">
        <f>'RD Feedstock Breakdown'!GQ38</f>
        <v>0</v>
      </c>
      <c r="CG47" s="72" t="e">
        <f t="shared" si="2"/>
        <v>#DIV/0!</v>
      </c>
      <c r="CH47" s="73">
        <f>'[2]US EIA'!$R184+AW47</f>
        <v>2296</v>
      </c>
    </row>
    <row r="48" spans="1:86" ht="13.5" x14ac:dyDescent="0.25">
      <c r="A48" s="59">
        <v>41609</v>
      </c>
      <c r="B48" s="74">
        <f t="shared" si="17"/>
        <v>160</v>
      </c>
      <c r="C48" s="75"/>
      <c r="D48" s="74"/>
      <c r="E48" s="74"/>
      <c r="F48" s="74"/>
      <c r="G48" s="74"/>
      <c r="H48" s="74"/>
      <c r="I48" s="74"/>
      <c r="J48" s="75"/>
      <c r="K48" s="60"/>
      <c r="L48" s="60"/>
      <c r="M48" s="75"/>
      <c r="N48" s="75"/>
      <c r="O48" s="75"/>
      <c r="P48" s="60"/>
      <c r="Q48" s="75"/>
      <c r="R48" s="75"/>
      <c r="S48" s="60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4">
        <f t="shared" si="9"/>
        <v>160</v>
      </c>
      <c r="AX48" s="66">
        <f t="shared" si="10"/>
        <v>160</v>
      </c>
      <c r="AY48" s="62">
        <f>'[1]D4 Gallon Forecast'!$E160/1000000</f>
        <v>0.258432</v>
      </c>
      <c r="AZ48" s="62">
        <f>'[1]D4 Gallon Forecast'!$E192/1000000</f>
        <v>11.718468</v>
      </c>
      <c r="BA48" s="62">
        <f t="shared" si="3"/>
        <v>13.328506000000001</v>
      </c>
      <c r="BB48" s="62">
        <f>'[1]D4 Gallon Forecast'!$E176/1000000</f>
        <v>1.3516060000000001</v>
      </c>
      <c r="BC48" s="63">
        <f>'[1]D4 Gallon Forecast'!$E352</f>
        <v>0</v>
      </c>
      <c r="BD48" s="64">
        <f>'[1]D4 Gallon Forecast'!$E368/1000000</f>
        <v>0</v>
      </c>
      <c r="BE48" s="64">
        <f t="shared" si="4"/>
        <v>0</v>
      </c>
      <c r="BF48" s="76">
        <f t="shared" si="11"/>
        <v>13.328506000000001</v>
      </c>
      <c r="BG48" s="77">
        <f t="shared" si="16"/>
        <v>1.0135218104166668</v>
      </c>
      <c r="BH48" s="75"/>
      <c r="BI48" s="75">
        <f t="shared" si="13"/>
        <v>40</v>
      </c>
      <c r="BJ48" s="75">
        <f t="shared" si="14"/>
        <v>120</v>
      </c>
      <c r="BK48" s="75">
        <f>'RD Feedstock Breakdown'!ES39</f>
        <v>115.54887998186072</v>
      </c>
      <c r="BL48" s="78">
        <f t="shared" si="15"/>
        <v>8.6693047204135798</v>
      </c>
      <c r="BM48" s="78">
        <f t="shared" si="12"/>
        <v>8.6693047204135798</v>
      </c>
      <c r="BN48" s="79"/>
      <c r="BO48" s="79"/>
      <c r="BP48" s="69"/>
      <c r="BQ48" s="66">
        <f>'[1]Monthly D4 Gallon Data'!$B49/1000000</f>
        <v>158.36315999999999</v>
      </c>
      <c r="BR48" s="66">
        <f>'[1]Monthly D6 Gallon Data'!$B51/1000000</f>
        <v>2.5836839999999999</v>
      </c>
      <c r="BS48" s="66">
        <f t="shared" si="6"/>
        <v>160.946844</v>
      </c>
      <c r="BT48" s="60"/>
      <c r="BU48" s="67">
        <f>'[2]US EIA'!$P185</f>
        <v>1022.3464200000001</v>
      </c>
      <c r="BV48" s="68">
        <f t="shared" si="7"/>
        <v>6.3520749745176746</v>
      </c>
      <c r="BW48" s="60"/>
      <c r="BX48" s="69">
        <f t="shared" si="0"/>
        <v>7.6479582453858219E-2</v>
      </c>
      <c r="BY48" s="69">
        <f t="shared" si="1"/>
        <v>0.92352041754614178</v>
      </c>
      <c r="BZ48" s="60"/>
      <c r="CA48" s="60"/>
      <c r="CB48" s="70">
        <f>'[1]Monthly D4 Gallon Data'!$AG49/1000000</f>
        <v>0</v>
      </c>
      <c r="CC48" s="70">
        <f>'[1]Monthly D6 Gallon Data'!$O51/1000000</f>
        <v>0</v>
      </c>
      <c r="CD48" s="70">
        <f t="shared" si="8"/>
        <v>0</v>
      </c>
      <c r="CE48" s="60"/>
      <c r="CF48" s="71">
        <f>'RD Feedstock Breakdown'!GQ39</f>
        <v>0</v>
      </c>
      <c r="CG48" s="72" t="e">
        <f t="shared" si="2"/>
        <v>#DIV/0!</v>
      </c>
      <c r="CH48" s="73">
        <f>'[2]US EIA'!$R185+AW48</f>
        <v>2276</v>
      </c>
    </row>
    <row r="49" spans="1:86" ht="13.5" x14ac:dyDescent="0.25">
      <c r="A49" s="59">
        <v>41640</v>
      </c>
      <c r="B49" s="74">
        <f t="shared" si="17"/>
        <v>160</v>
      </c>
      <c r="C49" s="75"/>
      <c r="D49" s="74"/>
      <c r="E49" s="74"/>
      <c r="F49" s="74"/>
      <c r="G49" s="74"/>
      <c r="H49" s="74"/>
      <c r="I49" s="74"/>
      <c r="J49" s="75"/>
      <c r="K49" s="60"/>
      <c r="L49" s="60"/>
      <c r="M49" s="75"/>
      <c r="N49" s="75"/>
      <c r="O49" s="75"/>
      <c r="P49" s="60"/>
      <c r="Q49" s="75"/>
      <c r="R49" s="75"/>
      <c r="S49" s="60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4">
        <f t="shared" si="9"/>
        <v>160</v>
      </c>
      <c r="AX49" s="66">
        <f t="shared" si="10"/>
        <v>160</v>
      </c>
      <c r="AY49" s="62">
        <f>'[1]D4 Gallon Forecast'!$F149/1000000</f>
        <v>0</v>
      </c>
      <c r="AZ49" s="62">
        <f>'[1]D4 Gallon Forecast'!$F181/1000000</f>
        <v>9.4636110000000002</v>
      </c>
      <c r="BA49" s="62">
        <f t="shared" si="3"/>
        <v>10.094471</v>
      </c>
      <c r="BB49" s="62">
        <f>'[1]D4 Gallon Forecast'!$F165/1000000</f>
        <v>0.63085999999999998</v>
      </c>
      <c r="BC49" s="63">
        <f>'[1]D4 Gallon Forecast'!$F341</f>
        <v>0</v>
      </c>
      <c r="BD49" s="64">
        <f>'[1]D4 Gallon Forecast'!$F357/1000000</f>
        <v>0</v>
      </c>
      <c r="BE49" s="64">
        <f t="shared" si="4"/>
        <v>0</v>
      </c>
      <c r="BF49" s="76">
        <f t="shared" si="11"/>
        <v>10.094471</v>
      </c>
      <c r="BG49" s="77">
        <f t="shared" si="16"/>
        <v>0.74283909576612905</v>
      </c>
      <c r="BH49" s="75"/>
      <c r="BI49" s="75">
        <f t="shared" si="13"/>
        <v>40</v>
      </c>
      <c r="BJ49" s="75">
        <f t="shared" si="14"/>
        <v>120</v>
      </c>
      <c r="BK49" s="75">
        <f>'RD Feedstock Breakdown'!ES40</f>
        <v>87.512045090377981</v>
      </c>
      <c r="BL49" s="78">
        <f t="shared" si="15"/>
        <v>8.669304720413578</v>
      </c>
      <c r="BM49" s="78">
        <f t="shared" si="12"/>
        <v>8.669304720413578</v>
      </c>
      <c r="BN49" s="79"/>
      <c r="BO49" s="79"/>
      <c r="BP49" s="69"/>
      <c r="BQ49" s="66">
        <f>'[1]Monthly D4 Gallon Data'!$B50/1000000</f>
        <v>56.695627000000002</v>
      </c>
      <c r="BR49" s="66">
        <f>'[1]Monthly D6 Gallon Data'!$B52/1000000</f>
        <v>0</v>
      </c>
      <c r="BS49" s="66">
        <f t="shared" si="6"/>
        <v>56.695627000000002</v>
      </c>
      <c r="BT49" s="60"/>
      <c r="BU49" s="67">
        <f>'[2]US EIA'!$P186</f>
        <v>495</v>
      </c>
      <c r="BV49" s="68">
        <f t="shared" si="7"/>
        <v>8.7308320975090368</v>
      </c>
      <c r="BW49" s="60"/>
      <c r="BX49" s="69">
        <f t="shared" si="0"/>
        <v>0.15113723893622674</v>
      </c>
      <c r="BY49" s="69">
        <f t="shared" si="1"/>
        <v>0.84886276106377323</v>
      </c>
      <c r="BZ49" s="60"/>
      <c r="CA49" s="60"/>
      <c r="CB49" s="70">
        <f>'[1]Monthly D4 Gallon Data'!$AG50/1000000</f>
        <v>0</v>
      </c>
      <c r="CC49" s="70">
        <f>'[1]Monthly D6 Gallon Data'!$O52/1000000</f>
        <v>0</v>
      </c>
      <c r="CD49" s="70">
        <f t="shared" si="8"/>
        <v>0</v>
      </c>
      <c r="CE49" s="60"/>
      <c r="CF49" s="71">
        <f>'RD Feedstock Breakdown'!GQ40</f>
        <v>0</v>
      </c>
      <c r="CG49" s="72" t="e">
        <f t="shared" si="2"/>
        <v>#DIV/0!</v>
      </c>
      <c r="CH49" s="73">
        <f>'[2]US EIA'!$R186+AW49</f>
        <v>2119</v>
      </c>
    </row>
    <row r="50" spans="1:86" ht="13.5" x14ac:dyDescent="0.25">
      <c r="A50" s="59">
        <v>41671</v>
      </c>
      <c r="B50" s="74">
        <f t="shared" si="17"/>
        <v>160</v>
      </c>
      <c r="C50" s="75"/>
      <c r="D50" s="74"/>
      <c r="E50" s="74"/>
      <c r="F50" s="74"/>
      <c r="G50" s="74"/>
      <c r="H50" s="74"/>
      <c r="I50" s="74"/>
      <c r="J50" s="75"/>
      <c r="K50" s="60"/>
      <c r="L50" s="60"/>
      <c r="M50" s="75"/>
      <c r="N50" s="75"/>
      <c r="O50" s="75"/>
      <c r="P50" s="60"/>
      <c r="Q50" s="75"/>
      <c r="R50" s="75"/>
      <c r="S50" s="60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4">
        <f t="shared" si="9"/>
        <v>160</v>
      </c>
      <c r="AX50" s="66">
        <f t="shared" si="10"/>
        <v>160</v>
      </c>
      <c r="AY50" s="62">
        <f>'[1]D4 Gallon Forecast'!$F150/1000000</f>
        <v>0</v>
      </c>
      <c r="AZ50" s="62">
        <f>'[1]D4 Gallon Forecast'!$F182/1000000</f>
        <v>10.879008000000001</v>
      </c>
      <c r="BA50" s="62">
        <f t="shared" si="3"/>
        <v>11.769916</v>
      </c>
      <c r="BB50" s="62">
        <f>'[1]D4 Gallon Forecast'!$F166/1000000</f>
        <v>0.89090800000000003</v>
      </c>
      <c r="BC50" s="63">
        <f>'[1]D4 Gallon Forecast'!$F342</f>
        <v>0</v>
      </c>
      <c r="BD50" s="64">
        <f>'[1]D4 Gallon Forecast'!$F358/1000000</f>
        <v>0</v>
      </c>
      <c r="BE50" s="64">
        <f t="shared" si="4"/>
        <v>0</v>
      </c>
      <c r="BF50" s="76">
        <f t="shared" si="11"/>
        <v>11.769916</v>
      </c>
      <c r="BG50" s="77">
        <f t="shared" si="16"/>
        <v>0.86613293145161285</v>
      </c>
      <c r="BH50" s="75"/>
      <c r="BI50" s="75">
        <f t="shared" si="13"/>
        <v>40</v>
      </c>
      <c r="BJ50" s="75">
        <f t="shared" si="14"/>
        <v>120</v>
      </c>
      <c r="BK50" s="75">
        <f>'RD Feedstock Breakdown'!ES41</f>
        <v>102.0369883376713</v>
      </c>
      <c r="BL50" s="78">
        <f t="shared" si="15"/>
        <v>8.669304720413578</v>
      </c>
      <c r="BM50" s="78">
        <f t="shared" si="12"/>
        <v>8.669304720413578</v>
      </c>
      <c r="BN50" s="79"/>
      <c r="BO50" s="79"/>
      <c r="BP50" s="69"/>
      <c r="BQ50" s="66">
        <f>'[1]Monthly D4 Gallon Data'!$B51/1000000</f>
        <v>69.859288000000006</v>
      </c>
      <c r="BR50" s="66">
        <f>'[1]Monthly D6 Gallon Data'!$B53/1000000</f>
        <v>0</v>
      </c>
      <c r="BS50" s="66">
        <f t="shared" si="6"/>
        <v>69.859288000000006</v>
      </c>
      <c r="BT50" s="60"/>
      <c r="BU50" s="67">
        <f>'[2]US EIA'!$P187</f>
        <v>545</v>
      </c>
      <c r="BV50" s="68">
        <f t="shared" si="7"/>
        <v>7.8013964299206711</v>
      </c>
      <c r="BW50" s="60"/>
      <c r="BX50" s="69">
        <f t="shared" si="0"/>
        <v>0.14418756306872721</v>
      </c>
      <c r="BY50" s="69">
        <f t="shared" si="1"/>
        <v>0.85581243693127285</v>
      </c>
      <c r="BZ50" s="60"/>
      <c r="CA50" s="60"/>
      <c r="CB50" s="70">
        <f>'[1]Monthly D4 Gallon Data'!$AG51/1000000</f>
        <v>0</v>
      </c>
      <c r="CC50" s="70">
        <f>'[1]Monthly D6 Gallon Data'!$O53/1000000</f>
        <v>0</v>
      </c>
      <c r="CD50" s="70">
        <f t="shared" si="8"/>
        <v>0</v>
      </c>
      <c r="CE50" s="60"/>
      <c r="CF50" s="71">
        <f>'RD Feedstock Breakdown'!GQ41</f>
        <v>0</v>
      </c>
      <c r="CG50" s="72" t="e">
        <f t="shared" si="2"/>
        <v>#DIV/0!</v>
      </c>
      <c r="CH50" s="73">
        <f>'[2]US EIA'!$R187+AW50</f>
        <v>2262</v>
      </c>
    </row>
    <row r="51" spans="1:86" ht="13.5" x14ac:dyDescent="0.25">
      <c r="A51" s="59">
        <v>41699</v>
      </c>
      <c r="B51" s="74">
        <f t="shared" si="17"/>
        <v>160</v>
      </c>
      <c r="C51" s="75"/>
      <c r="D51" s="74"/>
      <c r="E51" s="74"/>
      <c r="F51" s="74"/>
      <c r="G51" s="74"/>
      <c r="H51" s="74"/>
      <c r="I51" s="74"/>
      <c r="J51" s="75"/>
      <c r="K51" s="60"/>
      <c r="L51" s="60"/>
      <c r="M51" s="75"/>
      <c r="N51" s="75"/>
      <c r="O51" s="75"/>
      <c r="P51" s="60"/>
      <c r="Q51" s="75"/>
      <c r="R51" s="75"/>
      <c r="S51" s="60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4">
        <f t="shared" si="9"/>
        <v>160</v>
      </c>
      <c r="AX51" s="66">
        <f t="shared" si="10"/>
        <v>160</v>
      </c>
      <c r="AY51" s="62">
        <f>'[1]D4 Gallon Forecast'!$F151/1000000</f>
        <v>0</v>
      </c>
      <c r="AZ51" s="62">
        <f>'[1]D4 Gallon Forecast'!$F183/1000000</f>
        <v>13.061163000000001</v>
      </c>
      <c r="BA51" s="62">
        <f t="shared" si="3"/>
        <v>14.21481</v>
      </c>
      <c r="BB51" s="62">
        <f>'[1]D4 Gallon Forecast'!$F167/1000000</f>
        <v>1.1536470000000001</v>
      </c>
      <c r="BC51" s="63">
        <f>'[1]D4 Gallon Forecast'!$F343</f>
        <v>0</v>
      </c>
      <c r="BD51" s="64">
        <f>'[1]D4 Gallon Forecast'!$F359/1000000</f>
        <v>0</v>
      </c>
      <c r="BE51" s="64">
        <f t="shared" si="4"/>
        <v>0</v>
      </c>
      <c r="BF51" s="76">
        <f t="shared" si="11"/>
        <v>14.21481</v>
      </c>
      <c r="BG51" s="77">
        <f t="shared" si="16"/>
        <v>1.1581262611607142</v>
      </c>
      <c r="BH51" s="75"/>
      <c r="BI51" s="75">
        <f t="shared" si="13"/>
        <v>40</v>
      </c>
      <c r="BJ51" s="75">
        <f t="shared" si="14"/>
        <v>120</v>
      </c>
      <c r="BK51" s="75">
        <f>'RD Feedstock Breakdown'!ES42</f>
        <v>123.23251943278214</v>
      </c>
      <c r="BL51" s="78">
        <f t="shared" si="15"/>
        <v>8.669304720413578</v>
      </c>
      <c r="BM51" s="78">
        <f t="shared" si="12"/>
        <v>8.669304720413578</v>
      </c>
      <c r="BN51" s="79"/>
      <c r="BO51" s="79"/>
      <c r="BP51" s="69"/>
      <c r="BQ51" s="66">
        <f>'[1]Monthly D4 Gallon Data'!$B52/1000000</f>
        <v>90.811260000000004</v>
      </c>
      <c r="BR51" s="66">
        <f>'[1]Monthly D6 Gallon Data'!$B54/1000000</f>
        <v>0</v>
      </c>
      <c r="BS51" s="66">
        <f t="shared" si="6"/>
        <v>90.811260000000004</v>
      </c>
      <c r="BT51" s="60"/>
      <c r="BU51" s="67">
        <f>'[2]US EIA'!$P188</f>
        <v>715</v>
      </c>
      <c r="BV51" s="68">
        <f t="shared" si="7"/>
        <v>7.8734729591903028</v>
      </c>
      <c r="BW51" s="60"/>
      <c r="BX51" s="69">
        <f t="shared" si="0"/>
        <v>0.13534553849344264</v>
      </c>
      <c r="BY51" s="69">
        <f t="shared" si="1"/>
        <v>0.86465446150655734</v>
      </c>
      <c r="BZ51" s="60"/>
      <c r="CA51" s="60"/>
      <c r="CB51" s="70">
        <f>'[1]Monthly D4 Gallon Data'!$AG52/1000000</f>
        <v>0</v>
      </c>
      <c r="CC51" s="70">
        <f>'[1]Monthly D6 Gallon Data'!$O54/1000000</f>
        <v>0</v>
      </c>
      <c r="CD51" s="70">
        <f t="shared" si="8"/>
        <v>0</v>
      </c>
      <c r="CE51" s="60"/>
      <c r="CF51" s="71">
        <f>'RD Feedstock Breakdown'!GQ42</f>
        <v>0</v>
      </c>
      <c r="CG51" s="72" t="e">
        <f t="shared" si="2"/>
        <v>#DIV/0!</v>
      </c>
      <c r="CH51" s="73">
        <f>'[2]US EIA'!$R188+AW51</f>
        <v>2233</v>
      </c>
    </row>
    <row r="52" spans="1:86" ht="13.5" x14ac:dyDescent="0.25">
      <c r="A52" s="59">
        <v>41730</v>
      </c>
      <c r="B52" s="74">
        <f t="shared" si="17"/>
        <v>160</v>
      </c>
      <c r="C52" s="75"/>
      <c r="D52" s="74"/>
      <c r="E52" s="74"/>
      <c r="F52" s="74"/>
      <c r="G52" s="74"/>
      <c r="H52" s="74"/>
      <c r="I52" s="74"/>
      <c r="J52" s="75"/>
      <c r="K52" s="60"/>
      <c r="L52" s="60"/>
      <c r="M52" s="75"/>
      <c r="N52" s="75"/>
      <c r="O52" s="75"/>
      <c r="P52" s="60"/>
      <c r="Q52" s="75"/>
      <c r="R52" s="75"/>
      <c r="S52" s="60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4">
        <f t="shared" si="9"/>
        <v>160</v>
      </c>
      <c r="AX52" s="66">
        <f t="shared" si="10"/>
        <v>160</v>
      </c>
      <c r="AY52" s="62">
        <f>'[1]D4 Gallon Forecast'!$F152/1000000</f>
        <v>0</v>
      </c>
      <c r="AZ52" s="62">
        <f>'[1]D4 Gallon Forecast'!$F184/1000000</f>
        <v>11.812263</v>
      </c>
      <c r="BA52" s="62">
        <f t="shared" si="3"/>
        <v>12.757417</v>
      </c>
      <c r="BB52" s="62">
        <f>'[1]D4 Gallon Forecast'!$F168/1000000</f>
        <v>0.94515400000000005</v>
      </c>
      <c r="BC52" s="63">
        <f>'[1]D4 Gallon Forecast'!$F344</f>
        <v>0</v>
      </c>
      <c r="BD52" s="64">
        <f>'[1]D4 Gallon Forecast'!$F360/1000000</f>
        <v>0</v>
      </c>
      <c r="BE52" s="64">
        <f t="shared" si="4"/>
        <v>0</v>
      </c>
      <c r="BF52" s="76">
        <f t="shared" si="11"/>
        <v>12.757417</v>
      </c>
      <c r="BG52" s="77">
        <f t="shared" si="16"/>
        <v>0.93880185584677422</v>
      </c>
      <c r="BH52" s="75"/>
      <c r="BI52" s="75">
        <f t="shared" si="13"/>
        <v>40</v>
      </c>
      <c r="BJ52" s="75">
        <f t="shared" si="14"/>
        <v>120</v>
      </c>
      <c r="BK52" s="75">
        <f>'RD Feedstock Breakdown'!ES43</f>
        <v>110.59793541838445</v>
      </c>
      <c r="BL52" s="78">
        <f t="shared" si="15"/>
        <v>8.6693047204135798</v>
      </c>
      <c r="BM52" s="78">
        <f t="shared" si="12"/>
        <v>8.6693047204135798</v>
      </c>
      <c r="BN52" s="79"/>
      <c r="BO52" s="79"/>
      <c r="BP52" s="69"/>
      <c r="BQ52" s="66">
        <f>'[1]Monthly D4 Gallon Data'!$B53/1000000</f>
        <v>103.35047299999999</v>
      </c>
      <c r="BR52" s="66">
        <f>'[1]Monthly D6 Gallon Data'!$B55/1000000</f>
        <v>3.9300000000000002E-2</v>
      </c>
      <c r="BS52" s="66">
        <f t="shared" si="6"/>
        <v>103.38977299999999</v>
      </c>
      <c r="BT52" s="60"/>
      <c r="BU52" s="67">
        <f>'[2]US EIA'!$P189</f>
        <v>699</v>
      </c>
      <c r="BV52" s="68">
        <f t="shared" si="7"/>
        <v>6.7608234327006409</v>
      </c>
      <c r="BW52" s="60"/>
      <c r="BX52" s="69">
        <f t="shared" si="0"/>
        <v>0.1098383611346947</v>
      </c>
      <c r="BY52" s="69">
        <f t="shared" si="1"/>
        <v>0.8901616388653053</v>
      </c>
      <c r="BZ52" s="60"/>
      <c r="CA52" s="60"/>
      <c r="CB52" s="70">
        <f>'[1]Monthly D4 Gallon Data'!$AG53/1000000</f>
        <v>0</v>
      </c>
      <c r="CC52" s="70">
        <f>'[1]Monthly D6 Gallon Data'!$O55/1000000</f>
        <v>0</v>
      </c>
      <c r="CD52" s="70">
        <f t="shared" si="8"/>
        <v>0</v>
      </c>
      <c r="CE52" s="60"/>
      <c r="CF52" s="71">
        <f>'RD Feedstock Breakdown'!GQ43</f>
        <v>0</v>
      </c>
      <c r="CG52" s="72" t="e">
        <f t="shared" si="2"/>
        <v>#DIV/0!</v>
      </c>
      <c r="CH52" s="73">
        <f>'[2]US EIA'!$R189+AW52</f>
        <v>2239</v>
      </c>
    </row>
    <row r="53" spans="1:86" ht="13.5" x14ac:dyDescent="0.25">
      <c r="A53" s="59">
        <v>41760</v>
      </c>
      <c r="B53" s="74">
        <f t="shared" si="17"/>
        <v>160</v>
      </c>
      <c r="C53" s="75"/>
      <c r="D53" s="74"/>
      <c r="E53" s="74"/>
      <c r="F53" s="74"/>
      <c r="G53" s="74"/>
      <c r="H53" s="74"/>
      <c r="I53" s="74"/>
      <c r="J53" s="75"/>
      <c r="K53" s="60"/>
      <c r="L53" s="60"/>
      <c r="M53" s="75"/>
      <c r="N53" s="75"/>
      <c r="O53" s="75"/>
      <c r="P53" s="60"/>
      <c r="Q53" s="75"/>
      <c r="R53" s="75"/>
      <c r="S53" s="60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4">
        <f t="shared" si="9"/>
        <v>160</v>
      </c>
      <c r="AX53" s="66">
        <f t="shared" si="10"/>
        <v>160</v>
      </c>
      <c r="AY53" s="62">
        <f>'[1]D4 Gallon Forecast'!$F153/1000000</f>
        <v>6.1011999999999997E-2</v>
      </c>
      <c r="AZ53" s="62">
        <f>'[1]D4 Gallon Forecast'!$F185/1000000</f>
        <v>14.57809</v>
      </c>
      <c r="BA53" s="62">
        <f t="shared" si="3"/>
        <v>15.457184</v>
      </c>
      <c r="BB53" s="62">
        <f>'[1]D4 Gallon Forecast'!$F169/1000000</f>
        <v>0.81808199999999998</v>
      </c>
      <c r="BC53" s="63">
        <f>'[1]D4 Gallon Forecast'!$F345</f>
        <v>0</v>
      </c>
      <c r="BD53" s="64">
        <f>'[1]D4 Gallon Forecast'!$F361/1000000</f>
        <v>0</v>
      </c>
      <c r="BE53" s="64">
        <f t="shared" si="4"/>
        <v>0</v>
      </c>
      <c r="BF53" s="76">
        <f t="shared" si="11"/>
        <v>15.457184</v>
      </c>
      <c r="BG53" s="77">
        <f t="shared" si="16"/>
        <v>1.1753900333333331</v>
      </c>
      <c r="BH53" s="75"/>
      <c r="BI53" s="75">
        <f t="shared" si="13"/>
        <v>40</v>
      </c>
      <c r="BJ53" s="75">
        <f t="shared" si="14"/>
        <v>120</v>
      </c>
      <c r="BK53" s="75">
        <f>'RD Feedstock Breakdown'!ES44</f>
        <v>134.00303821550125</v>
      </c>
      <c r="BL53" s="78">
        <f t="shared" si="15"/>
        <v>8.6693047204135798</v>
      </c>
      <c r="BM53" s="78">
        <f t="shared" si="12"/>
        <v>8.6693047204135798</v>
      </c>
      <c r="BN53" s="79"/>
      <c r="BO53" s="79"/>
      <c r="BP53" s="69"/>
      <c r="BQ53" s="66">
        <f>'[1]Monthly D4 Gallon Data'!$B54/1000000</f>
        <v>109.85562400000001</v>
      </c>
      <c r="BR53" s="66">
        <f>'[1]Monthly D6 Gallon Data'!$B56/1000000</f>
        <v>0.51912700000000001</v>
      </c>
      <c r="BS53" s="66">
        <f t="shared" si="6"/>
        <v>110.374751</v>
      </c>
      <c r="BT53" s="60"/>
      <c r="BU53" s="67">
        <f>'[2]US EIA'!$P190</f>
        <v>790.84</v>
      </c>
      <c r="BV53" s="68">
        <f t="shared" si="7"/>
        <v>7.1650444765216275</v>
      </c>
      <c r="BW53" s="60"/>
      <c r="BX53" s="69">
        <f t="shared" si="0"/>
        <v>0.12283991341307753</v>
      </c>
      <c r="BY53" s="69">
        <f t="shared" si="1"/>
        <v>0.87716008658692246</v>
      </c>
      <c r="BZ53" s="60"/>
      <c r="CA53" s="60"/>
      <c r="CB53" s="70">
        <f>'[1]Monthly D4 Gallon Data'!$AG54/1000000</f>
        <v>0</v>
      </c>
      <c r="CC53" s="70">
        <f>'[1]Monthly D6 Gallon Data'!$O56/1000000</f>
        <v>0</v>
      </c>
      <c r="CD53" s="70">
        <f t="shared" si="8"/>
        <v>0</v>
      </c>
      <c r="CE53" s="60"/>
      <c r="CF53" s="71">
        <f>'RD Feedstock Breakdown'!GQ44</f>
        <v>0</v>
      </c>
      <c r="CG53" s="72" t="e">
        <f t="shared" si="2"/>
        <v>#DIV/0!</v>
      </c>
      <c r="CH53" s="73">
        <f>'[2]US EIA'!$R190+AW53</f>
        <v>2280</v>
      </c>
    </row>
    <row r="54" spans="1:86" ht="13.5" x14ac:dyDescent="0.25">
      <c r="A54" s="59">
        <v>41791</v>
      </c>
      <c r="B54" s="74">
        <f t="shared" si="17"/>
        <v>160</v>
      </c>
      <c r="C54" s="75"/>
      <c r="D54" s="74"/>
      <c r="E54" s="74"/>
      <c r="F54" s="74"/>
      <c r="G54" s="74"/>
      <c r="H54" s="74"/>
      <c r="I54" s="74"/>
      <c r="J54" s="75"/>
      <c r="K54" s="60"/>
      <c r="L54" s="60"/>
      <c r="M54" s="75"/>
      <c r="N54" s="75"/>
      <c r="O54" s="75"/>
      <c r="P54" s="60"/>
      <c r="Q54" s="75"/>
      <c r="R54" s="75"/>
      <c r="S54" s="60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4">
        <f t="shared" si="9"/>
        <v>160</v>
      </c>
      <c r="AX54" s="66">
        <f t="shared" si="10"/>
        <v>160</v>
      </c>
      <c r="AY54" s="62">
        <f>'[1]D4 Gallon Forecast'!$F154/1000000</f>
        <v>2.8389000000000001E-2</v>
      </c>
      <c r="AZ54" s="62">
        <f>'[1]D4 Gallon Forecast'!$F186/1000000</f>
        <v>14.129892</v>
      </c>
      <c r="BA54" s="62">
        <f t="shared" si="3"/>
        <v>14.888020000000001</v>
      </c>
      <c r="BB54" s="62">
        <f>'[1]D4 Gallon Forecast'!$F170/1000000</f>
        <v>0.72973900000000003</v>
      </c>
      <c r="BC54" s="63">
        <f>'[1]D4 Gallon Forecast'!$F346</f>
        <v>0</v>
      </c>
      <c r="BD54" s="64">
        <f>'[1]D4 Gallon Forecast'!$F362/1000000</f>
        <v>0</v>
      </c>
      <c r="BE54" s="64">
        <f t="shared" si="4"/>
        <v>0</v>
      </c>
      <c r="BF54" s="76">
        <f t="shared" si="11"/>
        <v>14.888020000000001</v>
      </c>
      <c r="BG54" s="77">
        <f t="shared" si="16"/>
        <v>1.0955901814516129</v>
      </c>
      <c r="BH54" s="75"/>
      <c r="BI54" s="75">
        <f t="shared" si="13"/>
        <v>40</v>
      </c>
      <c r="BJ54" s="75">
        <f t="shared" si="14"/>
        <v>120</v>
      </c>
      <c r="BK54" s="75">
        <f>'RD Feedstock Breakdown'!ES45</f>
        <v>129.06878206361179</v>
      </c>
      <c r="BL54" s="78">
        <f t="shared" si="15"/>
        <v>8.6693047204135798</v>
      </c>
      <c r="BM54" s="78">
        <f t="shared" si="12"/>
        <v>8.6693047204135798</v>
      </c>
      <c r="BN54" s="79"/>
      <c r="BO54" s="79"/>
      <c r="BP54" s="69"/>
      <c r="BQ54" s="66">
        <f>'[1]Monthly D4 Gallon Data'!$B55/1000000</f>
        <v>113.250338</v>
      </c>
      <c r="BR54" s="66">
        <f>'[1]Monthly D6 Gallon Data'!$B57/1000000</f>
        <v>0.42338500000000001</v>
      </c>
      <c r="BS54" s="66">
        <f t="shared" si="6"/>
        <v>113.673723</v>
      </c>
      <c r="BT54" s="60"/>
      <c r="BU54" s="67">
        <f>'[2]US EIA'!$P191</f>
        <v>829.86999999999989</v>
      </c>
      <c r="BV54" s="68">
        <f t="shared" si="7"/>
        <v>7.3004558846022833</v>
      </c>
      <c r="BW54" s="60"/>
      <c r="BX54" s="69">
        <f t="shared" si="0"/>
        <v>0.11580443491653657</v>
      </c>
      <c r="BY54" s="69">
        <f t="shared" si="1"/>
        <v>0.88419556508346331</v>
      </c>
      <c r="BZ54" s="60"/>
      <c r="CA54" s="60"/>
      <c r="CB54" s="70">
        <f>'[1]Monthly D4 Gallon Data'!$AG55/1000000</f>
        <v>0</v>
      </c>
      <c r="CC54" s="70">
        <f>'[1]Monthly D6 Gallon Data'!$O57/1000000</f>
        <v>0</v>
      </c>
      <c r="CD54" s="70">
        <f t="shared" si="8"/>
        <v>0</v>
      </c>
      <c r="CE54" s="60"/>
      <c r="CF54" s="71">
        <f>'RD Feedstock Breakdown'!GQ45</f>
        <v>0</v>
      </c>
      <c r="CG54" s="72" t="e">
        <f t="shared" si="2"/>
        <v>#DIV/0!</v>
      </c>
      <c r="CH54" s="73">
        <f>'[2]US EIA'!$R191+AW54</f>
        <v>2162</v>
      </c>
    </row>
    <row r="55" spans="1:86" ht="13.5" x14ac:dyDescent="0.25">
      <c r="A55" s="59">
        <v>41821</v>
      </c>
      <c r="B55" s="74">
        <f t="shared" si="17"/>
        <v>160</v>
      </c>
      <c r="C55" s="75"/>
      <c r="D55" s="74"/>
      <c r="E55" s="74"/>
      <c r="F55" s="74"/>
      <c r="G55" s="74"/>
      <c r="H55" s="74"/>
      <c r="I55" s="74"/>
      <c r="J55" s="75"/>
      <c r="K55" s="60"/>
      <c r="L55" s="60"/>
      <c r="M55" s="75"/>
      <c r="N55" s="75"/>
      <c r="O55" s="75"/>
      <c r="P55" s="60"/>
      <c r="Q55" s="75"/>
      <c r="R55" s="75"/>
      <c r="S55" s="60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4">
        <f t="shared" si="9"/>
        <v>160</v>
      </c>
      <c r="AX55" s="66">
        <f t="shared" si="10"/>
        <v>160</v>
      </c>
      <c r="AY55" s="62">
        <f>'[1]D4 Gallon Forecast'!$F155/1000000</f>
        <v>8.6459999999999992E-3</v>
      </c>
      <c r="AZ55" s="62">
        <f>'[1]D4 Gallon Forecast'!$F187/1000000</f>
        <v>12.259921</v>
      </c>
      <c r="BA55" s="62">
        <f t="shared" si="3"/>
        <v>12.613289000000002</v>
      </c>
      <c r="BB55" s="62">
        <f>'[1]D4 Gallon Forecast'!$F171/1000000</f>
        <v>0.34472199999999997</v>
      </c>
      <c r="BC55" s="63">
        <f>'[1]D4 Gallon Forecast'!$F347</f>
        <v>0</v>
      </c>
      <c r="BD55" s="64">
        <f>'[1]D4 Gallon Forecast'!$F363/1000000</f>
        <v>0</v>
      </c>
      <c r="BE55" s="64">
        <f t="shared" si="4"/>
        <v>0</v>
      </c>
      <c r="BF55" s="76">
        <f t="shared" si="11"/>
        <v>12.613289000000002</v>
      </c>
      <c r="BG55" s="77">
        <f t="shared" si="16"/>
        <v>0.9591355177083335</v>
      </c>
      <c r="BH55" s="75"/>
      <c r="BI55" s="75">
        <f t="shared" si="13"/>
        <v>40</v>
      </c>
      <c r="BJ55" s="75">
        <f t="shared" si="14"/>
        <v>120</v>
      </c>
      <c r="BK55" s="75">
        <f>'RD Feedstock Breakdown'!ES46</f>
        <v>109.34844586764068</v>
      </c>
      <c r="BL55" s="78">
        <f t="shared" si="15"/>
        <v>8.669304720413578</v>
      </c>
      <c r="BM55" s="78">
        <f t="shared" si="12"/>
        <v>8.669304720413578</v>
      </c>
      <c r="BN55" s="79"/>
      <c r="BO55" s="79"/>
      <c r="BP55" s="69"/>
      <c r="BQ55" s="66">
        <f>'[1]Monthly D4 Gallon Data'!$B56/1000000</f>
        <v>128.017921</v>
      </c>
      <c r="BR55" s="66">
        <f>'[1]Monthly D6 Gallon Data'!$B58/1000000</f>
        <v>0.22611300000000001</v>
      </c>
      <c r="BS55" s="66">
        <f t="shared" si="6"/>
        <v>128.244034</v>
      </c>
      <c r="BT55" s="60"/>
      <c r="BU55" s="67">
        <f>'[2]US EIA'!$P192</f>
        <v>912.36999999999989</v>
      </c>
      <c r="BV55" s="68">
        <f t="shared" si="7"/>
        <v>7.1143270493191118</v>
      </c>
      <c r="BW55" s="60"/>
      <c r="BX55" s="69">
        <f t="shared" si="0"/>
        <v>8.9546561949072401E-2</v>
      </c>
      <c r="BY55" s="69">
        <f t="shared" si="1"/>
        <v>0.9104534380509276</v>
      </c>
      <c r="BZ55" s="60"/>
      <c r="CA55" s="60"/>
      <c r="CB55" s="70">
        <f>'[1]Monthly D4 Gallon Data'!$AG56/1000000</f>
        <v>0</v>
      </c>
      <c r="CC55" s="70">
        <f>'[1]Monthly D6 Gallon Data'!$O58/1000000</f>
        <v>0</v>
      </c>
      <c r="CD55" s="70">
        <f t="shared" si="8"/>
        <v>0</v>
      </c>
      <c r="CE55" s="60"/>
      <c r="CF55" s="71">
        <f>'RD Feedstock Breakdown'!GQ46</f>
        <v>0</v>
      </c>
      <c r="CG55" s="72" t="e">
        <f t="shared" si="2"/>
        <v>#DIV/0!</v>
      </c>
      <c r="CH55" s="73">
        <f>'[2]US EIA'!$R192+AW55</f>
        <v>2266</v>
      </c>
    </row>
    <row r="56" spans="1:86" ht="13.5" x14ac:dyDescent="0.25">
      <c r="A56" s="59">
        <v>41852</v>
      </c>
      <c r="B56" s="74">
        <f t="shared" si="17"/>
        <v>160</v>
      </c>
      <c r="C56" s="75"/>
      <c r="D56" s="74"/>
      <c r="E56" s="74"/>
      <c r="F56" s="74"/>
      <c r="G56" s="74"/>
      <c r="H56" s="74"/>
      <c r="I56" s="74"/>
      <c r="J56" s="75"/>
      <c r="K56" s="60"/>
      <c r="L56" s="60"/>
      <c r="M56" s="75"/>
      <c r="N56" s="75"/>
      <c r="O56" s="75"/>
      <c r="P56" s="60"/>
      <c r="Q56" s="75"/>
      <c r="R56" s="75"/>
      <c r="S56" s="60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4">
        <f t="shared" si="9"/>
        <v>160</v>
      </c>
      <c r="AX56" s="66">
        <f t="shared" si="10"/>
        <v>160</v>
      </c>
      <c r="AY56" s="62">
        <f>'[1]D4 Gallon Forecast'!$F156/1000000</f>
        <v>0</v>
      </c>
      <c r="AZ56" s="62">
        <f>'[1]D4 Gallon Forecast'!$F188/1000000</f>
        <v>1.0802659999999999</v>
      </c>
      <c r="BA56" s="62">
        <f t="shared" si="3"/>
        <v>1.554513</v>
      </c>
      <c r="BB56" s="62">
        <f>'[1]D4 Gallon Forecast'!$F172/1000000</f>
        <v>0.47424699999999997</v>
      </c>
      <c r="BC56" s="63">
        <f>'[1]D4 Gallon Forecast'!$F348</f>
        <v>0</v>
      </c>
      <c r="BD56" s="64">
        <f>'[1]D4 Gallon Forecast'!$F364/1000000</f>
        <v>0</v>
      </c>
      <c r="BE56" s="64">
        <f t="shared" si="4"/>
        <v>0</v>
      </c>
      <c r="BF56" s="76">
        <f t="shared" si="11"/>
        <v>1.554513</v>
      </c>
      <c r="BG56" s="77">
        <f t="shared" si="16"/>
        <v>0.11439460584677422</v>
      </c>
      <c r="BH56" s="75"/>
      <c r="BI56" s="75">
        <f t="shared" si="13"/>
        <v>40</v>
      </c>
      <c r="BJ56" s="75">
        <f t="shared" si="14"/>
        <v>120</v>
      </c>
      <c r="BK56" s="75">
        <f>'RD Feedstock Breakdown'!ES47</f>
        <v>13.476546888844274</v>
      </c>
      <c r="BL56" s="78">
        <f t="shared" si="15"/>
        <v>8.669304720413578</v>
      </c>
      <c r="BM56" s="78">
        <f t="shared" si="12"/>
        <v>8.669304720413578</v>
      </c>
      <c r="BN56" s="79"/>
      <c r="BO56" s="79"/>
      <c r="BP56" s="69"/>
      <c r="BQ56" s="66">
        <f>'[1]Monthly D4 Gallon Data'!$B57/1000000</f>
        <v>127.37736700000001</v>
      </c>
      <c r="BR56" s="66">
        <f>'[1]Monthly D6 Gallon Data'!$B59/1000000</f>
        <v>7.3435E-2</v>
      </c>
      <c r="BS56" s="66">
        <f t="shared" si="6"/>
        <v>127.45080200000001</v>
      </c>
      <c r="BT56" s="60"/>
      <c r="BU56" s="67">
        <f>'[2]US EIA'!$P193</f>
        <v>935.45999999999992</v>
      </c>
      <c r="BV56" s="68">
        <f t="shared" si="7"/>
        <v>7.3397733503473743</v>
      </c>
      <c r="BW56" s="60"/>
      <c r="BX56" s="69">
        <f t="shared" si="0"/>
        <v>1.2049991893744843E-2</v>
      </c>
      <c r="BY56" s="69">
        <f t="shared" si="1"/>
        <v>0.98795000810625522</v>
      </c>
      <c r="BZ56" s="60"/>
      <c r="CA56" s="60"/>
      <c r="CB56" s="70">
        <f>'[1]Monthly D4 Gallon Data'!$AG57/1000000</f>
        <v>0</v>
      </c>
      <c r="CC56" s="70">
        <f>'[1]Monthly D6 Gallon Data'!$O59/1000000</f>
        <v>0</v>
      </c>
      <c r="CD56" s="70">
        <f t="shared" si="8"/>
        <v>0</v>
      </c>
      <c r="CE56" s="60"/>
      <c r="CF56" s="71">
        <f>'RD Feedstock Breakdown'!GQ47</f>
        <v>0</v>
      </c>
      <c r="CG56" s="72" t="e">
        <f t="shared" si="2"/>
        <v>#DIV/0!</v>
      </c>
      <c r="CH56" s="73">
        <f>'[2]US EIA'!$R193+AW56</f>
        <v>2278</v>
      </c>
    </row>
    <row r="57" spans="1:86" ht="13.5" x14ac:dyDescent="0.25">
      <c r="A57" s="59">
        <v>41883</v>
      </c>
      <c r="B57" s="74">
        <f t="shared" si="17"/>
        <v>160</v>
      </c>
      <c r="C57" s="75"/>
      <c r="D57" s="74"/>
      <c r="E57" s="74"/>
      <c r="F57" s="74"/>
      <c r="G57" s="74"/>
      <c r="H57" s="74"/>
      <c r="I57" s="74"/>
      <c r="J57" s="75"/>
      <c r="K57" s="60"/>
      <c r="L57" s="60"/>
      <c r="M57" s="75"/>
      <c r="N57" s="75"/>
      <c r="O57" s="75"/>
      <c r="P57" s="60"/>
      <c r="Q57" s="75"/>
      <c r="R57" s="75"/>
      <c r="S57" s="60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4">
        <f t="shared" si="9"/>
        <v>160</v>
      </c>
      <c r="AX57" s="66">
        <f t="shared" si="10"/>
        <v>160</v>
      </c>
      <c r="AY57" s="62">
        <f>'[1]D4 Gallon Forecast'!$F157/1000000</f>
        <v>1.7718000000000001E-2</v>
      </c>
      <c r="AZ57" s="62">
        <f>'[1]D4 Gallon Forecast'!$F189/1000000</f>
        <v>4.9368749999999997</v>
      </c>
      <c r="BA57" s="62">
        <f t="shared" si="3"/>
        <v>5.3234200000000005</v>
      </c>
      <c r="BB57" s="62">
        <f>'[1]D4 Gallon Forecast'!$F173/1000000</f>
        <v>0.36882700000000002</v>
      </c>
      <c r="BC57" s="63">
        <f>'[1]D4 Gallon Forecast'!$F349</f>
        <v>0</v>
      </c>
      <c r="BD57" s="64">
        <f>'[1]D4 Gallon Forecast'!$F365/1000000</f>
        <v>0</v>
      </c>
      <c r="BE57" s="64">
        <f t="shared" si="4"/>
        <v>0</v>
      </c>
      <c r="BF57" s="76">
        <f t="shared" si="11"/>
        <v>5.3234200000000005</v>
      </c>
      <c r="BG57" s="77">
        <f t="shared" si="16"/>
        <v>0.39174360887096776</v>
      </c>
      <c r="BH57" s="75"/>
      <c r="BI57" s="75">
        <f t="shared" si="13"/>
        <v>40</v>
      </c>
      <c r="BJ57" s="75">
        <f t="shared" si="14"/>
        <v>120</v>
      </c>
      <c r="BK57" s="75">
        <f>'RD Feedstock Breakdown'!ES48</f>
        <v>46.150350134744052</v>
      </c>
      <c r="BL57" s="78">
        <f t="shared" si="15"/>
        <v>8.669304720413578</v>
      </c>
      <c r="BM57" s="78">
        <f t="shared" si="12"/>
        <v>8.669304720413578</v>
      </c>
      <c r="BN57" s="79"/>
      <c r="BO57" s="79"/>
      <c r="BP57" s="69"/>
      <c r="BQ57" s="66">
        <f>'[1]Monthly D4 Gallon Data'!$B58/1000000</f>
        <v>124.53519</v>
      </c>
      <c r="BR57" s="66">
        <f>'[1]Monthly D6 Gallon Data'!$B60/1000000</f>
        <v>0</v>
      </c>
      <c r="BS57" s="66">
        <f t="shared" si="6"/>
        <v>124.53519</v>
      </c>
      <c r="BT57" s="60"/>
      <c r="BU57" s="67">
        <f>'[2]US EIA'!$P194</f>
        <v>858.52</v>
      </c>
      <c r="BV57" s="68">
        <f t="shared" si="7"/>
        <v>6.8937944367371182</v>
      </c>
      <c r="BW57" s="60"/>
      <c r="BX57" s="69">
        <f t="shared" si="0"/>
        <v>4.0993970288146477E-2</v>
      </c>
      <c r="BY57" s="69">
        <f t="shared" si="1"/>
        <v>0.95900602971185356</v>
      </c>
      <c r="BZ57" s="60"/>
      <c r="CA57" s="60"/>
      <c r="CB57" s="70">
        <f>'[1]Monthly D4 Gallon Data'!$AG58/1000000</f>
        <v>0</v>
      </c>
      <c r="CC57" s="70">
        <f>'[1]Monthly D6 Gallon Data'!$O60/1000000</f>
        <v>0</v>
      </c>
      <c r="CD57" s="70">
        <f t="shared" si="8"/>
        <v>0</v>
      </c>
      <c r="CE57" s="60"/>
      <c r="CF57" s="71">
        <f>'RD Feedstock Breakdown'!GQ48</f>
        <v>0</v>
      </c>
      <c r="CG57" s="72" t="e">
        <f t="shared" si="2"/>
        <v>#DIV/0!</v>
      </c>
      <c r="CH57" s="73">
        <f>'[2]US EIA'!$R194+AW57</f>
        <v>2291</v>
      </c>
    </row>
    <row r="58" spans="1:86" ht="13.5" x14ac:dyDescent="0.25">
      <c r="A58" s="59">
        <v>41913</v>
      </c>
      <c r="B58" s="74">
        <f t="shared" si="17"/>
        <v>160</v>
      </c>
      <c r="C58" s="75"/>
      <c r="D58" s="74"/>
      <c r="E58" s="74"/>
      <c r="F58" s="74"/>
      <c r="G58" s="74"/>
      <c r="H58" s="74"/>
      <c r="I58" s="74"/>
      <c r="J58" s="75"/>
      <c r="K58" s="60"/>
      <c r="L58" s="60"/>
      <c r="M58" s="75"/>
      <c r="N58" s="75"/>
      <c r="O58" s="75"/>
      <c r="P58" s="60"/>
      <c r="Q58" s="75"/>
      <c r="R58" s="75"/>
      <c r="S58" s="60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4">
        <f t="shared" si="9"/>
        <v>160</v>
      </c>
      <c r="AX58" s="66">
        <f t="shared" si="10"/>
        <v>160</v>
      </c>
      <c r="AY58" s="62">
        <f>'[1]D4 Gallon Forecast'!$F158/1000000</f>
        <v>3.3043999999999997E-2</v>
      </c>
      <c r="AZ58" s="62">
        <f>'[1]D4 Gallon Forecast'!$F190/1000000</f>
        <v>13.434456000000001</v>
      </c>
      <c r="BA58" s="62">
        <f t="shared" si="3"/>
        <v>13.879279</v>
      </c>
      <c r="BB58" s="62">
        <f>'[1]D4 Gallon Forecast'!$F174/1000000</f>
        <v>0.41177900000000001</v>
      </c>
      <c r="BC58" s="63">
        <f>'[1]D4 Gallon Forecast'!$F350</f>
        <v>0</v>
      </c>
      <c r="BD58" s="64">
        <f>'[1]D4 Gallon Forecast'!$F366/1000000</f>
        <v>0</v>
      </c>
      <c r="BE58" s="64">
        <f t="shared" si="4"/>
        <v>0</v>
      </c>
      <c r="BF58" s="76">
        <f t="shared" si="11"/>
        <v>13.879279</v>
      </c>
      <c r="BG58" s="77">
        <f t="shared" si="16"/>
        <v>1.0554035072916668</v>
      </c>
      <c r="BH58" s="75"/>
      <c r="BI58" s="75">
        <f t="shared" si="13"/>
        <v>40</v>
      </c>
      <c r="BJ58" s="75">
        <f t="shared" si="14"/>
        <v>120</v>
      </c>
      <c r="BK58" s="75">
        <f>'RD Feedstock Breakdown'!ES49</f>
        <v>120.32369895063707</v>
      </c>
      <c r="BL58" s="78">
        <f t="shared" si="15"/>
        <v>8.6693047204135798</v>
      </c>
      <c r="BM58" s="78">
        <f t="shared" si="12"/>
        <v>8.6693047204135798</v>
      </c>
      <c r="BN58" s="79"/>
      <c r="BO58" s="79"/>
      <c r="BP58" s="69"/>
      <c r="BQ58" s="66">
        <f>'[1]Monthly D4 Gallon Data'!$B59/1000000</f>
        <v>121.329751</v>
      </c>
      <c r="BR58" s="66">
        <f>'[1]Monthly D6 Gallon Data'!$B61/1000000</f>
        <v>8.378E-3</v>
      </c>
      <c r="BS58" s="66">
        <f t="shared" si="6"/>
        <v>121.338129</v>
      </c>
      <c r="BT58" s="60"/>
      <c r="BU58" s="67">
        <f>'[2]US EIA'!$P195</f>
        <v>882.40000000000009</v>
      </c>
      <c r="BV58" s="68">
        <f t="shared" si="7"/>
        <v>7.2722400392377908</v>
      </c>
      <c r="BW58" s="60"/>
      <c r="BX58" s="69">
        <f t="shared" si="0"/>
        <v>0.10264417285679667</v>
      </c>
      <c r="BY58" s="69">
        <f t="shared" si="1"/>
        <v>0.89735582714320328</v>
      </c>
      <c r="BZ58" s="60"/>
      <c r="CA58" s="60"/>
      <c r="CB58" s="70">
        <f>'[1]Monthly D4 Gallon Data'!$AG59/1000000</f>
        <v>0</v>
      </c>
      <c r="CC58" s="70">
        <f>'[1]Monthly D6 Gallon Data'!$O61/1000000</f>
        <v>0</v>
      </c>
      <c r="CD58" s="70">
        <f t="shared" si="8"/>
        <v>0</v>
      </c>
      <c r="CE58" s="60"/>
      <c r="CF58" s="71">
        <f>'RD Feedstock Breakdown'!GQ49</f>
        <v>0</v>
      </c>
      <c r="CG58" s="72" t="e">
        <f t="shared" si="2"/>
        <v>#DIV/0!</v>
      </c>
      <c r="CH58" s="73">
        <f>'[2]US EIA'!$R195+AW58</f>
        <v>2306</v>
      </c>
    </row>
    <row r="59" spans="1:86" ht="13.5" x14ac:dyDescent="0.25">
      <c r="A59" s="59">
        <v>41944</v>
      </c>
      <c r="B59" s="74">
        <f t="shared" si="17"/>
        <v>160</v>
      </c>
      <c r="C59" s="75"/>
      <c r="D59" s="74"/>
      <c r="E59" s="74"/>
      <c r="F59" s="74">
        <v>25</v>
      </c>
      <c r="G59" s="74"/>
      <c r="H59" s="74"/>
      <c r="I59" s="74"/>
      <c r="J59" s="75"/>
      <c r="K59" s="60"/>
      <c r="L59" s="60"/>
      <c r="M59" s="75"/>
      <c r="N59" s="75"/>
      <c r="O59" s="75"/>
      <c r="P59" s="60"/>
      <c r="Q59" s="75"/>
      <c r="R59" s="75"/>
      <c r="S59" s="60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4">
        <f t="shared" si="9"/>
        <v>185</v>
      </c>
      <c r="AX59" s="66">
        <f t="shared" si="10"/>
        <v>185</v>
      </c>
      <c r="AY59" s="62">
        <f>'[1]D4 Gallon Forecast'!$F159/1000000</f>
        <v>2.5049999999999999E-2</v>
      </c>
      <c r="AZ59" s="62">
        <f>'[1]D4 Gallon Forecast'!$F191/1000000</f>
        <v>15.552834000000001</v>
      </c>
      <c r="BA59" s="62">
        <f t="shared" si="3"/>
        <v>15.943396000000002</v>
      </c>
      <c r="BB59" s="62">
        <f>'[1]D4 Gallon Forecast'!$F175/1000000</f>
        <v>0.365512</v>
      </c>
      <c r="BC59" s="63">
        <f>'[1]D4 Gallon Forecast'!$F351</f>
        <v>0</v>
      </c>
      <c r="BD59" s="64">
        <f>'[1]D4 Gallon Forecast'!$F367/1000000</f>
        <v>0</v>
      </c>
      <c r="BE59" s="64">
        <f t="shared" si="4"/>
        <v>0</v>
      </c>
      <c r="BF59" s="76">
        <f t="shared" si="11"/>
        <v>15.943396000000002</v>
      </c>
      <c r="BG59" s="77">
        <f t="shared" si="16"/>
        <v>1.0147061098517873</v>
      </c>
      <c r="BH59" s="75"/>
      <c r="BI59" s="75">
        <f t="shared" si="13"/>
        <v>46.25</v>
      </c>
      <c r="BJ59" s="75">
        <f t="shared" si="14"/>
        <v>138.75</v>
      </c>
      <c r="BK59" s="75">
        <f>'RD Feedstock Breakdown'!ES50</f>
        <v>139.68824667362264</v>
      </c>
      <c r="BL59" s="78">
        <f t="shared" si="15"/>
        <v>8.7615114542486818</v>
      </c>
      <c r="BM59" s="78">
        <f t="shared" si="12"/>
        <v>8.7615114542486818</v>
      </c>
      <c r="BN59" s="79"/>
      <c r="BO59" s="79"/>
      <c r="BP59" s="69"/>
      <c r="BQ59" s="66">
        <f>'[1]Monthly D4 Gallon Data'!$B60/1000000</f>
        <v>97.332075000000003</v>
      </c>
      <c r="BR59" s="66">
        <f>'[1]Monthly D6 Gallon Data'!$B62/1000000</f>
        <v>1.1780000000000001E-2</v>
      </c>
      <c r="BS59" s="66">
        <f t="shared" si="6"/>
        <v>97.343855000000005</v>
      </c>
      <c r="BT59" s="60"/>
      <c r="BU59" s="67">
        <f>'[2]US EIA'!$P196</f>
        <v>806.94999999999993</v>
      </c>
      <c r="BV59" s="68">
        <f t="shared" si="7"/>
        <v>8.2896860823931817</v>
      </c>
      <c r="BW59" s="60"/>
      <c r="BX59" s="69">
        <f t="shared" si="0"/>
        <v>0.14073424731614328</v>
      </c>
      <c r="BY59" s="69">
        <f t="shared" si="1"/>
        <v>0.85926575268385663</v>
      </c>
      <c r="BZ59" s="60"/>
      <c r="CA59" s="60"/>
      <c r="CB59" s="70">
        <f>'[1]Monthly D4 Gallon Data'!$AG60/1000000</f>
        <v>0</v>
      </c>
      <c r="CC59" s="70">
        <f>'[1]Monthly D6 Gallon Data'!$O62/1000000</f>
        <v>0</v>
      </c>
      <c r="CD59" s="70">
        <f t="shared" si="8"/>
        <v>0</v>
      </c>
      <c r="CE59" s="60"/>
      <c r="CF59" s="71">
        <f>'RD Feedstock Breakdown'!GQ50</f>
        <v>0</v>
      </c>
      <c r="CG59" s="72" t="e">
        <f t="shared" si="2"/>
        <v>#DIV/0!</v>
      </c>
      <c r="CH59" s="73">
        <f>'[2]US EIA'!$R196+AW59</f>
        <v>2316</v>
      </c>
    </row>
    <row r="60" spans="1:86" ht="13.5" x14ac:dyDescent="0.25">
      <c r="A60" s="59">
        <v>41974</v>
      </c>
      <c r="B60" s="74">
        <f t="shared" si="17"/>
        <v>160</v>
      </c>
      <c r="C60" s="75"/>
      <c r="D60" s="74"/>
      <c r="E60" s="74"/>
      <c r="F60" s="74">
        <v>50</v>
      </c>
      <c r="G60" s="74"/>
      <c r="H60" s="74"/>
      <c r="I60" s="74"/>
      <c r="J60" s="75"/>
      <c r="K60" s="60"/>
      <c r="L60" s="60"/>
      <c r="M60" s="75"/>
      <c r="N60" s="75"/>
      <c r="O60" s="75"/>
      <c r="P60" s="60"/>
      <c r="Q60" s="75"/>
      <c r="R60" s="75"/>
      <c r="S60" s="60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4">
        <f t="shared" si="9"/>
        <v>210</v>
      </c>
      <c r="AX60" s="66">
        <f t="shared" si="10"/>
        <v>210</v>
      </c>
      <c r="AY60" s="62">
        <f>'[1]D4 Gallon Forecast'!$F160/1000000</f>
        <v>3.1433999999999997E-2</v>
      </c>
      <c r="AZ60" s="62">
        <f>'[1]D4 Gallon Forecast'!$F192/1000000</f>
        <v>21.686184999999998</v>
      </c>
      <c r="BA60" s="62">
        <f t="shared" si="3"/>
        <v>22.040472999999999</v>
      </c>
      <c r="BB60" s="62">
        <f>'[1]D4 Gallon Forecast'!$F176/1000000</f>
        <v>0.32285399999999997</v>
      </c>
      <c r="BC60" s="63">
        <f>'[1]D4 Gallon Forecast'!$F352</f>
        <v>0</v>
      </c>
      <c r="BD60" s="64">
        <f>'[1]D4 Gallon Forecast'!$F368/1000000</f>
        <v>0</v>
      </c>
      <c r="BE60" s="64">
        <f t="shared" si="4"/>
        <v>0</v>
      </c>
      <c r="BF60" s="76">
        <f t="shared" si="11"/>
        <v>22.040472999999999</v>
      </c>
      <c r="BG60" s="77">
        <f t="shared" si="16"/>
        <v>1.276948038888889</v>
      </c>
      <c r="BH60" s="75"/>
      <c r="BI60" s="75">
        <f t="shared" si="13"/>
        <v>52.5</v>
      </c>
      <c r="BJ60" s="75">
        <f t="shared" si="14"/>
        <v>157.5</v>
      </c>
      <c r="BK60" s="75">
        <f>'RD Feedstock Breakdown'!ES51</f>
        <v>194.62795867831656</v>
      </c>
      <c r="BL60" s="78">
        <f t="shared" si="15"/>
        <v>8.8304801207449852</v>
      </c>
      <c r="BM60" s="78">
        <f t="shared" si="12"/>
        <v>8.8304801207449852</v>
      </c>
      <c r="BN60" s="79"/>
      <c r="BO60" s="79"/>
      <c r="BP60" s="69"/>
      <c r="BQ60" s="66">
        <f>'[1]Monthly D4 Gallon Data'!$B61/1000000</f>
        <v>163.494776</v>
      </c>
      <c r="BR60" s="66">
        <f>'[1]Monthly D6 Gallon Data'!$B63/1000000</f>
        <v>1.9090000000000001E-3</v>
      </c>
      <c r="BS60" s="66">
        <f t="shared" si="6"/>
        <v>163.49668500000001</v>
      </c>
      <c r="BT60" s="60"/>
      <c r="BU60" s="67">
        <f>'[2]US EIA'!$P197</f>
        <v>905.8</v>
      </c>
      <c r="BV60" s="68">
        <f t="shared" si="7"/>
        <v>5.5401734903677093</v>
      </c>
      <c r="BW60" s="60"/>
      <c r="BX60" s="69">
        <f t="shared" si="0"/>
        <v>0.11879277034091466</v>
      </c>
      <c r="BY60" s="69">
        <f t="shared" si="1"/>
        <v>0.88120722965908538</v>
      </c>
      <c r="BZ60" s="60"/>
      <c r="CA60" s="60"/>
      <c r="CB60" s="70">
        <f>'[1]Monthly D4 Gallon Data'!$AG61/1000000</f>
        <v>0</v>
      </c>
      <c r="CC60" s="70">
        <f>'[1]Monthly D6 Gallon Data'!$O63/1000000</f>
        <v>0</v>
      </c>
      <c r="CD60" s="70">
        <f t="shared" si="8"/>
        <v>0</v>
      </c>
      <c r="CE60" s="60"/>
      <c r="CF60" s="71">
        <f>'RD Feedstock Breakdown'!GQ51</f>
        <v>0</v>
      </c>
      <c r="CG60" s="72" t="e">
        <f t="shared" si="2"/>
        <v>#DIV/0!</v>
      </c>
      <c r="CH60" s="73">
        <f>'[2]US EIA'!$R197+AW60</f>
        <v>2355</v>
      </c>
    </row>
    <row r="61" spans="1:86" ht="13.5" x14ac:dyDescent="0.25">
      <c r="A61" s="59">
        <v>42005</v>
      </c>
      <c r="B61" s="74">
        <f t="shared" si="17"/>
        <v>160</v>
      </c>
      <c r="C61" s="75"/>
      <c r="D61" s="74"/>
      <c r="E61" s="74"/>
      <c r="F61" s="74">
        <v>95</v>
      </c>
      <c r="G61" s="74"/>
      <c r="H61" s="74"/>
      <c r="I61" s="74"/>
      <c r="J61" s="75"/>
      <c r="K61" s="60"/>
      <c r="L61" s="60"/>
      <c r="M61" s="75"/>
      <c r="N61" s="75"/>
      <c r="O61" s="75"/>
      <c r="P61" s="60"/>
      <c r="Q61" s="75"/>
      <c r="R61" s="75"/>
      <c r="S61" s="60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4">
        <f t="shared" si="9"/>
        <v>255</v>
      </c>
      <c r="AX61" s="66">
        <f t="shared" si="10"/>
        <v>255</v>
      </c>
      <c r="AY61" s="62">
        <f>'[1]D4 Gallon Forecast'!$G149/1000000</f>
        <v>0</v>
      </c>
      <c r="AZ61" s="62">
        <f>'[1]D4 Gallon Forecast'!$G181/1000000</f>
        <v>17.024881000000001</v>
      </c>
      <c r="BA61" s="62">
        <f t="shared" si="3"/>
        <v>17.338629000000001</v>
      </c>
      <c r="BB61" s="62">
        <f>'[1]D4 Gallon Forecast'!$G165/1000000</f>
        <v>0.31374800000000003</v>
      </c>
      <c r="BC61" s="63">
        <f>'[1]D4 Gallon Forecast'!$G341</f>
        <v>0</v>
      </c>
      <c r="BD61" s="64">
        <f>'[1]D4 Gallon Forecast'!$G357/1000000</f>
        <v>0</v>
      </c>
      <c r="BE61" s="64">
        <f t="shared" si="4"/>
        <v>0</v>
      </c>
      <c r="BF61" s="76">
        <f t="shared" si="11"/>
        <v>17.338629000000001</v>
      </c>
      <c r="BG61" s="77">
        <f t="shared" si="16"/>
        <v>0.80058185768500956</v>
      </c>
      <c r="BH61" s="75"/>
      <c r="BI61" s="75">
        <f t="shared" si="13"/>
        <v>63.75</v>
      </c>
      <c r="BJ61" s="75">
        <f t="shared" si="14"/>
        <v>191.25</v>
      </c>
      <c r="BK61" s="75">
        <f>'RD Feedstock Breakdown'!ES52</f>
        <v>154.64185110702533</v>
      </c>
      <c r="BL61" s="78">
        <f t="shared" si="15"/>
        <v>8.9189203544885434</v>
      </c>
      <c r="BM61" s="78">
        <f t="shared" si="12"/>
        <v>8.9189203544885434</v>
      </c>
      <c r="BN61" s="79"/>
      <c r="BO61" s="79"/>
      <c r="BP61" s="69"/>
      <c r="BQ61" s="66">
        <f>'[1]Monthly D4 Gallon Data'!$B62/1000000</f>
        <v>55.879852999999997</v>
      </c>
      <c r="BR61" s="66">
        <f>'[1]Monthly D6 Gallon Data'!$B64/1000000</f>
        <v>0</v>
      </c>
      <c r="BS61" s="66">
        <f t="shared" si="6"/>
        <v>55.879852999999997</v>
      </c>
      <c r="BT61" s="60"/>
      <c r="BU61" s="67">
        <f>'[2]US EIA'!$P198</f>
        <v>545</v>
      </c>
      <c r="BV61" s="68">
        <f t="shared" si="7"/>
        <v>9.7530678901392243</v>
      </c>
      <c r="BW61" s="60"/>
      <c r="BX61" s="69">
        <f t="shared" si="0"/>
        <v>0.23680672593020985</v>
      </c>
      <c r="BY61" s="69">
        <f t="shared" si="1"/>
        <v>0.76319327406979021</v>
      </c>
      <c r="BZ61" s="60"/>
      <c r="CA61" s="60"/>
      <c r="CB61" s="70">
        <f>'[1]Monthly D4 Gallon Data'!$AG62/1000000</f>
        <v>0</v>
      </c>
      <c r="CC61" s="70">
        <f>'[1]Monthly D6 Gallon Data'!$O64/1000000</f>
        <v>0</v>
      </c>
      <c r="CD61" s="70">
        <f t="shared" si="8"/>
        <v>0</v>
      </c>
      <c r="CE61" s="60"/>
      <c r="CF61" s="71">
        <f>'RD Feedstock Breakdown'!GQ52</f>
        <v>0</v>
      </c>
      <c r="CG61" s="72" t="e">
        <f t="shared" si="2"/>
        <v>#DIV/0!</v>
      </c>
      <c r="CH61" s="73">
        <f>'[2]US EIA'!$R198+AW61</f>
        <v>2361</v>
      </c>
    </row>
    <row r="62" spans="1:86" ht="13.5" x14ac:dyDescent="0.25">
      <c r="A62" s="59">
        <v>42036</v>
      </c>
      <c r="B62" s="74">
        <f t="shared" si="17"/>
        <v>160</v>
      </c>
      <c r="C62" s="75"/>
      <c r="D62" s="74"/>
      <c r="E62" s="74"/>
      <c r="F62" s="74">
        <v>95</v>
      </c>
      <c r="G62" s="74"/>
      <c r="H62" s="74"/>
      <c r="I62" s="74"/>
      <c r="J62" s="75"/>
      <c r="K62" s="60"/>
      <c r="L62" s="60"/>
      <c r="M62" s="75"/>
      <c r="N62" s="75"/>
      <c r="O62" s="75"/>
      <c r="P62" s="60"/>
      <c r="Q62" s="75"/>
      <c r="R62" s="75"/>
      <c r="S62" s="60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4">
        <f t="shared" si="9"/>
        <v>255</v>
      </c>
      <c r="AX62" s="66">
        <f t="shared" si="10"/>
        <v>255</v>
      </c>
      <c r="AY62" s="62">
        <f>'[1]D4 Gallon Forecast'!$G150/1000000</f>
        <v>0</v>
      </c>
      <c r="AZ62" s="62">
        <f>'[1]D4 Gallon Forecast'!$G182/1000000</f>
        <v>12.732771</v>
      </c>
      <c r="BA62" s="62">
        <f t="shared" si="3"/>
        <v>13.090382999999999</v>
      </c>
      <c r="BB62" s="62">
        <f>'[1]D4 Gallon Forecast'!$G166/1000000</f>
        <v>0.35761199999999999</v>
      </c>
      <c r="BC62" s="63">
        <f>'[1]D4 Gallon Forecast'!$G342</f>
        <v>0</v>
      </c>
      <c r="BD62" s="64">
        <f>'[1]D4 Gallon Forecast'!$G358/1000000</f>
        <v>0</v>
      </c>
      <c r="BE62" s="64">
        <f t="shared" si="4"/>
        <v>0</v>
      </c>
      <c r="BF62" s="76">
        <f t="shared" si="11"/>
        <v>13.090382999999999</v>
      </c>
      <c r="BG62" s="77">
        <f t="shared" si="16"/>
        <v>0.60442628652751418</v>
      </c>
      <c r="BH62" s="75"/>
      <c r="BI62" s="75">
        <f t="shared" si="13"/>
        <v>63.75</v>
      </c>
      <c r="BJ62" s="75">
        <f t="shared" si="14"/>
        <v>191.25</v>
      </c>
      <c r="BK62" s="75">
        <f>'RD Feedstock Breakdown'!ES53</f>
        <v>116.75208338675078</v>
      </c>
      <c r="BL62" s="78">
        <f t="shared" si="15"/>
        <v>8.9189203544885434</v>
      </c>
      <c r="BM62" s="78">
        <f t="shared" si="12"/>
        <v>8.9189203544885434</v>
      </c>
      <c r="BN62" s="79"/>
      <c r="BO62" s="79"/>
      <c r="BP62" s="69"/>
      <c r="BQ62" s="66">
        <f>'[1]Monthly D4 Gallon Data'!$B63/1000000</f>
        <v>62.835450999999999</v>
      </c>
      <c r="BR62" s="66">
        <f>'[1]Monthly D6 Gallon Data'!$B65/1000000</f>
        <v>1.1859E-2</v>
      </c>
      <c r="BS62" s="66">
        <f t="shared" si="6"/>
        <v>62.84731</v>
      </c>
      <c r="BT62" s="60"/>
      <c r="BU62" s="67">
        <f>'[2]US EIA'!$P199</f>
        <v>541</v>
      </c>
      <c r="BV62" s="68">
        <f t="shared" si="7"/>
        <v>8.6081647726847823</v>
      </c>
      <c r="BW62" s="60"/>
      <c r="BX62" s="69">
        <f t="shared" si="0"/>
        <v>0.17238320632152995</v>
      </c>
      <c r="BY62" s="69">
        <f t="shared" si="1"/>
        <v>0.82761679367847008</v>
      </c>
      <c r="BZ62" s="60"/>
      <c r="CA62" s="60"/>
      <c r="CB62" s="70">
        <f>'[1]Monthly D4 Gallon Data'!$AG63/1000000</f>
        <v>0</v>
      </c>
      <c r="CC62" s="70">
        <f>'[1]Monthly D6 Gallon Data'!$O65/1000000</f>
        <v>0</v>
      </c>
      <c r="CD62" s="70">
        <f t="shared" si="8"/>
        <v>0</v>
      </c>
      <c r="CE62" s="60"/>
      <c r="CF62" s="71">
        <f>'RD Feedstock Breakdown'!GQ53</f>
        <v>0</v>
      </c>
      <c r="CG62" s="72" t="e">
        <f t="shared" si="2"/>
        <v>#DIV/0!</v>
      </c>
      <c r="CH62" s="73">
        <f>'[2]US EIA'!$R199+AW62</f>
        <v>2410</v>
      </c>
    </row>
    <row r="63" spans="1:86" ht="13.5" x14ac:dyDescent="0.25">
      <c r="A63" s="59">
        <v>42064</v>
      </c>
      <c r="B63" s="74">
        <f t="shared" si="17"/>
        <v>160</v>
      </c>
      <c r="C63" s="75"/>
      <c r="D63" s="74"/>
      <c r="E63" s="74"/>
      <c r="F63" s="74">
        <v>95</v>
      </c>
      <c r="G63" s="74"/>
      <c r="H63" s="74"/>
      <c r="I63" s="74"/>
      <c r="J63" s="75"/>
      <c r="K63" s="60"/>
      <c r="L63" s="60"/>
      <c r="M63" s="75"/>
      <c r="N63" s="75"/>
      <c r="O63" s="75"/>
      <c r="P63" s="60"/>
      <c r="Q63" s="75"/>
      <c r="R63" s="75"/>
      <c r="S63" s="60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4">
        <f t="shared" si="9"/>
        <v>255</v>
      </c>
      <c r="AX63" s="66">
        <f t="shared" si="10"/>
        <v>255</v>
      </c>
      <c r="AY63" s="62">
        <f>'[1]D4 Gallon Forecast'!$G151/1000000</f>
        <v>0</v>
      </c>
      <c r="AZ63" s="62">
        <f>'[1]D4 Gallon Forecast'!$G183/1000000</f>
        <v>14.824699000000001</v>
      </c>
      <c r="BA63" s="62">
        <f t="shared" si="3"/>
        <v>15.408481</v>
      </c>
      <c r="BB63" s="62">
        <f>'[1]D4 Gallon Forecast'!$G167/1000000</f>
        <v>0.58378200000000002</v>
      </c>
      <c r="BC63" s="63">
        <f>'[1]D4 Gallon Forecast'!$G343</f>
        <v>0</v>
      </c>
      <c r="BD63" s="64">
        <f>'[1]D4 Gallon Forecast'!$G359/1000000</f>
        <v>0</v>
      </c>
      <c r="BE63" s="64">
        <f t="shared" si="4"/>
        <v>0</v>
      </c>
      <c r="BF63" s="76">
        <f t="shared" si="11"/>
        <v>15.408481</v>
      </c>
      <c r="BG63" s="77">
        <f t="shared" si="16"/>
        <v>0.7876884544817927</v>
      </c>
      <c r="BH63" s="75"/>
      <c r="BI63" s="75">
        <f t="shared" si="13"/>
        <v>63.75</v>
      </c>
      <c r="BJ63" s="75">
        <f t="shared" si="14"/>
        <v>191.25</v>
      </c>
      <c r="BK63" s="75">
        <f>'RD Feedstock Breakdown'!ES54</f>
        <v>137.42701482264999</v>
      </c>
      <c r="BL63" s="78">
        <f t="shared" si="15"/>
        <v>8.9189203544885434</v>
      </c>
      <c r="BM63" s="78">
        <f t="shared" si="12"/>
        <v>8.9189203544885434</v>
      </c>
      <c r="BN63" s="79"/>
      <c r="BO63" s="79"/>
      <c r="BP63" s="69"/>
      <c r="BQ63" s="66">
        <f>'[1]Monthly D4 Gallon Data'!$B64/1000000</f>
        <v>92.371028999999993</v>
      </c>
      <c r="BR63" s="66">
        <f>'[1]Monthly D6 Gallon Data'!$B66/1000000</f>
        <v>0</v>
      </c>
      <c r="BS63" s="66">
        <f t="shared" si="6"/>
        <v>92.371028999999993</v>
      </c>
      <c r="BT63" s="60"/>
      <c r="BU63" s="67">
        <f>'[2]US EIA'!$P200</f>
        <v>735.6</v>
      </c>
      <c r="BV63" s="68">
        <f t="shared" si="7"/>
        <v>7.9635358397923666</v>
      </c>
      <c r="BW63" s="60"/>
      <c r="BX63" s="69">
        <f t="shared" si="0"/>
        <v>0.14296298990411074</v>
      </c>
      <c r="BY63" s="69">
        <f t="shared" si="1"/>
        <v>0.85703701009588928</v>
      </c>
      <c r="BZ63" s="60"/>
      <c r="CA63" s="60"/>
      <c r="CB63" s="70">
        <f>'[1]Monthly D4 Gallon Data'!$AG64/1000000</f>
        <v>0</v>
      </c>
      <c r="CC63" s="70">
        <f>'[1]Monthly D6 Gallon Data'!$O66/1000000</f>
        <v>0</v>
      </c>
      <c r="CD63" s="70">
        <f t="shared" si="8"/>
        <v>0</v>
      </c>
      <c r="CE63" s="60"/>
      <c r="CF63" s="71">
        <f>'RD Feedstock Breakdown'!GQ54</f>
        <v>0</v>
      </c>
      <c r="CG63" s="72" t="e">
        <f t="shared" si="2"/>
        <v>#DIV/0!</v>
      </c>
      <c r="CH63" s="73">
        <f>'[2]US EIA'!$R200+AW63</f>
        <v>2415</v>
      </c>
    </row>
    <row r="64" spans="1:86" ht="13.5" x14ac:dyDescent="0.25">
      <c r="A64" s="59">
        <v>42095</v>
      </c>
      <c r="B64" s="74">
        <f t="shared" si="17"/>
        <v>160</v>
      </c>
      <c r="C64" s="75"/>
      <c r="D64" s="74"/>
      <c r="E64" s="74"/>
      <c r="F64" s="74">
        <v>95</v>
      </c>
      <c r="G64" s="74"/>
      <c r="H64" s="74"/>
      <c r="I64" s="74"/>
      <c r="J64" s="75"/>
      <c r="K64" s="60"/>
      <c r="L64" s="60"/>
      <c r="M64" s="75"/>
      <c r="N64" s="75"/>
      <c r="O64" s="75"/>
      <c r="P64" s="60"/>
      <c r="Q64" s="75"/>
      <c r="R64" s="75"/>
      <c r="S64" s="60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4">
        <f t="shared" si="9"/>
        <v>255</v>
      </c>
      <c r="AX64" s="66">
        <f t="shared" si="10"/>
        <v>255</v>
      </c>
      <c r="AY64" s="62">
        <f>'[1]D4 Gallon Forecast'!$G152/1000000</f>
        <v>0</v>
      </c>
      <c r="AZ64" s="62">
        <f>'[1]D4 Gallon Forecast'!$G184/1000000</f>
        <v>14.552778</v>
      </c>
      <c r="BA64" s="62">
        <f t="shared" si="3"/>
        <v>15.174583999999999</v>
      </c>
      <c r="BB64" s="62">
        <f>'[1]D4 Gallon Forecast'!$G168/1000000</f>
        <v>0.62180599999999997</v>
      </c>
      <c r="BC64" s="63">
        <f>'[1]D4 Gallon Forecast'!$G344</f>
        <v>0</v>
      </c>
      <c r="BD64" s="64">
        <f>'[1]D4 Gallon Forecast'!$G360/1000000</f>
        <v>0</v>
      </c>
      <c r="BE64" s="64">
        <f t="shared" si="4"/>
        <v>0</v>
      </c>
      <c r="BF64" s="76">
        <f t="shared" si="11"/>
        <v>15.174583999999999</v>
      </c>
      <c r="BG64" s="77">
        <f t="shared" si="16"/>
        <v>0.70066074130297284</v>
      </c>
      <c r="BH64" s="75"/>
      <c r="BI64" s="75">
        <f t="shared" si="13"/>
        <v>63.75</v>
      </c>
      <c r="BJ64" s="75">
        <f t="shared" si="14"/>
        <v>191.25</v>
      </c>
      <c r="BK64" s="75">
        <f>'RD Feedstock Breakdown'!ES55</f>
        <v>135.34090610849617</v>
      </c>
      <c r="BL64" s="78">
        <f t="shared" si="15"/>
        <v>8.9189203544885434</v>
      </c>
      <c r="BM64" s="78">
        <f t="shared" si="12"/>
        <v>8.9189203544885434</v>
      </c>
      <c r="BN64" s="79"/>
      <c r="BO64" s="79"/>
      <c r="BP64" s="69"/>
      <c r="BQ64" s="66">
        <f>'[1]Monthly D4 Gallon Data'!$B65/1000000</f>
        <v>106.49271</v>
      </c>
      <c r="BR64" s="66">
        <f>'[1]Monthly D6 Gallon Data'!$B67/1000000</f>
        <v>1.1381E-2</v>
      </c>
      <c r="BS64" s="66">
        <f t="shared" si="6"/>
        <v>106.504091</v>
      </c>
      <c r="BT64" s="60"/>
      <c r="BU64" s="67">
        <f>'[2]US EIA'!$P201</f>
        <v>803.39</v>
      </c>
      <c r="BV64" s="68">
        <f t="shared" si="7"/>
        <v>7.543278314069644</v>
      </c>
      <c r="BW64" s="60"/>
      <c r="BX64" s="69">
        <f t="shared" si="0"/>
        <v>0.12471029948345509</v>
      </c>
      <c r="BY64" s="69">
        <f t="shared" si="1"/>
        <v>0.87528970051654498</v>
      </c>
      <c r="BZ64" s="60"/>
      <c r="CA64" s="60"/>
      <c r="CB64" s="70">
        <f>'[1]Monthly D4 Gallon Data'!$AG65/1000000</f>
        <v>0</v>
      </c>
      <c r="CC64" s="70">
        <f>'[1]Monthly D6 Gallon Data'!$O67/1000000</f>
        <v>0</v>
      </c>
      <c r="CD64" s="70">
        <f t="shared" si="8"/>
        <v>0</v>
      </c>
      <c r="CE64" s="60"/>
      <c r="CF64" s="71">
        <f>'RD Feedstock Breakdown'!GQ55</f>
        <v>0</v>
      </c>
      <c r="CG64" s="72" t="e">
        <f t="shared" si="2"/>
        <v>#DIV/0!</v>
      </c>
      <c r="CH64" s="73">
        <f>'[2]US EIA'!$R201+AW64</f>
        <v>2464</v>
      </c>
    </row>
    <row r="65" spans="1:86" ht="13.5" x14ac:dyDescent="0.25">
      <c r="A65" s="59">
        <v>42125</v>
      </c>
      <c r="B65" s="74">
        <f t="shared" si="17"/>
        <v>160</v>
      </c>
      <c r="C65" s="75"/>
      <c r="D65" s="74"/>
      <c r="E65" s="74"/>
      <c r="F65" s="74">
        <v>95</v>
      </c>
      <c r="G65" s="74"/>
      <c r="H65" s="74"/>
      <c r="I65" s="74"/>
      <c r="J65" s="75"/>
      <c r="K65" s="60"/>
      <c r="L65" s="60"/>
      <c r="M65" s="75"/>
      <c r="N65" s="75"/>
      <c r="O65" s="75"/>
      <c r="P65" s="60"/>
      <c r="Q65" s="75"/>
      <c r="R65" s="75"/>
      <c r="S65" s="60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4">
        <f t="shared" si="9"/>
        <v>255</v>
      </c>
      <c r="AX65" s="66">
        <f t="shared" si="10"/>
        <v>255</v>
      </c>
      <c r="AY65" s="62">
        <f>'[1]D4 Gallon Forecast'!$G153/1000000</f>
        <v>0</v>
      </c>
      <c r="AZ65" s="62">
        <f>'[1]D4 Gallon Forecast'!$G185/1000000</f>
        <v>14.822471999999999</v>
      </c>
      <c r="BA65" s="62">
        <f t="shared" si="3"/>
        <v>15.400093</v>
      </c>
      <c r="BB65" s="62">
        <f>'[1]D4 Gallon Forecast'!$G169/1000000</f>
        <v>0.57762100000000005</v>
      </c>
      <c r="BC65" s="63">
        <f>'[1]D4 Gallon Forecast'!$G345</f>
        <v>0</v>
      </c>
      <c r="BD65" s="64">
        <f>'[1]D4 Gallon Forecast'!$G361/1000000</f>
        <v>0</v>
      </c>
      <c r="BE65" s="64">
        <f t="shared" si="4"/>
        <v>0</v>
      </c>
      <c r="BF65" s="76">
        <f t="shared" si="11"/>
        <v>15.400093</v>
      </c>
      <c r="BG65" s="77">
        <f t="shared" si="16"/>
        <v>0.73477567908496733</v>
      </c>
      <c r="BH65" s="75"/>
      <c r="BI65" s="75">
        <f t="shared" si="13"/>
        <v>63.75</v>
      </c>
      <c r="BJ65" s="75">
        <f t="shared" si="14"/>
        <v>191.25</v>
      </c>
      <c r="BK65" s="75">
        <f>'RD Feedstock Breakdown'!ES56</f>
        <v>137.3522029187165</v>
      </c>
      <c r="BL65" s="78">
        <f t="shared" si="15"/>
        <v>8.9189203544885416</v>
      </c>
      <c r="BM65" s="78">
        <f t="shared" si="12"/>
        <v>8.9189203544885416</v>
      </c>
      <c r="BN65" s="79"/>
      <c r="BO65" s="79"/>
      <c r="BP65" s="69"/>
      <c r="BQ65" s="66">
        <f>'[1]Monthly D4 Gallon Data'!$B66/1000000</f>
        <v>121.530326</v>
      </c>
      <c r="BR65" s="66">
        <f>'[1]Monthly D6 Gallon Data'!$B68/1000000</f>
        <v>0</v>
      </c>
      <c r="BS65" s="66">
        <f t="shared" si="6"/>
        <v>121.530326</v>
      </c>
      <c r="BT65" s="60"/>
      <c r="BU65" s="67">
        <f>'[2]US EIA'!$P202</f>
        <v>864</v>
      </c>
      <c r="BV65" s="68">
        <f t="shared" si="7"/>
        <v>7.1093366440899697</v>
      </c>
      <c r="BW65" s="60"/>
      <c r="BX65" s="69">
        <f t="shared" si="0"/>
        <v>0.1124665586541439</v>
      </c>
      <c r="BY65" s="69">
        <f t="shared" si="1"/>
        <v>0.8875334413458561</v>
      </c>
      <c r="BZ65" s="60"/>
      <c r="CA65" s="60"/>
      <c r="CB65" s="70">
        <f>'[1]Monthly D4 Gallon Data'!$AG66/1000000</f>
        <v>0</v>
      </c>
      <c r="CC65" s="70">
        <f>'[1]Monthly D6 Gallon Data'!$O68/1000000</f>
        <v>0</v>
      </c>
      <c r="CD65" s="70">
        <f t="shared" si="8"/>
        <v>0</v>
      </c>
      <c r="CE65" s="60"/>
      <c r="CF65" s="71">
        <f>'RD Feedstock Breakdown'!GQ56</f>
        <v>0</v>
      </c>
      <c r="CG65" s="72" t="e">
        <f t="shared" si="2"/>
        <v>#DIV/0!</v>
      </c>
      <c r="CH65" s="73">
        <f>'[2]US EIA'!$R202+AW65</f>
        <v>2423</v>
      </c>
    </row>
    <row r="66" spans="1:86" ht="13.5" x14ac:dyDescent="0.25">
      <c r="A66" s="59">
        <v>42156</v>
      </c>
      <c r="B66" s="74">
        <f t="shared" si="17"/>
        <v>160</v>
      </c>
      <c r="C66" s="75"/>
      <c r="D66" s="74"/>
      <c r="E66" s="74"/>
      <c r="F66" s="74">
        <v>95</v>
      </c>
      <c r="G66" s="74"/>
      <c r="H66" s="74"/>
      <c r="I66" s="74"/>
      <c r="J66" s="75"/>
      <c r="K66" s="60"/>
      <c r="L66" s="60"/>
      <c r="M66" s="75"/>
      <c r="N66" s="75"/>
      <c r="O66" s="75"/>
      <c r="P66" s="60"/>
      <c r="Q66" s="75"/>
      <c r="R66" s="75"/>
      <c r="S66" s="60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4">
        <f t="shared" si="9"/>
        <v>255</v>
      </c>
      <c r="AX66" s="66">
        <f t="shared" si="10"/>
        <v>255</v>
      </c>
      <c r="AY66" s="62">
        <f>'[1]D4 Gallon Forecast'!$G154/1000000</f>
        <v>0</v>
      </c>
      <c r="AZ66" s="62">
        <f>'[1]D4 Gallon Forecast'!$G186/1000000</f>
        <v>13.375766</v>
      </c>
      <c r="BA66" s="62">
        <f t="shared" si="3"/>
        <v>13.875936000000001</v>
      </c>
      <c r="BB66" s="62">
        <f>'[1]D4 Gallon Forecast'!$G170/1000000</f>
        <v>0.50017</v>
      </c>
      <c r="BC66" s="63">
        <f>'[1]D4 Gallon Forecast'!$G346</f>
        <v>0</v>
      </c>
      <c r="BD66" s="64">
        <f>'[1]D4 Gallon Forecast'!$G362/1000000</f>
        <v>0</v>
      </c>
      <c r="BE66" s="64">
        <f t="shared" si="4"/>
        <v>0</v>
      </c>
      <c r="BF66" s="76">
        <f t="shared" si="11"/>
        <v>13.875936000000001</v>
      </c>
      <c r="BG66" s="77">
        <f t="shared" si="16"/>
        <v>0.64069786717267552</v>
      </c>
      <c r="BH66" s="75"/>
      <c r="BI66" s="75">
        <f t="shared" si="13"/>
        <v>63.75</v>
      </c>
      <c r="BJ66" s="75">
        <f t="shared" si="14"/>
        <v>191.25</v>
      </c>
      <c r="BK66" s="75">
        <f>'RD Feedstock Breakdown'!ES57</f>
        <v>123.75836802798032</v>
      </c>
      <c r="BL66" s="78">
        <f t="shared" si="15"/>
        <v>8.9189203544885416</v>
      </c>
      <c r="BM66" s="78">
        <f t="shared" si="12"/>
        <v>8.9189203544885416</v>
      </c>
      <c r="BN66" s="79"/>
      <c r="BO66" s="79"/>
      <c r="BP66" s="69"/>
      <c r="BQ66" s="66">
        <f>'[1]Monthly D4 Gallon Data'!$B67/1000000</f>
        <v>130.91955100000001</v>
      </c>
      <c r="BR66" s="66">
        <f>'[1]Monthly D6 Gallon Data'!$B69/1000000</f>
        <v>0</v>
      </c>
      <c r="BS66" s="66">
        <f t="shared" si="6"/>
        <v>130.91955100000001</v>
      </c>
      <c r="BT66" s="60"/>
      <c r="BU66" s="67">
        <f>'[2]US EIA'!$P203</f>
        <v>910.6</v>
      </c>
      <c r="BV66" s="68">
        <f t="shared" si="7"/>
        <v>6.9554164602962922</v>
      </c>
      <c r="BW66" s="60"/>
      <c r="BX66" s="69">
        <f t="shared" si="0"/>
        <v>9.5831274078314335E-2</v>
      </c>
      <c r="BY66" s="69">
        <f t="shared" si="1"/>
        <v>0.90416872592168573</v>
      </c>
      <c r="BZ66" s="60"/>
      <c r="CA66" s="60"/>
      <c r="CB66" s="70">
        <f>'[1]Monthly D4 Gallon Data'!$AG67/1000000</f>
        <v>0</v>
      </c>
      <c r="CC66" s="70">
        <f>'[1]Monthly D6 Gallon Data'!$O69/1000000</f>
        <v>0</v>
      </c>
      <c r="CD66" s="70">
        <f t="shared" si="8"/>
        <v>0</v>
      </c>
      <c r="CE66" s="60"/>
      <c r="CF66" s="71">
        <f>'RD Feedstock Breakdown'!GQ57</f>
        <v>0</v>
      </c>
      <c r="CG66" s="72" t="e">
        <f t="shared" si="2"/>
        <v>#DIV/0!</v>
      </c>
      <c r="CH66" s="73">
        <f>'[2]US EIA'!$R203+AW66</f>
        <v>2406</v>
      </c>
    </row>
    <row r="67" spans="1:86" ht="13.5" x14ac:dyDescent="0.25">
      <c r="A67" s="59">
        <v>42186</v>
      </c>
      <c r="B67" s="74">
        <f t="shared" si="17"/>
        <v>160</v>
      </c>
      <c r="C67" s="75"/>
      <c r="D67" s="74"/>
      <c r="E67" s="74"/>
      <c r="F67" s="74">
        <v>95</v>
      </c>
      <c r="G67" s="74"/>
      <c r="H67" s="74"/>
      <c r="I67" s="74"/>
      <c r="J67" s="75"/>
      <c r="K67" s="60"/>
      <c r="L67" s="60"/>
      <c r="M67" s="75"/>
      <c r="N67" s="75"/>
      <c r="O67" s="75"/>
      <c r="P67" s="60"/>
      <c r="Q67" s="75"/>
      <c r="R67" s="75"/>
      <c r="S67" s="60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4">
        <f t="shared" si="9"/>
        <v>255</v>
      </c>
      <c r="AX67" s="66">
        <f t="shared" si="10"/>
        <v>255</v>
      </c>
      <c r="AY67" s="62">
        <f>'[1]D4 Gallon Forecast'!$G155/1000000</f>
        <v>0</v>
      </c>
      <c r="AZ67" s="62">
        <f>'[1]D4 Gallon Forecast'!$G187/1000000</f>
        <v>14.570194000000001</v>
      </c>
      <c r="BA67" s="62">
        <f t="shared" si="3"/>
        <v>15.045067000000001</v>
      </c>
      <c r="BB67" s="62">
        <f>'[1]D4 Gallon Forecast'!$G171/1000000</f>
        <v>0.47487299999999999</v>
      </c>
      <c r="BC67" s="63">
        <f>'[1]D4 Gallon Forecast'!$G347</f>
        <v>0</v>
      </c>
      <c r="BD67" s="64">
        <f>'[1]D4 Gallon Forecast'!$G363/1000000</f>
        <v>0</v>
      </c>
      <c r="BE67" s="64">
        <f t="shared" si="4"/>
        <v>0</v>
      </c>
      <c r="BF67" s="76">
        <f t="shared" si="11"/>
        <v>15.045067000000001</v>
      </c>
      <c r="BG67" s="77">
        <f t="shared" si="16"/>
        <v>0.71783653006535952</v>
      </c>
      <c r="BH67" s="75"/>
      <c r="BI67" s="75">
        <f t="shared" si="13"/>
        <v>63.75</v>
      </c>
      <c r="BJ67" s="75">
        <f t="shared" si="14"/>
        <v>191.25</v>
      </c>
      <c r="BK67" s="75">
        <f>'RD Feedstock Breakdown'!ES58</f>
        <v>134.18575430094387</v>
      </c>
      <c r="BL67" s="78">
        <f t="shared" si="15"/>
        <v>8.9189203544885416</v>
      </c>
      <c r="BM67" s="78">
        <f t="shared" si="12"/>
        <v>8.9189203544885416</v>
      </c>
      <c r="BN67" s="79"/>
      <c r="BO67" s="79"/>
      <c r="BP67" s="69"/>
      <c r="BQ67" s="66">
        <f>'[1]Monthly D4 Gallon Data'!$B68/1000000</f>
        <v>129.17303899999999</v>
      </c>
      <c r="BR67" s="66">
        <f>'[1]Monthly D6 Gallon Data'!$B70/1000000</f>
        <v>0</v>
      </c>
      <c r="BS67" s="66">
        <f t="shared" si="6"/>
        <v>129.17303899999999</v>
      </c>
      <c r="BT67" s="60"/>
      <c r="BU67" s="67">
        <f>'[2]US EIA'!$P204</f>
        <v>893.4</v>
      </c>
      <c r="BV67" s="68">
        <f t="shared" si="7"/>
        <v>6.9163039510125639</v>
      </c>
      <c r="BW67" s="60"/>
      <c r="BX67" s="69">
        <f t="shared" si="0"/>
        <v>0.10432162380498884</v>
      </c>
      <c r="BY67" s="69">
        <f t="shared" si="1"/>
        <v>0.89567837619501123</v>
      </c>
      <c r="BZ67" s="60"/>
      <c r="CA67" s="60"/>
      <c r="CB67" s="70">
        <f>'[1]Monthly D4 Gallon Data'!$AG68/1000000</f>
        <v>0</v>
      </c>
      <c r="CC67" s="70">
        <f>'[1]Monthly D6 Gallon Data'!$O70/1000000</f>
        <v>0</v>
      </c>
      <c r="CD67" s="70">
        <f t="shared" si="8"/>
        <v>0</v>
      </c>
      <c r="CE67" s="60"/>
      <c r="CF67" s="71">
        <f>'RD Feedstock Breakdown'!GQ58</f>
        <v>0</v>
      </c>
      <c r="CG67" s="72" t="e">
        <f t="shared" si="2"/>
        <v>#DIV/0!</v>
      </c>
      <c r="CH67" s="73">
        <f>'[2]US EIA'!$R204+AW67</f>
        <v>2386</v>
      </c>
    </row>
    <row r="68" spans="1:86" ht="13.5" x14ac:dyDescent="0.25">
      <c r="A68" s="59">
        <v>42217</v>
      </c>
      <c r="B68" s="74">
        <f t="shared" si="17"/>
        <v>160</v>
      </c>
      <c r="C68" s="75"/>
      <c r="D68" s="74"/>
      <c r="E68" s="74"/>
      <c r="F68" s="74">
        <v>95</v>
      </c>
      <c r="G68" s="74"/>
      <c r="H68" s="74"/>
      <c r="I68" s="74"/>
      <c r="J68" s="75"/>
      <c r="K68" s="60"/>
      <c r="L68" s="60"/>
      <c r="M68" s="75"/>
      <c r="N68" s="75"/>
      <c r="O68" s="75"/>
      <c r="P68" s="60"/>
      <c r="Q68" s="75"/>
      <c r="R68" s="75"/>
      <c r="S68" s="60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4">
        <f t="shared" si="9"/>
        <v>255</v>
      </c>
      <c r="AX68" s="66">
        <f t="shared" si="10"/>
        <v>255</v>
      </c>
      <c r="AY68" s="62">
        <f>'[1]D4 Gallon Forecast'!$G156/1000000</f>
        <v>0</v>
      </c>
      <c r="AZ68" s="62">
        <f>'[1]D4 Gallon Forecast'!$G188/1000000</f>
        <v>14.322146999999999</v>
      </c>
      <c r="BA68" s="62">
        <f t="shared" si="3"/>
        <v>14.655372</v>
      </c>
      <c r="BB68" s="62">
        <f>'[1]D4 Gallon Forecast'!$G172/1000000</f>
        <v>0.33322499999999999</v>
      </c>
      <c r="BC68" s="63">
        <f>'[1]D4 Gallon Forecast'!$G348</f>
        <v>0</v>
      </c>
      <c r="BD68" s="64">
        <f>'[1]D4 Gallon Forecast'!$G364/1000000</f>
        <v>0</v>
      </c>
      <c r="BE68" s="64">
        <f t="shared" si="4"/>
        <v>0</v>
      </c>
      <c r="BF68" s="76">
        <f t="shared" si="11"/>
        <v>14.655372</v>
      </c>
      <c r="BG68" s="77">
        <f t="shared" si="16"/>
        <v>0.67668700569259965</v>
      </c>
      <c r="BH68" s="75"/>
      <c r="BI68" s="75">
        <f t="shared" si="13"/>
        <v>63.75</v>
      </c>
      <c r="BJ68" s="75">
        <f t="shared" si="14"/>
        <v>191.25</v>
      </c>
      <c r="BK68" s="75">
        <f>'RD Feedstock Breakdown'!ES59</f>
        <v>130.71009563340147</v>
      </c>
      <c r="BL68" s="78">
        <f t="shared" si="15"/>
        <v>8.9189203544885434</v>
      </c>
      <c r="BM68" s="78">
        <f t="shared" si="12"/>
        <v>8.9189203544885434</v>
      </c>
      <c r="BN68" s="79"/>
      <c r="BO68" s="79"/>
      <c r="BP68" s="69"/>
      <c r="BQ68" s="66">
        <f>'[1]Monthly D4 Gallon Data'!$B69/1000000</f>
        <v>125.600893</v>
      </c>
      <c r="BR68" s="66">
        <f>'[1]Monthly D6 Gallon Data'!$B71/1000000</f>
        <v>9.7739999999999997E-3</v>
      </c>
      <c r="BS68" s="66">
        <f t="shared" si="6"/>
        <v>125.61066699999999</v>
      </c>
      <c r="BT68" s="60"/>
      <c r="BU68" s="67">
        <f>'[2]US EIA'!$P205</f>
        <v>908.83</v>
      </c>
      <c r="BV68" s="68">
        <f t="shared" si="7"/>
        <v>7.2352931618458811</v>
      </c>
      <c r="BW68" s="60"/>
      <c r="BX68" s="69">
        <f t="shared" si="0"/>
        <v>0.10448268236903732</v>
      </c>
      <c r="BY68" s="69">
        <f t="shared" si="1"/>
        <v>0.89551731763096276</v>
      </c>
      <c r="BZ68" s="60"/>
      <c r="CA68" s="60"/>
      <c r="CB68" s="70">
        <f>'[1]Monthly D4 Gallon Data'!$AG69/1000000</f>
        <v>0</v>
      </c>
      <c r="CC68" s="70">
        <f>'[1]Monthly D6 Gallon Data'!$O71/1000000</f>
        <v>0</v>
      </c>
      <c r="CD68" s="70">
        <f t="shared" si="8"/>
        <v>0</v>
      </c>
      <c r="CE68" s="60"/>
      <c r="CF68" s="71">
        <f>'RD Feedstock Breakdown'!GQ59</f>
        <v>0</v>
      </c>
      <c r="CG68" s="72" t="e">
        <f t="shared" si="2"/>
        <v>#DIV/0!</v>
      </c>
      <c r="CH68" s="73">
        <f>'[2]US EIA'!$R205+AW68</f>
        <v>2389</v>
      </c>
    </row>
    <row r="69" spans="1:86" ht="13.5" x14ac:dyDescent="0.25">
      <c r="A69" s="59">
        <v>42248</v>
      </c>
      <c r="B69" s="74">
        <f t="shared" si="17"/>
        <v>160</v>
      </c>
      <c r="C69" s="75"/>
      <c r="D69" s="74"/>
      <c r="E69" s="74"/>
      <c r="F69" s="74">
        <v>95</v>
      </c>
      <c r="G69" s="74"/>
      <c r="H69" s="74"/>
      <c r="I69" s="74"/>
      <c r="J69" s="75"/>
      <c r="K69" s="60"/>
      <c r="L69" s="60"/>
      <c r="M69" s="75"/>
      <c r="N69" s="75"/>
      <c r="O69" s="75"/>
      <c r="P69" s="60"/>
      <c r="Q69" s="75"/>
      <c r="R69" s="75"/>
      <c r="S69" s="60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4">
        <f t="shared" si="9"/>
        <v>255</v>
      </c>
      <c r="AX69" s="66">
        <f t="shared" si="10"/>
        <v>255</v>
      </c>
      <c r="AY69" s="62">
        <f>'[1]D4 Gallon Forecast'!$G157/1000000</f>
        <v>0</v>
      </c>
      <c r="AZ69" s="62">
        <f>'[1]D4 Gallon Forecast'!$G189/1000000</f>
        <v>13.139388</v>
      </c>
      <c r="BA69" s="62">
        <f t="shared" si="3"/>
        <v>13.475904</v>
      </c>
      <c r="BB69" s="62">
        <f>'[1]D4 Gallon Forecast'!$G173/1000000</f>
        <v>0.33651599999999998</v>
      </c>
      <c r="BC69" s="63">
        <f>'[1]D4 Gallon Forecast'!$G349</f>
        <v>0</v>
      </c>
      <c r="BD69" s="64">
        <f>'[1]D4 Gallon Forecast'!$G365/1000000</f>
        <v>0</v>
      </c>
      <c r="BE69" s="64">
        <f t="shared" si="4"/>
        <v>0</v>
      </c>
      <c r="BF69" s="76">
        <f t="shared" si="11"/>
        <v>13.475904</v>
      </c>
      <c r="BG69" s="77">
        <f t="shared" si="16"/>
        <v>0.62222706641366221</v>
      </c>
      <c r="BH69" s="75"/>
      <c r="BI69" s="75">
        <f t="shared" si="13"/>
        <v>63.75</v>
      </c>
      <c r="BJ69" s="75">
        <f t="shared" si="14"/>
        <v>191.25</v>
      </c>
      <c r="BK69" s="75">
        <f>'RD Feedstock Breakdown'!ES60</f>
        <v>120.19051448073355</v>
      </c>
      <c r="BL69" s="78">
        <f t="shared" si="15"/>
        <v>8.9189203544885416</v>
      </c>
      <c r="BM69" s="78">
        <f t="shared" si="12"/>
        <v>8.9189203544885416</v>
      </c>
      <c r="BN69" s="79"/>
      <c r="BO69" s="79"/>
      <c r="BP69" s="69"/>
      <c r="BQ69" s="66">
        <f>'[1]Monthly D4 Gallon Data'!$B70/1000000</f>
        <v>117.82915800000001</v>
      </c>
      <c r="BR69" s="66">
        <f>'[1]Monthly D6 Gallon Data'!$B72/1000000</f>
        <v>0</v>
      </c>
      <c r="BS69" s="66">
        <f t="shared" si="6"/>
        <v>117.82915800000001</v>
      </c>
      <c r="BT69" s="60"/>
      <c r="BU69" s="67">
        <f>'[2]US EIA'!$P206</f>
        <v>793</v>
      </c>
      <c r="BV69" s="68">
        <f t="shared" si="7"/>
        <v>6.7300828883119062</v>
      </c>
      <c r="BW69" s="60"/>
      <c r="BX69" s="69">
        <f t="shared" si="0"/>
        <v>0.10263049873888333</v>
      </c>
      <c r="BY69" s="69">
        <f t="shared" si="1"/>
        <v>0.89736950126111659</v>
      </c>
      <c r="BZ69" s="60"/>
      <c r="CA69" s="60"/>
      <c r="CB69" s="70">
        <f>'[1]Monthly D4 Gallon Data'!$AG70/1000000</f>
        <v>0</v>
      </c>
      <c r="CC69" s="70">
        <f>'[1]Monthly D6 Gallon Data'!$O72/1000000</f>
        <v>0</v>
      </c>
      <c r="CD69" s="70">
        <f t="shared" si="8"/>
        <v>0</v>
      </c>
      <c r="CE69" s="60"/>
      <c r="CF69" s="71">
        <f>'RD Feedstock Breakdown'!GQ60</f>
        <v>0</v>
      </c>
      <c r="CG69" s="72" t="e">
        <f t="shared" si="2"/>
        <v>#DIV/0!</v>
      </c>
      <c r="CH69" s="73">
        <f>'[2]US EIA'!$R206+AW69</f>
        <v>2409</v>
      </c>
    </row>
    <row r="70" spans="1:86" ht="13.5" x14ac:dyDescent="0.25">
      <c r="A70" s="59">
        <v>42278</v>
      </c>
      <c r="B70" s="74">
        <f t="shared" si="17"/>
        <v>160</v>
      </c>
      <c r="C70" s="75"/>
      <c r="D70" s="74"/>
      <c r="E70" s="74"/>
      <c r="F70" s="74">
        <v>95</v>
      </c>
      <c r="G70" s="74"/>
      <c r="H70" s="74"/>
      <c r="I70" s="74"/>
      <c r="J70" s="75"/>
      <c r="K70" s="60"/>
      <c r="L70" s="60"/>
      <c r="M70" s="75"/>
      <c r="N70" s="75"/>
      <c r="O70" s="75"/>
      <c r="P70" s="60"/>
      <c r="Q70" s="75"/>
      <c r="R70" s="75"/>
      <c r="S70" s="60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4">
        <f t="shared" si="9"/>
        <v>255</v>
      </c>
      <c r="AX70" s="66">
        <f t="shared" si="10"/>
        <v>255</v>
      </c>
      <c r="AY70" s="62">
        <f>'[1]D4 Gallon Forecast'!$G158/1000000</f>
        <v>0</v>
      </c>
      <c r="AZ70" s="62">
        <f>'[1]D4 Gallon Forecast'!$G190/1000000</f>
        <v>12.990321</v>
      </c>
      <c r="BA70" s="62">
        <f t="shared" si="3"/>
        <v>13.037452999999999</v>
      </c>
      <c r="BB70" s="62">
        <f>'[1]D4 Gallon Forecast'!$G174/1000000</f>
        <v>4.7132E-2</v>
      </c>
      <c r="BC70" s="63">
        <f>'[1]D4 Gallon Forecast'!$G350</f>
        <v>0</v>
      </c>
      <c r="BD70" s="64">
        <f>'[1]D4 Gallon Forecast'!$G366/1000000</f>
        <v>0</v>
      </c>
      <c r="BE70" s="64">
        <f t="shared" si="4"/>
        <v>0</v>
      </c>
      <c r="BF70" s="76">
        <f t="shared" si="11"/>
        <v>13.037452999999999</v>
      </c>
      <c r="BG70" s="77">
        <f t="shared" si="16"/>
        <v>0.62204841111111109</v>
      </c>
      <c r="BH70" s="75"/>
      <c r="BI70" s="75">
        <f t="shared" si="13"/>
        <v>63.75</v>
      </c>
      <c r="BJ70" s="75">
        <f t="shared" si="14"/>
        <v>191.25</v>
      </c>
      <c r="BK70" s="75">
        <f>'RD Feedstock Breakdown'!ES61</f>
        <v>116.2800049323877</v>
      </c>
      <c r="BL70" s="78">
        <f t="shared" si="15"/>
        <v>8.9189203544885416</v>
      </c>
      <c r="BM70" s="78">
        <f t="shared" si="12"/>
        <v>8.9189203544885416</v>
      </c>
      <c r="BN70" s="79"/>
      <c r="BO70" s="79"/>
      <c r="BP70" s="69"/>
      <c r="BQ70" s="66">
        <f>'[1]Monthly D4 Gallon Data'!$B71/1000000</f>
        <v>105.01949999999999</v>
      </c>
      <c r="BR70" s="66">
        <f>'[1]Monthly D6 Gallon Data'!$B73/1000000</f>
        <v>1.1416000000000001E-2</v>
      </c>
      <c r="BS70" s="66">
        <f t="shared" si="6"/>
        <v>105.03091599999999</v>
      </c>
      <c r="BT70" s="60"/>
      <c r="BU70" s="67">
        <f>'[2]US EIA'!$P207</f>
        <v>809</v>
      </c>
      <c r="BV70" s="68">
        <f t="shared" si="7"/>
        <v>7.7024939971008166</v>
      </c>
      <c r="BW70" s="60"/>
      <c r="BX70" s="69">
        <f t="shared" si="0"/>
        <v>0.11042291098304238</v>
      </c>
      <c r="BY70" s="69">
        <f t="shared" si="1"/>
        <v>0.88957708901695765</v>
      </c>
      <c r="BZ70" s="60"/>
      <c r="CA70" s="60"/>
      <c r="CB70" s="70">
        <f>'[1]Monthly D4 Gallon Data'!$AG71/1000000</f>
        <v>0</v>
      </c>
      <c r="CC70" s="70">
        <f>'[1]Monthly D6 Gallon Data'!$O73/1000000</f>
        <v>0</v>
      </c>
      <c r="CD70" s="70">
        <f t="shared" si="8"/>
        <v>0</v>
      </c>
      <c r="CE70" s="60"/>
      <c r="CF70" s="71">
        <f>'RD Feedstock Breakdown'!GQ61</f>
        <v>0</v>
      </c>
      <c r="CG70" s="72" t="e">
        <f t="shared" si="2"/>
        <v>#DIV/0!</v>
      </c>
      <c r="CH70" s="73">
        <f>'[2]US EIA'!$R207+AW70</f>
        <v>2421</v>
      </c>
    </row>
    <row r="71" spans="1:86" ht="13.5" x14ac:dyDescent="0.25">
      <c r="A71" s="59">
        <v>42309</v>
      </c>
      <c r="B71" s="74">
        <f t="shared" si="17"/>
        <v>160</v>
      </c>
      <c r="C71" s="75"/>
      <c r="D71" s="74"/>
      <c r="E71" s="74"/>
      <c r="F71" s="74">
        <v>95</v>
      </c>
      <c r="G71" s="74"/>
      <c r="H71" s="74"/>
      <c r="I71" s="74"/>
      <c r="J71" s="75"/>
      <c r="K71" s="60"/>
      <c r="L71" s="60"/>
      <c r="M71" s="75"/>
      <c r="N71" s="75"/>
      <c r="O71" s="75"/>
      <c r="P71" s="60"/>
      <c r="Q71" s="75"/>
      <c r="R71" s="75"/>
      <c r="S71" s="60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4">
        <f t="shared" si="9"/>
        <v>255</v>
      </c>
      <c r="AX71" s="66">
        <f t="shared" si="10"/>
        <v>255</v>
      </c>
      <c r="AY71" s="62">
        <f>'[1]D4 Gallon Forecast'!$G159/1000000</f>
        <v>0</v>
      </c>
      <c r="AZ71" s="62">
        <f>'[1]D4 Gallon Forecast'!$G191/1000000</f>
        <v>12.263324000000001</v>
      </c>
      <c r="BA71" s="62">
        <f t="shared" si="3"/>
        <v>12.344252000000001</v>
      </c>
      <c r="BB71" s="62">
        <f>'[1]D4 Gallon Forecast'!$G175/1000000</f>
        <v>8.0928E-2</v>
      </c>
      <c r="BC71" s="63">
        <f>'[1]D4 Gallon Forecast'!$G351</f>
        <v>0</v>
      </c>
      <c r="BD71" s="64">
        <f>'[1]D4 Gallon Forecast'!$G367/1000000</f>
        <v>0</v>
      </c>
      <c r="BE71" s="64">
        <f t="shared" si="4"/>
        <v>0</v>
      </c>
      <c r="BF71" s="76">
        <f t="shared" si="11"/>
        <v>12.344252000000001</v>
      </c>
      <c r="BG71" s="77">
        <f t="shared" si="16"/>
        <v>0.56997495003162557</v>
      </c>
      <c r="BH71" s="75"/>
      <c r="BI71" s="75">
        <f t="shared" si="13"/>
        <v>63.75</v>
      </c>
      <c r="BJ71" s="75">
        <f t="shared" si="14"/>
        <v>191.25</v>
      </c>
      <c r="BK71" s="75">
        <f>'RD Feedstock Breakdown'!ES62</f>
        <v>110.09740042373591</v>
      </c>
      <c r="BL71" s="78">
        <f t="shared" si="15"/>
        <v>8.9189203544885416</v>
      </c>
      <c r="BM71" s="78">
        <f t="shared" si="12"/>
        <v>8.9189203544885416</v>
      </c>
      <c r="BN71" s="79"/>
      <c r="BO71" s="79"/>
      <c r="BP71" s="69"/>
      <c r="BQ71" s="66">
        <f>'[1]Monthly D4 Gallon Data'!$B72/1000000</f>
        <v>96.476718000000005</v>
      </c>
      <c r="BR71" s="66">
        <f>'[1]Monthly D6 Gallon Data'!$B74/1000000</f>
        <v>0</v>
      </c>
      <c r="BS71" s="66">
        <f t="shared" si="6"/>
        <v>96.476718000000005</v>
      </c>
      <c r="BT71" s="60"/>
      <c r="BU71" s="67">
        <f>'[2]US EIA'!$P208</f>
        <v>803</v>
      </c>
      <c r="BV71" s="68">
        <f t="shared" si="7"/>
        <v>8.3232516263664778</v>
      </c>
      <c r="BW71" s="60"/>
      <c r="BX71" s="69">
        <f t="shared" si="0"/>
        <v>0.11343633492699064</v>
      </c>
      <c r="BY71" s="69">
        <f t="shared" si="1"/>
        <v>0.88656366507300943</v>
      </c>
      <c r="BZ71" s="60"/>
      <c r="CA71" s="60"/>
      <c r="CB71" s="70">
        <f>'[1]Monthly D4 Gallon Data'!$AG72/1000000</f>
        <v>0</v>
      </c>
      <c r="CC71" s="70">
        <f>'[1]Monthly D6 Gallon Data'!$O74/1000000</f>
        <v>0</v>
      </c>
      <c r="CD71" s="70">
        <f t="shared" si="8"/>
        <v>0</v>
      </c>
      <c r="CE71" s="60"/>
      <c r="CF71" s="71">
        <f>'RD Feedstock Breakdown'!GQ62</f>
        <v>0</v>
      </c>
      <c r="CG71" s="72" t="e">
        <f t="shared" si="2"/>
        <v>#DIV/0!</v>
      </c>
      <c r="CH71" s="73">
        <f>'[2]US EIA'!$R208+AW71</f>
        <v>2377</v>
      </c>
    </row>
    <row r="72" spans="1:86" ht="13.5" x14ac:dyDescent="0.25">
      <c r="A72" s="59">
        <v>42339</v>
      </c>
      <c r="B72" s="74">
        <f t="shared" si="17"/>
        <v>160</v>
      </c>
      <c r="C72" s="75"/>
      <c r="D72" s="74"/>
      <c r="E72" s="74"/>
      <c r="F72" s="74">
        <v>95</v>
      </c>
      <c r="G72" s="74"/>
      <c r="H72" s="74"/>
      <c r="I72" s="74"/>
      <c r="J72" s="75"/>
      <c r="K72" s="60"/>
      <c r="L72" s="60"/>
      <c r="M72" s="75"/>
      <c r="N72" s="75"/>
      <c r="O72" s="75"/>
      <c r="P72" s="60"/>
      <c r="Q72" s="75"/>
      <c r="R72" s="75"/>
      <c r="S72" s="60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4">
        <f t="shared" si="9"/>
        <v>255</v>
      </c>
      <c r="AX72" s="66">
        <f t="shared" si="10"/>
        <v>255</v>
      </c>
      <c r="AY72" s="62">
        <f>'[1]D4 Gallon Forecast'!$G160/1000000</f>
        <v>0</v>
      </c>
      <c r="AZ72" s="62">
        <f>'[1]D4 Gallon Forecast'!$G192/1000000</f>
        <v>12.950507</v>
      </c>
      <c r="BA72" s="62">
        <f t="shared" si="3"/>
        <v>13.021687</v>
      </c>
      <c r="BB72" s="62">
        <f>'[1]D4 Gallon Forecast'!$G176/1000000</f>
        <v>7.1179999999999993E-2</v>
      </c>
      <c r="BC72" s="63">
        <f>'[1]D4 Gallon Forecast'!$G352</f>
        <v>0</v>
      </c>
      <c r="BD72" s="64">
        <f>'[1]D4 Gallon Forecast'!$G368/1000000</f>
        <v>0</v>
      </c>
      <c r="BE72" s="64">
        <f t="shared" si="4"/>
        <v>0</v>
      </c>
      <c r="BF72" s="76">
        <f t="shared" si="11"/>
        <v>13.021687</v>
      </c>
      <c r="BG72" s="77">
        <f t="shared" si="16"/>
        <v>0.62129617712418295</v>
      </c>
      <c r="BH72" s="75"/>
      <c r="BI72" s="75">
        <f t="shared" si="13"/>
        <v>63.75</v>
      </c>
      <c r="BJ72" s="75">
        <f t="shared" si="14"/>
        <v>191.25</v>
      </c>
      <c r="BK72" s="75">
        <f>'RD Feedstock Breakdown'!ES63</f>
        <v>116.13938923407885</v>
      </c>
      <c r="BL72" s="78">
        <f t="shared" si="15"/>
        <v>8.9189203544885434</v>
      </c>
      <c r="BM72" s="78">
        <f t="shared" si="12"/>
        <v>8.9189203544885434</v>
      </c>
      <c r="BN72" s="79"/>
      <c r="BO72" s="79"/>
      <c r="BP72" s="69"/>
      <c r="BQ72" s="66">
        <f>'[1]Monthly D4 Gallon Data'!$B73/1000000</f>
        <v>110.100066</v>
      </c>
      <c r="BR72" s="66">
        <f>'[1]Monthly D6 Gallon Data'!$B75/1000000</f>
        <v>0</v>
      </c>
      <c r="BS72" s="66">
        <f t="shared" si="6"/>
        <v>110.100066</v>
      </c>
      <c r="BT72" s="60"/>
      <c r="BU72" s="67">
        <f>'[2]US EIA'!$P209</f>
        <v>818</v>
      </c>
      <c r="BV72" s="68">
        <f t="shared" si="7"/>
        <v>7.4296049922440552</v>
      </c>
      <c r="BW72" s="60"/>
      <c r="BX72" s="69">
        <f t="shared" si="0"/>
        <v>0.10576268354463732</v>
      </c>
      <c r="BY72" s="69">
        <f t="shared" si="1"/>
        <v>0.89423731645536264</v>
      </c>
      <c r="BZ72" s="60"/>
      <c r="CA72" s="60"/>
      <c r="CB72" s="70">
        <f>'[1]Monthly D4 Gallon Data'!$AG73/1000000</f>
        <v>0</v>
      </c>
      <c r="CC72" s="70">
        <f>'[1]Monthly D6 Gallon Data'!$O75/1000000</f>
        <v>0</v>
      </c>
      <c r="CD72" s="70">
        <f t="shared" si="8"/>
        <v>0</v>
      </c>
      <c r="CE72" s="60"/>
      <c r="CF72" s="71">
        <f>'RD Feedstock Breakdown'!GQ63</f>
        <v>0</v>
      </c>
      <c r="CG72" s="72" t="e">
        <f t="shared" si="2"/>
        <v>#DIV/0!</v>
      </c>
      <c r="CH72" s="73">
        <f>'[2]US EIA'!$R209+AW72</f>
        <v>2284</v>
      </c>
    </row>
    <row r="73" spans="1:86" ht="13.5" x14ac:dyDescent="0.25">
      <c r="A73" s="59">
        <v>42370</v>
      </c>
      <c r="B73" s="74">
        <f t="shared" si="17"/>
        <v>160</v>
      </c>
      <c r="C73" s="75"/>
      <c r="D73" s="74">
        <f>1*$D$12</f>
        <v>1</v>
      </c>
      <c r="E73" s="74"/>
      <c r="F73" s="74">
        <v>95</v>
      </c>
      <c r="G73" s="74"/>
      <c r="H73" s="74">
        <v>10</v>
      </c>
      <c r="I73" s="74"/>
      <c r="J73" s="75"/>
      <c r="K73" s="60"/>
      <c r="L73" s="60"/>
      <c r="M73" s="75"/>
      <c r="N73" s="75"/>
      <c r="O73" s="75"/>
      <c r="P73" s="60"/>
      <c r="Q73" s="75"/>
      <c r="R73" s="75"/>
      <c r="S73" s="60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4">
        <f t="shared" si="9"/>
        <v>266</v>
      </c>
      <c r="AX73" s="66">
        <f t="shared" si="10"/>
        <v>266</v>
      </c>
      <c r="AY73" s="62">
        <f>'[1]D4 Gallon Forecast'!$H149/1000000</f>
        <v>0</v>
      </c>
      <c r="AZ73" s="62">
        <f>'[1]D4 Gallon Forecast'!$H181/1000000</f>
        <v>11.522833</v>
      </c>
      <c r="BA73" s="62">
        <f t="shared" si="3"/>
        <v>11.522833</v>
      </c>
      <c r="BB73" s="62">
        <f>'[1]D4 Gallon Forecast'!$H165/1000000</f>
        <v>0</v>
      </c>
      <c r="BC73" s="63">
        <f>'[1]D4 Gallon Forecast'!$H341</f>
        <v>0</v>
      </c>
      <c r="BD73" s="64">
        <f>'[1]D4 Gallon Forecast'!$H357/1000000</f>
        <v>0</v>
      </c>
      <c r="BE73" s="64">
        <f t="shared" si="4"/>
        <v>0</v>
      </c>
      <c r="BF73" s="76">
        <f t="shared" si="11"/>
        <v>11.522833</v>
      </c>
      <c r="BG73" s="77">
        <f t="shared" si="16"/>
        <v>0.51004536078098484</v>
      </c>
      <c r="BH73" s="75"/>
      <c r="BI73" s="75">
        <f t="shared" si="13"/>
        <v>66.25</v>
      </c>
      <c r="BJ73" s="75">
        <f t="shared" si="14"/>
        <v>199.75</v>
      </c>
      <c r="BK73" s="75">
        <f>'RD Feedstock Breakdown'!ES64</f>
        <v>102.99421689644265</v>
      </c>
      <c r="BL73" s="78">
        <f t="shared" si="15"/>
        <v>8.9382721155849989</v>
      </c>
      <c r="BM73" s="78">
        <f t="shared" si="12"/>
        <v>8.9382721155849989</v>
      </c>
      <c r="BN73" s="79"/>
      <c r="BO73" s="79"/>
      <c r="BP73" s="69"/>
      <c r="BQ73" s="66">
        <f>'[1]Monthly D4 Gallon Data'!$B74/1000000</f>
        <v>85.560070999999994</v>
      </c>
      <c r="BR73" s="66">
        <f>'[1]Monthly D6 Gallon Data'!$B76/1000000</f>
        <v>1.1639999999999999E-2</v>
      </c>
      <c r="BS73" s="66">
        <f t="shared" si="6"/>
        <v>85.571710999999993</v>
      </c>
      <c r="BT73" s="60"/>
      <c r="BU73" s="67">
        <f>'[2]US EIA'!$P210</f>
        <v>752.2299999999999</v>
      </c>
      <c r="BV73" s="68">
        <f t="shared" si="7"/>
        <v>8.7906387661221359</v>
      </c>
      <c r="BW73" s="60"/>
      <c r="BX73" s="69">
        <f t="shared" si="0"/>
        <v>0.11867642120035087</v>
      </c>
      <c r="BY73" s="69">
        <f t="shared" si="1"/>
        <v>0.88132357879964907</v>
      </c>
      <c r="BZ73" s="60"/>
      <c r="CA73" s="60"/>
      <c r="CB73" s="70">
        <f>'[1]Monthly D4 Gallon Data'!$AG74/1000000</f>
        <v>0</v>
      </c>
      <c r="CC73" s="70">
        <f>'[1]Monthly D6 Gallon Data'!$O76/1000000</f>
        <v>0</v>
      </c>
      <c r="CD73" s="70">
        <f t="shared" si="8"/>
        <v>0</v>
      </c>
      <c r="CE73" s="60"/>
      <c r="CF73" s="71">
        <f>'RD Feedstock Breakdown'!GQ64</f>
        <v>0</v>
      </c>
      <c r="CG73" s="72" t="e">
        <f t="shared" si="2"/>
        <v>#DIV/0!</v>
      </c>
      <c r="CH73" s="73">
        <f>'[2]US EIA'!$R210+AW73</f>
        <v>2536</v>
      </c>
    </row>
    <row r="74" spans="1:86" ht="13.5" x14ac:dyDescent="0.25">
      <c r="A74" s="59">
        <v>42401</v>
      </c>
      <c r="B74" s="74">
        <f t="shared" si="17"/>
        <v>160</v>
      </c>
      <c r="C74" s="75"/>
      <c r="D74" s="74">
        <f>2*$D$12</f>
        <v>2</v>
      </c>
      <c r="E74" s="74"/>
      <c r="F74" s="74">
        <v>95</v>
      </c>
      <c r="G74" s="74"/>
      <c r="H74" s="74">
        <v>20</v>
      </c>
      <c r="I74" s="74"/>
      <c r="J74" s="75"/>
      <c r="K74" s="60"/>
      <c r="L74" s="60"/>
      <c r="M74" s="75"/>
      <c r="N74" s="75"/>
      <c r="O74" s="75"/>
      <c r="P74" s="60"/>
      <c r="Q74" s="75"/>
      <c r="R74" s="75"/>
      <c r="S74" s="60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4">
        <f t="shared" si="9"/>
        <v>277</v>
      </c>
      <c r="AX74" s="66">
        <f t="shared" si="10"/>
        <v>277</v>
      </c>
      <c r="AY74" s="62">
        <f>'[1]D4 Gallon Forecast'!$H150/1000000</f>
        <v>0</v>
      </c>
      <c r="AZ74" s="62">
        <f>'[1]D4 Gallon Forecast'!$H182/1000000</f>
        <v>7.0525789999999997</v>
      </c>
      <c r="BA74" s="62">
        <f t="shared" si="3"/>
        <v>7.0525789999999997</v>
      </c>
      <c r="BB74" s="62">
        <f>'[1]D4 Gallon Forecast'!$H166/1000000</f>
        <v>0</v>
      </c>
      <c r="BC74" s="63">
        <f>'[1]D4 Gallon Forecast'!$H342</f>
        <v>0</v>
      </c>
      <c r="BD74" s="64">
        <f>'[1]D4 Gallon Forecast'!$H358/1000000</f>
        <v>0</v>
      </c>
      <c r="BE74" s="64">
        <f t="shared" si="4"/>
        <v>0</v>
      </c>
      <c r="BF74" s="76">
        <f t="shared" si="11"/>
        <v>7.0525789999999997</v>
      </c>
      <c r="BG74" s="77">
        <f t="shared" si="16"/>
        <v>0.29977772621404447</v>
      </c>
      <c r="BH74" s="75"/>
      <c r="BI74" s="75">
        <f t="shared" si="13"/>
        <v>68.75</v>
      </c>
      <c r="BJ74" s="75">
        <f t="shared" si="14"/>
        <v>208.25</v>
      </c>
      <c r="BK74" s="75">
        <f>'RD Feedstock Breakdown'!ES65</f>
        <v>63.16297455558491</v>
      </c>
      <c r="BL74" s="78">
        <f t="shared" si="15"/>
        <v>8.9560109224703357</v>
      </c>
      <c r="BM74" s="78">
        <f t="shared" si="12"/>
        <v>8.9560109224703357</v>
      </c>
      <c r="BN74" s="79"/>
      <c r="BO74" s="79"/>
      <c r="BP74" s="69"/>
      <c r="BQ74" s="66">
        <f>'[1]Monthly D4 Gallon Data'!$B75/1000000</f>
        <v>100.399613</v>
      </c>
      <c r="BR74" s="66">
        <f>'[1]Monthly D6 Gallon Data'!$B77/1000000</f>
        <v>2.3050000000000002E-3</v>
      </c>
      <c r="BS74" s="66">
        <f t="shared" si="6"/>
        <v>100.40191800000001</v>
      </c>
      <c r="BT74" s="60"/>
      <c r="BU74" s="67">
        <f>'[2]US EIA'!$P211</f>
        <v>797.44</v>
      </c>
      <c r="BV74" s="68">
        <f t="shared" si="7"/>
        <v>7.9424777522676404</v>
      </c>
      <c r="BW74" s="60"/>
      <c r="BX74" s="69">
        <f t="shared" si="0"/>
        <v>6.563316749786656E-2</v>
      </c>
      <c r="BY74" s="69">
        <f t="shared" si="1"/>
        <v>0.93436683250213348</v>
      </c>
      <c r="BZ74" s="60"/>
      <c r="CA74" s="60"/>
      <c r="CB74" s="70">
        <f>'[1]Monthly D4 Gallon Data'!$AG75/1000000</f>
        <v>0</v>
      </c>
      <c r="CC74" s="70">
        <f>'[1]Monthly D6 Gallon Data'!$O77/1000000</f>
        <v>0</v>
      </c>
      <c r="CD74" s="70">
        <f t="shared" si="8"/>
        <v>0</v>
      </c>
      <c r="CE74" s="60"/>
      <c r="CF74" s="71">
        <f>'RD Feedstock Breakdown'!GQ65</f>
        <v>0</v>
      </c>
      <c r="CG74" s="72" t="e">
        <f t="shared" si="2"/>
        <v>#DIV/0!</v>
      </c>
      <c r="CH74" s="73">
        <f>'[2]US EIA'!$R211+AW74</f>
        <v>2547</v>
      </c>
    </row>
    <row r="75" spans="1:86" ht="13.5" x14ac:dyDescent="0.25">
      <c r="A75" s="59">
        <v>42430</v>
      </c>
      <c r="B75" s="74">
        <f t="shared" si="17"/>
        <v>160</v>
      </c>
      <c r="C75" s="75"/>
      <c r="D75" s="74">
        <f>3*$D$12</f>
        <v>3</v>
      </c>
      <c r="E75" s="74"/>
      <c r="F75" s="74">
        <v>95</v>
      </c>
      <c r="G75" s="74"/>
      <c r="H75" s="74">
        <v>50</v>
      </c>
      <c r="I75" s="74"/>
      <c r="J75" s="75"/>
      <c r="K75" s="60"/>
      <c r="L75" s="60"/>
      <c r="M75" s="75"/>
      <c r="N75" s="75"/>
      <c r="O75" s="75"/>
      <c r="P75" s="60"/>
      <c r="Q75" s="75"/>
      <c r="R75" s="75"/>
      <c r="S75" s="60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4">
        <f t="shared" si="9"/>
        <v>308</v>
      </c>
      <c r="AX75" s="66">
        <f t="shared" si="10"/>
        <v>308</v>
      </c>
      <c r="AY75" s="62">
        <f>'[1]D4 Gallon Forecast'!$H151/1000000</f>
        <v>0</v>
      </c>
      <c r="AZ75" s="62">
        <f>'[1]D4 Gallon Forecast'!$H183/1000000</f>
        <v>17.471357999999999</v>
      </c>
      <c r="BA75" s="62">
        <f t="shared" si="3"/>
        <v>17.471357999999999</v>
      </c>
      <c r="BB75" s="62">
        <f>'[1]D4 Gallon Forecast'!$H167/1000000</f>
        <v>0</v>
      </c>
      <c r="BC75" s="63">
        <f>'[1]D4 Gallon Forecast'!$H343</f>
        <v>0</v>
      </c>
      <c r="BD75" s="64">
        <f>'[1]D4 Gallon Forecast'!$H359/1000000</f>
        <v>0</v>
      </c>
      <c r="BE75" s="64">
        <f t="shared" si="4"/>
        <v>0</v>
      </c>
      <c r="BF75" s="76">
        <f t="shared" si="11"/>
        <v>17.471357999999999</v>
      </c>
      <c r="BG75" s="77">
        <f t="shared" si="16"/>
        <v>0.71395495633676664</v>
      </c>
      <c r="BH75" s="75"/>
      <c r="BI75" s="75">
        <f t="shared" si="13"/>
        <v>76.25</v>
      </c>
      <c r="BJ75" s="75">
        <f t="shared" si="14"/>
        <v>231.75</v>
      </c>
      <c r="BK75" s="75">
        <f>'RD Feedstock Breakdown'!ES66</f>
        <v>157.24254919633009</v>
      </c>
      <c r="BL75" s="78">
        <f t="shared" si="15"/>
        <v>9.0000187275843189</v>
      </c>
      <c r="BM75" s="78">
        <f t="shared" si="12"/>
        <v>9.0000187275843189</v>
      </c>
      <c r="BN75" s="79"/>
      <c r="BO75" s="79"/>
      <c r="BP75" s="69"/>
      <c r="BQ75" s="66">
        <f>'[1]Monthly D4 Gallon Data'!$B76/1000000</f>
        <v>126.57515100000001</v>
      </c>
      <c r="BR75" s="66">
        <f>'[1]Monthly D6 Gallon Data'!$B78/1000000</f>
        <v>0.181227</v>
      </c>
      <c r="BS75" s="66">
        <f t="shared" si="6"/>
        <v>126.75637800000001</v>
      </c>
      <c r="BT75" s="60"/>
      <c r="BU75" s="67">
        <f>'[2]US EIA'!$P212</f>
        <v>839.56</v>
      </c>
      <c r="BV75" s="68">
        <f t="shared" si="7"/>
        <v>6.6234142474471769</v>
      </c>
      <c r="BW75" s="60"/>
      <c r="BX75" s="69">
        <f t="shared" si="0"/>
        <v>0.12113729636579747</v>
      </c>
      <c r="BY75" s="69">
        <f t="shared" si="1"/>
        <v>0.87886270363420249</v>
      </c>
      <c r="BZ75" s="60"/>
      <c r="CA75" s="60"/>
      <c r="CB75" s="70">
        <f>'[1]Monthly D4 Gallon Data'!$AG76/1000000</f>
        <v>0</v>
      </c>
      <c r="CC75" s="70">
        <f>'[1]Monthly D6 Gallon Data'!$O78/1000000</f>
        <v>0</v>
      </c>
      <c r="CD75" s="70">
        <f t="shared" si="8"/>
        <v>0</v>
      </c>
      <c r="CE75" s="60"/>
      <c r="CF75" s="71">
        <f>'RD Feedstock Breakdown'!GQ66</f>
        <v>0</v>
      </c>
      <c r="CG75" s="72" t="e">
        <f t="shared" si="2"/>
        <v>#DIV/0!</v>
      </c>
      <c r="CH75" s="73">
        <f>'[2]US EIA'!$R212+AW75</f>
        <v>2607</v>
      </c>
    </row>
    <row r="76" spans="1:86" ht="13.5" x14ac:dyDescent="0.25">
      <c r="A76" s="59">
        <v>42461</v>
      </c>
      <c r="B76" s="74">
        <f t="shared" si="17"/>
        <v>160</v>
      </c>
      <c r="C76" s="74"/>
      <c r="D76" s="74">
        <f t="shared" ref="D76:D139" si="18">3*$D$12</f>
        <v>3</v>
      </c>
      <c r="E76" s="74"/>
      <c r="F76" s="74">
        <v>95</v>
      </c>
      <c r="G76" s="74"/>
      <c r="H76" s="74">
        <v>50</v>
      </c>
      <c r="I76" s="74"/>
      <c r="J76" s="74">
        <v>25</v>
      </c>
      <c r="K76" s="60"/>
      <c r="L76" s="60"/>
      <c r="M76" s="74"/>
      <c r="N76" s="74"/>
      <c r="O76" s="74"/>
      <c r="P76" s="60"/>
      <c r="Q76" s="74"/>
      <c r="R76" s="74"/>
      <c r="S76" s="60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>
        <f t="shared" si="9"/>
        <v>333</v>
      </c>
      <c r="AX76" s="66">
        <f t="shared" si="10"/>
        <v>333</v>
      </c>
      <c r="AY76" s="62">
        <f>'[1]D4 Gallon Forecast'!$H152/1000000</f>
        <v>0</v>
      </c>
      <c r="AZ76" s="62">
        <f>'[1]D4 Gallon Forecast'!$H184/1000000</f>
        <v>20.862107000000002</v>
      </c>
      <c r="BA76" s="62">
        <f t="shared" si="3"/>
        <v>20.862107000000002</v>
      </c>
      <c r="BB76" s="62">
        <f>'[1]D4 Gallon Forecast'!$H168/1000000</f>
        <v>0</v>
      </c>
      <c r="BC76" s="63">
        <f>'[1]D4 Gallon Forecast'!$H344</f>
        <v>0</v>
      </c>
      <c r="BD76" s="64">
        <f>'[1]D4 Gallon Forecast'!$H360/1000000</f>
        <v>0</v>
      </c>
      <c r="BE76" s="64">
        <f t="shared" si="4"/>
        <v>0</v>
      </c>
      <c r="BF76" s="76">
        <f t="shared" si="11"/>
        <v>20.862107000000002</v>
      </c>
      <c r="BG76" s="77">
        <f t="shared" si="16"/>
        <v>0.73764109803351752</v>
      </c>
      <c r="BH76" s="74"/>
      <c r="BI76" s="75">
        <f t="shared" si="13"/>
        <v>82.5</v>
      </c>
      <c r="BJ76" s="75">
        <f t="shared" si="14"/>
        <v>250.5</v>
      </c>
      <c r="BK76" s="75">
        <f>'RD Feedstock Breakdown'!ES67</f>
        <v>185.77010649077445</v>
      </c>
      <c r="BL76" s="78">
        <f t="shared" si="15"/>
        <v>8.9046665560086726</v>
      </c>
      <c r="BM76" s="78">
        <f t="shared" si="12"/>
        <v>8.9046665560086726</v>
      </c>
      <c r="BN76" s="69"/>
      <c r="BO76" s="79"/>
      <c r="BP76" s="69"/>
      <c r="BQ76" s="66">
        <f>'[1]Monthly D4 Gallon Data'!$B77/1000000</f>
        <v>126.257818</v>
      </c>
      <c r="BR76" s="66">
        <f>'[1]Monthly D6 Gallon Data'!$B79/1000000</f>
        <v>8.9700000000000005E-3</v>
      </c>
      <c r="BS76" s="66">
        <f t="shared" si="6"/>
        <v>126.26678800000001</v>
      </c>
      <c r="BT76" s="60"/>
      <c r="BU76" s="67">
        <f>'[2]US EIA'!$P213</f>
        <v>847.63999999999987</v>
      </c>
      <c r="BV76" s="68">
        <f t="shared" si="7"/>
        <v>6.7130875301904398</v>
      </c>
      <c r="BW76" s="60"/>
      <c r="BX76" s="69">
        <f t="shared" si="0"/>
        <v>0.14179476437989968</v>
      </c>
      <c r="BY76" s="69">
        <f t="shared" si="1"/>
        <v>0.85820523562010032</v>
      </c>
      <c r="BZ76" s="60"/>
      <c r="CA76" s="60"/>
      <c r="CB76" s="70">
        <f>'[1]Monthly D4 Gallon Data'!$AG77/1000000</f>
        <v>0</v>
      </c>
      <c r="CC76" s="70">
        <f>'[1]Monthly D6 Gallon Data'!$O79/1000000</f>
        <v>0</v>
      </c>
      <c r="CD76" s="70">
        <f t="shared" si="8"/>
        <v>0</v>
      </c>
      <c r="CE76" s="60"/>
      <c r="CF76" s="71">
        <f>'RD Feedstock Breakdown'!GQ67</f>
        <v>0</v>
      </c>
      <c r="CG76" s="72" t="e">
        <f t="shared" si="2"/>
        <v>#DIV/0!</v>
      </c>
      <c r="CH76" s="73">
        <f>'[2]US EIA'!$R213+AW76</f>
        <v>2623</v>
      </c>
    </row>
    <row r="77" spans="1:86" ht="13.5" x14ac:dyDescent="0.25">
      <c r="A77" s="59">
        <v>42491</v>
      </c>
      <c r="B77" s="74">
        <f t="shared" si="17"/>
        <v>160</v>
      </c>
      <c r="C77" s="74"/>
      <c r="D77" s="74">
        <f t="shared" si="18"/>
        <v>3</v>
      </c>
      <c r="E77" s="74"/>
      <c r="F77" s="74">
        <v>95</v>
      </c>
      <c r="G77" s="74"/>
      <c r="H77" s="74">
        <v>50</v>
      </c>
      <c r="I77" s="74"/>
      <c r="J77" s="74">
        <v>50</v>
      </c>
      <c r="K77" s="60"/>
      <c r="L77" s="60"/>
      <c r="M77" s="74"/>
      <c r="N77" s="74"/>
      <c r="O77" s="74"/>
      <c r="P77" s="60"/>
      <c r="Q77" s="74"/>
      <c r="R77" s="74"/>
      <c r="S77" s="60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>
        <f t="shared" si="9"/>
        <v>358</v>
      </c>
      <c r="AX77" s="66">
        <f t="shared" si="10"/>
        <v>358</v>
      </c>
      <c r="AY77" s="62">
        <f>'[1]D4 Gallon Forecast'!$H153/1000000</f>
        <v>0</v>
      </c>
      <c r="AZ77" s="62">
        <f>'[1]D4 Gallon Forecast'!$H185/1000000</f>
        <v>21.624392</v>
      </c>
      <c r="BA77" s="62">
        <f t="shared" si="3"/>
        <v>21.624392</v>
      </c>
      <c r="BB77" s="62">
        <f>'[1]D4 Gallon Forecast'!$H169/1000000</f>
        <v>0</v>
      </c>
      <c r="BC77" s="63">
        <f>'[1]D4 Gallon Forecast'!$H345</f>
        <v>0</v>
      </c>
      <c r="BD77" s="64">
        <f>'[1]D4 Gallon Forecast'!$H361/1000000</f>
        <v>0</v>
      </c>
      <c r="BE77" s="64">
        <f t="shared" si="4"/>
        <v>0</v>
      </c>
      <c r="BF77" s="76">
        <f t="shared" si="11"/>
        <v>21.624392</v>
      </c>
      <c r="BG77" s="77">
        <f t="shared" si="16"/>
        <v>0.73490717690875229</v>
      </c>
      <c r="BH77" s="74"/>
      <c r="BI77" s="75">
        <f t="shared" si="13"/>
        <v>88.75</v>
      </c>
      <c r="BJ77" s="75">
        <f t="shared" si="14"/>
        <v>269.25</v>
      </c>
      <c r="BK77" s="75">
        <f>'RD Feedstock Breakdown'!ES68</f>
        <v>190.74254280466766</v>
      </c>
      <c r="BL77" s="78">
        <f t="shared" si="15"/>
        <v>8.8207124068351916</v>
      </c>
      <c r="BM77" s="78">
        <f t="shared" si="12"/>
        <v>8.8207124068351916</v>
      </c>
      <c r="BN77" s="69"/>
      <c r="BO77" s="79"/>
      <c r="BP77" s="69"/>
      <c r="BQ77" s="66">
        <f>'[1]Monthly D4 Gallon Data'!$B78/1000000</f>
        <v>135.26100400000001</v>
      </c>
      <c r="BR77" s="66">
        <f>'[1]Monthly D6 Gallon Data'!$B80/1000000</f>
        <v>2.5350000000000001E-2</v>
      </c>
      <c r="BS77" s="66">
        <f t="shared" si="6"/>
        <v>135.28635400000002</v>
      </c>
      <c r="BT77" s="60"/>
      <c r="BU77" s="67">
        <f>'[2]US EIA'!$P214</f>
        <v>986.3499999999998</v>
      </c>
      <c r="BV77" s="68">
        <f t="shared" si="7"/>
        <v>7.2908314167443651</v>
      </c>
      <c r="BW77" s="60"/>
      <c r="BX77" s="69">
        <f t="shared" ref="BX77:BX140" si="19">BF77/(BF77+BS77)</f>
        <v>0.13781332732941057</v>
      </c>
      <c r="BY77" s="69">
        <f t="shared" ref="BY77:BY140" si="20">BS77/(BS77+BF77)</f>
        <v>0.86218667267058946</v>
      </c>
      <c r="BZ77" s="60"/>
      <c r="CA77" s="60"/>
      <c r="CB77" s="70">
        <f>'[1]Monthly D4 Gallon Data'!$AG78/1000000</f>
        <v>0</v>
      </c>
      <c r="CC77" s="70">
        <f>'[1]Monthly D6 Gallon Data'!$O80/1000000</f>
        <v>0</v>
      </c>
      <c r="CD77" s="70">
        <f t="shared" si="8"/>
        <v>0</v>
      </c>
      <c r="CE77" s="60"/>
      <c r="CF77" s="71">
        <f>'RD Feedstock Breakdown'!GQ68</f>
        <v>0</v>
      </c>
      <c r="CG77" s="72" t="e">
        <f t="shared" ref="CG77:CG140" si="21">CF77/CB77</f>
        <v>#DIV/0!</v>
      </c>
      <c r="CH77" s="73">
        <f>'[2]US EIA'!$R214+AW77</f>
        <v>2633</v>
      </c>
    </row>
    <row r="78" spans="1:86" ht="13.5" x14ac:dyDescent="0.25">
      <c r="A78" s="59">
        <v>42522</v>
      </c>
      <c r="B78" s="74">
        <f t="shared" si="17"/>
        <v>160</v>
      </c>
      <c r="C78" s="74"/>
      <c r="D78" s="74">
        <f t="shared" si="18"/>
        <v>3</v>
      </c>
      <c r="E78" s="74"/>
      <c r="F78" s="74">
        <v>95</v>
      </c>
      <c r="G78" s="74"/>
      <c r="H78" s="74">
        <v>50</v>
      </c>
      <c r="I78" s="74"/>
      <c r="J78" s="74">
        <v>100</v>
      </c>
      <c r="K78" s="60"/>
      <c r="L78" s="60"/>
      <c r="M78" s="74"/>
      <c r="N78" s="74"/>
      <c r="O78" s="74"/>
      <c r="P78" s="60"/>
      <c r="Q78" s="74"/>
      <c r="R78" s="74"/>
      <c r="S78" s="60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>
        <f t="shared" si="9"/>
        <v>408</v>
      </c>
      <c r="AX78" s="66">
        <f t="shared" si="10"/>
        <v>408</v>
      </c>
      <c r="AY78" s="62">
        <f>'[1]D4 Gallon Forecast'!$H154/1000000</f>
        <v>0</v>
      </c>
      <c r="AZ78" s="62">
        <f>'[1]D4 Gallon Forecast'!$H186/1000000</f>
        <v>22.043210999999999</v>
      </c>
      <c r="BA78" s="62">
        <f t="shared" ref="BA78:BA117" si="22">SUM(AY78:AZ78)+BB78</f>
        <v>22.043210999999999</v>
      </c>
      <c r="BB78" s="62">
        <f>'[1]D4 Gallon Forecast'!$H170/1000000</f>
        <v>0</v>
      </c>
      <c r="BC78" s="63">
        <f>'[1]D4 Gallon Forecast'!$H346</f>
        <v>0</v>
      </c>
      <c r="BD78" s="64">
        <f>'[1]D4 Gallon Forecast'!$H362/1000000</f>
        <v>0</v>
      </c>
      <c r="BE78" s="64">
        <f t="shared" ref="BE78:BE117" si="23">BD78+BC78</f>
        <v>0</v>
      </c>
      <c r="BF78" s="76">
        <f t="shared" si="11"/>
        <v>22.043210999999999</v>
      </c>
      <c r="BG78" s="77">
        <f t="shared" si="16"/>
        <v>0.63612998221062611</v>
      </c>
      <c r="BH78" s="74"/>
      <c r="BI78" s="75">
        <f t="shared" si="13"/>
        <v>101.25</v>
      </c>
      <c r="BJ78" s="75">
        <f t="shared" si="14"/>
        <v>306.75</v>
      </c>
      <c r="BK78" s="75">
        <f>'RD Feedstock Breakdown'!ES69</f>
        <v>191.328374305182</v>
      </c>
      <c r="BL78" s="78">
        <f t="shared" si="15"/>
        <v>8.6796961797073031</v>
      </c>
      <c r="BM78" s="78">
        <f t="shared" si="12"/>
        <v>8.6796961797073031</v>
      </c>
      <c r="BN78" s="69"/>
      <c r="BO78" s="79"/>
      <c r="BP78" s="69"/>
      <c r="BQ78" s="66">
        <f>'[1]Monthly D4 Gallon Data'!$B79/1000000</f>
        <v>142.56145100000001</v>
      </c>
      <c r="BR78" s="66">
        <f>'[1]Monthly D6 Gallon Data'!$B81/1000000</f>
        <v>3.2483999999999999E-2</v>
      </c>
      <c r="BS78" s="66">
        <f t="shared" ref="BS78:BS141" si="24">SUM(BQ78:BR78)</f>
        <v>142.59393500000002</v>
      </c>
      <c r="BT78" s="60"/>
      <c r="BU78" s="67">
        <f>'[2]US EIA'!$P215</f>
        <v>982.96</v>
      </c>
      <c r="BV78" s="68">
        <f t="shared" ref="BV78:BV141" si="25">BU78/BS78</f>
        <v>6.8934208176525873</v>
      </c>
      <c r="BW78" s="60"/>
      <c r="BX78" s="69">
        <f t="shared" si="19"/>
        <v>0.13388965695505919</v>
      </c>
      <c r="BY78" s="69">
        <f t="shared" si="20"/>
        <v>0.86611034304494072</v>
      </c>
      <c r="BZ78" s="60"/>
      <c r="CA78" s="60"/>
      <c r="CB78" s="70">
        <f>'[1]Monthly D4 Gallon Data'!$AG79/1000000</f>
        <v>0</v>
      </c>
      <c r="CC78" s="70">
        <f>'[1]Monthly D6 Gallon Data'!$O81/1000000</f>
        <v>0</v>
      </c>
      <c r="CD78" s="70">
        <f t="shared" ref="CD78:CD141" si="26">SUM(CB78:CC78)</f>
        <v>0</v>
      </c>
      <c r="CE78" s="60"/>
      <c r="CF78" s="71">
        <f>'RD Feedstock Breakdown'!GQ69</f>
        <v>0</v>
      </c>
      <c r="CG78" s="72" t="e">
        <f t="shared" si="21"/>
        <v>#DIV/0!</v>
      </c>
      <c r="CH78" s="73">
        <f>'[2]US EIA'!$R215+AW78</f>
        <v>2683</v>
      </c>
    </row>
    <row r="79" spans="1:86" ht="13.5" x14ac:dyDescent="0.25">
      <c r="A79" s="59">
        <v>42552</v>
      </c>
      <c r="B79" s="74">
        <f t="shared" si="17"/>
        <v>160</v>
      </c>
      <c r="C79" s="74"/>
      <c r="D79" s="74">
        <f t="shared" si="18"/>
        <v>3</v>
      </c>
      <c r="E79" s="74"/>
      <c r="F79" s="74">
        <v>95</v>
      </c>
      <c r="G79" s="74"/>
      <c r="H79" s="74">
        <v>50</v>
      </c>
      <c r="I79" s="74"/>
      <c r="J79" s="74">
        <v>100</v>
      </c>
      <c r="K79" s="60"/>
      <c r="L79" s="60"/>
      <c r="M79" s="74"/>
      <c r="N79" s="74"/>
      <c r="O79" s="74"/>
      <c r="P79" s="60"/>
      <c r="Q79" s="74"/>
      <c r="R79" s="74"/>
      <c r="S79" s="60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>
        <f t="shared" si="9"/>
        <v>408</v>
      </c>
      <c r="AX79" s="66">
        <f t="shared" si="10"/>
        <v>408</v>
      </c>
      <c r="AY79" s="62">
        <f>'[1]D4 Gallon Forecast'!$H155/1000000</f>
        <v>0</v>
      </c>
      <c r="AZ79" s="62">
        <f>'[1]D4 Gallon Forecast'!$H187/1000000</f>
        <v>19.094815000000001</v>
      </c>
      <c r="BA79" s="62">
        <f t="shared" si="22"/>
        <v>19.094815000000001</v>
      </c>
      <c r="BB79" s="62">
        <f>'[1]D4 Gallon Forecast'!$H171/1000000</f>
        <v>0</v>
      </c>
      <c r="BC79" s="63">
        <f>'[1]D4 Gallon Forecast'!$H347</f>
        <v>0</v>
      </c>
      <c r="BD79" s="64">
        <f>'[1]D4 Gallon Forecast'!$H363/1000000</f>
        <v>0</v>
      </c>
      <c r="BE79" s="64">
        <f t="shared" si="23"/>
        <v>0</v>
      </c>
      <c r="BF79" s="76">
        <f t="shared" si="11"/>
        <v>19.094815000000001</v>
      </c>
      <c r="BG79" s="77">
        <f t="shared" si="16"/>
        <v>0.56941237540849665</v>
      </c>
      <c r="BH79" s="74"/>
      <c r="BI79" s="75">
        <f t="shared" si="13"/>
        <v>101.25</v>
      </c>
      <c r="BJ79" s="75">
        <f t="shared" si="14"/>
        <v>306.75</v>
      </c>
      <c r="BK79" s="75">
        <f>'RD Feedstock Breakdown'!ES70</f>
        <v>165.73719280771772</v>
      </c>
      <c r="BL79" s="78">
        <f t="shared" si="15"/>
        <v>8.6796961797073031</v>
      </c>
      <c r="BM79" s="78">
        <f t="shared" si="12"/>
        <v>8.6796961797073031</v>
      </c>
      <c r="BN79" s="69"/>
      <c r="BO79" s="79"/>
      <c r="BP79" s="69"/>
      <c r="BQ79" s="66">
        <f>'[1]Monthly D4 Gallon Data'!$B80/1000000</f>
        <v>137.963278</v>
      </c>
      <c r="BR79" s="66">
        <f>'[1]Monthly D6 Gallon Data'!$B82/1000000</f>
        <v>0</v>
      </c>
      <c r="BS79" s="66">
        <f t="shared" si="24"/>
        <v>137.963278</v>
      </c>
      <c r="BT79" s="60"/>
      <c r="BU79" s="67">
        <f>'[2]US EIA'!$P216</f>
        <v>1021.3599999999999</v>
      </c>
      <c r="BV79" s="68">
        <f t="shared" si="25"/>
        <v>7.4031294037533657</v>
      </c>
      <c r="BW79" s="60"/>
      <c r="BX79" s="69">
        <f t="shared" si="19"/>
        <v>0.12157803928002614</v>
      </c>
      <c r="BY79" s="69">
        <f t="shared" si="20"/>
        <v>0.8784219607199738</v>
      </c>
      <c r="BZ79" s="60"/>
      <c r="CA79" s="60"/>
      <c r="CB79" s="70">
        <f>'[1]Monthly D4 Gallon Data'!$AG80/1000000</f>
        <v>0</v>
      </c>
      <c r="CC79" s="70">
        <f>'[1]Monthly D6 Gallon Data'!$O82/1000000</f>
        <v>0</v>
      </c>
      <c r="CD79" s="70">
        <f t="shared" si="26"/>
        <v>0</v>
      </c>
      <c r="CE79" s="60"/>
      <c r="CF79" s="71">
        <f>'RD Feedstock Breakdown'!GQ70</f>
        <v>0</v>
      </c>
      <c r="CG79" s="72" t="e">
        <f t="shared" si="21"/>
        <v>#DIV/0!</v>
      </c>
      <c r="CH79" s="73">
        <f>'[2]US EIA'!$R216+AW79</f>
        <v>2683</v>
      </c>
    </row>
    <row r="80" spans="1:86" ht="13.5" x14ac:dyDescent="0.25">
      <c r="A80" s="59">
        <v>42583</v>
      </c>
      <c r="B80" s="74">
        <f t="shared" si="17"/>
        <v>160</v>
      </c>
      <c r="C80" s="74"/>
      <c r="D80" s="74">
        <f t="shared" si="18"/>
        <v>3</v>
      </c>
      <c r="E80" s="74"/>
      <c r="F80" s="74">
        <v>95</v>
      </c>
      <c r="G80" s="74"/>
      <c r="H80" s="74">
        <v>50</v>
      </c>
      <c r="I80" s="74"/>
      <c r="J80" s="74">
        <v>100</v>
      </c>
      <c r="K80" s="60"/>
      <c r="L80" s="60"/>
      <c r="M80" s="74"/>
      <c r="N80" s="74"/>
      <c r="O80" s="74"/>
      <c r="P80" s="60"/>
      <c r="Q80" s="74"/>
      <c r="R80" s="74"/>
      <c r="S80" s="60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>
        <f t="shared" si="9"/>
        <v>408</v>
      </c>
      <c r="AX80" s="66">
        <f t="shared" si="10"/>
        <v>408</v>
      </c>
      <c r="AY80" s="62">
        <f>'[1]D4 Gallon Forecast'!$H156/1000000</f>
        <v>0</v>
      </c>
      <c r="AZ80" s="62">
        <f>'[1]D4 Gallon Forecast'!$H188/1000000</f>
        <v>24.325149</v>
      </c>
      <c r="BA80" s="62">
        <f t="shared" si="22"/>
        <v>24.325149</v>
      </c>
      <c r="BB80" s="62">
        <f>'[1]D4 Gallon Forecast'!$H172/1000000</f>
        <v>0</v>
      </c>
      <c r="BC80" s="63">
        <f>'[1]D4 Gallon Forecast'!$H348</f>
        <v>0</v>
      </c>
      <c r="BD80" s="64">
        <f>'[1]D4 Gallon Forecast'!$H364/1000000</f>
        <v>0</v>
      </c>
      <c r="BE80" s="64">
        <f t="shared" si="23"/>
        <v>0</v>
      </c>
      <c r="BF80" s="76">
        <f t="shared" si="11"/>
        <v>24.325149</v>
      </c>
      <c r="BG80" s="77">
        <f t="shared" si="16"/>
        <v>0.70198287357685007</v>
      </c>
      <c r="BH80" s="74"/>
      <c r="BI80" s="75">
        <f t="shared" si="13"/>
        <v>101.25</v>
      </c>
      <c r="BJ80" s="75">
        <f t="shared" si="14"/>
        <v>306.75</v>
      </c>
      <c r="BK80" s="75">
        <f>'RD Feedstock Breakdown'!ES71</f>
        <v>211.13490284611095</v>
      </c>
      <c r="BL80" s="78">
        <f t="shared" si="15"/>
        <v>8.6796961797073049</v>
      </c>
      <c r="BM80" s="78">
        <f t="shared" si="12"/>
        <v>8.6796961797073049</v>
      </c>
      <c r="BN80" s="69"/>
      <c r="BO80" s="79"/>
      <c r="BP80" s="69"/>
      <c r="BQ80" s="66">
        <f>'[1]Monthly D4 Gallon Data'!$B81/1000000</f>
        <v>161.632981</v>
      </c>
      <c r="BR80" s="66">
        <f>'[1]Monthly D6 Gallon Data'!$B83/1000000</f>
        <v>1.3417999999999999E-2</v>
      </c>
      <c r="BS80" s="66">
        <f t="shared" si="24"/>
        <v>161.646399</v>
      </c>
      <c r="BT80" s="60"/>
      <c r="BU80" s="67">
        <f>'[2]US EIA'!$P217</f>
        <v>1045.07</v>
      </c>
      <c r="BV80" s="68">
        <f t="shared" si="25"/>
        <v>6.465161033373839</v>
      </c>
      <c r="BW80" s="60"/>
      <c r="BX80" s="69">
        <f t="shared" si="19"/>
        <v>0.13080037920639342</v>
      </c>
      <c r="BY80" s="69">
        <f t="shared" si="20"/>
        <v>0.86919962079360646</v>
      </c>
      <c r="BZ80" s="60"/>
      <c r="CA80" s="60"/>
      <c r="CB80" s="70">
        <f>'[1]Monthly D4 Gallon Data'!$AG81/1000000</f>
        <v>0</v>
      </c>
      <c r="CC80" s="70">
        <f>'[1]Monthly D6 Gallon Data'!$O83/1000000</f>
        <v>0</v>
      </c>
      <c r="CD80" s="70">
        <f t="shared" si="26"/>
        <v>0</v>
      </c>
      <c r="CE80" s="60"/>
      <c r="CF80" s="71">
        <f>'RD Feedstock Breakdown'!GQ71</f>
        <v>0</v>
      </c>
      <c r="CG80" s="72" t="e">
        <f>CF80/CB80</f>
        <v>#DIV/0!</v>
      </c>
      <c r="CH80" s="73">
        <f>'[2]US EIA'!$R217+AW80</f>
        <v>2683</v>
      </c>
    </row>
    <row r="81" spans="1:86" ht="13.5" x14ac:dyDescent="0.25">
      <c r="A81" s="59">
        <v>42614</v>
      </c>
      <c r="B81" s="74">
        <f t="shared" si="17"/>
        <v>160</v>
      </c>
      <c r="C81" s="74"/>
      <c r="D81" s="74">
        <f t="shared" si="18"/>
        <v>3</v>
      </c>
      <c r="E81" s="74"/>
      <c r="F81" s="74">
        <v>95</v>
      </c>
      <c r="G81" s="74"/>
      <c r="H81" s="74">
        <v>50</v>
      </c>
      <c r="I81" s="74"/>
      <c r="J81" s="74">
        <v>100</v>
      </c>
      <c r="K81" s="60"/>
      <c r="L81" s="60"/>
      <c r="M81" s="74"/>
      <c r="N81" s="74"/>
      <c r="O81" s="74"/>
      <c r="P81" s="60"/>
      <c r="Q81" s="74"/>
      <c r="R81" s="74"/>
      <c r="S81" s="60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>
        <f t="shared" si="9"/>
        <v>408</v>
      </c>
      <c r="AX81" s="66">
        <f t="shared" si="10"/>
        <v>408</v>
      </c>
      <c r="AY81" s="62">
        <f>'[1]D4 Gallon Forecast'!$H157/1000000</f>
        <v>0</v>
      </c>
      <c r="AZ81" s="62">
        <f>'[1]D4 Gallon Forecast'!$H189/1000000</f>
        <v>18.860534000000001</v>
      </c>
      <c r="BA81" s="62">
        <f t="shared" si="22"/>
        <v>18.860534000000001</v>
      </c>
      <c r="BB81" s="62">
        <f>'[1]D4 Gallon Forecast'!$H173/1000000</f>
        <v>0</v>
      </c>
      <c r="BC81" s="63">
        <f>'[1]D4 Gallon Forecast'!$H349/1000000</f>
        <v>0.23079</v>
      </c>
      <c r="BD81" s="64">
        <f>'[1]D4 Gallon Forecast'!$H365/1000000</f>
        <v>0</v>
      </c>
      <c r="BE81" s="64">
        <f t="shared" si="23"/>
        <v>0.23079</v>
      </c>
      <c r="BF81" s="76">
        <f t="shared" si="11"/>
        <v>19.091324</v>
      </c>
      <c r="BG81" s="77">
        <f t="shared" si="16"/>
        <v>0.550943489879823</v>
      </c>
      <c r="BH81" s="74"/>
      <c r="BI81" s="75">
        <f t="shared" si="13"/>
        <v>101.25</v>
      </c>
      <c r="BJ81" s="75">
        <f t="shared" si="14"/>
        <v>306.75</v>
      </c>
      <c r="BK81" s="75">
        <f>'RD Feedstock Breakdown'!ES72</f>
        <v>165.70689198835436</v>
      </c>
      <c r="BL81" s="78">
        <f t="shared" si="15"/>
        <v>8.6796961797073031</v>
      </c>
      <c r="BM81" s="78">
        <f t="shared" si="12"/>
        <v>8.7859066974643643</v>
      </c>
      <c r="BN81" s="69"/>
      <c r="BO81" s="79"/>
      <c r="BP81" s="69"/>
      <c r="BQ81" s="66">
        <f>'[1]Monthly D4 Gallon Data'!$B82/1000000</f>
        <v>146.61010200000001</v>
      </c>
      <c r="BR81" s="66">
        <f>'[1]Monthly D6 Gallon Data'!$B84/1000000</f>
        <v>5.3953000000000001E-2</v>
      </c>
      <c r="BS81" s="66">
        <f t="shared" si="24"/>
        <v>146.66405500000002</v>
      </c>
      <c r="BT81" s="60"/>
      <c r="BU81" s="67">
        <f>'[2]US EIA'!$P218</f>
        <v>1012.1100000000001</v>
      </c>
      <c r="BV81" s="68">
        <f t="shared" si="25"/>
        <v>6.9008728825887165</v>
      </c>
      <c r="BW81" s="60"/>
      <c r="BX81" s="69">
        <f t="shared" si="19"/>
        <v>0.11517770412747812</v>
      </c>
      <c r="BY81" s="69">
        <f t="shared" si="20"/>
        <v>0.88482229587252192</v>
      </c>
      <c r="BZ81" s="60"/>
      <c r="CA81" s="60"/>
      <c r="CB81" s="70">
        <f>'[1]Monthly D4 Gallon Data'!$AG82/1000000</f>
        <v>0.23079</v>
      </c>
      <c r="CC81" s="70">
        <f>'[1]Monthly D6 Gallon Data'!$O84/1000000</f>
        <v>0</v>
      </c>
      <c r="CD81" s="70">
        <f t="shared" si="26"/>
        <v>0.23079</v>
      </c>
      <c r="CE81" s="60"/>
      <c r="CF81" s="71">
        <f>'RD Feedstock Breakdown'!GQ72</f>
        <v>0.94038426456784829</v>
      </c>
      <c r="CG81" s="72">
        <f t="shared" si="21"/>
        <v>4.0746317629353452</v>
      </c>
      <c r="CH81" s="73">
        <f>'[2]US EIA'!$R218+AW81</f>
        <v>2687</v>
      </c>
    </row>
    <row r="82" spans="1:86" ht="13.5" x14ac:dyDescent="0.25">
      <c r="A82" s="59">
        <v>42644</v>
      </c>
      <c r="B82" s="74">
        <f t="shared" si="17"/>
        <v>160</v>
      </c>
      <c r="C82" s="74"/>
      <c r="D82" s="74">
        <f t="shared" si="18"/>
        <v>3</v>
      </c>
      <c r="E82" s="74"/>
      <c r="F82" s="74">
        <v>95</v>
      </c>
      <c r="G82" s="74"/>
      <c r="H82" s="74">
        <v>50</v>
      </c>
      <c r="I82" s="74"/>
      <c r="J82" s="74">
        <v>100</v>
      </c>
      <c r="K82" s="60"/>
      <c r="L82" s="60"/>
      <c r="M82" s="74"/>
      <c r="N82" s="74"/>
      <c r="O82" s="74"/>
      <c r="P82" s="60"/>
      <c r="Q82" s="74"/>
      <c r="R82" s="74"/>
      <c r="S82" s="60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>
        <f t="shared" si="9"/>
        <v>408</v>
      </c>
      <c r="AX82" s="66">
        <f t="shared" si="10"/>
        <v>408</v>
      </c>
      <c r="AY82" s="62">
        <f>'[1]D4 Gallon Forecast'!$H158/1000000</f>
        <v>0</v>
      </c>
      <c r="AZ82" s="62">
        <f>'[1]D4 Gallon Forecast'!$H190/1000000</f>
        <v>20.108544999999999</v>
      </c>
      <c r="BA82" s="62">
        <f t="shared" si="22"/>
        <v>20.108544999999999</v>
      </c>
      <c r="BB82" s="62">
        <f>'[1]D4 Gallon Forecast'!$H174/1000000</f>
        <v>0</v>
      </c>
      <c r="BC82" s="63">
        <f>'[1]D4 Gallon Forecast'!$H350/1000000</f>
        <v>0.181093</v>
      </c>
      <c r="BD82" s="64">
        <f>'[1]D4 Gallon Forecast'!$H366/1000000</f>
        <v>0</v>
      </c>
      <c r="BE82" s="64">
        <f t="shared" si="23"/>
        <v>0.181093</v>
      </c>
      <c r="BF82" s="76">
        <f t="shared" si="11"/>
        <v>20.289638</v>
      </c>
      <c r="BG82" s="77">
        <f t="shared" si="16"/>
        <v>0.60504230964052297</v>
      </c>
      <c r="BH82" s="74"/>
      <c r="BI82" s="75">
        <f t="shared" si="13"/>
        <v>101.25</v>
      </c>
      <c r="BJ82" s="75">
        <f t="shared" si="14"/>
        <v>306.75</v>
      </c>
      <c r="BK82" s="75">
        <f>'RD Feedstock Breakdown'!ES73</f>
        <v>176.10789343624415</v>
      </c>
      <c r="BL82" s="78">
        <f t="shared" si="15"/>
        <v>8.6796961797073049</v>
      </c>
      <c r="BM82" s="78">
        <f t="shared" si="12"/>
        <v>8.7578635568234375</v>
      </c>
      <c r="BN82" s="69"/>
      <c r="BO82" s="79"/>
      <c r="BP82" s="69"/>
      <c r="BQ82" s="66">
        <f>'[1]Monthly D4 Gallon Data'!$B83/1000000</f>
        <v>143.06438700000001</v>
      </c>
      <c r="BR82" s="66">
        <f>'[1]Monthly D6 Gallon Data'!$B85/1000000</f>
        <v>2.0981E-2</v>
      </c>
      <c r="BS82" s="66">
        <f t="shared" si="24"/>
        <v>143.08536800000002</v>
      </c>
      <c r="BT82" s="60"/>
      <c r="BU82" s="67">
        <f>'[2]US EIA'!$P219</f>
        <v>1018.8900000000002</v>
      </c>
      <c r="BV82" s="68">
        <f t="shared" si="25"/>
        <v>7.1208538947182918</v>
      </c>
      <c r="BW82" s="60"/>
      <c r="BX82" s="69">
        <f t="shared" si="19"/>
        <v>0.12419058763492867</v>
      </c>
      <c r="BY82" s="69">
        <f t="shared" si="20"/>
        <v>0.87580941236507137</v>
      </c>
      <c r="BZ82" s="60"/>
      <c r="CA82" s="60"/>
      <c r="CB82" s="70">
        <f>'[1]Monthly D4 Gallon Data'!$AG83/1000000</f>
        <v>0.181093</v>
      </c>
      <c r="CC82" s="70">
        <f>'[1]Monthly D6 Gallon Data'!$O85/1000000</f>
        <v>0</v>
      </c>
      <c r="CD82" s="70">
        <f t="shared" si="26"/>
        <v>0.181093</v>
      </c>
      <c r="CE82" s="60"/>
      <c r="CF82" s="71">
        <f>'RD Feedstock Breakdown'!GQ73</f>
        <v>0.73788728984525043</v>
      </c>
      <c r="CG82" s="72">
        <f t="shared" si="21"/>
        <v>4.0746317629353452</v>
      </c>
      <c r="CH82" s="73">
        <f>'[2]US EIA'!$R219+AW82</f>
        <v>2720</v>
      </c>
    </row>
    <row r="83" spans="1:86" ht="13.5" x14ac:dyDescent="0.25">
      <c r="A83" s="59">
        <v>42675</v>
      </c>
      <c r="B83" s="74">
        <f t="shared" si="17"/>
        <v>160</v>
      </c>
      <c r="C83" s="74"/>
      <c r="D83" s="74">
        <f t="shared" si="18"/>
        <v>3</v>
      </c>
      <c r="E83" s="74"/>
      <c r="F83" s="74">
        <v>95</v>
      </c>
      <c r="G83" s="74"/>
      <c r="H83" s="74">
        <v>50</v>
      </c>
      <c r="I83" s="74"/>
      <c r="J83" s="74">
        <v>100</v>
      </c>
      <c r="K83" s="60"/>
      <c r="L83" s="60"/>
      <c r="M83" s="74"/>
      <c r="N83" s="74"/>
      <c r="O83" s="74"/>
      <c r="P83" s="60"/>
      <c r="Q83" s="74"/>
      <c r="R83" s="74"/>
      <c r="S83" s="60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>
        <f t="shared" si="9"/>
        <v>408</v>
      </c>
      <c r="AX83" s="66">
        <f t="shared" si="10"/>
        <v>408</v>
      </c>
      <c r="AY83" s="62">
        <f>'[1]D4 Gallon Forecast'!$H159/1000000</f>
        <v>0</v>
      </c>
      <c r="AZ83" s="62">
        <f>'[1]D4 Gallon Forecast'!$H191/1000000</f>
        <v>26.977710999999999</v>
      </c>
      <c r="BA83" s="62">
        <f t="shared" si="22"/>
        <v>26.977710999999999</v>
      </c>
      <c r="BB83" s="62">
        <f>'[1]D4 Gallon Forecast'!$H175/1000000</f>
        <v>0</v>
      </c>
      <c r="BC83" s="63">
        <f>'[1]D4 Gallon Forecast'!$H351/1000000</f>
        <v>0.192991</v>
      </c>
      <c r="BD83" s="64">
        <f>'[1]D4 Gallon Forecast'!$H367/1000000</f>
        <v>0</v>
      </c>
      <c r="BE83" s="64">
        <f t="shared" si="23"/>
        <v>0.192991</v>
      </c>
      <c r="BF83" s="76">
        <f t="shared" si="11"/>
        <v>27.170701999999999</v>
      </c>
      <c r="BG83" s="77">
        <f t="shared" si="16"/>
        <v>0.78410074557242238</v>
      </c>
      <c r="BH83" s="74"/>
      <c r="BI83" s="75">
        <f t="shared" si="13"/>
        <v>101.25</v>
      </c>
      <c r="BJ83" s="75">
        <f t="shared" si="14"/>
        <v>306.75</v>
      </c>
      <c r="BK83" s="75">
        <f>'RD Feedstock Breakdown'!ES74</f>
        <v>235.83343834936557</v>
      </c>
      <c r="BL83" s="78">
        <f t="shared" si="15"/>
        <v>8.6796961797073031</v>
      </c>
      <c r="BM83" s="78">
        <f t="shared" si="12"/>
        <v>8.7417882988429074</v>
      </c>
      <c r="BN83" s="69"/>
      <c r="BO83" s="79"/>
      <c r="BP83" s="69"/>
      <c r="BQ83" s="66">
        <f>'[1]Monthly D4 Gallon Data'!$B84/1000000</f>
        <v>139.70351700000001</v>
      </c>
      <c r="BR83" s="66">
        <f>'[1]Monthly D6 Gallon Data'!$B86/1000000</f>
        <v>4.1700000000000001E-3</v>
      </c>
      <c r="BS83" s="66">
        <f t="shared" si="24"/>
        <v>139.70768699999999</v>
      </c>
      <c r="BT83" s="60"/>
      <c r="BU83" s="67">
        <f>'[2]US EIA'!$P220</f>
        <v>1059.49</v>
      </c>
      <c r="BV83" s="68">
        <f t="shared" si="25"/>
        <v>7.5836199335259202</v>
      </c>
      <c r="BW83" s="60"/>
      <c r="BX83" s="69">
        <f t="shared" si="19"/>
        <v>0.16281737954697056</v>
      </c>
      <c r="BY83" s="69">
        <f t="shared" si="20"/>
        <v>0.83718262045302938</v>
      </c>
      <c r="BZ83" s="60"/>
      <c r="CA83" s="60"/>
      <c r="CB83" s="70">
        <f>'[1]Monthly D4 Gallon Data'!$AG84/1000000</f>
        <v>0.192991</v>
      </c>
      <c r="CC83" s="70">
        <f>'[1]Monthly D6 Gallon Data'!$O86/1000000</f>
        <v>0</v>
      </c>
      <c r="CD83" s="70">
        <f t="shared" si="26"/>
        <v>0.192991</v>
      </c>
      <c r="CE83" s="60"/>
      <c r="CF83" s="71">
        <f>'RD Feedstock Breakdown'!GQ74</f>
        <v>0.78636725856065515</v>
      </c>
      <c r="CG83" s="72">
        <f t="shared" si="21"/>
        <v>4.0746317629353452</v>
      </c>
      <c r="CH83" s="73">
        <f>'[2]US EIA'!$R220+AW83</f>
        <v>2720</v>
      </c>
    </row>
    <row r="84" spans="1:86" ht="13.5" x14ac:dyDescent="0.25">
      <c r="A84" s="59">
        <v>42705</v>
      </c>
      <c r="B84" s="74">
        <f t="shared" si="17"/>
        <v>160</v>
      </c>
      <c r="C84" s="74"/>
      <c r="D84" s="74">
        <f t="shared" si="18"/>
        <v>3</v>
      </c>
      <c r="E84" s="74"/>
      <c r="F84" s="74">
        <v>95</v>
      </c>
      <c r="G84" s="74"/>
      <c r="H84" s="74">
        <v>50</v>
      </c>
      <c r="I84" s="74"/>
      <c r="J84" s="74">
        <v>100</v>
      </c>
      <c r="K84" s="60"/>
      <c r="L84" s="60"/>
      <c r="M84" s="74"/>
      <c r="N84" s="74"/>
      <c r="O84" s="74"/>
      <c r="P84" s="60"/>
      <c r="Q84" s="74"/>
      <c r="R84" s="74"/>
      <c r="S84" s="60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>
        <f t="shared" si="9"/>
        <v>408</v>
      </c>
      <c r="AX84" s="66">
        <f t="shared" si="10"/>
        <v>408</v>
      </c>
      <c r="AY84" s="62">
        <f>'[1]D4 Gallon Forecast'!$H160/1000000</f>
        <v>0</v>
      </c>
      <c r="AZ84" s="62">
        <f>'[1]D4 Gallon Forecast'!$H192/1000000</f>
        <v>26.878184999999998</v>
      </c>
      <c r="BA84" s="62">
        <f t="shared" si="22"/>
        <v>26.878184999999998</v>
      </c>
      <c r="BB84" s="62">
        <f>'[1]D4 Gallon Forecast'!$H176/1000000</f>
        <v>0</v>
      </c>
      <c r="BC84" s="63">
        <f>'[1]D4 Gallon Forecast'!$H352/1000000</f>
        <v>0.17877199999999999</v>
      </c>
      <c r="BD84" s="64">
        <f>'[1]D4 Gallon Forecast'!$H368/1000000</f>
        <v>0</v>
      </c>
      <c r="BE84" s="64">
        <f t="shared" si="23"/>
        <v>0.17877199999999999</v>
      </c>
      <c r="BF84" s="76">
        <f t="shared" si="11"/>
        <v>27.056956999999997</v>
      </c>
      <c r="BG84" s="77">
        <f t="shared" si="16"/>
        <v>0.80684553145424831</v>
      </c>
      <c r="BH84" s="77">
        <f>AVERAGE(BG73:BG84)</f>
        <v>0.63756530216808793</v>
      </c>
      <c r="BI84" s="75">
        <f t="shared" si="13"/>
        <v>101.25</v>
      </c>
      <c r="BJ84" s="75">
        <f t="shared" si="14"/>
        <v>306.75</v>
      </c>
      <c r="BK84" s="75">
        <f>'RD Feedstock Breakdown'!ES75</f>
        <v>234.84616630740476</v>
      </c>
      <c r="BL84" s="78">
        <f t="shared" si="15"/>
        <v>8.6796961797073031</v>
      </c>
      <c r="BM84" s="78">
        <f t="shared" si="12"/>
        <v>8.7374265154959225</v>
      </c>
      <c r="BN84" s="69"/>
      <c r="BO84" s="79"/>
      <c r="BP84" s="69"/>
      <c r="BQ84" s="66">
        <f>'[1]Monthly D4 Gallon Data'!$B85/1000000</f>
        <v>187.16324900000001</v>
      </c>
      <c r="BR84" s="66">
        <f>'[1]Monthly D6 Gallon Data'!$B87/1000000</f>
        <v>0</v>
      </c>
      <c r="BS84" s="66">
        <f t="shared" si="24"/>
        <v>187.16324900000001</v>
      </c>
      <c r="BT84" s="60"/>
      <c r="BU84" s="67">
        <f>'[2]US EIA'!$P221</f>
        <v>1054.58</v>
      </c>
      <c r="BV84" s="68">
        <f t="shared" si="25"/>
        <v>5.6345463419477184</v>
      </c>
      <c r="BW84" s="60"/>
      <c r="BX84" s="69">
        <f t="shared" si="19"/>
        <v>0.1263044112654807</v>
      </c>
      <c r="BY84" s="69">
        <f t="shared" si="20"/>
        <v>0.87369558873451925</v>
      </c>
      <c r="BZ84" s="60"/>
      <c r="CA84" s="60"/>
      <c r="CB84" s="70">
        <f>'[1]Monthly D4 Gallon Data'!$AG85/1000000</f>
        <v>0.17877199999999999</v>
      </c>
      <c r="CC84" s="70">
        <f>'[1]Monthly D6 Gallon Data'!$O87/1000000</f>
        <v>0</v>
      </c>
      <c r="CD84" s="70">
        <f t="shared" si="26"/>
        <v>0.17877199999999999</v>
      </c>
      <c r="CE84" s="60"/>
      <c r="CF84" s="71">
        <f>'RD Feedstock Breakdown'!GQ75</f>
        <v>0.72843006952347744</v>
      </c>
      <c r="CG84" s="72">
        <f t="shared" si="21"/>
        <v>4.0746317629353452</v>
      </c>
      <c r="CH84" s="73">
        <f>'[2]US EIA'!$R221+AW84</f>
        <v>2724</v>
      </c>
    </row>
    <row r="85" spans="1:86" ht="13.5" x14ac:dyDescent="0.25">
      <c r="A85" s="59">
        <v>42736</v>
      </c>
      <c r="B85" s="74">
        <f t="shared" si="17"/>
        <v>160</v>
      </c>
      <c r="C85" s="74"/>
      <c r="D85" s="74">
        <f t="shared" si="18"/>
        <v>3</v>
      </c>
      <c r="E85" s="74"/>
      <c r="F85" s="74">
        <v>95</v>
      </c>
      <c r="G85" s="74"/>
      <c r="H85" s="74">
        <v>50</v>
      </c>
      <c r="I85" s="74"/>
      <c r="J85" s="74">
        <v>100</v>
      </c>
      <c r="K85" s="60"/>
      <c r="L85" s="60"/>
      <c r="M85" s="74"/>
      <c r="N85" s="74"/>
      <c r="O85" s="74"/>
      <c r="P85" s="60"/>
      <c r="Q85" s="74"/>
      <c r="R85" s="74"/>
      <c r="S85" s="60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>
        <f t="shared" ref="AW85:AW107" si="27">SUM(B85:AS85)</f>
        <v>408</v>
      </c>
      <c r="AX85" s="66">
        <f t="shared" ref="AX85:AX131" si="28">AW85</f>
        <v>408</v>
      </c>
      <c r="AY85" s="62">
        <f>'[1]D4 Gallon Forecast'!$I149/1000000</f>
        <v>0</v>
      </c>
      <c r="AZ85" s="62">
        <f>'[1]D4 Gallon Forecast'!$I181/1000000</f>
        <v>18.110934</v>
      </c>
      <c r="BA85" s="62">
        <f t="shared" si="22"/>
        <v>18.110934</v>
      </c>
      <c r="BB85" s="62">
        <f>'[1]D4 Gallon Forecast'!$I165/1000000</f>
        <v>0</v>
      </c>
      <c r="BC85" s="63">
        <f>'[1]D4 Gallon Forecast'!$I341/1000000</f>
        <v>0.21033099999999999</v>
      </c>
      <c r="BD85" s="64">
        <f>'[1]D4 Gallon Forecast'!$I357/1000000</f>
        <v>0</v>
      </c>
      <c r="BE85" s="64">
        <f t="shared" si="23"/>
        <v>0.21033099999999999</v>
      </c>
      <c r="BF85" s="76">
        <f t="shared" ref="BF85:BF148" si="29">BA85+BE85</f>
        <v>18.321265</v>
      </c>
      <c r="BG85" s="77">
        <f t="shared" si="16"/>
        <v>0.52872088274826057</v>
      </c>
      <c r="BH85" s="74"/>
      <c r="BI85" s="75">
        <f t="shared" si="13"/>
        <v>101.25</v>
      </c>
      <c r="BJ85" s="75">
        <f t="shared" si="14"/>
        <v>306.75</v>
      </c>
      <c r="BK85" s="75">
        <f>'RD Feedstock Breakdown'!ES76</f>
        <v>159.02301382790515</v>
      </c>
      <c r="BL85" s="78">
        <f t="shared" si="15"/>
        <v>8.6796961797073049</v>
      </c>
      <c r="BM85" s="78">
        <f t="shared" ref="BM85:BM148" si="30">BK85/BA85</f>
        <v>8.7804976721744517</v>
      </c>
      <c r="BN85" s="69"/>
      <c r="BO85" s="79"/>
      <c r="BP85" s="69"/>
      <c r="BQ85" s="66">
        <f>'[1]Monthly D4 Gallon Data'!$B86/1000000</f>
        <v>65.936175000000006</v>
      </c>
      <c r="BR85" s="66">
        <f>'[1]Monthly D6 Gallon Data'!$B88/1000000</f>
        <v>0</v>
      </c>
      <c r="BS85" s="66">
        <f t="shared" si="24"/>
        <v>65.936175000000006</v>
      </c>
      <c r="BT85" s="60"/>
      <c r="BU85" s="67">
        <f>'[2]US EIA'!$P222</f>
        <v>712</v>
      </c>
      <c r="BV85" s="68">
        <f t="shared" si="25"/>
        <v>10.79832125536551</v>
      </c>
      <c r="BW85" s="60"/>
      <c r="BX85" s="69">
        <f t="shared" si="19"/>
        <v>0.21744388388728639</v>
      </c>
      <c r="BY85" s="69">
        <f t="shared" si="20"/>
        <v>0.7825561161127137</v>
      </c>
      <c r="BZ85" s="60"/>
      <c r="CA85" s="60"/>
      <c r="CB85" s="70">
        <f>'[1]Monthly D4 Gallon Data'!$AG86/1000000</f>
        <v>0.21033099999999999</v>
      </c>
      <c r="CC85" s="70">
        <f>'[1]Monthly D6 Gallon Data'!$O88/1000000</f>
        <v>0</v>
      </c>
      <c r="CD85" s="70">
        <f t="shared" si="26"/>
        <v>0.21033099999999999</v>
      </c>
      <c r="CE85" s="60"/>
      <c r="CF85" s="71">
        <f>'RD Feedstock Breakdown'!GQ76</f>
        <v>0.85702137332995387</v>
      </c>
      <c r="CG85" s="72">
        <f t="shared" si="21"/>
        <v>4.0746317629353443</v>
      </c>
      <c r="CH85" s="73">
        <f>'[2]US EIA'!$R222+AW85</f>
        <v>2724</v>
      </c>
    </row>
    <row r="86" spans="1:86" ht="13.5" x14ac:dyDescent="0.25">
      <c r="A86" s="59">
        <v>42767</v>
      </c>
      <c r="B86" s="74">
        <f t="shared" si="17"/>
        <v>160</v>
      </c>
      <c r="C86" s="74"/>
      <c r="D86" s="74">
        <f t="shared" si="18"/>
        <v>3</v>
      </c>
      <c r="E86" s="74"/>
      <c r="F86" s="74">
        <v>95</v>
      </c>
      <c r="G86" s="74"/>
      <c r="H86" s="74">
        <v>50</v>
      </c>
      <c r="I86" s="74"/>
      <c r="J86" s="74">
        <v>100</v>
      </c>
      <c r="K86" s="60"/>
      <c r="L86" s="60"/>
      <c r="M86" s="74"/>
      <c r="N86" s="74"/>
      <c r="O86" s="74"/>
      <c r="P86" s="60"/>
      <c r="Q86" s="74"/>
      <c r="R86" s="74"/>
      <c r="S86" s="60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>
        <f t="shared" si="27"/>
        <v>408</v>
      </c>
      <c r="AX86" s="66">
        <f t="shared" si="28"/>
        <v>408</v>
      </c>
      <c r="AY86" s="62">
        <f>'[1]D4 Gallon Forecast'!$I150/1000000</f>
        <v>0</v>
      </c>
      <c r="AZ86" s="62">
        <f>'[1]D4 Gallon Forecast'!$I182/1000000</f>
        <v>20.685124999999999</v>
      </c>
      <c r="BA86" s="62">
        <f t="shared" si="22"/>
        <v>20.685124999999999</v>
      </c>
      <c r="BB86" s="62">
        <f>'[1]D4 Gallon Forecast'!$I166/1000000</f>
        <v>0</v>
      </c>
      <c r="BC86" s="63">
        <f>'[1]D4 Gallon Forecast'!$I342/1000000</f>
        <v>0.19062200000000001</v>
      </c>
      <c r="BD86" s="64">
        <f>'[1]D4 Gallon Forecast'!$I358/1000000</f>
        <v>0</v>
      </c>
      <c r="BE86" s="64">
        <f t="shared" si="23"/>
        <v>0.19062200000000001</v>
      </c>
      <c r="BF86" s="76">
        <f t="shared" si="29"/>
        <v>20.875747</v>
      </c>
      <c r="BG86" s="77">
        <f t="shared" si="16"/>
        <v>0.60243893540480709</v>
      </c>
      <c r="BH86" s="74"/>
      <c r="BI86" s="75">
        <f t="shared" ref="BI86:BI149" si="31">SUMIF($B$7:$AN$7,"Yes",B86:AN86)*0.25</f>
        <v>101.25</v>
      </c>
      <c r="BJ86" s="75">
        <f t="shared" ref="BJ86:BJ141" si="32">AX86-BI86</f>
        <v>306.75</v>
      </c>
      <c r="BK86" s="75">
        <f>'RD Feedstock Breakdown'!ES77</f>
        <v>181.19514148443619</v>
      </c>
      <c r="BL86" s="78">
        <f t="shared" ref="BL86:BL149" si="33">BK86/BF86</f>
        <v>8.6796961797073031</v>
      </c>
      <c r="BM86" s="78">
        <f t="shared" si="30"/>
        <v>8.7596831773767967</v>
      </c>
      <c r="BN86" s="69"/>
      <c r="BO86" s="79"/>
      <c r="BP86" s="69"/>
      <c r="BQ86" s="66">
        <f>'[1]Monthly D4 Gallon Data'!$B87/1000000</f>
        <v>78.476257000000004</v>
      </c>
      <c r="BR86" s="66">
        <f>'[1]Monthly D6 Gallon Data'!$B89/1000000</f>
        <v>0</v>
      </c>
      <c r="BS86" s="66">
        <f t="shared" si="24"/>
        <v>78.476257000000004</v>
      </c>
      <c r="BT86" s="60"/>
      <c r="BU86" s="67">
        <f>'[2]US EIA'!$P223</f>
        <v>736</v>
      </c>
      <c r="BV86" s="68">
        <f t="shared" si="25"/>
        <v>9.3786328264866139</v>
      </c>
      <c r="BW86" s="60"/>
      <c r="BX86" s="69">
        <f t="shared" si="19"/>
        <v>0.21011903292861611</v>
      </c>
      <c r="BY86" s="69">
        <f t="shared" si="20"/>
        <v>0.78988096707138389</v>
      </c>
      <c r="BZ86" s="60"/>
      <c r="CA86" s="60"/>
      <c r="CB86" s="70">
        <f>'[1]Monthly D4 Gallon Data'!$AG87/1000000</f>
        <v>0.19062200000000001</v>
      </c>
      <c r="CC86" s="70">
        <f>'[1]Monthly D6 Gallon Data'!$O89/1000000</f>
        <v>0</v>
      </c>
      <c r="CD86" s="70">
        <f t="shared" si="26"/>
        <v>0.19062200000000001</v>
      </c>
      <c r="CE86" s="60"/>
      <c r="CF86" s="71">
        <f>'RD Feedstock Breakdown'!GQ77</f>
        <v>0.77671445591426147</v>
      </c>
      <c r="CG86" s="72">
        <f t="shared" si="21"/>
        <v>4.0746317629353452</v>
      </c>
      <c r="CH86" s="73">
        <f>'[2]US EIA'!$R223+AW86</f>
        <v>2724</v>
      </c>
    </row>
    <row r="87" spans="1:86" ht="13.5" x14ac:dyDescent="0.25">
      <c r="A87" s="59">
        <v>42795</v>
      </c>
      <c r="B87" s="74">
        <f t="shared" si="17"/>
        <v>160</v>
      </c>
      <c r="C87" s="74"/>
      <c r="D87" s="74">
        <f t="shared" si="18"/>
        <v>3</v>
      </c>
      <c r="E87" s="74"/>
      <c r="F87" s="74">
        <v>95</v>
      </c>
      <c r="G87" s="74"/>
      <c r="H87" s="74">
        <v>50</v>
      </c>
      <c r="I87" s="74"/>
      <c r="J87" s="74">
        <v>100</v>
      </c>
      <c r="K87" s="60"/>
      <c r="L87" s="60"/>
      <c r="M87" s="74"/>
      <c r="N87" s="74"/>
      <c r="O87" s="74"/>
      <c r="P87" s="60"/>
      <c r="Q87" s="74"/>
      <c r="R87" s="74"/>
      <c r="S87" s="60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>
        <f t="shared" si="27"/>
        <v>408</v>
      </c>
      <c r="AX87" s="66">
        <f t="shared" si="28"/>
        <v>408</v>
      </c>
      <c r="AY87" s="62">
        <f>'[1]D4 Gallon Forecast'!$I151/1000000</f>
        <v>0</v>
      </c>
      <c r="AZ87" s="62">
        <f>'[1]D4 Gallon Forecast'!$I183/1000000</f>
        <v>15.398643</v>
      </c>
      <c r="BA87" s="62">
        <f t="shared" si="22"/>
        <v>15.398643</v>
      </c>
      <c r="BB87" s="62">
        <f>'[1]D4 Gallon Forecast'!$I167/1000000</f>
        <v>0</v>
      </c>
      <c r="BC87" s="63">
        <f>'[1]D4 Gallon Forecast'!$I343/1000000</f>
        <v>0.18482499999999999</v>
      </c>
      <c r="BD87" s="64">
        <f>'[1]D4 Gallon Forecast'!$I359/1000000</f>
        <v>0</v>
      </c>
      <c r="BE87" s="64">
        <f t="shared" si="23"/>
        <v>0.18482499999999999</v>
      </c>
      <c r="BF87" s="76">
        <f t="shared" si="29"/>
        <v>15.583468</v>
      </c>
      <c r="BG87" s="77">
        <f t="shared" si="16"/>
        <v>0.49789616771708689</v>
      </c>
      <c r="BH87" s="74"/>
      <c r="BI87" s="75">
        <f t="shared" si="31"/>
        <v>101.25</v>
      </c>
      <c r="BJ87" s="75">
        <f t="shared" si="32"/>
        <v>306.75</v>
      </c>
      <c r="BK87" s="75">
        <f>'RD Feedstock Breakdown'!ES78</f>
        <v>135.25976766619101</v>
      </c>
      <c r="BL87" s="78">
        <f t="shared" si="33"/>
        <v>8.6796961797073031</v>
      </c>
      <c r="BM87" s="78">
        <f t="shared" si="30"/>
        <v>8.7838758042634666</v>
      </c>
      <c r="BN87" s="69"/>
      <c r="BO87" s="79"/>
      <c r="BP87" s="69"/>
      <c r="BQ87" s="66">
        <f>'[1]Monthly D4 Gallon Data'!$B88/1000000</f>
        <v>111.494709</v>
      </c>
      <c r="BR87" s="66">
        <f>'[1]Monthly D6 Gallon Data'!$B90/1000000</f>
        <v>0</v>
      </c>
      <c r="BS87" s="66">
        <f t="shared" si="24"/>
        <v>111.494709</v>
      </c>
      <c r="BT87" s="60"/>
      <c r="BU87" s="67">
        <f>'[2]US EIA'!$P224</f>
        <v>857</v>
      </c>
      <c r="BV87" s="68">
        <f t="shared" si="25"/>
        <v>7.6864633998013305</v>
      </c>
      <c r="BW87" s="60"/>
      <c r="BX87" s="69">
        <f t="shared" si="19"/>
        <v>0.1226289860925531</v>
      </c>
      <c r="BY87" s="69">
        <f t="shared" si="20"/>
        <v>0.87737101390744698</v>
      </c>
      <c r="BZ87" s="60"/>
      <c r="CA87" s="60"/>
      <c r="CB87" s="70">
        <f>'[1]Monthly D4 Gallon Data'!$AG88/1000000</f>
        <v>0.18482499999999999</v>
      </c>
      <c r="CC87" s="70">
        <f>'[1]Monthly D6 Gallon Data'!$O90/1000000</f>
        <v>0</v>
      </c>
      <c r="CD87" s="70">
        <f t="shared" si="26"/>
        <v>0.18482499999999999</v>
      </c>
      <c r="CE87" s="60"/>
      <c r="CF87" s="71">
        <f>'RD Feedstock Breakdown'!GQ78</f>
        <v>0.75309381558452504</v>
      </c>
      <c r="CG87" s="72">
        <f t="shared" si="21"/>
        <v>4.0746317629353443</v>
      </c>
      <c r="CH87" s="73">
        <f>'[2]US EIA'!$R224+AW87</f>
        <v>2770</v>
      </c>
    </row>
    <row r="88" spans="1:86" ht="13.5" x14ac:dyDescent="0.25">
      <c r="A88" s="59">
        <v>42826</v>
      </c>
      <c r="B88" s="74">
        <f t="shared" si="17"/>
        <v>160</v>
      </c>
      <c r="C88" s="74"/>
      <c r="D88" s="74">
        <f t="shared" si="18"/>
        <v>3</v>
      </c>
      <c r="E88" s="74"/>
      <c r="F88" s="74">
        <v>95</v>
      </c>
      <c r="G88" s="74"/>
      <c r="H88" s="74">
        <v>50</v>
      </c>
      <c r="I88" s="74"/>
      <c r="J88" s="74">
        <v>100</v>
      </c>
      <c r="K88" s="60"/>
      <c r="L88" s="60"/>
      <c r="M88" s="74"/>
      <c r="N88" s="74"/>
      <c r="O88" s="74"/>
      <c r="P88" s="60"/>
      <c r="Q88" s="74"/>
      <c r="R88" s="74"/>
      <c r="S88" s="60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>
        <f t="shared" si="27"/>
        <v>408</v>
      </c>
      <c r="AX88" s="66">
        <f t="shared" si="28"/>
        <v>408</v>
      </c>
      <c r="AY88" s="62">
        <f>'[1]D4 Gallon Forecast'!$I152/1000000</f>
        <v>0</v>
      </c>
      <c r="AZ88" s="62">
        <f>'[1]D4 Gallon Forecast'!$I184/1000000</f>
        <v>20.068138000000001</v>
      </c>
      <c r="BA88" s="62">
        <f t="shared" si="22"/>
        <v>20.068138000000001</v>
      </c>
      <c r="BB88" s="62">
        <f>'[1]D4 Gallon Forecast'!$I168/1000000</f>
        <v>0</v>
      </c>
      <c r="BC88" s="63">
        <f>'[1]D4 Gallon Forecast'!$I344/1000000</f>
        <v>0</v>
      </c>
      <c r="BD88" s="64">
        <f>'[1]D4 Gallon Forecast'!$I360/1000000</f>
        <v>0</v>
      </c>
      <c r="BE88" s="64">
        <f t="shared" si="23"/>
        <v>0</v>
      </c>
      <c r="BF88" s="76">
        <f t="shared" si="29"/>
        <v>20.068138000000001</v>
      </c>
      <c r="BG88" s="77">
        <f t="shared" ref="BG88:BG151" si="34">(BF88/(A88-A87)*365)/AX88</f>
        <v>0.57913269845034787</v>
      </c>
      <c r="BH88" s="74"/>
      <c r="BI88" s="75">
        <f t="shared" si="31"/>
        <v>101.25</v>
      </c>
      <c r="BJ88" s="75">
        <f t="shared" si="32"/>
        <v>306.75</v>
      </c>
      <c r="BK88" s="75">
        <f>'RD Feedstock Breakdown'!ES79</f>
        <v>174.18534073243899</v>
      </c>
      <c r="BL88" s="78">
        <f t="shared" si="33"/>
        <v>8.6796961797073049</v>
      </c>
      <c r="BM88" s="78">
        <f t="shared" si="30"/>
        <v>8.6796961797073049</v>
      </c>
      <c r="BN88" s="69"/>
      <c r="BO88" s="79"/>
      <c r="BP88" s="69"/>
      <c r="BQ88" s="66">
        <f>'[1]Monthly D4 Gallon Data'!$B89/1000000</f>
        <v>124.324164</v>
      </c>
      <c r="BR88" s="66">
        <f>'[1]Monthly D6 Gallon Data'!$B91/1000000</f>
        <v>0</v>
      </c>
      <c r="BS88" s="66">
        <f t="shared" si="24"/>
        <v>124.324164</v>
      </c>
      <c r="BT88" s="60"/>
      <c r="BU88" s="67">
        <f>'[2]US EIA'!$P225</f>
        <v>950</v>
      </c>
      <c r="BV88" s="68">
        <f t="shared" si="25"/>
        <v>7.6413142017990969</v>
      </c>
      <c r="BW88" s="60"/>
      <c r="BX88" s="69">
        <f t="shared" si="19"/>
        <v>0.13898343417227327</v>
      </c>
      <c r="BY88" s="69">
        <f t="shared" si="20"/>
        <v>0.86101656582772668</v>
      </c>
      <c r="BZ88" s="60"/>
      <c r="CA88" s="60"/>
      <c r="CB88" s="70">
        <f>'[1]Monthly D4 Gallon Data'!$AG89/1000000</f>
        <v>0</v>
      </c>
      <c r="CC88" s="70">
        <f>'[1]Monthly D6 Gallon Data'!$O91/1000000</f>
        <v>0</v>
      </c>
      <c r="CD88" s="70">
        <f t="shared" si="26"/>
        <v>0</v>
      </c>
      <c r="CE88" s="60"/>
      <c r="CF88" s="71">
        <f>'RD Feedstock Breakdown'!GQ79</f>
        <v>0</v>
      </c>
      <c r="CG88" s="72" t="e">
        <f t="shared" si="21"/>
        <v>#DIV/0!</v>
      </c>
      <c r="CH88" s="73">
        <f>'[2]US EIA'!$R225+AW88</f>
        <v>2736</v>
      </c>
    </row>
    <row r="89" spans="1:86" ht="13.5" x14ac:dyDescent="0.25">
      <c r="A89" s="59">
        <v>42856</v>
      </c>
      <c r="B89" s="74">
        <f t="shared" si="17"/>
        <v>160</v>
      </c>
      <c r="C89" s="74"/>
      <c r="D89" s="74">
        <f t="shared" si="18"/>
        <v>3</v>
      </c>
      <c r="E89" s="74"/>
      <c r="F89" s="74">
        <v>95</v>
      </c>
      <c r="G89" s="74"/>
      <c r="H89" s="74">
        <v>50</v>
      </c>
      <c r="I89" s="74"/>
      <c r="J89" s="74">
        <v>100</v>
      </c>
      <c r="K89" s="60"/>
      <c r="L89" s="60"/>
      <c r="M89" s="74"/>
      <c r="N89" s="74"/>
      <c r="O89" s="74"/>
      <c r="P89" s="60"/>
      <c r="Q89" s="74"/>
      <c r="R89" s="74"/>
      <c r="S89" s="60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>
        <f t="shared" si="27"/>
        <v>408</v>
      </c>
      <c r="AX89" s="66">
        <f t="shared" si="28"/>
        <v>408</v>
      </c>
      <c r="AY89" s="62">
        <f>'[1]D4 Gallon Forecast'!$I153/1000000</f>
        <v>0</v>
      </c>
      <c r="AZ89" s="62">
        <f>'[1]D4 Gallon Forecast'!$I185/1000000</f>
        <v>24.025407999999999</v>
      </c>
      <c r="BA89" s="62">
        <f t="shared" si="22"/>
        <v>24.025407999999999</v>
      </c>
      <c r="BB89" s="62">
        <f>'[1]D4 Gallon Forecast'!$I169/1000000</f>
        <v>0</v>
      </c>
      <c r="BC89" s="63">
        <f>'[1]D4 Gallon Forecast'!$I345/1000000</f>
        <v>0.13448499999999999</v>
      </c>
      <c r="BD89" s="64">
        <f>'[1]D4 Gallon Forecast'!$I361/1000000</f>
        <v>0</v>
      </c>
      <c r="BE89" s="64">
        <f t="shared" si="23"/>
        <v>0.13448499999999999</v>
      </c>
      <c r="BF89" s="76">
        <f t="shared" si="29"/>
        <v>24.159893</v>
      </c>
      <c r="BG89" s="77">
        <f t="shared" si="34"/>
        <v>0.72045432557189537</v>
      </c>
      <c r="BH89" s="74"/>
      <c r="BI89" s="75">
        <f t="shared" si="31"/>
        <v>101.25</v>
      </c>
      <c r="BJ89" s="75">
        <f t="shared" si="32"/>
        <v>306.75</v>
      </c>
      <c r="BK89" s="75">
        <f>'RD Feedstock Breakdown'!ES80</f>
        <v>209.70053097423724</v>
      </c>
      <c r="BL89" s="78">
        <f t="shared" si="33"/>
        <v>8.6796961797073049</v>
      </c>
      <c r="BM89" s="78">
        <f t="shared" si="30"/>
        <v>8.7282817829456736</v>
      </c>
      <c r="BN89" s="69"/>
      <c r="BO89" s="79"/>
      <c r="BP89" s="69"/>
      <c r="BQ89" s="66">
        <f>'[1]Monthly D4 Gallon Data'!$B90/1000000</f>
        <v>147.07405800000001</v>
      </c>
      <c r="BR89" s="66">
        <f>'[1]Monthly D6 Gallon Data'!$B92/1000000</f>
        <v>0</v>
      </c>
      <c r="BS89" s="66">
        <f t="shared" si="24"/>
        <v>147.07405800000001</v>
      </c>
      <c r="BT89" s="60"/>
      <c r="BU89" s="67">
        <f>'[2]US EIA'!$P226</f>
        <v>1054</v>
      </c>
      <c r="BV89" s="68">
        <f t="shared" si="25"/>
        <v>7.1664575951253076</v>
      </c>
      <c r="BW89" s="60"/>
      <c r="BX89" s="69">
        <f t="shared" si="19"/>
        <v>0.14109288992578345</v>
      </c>
      <c r="BY89" s="69">
        <f t="shared" si="20"/>
        <v>0.8589071100742165</v>
      </c>
      <c r="BZ89" s="60"/>
      <c r="CA89" s="60"/>
      <c r="CB89" s="70">
        <f>'[1]Monthly D4 Gallon Data'!$AG90/1000000</f>
        <v>0.13448499999999999</v>
      </c>
      <c r="CC89" s="70">
        <f>'[1]Monthly D6 Gallon Data'!$O92/1000000</f>
        <v>0</v>
      </c>
      <c r="CD89" s="70">
        <f t="shared" si="26"/>
        <v>0.13448499999999999</v>
      </c>
      <c r="CE89" s="60"/>
      <c r="CF89" s="71">
        <f>'RD Feedstock Breakdown'!GQ80</f>
        <v>0.54797685263835993</v>
      </c>
      <c r="CG89" s="72">
        <f t="shared" si="21"/>
        <v>4.0746317629353452</v>
      </c>
      <c r="CH89" s="73">
        <f>'[2]US EIA'!$R226+AW89</f>
        <v>2737</v>
      </c>
    </row>
    <row r="90" spans="1:86" ht="13.5" x14ac:dyDescent="0.25">
      <c r="A90" s="59">
        <v>42887</v>
      </c>
      <c r="B90" s="74">
        <f t="shared" ref="B90:B102" si="35">160*$B$12</f>
        <v>160</v>
      </c>
      <c r="C90" s="74"/>
      <c r="D90" s="74">
        <f t="shared" si="18"/>
        <v>3</v>
      </c>
      <c r="E90" s="74"/>
      <c r="F90" s="74">
        <v>95</v>
      </c>
      <c r="G90" s="74"/>
      <c r="H90" s="74">
        <v>50</v>
      </c>
      <c r="I90" s="74"/>
      <c r="J90" s="74">
        <v>100</v>
      </c>
      <c r="K90" s="60"/>
      <c r="L90" s="60"/>
      <c r="M90" s="74"/>
      <c r="N90" s="74"/>
      <c r="O90" s="74"/>
      <c r="P90" s="60"/>
      <c r="Q90" s="74"/>
      <c r="R90" s="74"/>
      <c r="S90" s="60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>
        <f t="shared" si="27"/>
        <v>408</v>
      </c>
      <c r="AX90" s="66">
        <f t="shared" si="28"/>
        <v>408</v>
      </c>
      <c r="AY90" s="62">
        <f>'[1]D4 Gallon Forecast'!$I154/1000000</f>
        <v>0</v>
      </c>
      <c r="AZ90" s="62">
        <f>'[1]D4 Gallon Forecast'!$I186/1000000</f>
        <v>17.375070999999998</v>
      </c>
      <c r="BA90" s="62">
        <f t="shared" si="22"/>
        <v>17.375070999999998</v>
      </c>
      <c r="BB90" s="62">
        <f>'[1]D4 Gallon Forecast'!$I170/1000000</f>
        <v>0</v>
      </c>
      <c r="BC90" s="63">
        <f>'[1]D4 Gallon Forecast'!$I346/1000000</f>
        <v>0.127471</v>
      </c>
      <c r="BD90" s="64">
        <f>'[1]D4 Gallon Forecast'!$I362/1000000</f>
        <v>0</v>
      </c>
      <c r="BE90" s="64">
        <f t="shared" si="23"/>
        <v>0.127471</v>
      </c>
      <c r="BF90" s="76">
        <f t="shared" si="29"/>
        <v>17.502541999999998</v>
      </c>
      <c r="BG90" s="77">
        <f t="shared" si="34"/>
        <v>0.50509391445287788</v>
      </c>
      <c r="BH90" s="74"/>
      <c r="BI90" s="75">
        <f t="shared" si="31"/>
        <v>101.25</v>
      </c>
      <c r="BJ90" s="75">
        <f t="shared" si="32"/>
        <v>306.75</v>
      </c>
      <c r="BK90" s="75">
        <f>'RD Feedstock Breakdown'!ES81</f>
        <v>151.91674693256664</v>
      </c>
      <c r="BL90" s="78">
        <f t="shared" si="33"/>
        <v>8.6796961797073049</v>
      </c>
      <c r="BM90" s="78">
        <f t="shared" si="30"/>
        <v>8.7433741670791818</v>
      </c>
      <c r="BN90" s="69"/>
      <c r="BO90" s="79"/>
      <c r="BP90" s="69"/>
      <c r="BQ90" s="66">
        <f>'[1]Monthly D4 Gallon Data'!$B91/1000000</f>
        <v>145.011076</v>
      </c>
      <c r="BR90" s="66">
        <f>'[1]Monthly D6 Gallon Data'!$B93/1000000</f>
        <v>0</v>
      </c>
      <c r="BS90" s="66">
        <f t="shared" si="24"/>
        <v>145.011076</v>
      </c>
      <c r="BT90" s="60"/>
      <c r="BU90" s="67">
        <f>'[2]US EIA'!$P227</f>
        <v>1069</v>
      </c>
      <c r="BV90" s="68">
        <f t="shared" si="25"/>
        <v>7.3718506853917836</v>
      </c>
      <c r="BW90" s="60"/>
      <c r="BX90" s="69">
        <f t="shared" si="19"/>
        <v>0.107698925267912</v>
      </c>
      <c r="BY90" s="69">
        <f t="shared" si="20"/>
        <v>0.89230107473208797</v>
      </c>
      <c r="BZ90" s="60"/>
      <c r="CA90" s="60"/>
      <c r="CB90" s="70">
        <f>'[1]Monthly D4 Gallon Data'!$AG91/1000000</f>
        <v>0.127471</v>
      </c>
      <c r="CC90" s="70">
        <f>'[1]Monthly D6 Gallon Data'!$O93/1000000</f>
        <v>0</v>
      </c>
      <c r="CD90" s="70">
        <f t="shared" si="26"/>
        <v>0.127471</v>
      </c>
      <c r="CE90" s="60"/>
      <c r="CF90" s="71">
        <f>'RD Feedstock Breakdown'!GQ81</f>
        <v>0.51939738545313141</v>
      </c>
      <c r="CG90" s="72">
        <f t="shared" si="21"/>
        <v>4.0746317629353452</v>
      </c>
      <c r="CH90" s="73">
        <f>'[2]US EIA'!$R227+AW90</f>
        <v>2737</v>
      </c>
    </row>
    <row r="91" spans="1:86" ht="13.5" x14ac:dyDescent="0.25">
      <c r="A91" s="59">
        <v>42917</v>
      </c>
      <c r="B91" s="74">
        <f t="shared" si="35"/>
        <v>160</v>
      </c>
      <c r="C91" s="74"/>
      <c r="D91" s="74">
        <f t="shared" si="18"/>
        <v>3</v>
      </c>
      <c r="E91" s="74"/>
      <c r="F91" s="74">
        <v>95</v>
      </c>
      <c r="G91" s="74"/>
      <c r="H91" s="74">
        <v>50</v>
      </c>
      <c r="I91" s="74"/>
      <c r="J91" s="74">
        <v>100</v>
      </c>
      <c r="K91" s="60"/>
      <c r="L91" s="60"/>
      <c r="M91" s="74"/>
      <c r="N91" s="74"/>
      <c r="O91" s="74"/>
      <c r="P91" s="60"/>
      <c r="Q91" s="74"/>
      <c r="R91" s="74"/>
      <c r="S91" s="60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>
        <f t="shared" si="27"/>
        <v>408</v>
      </c>
      <c r="AX91" s="66">
        <f t="shared" si="28"/>
        <v>408</v>
      </c>
      <c r="AY91" s="62">
        <f>'[1]D4 Gallon Forecast'!$I155/1000000</f>
        <v>0</v>
      </c>
      <c r="AZ91" s="62">
        <f>'[1]D4 Gallon Forecast'!$I187/1000000</f>
        <v>19.135414999999998</v>
      </c>
      <c r="BA91" s="62">
        <f t="shared" si="22"/>
        <v>19.135414999999998</v>
      </c>
      <c r="BB91" s="62">
        <f>'[1]D4 Gallon Forecast'!$I171/1000000</f>
        <v>0</v>
      </c>
      <c r="BC91" s="63">
        <f>'[1]D4 Gallon Forecast'!$I347/1000000</f>
        <v>0.120661</v>
      </c>
      <c r="BD91" s="64">
        <f>'[1]D4 Gallon Forecast'!$I363/1000000</f>
        <v>0</v>
      </c>
      <c r="BE91" s="64">
        <f t="shared" si="23"/>
        <v>0.120661</v>
      </c>
      <c r="BF91" s="76">
        <f t="shared" si="29"/>
        <v>19.256075999999997</v>
      </c>
      <c r="BG91" s="77">
        <f t="shared" si="34"/>
        <v>0.57422122058823521</v>
      </c>
      <c r="BH91" s="74"/>
      <c r="BI91" s="75">
        <f t="shared" si="31"/>
        <v>101.25</v>
      </c>
      <c r="BJ91" s="75">
        <f t="shared" si="32"/>
        <v>306.75</v>
      </c>
      <c r="BK91" s="75">
        <f>'RD Feedstock Breakdown'!ES82</f>
        <v>167.13688929335348</v>
      </c>
      <c r="BL91" s="78">
        <f t="shared" si="33"/>
        <v>8.6796961797073049</v>
      </c>
      <c r="BM91" s="78">
        <f t="shared" si="30"/>
        <v>8.7344272017802336</v>
      </c>
      <c r="BN91" s="69"/>
      <c r="BO91" s="79"/>
      <c r="BP91" s="69"/>
      <c r="BQ91" s="66">
        <f>'[1]Monthly D4 Gallon Data'!$B92/1000000</f>
        <v>150.29036400000001</v>
      </c>
      <c r="BR91" s="66">
        <f>'[1]Monthly D6 Gallon Data'!$B94/1000000</f>
        <v>0</v>
      </c>
      <c r="BS91" s="66">
        <f t="shared" si="24"/>
        <v>150.29036400000001</v>
      </c>
      <c r="BT91" s="60"/>
      <c r="BU91" s="67">
        <f>'[2]US EIA'!$P228</f>
        <v>1136</v>
      </c>
      <c r="BV91" s="68">
        <f t="shared" si="25"/>
        <v>7.5587015013151468</v>
      </c>
      <c r="BW91" s="60"/>
      <c r="BX91" s="69">
        <f t="shared" si="19"/>
        <v>0.11357405086181695</v>
      </c>
      <c r="BY91" s="69">
        <f t="shared" si="20"/>
        <v>0.88642594913818296</v>
      </c>
      <c r="BZ91" s="60"/>
      <c r="CA91" s="60"/>
      <c r="CB91" s="70">
        <f>'[1]Monthly D4 Gallon Data'!$AG92/1000000</f>
        <v>0.120661</v>
      </c>
      <c r="CC91" s="70">
        <f>'[1]Monthly D6 Gallon Data'!$O94/1000000</f>
        <v>0</v>
      </c>
      <c r="CD91" s="70">
        <f t="shared" si="26"/>
        <v>0.120661</v>
      </c>
      <c r="CE91" s="60"/>
      <c r="CF91" s="71">
        <f>'RD Feedstock Breakdown'!GQ82</f>
        <v>0.49164914314754171</v>
      </c>
      <c r="CG91" s="72">
        <f t="shared" si="21"/>
        <v>4.0746317629353452</v>
      </c>
      <c r="CH91" s="73">
        <f>'[2]US EIA'!$R228+AW91</f>
        <v>2738</v>
      </c>
    </row>
    <row r="92" spans="1:86" ht="13.5" x14ac:dyDescent="0.25">
      <c r="A92" s="59">
        <v>42948</v>
      </c>
      <c r="B92" s="74">
        <f t="shared" si="35"/>
        <v>160</v>
      </c>
      <c r="C92" s="74"/>
      <c r="D92" s="74">
        <f t="shared" si="18"/>
        <v>3</v>
      </c>
      <c r="E92" s="74"/>
      <c r="F92" s="74">
        <v>95</v>
      </c>
      <c r="G92" s="74"/>
      <c r="H92" s="74">
        <v>50</v>
      </c>
      <c r="I92" s="74"/>
      <c r="J92" s="74">
        <v>100</v>
      </c>
      <c r="K92" s="60"/>
      <c r="L92" s="60"/>
      <c r="M92" s="74"/>
      <c r="N92" s="74"/>
      <c r="O92" s="74"/>
      <c r="P92" s="60"/>
      <c r="Q92" s="74"/>
      <c r="R92" s="74"/>
      <c r="S92" s="60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>
        <f t="shared" si="27"/>
        <v>408</v>
      </c>
      <c r="AX92" s="66">
        <f t="shared" si="28"/>
        <v>408</v>
      </c>
      <c r="AY92" s="62">
        <f>'[1]D4 Gallon Forecast'!$I156/1000000</f>
        <v>0</v>
      </c>
      <c r="AZ92" s="62">
        <f>'[1]D4 Gallon Forecast'!$I188/1000000</f>
        <v>24.232161999999999</v>
      </c>
      <c r="BA92" s="62">
        <f t="shared" si="22"/>
        <v>24.232161999999999</v>
      </c>
      <c r="BB92" s="62">
        <f>'[1]D4 Gallon Forecast'!$I172/1000000</f>
        <v>0</v>
      </c>
      <c r="BC92" s="63">
        <f>'[1]D4 Gallon Forecast'!$I348/1000000</f>
        <v>0.174175</v>
      </c>
      <c r="BD92" s="64">
        <f>'[1]D4 Gallon Forecast'!$I364/1000000</f>
        <v>0</v>
      </c>
      <c r="BE92" s="64">
        <f t="shared" si="23"/>
        <v>0.174175</v>
      </c>
      <c r="BF92" s="76">
        <f t="shared" si="29"/>
        <v>24.406337000000001</v>
      </c>
      <c r="BG92" s="77">
        <f t="shared" si="34"/>
        <v>0.70432582265970911</v>
      </c>
      <c r="BH92" s="74"/>
      <c r="BI92" s="75">
        <f t="shared" si="31"/>
        <v>101.25</v>
      </c>
      <c r="BJ92" s="75">
        <f t="shared" si="32"/>
        <v>306.75</v>
      </c>
      <c r="BK92" s="75">
        <f>'RD Feedstock Breakdown'!ES83</f>
        <v>211.83959001954904</v>
      </c>
      <c r="BL92" s="78">
        <f t="shared" si="33"/>
        <v>8.6796961797073049</v>
      </c>
      <c r="BM92" s="78">
        <f t="shared" si="30"/>
        <v>8.7420837653507366</v>
      </c>
      <c r="BN92" s="69"/>
      <c r="BO92" s="79"/>
      <c r="BP92" s="69"/>
      <c r="BQ92" s="66">
        <f>'[1]Monthly D4 Gallon Data'!$B93/1000000</f>
        <v>157.53669600000001</v>
      </c>
      <c r="BR92" s="66">
        <f>'[1]Monthly D6 Gallon Data'!$B95/1000000</f>
        <v>0</v>
      </c>
      <c r="BS92" s="66">
        <f t="shared" si="24"/>
        <v>157.53669600000001</v>
      </c>
      <c r="BT92" s="60"/>
      <c r="BU92" s="67">
        <f>'[2]US EIA'!$P229</f>
        <v>1140</v>
      </c>
      <c r="BV92" s="68">
        <f t="shared" si="25"/>
        <v>7.2364092236643067</v>
      </c>
      <c r="BW92" s="60"/>
      <c r="BX92" s="69">
        <f t="shared" si="19"/>
        <v>0.13414274016197145</v>
      </c>
      <c r="BY92" s="69">
        <f t="shared" si="20"/>
        <v>0.86585725983802853</v>
      </c>
      <c r="BZ92" s="60"/>
      <c r="CA92" s="60"/>
      <c r="CB92" s="70">
        <f>'[1]Monthly D4 Gallon Data'!$AG93/1000000</f>
        <v>0.174175</v>
      </c>
      <c r="CC92" s="70">
        <f>'[1]Monthly D6 Gallon Data'!$O95/1000000</f>
        <v>0</v>
      </c>
      <c r="CD92" s="70">
        <f t="shared" si="26"/>
        <v>0.174175</v>
      </c>
      <c r="CE92" s="60"/>
      <c r="CF92" s="71">
        <f>'RD Feedstock Breakdown'!GQ83</f>
        <v>0.70969898730926362</v>
      </c>
      <c r="CG92" s="72">
        <f t="shared" si="21"/>
        <v>4.0746317629353443</v>
      </c>
      <c r="CH92" s="73">
        <f>'[2]US EIA'!$R229+AW92</f>
        <v>2729</v>
      </c>
    </row>
    <row r="93" spans="1:86" ht="13.5" x14ac:dyDescent="0.25">
      <c r="A93" s="59">
        <v>42979</v>
      </c>
      <c r="B93" s="74">
        <f t="shared" si="35"/>
        <v>160</v>
      </c>
      <c r="C93" s="74"/>
      <c r="D93" s="74">
        <f t="shared" si="18"/>
        <v>3</v>
      </c>
      <c r="E93" s="74"/>
      <c r="F93" s="74">
        <v>95</v>
      </c>
      <c r="G93" s="74"/>
      <c r="H93" s="74">
        <v>50</v>
      </c>
      <c r="I93" s="74"/>
      <c r="J93" s="74">
        <v>100</v>
      </c>
      <c r="K93" s="60"/>
      <c r="L93" s="60"/>
      <c r="M93" s="74"/>
      <c r="N93" s="74"/>
      <c r="O93" s="74"/>
      <c r="P93" s="60"/>
      <c r="Q93" s="74"/>
      <c r="R93" s="74"/>
      <c r="S93" s="60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>
        <f t="shared" si="27"/>
        <v>408</v>
      </c>
      <c r="AX93" s="66">
        <f t="shared" si="28"/>
        <v>408</v>
      </c>
      <c r="AY93" s="62">
        <f>'[1]D4 Gallon Forecast'!$I157/1000000</f>
        <v>0</v>
      </c>
      <c r="AZ93" s="62">
        <f>'[1]D4 Gallon Forecast'!$I189/1000000</f>
        <v>21.583936000000001</v>
      </c>
      <c r="BA93" s="62">
        <f t="shared" si="22"/>
        <v>21.583936000000001</v>
      </c>
      <c r="BB93" s="62">
        <f>'[1]D4 Gallon Forecast'!$I173/1000000</f>
        <v>0</v>
      </c>
      <c r="BC93" s="63">
        <f>'[1]D4 Gallon Forecast'!$I349/1000000</f>
        <v>0.13795199999999999</v>
      </c>
      <c r="BD93" s="64">
        <f>'[1]D4 Gallon Forecast'!$I365/1000000</f>
        <v>0</v>
      </c>
      <c r="BE93" s="64">
        <f t="shared" si="23"/>
        <v>0.13795199999999999</v>
      </c>
      <c r="BF93" s="76">
        <f t="shared" si="29"/>
        <v>21.721888</v>
      </c>
      <c r="BG93" s="77">
        <f t="shared" si="34"/>
        <v>0.62685714104996837</v>
      </c>
      <c r="BH93" s="74"/>
      <c r="BI93" s="75">
        <f t="shared" si="31"/>
        <v>101.25</v>
      </c>
      <c r="BJ93" s="75">
        <f t="shared" si="32"/>
        <v>306.75</v>
      </c>
      <c r="BK93" s="75">
        <f>'RD Feedstock Breakdown'!ES84</f>
        <v>188.5393882896299</v>
      </c>
      <c r="BL93" s="78">
        <f t="shared" si="33"/>
        <v>8.6796961797073031</v>
      </c>
      <c r="BM93" s="78">
        <f t="shared" si="30"/>
        <v>8.7351717633720689</v>
      </c>
      <c r="BN93" s="69"/>
      <c r="BO93" s="79"/>
      <c r="BP93" s="69"/>
      <c r="BQ93" s="66">
        <f>'[1]Monthly D4 Gallon Data'!$B94/1000000</f>
        <v>148.333215</v>
      </c>
      <c r="BR93" s="66">
        <f>'[1]Monthly D6 Gallon Data'!$B96/1000000</f>
        <v>0</v>
      </c>
      <c r="BS93" s="66">
        <f t="shared" si="24"/>
        <v>148.333215</v>
      </c>
      <c r="BT93" s="60"/>
      <c r="BU93" s="67">
        <f>'[2]US EIA'!$P230</f>
        <v>1068</v>
      </c>
      <c r="BV93" s="68">
        <f t="shared" si="25"/>
        <v>7.2000057438248071</v>
      </c>
      <c r="BW93" s="60"/>
      <c r="BX93" s="69">
        <f t="shared" si="19"/>
        <v>0.12773440853462656</v>
      </c>
      <c r="BY93" s="69">
        <f t="shared" si="20"/>
        <v>0.87226559146537341</v>
      </c>
      <c r="BZ93" s="60"/>
      <c r="CA93" s="60"/>
      <c r="CB93" s="70">
        <f>'[1]Monthly D4 Gallon Data'!$AG94/1000000</f>
        <v>0.13795199999999999</v>
      </c>
      <c r="CC93" s="70">
        <f>'[1]Monthly D6 Gallon Data'!$O96/1000000</f>
        <v>0</v>
      </c>
      <c r="CD93" s="70">
        <f t="shared" si="26"/>
        <v>0.13795199999999999</v>
      </c>
      <c r="CE93" s="60"/>
      <c r="CF93" s="71">
        <f>'RD Feedstock Breakdown'!GQ84</f>
        <v>0.56210360096045664</v>
      </c>
      <c r="CG93" s="72">
        <f t="shared" si="21"/>
        <v>4.0746317629353443</v>
      </c>
      <c r="CH93" s="73">
        <f>'[2]US EIA'!$R230+AW93</f>
        <v>2758</v>
      </c>
    </row>
    <row r="94" spans="1:86" ht="13.5" x14ac:dyDescent="0.25">
      <c r="A94" s="59">
        <v>43009</v>
      </c>
      <c r="B94" s="74">
        <f t="shared" si="35"/>
        <v>160</v>
      </c>
      <c r="C94" s="74"/>
      <c r="D94" s="74">
        <f t="shared" si="18"/>
        <v>3</v>
      </c>
      <c r="E94" s="74"/>
      <c r="F94" s="74">
        <v>95</v>
      </c>
      <c r="G94" s="74"/>
      <c r="H94" s="74">
        <v>50</v>
      </c>
      <c r="I94" s="74"/>
      <c r="J94" s="74">
        <v>100</v>
      </c>
      <c r="K94" s="60"/>
      <c r="L94" s="60"/>
      <c r="M94" s="74"/>
      <c r="N94" s="74"/>
      <c r="O94" s="74"/>
      <c r="P94" s="60"/>
      <c r="Q94" s="74"/>
      <c r="R94" s="74"/>
      <c r="S94" s="60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>
        <f t="shared" si="27"/>
        <v>408</v>
      </c>
      <c r="AX94" s="66">
        <f t="shared" si="28"/>
        <v>408</v>
      </c>
      <c r="AY94" s="62">
        <f>'[1]D4 Gallon Forecast'!$I158/1000000</f>
        <v>0</v>
      </c>
      <c r="AZ94" s="62">
        <f>'[1]D4 Gallon Forecast'!$I190/1000000</f>
        <v>25.02168</v>
      </c>
      <c r="BA94" s="62">
        <f t="shared" si="22"/>
        <v>25.02168</v>
      </c>
      <c r="BB94" s="62">
        <f>'[1]D4 Gallon Forecast'!$I174/1000000</f>
        <v>0</v>
      </c>
      <c r="BC94" s="63">
        <f>'[1]D4 Gallon Forecast'!$I350/1000000</f>
        <v>0.160272</v>
      </c>
      <c r="BD94" s="64">
        <f>'[1]D4 Gallon Forecast'!$I366/1000000</f>
        <v>0</v>
      </c>
      <c r="BE94" s="64">
        <f t="shared" si="23"/>
        <v>0.160272</v>
      </c>
      <c r="BF94" s="76">
        <f t="shared" si="29"/>
        <v>25.181951999999999</v>
      </c>
      <c r="BG94" s="77">
        <f t="shared" si="34"/>
        <v>0.75093239215686269</v>
      </c>
      <c r="BH94" s="74"/>
      <c r="BI94" s="75">
        <f t="shared" si="31"/>
        <v>101.25</v>
      </c>
      <c r="BJ94" s="75">
        <f t="shared" si="32"/>
        <v>306.75</v>
      </c>
      <c r="BK94" s="75">
        <f>'RD Feedstock Breakdown'!ES85</f>
        <v>218.5716925719727</v>
      </c>
      <c r="BL94" s="78">
        <f t="shared" si="33"/>
        <v>8.6796961797073049</v>
      </c>
      <c r="BM94" s="78">
        <f t="shared" si="30"/>
        <v>8.7352924572599715</v>
      </c>
      <c r="BN94" s="69"/>
      <c r="BO94" s="79"/>
      <c r="BP94" s="69"/>
      <c r="BQ94" s="66">
        <f>'[1]Monthly D4 Gallon Data'!$B95/1000000</f>
        <v>149.34791799999999</v>
      </c>
      <c r="BR94" s="66">
        <f>'[1]Monthly D6 Gallon Data'!$B97/1000000</f>
        <v>0</v>
      </c>
      <c r="BS94" s="66">
        <f t="shared" si="24"/>
        <v>149.34791799999999</v>
      </c>
      <c r="BT94" s="60"/>
      <c r="BU94" s="67">
        <f>'[2]US EIA'!$P231</f>
        <v>1126</v>
      </c>
      <c r="BV94" s="68">
        <f t="shared" si="25"/>
        <v>7.5394422304568049</v>
      </c>
      <c r="BW94" s="60"/>
      <c r="BX94" s="69">
        <f t="shared" si="19"/>
        <v>0.14428448265044833</v>
      </c>
      <c r="BY94" s="69">
        <f t="shared" si="20"/>
        <v>0.85571551734955165</v>
      </c>
      <c r="BZ94" s="60"/>
      <c r="CA94" s="60"/>
      <c r="CB94" s="70">
        <f>'[1]Monthly D4 Gallon Data'!$AG95/1000000</f>
        <v>0.160272</v>
      </c>
      <c r="CC94" s="70">
        <f>'[1]Monthly D6 Gallon Data'!$O97/1000000</f>
        <v>0</v>
      </c>
      <c r="CD94" s="70">
        <f t="shared" si="26"/>
        <v>0.160272</v>
      </c>
      <c r="CE94" s="60"/>
      <c r="CF94" s="71">
        <f>'RD Feedstock Breakdown'!GQ85</f>
        <v>1.306098763818347</v>
      </c>
      <c r="CG94" s="72">
        <f t="shared" si="21"/>
        <v>8.1492635258706887</v>
      </c>
      <c r="CH94" s="73">
        <f>'[2]US EIA'!$R231+AW94</f>
        <v>2765</v>
      </c>
    </row>
    <row r="95" spans="1:86" ht="13.5" x14ac:dyDescent="0.25">
      <c r="A95" s="59">
        <v>43040</v>
      </c>
      <c r="B95" s="74">
        <f t="shared" si="35"/>
        <v>160</v>
      </c>
      <c r="C95" s="74"/>
      <c r="D95" s="74">
        <f t="shared" si="18"/>
        <v>3</v>
      </c>
      <c r="E95" s="74"/>
      <c r="F95" s="74">
        <v>95</v>
      </c>
      <c r="G95" s="74"/>
      <c r="H95" s="74">
        <v>50</v>
      </c>
      <c r="I95" s="74"/>
      <c r="J95" s="74">
        <v>100</v>
      </c>
      <c r="K95" s="60"/>
      <c r="L95" s="60"/>
      <c r="M95" s="74"/>
      <c r="N95" s="74"/>
      <c r="O95" s="74"/>
      <c r="P95" s="60"/>
      <c r="Q95" s="74"/>
      <c r="R95" s="74"/>
      <c r="S95" s="60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>
        <f t="shared" si="27"/>
        <v>408</v>
      </c>
      <c r="AX95" s="66">
        <f t="shared" si="28"/>
        <v>408</v>
      </c>
      <c r="AY95" s="62">
        <f>'[1]D4 Gallon Forecast'!$I159/1000000</f>
        <v>0</v>
      </c>
      <c r="AZ95" s="62">
        <f>'[1]D4 Gallon Forecast'!$I191/1000000</f>
        <v>22.579304</v>
      </c>
      <c r="BA95" s="62">
        <f t="shared" si="22"/>
        <v>22.579304</v>
      </c>
      <c r="BB95" s="62">
        <f>'[1]D4 Gallon Forecast'!$I175/1000000</f>
        <v>0</v>
      </c>
      <c r="BC95" s="63">
        <f>'[1]D4 Gallon Forecast'!$I351/1000000</f>
        <v>6.8957000000000004E-2</v>
      </c>
      <c r="BD95" s="64">
        <f>'[1]D4 Gallon Forecast'!$I367/1000000</f>
        <v>0</v>
      </c>
      <c r="BE95" s="64">
        <f t="shared" si="23"/>
        <v>6.8957000000000004E-2</v>
      </c>
      <c r="BF95" s="76">
        <f t="shared" si="29"/>
        <v>22.648261000000002</v>
      </c>
      <c r="BG95" s="77">
        <f t="shared" si="34"/>
        <v>0.65359070722643897</v>
      </c>
      <c r="BH95" s="74"/>
      <c r="BI95" s="75">
        <f t="shared" si="31"/>
        <v>101.25</v>
      </c>
      <c r="BJ95" s="75">
        <f t="shared" si="32"/>
        <v>306.75</v>
      </c>
      <c r="BK95" s="75">
        <f>'RD Feedstock Breakdown'!ES86</f>
        <v>196.58002447871391</v>
      </c>
      <c r="BL95" s="78">
        <f t="shared" si="33"/>
        <v>8.6796961797073031</v>
      </c>
      <c r="BM95" s="78">
        <f t="shared" si="30"/>
        <v>8.7062038971047961</v>
      </c>
      <c r="BN95" s="69"/>
      <c r="BO95" s="79"/>
      <c r="BP95" s="69"/>
      <c r="BQ95" s="66">
        <f>'[1]Monthly D4 Gallon Data'!$B96/1000000</f>
        <v>147.82994500000001</v>
      </c>
      <c r="BR95" s="66">
        <f>'[1]Monthly D6 Gallon Data'!$B98/1000000</f>
        <v>0</v>
      </c>
      <c r="BS95" s="66">
        <f t="shared" si="24"/>
        <v>147.82994500000001</v>
      </c>
      <c r="BT95" s="60"/>
      <c r="BU95" s="67">
        <f>'[2]US EIA'!$P232</f>
        <v>1141</v>
      </c>
      <c r="BV95" s="68">
        <f t="shared" si="25"/>
        <v>7.7183279747550468</v>
      </c>
      <c r="BW95" s="60"/>
      <c r="BX95" s="69">
        <f t="shared" si="19"/>
        <v>0.13285135696465508</v>
      </c>
      <c r="BY95" s="69">
        <f t="shared" si="20"/>
        <v>0.867148643035345</v>
      </c>
      <c r="BZ95" s="60"/>
      <c r="CA95" s="60"/>
      <c r="CB95" s="70">
        <f>'[1]Monthly D4 Gallon Data'!$AG96/1000000</f>
        <v>6.8957000000000004E-2</v>
      </c>
      <c r="CC95" s="70">
        <f>'[1]Monthly D6 Gallon Data'!$O98/1000000</f>
        <v>0</v>
      </c>
      <c r="CD95" s="70">
        <f t="shared" si="26"/>
        <v>6.8957000000000004E-2</v>
      </c>
      <c r="CE95" s="60"/>
      <c r="CF95" s="71">
        <f>'RD Feedstock Breakdown'!GQ86</f>
        <v>0.59852580946407652</v>
      </c>
      <c r="CG95" s="72">
        <f t="shared" si="21"/>
        <v>8.6796961797073031</v>
      </c>
      <c r="CH95" s="73">
        <f>'[2]US EIA'!$R232+AW95</f>
        <v>2825</v>
      </c>
    </row>
    <row r="96" spans="1:86" ht="13.5" x14ac:dyDescent="0.25">
      <c r="A96" s="59">
        <v>43070</v>
      </c>
      <c r="B96" s="74">
        <f t="shared" si="35"/>
        <v>160</v>
      </c>
      <c r="C96" s="74"/>
      <c r="D96" s="74">
        <f t="shared" si="18"/>
        <v>3</v>
      </c>
      <c r="E96" s="74"/>
      <c r="F96" s="74">
        <v>95</v>
      </c>
      <c r="G96" s="74"/>
      <c r="H96" s="74">
        <v>50</v>
      </c>
      <c r="I96" s="74"/>
      <c r="J96" s="74">
        <v>100</v>
      </c>
      <c r="K96" s="60"/>
      <c r="L96" s="60"/>
      <c r="M96" s="74"/>
      <c r="N96" s="74"/>
      <c r="O96" s="74"/>
      <c r="P96" s="60"/>
      <c r="Q96" s="74"/>
      <c r="R96" s="74"/>
      <c r="S96" s="60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>
        <f t="shared" si="27"/>
        <v>408</v>
      </c>
      <c r="AX96" s="66">
        <f t="shared" si="28"/>
        <v>408</v>
      </c>
      <c r="AY96" s="62">
        <f>'[1]D4 Gallon Forecast'!$I160/1000000</f>
        <v>0</v>
      </c>
      <c r="AZ96" s="62">
        <f>'[1]D4 Gallon Forecast'!$I192/1000000</f>
        <v>24.979071999999999</v>
      </c>
      <c r="BA96" s="62">
        <f t="shared" si="22"/>
        <v>24.979071999999999</v>
      </c>
      <c r="BB96" s="62">
        <f>'[1]D4 Gallon Forecast'!$I176/1000000</f>
        <v>0</v>
      </c>
      <c r="BC96" s="63">
        <f>'[1]D4 Gallon Forecast'!$I352/1000000</f>
        <v>0.201266</v>
      </c>
      <c r="BD96" s="64">
        <f>'[1]D4 Gallon Forecast'!$I368/1000000</f>
        <v>0</v>
      </c>
      <c r="BE96" s="64">
        <f t="shared" si="23"/>
        <v>0.201266</v>
      </c>
      <c r="BF96" s="76">
        <f t="shared" si="29"/>
        <v>25.180337999999999</v>
      </c>
      <c r="BG96" s="77">
        <f t="shared" si="34"/>
        <v>0.7508842622549019</v>
      </c>
      <c r="BH96" s="77">
        <f>AVERAGE(BG85:BG96)</f>
        <v>0.6245457058567826</v>
      </c>
      <c r="BI96" s="75">
        <f t="shared" si="31"/>
        <v>101.25</v>
      </c>
      <c r="BJ96" s="75">
        <f t="shared" si="32"/>
        <v>306.75</v>
      </c>
      <c r="BK96" s="75">
        <f>'RD Feedstock Breakdown'!ES87</f>
        <v>218.55768354233865</v>
      </c>
      <c r="BL96" s="78">
        <f t="shared" si="33"/>
        <v>8.6796961797073049</v>
      </c>
      <c r="BM96" s="78">
        <f t="shared" si="30"/>
        <v>8.7496318334940018</v>
      </c>
      <c r="BN96" s="69"/>
      <c r="BO96" s="79"/>
      <c r="BP96" s="69"/>
      <c r="BQ96" s="66">
        <f>'[1]Monthly D4 Gallon Data'!$B97/1000000</f>
        <v>162.59516300000001</v>
      </c>
      <c r="BR96" s="66">
        <f>'[1]Monthly D6 Gallon Data'!$B99/1000000</f>
        <v>0</v>
      </c>
      <c r="BS96" s="66">
        <f t="shared" si="24"/>
        <v>162.59516300000001</v>
      </c>
      <c r="BT96" s="60"/>
      <c r="BU96" s="67">
        <f>'[2]US EIA'!$P233</f>
        <v>1132</v>
      </c>
      <c r="BV96" s="68">
        <f t="shared" si="25"/>
        <v>6.96207672549275</v>
      </c>
      <c r="BW96" s="60"/>
      <c r="BX96" s="69">
        <f t="shared" si="19"/>
        <v>0.13409810047584428</v>
      </c>
      <c r="BY96" s="69">
        <f t="shared" si="20"/>
        <v>0.86590189952415564</v>
      </c>
      <c r="BZ96" s="60"/>
      <c r="CA96" s="60"/>
      <c r="CB96" s="70">
        <f>'[1]Monthly D4 Gallon Data'!$AG97/1000000</f>
        <v>0.201266</v>
      </c>
      <c r="CC96" s="70">
        <f>'[1]Monthly D6 Gallon Data'!$O99/1000000</f>
        <v>0</v>
      </c>
      <c r="CD96" s="70">
        <f t="shared" si="26"/>
        <v>0.201266</v>
      </c>
      <c r="CE96" s="60"/>
      <c r="CF96" s="71">
        <f>'RD Feedstock Breakdown'!GQ87</f>
        <v>1.74692773130497</v>
      </c>
      <c r="CG96" s="72">
        <f t="shared" si="21"/>
        <v>8.6796961797073031</v>
      </c>
      <c r="CH96" s="73">
        <f>'[2]US EIA'!$R233+AW96</f>
        <v>2809</v>
      </c>
    </row>
    <row r="97" spans="1:86" ht="13.5" x14ac:dyDescent="0.25">
      <c r="A97" s="59">
        <v>43101</v>
      </c>
      <c r="B97" s="74">
        <f t="shared" si="35"/>
        <v>160</v>
      </c>
      <c r="C97" s="74"/>
      <c r="D97" s="74">
        <f t="shared" si="18"/>
        <v>3</v>
      </c>
      <c r="E97" s="74"/>
      <c r="F97" s="74">
        <v>95</v>
      </c>
      <c r="G97" s="74"/>
      <c r="H97" s="74">
        <v>50</v>
      </c>
      <c r="I97" s="74"/>
      <c r="J97" s="74">
        <v>100</v>
      </c>
      <c r="K97" s="60"/>
      <c r="L97" s="60"/>
      <c r="M97" s="74"/>
      <c r="N97" s="74"/>
      <c r="O97" s="74"/>
      <c r="P97" s="60"/>
      <c r="Q97" s="74"/>
      <c r="R97" s="74"/>
      <c r="S97" s="60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>
        <f t="shared" si="27"/>
        <v>408</v>
      </c>
      <c r="AX97" s="66">
        <f t="shared" si="28"/>
        <v>408</v>
      </c>
      <c r="AY97" s="62">
        <f>'[1]D4 Gallon Forecast'!$J149/1000000</f>
        <v>0</v>
      </c>
      <c r="AZ97" s="62">
        <f>'[1]D4 Gallon Forecast'!$J181/1000000</f>
        <v>13.358879</v>
      </c>
      <c r="BA97" s="62">
        <f t="shared" si="22"/>
        <v>13.358879</v>
      </c>
      <c r="BB97" s="62">
        <f>'[1]D4 Gallon Forecast'!$J165/1000000</f>
        <v>0</v>
      </c>
      <c r="BC97" s="63">
        <f>'[1]D4 Gallon Forecast'!$J341/1000000</f>
        <v>0.139714</v>
      </c>
      <c r="BD97" s="64">
        <f>'[1]D4 Gallon Forecast'!$J357/1000000</f>
        <v>0</v>
      </c>
      <c r="BE97" s="64">
        <f t="shared" si="23"/>
        <v>0.139714</v>
      </c>
      <c r="BF97" s="76">
        <f t="shared" si="29"/>
        <v>13.498593</v>
      </c>
      <c r="BG97" s="77">
        <f t="shared" si="34"/>
        <v>0.3895466828747628</v>
      </c>
      <c r="BH97" s="74"/>
      <c r="BI97" s="75">
        <f t="shared" si="31"/>
        <v>101.25</v>
      </c>
      <c r="BJ97" s="75">
        <f t="shared" si="32"/>
        <v>306.75</v>
      </c>
      <c r="BK97" s="75">
        <f>'RD Feedstock Breakdown'!ES88</f>
        <v>116.69325124409569</v>
      </c>
      <c r="BL97" s="78">
        <f t="shared" si="33"/>
        <v>8.6448455216107103</v>
      </c>
      <c r="BM97" s="78">
        <f t="shared" si="30"/>
        <v>8.735257744612829</v>
      </c>
      <c r="BN97" s="69"/>
      <c r="BO97" s="79"/>
      <c r="BP97" s="69"/>
      <c r="BQ97" s="66">
        <f>'[1]Monthly D4 Gallon Data'!$B98/1000000</f>
        <v>110.496056</v>
      </c>
      <c r="BR97" s="66">
        <f>'[1]Monthly D6 Gallon Data'!$B100/1000000</f>
        <v>0</v>
      </c>
      <c r="BS97" s="66">
        <f t="shared" si="24"/>
        <v>110.496056</v>
      </c>
      <c r="BT97" s="60"/>
      <c r="BU97" s="67">
        <f>'[2]US EIA'!$P234</f>
        <v>942</v>
      </c>
      <c r="BV97" s="68">
        <f t="shared" si="25"/>
        <v>8.5251911615741296</v>
      </c>
      <c r="BW97" s="60"/>
      <c r="BX97" s="69">
        <f t="shared" si="19"/>
        <v>0.108864318814274</v>
      </c>
      <c r="BY97" s="69">
        <f t="shared" si="20"/>
        <v>0.89113568118572606</v>
      </c>
      <c r="BZ97" s="60"/>
      <c r="CA97" s="60"/>
      <c r="CB97" s="70">
        <f>'[1]Monthly D4 Gallon Data'!$AG98/1000000</f>
        <v>0.139714</v>
      </c>
      <c r="CC97" s="70">
        <f>'[1]Monthly D6 Gallon Data'!$O100/1000000</f>
        <v>0</v>
      </c>
      <c r="CD97" s="70">
        <f t="shared" si="26"/>
        <v>0.139714</v>
      </c>
      <c r="CE97" s="60"/>
      <c r="CF97" s="71">
        <f>'RD Feedstock Breakdown'!GQ88</f>
        <v>1.2078059472063187</v>
      </c>
      <c r="CG97" s="72">
        <f t="shared" si="21"/>
        <v>8.6448455216107103</v>
      </c>
      <c r="CH97" s="73">
        <f>'[2]US EIA'!$R234+AW97</f>
        <v>2957</v>
      </c>
    </row>
    <row r="98" spans="1:86" ht="13.5" x14ac:dyDescent="0.25">
      <c r="A98" s="59">
        <v>43132</v>
      </c>
      <c r="B98" s="74">
        <f t="shared" si="35"/>
        <v>160</v>
      </c>
      <c r="C98" s="74"/>
      <c r="D98" s="74">
        <f t="shared" si="18"/>
        <v>3</v>
      </c>
      <c r="E98" s="74"/>
      <c r="F98" s="74">
        <v>95</v>
      </c>
      <c r="G98" s="74"/>
      <c r="H98" s="74">
        <v>50</v>
      </c>
      <c r="I98" s="74"/>
      <c r="J98" s="74">
        <v>100</v>
      </c>
      <c r="K98" s="60"/>
      <c r="L98" s="60"/>
      <c r="M98" s="74"/>
      <c r="N98" s="74"/>
      <c r="O98" s="74"/>
      <c r="P98" s="60"/>
      <c r="Q98" s="74"/>
      <c r="R98" s="74"/>
      <c r="S98" s="60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>
        <f t="shared" si="27"/>
        <v>408</v>
      </c>
      <c r="AX98" s="66">
        <f t="shared" si="28"/>
        <v>408</v>
      </c>
      <c r="AY98" s="62">
        <f>'[1]D4 Gallon Forecast'!$J150/1000000</f>
        <v>0</v>
      </c>
      <c r="AZ98" s="62">
        <f>'[1]D4 Gallon Forecast'!$J182/1000000</f>
        <v>20.164577000000001</v>
      </c>
      <c r="BA98" s="62">
        <f t="shared" si="22"/>
        <v>20.164577000000001</v>
      </c>
      <c r="BB98" s="62">
        <f>'[1]D4 Gallon Forecast'!$J166/1000000</f>
        <v>0</v>
      </c>
      <c r="BC98" s="63">
        <f>'[1]D4 Gallon Forecast'!$J342/1000000</f>
        <v>0.23799600000000001</v>
      </c>
      <c r="BD98" s="64">
        <f>'[1]D4 Gallon Forecast'!$J358/1000000</f>
        <v>0</v>
      </c>
      <c r="BE98" s="64">
        <f t="shared" si="23"/>
        <v>0.23799600000000001</v>
      </c>
      <c r="BF98" s="76">
        <f t="shared" si="29"/>
        <v>20.402573</v>
      </c>
      <c r="BG98" s="77">
        <f t="shared" si="34"/>
        <v>0.58878392987033523</v>
      </c>
      <c r="BH98" s="74"/>
      <c r="BI98" s="75">
        <f t="shared" si="31"/>
        <v>101.25</v>
      </c>
      <c r="BJ98" s="75">
        <f t="shared" si="32"/>
        <v>306.75</v>
      </c>
      <c r="BK98" s="75">
        <f>'RD Feedstock Breakdown'!ES89</f>
        <v>176.3770918283856</v>
      </c>
      <c r="BL98" s="78">
        <f t="shared" si="33"/>
        <v>8.6448455216107103</v>
      </c>
      <c r="BM98" s="78">
        <f t="shared" si="30"/>
        <v>8.7468778456590286</v>
      </c>
      <c r="BN98" s="69"/>
      <c r="BO98" s="79"/>
      <c r="BP98" s="69"/>
      <c r="BQ98" s="66">
        <f>'[1]Monthly D4 Gallon Data'!$B99/1000000</f>
        <v>115.536272</v>
      </c>
      <c r="BR98" s="66">
        <f>'[1]Monthly D6 Gallon Data'!$B101/1000000</f>
        <v>0</v>
      </c>
      <c r="BS98" s="66">
        <f t="shared" si="24"/>
        <v>115.536272</v>
      </c>
      <c r="BT98" s="60"/>
      <c r="BU98" s="67">
        <f>'[2]US EIA'!$P235</f>
        <v>953</v>
      </c>
      <c r="BV98" s="68">
        <f t="shared" si="25"/>
        <v>8.2484918675582684</v>
      </c>
      <c r="BW98" s="60"/>
      <c r="BX98" s="69">
        <f t="shared" si="19"/>
        <v>0.15008640834045633</v>
      </c>
      <c r="BY98" s="69">
        <f t="shared" si="20"/>
        <v>0.84991359165954372</v>
      </c>
      <c r="BZ98" s="60"/>
      <c r="CA98" s="60"/>
      <c r="CB98" s="70">
        <f>'[1]Monthly D4 Gallon Data'!$AG99/1000000</f>
        <v>0.23799600000000001</v>
      </c>
      <c r="CC98" s="70">
        <f>'[1]Monthly D6 Gallon Data'!$O101/1000000</f>
        <v>0</v>
      </c>
      <c r="CD98" s="70">
        <f t="shared" si="26"/>
        <v>0.23799600000000001</v>
      </c>
      <c r="CE98" s="60"/>
      <c r="CF98" s="71">
        <f>'RD Feedstock Breakdown'!GQ89</f>
        <v>2.0574386547612624</v>
      </c>
      <c r="CG98" s="72">
        <f t="shared" si="21"/>
        <v>8.6448455216107085</v>
      </c>
      <c r="CH98" s="73">
        <f>'[2]US EIA'!$R235+AW98</f>
        <v>2958</v>
      </c>
    </row>
    <row r="99" spans="1:86" ht="13.5" x14ac:dyDescent="0.25">
      <c r="A99" s="59">
        <v>43160</v>
      </c>
      <c r="B99" s="74">
        <f t="shared" si="35"/>
        <v>160</v>
      </c>
      <c r="C99" s="74"/>
      <c r="D99" s="74">
        <f t="shared" si="18"/>
        <v>3</v>
      </c>
      <c r="E99" s="74"/>
      <c r="F99" s="74">
        <v>95</v>
      </c>
      <c r="G99" s="74"/>
      <c r="H99" s="74">
        <v>50</v>
      </c>
      <c r="I99" s="74"/>
      <c r="J99" s="74">
        <v>100</v>
      </c>
      <c r="K99" s="60"/>
      <c r="L99" s="60"/>
      <c r="M99" s="74"/>
      <c r="N99" s="74"/>
      <c r="O99" s="74"/>
      <c r="P99" s="60"/>
      <c r="Q99" s="74"/>
      <c r="R99" s="74"/>
      <c r="S99" s="60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>
        <f t="shared" si="27"/>
        <v>408</v>
      </c>
      <c r="AX99" s="66">
        <f t="shared" si="28"/>
        <v>408</v>
      </c>
      <c r="AY99" s="62">
        <f>'[1]D4 Gallon Forecast'!$J151/1000000</f>
        <v>0</v>
      </c>
      <c r="AZ99" s="62">
        <f>'[1]D4 Gallon Forecast'!$J183/1000000</f>
        <v>22.796002000000001</v>
      </c>
      <c r="BA99" s="62">
        <f t="shared" si="22"/>
        <v>22.796002000000001</v>
      </c>
      <c r="BB99" s="62">
        <f>'[1]D4 Gallon Forecast'!$J167/1000000</f>
        <v>0</v>
      </c>
      <c r="BC99" s="63">
        <f>'[1]D4 Gallon Forecast'!$J343/1000000</f>
        <v>0.10378999999999999</v>
      </c>
      <c r="BD99" s="64">
        <f>'[1]D4 Gallon Forecast'!$J359/1000000</f>
        <v>0</v>
      </c>
      <c r="BE99" s="64">
        <f t="shared" si="23"/>
        <v>0.10378999999999999</v>
      </c>
      <c r="BF99" s="76">
        <f t="shared" si="29"/>
        <v>22.899792000000001</v>
      </c>
      <c r="BG99" s="77">
        <f t="shared" si="34"/>
        <v>0.73165476890756309</v>
      </c>
      <c r="BH99" s="74"/>
      <c r="BI99" s="75">
        <f t="shared" si="31"/>
        <v>101.25</v>
      </c>
      <c r="BJ99" s="75">
        <f t="shared" si="32"/>
        <v>306.75</v>
      </c>
      <c r="BK99" s="75">
        <f>'RD Feedstock Breakdown'!ES90</f>
        <v>197.96516431701679</v>
      </c>
      <c r="BL99" s="78">
        <f t="shared" si="33"/>
        <v>8.6448455216107103</v>
      </c>
      <c r="BM99" s="78">
        <f t="shared" si="30"/>
        <v>8.684205428522807</v>
      </c>
      <c r="BN99" s="69"/>
      <c r="BO99" s="79"/>
      <c r="BP99" s="69"/>
      <c r="BQ99" s="66">
        <f>'[1]Monthly D4 Gallon Data'!$B100/1000000</f>
        <v>145.19473400000001</v>
      </c>
      <c r="BR99" s="66">
        <f>'[1]Monthly D6 Gallon Data'!$B102/1000000</f>
        <v>0</v>
      </c>
      <c r="BS99" s="66">
        <f t="shared" si="24"/>
        <v>145.19473400000001</v>
      </c>
      <c r="BT99" s="60"/>
      <c r="BU99" s="67">
        <f>'[2]US EIA'!$P236</f>
        <v>1116</v>
      </c>
      <c r="BV99" s="68">
        <f t="shared" si="25"/>
        <v>7.6862291713692583</v>
      </c>
      <c r="BW99" s="60"/>
      <c r="BX99" s="69">
        <f t="shared" si="19"/>
        <v>0.13623163433650423</v>
      </c>
      <c r="BY99" s="69">
        <f t="shared" si="20"/>
        <v>0.8637683656634958</v>
      </c>
      <c r="BZ99" s="60"/>
      <c r="CA99" s="60"/>
      <c r="CB99" s="70">
        <f>'[1]Monthly D4 Gallon Data'!$AG100/1000000</f>
        <v>0.10378999999999999</v>
      </c>
      <c r="CC99" s="70">
        <f>'[1]Monthly D6 Gallon Data'!$O102/1000000</f>
        <v>0</v>
      </c>
      <c r="CD99" s="70">
        <f t="shared" si="26"/>
        <v>0.10378999999999999</v>
      </c>
      <c r="CE99" s="60"/>
      <c r="CF99" s="71">
        <f>'RD Feedstock Breakdown'!GQ90</f>
        <v>0.89724851668797567</v>
      </c>
      <c r="CG99" s="72">
        <f t="shared" si="21"/>
        <v>8.6448455216107121</v>
      </c>
      <c r="CH99" s="73">
        <f>'[2]US EIA'!$R236+AW99</f>
        <v>2956</v>
      </c>
    </row>
    <row r="100" spans="1:86" ht="13.5" x14ac:dyDescent="0.25">
      <c r="A100" s="59">
        <v>43191</v>
      </c>
      <c r="B100" s="74">
        <f t="shared" si="35"/>
        <v>160</v>
      </c>
      <c r="C100" s="74"/>
      <c r="D100" s="74">
        <f t="shared" si="18"/>
        <v>3</v>
      </c>
      <c r="E100" s="74"/>
      <c r="F100" s="74">
        <v>95</v>
      </c>
      <c r="G100" s="74"/>
      <c r="H100" s="74">
        <v>50</v>
      </c>
      <c r="I100" s="74"/>
      <c r="J100" s="74">
        <v>100</v>
      </c>
      <c r="K100" s="60"/>
      <c r="L100" s="60"/>
      <c r="M100" s="74"/>
      <c r="N100" s="74"/>
      <c r="O100" s="74"/>
      <c r="P100" s="60"/>
      <c r="Q100" s="74"/>
      <c r="R100" s="74"/>
      <c r="S100" s="60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>
        <f t="shared" si="27"/>
        <v>408</v>
      </c>
      <c r="AX100" s="66">
        <f t="shared" si="28"/>
        <v>408</v>
      </c>
      <c r="AY100" s="62">
        <f>'[1]D4 Gallon Forecast'!$J152/1000000</f>
        <v>0</v>
      </c>
      <c r="AZ100" s="62">
        <f>'[1]D4 Gallon Forecast'!$J184/1000000</f>
        <v>24.720243</v>
      </c>
      <c r="BA100" s="62">
        <f t="shared" si="22"/>
        <v>24.720243</v>
      </c>
      <c r="BB100" s="62">
        <f>'[1]D4 Gallon Forecast'!$J168/1000000</f>
        <v>0</v>
      </c>
      <c r="BC100" s="63">
        <f>'[1]D4 Gallon Forecast'!$J344/1000000</f>
        <v>0.18463399999999999</v>
      </c>
      <c r="BD100" s="64">
        <f>'[1]D4 Gallon Forecast'!$J360/1000000</f>
        <v>0</v>
      </c>
      <c r="BE100" s="64">
        <f t="shared" si="23"/>
        <v>0.18463399999999999</v>
      </c>
      <c r="BF100" s="76">
        <f t="shared" si="29"/>
        <v>24.904876999999999</v>
      </c>
      <c r="BG100" s="77">
        <f t="shared" si="34"/>
        <v>0.71871284827640725</v>
      </c>
      <c r="BH100" s="74"/>
      <c r="BI100" s="75">
        <f t="shared" si="31"/>
        <v>101.25</v>
      </c>
      <c r="BJ100" s="75">
        <f t="shared" si="32"/>
        <v>306.75</v>
      </c>
      <c r="BK100" s="75">
        <f>'RD Feedstock Breakdown'!ES91</f>
        <v>215.29881439971555</v>
      </c>
      <c r="BL100" s="78">
        <f t="shared" si="33"/>
        <v>8.6448455216107103</v>
      </c>
      <c r="BM100" s="78">
        <f t="shared" si="30"/>
        <v>8.7094133500109834</v>
      </c>
      <c r="BN100" s="69"/>
      <c r="BO100" s="79"/>
      <c r="BP100" s="69"/>
      <c r="BQ100" s="66">
        <f>'[1]Monthly D4 Gallon Data'!$B101/1000000</f>
        <v>144.63767300000001</v>
      </c>
      <c r="BR100" s="66">
        <f>'[1]Monthly D6 Gallon Data'!$B103/1000000</f>
        <v>0</v>
      </c>
      <c r="BS100" s="66">
        <f t="shared" si="24"/>
        <v>144.63767300000001</v>
      </c>
      <c r="BT100" s="60"/>
      <c r="BU100" s="67">
        <f>'[2]US EIA'!$P237</f>
        <v>1078</v>
      </c>
      <c r="BV100" s="68">
        <f t="shared" si="25"/>
        <v>7.4531066328756541</v>
      </c>
      <c r="BW100" s="60"/>
      <c r="BX100" s="69">
        <f t="shared" si="19"/>
        <v>0.14689455242946386</v>
      </c>
      <c r="BY100" s="69">
        <f t="shared" si="20"/>
        <v>0.85310544757053619</v>
      </c>
      <c r="BZ100" s="60"/>
      <c r="CA100" s="60"/>
      <c r="CB100" s="70">
        <f>'[1]Monthly D4 Gallon Data'!$AG101/1000000</f>
        <v>0.18463399999999999</v>
      </c>
      <c r="CC100" s="70">
        <f>'[1]Monthly D6 Gallon Data'!$O103/1000000</f>
        <v>0</v>
      </c>
      <c r="CD100" s="70">
        <f t="shared" si="26"/>
        <v>0.18463399999999999</v>
      </c>
      <c r="CE100" s="60"/>
      <c r="CF100" s="71">
        <f>'RD Feedstock Breakdown'!GQ91</f>
        <v>1.5961324080370718</v>
      </c>
      <c r="CG100" s="72">
        <f t="shared" si="21"/>
        <v>8.6448455216107103</v>
      </c>
      <c r="CH100" s="73">
        <f>'[2]US EIA'!$R237+AW100</f>
        <v>2975</v>
      </c>
    </row>
    <row r="101" spans="1:86" ht="13.5" x14ac:dyDescent="0.25">
      <c r="A101" s="59">
        <v>43221</v>
      </c>
      <c r="B101" s="74">
        <f t="shared" si="35"/>
        <v>160</v>
      </c>
      <c r="C101" s="74"/>
      <c r="D101" s="74">
        <f t="shared" si="18"/>
        <v>3</v>
      </c>
      <c r="E101" s="74"/>
      <c r="F101" s="74">
        <v>95</v>
      </c>
      <c r="G101" s="74"/>
      <c r="H101" s="74">
        <v>50</v>
      </c>
      <c r="I101" s="74"/>
      <c r="J101" s="74">
        <v>100</v>
      </c>
      <c r="K101" s="60"/>
      <c r="L101" s="60"/>
      <c r="M101" s="74"/>
      <c r="N101" s="74"/>
      <c r="O101" s="74"/>
      <c r="P101" s="60"/>
      <c r="Q101" s="74"/>
      <c r="R101" s="74"/>
      <c r="S101" s="60"/>
      <c r="T101" s="74"/>
      <c r="U101" s="74"/>
      <c r="V101" s="74"/>
      <c r="W101" s="74">
        <f>$W$5*$W$12*0.5</f>
        <v>10</v>
      </c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>
        <f t="shared" si="27"/>
        <v>418</v>
      </c>
      <c r="AX101" s="66">
        <f t="shared" si="28"/>
        <v>418</v>
      </c>
      <c r="AY101" s="62">
        <f>'[1]D4 Gallon Forecast'!$J153/1000000</f>
        <v>0</v>
      </c>
      <c r="AZ101" s="62">
        <f>'[1]D4 Gallon Forecast'!$J185/1000000</f>
        <v>21.078019000000001</v>
      </c>
      <c r="BA101" s="62">
        <f t="shared" si="22"/>
        <v>21.078019000000001</v>
      </c>
      <c r="BB101" s="62">
        <f>'[1]D4 Gallon Forecast'!$J169/1000000</f>
        <v>0</v>
      </c>
      <c r="BC101" s="63">
        <f>'[1]D4 Gallon Forecast'!$J345/1000000</f>
        <v>6.4188999999999996E-2</v>
      </c>
      <c r="BD101" s="64">
        <f>'[1]D4 Gallon Forecast'!$J361/1000000</f>
        <v>0</v>
      </c>
      <c r="BE101" s="64">
        <f t="shared" si="23"/>
        <v>6.4188999999999996E-2</v>
      </c>
      <c r="BF101" s="76">
        <f t="shared" si="29"/>
        <v>21.142208</v>
      </c>
      <c r="BG101" s="77">
        <f t="shared" si="34"/>
        <v>0.61538324720893134</v>
      </c>
      <c r="BH101" s="74"/>
      <c r="BI101" s="75">
        <f t="shared" si="31"/>
        <v>101.25</v>
      </c>
      <c r="BJ101" s="75">
        <f t="shared" si="32"/>
        <v>316.75</v>
      </c>
      <c r="BK101" s="75">
        <f>'RD Feedstock Breakdown'!ES92</f>
        <v>182.54926603526189</v>
      </c>
      <c r="BL101" s="78">
        <f t="shared" si="33"/>
        <v>8.6343520050158382</v>
      </c>
      <c r="BM101" s="78">
        <f t="shared" si="30"/>
        <v>8.6606462417204337</v>
      </c>
      <c r="BN101" s="69"/>
      <c r="BO101" s="79"/>
      <c r="BP101" s="69"/>
      <c r="BQ101" s="66">
        <f>'[1]Monthly D4 Gallon Data'!$B102/1000000</f>
        <v>166.235446</v>
      </c>
      <c r="BR101" s="66">
        <f>'[1]Monthly D6 Gallon Data'!$B104/1000000</f>
        <v>0</v>
      </c>
      <c r="BS101" s="66">
        <f t="shared" si="24"/>
        <v>166.235446</v>
      </c>
      <c r="BT101" s="60"/>
      <c r="BU101" s="67">
        <f>'[2]US EIA'!$P238</f>
        <v>1148</v>
      </c>
      <c r="BV101" s="68">
        <f t="shared" si="25"/>
        <v>6.9058677172857585</v>
      </c>
      <c r="BW101" s="60"/>
      <c r="BX101" s="69">
        <f t="shared" si="19"/>
        <v>0.11283206694433265</v>
      </c>
      <c r="BY101" s="69">
        <f t="shared" si="20"/>
        <v>0.88716793305566732</v>
      </c>
      <c r="BZ101" s="60"/>
      <c r="CA101" s="60"/>
      <c r="CB101" s="70">
        <f>'[1]Monthly D4 Gallon Data'!$AG102/1000000</f>
        <v>6.4188999999999996E-2</v>
      </c>
      <c r="CC101" s="70">
        <f>'[1]Monthly D6 Gallon Data'!$O104/1000000</f>
        <v>0</v>
      </c>
      <c r="CD101" s="70">
        <f t="shared" si="26"/>
        <v>6.4188999999999996E-2</v>
      </c>
      <c r="CE101" s="60"/>
      <c r="CF101" s="71">
        <f>'RD Feedstock Breakdown'!GQ92</f>
        <v>0.55423042084996166</v>
      </c>
      <c r="CG101" s="72">
        <f t="shared" si="21"/>
        <v>8.6343520050158382</v>
      </c>
      <c r="CH101" s="73">
        <f>'[2]US EIA'!$R238+AW101</f>
        <v>2929</v>
      </c>
    </row>
    <row r="102" spans="1:86" ht="13.5" x14ac:dyDescent="0.25">
      <c r="A102" s="59">
        <v>43252</v>
      </c>
      <c r="B102" s="74">
        <f t="shared" si="35"/>
        <v>160</v>
      </c>
      <c r="C102" s="74"/>
      <c r="D102" s="74">
        <f t="shared" si="18"/>
        <v>3</v>
      </c>
      <c r="E102" s="74"/>
      <c r="F102" s="74">
        <v>95</v>
      </c>
      <c r="G102" s="74"/>
      <c r="H102" s="74">
        <v>50</v>
      </c>
      <c r="I102" s="74"/>
      <c r="J102" s="74">
        <v>100</v>
      </c>
      <c r="K102" s="60"/>
      <c r="L102" s="60"/>
      <c r="M102" s="74"/>
      <c r="N102" s="74"/>
      <c r="O102" s="74"/>
      <c r="P102" s="60"/>
      <c r="Q102" s="74"/>
      <c r="R102" s="74"/>
      <c r="S102" s="60"/>
      <c r="T102" s="74"/>
      <c r="U102" s="74"/>
      <c r="V102" s="74"/>
      <c r="W102" s="74">
        <f t="shared" ref="W102:W165" si="36">$W$5*$W$12</f>
        <v>20</v>
      </c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>
        <f t="shared" si="27"/>
        <v>428</v>
      </c>
      <c r="AX102" s="66">
        <f t="shared" si="28"/>
        <v>428</v>
      </c>
      <c r="AY102" s="62">
        <f>'[1]D4 Gallon Forecast'!$J154/1000000</f>
        <v>0</v>
      </c>
      <c r="AZ102" s="62">
        <f>'[1]D4 Gallon Forecast'!$J186/1000000</f>
        <v>11.453319</v>
      </c>
      <c r="BA102" s="62">
        <f t="shared" si="22"/>
        <v>11.453319</v>
      </c>
      <c r="BB102" s="62">
        <f>'[1]D4 Gallon Forecast'!$J170/1000000</f>
        <v>0</v>
      </c>
      <c r="BC102" s="63">
        <f>'[1]D4 Gallon Forecast'!$J346/1000000</f>
        <v>0.14019400000000001</v>
      </c>
      <c r="BD102" s="64">
        <f>'[1]D4 Gallon Forecast'!$J362/1000000</f>
        <v>0</v>
      </c>
      <c r="BE102" s="64">
        <f t="shared" si="23"/>
        <v>0.14019400000000001</v>
      </c>
      <c r="BF102" s="76">
        <f t="shared" si="29"/>
        <v>11.593513</v>
      </c>
      <c r="BG102" s="77">
        <f t="shared" si="34"/>
        <v>0.31893520085921012</v>
      </c>
      <c r="BH102" s="74"/>
      <c r="BI102" s="75">
        <f t="shared" si="31"/>
        <v>101.25</v>
      </c>
      <c r="BJ102" s="75">
        <f t="shared" si="32"/>
        <v>326.75</v>
      </c>
      <c r="BK102" s="75">
        <f>'RD Feedstock Breakdown'!ES93</f>
        <v>99.986177695039743</v>
      </c>
      <c r="BL102" s="78">
        <f t="shared" si="33"/>
        <v>8.6243210056382171</v>
      </c>
      <c r="BM102" s="78">
        <f t="shared" si="30"/>
        <v>8.7298867424403124</v>
      </c>
      <c r="BN102" s="69"/>
      <c r="BO102" s="79"/>
      <c r="BP102" s="69"/>
      <c r="BQ102" s="66">
        <f>'[1]Monthly D4 Gallon Data'!$B103/1000000</f>
        <v>160.54822300000001</v>
      </c>
      <c r="BR102" s="66">
        <f>'[1]Monthly D6 Gallon Data'!$B105/1000000</f>
        <v>0</v>
      </c>
      <c r="BS102" s="66">
        <f t="shared" si="24"/>
        <v>160.54822300000001</v>
      </c>
      <c r="BT102" s="60"/>
      <c r="BU102" s="67">
        <f>'[2]US EIA'!$P239</f>
        <v>1194</v>
      </c>
      <c r="BV102" s="68">
        <f t="shared" si="25"/>
        <v>7.4370178485251746</v>
      </c>
      <c r="BW102" s="60"/>
      <c r="BX102" s="69">
        <f t="shared" si="19"/>
        <v>6.7348646931270628E-2</v>
      </c>
      <c r="BY102" s="69">
        <f t="shared" si="20"/>
        <v>0.93265135306872937</v>
      </c>
      <c r="BZ102" s="60"/>
      <c r="CA102" s="60"/>
      <c r="CB102" s="70">
        <f>'[1]Monthly D4 Gallon Data'!$AG103/1000000</f>
        <v>0.14019400000000001</v>
      </c>
      <c r="CC102" s="70">
        <f>'[1]Monthly D6 Gallon Data'!$O105/1000000</f>
        <v>0</v>
      </c>
      <c r="CD102" s="70">
        <f t="shared" si="26"/>
        <v>0.14019400000000001</v>
      </c>
      <c r="CE102" s="60"/>
      <c r="CF102" s="71">
        <f>'RD Feedstock Breakdown'!GQ93</f>
        <v>1.2090780590644443</v>
      </c>
      <c r="CG102" s="72">
        <f t="shared" si="21"/>
        <v>8.6243210056382171</v>
      </c>
      <c r="CH102" s="73">
        <f>'[2]US EIA'!$R239+AW102</f>
        <v>2940</v>
      </c>
    </row>
    <row r="103" spans="1:86" ht="13.5" x14ac:dyDescent="0.25">
      <c r="A103" s="59">
        <v>43282</v>
      </c>
      <c r="B103" s="74">
        <f>0*$B$12</f>
        <v>0</v>
      </c>
      <c r="C103" s="74"/>
      <c r="D103" s="74">
        <f t="shared" si="18"/>
        <v>3</v>
      </c>
      <c r="E103" s="74"/>
      <c r="F103" s="74">
        <v>95</v>
      </c>
      <c r="G103" s="74"/>
      <c r="H103" s="74">
        <v>50</v>
      </c>
      <c r="I103" s="74"/>
      <c r="J103" s="74">
        <v>100</v>
      </c>
      <c r="K103" s="60"/>
      <c r="L103" s="60"/>
      <c r="M103" s="74"/>
      <c r="N103" s="74"/>
      <c r="O103" s="74"/>
      <c r="P103" s="60"/>
      <c r="Q103" s="74"/>
      <c r="R103" s="74"/>
      <c r="S103" s="60"/>
      <c r="T103" s="74"/>
      <c r="U103" s="74"/>
      <c r="V103" s="74"/>
      <c r="W103" s="74">
        <f t="shared" si="36"/>
        <v>20</v>
      </c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>
        <f t="shared" si="27"/>
        <v>268</v>
      </c>
      <c r="AX103" s="66">
        <f t="shared" si="28"/>
        <v>268</v>
      </c>
      <c r="AY103" s="62">
        <f>'[1]D4 Gallon Forecast'!$J155/1000000</f>
        <v>0</v>
      </c>
      <c r="AZ103" s="62">
        <f>'[1]D4 Gallon Forecast'!$J187/1000000</f>
        <v>8.0636939999999999</v>
      </c>
      <c r="BA103" s="62">
        <f t="shared" si="22"/>
        <v>8.0636939999999999</v>
      </c>
      <c r="BB103" s="62">
        <f>'[1]D4 Gallon Forecast'!$J171/1000000</f>
        <v>0</v>
      </c>
      <c r="BC103" s="63">
        <f>'[1]D4 Gallon Forecast'!$J347/1000000</f>
        <v>8.2230999999999999E-2</v>
      </c>
      <c r="BD103" s="64">
        <f>'[1]D4 Gallon Forecast'!$J363/1000000</f>
        <v>0</v>
      </c>
      <c r="BE103" s="64">
        <f t="shared" si="23"/>
        <v>8.2230999999999999E-2</v>
      </c>
      <c r="BF103" s="76">
        <f t="shared" si="29"/>
        <v>8.1459250000000001</v>
      </c>
      <c r="BG103" s="77">
        <f t="shared" si="34"/>
        <v>0.36980878420398011</v>
      </c>
      <c r="BH103" s="74"/>
      <c r="BI103" s="75">
        <f t="shared" si="31"/>
        <v>61.25</v>
      </c>
      <c r="BJ103" s="75">
        <f t="shared" si="32"/>
        <v>206.75</v>
      </c>
      <c r="BK103" s="75">
        <f>'RD Feedstock Breakdown'!ES94</f>
        <v>70.467184707543183</v>
      </c>
      <c r="BL103" s="78">
        <f t="shared" si="33"/>
        <v>8.6506056350314022</v>
      </c>
      <c r="BM103" s="78">
        <f t="shared" si="30"/>
        <v>8.738821774182302</v>
      </c>
      <c r="BN103" s="69"/>
      <c r="BO103" s="79"/>
      <c r="BP103" s="69"/>
      <c r="BQ103" s="66">
        <f>'[1]Monthly D4 Gallon Data'!$B104/1000000</f>
        <v>169.77986999999999</v>
      </c>
      <c r="BR103" s="66">
        <f>'[1]Monthly D6 Gallon Data'!$B106/1000000</f>
        <v>0</v>
      </c>
      <c r="BS103" s="66">
        <f t="shared" si="24"/>
        <v>169.77986999999999</v>
      </c>
      <c r="BT103" s="60"/>
      <c r="BU103" s="67">
        <f>'[2]US EIA'!$P240</f>
        <v>1260</v>
      </c>
      <c r="BV103" s="68">
        <f t="shared" si="25"/>
        <v>7.4213745127735109</v>
      </c>
      <c r="BW103" s="60"/>
      <c r="BX103" s="69">
        <f t="shared" si="19"/>
        <v>4.5782709584071268E-2</v>
      </c>
      <c r="BY103" s="69">
        <f t="shared" si="20"/>
        <v>0.95421729041592873</v>
      </c>
      <c r="BZ103" s="60"/>
      <c r="CA103" s="60"/>
      <c r="CB103" s="70">
        <f>'[1]Monthly D4 Gallon Data'!$AG104/1000000</f>
        <v>8.2230999999999999E-2</v>
      </c>
      <c r="CC103" s="70">
        <f>'[1]Monthly D6 Gallon Data'!$O106/1000000</f>
        <v>0</v>
      </c>
      <c r="CD103" s="70">
        <f t="shared" si="26"/>
        <v>8.2230999999999999E-2</v>
      </c>
      <c r="CE103" s="60"/>
      <c r="CF103" s="71">
        <f>'RD Feedstock Breakdown'!GQ94</f>
        <v>0.71134795197426715</v>
      </c>
      <c r="CG103" s="72">
        <f t="shared" si="21"/>
        <v>8.6506056350314005</v>
      </c>
      <c r="CH103" s="73">
        <f>'[2]US EIA'!$R240+AW103</f>
        <v>2780</v>
      </c>
    </row>
    <row r="104" spans="1:86" ht="13.5" x14ac:dyDescent="0.25">
      <c r="A104" s="59">
        <v>43313</v>
      </c>
      <c r="B104" s="74">
        <f>188.75*$B$12</f>
        <v>188.75</v>
      </c>
      <c r="C104" s="74"/>
      <c r="D104" s="74">
        <f t="shared" si="18"/>
        <v>3</v>
      </c>
      <c r="E104" s="74"/>
      <c r="F104" s="74">
        <v>95</v>
      </c>
      <c r="G104" s="74"/>
      <c r="H104" s="74">
        <v>50</v>
      </c>
      <c r="I104" s="74"/>
      <c r="J104" s="74">
        <v>100</v>
      </c>
      <c r="K104" s="60"/>
      <c r="L104" s="60"/>
      <c r="M104" s="74"/>
      <c r="N104" s="74"/>
      <c r="O104" s="74"/>
      <c r="P104" s="60"/>
      <c r="Q104" s="74"/>
      <c r="R104" s="74"/>
      <c r="S104" s="60"/>
      <c r="T104" s="74"/>
      <c r="U104" s="74"/>
      <c r="V104" s="74"/>
      <c r="W104" s="74">
        <f t="shared" si="36"/>
        <v>20</v>
      </c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>
        <f t="shared" si="27"/>
        <v>456.75</v>
      </c>
      <c r="AX104" s="66">
        <f t="shared" si="28"/>
        <v>456.75</v>
      </c>
      <c r="AY104" s="62">
        <f>'[1]D4 Gallon Forecast'!$J156/1000000</f>
        <v>0</v>
      </c>
      <c r="AZ104" s="62">
        <f>'[1]D4 Gallon Forecast'!$J188/1000000</f>
        <v>13.886150000000001</v>
      </c>
      <c r="BA104" s="62">
        <f t="shared" si="22"/>
        <v>13.886150000000001</v>
      </c>
      <c r="BB104" s="62">
        <f>'[1]D4 Gallon Forecast'!$J172/1000000</f>
        <v>0</v>
      </c>
      <c r="BC104" s="63">
        <f>'[1]D4 Gallon Forecast'!$J348/1000000</f>
        <v>7.0236000000000007E-2</v>
      </c>
      <c r="BD104" s="64">
        <f>'[1]D4 Gallon Forecast'!$J364/1000000</f>
        <v>0</v>
      </c>
      <c r="BE104" s="64">
        <f t="shared" si="23"/>
        <v>7.0236000000000007E-2</v>
      </c>
      <c r="BF104" s="76">
        <f t="shared" si="29"/>
        <v>13.956386</v>
      </c>
      <c r="BG104" s="77">
        <f t="shared" si="34"/>
        <v>0.35977053092501365</v>
      </c>
      <c r="BH104" s="74"/>
      <c r="BI104" s="75">
        <f t="shared" si="31"/>
        <v>108.4375</v>
      </c>
      <c r="BJ104" s="75">
        <f t="shared" si="32"/>
        <v>348.3125</v>
      </c>
      <c r="BK104" s="75">
        <f>'RD Feedstock Breakdown'!ES95</f>
        <v>120.18631542801813</v>
      </c>
      <c r="BL104" s="78">
        <f t="shared" si="33"/>
        <v>8.6115642995269788</v>
      </c>
      <c r="BM104" s="78">
        <f t="shared" si="30"/>
        <v>8.6551215007772591</v>
      </c>
      <c r="BN104" s="69"/>
      <c r="BO104" s="79"/>
      <c r="BP104" s="69"/>
      <c r="BQ104" s="66">
        <f>'[1]Monthly D4 Gallon Data'!$B105/1000000</f>
        <v>180.63129699999999</v>
      </c>
      <c r="BR104" s="66">
        <f>'[1]Monthly D6 Gallon Data'!$B107/1000000</f>
        <v>0</v>
      </c>
      <c r="BS104" s="66">
        <f t="shared" si="24"/>
        <v>180.63129699999999</v>
      </c>
      <c r="BT104" s="60"/>
      <c r="BU104" s="67">
        <f>'[2]US EIA'!$P241</f>
        <v>1316</v>
      </c>
      <c r="BV104" s="68">
        <f t="shared" si="25"/>
        <v>7.285559157558394</v>
      </c>
      <c r="BW104" s="60"/>
      <c r="BX104" s="69">
        <f t="shared" si="19"/>
        <v>7.1722864391164987E-2</v>
      </c>
      <c r="BY104" s="69">
        <f t="shared" si="20"/>
        <v>0.92827713560883496</v>
      </c>
      <c r="BZ104" s="60"/>
      <c r="CA104" s="60"/>
      <c r="CB104" s="70">
        <f>'[1]Monthly D4 Gallon Data'!$AG105/1000000</f>
        <v>7.0236000000000007E-2</v>
      </c>
      <c r="CC104" s="70">
        <f>'[1]Monthly D6 Gallon Data'!$O107/1000000</f>
        <v>0</v>
      </c>
      <c r="CD104" s="70">
        <f t="shared" si="26"/>
        <v>7.0236000000000007E-2</v>
      </c>
      <c r="CE104" s="60"/>
      <c r="CF104" s="71">
        <f>'RD Feedstock Breakdown'!GQ95</f>
        <v>0.604841830141577</v>
      </c>
      <c r="CG104" s="72">
        <f t="shared" si="21"/>
        <v>8.6115642995269788</v>
      </c>
      <c r="CH104" s="73">
        <f>'[2]US EIA'!$R241+AW104</f>
        <v>2968.75</v>
      </c>
    </row>
    <row r="105" spans="1:86" ht="13.5" x14ac:dyDescent="0.25">
      <c r="A105" s="59">
        <v>43344</v>
      </c>
      <c r="B105" s="74">
        <f>217.5*$B$12</f>
        <v>217.5</v>
      </c>
      <c r="C105" s="74"/>
      <c r="D105" s="74">
        <f t="shared" si="18"/>
        <v>3</v>
      </c>
      <c r="E105" s="74"/>
      <c r="F105" s="74">
        <v>95</v>
      </c>
      <c r="G105" s="74"/>
      <c r="H105" s="74">
        <v>50</v>
      </c>
      <c r="I105" s="74"/>
      <c r="J105" s="74">
        <v>100</v>
      </c>
      <c r="K105" s="60"/>
      <c r="L105" s="60"/>
      <c r="M105" s="74"/>
      <c r="N105" s="74"/>
      <c r="O105" s="74"/>
      <c r="P105" s="60"/>
      <c r="Q105" s="74"/>
      <c r="R105" s="74"/>
      <c r="S105" s="60"/>
      <c r="T105" s="74"/>
      <c r="U105" s="74"/>
      <c r="V105" s="74"/>
      <c r="W105" s="74">
        <f t="shared" si="36"/>
        <v>20</v>
      </c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>
        <f t="shared" si="27"/>
        <v>485.5</v>
      </c>
      <c r="AX105" s="66">
        <f t="shared" si="28"/>
        <v>485.5</v>
      </c>
      <c r="AY105" s="62">
        <f>'[1]D4 Gallon Forecast'!$J157/1000000</f>
        <v>0</v>
      </c>
      <c r="AZ105" s="62">
        <f>'[1]D4 Gallon Forecast'!$J189/1000000</f>
        <v>28.618283000000002</v>
      </c>
      <c r="BA105" s="62">
        <f t="shared" si="22"/>
        <v>28.618283000000002</v>
      </c>
      <c r="BB105" s="62">
        <f>'[1]D4 Gallon Forecast'!$J173/1000000</f>
        <v>0</v>
      </c>
      <c r="BC105" s="63">
        <f>'[1]D4 Gallon Forecast'!$J349/1000000</f>
        <v>0.15108199999999999</v>
      </c>
      <c r="BD105" s="64">
        <f>'[1]D4 Gallon Forecast'!$J365/1000000</f>
        <v>0</v>
      </c>
      <c r="BE105" s="64">
        <f t="shared" si="23"/>
        <v>0.15108199999999999</v>
      </c>
      <c r="BF105" s="76">
        <f t="shared" si="29"/>
        <v>28.769365000000001</v>
      </c>
      <c r="BG105" s="77">
        <f t="shared" si="34"/>
        <v>0.69770560612604227</v>
      </c>
      <c r="BH105" s="74"/>
      <c r="BI105" s="75">
        <f t="shared" si="31"/>
        <v>115.625</v>
      </c>
      <c r="BJ105" s="75">
        <f t="shared" si="32"/>
        <v>369.875</v>
      </c>
      <c r="BK105" s="75">
        <f>'RD Feedstock Breakdown'!ES96</f>
        <v>247.84809689250571</v>
      </c>
      <c r="BL105" s="78">
        <f t="shared" si="33"/>
        <v>8.615000605418496</v>
      </c>
      <c r="BM105" s="78">
        <f t="shared" si="30"/>
        <v>8.6604810251022286</v>
      </c>
      <c r="BN105" s="69"/>
      <c r="BO105" s="79"/>
      <c r="BP105" s="69"/>
      <c r="BQ105" s="66">
        <f>'[1]Monthly D4 Gallon Data'!$B106/1000000</f>
        <v>157.00635600000001</v>
      </c>
      <c r="BR105" s="66">
        <f>'[1]Monthly D6 Gallon Data'!$B108/1000000</f>
        <v>0</v>
      </c>
      <c r="BS105" s="66">
        <f t="shared" si="24"/>
        <v>157.00635600000001</v>
      </c>
      <c r="BT105" s="60"/>
      <c r="BU105" s="67">
        <f>'[2]US EIA'!$P242</f>
        <v>1242</v>
      </c>
      <c r="BV105" s="68">
        <f t="shared" si="25"/>
        <v>7.9105077758762832</v>
      </c>
      <c r="BW105" s="60"/>
      <c r="BX105" s="69">
        <f t="shared" si="19"/>
        <v>0.15486073661907629</v>
      </c>
      <c r="BY105" s="69">
        <f t="shared" si="20"/>
        <v>0.84513926338092371</v>
      </c>
      <c r="BZ105" s="60"/>
      <c r="CA105" s="60"/>
      <c r="CB105" s="70">
        <f>'[1]Monthly D4 Gallon Data'!$AG106/1000000</f>
        <v>0.15108199999999999</v>
      </c>
      <c r="CC105" s="70">
        <f>'[1]Monthly D6 Gallon Data'!$O108/1000000</f>
        <v>0</v>
      </c>
      <c r="CD105" s="70">
        <f t="shared" si="26"/>
        <v>0.15108199999999999</v>
      </c>
      <c r="CE105" s="60"/>
      <c r="CF105" s="71">
        <f>'RD Feedstock Breakdown'!GQ96</f>
        <v>1.3015715214678369</v>
      </c>
      <c r="CG105" s="72">
        <f t="shared" si="21"/>
        <v>8.6150006054184942</v>
      </c>
      <c r="CH105" s="73">
        <f>'[2]US EIA'!$R242+AW105</f>
        <v>2997.5</v>
      </c>
    </row>
    <row r="106" spans="1:86" ht="13.5" x14ac:dyDescent="0.25">
      <c r="A106" s="59">
        <v>43374</v>
      </c>
      <c r="B106" s="74">
        <f>246.3*$B$12</f>
        <v>246.3</v>
      </c>
      <c r="C106" s="74"/>
      <c r="D106" s="74">
        <f t="shared" si="18"/>
        <v>3</v>
      </c>
      <c r="E106" s="74"/>
      <c r="F106" s="74">
        <v>95</v>
      </c>
      <c r="G106" s="74"/>
      <c r="H106" s="74">
        <v>50</v>
      </c>
      <c r="I106" s="74"/>
      <c r="J106" s="74">
        <v>100</v>
      </c>
      <c r="K106" s="60"/>
      <c r="L106" s="60"/>
      <c r="M106" s="74"/>
      <c r="N106" s="74"/>
      <c r="O106" s="74"/>
      <c r="P106" s="60"/>
      <c r="Q106" s="74"/>
      <c r="R106" s="74"/>
      <c r="S106" s="60"/>
      <c r="T106" s="74"/>
      <c r="U106" s="74"/>
      <c r="V106" s="74"/>
      <c r="W106" s="74">
        <f t="shared" si="36"/>
        <v>20</v>
      </c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>
        <f t="shared" si="27"/>
        <v>514.29999999999995</v>
      </c>
      <c r="AX106" s="66">
        <f t="shared" si="28"/>
        <v>514.29999999999995</v>
      </c>
      <c r="AY106" s="62">
        <f>'[1]D4 Gallon Forecast'!$J158/1000000</f>
        <v>0</v>
      </c>
      <c r="AZ106" s="62">
        <f>'[1]D4 Gallon Forecast'!$J190/1000000</f>
        <v>35.905766</v>
      </c>
      <c r="BA106" s="62">
        <f t="shared" si="22"/>
        <v>35.905766</v>
      </c>
      <c r="BB106" s="62">
        <f>'[1]D4 Gallon Forecast'!$J174/1000000</f>
        <v>0</v>
      </c>
      <c r="BC106" s="63">
        <f>'[1]D4 Gallon Forecast'!$J350/1000000</f>
        <v>0.22908899999999999</v>
      </c>
      <c r="BD106" s="64">
        <f>'[1]D4 Gallon Forecast'!$J366/1000000</f>
        <v>0</v>
      </c>
      <c r="BE106" s="64">
        <f t="shared" si="23"/>
        <v>0.22908899999999999</v>
      </c>
      <c r="BF106" s="76">
        <f t="shared" si="29"/>
        <v>36.134855000000002</v>
      </c>
      <c r="BG106" s="77">
        <f t="shared" si="34"/>
        <v>0.85483324097478797</v>
      </c>
      <c r="BH106" s="74"/>
      <c r="BI106" s="75">
        <f t="shared" si="31"/>
        <v>122.825</v>
      </c>
      <c r="BJ106" s="75">
        <f t="shared" si="32"/>
        <v>391.47499999999997</v>
      </c>
      <c r="BK106" s="75">
        <f>'RD Feedstock Breakdown'!ES97</f>
        <v>311.16198382073168</v>
      </c>
      <c r="BL106" s="78">
        <f t="shared" si="33"/>
        <v>8.6111313805114662</v>
      </c>
      <c r="BM106" s="78">
        <f t="shared" si="30"/>
        <v>8.6660728480414999</v>
      </c>
      <c r="BN106" s="69"/>
      <c r="BO106" s="79"/>
      <c r="BP106" s="69"/>
      <c r="BQ106" s="66">
        <f>'[1]Monthly D4 Gallon Data'!$B107/1000000</f>
        <v>170.94497899999999</v>
      </c>
      <c r="BR106" s="66">
        <f>'[1]Monthly D6 Gallon Data'!$B109/1000000</f>
        <v>0.33192700000000003</v>
      </c>
      <c r="BS106" s="66">
        <f t="shared" si="24"/>
        <v>171.276906</v>
      </c>
      <c r="BT106" s="60"/>
      <c r="BU106" s="67">
        <f>'[2]US EIA'!$P243</f>
        <v>1292</v>
      </c>
      <c r="BV106" s="68">
        <f t="shared" si="25"/>
        <v>7.5433403730448054</v>
      </c>
      <c r="BW106" s="60"/>
      <c r="BX106" s="69">
        <f t="shared" si="19"/>
        <v>0.17421796539300391</v>
      </c>
      <c r="BY106" s="69">
        <f t="shared" si="20"/>
        <v>0.82578203460699606</v>
      </c>
      <c r="BZ106" s="60"/>
      <c r="CA106" s="60"/>
      <c r="CB106" s="70">
        <f>'[1]Monthly D4 Gallon Data'!$AG107/1000000</f>
        <v>0.22908899999999999</v>
      </c>
      <c r="CC106" s="70">
        <f>'[1]Monthly D6 Gallon Data'!$O109/1000000</f>
        <v>0</v>
      </c>
      <c r="CD106" s="70">
        <f t="shared" si="26"/>
        <v>0.22908899999999999</v>
      </c>
      <c r="CE106" s="60"/>
      <c r="CF106" s="71">
        <f>'RD Feedstock Breakdown'!GQ97</f>
        <v>1.9727154768299915</v>
      </c>
      <c r="CG106" s="72">
        <f t="shared" si="21"/>
        <v>8.611131380511468</v>
      </c>
      <c r="CH106" s="73">
        <f>'[2]US EIA'!$R243+AW106</f>
        <v>3031.3</v>
      </c>
    </row>
    <row r="107" spans="1:86" ht="13.5" x14ac:dyDescent="0.25">
      <c r="A107" s="59">
        <v>43405</v>
      </c>
      <c r="B107" s="74">
        <f>290*$B$12</f>
        <v>290</v>
      </c>
      <c r="C107" s="74"/>
      <c r="D107" s="74">
        <f t="shared" si="18"/>
        <v>3</v>
      </c>
      <c r="E107" s="74"/>
      <c r="F107" s="74">
        <v>95</v>
      </c>
      <c r="G107" s="74"/>
      <c r="H107" s="74">
        <v>50</v>
      </c>
      <c r="I107" s="74"/>
      <c r="J107" s="74">
        <v>100</v>
      </c>
      <c r="K107" s="60"/>
      <c r="L107" s="60"/>
      <c r="M107" s="74"/>
      <c r="N107" s="74"/>
      <c r="O107" s="74"/>
      <c r="P107" s="60"/>
      <c r="Q107" s="74"/>
      <c r="R107" s="74"/>
      <c r="S107" s="60"/>
      <c r="T107" s="74"/>
      <c r="U107" s="74"/>
      <c r="V107" s="74"/>
      <c r="W107" s="74">
        <f t="shared" si="36"/>
        <v>20</v>
      </c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>
        <f t="shared" si="27"/>
        <v>558</v>
      </c>
      <c r="AX107" s="66">
        <f t="shared" si="28"/>
        <v>558</v>
      </c>
      <c r="AY107" s="62">
        <f>'[1]D4 Gallon Forecast'!$J159/1000000</f>
        <v>0</v>
      </c>
      <c r="AZ107" s="62">
        <f>'[1]D4 Gallon Forecast'!$J191/1000000</f>
        <v>36.871698000000002</v>
      </c>
      <c r="BA107" s="62">
        <f t="shared" si="22"/>
        <v>36.871698000000002</v>
      </c>
      <c r="BB107" s="62">
        <f>'[1]D4 Gallon Forecast'!$J175/1000000</f>
        <v>0</v>
      </c>
      <c r="BC107" s="63">
        <f>'[1]D4 Gallon Forecast'!$J351/1000000</f>
        <v>0.152783</v>
      </c>
      <c r="BD107" s="64">
        <f>'[1]D4 Gallon Forecast'!$J367/1000000</f>
        <v>0</v>
      </c>
      <c r="BE107" s="64">
        <f t="shared" si="23"/>
        <v>0.152783</v>
      </c>
      <c r="BF107" s="76">
        <f t="shared" si="29"/>
        <v>37.024481000000002</v>
      </c>
      <c r="BG107" s="77">
        <f t="shared" si="34"/>
        <v>0.78124266186842417</v>
      </c>
      <c r="BH107" s="74"/>
      <c r="BI107" s="75">
        <f t="shared" si="31"/>
        <v>133.75</v>
      </c>
      <c r="BJ107" s="75">
        <f t="shared" si="32"/>
        <v>424.25</v>
      </c>
      <c r="BK107" s="75">
        <f>'RD Feedstock Breakdown'!ES98</f>
        <v>318.99208125982796</v>
      </c>
      <c r="BL107" s="78">
        <f t="shared" si="33"/>
        <v>8.6157070307029535</v>
      </c>
      <c r="BM107" s="78">
        <f t="shared" si="30"/>
        <v>8.6514074090058983</v>
      </c>
      <c r="BN107" s="69"/>
      <c r="BO107" s="79"/>
      <c r="BP107" s="69"/>
      <c r="BQ107" s="66">
        <f>'[1]Monthly D4 Gallon Data'!$B108/1000000</f>
        <v>150.78054</v>
      </c>
      <c r="BR107" s="66">
        <f>'[1]Monthly D6 Gallon Data'!$B110/1000000</f>
        <v>0</v>
      </c>
      <c r="BS107" s="66">
        <f t="shared" si="24"/>
        <v>150.78054</v>
      </c>
      <c r="BT107" s="60"/>
      <c r="BU107" s="67">
        <f>'[2]US EIA'!$P244</f>
        <v>1218</v>
      </c>
      <c r="BV107" s="68">
        <f t="shared" si="25"/>
        <v>8.0779654987308049</v>
      </c>
      <c r="BW107" s="60"/>
      <c r="BX107" s="69">
        <f t="shared" si="19"/>
        <v>0.19714319033035863</v>
      </c>
      <c r="BY107" s="69">
        <f t="shared" si="20"/>
        <v>0.80285680966964135</v>
      </c>
      <c r="BZ107" s="60"/>
      <c r="CA107" s="60"/>
      <c r="CB107" s="70">
        <f>'[1]Monthly D4 Gallon Data'!$AG108/1000000</f>
        <v>0.152783</v>
      </c>
      <c r="CC107" s="70">
        <f>'[1]Monthly D6 Gallon Data'!$O110/1000000</f>
        <v>0</v>
      </c>
      <c r="CD107" s="70">
        <f t="shared" si="26"/>
        <v>0.152783</v>
      </c>
      <c r="CE107" s="60"/>
      <c r="CF107" s="71">
        <f>'RD Feedstock Breakdown'!GQ98</f>
        <v>1.3163335672718894</v>
      </c>
      <c r="CG107" s="72">
        <f t="shared" si="21"/>
        <v>8.6157070307029535</v>
      </c>
      <c r="CH107" s="73">
        <f>'[2]US EIA'!$R244+AW107</f>
        <v>3060</v>
      </c>
    </row>
    <row r="108" spans="1:86" ht="13.5" x14ac:dyDescent="0.25">
      <c r="A108" s="59">
        <v>43435</v>
      </c>
      <c r="B108" s="74">
        <f t="shared" ref="B108:B141" si="37">290*$B$12</f>
        <v>290</v>
      </c>
      <c r="C108" s="74"/>
      <c r="D108" s="74">
        <f t="shared" si="18"/>
        <v>3</v>
      </c>
      <c r="E108" s="74"/>
      <c r="F108" s="74">
        <v>95</v>
      </c>
      <c r="G108" s="74"/>
      <c r="H108" s="74">
        <v>50</v>
      </c>
      <c r="I108" s="74"/>
      <c r="J108" s="74">
        <v>100</v>
      </c>
      <c r="K108" s="60"/>
      <c r="L108" s="60"/>
      <c r="M108" s="74"/>
      <c r="N108" s="74"/>
      <c r="O108" s="74"/>
      <c r="P108" s="60"/>
      <c r="Q108" s="74"/>
      <c r="R108" s="74"/>
      <c r="S108" s="60"/>
      <c r="T108" s="74"/>
      <c r="U108" s="74"/>
      <c r="V108" s="74"/>
      <c r="W108" s="74">
        <f t="shared" si="36"/>
        <v>20</v>
      </c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>
        <f>SUM(B108:AS108)</f>
        <v>558</v>
      </c>
      <c r="AX108" s="66">
        <f t="shared" si="28"/>
        <v>558</v>
      </c>
      <c r="AY108" s="62">
        <f>'[1]D4 Gallon Forecast'!$J160/1000000</f>
        <v>0</v>
      </c>
      <c r="AZ108" s="62">
        <f>'[1]D4 Gallon Forecast'!$J192/1000000</f>
        <v>44.959932000000002</v>
      </c>
      <c r="BA108" s="62">
        <f t="shared" si="22"/>
        <v>44.959932000000002</v>
      </c>
      <c r="BB108" s="62">
        <f>'[1]D4 Gallon Forecast'!$J176/1000000</f>
        <v>0</v>
      </c>
      <c r="BC108" s="63">
        <f>'[1]D4 Gallon Forecast'!$J352/1000000</f>
        <v>0.27223999999999998</v>
      </c>
      <c r="BD108" s="64">
        <f>'[1]D4 Gallon Forecast'!$J368/1000000</f>
        <v>0</v>
      </c>
      <c r="BE108" s="64">
        <f t="shared" si="23"/>
        <v>0.27223999999999998</v>
      </c>
      <c r="BF108" s="76">
        <f t="shared" si="29"/>
        <v>45.232171999999998</v>
      </c>
      <c r="BG108" s="77">
        <f t="shared" si="34"/>
        <v>0.98624508841099157</v>
      </c>
      <c r="BH108" s="77">
        <f>AVERAGE(BG97:BG108)</f>
        <v>0.6177185492088707</v>
      </c>
      <c r="BI108" s="75">
        <f t="shared" si="31"/>
        <v>133.75</v>
      </c>
      <c r="BJ108" s="75">
        <f t="shared" si="32"/>
        <v>424.25</v>
      </c>
      <c r="BK108" s="75">
        <f>'RD Feedstock Breakdown'!ES99</f>
        <v>389.70714231436529</v>
      </c>
      <c r="BL108" s="78">
        <f t="shared" si="33"/>
        <v>8.6157070307029535</v>
      </c>
      <c r="BM108" s="78">
        <f t="shared" si="30"/>
        <v>8.6678765954175656</v>
      </c>
      <c r="BN108" s="69"/>
      <c r="BO108" s="79"/>
      <c r="BP108" s="69"/>
      <c r="BQ108" s="66">
        <f>'[1]Monthly D4 Gallon Data'!$B109/1000000</f>
        <v>183.32937699999999</v>
      </c>
      <c r="BR108" s="66">
        <f>'[1]Monthly D6 Gallon Data'!$B111/1000000</f>
        <v>0</v>
      </c>
      <c r="BS108" s="66">
        <f t="shared" si="24"/>
        <v>183.32937699999999</v>
      </c>
      <c r="BT108" s="60"/>
      <c r="BU108" s="67">
        <f>'[2]US EIA'!$P245</f>
        <v>1283</v>
      </c>
      <c r="BV108" s="68">
        <f t="shared" si="25"/>
        <v>6.9983328422045528</v>
      </c>
      <c r="BW108" s="60"/>
      <c r="BX108" s="69">
        <f t="shared" si="19"/>
        <v>0.19789930632645478</v>
      </c>
      <c r="BY108" s="69">
        <f t="shared" si="20"/>
        <v>0.80210069367354531</v>
      </c>
      <c r="BZ108" s="60"/>
      <c r="CA108" s="60"/>
      <c r="CB108" s="70">
        <f>'[1]Monthly D4 Gallon Data'!$AG109/1000000</f>
        <v>0.27223999999999998</v>
      </c>
      <c r="CC108" s="70">
        <f>'[1]Monthly D6 Gallon Data'!$O111/1000000</f>
        <v>0</v>
      </c>
      <c r="CD108" s="70">
        <f t="shared" si="26"/>
        <v>0.27223999999999998</v>
      </c>
      <c r="CE108" s="60"/>
      <c r="CF108" s="71">
        <f>'RD Feedstock Breakdown'!GQ99</f>
        <v>2.3455400820385721</v>
      </c>
      <c r="CG108" s="72">
        <f t="shared" si="21"/>
        <v>8.6157070307029535</v>
      </c>
      <c r="CH108" s="73">
        <f>'[2]US EIA'!$R245+AW108</f>
        <v>3065</v>
      </c>
    </row>
    <row r="109" spans="1:86" ht="13.5" x14ac:dyDescent="0.25">
      <c r="A109" s="59">
        <v>43466</v>
      </c>
      <c r="B109" s="74">
        <f t="shared" si="37"/>
        <v>290</v>
      </c>
      <c r="C109" s="74"/>
      <c r="D109" s="74">
        <f t="shared" si="18"/>
        <v>3</v>
      </c>
      <c r="E109" s="74"/>
      <c r="F109" s="74">
        <v>95</v>
      </c>
      <c r="G109" s="74"/>
      <c r="H109" s="74">
        <v>50</v>
      </c>
      <c r="I109" s="74"/>
      <c r="J109" s="74">
        <v>100</v>
      </c>
      <c r="K109" s="60"/>
      <c r="L109" s="60"/>
      <c r="M109" s="74"/>
      <c r="N109" s="74"/>
      <c r="O109" s="74"/>
      <c r="P109" s="60"/>
      <c r="Q109" s="74"/>
      <c r="R109" s="74"/>
      <c r="S109" s="60"/>
      <c r="T109" s="74"/>
      <c r="U109" s="74"/>
      <c r="V109" s="74"/>
      <c r="W109" s="74">
        <f t="shared" si="36"/>
        <v>20</v>
      </c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>
        <f t="shared" ref="AW109:AW148" si="38">SUM(B109:AQ109)</f>
        <v>558</v>
      </c>
      <c r="AX109" s="66">
        <f t="shared" si="28"/>
        <v>558</v>
      </c>
      <c r="AY109" s="62">
        <f>'[1]D4 Gallon Forecast'!$K149/1000000</f>
        <v>0</v>
      </c>
      <c r="AZ109" s="62">
        <f>'[1]D4 Gallon Forecast'!$K181/1000000</f>
        <v>33.505471</v>
      </c>
      <c r="BA109" s="62">
        <f t="shared" si="22"/>
        <v>33.505471</v>
      </c>
      <c r="BB109" s="62">
        <f>'[1]D4 Gallon Forecast'!$K165/1000000</f>
        <v>0</v>
      </c>
      <c r="BC109" s="63">
        <f>'[1]D4 Gallon Forecast'!$K341/1000000</f>
        <v>0.19463</v>
      </c>
      <c r="BD109" s="64">
        <f>'[1]D4 Gallon Forecast'!$K357/1000000</f>
        <v>0</v>
      </c>
      <c r="BE109" s="64">
        <f t="shared" si="23"/>
        <v>0.19463</v>
      </c>
      <c r="BF109" s="76">
        <f t="shared" si="29"/>
        <v>33.700100999999997</v>
      </c>
      <c r="BG109" s="77">
        <f t="shared" si="34"/>
        <v>0.71109589923690597</v>
      </c>
      <c r="BH109" s="74"/>
      <c r="BI109" s="75">
        <f t="shared" si="31"/>
        <v>133.75</v>
      </c>
      <c r="BJ109" s="75">
        <f t="shared" si="32"/>
        <v>424.25</v>
      </c>
      <c r="BK109" s="75">
        <f>'RD Feedstock Breakdown'!ES100</f>
        <v>288.63397808263795</v>
      </c>
      <c r="BL109" s="78">
        <f t="shared" si="33"/>
        <v>8.5647808023672685</v>
      </c>
      <c r="BM109" s="78">
        <f t="shared" si="30"/>
        <v>8.6145327753380325</v>
      </c>
      <c r="BN109" s="69"/>
      <c r="BO109" s="79"/>
      <c r="BP109" s="69"/>
      <c r="BQ109" s="66">
        <f>'[1]Monthly D4 Gallon Data'!$B110/1000000</f>
        <v>107.668977</v>
      </c>
      <c r="BR109" s="66">
        <f>'[1]Monthly D6 Gallon Data'!$B112/1000000</f>
        <v>1.1178E-2</v>
      </c>
      <c r="BS109" s="66">
        <f t="shared" si="24"/>
        <v>107.680155</v>
      </c>
      <c r="BT109" s="60"/>
      <c r="BU109" s="67">
        <f>'[2]US EIA'!$P246</f>
        <v>1114</v>
      </c>
      <c r="BV109" s="68">
        <f t="shared" si="25"/>
        <v>10.345453161726969</v>
      </c>
      <c r="BW109" s="60"/>
      <c r="BX109" s="69">
        <f t="shared" si="19"/>
        <v>0.23836497367779555</v>
      </c>
      <c r="BY109" s="69">
        <f t="shared" si="20"/>
        <v>0.76163502632220437</v>
      </c>
      <c r="BZ109" s="60"/>
      <c r="CA109" s="60"/>
      <c r="CB109" s="70">
        <f>'[1]Monthly D4 Gallon Data'!$AG110/1000000</f>
        <v>0.19463</v>
      </c>
      <c r="CC109" s="70">
        <f>'[1]Monthly D6 Gallon Data'!$O112/1000000</f>
        <v>0</v>
      </c>
      <c r="CD109" s="70">
        <f t="shared" si="26"/>
        <v>0.19463</v>
      </c>
      <c r="CE109" s="60"/>
      <c r="CF109" s="71">
        <f>'RD Feedstock Breakdown'!GQ100</f>
        <v>1.6669632875647415</v>
      </c>
      <c r="CG109" s="72">
        <f t="shared" si="21"/>
        <v>8.5647808023672685</v>
      </c>
      <c r="CH109" s="73">
        <f>'[2]US EIA'!$R246+AW109</f>
        <v>3122</v>
      </c>
    </row>
    <row r="110" spans="1:86" ht="13.5" x14ac:dyDescent="0.25">
      <c r="A110" s="59">
        <v>43497</v>
      </c>
      <c r="B110" s="74">
        <f t="shared" si="37"/>
        <v>290</v>
      </c>
      <c r="C110" s="74"/>
      <c r="D110" s="74">
        <f t="shared" si="18"/>
        <v>3</v>
      </c>
      <c r="E110" s="74"/>
      <c r="F110" s="74">
        <v>95</v>
      </c>
      <c r="G110" s="74"/>
      <c r="H110" s="74">
        <v>50</v>
      </c>
      <c r="I110" s="74"/>
      <c r="J110" s="74">
        <v>100</v>
      </c>
      <c r="K110" s="60"/>
      <c r="L110" s="60"/>
      <c r="M110" s="74"/>
      <c r="N110" s="74"/>
      <c r="O110" s="74"/>
      <c r="P110" s="60"/>
      <c r="Q110" s="74"/>
      <c r="R110" s="74"/>
      <c r="S110" s="60"/>
      <c r="T110" s="74"/>
      <c r="U110" s="74"/>
      <c r="V110" s="74"/>
      <c r="W110" s="74">
        <f t="shared" si="36"/>
        <v>20</v>
      </c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>
        <f t="shared" si="38"/>
        <v>558</v>
      </c>
      <c r="AX110" s="66">
        <f t="shared" si="28"/>
        <v>558</v>
      </c>
      <c r="AY110" s="62">
        <f>'[1]D4 Gallon Forecast'!$K150/1000000</f>
        <v>0</v>
      </c>
      <c r="AZ110" s="62">
        <f>'[1]D4 Gallon Forecast'!$K182/1000000</f>
        <v>37.825609</v>
      </c>
      <c r="BA110" s="62">
        <f t="shared" si="22"/>
        <v>37.825609</v>
      </c>
      <c r="BB110" s="62">
        <f>'[1]D4 Gallon Forecast'!$K166/1000000</f>
        <v>0</v>
      </c>
      <c r="BC110" s="63">
        <f>'[1]D4 Gallon Forecast'!$K342/1000000</f>
        <v>0.187609</v>
      </c>
      <c r="BD110" s="64">
        <f>'[1]D4 Gallon Forecast'!$K358/1000000</f>
        <v>0</v>
      </c>
      <c r="BE110" s="64">
        <f t="shared" si="23"/>
        <v>0.187609</v>
      </c>
      <c r="BF110" s="76">
        <f t="shared" si="29"/>
        <v>38.013218000000002</v>
      </c>
      <c r="BG110" s="77">
        <f t="shared" si="34"/>
        <v>0.80210570990865993</v>
      </c>
      <c r="BH110" s="74"/>
      <c r="BI110" s="75">
        <f t="shared" si="31"/>
        <v>133.75</v>
      </c>
      <c r="BJ110" s="75">
        <f t="shared" si="32"/>
        <v>424.25</v>
      </c>
      <c r="BK110" s="75">
        <f>'RD Feedstock Breakdown'!ES101</f>
        <v>325.57487976260188</v>
      </c>
      <c r="BL110" s="78">
        <f t="shared" si="33"/>
        <v>8.5647808023672685</v>
      </c>
      <c r="BM110" s="78">
        <f t="shared" si="30"/>
        <v>8.6072607519049296</v>
      </c>
      <c r="BN110" s="69"/>
      <c r="BO110" s="79"/>
      <c r="BP110" s="69"/>
      <c r="BQ110" s="66">
        <f>'[1]Monthly D4 Gallon Data'!$B111/1000000</f>
        <v>117.33045199999999</v>
      </c>
      <c r="BR110" s="66">
        <f>'[1]Monthly D6 Gallon Data'!$B113/1000000</f>
        <v>0</v>
      </c>
      <c r="BS110" s="66">
        <f t="shared" si="24"/>
        <v>117.33045199999999</v>
      </c>
      <c r="BT110" s="60"/>
      <c r="BU110" s="67">
        <f>'[2]US EIA'!$P247</f>
        <v>985</v>
      </c>
      <c r="BV110" s="68">
        <f t="shared" si="25"/>
        <v>8.3950925203970073</v>
      </c>
      <c r="BW110" s="60"/>
      <c r="BX110" s="69">
        <f t="shared" si="19"/>
        <v>0.24470400370996773</v>
      </c>
      <c r="BY110" s="69">
        <f t="shared" si="20"/>
        <v>0.75529599629003219</v>
      </c>
      <c r="BZ110" s="60"/>
      <c r="CA110" s="60"/>
      <c r="CB110" s="70">
        <f>'[1]Monthly D4 Gallon Data'!$AG111/1000000</f>
        <v>0.187609</v>
      </c>
      <c r="CC110" s="70">
        <f>'[1]Monthly D6 Gallon Data'!$O113/1000000</f>
        <v>0</v>
      </c>
      <c r="CD110" s="70">
        <f t="shared" si="26"/>
        <v>0.187609</v>
      </c>
      <c r="CE110" s="60"/>
      <c r="CF110" s="71">
        <f>'RD Feedstock Breakdown'!GQ101</f>
        <v>1.6068299615513206</v>
      </c>
      <c r="CG110" s="72">
        <f t="shared" si="21"/>
        <v>8.5647808023672667</v>
      </c>
      <c r="CH110" s="73">
        <f>'[2]US EIA'!$R247+AW110</f>
        <v>3121</v>
      </c>
    </row>
    <row r="111" spans="1:86" ht="13.5" x14ac:dyDescent="0.25">
      <c r="A111" s="59">
        <v>43525</v>
      </c>
      <c r="B111" s="74">
        <f t="shared" si="37"/>
        <v>290</v>
      </c>
      <c r="C111" s="74"/>
      <c r="D111" s="74">
        <f t="shared" si="18"/>
        <v>3</v>
      </c>
      <c r="E111" s="74"/>
      <c r="F111" s="74">
        <v>95</v>
      </c>
      <c r="G111" s="74"/>
      <c r="H111" s="74">
        <v>50</v>
      </c>
      <c r="I111" s="74"/>
      <c r="J111" s="74">
        <v>100</v>
      </c>
      <c r="K111" s="60"/>
      <c r="L111" s="60"/>
      <c r="M111" s="74"/>
      <c r="N111" s="74"/>
      <c r="O111" s="74"/>
      <c r="P111" s="60"/>
      <c r="Q111" s="74"/>
      <c r="R111" s="74"/>
      <c r="S111" s="60"/>
      <c r="T111" s="74"/>
      <c r="U111" s="74"/>
      <c r="V111" s="74"/>
      <c r="W111" s="74">
        <f t="shared" si="36"/>
        <v>20</v>
      </c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>
        <f t="shared" si="38"/>
        <v>558</v>
      </c>
      <c r="AX111" s="66">
        <f t="shared" si="28"/>
        <v>558</v>
      </c>
      <c r="AY111" s="62">
        <f>'[1]D4 Gallon Forecast'!$K151/1000000</f>
        <v>0</v>
      </c>
      <c r="AZ111" s="62">
        <f>'[1]D4 Gallon Forecast'!$K183/1000000</f>
        <v>32.865031000000002</v>
      </c>
      <c r="BA111" s="62">
        <f t="shared" si="22"/>
        <v>32.865031000000002</v>
      </c>
      <c r="BB111" s="62">
        <f>'[1]D4 Gallon Forecast'!$K167/1000000</f>
        <v>0</v>
      </c>
      <c r="BC111" s="63">
        <f>'[1]D4 Gallon Forecast'!$K343/1000000</f>
        <v>0.18393999999999999</v>
      </c>
      <c r="BD111" s="64">
        <f>'[1]D4 Gallon Forecast'!$K359/1000000</f>
        <v>0</v>
      </c>
      <c r="BE111" s="64">
        <f t="shared" si="23"/>
        <v>0.18393999999999999</v>
      </c>
      <c r="BF111" s="76">
        <f t="shared" si="29"/>
        <v>33.048971000000002</v>
      </c>
      <c r="BG111" s="77">
        <f t="shared" si="34"/>
        <v>0.77207337525601638</v>
      </c>
      <c r="BH111" s="74"/>
      <c r="BI111" s="75">
        <f t="shared" si="31"/>
        <v>133.75</v>
      </c>
      <c r="BJ111" s="75">
        <f t="shared" si="32"/>
        <v>424.25</v>
      </c>
      <c r="BK111" s="75">
        <f>'RD Feedstock Breakdown'!ES102</f>
        <v>283.05719235879258</v>
      </c>
      <c r="BL111" s="78">
        <f t="shared" si="33"/>
        <v>8.5647808023672685</v>
      </c>
      <c r="BM111" s="78">
        <f t="shared" si="30"/>
        <v>8.6127164267330993</v>
      </c>
      <c r="BN111" s="69"/>
      <c r="BO111" s="79"/>
      <c r="BP111" s="69"/>
      <c r="BQ111" s="66">
        <f>'[1]Monthly D4 Gallon Data'!$B112/1000000</f>
        <v>147.65879699999999</v>
      </c>
      <c r="BR111" s="66">
        <f>'[1]Monthly D6 Gallon Data'!$B114/1000000</f>
        <v>0</v>
      </c>
      <c r="BS111" s="66">
        <f t="shared" si="24"/>
        <v>147.65879699999999</v>
      </c>
      <c r="BT111" s="60"/>
      <c r="BU111" s="67">
        <f>'[2]US EIA'!$P248</f>
        <v>1079</v>
      </c>
      <c r="BV111" s="68">
        <f t="shared" si="25"/>
        <v>7.307387178564106</v>
      </c>
      <c r="BW111" s="60"/>
      <c r="BX111" s="69">
        <f t="shared" si="19"/>
        <v>0.18288627747314107</v>
      </c>
      <c r="BY111" s="69">
        <f t="shared" si="20"/>
        <v>0.81711372252685899</v>
      </c>
      <c r="BZ111" s="60"/>
      <c r="CA111" s="60"/>
      <c r="CB111" s="70">
        <f>'[1]Monthly D4 Gallon Data'!$AG112/1000000</f>
        <v>0.18393999999999999</v>
      </c>
      <c r="CC111" s="70">
        <f>'[1]Monthly D6 Gallon Data'!$O114/1000000</f>
        <v>0</v>
      </c>
      <c r="CD111" s="70">
        <f t="shared" si="26"/>
        <v>0.18393999999999999</v>
      </c>
      <c r="CE111" s="60"/>
      <c r="CF111" s="71">
        <f>'RD Feedstock Breakdown'!GQ102</f>
        <v>1.5754057807874353</v>
      </c>
      <c r="CG111" s="72">
        <f t="shared" si="21"/>
        <v>8.5647808023672685</v>
      </c>
      <c r="CH111" s="73">
        <f>'[2]US EIA'!$R248+AW111</f>
        <v>3121</v>
      </c>
    </row>
    <row r="112" spans="1:86" ht="13.5" x14ac:dyDescent="0.25">
      <c r="A112" s="59">
        <v>43556</v>
      </c>
      <c r="B112" s="74">
        <f t="shared" si="37"/>
        <v>290</v>
      </c>
      <c r="C112" s="74"/>
      <c r="D112" s="74">
        <f t="shared" si="18"/>
        <v>3</v>
      </c>
      <c r="E112" s="74"/>
      <c r="F112" s="74">
        <v>95</v>
      </c>
      <c r="G112" s="74"/>
      <c r="H112" s="74">
        <v>50</v>
      </c>
      <c r="I112" s="74"/>
      <c r="J112" s="74">
        <v>100</v>
      </c>
      <c r="K112" s="60"/>
      <c r="L112" s="60"/>
      <c r="M112" s="74"/>
      <c r="N112" s="74"/>
      <c r="O112" s="74"/>
      <c r="P112" s="60"/>
      <c r="Q112" s="74"/>
      <c r="R112" s="74"/>
      <c r="S112" s="60"/>
      <c r="T112" s="74"/>
      <c r="U112" s="74"/>
      <c r="V112" s="74"/>
      <c r="W112" s="74">
        <f t="shared" si="36"/>
        <v>20</v>
      </c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>
        <f t="shared" si="38"/>
        <v>558</v>
      </c>
      <c r="AX112" s="66">
        <f t="shared" si="28"/>
        <v>558</v>
      </c>
      <c r="AY112" s="62">
        <f>'[1]D4 Gallon Forecast'!$K152/1000000</f>
        <v>0</v>
      </c>
      <c r="AZ112" s="62">
        <f>'[1]D4 Gallon Forecast'!$K184/1000000</f>
        <v>35.56176</v>
      </c>
      <c r="BA112" s="62">
        <f t="shared" si="22"/>
        <v>35.56176</v>
      </c>
      <c r="BB112" s="62">
        <f>'[1]D4 Gallon Forecast'!$K168/1000000</f>
        <v>0</v>
      </c>
      <c r="BC112" s="63">
        <f>'[1]D4 Gallon Forecast'!$K344/1000000</f>
        <v>0.245975</v>
      </c>
      <c r="BD112" s="64">
        <f>'[1]D4 Gallon Forecast'!$K360/1000000</f>
        <v>0</v>
      </c>
      <c r="BE112" s="64">
        <f t="shared" si="23"/>
        <v>0.245975</v>
      </c>
      <c r="BF112" s="76">
        <f t="shared" si="29"/>
        <v>35.807735000000001</v>
      </c>
      <c r="BG112" s="77">
        <f t="shared" si="34"/>
        <v>0.75556846311712333</v>
      </c>
      <c r="BH112" s="74"/>
      <c r="BI112" s="75">
        <f t="shared" si="31"/>
        <v>133.75</v>
      </c>
      <c r="BJ112" s="75">
        <f t="shared" si="32"/>
        <v>424.25</v>
      </c>
      <c r="BK112" s="75">
        <f>'RD Feedstock Breakdown'!ES103</f>
        <v>306.68540130425453</v>
      </c>
      <c r="BL112" s="78">
        <f t="shared" si="33"/>
        <v>8.5647808023672685</v>
      </c>
      <c r="BM112" s="78">
        <f t="shared" si="30"/>
        <v>8.6240220198396962</v>
      </c>
      <c r="BN112" s="69"/>
      <c r="BO112" s="79"/>
      <c r="BP112" s="69"/>
      <c r="BQ112" s="66">
        <f>'[1]Monthly D4 Gallon Data'!$B113/1000000</f>
        <v>160.88855599999999</v>
      </c>
      <c r="BR112" s="66">
        <f>'[1]Monthly D6 Gallon Data'!$B115/1000000</f>
        <v>0</v>
      </c>
      <c r="BS112" s="66">
        <f t="shared" si="24"/>
        <v>160.88855599999999</v>
      </c>
      <c r="BT112" s="60"/>
      <c r="BU112" s="67">
        <f>'[2]US EIA'!$P249</f>
        <v>1166</v>
      </c>
      <c r="BV112" s="68">
        <f t="shared" si="25"/>
        <v>7.2472525640667698</v>
      </c>
      <c r="BW112" s="60"/>
      <c r="BX112" s="69">
        <f t="shared" si="19"/>
        <v>0.18204580685255525</v>
      </c>
      <c r="BY112" s="69">
        <f t="shared" si="20"/>
        <v>0.81795419314744466</v>
      </c>
      <c r="BZ112" s="60"/>
      <c r="CA112" s="60"/>
      <c r="CB112" s="70">
        <f>'[1]Monthly D4 Gallon Data'!$AG113/1000000</f>
        <v>0.245975</v>
      </c>
      <c r="CC112" s="70">
        <f>'[1]Monthly D6 Gallon Data'!$O115/1000000</f>
        <v>0</v>
      </c>
      <c r="CD112" s="70">
        <f t="shared" si="26"/>
        <v>0.245975</v>
      </c>
      <c r="CE112" s="60"/>
      <c r="CF112" s="71">
        <f>'RD Feedstock Breakdown'!GQ103</f>
        <v>2.1067219578622884</v>
      </c>
      <c r="CG112" s="72">
        <f t="shared" si="21"/>
        <v>8.5647808023672667</v>
      </c>
      <c r="CH112" s="73">
        <f>'[2]US EIA'!$R249+AW112</f>
        <v>3121</v>
      </c>
    </row>
    <row r="113" spans="1:86" ht="13.5" x14ac:dyDescent="0.25">
      <c r="A113" s="59">
        <v>43586</v>
      </c>
      <c r="B113" s="74">
        <f t="shared" si="37"/>
        <v>290</v>
      </c>
      <c r="C113" s="74"/>
      <c r="D113" s="74">
        <f t="shared" si="18"/>
        <v>3</v>
      </c>
      <c r="E113" s="74"/>
      <c r="F113" s="74">
        <v>95</v>
      </c>
      <c r="G113" s="74"/>
      <c r="H113" s="74">
        <v>50</v>
      </c>
      <c r="I113" s="74"/>
      <c r="J113" s="74">
        <v>100</v>
      </c>
      <c r="K113" s="60"/>
      <c r="L113" s="60"/>
      <c r="M113" s="74"/>
      <c r="N113" s="74"/>
      <c r="O113" s="74"/>
      <c r="P113" s="60"/>
      <c r="Q113" s="74"/>
      <c r="R113" s="74"/>
      <c r="S113" s="60"/>
      <c r="T113" s="74"/>
      <c r="U113" s="74"/>
      <c r="V113" s="74"/>
      <c r="W113" s="74">
        <f t="shared" si="36"/>
        <v>20</v>
      </c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>
        <f t="shared" si="38"/>
        <v>558</v>
      </c>
      <c r="AX113" s="66">
        <f t="shared" si="28"/>
        <v>558</v>
      </c>
      <c r="AY113" s="62">
        <f>'[1]D4 Gallon Forecast'!$K153/1000000</f>
        <v>0</v>
      </c>
      <c r="AZ113" s="62">
        <f>'[1]D4 Gallon Forecast'!$K185/1000000</f>
        <v>36.914619000000002</v>
      </c>
      <c r="BA113" s="62">
        <f t="shared" si="22"/>
        <v>36.914619000000002</v>
      </c>
      <c r="BB113" s="62">
        <f>'[1]D4 Gallon Forecast'!$K169/1000000</f>
        <v>0</v>
      </c>
      <c r="BC113" s="63">
        <f>'[1]D4 Gallon Forecast'!$K345/1000000</f>
        <v>0.25428800000000001</v>
      </c>
      <c r="BD113" s="64">
        <f>'[1]D4 Gallon Forecast'!$K361/1000000</f>
        <v>0</v>
      </c>
      <c r="BE113" s="64">
        <f t="shared" si="23"/>
        <v>0.25428800000000001</v>
      </c>
      <c r="BF113" s="76">
        <f t="shared" si="29"/>
        <v>37.168907000000004</v>
      </c>
      <c r="BG113" s="77">
        <f t="shared" si="34"/>
        <v>0.81043315740740751</v>
      </c>
      <c r="BH113" s="74"/>
      <c r="BI113" s="75">
        <f t="shared" si="31"/>
        <v>133.75</v>
      </c>
      <c r="BJ113" s="75">
        <f t="shared" si="32"/>
        <v>424.25</v>
      </c>
      <c r="BK113" s="75">
        <f>'RD Feedstock Breakdown'!ES104</f>
        <v>318.34354111857442</v>
      </c>
      <c r="BL113" s="78">
        <f t="shared" si="33"/>
        <v>8.5647808023672685</v>
      </c>
      <c r="BM113" s="78">
        <f t="shared" si="30"/>
        <v>8.6237796770589554</v>
      </c>
      <c r="BN113" s="69"/>
      <c r="BO113" s="79"/>
      <c r="BP113" s="69"/>
      <c r="BQ113" s="66">
        <f>'[1]Monthly D4 Gallon Data'!$B114/1000000</f>
        <v>164.04243600000001</v>
      </c>
      <c r="BR113" s="66">
        <f>'[1]Monthly D6 Gallon Data'!$B116/1000000</f>
        <v>0</v>
      </c>
      <c r="BS113" s="66">
        <f t="shared" si="24"/>
        <v>164.04243600000001</v>
      </c>
      <c r="BT113" s="60"/>
      <c r="BU113" s="67">
        <f>'[2]US EIA'!$P250</f>
        <v>1178</v>
      </c>
      <c r="BV113" s="68">
        <f t="shared" si="25"/>
        <v>7.1810686839593139</v>
      </c>
      <c r="BW113" s="60"/>
      <c r="BX113" s="69">
        <f t="shared" si="19"/>
        <v>0.18472570405735031</v>
      </c>
      <c r="BY113" s="69">
        <f t="shared" si="20"/>
        <v>0.81527429594264977</v>
      </c>
      <c r="BZ113" s="60"/>
      <c r="CA113" s="60"/>
      <c r="CB113" s="70">
        <f>'[1]Monthly D4 Gallon Data'!$AG114/1000000</f>
        <v>0.25428800000000001</v>
      </c>
      <c r="CC113" s="70">
        <f>'[1]Monthly D6 Gallon Data'!$O116/1000000</f>
        <v>0</v>
      </c>
      <c r="CD113" s="70">
        <f t="shared" si="26"/>
        <v>0.25428800000000001</v>
      </c>
      <c r="CE113" s="60"/>
      <c r="CF113" s="71">
        <f>'RD Feedstock Breakdown'!GQ104</f>
        <v>2.1779209806723681</v>
      </c>
      <c r="CG113" s="72">
        <f t="shared" si="21"/>
        <v>8.5647808023672685</v>
      </c>
      <c r="CH113" s="73">
        <f>'[2]US EIA'!$R250+AW113</f>
        <v>3111</v>
      </c>
    </row>
    <row r="114" spans="1:86" ht="13.5" x14ac:dyDescent="0.25">
      <c r="A114" s="59">
        <v>43617</v>
      </c>
      <c r="B114" s="74">
        <f t="shared" si="37"/>
        <v>290</v>
      </c>
      <c r="C114" s="74"/>
      <c r="D114" s="74">
        <f t="shared" si="18"/>
        <v>3</v>
      </c>
      <c r="E114" s="74"/>
      <c r="F114" s="74">
        <v>95</v>
      </c>
      <c r="G114" s="74"/>
      <c r="H114" s="74">
        <v>50</v>
      </c>
      <c r="I114" s="74"/>
      <c r="J114" s="74">
        <v>100</v>
      </c>
      <c r="K114" s="60"/>
      <c r="L114" s="60"/>
      <c r="M114" s="74"/>
      <c r="N114" s="74"/>
      <c r="O114" s="74"/>
      <c r="P114" s="60"/>
      <c r="Q114" s="74"/>
      <c r="R114" s="74"/>
      <c r="S114" s="60"/>
      <c r="T114" s="74"/>
      <c r="U114" s="74"/>
      <c r="V114" s="74"/>
      <c r="W114" s="74">
        <f t="shared" si="36"/>
        <v>20</v>
      </c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>
        <f t="shared" si="38"/>
        <v>558</v>
      </c>
      <c r="AX114" s="66">
        <f t="shared" si="28"/>
        <v>558</v>
      </c>
      <c r="AY114" s="62">
        <f>'[1]D4 Gallon Forecast'!$K154/1000000</f>
        <v>0</v>
      </c>
      <c r="AZ114" s="62">
        <f>'[1]D4 Gallon Forecast'!$K186/1000000</f>
        <v>37.285265000000003</v>
      </c>
      <c r="BA114" s="62">
        <f t="shared" si="22"/>
        <v>37.285265000000003</v>
      </c>
      <c r="BB114" s="62">
        <f>'[1]D4 Gallon Forecast'!$K170/1000000</f>
        <v>0</v>
      </c>
      <c r="BC114" s="63">
        <f>'[1]D4 Gallon Forecast'!$K346/1000000</f>
        <v>0.22327900000000001</v>
      </c>
      <c r="BD114" s="64">
        <f>'[1]D4 Gallon Forecast'!$K362/1000000</f>
        <v>0</v>
      </c>
      <c r="BE114" s="64">
        <f t="shared" si="23"/>
        <v>0.22327900000000001</v>
      </c>
      <c r="BF114" s="76">
        <f t="shared" si="29"/>
        <v>37.508544000000001</v>
      </c>
      <c r="BG114" s="77">
        <f t="shared" si="34"/>
        <v>0.7914567325702393</v>
      </c>
      <c r="BH114" s="74"/>
      <c r="BI114" s="75">
        <f t="shared" si="31"/>
        <v>133.75</v>
      </c>
      <c r="BJ114" s="75">
        <f t="shared" si="32"/>
        <v>424.25</v>
      </c>
      <c r="BK114" s="75">
        <f>'RD Feedstock Breakdown'!ES105</f>
        <v>321.25245757594803</v>
      </c>
      <c r="BL114" s="78">
        <f t="shared" si="33"/>
        <v>8.5647808023672685</v>
      </c>
      <c r="BM114" s="78">
        <f t="shared" si="30"/>
        <v>8.6160701171346918</v>
      </c>
      <c r="BN114" s="69"/>
      <c r="BO114" s="79"/>
      <c r="BP114" s="69"/>
      <c r="BQ114" s="66">
        <f>'[1]Monthly D4 Gallon Data'!$B115/1000000</f>
        <v>144.10242299999999</v>
      </c>
      <c r="BR114" s="66">
        <f>'[1]Monthly D6 Gallon Data'!$B117/1000000</f>
        <v>0</v>
      </c>
      <c r="BS114" s="66">
        <f t="shared" si="24"/>
        <v>144.10242299999999</v>
      </c>
      <c r="BT114" s="60"/>
      <c r="BU114" s="67">
        <f>'[2]US EIA'!$P251</f>
        <v>1092</v>
      </c>
      <c r="BV114" s="68">
        <f t="shared" si="25"/>
        <v>7.577943363242408</v>
      </c>
      <c r="BW114" s="60"/>
      <c r="BX114" s="69">
        <f t="shared" si="19"/>
        <v>0.20653237312480144</v>
      </c>
      <c r="BY114" s="69">
        <f t="shared" si="20"/>
        <v>0.79346762687519856</v>
      </c>
      <c r="BZ114" s="60"/>
      <c r="CA114" s="60"/>
      <c r="CB114" s="70">
        <f>'[1]Monthly D4 Gallon Data'!$AG115/1000000</f>
        <v>0.22327900000000001</v>
      </c>
      <c r="CC114" s="70">
        <f>'[1]Monthly D6 Gallon Data'!$O117/1000000</f>
        <v>0</v>
      </c>
      <c r="CD114" s="70">
        <f t="shared" si="26"/>
        <v>0.22327900000000001</v>
      </c>
      <c r="CE114" s="60"/>
      <c r="CF114" s="71">
        <f>'RD Feedstock Breakdown'!GQ105</f>
        <v>1.9123356927717614</v>
      </c>
      <c r="CG114" s="72">
        <f t="shared" si="21"/>
        <v>8.5647808023672685</v>
      </c>
      <c r="CH114" s="73">
        <f>'[2]US EIA'!$R251+AW114</f>
        <v>3062</v>
      </c>
    </row>
    <row r="115" spans="1:86" ht="13.5" x14ac:dyDescent="0.25">
      <c r="A115" s="59">
        <v>43647</v>
      </c>
      <c r="B115" s="74">
        <f t="shared" si="37"/>
        <v>290</v>
      </c>
      <c r="C115" s="74"/>
      <c r="D115" s="74">
        <f t="shared" si="18"/>
        <v>3</v>
      </c>
      <c r="E115" s="74"/>
      <c r="F115" s="74">
        <v>95</v>
      </c>
      <c r="G115" s="74"/>
      <c r="H115" s="74">
        <v>50</v>
      </c>
      <c r="I115" s="74"/>
      <c r="J115" s="74">
        <v>100</v>
      </c>
      <c r="K115" s="60"/>
      <c r="L115" s="60"/>
      <c r="M115" s="74"/>
      <c r="N115" s="74"/>
      <c r="O115" s="74"/>
      <c r="P115" s="60"/>
      <c r="Q115" s="74"/>
      <c r="R115" s="74"/>
      <c r="S115" s="60"/>
      <c r="T115" s="74"/>
      <c r="U115" s="74"/>
      <c r="V115" s="74"/>
      <c r="W115" s="74">
        <f t="shared" si="36"/>
        <v>20</v>
      </c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>
        <f t="shared" si="38"/>
        <v>558</v>
      </c>
      <c r="AX115" s="66">
        <f t="shared" si="28"/>
        <v>558</v>
      </c>
      <c r="AY115" s="62">
        <f>'[1]D4 Gallon Forecast'!$K155/1000000</f>
        <v>0</v>
      </c>
      <c r="AZ115" s="62">
        <f>'[1]D4 Gallon Forecast'!$K187/1000000</f>
        <v>43.179248999999999</v>
      </c>
      <c r="BA115" s="62">
        <f t="shared" si="22"/>
        <v>43.179248999999999</v>
      </c>
      <c r="BB115" s="62">
        <f>'[1]D4 Gallon Forecast'!$K171/1000000</f>
        <v>0</v>
      </c>
      <c r="BC115" s="63">
        <f>'[1]D4 Gallon Forecast'!$K347/1000000</f>
        <v>0.14661299999999999</v>
      </c>
      <c r="BD115" s="64">
        <f>'[1]D4 Gallon Forecast'!$K363/1000000</f>
        <v>0</v>
      </c>
      <c r="BE115" s="64">
        <f t="shared" si="23"/>
        <v>0.14661299999999999</v>
      </c>
      <c r="BF115" s="76">
        <f t="shared" si="29"/>
        <v>43.325862000000001</v>
      </c>
      <c r="BG115" s="77">
        <f t="shared" si="34"/>
        <v>0.9446797867383514</v>
      </c>
      <c r="BH115" s="74"/>
      <c r="BI115" s="75">
        <f t="shared" si="31"/>
        <v>133.75</v>
      </c>
      <c r="BJ115" s="75">
        <f t="shared" si="32"/>
        <v>424.25</v>
      </c>
      <c r="BK115" s="75">
        <f>'RD Feedstock Breakdown'!ES106</f>
        <v>371.07651110361354</v>
      </c>
      <c r="BL115" s="78">
        <f t="shared" si="33"/>
        <v>8.5647808023672685</v>
      </c>
      <c r="BM115" s="78">
        <f t="shared" si="30"/>
        <v>8.5938620911080132</v>
      </c>
      <c r="BN115" s="69"/>
      <c r="BO115" s="79"/>
      <c r="BP115" s="69"/>
      <c r="BQ115" s="66">
        <f>'[1]Monthly D4 Gallon Data'!$B116/1000000</f>
        <v>169.452631</v>
      </c>
      <c r="BR115" s="66">
        <f>'[1]Monthly D6 Gallon Data'!$B118/1000000</f>
        <v>0</v>
      </c>
      <c r="BS115" s="66">
        <f t="shared" si="24"/>
        <v>169.452631</v>
      </c>
      <c r="BT115" s="60"/>
      <c r="BU115" s="67">
        <f>'[2]US EIA'!$P252</f>
        <v>1220</v>
      </c>
      <c r="BV115" s="68">
        <f t="shared" si="25"/>
        <v>7.1996521552976063</v>
      </c>
      <c r="BW115" s="60"/>
      <c r="BX115" s="69">
        <f t="shared" si="19"/>
        <v>0.20361955472633225</v>
      </c>
      <c r="BY115" s="69">
        <f t="shared" si="20"/>
        <v>0.7963804452736678</v>
      </c>
      <c r="BZ115" s="60"/>
      <c r="CA115" s="60"/>
      <c r="CB115" s="70">
        <f>'[1]Monthly D4 Gallon Data'!$AG116/1000000</f>
        <v>0.14661299999999999</v>
      </c>
      <c r="CC115" s="70">
        <f>'[1]Monthly D6 Gallon Data'!$O118/1000000</f>
        <v>0</v>
      </c>
      <c r="CD115" s="70">
        <f t="shared" si="26"/>
        <v>0.14661299999999999</v>
      </c>
      <c r="CE115" s="60"/>
      <c r="CF115" s="71">
        <f>'RD Feedstock Breakdown'!GQ106</f>
        <v>1.2557082077774722</v>
      </c>
      <c r="CG115" s="72">
        <f t="shared" si="21"/>
        <v>8.5647808023672685</v>
      </c>
      <c r="CH115" s="73">
        <f>'[2]US EIA'!$R252+AW115</f>
        <v>3119</v>
      </c>
    </row>
    <row r="116" spans="1:86" ht="13.5" x14ac:dyDescent="0.25">
      <c r="A116" s="59">
        <v>43678</v>
      </c>
      <c r="B116" s="74">
        <f t="shared" si="37"/>
        <v>290</v>
      </c>
      <c r="C116" s="74"/>
      <c r="D116" s="74">
        <f t="shared" si="18"/>
        <v>3</v>
      </c>
      <c r="E116" s="74"/>
      <c r="F116" s="74">
        <v>95</v>
      </c>
      <c r="G116" s="74"/>
      <c r="H116" s="74">
        <v>50</v>
      </c>
      <c r="I116" s="74"/>
      <c r="J116" s="74">
        <v>100</v>
      </c>
      <c r="K116" s="60"/>
      <c r="L116" s="60"/>
      <c r="M116" s="74"/>
      <c r="N116" s="74"/>
      <c r="O116" s="74"/>
      <c r="P116" s="60"/>
      <c r="Q116" s="74"/>
      <c r="R116" s="74"/>
      <c r="S116" s="60"/>
      <c r="T116" s="74"/>
      <c r="U116" s="74"/>
      <c r="V116" s="74"/>
      <c r="W116" s="74">
        <f t="shared" si="36"/>
        <v>20</v>
      </c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>
        <f t="shared" si="38"/>
        <v>558</v>
      </c>
      <c r="AX116" s="66">
        <f t="shared" si="28"/>
        <v>558</v>
      </c>
      <c r="AY116" s="62">
        <f>'[1]D4 Gallon Forecast'!$K156/1000000</f>
        <v>0</v>
      </c>
      <c r="AZ116" s="62">
        <f>'[1]D4 Gallon Forecast'!$K188/1000000</f>
        <v>26.567329000000001</v>
      </c>
      <c r="BA116" s="62">
        <f t="shared" si="22"/>
        <v>26.567329000000001</v>
      </c>
      <c r="BB116" s="62">
        <f>'[1]D4 Gallon Forecast'!$K172/1000000</f>
        <v>0</v>
      </c>
      <c r="BC116" s="63">
        <f>'[1]D4 Gallon Forecast'!$K348/1000000</f>
        <v>0.27175700000000003</v>
      </c>
      <c r="BD116" s="64">
        <f>'[1]D4 Gallon Forecast'!$K364/1000000</f>
        <v>0</v>
      </c>
      <c r="BE116" s="64">
        <f t="shared" si="23"/>
        <v>0.27175700000000003</v>
      </c>
      <c r="BF116" s="76">
        <f t="shared" si="29"/>
        <v>26.839086000000002</v>
      </c>
      <c r="BG116" s="77">
        <f t="shared" si="34"/>
        <v>0.5663236437738467</v>
      </c>
      <c r="BH116" s="74"/>
      <c r="BI116" s="75">
        <f t="shared" si="31"/>
        <v>133.75</v>
      </c>
      <c r="BJ116" s="75">
        <f t="shared" si="32"/>
        <v>424.25</v>
      </c>
      <c r="BK116" s="75">
        <f>'RD Feedstock Breakdown'!ES107</f>
        <v>229.87088852588414</v>
      </c>
      <c r="BL116" s="78">
        <f t="shared" si="33"/>
        <v>8.5647808023672685</v>
      </c>
      <c r="BM116" s="78">
        <f t="shared" si="30"/>
        <v>8.6523898780296715</v>
      </c>
      <c r="BN116" s="69"/>
      <c r="BO116" s="79"/>
      <c r="BP116" s="69"/>
      <c r="BQ116" s="66">
        <f>'[1]Monthly D4 Gallon Data'!$B117/1000000</f>
        <v>153.59869699999999</v>
      </c>
      <c r="BR116" s="66">
        <f>'[1]Monthly D6 Gallon Data'!$B119/1000000</f>
        <v>0</v>
      </c>
      <c r="BS116" s="66">
        <f t="shared" si="24"/>
        <v>153.59869699999999</v>
      </c>
      <c r="BT116" s="60"/>
      <c r="BU116" s="67">
        <f>'[2]US EIA'!$P253</f>
        <v>1198</v>
      </c>
      <c r="BV116" s="68">
        <f t="shared" si="25"/>
        <v>7.7995453307784253</v>
      </c>
      <c r="BW116" s="60"/>
      <c r="BX116" s="69">
        <f t="shared" si="19"/>
        <v>0.14874426826669668</v>
      </c>
      <c r="BY116" s="69">
        <f t="shared" si="20"/>
        <v>0.85125573173330327</v>
      </c>
      <c r="BZ116" s="60"/>
      <c r="CA116" s="60"/>
      <c r="CB116" s="70">
        <f>'[1]Monthly D4 Gallon Data'!$AG117/1000000</f>
        <v>0.27175700000000003</v>
      </c>
      <c r="CC116" s="70">
        <f>'[1]Monthly D6 Gallon Data'!$O119/1000000</f>
        <v>0</v>
      </c>
      <c r="CD116" s="70">
        <f t="shared" si="26"/>
        <v>0.27175700000000003</v>
      </c>
      <c r="CE116" s="60"/>
      <c r="CF116" s="71">
        <f>'RD Feedstock Breakdown'!GQ107</f>
        <v>2.3275391365089217</v>
      </c>
      <c r="CG116" s="72">
        <f t="shared" si="21"/>
        <v>8.5647808023672667</v>
      </c>
      <c r="CH116" s="73">
        <f>'[2]US EIA'!$R253+AW116</f>
        <v>3119</v>
      </c>
    </row>
    <row r="117" spans="1:86" ht="13.5" x14ac:dyDescent="0.25">
      <c r="A117" s="59">
        <v>43709</v>
      </c>
      <c r="B117" s="74">
        <f t="shared" si="37"/>
        <v>290</v>
      </c>
      <c r="C117" s="74"/>
      <c r="D117" s="74">
        <f t="shared" si="18"/>
        <v>3</v>
      </c>
      <c r="E117" s="74"/>
      <c r="F117" s="74">
        <v>95</v>
      </c>
      <c r="G117" s="74"/>
      <c r="H117" s="74">
        <v>50</v>
      </c>
      <c r="I117" s="74"/>
      <c r="J117" s="74">
        <v>100</v>
      </c>
      <c r="K117" s="60"/>
      <c r="L117" s="60"/>
      <c r="M117" s="74"/>
      <c r="N117" s="74"/>
      <c r="O117" s="74"/>
      <c r="P117" s="60"/>
      <c r="Q117" s="74"/>
      <c r="R117" s="74"/>
      <c r="S117" s="60"/>
      <c r="T117" s="74"/>
      <c r="U117" s="74"/>
      <c r="V117" s="74"/>
      <c r="W117" s="74">
        <f t="shared" si="36"/>
        <v>20</v>
      </c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>
        <f t="shared" si="38"/>
        <v>558</v>
      </c>
      <c r="AX117" s="66">
        <f t="shared" si="28"/>
        <v>558</v>
      </c>
      <c r="AY117" s="62">
        <f>'[1]D4 Gallon Forecast'!$K157/1000000</f>
        <v>0</v>
      </c>
      <c r="AZ117" s="62">
        <f>'[1]D4 Gallon Forecast'!$K189/1000000</f>
        <v>37.653168999999998</v>
      </c>
      <c r="BA117" s="62">
        <f t="shared" si="22"/>
        <v>37.653168999999998</v>
      </c>
      <c r="BB117" s="62">
        <f>'[1]D4 Gallon Forecast'!$K173/1000000</f>
        <v>0</v>
      </c>
      <c r="BC117" s="63">
        <f>'[1]D4 Gallon Forecast'!$K349/1000000</f>
        <v>0.27552900000000002</v>
      </c>
      <c r="BD117" s="64">
        <f>'[1]D4 Gallon Forecast'!$K365/1000000</f>
        <v>0</v>
      </c>
      <c r="BE117" s="64">
        <f t="shared" si="23"/>
        <v>0.27552900000000002</v>
      </c>
      <c r="BF117" s="76">
        <f t="shared" si="29"/>
        <v>37.928697999999997</v>
      </c>
      <c r="BG117" s="77">
        <f t="shared" si="34"/>
        <v>0.80032227829806912</v>
      </c>
      <c r="BH117" s="74"/>
      <c r="BI117" s="75">
        <f t="shared" si="31"/>
        <v>133.75</v>
      </c>
      <c r="BJ117" s="75">
        <f t="shared" si="32"/>
        <v>424.25</v>
      </c>
      <c r="BK117" s="75">
        <f>'RD Feedstock Breakdown'!ES108</f>
        <v>324.85098448918581</v>
      </c>
      <c r="BL117" s="78">
        <f t="shared" si="33"/>
        <v>8.5647808023672685</v>
      </c>
      <c r="BM117" s="78">
        <f t="shared" si="30"/>
        <v>8.6274540262251449</v>
      </c>
      <c r="BN117" s="69"/>
      <c r="BO117" s="79"/>
      <c r="BP117" s="69"/>
      <c r="BQ117" s="66">
        <f>'[1]Monthly D4 Gallon Data'!$B118/1000000</f>
        <v>143.65981099999999</v>
      </c>
      <c r="BR117" s="66">
        <f>'[1]Monthly D6 Gallon Data'!$B120/1000000</f>
        <v>0</v>
      </c>
      <c r="BS117" s="66">
        <f t="shared" si="24"/>
        <v>143.65981099999999</v>
      </c>
      <c r="BT117" s="60"/>
      <c r="BU117" s="67">
        <f>'[2]US EIA'!$P254</f>
        <v>1083</v>
      </c>
      <c r="BV117" s="68">
        <f t="shared" si="25"/>
        <v>7.5386428010823439</v>
      </c>
      <c r="BW117" s="60"/>
      <c r="BX117" s="69">
        <f t="shared" si="19"/>
        <v>0.20887168581796109</v>
      </c>
      <c r="BY117" s="69">
        <f t="shared" si="20"/>
        <v>0.79112831418203888</v>
      </c>
      <c r="BZ117" s="60"/>
      <c r="CA117" s="60"/>
      <c r="CB117" s="70">
        <f>'[1]Monthly D4 Gallon Data'!$AG118/1000000</f>
        <v>0.27552900000000002</v>
      </c>
      <c r="CC117" s="70">
        <f>'[1]Monthly D6 Gallon Data'!$O120/1000000</f>
        <v>0</v>
      </c>
      <c r="CD117" s="70">
        <f t="shared" si="26"/>
        <v>0.27552900000000002</v>
      </c>
      <c r="CE117" s="60"/>
      <c r="CF117" s="71">
        <f>'RD Feedstock Breakdown'!GQ108</f>
        <v>2.3598454896954513</v>
      </c>
      <c r="CG117" s="72">
        <f t="shared" si="21"/>
        <v>8.5647808023672685</v>
      </c>
      <c r="CH117" s="73">
        <f>'[2]US EIA'!$R254+AW117</f>
        <v>3105</v>
      </c>
    </row>
    <row r="118" spans="1:86" ht="13.5" x14ac:dyDescent="0.25">
      <c r="A118" s="59">
        <v>43739</v>
      </c>
      <c r="B118" s="74">
        <f t="shared" si="37"/>
        <v>290</v>
      </c>
      <c r="C118" s="74"/>
      <c r="D118" s="74">
        <f t="shared" si="18"/>
        <v>3</v>
      </c>
      <c r="E118" s="74"/>
      <c r="F118" s="74">
        <v>95</v>
      </c>
      <c r="G118" s="74"/>
      <c r="H118" s="74">
        <v>50</v>
      </c>
      <c r="I118" s="74"/>
      <c r="J118" s="74">
        <v>100</v>
      </c>
      <c r="K118" s="60"/>
      <c r="L118" s="60"/>
      <c r="M118" s="74"/>
      <c r="N118" s="74"/>
      <c r="O118" s="74"/>
      <c r="P118" s="60"/>
      <c r="Q118" s="74"/>
      <c r="R118" s="74"/>
      <c r="S118" s="60"/>
      <c r="T118" s="74"/>
      <c r="U118" s="74"/>
      <c r="V118" s="74"/>
      <c r="W118" s="74">
        <f t="shared" si="36"/>
        <v>20</v>
      </c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>
        <f t="shared" si="38"/>
        <v>558</v>
      </c>
      <c r="AX118" s="66">
        <f t="shared" si="28"/>
        <v>558</v>
      </c>
      <c r="AY118" s="62">
        <f>'[1]D4 Gallon Forecast'!$K158/1000000</f>
        <v>0</v>
      </c>
      <c r="AZ118" s="62">
        <f>'[1]D4 Gallon Forecast'!$K190/1000000</f>
        <v>46.592429000000003</v>
      </c>
      <c r="BA118" s="62">
        <f t="shared" ref="BA118:BA181" si="39">SUM(AY118:AZ118)</f>
        <v>46.592429000000003</v>
      </c>
      <c r="BB118" s="62">
        <f>'[1]D4 Gallon Forecast'!$K174/1000000</f>
        <v>0</v>
      </c>
      <c r="BC118" s="63">
        <f>'[1]D4 Gallon Forecast'!$K350/1000000</f>
        <v>0.21657399999999999</v>
      </c>
      <c r="BD118" s="64">
        <f>'[1]D4 Gallon Forecast'!$K366/1000000</f>
        <v>0</v>
      </c>
      <c r="BE118" s="64">
        <f>BD118+BC118+BB118</f>
        <v>0.21657399999999999</v>
      </c>
      <c r="BF118" s="76">
        <f t="shared" si="29"/>
        <v>46.809003000000004</v>
      </c>
      <c r="BG118" s="77">
        <f t="shared" si="34"/>
        <v>1.020626409498208</v>
      </c>
      <c r="BH118" s="74"/>
      <c r="BI118" s="75">
        <f t="shared" si="31"/>
        <v>133.75</v>
      </c>
      <c r="BJ118" s="75">
        <f t="shared" si="32"/>
        <v>424.25</v>
      </c>
      <c r="BK118" s="75">
        <f>'RD Feedstock Breakdown'!ES109</f>
        <v>407.95898336186104</v>
      </c>
      <c r="BL118" s="78">
        <f t="shared" si="33"/>
        <v>8.7153956977434657</v>
      </c>
      <c r="BM118" s="78">
        <f t="shared" si="30"/>
        <v>8.7559071745725259</v>
      </c>
      <c r="BN118" s="69"/>
      <c r="BO118" s="79"/>
      <c r="BP118" s="69"/>
      <c r="BQ118" s="66">
        <f>'[1]Monthly D4 Gallon Data'!$B119/1000000</f>
        <v>146.61836</v>
      </c>
      <c r="BR118" s="66">
        <f>'[1]Monthly D6 Gallon Data'!$B121/1000000</f>
        <v>0</v>
      </c>
      <c r="BS118" s="66">
        <f t="shared" si="24"/>
        <v>146.61836</v>
      </c>
      <c r="BT118" s="60"/>
      <c r="BU118" s="67">
        <f>'[2]US EIA'!$P255</f>
        <v>1096</v>
      </c>
      <c r="BV118" s="68">
        <f t="shared" si="25"/>
        <v>7.4751893282669375</v>
      </c>
      <c r="BW118" s="60"/>
      <c r="BX118" s="69">
        <f t="shared" si="19"/>
        <v>0.24199783460833305</v>
      </c>
      <c r="BY118" s="69">
        <f t="shared" si="20"/>
        <v>0.75800216539166687</v>
      </c>
      <c r="BZ118" s="60"/>
      <c r="CA118" s="60"/>
      <c r="CB118" s="70">
        <f>'[1]Monthly D4 Gallon Data'!$AG119/1000000</f>
        <v>0.21657399999999999</v>
      </c>
      <c r="CC118" s="70">
        <f>'[1]Monthly D6 Gallon Data'!$O121/1000000</f>
        <v>0</v>
      </c>
      <c r="CD118" s="70">
        <f t="shared" si="26"/>
        <v>0.21657399999999999</v>
      </c>
      <c r="CE118" s="60"/>
      <c r="CF118" s="71">
        <f>'RD Feedstock Breakdown'!GQ109</f>
        <v>1.8493819974451757</v>
      </c>
      <c r="CG118" s="72">
        <f t="shared" si="21"/>
        <v>8.5392613953899161</v>
      </c>
      <c r="CH118" s="73">
        <f>'[2]US EIA'!$R255+AW118</f>
        <v>3073</v>
      </c>
    </row>
    <row r="119" spans="1:86" ht="13.5" x14ac:dyDescent="0.25">
      <c r="A119" s="59">
        <v>43770</v>
      </c>
      <c r="B119" s="74">
        <f t="shared" si="37"/>
        <v>290</v>
      </c>
      <c r="C119" s="74"/>
      <c r="D119" s="74">
        <f t="shared" si="18"/>
        <v>3</v>
      </c>
      <c r="E119" s="74"/>
      <c r="F119" s="74">
        <v>95</v>
      </c>
      <c r="G119" s="74"/>
      <c r="H119" s="74">
        <v>50</v>
      </c>
      <c r="I119" s="74"/>
      <c r="J119" s="74">
        <v>100</v>
      </c>
      <c r="K119" s="60"/>
      <c r="L119" s="60"/>
      <c r="M119" s="74"/>
      <c r="N119" s="74"/>
      <c r="O119" s="74"/>
      <c r="P119" s="60"/>
      <c r="Q119" s="74"/>
      <c r="R119" s="74"/>
      <c r="S119" s="60"/>
      <c r="T119" s="74"/>
      <c r="U119" s="74"/>
      <c r="V119" s="74"/>
      <c r="W119" s="74">
        <f t="shared" si="36"/>
        <v>20</v>
      </c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>
        <f t="shared" si="38"/>
        <v>558</v>
      </c>
      <c r="AX119" s="66">
        <f t="shared" si="28"/>
        <v>558</v>
      </c>
      <c r="AY119" s="62">
        <f>'[1]D4 Gallon Forecast'!$K159/1000000</f>
        <v>0</v>
      </c>
      <c r="AZ119" s="62">
        <f>'[1]D4 Gallon Forecast'!$K191/1000000</f>
        <v>40.119894000000002</v>
      </c>
      <c r="BA119" s="62">
        <f t="shared" si="39"/>
        <v>40.119894000000002</v>
      </c>
      <c r="BB119" s="62">
        <f>'[1]D4 Gallon Forecast'!$K175/1000000</f>
        <v>0</v>
      </c>
      <c r="BC119" s="63">
        <f>'[1]D4 Gallon Forecast'!$K351/1000000</f>
        <v>9.1175000000000006E-2</v>
      </c>
      <c r="BD119" s="64">
        <f>'[1]D4 Gallon Forecast'!$K367/1000000</f>
        <v>0</v>
      </c>
      <c r="BE119" s="64">
        <f t="shared" ref="BE119:BE182" si="40">BD119+BC119+BB119</f>
        <v>9.1175000000000006E-2</v>
      </c>
      <c r="BF119" s="76">
        <f t="shared" si="29"/>
        <v>40.211069000000002</v>
      </c>
      <c r="BG119" s="77">
        <f t="shared" si="34"/>
        <v>0.84848191611747026</v>
      </c>
      <c r="BH119" s="74"/>
      <c r="BI119" s="75">
        <f t="shared" si="31"/>
        <v>133.75</v>
      </c>
      <c r="BJ119" s="75">
        <f t="shared" si="32"/>
        <v>424.25</v>
      </c>
      <c r="BK119" s="75">
        <f>'RD Feedstock Breakdown'!ES110</f>
        <v>343.3728291790602</v>
      </c>
      <c r="BL119" s="78">
        <f t="shared" si="33"/>
        <v>8.5392613953899161</v>
      </c>
      <c r="BM119" s="78">
        <f t="shared" si="30"/>
        <v>8.5586674077219698</v>
      </c>
      <c r="BN119" s="69"/>
      <c r="BO119" s="79"/>
      <c r="BP119" s="69"/>
      <c r="BQ119" s="66">
        <f>'[1]Monthly D4 Gallon Data'!$B120/1000000</f>
        <v>119.139678</v>
      </c>
      <c r="BR119" s="66">
        <f>'[1]Monthly D6 Gallon Data'!$B122/1000000</f>
        <v>0</v>
      </c>
      <c r="BS119" s="66">
        <f t="shared" si="24"/>
        <v>119.139678</v>
      </c>
      <c r="BT119" s="60"/>
      <c r="BU119" s="67">
        <f>'[2]US EIA'!$P256</f>
        <v>979</v>
      </c>
      <c r="BV119" s="68">
        <f t="shared" si="25"/>
        <v>8.2172456433867485</v>
      </c>
      <c r="BW119" s="60"/>
      <c r="BX119" s="69">
        <f t="shared" si="19"/>
        <v>0.25234314715826212</v>
      </c>
      <c r="BY119" s="69">
        <f t="shared" si="20"/>
        <v>0.74765685284173777</v>
      </c>
      <c r="BZ119" s="60"/>
      <c r="CA119" s="60"/>
      <c r="CB119" s="70">
        <f>'[1]Monthly D4 Gallon Data'!$AG120/1000000</f>
        <v>9.1175000000000006E-2</v>
      </c>
      <c r="CC119" s="70">
        <f>'[1]Monthly D6 Gallon Data'!$O122/1000000</f>
        <v>0</v>
      </c>
      <c r="CD119" s="70">
        <f t="shared" si="26"/>
        <v>9.1175000000000006E-2</v>
      </c>
      <c r="CE119" s="60"/>
      <c r="CF119" s="71">
        <f>'RD Feedstock Breakdown'!GQ110</f>
        <v>0.77856715772467566</v>
      </c>
      <c r="CG119" s="72">
        <f t="shared" si="21"/>
        <v>8.5392613953899161</v>
      </c>
      <c r="CH119" s="73">
        <f>'[2]US EIA'!$R256+AW119</f>
        <v>3068</v>
      </c>
    </row>
    <row r="120" spans="1:86" ht="13.5" x14ac:dyDescent="0.25">
      <c r="A120" s="59">
        <v>43800</v>
      </c>
      <c r="B120" s="74">
        <f t="shared" si="37"/>
        <v>290</v>
      </c>
      <c r="C120" s="74"/>
      <c r="D120" s="74">
        <f t="shared" si="18"/>
        <v>3</v>
      </c>
      <c r="E120" s="74"/>
      <c r="F120" s="74">
        <v>95</v>
      </c>
      <c r="G120" s="74"/>
      <c r="H120" s="74">
        <v>50</v>
      </c>
      <c r="I120" s="74"/>
      <c r="J120" s="74">
        <v>100</v>
      </c>
      <c r="K120" s="60"/>
      <c r="L120" s="60"/>
      <c r="M120" s="74"/>
      <c r="N120" s="74"/>
      <c r="O120" s="74"/>
      <c r="P120" s="60"/>
      <c r="Q120" s="74"/>
      <c r="R120" s="74"/>
      <c r="S120" s="60"/>
      <c r="T120" s="74"/>
      <c r="U120" s="74"/>
      <c r="V120" s="74"/>
      <c r="W120" s="74">
        <f t="shared" si="36"/>
        <v>20</v>
      </c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>
        <f t="shared" si="38"/>
        <v>558</v>
      </c>
      <c r="AX120" s="66">
        <f t="shared" si="28"/>
        <v>558</v>
      </c>
      <c r="AY120" s="62">
        <f>'[1]D4 Gallon Forecast'!$K160/1000000</f>
        <v>0</v>
      </c>
      <c r="AZ120" s="62">
        <f>'[1]D4 Gallon Forecast'!$K192/1000000</f>
        <v>49.773555000000002</v>
      </c>
      <c r="BA120" s="62">
        <f t="shared" si="39"/>
        <v>49.773555000000002</v>
      </c>
      <c r="BB120" s="62">
        <f>'[1]D4 Gallon Forecast'!$K176/1000000</f>
        <v>0</v>
      </c>
      <c r="BC120" s="63">
        <f>'[1]D4 Gallon Forecast'!$K352/1000000</f>
        <v>0.13733300000000001</v>
      </c>
      <c r="BD120" s="64">
        <f>'[1]D4 Gallon Forecast'!$K368/1000000</f>
        <v>0</v>
      </c>
      <c r="BE120" s="64">
        <f t="shared" si="40"/>
        <v>0.13733300000000001</v>
      </c>
      <c r="BF120" s="76">
        <f t="shared" si="29"/>
        <v>49.910888</v>
      </c>
      <c r="BG120" s="77">
        <f t="shared" si="34"/>
        <v>1.0882601027479093</v>
      </c>
      <c r="BH120" s="77">
        <f>AVERAGE(BG109:BG120)</f>
        <v>0.82595228955585054</v>
      </c>
      <c r="BI120" s="75">
        <f t="shared" si="31"/>
        <v>133.75</v>
      </c>
      <c r="BJ120" s="75">
        <f t="shared" si="32"/>
        <v>424.25</v>
      </c>
      <c r="BK120" s="75">
        <f>'RD Feedstock Breakdown'!ES111</f>
        <v>463.81876193188123</v>
      </c>
      <c r="BL120" s="78">
        <f t="shared" si="33"/>
        <v>9.2929374835382852</v>
      </c>
      <c r="BM120" s="78">
        <f t="shared" si="30"/>
        <v>9.3185781472085161</v>
      </c>
      <c r="BN120" s="69"/>
      <c r="BO120" s="79"/>
      <c r="BP120" s="69"/>
      <c r="BQ120" s="66">
        <f>'[1]Monthly D4 Gallon Data'!$B121/1000000</f>
        <v>139.60158100000001</v>
      </c>
      <c r="BR120" s="66">
        <f>'[1]Monthly D6 Gallon Data'!$B123/1000000</f>
        <v>0</v>
      </c>
      <c r="BS120" s="66">
        <f t="shared" si="24"/>
        <v>139.60158100000001</v>
      </c>
      <c r="BT120" s="60"/>
      <c r="BU120" s="67">
        <f>'[2]US EIA'!$P257</f>
        <v>1023</v>
      </c>
      <c r="BV120" s="68">
        <f t="shared" si="25"/>
        <v>7.3279972380828546</v>
      </c>
      <c r="BW120" s="60"/>
      <c r="BX120" s="69">
        <f t="shared" si="19"/>
        <v>0.26336466546694615</v>
      </c>
      <c r="BY120" s="69">
        <f t="shared" si="20"/>
        <v>0.73663533453305385</v>
      </c>
      <c r="BZ120" s="60"/>
      <c r="CA120" s="60"/>
      <c r="CB120" s="70">
        <f>'[1]Monthly D4 Gallon Data'!$AG121/1000000</f>
        <v>0.13733300000000001</v>
      </c>
      <c r="CC120" s="70">
        <f>'[1]Monthly D6 Gallon Data'!$O123/1000000</f>
        <v>0</v>
      </c>
      <c r="CD120" s="70">
        <f t="shared" si="26"/>
        <v>0.13733300000000001</v>
      </c>
      <c r="CE120" s="60"/>
      <c r="CF120" s="71">
        <f>'RD Feedstock Breakdown'!GQ111</f>
        <v>1.1727223852130835</v>
      </c>
      <c r="CG120" s="72">
        <f t="shared" si="21"/>
        <v>8.5392613953899161</v>
      </c>
      <c r="CH120" s="73">
        <f>'[2]US EIA'!$R257+AW120</f>
        <v>3071</v>
      </c>
    </row>
    <row r="121" spans="1:86" ht="13.5" x14ac:dyDescent="0.25">
      <c r="A121" s="59">
        <v>43831</v>
      </c>
      <c r="B121" s="74">
        <f t="shared" si="37"/>
        <v>290</v>
      </c>
      <c r="C121" s="74"/>
      <c r="D121" s="74">
        <f t="shared" si="18"/>
        <v>3</v>
      </c>
      <c r="E121" s="74"/>
      <c r="F121" s="74">
        <v>95</v>
      </c>
      <c r="G121" s="74"/>
      <c r="H121" s="74">
        <v>50</v>
      </c>
      <c r="I121" s="74"/>
      <c r="J121" s="74">
        <v>100</v>
      </c>
      <c r="K121" s="60"/>
      <c r="L121" s="60"/>
      <c r="M121" s="74"/>
      <c r="N121" s="74"/>
      <c r="O121" s="74"/>
      <c r="P121" s="60"/>
      <c r="Q121" s="74"/>
      <c r="R121" s="74"/>
      <c r="S121" s="60"/>
      <c r="T121" s="74"/>
      <c r="U121" s="74"/>
      <c r="V121" s="74"/>
      <c r="W121" s="74">
        <f t="shared" si="36"/>
        <v>20</v>
      </c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>
        <f t="shared" si="38"/>
        <v>558</v>
      </c>
      <c r="AX121" s="66">
        <f t="shared" si="28"/>
        <v>558</v>
      </c>
      <c r="AY121" s="62">
        <f>'[1]D4 Gallon Forecast'!$L149/1000000</f>
        <v>0</v>
      </c>
      <c r="AZ121" s="62">
        <f>'[1]D4 Gallon Forecast'!$L181/1000000</f>
        <v>37.8322</v>
      </c>
      <c r="BA121" s="62">
        <f t="shared" si="39"/>
        <v>37.8322</v>
      </c>
      <c r="BB121" s="62">
        <f>'[1]D4 Gallon Forecast'!$L165/1000000</f>
        <v>0</v>
      </c>
      <c r="BC121" s="63">
        <f>'[1]D4 Gallon Forecast'!$L341/1000000</f>
        <v>4.1590000000000002E-2</v>
      </c>
      <c r="BD121" s="64">
        <f>'[1]D4 Gallon Forecast'!$L357/1000000</f>
        <v>0</v>
      </c>
      <c r="BE121" s="64">
        <f t="shared" si="40"/>
        <v>4.1590000000000002E-2</v>
      </c>
      <c r="BF121" s="76">
        <f t="shared" si="29"/>
        <v>37.87379</v>
      </c>
      <c r="BG121" s="77">
        <f t="shared" si="34"/>
        <v>0.79916368077234368</v>
      </c>
      <c r="BH121" s="74"/>
      <c r="BI121" s="75">
        <f t="shared" si="31"/>
        <v>133.75</v>
      </c>
      <c r="BJ121" s="75">
        <f t="shared" si="32"/>
        <v>424.25</v>
      </c>
      <c r="BK121" s="75">
        <f>'RD Feedstock Breakdown'!ES112</f>
        <v>326.72996090807629</v>
      </c>
      <c r="BL121" s="78">
        <f t="shared" si="33"/>
        <v>8.626809223689424</v>
      </c>
      <c r="BM121" s="78">
        <f t="shared" si="30"/>
        <v>8.6362929173581318</v>
      </c>
      <c r="BN121" s="69"/>
      <c r="BO121" s="79"/>
      <c r="BP121" s="69"/>
      <c r="BQ121" s="66">
        <f>'[1]Monthly D4 Gallon Data'!$B122/1000000</f>
        <v>118.403817</v>
      </c>
      <c r="BR121" s="66">
        <f>'[1]Monthly D6 Gallon Data'!$B124/1000000</f>
        <v>0</v>
      </c>
      <c r="BS121" s="66">
        <f t="shared" si="24"/>
        <v>118.403817</v>
      </c>
      <c r="BT121" s="60"/>
      <c r="BU121" s="67">
        <f>'[2]US EIA'!$P258</f>
        <v>1042</v>
      </c>
      <c r="BV121" s="68">
        <f t="shared" si="25"/>
        <v>8.8003919670934252</v>
      </c>
      <c r="BW121" s="60"/>
      <c r="BX121" s="69">
        <f t="shared" si="19"/>
        <v>0.24234943653827515</v>
      </c>
      <c r="BY121" s="69">
        <f t="shared" si="20"/>
        <v>0.75765056346172499</v>
      </c>
      <c r="BZ121" s="60"/>
      <c r="CA121" s="60"/>
      <c r="CB121" s="70">
        <f>'[1]Monthly D4 Gallon Data'!$AG122/1000000</f>
        <v>4.1590000000000002E-2</v>
      </c>
      <c r="CC121" s="70">
        <f>'[1]Monthly D6 Gallon Data'!$O124/1000000</f>
        <v>0</v>
      </c>
      <c r="CD121" s="70">
        <f t="shared" si="26"/>
        <v>4.1590000000000002E-2</v>
      </c>
      <c r="CE121" s="60"/>
      <c r="CF121" s="71">
        <f>'RD Feedstock Breakdown'!GQ112</f>
        <v>0.35878899561324312</v>
      </c>
      <c r="CG121" s="72">
        <f t="shared" si="21"/>
        <v>8.6268092236894223</v>
      </c>
      <c r="CH121" s="73">
        <f>'[2]US EIA'!$R258+AW121</f>
        <v>3073</v>
      </c>
    </row>
    <row r="122" spans="1:86" ht="13.5" x14ac:dyDescent="0.25">
      <c r="A122" s="59">
        <v>43862</v>
      </c>
      <c r="B122" s="74">
        <f t="shared" si="37"/>
        <v>290</v>
      </c>
      <c r="C122" s="74"/>
      <c r="D122" s="74">
        <f t="shared" si="18"/>
        <v>3</v>
      </c>
      <c r="E122" s="74"/>
      <c r="F122" s="74">
        <v>95</v>
      </c>
      <c r="G122" s="74"/>
      <c r="H122" s="74">
        <v>50</v>
      </c>
      <c r="I122" s="74"/>
      <c r="J122" s="74">
        <v>100</v>
      </c>
      <c r="K122" s="60"/>
      <c r="L122" s="60"/>
      <c r="M122" s="74"/>
      <c r="N122" s="74"/>
      <c r="O122" s="74"/>
      <c r="P122" s="60"/>
      <c r="Q122" s="74"/>
      <c r="R122" s="74"/>
      <c r="S122" s="60"/>
      <c r="T122" s="74"/>
      <c r="U122" s="74"/>
      <c r="V122" s="74"/>
      <c r="W122" s="74">
        <f t="shared" si="36"/>
        <v>20</v>
      </c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>
        <f t="shared" si="38"/>
        <v>558</v>
      </c>
      <c r="AX122" s="66">
        <f t="shared" si="28"/>
        <v>558</v>
      </c>
      <c r="AY122" s="62">
        <f>'[1]D4 Gallon Forecast'!$L150/1000000</f>
        <v>0</v>
      </c>
      <c r="AZ122" s="62">
        <f>'[1]D4 Gallon Forecast'!$L182/1000000</f>
        <v>33.947856999999999</v>
      </c>
      <c r="BA122" s="62">
        <f t="shared" si="39"/>
        <v>33.947856999999999</v>
      </c>
      <c r="BB122" s="62">
        <f>'[1]D4 Gallon Forecast'!$L166/1000000</f>
        <v>0</v>
      </c>
      <c r="BC122" s="63">
        <f>'[1]D4 Gallon Forecast'!$L342/1000000</f>
        <v>0</v>
      </c>
      <c r="BD122" s="64">
        <f>'[1]D4 Gallon Forecast'!$L358/1000000</f>
        <v>0</v>
      </c>
      <c r="BE122" s="64">
        <f t="shared" si="40"/>
        <v>0</v>
      </c>
      <c r="BF122" s="76">
        <f t="shared" si="29"/>
        <v>33.947856999999999</v>
      </c>
      <c r="BG122" s="77">
        <f t="shared" si="34"/>
        <v>0.71632372557521107</v>
      </c>
      <c r="BH122" s="74"/>
      <c r="BI122" s="75">
        <f t="shared" si="31"/>
        <v>133.75</v>
      </c>
      <c r="BJ122" s="75">
        <f t="shared" si="32"/>
        <v>424.25</v>
      </c>
      <c r="BK122" s="75">
        <f>'RD Feedstock Breakdown'!ES113</f>
        <v>292.69181742565979</v>
      </c>
      <c r="BL122" s="78">
        <f t="shared" si="33"/>
        <v>8.621805418399747</v>
      </c>
      <c r="BM122" s="78">
        <f t="shared" si="30"/>
        <v>8.621805418399747</v>
      </c>
      <c r="BN122" s="69"/>
      <c r="BO122" s="79"/>
      <c r="BP122" s="69"/>
      <c r="BQ122" s="66">
        <f>'[1]Monthly D4 Gallon Data'!$B123/1000000</f>
        <v>128.03300300000001</v>
      </c>
      <c r="BR122" s="66">
        <f>'[1]Monthly D6 Gallon Data'!$B125/1000000</f>
        <v>0</v>
      </c>
      <c r="BS122" s="66">
        <f t="shared" si="24"/>
        <v>128.03300300000001</v>
      </c>
      <c r="BT122" s="60"/>
      <c r="BU122" s="67">
        <f>'[2]US EIA'!$P259</f>
        <v>1007</v>
      </c>
      <c r="BV122" s="68">
        <f t="shared" si="25"/>
        <v>7.865159579206308</v>
      </c>
      <c r="BW122" s="60"/>
      <c r="BX122" s="69">
        <f t="shared" si="19"/>
        <v>0.20957943426155409</v>
      </c>
      <c r="BY122" s="69">
        <f t="shared" si="20"/>
        <v>0.79042056573844588</v>
      </c>
      <c r="BZ122" s="60"/>
      <c r="CA122" s="60"/>
      <c r="CB122" s="70">
        <f>'[1]Monthly D4 Gallon Data'!$AG123/1000000</f>
        <v>0</v>
      </c>
      <c r="CC122" s="70">
        <f>'[1]Monthly D6 Gallon Data'!$O125/1000000</f>
        <v>0</v>
      </c>
      <c r="CD122" s="70">
        <f t="shared" si="26"/>
        <v>0</v>
      </c>
      <c r="CE122" s="60"/>
      <c r="CF122" s="71">
        <f>'RD Feedstock Breakdown'!GQ113</f>
        <v>0</v>
      </c>
      <c r="CG122" s="72" t="e">
        <f t="shared" si="21"/>
        <v>#DIV/0!</v>
      </c>
      <c r="CH122" s="73">
        <f>'[2]US EIA'!$R259+AW122</f>
        <v>3073</v>
      </c>
    </row>
    <row r="123" spans="1:86" ht="13.5" x14ac:dyDescent="0.25">
      <c r="A123" s="59">
        <v>43891</v>
      </c>
      <c r="B123" s="74">
        <f t="shared" si="37"/>
        <v>290</v>
      </c>
      <c r="C123" s="74"/>
      <c r="D123" s="74">
        <f t="shared" si="18"/>
        <v>3</v>
      </c>
      <c r="E123" s="74"/>
      <c r="F123" s="74">
        <v>95</v>
      </c>
      <c r="G123" s="74"/>
      <c r="H123" s="74">
        <v>50</v>
      </c>
      <c r="I123" s="74"/>
      <c r="J123" s="74">
        <v>100</v>
      </c>
      <c r="K123" s="60"/>
      <c r="L123" s="60"/>
      <c r="M123" s="74"/>
      <c r="N123" s="74"/>
      <c r="O123" s="74"/>
      <c r="P123" s="60"/>
      <c r="Q123" s="74"/>
      <c r="R123" s="74"/>
      <c r="S123" s="60"/>
      <c r="T123" s="74"/>
      <c r="U123" s="74"/>
      <c r="V123" s="74"/>
      <c r="W123" s="74">
        <f t="shared" si="36"/>
        <v>20</v>
      </c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>
        <f t="shared" si="38"/>
        <v>558</v>
      </c>
      <c r="AX123" s="66">
        <f t="shared" si="28"/>
        <v>558</v>
      </c>
      <c r="AY123" s="62">
        <f>'[1]D4 Gallon Forecast'!$L151/1000000</f>
        <v>0</v>
      </c>
      <c r="AZ123" s="62">
        <f>'[1]D4 Gallon Forecast'!$L183/1000000</f>
        <v>41.586367000000003</v>
      </c>
      <c r="BA123" s="62">
        <f t="shared" si="39"/>
        <v>41.586367000000003</v>
      </c>
      <c r="BB123" s="62">
        <f>'[1]D4 Gallon Forecast'!$L167/1000000</f>
        <v>7.7732999999999997E-2</v>
      </c>
      <c r="BC123" s="63">
        <f>'[1]D4 Gallon Forecast'!$L343/1000000</f>
        <v>0.28082600000000002</v>
      </c>
      <c r="BD123" s="64">
        <f>'[1]D4 Gallon Forecast'!$L359/1000000</f>
        <v>0</v>
      </c>
      <c r="BE123" s="64">
        <f t="shared" si="40"/>
        <v>0.35855900000000002</v>
      </c>
      <c r="BF123" s="76">
        <f t="shared" si="29"/>
        <v>41.944926000000002</v>
      </c>
      <c r="BG123" s="77">
        <f t="shared" si="34"/>
        <v>0.94610666110493147</v>
      </c>
      <c r="BH123" s="74"/>
      <c r="BI123" s="75">
        <f t="shared" si="31"/>
        <v>133.75</v>
      </c>
      <c r="BJ123" s="75">
        <f t="shared" si="32"/>
        <v>424.25</v>
      </c>
      <c r="BK123" s="75">
        <f>'RD Feedstock Breakdown'!ES114</f>
        <v>361.64099026117646</v>
      </c>
      <c r="BL123" s="78">
        <f t="shared" si="33"/>
        <v>8.621805418399747</v>
      </c>
      <c r="BM123" s="78">
        <f t="shared" si="30"/>
        <v>8.6961429033023361</v>
      </c>
      <c r="BN123" s="69"/>
      <c r="BO123" s="79"/>
      <c r="BP123" s="69"/>
      <c r="BQ123" s="66">
        <f>'[1]Monthly D4 Gallon Data'!$B124/1000000</f>
        <v>150.09065799999999</v>
      </c>
      <c r="BR123" s="66">
        <f>'[1]Monthly D6 Gallon Data'!$B126/1000000</f>
        <v>0</v>
      </c>
      <c r="BS123" s="66">
        <f t="shared" si="24"/>
        <v>150.09065799999999</v>
      </c>
      <c r="BT123" s="60"/>
      <c r="BU123" s="67">
        <f>'[2]US EIA'!$P260</f>
        <v>1149</v>
      </c>
      <c r="BV123" s="68">
        <f t="shared" si="25"/>
        <v>7.6553731945128796</v>
      </c>
      <c r="BW123" s="60"/>
      <c r="BX123" s="69">
        <f t="shared" si="19"/>
        <v>0.21842267524752079</v>
      </c>
      <c r="BY123" s="69">
        <f t="shared" si="20"/>
        <v>0.78157732475247921</v>
      </c>
      <c r="BZ123" s="60"/>
      <c r="CA123" s="60"/>
      <c r="CB123" s="70">
        <f>'[1]Monthly D4 Gallon Data'!$AG124/1000000</f>
        <v>0.28082600000000002</v>
      </c>
      <c r="CC123" s="70">
        <f>'[1]Monthly D6 Gallon Data'!$O126/1000000</f>
        <v>0</v>
      </c>
      <c r="CD123" s="70">
        <f t="shared" si="26"/>
        <v>0.28082600000000002</v>
      </c>
      <c r="CE123" s="60"/>
      <c r="CF123" s="71">
        <f>'RD Feedstock Breakdown'!GQ114</f>
        <v>2.4212271284275277</v>
      </c>
      <c r="CG123" s="72">
        <f t="shared" si="21"/>
        <v>8.621805418399747</v>
      </c>
      <c r="CH123" s="73">
        <f>'[2]US EIA'!$R260+AW123</f>
        <v>3072</v>
      </c>
    </row>
    <row r="124" spans="1:86" ht="13.5" x14ac:dyDescent="0.25">
      <c r="A124" s="59">
        <v>43922</v>
      </c>
      <c r="B124" s="74">
        <f t="shared" si="37"/>
        <v>290</v>
      </c>
      <c r="C124" s="74"/>
      <c r="D124" s="74">
        <f t="shared" si="18"/>
        <v>3</v>
      </c>
      <c r="E124" s="74"/>
      <c r="F124" s="74">
        <v>95</v>
      </c>
      <c r="G124" s="74"/>
      <c r="H124" s="74">
        <v>50</v>
      </c>
      <c r="I124" s="74"/>
      <c r="J124" s="74">
        <v>100</v>
      </c>
      <c r="K124" s="60"/>
      <c r="L124" s="60"/>
      <c r="M124" s="74"/>
      <c r="N124" s="74"/>
      <c r="O124" s="74"/>
      <c r="P124" s="60"/>
      <c r="Q124" s="74"/>
      <c r="R124" s="74"/>
      <c r="S124" s="60"/>
      <c r="T124" s="74"/>
      <c r="U124" s="74"/>
      <c r="V124" s="74"/>
      <c r="W124" s="74">
        <f t="shared" si="36"/>
        <v>20</v>
      </c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>
        <f t="shared" si="38"/>
        <v>558</v>
      </c>
      <c r="AX124" s="66">
        <f t="shared" si="28"/>
        <v>558</v>
      </c>
      <c r="AY124" s="62">
        <f>'[1]D4 Gallon Forecast'!$L152/1000000</f>
        <v>0</v>
      </c>
      <c r="AZ124" s="62">
        <f>'[1]D4 Gallon Forecast'!$L184/1000000</f>
        <v>34.998849</v>
      </c>
      <c r="BA124" s="62">
        <f t="shared" si="39"/>
        <v>34.998849</v>
      </c>
      <c r="BB124" s="62">
        <f>'[1]D4 Gallon Forecast'!$L168/1000000</f>
        <v>0.55777200000000005</v>
      </c>
      <c r="BC124" s="63">
        <f>'[1]D4 Gallon Forecast'!$L344/1000000</f>
        <v>1.234442</v>
      </c>
      <c r="BD124" s="64">
        <f>'[1]D4 Gallon Forecast'!$L360/1000000</f>
        <v>0</v>
      </c>
      <c r="BE124" s="64">
        <f t="shared" si="40"/>
        <v>1.792214</v>
      </c>
      <c r="BF124" s="76">
        <f t="shared" si="29"/>
        <v>36.791063000000001</v>
      </c>
      <c r="BG124" s="77">
        <f t="shared" si="34"/>
        <v>0.77631737744247897</v>
      </c>
      <c r="BH124" s="74"/>
      <c r="BI124" s="75">
        <f t="shared" si="31"/>
        <v>133.75</v>
      </c>
      <c r="BJ124" s="75">
        <f t="shared" si="32"/>
        <v>424.25</v>
      </c>
      <c r="BK124" s="75">
        <f>'RD Feedstock Breakdown'!ES115</f>
        <v>317.2053863220865</v>
      </c>
      <c r="BL124" s="78">
        <f t="shared" si="33"/>
        <v>8.6218054183997488</v>
      </c>
      <c r="BM124" s="78">
        <f t="shared" si="30"/>
        <v>9.0633090911671559</v>
      </c>
      <c r="BN124" s="69"/>
      <c r="BO124" s="79"/>
      <c r="BP124" s="69"/>
      <c r="BQ124" s="66">
        <f>'[1]Monthly D4 Gallon Data'!$B125/1000000</f>
        <v>149.35612599999999</v>
      </c>
      <c r="BR124" s="66">
        <f>'[1]Monthly D6 Gallon Data'!$B127/1000000</f>
        <v>0</v>
      </c>
      <c r="BS124" s="66">
        <f t="shared" si="24"/>
        <v>149.35612599999999</v>
      </c>
      <c r="BT124" s="60"/>
      <c r="BU124" s="67">
        <f>'[2]US EIA'!$P261</f>
        <v>1070</v>
      </c>
      <c r="BV124" s="68">
        <f t="shared" si="25"/>
        <v>7.1640851209544634</v>
      </c>
      <c r="BW124" s="60"/>
      <c r="BX124" s="69">
        <f t="shared" si="19"/>
        <v>0.19764500983144043</v>
      </c>
      <c r="BY124" s="69">
        <f t="shared" si="20"/>
        <v>0.80235499016855949</v>
      </c>
      <c r="BZ124" s="60"/>
      <c r="CA124" s="60"/>
      <c r="CB124" s="70">
        <f>'[1]Monthly D4 Gallon Data'!$AG125/1000000</f>
        <v>1.234442</v>
      </c>
      <c r="CC124" s="70">
        <f>'[1]Monthly D6 Gallon Data'!$O127/1000000</f>
        <v>0</v>
      </c>
      <c r="CD124" s="70">
        <f t="shared" si="26"/>
        <v>1.234442</v>
      </c>
      <c r="CE124" s="60"/>
      <c r="CF124" s="71">
        <f>'RD Feedstock Breakdown'!GQ115</f>
        <v>10.643118724300221</v>
      </c>
      <c r="CG124" s="72">
        <f t="shared" si="21"/>
        <v>8.621805418399747</v>
      </c>
      <c r="CH124" s="73">
        <f>'[2]US EIA'!$R261+AW124</f>
        <v>3072</v>
      </c>
    </row>
    <row r="125" spans="1:86" ht="13.5" x14ac:dyDescent="0.25">
      <c r="A125" s="59">
        <v>43952</v>
      </c>
      <c r="B125" s="74">
        <f t="shared" si="37"/>
        <v>290</v>
      </c>
      <c r="C125" s="74"/>
      <c r="D125" s="74">
        <f t="shared" si="18"/>
        <v>3</v>
      </c>
      <c r="E125" s="74"/>
      <c r="F125" s="74">
        <v>95</v>
      </c>
      <c r="G125" s="74"/>
      <c r="H125" s="74">
        <v>50</v>
      </c>
      <c r="I125" s="74"/>
      <c r="J125" s="74">
        <v>100</v>
      </c>
      <c r="K125" s="60"/>
      <c r="L125" s="60"/>
      <c r="M125" s="74"/>
      <c r="N125" s="74"/>
      <c r="O125" s="74"/>
      <c r="P125" s="60"/>
      <c r="Q125" s="74"/>
      <c r="R125" s="74"/>
      <c r="S125" s="60"/>
      <c r="T125" s="74"/>
      <c r="U125" s="74"/>
      <c r="V125" s="74"/>
      <c r="W125" s="74">
        <f t="shared" si="36"/>
        <v>20</v>
      </c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>
        <f t="shared" si="38"/>
        <v>558</v>
      </c>
      <c r="AX125" s="66">
        <f t="shared" si="28"/>
        <v>558</v>
      </c>
      <c r="AY125" s="62">
        <f>'[1]D4 Gallon Forecast'!$L153/1000000</f>
        <v>0</v>
      </c>
      <c r="AZ125" s="62">
        <f>'[1]D4 Gallon Forecast'!$L185/1000000</f>
        <v>42.165050000000001</v>
      </c>
      <c r="BA125" s="62">
        <f t="shared" si="39"/>
        <v>42.165050000000001</v>
      </c>
      <c r="BB125" s="62">
        <f>'[1]D4 Gallon Forecast'!$L169/1000000</f>
        <v>0</v>
      </c>
      <c r="BC125" s="63">
        <f>'[1]D4 Gallon Forecast'!$L345/1000000</f>
        <v>0</v>
      </c>
      <c r="BD125" s="64">
        <f>'[1]D4 Gallon Forecast'!$L361/1000000</f>
        <v>0</v>
      </c>
      <c r="BE125" s="64">
        <f t="shared" si="40"/>
        <v>0</v>
      </c>
      <c r="BF125" s="76">
        <f t="shared" si="29"/>
        <v>42.165050000000001</v>
      </c>
      <c r="BG125" s="77">
        <f t="shared" si="34"/>
        <v>0.91936936977299877</v>
      </c>
      <c r="BH125" s="74"/>
      <c r="BI125" s="75">
        <f t="shared" si="31"/>
        <v>133.75</v>
      </c>
      <c r="BJ125" s="75">
        <f t="shared" si="32"/>
        <v>424.25</v>
      </c>
      <c r="BK125" s="75">
        <f>'RD Feedstock Breakdown'!ES116</f>
        <v>363.53885655709627</v>
      </c>
      <c r="BL125" s="78">
        <f t="shared" si="33"/>
        <v>8.621805418399747</v>
      </c>
      <c r="BM125" s="78">
        <f t="shared" si="30"/>
        <v>8.621805418399747</v>
      </c>
      <c r="BN125" s="69"/>
      <c r="BO125" s="79"/>
      <c r="BP125" s="69"/>
      <c r="BQ125" s="66">
        <f>'[1]Monthly D4 Gallon Data'!$B126/1000000</f>
        <v>143.17422300000001</v>
      </c>
      <c r="BR125" s="66">
        <f>'[1]Monthly D6 Gallon Data'!$B128/1000000</f>
        <v>0</v>
      </c>
      <c r="BS125" s="66">
        <f t="shared" si="24"/>
        <v>143.17422300000001</v>
      </c>
      <c r="BT125" s="60"/>
      <c r="BU125" s="67">
        <f>'[2]US EIA'!$P262</f>
        <v>1148</v>
      </c>
      <c r="BV125" s="68">
        <f t="shared" si="25"/>
        <v>8.0182031090889865</v>
      </c>
      <c r="BW125" s="60"/>
      <c r="BX125" s="69">
        <f t="shared" si="19"/>
        <v>0.2275019714790831</v>
      </c>
      <c r="BY125" s="69">
        <f t="shared" si="20"/>
        <v>0.77249802852091687</v>
      </c>
      <c r="BZ125" s="60"/>
      <c r="CA125" s="60"/>
      <c r="CB125" s="70">
        <f>'[1]Monthly D4 Gallon Data'!$AG126/1000000</f>
        <v>0</v>
      </c>
      <c r="CC125" s="70">
        <f>'[1]Monthly D6 Gallon Data'!$O128/1000000</f>
        <v>0</v>
      </c>
      <c r="CD125" s="70">
        <f t="shared" si="26"/>
        <v>0</v>
      </c>
      <c r="CE125" s="60"/>
      <c r="CF125" s="71">
        <f>'RD Feedstock Breakdown'!GQ116</f>
        <v>0</v>
      </c>
      <c r="CG125" s="72" t="e">
        <f t="shared" si="21"/>
        <v>#DIV/0!</v>
      </c>
      <c r="CH125" s="73">
        <f>'[2]US EIA'!$R262+AW125</f>
        <v>3072</v>
      </c>
    </row>
    <row r="126" spans="1:86" ht="13.5" x14ac:dyDescent="0.25">
      <c r="A126" s="59">
        <v>43983</v>
      </c>
      <c r="B126" s="74">
        <f t="shared" si="37"/>
        <v>290</v>
      </c>
      <c r="C126" s="74"/>
      <c r="D126" s="74">
        <f t="shared" si="18"/>
        <v>3</v>
      </c>
      <c r="E126" s="74"/>
      <c r="F126" s="74">
        <v>95</v>
      </c>
      <c r="G126" s="74"/>
      <c r="H126" s="74">
        <v>50</v>
      </c>
      <c r="I126" s="74"/>
      <c r="J126" s="74">
        <v>100</v>
      </c>
      <c r="K126" s="60"/>
      <c r="L126" s="60"/>
      <c r="M126" s="74"/>
      <c r="N126" s="74"/>
      <c r="O126" s="74"/>
      <c r="P126" s="60"/>
      <c r="Q126" s="74"/>
      <c r="R126" s="74"/>
      <c r="S126" s="60"/>
      <c r="T126" s="74"/>
      <c r="U126" s="74"/>
      <c r="V126" s="74"/>
      <c r="W126" s="74">
        <f t="shared" si="36"/>
        <v>20</v>
      </c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>
        <f t="shared" si="38"/>
        <v>558</v>
      </c>
      <c r="AX126" s="66">
        <f t="shared" si="28"/>
        <v>558</v>
      </c>
      <c r="AY126" s="62">
        <f>'[1]D4 Gallon Forecast'!$L154/1000000</f>
        <v>0</v>
      </c>
      <c r="AZ126" s="62">
        <f>'[1]D4 Gallon Forecast'!$L186/1000000</f>
        <v>49.749220000000001</v>
      </c>
      <c r="BA126" s="62">
        <f t="shared" si="39"/>
        <v>49.749220000000001</v>
      </c>
      <c r="BB126" s="62">
        <f>'[1]D4 Gallon Forecast'!$L170/1000000</f>
        <v>0.10566</v>
      </c>
      <c r="BC126" s="63">
        <f>'[1]D4 Gallon Forecast'!$L346/1000000</f>
        <v>0.50851299999999999</v>
      </c>
      <c r="BD126" s="64">
        <f>'[1]D4 Gallon Forecast'!$L362/1000000</f>
        <v>0</v>
      </c>
      <c r="BE126" s="64">
        <f t="shared" si="40"/>
        <v>0.61417299999999997</v>
      </c>
      <c r="BF126" s="76">
        <f t="shared" si="29"/>
        <v>50.363393000000002</v>
      </c>
      <c r="BG126" s="77">
        <f t="shared" si="34"/>
        <v>1.0627031127876054</v>
      </c>
      <c r="BH126" s="74"/>
      <c r="BI126" s="75">
        <f t="shared" si="31"/>
        <v>133.75</v>
      </c>
      <c r="BJ126" s="75">
        <f t="shared" si="32"/>
        <v>424.25</v>
      </c>
      <c r="BK126" s="75">
        <f>'RD Feedstock Breakdown'!ES117</f>
        <v>461.45053189249057</v>
      </c>
      <c r="BL126" s="78">
        <f t="shared" si="33"/>
        <v>9.1624194559824552</v>
      </c>
      <c r="BM126" s="78">
        <f t="shared" si="30"/>
        <v>9.2755330011704817</v>
      </c>
      <c r="BN126" s="69"/>
      <c r="BO126" s="79"/>
      <c r="BP126" s="69"/>
      <c r="BQ126" s="66">
        <f>'[1]Monthly D4 Gallon Data'!$B127/1000000</f>
        <v>165.51933</v>
      </c>
      <c r="BR126" s="66">
        <f>'[1]Monthly D6 Gallon Data'!$B129/1000000</f>
        <v>0</v>
      </c>
      <c r="BS126" s="66">
        <f t="shared" si="24"/>
        <v>165.51933</v>
      </c>
      <c r="BT126" s="60"/>
      <c r="BU126" s="67">
        <f>'[2]US EIA'!$P263</f>
        <v>1136</v>
      </c>
      <c r="BV126" s="68">
        <f t="shared" si="25"/>
        <v>6.8632467277386882</v>
      </c>
      <c r="BW126" s="60"/>
      <c r="BX126" s="69">
        <f t="shared" si="19"/>
        <v>0.23329052135404094</v>
      </c>
      <c r="BY126" s="69">
        <f t="shared" si="20"/>
        <v>0.76670947864595906</v>
      </c>
      <c r="BZ126" s="60"/>
      <c r="CA126" s="60"/>
      <c r="CB126" s="70">
        <f>'[1]Monthly D4 Gallon Data'!$AG127/1000000</f>
        <v>0.50851299999999999</v>
      </c>
      <c r="CC126" s="70">
        <f>'[1]Monthly D6 Gallon Data'!$O129/1000000</f>
        <v>0</v>
      </c>
      <c r="CD126" s="70">
        <f t="shared" si="26"/>
        <v>0.50851299999999999</v>
      </c>
      <c r="CE126" s="60"/>
      <c r="CF126" s="71">
        <f>'RD Feedstock Breakdown'!GQ117</f>
        <v>4.3843001387267106</v>
      </c>
      <c r="CG126" s="72">
        <f t="shared" si="21"/>
        <v>8.621805418399747</v>
      </c>
      <c r="CH126" s="73">
        <f>'[2]US EIA'!$R263+AW126</f>
        <v>3072</v>
      </c>
    </row>
    <row r="127" spans="1:86" ht="13.5" x14ac:dyDescent="0.25">
      <c r="A127" s="59">
        <v>44013</v>
      </c>
      <c r="B127" s="74">
        <f t="shared" si="37"/>
        <v>290</v>
      </c>
      <c r="C127" s="74"/>
      <c r="D127" s="74">
        <f t="shared" si="18"/>
        <v>3</v>
      </c>
      <c r="E127" s="74"/>
      <c r="F127" s="74">
        <v>95</v>
      </c>
      <c r="G127" s="74"/>
      <c r="H127" s="74">
        <v>50</v>
      </c>
      <c r="I127" s="74"/>
      <c r="J127" s="74">
        <v>100</v>
      </c>
      <c r="K127" s="60"/>
      <c r="L127" s="60"/>
      <c r="M127" s="74"/>
      <c r="N127" s="74">
        <f>60*$N$12</f>
        <v>60</v>
      </c>
      <c r="O127" s="74"/>
      <c r="P127" s="60"/>
      <c r="Q127" s="74"/>
      <c r="R127" s="74"/>
      <c r="S127" s="60"/>
      <c r="T127" s="74"/>
      <c r="U127" s="74"/>
      <c r="V127" s="74"/>
      <c r="W127" s="74">
        <f t="shared" si="36"/>
        <v>20</v>
      </c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>
        <f t="shared" si="38"/>
        <v>618</v>
      </c>
      <c r="AX127" s="66">
        <f t="shared" si="28"/>
        <v>618</v>
      </c>
      <c r="AY127" s="62">
        <f>'[1]D4 Gallon Forecast'!$L155/1000000</f>
        <v>0</v>
      </c>
      <c r="AZ127" s="62">
        <f>'[1]D4 Gallon Forecast'!$L187/1000000</f>
        <v>42.614735000000003</v>
      </c>
      <c r="BA127" s="62">
        <f t="shared" si="39"/>
        <v>42.614735000000003</v>
      </c>
      <c r="BB127" s="62">
        <f>'[1]D4 Gallon Forecast'!$L171/1000000</f>
        <v>0.44502399999999998</v>
      </c>
      <c r="BC127" s="63">
        <f>'[1]D4 Gallon Forecast'!$L347/1000000</f>
        <v>1.5367249999999999</v>
      </c>
      <c r="BD127" s="64">
        <f>'[1]D4 Gallon Forecast'!$L363/1000000</f>
        <v>0</v>
      </c>
      <c r="BE127" s="64">
        <f t="shared" si="40"/>
        <v>1.9817489999999998</v>
      </c>
      <c r="BF127" s="76">
        <f t="shared" si="29"/>
        <v>44.596484000000004</v>
      </c>
      <c r="BG127" s="77">
        <f t="shared" si="34"/>
        <v>0.87797824487594389</v>
      </c>
      <c r="BH127" s="74"/>
      <c r="BI127" s="75">
        <f t="shared" si="31"/>
        <v>148.75</v>
      </c>
      <c r="BJ127" s="75">
        <f t="shared" si="32"/>
        <v>469.25</v>
      </c>
      <c r="BK127" s="75">
        <f>'RD Feedstock Breakdown'!ES118</f>
        <v>382.32501549737481</v>
      </c>
      <c r="BL127" s="78">
        <f t="shared" si="33"/>
        <v>8.5729856079545375</v>
      </c>
      <c r="BM127" s="78">
        <f t="shared" si="30"/>
        <v>8.9716623955862875</v>
      </c>
      <c r="BN127" s="69"/>
      <c r="BO127" s="79"/>
      <c r="BP127" s="69"/>
      <c r="BQ127" s="66">
        <f>'[1]Monthly D4 Gallon Data'!$B128/1000000</f>
        <v>162.73826500000001</v>
      </c>
      <c r="BR127" s="66">
        <f>'[1]Monthly D6 Gallon Data'!$B130/1000000</f>
        <v>0</v>
      </c>
      <c r="BS127" s="66">
        <f t="shared" si="24"/>
        <v>162.73826500000001</v>
      </c>
      <c r="BT127" s="60"/>
      <c r="BU127" s="67">
        <f>'[2]US EIA'!$P264</f>
        <v>1238</v>
      </c>
      <c r="BV127" s="68">
        <f t="shared" si="25"/>
        <v>7.6073073533136162</v>
      </c>
      <c r="BW127" s="60"/>
      <c r="BX127" s="69">
        <f t="shared" si="19"/>
        <v>0.21509411333649625</v>
      </c>
      <c r="BY127" s="69">
        <f t="shared" si="20"/>
        <v>0.7849058866635038</v>
      </c>
      <c r="BZ127" s="60"/>
      <c r="CA127" s="60"/>
      <c r="CB127" s="70">
        <f>'[1]Monthly D4 Gallon Data'!$AG128/1000000</f>
        <v>1.5367249999999999</v>
      </c>
      <c r="CC127" s="70">
        <f>'[1]Monthly D6 Gallon Data'!$O130/1000000</f>
        <v>0</v>
      </c>
      <c r="CD127" s="70">
        <f t="shared" si="26"/>
        <v>1.5367249999999999</v>
      </c>
      <c r="CE127" s="60"/>
      <c r="CF127" s="71">
        <f>'RD Feedstock Breakdown'!GQ118</f>
        <v>13.174321308383933</v>
      </c>
      <c r="CG127" s="72">
        <f t="shared" si="21"/>
        <v>8.5729856079545357</v>
      </c>
      <c r="CH127" s="73">
        <f>'[2]US EIA'!$R264+AW127</f>
        <v>3127</v>
      </c>
    </row>
    <row r="128" spans="1:86" ht="13.5" x14ac:dyDescent="0.25">
      <c r="A128" s="59">
        <v>44044</v>
      </c>
      <c r="B128" s="74">
        <f t="shared" si="37"/>
        <v>290</v>
      </c>
      <c r="C128" s="74"/>
      <c r="D128" s="74">
        <f t="shared" si="18"/>
        <v>3</v>
      </c>
      <c r="E128" s="74"/>
      <c r="F128" s="74">
        <v>95</v>
      </c>
      <c r="G128" s="74"/>
      <c r="H128" s="74">
        <v>50</v>
      </c>
      <c r="I128" s="74"/>
      <c r="J128" s="74">
        <v>100</v>
      </c>
      <c r="K128" s="60"/>
      <c r="L128" s="60"/>
      <c r="M128" s="74"/>
      <c r="N128" s="74">
        <f>120*$N$12</f>
        <v>120</v>
      </c>
      <c r="O128" s="74"/>
      <c r="P128" s="60"/>
      <c r="Q128" s="74"/>
      <c r="R128" s="74"/>
      <c r="S128" s="60"/>
      <c r="T128" s="74"/>
      <c r="U128" s="74"/>
      <c r="V128" s="74"/>
      <c r="W128" s="74">
        <f t="shared" si="36"/>
        <v>20</v>
      </c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>
        <f t="shared" si="38"/>
        <v>678</v>
      </c>
      <c r="AX128" s="66">
        <f t="shared" si="28"/>
        <v>678</v>
      </c>
      <c r="AY128" s="62">
        <f>'[1]D4 Gallon Forecast'!$L156/1000000</f>
        <v>0</v>
      </c>
      <c r="AZ128" s="62">
        <f>'[1]D4 Gallon Forecast'!$L188/1000000</f>
        <v>40.277987000000003</v>
      </c>
      <c r="BA128" s="62">
        <f t="shared" si="39"/>
        <v>40.277987000000003</v>
      </c>
      <c r="BB128" s="62">
        <f>'[1]D4 Gallon Forecast'!$L172/1000000</f>
        <v>0</v>
      </c>
      <c r="BC128" s="63">
        <f>'[1]D4 Gallon Forecast'!$L348/1000000</f>
        <v>6.3854999999999995E-2</v>
      </c>
      <c r="BD128" s="64">
        <f>'[1]D4 Gallon Forecast'!$L364/1000000</f>
        <v>0</v>
      </c>
      <c r="BE128" s="64">
        <f t="shared" si="40"/>
        <v>6.3854999999999995E-2</v>
      </c>
      <c r="BF128" s="76">
        <f t="shared" si="29"/>
        <v>40.341842</v>
      </c>
      <c r="BG128" s="77">
        <f t="shared" si="34"/>
        <v>0.70057913835759822</v>
      </c>
      <c r="BH128" s="74"/>
      <c r="BI128" s="75">
        <f t="shared" si="31"/>
        <v>163.75</v>
      </c>
      <c r="BJ128" s="75">
        <f t="shared" si="32"/>
        <v>514.25</v>
      </c>
      <c r="BK128" s="75">
        <f>'RD Feedstock Breakdown'!ES119</f>
        <v>344.20934681008464</v>
      </c>
      <c r="BL128" s="78">
        <f t="shared" si="33"/>
        <v>8.5323160704978385</v>
      </c>
      <c r="BM128" s="78">
        <f t="shared" si="30"/>
        <v>8.5458428399136377</v>
      </c>
      <c r="BN128" s="69"/>
      <c r="BO128" s="79"/>
      <c r="BP128" s="69"/>
      <c r="BQ128" s="66">
        <f>'[1]Monthly D4 Gallon Data'!$B129/1000000</f>
        <v>171.49349900000001</v>
      </c>
      <c r="BR128" s="66">
        <f>'[1]Monthly D6 Gallon Data'!$B131/1000000</f>
        <v>0</v>
      </c>
      <c r="BS128" s="66">
        <f t="shared" si="24"/>
        <v>171.49349900000001</v>
      </c>
      <c r="BT128" s="60"/>
      <c r="BU128" s="67">
        <f>'[2]US EIA'!$P265</f>
        <v>1239</v>
      </c>
      <c r="BV128" s="68">
        <f t="shared" si="25"/>
        <v>7.2247636629071277</v>
      </c>
      <c r="BW128" s="60"/>
      <c r="BX128" s="69">
        <f t="shared" si="19"/>
        <v>0.19043962074298071</v>
      </c>
      <c r="BY128" s="69">
        <f t="shared" si="20"/>
        <v>0.80956037925701918</v>
      </c>
      <c r="BZ128" s="60"/>
      <c r="CA128" s="60"/>
      <c r="CB128" s="70">
        <f>'[1]Monthly D4 Gallon Data'!$AG129/1000000</f>
        <v>6.3854999999999995E-2</v>
      </c>
      <c r="CC128" s="70">
        <f>'[1]Monthly D6 Gallon Data'!$O131/1000000</f>
        <v>0</v>
      </c>
      <c r="CD128" s="70">
        <f t="shared" si="26"/>
        <v>6.3854999999999995E-2</v>
      </c>
      <c r="CE128" s="60"/>
      <c r="CF128" s="71">
        <f>'RD Feedstock Breakdown'!GQ119</f>
        <v>0.5448310426816394</v>
      </c>
      <c r="CG128" s="72">
        <f t="shared" si="21"/>
        <v>8.5323160704978385</v>
      </c>
      <c r="CH128" s="73">
        <f>'[2]US EIA'!$R265+AW128</f>
        <v>3137</v>
      </c>
    </row>
    <row r="129" spans="1:86" ht="13.5" x14ac:dyDescent="0.25">
      <c r="A129" s="59">
        <v>44075</v>
      </c>
      <c r="B129" s="74">
        <f t="shared" si="37"/>
        <v>290</v>
      </c>
      <c r="C129" s="74"/>
      <c r="D129" s="74">
        <f t="shared" si="18"/>
        <v>3</v>
      </c>
      <c r="E129" s="74"/>
      <c r="F129" s="74">
        <v>95</v>
      </c>
      <c r="G129" s="74"/>
      <c r="H129" s="74">
        <v>50</v>
      </c>
      <c r="I129" s="74"/>
      <c r="J129" s="74">
        <v>100</v>
      </c>
      <c r="K129" s="60"/>
      <c r="L129" s="60"/>
      <c r="M129" s="74"/>
      <c r="N129" s="74">
        <f>180*$N$12</f>
        <v>180</v>
      </c>
      <c r="O129" s="74"/>
      <c r="P129" s="60"/>
      <c r="Q129" s="74"/>
      <c r="R129" s="74"/>
      <c r="S129" s="60"/>
      <c r="T129" s="74"/>
      <c r="U129" s="74"/>
      <c r="V129" s="74"/>
      <c r="W129" s="74">
        <f t="shared" si="36"/>
        <v>20</v>
      </c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>
        <f t="shared" si="38"/>
        <v>738</v>
      </c>
      <c r="AX129" s="66">
        <f t="shared" si="28"/>
        <v>738</v>
      </c>
      <c r="AY129" s="62">
        <f>'[1]D4 Gallon Forecast'!$L157/1000000</f>
        <v>0</v>
      </c>
      <c r="AZ129" s="62">
        <f>'[1]D4 Gallon Forecast'!$L189/1000000</f>
        <v>44.831235999999997</v>
      </c>
      <c r="BA129" s="62">
        <f t="shared" si="39"/>
        <v>44.831235999999997</v>
      </c>
      <c r="BB129" s="62">
        <f>'[1]D4 Gallon Forecast'!$L173/1000000</f>
        <v>0</v>
      </c>
      <c r="BC129" s="63">
        <f>'[1]D4 Gallon Forecast'!$L349/1000000</f>
        <v>0.37116900000000003</v>
      </c>
      <c r="BD129" s="64">
        <f>'[1]D4 Gallon Forecast'!$L365/1000000</f>
        <v>0</v>
      </c>
      <c r="BE129" s="64">
        <f t="shared" si="40"/>
        <v>0.37116900000000003</v>
      </c>
      <c r="BF129" s="76">
        <f t="shared" si="29"/>
        <v>45.202404999999999</v>
      </c>
      <c r="BG129" s="77">
        <f t="shared" si="34"/>
        <v>0.72116783919048877</v>
      </c>
      <c r="BH129" s="74"/>
      <c r="BI129" s="75">
        <f t="shared" si="31"/>
        <v>178.75</v>
      </c>
      <c r="BJ129" s="75">
        <f t="shared" si="32"/>
        <v>559.25</v>
      </c>
      <c r="BK129" s="75">
        <f>'RD Feedstock Breakdown'!ES120</f>
        <v>384.12610798228616</v>
      </c>
      <c r="BL129" s="78">
        <f t="shared" si="33"/>
        <v>8.4979130641895306</v>
      </c>
      <c r="BM129" s="78">
        <f t="shared" si="30"/>
        <v>8.5682694089069091</v>
      </c>
      <c r="BN129" s="69"/>
      <c r="BO129" s="79"/>
      <c r="BP129" s="69"/>
      <c r="BQ129" s="66">
        <f>'[1]Monthly D4 Gallon Data'!$B130/1000000</f>
        <v>167.865219</v>
      </c>
      <c r="BR129" s="66">
        <f>'[1]Monthly D6 Gallon Data'!$B132/1000000</f>
        <v>0</v>
      </c>
      <c r="BS129" s="66">
        <f t="shared" si="24"/>
        <v>167.865219</v>
      </c>
      <c r="BT129" s="60"/>
      <c r="BU129" s="67">
        <f>'[2]US EIA'!$P266</f>
        <v>1201</v>
      </c>
      <c r="BV129" s="68">
        <f t="shared" si="25"/>
        <v>7.1545493888165126</v>
      </c>
      <c r="BW129" s="60"/>
      <c r="BX129" s="69">
        <f t="shared" si="19"/>
        <v>0.21215050954902467</v>
      </c>
      <c r="BY129" s="69">
        <f t="shared" si="20"/>
        <v>0.7878494904509753</v>
      </c>
      <c r="BZ129" s="60"/>
      <c r="CA129" s="60"/>
      <c r="CB129" s="70">
        <f>'[1]Monthly D4 Gallon Data'!$AG130/1000000</f>
        <v>0.37116900000000003</v>
      </c>
      <c r="CC129" s="70">
        <f>'[1]Monthly D6 Gallon Data'!$O132/1000000</f>
        <v>0</v>
      </c>
      <c r="CD129" s="70">
        <f t="shared" si="26"/>
        <v>0.37116900000000003</v>
      </c>
      <c r="CE129" s="60"/>
      <c r="CF129" s="71">
        <f>'RD Feedstock Breakdown'!GQ120</f>
        <v>3.154161894122165</v>
      </c>
      <c r="CG129" s="72">
        <f t="shared" si="21"/>
        <v>8.4979130641895324</v>
      </c>
      <c r="CH129" s="73">
        <f>'[2]US EIA'!$R266+AW129</f>
        <v>3198</v>
      </c>
    </row>
    <row r="130" spans="1:86" ht="13.5" x14ac:dyDescent="0.25">
      <c r="A130" s="59">
        <v>44105</v>
      </c>
      <c r="B130" s="74">
        <f t="shared" si="37"/>
        <v>290</v>
      </c>
      <c r="C130" s="74"/>
      <c r="D130" s="74">
        <f t="shared" si="18"/>
        <v>3</v>
      </c>
      <c r="E130" s="74"/>
      <c r="F130" s="74">
        <v>95</v>
      </c>
      <c r="G130" s="74"/>
      <c r="H130" s="74">
        <v>50</v>
      </c>
      <c r="I130" s="74"/>
      <c r="J130" s="74">
        <v>100</v>
      </c>
      <c r="K130" s="60"/>
      <c r="L130" s="60"/>
      <c r="M130" s="74"/>
      <c r="N130" s="74">
        <f t="shared" ref="N130:N193" si="41">180*$N$12</f>
        <v>180</v>
      </c>
      <c r="O130" s="74"/>
      <c r="P130" s="60"/>
      <c r="Q130" s="74"/>
      <c r="R130" s="74"/>
      <c r="S130" s="60"/>
      <c r="T130" s="74"/>
      <c r="U130" s="74"/>
      <c r="V130" s="74"/>
      <c r="W130" s="74">
        <f t="shared" si="36"/>
        <v>20</v>
      </c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>
        <f t="shared" si="38"/>
        <v>738</v>
      </c>
      <c r="AX130" s="66">
        <f t="shared" si="28"/>
        <v>738</v>
      </c>
      <c r="AY130" s="62">
        <f>'[1]D4 Gallon Forecast'!$L158/1000000</f>
        <v>0</v>
      </c>
      <c r="AZ130" s="62">
        <f>'[1]D4 Gallon Forecast'!$L190/1000000</f>
        <v>20.889246</v>
      </c>
      <c r="BA130" s="62">
        <f t="shared" si="39"/>
        <v>20.889246</v>
      </c>
      <c r="BB130" s="62">
        <f>'[1]D4 Gallon Forecast'!$L174/1000000</f>
        <v>0</v>
      </c>
      <c r="BC130" s="63">
        <f>'[1]D4 Gallon Forecast'!$L350/1000000</f>
        <v>0.188416</v>
      </c>
      <c r="BD130" s="64">
        <f>'[1]D4 Gallon Forecast'!$L366/1000000</f>
        <v>0</v>
      </c>
      <c r="BE130" s="64">
        <f t="shared" si="40"/>
        <v>0.188416</v>
      </c>
      <c r="BF130" s="76">
        <f t="shared" si="29"/>
        <v>21.077662</v>
      </c>
      <c r="BG130" s="77">
        <f t="shared" si="34"/>
        <v>0.34748629765130984</v>
      </c>
      <c r="BH130" s="74"/>
      <c r="BI130" s="75">
        <f t="shared" si="31"/>
        <v>178.75</v>
      </c>
      <c r="BJ130" s="75">
        <f t="shared" si="32"/>
        <v>559.25</v>
      </c>
      <c r="BK130" s="75">
        <f>'RD Feedstock Breakdown'!ES121</f>
        <v>180.15006197095605</v>
      </c>
      <c r="BL130" s="78">
        <f t="shared" si="33"/>
        <v>8.5469660710450732</v>
      </c>
      <c r="BM130" s="78">
        <f t="shared" si="30"/>
        <v>8.6240576596664162</v>
      </c>
      <c r="BN130" s="69"/>
      <c r="BO130" s="79"/>
      <c r="BP130" s="69"/>
      <c r="BQ130" s="66">
        <f>'[1]Monthly D4 Gallon Data'!$B131/1000000</f>
        <v>149.48975999999999</v>
      </c>
      <c r="BR130" s="66">
        <f>'[1]Monthly D6 Gallon Data'!$B133/1000000</f>
        <v>0</v>
      </c>
      <c r="BS130" s="66">
        <f t="shared" si="24"/>
        <v>149.48975999999999</v>
      </c>
      <c r="BT130" s="60"/>
      <c r="BU130" s="67">
        <f>'[2]US EIA'!$P267</f>
        <v>1170</v>
      </c>
      <c r="BV130" s="68">
        <f t="shared" si="25"/>
        <v>7.8266230409360489</v>
      </c>
      <c r="BW130" s="60"/>
      <c r="BX130" s="69">
        <f t="shared" si="19"/>
        <v>0.12357378538558202</v>
      </c>
      <c r="BY130" s="69">
        <f t="shared" si="20"/>
        <v>0.87642621461441794</v>
      </c>
      <c r="BZ130" s="60"/>
      <c r="CA130" s="60"/>
      <c r="CB130" s="70">
        <f>'[1]Monthly D4 Gallon Data'!$AG131/1000000</f>
        <v>0.188416</v>
      </c>
      <c r="CC130" s="70">
        <f>'[1]Monthly D6 Gallon Data'!$O133/1000000</f>
        <v>0</v>
      </c>
      <c r="CD130" s="70">
        <f t="shared" si="26"/>
        <v>0.188416</v>
      </c>
      <c r="CE130" s="60"/>
      <c r="CF130" s="71">
        <f>'RD Feedstock Breakdown'!GQ121</f>
        <v>1.6103851592420286</v>
      </c>
      <c r="CG130" s="72">
        <f t="shared" si="21"/>
        <v>8.5469660710450732</v>
      </c>
      <c r="CH130" s="73">
        <f>'[2]US EIA'!$R267+AW130</f>
        <v>3192</v>
      </c>
    </row>
    <row r="131" spans="1:86" ht="13.5" x14ac:dyDescent="0.25">
      <c r="A131" s="59">
        <v>44136</v>
      </c>
      <c r="B131" s="74">
        <f t="shared" si="37"/>
        <v>290</v>
      </c>
      <c r="C131" s="74"/>
      <c r="D131" s="74">
        <f t="shared" si="18"/>
        <v>3</v>
      </c>
      <c r="E131" s="74"/>
      <c r="F131" s="74">
        <v>95</v>
      </c>
      <c r="G131" s="74"/>
      <c r="H131" s="74">
        <v>50</v>
      </c>
      <c r="I131" s="74"/>
      <c r="J131" s="74">
        <v>100</v>
      </c>
      <c r="K131" s="60"/>
      <c r="L131" s="60"/>
      <c r="M131" s="74"/>
      <c r="N131" s="74">
        <f t="shared" si="41"/>
        <v>180</v>
      </c>
      <c r="O131" s="74"/>
      <c r="P131" s="60"/>
      <c r="Q131" s="74"/>
      <c r="R131" s="74"/>
      <c r="S131" s="60"/>
      <c r="T131" s="74"/>
      <c r="U131" s="74"/>
      <c r="V131" s="74"/>
      <c r="W131" s="74">
        <f t="shared" si="36"/>
        <v>20</v>
      </c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>
        <f t="shared" si="38"/>
        <v>738</v>
      </c>
      <c r="AX131" s="66">
        <f t="shared" si="28"/>
        <v>738</v>
      </c>
      <c r="AY131" s="62">
        <f>'[1]D4 Gallon Forecast'!$L159/1000000</f>
        <v>0</v>
      </c>
      <c r="AZ131" s="62">
        <f>'[1]D4 Gallon Forecast'!$L191/1000000</f>
        <v>43.123558000000003</v>
      </c>
      <c r="BA131" s="62">
        <f t="shared" si="39"/>
        <v>43.123558000000003</v>
      </c>
      <c r="BB131" s="62">
        <f>'[1]D4 Gallon Forecast'!$L175/1000000</f>
        <v>4.6519999999999999E-3</v>
      </c>
      <c r="BC131" s="63">
        <f>'[1]D4 Gallon Forecast'!$L351/1000000</f>
        <v>0.18820100000000001</v>
      </c>
      <c r="BD131" s="64">
        <f>'[1]D4 Gallon Forecast'!$L367/1000000</f>
        <v>0</v>
      </c>
      <c r="BE131" s="64">
        <f t="shared" si="40"/>
        <v>0.192853</v>
      </c>
      <c r="BF131" s="76">
        <f t="shared" si="29"/>
        <v>43.316411000000002</v>
      </c>
      <c r="BG131" s="77">
        <f t="shared" si="34"/>
        <v>0.69107832918087253</v>
      </c>
      <c r="BH131" s="74"/>
      <c r="BI131" s="75">
        <f t="shared" si="31"/>
        <v>178.75</v>
      </c>
      <c r="BJ131" s="75">
        <f t="shared" si="32"/>
        <v>559.25</v>
      </c>
      <c r="BK131" s="75">
        <f>'RD Feedstock Breakdown'!ES122</f>
        <v>370.22389513644362</v>
      </c>
      <c r="BL131" s="78">
        <f t="shared" si="33"/>
        <v>8.5469660710450732</v>
      </c>
      <c r="BM131" s="78">
        <f t="shared" si="30"/>
        <v>8.5851889850193626</v>
      </c>
      <c r="BN131" s="69"/>
      <c r="BO131" s="79"/>
      <c r="BP131" s="69"/>
      <c r="BQ131" s="66">
        <f>'[1]Monthly D4 Gallon Data'!$B132/1000000</f>
        <v>142.82851700000001</v>
      </c>
      <c r="BR131" s="66">
        <f>'[1]Monthly D6 Gallon Data'!$B134/1000000</f>
        <v>0</v>
      </c>
      <c r="BS131" s="66">
        <f t="shared" si="24"/>
        <v>142.82851700000001</v>
      </c>
      <c r="BT131" s="60"/>
      <c r="BU131" s="67">
        <f>'[2]US EIA'!$P268</f>
        <v>1130</v>
      </c>
      <c r="BV131" s="68">
        <f t="shared" si="25"/>
        <v>7.9115853313802873</v>
      </c>
      <c r="BW131" s="60"/>
      <c r="BX131" s="69">
        <f t="shared" si="19"/>
        <v>0.23270261223555877</v>
      </c>
      <c r="BY131" s="69">
        <f t="shared" si="20"/>
        <v>0.76729738776444134</v>
      </c>
      <c r="BZ131" s="60"/>
      <c r="CA131" s="60"/>
      <c r="CB131" s="70">
        <f>'[1]Monthly D4 Gallon Data'!$AG132/1000000</f>
        <v>0.18820100000000001</v>
      </c>
      <c r="CC131" s="70">
        <f>'[1]Monthly D6 Gallon Data'!$O134/1000000</f>
        <v>0</v>
      </c>
      <c r="CD131" s="70">
        <f t="shared" si="26"/>
        <v>0.18820100000000001</v>
      </c>
      <c r="CE131" s="60"/>
      <c r="CF131" s="71">
        <f>'RD Feedstock Breakdown'!GQ122</f>
        <v>1.6085475615367542</v>
      </c>
      <c r="CG131" s="72">
        <f t="shared" si="21"/>
        <v>8.546966071045075</v>
      </c>
      <c r="CH131" s="73">
        <f>'[2]US EIA'!$R268+AW131</f>
        <v>3189</v>
      </c>
    </row>
    <row r="132" spans="1:86" ht="13.5" x14ac:dyDescent="0.25">
      <c r="A132" s="59">
        <v>44166</v>
      </c>
      <c r="B132" s="74">
        <f t="shared" si="37"/>
        <v>290</v>
      </c>
      <c r="C132" s="74"/>
      <c r="D132" s="74">
        <f t="shared" si="18"/>
        <v>3</v>
      </c>
      <c r="E132" s="74"/>
      <c r="F132" s="74">
        <v>95</v>
      </c>
      <c r="G132" s="74"/>
      <c r="H132" s="74">
        <v>50</v>
      </c>
      <c r="I132" s="74"/>
      <c r="J132" s="74">
        <v>100</v>
      </c>
      <c r="K132" s="60"/>
      <c r="L132" s="60"/>
      <c r="M132" s="74"/>
      <c r="N132" s="74">
        <f t="shared" si="41"/>
        <v>180</v>
      </c>
      <c r="O132" s="74"/>
      <c r="P132" s="60"/>
      <c r="Q132" s="74"/>
      <c r="R132" s="74"/>
      <c r="S132" s="60"/>
      <c r="T132" s="74"/>
      <c r="U132" s="74"/>
      <c r="V132" s="74"/>
      <c r="W132" s="74">
        <f t="shared" si="36"/>
        <v>20</v>
      </c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>
        <f t="shared" si="38"/>
        <v>738</v>
      </c>
      <c r="AX132" s="66">
        <f>AW132</f>
        <v>738</v>
      </c>
      <c r="AY132" s="62">
        <f>'[1]D4 Gallon Forecast'!$L160/1000000</f>
        <v>0</v>
      </c>
      <c r="AZ132" s="62">
        <f>'[1]D4 Gallon Forecast'!$L192/1000000</f>
        <v>49.704529999999998</v>
      </c>
      <c r="BA132" s="62">
        <f t="shared" si="39"/>
        <v>49.704529999999998</v>
      </c>
      <c r="BB132" s="62">
        <f>'[1]D4 Gallon Forecast'!$L176/1000000</f>
        <v>0</v>
      </c>
      <c r="BC132" s="63">
        <f>'[1]D4 Gallon Forecast'!$L352/1000000</f>
        <v>0.194662</v>
      </c>
      <c r="BD132" s="64">
        <f>'[1]D4 Gallon Forecast'!$L368/1000000</f>
        <v>0</v>
      </c>
      <c r="BE132" s="64">
        <f t="shared" si="40"/>
        <v>0.194662</v>
      </c>
      <c r="BF132" s="76">
        <f t="shared" si="29"/>
        <v>49.899191999999999</v>
      </c>
      <c r="BG132" s="77">
        <f t="shared" si="34"/>
        <v>0.8226379891598915</v>
      </c>
      <c r="BH132" s="77">
        <f>AVERAGE(BG121:BG132)</f>
        <v>0.78174264715597286</v>
      </c>
      <c r="BI132" s="75">
        <f t="shared" si="31"/>
        <v>178.75</v>
      </c>
      <c r="BJ132" s="75">
        <f t="shared" si="32"/>
        <v>559.25</v>
      </c>
      <c r="BK132" s="75">
        <f>'RD Feedstock Breakdown'!ES123</f>
        <v>426.0067587598457</v>
      </c>
      <c r="BL132" s="78">
        <f t="shared" si="33"/>
        <v>8.5373478344067308</v>
      </c>
      <c r="BM132" s="78">
        <f t="shared" si="30"/>
        <v>8.5707833623986733</v>
      </c>
      <c r="BN132" s="69"/>
      <c r="BO132" s="79"/>
      <c r="BP132" s="69"/>
      <c r="BQ132" s="66">
        <f>'[1]Monthly D4 Gallon Data'!$B133/1000000</f>
        <v>175.88122100000001</v>
      </c>
      <c r="BR132" s="66">
        <f>'[1]Monthly D6 Gallon Data'!$B135/1000000</f>
        <v>0</v>
      </c>
      <c r="BS132" s="66">
        <f t="shared" si="24"/>
        <v>175.88122100000001</v>
      </c>
      <c r="BT132" s="60"/>
      <c r="BU132" s="67">
        <f>'[2]US EIA'!$P269</f>
        <v>1176</v>
      </c>
      <c r="BV132" s="68">
        <f t="shared" si="25"/>
        <v>6.6863306572109815</v>
      </c>
      <c r="BW132" s="60"/>
      <c r="BX132" s="69">
        <f t="shared" si="19"/>
        <v>0.22100762124126327</v>
      </c>
      <c r="BY132" s="69">
        <f t="shared" si="20"/>
        <v>0.77899237875873673</v>
      </c>
      <c r="BZ132" s="60"/>
      <c r="CA132" s="60"/>
      <c r="CB132" s="70">
        <f>'[1]Monthly D4 Gallon Data'!$AG133/1000000</f>
        <v>0.194662</v>
      </c>
      <c r="CC132" s="70">
        <f>'[1]Monthly D6 Gallon Data'!$O135/1000000</f>
        <v>0</v>
      </c>
      <c r="CD132" s="70">
        <f t="shared" si="26"/>
        <v>0.194662</v>
      </c>
      <c r="CE132" s="60"/>
      <c r="CF132" s="71">
        <f>'RD Feedstock Breakdown'!GQ123</f>
        <v>1.6618972041412832</v>
      </c>
      <c r="CG132" s="72">
        <f t="shared" si="21"/>
        <v>8.5373478344067308</v>
      </c>
      <c r="CH132" s="73">
        <f>'[2]US EIA'!$R269+AW132</f>
        <v>3214</v>
      </c>
    </row>
    <row r="133" spans="1:86" ht="13.5" x14ac:dyDescent="0.25">
      <c r="A133" s="59">
        <v>44197</v>
      </c>
      <c r="B133" s="74">
        <f t="shared" si="37"/>
        <v>290</v>
      </c>
      <c r="C133" s="74"/>
      <c r="D133" s="74">
        <f t="shared" si="18"/>
        <v>3</v>
      </c>
      <c r="E133" s="74"/>
      <c r="F133" s="74">
        <v>95</v>
      </c>
      <c r="G133" s="74"/>
      <c r="H133" s="74">
        <v>50</v>
      </c>
      <c r="I133" s="74"/>
      <c r="J133" s="74">
        <v>100</v>
      </c>
      <c r="K133" s="60"/>
      <c r="L133" s="60"/>
      <c r="M133" s="74"/>
      <c r="N133" s="74">
        <f t="shared" si="41"/>
        <v>180</v>
      </c>
      <c r="O133" s="74"/>
      <c r="P133" s="60"/>
      <c r="Q133" s="74"/>
      <c r="R133" s="74"/>
      <c r="S133" s="60"/>
      <c r="T133" s="74"/>
      <c r="U133" s="74"/>
      <c r="V133" s="74"/>
      <c r="W133" s="74">
        <f t="shared" si="36"/>
        <v>20</v>
      </c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>
        <f t="shared" si="38"/>
        <v>738</v>
      </c>
      <c r="AX133" s="74">
        <v>791</v>
      </c>
      <c r="AY133" s="62">
        <f>'[1]D4 Gallon Forecast'!$M149/1000000</f>
        <v>0</v>
      </c>
      <c r="AZ133" s="62">
        <f>'[1]D4 Gallon Forecast'!$M181/1000000</f>
        <v>41.671281999999998</v>
      </c>
      <c r="BA133" s="62">
        <f t="shared" si="39"/>
        <v>41.671281999999998</v>
      </c>
      <c r="BB133" s="62">
        <f>'[1]D4 Gallon Forecast'!$M165/1000000</f>
        <v>0</v>
      </c>
      <c r="BC133" s="63">
        <f>'[1]D4 Gallon Forecast'!$M341/1000000</f>
        <v>0.289825</v>
      </c>
      <c r="BD133" s="64">
        <f>'[1]D4 Gallon Forecast'!$M357/1000000</f>
        <v>0</v>
      </c>
      <c r="BE133" s="64">
        <f t="shared" si="40"/>
        <v>0.289825</v>
      </c>
      <c r="BF133" s="76">
        <f t="shared" si="29"/>
        <v>41.961106999999998</v>
      </c>
      <c r="BG133" s="77">
        <f t="shared" si="34"/>
        <v>0.62459948839769985</v>
      </c>
      <c r="BH133" s="74"/>
      <c r="BI133" s="75">
        <f t="shared" si="31"/>
        <v>178.75</v>
      </c>
      <c r="BJ133" s="75">
        <f t="shared" si="32"/>
        <v>612.25</v>
      </c>
      <c r="BK133" s="75">
        <f>'RD Feedstock Breakdown'!ES124</f>
        <v>354.09349377046891</v>
      </c>
      <c r="BL133" s="78">
        <f t="shared" si="33"/>
        <v>8.4386118261958369</v>
      </c>
      <c r="BM133" s="78">
        <f t="shared" si="30"/>
        <v>8.4973026212745015</v>
      </c>
      <c r="BN133" s="69"/>
      <c r="BO133" s="79"/>
      <c r="BP133" s="69"/>
      <c r="BQ133" s="66">
        <f>'[1]Monthly D4 Gallon Data'!$B134/1000000</f>
        <v>107.30258499999999</v>
      </c>
      <c r="BR133" s="66">
        <f>'[1]Monthly D6 Gallon Data'!$B136/1000000</f>
        <v>0</v>
      </c>
      <c r="BS133" s="66">
        <f t="shared" si="24"/>
        <v>107.30258499999999</v>
      </c>
      <c r="BT133" s="60"/>
      <c r="BU133" s="67">
        <f>'[2]US EIA'!$P270</f>
        <v>1091.5842810939832</v>
      </c>
      <c r="BV133" s="68">
        <f t="shared" si="25"/>
        <v>10.172954184598472</v>
      </c>
      <c r="BW133" s="60"/>
      <c r="BX133" s="69">
        <f t="shared" si="19"/>
        <v>0.28112065591945828</v>
      </c>
      <c r="BY133" s="69">
        <f t="shared" si="20"/>
        <v>0.71887934408054166</v>
      </c>
      <c r="BZ133" s="60"/>
      <c r="CA133" s="60"/>
      <c r="CB133" s="70">
        <f>'[1]Monthly D4 Gallon Data'!$AG134/1000000</f>
        <v>0.289825</v>
      </c>
      <c r="CC133" s="70">
        <f>'[1]Monthly D6 Gallon Data'!$O136/1000000</f>
        <v>0</v>
      </c>
      <c r="CD133" s="70">
        <f t="shared" si="26"/>
        <v>0.289825</v>
      </c>
      <c r="CE133" s="60"/>
      <c r="CF133" s="71">
        <f>'RD Feedstock Breakdown'!GQ124</f>
        <v>2.4457206725272083</v>
      </c>
      <c r="CG133" s="72">
        <f t="shared" si="21"/>
        <v>8.4386118261958369</v>
      </c>
      <c r="CH133" s="73">
        <f>'[2]US EIA'!$R270+AW133</f>
        <v>3132</v>
      </c>
    </row>
    <row r="134" spans="1:86" ht="13.5" x14ac:dyDescent="0.25">
      <c r="A134" s="59">
        <v>44228</v>
      </c>
      <c r="B134" s="74">
        <f t="shared" si="37"/>
        <v>290</v>
      </c>
      <c r="C134" s="74"/>
      <c r="D134" s="74">
        <f t="shared" si="18"/>
        <v>3</v>
      </c>
      <c r="E134" s="74"/>
      <c r="F134" s="74">
        <v>95</v>
      </c>
      <c r="G134" s="74"/>
      <c r="H134" s="74">
        <v>50</v>
      </c>
      <c r="I134" s="74"/>
      <c r="J134" s="74">
        <v>100</v>
      </c>
      <c r="K134" s="60"/>
      <c r="L134" s="60"/>
      <c r="M134" s="74"/>
      <c r="N134" s="74">
        <f t="shared" si="41"/>
        <v>180</v>
      </c>
      <c r="O134" s="74"/>
      <c r="P134" s="60"/>
      <c r="Q134" s="74"/>
      <c r="R134" s="74"/>
      <c r="S134" s="60"/>
      <c r="T134" s="74"/>
      <c r="U134" s="74"/>
      <c r="V134" s="74"/>
      <c r="W134" s="74">
        <f t="shared" si="36"/>
        <v>20</v>
      </c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>
        <f t="shared" si="38"/>
        <v>738</v>
      </c>
      <c r="AX134" s="74">
        <v>791</v>
      </c>
      <c r="AY134" s="62">
        <f>'[1]D4 Gallon Forecast'!$M150/1000000</f>
        <v>0</v>
      </c>
      <c r="AZ134" s="62">
        <f>'[1]D4 Gallon Forecast'!$M182/1000000</f>
        <v>46.693787999999998</v>
      </c>
      <c r="BA134" s="62">
        <f t="shared" si="39"/>
        <v>46.693787999999998</v>
      </c>
      <c r="BB134" s="62">
        <f>'[1]D4 Gallon Forecast'!$M166/1000000</f>
        <v>0</v>
      </c>
      <c r="BC134" s="63">
        <f>'[1]D4 Gallon Forecast'!$M342/1000000</f>
        <v>0.29472500000000001</v>
      </c>
      <c r="BD134" s="64">
        <f>'[1]D4 Gallon Forecast'!$M358/1000000</f>
        <v>0</v>
      </c>
      <c r="BE134" s="64">
        <f t="shared" si="40"/>
        <v>0.29472500000000001</v>
      </c>
      <c r="BF134" s="76">
        <f t="shared" si="29"/>
        <v>46.988512999999998</v>
      </c>
      <c r="BG134" s="77">
        <f t="shared" si="34"/>
        <v>0.69943343440316463</v>
      </c>
      <c r="BH134" s="74"/>
      <c r="BI134" s="75">
        <f t="shared" si="31"/>
        <v>178.75</v>
      </c>
      <c r="BJ134" s="75">
        <f t="shared" si="32"/>
        <v>612.25</v>
      </c>
      <c r="BK134" s="75">
        <f>'RD Feedstock Breakdown'!ES125</f>
        <v>387.95885607963237</v>
      </c>
      <c r="BL134" s="78">
        <f t="shared" si="33"/>
        <v>8.2564616607389212</v>
      </c>
      <c r="BM134" s="78">
        <f t="shared" si="30"/>
        <v>8.3085753522424088</v>
      </c>
      <c r="BN134" s="69">
        <f t="shared" ref="BN134:BN162" si="42">BI134/AX134</f>
        <v>0.22597977243994943</v>
      </c>
      <c r="BO134" s="79"/>
      <c r="BP134" s="69"/>
      <c r="BQ134" s="66">
        <f>'[1]Monthly D4 Gallon Data'!$B135/1000000</f>
        <v>109.88105</v>
      </c>
      <c r="BR134" s="66">
        <f>'[1]Monthly D6 Gallon Data'!$B137/1000000</f>
        <v>0</v>
      </c>
      <c r="BS134" s="66">
        <f t="shared" si="24"/>
        <v>109.88105</v>
      </c>
      <c r="BT134" s="60"/>
      <c r="BU134" s="67">
        <f>'[2]US EIA'!$P271</f>
        <v>825</v>
      </c>
      <c r="BV134" s="68">
        <f t="shared" si="25"/>
        <v>7.5081190068715218</v>
      </c>
      <c r="BW134" s="60"/>
      <c r="BX134" s="69">
        <f t="shared" si="19"/>
        <v>0.29953875118527612</v>
      </c>
      <c r="BY134" s="69">
        <f t="shared" si="20"/>
        <v>0.70046124881472382</v>
      </c>
      <c r="BZ134" s="60"/>
      <c r="CA134" s="60"/>
      <c r="CB134" s="70">
        <f>'[1]Monthly D4 Gallon Data'!$AG135/1000000</f>
        <v>0.29472500000000001</v>
      </c>
      <c r="CC134" s="70">
        <f>'[1]Monthly D6 Gallon Data'!$O137/1000000</f>
        <v>0</v>
      </c>
      <c r="CD134" s="70">
        <f t="shared" si="26"/>
        <v>0.29472500000000001</v>
      </c>
      <c r="CE134" s="60"/>
      <c r="CF134" s="71">
        <f>'RD Feedstock Breakdown'!GQ125</f>
        <v>2.4333856629612791</v>
      </c>
      <c r="CG134" s="72">
        <f t="shared" si="21"/>
        <v>8.256461660738923</v>
      </c>
      <c r="CH134" s="73">
        <f>'[2]US EIA'!$R271+AW134</f>
        <v>3132</v>
      </c>
    </row>
    <row r="135" spans="1:86" ht="13.5" x14ac:dyDescent="0.25">
      <c r="A135" s="59">
        <v>44256</v>
      </c>
      <c r="B135" s="74">
        <f t="shared" si="37"/>
        <v>290</v>
      </c>
      <c r="C135" s="74"/>
      <c r="D135" s="74">
        <f t="shared" si="18"/>
        <v>3</v>
      </c>
      <c r="E135" s="74"/>
      <c r="F135" s="74">
        <v>95</v>
      </c>
      <c r="G135" s="74"/>
      <c r="H135" s="74">
        <v>50</v>
      </c>
      <c r="I135" s="74"/>
      <c r="J135" s="74">
        <v>100</v>
      </c>
      <c r="K135" s="60"/>
      <c r="L135" s="60"/>
      <c r="M135" s="74"/>
      <c r="N135" s="74">
        <f t="shared" si="41"/>
        <v>180</v>
      </c>
      <c r="O135" s="74"/>
      <c r="P135" s="60"/>
      <c r="Q135" s="74"/>
      <c r="R135" s="74"/>
      <c r="S135" s="60"/>
      <c r="T135" s="74"/>
      <c r="U135" s="74"/>
      <c r="V135" s="74"/>
      <c r="W135" s="74">
        <f t="shared" si="36"/>
        <v>20</v>
      </c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>
        <f t="shared" si="38"/>
        <v>738</v>
      </c>
      <c r="AX135" s="74">
        <v>791</v>
      </c>
      <c r="AY135" s="62">
        <f>'[1]D4 Gallon Forecast'!$M151/1000000</f>
        <v>0</v>
      </c>
      <c r="AZ135" s="62">
        <f>'[1]D4 Gallon Forecast'!$M183/1000000</f>
        <v>55.155940999999999</v>
      </c>
      <c r="BA135" s="62">
        <f t="shared" si="39"/>
        <v>55.155940999999999</v>
      </c>
      <c r="BB135" s="62">
        <f>'[1]D4 Gallon Forecast'!$M167/1000000</f>
        <v>0</v>
      </c>
      <c r="BC135" s="63">
        <f>'[1]D4 Gallon Forecast'!$M343/1000000</f>
        <v>0.288906</v>
      </c>
      <c r="BD135" s="64">
        <f>'[1]D4 Gallon Forecast'!$M359/1000000</f>
        <v>0</v>
      </c>
      <c r="BE135" s="64">
        <f t="shared" si="40"/>
        <v>0.288906</v>
      </c>
      <c r="BF135" s="76">
        <f t="shared" si="29"/>
        <v>55.444846999999996</v>
      </c>
      <c r="BG135" s="77">
        <f t="shared" si="34"/>
        <v>0.91373348180422609</v>
      </c>
      <c r="BH135" s="74"/>
      <c r="BI135" s="75">
        <f t="shared" si="31"/>
        <v>178.75</v>
      </c>
      <c r="BJ135" s="75">
        <f t="shared" si="32"/>
        <v>612.25</v>
      </c>
      <c r="BK135" s="75">
        <f>'RD Feedstock Breakdown'!ES126</f>
        <v>458.51844848348122</v>
      </c>
      <c r="BL135" s="78">
        <f t="shared" si="33"/>
        <v>8.2698117731929397</v>
      </c>
      <c r="BM135" s="78">
        <f t="shared" si="30"/>
        <v>8.3131289244703712</v>
      </c>
      <c r="BN135" s="69">
        <f t="shared" si="42"/>
        <v>0.22597977243994943</v>
      </c>
      <c r="BO135" s="79"/>
      <c r="BP135" s="69"/>
      <c r="BQ135" s="66">
        <f>'[1]Monthly D4 Gallon Data'!$B136/1000000</f>
        <v>150.33690999999999</v>
      </c>
      <c r="BR135" s="66">
        <f>'[1]Monthly D6 Gallon Data'!$B138/1000000</f>
        <v>0</v>
      </c>
      <c r="BS135" s="66">
        <f t="shared" si="24"/>
        <v>150.33690999999999</v>
      </c>
      <c r="BT135" s="60"/>
      <c r="BU135" s="67">
        <f>'[2]US EIA'!$P272</f>
        <v>1120</v>
      </c>
      <c r="BV135" s="68">
        <f t="shared" si="25"/>
        <v>7.4499336190959369</v>
      </c>
      <c r="BW135" s="60"/>
      <c r="BX135" s="69">
        <f t="shared" si="19"/>
        <v>0.26943519099217333</v>
      </c>
      <c r="BY135" s="69">
        <f t="shared" si="20"/>
        <v>0.73056480900782672</v>
      </c>
      <c r="BZ135" s="60"/>
      <c r="CA135" s="60"/>
      <c r="CB135" s="70">
        <f>'[1]Monthly D4 Gallon Data'!$AG136/1000000</f>
        <v>0.288906</v>
      </c>
      <c r="CC135" s="70">
        <f>'[1]Monthly D6 Gallon Data'!$O138/1000000</f>
        <v>0</v>
      </c>
      <c r="CD135" s="70">
        <f t="shared" si="26"/>
        <v>0.288906</v>
      </c>
      <c r="CE135" s="60"/>
      <c r="CF135" s="71">
        <f>'RD Feedstock Breakdown'!GQ126</f>
        <v>2.3891982401460794</v>
      </c>
      <c r="CG135" s="72">
        <f t="shared" si="21"/>
        <v>8.2698117731929397</v>
      </c>
      <c r="CH135" s="73">
        <f>'[2]US EIA'!$R272+AW135</f>
        <v>3148</v>
      </c>
    </row>
    <row r="136" spans="1:86" ht="13.5" x14ac:dyDescent="0.25">
      <c r="A136" s="59">
        <v>44287</v>
      </c>
      <c r="B136" s="74">
        <f t="shared" si="37"/>
        <v>290</v>
      </c>
      <c r="C136" s="74"/>
      <c r="D136" s="74">
        <f t="shared" si="18"/>
        <v>3</v>
      </c>
      <c r="E136" s="74"/>
      <c r="F136" s="74">
        <v>95</v>
      </c>
      <c r="G136" s="74"/>
      <c r="H136" s="74">
        <v>50</v>
      </c>
      <c r="I136" s="74"/>
      <c r="J136" s="74">
        <v>100</v>
      </c>
      <c r="K136" s="60"/>
      <c r="L136" s="60"/>
      <c r="M136" s="74"/>
      <c r="N136" s="74">
        <f>0*$N$12</f>
        <v>0</v>
      </c>
      <c r="O136" s="74">
        <f>51.1*0.98</f>
        <v>50.078000000000003</v>
      </c>
      <c r="P136" s="60"/>
      <c r="Q136" s="74"/>
      <c r="R136" s="74"/>
      <c r="S136" s="60"/>
      <c r="T136" s="74"/>
      <c r="U136" s="74"/>
      <c r="V136" s="74"/>
      <c r="W136" s="74">
        <f t="shared" si="36"/>
        <v>20</v>
      </c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>
        <f t="shared" si="38"/>
        <v>608.07799999999997</v>
      </c>
      <c r="AX136" s="74">
        <v>971</v>
      </c>
      <c r="AY136" s="62">
        <f>'[1]D4 Gallon Forecast'!$M152/1000000</f>
        <v>0</v>
      </c>
      <c r="AZ136" s="62">
        <f>'[1]D4 Gallon Forecast'!$M184/1000000</f>
        <v>47.578471</v>
      </c>
      <c r="BA136" s="62">
        <f t="shared" si="39"/>
        <v>47.578471</v>
      </c>
      <c r="BB136" s="62">
        <f>'[1]D4 Gallon Forecast'!$M168/1000000</f>
        <v>0</v>
      </c>
      <c r="BC136" s="63">
        <f>'[1]D4 Gallon Forecast'!$M344/1000000</f>
        <v>0.29328900000000002</v>
      </c>
      <c r="BD136" s="64">
        <f>'[1]D4 Gallon Forecast'!$M360/1000000</f>
        <v>0</v>
      </c>
      <c r="BE136" s="64">
        <f t="shared" si="40"/>
        <v>0.29328900000000002</v>
      </c>
      <c r="BF136" s="76">
        <f t="shared" si="29"/>
        <v>47.871760000000002</v>
      </c>
      <c r="BG136" s="77">
        <f t="shared" si="34"/>
        <v>0.58048544566625693</v>
      </c>
      <c r="BH136" s="74"/>
      <c r="BI136" s="75">
        <f t="shared" si="31"/>
        <v>146.26949999999999</v>
      </c>
      <c r="BJ136" s="75">
        <f t="shared" si="32"/>
        <v>824.73050000000001</v>
      </c>
      <c r="BK136" s="75">
        <f>'RD Feedstock Breakdown'!ES127</f>
        <v>406.86127185524646</v>
      </c>
      <c r="BL136" s="78">
        <f t="shared" si="33"/>
        <v>8.4989829464228279</v>
      </c>
      <c r="BM136" s="78">
        <f t="shared" si="30"/>
        <v>8.5513734112062245</v>
      </c>
      <c r="BN136" s="69">
        <f t="shared" si="42"/>
        <v>0.15063800205973224</v>
      </c>
      <c r="BO136" s="79"/>
      <c r="BP136" s="69"/>
      <c r="BQ136" s="66">
        <f>'[1]Monthly D4 Gallon Data'!$B137/1000000</f>
        <v>144.39649399999999</v>
      </c>
      <c r="BR136" s="66">
        <f>'[1]Monthly D6 Gallon Data'!$B139/1000000</f>
        <v>0</v>
      </c>
      <c r="BS136" s="66">
        <f t="shared" si="24"/>
        <v>144.39649399999999</v>
      </c>
      <c r="BT136" s="60"/>
      <c r="BU136" s="67">
        <f>'[2]US EIA'!$P273</f>
        <v>1098.4491370055848</v>
      </c>
      <c r="BV136" s="68">
        <f t="shared" si="25"/>
        <v>7.6071731838972827</v>
      </c>
      <c r="BW136" s="60"/>
      <c r="BX136" s="69">
        <f t="shared" si="19"/>
        <v>0.24898421348331382</v>
      </c>
      <c r="BY136" s="69">
        <f t="shared" si="20"/>
        <v>0.75101578651668621</v>
      </c>
      <c r="BZ136" s="60"/>
      <c r="CA136" s="60"/>
      <c r="CB136" s="70">
        <f>'[1]Monthly D4 Gallon Data'!$AG137/1000000</f>
        <v>0.29328900000000002</v>
      </c>
      <c r="CC136" s="70">
        <f>'[1]Monthly D6 Gallon Data'!$O139/1000000</f>
        <v>0</v>
      </c>
      <c r="CD136" s="70">
        <f t="shared" si="26"/>
        <v>0.29328900000000002</v>
      </c>
      <c r="CE136" s="60"/>
      <c r="CF136" s="71">
        <f>'RD Feedstock Breakdown'!GQ127</f>
        <v>2.4926582093734049</v>
      </c>
      <c r="CG136" s="72">
        <f t="shared" si="21"/>
        <v>8.4989829464228279</v>
      </c>
      <c r="CH136" s="73">
        <f>'[2]US EIA'!$R273+AW136</f>
        <v>3018.078</v>
      </c>
    </row>
    <row r="137" spans="1:86" ht="13.5" x14ac:dyDescent="0.25">
      <c r="A137" s="59">
        <v>44317</v>
      </c>
      <c r="B137" s="74">
        <f t="shared" si="37"/>
        <v>290</v>
      </c>
      <c r="C137" s="74"/>
      <c r="D137" s="74">
        <f t="shared" si="18"/>
        <v>3</v>
      </c>
      <c r="E137" s="74"/>
      <c r="F137" s="74">
        <v>95</v>
      </c>
      <c r="G137" s="74"/>
      <c r="H137" s="74">
        <v>50</v>
      </c>
      <c r="I137" s="74"/>
      <c r="J137" s="74">
        <v>100</v>
      </c>
      <c r="K137" s="60"/>
      <c r="L137" s="60"/>
      <c r="M137" s="74"/>
      <c r="N137" s="74">
        <f t="shared" si="41"/>
        <v>180</v>
      </c>
      <c r="O137" s="74">
        <f>51.1*0.98</f>
        <v>50.078000000000003</v>
      </c>
      <c r="P137" s="60"/>
      <c r="Q137" s="74"/>
      <c r="R137" s="74"/>
      <c r="S137" s="60"/>
      <c r="T137" s="74"/>
      <c r="U137" s="74"/>
      <c r="V137" s="74"/>
      <c r="W137" s="74">
        <f t="shared" si="36"/>
        <v>20</v>
      </c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>
        <f t="shared" si="38"/>
        <v>788.07799999999997</v>
      </c>
      <c r="AX137" s="74">
        <v>971</v>
      </c>
      <c r="AY137" s="62">
        <f>'[1]D4 Gallon Forecast'!$M153/1000000</f>
        <v>0</v>
      </c>
      <c r="AZ137" s="62">
        <f>'[1]D4 Gallon Forecast'!$M185/1000000</f>
        <v>57.822332000000003</v>
      </c>
      <c r="BA137" s="62">
        <f t="shared" si="39"/>
        <v>57.822332000000003</v>
      </c>
      <c r="BB137" s="62">
        <f>'[1]D4 Gallon Forecast'!$M169/1000000</f>
        <v>0</v>
      </c>
      <c r="BC137" s="63">
        <f>'[1]D4 Gallon Forecast'!$M345/1000000</f>
        <v>0.28749599999999997</v>
      </c>
      <c r="BD137" s="64">
        <f>'[1]D4 Gallon Forecast'!$M361/1000000</f>
        <v>0</v>
      </c>
      <c r="BE137" s="64">
        <f t="shared" si="40"/>
        <v>0.28749599999999997</v>
      </c>
      <c r="BF137" s="76">
        <f t="shared" si="29"/>
        <v>58.109828</v>
      </c>
      <c r="BG137" s="77">
        <f t="shared" si="34"/>
        <v>0.72811833916924129</v>
      </c>
      <c r="BH137" s="74"/>
      <c r="BI137" s="75">
        <f t="shared" si="31"/>
        <v>191.26949999999999</v>
      </c>
      <c r="BJ137" s="75">
        <f t="shared" si="32"/>
        <v>779.73050000000001</v>
      </c>
      <c r="BK137" s="75">
        <f>'RD Feedstock Breakdown'!ES128</f>
        <v>487.85106552397298</v>
      </c>
      <c r="BL137" s="78">
        <f t="shared" si="33"/>
        <v>8.3953279903697702</v>
      </c>
      <c r="BM137" s="78">
        <f t="shared" si="30"/>
        <v>8.4370700497512434</v>
      </c>
      <c r="BN137" s="69">
        <f t="shared" si="42"/>
        <v>0.1969819773429454</v>
      </c>
      <c r="BO137" s="79"/>
      <c r="BP137" s="69"/>
      <c r="BQ137" s="66">
        <f>'[1]Monthly D4 Gallon Data'!$B138/1000000</f>
        <v>150.50194999999999</v>
      </c>
      <c r="BR137" s="66">
        <f>'[1]Monthly D6 Gallon Data'!$B140/1000000</f>
        <v>0</v>
      </c>
      <c r="BS137" s="66">
        <f t="shared" si="24"/>
        <v>150.50194999999999</v>
      </c>
      <c r="BT137" s="60"/>
      <c r="BU137" s="67">
        <f>'[2]US EIA'!$P274</f>
        <v>1152.002085541234</v>
      </c>
      <c r="BV137" s="68">
        <f t="shared" si="25"/>
        <v>7.6543997306429192</v>
      </c>
      <c r="BW137" s="60"/>
      <c r="BX137" s="69">
        <f t="shared" si="19"/>
        <v>0.27855487622563674</v>
      </c>
      <c r="BY137" s="69">
        <f t="shared" si="20"/>
        <v>0.72144512377436332</v>
      </c>
      <c r="BZ137" s="60"/>
      <c r="CA137" s="60"/>
      <c r="CB137" s="70">
        <f>'[1]Monthly D4 Gallon Data'!$AG138/1000000</f>
        <v>0.28749599999999997</v>
      </c>
      <c r="CC137" s="70">
        <f>'[1]Monthly D6 Gallon Data'!$O140/1000000</f>
        <v>0</v>
      </c>
      <c r="CD137" s="70">
        <f t="shared" si="26"/>
        <v>0.28749599999999997</v>
      </c>
      <c r="CE137" s="60"/>
      <c r="CF137" s="71">
        <f>'RD Feedstock Breakdown'!GQ128</f>
        <v>2.4136232159193471</v>
      </c>
      <c r="CG137" s="72">
        <f t="shared" si="21"/>
        <v>8.3953279903697702</v>
      </c>
      <c r="CH137" s="73">
        <f>'[2]US EIA'!$R274+AW137</f>
        <v>3216.078</v>
      </c>
    </row>
    <row r="138" spans="1:86" ht="13.5" x14ac:dyDescent="0.25">
      <c r="A138" s="59">
        <v>44348</v>
      </c>
      <c r="B138" s="74">
        <f t="shared" si="37"/>
        <v>290</v>
      </c>
      <c r="C138" s="74"/>
      <c r="D138" s="74">
        <f t="shared" si="18"/>
        <v>3</v>
      </c>
      <c r="E138" s="74"/>
      <c r="F138" s="74">
        <v>95</v>
      </c>
      <c r="G138" s="74"/>
      <c r="H138" s="74">
        <v>75</v>
      </c>
      <c r="I138" s="74"/>
      <c r="J138" s="74">
        <v>100</v>
      </c>
      <c r="K138" s="60"/>
      <c r="L138" s="60"/>
      <c r="M138" s="74"/>
      <c r="N138" s="74">
        <f t="shared" si="41"/>
        <v>180</v>
      </c>
      <c r="O138" s="74">
        <f>51.1*0.98</f>
        <v>50.078000000000003</v>
      </c>
      <c r="P138" s="60"/>
      <c r="Q138" s="74"/>
      <c r="R138" s="74"/>
      <c r="S138" s="60"/>
      <c r="T138" s="74"/>
      <c r="U138" s="74"/>
      <c r="V138" s="74"/>
      <c r="W138" s="74">
        <f t="shared" si="36"/>
        <v>20</v>
      </c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>
        <f t="shared" si="38"/>
        <v>813.07799999999997</v>
      </c>
      <c r="AX138" s="74">
        <v>911</v>
      </c>
      <c r="AY138" s="62">
        <f>'[1]D4 Gallon Forecast'!$M154/1000000</f>
        <v>0</v>
      </c>
      <c r="AZ138" s="62">
        <f>'[1]D4 Gallon Forecast'!$M186/1000000</f>
        <v>64.658005000000003</v>
      </c>
      <c r="BA138" s="62">
        <f t="shared" si="39"/>
        <v>64.658005000000003</v>
      </c>
      <c r="BB138" s="62">
        <f>'[1]D4 Gallon Forecast'!$M170/1000000</f>
        <v>0</v>
      </c>
      <c r="BC138" s="63">
        <f>'[1]D4 Gallon Forecast'!$M346/1000000</f>
        <v>0.357317</v>
      </c>
      <c r="BD138" s="64">
        <f>'[1]D4 Gallon Forecast'!$M362/1000000</f>
        <v>0</v>
      </c>
      <c r="BE138" s="64">
        <f t="shared" si="40"/>
        <v>0.357317</v>
      </c>
      <c r="BF138" s="76">
        <f t="shared" si="29"/>
        <v>65.015321999999998</v>
      </c>
      <c r="BG138" s="77">
        <f t="shared" si="34"/>
        <v>0.84028867710066923</v>
      </c>
      <c r="BH138" s="74"/>
      <c r="BI138" s="75">
        <f t="shared" si="31"/>
        <v>197.51949999999999</v>
      </c>
      <c r="BJ138" s="75">
        <f t="shared" si="32"/>
        <v>713.48050000000001</v>
      </c>
      <c r="BK138" s="75">
        <f>'RD Feedstock Breakdown'!ES129</f>
        <v>541.397236394483</v>
      </c>
      <c r="BL138" s="78">
        <f t="shared" si="33"/>
        <v>8.3272253330450781</v>
      </c>
      <c r="BM138" s="78">
        <f t="shared" si="30"/>
        <v>8.3732437521770589</v>
      </c>
      <c r="BN138" s="69">
        <f t="shared" si="42"/>
        <v>0.21681613611416026</v>
      </c>
      <c r="BO138" s="79"/>
      <c r="BP138" s="69"/>
      <c r="BQ138" s="66">
        <f>'[1]Monthly D4 Gallon Data'!$B139/1000000</f>
        <v>154.45711800000001</v>
      </c>
      <c r="BR138" s="66">
        <f>'[1]Monthly D6 Gallon Data'!$B141/1000000</f>
        <v>0</v>
      </c>
      <c r="BS138" s="66">
        <f t="shared" si="24"/>
        <v>154.45711800000001</v>
      </c>
      <c r="BT138" s="60"/>
      <c r="BU138" s="67">
        <f>'[2]US EIA'!$P275</f>
        <v>1107.1802649803265</v>
      </c>
      <c r="BV138" s="68">
        <f t="shared" si="25"/>
        <v>7.1682048669348237</v>
      </c>
      <c r="BW138" s="60"/>
      <c r="BX138" s="69">
        <f t="shared" si="19"/>
        <v>0.29623456138729765</v>
      </c>
      <c r="BY138" s="69">
        <f t="shared" si="20"/>
        <v>0.70376543861270235</v>
      </c>
      <c r="BZ138" s="60"/>
      <c r="CA138" s="60"/>
      <c r="CB138" s="70">
        <f>'[1]Monthly D4 Gallon Data'!$AG139/1000000</f>
        <v>0.357317</v>
      </c>
      <c r="CC138" s="70">
        <f>'[1]Monthly D6 Gallon Data'!$O141/1000000</f>
        <v>0</v>
      </c>
      <c r="CD138" s="70">
        <f t="shared" si="26"/>
        <v>0.357317</v>
      </c>
      <c r="CE138" s="60"/>
      <c r="CF138" s="71">
        <f>'RD Feedstock Breakdown'!GQ129</f>
        <v>2.9754591743276682</v>
      </c>
      <c r="CG138" s="72">
        <f t="shared" si="21"/>
        <v>8.3272253330450781</v>
      </c>
      <c r="CH138" s="73">
        <f>'[2]US EIA'!$R275+AW138</f>
        <v>3241.078</v>
      </c>
    </row>
    <row r="139" spans="1:86" ht="13.5" x14ac:dyDescent="0.25">
      <c r="A139" s="59">
        <v>44378</v>
      </c>
      <c r="B139" s="74">
        <f t="shared" si="37"/>
        <v>290</v>
      </c>
      <c r="C139" s="74"/>
      <c r="D139" s="74">
        <f t="shared" si="18"/>
        <v>3</v>
      </c>
      <c r="E139" s="74"/>
      <c r="F139" s="74">
        <v>95</v>
      </c>
      <c r="G139" s="74"/>
      <c r="H139" s="74">
        <v>75</v>
      </c>
      <c r="I139" s="74"/>
      <c r="J139" s="74">
        <v>100</v>
      </c>
      <c r="K139" s="60"/>
      <c r="L139" s="60"/>
      <c r="M139" s="74"/>
      <c r="N139" s="74">
        <f t="shared" si="41"/>
        <v>180</v>
      </c>
      <c r="O139" s="74">
        <v>120</v>
      </c>
      <c r="P139" s="60"/>
      <c r="Q139" s="74"/>
      <c r="R139" s="74"/>
      <c r="S139" s="60"/>
      <c r="T139" s="74"/>
      <c r="U139" s="74"/>
      <c r="V139" s="74"/>
      <c r="W139" s="74">
        <f t="shared" si="36"/>
        <v>20</v>
      </c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>
        <f t="shared" si="38"/>
        <v>883</v>
      </c>
      <c r="AX139" s="74">
        <v>911</v>
      </c>
      <c r="AY139" s="62">
        <f>'[1]D4 Gallon Forecast'!$M155/1000000</f>
        <v>0</v>
      </c>
      <c r="AZ139" s="62">
        <f>'[1]D4 Gallon Forecast'!$M187/1000000</f>
        <v>63.817498000000001</v>
      </c>
      <c r="BA139" s="62">
        <f t="shared" si="39"/>
        <v>63.817498000000001</v>
      </c>
      <c r="BB139" s="62">
        <f>'[1]D4 Gallon Forecast'!$M171/1000000</f>
        <v>0.43850600000000001</v>
      </c>
      <c r="BC139" s="63">
        <f>'[1]D4 Gallon Forecast'!$M347/1000000</f>
        <v>1.093159</v>
      </c>
      <c r="BD139" s="64">
        <f>'[1]D4 Gallon Forecast'!$M363/1000000</f>
        <v>0</v>
      </c>
      <c r="BE139" s="64">
        <f t="shared" si="40"/>
        <v>1.5316650000000001</v>
      </c>
      <c r="BF139" s="76">
        <f t="shared" si="29"/>
        <v>65.349163000000004</v>
      </c>
      <c r="BG139" s="77">
        <f t="shared" si="34"/>
        <v>0.87275684211489213</v>
      </c>
      <c r="BH139" s="74"/>
      <c r="BI139" s="75">
        <f t="shared" si="31"/>
        <v>215</v>
      </c>
      <c r="BJ139" s="75">
        <f t="shared" si="32"/>
        <v>696</v>
      </c>
      <c r="BK139" s="75">
        <f>'RD Feedstock Breakdown'!ES130</f>
        <v>544.11702264654241</v>
      </c>
      <c r="BL139" s="78">
        <f t="shared" si="33"/>
        <v>8.3263043881150001</v>
      </c>
      <c r="BM139" s="78">
        <f t="shared" si="30"/>
        <v>8.5261415708673258</v>
      </c>
      <c r="BN139" s="69">
        <f t="shared" si="42"/>
        <v>0.23600439077936333</v>
      </c>
      <c r="BO139" s="79"/>
      <c r="BP139" s="69"/>
      <c r="BQ139" s="66">
        <f>'[1]Monthly D4 Gallon Data'!$B140/1000000</f>
        <v>146.89033800000001</v>
      </c>
      <c r="BR139" s="66">
        <f>'[1]Monthly D6 Gallon Data'!$B142/1000000</f>
        <v>0</v>
      </c>
      <c r="BS139" s="66">
        <f t="shared" si="24"/>
        <v>146.89033800000001</v>
      </c>
      <c r="BT139" s="60"/>
      <c r="BU139" s="67">
        <f>'[2]US EIA'!$P276</f>
        <v>1122.7433542020506</v>
      </c>
      <c r="BV139" s="68">
        <f t="shared" si="25"/>
        <v>7.6434118777917881</v>
      </c>
      <c r="BW139" s="60"/>
      <c r="BX139" s="69">
        <f t="shared" si="19"/>
        <v>0.30790292425348287</v>
      </c>
      <c r="BY139" s="69">
        <f t="shared" si="20"/>
        <v>0.69209707574651713</v>
      </c>
      <c r="BZ139" s="60"/>
      <c r="CA139" s="60"/>
      <c r="CB139" s="70">
        <f>'[1]Monthly D4 Gallon Data'!$AG140/1000000</f>
        <v>1.093159</v>
      </c>
      <c r="CC139" s="70">
        <f>'[1]Monthly D6 Gallon Data'!$O142/1000000</f>
        <v>0</v>
      </c>
      <c r="CD139" s="70">
        <f t="shared" si="26"/>
        <v>1.093159</v>
      </c>
      <c r="CE139" s="60"/>
      <c r="CF139" s="71">
        <f>'RD Feedstock Breakdown'!GQ130</f>
        <v>9.101974578607404</v>
      </c>
      <c r="CG139" s="72">
        <f t="shared" si="21"/>
        <v>8.3263043881149983</v>
      </c>
      <c r="CH139" s="73">
        <f>'[2]US EIA'!$R276+AW139</f>
        <v>3313</v>
      </c>
    </row>
    <row r="140" spans="1:86" ht="13.5" x14ac:dyDescent="0.25">
      <c r="A140" s="59">
        <v>44409</v>
      </c>
      <c r="B140" s="74">
        <f t="shared" si="37"/>
        <v>290</v>
      </c>
      <c r="C140" s="74"/>
      <c r="D140" s="74">
        <f t="shared" ref="D140:D203" si="43">3*$D$12</f>
        <v>3</v>
      </c>
      <c r="E140" s="74"/>
      <c r="F140" s="74">
        <v>95</v>
      </c>
      <c r="G140" s="74"/>
      <c r="H140" s="74">
        <v>75</v>
      </c>
      <c r="I140" s="74"/>
      <c r="J140" s="74">
        <v>100</v>
      </c>
      <c r="K140" s="60"/>
      <c r="L140" s="60"/>
      <c r="M140" s="74"/>
      <c r="N140" s="74">
        <f t="shared" si="41"/>
        <v>180</v>
      </c>
      <c r="O140" s="74">
        <v>120</v>
      </c>
      <c r="P140" s="60"/>
      <c r="Q140" s="74"/>
      <c r="R140" s="74"/>
      <c r="S140" s="60"/>
      <c r="T140" s="74"/>
      <c r="U140" s="74"/>
      <c r="V140" s="74"/>
      <c r="W140" s="74">
        <f t="shared" si="36"/>
        <v>20</v>
      </c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>
        <f t="shared" si="38"/>
        <v>883</v>
      </c>
      <c r="AX140" s="74">
        <v>911</v>
      </c>
      <c r="AY140" s="62">
        <f>'[1]D4 Gallon Forecast'!$M156/1000000</f>
        <v>0</v>
      </c>
      <c r="AZ140" s="62">
        <f>'[1]D4 Gallon Forecast'!$M188/1000000</f>
        <v>74.377217000000002</v>
      </c>
      <c r="BA140" s="62">
        <f t="shared" si="39"/>
        <v>74.377217000000002</v>
      </c>
      <c r="BB140" s="62">
        <f>'[1]D4 Gallon Forecast'!$M172/1000000</f>
        <v>0.27460600000000002</v>
      </c>
      <c r="BC140" s="63">
        <f>'[1]D4 Gallon Forecast'!$M348/1000000</f>
        <v>0.72205799999999998</v>
      </c>
      <c r="BD140" s="64">
        <f>'[1]D4 Gallon Forecast'!$M364/1000000</f>
        <v>0</v>
      </c>
      <c r="BE140" s="64">
        <f t="shared" si="40"/>
        <v>0.99666399999999999</v>
      </c>
      <c r="BF140" s="76">
        <f t="shared" si="29"/>
        <v>75.373880999999997</v>
      </c>
      <c r="BG140" s="77">
        <f t="shared" si="34"/>
        <v>0.97416757781240038</v>
      </c>
      <c r="BH140" s="74"/>
      <c r="BI140" s="75">
        <f t="shared" si="31"/>
        <v>215</v>
      </c>
      <c r="BJ140" s="75">
        <f t="shared" si="32"/>
        <v>696</v>
      </c>
      <c r="BK140" s="75">
        <f>'RD Feedstock Breakdown'!ES131</f>
        <v>625.23541246189677</v>
      </c>
      <c r="BL140" s="78">
        <f t="shared" si="33"/>
        <v>8.2951203277153365</v>
      </c>
      <c r="BM140" s="78">
        <f t="shared" si="30"/>
        <v>8.4062759764444639</v>
      </c>
      <c r="BN140" s="69">
        <f t="shared" si="42"/>
        <v>0.23600439077936333</v>
      </c>
      <c r="BO140" s="79"/>
      <c r="BP140" s="69"/>
      <c r="BQ140" s="66">
        <f>'[1]Monthly D4 Gallon Data'!$B141/1000000</f>
        <v>154.582245</v>
      </c>
      <c r="BR140" s="66">
        <f>'[1]Monthly D6 Gallon Data'!$B143/1000000</f>
        <v>0</v>
      </c>
      <c r="BS140" s="66">
        <f t="shared" si="24"/>
        <v>154.582245</v>
      </c>
      <c r="BT140" s="60"/>
      <c r="BU140" s="67">
        <f>'[2]US EIA'!$P277</f>
        <v>974.61993890298515</v>
      </c>
      <c r="BV140" s="68">
        <f t="shared" si="25"/>
        <v>6.3048634007287525</v>
      </c>
      <c r="BW140" s="60"/>
      <c r="BX140" s="69">
        <f t="shared" si="19"/>
        <v>0.32777505131565837</v>
      </c>
      <c r="BY140" s="69">
        <f t="shared" si="20"/>
        <v>0.67222494868434168</v>
      </c>
      <c r="BZ140" s="60"/>
      <c r="CA140" s="60"/>
      <c r="CB140" s="70">
        <f>'[1]Monthly D4 Gallon Data'!$AG141/1000000</f>
        <v>0.72205799999999998</v>
      </c>
      <c r="CC140" s="70">
        <f>'[1]Monthly D6 Gallon Data'!$O143/1000000</f>
        <v>0</v>
      </c>
      <c r="CD140" s="70">
        <f t="shared" si="26"/>
        <v>0.72205799999999998</v>
      </c>
      <c r="CE140" s="60"/>
      <c r="CF140" s="71">
        <f>'RD Feedstock Breakdown'!GQ131</f>
        <v>5.9895579935894814</v>
      </c>
      <c r="CG140" s="72">
        <f t="shared" si="21"/>
        <v>8.2951203277153382</v>
      </c>
      <c r="CH140" s="73">
        <f>'[2]US EIA'!$R277+AW140</f>
        <v>3313</v>
      </c>
    </row>
    <row r="141" spans="1:86" ht="13.5" x14ac:dyDescent="0.25">
      <c r="A141" s="59">
        <v>44440</v>
      </c>
      <c r="B141" s="74">
        <f t="shared" si="37"/>
        <v>290</v>
      </c>
      <c r="C141" s="74"/>
      <c r="D141" s="74">
        <f t="shared" si="43"/>
        <v>3</v>
      </c>
      <c r="E141" s="74"/>
      <c r="F141" s="74">
        <v>95</v>
      </c>
      <c r="G141" s="74"/>
      <c r="H141" s="74">
        <v>75</v>
      </c>
      <c r="I141" s="74"/>
      <c r="J141" s="74">
        <v>100</v>
      </c>
      <c r="K141" s="60"/>
      <c r="L141" s="60"/>
      <c r="M141" s="74"/>
      <c r="N141" s="74">
        <f t="shared" si="41"/>
        <v>180</v>
      </c>
      <c r="O141" s="74">
        <v>120</v>
      </c>
      <c r="P141" s="60"/>
      <c r="Q141" s="74"/>
      <c r="R141" s="74"/>
      <c r="S141" s="60"/>
      <c r="T141" s="74"/>
      <c r="U141" s="74"/>
      <c r="V141" s="74"/>
      <c r="W141" s="74">
        <f t="shared" si="36"/>
        <v>20</v>
      </c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>
        <f t="shared" si="38"/>
        <v>883</v>
      </c>
      <c r="AX141" s="74">
        <v>911</v>
      </c>
      <c r="AY141" s="62">
        <f>'[1]D4 Gallon Forecast'!$M157/1000000</f>
        <v>0</v>
      </c>
      <c r="AZ141" s="62">
        <f>'[1]D4 Gallon Forecast'!$M189/1000000</f>
        <v>49.922848999999999</v>
      </c>
      <c r="BA141" s="62">
        <f t="shared" si="39"/>
        <v>49.922848999999999</v>
      </c>
      <c r="BB141" s="62">
        <f>'[1]D4 Gallon Forecast'!$M173/1000000</f>
        <v>0</v>
      </c>
      <c r="BC141" s="63">
        <f>'[1]D4 Gallon Forecast'!$M349/1000000</f>
        <v>0.300122</v>
      </c>
      <c r="BD141" s="64">
        <f>'[1]D4 Gallon Forecast'!$M365/1000000</f>
        <v>0</v>
      </c>
      <c r="BE141" s="64">
        <f t="shared" si="40"/>
        <v>0.300122</v>
      </c>
      <c r="BF141" s="76">
        <f t="shared" si="29"/>
        <v>50.222971000000001</v>
      </c>
      <c r="BG141" s="77">
        <f t="shared" si="34"/>
        <v>0.64910535799015612</v>
      </c>
      <c r="BH141" s="74"/>
      <c r="BI141" s="75">
        <f t="shared" si="31"/>
        <v>215</v>
      </c>
      <c r="BJ141" s="75">
        <f t="shared" si="32"/>
        <v>696</v>
      </c>
      <c r="BK141" s="75">
        <f>'RD Feedstock Breakdown'!ES132</f>
        <v>422.17799986854754</v>
      </c>
      <c r="BL141" s="78">
        <f t="shared" si="33"/>
        <v>8.4060737838179183</v>
      </c>
      <c r="BM141" s="78">
        <f t="shared" si="30"/>
        <v>8.4566087137484391</v>
      </c>
      <c r="BN141" s="69">
        <f t="shared" si="42"/>
        <v>0.23600439077936333</v>
      </c>
      <c r="BO141" s="79"/>
      <c r="BP141" s="69"/>
      <c r="BQ141" s="66">
        <f>'[1]Monthly D4 Gallon Data'!$B142/1000000</f>
        <v>139.934774</v>
      </c>
      <c r="BR141" s="66">
        <f>'[1]Monthly D6 Gallon Data'!$B144/1000000</f>
        <v>0</v>
      </c>
      <c r="BS141" s="66">
        <f t="shared" si="24"/>
        <v>139.934774</v>
      </c>
      <c r="BT141" s="60"/>
      <c r="BU141" s="67">
        <f>'[2]US EIA'!$P278</f>
        <v>927.64935006759151</v>
      </c>
      <c r="BV141" s="68">
        <f t="shared" si="25"/>
        <v>6.6291553096558511</v>
      </c>
      <c r="BW141" s="60"/>
      <c r="BX141" s="69">
        <f t="shared" ref="BX141:BX156" si="44">BF141/(BF141+BS141)</f>
        <v>0.26411215067784904</v>
      </c>
      <c r="BY141" s="69">
        <f t="shared" ref="BY141:BY156" si="45">BS141/(BS141+BF141)</f>
        <v>0.7358878493221509</v>
      </c>
      <c r="BZ141" s="60"/>
      <c r="CA141" s="60"/>
      <c r="CB141" s="70">
        <f>'[1]Monthly D4 Gallon Data'!$AG142/1000000</f>
        <v>0.300122</v>
      </c>
      <c r="CC141" s="70">
        <f>'[1]Monthly D6 Gallon Data'!$O144/1000000</f>
        <v>0</v>
      </c>
      <c r="CD141" s="70">
        <f t="shared" si="26"/>
        <v>0.300122</v>
      </c>
      <c r="CE141" s="60"/>
      <c r="CF141" s="71">
        <f>'RD Feedstock Breakdown'!GQ132</f>
        <v>2.5228476761470007</v>
      </c>
      <c r="CG141" s="72">
        <f t="shared" ref="CG141:CG204" si="46">CF141/CB141</f>
        <v>8.4060737838179165</v>
      </c>
      <c r="CH141" s="73">
        <f>'[2]US EIA'!$R278+AW141</f>
        <v>3345</v>
      </c>
    </row>
    <row r="142" spans="1:86" ht="13.5" x14ac:dyDescent="0.25">
      <c r="A142" s="59">
        <v>44470</v>
      </c>
      <c r="B142" s="74">
        <v>490</v>
      </c>
      <c r="C142" s="74"/>
      <c r="D142" s="74">
        <f t="shared" si="43"/>
        <v>3</v>
      </c>
      <c r="E142" s="74"/>
      <c r="F142" s="74">
        <v>95</v>
      </c>
      <c r="G142" s="74"/>
      <c r="H142" s="74">
        <v>75</v>
      </c>
      <c r="I142" s="74"/>
      <c r="J142" s="74">
        <v>100</v>
      </c>
      <c r="K142" s="60"/>
      <c r="L142" s="60"/>
      <c r="M142" s="74"/>
      <c r="N142" s="74">
        <f t="shared" si="41"/>
        <v>180</v>
      </c>
      <c r="O142" s="74">
        <v>120</v>
      </c>
      <c r="P142" s="60"/>
      <c r="Q142" s="74"/>
      <c r="R142" s="74"/>
      <c r="S142" s="60"/>
      <c r="T142" s="74"/>
      <c r="U142" s="74"/>
      <c r="V142" s="74"/>
      <c r="W142" s="74">
        <f t="shared" si="36"/>
        <v>20</v>
      </c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>
        <f t="shared" si="38"/>
        <v>1083</v>
      </c>
      <c r="AX142" s="74">
        <v>1014</v>
      </c>
      <c r="AY142" s="62">
        <f>'[1]D4 Gallon Forecast'!$M158/1000000</f>
        <v>0</v>
      </c>
      <c r="AZ142" s="62">
        <f>'[1]D4 Gallon Forecast'!$M190/1000000</f>
        <v>72.254486999999997</v>
      </c>
      <c r="BA142" s="62">
        <f t="shared" si="39"/>
        <v>72.254486999999997</v>
      </c>
      <c r="BB142" s="62">
        <f>'[1]D4 Gallon Forecast'!$M174/1000000</f>
        <v>0</v>
      </c>
      <c r="BC142" s="63">
        <f>'[1]D4 Gallon Forecast'!$M350/1000000</f>
        <v>0.43774099999999999</v>
      </c>
      <c r="BD142" s="64">
        <f>'[1]D4 Gallon Forecast'!$M366/1000000</f>
        <v>0</v>
      </c>
      <c r="BE142" s="64">
        <f t="shared" si="40"/>
        <v>0.43774099999999999</v>
      </c>
      <c r="BF142" s="76">
        <f t="shared" si="29"/>
        <v>72.692228</v>
      </c>
      <c r="BG142" s="77">
        <f t="shared" si="34"/>
        <v>0.87221115121630499</v>
      </c>
      <c r="BH142" s="74"/>
      <c r="BI142" s="75">
        <f t="shared" si="31"/>
        <v>265</v>
      </c>
      <c r="BJ142" s="75">
        <f>AW142-BI142</f>
        <v>818</v>
      </c>
      <c r="BK142" s="75">
        <f>'RD Feedstock Breakdown'!ES133</f>
        <v>608.45226218497839</v>
      </c>
      <c r="BL142" s="78">
        <f t="shared" si="33"/>
        <v>8.3702519364928314</v>
      </c>
      <c r="BM142" s="78">
        <f t="shared" si="30"/>
        <v>8.4209616239470133</v>
      </c>
      <c r="BN142" s="69">
        <f t="shared" si="42"/>
        <v>0.26134122287968442</v>
      </c>
      <c r="BO142" s="79"/>
      <c r="BP142" s="69"/>
      <c r="BQ142" s="66">
        <f>'[1]Monthly D4 Gallon Data'!$B143/1000000</f>
        <v>139.77887799999999</v>
      </c>
      <c r="BR142" s="66">
        <f>'[1]Monthly D6 Gallon Data'!$B145/1000000</f>
        <v>0</v>
      </c>
      <c r="BS142" s="66">
        <f t="shared" ref="BS142:BS156" si="47">SUM(BQ142:BR142)</f>
        <v>139.77887799999999</v>
      </c>
      <c r="BT142" s="60"/>
      <c r="BU142" s="67">
        <f>'[2]US EIA'!$P279</f>
        <v>1120.6281059220171</v>
      </c>
      <c r="BV142" s="68">
        <f t="shared" ref="BV142:BV156" si="48">BU142/BS142</f>
        <v>8.0171490997518031</v>
      </c>
      <c r="BW142" s="60"/>
      <c r="BX142" s="69">
        <f t="shared" si="44"/>
        <v>0.34212759263370146</v>
      </c>
      <c r="BY142" s="69">
        <f t="shared" si="45"/>
        <v>0.65787240736629848</v>
      </c>
      <c r="BZ142" s="60"/>
      <c r="CA142" s="60"/>
      <c r="CB142" s="70">
        <f>'[1]Monthly D4 Gallon Data'!$AG143/1000000</f>
        <v>0.43774099999999999</v>
      </c>
      <c r="CC142" s="70">
        <f>'[1]Monthly D6 Gallon Data'!$O145/1000000</f>
        <v>0</v>
      </c>
      <c r="CD142" s="70">
        <f t="shared" ref="CD142:CD205" si="49">SUM(CB142:CC142)</f>
        <v>0.43774099999999999</v>
      </c>
      <c r="CE142" s="60"/>
      <c r="CF142" s="71">
        <f>'RD Feedstock Breakdown'!GQ133</f>
        <v>3.6640024529323085</v>
      </c>
      <c r="CG142" s="72">
        <f t="shared" si="46"/>
        <v>8.3702519364928314</v>
      </c>
      <c r="CH142" s="73">
        <f>'[2]US EIA'!$R279+AW142</f>
        <v>3544</v>
      </c>
    </row>
    <row r="143" spans="1:86" ht="13.5" x14ac:dyDescent="0.25">
      <c r="A143" s="59">
        <v>44501</v>
      </c>
      <c r="B143" s="74">
        <v>690</v>
      </c>
      <c r="C143" s="74"/>
      <c r="D143" s="74">
        <f t="shared" si="43"/>
        <v>3</v>
      </c>
      <c r="E143" s="74"/>
      <c r="F143" s="74">
        <v>95</v>
      </c>
      <c r="G143" s="74"/>
      <c r="H143" s="74">
        <v>75</v>
      </c>
      <c r="I143" s="74"/>
      <c r="J143" s="74">
        <v>100</v>
      </c>
      <c r="K143" s="60"/>
      <c r="L143" s="74"/>
      <c r="M143" s="74"/>
      <c r="N143" s="74">
        <f t="shared" si="41"/>
        <v>180</v>
      </c>
      <c r="O143" s="74">
        <v>120</v>
      </c>
      <c r="P143" s="60"/>
      <c r="Q143" s="74"/>
      <c r="R143" s="74"/>
      <c r="S143" s="60"/>
      <c r="T143" s="74"/>
      <c r="U143" s="74"/>
      <c r="V143" s="74"/>
      <c r="W143" s="74">
        <f t="shared" si="36"/>
        <v>20</v>
      </c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>
        <f t="shared" si="38"/>
        <v>1283</v>
      </c>
      <c r="AX143" s="74">
        <v>1017</v>
      </c>
      <c r="AY143" s="62">
        <f>'[1]D4 Gallon Forecast'!$M159/1000000</f>
        <v>0</v>
      </c>
      <c r="AZ143" s="62">
        <f>'[1]D4 Gallon Forecast'!$M191/1000000</f>
        <v>101.10738600000001</v>
      </c>
      <c r="BA143" s="62">
        <f t="shared" si="39"/>
        <v>101.10738600000001</v>
      </c>
      <c r="BB143" s="62">
        <f>'[1]D4 Gallon Forecast'!$M175/1000000</f>
        <v>0</v>
      </c>
      <c r="BC143" s="63">
        <f>'[1]D4 Gallon Forecast'!$M351/1000000</f>
        <v>0.40348200000000001</v>
      </c>
      <c r="BD143" s="64">
        <f>'[1]D4 Gallon Forecast'!$M367/1000000</f>
        <v>0</v>
      </c>
      <c r="BE143" s="64">
        <f t="shared" si="40"/>
        <v>0.40348200000000001</v>
      </c>
      <c r="BF143" s="76">
        <f t="shared" si="29"/>
        <v>101.510868</v>
      </c>
      <c r="BG143" s="77">
        <f t="shared" si="34"/>
        <v>1.1752297021600535</v>
      </c>
      <c r="BH143" s="74"/>
      <c r="BI143" s="75">
        <f t="shared" si="31"/>
        <v>315</v>
      </c>
      <c r="BJ143" s="75">
        <f>AW143-BI143</f>
        <v>968</v>
      </c>
      <c r="BK143" s="75">
        <f>'RD Feedstock Breakdown'!ES134</f>
        <v>973.51709578711439</v>
      </c>
      <c r="BL143" s="78">
        <f t="shared" si="33"/>
        <v>9.5902745683064623</v>
      </c>
      <c r="BM143" s="78">
        <f t="shared" si="30"/>
        <v>9.6285457897914046</v>
      </c>
      <c r="BN143" s="69">
        <f t="shared" si="42"/>
        <v>0.30973451327433627</v>
      </c>
      <c r="BO143" s="79"/>
      <c r="BP143" s="69"/>
      <c r="BQ143" s="66">
        <f>'[1]Monthly D4 Gallon Data'!$B144/1000000</f>
        <v>140.856752</v>
      </c>
      <c r="BR143" s="66">
        <f>'[1]Monthly D6 Gallon Data'!$B146/1000000</f>
        <v>0</v>
      </c>
      <c r="BS143" s="66">
        <f t="shared" si="47"/>
        <v>140.856752</v>
      </c>
      <c r="BT143" s="60"/>
      <c r="BU143" s="67">
        <f>'[2]US EIA'!$P280</f>
        <v>1006.8738858571434</v>
      </c>
      <c r="BV143" s="68">
        <f t="shared" si="48"/>
        <v>7.1482117226240129</v>
      </c>
      <c r="BW143" s="60"/>
      <c r="BX143" s="69">
        <f t="shared" si="44"/>
        <v>0.41883015561237102</v>
      </c>
      <c r="BY143" s="69">
        <f t="shared" si="45"/>
        <v>0.58116984438762909</v>
      </c>
      <c r="BZ143" s="60"/>
      <c r="CA143" s="60"/>
      <c r="CB143" s="70">
        <f>'[1]Monthly D4 Gallon Data'!$AG144/1000000</f>
        <v>0.40348200000000001</v>
      </c>
      <c r="CC143" s="70">
        <f>'[1]Monthly D6 Gallon Data'!$O146/1000000</f>
        <v>0</v>
      </c>
      <c r="CD143" s="70">
        <f t="shared" si="49"/>
        <v>0.40348200000000001</v>
      </c>
      <c r="CE143" s="60"/>
      <c r="CF143" s="71">
        <f>'RD Feedstock Breakdown'!GQ134</f>
        <v>3.2925505169392357</v>
      </c>
      <c r="CG143" s="72">
        <f t="shared" si="46"/>
        <v>8.1603405280514014</v>
      </c>
      <c r="CH143" s="73">
        <f>'[2]US EIA'!$R280+AW143</f>
        <v>3672</v>
      </c>
    </row>
    <row r="144" spans="1:86" ht="13.5" x14ac:dyDescent="0.25">
      <c r="A144" s="59">
        <v>44531</v>
      </c>
      <c r="B144" s="74">
        <v>690</v>
      </c>
      <c r="C144" s="74"/>
      <c r="D144" s="74">
        <f t="shared" si="43"/>
        <v>3</v>
      </c>
      <c r="E144" s="74"/>
      <c r="F144" s="74">
        <v>95</v>
      </c>
      <c r="G144" s="74"/>
      <c r="H144" s="74">
        <v>75</v>
      </c>
      <c r="I144" s="74"/>
      <c r="J144" s="74">
        <v>100</v>
      </c>
      <c r="K144" s="60"/>
      <c r="L144" s="74"/>
      <c r="M144" s="74"/>
      <c r="N144" s="74">
        <f t="shared" si="41"/>
        <v>180</v>
      </c>
      <c r="O144" s="74">
        <v>120</v>
      </c>
      <c r="P144" s="60"/>
      <c r="Q144" s="74"/>
      <c r="R144" s="74"/>
      <c r="S144" s="60"/>
      <c r="T144" s="74"/>
      <c r="U144" s="74"/>
      <c r="V144" s="74"/>
      <c r="W144" s="74">
        <f t="shared" si="36"/>
        <v>20</v>
      </c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>
        <f t="shared" si="38"/>
        <v>1283</v>
      </c>
      <c r="AX144" s="74">
        <v>1106</v>
      </c>
      <c r="AY144" s="62">
        <f>'[1]D4 Gallon Forecast'!$M160/1000000</f>
        <v>0</v>
      </c>
      <c r="AZ144" s="62">
        <f>'[1]D4 Gallon Forecast'!$M192/1000000</f>
        <v>107.217732</v>
      </c>
      <c r="BA144" s="62">
        <f t="shared" si="39"/>
        <v>107.217732</v>
      </c>
      <c r="BB144" s="62">
        <f>'[1]D4 Gallon Forecast'!$M176/1000000</f>
        <v>0</v>
      </c>
      <c r="BC144" s="63">
        <f>'[1]D4 Gallon Forecast'!$M352/1000000</f>
        <v>0.30850300000000003</v>
      </c>
      <c r="BD144" s="64">
        <f>'[1]D4 Gallon Forecast'!$M368/1000000</f>
        <v>0</v>
      </c>
      <c r="BE144" s="64">
        <f t="shared" si="40"/>
        <v>0.30850300000000003</v>
      </c>
      <c r="BF144" s="76">
        <f t="shared" si="29"/>
        <v>107.526235</v>
      </c>
      <c r="BG144" s="77">
        <f t="shared" si="34"/>
        <v>1.1828533988848704</v>
      </c>
      <c r="BH144" s="77">
        <f>AVERAGE(BG133:BG144)</f>
        <v>0.8427485747266612</v>
      </c>
      <c r="BI144" s="75">
        <f t="shared" si="31"/>
        <v>315</v>
      </c>
      <c r="BJ144" s="75">
        <f>AW144-BI144</f>
        <v>968</v>
      </c>
      <c r="BK144" s="75">
        <f>'RD Feedstock Breakdown'!ES135</f>
        <v>1045.962761058774</v>
      </c>
      <c r="BL144" s="78">
        <f t="shared" si="33"/>
        <v>9.7275121839686296</v>
      </c>
      <c r="BM144" s="78">
        <f t="shared" si="30"/>
        <v>9.7555016464886055</v>
      </c>
      <c r="BN144" s="69">
        <f t="shared" si="42"/>
        <v>0.2848101265822785</v>
      </c>
      <c r="BO144" s="79"/>
      <c r="BP144" s="69"/>
      <c r="BQ144" s="66">
        <f>'[1]Monthly D4 Gallon Data'!$B145/1000000</f>
        <v>165.70823999999999</v>
      </c>
      <c r="BR144" s="66">
        <f>'[1]Monthly D6 Gallon Data'!$B147/1000000</f>
        <v>0</v>
      </c>
      <c r="BS144" s="66">
        <f t="shared" si="47"/>
        <v>165.70823999999999</v>
      </c>
      <c r="BT144" s="60"/>
      <c r="BU144" s="67">
        <f>'[2]US EIA'!$P281</f>
        <v>1170.3698271871317</v>
      </c>
      <c r="BV144" s="68">
        <f t="shared" si="48"/>
        <v>7.0628342150464682</v>
      </c>
      <c r="BW144" s="60"/>
      <c r="BX144" s="69">
        <f t="shared" si="44"/>
        <v>0.3935309956768816</v>
      </c>
      <c r="BY144" s="69">
        <f t="shared" si="45"/>
        <v>0.60646900432311845</v>
      </c>
      <c r="BZ144" s="60"/>
      <c r="CA144" s="60"/>
      <c r="CB144" s="70">
        <f>'[1]Monthly D4 Gallon Data'!$AG145/1000000</f>
        <v>0.30850300000000003</v>
      </c>
      <c r="CC144" s="70">
        <f>'[1]Monthly D6 Gallon Data'!$O147/1000000</f>
        <v>0</v>
      </c>
      <c r="CD144" s="70">
        <f t="shared" si="49"/>
        <v>0.30850300000000003</v>
      </c>
      <c r="CE144" s="60"/>
      <c r="CF144" s="71">
        <f>'RD Feedstock Breakdown'!GQ135</f>
        <v>2.5370571654272807</v>
      </c>
      <c r="CG144" s="72">
        <f t="shared" si="46"/>
        <v>8.223768214335939</v>
      </c>
      <c r="CH144" s="73">
        <f>'[2]US EIA'!$R281+AW144</f>
        <v>3527</v>
      </c>
    </row>
    <row r="145" spans="1:93" ht="13.5" x14ac:dyDescent="0.25">
      <c r="A145" s="59">
        <v>44562</v>
      </c>
      <c r="B145" s="74">
        <v>690</v>
      </c>
      <c r="C145" s="74"/>
      <c r="D145" s="74">
        <f t="shared" si="43"/>
        <v>3</v>
      </c>
      <c r="E145" s="74"/>
      <c r="F145" s="74">
        <v>95</v>
      </c>
      <c r="G145" s="74"/>
      <c r="H145" s="74">
        <v>75</v>
      </c>
      <c r="I145" s="74"/>
      <c r="J145" s="74">
        <f>100+(53.3*$J$12)</f>
        <v>153.30000000000001</v>
      </c>
      <c r="K145" s="74"/>
      <c r="L145" s="74"/>
      <c r="M145" s="74"/>
      <c r="N145" s="74">
        <f t="shared" si="41"/>
        <v>180</v>
      </c>
      <c r="O145" s="74">
        <v>120</v>
      </c>
      <c r="P145" s="60"/>
      <c r="Q145" s="74"/>
      <c r="R145" s="74"/>
      <c r="S145" s="60"/>
      <c r="T145" s="74"/>
      <c r="U145" s="74"/>
      <c r="V145" s="74"/>
      <c r="W145" s="74">
        <f t="shared" si="36"/>
        <v>20</v>
      </c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>
        <f t="shared" si="38"/>
        <v>1336.3</v>
      </c>
      <c r="AX145" s="74">
        <v>1750</v>
      </c>
      <c r="AY145" s="62">
        <f>'[1]D4 Gallon Forecast'!$N149/1000000</f>
        <v>0</v>
      </c>
      <c r="AZ145" s="62">
        <f>'[1]D4 Gallon Forecast'!$N181/1000000</f>
        <v>82.989689999999996</v>
      </c>
      <c r="BA145" s="62">
        <f t="shared" si="39"/>
        <v>82.989689999999996</v>
      </c>
      <c r="BB145" s="62">
        <f>'[1]D4 Gallon Forecast'!$N165/1000000</f>
        <v>0</v>
      </c>
      <c r="BC145" s="63">
        <f>'[1]D4 Gallon Forecast'!$N341/1000000</f>
        <v>0.40211999999999998</v>
      </c>
      <c r="BD145" s="64">
        <f>'[1]D4 Gallon Forecast'!$N357/1000000</f>
        <v>0</v>
      </c>
      <c r="BE145" s="64">
        <f t="shared" si="40"/>
        <v>0.40211999999999998</v>
      </c>
      <c r="BF145" s="76">
        <f t="shared" si="29"/>
        <v>83.391809999999992</v>
      </c>
      <c r="BG145" s="77">
        <f t="shared" si="34"/>
        <v>0.56106932073732707</v>
      </c>
      <c r="BH145" s="74"/>
      <c r="BI145" s="75">
        <f t="shared" si="31"/>
        <v>328.32499999999999</v>
      </c>
      <c r="BJ145" s="75">
        <f t="shared" ref="BJ145:BJ208" si="50">AX145-BI145</f>
        <v>1421.675</v>
      </c>
      <c r="BK145" s="75">
        <f>'RD Feedstock Breakdown'!ES136</f>
        <v>692.59575386857944</v>
      </c>
      <c r="BL145" s="78">
        <f t="shared" si="33"/>
        <v>8.3053210365451893</v>
      </c>
      <c r="BM145" s="78">
        <f t="shared" si="30"/>
        <v>8.345563814837476</v>
      </c>
      <c r="BN145" s="69">
        <f t="shared" si="42"/>
        <v>0.18761428571428571</v>
      </c>
      <c r="BO145" s="79"/>
      <c r="BP145" s="69"/>
      <c r="BQ145" s="66">
        <f>'[1]Monthly D4 Gallon Data'!$B146/1000000</f>
        <v>90.715014999999994</v>
      </c>
      <c r="BR145" s="66">
        <f>'[1]Monthly D6 Gallon Data'!$B148/1000000</f>
        <v>0</v>
      </c>
      <c r="BS145" s="66">
        <f t="shared" si="47"/>
        <v>90.715014999999994</v>
      </c>
      <c r="BT145" s="60"/>
      <c r="BU145" s="67">
        <f>'[2]US EIA'!$P282</f>
        <v>980.93640517501228</v>
      </c>
      <c r="BV145" s="68">
        <f t="shared" si="48"/>
        <v>10.813385250225801</v>
      </c>
      <c r="BW145" s="60"/>
      <c r="BX145" s="69">
        <f t="shared" si="44"/>
        <v>0.4789692190412409</v>
      </c>
      <c r="BY145" s="69">
        <f t="shared" si="45"/>
        <v>0.5210307809587591</v>
      </c>
      <c r="BZ145" s="60"/>
      <c r="CA145" s="60"/>
      <c r="CB145" s="70">
        <f>'[1]Monthly D4 Gallon Data'!$AG146/1000000</f>
        <v>0.40211999999999998</v>
      </c>
      <c r="CC145" s="70">
        <f>'[1]Monthly D6 Gallon Data'!$O148/1000000</f>
        <v>0</v>
      </c>
      <c r="CD145" s="70">
        <f t="shared" si="49"/>
        <v>0.40211999999999998</v>
      </c>
      <c r="CE145" s="60"/>
      <c r="CF145" s="71">
        <f>'RD Feedstock Breakdown'!GQ136</f>
        <v>3.3397356952155519</v>
      </c>
      <c r="CG145" s="72">
        <f t="shared" si="46"/>
        <v>8.305321036545191</v>
      </c>
      <c r="CH145" s="73">
        <f>'[2]US EIA'!$R282+AW145</f>
        <v>3599.3</v>
      </c>
    </row>
    <row r="146" spans="1:93" ht="13.5" x14ac:dyDescent="0.25">
      <c r="A146" s="59">
        <v>44593</v>
      </c>
      <c r="B146" s="74">
        <v>690</v>
      </c>
      <c r="C146" s="74"/>
      <c r="D146" s="74">
        <f t="shared" si="43"/>
        <v>3</v>
      </c>
      <c r="E146" s="74"/>
      <c r="F146" s="74">
        <v>95</v>
      </c>
      <c r="G146" s="74"/>
      <c r="H146" s="74">
        <v>75</v>
      </c>
      <c r="I146" s="74"/>
      <c r="J146" s="74">
        <f t="shared" ref="J146:J209" si="51">100+(53.3*$J$12)</f>
        <v>153.30000000000001</v>
      </c>
      <c r="K146" s="74"/>
      <c r="L146" s="74"/>
      <c r="M146" s="74"/>
      <c r="N146" s="74">
        <f t="shared" si="41"/>
        <v>180</v>
      </c>
      <c r="O146" s="74">
        <v>120</v>
      </c>
      <c r="P146" s="60"/>
      <c r="Q146" s="74"/>
      <c r="R146" s="74"/>
      <c r="S146" s="60"/>
      <c r="T146" s="74"/>
      <c r="U146" s="74"/>
      <c r="V146" s="74"/>
      <c r="W146" s="74">
        <f t="shared" si="36"/>
        <v>20</v>
      </c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>
        <f t="shared" si="38"/>
        <v>1336.3</v>
      </c>
      <c r="AX146" s="74">
        <v>1750</v>
      </c>
      <c r="AY146" s="62">
        <f>'[1]D4 Gallon Forecast'!$N150/1000000</f>
        <v>0</v>
      </c>
      <c r="AZ146" s="62">
        <f>'[1]D4 Gallon Forecast'!$N182/1000000</f>
        <v>96.312600000000003</v>
      </c>
      <c r="BA146" s="62">
        <f t="shared" si="39"/>
        <v>96.312600000000003</v>
      </c>
      <c r="BB146" s="62">
        <f>'[1]D4 Gallon Forecast'!$N166/1000000</f>
        <v>0.36906899999999998</v>
      </c>
      <c r="BC146" s="63">
        <f>'[1]D4 Gallon Forecast'!$N342/1000000</f>
        <v>1.10887</v>
      </c>
      <c r="BD146" s="64">
        <f>'[1]D4 Gallon Forecast'!$N358/1000000</f>
        <v>0</v>
      </c>
      <c r="BE146" s="64">
        <f t="shared" si="40"/>
        <v>1.4779390000000001</v>
      </c>
      <c r="BF146" s="76">
        <f t="shared" si="29"/>
        <v>97.79053900000001</v>
      </c>
      <c r="BG146" s="77">
        <f t="shared" si="34"/>
        <v>0.65794556193548392</v>
      </c>
      <c r="BH146" s="74"/>
      <c r="BI146" s="75">
        <f t="shared" si="31"/>
        <v>328.32499999999999</v>
      </c>
      <c r="BJ146" s="75">
        <f t="shared" si="50"/>
        <v>1421.675</v>
      </c>
      <c r="BK146" s="75">
        <f>'RD Feedstock Breakdown'!ES137</f>
        <v>785.788098444512</v>
      </c>
      <c r="BL146" s="78">
        <f t="shared" si="33"/>
        <v>8.035420465823508</v>
      </c>
      <c r="BM146" s="78">
        <f t="shared" si="30"/>
        <v>8.1587258411102184</v>
      </c>
      <c r="BN146" s="69">
        <f t="shared" si="42"/>
        <v>0.18761428571428571</v>
      </c>
      <c r="BO146" s="79"/>
      <c r="BP146" s="69"/>
      <c r="BQ146" s="66">
        <f>'[1]Monthly D4 Gallon Data'!$B147/1000000</f>
        <v>110.44265</v>
      </c>
      <c r="BR146" s="66">
        <f>'[1]Monthly D6 Gallon Data'!$B149/1000000</f>
        <v>0</v>
      </c>
      <c r="BS146" s="66">
        <f t="shared" si="47"/>
        <v>110.44265</v>
      </c>
      <c r="BT146" s="60"/>
      <c r="BU146" s="67">
        <f>'[2]US EIA'!$P283</f>
        <v>1000.55606805024</v>
      </c>
      <c r="BV146" s="68">
        <f t="shared" si="48"/>
        <v>9.0595079713339004</v>
      </c>
      <c r="BW146" s="60"/>
      <c r="BX146" s="69">
        <f t="shared" si="44"/>
        <v>0.4696203303115144</v>
      </c>
      <c r="BY146" s="69">
        <f t="shared" si="45"/>
        <v>0.5303796696884856</v>
      </c>
      <c r="BZ146" s="60"/>
      <c r="CA146" s="60"/>
      <c r="CB146" s="70">
        <f>'[1]Monthly D4 Gallon Data'!$AG147/1000000</f>
        <v>1.10887</v>
      </c>
      <c r="CC146" s="70">
        <f>'[1]Monthly D6 Gallon Data'!$O149/1000000</f>
        <v>0</v>
      </c>
      <c r="CD146" s="70">
        <f t="shared" si="49"/>
        <v>1.10887</v>
      </c>
      <c r="CE146" s="60"/>
      <c r="CF146" s="71">
        <f>'RD Feedstock Breakdown'!GQ137</f>
        <v>8.9102366919377118</v>
      </c>
      <c r="CG146" s="72">
        <f t="shared" si="46"/>
        <v>8.0354204658235062</v>
      </c>
      <c r="CH146" s="73">
        <f>'[2]US EIA'!$R283+AW146</f>
        <v>3621.3</v>
      </c>
    </row>
    <row r="147" spans="1:93" ht="13.5" x14ac:dyDescent="0.25">
      <c r="A147" s="59">
        <v>44621</v>
      </c>
      <c r="B147" s="74">
        <v>690</v>
      </c>
      <c r="C147" s="74"/>
      <c r="D147" s="74">
        <f t="shared" si="43"/>
        <v>3</v>
      </c>
      <c r="E147" s="74"/>
      <c r="F147" s="74">
        <v>95</v>
      </c>
      <c r="G147" s="74"/>
      <c r="H147" s="74">
        <v>75</v>
      </c>
      <c r="I147" s="74"/>
      <c r="J147" s="74">
        <f t="shared" si="51"/>
        <v>153.30000000000001</v>
      </c>
      <c r="K147" s="74"/>
      <c r="L147" s="74"/>
      <c r="M147" s="74"/>
      <c r="N147" s="74">
        <f t="shared" si="41"/>
        <v>180</v>
      </c>
      <c r="O147" s="74">
        <v>120</v>
      </c>
      <c r="P147" s="60"/>
      <c r="Q147" s="74"/>
      <c r="R147" s="74"/>
      <c r="S147" s="60"/>
      <c r="T147" s="74"/>
      <c r="U147" s="74"/>
      <c r="V147" s="74"/>
      <c r="W147" s="74">
        <f t="shared" si="36"/>
        <v>20</v>
      </c>
      <c r="X147" s="74">
        <f>4*$X$12</f>
        <v>0</v>
      </c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>
        <f t="shared" si="38"/>
        <v>1336.3</v>
      </c>
      <c r="AX147" s="74">
        <v>1750</v>
      </c>
      <c r="AY147" s="62">
        <f>'[1]D4 Gallon Forecast'!$N151/1000000</f>
        <v>0</v>
      </c>
      <c r="AZ147" s="62">
        <f>'[1]D4 Gallon Forecast'!$N183/1000000</f>
        <v>105.030255</v>
      </c>
      <c r="BA147" s="62">
        <f t="shared" si="39"/>
        <v>105.030255</v>
      </c>
      <c r="BB147" s="62">
        <f>'[1]D4 Gallon Forecast'!$N167/1000000</f>
        <v>0.24704400000000001</v>
      </c>
      <c r="BC147" s="63">
        <f>'[1]D4 Gallon Forecast'!$N343/1000000</f>
        <v>1.026537</v>
      </c>
      <c r="BD147" s="64">
        <f>'[1]D4 Gallon Forecast'!$N359/1000000</f>
        <v>0</v>
      </c>
      <c r="BE147" s="64">
        <f t="shared" si="40"/>
        <v>1.2735810000000001</v>
      </c>
      <c r="BF147" s="76">
        <f t="shared" si="29"/>
        <v>106.30383599999999</v>
      </c>
      <c r="BG147" s="77">
        <f t="shared" si="34"/>
        <v>0.79185510489795896</v>
      </c>
      <c r="BH147" s="74"/>
      <c r="BI147" s="75">
        <f t="shared" si="31"/>
        <v>328.32499999999999</v>
      </c>
      <c r="BJ147" s="75">
        <f t="shared" si="50"/>
        <v>1421.675</v>
      </c>
      <c r="BK147" s="75">
        <f>'RD Feedstock Breakdown'!ES138</f>
        <v>852.6939821880876</v>
      </c>
      <c r="BL147" s="78">
        <f t="shared" si="33"/>
        <v>8.0212908044831774</v>
      </c>
      <c r="BM147" s="78">
        <f t="shared" si="30"/>
        <v>8.1185557646040909</v>
      </c>
      <c r="BN147" s="69">
        <f t="shared" si="42"/>
        <v>0.18761428571428571</v>
      </c>
      <c r="BO147" s="79"/>
      <c r="BP147" s="69"/>
      <c r="BQ147" s="66">
        <f>'[1]Monthly D4 Gallon Data'!$B148/1000000</f>
        <v>135.86741599999999</v>
      </c>
      <c r="BR147" s="66">
        <f>'[1]Monthly D6 Gallon Data'!$B150/1000000</f>
        <v>0</v>
      </c>
      <c r="BS147" s="66">
        <f t="shared" si="47"/>
        <v>135.86741599999999</v>
      </c>
      <c r="BT147" s="60"/>
      <c r="BU147" s="67">
        <f>'[2]US EIA'!$P284</f>
        <v>1162.5500048392919</v>
      </c>
      <c r="BV147" s="68">
        <f t="shared" si="48"/>
        <v>8.5565033844412852</v>
      </c>
      <c r="BW147" s="60"/>
      <c r="BX147" s="69">
        <f t="shared" si="44"/>
        <v>0.43896141727012256</v>
      </c>
      <c r="BY147" s="69">
        <f t="shared" si="45"/>
        <v>0.5610385827298775</v>
      </c>
      <c r="BZ147" s="60"/>
      <c r="CA147" s="60"/>
      <c r="CB147" s="70">
        <f>'[1]Monthly D4 Gallon Data'!$AG148/1000000</f>
        <v>1.026537</v>
      </c>
      <c r="CC147" s="70">
        <f>'[1]Monthly D6 Gallon Data'!$O150/1000000</f>
        <v>0</v>
      </c>
      <c r="CD147" s="70">
        <f t="shared" si="49"/>
        <v>1.026537</v>
      </c>
      <c r="CE147" s="60"/>
      <c r="CF147" s="71">
        <f>'RD Feedstock Breakdown'!GQ138</f>
        <v>8.2341517985617472</v>
      </c>
      <c r="CG147" s="72">
        <f t="shared" si="46"/>
        <v>8.0212908044831774</v>
      </c>
      <c r="CH147" s="73">
        <f>'[2]US EIA'!$R284+AW147</f>
        <v>3620.3</v>
      </c>
    </row>
    <row r="148" spans="1:93" ht="13.5" x14ac:dyDescent="0.25">
      <c r="A148" s="59">
        <v>44652</v>
      </c>
      <c r="B148" s="74">
        <v>690</v>
      </c>
      <c r="C148" s="74"/>
      <c r="D148" s="74">
        <f t="shared" si="43"/>
        <v>3</v>
      </c>
      <c r="E148" s="74"/>
      <c r="F148" s="74">
        <v>95</v>
      </c>
      <c r="G148" s="74"/>
      <c r="H148" s="74">
        <v>75</v>
      </c>
      <c r="I148" s="74"/>
      <c r="J148" s="74">
        <f t="shared" si="51"/>
        <v>153.30000000000001</v>
      </c>
      <c r="K148" s="74"/>
      <c r="L148" s="74">
        <v>20</v>
      </c>
      <c r="M148" s="74"/>
      <c r="N148" s="74">
        <f t="shared" si="41"/>
        <v>180</v>
      </c>
      <c r="O148" s="74">
        <v>120</v>
      </c>
      <c r="P148" s="60"/>
      <c r="Q148" s="74"/>
      <c r="R148" s="74">
        <v>37.5</v>
      </c>
      <c r="S148" s="60"/>
      <c r="T148" s="74"/>
      <c r="U148" s="74"/>
      <c r="V148" s="74"/>
      <c r="W148" s="74">
        <f t="shared" si="36"/>
        <v>20</v>
      </c>
      <c r="X148" s="74">
        <f>16.1*$X$12</f>
        <v>0</v>
      </c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>
        <f t="shared" si="38"/>
        <v>1393.8</v>
      </c>
      <c r="AX148" s="74">
        <v>1922</v>
      </c>
      <c r="AY148" s="62">
        <f>'[1]D4 Gallon Forecast'!$N152/1000000</f>
        <v>0</v>
      </c>
      <c r="AZ148" s="62">
        <f>'[1]D4 Gallon Forecast'!$N184/1000000</f>
        <v>101.188242</v>
      </c>
      <c r="BA148" s="62">
        <f t="shared" si="39"/>
        <v>101.188242</v>
      </c>
      <c r="BB148" s="62">
        <f>'[1]D4 Gallon Forecast'!$N168/1000000</f>
        <v>0</v>
      </c>
      <c r="BC148" s="63">
        <f>'[1]D4 Gallon Forecast'!$N344/1000000</f>
        <v>0.40899099999999999</v>
      </c>
      <c r="BD148" s="64">
        <f>'[1]D4 Gallon Forecast'!$N360/1000000</f>
        <v>0</v>
      </c>
      <c r="BE148" s="64">
        <f t="shared" si="40"/>
        <v>0.40899099999999999</v>
      </c>
      <c r="BF148" s="76">
        <f t="shared" si="29"/>
        <v>101.597233</v>
      </c>
      <c r="BG148" s="77">
        <f t="shared" si="34"/>
        <v>0.62238578840925107</v>
      </c>
      <c r="BH148" s="74"/>
      <c r="BI148" s="75">
        <f t="shared" si="31"/>
        <v>342.7</v>
      </c>
      <c r="BJ148" s="75">
        <f t="shared" si="50"/>
        <v>1579.3</v>
      </c>
      <c r="BK148" s="75">
        <f>'RD Feedstock Breakdown'!ES139</f>
        <v>827.0207458372206</v>
      </c>
      <c r="BL148" s="78">
        <f t="shared" si="33"/>
        <v>8.1401896628151338</v>
      </c>
      <c r="BM148" s="78">
        <f t="shared" si="30"/>
        <v>8.1730913542031942</v>
      </c>
      <c r="BN148" s="69">
        <f t="shared" si="42"/>
        <v>0.17830385015608741</v>
      </c>
      <c r="BO148" s="79"/>
      <c r="BP148" s="69"/>
      <c r="BQ148" s="66">
        <f>'[1]Monthly D4 Gallon Data'!$B149/1000000</f>
        <v>144.286382</v>
      </c>
      <c r="BR148" s="66">
        <f>'[1]Monthly D6 Gallon Data'!$B151/1000000</f>
        <v>0</v>
      </c>
      <c r="BS148" s="66">
        <f t="shared" si="47"/>
        <v>144.286382</v>
      </c>
      <c r="BT148" s="60"/>
      <c r="BU148" s="67">
        <f>'[2]US EIA'!$P285</f>
        <v>1064.7795800254089</v>
      </c>
      <c r="BV148" s="68">
        <f t="shared" si="48"/>
        <v>7.3796263047569441</v>
      </c>
      <c r="BW148" s="60"/>
      <c r="BX148" s="69">
        <f t="shared" si="44"/>
        <v>0.41319236745400867</v>
      </c>
      <c r="BY148" s="69">
        <f t="shared" si="45"/>
        <v>0.58680763254599133</v>
      </c>
      <c r="BZ148" s="60"/>
      <c r="CA148" s="60"/>
      <c r="CB148" s="70">
        <f>'[1]Monthly D4 Gallon Data'!$AG149/1000000</f>
        <v>0.40899099999999999</v>
      </c>
      <c r="CC148" s="70">
        <f>'[1]Monthly D6 Gallon Data'!$O151/1000000</f>
        <v>0</v>
      </c>
      <c r="CD148" s="70">
        <f t="shared" si="49"/>
        <v>0.40899099999999999</v>
      </c>
      <c r="CE148" s="60"/>
      <c r="CF148" s="71">
        <f>'RD Feedstock Breakdown'!GQ139</f>
        <v>3.3292643103844246</v>
      </c>
      <c r="CG148" s="72">
        <f t="shared" si="46"/>
        <v>8.1401896628151338</v>
      </c>
      <c r="CH148" s="73">
        <f>'[2]US EIA'!$R285+AW148</f>
        <v>3618.8</v>
      </c>
    </row>
    <row r="149" spans="1:93" ht="13.5" x14ac:dyDescent="0.25">
      <c r="A149" s="59">
        <v>44682</v>
      </c>
      <c r="B149" s="74">
        <v>690</v>
      </c>
      <c r="C149" s="74"/>
      <c r="D149" s="74">
        <f t="shared" si="43"/>
        <v>3</v>
      </c>
      <c r="E149" s="74"/>
      <c r="F149" s="74">
        <v>95</v>
      </c>
      <c r="G149" s="74"/>
      <c r="H149" s="74">
        <v>75</v>
      </c>
      <c r="I149" s="74"/>
      <c r="J149" s="74">
        <f t="shared" si="51"/>
        <v>153.30000000000001</v>
      </c>
      <c r="K149" s="74"/>
      <c r="L149" s="74">
        <v>45</v>
      </c>
      <c r="M149" s="74"/>
      <c r="N149" s="74">
        <f t="shared" si="41"/>
        <v>180</v>
      </c>
      <c r="O149" s="74">
        <v>120</v>
      </c>
      <c r="P149" s="60"/>
      <c r="Q149" s="74"/>
      <c r="R149" s="74">
        <v>50</v>
      </c>
      <c r="S149" s="60"/>
      <c r="T149" s="74"/>
      <c r="U149" s="74"/>
      <c r="V149" s="74"/>
      <c r="W149" s="74">
        <f t="shared" si="36"/>
        <v>20</v>
      </c>
      <c r="X149" s="74">
        <f t="shared" ref="X149:X212" si="52">16.1*$X$12</f>
        <v>0</v>
      </c>
      <c r="Y149" s="74"/>
      <c r="Z149" s="74"/>
      <c r="AA149" s="74"/>
      <c r="AB149" s="74"/>
      <c r="AC149" s="74"/>
      <c r="AD149" s="74"/>
      <c r="AE149" s="74">
        <f>50*$AE$12</f>
        <v>0.5</v>
      </c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>
        <f t="shared" ref="AW149:AW161" si="53">SUM(B149:AQ149)</f>
        <v>1431.8</v>
      </c>
      <c r="AX149" s="74">
        <v>1947</v>
      </c>
      <c r="AY149" s="62">
        <f>'[1]D4 Gallon Forecast'!$N153/1000000</f>
        <v>0</v>
      </c>
      <c r="AZ149" s="62">
        <f>'[1]D4 Gallon Forecast'!$N185/1000000</f>
        <v>127.392352</v>
      </c>
      <c r="BA149" s="62">
        <f t="shared" si="39"/>
        <v>127.392352</v>
      </c>
      <c r="BB149" s="62">
        <f>'[1]D4 Gallon Forecast'!$N169/1000000</f>
        <v>0</v>
      </c>
      <c r="BC149" s="63">
        <f>'[1]D4 Gallon Forecast'!$N345/1000000</f>
        <v>0.20283100000000001</v>
      </c>
      <c r="BD149" s="64">
        <f>'[1]D4 Gallon Forecast'!$N361/1000000</f>
        <v>0</v>
      </c>
      <c r="BE149" s="64">
        <f t="shared" si="40"/>
        <v>0.20283100000000001</v>
      </c>
      <c r="BF149" s="76">
        <f t="shared" ref="BF149:BF212" si="54">BA149+BE149</f>
        <v>127.59518300000001</v>
      </c>
      <c r="BG149" s="77">
        <f t="shared" si="34"/>
        <v>0.79733336406437261</v>
      </c>
      <c r="BH149" s="74"/>
      <c r="BI149" s="75">
        <f t="shared" si="31"/>
        <v>352.2</v>
      </c>
      <c r="BJ149" s="75">
        <f t="shared" si="50"/>
        <v>1594.8</v>
      </c>
      <c r="BK149" s="75">
        <f>'RD Feedstock Breakdown'!ES140</f>
        <v>1036.0480148918111</v>
      </c>
      <c r="BL149" s="78">
        <f t="shared" si="33"/>
        <v>8.1198050783140534</v>
      </c>
      <c r="BM149" s="78">
        <f t="shared" ref="BM149:BM212" si="55">BK149/BA149</f>
        <v>8.1327332341882741</v>
      </c>
      <c r="BN149" s="69">
        <f t="shared" si="42"/>
        <v>0.18089368258859784</v>
      </c>
      <c r="BO149" s="79"/>
      <c r="BP149" s="69"/>
      <c r="BQ149" s="66">
        <f>'[1]Monthly D4 Gallon Data'!$B150/1000000</f>
        <v>139.87524300000001</v>
      </c>
      <c r="BR149" s="66">
        <f>'[1]Monthly D6 Gallon Data'!$B152/1000000</f>
        <v>0</v>
      </c>
      <c r="BS149" s="66">
        <f t="shared" si="47"/>
        <v>139.87524300000001</v>
      </c>
      <c r="BT149" s="60"/>
      <c r="BU149" s="67">
        <f>'[2]US EIA'!$P286</f>
        <v>1106.5127672152128</v>
      </c>
      <c r="BV149" s="68">
        <f t="shared" si="48"/>
        <v>7.9107120279691863</v>
      </c>
      <c r="BW149" s="60"/>
      <c r="BX149" s="69">
        <f t="shared" si="44"/>
        <v>0.47704407888444456</v>
      </c>
      <c r="BY149" s="69">
        <f t="shared" si="45"/>
        <v>0.52295592111555544</v>
      </c>
      <c r="BZ149" s="60"/>
      <c r="CA149" s="60"/>
      <c r="CB149" s="70">
        <f>'[1]Monthly D4 Gallon Data'!$AG150/1000000</f>
        <v>0.20283100000000001</v>
      </c>
      <c r="CC149" s="70">
        <f>'[1]Monthly D6 Gallon Data'!$O152/1000000</f>
        <v>0</v>
      </c>
      <c r="CD149" s="70">
        <f t="shared" si="49"/>
        <v>0.20283100000000001</v>
      </c>
      <c r="CE149" s="60"/>
      <c r="CF149" s="71">
        <f>'RD Feedstock Breakdown'!GQ140</f>
        <v>1.6469481838395177</v>
      </c>
      <c r="CG149" s="72">
        <f t="shared" si="46"/>
        <v>8.1198050783140534</v>
      </c>
      <c r="CH149" s="73">
        <f>'[2]US EIA'!$R286+AW149</f>
        <v>3654.8</v>
      </c>
    </row>
    <row r="150" spans="1:93" ht="13.5" x14ac:dyDescent="0.25">
      <c r="A150" s="59">
        <v>44713</v>
      </c>
      <c r="B150" s="74">
        <f t="shared" ref="B150:B213" si="56">690*$B$12</f>
        <v>690</v>
      </c>
      <c r="C150" s="74"/>
      <c r="D150" s="74">
        <f t="shared" si="43"/>
        <v>3</v>
      </c>
      <c r="E150" s="74"/>
      <c r="F150" s="74">
        <v>95</v>
      </c>
      <c r="G150" s="74"/>
      <c r="H150" s="74">
        <v>75</v>
      </c>
      <c r="I150" s="74"/>
      <c r="J150" s="74">
        <f t="shared" si="51"/>
        <v>153.30000000000001</v>
      </c>
      <c r="K150" s="74"/>
      <c r="L150" s="74">
        <v>90</v>
      </c>
      <c r="M150" s="74"/>
      <c r="N150" s="74">
        <f t="shared" si="41"/>
        <v>180</v>
      </c>
      <c r="O150" s="74">
        <v>120</v>
      </c>
      <c r="P150" s="60"/>
      <c r="Q150" s="74"/>
      <c r="R150" s="74">
        <v>75</v>
      </c>
      <c r="S150" s="74"/>
      <c r="T150" s="74"/>
      <c r="U150" s="74"/>
      <c r="V150" s="74"/>
      <c r="W150" s="74">
        <f t="shared" si="36"/>
        <v>20</v>
      </c>
      <c r="X150" s="74">
        <f t="shared" si="52"/>
        <v>0</v>
      </c>
      <c r="Y150" s="74"/>
      <c r="Z150" s="74"/>
      <c r="AA150" s="74"/>
      <c r="AB150" s="74"/>
      <c r="AC150" s="74"/>
      <c r="AD150" s="74"/>
      <c r="AE150" s="74">
        <f>55*$AE$12</f>
        <v>0.55000000000000004</v>
      </c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>
        <f t="shared" si="53"/>
        <v>1501.85</v>
      </c>
      <c r="AX150" s="74">
        <v>1947</v>
      </c>
      <c r="AY150" s="62">
        <f>'[1]D4 Gallon Forecast'!$N154/1000000</f>
        <v>0</v>
      </c>
      <c r="AZ150" s="62">
        <f>'[1]D4 Gallon Forecast'!$N186/1000000</f>
        <v>111.243334</v>
      </c>
      <c r="BA150" s="62">
        <f t="shared" si="39"/>
        <v>111.243334</v>
      </c>
      <c r="BB150" s="62">
        <f>'[1]D4 Gallon Forecast'!$N170/1000000</f>
        <v>0.43230600000000002</v>
      </c>
      <c r="BC150" s="63">
        <f>'[1]D4 Gallon Forecast'!$N346/1000000</f>
        <v>0.80226399999999998</v>
      </c>
      <c r="BD150" s="64">
        <f>'[1]D4 Gallon Forecast'!$N362/1000000</f>
        <v>0</v>
      </c>
      <c r="BE150" s="64">
        <f t="shared" si="40"/>
        <v>1.2345699999999999</v>
      </c>
      <c r="BF150" s="76">
        <f t="shared" si="54"/>
        <v>112.47790400000001</v>
      </c>
      <c r="BG150" s="77">
        <f t="shared" si="34"/>
        <v>0.68019343174776759</v>
      </c>
      <c r="BH150" s="74"/>
      <c r="BI150" s="75">
        <f>SUMIF($B$7:$AN$7,"Yes",B150:AN150)*0.25</f>
        <v>369.71249999999998</v>
      </c>
      <c r="BJ150" s="75">
        <f t="shared" si="50"/>
        <v>1577.2874999999999</v>
      </c>
      <c r="BK150" s="75">
        <f>'RD Feedstock Breakdown'!ES141</f>
        <v>923.91032310719027</v>
      </c>
      <c r="BL150" s="78">
        <f t="shared" ref="BL150:BL213" si="57">BK150/BF150</f>
        <v>8.2141495373810507</v>
      </c>
      <c r="BM150" s="78">
        <f t="shared" si="55"/>
        <v>8.3053095397805166</v>
      </c>
      <c r="BN150" s="69">
        <f t="shared" si="42"/>
        <v>0.18988828967642526</v>
      </c>
      <c r="BO150" s="79"/>
      <c r="BP150" s="69"/>
      <c r="BQ150" s="66">
        <f>'[1]Monthly D4 Gallon Data'!$B151/1000000</f>
        <v>142.855221</v>
      </c>
      <c r="BR150" s="66">
        <f>'[1]Monthly D6 Gallon Data'!$B153/1000000</f>
        <v>0</v>
      </c>
      <c r="BS150" s="66">
        <f t="shared" si="47"/>
        <v>142.855221</v>
      </c>
      <c r="BT150" s="60"/>
      <c r="BU150" s="67">
        <f>'[2]US EIA'!$P287</f>
        <v>1100.3121860233359</v>
      </c>
      <c r="BV150" s="68">
        <f t="shared" si="48"/>
        <v>7.7022889210562067</v>
      </c>
      <c r="BW150" s="60"/>
      <c r="BX150" s="69">
        <f t="shared" si="44"/>
        <v>0.44051434376170351</v>
      </c>
      <c r="BY150" s="69">
        <f t="shared" si="45"/>
        <v>0.5594856562382966</v>
      </c>
      <c r="BZ150" s="60"/>
      <c r="CA150" s="60"/>
      <c r="CB150" s="70">
        <f>'[1]Monthly D4 Gallon Data'!$AG151/1000000</f>
        <v>0.80226399999999998</v>
      </c>
      <c r="CC150" s="70">
        <f>'[1]Monthly D6 Gallon Data'!$O153/1000000</f>
        <v>0</v>
      </c>
      <c r="CD150" s="70">
        <f t="shared" si="49"/>
        <v>0.80226399999999998</v>
      </c>
      <c r="CE150" s="60"/>
      <c r="CF150" s="71">
        <f>'RD Feedstock Breakdown'!GQ141</f>
        <v>6.5899164644574704</v>
      </c>
      <c r="CG150" s="72">
        <f t="shared" si="46"/>
        <v>8.2141495373810507</v>
      </c>
      <c r="CH150" s="73">
        <f>'[2]US EIA'!$R287+AW150</f>
        <v>3724.85</v>
      </c>
    </row>
    <row r="151" spans="1:93" ht="13.5" x14ac:dyDescent="0.25">
      <c r="A151" s="59">
        <v>44743</v>
      </c>
      <c r="B151" s="74">
        <f t="shared" si="56"/>
        <v>690</v>
      </c>
      <c r="C151" s="74"/>
      <c r="D151" s="74">
        <f t="shared" si="43"/>
        <v>3</v>
      </c>
      <c r="E151" s="74">
        <v>5</v>
      </c>
      <c r="F151" s="74">
        <v>95</v>
      </c>
      <c r="G151" s="74"/>
      <c r="H151" s="74">
        <v>75</v>
      </c>
      <c r="I151" s="74"/>
      <c r="J151" s="74">
        <f t="shared" si="51"/>
        <v>153.30000000000001</v>
      </c>
      <c r="K151" s="74"/>
      <c r="L151" s="74">
        <v>125</v>
      </c>
      <c r="M151" s="74"/>
      <c r="N151" s="74">
        <f t="shared" si="41"/>
        <v>180</v>
      </c>
      <c r="O151" s="74">
        <v>120</v>
      </c>
      <c r="P151" s="60"/>
      <c r="Q151" s="74"/>
      <c r="R151" s="74">
        <v>100</v>
      </c>
      <c r="S151" s="74"/>
      <c r="T151" s="74"/>
      <c r="U151" s="74"/>
      <c r="V151" s="74"/>
      <c r="W151" s="74">
        <f t="shared" si="36"/>
        <v>20</v>
      </c>
      <c r="X151" s="74">
        <f t="shared" si="52"/>
        <v>0</v>
      </c>
      <c r="Y151" s="74"/>
      <c r="Z151" s="74"/>
      <c r="AA151" s="74"/>
      <c r="AB151" s="74"/>
      <c r="AC151" s="74"/>
      <c r="AD151" s="74"/>
      <c r="AE151" s="74">
        <f t="shared" ref="AE151:AE173" si="58">55*$AE$12</f>
        <v>0.55000000000000004</v>
      </c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>
        <f t="shared" si="53"/>
        <v>1566.85</v>
      </c>
      <c r="AX151" s="74">
        <v>2174</v>
      </c>
      <c r="AY151" s="62">
        <f>'[1]D4 Gallon Forecast'!$N155/1000000</f>
        <v>0</v>
      </c>
      <c r="AZ151" s="62">
        <f>'[1]D4 Gallon Forecast'!$N187/1000000</f>
        <v>103.822288</v>
      </c>
      <c r="BA151" s="62">
        <f t="shared" si="39"/>
        <v>103.822288</v>
      </c>
      <c r="BB151" s="62">
        <f>'[1]D4 Gallon Forecast'!$N171/1000000</f>
        <v>0.36651899999999998</v>
      </c>
      <c r="BC151" s="63">
        <f>'[1]D4 Gallon Forecast'!$N347/1000000</f>
        <v>1.1379729999999999</v>
      </c>
      <c r="BD151" s="64">
        <f>'[1]D4 Gallon Forecast'!$N363/1000000</f>
        <v>0</v>
      </c>
      <c r="BE151" s="64">
        <f t="shared" si="40"/>
        <v>1.5044919999999999</v>
      </c>
      <c r="BF151" s="76">
        <f t="shared" si="54"/>
        <v>105.32678</v>
      </c>
      <c r="BG151" s="77">
        <f t="shared" si="34"/>
        <v>0.58945530052131245</v>
      </c>
      <c r="BH151" s="74">
        <v>2012</v>
      </c>
      <c r="BI151" s="75">
        <f>SUMIF($B$7:$AN$7,"Yes",B151:AN151)*0.25</f>
        <v>385.96249999999998</v>
      </c>
      <c r="BJ151" s="75">
        <f t="shared" si="50"/>
        <v>1788.0374999999999</v>
      </c>
      <c r="BK151" s="75">
        <f>'RD Feedstock Breakdown'!ES142</f>
        <v>873.41178752895098</v>
      </c>
      <c r="BL151" s="78">
        <f t="shared" si="57"/>
        <v>8.2923999720579236</v>
      </c>
      <c r="BM151" s="78">
        <f t="shared" si="55"/>
        <v>8.4125653976047126</v>
      </c>
      <c r="BN151" s="69">
        <f t="shared" si="42"/>
        <v>0.17753564857405701</v>
      </c>
      <c r="BO151" s="69"/>
      <c r="BP151" s="69"/>
      <c r="BQ151" s="66">
        <f>'[1]Monthly D4 Gallon Data'!$B152/1000000</f>
        <v>137.54586599999999</v>
      </c>
      <c r="BR151" s="66">
        <f>'[1]Monthly D6 Gallon Data'!$B154/1000000</f>
        <v>0</v>
      </c>
      <c r="BS151" s="66">
        <f t="shared" si="47"/>
        <v>137.54586599999999</v>
      </c>
      <c r="BT151" s="60"/>
      <c r="BU151" s="67">
        <f>'[2]US EIA'!$P288</f>
        <v>1197.5608419021528</v>
      </c>
      <c r="BV151" s="68">
        <f t="shared" si="48"/>
        <v>8.7066291174621924</v>
      </c>
      <c r="BW151" s="60"/>
      <c r="BX151" s="69">
        <f t="shared" si="44"/>
        <v>0.43367082186768785</v>
      </c>
      <c r="BY151" s="69">
        <f t="shared" si="45"/>
        <v>0.56632917813231221</v>
      </c>
      <c r="BZ151" s="60"/>
      <c r="CA151" s="60"/>
      <c r="CB151" s="70">
        <f>'[1]Monthly D4 Gallon Data'!$AG152/1000000</f>
        <v>1.1379729999999999</v>
      </c>
      <c r="CC151" s="70">
        <f>'[1]Monthly D6 Gallon Data'!$O154/1000000</f>
        <v>0</v>
      </c>
      <c r="CD151" s="70">
        <f t="shared" si="49"/>
        <v>1.1379729999999999</v>
      </c>
      <c r="CE151" s="60"/>
      <c r="CF151" s="71">
        <f>'RD Feedstock Breakdown'!GQ142</f>
        <v>9.4365272734026711</v>
      </c>
      <c r="CG151" s="72">
        <f t="shared" si="46"/>
        <v>8.2923999720579236</v>
      </c>
      <c r="CH151" s="73">
        <f>'[2]US EIA'!$R288+AW151</f>
        <v>3663.85</v>
      </c>
    </row>
    <row r="152" spans="1:93" ht="13.5" x14ac:dyDescent="0.25">
      <c r="A152" s="59">
        <v>44774</v>
      </c>
      <c r="B152" s="74">
        <f t="shared" si="56"/>
        <v>690</v>
      </c>
      <c r="C152" s="74"/>
      <c r="D152" s="74">
        <f t="shared" si="43"/>
        <v>3</v>
      </c>
      <c r="E152" s="74">
        <v>15</v>
      </c>
      <c r="F152" s="74">
        <v>95</v>
      </c>
      <c r="G152" s="74"/>
      <c r="H152" s="74">
        <v>75</v>
      </c>
      <c r="I152" s="74"/>
      <c r="J152" s="74">
        <f t="shared" si="51"/>
        <v>153.30000000000001</v>
      </c>
      <c r="K152" s="74"/>
      <c r="L152" s="74">
        <v>125</v>
      </c>
      <c r="M152" s="74"/>
      <c r="N152" s="74">
        <f t="shared" si="41"/>
        <v>180</v>
      </c>
      <c r="O152" s="74">
        <v>120</v>
      </c>
      <c r="P152" s="60"/>
      <c r="Q152" s="74"/>
      <c r="R152" s="74">
        <v>100</v>
      </c>
      <c r="S152" s="74"/>
      <c r="T152" s="74"/>
      <c r="U152" s="74"/>
      <c r="V152" s="74"/>
      <c r="W152" s="74">
        <f t="shared" si="36"/>
        <v>20</v>
      </c>
      <c r="X152" s="74">
        <f t="shared" si="52"/>
        <v>0</v>
      </c>
      <c r="Y152" s="74"/>
      <c r="Z152" s="74"/>
      <c r="AA152" s="74"/>
      <c r="AB152" s="74"/>
      <c r="AC152" s="74"/>
      <c r="AD152" s="74"/>
      <c r="AE152" s="74">
        <f t="shared" si="58"/>
        <v>0.55000000000000004</v>
      </c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>
        <f t="shared" si="53"/>
        <v>1576.85</v>
      </c>
      <c r="AX152" s="74">
        <v>2219</v>
      </c>
      <c r="AY152" s="62">
        <f>'[1]D4 Gallon Forecast'!$N156/1000000</f>
        <v>0</v>
      </c>
      <c r="AZ152" s="62">
        <f>'[1]D4 Gallon Forecast'!$N188/1000000</f>
        <v>114.997212</v>
      </c>
      <c r="BA152" s="62">
        <f t="shared" si="39"/>
        <v>114.997212</v>
      </c>
      <c r="BB152" s="62">
        <f>'[1]D4 Gallon Forecast'!$N172/1000000</f>
        <v>0</v>
      </c>
      <c r="BC152" s="63">
        <f>'[1]D4 Gallon Forecast'!$N348/1000000</f>
        <v>0.39256799999999997</v>
      </c>
      <c r="BD152" s="64">
        <f>'[1]D4 Gallon Forecast'!$N364/1000000</f>
        <v>0</v>
      </c>
      <c r="BE152" s="64">
        <f t="shared" si="40"/>
        <v>0.39256799999999997</v>
      </c>
      <c r="BF152" s="76">
        <f t="shared" si="54"/>
        <v>115.38978</v>
      </c>
      <c r="BG152" s="77">
        <f t="shared" ref="BG152:BG215" si="59">(BF152/(A152-A151)*365)/AX152</f>
        <v>0.61226750934015617</v>
      </c>
      <c r="BH152" s="74"/>
      <c r="BI152" s="75">
        <f>SUMIF($B$7:$AN$7,"Yes",B152:AN152)*0.25</f>
        <v>388.46249999999998</v>
      </c>
      <c r="BJ152" s="75">
        <f t="shared" si="50"/>
        <v>1830.5374999999999</v>
      </c>
      <c r="BK152" s="75">
        <f>'RD Feedstock Breakdown'!ES143</f>
        <v>948.89766968431502</v>
      </c>
      <c r="BL152" s="78">
        <f t="shared" si="57"/>
        <v>8.2234117240219629</v>
      </c>
      <c r="BM152" s="78">
        <f t="shared" si="55"/>
        <v>8.2514841288875331</v>
      </c>
      <c r="BN152" s="69">
        <f t="shared" si="42"/>
        <v>0.17506196484903108</v>
      </c>
      <c r="BO152" s="69"/>
      <c r="BP152" s="69"/>
      <c r="BQ152" s="66">
        <f>'[1]Monthly D4 Gallon Data'!$B153/1000000</f>
        <v>151.83311800000001</v>
      </c>
      <c r="BR152" s="66">
        <f>'[1]Monthly D6 Gallon Data'!$B155/1000000</f>
        <v>0</v>
      </c>
      <c r="BS152" s="66">
        <f t="shared" si="47"/>
        <v>151.83311800000001</v>
      </c>
      <c r="BT152" s="60"/>
      <c r="BU152" s="67">
        <f>'[2]US EIA'!$P289</f>
        <v>1199.9937980129771</v>
      </c>
      <c r="BV152" s="68">
        <f t="shared" si="48"/>
        <v>7.9033732154073064</v>
      </c>
      <c r="BW152" s="60"/>
      <c r="BX152" s="69">
        <f t="shared" si="44"/>
        <v>0.43181097452210104</v>
      </c>
      <c r="BY152" s="69">
        <f t="shared" si="45"/>
        <v>0.56818902547789907</v>
      </c>
      <c r="BZ152" s="60"/>
      <c r="CA152" s="60"/>
      <c r="CB152" s="70">
        <f>'[1]Monthly D4 Gallon Data'!$AG153/1000000</f>
        <v>0.39256799999999997</v>
      </c>
      <c r="CC152" s="70">
        <f>'[1]Monthly D6 Gallon Data'!$O155/1000000</f>
        <v>0</v>
      </c>
      <c r="CD152" s="70">
        <f t="shared" si="49"/>
        <v>0.39256799999999997</v>
      </c>
      <c r="CE152" s="60"/>
      <c r="CF152" s="71">
        <f>'RD Feedstock Breakdown'!GQ143</f>
        <v>3.2282482936758532</v>
      </c>
      <c r="CG152" s="72">
        <f t="shared" si="46"/>
        <v>8.2234117240219611</v>
      </c>
      <c r="CH152" s="73">
        <f>'[2]US EIA'!$R289+AW152</f>
        <v>3668.85</v>
      </c>
    </row>
    <row r="153" spans="1:93" ht="13.5" x14ac:dyDescent="0.25">
      <c r="A153" s="59">
        <v>44805</v>
      </c>
      <c r="B153" s="74">
        <f t="shared" si="56"/>
        <v>690</v>
      </c>
      <c r="C153" s="74"/>
      <c r="D153" s="74">
        <f t="shared" si="43"/>
        <v>3</v>
      </c>
      <c r="E153" s="74">
        <v>15</v>
      </c>
      <c r="F153" s="74">
        <v>95</v>
      </c>
      <c r="G153" s="74"/>
      <c r="H153" s="74">
        <v>75</v>
      </c>
      <c r="I153" s="74"/>
      <c r="J153" s="74">
        <f t="shared" si="51"/>
        <v>153.30000000000001</v>
      </c>
      <c r="K153" s="74">
        <v>25</v>
      </c>
      <c r="L153" s="74">
        <v>125</v>
      </c>
      <c r="M153" s="74"/>
      <c r="N153" s="74">
        <f t="shared" si="41"/>
        <v>180</v>
      </c>
      <c r="O153" s="74">
        <v>120</v>
      </c>
      <c r="P153" s="60"/>
      <c r="Q153" s="74"/>
      <c r="R153" s="74">
        <v>100</v>
      </c>
      <c r="S153" s="74"/>
      <c r="T153" s="74"/>
      <c r="U153" s="74"/>
      <c r="V153" s="74"/>
      <c r="W153" s="74">
        <f t="shared" si="36"/>
        <v>20</v>
      </c>
      <c r="X153" s="74">
        <f t="shared" si="52"/>
        <v>0</v>
      </c>
      <c r="Y153" s="74"/>
      <c r="Z153" s="74"/>
      <c r="AA153" s="74"/>
      <c r="AB153" s="74"/>
      <c r="AC153" s="80"/>
      <c r="AD153" s="74"/>
      <c r="AE153" s="74">
        <f t="shared" si="58"/>
        <v>0.55000000000000004</v>
      </c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>
        <f t="shared" si="53"/>
        <v>1601.85</v>
      </c>
      <c r="AX153" s="74">
        <v>2219</v>
      </c>
      <c r="AY153" s="62">
        <f>'[1]D4 Gallon Forecast'!$N157/1000000</f>
        <v>0</v>
      </c>
      <c r="AZ153" s="62">
        <f>'[1]D4 Gallon Forecast'!$N189/1000000</f>
        <v>118.717748</v>
      </c>
      <c r="BA153" s="62">
        <f t="shared" si="39"/>
        <v>118.717748</v>
      </c>
      <c r="BB153" s="62">
        <f>'[1]D4 Gallon Forecast'!$N173/1000000</f>
        <v>0</v>
      </c>
      <c r="BC153" s="63">
        <f>'[1]D4 Gallon Forecast'!$N349/1000000</f>
        <v>0.393571</v>
      </c>
      <c r="BD153" s="64">
        <f>'[1]D4 Gallon Forecast'!$N365/1000000</f>
        <v>0</v>
      </c>
      <c r="BE153" s="64">
        <f t="shared" si="40"/>
        <v>0.393571</v>
      </c>
      <c r="BF153" s="76">
        <f t="shared" si="54"/>
        <v>119.11131899999999</v>
      </c>
      <c r="BG153" s="77">
        <f t="shared" si="59"/>
        <v>0.63201429639913353</v>
      </c>
      <c r="BH153" s="74"/>
      <c r="BI153" s="75">
        <f>SUMIF($B$7:$AN$7,"Yes",B153:AN153)*0.25</f>
        <v>394.71249999999998</v>
      </c>
      <c r="BJ153" s="75">
        <f t="shared" si="50"/>
        <v>1824.2874999999999</v>
      </c>
      <c r="BK153" s="75">
        <f>'RD Feedstock Breakdown'!ES144</f>
        <v>976.80356886944685</v>
      </c>
      <c r="BL153" s="78">
        <f t="shared" si="57"/>
        <v>8.2007619180965232</v>
      </c>
      <c r="BM153" s="78">
        <f t="shared" si="55"/>
        <v>8.227948940451995</v>
      </c>
      <c r="BN153" s="69">
        <f t="shared" si="42"/>
        <v>0.17787854889589905</v>
      </c>
      <c r="BO153" s="69"/>
      <c r="BP153" s="69"/>
      <c r="BQ153" s="66">
        <f>'[1]Monthly D4 Gallon Data'!$B154/1000000</f>
        <v>141.86094499999999</v>
      </c>
      <c r="BR153" s="66">
        <f>'[1]Monthly D6 Gallon Data'!$B156/1000000</f>
        <v>0</v>
      </c>
      <c r="BS153" s="66">
        <f t="shared" si="47"/>
        <v>141.86094499999999</v>
      </c>
      <c r="BT153" s="60"/>
      <c r="BU153" s="67">
        <f>'[2]US EIA'!$P290</f>
        <v>1127.0133168606978</v>
      </c>
      <c r="BV153" s="68">
        <f t="shared" si="48"/>
        <v>7.9444932279331564</v>
      </c>
      <c r="BW153" s="60"/>
      <c r="BX153" s="69">
        <f t="shared" si="44"/>
        <v>0.45641370915952967</v>
      </c>
      <c r="BY153" s="69">
        <f t="shared" si="45"/>
        <v>0.54358629084047028</v>
      </c>
      <c r="BZ153" s="60"/>
      <c r="CA153" s="60"/>
      <c r="CB153" s="70">
        <f>'[1]Monthly D4 Gallon Data'!$AG154/1000000</f>
        <v>0.393571</v>
      </c>
      <c r="CC153" s="70">
        <f>'[1]Monthly D6 Gallon Data'!$O156/1000000</f>
        <v>0</v>
      </c>
      <c r="CD153" s="70">
        <f t="shared" si="49"/>
        <v>0.393571</v>
      </c>
      <c r="CE153" s="60"/>
      <c r="CF153" s="71">
        <f>'RD Feedstock Breakdown'!GQ144</f>
        <v>3.2275820688671666</v>
      </c>
      <c r="CG153" s="72">
        <f>CF153/CB153</f>
        <v>8.2007619180965232</v>
      </c>
      <c r="CH153" s="73">
        <f>'[2]US EIA'!$R290+AW153</f>
        <v>3693.85</v>
      </c>
    </row>
    <row r="154" spans="1:93" ht="13.5" x14ac:dyDescent="0.25">
      <c r="A154" s="59">
        <v>44835</v>
      </c>
      <c r="B154" s="74">
        <f t="shared" si="56"/>
        <v>690</v>
      </c>
      <c r="C154" s="74">
        <v>180</v>
      </c>
      <c r="D154" s="74">
        <f t="shared" si="43"/>
        <v>3</v>
      </c>
      <c r="E154" s="74">
        <v>15</v>
      </c>
      <c r="F154" s="74">
        <v>95</v>
      </c>
      <c r="G154" s="74"/>
      <c r="H154" s="74">
        <v>75</v>
      </c>
      <c r="I154" s="74"/>
      <c r="J154" s="74">
        <f t="shared" si="51"/>
        <v>153.30000000000001</v>
      </c>
      <c r="K154" s="74">
        <v>25</v>
      </c>
      <c r="L154" s="74">
        <v>125</v>
      </c>
      <c r="M154" s="74"/>
      <c r="N154" s="74">
        <f t="shared" si="41"/>
        <v>180</v>
      </c>
      <c r="O154" s="74">
        <v>120</v>
      </c>
      <c r="P154" s="60"/>
      <c r="Q154" s="74"/>
      <c r="R154" s="74">
        <v>100</v>
      </c>
      <c r="S154" s="74"/>
      <c r="T154" s="74"/>
      <c r="U154" s="74"/>
      <c r="V154" s="74"/>
      <c r="W154" s="74">
        <f t="shared" si="36"/>
        <v>20</v>
      </c>
      <c r="X154" s="74">
        <f t="shared" si="52"/>
        <v>0</v>
      </c>
      <c r="Y154" s="74"/>
      <c r="Z154" s="74"/>
      <c r="AA154" s="74"/>
      <c r="AB154" s="74"/>
      <c r="AC154" s="74"/>
      <c r="AD154" s="74"/>
      <c r="AE154" s="74">
        <f t="shared" si="58"/>
        <v>0.55000000000000004</v>
      </c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>
        <f t="shared" si="53"/>
        <v>1781.85</v>
      </c>
      <c r="AX154" s="74">
        <v>2219</v>
      </c>
      <c r="AY154" s="62">
        <f>'[1]D4 Gallon Forecast'!$N158/1000000</f>
        <v>0</v>
      </c>
      <c r="AZ154" s="62">
        <f>'[1]D4 Gallon Forecast'!$N190/1000000</f>
        <v>107.31965599999999</v>
      </c>
      <c r="BA154" s="62">
        <f t="shared" si="39"/>
        <v>107.31965599999999</v>
      </c>
      <c r="BB154" s="62">
        <f>'[1]D4 Gallon Forecast'!$N174/1000000</f>
        <v>0.66917700000000002</v>
      </c>
      <c r="BC154" s="63">
        <f>'[1]D4 Gallon Forecast'!$N350/1000000</f>
        <v>1.7646310000000001</v>
      </c>
      <c r="BD154" s="64">
        <f>'[1]D4 Gallon Forecast'!$N366/1000000</f>
        <v>0</v>
      </c>
      <c r="BE154" s="64">
        <f t="shared" si="40"/>
        <v>2.433808</v>
      </c>
      <c r="BF154" s="76">
        <f t="shared" si="54"/>
        <v>109.75346399999999</v>
      </c>
      <c r="BG154" s="77">
        <f t="shared" si="59"/>
        <v>0.60177278593961248</v>
      </c>
      <c r="BH154" s="74"/>
      <c r="BI154" s="75">
        <f>SUMIF($B$7:$AN$7,"Yes",B154:AN154)*0.5</f>
        <v>879.42499999999995</v>
      </c>
      <c r="BJ154" s="75">
        <f t="shared" si="50"/>
        <v>1339.575</v>
      </c>
      <c r="BK154" s="75">
        <f>'RD Feedstock Breakdown'!ES145</f>
        <v>916.68997176478842</v>
      </c>
      <c r="BL154" s="78">
        <f t="shared" si="57"/>
        <v>8.3522645969952123</v>
      </c>
      <c r="BM154" s="78">
        <f t="shared" si="55"/>
        <v>8.5416782529081949</v>
      </c>
      <c r="BN154" s="69">
        <f t="shared" si="42"/>
        <v>0.3963159080666967</v>
      </c>
      <c r="BO154" s="69"/>
      <c r="BP154" s="69"/>
      <c r="BQ154" s="66">
        <f>'[1]Monthly D4 Gallon Data'!$B155/1000000</f>
        <v>138.04023000000001</v>
      </c>
      <c r="BR154" s="66">
        <f>'[1]Monthly D6 Gallon Data'!$B157/1000000</f>
        <v>0</v>
      </c>
      <c r="BS154" s="66">
        <f t="shared" si="47"/>
        <v>138.04023000000001</v>
      </c>
      <c r="BT154" s="60"/>
      <c r="BU154" s="67">
        <f>'[2]US EIA'!$P291</f>
        <v>1181.4359047020864</v>
      </c>
      <c r="BV154" s="68">
        <f t="shared" si="48"/>
        <v>8.5586347161409861</v>
      </c>
      <c r="BW154" s="60"/>
      <c r="BX154" s="69">
        <f t="shared" si="44"/>
        <v>0.44292274846994284</v>
      </c>
      <c r="BY154" s="69">
        <f t="shared" si="45"/>
        <v>0.55707725153005705</v>
      </c>
      <c r="BZ154" s="60"/>
      <c r="CA154" s="60"/>
      <c r="CB154" s="70">
        <f>'[1]Monthly D4 Gallon Data'!$AG155/1000000</f>
        <v>1.7646310000000001</v>
      </c>
      <c r="CC154" s="70">
        <f>'[1]Monthly D6 Gallon Data'!$O157/1000000</f>
        <v>0</v>
      </c>
      <c r="CD154" s="70">
        <f t="shared" si="49"/>
        <v>1.7646310000000001</v>
      </c>
      <c r="CE154" s="60"/>
      <c r="CF154" s="71">
        <f>'RD Feedstock Breakdown'!GQ145</f>
        <v>14.738665028060259</v>
      </c>
      <c r="CG154" s="72">
        <f>CF154/CB154</f>
        <v>8.3522645969952123</v>
      </c>
      <c r="CH154" s="73">
        <f>'[2]US EIA'!$R291+AW154</f>
        <v>3873.85</v>
      </c>
    </row>
    <row r="155" spans="1:93" ht="14.1" customHeight="1" x14ac:dyDescent="0.25">
      <c r="A155" s="59">
        <v>44866</v>
      </c>
      <c r="B155" s="74">
        <f t="shared" si="56"/>
        <v>690</v>
      </c>
      <c r="C155" s="74">
        <v>264</v>
      </c>
      <c r="D155" s="74">
        <f t="shared" si="43"/>
        <v>3</v>
      </c>
      <c r="E155" s="74">
        <f t="shared" ref="E155:E218" si="60">$E$5*$E$12</f>
        <v>85</v>
      </c>
      <c r="F155" s="74">
        <v>95</v>
      </c>
      <c r="G155" s="74"/>
      <c r="H155" s="74">
        <v>75</v>
      </c>
      <c r="I155" s="74"/>
      <c r="J155" s="74">
        <f t="shared" si="51"/>
        <v>153.30000000000001</v>
      </c>
      <c r="K155" s="74">
        <v>50</v>
      </c>
      <c r="L155" s="74">
        <v>125</v>
      </c>
      <c r="M155" s="74"/>
      <c r="N155" s="74">
        <f t="shared" si="41"/>
        <v>180</v>
      </c>
      <c r="O155" s="74">
        <v>120</v>
      </c>
      <c r="P155" s="60"/>
      <c r="Q155" s="74"/>
      <c r="R155" s="74">
        <v>100</v>
      </c>
      <c r="S155" s="74"/>
      <c r="T155" s="74"/>
      <c r="U155" s="74"/>
      <c r="V155" s="74"/>
      <c r="W155" s="74">
        <f t="shared" si="36"/>
        <v>20</v>
      </c>
      <c r="X155" s="74">
        <f t="shared" si="52"/>
        <v>0</v>
      </c>
      <c r="Y155" s="74"/>
      <c r="Z155" s="74"/>
      <c r="AA155" s="74"/>
      <c r="AB155" s="74"/>
      <c r="AC155" s="74"/>
      <c r="AD155" s="74"/>
      <c r="AE155" s="74">
        <f t="shared" si="58"/>
        <v>0.55000000000000004</v>
      </c>
      <c r="AF155" s="74">
        <v>50</v>
      </c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>
        <f t="shared" si="53"/>
        <v>2010.85</v>
      </c>
      <c r="AX155" s="74">
        <v>2755</v>
      </c>
      <c r="AY155" s="62">
        <f>'[1]D4 Gallon Forecast'!$N159/1000000</f>
        <v>0</v>
      </c>
      <c r="AZ155" s="62">
        <f>'[1]D4 Gallon Forecast'!$N191/1000000</f>
        <v>149.57606899999999</v>
      </c>
      <c r="BA155" s="62">
        <f t="shared" si="39"/>
        <v>149.57606899999999</v>
      </c>
      <c r="BB155" s="62">
        <f>'[1]D4 Gallon Forecast'!$N175/1000000</f>
        <v>14.109311</v>
      </c>
      <c r="BC155" s="63">
        <f>'[1]D4 Gallon Forecast'!$N351/1000000</f>
        <v>0.152226</v>
      </c>
      <c r="BD155" s="64">
        <f>'[1]D4 Gallon Forecast'!$N367/1000000</f>
        <v>0</v>
      </c>
      <c r="BE155" s="64">
        <f>BD155+BC155+BB155</f>
        <v>14.261537000000001</v>
      </c>
      <c r="BF155" s="76">
        <f t="shared" si="54"/>
        <v>163.83760599999999</v>
      </c>
      <c r="BG155" s="77">
        <f t="shared" si="59"/>
        <v>0.70020170001756332</v>
      </c>
      <c r="BH155" s="74"/>
      <c r="BI155" s="75">
        <f>SUMIF($B$7:$AN$7,"Yes",B155:AN155)*0.55</f>
        <v>1093.3175000000001</v>
      </c>
      <c r="BJ155" s="75">
        <f t="shared" si="50"/>
        <v>1661.6824999999999</v>
      </c>
      <c r="BK155" s="75">
        <f>'RD Feedstock Breakdown'!ES146</f>
        <v>1339.2090706909644</v>
      </c>
      <c r="BL155" s="78">
        <f t="shared" si="57"/>
        <v>8.1740029251340776</v>
      </c>
      <c r="BM155" s="78">
        <f t="shared" si="55"/>
        <v>8.9533645297963034</v>
      </c>
      <c r="BN155" s="69">
        <f t="shared" si="42"/>
        <v>0.3968484573502723</v>
      </c>
      <c r="BO155" s="69"/>
      <c r="BP155" s="69"/>
      <c r="BQ155" s="66">
        <f>'[1]Monthly D4 Gallon Data'!$B156/1000000</f>
        <v>141.29557600000001</v>
      </c>
      <c r="BR155" s="66">
        <f>'[1]Monthly D6 Gallon Data'!$B158/1000000</f>
        <v>0</v>
      </c>
      <c r="BS155" s="66">
        <f t="shared" si="47"/>
        <v>141.29557600000001</v>
      </c>
      <c r="BT155" s="60"/>
      <c r="BU155" s="67">
        <f>'[2]US EIA'!$P292</f>
        <v>1122.971731781553</v>
      </c>
      <c r="BV155" s="68">
        <f t="shared" si="48"/>
        <v>7.9476779356598746</v>
      </c>
      <c r="BW155" s="60"/>
      <c r="BX155" s="69">
        <f t="shared" si="44"/>
        <v>0.53693801810122366</v>
      </c>
      <c r="BY155" s="69">
        <f t="shared" si="45"/>
        <v>0.46306198189877623</v>
      </c>
      <c r="BZ155" s="60"/>
      <c r="CA155" s="60"/>
      <c r="CB155" s="70">
        <f>'[1]Monthly D4 Gallon Data'!$AG156/1000000</f>
        <v>0.152226</v>
      </c>
      <c r="CC155" s="70">
        <f>'[1]Monthly D6 Gallon Data'!$O158/1000000</f>
        <v>0</v>
      </c>
      <c r="CD155" s="70">
        <f t="shared" si="49"/>
        <v>0.152226</v>
      </c>
      <c r="CE155" s="60"/>
      <c r="CF155" s="71">
        <f>'RD Feedstock Breakdown'!GQ146</f>
        <v>1.2442957692814602</v>
      </c>
      <c r="CG155" s="72">
        <f>CF155/CB155</f>
        <v>8.1740029251340793</v>
      </c>
      <c r="CH155" s="73">
        <f>'[2]US EIA'!$R292+AW155</f>
        <v>4102.8500000000004</v>
      </c>
    </row>
    <row r="156" spans="1:93" ht="13.5" x14ac:dyDescent="0.25">
      <c r="A156" s="59">
        <v>44896</v>
      </c>
      <c r="B156" s="74">
        <f t="shared" si="56"/>
        <v>690</v>
      </c>
      <c r="C156" s="74">
        <v>360</v>
      </c>
      <c r="D156" s="74">
        <f t="shared" si="43"/>
        <v>3</v>
      </c>
      <c r="E156" s="74">
        <f t="shared" si="60"/>
        <v>85</v>
      </c>
      <c r="F156" s="74">
        <v>95</v>
      </c>
      <c r="G156" s="74"/>
      <c r="H156" s="74">
        <v>75</v>
      </c>
      <c r="I156" s="74"/>
      <c r="J156" s="74">
        <f t="shared" si="51"/>
        <v>153.30000000000001</v>
      </c>
      <c r="K156" s="74">
        <f>125*$K$12</f>
        <v>125</v>
      </c>
      <c r="L156" s="74">
        <v>125</v>
      </c>
      <c r="M156" s="74"/>
      <c r="N156" s="74">
        <f t="shared" si="41"/>
        <v>180</v>
      </c>
      <c r="O156" s="74">
        <v>120</v>
      </c>
      <c r="P156" s="60"/>
      <c r="Q156" s="74"/>
      <c r="R156" s="74">
        <v>100</v>
      </c>
      <c r="S156" s="74"/>
      <c r="T156" s="74"/>
      <c r="U156" s="74">
        <v>5</v>
      </c>
      <c r="V156" s="74"/>
      <c r="W156" s="74">
        <f t="shared" si="36"/>
        <v>20</v>
      </c>
      <c r="X156" s="74">
        <f t="shared" si="52"/>
        <v>0</v>
      </c>
      <c r="Y156" s="74"/>
      <c r="Z156" s="74"/>
      <c r="AA156" s="74"/>
      <c r="AB156" s="74"/>
      <c r="AC156" s="80"/>
      <c r="AD156" s="74"/>
      <c r="AE156" s="74">
        <f t="shared" si="58"/>
        <v>0.55000000000000004</v>
      </c>
      <c r="AF156" s="74">
        <v>60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>
        <f>AX156-AX144</f>
        <v>1833</v>
      </c>
      <c r="AW156" s="74">
        <f t="shared" si="53"/>
        <v>2196.8500000000004</v>
      </c>
      <c r="AX156" s="74">
        <v>2939</v>
      </c>
      <c r="AY156" s="62">
        <f>'[1]D4 Gallon Forecast'!$N160/1000000</f>
        <v>0</v>
      </c>
      <c r="AZ156" s="62">
        <f>'[1]D4 Gallon Forecast'!$N192/1000000</f>
        <v>121.63346900000001</v>
      </c>
      <c r="BA156" s="62">
        <f t="shared" si="39"/>
        <v>121.63346900000001</v>
      </c>
      <c r="BB156" s="62">
        <f>'[1]D4 Gallon Forecast'!$N176/1000000</f>
        <v>22.953301</v>
      </c>
      <c r="BC156" s="63">
        <f>'[1]D4 Gallon Forecast'!$N352/1000000</f>
        <v>0.10055500000000001</v>
      </c>
      <c r="BD156" s="64">
        <f>'[1]D4 Gallon Forecast'!$N368/1000000</f>
        <v>0</v>
      </c>
      <c r="BE156" s="64">
        <f t="shared" si="40"/>
        <v>23.053856</v>
      </c>
      <c r="BF156" s="76">
        <f t="shared" si="54"/>
        <v>144.68732500000002</v>
      </c>
      <c r="BG156" s="77">
        <f t="shared" si="59"/>
        <v>0.59896646960417388</v>
      </c>
      <c r="BH156" s="77">
        <f>AVERAGE(BG145:BG156)</f>
        <v>0.6537883861345094</v>
      </c>
      <c r="BI156" s="75">
        <f>SUMIF($B$7:$AN$7,"Yes",B156:AN156)*0.6</f>
        <v>1301.3100000000002</v>
      </c>
      <c r="BJ156" s="75">
        <f t="shared" si="50"/>
        <v>1637.6899999999998</v>
      </c>
      <c r="BK156" s="75">
        <f>'RD Feedstock Breakdown'!ES147</f>
        <v>1186.4484718638932</v>
      </c>
      <c r="BL156" s="78">
        <f t="shared" si="57"/>
        <v>8.200085749486993</v>
      </c>
      <c r="BM156" s="78">
        <f t="shared" si="55"/>
        <v>9.7542928078775191</v>
      </c>
      <c r="BN156" s="69">
        <f t="shared" si="42"/>
        <v>0.44277305205852335</v>
      </c>
      <c r="BO156" s="69"/>
      <c r="BP156" s="69"/>
      <c r="BQ156" s="66">
        <f>'[1]Monthly D4 Gallon Data'!$B157/1000000</f>
        <v>145.59140099999999</v>
      </c>
      <c r="BR156" s="66">
        <f>'[1]Monthly D6 Gallon Data'!$B159/1000000</f>
        <v>0</v>
      </c>
      <c r="BS156" s="66">
        <f t="shared" si="47"/>
        <v>145.59140099999999</v>
      </c>
      <c r="BT156" s="60"/>
      <c r="BU156" s="67">
        <f>'[2]US EIA'!$P293</f>
        <v>1099.8245384403133</v>
      </c>
      <c r="BV156" s="68">
        <f t="shared" si="48"/>
        <v>7.5541861049905918</v>
      </c>
      <c r="BW156" s="60"/>
      <c r="BX156" s="69">
        <f t="shared" si="44"/>
        <v>0.49844274499123997</v>
      </c>
      <c r="BY156" s="69">
        <f t="shared" si="45"/>
        <v>0.50155725500876003</v>
      </c>
      <c r="BZ156" s="60"/>
      <c r="CA156" s="60"/>
      <c r="CB156" s="70">
        <f>'[1]Monthly D4 Gallon Data'!$AG157/1000000</f>
        <v>0.10055500000000001</v>
      </c>
      <c r="CC156" s="70">
        <f>'[1]Monthly D6 Gallon Data'!$O159/1000000</f>
        <v>0</v>
      </c>
      <c r="CD156" s="70">
        <f t="shared" si="49"/>
        <v>0.10055500000000001</v>
      </c>
      <c r="CE156" s="60"/>
      <c r="CF156" s="71">
        <f>'RD Feedstock Breakdown'!GQ147</f>
        <v>0.82455962253966464</v>
      </c>
      <c r="CG156" s="72">
        <f>CF156/CB156</f>
        <v>8.200085749486993</v>
      </c>
      <c r="CH156" s="73">
        <f>'[2]US EIA'!$R293+AW156</f>
        <v>4286.8500000000004</v>
      </c>
    </row>
    <row r="157" spans="1:93" ht="13.5" x14ac:dyDescent="0.25">
      <c r="A157" s="59">
        <v>44927</v>
      </c>
      <c r="B157" s="74">
        <f t="shared" si="56"/>
        <v>690</v>
      </c>
      <c r="C157" s="74">
        <v>360</v>
      </c>
      <c r="D157" s="74">
        <f t="shared" si="43"/>
        <v>3</v>
      </c>
      <c r="E157" s="74">
        <f t="shared" si="60"/>
        <v>85</v>
      </c>
      <c r="F157" s="74">
        <v>95</v>
      </c>
      <c r="G157" s="74"/>
      <c r="H157" s="74">
        <v>75</v>
      </c>
      <c r="I157" s="74"/>
      <c r="J157" s="74">
        <f t="shared" si="51"/>
        <v>153.30000000000001</v>
      </c>
      <c r="K157" s="74">
        <f t="shared" ref="K157:K220" si="61">125*$K$12</f>
        <v>125</v>
      </c>
      <c r="L157" s="74">
        <v>125</v>
      </c>
      <c r="M157" s="74"/>
      <c r="N157" s="74">
        <f t="shared" si="41"/>
        <v>180</v>
      </c>
      <c r="O157" s="74">
        <v>120</v>
      </c>
      <c r="P157" s="74"/>
      <c r="Q157" s="74"/>
      <c r="R157" s="74">
        <v>100</v>
      </c>
      <c r="S157" s="74"/>
      <c r="T157" s="74"/>
      <c r="U157" s="74">
        <f t="shared" ref="U157:U173" si="62">11*$U$12</f>
        <v>11</v>
      </c>
      <c r="V157" s="74"/>
      <c r="W157" s="74">
        <f t="shared" si="36"/>
        <v>20</v>
      </c>
      <c r="X157" s="74">
        <f t="shared" si="52"/>
        <v>0</v>
      </c>
      <c r="Y157" s="74"/>
      <c r="Z157" s="74"/>
      <c r="AA157" s="74"/>
      <c r="AB157" s="74"/>
      <c r="AC157" s="74"/>
      <c r="AD157" s="74"/>
      <c r="AE157" s="74">
        <f t="shared" si="58"/>
        <v>0.55000000000000004</v>
      </c>
      <c r="AF157" s="74">
        <v>72</v>
      </c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>
        <f t="shared" si="53"/>
        <v>2214.8500000000004</v>
      </c>
      <c r="AX157" s="74">
        <v>2999</v>
      </c>
      <c r="AY157" s="62">
        <f>'[1]D4 Gallon Forecast'!$O149/1000000</f>
        <v>0</v>
      </c>
      <c r="AZ157" s="62">
        <f>'[1]D4 Gallon Forecast'!$O181/1000000</f>
        <v>115.17940299999999</v>
      </c>
      <c r="BA157" s="62">
        <f t="shared" si="39"/>
        <v>115.17940299999999</v>
      </c>
      <c r="BB157" s="62">
        <f>'[1]D4 Gallon Forecast'!$O165/1000000</f>
        <v>29.440496</v>
      </c>
      <c r="BC157" s="63">
        <f>'[1]D4 Gallon Forecast'!$O341/1000000</f>
        <v>0.100937</v>
      </c>
      <c r="BD157" s="64">
        <f>'[1]D4 Gallon Forecast'!$O357/1000000</f>
        <v>0</v>
      </c>
      <c r="BE157" s="64">
        <f t="shared" si="40"/>
        <v>29.541432999999998</v>
      </c>
      <c r="BF157" s="76">
        <f t="shared" si="54"/>
        <v>144.72083599999999</v>
      </c>
      <c r="BG157" s="77">
        <f t="shared" si="59"/>
        <v>0.56817977110649776</v>
      </c>
      <c r="BH157" s="74"/>
      <c r="BI157" s="75">
        <f>SUMIF($B$7:$AN$7,"Yes",B157:AN157)*0.65</f>
        <v>1417.5525000000002</v>
      </c>
      <c r="BJ157" s="75">
        <f t="shared" si="50"/>
        <v>1581.4474999999998</v>
      </c>
      <c r="BK157" s="75">
        <f>'RD Feedstock Breakdown'!ES148</f>
        <v>1184.2006406327373</v>
      </c>
      <c r="BL157" s="78">
        <f t="shared" si="57"/>
        <v>8.1826547811867076</v>
      </c>
      <c r="BM157" s="78">
        <f t="shared" si="55"/>
        <v>10.281357688863324</v>
      </c>
      <c r="BN157" s="69">
        <f t="shared" si="42"/>
        <v>0.47267505835278434</v>
      </c>
      <c r="BO157" s="69"/>
      <c r="BP157" s="69"/>
      <c r="BQ157" s="66">
        <f>'[1]D4 Gallon Forecast'!$O69/1000000</f>
        <v>119.548309</v>
      </c>
      <c r="BR157" s="66">
        <f>'[1]D6 Gallon Forecast'!$O62/1000000</f>
        <v>0</v>
      </c>
      <c r="BS157" s="66">
        <f>SUM(BQ157:BR157)</f>
        <v>119.548309</v>
      </c>
      <c r="BT157" s="60"/>
      <c r="BU157" s="67">
        <f>'[2]US EIA'!$P294</f>
        <v>1047.7821345392967</v>
      </c>
      <c r="BV157" s="68">
        <f>BU157/BS157</f>
        <v>8.7645082001059222</v>
      </c>
      <c r="BW157" s="60"/>
      <c r="BX157" s="69">
        <f>BF157/(BF157+BS157)</f>
        <v>0.54762668566547945</v>
      </c>
      <c r="BY157" s="69">
        <f>BS157/(BS157+BF157)</f>
        <v>0.45237331433452066</v>
      </c>
      <c r="BZ157" s="60"/>
      <c r="CA157" s="60"/>
      <c r="CB157" s="70">
        <f>'[1]Monthly D4 Gallon Data'!$AG158/1000000</f>
        <v>0.100937</v>
      </c>
      <c r="CC157" s="70">
        <f>'[1]Monthly D6 Gallon Data'!$O160/1000000</f>
        <v>0</v>
      </c>
      <c r="CD157" s="70">
        <f t="shared" si="49"/>
        <v>0.100937</v>
      </c>
      <c r="CE157" s="60"/>
      <c r="CF157" s="71">
        <f>'RD Feedstock Breakdown'!GQ148</f>
        <v>0.82593262564864267</v>
      </c>
      <c r="CG157" s="72">
        <f>CF157/CB157</f>
        <v>8.1826547811867076</v>
      </c>
      <c r="CH157" s="73">
        <f>'[2]US EIA'!$R294+AW157</f>
        <v>4265.8500000000004</v>
      </c>
      <c r="CN157">
        <v>2939</v>
      </c>
      <c r="CO157" s="73">
        <f>AX157-CN157</f>
        <v>60</v>
      </c>
    </row>
    <row r="158" spans="1:93" ht="13.5" x14ac:dyDescent="0.25">
      <c r="A158" s="59">
        <v>44958</v>
      </c>
      <c r="B158" s="74">
        <f t="shared" si="56"/>
        <v>690</v>
      </c>
      <c r="C158" s="74">
        <f t="shared" ref="C158:C171" si="63">$C$5*$C$12</f>
        <v>470</v>
      </c>
      <c r="D158" s="74">
        <f t="shared" si="43"/>
        <v>3</v>
      </c>
      <c r="E158" s="74">
        <f t="shared" si="60"/>
        <v>85</v>
      </c>
      <c r="F158" s="74">
        <v>95</v>
      </c>
      <c r="G158" s="74"/>
      <c r="H158" s="74">
        <v>75</v>
      </c>
      <c r="I158" s="74"/>
      <c r="J158" s="74">
        <f t="shared" si="51"/>
        <v>153.30000000000001</v>
      </c>
      <c r="K158" s="74">
        <f t="shared" si="61"/>
        <v>125</v>
      </c>
      <c r="L158" s="74">
        <v>125</v>
      </c>
      <c r="M158" s="74">
        <v>50</v>
      </c>
      <c r="N158" s="74">
        <f t="shared" si="41"/>
        <v>180</v>
      </c>
      <c r="O158" s="74">
        <v>120</v>
      </c>
      <c r="P158" s="74"/>
      <c r="Q158" s="74"/>
      <c r="R158" s="74">
        <v>100</v>
      </c>
      <c r="S158" s="74"/>
      <c r="T158" s="74"/>
      <c r="U158" s="74">
        <f t="shared" si="62"/>
        <v>11</v>
      </c>
      <c r="V158" s="74"/>
      <c r="W158" s="74">
        <f t="shared" si="36"/>
        <v>20</v>
      </c>
      <c r="X158" s="74">
        <f t="shared" si="52"/>
        <v>0</v>
      </c>
      <c r="Y158" s="74"/>
      <c r="Z158" s="74"/>
      <c r="AA158" s="74"/>
      <c r="AB158" s="74"/>
      <c r="AC158" s="74"/>
      <c r="AD158" s="74"/>
      <c r="AE158" s="74">
        <f t="shared" si="58"/>
        <v>0.55000000000000004</v>
      </c>
      <c r="AF158" s="74">
        <f t="shared" ref="AF158:AF176" si="64">90*$AF$12</f>
        <v>90</v>
      </c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>
        <f t="shared" si="53"/>
        <v>2392.8500000000004</v>
      </c>
      <c r="AX158" s="74">
        <v>3278</v>
      </c>
      <c r="AY158" s="62">
        <f>'[1]D4 Gallon Forecast'!$O150/1000000</f>
        <v>0</v>
      </c>
      <c r="AZ158" s="62">
        <f>'[1]D4 Gallon Forecast'!$O182/1000000</f>
        <v>111.34648</v>
      </c>
      <c r="BA158" s="62">
        <f t="shared" si="39"/>
        <v>111.34648</v>
      </c>
      <c r="BB158" s="62">
        <f>'[1]D4 Gallon Forecast'!$O166/1000000</f>
        <v>27.625298999999998</v>
      </c>
      <c r="BC158" s="63">
        <f>'[1]D4 Gallon Forecast'!$O342/1000000</f>
        <v>1.5785960000000001</v>
      </c>
      <c r="BD158" s="64">
        <f>'[1]D4 Gallon Forecast'!$O358/1000000</f>
        <v>0</v>
      </c>
      <c r="BE158" s="64">
        <f>BD158+BC158+BB158</f>
        <v>29.203894999999999</v>
      </c>
      <c r="BF158" s="76">
        <f t="shared" si="54"/>
        <v>140.550375</v>
      </c>
      <c r="BG158" s="77">
        <f t="shared" si="59"/>
        <v>0.50484054867247929</v>
      </c>
      <c r="BH158" s="74"/>
      <c r="BI158" s="75">
        <f>SUMIF($B$7:$AN$7,"Yes",B158:AN158)*0.7</f>
        <v>1651.1950000000002</v>
      </c>
      <c r="BJ158" s="75">
        <f t="shared" si="50"/>
        <v>1626.8049999999998</v>
      </c>
      <c r="BK158" s="75">
        <f>'RD Feedstock Breakdown'!ES149</f>
        <v>1152.2999441319348</v>
      </c>
      <c r="BL158" s="78">
        <f t="shared" si="57"/>
        <v>8.1984835980119932</v>
      </c>
      <c r="BM158" s="78">
        <f t="shared" si="55"/>
        <v>10.348777474886811</v>
      </c>
      <c r="BN158" s="69">
        <f t="shared" si="42"/>
        <v>0.50372025625381334</v>
      </c>
      <c r="BO158" s="69"/>
      <c r="BP158" s="69"/>
      <c r="BQ158" s="66">
        <f>'[1]D4 Gallon Forecast'!$O70/1000000</f>
        <v>114.74260700000001</v>
      </c>
      <c r="BR158" s="66">
        <f>'[1]D6 Gallon Forecast'!$O63/1000000</f>
        <v>0</v>
      </c>
      <c r="BS158" s="66">
        <f t="shared" ref="BS158:BS168" si="65">SUM(BQ158:BR158)</f>
        <v>114.74260700000001</v>
      </c>
      <c r="BT158" s="60"/>
      <c r="BU158" s="67">
        <f>'[2]US EIA'!$P295</f>
        <v>965.18531852105127</v>
      </c>
      <c r="BV158" s="68">
        <f t="shared" ref="BV158:BV221" si="66">BU158/BS158</f>
        <v>8.4117429763562122</v>
      </c>
      <c r="BW158" s="60"/>
      <c r="BX158" s="69">
        <f t="shared" ref="BX158:BX221" si="67">BF158/(BF158+BS158)</f>
        <v>0.55054539258740764</v>
      </c>
      <c r="BY158" s="69">
        <f t="shared" ref="BY158:BY221" si="68">BS158/(BS158+BF158)</f>
        <v>0.44945460741259236</v>
      </c>
      <c r="BZ158" s="60"/>
      <c r="CA158" s="60"/>
      <c r="CB158" s="70">
        <f>'[1]Monthly D4 Gallon Data'!$AG159/1000000</f>
        <v>1.5785960000000001</v>
      </c>
      <c r="CC158" s="70">
        <f>'[1]Monthly D6 Gallon Data'!$O161/1000000</f>
        <v>0</v>
      </c>
      <c r="CD158" s="70">
        <f t="shared" si="49"/>
        <v>1.5785960000000001</v>
      </c>
      <c r="CE158" s="60"/>
      <c r="CF158" s="71">
        <f>'RD Feedstock Breakdown'!GQ149</f>
        <v>12.94209341388734</v>
      </c>
      <c r="CG158" s="72">
        <f t="shared" ref="CG158:CG177" si="69">CF158/CB158</f>
        <v>8.1984835980119932</v>
      </c>
      <c r="CH158" s="73">
        <f>'[2]US EIA'!$R295+AW158</f>
        <v>4455.8500000000004</v>
      </c>
      <c r="CN158">
        <v>3260</v>
      </c>
      <c r="CO158" s="73">
        <f t="shared" ref="CO158:CO173" si="70">AX158-CN158</f>
        <v>18</v>
      </c>
    </row>
    <row r="159" spans="1:93" ht="13.5" x14ac:dyDescent="0.25">
      <c r="A159" s="59">
        <v>44986</v>
      </c>
      <c r="B159" s="74">
        <f t="shared" si="56"/>
        <v>690</v>
      </c>
      <c r="C159" s="74">
        <f t="shared" si="63"/>
        <v>470</v>
      </c>
      <c r="D159" s="74">
        <f t="shared" si="43"/>
        <v>3</v>
      </c>
      <c r="E159" s="74">
        <f t="shared" si="60"/>
        <v>85</v>
      </c>
      <c r="F159" s="74">
        <v>95</v>
      </c>
      <c r="G159" s="74"/>
      <c r="H159" s="74">
        <v>75</v>
      </c>
      <c r="I159" s="74"/>
      <c r="J159" s="74">
        <f t="shared" si="51"/>
        <v>153.30000000000001</v>
      </c>
      <c r="K159" s="74">
        <f t="shared" si="61"/>
        <v>125</v>
      </c>
      <c r="L159" s="74">
        <v>125</v>
      </c>
      <c r="M159" s="74">
        <v>120</v>
      </c>
      <c r="N159" s="74">
        <f t="shared" si="41"/>
        <v>180</v>
      </c>
      <c r="O159" s="74">
        <v>120</v>
      </c>
      <c r="P159" s="74"/>
      <c r="Q159" s="74"/>
      <c r="R159" s="74">
        <v>100</v>
      </c>
      <c r="S159" s="74"/>
      <c r="T159" s="74"/>
      <c r="U159" s="74">
        <f t="shared" si="62"/>
        <v>11</v>
      </c>
      <c r="V159" s="74"/>
      <c r="W159" s="74">
        <f t="shared" si="36"/>
        <v>20</v>
      </c>
      <c r="X159" s="74">
        <f t="shared" si="52"/>
        <v>0</v>
      </c>
      <c r="Y159" s="74"/>
      <c r="Z159" s="74"/>
      <c r="AA159" s="74"/>
      <c r="AB159" s="74"/>
      <c r="AC159" s="74"/>
      <c r="AD159" s="74"/>
      <c r="AE159" s="74">
        <f t="shared" si="58"/>
        <v>0.55000000000000004</v>
      </c>
      <c r="AF159" s="74">
        <f t="shared" si="64"/>
        <v>90</v>
      </c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>
        <f t="shared" si="53"/>
        <v>2462.8500000000004</v>
      </c>
      <c r="AX159" s="74">
        <v>3278</v>
      </c>
      <c r="AY159" s="62">
        <f>'[1]D4 Gallon Forecast'!$O151/1000000</f>
        <v>0</v>
      </c>
      <c r="AZ159" s="62">
        <f>'[1]D4 Gallon Forecast'!$O183/1000000</f>
        <v>138.45949100000001</v>
      </c>
      <c r="BA159" s="62">
        <f t="shared" si="39"/>
        <v>138.45949100000001</v>
      </c>
      <c r="BB159" s="62">
        <f>'[1]D4 Gallon Forecast'!$O167/1000000</f>
        <v>35.92754</v>
      </c>
      <c r="BC159" s="63">
        <f>'[1]D4 Gallon Forecast'!$O343/1000000</f>
        <v>0.79717000000000005</v>
      </c>
      <c r="BD159" s="64">
        <f>'[1]D4 Gallon Forecast'!$O359/1000000</f>
        <v>0</v>
      </c>
      <c r="BE159" s="64">
        <f t="shared" si="40"/>
        <v>36.724710000000002</v>
      </c>
      <c r="BF159" s="76">
        <f t="shared" si="54"/>
        <v>175.18420100000003</v>
      </c>
      <c r="BG159" s="77">
        <f t="shared" si="59"/>
        <v>0.69665991202170319</v>
      </c>
      <c r="BH159" s="74"/>
      <c r="BI159" s="75">
        <f>SUMIF($B$7:$AN$7,"Yes",B159:AN159)*0.75</f>
        <v>1821.6375000000003</v>
      </c>
      <c r="BJ159" s="75">
        <f t="shared" si="50"/>
        <v>1456.3624999999997</v>
      </c>
      <c r="BK159" s="75">
        <f>'RD Feedstock Breakdown'!ES150</f>
        <v>1414.2999586499052</v>
      </c>
      <c r="BL159" s="78">
        <f t="shared" si="57"/>
        <v>8.0732163664114029</v>
      </c>
      <c r="BM159" s="78">
        <f t="shared" si="55"/>
        <v>10.214539634916793</v>
      </c>
      <c r="BN159" s="69">
        <f t="shared" si="42"/>
        <v>0.5557161378889568</v>
      </c>
      <c r="BO159" s="69"/>
      <c r="BP159" s="69"/>
      <c r="BQ159" s="66">
        <f>'[1]D4 Gallon Forecast'!$O71/1000000</f>
        <v>130.88728499999999</v>
      </c>
      <c r="BR159" s="66">
        <f>'[1]D6 Gallon Forecast'!$O64/1000000</f>
        <v>2.0230000000000001E-3</v>
      </c>
      <c r="BS159" s="66">
        <f t="shared" si="65"/>
        <v>130.889308</v>
      </c>
      <c r="BT159" s="60"/>
      <c r="BU159" s="67">
        <f>'[2]US EIA'!$P296</f>
        <v>1141.8089540145584</v>
      </c>
      <c r="BV159" s="68">
        <f t="shared" si="66"/>
        <v>8.7234700179984017</v>
      </c>
      <c r="BW159" s="60"/>
      <c r="BX159" s="69">
        <f t="shared" si="67"/>
        <v>0.5723598934529156</v>
      </c>
      <c r="BY159" s="69">
        <f t="shared" si="68"/>
        <v>0.42764010654708434</v>
      </c>
      <c r="BZ159" s="60"/>
      <c r="CA159" s="60"/>
      <c r="CB159" s="70">
        <f>'[1]Monthly D4 Gallon Data'!$AG160/1000000</f>
        <v>0.79717000000000005</v>
      </c>
      <c r="CC159" s="70">
        <f>'[1]Monthly D6 Gallon Data'!$O162/1000000</f>
        <v>0</v>
      </c>
      <c r="CD159" s="70">
        <f t="shared" si="49"/>
        <v>0.79717000000000005</v>
      </c>
      <c r="CE159" s="60"/>
      <c r="CF159" s="71">
        <f>'RD Feedstock Breakdown'!GQ150</f>
        <v>6.4357258908121793</v>
      </c>
      <c r="CG159" s="72">
        <f t="shared" si="69"/>
        <v>8.0732163664114047</v>
      </c>
      <c r="CH159" s="73">
        <f>'[2]US EIA'!$R296+AW159</f>
        <v>4549.8500000000004</v>
      </c>
      <c r="CN159">
        <v>3278</v>
      </c>
      <c r="CO159" s="73">
        <f t="shared" si="70"/>
        <v>0</v>
      </c>
    </row>
    <row r="160" spans="1:93" ht="13.5" x14ac:dyDescent="0.25">
      <c r="A160" s="59">
        <v>45017</v>
      </c>
      <c r="B160" s="74">
        <f t="shared" si="56"/>
        <v>690</v>
      </c>
      <c r="C160" s="74">
        <f t="shared" si="63"/>
        <v>470</v>
      </c>
      <c r="D160" s="74">
        <f t="shared" si="43"/>
        <v>3</v>
      </c>
      <c r="E160" s="74">
        <f t="shared" si="60"/>
        <v>85</v>
      </c>
      <c r="F160" s="74">
        <v>95</v>
      </c>
      <c r="G160" s="74"/>
      <c r="H160" s="74">
        <v>75</v>
      </c>
      <c r="I160" s="74"/>
      <c r="J160" s="74">
        <f t="shared" si="51"/>
        <v>153.30000000000001</v>
      </c>
      <c r="K160" s="74">
        <f t="shared" si="61"/>
        <v>125</v>
      </c>
      <c r="L160" s="74">
        <v>125</v>
      </c>
      <c r="M160" s="74">
        <f>260*0.75</f>
        <v>195</v>
      </c>
      <c r="N160" s="74">
        <f t="shared" si="41"/>
        <v>180</v>
      </c>
      <c r="O160" s="74">
        <v>120</v>
      </c>
      <c r="P160" s="74"/>
      <c r="Q160" s="74"/>
      <c r="R160" s="74">
        <v>100</v>
      </c>
      <c r="S160" s="74"/>
      <c r="T160" s="74">
        <f>18*$T$12</f>
        <v>18</v>
      </c>
      <c r="U160" s="74">
        <f t="shared" si="62"/>
        <v>11</v>
      </c>
      <c r="V160" s="74"/>
      <c r="W160" s="74">
        <f t="shared" si="36"/>
        <v>20</v>
      </c>
      <c r="X160" s="74">
        <f t="shared" si="52"/>
        <v>0</v>
      </c>
      <c r="Y160" s="74"/>
      <c r="Z160" s="74"/>
      <c r="AA160" s="74">
        <f>$AA$12*$AA$5*0.25</f>
        <v>76.5</v>
      </c>
      <c r="AB160" s="74"/>
      <c r="AC160" s="74"/>
      <c r="AD160" s="74">
        <v>67.5</v>
      </c>
      <c r="AE160" s="74">
        <f t="shared" si="58"/>
        <v>0.55000000000000004</v>
      </c>
      <c r="AF160" s="74">
        <f t="shared" si="64"/>
        <v>90</v>
      </c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>
        <f t="shared" si="53"/>
        <v>2699.8500000000004</v>
      </c>
      <c r="AX160" s="74">
        <v>3278</v>
      </c>
      <c r="AY160" s="62">
        <f>'[1]D4 Gallon Forecast'!$O152/1000000</f>
        <v>0</v>
      </c>
      <c r="AZ160" s="62">
        <f>'[1]D4 Gallon Forecast'!$O184/1000000</f>
        <v>135.546066</v>
      </c>
      <c r="BA160" s="62">
        <f t="shared" si="39"/>
        <v>135.546066</v>
      </c>
      <c r="BB160" s="62">
        <f>'[1]D4 Gallon Forecast'!$O168/1000000</f>
        <v>33.974666999999997</v>
      </c>
      <c r="BC160" s="63">
        <f>'[1]D4 Gallon Forecast'!$O344/1000000</f>
        <v>0.91352100000000003</v>
      </c>
      <c r="BD160" s="64">
        <f>'[1]D4 Gallon Forecast'!$O360/1000000</f>
        <v>0</v>
      </c>
      <c r="BE160" s="64">
        <f t="shared" si="40"/>
        <v>34.888188</v>
      </c>
      <c r="BF160" s="76">
        <f t="shared" si="54"/>
        <v>170.43425400000001</v>
      </c>
      <c r="BG160" s="77">
        <f t="shared" si="59"/>
        <v>0.61217995542128367</v>
      </c>
      <c r="BH160" s="74"/>
      <c r="BI160" s="75">
        <f>SUMIF($B$7:$AN$7,"Yes",B160:AN160)*0.8</f>
        <v>2118.2800000000002</v>
      </c>
      <c r="BJ160" s="75">
        <f t="shared" si="50"/>
        <v>1159.7199999999998</v>
      </c>
      <c r="BK160" s="75">
        <f>'RD Feedstock Breakdown'!ES151</f>
        <v>1380.6415029755865</v>
      </c>
      <c r="BL160" s="78">
        <f t="shared" si="57"/>
        <v>8.1007278206855435</v>
      </c>
      <c r="BM160" s="78">
        <f t="shared" si="55"/>
        <v>10.1857733220792</v>
      </c>
      <c r="BN160" s="69">
        <f t="shared" si="42"/>
        <v>0.64621110433190976</v>
      </c>
      <c r="BO160" s="69"/>
      <c r="BP160" s="69"/>
      <c r="BQ160" s="66">
        <f>'[1]D4 Gallon Forecast'!$O72/1000000</f>
        <v>133.83552</v>
      </c>
      <c r="BR160" s="66">
        <f>'[1]D6 Gallon Forecast'!$O65/1000000</f>
        <v>0</v>
      </c>
      <c r="BS160" s="66">
        <f t="shared" si="65"/>
        <v>133.83552</v>
      </c>
      <c r="BT160" s="60"/>
      <c r="BU160" s="67">
        <f>'[2]US EIA'!$P297</f>
        <v>1074.820182255625</v>
      </c>
      <c r="BV160" s="68">
        <f t="shared" si="66"/>
        <v>8.0309037709542661</v>
      </c>
      <c r="BW160" s="60"/>
      <c r="BX160" s="69">
        <f t="shared" si="67"/>
        <v>0.56014191537802904</v>
      </c>
      <c r="BY160" s="69">
        <f t="shared" si="68"/>
        <v>0.43985808462197107</v>
      </c>
      <c r="BZ160" s="60"/>
      <c r="CA160" s="60"/>
      <c r="CB160" s="70">
        <f>'[1]Monthly D4 Gallon Data'!$AG161/1000000</f>
        <v>0.91352100000000003</v>
      </c>
      <c r="CC160" s="70">
        <f>'[1]Monthly D6 Gallon Data'!$O163/1000000</f>
        <v>0</v>
      </c>
      <c r="CD160" s="70">
        <f t="shared" si="49"/>
        <v>0.91352100000000003</v>
      </c>
      <c r="CE160" s="60"/>
      <c r="CF160" s="71">
        <f>'RD Feedstock Breakdown'!GQ151</f>
        <v>7.4001849794804793</v>
      </c>
      <c r="CG160" s="72">
        <f t="shared" si="69"/>
        <v>8.1007278206855435</v>
      </c>
      <c r="CH160" s="73">
        <f>'[2]US EIA'!$R297+AW160</f>
        <v>4786.8500000000004</v>
      </c>
      <c r="CN160">
        <v>3278</v>
      </c>
      <c r="CO160" s="73">
        <f t="shared" si="70"/>
        <v>0</v>
      </c>
    </row>
    <row r="161" spans="1:93" ht="13.5" x14ac:dyDescent="0.25">
      <c r="A161" s="59">
        <v>45047</v>
      </c>
      <c r="B161" s="74">
        <f t="shared" si="56"/>
        <v>690</v>
      </c>
      <c r="C161" s="74">
        <f t="shared" si="63"/>
        <v>470</v>
      </c>
      <c r="D161" s="74">
        <f t="shared" si="43"/>
        <v>3</v>
      </c>
      <c r="E161" s="74">
        <f t="shared" si="60"/>
        <v>85</v>
      </c>
      <c r="F161" s="74">
        <v>95</v>
      </c>
      <c r="G161" s="74"/>
      <c r="H161" s="74">
        <v>75</v>
      </c>
      <c r="I161" s="74"/>
      <c r="J161" s="74">
        <f t="shared" si="51"/>
        <v>153.30000000000001</v>
      </c>
      <c r="K161" s="74">
        <f t="shared" si="61"/>
        <v>125</v>
      </c>
      <c r="L161" s="74">
        <v>125</v>
      </c>
      <c r="M161" s="74">
        <f>260</f>
        <v>260</v>
      </c>
      <c r="N161" s="74">
        <f t="shared" si="41"/>
        <v>180</v>
      </c>
      <c r="O161" s="74">
        <v>120</v>
      </c>
      <c r="P161" s="74"/>
      <c r="Q161" s="74"/>
      <c r="R161" s="74">
        <v>100</v>
      </c>
      <c r="S161" s="74"/>
      <c r="T161" s="74">
        <f>36*$T$12</f>
        <v>36</v>
      </c>
      <c r="U161" s="74">
        <f t="shared" si="62"/>
        <v>11</v>
      </c>
      <c r="V161" s="74"/>
      <c r="W161" s="74">
        <f t="shared" si="36"/>
        <v>20</v>
      </c>
      <c r="X161" s="74">
        <f t="shared" si="52"/>
        <v>0</v>
      </c>
      <c r="Y161" s="74">
        <f>$Y$5*$Y$12*0.25</f>
        <v>0.875</v>
      </c>
      <c r="Z161" s="74"/>
      <c r="AA161" s="74">
        <f>$AA$12*$AA$5*0.5</f>
        <v>153</v>
      </c>
      <c r="AB161" s="74"/>
      <c r="AC161" s="74"/>
      <c r="AD161" s="74">
        <v>121</v>
      </c>
      <c r="AE161" s="74">
        <f t="shared" si="58"/>
        <v>0.55000000000000004</v>
      </c>
      <c r="AF161" s="74">
        <f t="shared" si="64"/>
        <v>90</v>
      </c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>
        <f t="shared" si="53"/>
        <v>2913.7250000000004</v>
      </c>
      <c r="AX161" s="74">
        <v>3278</v>
      </c>
      <c r="AY161" s="62">
        <f>'[1]D4 Gallon Forecast'!$O153/1000000</f>
        <v>0</v>
      </c>
      <c r="AZ161" s="62">
        <f>'[1]D4 Gallon Forecast'!$O185/1000000</f>
        <v>167.708654</v>
      </c>
      <c r="BA161" s="62">
        <f t="shared" si="39"/>
        <v>167.708654</v>
      </c>
      <c r="BB161" s="62">
        <f>'[1]D4 Gallon Forecast'!$O169/1000000</f>
        <v>54.415742000000002</v>
      </c>
      <c r="BC161" s="63">
        <f>'[1]D4 Gallon Forecast'!$O345/1000000</f>
        <v>1.6267149999999999</v>
      </c>
      <c r="BD161" s="64">
        <f>'[1]D4 Gallon Forecast'!$O361/1000000</f>
        <v>0</v>
      </c>
      <c r="BE161" s="64">
        <f t="shared" si="40"/>
        <v>56.042456999999999</v>
      </c>
      <c r="BF161" s="76">
        <f t="shared" si="54"/>
        <v>223.75111099999998</v>
      </c>
      <c r="BG161" s="77">
        <f t="shared" si="59"/>
        <v>0.83047748134024801</v>
      </c>
      <c r="BH161" s="74"/>
      <c r="BI161" s="75">
        <f>SUMIF($B$7:$AN$7,"Yes",B161:AN161)*0.9</f>
        <v>2558.5650000000005</v>
      </c>
      <c r="BJ161" s="75">
        <f t="shared" si="50"/>
        <v>719.43499999999949</v>
      </c>
      <c r="BK161" s="75">
        <f>'RD Feedstock Breakdown'!ES152</f>
        <v>1812.3666129959117</v>
      </c>
      <c r="BL161" s="78">
        <f t="shared" si="57"/>
        <v>8.0999222971273284</v>
      </c>
      <c r="BM161" s="78">
        <f t="shared" si="55"/>
        <v>10.806637402241101</v>
      </c>
      <c r="BN161" s="69">
        <f t="shared" si="42"/>
        <v>0.7805262355094571</v>
      </c>
      <c r="BO161" s="69"/>
      <c r="BP161" s="69"/>
      <c r="BQ161" s="66">
        <f>'[1]D4 Gallon Forecast'!$O73/1000000</f>
        <v>163.59353300000001</v>
      </c>
      <c r="BR161" s="66">
        <f>'[1]D6 Gallon Forecast'!$O66/1000000</f>
        <v>0</v>
      </c>
      <c r="BS161" s="66">
        <f t="shared" si="65"/>
        <v>163.59353300000001</v>
      </c>
      <c r="BT161" s="60"/>
      <c r="BU161" s="67">
        <f>'[2]US EIA'!$P298</f>
        <v>1250.3420917340447</v>
      </c>
      <c r="BV161" s="68">
        <f t="shared" si="66"/>
        <v>7.6429799442869459</v>
      </c>
      <c r="BW161" s="60"/>
      <c r="BX161" s="69">
        <f t="shared" si="67"/>
        <v>0.577653814157296</v>
      </c>
      <c r="BY161" s="69">
        <f t="shared" si="68"/>
        <v>0.42234618584270395</v>
      </c>
      <c r="BZ161" s="60"/>
      <c r="CA161" s="60"/>
      <c r="CB161" s="70">
        <f>'[1]Monthly D4 Gallon Data'!$AG162/1000000</f>
        <v>1.6267149999999999</v>
      </c>
      <c r="CC161" s="70">
        <f>'[1]Monthly D6 Gallon Data'!$O164/1000000</f>
        <v>0</v>
      </c>
      <c r="CD161" s="70">
        <f t="shared" si="49"/>
        <v>1.6267149999999999</v>
      </c>
      <c r="CE161" s="60"/>
      <c r="CF161" s="71">
        <f>'RD Feedstock Breakdown'!GQ152</f>
        <v>13.176265099571479</v>
      </c>
      <c r="CG161" s="72">
        <f t="shared" si="69"/>
        <v>8.0999222971273266</v>
      </c>
      <c r="CH161" s="73">
        <f>'[2]US EIA'!$R298+AW161</f>
        <v>4995.7250000000004</v>
      </c>
      <c r="CN161">
        <v>3278</v>
      </c>
      <c r="CO161" s="73">
        <f t="shared" si="70"/>
        <v>0</v>
      </c>
    </row>
    <row r="162" spans="1:93" ht="13.5" x14ac:dyDescent="0.25">
      <c r="A162" s="59">
        <v>45078</v>
      </c>
      <c r="B162" s="74">
        <f t="shared" si="56"/>
        <v>690</v>
      </c>
      <c r="C162" s="74">
        <f t="shared" si="63"/>
        <v>470</v>
      </c>
      <c r="D162" s="74">
        <f t="shared" si="43"/>
        <v>3</v>
      </c>
      <c r="E162" s="74">
        <f t="shared" si="60"/>
        <v>85</v>
      </c>
      <c r="F162" s="74">
        <v>95</v>
      </c>
      <c r="G162" s="74"/>
      <c r="H162" s="74">
        <v>75</v>
      </c>
      <c r="I162" s="74"/>
      <c r="J162" s="74">
        <f t="shared" si="51"/>
        <v>153.30000000000001</v>
      </c>
      <c r="K162" s="74">
        <f t="shared" si="61"/>
        <v>125</v>
      </c>
      <c r="L162" s="74">
        <v>125</v>
      </c>
      <c r="M162" s="74">
        <f>260</f>
        <v>260</v>
      </c>
      <c r="N162" s="74">
        <f t="shared" si="41"/>
        <v>180</v>
      </c>
      <c r="O162" s="74">
        <v>120</v>
      </c>
      <c r="P162" s="74"/>
      <c r="Q162" s="74"/>
      <c r="R162" s="74">
        <v>100</v>
      </c>
      <c r="S162" s="74"/>
      <c r="T162" s="74">
        <f t="shared" ref="T162:T225" si="71">36*$T$12</f>
        <v>36</v>
      </c>
      <c r="U162" s="74">
        <f t="shared" si="62"/>
        <v>11</v>
      </c>
      <c r="V162" s="74"/>
      <c r="W162" s="74">
        <f t="shared" si="36"/>
        <v>20</v>
      </c>
      <c r="X162" s="74">
        <f t="shared" si="52"/>
        <v>0</v>
      </c>
      <c r="Y162" s="74">
        <f>$Y$5*$Y$12*0.5</f>
        <v>1.75</v>
      </c>
      <c r="Z162" s="74"/>
      <c r="AA162" s="74">
        <f t="shared" ref="AA162:AA225" si="72">$AA$12*$AA$5</f>
        <v>306</v>
      </c>
      <c r="AB162" s="74"/>
      <c r="AC162" s="74"/>
      <c r="AD162" s="74">
        <v>121</v>
      </c>
      <c r="AE162" s="74">
        <f t="shared" si="58"/>
        <v>0.55000000000000004</v>
      </c>
      <c r="AF162" s="74">
        <f t="shared" si="64"/>
        <v>90</v>
      </c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>
        <f>SUM(B162:AT162)</f>
        <v>3067.6000000000004</v>
      </c>
      <c r="AX162" s="74">
        <v>3700</v>
      </c>
      <c r="AY162" s="62">
        <f>'[1]D4 Gallon Forecast'!$O154/1000000</f>
        <v>0</v>
      </c>
      <c r="AZ162" s="62">
        <f>'[1]D4 Gallon Forecast'!$O186/1000000</f>
        <v>151.15248500000001</v>
      </c>
      <c r="BA162" s="62">
        <f t="shared" si="39"/>
        <v>151.15248500000001</v>
      </c>
      <c r="BB162" s="62">
        <f>'[1]D4 Gallon Forecast'!$O170/1000000</f>
        <v>41.543149999999997</v>
      </c>
      <c r="BC162" s="63">
        <f>'[1]D4 Gallon Forecast'!$O346/1000000</f>
        <v>1.121861</v>
      </c>
      <c r="BD162" s="64">
        <f>'[1]D4 Gallon Forecast'!$O362/1000000</f>
        <v>0</v>
      </c>
      <c r="BE162" s="64">
        <f>BD162+BC162+BB162</f>
        <v>42.665011</v>
      </c>
      <c r="BF162" s="76">
        <f t="shared" si="54"/>
        <v>193.81749600000001</v>
      </c>
      <c r="BG162" s="77">
        <f t="shared" si="59"/>
        <v>0.61676884080209249</v>
      </c>
      <c r="BH162" s="74"/>
      <c r="BI162" s="75">
        <f>SUMIF($B$7:$AN$7,"Yes",B162:AN162)*0.95</f>
        <v>2846.0575000000003</v>
      </c>
      <c r="BJ162" s="75">
        <f t="shared" si="50"/>
        <v>853.94249999999965</v>
      </c>
      <c r="BK162" s="75">
        <f>'RD Feedstock Breakdown'!ES153</f>
        <v>1586.3846927994155</v>
      </c>
      <c r="BL162" s="78">
        <f t="shared" si="57"/>
        <v>8.1849406041207722</v>
      </c>
      <c r="BM162" s="78">
        <f t="shared" si="55"/>
        <v>10.495260417315768</v>
      </c>
      <c r="BN162" s="69">
        <f t="shared" si="42"/>
        <v>0.76920472972972986</v>
      </c>
      <c r="BO162" s="69"/>
      <c r="BP162" s="69"/>
      <c r="BQ162" s="66">
        <f>'[1]D4 Gallon Forecast'!$O74/1000000</f>
        <v>153.00629499999999</v>
      </c>
      <c r="BR162" s="66">
        <f>'[1]D6 Gallon Forecast'!$O67/1000000</f>
        <v>0</v>
      </c>
      <c r="BS162" s="66">
        <f t="shared" si="65"/>
        <v>153.00629499999999</v>
      </c>
      <c r="BT162" s="60"/>
      <c r="BU162" s="67">
        <f>'[2]US EIA'!$P299</f>
        <v>1183.2358927981593</v>
      </c>
      <c r="BV162" s="68">
        <f t="shared" si="66"/>
        <v>7.7332497515749878</v>
      </c>
      <c r="BW162" s="60"/>
      <c r="BX162" s="69">
        <f t="shared" si="67"/>
        <v>0.55883564227576299</v>
      </c>
      <c r="BY162" s="69">
        <f t="shared" si="68"/>
        <v>0.4411643577242369</v>
      </c>
      <c r="BZ162" s="60"/>
      <c r="CA162" s="60"/>
      <c r="CB162" s="70">
        <f>'[1]Monthly D4 Gallon Data'!$AG163/1000000</f>
        <v>1.121861</v>
      </c>
      <c r="CC162" s="70">
        <f>'[1]Monthly D6 Gallon Data'!$O165/1000000</f>
        <v>0</v>
      </c>
      <c r="CD162" s="70">
        <f t="shared" si="49"/>
        <v>1.121861</v>
      </c>
      <c r="CE162" s="60"/>
      <c r="CF162" s="71">
        <f>'RD Feedstock Breakdown'!GQ153</f>
        <v>9.1823656510795342</v>
      </c>
      <c r="CG162" s="72">
        <f t="shared" si="69"/>
        <v>8.1849406041207722</v>
      </c>
      <c r="CH162" s="73">
        <f>'[2]US EIA'!$R299+AW162</f>
        <v>5149.6000000000004</v>
      </c>
      <c r="CN162">
        <v>3700</v>
      </c>
      <c r="CO162" s="73">
        <f t="shared" si="70"/>
        <v>0</v>
      </c>
    </row>
    <row r="163" spans="1:93" ht="13.5" x14ac:dyDescent="0.25">
      <c r="A163" s="59">
        <v>45108</v>
      </c>
      <c r="B163" s="74">
        <f t="shared" si="56"/>
        <v>690</v>
      </c>
      <c r="C163" s="74">
        <f t="shared" si="63"/>
        <v>470</v>
      </c>
      <c r="D163" s="74">
        <f t="shared" si="43"/>
        <v>3</v>
      </c>
      <c r="E163" s="74">
        <f t="shared" si="60"/>
        <v>85</v>
      </c>
      <c r="F163" s="74">
        <v>95</v>
      </c>
      <c r="G163" s="74"/>
      <c r="H163" s="74">
        <v>75</v>
      </c>
      <c r="I163" s="74"/>
      <c r="J163" s="74">
        <f t="shared" si="51"/>
        <v>153.30000000000001</v>
      </c>
      <c r="K163" s="74">
        <f t="shared" si="61"/>
        <v>125</v>
      </c>
      <c r="L163" s="74">
        <v>125</v>
      </c>
      <c r="M163" s="74">
        <f>260</f>
        <v>260</v>
      </c>
      <c r="N163" s="74">
        <f t="shared" si="41"/>
        <v>180</v>
      </c>
      <c r="O163" s="74">
        <v>120</v>
      </c>
      <c r="P163" s="74"/>
      <c r="Q163" s="74"/>
      <c r="R163" s="74">
        <v>100</v>
      </c>
      <c r="S163" s="74"/>
      <c r="T163" s="74">
        <f t="shared" si="71"/>
        <v>36</v>
      </c>
      <c r="U163" s="74">
        <f t="shared" si="62"/>
        <v>11</v>
      </c>
      <c r="V163" s="74"/>
      <c r="W163" s="74">
        <f t="shared" si="36"/>
        <v>20</v>
      </c>
      <c r="X163" s="74">
        <f t="shared" si="52"/>
        <v>0</v>
      </c>
      <c r="Y163" s="74">
        <f t="shared" ref="Y163:Y226" si="73">$Y$5*$Y$12</f>
        <v>3.5</v>
      </c>
      <c r="Z163" s="74"/>
      <c r="AA163" s="74">
        <f t="shared" si="72"/>
        <v>306</v>
      </c>
      <c r="AB163" s="74"/>
      <c r="AC163" s="74"/>
      <c r="AD163" s="74">
        <v>121</v>
      </c>
      <c r="AE163" s="74">
        <f t="shared" si="58"/>
        <v>0.55000000000000004</v>
      </c>
      <c r="AF163" s="74">
        <f t="shared" si="64"/>
        <v>90</v>
      </c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>
        <f t="shared" ref="AW163:AW226" si="74">SUM(B163:AT163)</f>
        <v>3069.3500000000004</v>
      </c>
      <c r="AX163" s="74">
        <v>3704</v>
      </c>
      <c r="AY163" s="62">
        <f>'[1]D4 Gallon Forecast'!$O155/1000000</f>
        <v>0</v>
      </c>
      <c r="AZ163" s="62">
        <f>'[1]D4 Gallon Forecast'!$O187/1000000</f>
        <v>137.96741900000001</v>
      </c>
      <c r="BA163" s="62">
        <f t="shared" si="39"/>
        <v>137.96741900000001</v>
      </c>
      <c r="BB163" s="62">
        <f>'[1]D4 Gallon Forecast'!$O171/1000000</f>
        <v>40.392350999999998</v>
      </c>
      <c r="BC163" s="63">
        <f>'[1]D4 Gallon Forecast'!$O347/1000000</f>
        <v>1.7707619999999999</v>
      </c>
      <c r="BD163" s="64">
        <f>'[1]D4 Gallon Forecast'!$O363/1000000</f>
        <v>0</v>
      </c>
      <c r="BE163" s="64">
        <f t="shared" si="40"/>
        <v>42.163112999999996</v>
      </c>
      <c r="BF163" s="76">
        <f t="shared" si="54"/>
        <v>180.13053200000002</v>
      </c>
      <c r="BG163" s="77">
        <f t="shared" si="59"/>
        <v>0.59168146310295189</v>
      </c>
      <c r="BH163" s="74"/>
      <c r="BI163" s="75">
        <f t="shared" ref="BI163:BI226" si="75">SUMIF($B$7:$AN$7,"Yes",B163:AN163)</f>
        <v>2995.8500000000004</v>
      </c>
      <c r="BJ163" s="75">
        <f t="shared" si="50"/>
        <v>708.14999999999964</v>
      </c>
      <c r="BK163" s="75">
        <f>'RD Feedstock Breakdown'!ES154</f>
        <v>1470.2639110147286</v>
      </c>
      <c r="BL163" s="78">
        <f t="shared" si="57"/>
        <v>8.1622137829178705</v>
      </c>
      <c r="BM163" s="78">
        <f t="shared" si="55"/>
        <v>10.656602273720353</v>
      </c>
      <c r="BN163" s="69"/>
      <c r="BO163" s="69"/>
      <c r="BP163" s="69"/>
      <c r="BQ163" s="66">
        <f>'[1]D4 Gallon Forecast'!$O75/1000000</f>
        <v>142.593233</v>
      </c>
      <c r="BR163" s="66">
        <f>'[1]D6 Gallon Forecast'!$O68/1000000</f>
        <v>0</v>
      </c>
      <c r="BS163" s="66">
        <f t="shared" si="65"/>
        <v>142.593233</v>
      </c>
      <c r="BT163" s="60"/>
      <c r="BU163" s="67">
        <f>'[2]US EIA'!$P300</f>
        <v>1178.889898504053</v>
      </c>
      <c r="BV163" s="68">
        <f t="shared" si="66"/>
        <v>8.2675024172013334</v>
      </c>
      <c r="BW163" s="60"/>
      <c r="BX163" s="69">
        <f t="shared" si="67"/>
        <v>0.55815701084176439</v>
      </c>
      <c r="BY163" s="69">
        <f t="shared" si="68"/>
        <v>0.44184298915823567</v>
      </c>
      <c r="BZ163" s="60"/>
      <c r="CA163" s="60"/>
      <c r="CB163" s="70">
        <f>'[1]Monthly D4 Gallon Data'!$AG164/1000000</f>
        <v>1.7707619999999999</v>
      </c>
      <c r="CC163" s="70">
        <f>'[1]Monthly D6 Gallon Data'!$O166/1000000</f>
        <v>0</v>
      </c>
      <c r="CD163" s="70">
        <f t="shared" si="49"/>
        <v>1.7707619999999999</v>
      </c>
      <c r="CE163" s="60"/>
      <c r="CF163" s="71">
        <f>'RD Feedstock Breakdown'!GQ154</f>
        <v>14.453338002667213</v>
      </c>
      <c r="CG163" s="72">
        <f t="shared" si="69"/>
        <v>8.1622137829178705</v>
      </c>
      <c r="CH163" s="73">
        <f>'[2]US EIA'!$R300+AW163</f>
        <v>5149.3500000000004</v>
      </c>
      <c r="CN163">
        <v>3704</v>
      </c>
      <c r="CO163" s="73">
        <f t="shared" si="70"/>
        <v>0</v>
      </c>
    </row>
    <row r="164" spans="1:93" ht="13.5" x14ac:dyDescent="0.25">
      <c r="A164" s="59">
        <v>45139</v>
      </c>
      <c r="B164" s="74">
        <f t="shared" si="56"/>
        <v>690</v>
      </c>
      <c r="C164" s="74">
        <f t="shared" si="63"/>
        <v>470</v>
      </c>
      <c r="D164" s="74">
        <f t="shared" si="43"/>
        <v>3</v>
      </c>
      <c r="E164" s="74">
        <f t="shared" si="60"/>
        <v>85</v>
      </c>
      <c r="F164" s="74">
        <v>95</v>
      </c>
      <c r="G164" s="74"/>
      <c r="H164" s="74">
        <v>75</v>
      </c>
      <c r="I164" s="74"/>
      <c r="J164" s="74">
        <f t="shared" si="51"/>
        <v>153.30000000000001</v>
      </c>
      <c r="K164" s="74">
        <f t="shared" si="61"/>
        <v>125</v>
      </c>
      <c r="L164" s="74">
        <v>125</v>
      </c>
      <c r="M164" s="74">
        <f>260</f>
        <v>260</v>
      </c>
      <c r="N164" s="74">
        <f t="shared" si="41"/>
        <v>180</v>
      </c>
      <c r="O164" s="74">
        <v>120</v>
      </c>
      <c r="P164" s="74"/>
      <c r="Q164" s="74"/>
      <c r="R164" s="74">
        <v>100</v>
      </c>
      <c r="S164" s="74"/>
      <c r="T164" s="74">
        <f t="shared" si="71"/>
        <v>36</v>
      </c>
      <c r="U164" s="74">
        <f t="shared" si="62"/>
        <v>11</v>
      </c>
      <c r="V164" s="74"/>
      <c r="W164" s="74">
        <f t="shared" si="36"/>
        <v>20</v>
      </c>
      <c r="X164" s="74">
        <f t="shared" si="52"/>
        <v>0</v>
      </c>
      <c r="Y164" s="74">
        <f t="shared" si="73"/>
        <v>3.5</v>
      </c>
      <c r="Z164" s="74"/>
      <c r="AA164" s="74">
        <f t="shared" si="72"/>
        <v>306</v>
      </c>
      <c r="AB164" s="74"/>
      <c r="AC164" s="74"/>
      <c r="AD164" s="74">
        <v>121</v>
      </c>
      <c r="AE164" s="74">
        <f t="shared" si="58"/>
        <v>0.55000000000000004</v>
      </c>
      <c r="AF164" s="74">
        <f t="shared" si="64"/>
        <v>90</v>
      </c>
      <c r="AG164" s="74"/>
      <c r="AH164" s="74"/>
      <c r="AI164" s="74">
        <v>10</v>
      </c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81">
        <f>(AX165/AX117)^(1/4)-1</f>
        <v>0.60512624104603341</v>
      </c>
      <c r="AW164" s="74">
        <f t="shared" si="74"/>
        <v>3079.3500000000004</v>
      </c>
      <c r="AX164" s="74">
        <v>3704</v>
      </c>
      <c r="AY164" s="62">
        <f>'[1]D4 Gallon Forecast'!$O156/1000000</f>
        <v>0</v>
      </c>
      <c r="AZ164" s="62">
        <f>'[1]D4 Gallon Forecast'!$O188/1000000</f>
        <v>174.39988099999999</v>
      </c>
      <c r="BA164" s="62">
        <f t="shared" si="39"/>
        <v>174.39988099999999</v>
      </c>
      <c r="BB164" s="62">
        <f>'[1]D4 Gallon Forecast'!$O172/1000000</f>
        <v>54.002619000000003</v>
      </c>
      <c r="BC164" s="63">
        <f>'[1]D4 Gallon Forecast'!$O348/1000000</f>
        <v>2.0388639999999998</v>
      </c>
      <c r="BD164" s="64">
        <f>'[1]D4 Gallon Forecast'!$O364/1000000</f>
        <v>0</v>
      </c>
      <c r="BE164" s="64">
        <f t="shared" si="40"/>
        <v>56.041482999999999</v>
      </c>
      <c r="BF164" s="76">
        <f t="shared" si="54"/>
        <v>230.44136399999999</v>
      </c>
      <c r="BG164" s="77">
        <f t="shared" si="59"/>
        <v>0.73252192799414761</v>
      </c>
      <c r="BH164" s="74"/>
      <c r="BI164" s="75">
        <f t="shared" si="75"/>
        <v>3005.8500000000004</v>
      </c>
      <c r="BJ164" s="75">
        <f t="shared" si="50"/>
        <v>698.14999999999964</v>
      </c>
      <c r="BK164" s="75">
        <f>'RD Feedstock Breakdown'!ES155</f>
        <v>1898.8745227806733</v>
      </c>
      <c r="BL164" s="78">
        <f t="shared" si="57"/>
        <v>8.2401635271551044</v>
      </c>
      <c r="BM164" s="78">
        <f t="shared" si="55"/>
        <v>10.888049417766938</v>
      </c>
      <c r="BN164" s="69"/>
      <c r="BO164" s="69"/>
      <c r="BP164" s="69"/>
      <c r="BQ164" s="66">
        <f>'[1]D4 Gallon Forecast'!$O76/1000000</f>
        <v>152.34547599999999</v>
      </c>
      <c r="BR164" s="66">
        <f>'[1]D6 Gallon Forecast'!$O69/1000000</f>
        <v>0</v>
      </c>
      <c r="BS164" s="66">
        <f t="shared" si="65"/>
        <v>152.34547599999999</v>
      </c>
      <c r="BT164" s="60"/>
      <c r="BU164" s="67">
        <f>'[2]US EIA'!$P301</f>
        <v>1143.9357035737248</v>
      </c>
      <c r="BV164" s="68">
        <f t="shared" si="66"/>
        <v>7.5088262126912442</v>
      </c>
      <c r="BW164" s="60"/>
      <c r="BX164" s="69">
        <f t="shared" si="67"/>
        <v>0.60200963021612763</v>
      </c>
      <c r="BY164" s="69">
        <f t="shared" si="68"/>
        <v>0.39799036978387242</v>
      </c>
      <c r="BZ164" s="60"/>
      <c r="CA164" s="60"/>
      <c r="CB164" s="70">
        <f>'[1]Monthly D4 Gallon Data'!$AG165/1000000</f>
        <v>2.0388639999999998</v>
      </c>
      <c r="CC164" s="70">
        <f>'[1]Monthly D6 Gallon Data'!$O167/1000000</f>
        <v>0.87297800000000003</v>
      </c>
      <c r="CD164" s="70">
        <f t="shared" si="49"/>
        <v>2.911842</v>
      </c>
      <c r="CE164" s="60"/>
      <c r="CF164" s="71">
        <f>'RD Feedstock Breakdown'!GQ155</f>
        <v>16.800572769629564</v>
      </c>
      <c r="CG164" s="72">
        <f t="shared" si="69"/>
        <v>8.2401635271551044</v>
      </c>
      <c r="CH164" s="73">
        <f>'[2]US EIA'!$R301+AW164</f>
        <v>5159.3500000000004</v>
      </c>
      <c r="CN164">
        <v>3704</v>
      </c>
      <c r="CO164" s="73">
        <f t="shared" si="70"/>
        <v>0</v>
      </c>
    </row>
    <row r="165" spans="1:93" ht="13.5" x14ac:dyDescent="0.25">
      <c r="A165" s="59">
        <v>45170</v>
      </c>
      <c r="B165" s="74">
        <f t="shared" si="56"/>
        <v>690</v>
      </c>
      <c r="C165" s="74">
        <f t="shared" si="63"/>
        <v>470</v>
      </c>
      <c r="D165" s="74">
        <f t="shared" si="43"/>
        <v>3</v>
      </c>
      <c r="E165" s="74">
        <f t="shared" si="60"/>
        <v>85</v>
      </c>
      <c r="F165" s="74">
        <v>95</v>
      </c>
      <c r="G165" s="74"/>
      <c r="H165" s="74">
        <v>75</v>
      </c>
      <c r="I165" s="74"/>
      <c r="J165" s="74">
        <f t="shared" si="51"/>
        <v>153.30000000000001</v>
      </c>
      <c r="K165" s="74">
        <f t="shared" si="61"/>
        <v>125</v>
      </c>
      <c r="L165" s="74">
        <v>125</v>
      </c>
      <c r="M165" s="74">
        <f>260</f>
        <v>260</v>
      </c>
      <c r="N165" s="74">
        <f t="shared" si="41"/>
        <v>180</v>
      </c>
      <c r="O165" s="74">
        <v>120</v>
      </c>
      <c r="P165" s="74">
        <v>12.5</v>
      </c>
      <c r="Q165" s="74">
        <v>10</v>
      </c>
      <c r="R165" s="74">
        <v>100</v>
      </c>
      <c r="S165" s="74"/>
      <c r="T165" s="74">
        <f t="shared" si="71"/>
        <v>36</v>
      </c>
      <c r="U165" s="74">
        <f t="shared" si="62"/>
        <v>11</v>
      </c>
      <c r="V165" s="74"/>
      <c r="W165" s="74">
        <f t="shared" si="36"/>
        <v>20</v>
      </c>
      <c r="X165" s="74">
        <f t="shared" si="52"/>
        <v>0</v>
      </c>
      <c r="Y165" s="74">
        <f t="shared" si="73"/>
        <v>3.5</v>
      </c>
      <c r="Z165" s="74"/>
      <c r="AA165" s="74">
        <f t="shared" si="72"/>
        <v>306</v>
      </c>
      <c r="AB165" s="74"/>
      <c r="AC165" s="74"/>
      <c r="AD165" s="74">
        <v>150</v>
      </c>
      <c r="AE165" s="74">
        <f t="shared" si="58"/>
        <v>0.55000000000000004</v>
      </c>
      <c r="AF165" s="74">
        <f t="shared" si="64"/>
        <v>90</v>
      </c>
      <c r="AG165" s="74"/>
      <c r="AH165" s="74"/>
      <c r="AI165" s="74">
        <v>22.5</v>
      </c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>
        <f t="shared" si="74"/>
        <v>3143.3500000000004</v>
      </c>
      <c r="AX165" s="74">
        <v>3704</v>
      </c>
      <c r="AY165" s="62">
        <f>'[1]D4 Gallon Forecast'!$O157/1000000</f>
        <v>0</v>
      </c>
      <c r="AZ165" s="62">
        <f>'[1]D4 Gallon Forecast'!$O189/1000000</f>
        <v>180.82377399999999</v>
      </c>
      <c r="BA165" s="62">
        <f t="shared" si="39"/>
        <v>180.82377399999999</v>
      </c>
      <c r="BB165" s="62">
        <f>'[1]D4 Gallon Forecast'!$O173/1000000</f>
        <v>45.782234000000003</v>
      </c>
      <c r="BC165" s="63">
        <f>'[1]D4 Gallon Forecast'!$O349/1000000</f>
        <v>0.65930200000000005</v>
      </c>
      <c r="BD165" s="64">
        <f>'[1]D4 Gallon Forecast'!$O365/1000000</f>
        <v>0</v>
      </c>
      <c r="BE165" s="64">
        <f t="shared" si="40"/>
        <v>46.441535999999999</v>
      </c>
      <c r="BF165" s="76">
        <f t="shared" si="54"/>
        <v>227.26531</v>
      </c>
      <c r="BG165" s="77">
        <f t="shared" si="59"/>
        <v>0.722425957552428</v>
      </c>
      <c r="BH165" s="74"/>
      <c r="BI165" s="75">
        <f t="shared" si="75"/>
        <v>3069.8500000000004</v>
      </c>
      <c r="BJ165" s="75">
        <f t="shared" si="50"/>
        <v>634.14999999999964</v>
      </c>
      <c r="BK165" s="75">
        <f>'RD Feedstock Breakdown'!ES156</f>
        <v>1868.1304838154001</v>
      </c>
      <c r="BL165" s="78">
        <f t="shared" si="57"/>
        <v>8.220042398091465</v>
      </c>
      <c r="BM165" s="78">
        <f t="shared" si="55"/>
        <v>10.331221622525145</v>
      </c>
      <c r="BN165" s="69"/>
      <c r="BO165" s="69"/>
      <c r="BP165" s="69"/>
      <c r="BQ165" s="66">
        <f>'[1]D4 Gallon Forecast'!$O77/1000000</f>
        <v>143.87089700000001</v>
      </c>
      <c r="BR165" s="66">
        <f>'[1]D6 Gallon Forecast'!$O70/1000000</f>
        <v>0</v>
      </c>
      <c r="BS165" s="66">
        <f t="shared" si="65"/>
        <v>143.87089700000001</v>
      </c>
      <c r="BT165" s="60"/>
      <c r="BU165" s="67">
        <f>'[2]US EIA'!$P302</f>
        <v>1146.0268185449395</v>
      </c>
      <c r="BV165" s="68">
        <f t="shared" si="66"/>
        <v>7.9656611756923947</v>
      </c>
      <c r="BW165" s="60"/>
      <c r="BX165" s="69">
        <f t="shared" si="67"/>
        <v>0.61235014453871373</v>
      </c>
      <c r="BY165" s="69">
        <f t="shared" si="68"/>
        <v>0.38764985546128622</v>
      </c>
      <c r="BZ165" s="60"/>
      <c r="CA165" s="60"/>
      <c r="CB165" s="70">
        <f>'[1]Monthly D4 Gallon Data'!$AG166/1000000</f>
        <v>0.65930200000000005</v>
      </c>
      <c r="CC165" s="70">
        <f>'[1]Monthly D6 Gallon Data'!$O168/1000000</f>
        <v>0</v>
      </c>
      <c r="CD165" s="70">
        <f t="shared" si="49"/>
        <v>0.65930200000000005</v>
      </c>
      <c r="CE165" s="60"/>
      <c r="CF165" s="71">
        <f>'RD Feedstock Breakdown'!GQ156</f>
        <v>5.4194903931464991</v>
      </c>
      <c r="CG165" s="72">
        <f t="shared" si="69"/>
        <v>8.220042398091465</v>
      </c>
      <c r="CH165" s="73">
        <f>'[2]US EIA'!$R302+AW165</f>
        <v>5213.3500000000004</v>
      </c>
      <c r="CN165">
        <v>3704</v>
      </c>
      <c r="CO165" s="73">
        <f t="shared" si="70"/>
        <v>0</v>
      </c>
    </row>
    <row r="166" spans="1:93" ht="13.5" x14ac:dyDescent="0.25">
      <c r="A166" s="59">
        <v>45200</v>
      </c>
      <c r="B166" s="74">
        <f t="shared" si="56"/>
        <v>690</v>
      </c>
      <c r="C166" s="74">
        <f t="shared" si="63"/>
        <v>470</v>
      </c>
      <c r="D166" s="74">
        <f t="shared" si="43"/>
        <v>3</v>
      </c>
      <c r="E166" s="74">
        <f t="shared" si="60"/>
        <v>85</v>
      </c>
      <c r="F166" s="74">
        <v>95</v>
      </c>
      <c r="G166" s="74"/>
      <c r="H166" s="74">
        <v>75</v>
      </c>
      <c r="I166" s="74"/>
      <c r="J166" s="74">
        <f t="shared" si="51"/>
        <v>153.30000000000001</v>
      </c>
      <c r="K166" s="74">
        <f t="shared" si="61"/>
        <v>125</v>
      </c>
      <c r="L166" s="74">
        <v>125</v>
      </c>
      <c r="M166" s="74">
        <v>540</v>
      </c>
      <c r="N166" s="74">
        <f t="shared" si="41"/>
        <v>180</v>
      </c>
      <c r="O166" s="74">
        <v>120</v>
      </c>
      <c r="P166" s="74">
        <f t="shared" ref="P166:P229" si="76">100*$P$12</f>
        <v>50</v>
      </c>
      <c r="Q166" s="74">
        <f t="shared" ref="Q166:Q229" si="77">$Q$5*$Q$12</f>
        <v>21</v>
      </c>
      <c r="R166" s="74">
        <v>100</v>
      </c>
      <c r="S166" s="74"/>
      <c r="T166" s="74">
        <f t="shared" si="71"/>
        <v>36</v>
      </c>
      <c r="U166" s="74">
        <f t="shared" si="62"/>
        <v>11</v>
      </c>
      <c r="V166" s="74"/>
      <c r="W166" s="74">
        <f t="shared" ref="W166:W229" si="78">$W$5*$W$12</f>
        <v>20</v>
      </c>
      <c r="X166" s="74">
        <f t="shared" si="52"/>
        <v>0</v>
      </c>
      <c r="Y166" s="74">
        <f t="shared" si="73"/>
        <v>3.5</v>
      </c>
      <c r="Z166" s="74"/>
      <c r="AA166" s="74">
        <f t="shared" si="72"/>
        <v>306</v>
      </c>
      <c r="AB166" s="74"/>
      <c r="AC166" s="74"/>
      <c r="AD166" s="74">
        <f>150*$AD$12</f>
        <v>135</v>
      </c>
      <c r="AE166" s="74">
        <f t="shared" si="58"/>
        <v>0.55000000000000004</v>
      </c>
      <c r="AF166" s="74">
        <f t="shared" si="64"/>
        <v>90</v>
      </c>
      <c r="AG166" s="74"/>
      <c r="AH166" s="74"/>
      <c r="AI166" s="74">
        <v>30</v>
      </c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>
        <f t="shared" si="74"/>
        <v>3464.3500000000004</v>
      </c>
      <c r="AX166" s="74">
        <v>3857</v>
      </c>
      <c r="AY166" s="62">
        <f>'[1]D4 Gallon Forecast'!$O158/1000000</f>
        <v>0</v>
      </c>
      <c r="AZ166" s="62">
        <f>'[1]D4 Gallon Forecast'!$O190/1000000</f>
        <v>150.84520900000001</v>
      </c>
      <c r="BA166" s="62">
        <f t="shared" si="39"/>
        <v>150.84520900000001</v>
      </c>
      <c r="BB166" s="62">
        <f>'[1]D4 Gallon Forecast'!$O174/1000000</f>
        <v>56.281753999999999</v>
      </c>
      <c r="BC166" s="63">
        <f>'[1]D4 Gallon Forecast'!$O350/1000000</f>
        <v>1.4651369999999999</v>
      </c>
      <c r="BD166" s="64">
        <f>'[1]D4 Gallon Forecast'!$O366/1000000</f>
        <v>0</v>
      </c>
      <c r="BE166" s="64">
        <f t="shared" si="40"/>
        <v>57.746890999999998</v>
      </c>
      <c r="BF166" s="76">
        <f t="shared" si="54"/>
        <v>208.59210000000002</v>
      </c>
      <c r="BG166" s="77">
        <f t="shared" si="59"/>
        <v>0.65799080891884887</v>
      </c>
      <c r="BH166" s="74"/>
      <c r="BI166" s="75">
        <f t="shared" si="75"/>
        <v>3390.8500000000004</v>
      </c>
      <c r="BJ166" s="75">
        <f t="shared" si="50"/>
        <v>466.14999999999964</v>
      </c>
      <c r="BK166" s="75">
        <f>'RD Feedstock Breakdown'!ES157</f>
        <v>1695.2206435057763</v>
      </c>
      <c r="BL166" s="78">
        <f t="shared" si="57"/>
        <v>8.1269647484529663</v>
      </c>
      <c r="BM166" s="78">
        <f t="shared" si="55"/>
        <v>11.238147069727459</v>
      </c>
      <c r="BN166" s="69"/>
      <c r="BO166" s="69"/>
      <c r="BP166" s="69"/>
      <c r="BQ166" s="66">
        <f>'[1]D4 Gallon Forecast'!$O78/1000000</f>
        <v>144.087366</v>
      </c>
      <c r="BR166" s="66">
        <f>'[1]D6 Gallon Forecast'!$O71/1000000</f>
        <v>0</v>
      </c>
      <c r="BS166" s="66">
        <f t="shared" si="65"/>
        <v>144.087366</v>
      </c>
      <c r="BT166" s="60"/>
      <c r="BU166" s="67">
        <f>'[2]US EIA'!$P303</f>
        <v>1165.1931496672823</v>
      </c>
      <c r="BV166" s="68">
        <f t="shared" si="66"/>
        <v>8.0867128188552098</v>
      </c>
      <c r="BW166" s="60"/>
      <c r="BX166" s="69">
        <f t="shared" si="67"/>
        <v>0.59144951750607444</v>
      </c>
      <c r="BY166" s="69">
        <f t="shared" si="68"/>
        <v>0.40855048249392545</v>
      </c>
      <c r="BZ166" s="60"/>
      <c r="CA166" s="60"/>
      <c r="CB166" s="70">
        <f>'[1]Monthly D4 Gallon Data'!$AG167/1000000</f>
        <v>1.4651369999999999</v>
      </c>
      <c r="CC166" s="70">
        <f>'[1]Monthly D6 Gallon Data'!$O169/1000000</f>
        <v>0.48815500000000001</v>
      </c>
      <c r="CD166" s="70">
        <f t="shared" si="49"/>
        <v>1.9532919999999998</v>
      </c>
      <c r="CE166" s="60"/>
      <c r="CF166" s="71">
        <f>'RD Feedstock Breakdown'!GQ157</f>
        <v>11.907116750654136</v>
      </c>
      <c r="CG166" s="72">
        <f t="shared" si="69"/>
        <v>8.1269647484529681</v>
      </c>
      <c r="CH166" s="73">
        <f>'[2]US EIA'!$R303+AW166</f>
        <v>5543.35</v>
      </c>
      <c r="CN166">
        <v>3704</v>
      </c>
      <c r="CO166" s="73">
        <f t="shared" si="70"/>
        <v>153</v>
      </c>
    </row>
    <row r="167" spans="1:93" ht="13.5" x14ac:dyDescent="0.25">
      <c r="A167" s="59">
        <v>45231</v>
      </c>
      <c r="B167" s="74">
        <f t="shared" si="56"/>
        <v>690</v>
      </c>
      <c r="C167" s="74">
        <f t="shared" si="63"/>
        <v>470</v>
      </c>
      <c r="D167" s="74">
        <f t="shared" si="43"/>
        <v>3</v>
      </c>
      <c r="E167" s="74">
        <f t="shared" si="60"/>
        <v>85</v>
      </c>
      <c r="F167" s="74">
        <v>95</v>
      </c>
      <c r="G167" s="74"/>
      <c r="H167" s="74">
        <f>50+((200*$H$12)*0.5)</f>
        <v>120</v>
      </c>
      <c r="I167" s="74"/>
      <c r="J167" s="74">
        <f t="shared" si="51"/>
        <v>153.30000000000001</v>
      </c>
      <c r="K167" s="74">
        <f t="shared" si="61"/>
        <v>125</v>
      </c>
      <c r="L167" s="74">
        <v>125</v>
      </c>
      <c r="M167" s="74">
        <v>650</v>
      </c>
      <c r="N167" s="74">
        <f t="shared" si="41"/>
        <v>180</v>
      </c>
      <c r="O167" s="74">
        <v>120</v>
      </c>
      <c r="P167" s="74">
        <f t="shared" si="76"/>
        <v>50</v>
      </c>
      <c r="Q167" s="74">
        <f t="shared" si="77"/>
        <v>21</v>
      </c>
      <c r="R167" s="74">
        <v>100</v>
      </c>
      <c r="S167" s="74"/>
      <c r="T167" s="74">
        <f t="shared" si="71"/>
        <v>36</v>
      </c>
      <c r="U167" s="74">
        <f t="shared" si="62"/>
        <v>11</v>
      </c>
      <c r="V167" s="74"/>
      <c r="W167" s="74">
        <f t="shared" si="78"/>
        <v>20</v>
      </c>
      <c r="X167" s="74">
        <f t="shared" si="52"/>
        <v>0</v>
      </c>
      <c r="Y167" s="74">
        <f t="shared" si="73"/>
        <v>3.5</v>
      </c>
      <c r="Z167" s="74"/>
      <c r="AA167" s="74">
        <f t="shared" si="72"/>
        <v>306</v>
      </c>
      <c r="AB167" s="74"/>
      <c r="AC167" s="74"/>
      <c r="AD167" s="74">
        <v>75</v>
      </c>
      <c r="AE167" s="74">
        <f t="shared" si="58"/>
        <v>0.55000000000000004</v>
      </c>
      <c r="AF167" s="74">
        <f t="shared" si="64"/>
        <v>90</v>
      </c>
      <c r="AG167" s="74"/>
      <c r="AH167" s="74"/>
      <c r="AI167" s="74">
        <f t="shared" ref="AI167:AI230" si="79">$AI$5*$AI$12</f>
        <v>47</v>
      </c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>
        <f t="shared" si="74"/>
        <v>3576.3500000000004</v>
      </c>
      <c r="AX167" s="74">
        <v>3897</v>
      </c>
      <c r="AY167" s="62">
        <f>'[1]D4 Gallon Forecast'!$O159/1000000</f>
        <v>0</v>
      </c>
      <c r="AZ167" s="62">
        <f>'[1]D4 Gallon Forecast'!$O191/1000000</f>
        <v>151.21486100000001</v>
      </c>
      <c r="BA167" s="62">
        <f t="shared" si="39"/>
        <v>151.21486100000001</v>
      </c>
      <c r="BB167" s="62">
        <f>'[1]D4 Gallon Forecast'!$O175/1000000</f>
        <v>49.803089</v>
      </c>
      <c r="BC167" s="63">
        <f>'[1]D4 Gallon Forecast'!$O351/1000000</f>
        <v>0</v>
      </c>
      <c r="BD167" s="64">
        <f>'[1]D4 Gallon Forecast'!$O367/1000000</f>
        <v>0</v>
      </c>
      <c r="BE167" s="64">
        <f t="shared" si="40"/>
        <v>49.803089</v>
      </c>
      <c r="BF167" s="76">
        <f t="shared" si="54"/>
        <v>201.01795000000001</v>
      </c>
      <c r="BG167" s="77">
        <f t="shared" si="59"/>
        <v>0.60734520143700288</v>
      </c>
      <c r="BH167" s="74"/>
      <c r="BI167" s="75">
        <f t="shared" si="75"/>
        <v>3502.8500000000004</v>
      </c>
      <c r="BJ167" s="75">
        <f t="shared" si="50"/>
        <v>394.14999999999964</v>
      </c>
      <c r="BK167" s="75">
        <f>'RD Feedstock Breakdown'!ES158</f>
        <v>1652.4848462418813</v>
      </c>
      <c r="BL167" s="78">
        <f t="shared" si="57"/>
        <v>8.220583516257534</v>
      </c>
      <c r="BM167" s="78">
        <f t="shared" si="55"/>
        <v>10.928058494474833</v>
      </c>
      <c r="BN167" s="69"/>
      <c r="BO167" s="69"/>
      <c r="BP167" s="69"/>
      <c r="BQ167" s="66">
        <f>'[1]D4 Gallon Forecast'!$O79/1000000</f>
        <v>135.022031</v>
      </c>
      <c r="BR167" s="66">
        <f>'[1]D6 Gallon Forecast'!$O72/1000000</f>
        <v>5.4198000000000003E-2</v>
      </c>
      <c r="BS167" s="66">
        <f t="shared" si="65"/>
        <v>135.07622900000001</v>
      </c>
      <c r="BT167" s="60"/>
      <c r="BU167" s="67">
        <f>'[2]US EIA'!$P304</f>
        <v>1089.2298088213965</v>
      </c>
      <c r="BV167" s="68">
        <f t="shared" si="66"/>
        <v>8.0638156460630572</v>
      </c>
      <c r="BW167" s="60"/>
      <c r="BX167" s="69">
        <f t="shared" si="67"/>
        <v>0.59810006408947647</v>
      </c>
      <c r="BY167" s="69">
        <f t="shared" si="68"/>
        <v>0.40189993591052342</v>
      </c>
      <c r="BZ167" s="60"/>
      <c r="CA167" s="60"/>
      <c r="CB167" s="70">
        <f>'[1]Monthly D4 Gallon Data'!$AG168/1000000</f>
        <v>0</v>
      </c>
      <c r="CC167" s="70">
        <f>'[1]Monthly D6 Gallon Data'!$O170/1000000</f>
        <v>0.44977800000000001</v>
      </c>
      <c r="CD167" s="70">
        <f t="shared" si="49"/>
        <v>0.44977800000000001</v>
      </c>
      <c r="CE167" s="60"/>
      <c r="CF167" s="71">
        <f>'RD Feedstock Breakdown'!GQ158</f>
        <v>0</v>
      </c>
      <c r="CG167" s="72" t="e">
        <f t="shared" si="69"/>
        <v>#DIV/0!</v>
      </c>
      <c r="CH167" s="73">
        <f>'[2]US EIA'!$R304+AW167</f>
        <v>5655.35</v>
      </c>
      <c r="CN167">
        <v>3857</v>
      </c>
      <c r="CO167" s="73">
        <f t="shared" si="70"/>
        <v>40</v>
      </c>
    </row>
    <row r="168" spans="1:93" ht="13.5" x14ac:dyDescent="0.25">
      <c r="A168" s="59">
        <v>45261</v>
      </c>
      <c r="B168" s="74">
        <f t="shared" si="56"/>
        <v>690</v>
      </c>
      <c r="C168" s="74">
        <f t="shared" si="63"/>
        <v>470</v>
      </c>
      <c r="D168" s="74">
        <f t="shared" si="43"/>
        <v>3</v>
      </c>
      <c r="E168" s="74">
        <f t="shared" si="60"/>
        <v>85</v>
      </c>
      <c r="F168" s="74">
        <v>95</v>
      </c>
      <c r="G168" s="74"/>
      <c r="H168" s="74">
        <f>50+((200*$H$12)*0.75)</f>
        <v>155</v>
      </c>
      <c r="I168" s="74"/>
      <c r="J168" s="74">
        <f t="shared" si="51"/>
        <v>153.30000000000001</v>
      </c>
      <c r="K168" s="74">
        <f t="shared" si="61"/>
        <v>125</v>
      </c>
      <c r="L168" s="74">
        <v>125</v>
      </c>
      <c r="M168" s="74">
        <v>730</v>
      </c>
      <c r="N168" s="74">
        <f t="shared" si="41"/>
        <v>180</v>
      </c>
      <c r="O168" s="74">
        <v>120</v>
      </c>
      <c r="P168" s="74">
        <f t="shared" si="76"/>
        <v>50</v>
      </c>
      <c r="Q168" s="74">
        <f t="shared" si="77"/>
        <v>21</v>
      </c>
      <c r="R168" s="74">
        <v>100</v>
      </c>
      <c r="S168" s="74"/>
      <c r="T168" s="74">
        <f t="shared" si="71"/>
        <v>36</v>
      </c>
      <c r="U168" s="74">
        <f t="shared" si="62"/>
        <v>11</v>
      </c>
      <c r="V168" s="74"/>
      <c r="W168" s="74">
        <f t="shared" si="78"/>
        <v>20</v>
      </c>
      <c r="X168" s="74">
        <f t="shared" si="52"/>
        <v>0</v>
      </c>
      <c r="Y168" s="74">
        <f t="shared" si="73"/>
        <v>3.5</v>
      </c>
      <c r="Z168" s="74"/>
      <c r="AA168" s="74">
        <f t="shared" si="72"/>
        <v>306</v>
      </c>
      <c r="AB168" s="74"/>
      <c r="AC168" s="74"/>
      <c r="AD168" s="74">
        <f>150*$AD$12+(50*$AD$12)</f>
        <v>180</v>
      </c>
      <c r="AE168" s="74">
        <f t="shared" si="58"/>
        <v>0.55000000000000004</v>
      </c>
      <c r="AF168" s="74">
        <f t="shared" si="64"/>
        <v>90</v>
      </c>
      <c r="AG168" s="74"/>
      <c r="AH168" s="74"/>
      <c r="AI168" s="74">
        <f t="shared" si="79"/>
        <v>47</v>
      </c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>
        <f t="shared" si="74"/>
        <v>3796.3500000000004</v>
      </c>
      <c r="AX168" s="74">
        <v>3857</v>
      </c>
      <c r="AY168" s="62">
        <f>'[1]D4 Gallon Forecast'!$O160/1000000</f>
        <v>0</v>
      </c>
      <c r="AZ168" s="62">
        <f>'[1]D4 Gallon Forecast'!$O192/1000000</f>
        <v>213.84924100000001</v>
      </c>
      <c r="BA168" s="62">
        <f t="shared" si="39"/>
        <v>213.84924100000001</v>
      </c>
      <c r="BB168" s="62">
        <f>'[1]D4 Gallon Forecast'!$O176/1000000</f>
        <v>57.399372</v>
      </c>
      <c r="BC168" s="63">
        <f>'[1]D4 Gallon Forecast'!$O352/1000000</f>
        <v>0.117932</v>
      </c>
      <c r="BD168" s="64">
        <f>'[1]D4 Gallon Forecast'!$O368/1000000</f>
        <v>0</v>
      </c>
      <c r="BE168" s="64">
        <f t="shared" si="40"/>
        <v>57.517304000000003</v>
      </c>
      <c r="BF168" s="76">
        <f t="shared" si="54"/>
        <v>271.36654500000003</v>
      </c>
      <c r="BG168" s="77">
        <f t="shared" si="59"/>
        <v>0.85600889227378796</v>
      </c>
      <c r="BH168" s="77">
        <f>AVERAGE(BG157:BG168)</f>
        <v>0.66642339672028927</v>
      </c>
      <c r="BI168" s="75">
        <f t="shared" si="75"/>
        <v>3722.8500000000004</v>
      </c>
      <c r="BJ168" s="75">
        <f t="shared" si="50"/>
        <v>134.14999999999964</v>
      </c>
      <c r="BK168" s="75">
        <f>'RD Feedstock Breakdown'!ES159</f>
        <v>2180.046254914379</v>
      </c>
      <c r="BL168" s="78">
        <f t="shared" si="57"/>
        <v>8.0335851824121463</v>
      </c>
      <c r="BM168" s="78">
        <f t="shared" si="55"/>
        <v>10.194313735789125</v>
      </c>
      <c r="BN168" s="69"/>
      <c r="BO168" s="69"/>
      <c r="BP168" s="69"/>
      <c r="BQ168" s="66">
        <f>'[1]D4 Gallon Forecast'!$O80/1000000</f>
        <v>135.71632500000001</v>
      </c>
      <c r="BR168" s="66">
        <f>'[1]D6 Gallon Forecast'!$O73/1000000</f>
        <v>1.015738</v>
      </c>
      <c r="BS168" s="66">
        <f t="shared" si="65"/>
        <v>136.73206300000001</v>
      </c>
      <c r="BT168" s="60"/>
      <c r="BU168" s="67">
        <f>'[2]US EIA'!$P305</f>
        <v>1131.3412180919649</v>
      </c>
      <c r="BV168" s="68">
        <f t="shared" si="66"/>
        <v>8.2741472136785124</v>
      </c>
      <c r="BW168" s="60"/>
      <c r="BX168" s="69">
        <f t="shared" si="67"/>
        <v>0.66495337077944661</v>
      </c>
      <c r="BY168" s="69">
        <f t="shared" si="68"/>
        <v>0.3350466292205535</v>
      </c>
      <c r="BZ168" s="60"/>
      <c r="CA168" s="60"/>
      <c r="CB168" s="70">
        <f>'[1]Monthly D4 Gallon Data'!$AG169/1000000</f>
        <v>0.117932</v>
      </c>
      <c r="CC168" s="70">
        <f>'[1]Monthly D6 Gallon Data'!$O171/1000000</f>
        <v>1.4397E-2</v>
      </c>
      <c r="CD168" s="70">
        <f t="shared" si="49"/>
        <v>0.132329</v>
      </c>
      <c r="CE168" s="60"/>
      <c r="CF168" s="71">
        <f>'RD Feedstock Breakdown'!GQ159</f>
        <v>0.94741676773222927</v>
      </c>
      <c r="CG168" s="72">
        <f t="shared" si="69"/>
        <v>8.0335851824121463</v>
      </c>
      <c r="CH168" s="73">
        <f>'[2]US EIA'!$R305+AW168</f>
        <v>5869.35</v>
      </c>
      <c r="CN168">
        <v>3857</v>
      </c>
      <c r="CO168" s="73">
        <f t="shared" si="70"/>
        <v>0</v>
      </c>
    </row>
    <row r="169" spans="1:93" ht="13.5" x14ac:dyDescent="0.25">
      <c r="A169" s="59">
        <v>45292</v>
      </c>
      <c r="B169" s="74">
        <f t="shared" si="56"/>
        <v>690</v>
      </c>
      <c r="C169" s="74">
        <f t="shared" si="63"/>
        <v>470</v>
      </c>
      <c r="D169" s="74">
        <f t="shared" si="43"/>
        <v>3</v>
      </c>
      <c r="E169" s="74">
        <f t="shared" si="60"/>
        <v>85</v>
      </c>
      <c r="F169" s="82">
        <v>95</v>
      </c>
      <c r="G169" s="74"/>
      <c r="H169" s="74">
        <f>50+((200*$H$12)*1)</f>
        <v>190</v>
      </c>
      <c r="I169" s="74"/>
      <c r="J169" s="74">
        <f t="shared" si="51"/>
        <v>153.30000000000001</v>
      </c>
      <c r="K169" s="74">
        <f t="shared" si="61"/>
        <v>125</v>
      </c>
      <c r="L169" s="74">
        <v>125</v>
      </c>
      <c r="M169" s="74">
        <v>730</v>
      </c>
      <c r="N169" s="74">
        <f t="shared" si="41"/>
        <v>180</v>
      </c>
      <c r="O169" s="74">
        <v>120</v>
      </c>
      <c r="P169" s="74">
        <f t="shared" si="76"/>
        <v>50</v>
      </c>
      <c r="Q169" s="74">
        <f t="shared" si="77"/>
        <v>21</v>
      </c>
      <c r="R169" s="74">
        <v>100</v>
      </c>
      <c r="S169" s="74"/>
      <c r="T169" s="74">
        <f t="shared" si="71"/>
        <v>36</v>
      </c>
      <c r="U169" s="74">
        <f t="shared" si="62"/>
        <v>11</v>
      </c>
      <c r="V169" s="74"/>
      <c r="W169" s="74">
        <f t="shared" si="78"/>
        <v>20</v>
      </c>
      <c r="X169" s="74">
        <f t="shared" si="52"/>
        <v>0</v>
      </c>
      <c r="Y169" s="74">
        <f t="shared" si="73"/>
        <v>3.5</v>
      </c>
      <c r="Z169" s="74"/>
      <c r="AA169" s="74">
        <f t="shared" si="72"/>
        <v>306</v>
      </c>
      <c r="AB169" s="74"/>
      <c r="AC169" s="74"/>
      <c r="AD169" s="74">
        <f t="shared" ref="AD169:AD232" si="80">150*$AD$12+(50*$AD$12)</f>
        <v>180</v>
      </c>
      <c r="AE169" s="74">
        <f t="shared" si="58"/>
        <v>0.55000000000000004</v>
      </c>
      <c r="AF169" s="74">
        <f t="shared" si="64"/>
        <v>90</v>
      </c>
      <c r="AG169" s="74"/>
      <c r="AH169" s="74"/>
      <c r="AI169" s="74">
        <f t="shared" si="79"/>
        <v>47</v>
      </c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>
        <f>AX181-AX169</f>
        <v>252</v>
      </c>
      <c r="AW169" s="74">
        <f t="shared" si="74"/>
        <v>3831.3500000000004</v>
      </c>
      <c r="AX169" s="74">
        <v>4328</v>
      </c>
      <c r="AY169" s="62">
        <f>'[1]D4 Gallon Forecast'!$P149/1000000</f>
        <v>0</v>
      </c>
      <c r="AZ169" s="62">
        <f>'[1]D4 Gallon Forecast'!$P181/1000000</f>
        <v>176.63105899999999</v>
      </c>
      <c r="BA169" s="62">
        <f t="shared" si="39"/>
        <v>176.63105899999999</v>
      </c>
      <c r="BB169" s="62">
        <f>'[1]D4 Gallon Forecast'!$P165/1000000</f>
        <v>48.378427000000002</v>
      </c>
      <c r="BC169" s="63">
        <f>'[1]D4 Gallon Forecast'!$P341/1000000</f>
        <v>0.833897</v>
      </c>
      <c r="BD169" s="64">
        <f>'[1]D4 Gallon Forecast'!$P357/1000000</f>
        <v>0</v>
      </c>
      <c r="BE169" s="64">
        <f t="shared" si="40"/>
        <v>49.212324000000002</v>
      </c>
      <c r="BF169" s="76">
        <f t="shared" si="54"/>
        <v>225.84338299999999</v>
      </c>
      <c r="BG169" s="77">
        <f t="shared" si="59"/>
        <v>0.61440011623486968</v>
      </c>
      <c r="BH169" s="74"/>
      <c r="BI169" s="75">
        <f t="shared" si="75"/>
        <v>3757.8500000000004</v>
      </c>
      <c r="BJ169" s="75">
        <f>AX169-BI169</f>
        <v>570.14999999999964</v>
      </c>
      <c r="BK169" s="75">
        <f>'RD Feedstock Breakdown'!ES160</f>
        <v>1804.2589462732228</v>
      </c>
      <c r="BL169" s="78">
        <f t="shared" si="57"/>
        <v>7.9889829947916731</v>
      </c>
      <c r="BM169" s="78">
        <f t="shared" si="55"/>
        <v>10.214845319323047</v>
      </c>
      <c r="BN169" s="69"/>
      <c r="BO169" s="69"/>
      <c r="BP169" s="69"/>
      <c r="BQ169" s="66">
        <f>'[1]D4 Gallon Forecast'!$P69/1000000</f>
        <v>120.715672</v>
      </c>
      <c r="BR169" s="66">
        <f>'[1]D6 Gallon Forecast'!$P62/1000000</f>
        <v>0</v>
      </c>
      <c r="BS169" s="66">
        <f>SUM(BQ169:BR169)</f>
        <v>120.715672</v>
      </c>
      <c r="BT169" s="60"/>
      <c r="BU169" s="67">
        <f>'[2]US EIA'!$P306</f>
        <v>1019.625347931446</v>
      </c>
      <c r="BV169" s="68">
        <f t="shared" si="66"/>
        <v>8.4465035155621386</v>
      </c>
      <c r="BW169" s="60"/>
      <c r="BX169" s="69">
        <f t="shared" si="67"/>
        <v>0.65167358850283108</v>
      </c>
      <c r="BY169" s="69">
        <f t="shared" si="68"/>
        <v>0.34832641149716892</v>
      </c>
      <c r="BZ169" s="60"/>
      <c r="CA169" s="60"/>
      <c r="CB169" s="70">
        <f>'[1]Monthly D4 Gallon Data'!$AG170/1000000</f>
        <v>0.833897</v>
      </c>
      <c r="CC169" s="70">
        <f>'[1]Monthly D6 Gallon Data'!$O172/1000000</f>
        <v>0</v>
      </c>
      <c r="CD169" s="70">
        <f t="shared" si="49"/>
        <v>0.833897</v>
      </c>
      <c r="CE169" s="60"/>
      <c r="CF169" s="71">
        <f>'RD Feedstock Breakdown'!GQ160</f>
        <v>6.66198895240779</v>
      </c>
      <c r="CG169" s="72">
        <f t="shared" si="69"/>
        <v>7.9889829947916713</v>
      </c>
      <c r="CH169" s="73">
        <f>'[2]US EIA'!$R306+AW169</f>
        <v>5904.35</v>
      </c>
      <c r="CN169">
        <v>3857</v>
      </c>
      <c r="CO169" s="73">
        <f t="shared" si="70"/>
        <v>471</v>
      </c>
    </row>
    <row r="170" spans="1:93" ht="13.5" x14ac:dyDescent="0.25">
      <c r="A170" s="59">
        <v>45323</v>
      </c>
      <c r="B170" s="74">
        <f t="shared" si="56"/>
        <v>690</v>
      </c>
      <c r="C170" s="74">
        <f t="shared" si="63"/>
        <v>470</v>
      </c>
      <c r="D170" s="74">
        <f t="shared" si="43"/>
        <v>3</v>
      </c>
      <c r="E170" s="74">
        <f t="shared" si="60"/>
        <v>85</v>
      </c>
      <c r="F170" s="82">
        <v>95</v>
      </c>
      <c r="G170" s="74"/>
      <c r="H170" s="74">
        <f t="shared" ref="H170:H233" si="81">50+((200*$H$12)*1)</f>
        <v>190</v>
      </c>
      <c r="I170" s="74"/>
      <c r="J170" s="74">
        <f t="shared" si="51"/>
        <v>153.30000000000001</v>
      </c>
      <c r="K170" s="74">
        <f t="shared" si="61"/>
        <v>125</v>
      </c>
      <c r="L170" s="74">
        <v>125</v>
      </c>
      <c r="M170" s="74">
        <v>730</v>
      </c>
      <c r="N170" s="74">
        <f t="shared" si="41"/>
        <v>180</v>
      </c>
      <c r="O170" s="74">
        <v>120</v>
      </c>
      <c r="P170" s="74">
        <f t="shared" si="76"/>
        <v>50</v>
      </c>
      <c r="Q170" s="74">
        <f t="shared" si="77"/>
        <v>21</v>
      </c>
      <c r="R170" s="74">
        <v>100</v>
      </c>
      <c r="S170" s="74"/>
      <c r="T170" s="74">
        <f t="shared" si="71"/>
        <v>36</v>
      </c>
      <c r="U170" s="74">
        <f t="shared" si="62"/>
        <v>11</v>
      </c>
      <c r="V170" s="74"/>
      <c r="W170" s="74">
        <f t="shared" si="78"/>
        <v>20</v>
      </c>
      <c r="X170" s="74">
        <f t="shared" si="52"/>
        <v>0</v>
      </c>
      <c r="Y170" s="74">
        <f t="shared" si="73"/>
        <v>3.5</v>
      </c>
      <c r="Z170" s="74"/>
      <c r="AA170" s="74">
        <f t="shared" si="72"/>
        <v>306</v>
      </c>
      <c r="AB170" s="74"/>
      <c r="AC170" s="74"/>
      <c r="AD170" s="74">
        <f t="shared" si="80"/>
        <v>180</v>
      </c>
      <c r="AE170" s="74">
        <f t="shared" si="58"/>
        <v>0.55000000000000004</v>
      </c>
      <c r="AF170" s="74">
        <f t="shared" si="64"/>
        <v>90</v>
      </c>
      <c r="AG170" s="74"/>
      <c r="AH170" s="74"/>
      <c r="AI170" s="74">
        <f t="shared" si="79"/>
        <v>47</v>
      </c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>
        <f t="shared" si="74"/>
        <v>3831.3500000000004</v>
      </c>
      <c r="AX170" s="74">
        <v>4328</v>
      </c>
      <c r="AY170" s="62">
        <f>'[1]D4 Gallon Forecast'!$P150/1000000</f>
        <v>0</v>
      </c>
      <c r="AZ170" s="62">
        <f>'[1]D4 Gallon Forecast'!$P182/1000000</f>
        <v>180.67303200000001</v>
      </c>
      <c r="BA170" s="62">
        <f t="shared" si="39"/>
        <v>180.67303200000001</v>
      </c>
      <c r="BB170" s="62">
        <f>'[1]D4 Gallon Forecast'!$P166/1000000</f>
        <v>45.465400000000002</v>
      </c>
      <c r="BC170" s="63">
        <f>'[1]D4 Gallon Forecast'!$P342/1000000</f>
        <v>1.254939</v>
      </c>
      <c r="BD170" s="64">
        <f>'[1]D4 Gallon Forecast'!$P358/1000000</f>
        <v>0</v>
      </c>
      <c r="BE170" s="64">
        <f t="shared" si="40"/>
        <v>46.720339000000003</v>
      </c>
      <c r="BF170" s="76">
        <f t="shared" si="54"/>
        <v>227.393371</v>
      </c>
      <c r="BG170" s="77">
        <f t="shared" si="59"/>
        <v>0.61861681187019257</v>
      </c>
      <c r="BH170" s="74"/>
      <c r="BI170" s="75">
        <f t="shared" si="75"/>
        <v>3757.8500000000004</v>
      </c>
      <c r="BJ170" s="75">
        <f t="shared" si="50"/>
        <v>570.14999999999964</v>
      </c>
      <c r="BK170" s="75">
        <f>'RD Feedstock Breakdown'!ES161</f>
        <v>1828.0822134192329</v>
      </c>
      <c r="BL170" s="78">
        <f t="shared" si="57"/>
        <v>8.0392942211988796</v>
      </c>
      <c r="BM170" s="78">
        <f t="shared" si="55"/>
        <v>10.118179748149867</v>
      </c>
      <c r="BN170" s="69"/>
      <c r="BO170" s="69"/>
      <c r="BP170" s="69"/>
      <c r="BQ170" s="66">
        <f>'[1]D4 Gallon Forecast'!$P70/1000000</f>
        <v>125.799224</v>
      </c>
      <c r="BR170" s="66">
        <f>'[1]D6 Gallon Forecast'!$P63/1000000</f>
        <v>0</v>
      </c>
      <c r="BS170" s="66">
        <f t="shared" ref="BS170:BS233" si="82">SUM(BQ170:BR170)</f>
        <v>125.799224</v>
      </c>
      <c r="BT170" s="60"/>
      <c r="BU170" s="67">
        <f>'[2]US EIA'!$P307</f>
        <v>995.05829515130119</v>
      </c>
      <c r="BV170" s="68">
        <f t="shared" si="66"/>
        <v>7.9098921560223712</v>
      </c>
      <c r="BW170" s="60"/>
      <c r="BX170" s="69">
        <f t="shared" si="67"/>
        <v>0.64382258920235858</v>
      </c>
      <c r="BY170" s="69">
        <f t="shared" si="68"/>
        <v>0.35617741079764142</v>
      </c>
      <c r="BZ170" s="60"/>
      <c r="CA170" s="60"/>
      <c r="CB170" s="70">
        <f>'[1]Monthly D4 Gallon Data'!$AG171/1000000</f>
        <v>1.254939</v>
      </c>
      <c r="CC170" s="70">
        <f>'[1]Monthly D6 Gallon Data'!$O173/1000000</f>
        <v>0</v>
      </c>
      <c r="CD170" s="70">
        <f t="shared" si="49"/>
        <v>1.254939</v>
      </c>
      <c r="CE170" s="60"/>
      <c r="CF170" s="71">
        <f>'RD Feedstock Breakdown'!GQ161</f>
        <v>10.0888238506571</v>
      </c>
      <c r="CG170" s="72">
        <f t="shared" si="69"/>
        <v>8.0392942211988796</v>
      </c>
      <c r="CH170" s="73">
        <f>'[2]US EIA'!$R307+AW170</f>
        <v>5815.35</v>
      </c>
      <c r="CN170">
        <v>3957</v>
      </c>
      <c r="CO170" s="73">
        <f t="shared" si="70"/>
        <v>371</v>
      </c>
    </row>
    <row r="171" spans="1:93" ht="13.5" x14ac:dyDescent="0.25">
      <c r="A171" s="59">
        <v>45352</v>
      </c>
      <c r="B171" s="74">
        <f t="shared" si="56"/>
        <v>690</v>
      </c>
      <c r="C171" s="74">
        <f t="shared" si="63"/>
        <v>470</v>
      </c>
      <c r="D171" s="74">
        <f t="shared" si="43"/>
        <v>3</v>
      </c>
      <c r="E171" s="74">
        <f t="shared" si="60"/>
        <v>85</v>
      </c>
      <c r="F171" s="82">
        <v>95</v>
      </c>
      <c r="G171" s="74"/>
      <c r="H171" s="74">
        <f t="shared" si="81"/>
        <v>190</v>
      </c>
      <c r="I171" s="74"/>
      <c r="J171" s="74">
        <f t="shared" si="51"/>
        <v>153.30000000000001</v>
      </c>
      <c r="K171" s="74">
        <f t="shared" si="61"/>
        <v>125</v>
      </c>
      <c r="L171" s="74">
        <v>125</v>
      </c>
      <c r="M171" s="74">
        <v>730</v>
      </c>
      <c r="N171" s="74">
        <f t="shared" si="41"/>
        <v>180</v>
      </c>
      <c r="O171" s="74">
        <v>120</v>
      </c>
      <c r="P171" s="74">
        <f t="shared" si="76"/>
        <v>50</v>
      </c>
      <c r="Q171" s="74">
        <f t="shared" si="77"/>
        <v>21</v>
      </c>
      <c r="R171" s="74">
        <v>100</v>
      </c>
      <c r="S171" s="74">
        <v>35</v>
      </c>
      <c r="T171" s="74">
        <f t="shared" si="71"/>
        <v>36</v>
      </c>
      <c r="U171" s="74">
        <f t="shared" si="62"/>
        <v>11</v>
      </c>
      <c r="V171" s="74"/>
      <c r="W171" s="74">
        <f t="shared" si="78"/>
        <v>20</v>
      </c>
      <c r="X171" s="74">
        <f t="shared" si="52"/>
        <v>0</v>
      </c>
      <c r="Y171" s="74">
        <f t="shared" si="73"/>
        <v>3.5</v>
      </c>
      <c r="Z171" s="74"/>
      <c r="AA171" s="74">
        <f t="shared" si="72"/>
        <v>306</v>
      </c>
      <c r="AB171" s="74"/>
      <c r="AC171" s="74"/>
      <c r="AD171" s="74">
        <f t="shared" si="80"/>
        <v>180</v>
      </c>
      <c r="AE171" s="74">
        <f t="shared" si="58"/>
        <v>0.55000000000000004</v>
      </c>
      <c r="AF171" s="74">
        <f t="shared" si="64"/>
        <v>90</v>
      </c>
      <c r="AG171" s="74"/>
      <c r="AH171" s="74"/>
      <c r="AI171" s="74">
        <f t="shared" si="79"/>
        <v>47</v>
      </c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>
        <f t="shared" si="74"/>
        <v>3866.3500000000004</v>
      </c>
      <c r="AX171" s="74">
        <v>4593</v>
      </c>
      <c r="AY171" s="62">
        <f>'[1]D4 Gallon Forecast'!$P151/1000000</f>
        <v>0</v>
      </c>
      <c r="AZ171" s="62">
        <f>'[1]D4 Gallon Forecast'!$P183/1000000</f>
        <v>164.87995599999999</v>
      </c>
      <c r="BA171" s="62">
        <f t="shared" si="39"/>
        <v>164.87995599999999</v>
      </c>
      <c r="BB171" s="62">
        <f>'[1]D4 Gallon Forecast'!$P167/1000000</f>
        <v>45.072383000000002</v>
      </c>
      <c r="BC171" s="63">
        <f>'[1]D4 Gallon Forecast'!$P343/1000000</f>
        <v>2.1192579999999999</v>
      </c>
      <c r="BD171" s="64">
        <f>'[1]D4 Gallon Forecast'!$P359/1000000</f>
        <v>0</v>
      </c>
      <c r="BE171" s="64">
        <f t="shared" si="40"/>
        <v>47.191641000000004</v>
      </c>
      <c r="BF171" s="76">
        <f t="shared" si="54"/>
        <v>212.071597</v>
      </c>
      <c r="BG171" s="77">
        <f t="shared" si="59"/>
        <v>0.58114021265493965</v>
      </c>
      <c r="BH171" s="74"/>
      <c r="BI171" s="75">
        <f t="shared" si="75"/>
        <v>3792.8500000000004</v>
      </c>
      <c r="BJ171" s="75">
        <f t="shared" si="50"/>
        <v>800.14999999999964</v>
      </c>
      <c r="BK171" s="75">
        <f>'RD Feedstock Breakdown'!ES162</f>
        <v>1707.4305964409018</v>
      </c>
      <c r="BL171" s="78">
        <f t="shared" si="57"/>
        <v>8.051198843194932</v>
      </c>
      <c r="BM171" s="78">
        <f t="shared" si="55"/>
        <v>10.355598326584353</v>
      </c>
      <c r="BN171" s="69"/>
      <c r="BO171" s="69"/>
      <c r="BP171" s="69"/>
      <c r="BQ171" s="66">
        <f>'[1]D4 Gallon Forecast'!$P71/1000000</f>
        <v>133.48508100000001</v>
      </c>
      <c r="BR171" s="66">
        <f>'[1]D6 Gallon Forecast'!$P64/1000000</f>
        <v>2.0240000000000002E-3</v>
      </c>
      <c r="BS171" s="66">
        <f t="shared" si="82"/>
        <v>133.48710500000001</v>
      </c>
      <c r="BT171" s="60"/>
      <c r="BU171" s="67">
        <f>'[2]US EIA'!$P308</f>
        <v>1041.6466047179379</v>
      </c>
      <c r="BV171" s="68">
        <f t="shared" si="66"/>
        <v>7.8033500293375733</v>
      </c>
      <c r="BW171" s="60"/>
      <c r="BX171" s="69">
        <f t="shared" si="67"/>
        <v>0.6137064289586317</v>
      </c>
      <c r="BY171" s="69">
        <f t="shared" si="68"/>
        <v>0.38629357104136824</v>
      </c>
      <c r="BZ171" s="60"/>
      <c r="CA171" s="60"/>
      <c r="CB171" s="70">
        <f>'[1]Monthly D4 Gallon Data'!$AG172/1000000</f>
        <v>2.1192579999999999</v>
      </c>
      <c r="CC171" s="70">
        <f>'[1]Monthly D6 Gallon Data'!$O174/1000000</f>
        <v>0</v>
      </c>
      <c r="CD171" s="70">
        <f t="shared" si="49"/>
        <v>2.1192579999999999</v>
      </c>
      <c r="CE171" s="60"/>
      <c r="CF171" s="71">
        <f>'RD Feedstock Breakdown'!GQ162</f>
        <v>17.06256755803161</v>
      </c>
      <c r="CG171" s="72">
        <f t="shared" si="69"/>
        <v>8.0511988431949355</v>
      </c>
      <c r="CH171" s="73">
        <f>'[2]US EIA'!$R308+AW171</f>
        <v>5850.35</v>
      </c>
      <c r="CN171">
        <v>3992</v>
      </c>
      <c r="CO171" s="73">
        <f t="shared" si="70"/>
        <v>601</v>
      </c>
    </row>
    <row r="172" spans="1:93" ht="13.5" x14ac:dyDescent="0.25">
      <c r="A172" s="59">
        <v>45383</v>
      </c>
      <c r="B172" s="74">
        <f t="shared" si="56"/>
        <v>690</v>
      </c>
      <c r="C172" s="82">
        <v>235</v>
      </c>
      <c r="D172" s="74">
        <f t="shared" si="43"/>
        <v>3</v>
      </c>
      <c r="E172" s="74">
        <f t="shared" si="60"/>
        <v>85</v>
      </c>
      <c r="F172" s="82">
        <v>95</v>
      </c>
      <c r="G172" s="74"/>
      <c r="H172" s="74">
        <f t="shared" si="81"/>
        <v>190</v>
      </c>
      <c r="I172" s="74"/>
      <c r="J172" s="74">
        <f t="shared" si="51"/>
        <v>153.30000000000001</v>
      </c>
      <c r="K172" s="74">
        <f t="shared" si="61"/>
        <v>125</v>
      </c>
      <c r="L172" s="74">
        <v>125</v>
      </c>
      <c r="M172" s="74">
        <v>730</v>
      </c>
      <c r="N172" s="74">
        <f t="shared" si="41"/>
        <v>180</v>
      </c>
      <c r="O172" s="74">
        <v>250</v>
      </c>
      <c r="P172" s="74">
        <f t="shared" si="76"/>
        <v>50</v>
      </c>
      <c r="Q172" s="74">
        <f t="shared" si="77"/>
        <v>21</v>
      </c>
      <c r="R172" s="74">
        <v>100</v>
      </c>
      <c r="S172" s="74">
        <f>$S$5*$S$12</f>
        <v>60</v>
      </c>
      <c r="T172" s="74">
        <f t="shared" si="71"/>
        <v>36</v>
      </c>
      <c r="U172" s="74">
        <f t="shared" si="62"/>
        <v>11</v>
      </c>
      <c r="V172" s="74"/>
      <c r="W172" s="74">
        <f t="shared" si="78"/>
        <v>20</v>
      </c>
      <c r="X172" s="74">
        <f t="shared" si="52"/>
        <v>0</v>
      </c>
      <c r="Y172" s="74">
        <f t="shared" si="73"/>
        <v>3.5</v>
      </c>
      <c r="Z172" s="74"/>
      <c r="AA172" s="74">
        <f t="shared" si="72"/>
        <v>306</v>
      </c>
      <c r="AB172" s="74"/>
      <c r="AC172" s="74"/>
      <c r="AD172" s="74">
        <f t="shared" si="80"/>
        <v>180</v>
      </c>
      <c r="AE172" s="74">
        <f t="shared" si="58"/>
        <v>0.55000000000000004</v>
      </c>
      <c r="AF172" s="74">
        <f t="shared" si="64"/>
        <v>90</v>
      </c>
      <c r="AG172" s="74"/>
      <c r="AH172" s="74"/>
      <c r="AI172" s="74">
        <f t="shared" si="79"/>
        <v>47</v>
      </c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>
        <f t="shared" si="74"/>
        <v>3786.3500000000004</v>
      </c>
      <c r="AX172" s="74">
        <v>4600</v>
      </c>
      <c r="AY172" s="62">
        <f>'[1]D4 Gallon Forecast'!$P152/1000000</f>
        <v>0</v>
      </c>
      <c r="AZ172" s="62">
        <f>'[1]D4 Gallon Forecast'!$P184/1000000</f>
        <v>226.64486600000001</v>
      </c>
      <c r="BA172" s="62">
        <f t="shared" si="39"/>
        <v>226.64486600000001</v>
      </c>
      <c r="BB172" s="62">
        <f>'[1]D4 Gallon Forecast'!$P168/1000000</f>
        <v>52.475285999999997</v>
      </c>
      <c r="BC172" s="63">
        <f>'[1]D4 Gallon Forecast'!$P344/1000000</f>
        <v>2.7430780000000001</v>
      </c>
      <c r="BD172" s="64">
        <f>'[1]D4 Gallon Forecast'!$P360/1000000</f>
        <v>0</v>
      </c>
      <c r="BE172" s="64">
        <f t="shared" si="40"/>
        <v>55.218363999999994</v>
      </c>
      <c r="BF172" s="76">
        <f t="shared" si="54"/>
        <v>281.86322999999999</v>
      </c>
      <c r="BG172" s="77">
        <f t="shared" si="59"/>
        <v>0.72145917917251046</v>
      </c>
      <c r="BH172" s="74"/>
      <c r="BI172" s="75">
        <f t="shared" si="75"/>
        <v>3712.8500000000004</v>
      </c>
      <c r="BJ172" s="75">
        <f t="shared" si="50"/>
        <v>887.14999999999964</v>
      </c>
      <c r="BK172" s="75">
        <f>'RD Feedstock Breakdown'!ES163</f>
        <v>2261.7797204653157</v>
      </c>
      <c r="BL172" s="78">
        <f t="shared" si="57"/>
        <v>8.0243872904788454</v>
      </c>
      <c r="BM172" s="78">
        <f t="shared" si="55"/>
        <v>9.9793997560276324</v>
      </c>
      <c r="BN172" s="69"/>
      <c r="BO172" s="69"/>
      <c r="BP172" s="69"/>
      <c r="BQ172" s="66">
        <f>'[1]D4 Gallon Forecast'!$P72/1000000</f>
        <v>135.03199599999999</v>
      </c>
      <c r="BR172" s="66">
        <f>'[1]D6 Gallon Forecast'!$P65/1000000</f>
        <v>1.089558</v>
      </c>
      <c r="BS172" s="66">
        <f t="shared" si="82"/>
        <v>136.121554</v>
      </c>
      <c r="BT172" s="60"/>
      <c r="BU172" s="67">
        <f>'[2]US EIA'!$P309</f>
        <v>1025.2540769445259</v>
      </c>
      <c r="BV172" s="68">
        <f t="shared" si="66"/>
        <v>7.5319010606103269</v>
      </c>
      <c r="BW172" s="60"/>
      <c r="BX172" s="69">
        <f t="shared" si="67"/>
        <v>0.67433849458022377</v>
      </c>
      <c r="BY172" s="69">
        <f t="shared" si="68"/>
        <v>0.32566150541977623</v>
      </c>
      <c r="BZ172" s="60"/>
      <c r="CA172" s="60"/>
      <c r="CB172" s="70">
        <f>'[1]Monthly D4 Gallon Data'!$AG173/1000000</f>
        <v>2.7430780000000001</v>
      </c>
      <c r="CC172" s="70">
        <f>'[1]Monthly D6 Gallon Data'!$O175/1000000</f>
        <v>3.8122999999999997E-2</v>
      </c>
      <c r="CD172" s="70">
        <f t="shared" si="49"/>
        <v>2.7812010000000003</v>
      </c>
      <c r="CE172" s="60"/>
      <c r="CF172" s="71">
        <f>'RD Feedstock Breakdown'!GQ163</f>
        <v>22.01152023999213</v>
      </c>
      <c r="CG172" s="72">
        <f t="shared" si="69"/>
        <v>8.0243872904788454</v>
      </c>
      <c r="CH172" s="73">
        <f>'[2]US EIA'!$R309+AW172</f>
        <v>5777.35</v>
      </c>
      <c r="CN172">
        <v>4147</v>
      </c>
      <c r="CO172" s="73">
        <f t="shared" si="70"/>
        <v>453</v>
      </c>
    </row>
    <row r="173" spans="1:93" ht="13.5" x14ac:dyDescent="0.25">
      <c r="A173" s="59">
        <v>45413</v>
      </c>
      <c r="B173" s="74">
        <f t="shared" si="56"/>
        <v>690</v>
      </c>
      <c r="C173" s="74">
        <v>235</v>
      </c>
      <c r="D173" s="74">
        <f t="shared" si="43"/>
        <v>3</v>
      </c>
      <c r="E173" s="74">
        <f t="shared" si="60"/>
        <v>85</v>
      </c>
      <c r="F173" s="82">
        <v>95</v>
      </c>
      <c r="G173" s="74"/>
      <c r="H173" s="74">
        <f t="shared" si="81"/>
        <v>190</v>
      </c>
      <c r="I173" s="74"/>
      <c r="J173" s="74">
        <f t="shared" si="51"/>
        <v>153.30000000000001</v>
      </c>
      <c r="K173" s="74">
        <f t="shared" si="61"/>
        <v>125</v>
      </c>
      <c r="L173" s="74">
        <v>125</v>
      </c>
      <c r="M173" s="74">
        <v>730</v>
      </c>
      <c r="N173" s="74">
        <f t="shared" si="41"/>
        <v>180</v>
      </c>
      <c r="O173" s="74">
        <v>450</v>
      </c>
      <c r="P173" s="74">
        <f t="shared" si="76"/>
        <v>50</v>
      </c>
      <c r="Q173" s="74">
        <f t="shared" si="77"/>
        <v>21</v>
      </c>
      <c r="R173" s="74">
        <v>100</v>
      </c>
      <c r="S173" s="74">
        <f>$S$5*$S$12</f>
        <v>60</v>
      </c>
      <c r="T173" s="74">
        <f t="shared" si="71"/>
        <v>36</v>
      </c>
      <c r="U173" s="74">
        <f t="shared" si="62"/>
        <v>11</v>
      </c>
      <c r="V173" s="74"/>
      <c r="W173" s="74">
        <f t="shared" si="78"/>
        <v>20</v>
      </c>
      <c r="X173" s="74">
        <f t="shared" si="52"/>
        <v>0</v>
      </c>
      <c r="Y173" s="74">
        <f t="shared" si="73"/>
        <v>3.5</v>
      </c>
      <c r="Z173" s="74"/>
      <c r="AA173" s="74">
        <f t="shared" si="72"/>
        <v>306</v>
      </c>
      <c r="AB173" s="74"/>
      <c r="AC173" s="74"/>
      <c r="AD173" s="74">
        <f t="shared" si="80"/>
        <v>180</v>
      </c>
      <c r="AE173" s="74">
        <f t="shared" si="58"/>
        <v>0.55000000000000004</v>
      </c>
      <c r="AF173" s="74">
        <f t="shared" si="64"/>
        <v>90</v>
      </c>
      <c r="AG173" s="74"/>
      <c r="AH173" s="74"/>
      <c r="AI173" s="74">
        <f t="shared" si="79"/>
        <v>47</v>
      </c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>
        <f t="shared" si="74"/>
        <v>3986.3500000000004</v>
      </c>
      <c r="AX173" s="74">
        <v>4575</v>
      </c>
      <c r="AY173" s="62">
        <f>'[1]D4 Gallon Forecast'!$P153/1000000</f>
        <v>0</v>
      </c>
      <c r="AZ173" s="62">
        <f>'[1]D4 Gallon Forecast'!$P185/1000000</f>
        <v>216.96470500000001</v>
      </c>
      <c r="BA173" s="62">
        <f t="shared" si="39"/>
        <v>216.96470500000001</v>
      </c>
      <c r="BB173" s="62">
        <f>'[1]D4 Gallon Forecast'!$P169/1000000</f>
        <v>2.010329</v>
      </c>
      <c r="BC173" s="63">
        <f>'[1]D4 Gallon Forecast'!$P345/1000000</f>
        <v>3.266216</v>
      </c>
      <c r="BD173" s="64">
        <f>'[1]D4 Gallon Forecast'!$P361/1000000</f>
        <v>0</v>
      </c>
      <c r="BE173" s="64">
        <f t="shared" si="40"/>
        <v>5.2765450000000005</v>
      </c>
      <c r="BF173" s="76">
        <f t="shared" si="54"/>
        <v>222.24125000000001</v>
      </c>
      <c r="BG173" s="77">
        <f t="shared" si="59"/>
        <v>0.59102408925318761</v>
      </c>
      <c r="BH173" s="74"/>
      <c r="BI173" s="75">
        <f t="shared" si="75"/>
        <v>3912.8500000000004</v>
      </c>
      <c r="BJ173" s="75">
        <f t="shared" si="50"/>
        <v>662.14999999999964</v>
      </c>
      <c r="BK173" s="75">
        <f>'RD Feedstock Breakdown'!ES164</f>
        <v>1783.1871958991776</v>
      </c>
      <c r="BL173" s="78">
        <f t="shared" si="57"/>
        <v>8.0236553560564374</v>
      </c>
      <c r="BM173" s="78">
        <f t="shared" si="55"/>
        <v>8.218789299850302</v>
      </c>
      <c r="BN173" s="69"/>
      <c r="BO173" s="69"/>
      <c r="BP173" s="69"/>
      <c r="BQ173" s="66">
        <f>'[1]D4 Gallon Forecast'!$P73/1000000</f>
        <v>142.081952</v>
      </c>
      <c r="BR173" s="66">
        <f>'[1]D6 Gallon Forecast'!$P66/1000000</f>
        <v>0.64680300000000002</v>
      </c>
      <c r="BS173" s="66">
        <f t="shared" si="82"/>
        <v>142.72875500000001</v>
      </c>
      <c r="BT173" s="60"/>
      <c r="BU173" s="67">
        <f>'[2]US EIA'!$P310</f>
        <v>1096.6826403827017</v>
      </c>
      <c r="BV173" s="68">
        <f t="shared" si="66"/>
        <v>7.6836839246772781</v>
      </c>
      <c r="BW173" s="60"/>
      <c r="BX173" s="69">
        <f t="shared" si="67"/>
        <v>0.60893017770049351</v>
      </c>
      <c r="BY173" s="69">
        <f t="shared" si="68"/>
        <v>0.39106982229950649</v>
      </c>
      <c r="BZ173" s="60"/>
      <c r="CA173" s="60"/>
      <c r="CB173" s="70">
        <f>'[1]Monthly D4 Gallon Data'!$AG174/1000000</f>
        <v>3.266216</v>
      </c>
      <c r="CC173" s="70">
        <f>'[1]Monthly D6 Gallon Data'!$O176/1000000</f>
        <v>0</v>
      </c>
      <c r="CD173" s="70">
        <f t="shared" si="49"/>
        <v>3.266216</v>
      </c>
      <c r="CE173" s="60"/>
      <c r="CF173" s="71">
        <f>'RD Feedstock Breakdown'!GQ164</f>
        <v>26.206991502437234</v>
      </c>
      <c r="CG173" s="72">
        <f t="shared" si="69"/>
        <v>8.0236553560564374</v>
      </c>
      <c r="CH173" s="73">
        <f>'[2]US EIA'!$R310+AW173</f>
        <v>6008.35</v>
      </c>
      <c r="CN173">
        <v>4347</v>
      </c>
      <c r="CO173" s="73">
        <f t="shared" si="70"/>
        <v>228</v>
      </c>
    </row>
    <row r="174" spans="1:93" ht="13.5" x14ac:dyDescent="0.25">
      <c r="A174" s="59">
        <v>45444</v>
      </c>
      <c r="B174" s="74">
        <f t="shared" si="56"/>
        <v>690</v>
      </c>
      <c r="C174" s="74">
        <v>235</v>
      </c>
      <c r="D174" s="74">
        <f t="shared" si="43"/>
        <v>3</v>
      </c>
      <c r="E174" s="74">
        <f t="shared" si="60"/>
        <v>85</v>
      </c>
      <c r="F174" s="82">
        <v>95</v>
      </c>
      <c r="G174" s="74"/>
      <c r="H174" s="74">
        <f t="shared" si="81"/>
        <v>190</v>
      </c>
      <c r="I174" s="74"/>
      <c r="J174" s="74">
        <f t="shared" si="51"/>
        <v>153.30000000000001</v>
      </c>
      <c r="K174" s="74">
        <f t="shared" si="61"/>
        <v>125</v>
      </c>
      <c r="L174" s="74">
        <v>125</v>
      </c>
      <c r="M174" s="74">
        <v>730</v>
      </c>
      <c r="N174" s="74">
        <f t="shared" si="41"/>
        <v>180</v>
      </c>
      <c r="O174" s="74">
        <f>120+(645*0.8)</f>
        <v>636</v>
      </c>
      <c r="P174" s="74">
        <f t="shared" si="76"/>
        <v>50</v>
      </c>
      <c r="Q174" s="74">
        <f t="shared" si="77"/>
        <v>21</v>
      </c>
      <c r="R174" s="74">
        <v>100</v>
      </c>
      <c r="S174" s="74">
        <f t="shared" ref="S174:S237" si="83">150*$S$12</f>
        <v>60</v>
      </c>
      <c r="T174" s="74">
        <f t="shared" si="71"/>
        <v>36</v>
      </c>
      <c r="U174" s="74"/>
      <c r="V174" s="74"/>
      <c r="W174" s="74">
        <f t="shared" si="78"/>
        <v>20</v>
      </c>
      <c r="X174" s="74">
        <f t="shared" si="52"/>
        <v>0</v>
      </c>
      <c r="Y174" s="74">
        <f t="shared" si="73"/>
        <v>3.5</v>
      </c>
      <c r="Z174" s="74">
        <f>75*$Z$12</f>
        <v>18.75</v>
      </c>
      <c r="AA174" s="74">
        <f t="shared" si="72"/>
        <v>306</v>
      </c>
      <c r="AB174" s="74"/>
      <c r="AC174" s="74"/>
      <c r="AD174" s="74">
        <f t="shared" si="80"/>
        <v>180</v>
      </c>
      <c r="AE174" s="74">
        <f>55*$AE$12+(55*$AE$12)</f>
        <v>1.1000000000000001</v>
      </c>
      <c r="AF174" s="74">
        <f t="shared" si="64"/>
        <v>90</v>
      </c>
      <c r="AG174" s="74"/>
      <c r="AH174" s="74"/>
      <c r="AI174" s="74">
        <f t="shared" si="79"/>
        <v>47</v>
      </c>
      <c r="AJ174" s="74"/>
      <c r="AK174" s="74"/>
      <c r="AL174" s="74">
        <f>45*$AL$12*0.25</f>
        <v>5.625</v>
      </c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>
        <f t="shared" si="74"/>
        <v>4186.2749999999996</v>
      </c>
      <c r="AX174" s="74">
        <v>4897</v>
      </c>
      <c r="AY174" s="62">
        <f>'[1]D4 Gallon Forecast'!$P154/1000000</f>
        <v>0</v>
      </c>
      <c r="AZ174" s="62">
        <f>'[1]D4 Gallon Forecast'!$P186/1000000</f>
        <v>232.48853099999999</v>
      </c>
      <c r="BA174" s="62">
        <f t="shared" si="39"/>
        <v>232.48853099999999</v>
      </c>
      <c r="BB174" s="62">
        <f>'[1]D4 Gallon Forecast'!$P170/1000000</f>
        <v>43.911209999999997</v>
      </c>
      <c r="BC174" s="63">
        <f>'[1]D4 Gallon Forecast'!$P346/1000000</f>
        <v>2.9986120000000001</v>
      </c>
      <c r="BD174" s="64">
        <f>'[1]D4 Gallon Forecast'!$P362/1000000</f>
        <v>0</v>
      </c>
      <c r="BE174" s="64">
        <f t="shared" si="40"/>
        <v>46.909821999999998</v>
      </c>
      <c r="BF174" s="76">
        <f t="shared" si="54"/>
        <v>279.39835299999999</v>
      </c>
      <c r="BG174" s="77">
        <f t="shared" si="59"/>
        <v>0.67177665618186244</v>
      </c>
      <c r="BH174" s="74"/>
      <c r="BI174" s="75">
        <f t="shared" si="75"/>
        <v>4123.7749999999996</v>
      </c>
      <c r="BJ174" s="75">
        <f t="shared" si="50"/>
        <v>773.22500000000036</v>
      </c>
      <c r="BK174" s="75">
        <f>'RD Feedstock Breakdown'!ES165</f>
        <v>2239.7114059180044</v>
      </c>
      <c r="BL174" s="78">
        <f t="shared" si="57"/>
        <v>8.0161940178580959</v>
      </c>
      <c r="BM174" s="78">
        <f t="shared" si="55"/>
        <v>9.6336425555461247</v>
      </c>
      <c r="BN174" s="69"/>
      <c r="BO174" s="69"/>
      <c r="BP174" s="69"/>
      <c r="BQ174" s="66">
        <f>'[1]D4 Gallon Forecast'!$P74/1000000</f>
        <v>132.929485</v>
      </c>
      <c r="BR174" s="66">
        <f>'[1]D6 Gallon Forecast'!$P67/1000000</f>
        <v>0.87750700000000004</v>
      </c>
      <c r="BS174" s="66">
        <f t="shared" si="82"/>
        <v>133.80699200000001</v>
      </c>
      <c r="BT174" s="60"/>
      <c r="BU174" s="67">
        <f>'[2]US EIA'!$P311</f>
        <v>1119.2413816459248</v>
      </c>
      <c r="BV174" s="68">
        <f t="shared" si="66"/>
        <v>8.3645956382154125</v>
      </c>
      <c r="BW174" s="60"/>
      <c r="BX174" s="69">
        <f t="shared" si="67"/>
        <v>0.67617313372362109</v>
      </c>
      <c r="BY174" s="69">
        <f t="shared" si="68"/>
        <v>0.32382686627637891</v>
      </c>
      <c r="BZ174" s="60"/>
      <c r="CA174" s="60"/>
      <c r="CB174" s="70">
        <f>'[1]Monthly D4 Gallon Data'!$AG175/1000000</f>
        <v>2.9986120000000001</v>
      </c>
      <c r="CC174" s="70">
        <f>'[1]Monthly D6 Gallon Data'!$O177/1000000</f>
        <v>0</v>
      </c>
      <c r="CD174" s="70">
        <f t="shared" si="49"/>
        <v>2.9986120000000001</v>
      </c>
      <c r="CE174" s="60"/>
      <c r="CF174" s="71">
        <f>'RD Feedstock Breakdown'!GQ165</f>
        <v>24.037455576277505</v>
      </c>
      <c r="CG174" s="72">
        <f t="shared" si="69"/>
        <v>8.0161940178580977</v>
      </c>
      <c r="CH174" s="73">
        <f>'[2]US EIA'!$R311+AW174</f>
        <v>6208.2749999999996</v>
      </c>
    </row>
    <row r="175" spans="1:93" ht="13.5" x14ac:dyDescent="0.25">
      <c r="A175" s="59">
        <v>45474</v>
      </c>
      <c r="B175" s="74">
        <f t="shared" si="56"/>
        <v>690</v>
      </c>
      <c r="C175" s="74">
        <v>235</v>
      </c>
      <c r="D175" s="74">
        <f t="shared" si="43"/>
        <v>3</v>
      </c>
      <c r="E175" s="74">
        <f t="shared" si="60"/>
        <v>85</v>
      </c>
      <c r="F175" s="82">
        <v>95</v>
      </c>
      <c r="G175" s="74">
        <f>500*$G$12</f>
        <v>25</v>
      </c>
      <c r="H175" s="74">
        <f t="shared" si="81"/>
        <v>190</v>
      </c>
      <c r="I175" s="74"/>
      <c r="J175" s="74">
        <f t="shared" si="51"/>
        <v>153.30000000000001</v>
      </c>
      <c r="K175" s="74">
        <f t="shared" si="61"/>
        <v>125</v>
      </c>
      <c r="L175" s="74">
        <v>125</v>
      </c>
      <c r="M175" s="74">
        <v>730</v>
      </c>
      <c r="N175" s="74">
        <f t="shared" si="41"/>
        <v>180</v>
      </c>
      <c r="O175" s="74">
        <f>120+(645*0.8)</f>
        <v>636</v>
      </c>
      <c r="P175" s="74">
        <f t="shared" si="76"/>
        <v>50</v>
      </c>
      <c r="Q175" s="74">
        <f t="shared" si="77"/>
        <v>21</v>
      </c>
      <c r="R175" s="74">
        <v>100</v>
      </c>
      <c r="S175" s="74">
        <f t="shared" si="83"/>
        <v>60</v>
      </c>
      <c r="T175" s="74">
        <f t="shared" si="71"/>
        <v>36</v>
      </c>
      <c r="U175" s="74"/>
      <c r="V175" s="74"/>
      <c r="W175" s="74">
        <f t="shared" si="78"/>
        <v>20</v>
      </c>
      <c r="X175" s="74">
        <f t="shared" si="52"/>
        <v>0</v>
      </c>
      <c r="Y175" s="74">
        <f t="shared" si="73"/>
        <v>3.5</v>
      </c>
      <c r="Z175" s="74">
        <f>230*$Z$12</f>
        <v>57.5</v>
      </c>
      <c r="AA175" s="74">
        <f t="shared" si="72"/>
        <v>306</v>
      </c>
      <c r="AB175" s="74">
        <f>$AB$5*$AB$12*0.5</f>
        <v>30</v>
      </c>
      <c r="AC175" s="74"/>
      <c r="AD175" s="74">
        <f t="shared" si="80"/>
        <v>180</v>
      </c>
      <c r="AE175" s="74">
        <f t="shared" ref="AE175:AE238" si="84">55*$AE$12+(55*$AE$12)</f>
        <v>1.1000000000000001</v>
      </c>
      <c r="AF175" s="74">
        <f t="shared" si="64"/>
        <v>90</v>
      </c>
      <c r="AG175" s="74"/>
      <c r="AH175" s="74">
        <f>30*$AH$12</f>
        <v>1.5</v>
      </c>
      <c r="AI175" s="74">
        <f t="shared" si="79"/>
        <v>47</v>
      </c>
      <c r="AJ175" s="74"/>
      <c r="AK175" s="74"/>
      <c r="AL175" s="74">
        <f>45*$AL$12*0.5</f>
        <v>11.25</v>
      </c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>
        <f t="shared" si="74"/>
        <v>4287.1500000000005</v>
      </c>
      <c r="AX175" s="74">
        <v>4598</v>
      </c>
      <c r="AY175" s="62">
        <f>'[1]D4 Gallon Forecast'!$P155/1000000</f>
        <v>0</v>
      </c>
      <c r="AZ175" s="62">
        <f>'[1]D4 Gallon Forecast'!$P187/1000000</f>
        <v>232.021863</v>
      </c>
      <c r="BA175" s="62">
        <f t="shared" si="39"/>
        <v>232.021863</v>
      </c>
      <c r="BB175" s="62">
        <f>'[1]D4 Gallon Forecast'!$P171/1000000</f>
        <v>53.677622999999997</v>
      </c>
      <c r="BC175" s="63">
        <f>'[1]D4 Gallon Forecast'!$P347/1000000</f>
        <v>3.2568869999999999</v>
      </c>
      <c r="BD175" s="64">
        <f>'[1]D4 Gallon Forecast'!$P363/1000000</f>
        <v>0</v>
      </c>
      <c r="BE175" s="64">
        <f t="shared" si="40"/>
        <v>56.934509999999996</v>
      </c>
      <c r="BF175" s="76">
        <f t="shared" si="54"/>
        <v>288.95637299999999</v>
      </c>
      <c r="BG175" s="77">
        <f t="shared" si="59"/>
        <v>0.7646011029795563</v>
      </c>
      <c r="BH175" s="74"/>
      <c r="BI175" s="75">
        <f t="shared" si="75"/>
        <v>4223.1499999999996</v>
      </c>
      <c r="BJ175" s="75">
        <f t="shared" si="50"/>
        <v>374.85000000000036</v>
      </c>
      <c r="BK175" s="75">
        <f>'RD Feedstock Breakdown'!ES166</f>
        <v>2318.941433797278</v>
      </c>
      <c r="BL175" s="78">
        <f t="shared" si="57"/>
        <v>8.0252302786112217</v>
      </c>
      <c r="BM175" s="78">
        <f t="shared" si="55"/>
        <v>9.9944953626946695</v>
      </c>
      <c r="BN175" s="69"/>
      <c r="BO175" s="69"/>
      <c r="BP175" s="69"/>
      <c r="BQ175" s="66">
        <f>'[1]D4 Gallon Forecast'!$P75/1000000</f>
        <v>144.95211699999999</v>
      </c>
      <c r="BR175" s="66">
        <f>'[1]D6 Gallon Forecast'!$P68/1000000</f>
        <v>1.001787</v>
      </c>
      <c r="BS175" s="66">
        <f t="shared" si="82"/>
        <v>145.95390399999999</v>
      </c>
      <c r="BT175" s="60"/>
      <c r="BU175" s="67">
        <f>'[2]US EIA'!$P312</f>
        <v>1129.5446177507156</v>
      </c>
      <c r="BV175" s="68">
        <f t="shared" si="66"/>
        <v>7.7390503905309425</v>
      </c>
      <c r="BW175" s="60"/>
      <c r="BX175" s="69">
        <f t="shared" si="67"/>
        <v>0.66440456407057957</v>
      </c>
      <c r="BY175" s="69">
        <f t="shared" si="68"/>
        <v>0.33559543592942048</v>
      </c>
      <c r="BZ175" s="60"/>
      <c r="CA175" s="60"/>
      <c r="CB175" s="70">
        <f>'[1]Monthly D4 Gallon Data'!$AG176/1000000</f>
        <v>3.2568869999999999</v>
      </c>
      <c r="CC175" s="70">
        <f>'[1]Monthly D6 Gallon Data'!$O178/1000000</f>
        <v>0</v>
      </c>
      <c r="CD175" s="70">
        <f t="shared" si="49"/>
        <v>3.2568869999999999</v>
      </c>
      <c r="CE175" s="60"/>
      <c r="CF175" s="71">
        <f>'RD Feedstock Breakdown'!GQ166</f>
        <v>26.137268166415268</v>
      </c>
      <c r="CG175" s="72">
        <f t="shared" si="69"/>
        <v>8.0252302786112235</v>
      </c>
      <c r="CH175" s="73">
        <f>'[2]US EIA'!$R312+AW175</f>
        <v>6309.1500000000005</v>
      </c>
    </row>
    <row r="176" spans="1:93" ht="13.5" x14ac:dyDescent="0.25">
      <c r="A176" s="59">
        <v>45505</v>
      </c>
      <c r="B176" s="74">
        <f t="shared" si="56"/>
        <v>690</v>
      </c>
      <c r="C176" s="74">
        <v>235</v>
      </c>
      <c r="D176" s="74">
        <f t="shared" si="43"/>
        <v>3</v>
      </c>
      <c r="E176" s="74">
        <f t="shared" si="60"/>
        <v>85</v>
      </c>
      <c r="F176" s="82">
        <v>95</v>
      </c>
      <c r="G176" s="74">
        <f t="shared" ref="G176:G200" si="85">500*$G$12</f>
        <v>25</v>
      </c>
      <c r="H176" s="74">
        <f t="shared" si="81"/>
        <v>190</v>
      </c>
      <c r="I176" s="74"/>
      <c r="J176" s="74">
        <f t="shared" si="51"/>
        <v>153.30000000000001</v>
      </c>
      <c r="K176" s="74">
        <f t="shared" si="61"/>
        <v>125</v>
      </c>
      <c r="L176" s="74">
        <v>125</v>
      </c>
      <c r="M176" s="74">
        <v>730</v>
      </c>
      <c r="N176" s="74">
        <f t="shared" si="41"/>
        <v>180</v>
      </c>
      <c r="O176" s="74">
        <f>120+(645*0.8)</f>
        <v>636</v>
      </c>
      <c r="P176" s="74">
        <f t="shared" si="76"/>
        <v>50</v>
      </c>
      <c r="Q176" s="74">
        <f t="shared" si="77"/>
        <v>21</v>
      </c>
      <c r="R176" s="74">
        <v>100</v>
      </c>
      <c r="S176" s="74">
        <f t="shared" si="83"/>
        <v>60</v>
      </c>
      <c r="T176" s="74">
        <f t="shared" si="71"/>
        <v>36</v>
      </c>
      <c r="U176" s="74"/>
      <c r="V176" s="74"/>
      <c r="W176" s="74">
        <f t="shared" si="78"/>
        <v>20</v>
      </c>
      <c r="X176" s="74">
        <f t="shared" si="52"/>
        <v>0</v>
      </c>
      <c r="Y176" s="74">
        <f t="shared" si="73"/>
        <v>3.5</v>
      </c>
      <c r="Z176" s="74">
        <f t="shared" ref="Z176:Z193" si="86">230*$Z$12</f>
        <v>57.5</v>
      </c>
      <c r="AA176" s="74">
        <f t="shared" si="72"/>
        <v>306</v>
      </c>
      <c r="AB176" s="74">
        <f t="shared" ref="AB176:AB239" si="87">$AB$5*$AB$12</f>
        <v>60</v>
      </c>
      <c r="AC176" s="74"/>
      <c r="AD176" s="74">
        <f t="shared" si="80"/>
        <v>180</v>
      </c>
      <c r="AE176" s="74">
        <f t="shared" si="84"/>
        <v>1.1000000000000001</v>
      </c>
      <c r="AF176" s="74">
        <f t="shared" si="64"/>
        <v>90</v>
      </c>
      <c r="AG176" s="74"/>
      <c r="AH176" s="74">
        <f>60*$AH$12</f>
        <v>3</v>
      </c>
      <c r="AI176" s="74">
        <f t="shared" si="79"/>
        <v>47</v>
      </c>
      <c r="AJ176" s="74"/>
      <c r="AK176" s="74"/>
      <c r="AL176" s="74">
        <f>45*$AL$12</f>
        <v>22.5</v>
      </c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>
        <f t="shared" si="74"/>
        <v>4329.9000000000005</v>
      </c>
      <c r="AX176" s="74">
        <v>4598</v>
      </c>
      <c r="AY176" s="62">
        <f>'[1]D4 Gallon Forecast'!$P156/1000000</f>
        <v>0</v>
      </c>
      <c r="AZ176" s="62">
        <f>'[1]D4 Gallon Forecast'!$P188/1000000</f>
        <v>203.463989</v>
      </c>
      <c r="BA176" s="62">
        <f t="shared" si="39"/>
        <v>203.463989</v>
      </c>
      <c r="BB176" s="62">
        <f>'[1]D4 Gallon Forecast'!$P172/1000000</f>
        <v>48.162137000000001</v>
      </c>
      <c r="BC176" s="63">
        <f>'[1]D4 Gallon Forecast'!$P348/1000000</f>
        <v>4.0267900000000001</v>
      </c>
      <c r="BD176" s="64">
        <f>'[1]D4 Gallon Forecast'!$P364/1000000</f>
        <v>0</v>
      </c>
      <c r="BE176" s="64">
        <f t="shared" si="40"/>
        <v>52.188927</v>
      </c>
      <c r="BF176" s="76">
        <f t="shared" si="54"/>
        <v>255.652916</v>
      </c>
      <c r="BG176" s="77">
        <f t="shared" si="59"/>
        <v>0.65465570121651773</v>
      </c>
      <c r="BH176" s="74"/>
      <c r="BI176" s="75">
        <f t="shared" si="75"/>
        <v>4264.4000000000005</v>
      </c>
      <c r="BJ176" s="75">
        <f t="shared" si="50"/>
        <v>333.59999999999945</v>
      </c>
      <c r="BK176" s="75">
        <f>'RD Feedstock Breakdown'!ES167</f>
        <v>2053.5989785788738</v>
      </c>
      <c r="BL176" s="78">
        <f t="shared" si="57"/>
        <v>8.0327618034244281</v>
      </c>
      <c r="BM176" s="78">
        <f t="shared" si="55"/>
        <v>10.093181543682768</v>
      </c>
      <c r="BN176" s="69"/>
      <c r="BO176" s="69"/>
      <c r="BP176" s="69"/>
      <c r="BQ176" s="66">
        <f>'[1]D4 Gallon Forecast'!$P76/1000000</f>
        <v>138.32117500000001</v>
      </c>
      <c r="BR176" s="66">
        <f>'[1]D6 Gallon Forecast'!$P69/1000000</f>
        <v>1.4030149999999999</v>
      </c>
      <c r="BS176" s="66">
        <f t="shared" si="82"/>
        <v>139.72419000000002</v>
      </c>
      <c r="BT176" s="60"/>
      <c r="BU176" s="67">
        <f>'[2]US EIA'!$P313</f>
        <v>1169.2290978090057</v>
      </c>
      <c r="BV176" s="68">
        <f t="shared" si="66"/>
        <v>8.3681222114009426</v>
      </c>
      <c r="BW176" s="60"/>
      <c r="BX176" s="69">
        <f t="shared" si="67"/>
        <v>0.64660525892968623</v>
      </c>
      <c r="BY176" s="69">
        <f t="shared" si="68"/>
        <v>0.35339474107031382</v>
      </c>
      <c r="BZ176" s="60"/>
      <c r="CA176" s="60"/>
      <c r="CB176" s="70">
        <f>'[1]Monthly D4 Gallon Data'!$AG177/1000000</f>
        <v>4.0267900000000001</v>
      </c>
      <c r="CC176" s="70">
        <f>'[1]Monthly D6 Gallon Data'!$O179/1000000</f>
        <v>0</v>
      </c>
      <c r="CD176" s="70">
        <f t="shared" si="49"/>
        <v>4.0267900000000001</v>
      </c>
      <c r="CE176" s="60"/>
      <c r="CF176" s="71">
        <f>'RD Feedstock Breakdown'!GQ167</f>
        <v>32.346244902411449</v>
      </c>
      <c r="CG176" s="72">
        <f t="shared" si="69"/>
        <v>8.0327618034244264</v>
      </c>
      <c r="CH176" s="73">
        <f>'[2]US EIA'!$R313+AW176</f>
        <v>6324.9000000000005</v>
      </c>
    </row>
    <row r="177" spans="1:86" ht="13.5" x14ac:dyDescent="0.25">
      <c r="A177" s="59">
        <v>45536</v>
      </c>
      <c r="B177" s="74">
        <f t="shared" si="56"/>
        <v>690</v>
      </c>
      <c r="C177" s="74">
        <v>235</v>
      </c>
      <c r="D177" s="74">
        <f t="shared" si="43"/>
        <v>3</v>
      </c>
      <c r="E177" s="74">
        <f t="shared" si="60"/>
        <v>85</v>
      </c>
      <c r="F177" s="82">
        <v>95</v>
      </c>
      <c r="G177" s="74">
        <f t="shared" si="85"/>
        <v>25</v>
      </c>
      <c r="H177" s="74">
        <f t="shared" si="81"/>
        <v>190</v>
      </c>
      <c r="I177" s="74"/>
      <c r="J177" s="74">
        <f t="shared" si="51"/>
        <v>153.30000000000001</v>
      </c>
      <c r="K177" s="74">
        <f t="shared" si="61"/>
        <v>125</v>
      </c>
      <c r="L177" s="74">
        <v>125</v>
      </c>
      <c r="M177" s="74">
        <v>730</v>
      </c>
      <c r="N177" s="74">
        <f t="shared" si="41"/>
        <v>180</v>
      </c>
      <c r="O177" s="74">
        <f>120+(645*0.8)</f>
        <v>636</v>
      </c>
      <c r="P177" s="74">
        <f t="shared" si="76"/>
        <v>50</v>
      </c>
      <c r="Q177" s="74">
        <f t="shared" si="77"/>
        <v>21</v>
      </c>
      <c r="R177" s="74">
        <v>100</v>
      </c>
      <c r="S177" s="74">
        <f t="shared" si="83"/>
        <v>60</v>
      </c>
      <c r="T177" s="74">
        <f t="shared" si="71"/>
        <v>36</v>
      </c>
      <c r="U177" s="74"/>
      <c r="V177" s="74"/>
      <c r="W177" s="74">
        <f t="shared" si="78"/>
        <v>20</v>
      </c>
      <c r="X177" s="74">
        <f t="shared" si="52"/>
        <v>0</v>
      </c>
      <c r="Y177" s="74">
        <f t="shared" si="73"/>
        <v>3.5</v>
      </c>
      <c r="Z177" s="74">
        <f t="shared" si="86"/>
        <v>57.5</v>
      </c>
      <c r="AA177" s="74">
        <f t="shared" si="72"/>
        <v>306</v>
      </c>
      <c r="AB177" s="74">
        <f t="shared" si="87"/>
        <v>60</v>
      </c>
      <c r="AC177" s="74"/>
      <c r="AD177" s="74">
        <f t="shared" si="80"/>
        <v>180</v>
      </c>
      <c r="AE177" s="74">
        <f t="shared" si="84"/>
        <v>1.1000000000000001</v>
      </c>
      <c r="AF177" s="74">
        <v>170</v>
      </c>
      <c r="AG177" s="74"/>
      <c r="AH177" s="74">
        <f t="shared" ref="AH177:AH240" si="88">60*$AH$12</f>
        <v>3</v>
      </c>
      <c r="AI177" s="74">
        <f t="shared" si="79"/>
        <v>47</v>
      </c>
      <c r="AJ177" s="74"/>
      <c r="AK177" s="74"/>
      <c r="AL177" s="74">
        <f t="shared" ref="AL177:AL197" si="89">45*$AL$12</f>
        <v>22.5</v>
      </c>
      <c r="AM177" s="74"/>
      <c r="AN177" s="74"/>
      <c r="AO177" s="74"/>
      <c r="AP177" s="74"/>
      <c r="AQ177" s="74"/>
      <c r="AR177" s="74"/>
      <c r="AS177" s="74"/>
      <c r="AT177" s="74"/>
      <c r="AU177" s="74"/>
      <c r="AV177" s="74">
        <f>AX177-AX165</f>
        <v>876</v>
      </c>
      <c r="AW177" s="74">
        <f t="shared" si="74"/>
        <v>4409.9000000000005</v>
      </c>
      <c r="AX177" s="74">
        <v>4580</v>
      </c>
      <c r="AY177" s="62">
        <f>'[1]D4 Gallon Forecast'!$P157/1000000</f>
        <v>0</v>
      </c>
      <c r="AZ177" s="62">
        <f>'[1]D4 Gallon Forecast'!$P189/1000000</f>
        <v>216.519419</v>
      </c>
      <c r="BA177" s="62">
        <f t="shared" si="39"/>
        <v>216.519419</v>
      </c>
      <c r="BB177" s="62">
        <f>'[1]D4 Gallon Forecast'!$P173/1000000</f>
        <v>34.597382000000003</v>
      </c>
      <c r="BC177" s="63">
        <f>'[1]D4 Gallon Forecast'!$P349/1000000</f>
        <v>9.2388250000000003</v>
      </c>
      <c r="BD177" s="64">
        <f>'[1]D4 Gallon Forecast'!$P365/1000000</f>
        <v>0</v>
      </c>
      <c r="BE177" s="64">
        <f t="shared" si="40"/>
        <v>43.836207000000002</v>
      </c>
      <c r="BF177" s="76">
        <f t="shared" si="54"/>
        <v>260.35562600000003</v>
      </c>
      <c r="BG177" s="77">
        <f t="shared" si="59"/>
        <v>0.66931823841386118</v>
      </c>
      <c r="BH177" s="74"/>
      <c r="BI177" s="75">
        <f t="shared" si="75"/>
        <v>4344.4000000000005</v>
      </c>
      <c r="BJ177" s="75">
        <f t="shared" si="50"/>
        <v>235.59999999999945</v>
      </c>
      <c r="BK177" s="75">
        <f>'RD Feedstock Breakdown'!ES168</f>
        <v>2093.0697174249008</v>
      </c>
      <c r="BL177" s="78">
        <f t="shared" si="57"/>
        <v>8.0392720894185725</v>
      </c>
      <c r="BM177" s="78">
        <f t="shared" si="55"/>
        <v>9.6668914367671608</v>
      </c>
      <c r="BN177" s="69"/>
      <c r="BO177" s="69"/>
      <c r="BP177" s="69"/>
      <c r="BQ177" s="66">
        <f>'[1]D4 Gallon Forecast'!$P77/1000000</f>
        <v>132.214867</v>
      </c>
      <c r="BR177" s="66">
        <f>'[1]D6 Gallon Forecast'!$P70/1000000</f>
        <v>2.3230179999999998</v>
      </c>
      <c r="BS177" s="66">
        <f t="shared" si="82"/>
        <v>134.53788499999999</v>
      </c>
      <c r="BT177" s="60"/>
      <c r="BU177" s="67">
        <f>'[2]US EIA'!$P314</f>
        <v>1108.9973535235845</v>
      </c>
      <c r="BV177" s="68">
        <f t="shared" si="66"/>
        <v>8.2430116507598186</v>
      </c>
      <c r="BW177" s="60"/>
      <c r="BX177" s="69">
        <f t="shared" si="67"/>
        <v>0.65930591095481439</v>
      </c>
      <c r="BY177" s="69">
        <f t="shared" si="68"/>
        <v>0.34069408904518561</v>
      </c>
      <c r="BZ177" s="60"/>
      <c r="CA177" s="60"/>
      <c r="CB177" s="70">
        <f>'[1]Monthly D4 Gallon Data'!$AG178/1000000</f>
        <v>9.2388250000000003</v>
      </c>
      <c r="CC177" s="70">
        <f>'[1]Monthly D6 Gallon Data'!$O180/1000000</f>
        <v>0</v>
      </c>
      <c r="CD177" s="70">
        <f t="shared" si="49"/>
        <v>9.2388250000000003</v>
      </c>
      <c r="CE177" s="60"/>
      <c r="CF177" s="71">
        <f>'RD Feedstock Breakdown'!GQ168</f>
        <v>74.273427961522572</v>
      </c>
      <c r="CG177" s="72">
        <f t="shared" si="69"/>
        <v>8.0392720894185761</v>
      </c>
      <c r="CH177" s="73">
        <f>'[2]US EIA'!$R314+AW177</f>
        <v>6404.9000000000005</v>
      </c>
    </row>
    <row r="178" spans="1:86" ht="13.5" x14ac:dyDescent="0.25">
      <c r="A178" s="59">
        <v>45566</v>
      </c>
      <c r="B178" s="74">
        <f t="shared" si="56"/>
        <v>690</v>
      </c>
      <c r="C178" s="74">
        <v>47</v>
      </c>
      <c r="D178" s="74">
        <f t="shared" si="43"/>
        <v>3</v>
      </c>
      <c r="E178" s="74">
        <f t="shared" si="60"/>
        <v>85</v>
      </c>
      <c r="F178" s="82">
        <v>95</v>
      </c>
      <c r="G178" s="74">
        <f t="shared" si="85"/>
        <v>25</v>
      </c>
      <c r="H178" s="74">
        <f t="shared" si="81"/>
        <v>190</v>
      </c>
      <c r="I178" s="74"/>
      <c r="J178" s="74">
        <f t="shared" si="51"/>
        <v>153.30000000000001</v>
      </c>
      <c r="K178" s="74">
        <f t="shared" si="61"/>
        <v>125</v>
      </c>
      <c r="L178" s="74">
        <v>125</v>
      </c>
      <c r="M178" s="74">
        <v>730</v>
      </c>
      <c r="N178" s="74">
        <f t="shared" si="41"/>
        <v>180</v>
      </c>
      <c r="O178" s="82">
        <v>375</v>
      </c>
      <c r="P178" s="74">
        <f t="shared" si="76"/>
        <v>50</v>
      </c>
      <c r="Q178" s="74">
        <f t="shared" si="77"/>
        <v>21</v>
      </c>
      <c r="R178" s="74">
        <v>100</v>
      </c>
      <c r="S178" s="74">
        <f t="shared" si="83"/>
        <v>60</v>
      </c>
      <c r="T178" s="74">
        <f t="shared" si="71"/>
        <v>36</v>
      </c>
      <c r="U178" s="74"/>
      <c r="V178" s="74"/>
      <c r="W178" s="74">
        <f t="shared" si="78"/>
        <v>20</v>
      </c>
      <c r="X178" s="74">
        <f t="shared" si="52"/>
        <v>0</v>
      </c>
      <c r="Y178" s="74">
        <f t="shared" si="73"/>
        <v>3.5</v>
      </c>
      <c r="Z178" s="74">
        <f t="shared" si="86"/>
        <v>57.5</v>
      </c>
      <c r="AA178" s="74">
        <f t="shared" si="72"/>
        <v>306</v>
      </c>
      <c r="AB178" s="74">
        <f t="shared" si="87"/>
        <v>60</v>
      </c>
      <c r="AC178" s="74"/>
      <c r="AD178" s="74">
        <f t="shared" si="80"/>
        <v>180</v>
      </c>
      <c r="AE178" s="74">
        <f t="shared" si="84"/>
        <v>1.1000000000000001</v>
      </c>
      <c r="AF178" s="74">
        <f>90*$AF$12+(185*$AF$12)</f>
        <v>275</v>
      </c>
      <c r="AG178" s="74"/>
      <c r="AH178" s="74">
        <f t="shared" si="88"/>
        <v>3</v>
      </c>
      <c r="AI178" s="74">
        <f t="shared" si="79"/>
        <v>47</v>
      </c>
      <c r="AJ178" s="74"/>
      <c r="AK178" s="74"/>
      <c r="AL178" s="74">
        <f t="shared" si="89"/>
        <v>22.5</v>
      </c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>
        <f t="shared" si="74"/>
        <v>4065.9</v>
      </c>
      <c r="AX178" s="74">
        <v>4580</v>
      </c>
      <c r="AY178" s="62">
        <f>'[1]D4 Gallon Forecast'!$P158/1000000</f>
        <v>0</v>
      </c>
      <c r="AZ178" s="62">
        <f>'[1]D4 Gallon Forecast'!$P190/1000000</f>
        <v>229.161946</v>
      </c>
      <c r="BA178" s="62">
        <f t="shared" si="39"/>
        <v>229.161946</v>
      </c>
      <c r="BB178" s="62">
        <f>'[1]D4 Gallon Forecast'!$P174/1000000</f>
        <v>55.284123000000001</v>
      </c>
      <c r="BC178" s="63">
        <f>'[1]D4 Gallon Forecast'!$P350/1000000</f>
        <v>4.385751</v>
      </c>
      <c r="BD178" s="64">
        <f>'[1]D4 Gallon Forecast'!$P366/1000000</f>
        <v>0</v>
      </c>
      <c r="BE178" s="64">
        <f t="shared" si="40"/>
        <v>59.669874</v>
      </c>
      <c r="BF178" s="76">
        <f t="shared" si="54"/>
        <v>288.83181999999999</v>
      </c>
      <c r="BG178" s="77">
        <f t="shared" si="59"/>
        <v>0.76727521324599701</v>
      </c>
      <c r="BH178" s="60"/>
      <c r="BI178" s="75">
        <f t="shared" si="75"/>
        <v>4000.4</v>
      </c>
      <c r="BJ178" s="75">
        <f t="shared" si="50"/>
        <v>579.59999999999991</v>
      </c>
      <c r="BK178" s="75">
        <f>'RD Feedstock Breakdown'!ES169</f>
        <v>2329.4558778646224</v>
      </c>
      <c r="BL178" s="78">
        <f t="shared" si="57"/>
        <v>8.0650943440533052</v>
      </c>
      <c r="BM178" s="78">
        <f t="shared" si="55"/>
        <v>10.16510776996379</v>
      </c>
      <c r="BN178" s="60"/>
      <c r="BO178" s="60"/>
      <c r="BP178" s="60"/>
      <c r="BQ178" s="66">
        <f>'[1]D4 Gallon Forecast'!$P78/1000000</f>
        <v>147.491702</v>
      </c>
      <c r="BR178" s="66">
        <f>'[1]D6 Gallon Forecast'!$P71/1000000</f>
        <v>0.60613399999999995</v>
      </c>
      <c r="BS178" s="66">
        <f t="shared" si="82"/>
        <v>148.097836</v>
      </c>
      <c r="BT178" s="60"/>
      <c r="BU178" s="67">
        <f>'[2]US EIA'!$P315</f>
        <v>1055.0724276408428</v>
      </c>
      <c r="BV178" s="68">
        <f t="shared" si="66"/>
        <v>7.1241583006036819</v>
      </c>
      <c r="BW178" s="60"/>
      <c r="BX178" s="69">
        <f t="shared" si="67"/>
        <v>0.66104878905267073</v>
      </c>
      <c r="BY178" s="69">
        <f t="shared" si="68"/>
        <v>0.33895121094732922</v>
      </c>
      <c r="BZ178" s="60"/>
      <c r="CA178" s="60"/>
      <c r="CB178" s="70">
        <f>('[1]D4 Gallon Forecast'!$P350+'[1]D4 Gallon Forecast'!$P366)/1000000</f>
        <v>4.385751</v>
      </c>
      <c r="CC178" s="70">
        <f>'[1]D6 Gallon Forecast'!$P282/1000000</f>
        <v>0</v>
      </c>
      <c r="CD178" s="70">
        <f t="shared" si="49"/>
        <v>4.385751</v>
      </c>
      <c r="CE178" s="60"/>
      <c r="CF178" s="84">
        <f>'RD Feedstock Breakdown'!GQ169*1000000</f>
        <v>35371495.584526122</v>
      </c>
      <c r="CG178" s="85">
        <f t="shared" si="46"/>
        <v>8065094.3440533038</v>
      </c>
      <c r="CH178" s="73">
        <f>'[2]US EIA'!$R315+AW178</f>
        <v>6060.9</v>
      </c>
    </row>
    <row r="179" spans="1:86" ht="13.5" x14ac:dyDescent="0.25">
      <c r="A179" s="59">
        <v>45597</v>
      </c>
      <c r="B179" s="74">
        <f t="shared" si="56"/>
        <v>690</v>
      </c>
      <c r="C179" s="74">
        <v>47</v>
      </c>
      <c r="D179" s="74">
        <f t="shared" si="43"/>
        <v>3</v>
      </c>
      <c r="E179" s="74">
        <f t="shared" si="60"/>
        <v>85</v>
      </c>
      <c r="F179" s="82">
        <v>95</v>
      </c>
      <c r="G179" s="74">
        <f t="shared" si="85"/>
        <v>25</v>
      </c>
      <c r="H179" s="74">
        <f t="shared" si="81"/>
        <v>190</v>
      </c>
      <c r="I179" s="74"/>
      <c r="J179" s="74">
        <f t="shared" si="51"/>
        <v>153.30000000000001</v>
      </c>
      <c r="K179" s="74">
        <f t="shared" si="61"/>
        <v>125</v>
      </c>
      <c r="L179" s="74">
        <v>125</v>
      </c>
      <c r="M179" s="74">
        <v>730</v>
      </c>
      <c r="N179" s="74">
        <f t="shared" si="41"/>
        <v>180</v>
      </c>
      <c r="O179" s="74">
        <v>375</v>
      </c>
      <c r="P179" s="74">
        <f t="shared" si="76"/>
        <v>50</v>
      </c>
      <c r="Q179" s="74">
        <f t="shared" si="77"/>
        <v>21</v>
      </c>
      <c r="R179" s="74">
        <v>100</v>
      </c>
      <c r="S179" s="74">
        <f t="shared" si="83"/>
        <v>60</v>
      </c>
      <c r="T179" s="74">
        <f t="shared" si="71"/>
        <v>36</v>
      </c>
      <c r="U179" s="74"/>
      <c r="V179" s="74"/>
      <c r="W179" s="74">
        <f t="shared" si="78"/>
        <v>20</v>
      </c>
      <c r="X179" s="74">
        <f t="shared" si="52"/>
        <v>0</v>
      </c>
      <c r="Y179" s="74">
        <f t="shared" si="73"/>
        <v>3.5</v>
      </c>
      <c r="Z179" s="74">
        <f t="shared" si="86"/>
        <v>57.5</v>
      </c>
      <c r="AA179" s="74">
        <f t="shared" si="72"/>
        <v>306</v>
      </c>
      <c r="AB179" s="74">
        <f t="shared" si="87"/>
        <v>60</v>
      </c>
      <c r="AC179" s="74"/>
      <c r="AD179" s="74">
        <f t="shared" si="80"/>
        <v>180</v>
      </c>
      <c r="AE179" s="74">
        <f t="shared" si="84"/>
        <v>1.1000000000000001</v>
      </c>
      <c r="AF179" s="74">
        <f t="shared" ref="AF179:AF242" si="90">90*$AF$12+(185*$AF$12)</f>
        <v>275</v>
      </c>
      <c r="AG179" s="74"/>
      <c r="AH179" s="74">
        <f t="shared" si="88"/>
        <v>3</v>
      </c>
      <c r="AI179" s="74">
        <f t="shared" si="79"/>
        <v>47</v>
      </c>
      <c r="AJ179" s="74"/>
      <c r="AK179" s="74"/>
      <c r="AL179" s="74">
        <f t="shared" si="89"/>
        <v>22.5</v>
      </c>
      <c r="AM179" s="74">
        <v>20</v>
      </c>
      <c r="AN179" s="74"/>
      <c r="AO179" s="74"/>
      <c r="AP179" s="74"/>
      <c r="AQ179" s="74"/>
      <c r="AR179" s="74"/>
      <c r="AS179" s="74"/>
      <c r="AT179" s="74"/>
      <c r="AU179" s="74"/>
      <c r="AV179" s="74"/>
      <c r="AW179" s="74">
        <f t="shared" si="74"/>
        <v>4085.9</v>
      </c>
      <c r="AX179" s="74">
        <v>4718</v>
      </c>
      <c r="AY179" s="62">
        <f>'[1]D4 Gallon Forecast'!$P159/1000000</f>
        <v>0</v>
      </c>
      <c r="AZ179" s="62">
        <f>'[1]D4 Gallon Forecast'!$P191/1000000</f>
        <v>214.472488</v>
      </c>
      <c r="BA179" s="62">
        <f t="shared" si="39"/>
        <v>214.472488</v>
      </c>
      <c r="BB179" s="62">
        <f>'[1]D4 Gallon Forecast'!$P175/1000000</f>
        <v>39.534888000000002</v>
      </c>
      <c r="BC179" s="63">
        <f>'[1]D4 Gallon Forecast'!$P351/1000000</f>
        <v>2.3854229999999998</v>
      </c>
      <c r="BD179" s="64">
        <f>'[1]D4 Gallon Forecast'!$P367/1000000</f>
        <v>0</v>
      </c>
      <c r="BE179" s="64">
        <f t="shared" si="40"/>
        <v>41.920311000000005</v>
      </c>
      <c r="BF179" s="76">
        <f t="shared" si="54"/>
        <v>256.39279900000002</v>
      </c>
      <c r="BG179" s="77">
        <f t="shared" si="59"/>
        <v>0.63985130136471169</v>
      </c>
      <c r="BH179" s="60"/>
      <c r="BI179" s="75">
        <f t="shared" si="75"/>
        <v>4000.4</v>
      </c>
      <c r="BJ179" s="75">
        <f t="shared" si="50"/>
        <v>717.59999999999991</v>
      </c>
      <c r="BK179" s="75">
        <f>'RD Feedstock Breakdown'!ES170</f>
        <v>2053.8518099591647</v>
      </c>
      <c r="BL179" s="78">
        <f t="shared" si="57"/>
        <v>8.0105674495139176</v>
      </c>
      <c r="BM179" s="78">
        <f t="shared" si="55"/>
        <v>9.5762949789586287</v>
      </c>
      <c r="BN179" s="60"/>
      <c r="BO179" s="60"/>
      <c r="BP179" s="60"/>
      <c r="BQ179" s="66">
        <f>'[1]D4 Gallon Forecast'!$P79/1000000</f>
        <v>133.073995</v>
      </c>
      <c r="BR179" s="66">
        <f>'[1]D6 Gallon Forecast'!$P72/1000000</f>
        <v>0.27959299999999998</v>
      </c>
      <c r="BS179" s="66">
        <f t="shared" si="82"/>
        <v>133.353588</v>
      </c>
      <c r="BT179" s="60"/>
      <c r="BU179" s="67">
        <f>'[2]US EIA'!$P316</f>
        <v>1016.3060760953927</v>
      </c>
      <c r="BV179" s="68">
        <f t="shared" si="66"/>
        <v>7.6211378436656139</v>
      </c>
      <c r="BW179" s="60"/>
      <c r="BX179" s="69">
        <f t="shared" si="67"/>
        <v>0.65784522333493756</v>
      </c>
      <c r="BY179" s="69">
        <f t="shared" si="68"/>
        <v>0.34215477666506244</v>
      </c>
      <c r="BZ179" s="60"/>
      <c r="CA179" s="60"/>
      <c r="CB179" s="70">
        <f>('[1]D4 Gallon Forecast'!$P351+'[1]D4 Gallon Forecast'!$P367)/1000000</f>
        <v>2.3854229999999998</v>
      </c>
      <c r="CC179" s="70">
        <f>'[1]D6 Gallon Forecast'!$P283/1000000</f>
        <v>0</v>
      </c>
      <c r="CD179" s="70">
        <f t="shared" si="49"/>
        <v>2.3854229999999998</v>
      </c>
      <c r="CE179" s="60"/>
      <c r="CF179" s="84">
        <f>'RD Feedstock Breakdown'!GQ170*1000000</f>
        <v>19108591.837121837</v>
      </c>
      <c r="CG179" s="85">
        <f t="shared" si="46"/>
        <v>8010567.4495139178</v>
      </c>
      <c r="CH179" s="73">
        <f>'[2]US EIA'!$R316+AW179</f>
        <v>6080.9</v>
      </c>
    </row>
    <row r="180" spans="1:86" ht="13.5" x14ac:dyDescent="0.25">
      <c r="A180" s="59">
        <v>45627</v>
      </c>
      <c r="B180" s="74">
        <f t="shared" si="56"/>
        <v>690</v>
      </c>
      <c r="C180" s="74">
        <v>47</v>
      </c>
      <c r="D180" s="74">
        <f t="shared" si="43"/>
        <v>3</v>
      </c>
      <c r="E180" s="74">
        <f t="shared" si="60"/>
        <v>85</v>
      </c>
      <c r="F180" s="82">
        <v>95</v>
      </c>
      <c r="G180" s="74">
        <f t="shared" si="85"/>
        <v>25</v>
      </c>
      <c r="H180" s="74">
        <f t="shared" si="81"/>
        <v>190</v>
      </c>
      <c r="I180" s="74"/>
      <c r="J180" s="74">
        <f t="shared" si="51"/>
        <v>153.30000000000001</v>
      </c>
      <c r="K180" s="74">
        <f t="shared" si="61"/>
        <v>125</v>
      </c>
      <c r="L180" s="74">
        <v>125</v>
      </c>
      <c r="M180" s="74">
        <v>730</v>
      </c>
      <c r="N180" s="74">
        <f t="shared" si="41"/>
        <v>180</v>
      </c>
      <c r="O180" s="74">
        <v>375</v>
      </c>
      <c r="P180" s="74">
        <f t="shared" si="76"/>
        <v>50</v>
      </c>
      <c r="Q180" s="74">
        <f t="shared" si="77"/>
        <v>21</v>
      </c>
      <c r="R180" s="74">
        <v>100</v>
      </c>
      <c r="S180" s="74">
        <f t="shared" si="83"/>
        <v>60</v>
      </c>
      <c r="T180" s="74">
        <f t="shared" si="71"/>
        <v>36</v>
      </c>
      <c r="U180" s="74"/>
      <c r="V180" s="74"/>
      <c r="W180" s="74">
        <f t="shared" si="78"/>
        <v>20</v>
      </c>
      <c r="X180" s="74">
        <f t="shared" si="52"/>
        <v>0</v>
      </c>
      <c r="Y180" s="74">
        <f t="shared" si="73"/>
        <v>3.5</v>
      </c>
      <c r="Z180" s="74">
        <f t="shared" si="86"/>
        <v>57.5</v>
      </c>
      <c r="AA180" s="74">
        <f t="shared" si="72"/>
        <v>306</v>
      </c>
      <c r="AB180" s="74">
        <f t="shared" si="87"/>
        <v>60</v>
      </c>
      <c r="AC180" s="74"/>
      <c r="AD180" s="74">
        <f t="shared" si="80"/>
        <v>180</v>
      </c>
      <c r="AE180" s="74">
        <f t="shared" si="84"/>
        <v>1.1000000000000001</v>
      </c>
      <c r="AF180" s="74">
        <f t="shared" si="90"/>
        <v>275</v>
      </c>
      <c r="AG180" s="74"/>
      <c r="AH180" s="74">
        <f t="shared" si="88"/>
        <v>3</v>
      </c>
      <c r="AI180" s="74">
        <f t="shared" si="79"/>
        <v>47</v>
      </c>
      <c r="AJ180" s="74"/>
      <c r="AK180" s="74"/>
      <c r="AL180" s="74">
        <f t="shared" si="89"/>
        <v>22.5</v>
      </c>
      <c r="AM180" s="74">
        <v>46</v>
      </c>
      <c r="AN180" s="74"/>
      <c r="AO180" s="74"/>
      <c r="AP180" s="74"/>
      <c r="AQ180" s="74"/>
      <c r="AR180" s="74"/>
      <c r="AS180" s="74"/>
      <c r="AT180" s="74"/>
      <c r="AU180" s="74"/>
      <c r="AV180" s="74"/>
      <c r="AW180" s="74">
        <f t="shared" si="74"/>
        <v>4111.8999999999996</v>
      </c>
      <c r="AX180" s="74">
        <v>4718</v>
      </c>
      <c r="AY180" s="62">
        <f>'[1]D4 Gallon Forecast'!$P160/1000000</f>
        <v>0</v>
      </c>
      <c r="AZ180" s="62">
        <f>'[1]D4 Gallon Forecast'!$P192/1000000</f>
        <v>254.28331</v>
      </c>
      <c r="BA180" s="62">
        <f t="shared" si="39"/>
        <v>254.28331</v>
      </c>
      <c r="BB180" s="62">
        <f>'[1]D4 Gallon Forecast'!$P176/1000000</f>
        <v>53.407518000000003</v>
      </c>
      <c r="BC180" s="63">
        <f>'[1]D4 Gallon Forecast'!$P352/1000000</f>
        <v>2.1610939999999998</v>
      </c>
      <c r="BD180" s="64">
        <f>'[1]D4 Gallon Forecast'!$P368/1000000</f>
        <v>0</v>
      </c>
      <c r="BE180" s="64">
        <f t="shared" si="40"/>
        <v>55.568612000000002</v>
      </c>
      <c r="BF180" s="76">
        <f t="shared" si="54"/>
        <v>309.851922</v>
      </c>
      <c r="BG180" s="77">
        <f t="shared" si="59"/>
        <v>0.7990387984315388</v>
      </c>
      <c r="BH180" s="77">
        <f>AVERAGE(BG169:BG180)</f>
        <v>0.67442978508497875</v>
      </c>
      <c r="BI180" s="75">
        <f t="shared" si="75"/>
        <v>4000.4</v>
      </c>
      <c r="BJ180" s="75">
        <f t="shared" si="50"/>
        <v>717.59999999999991</v>
      </c>
      <c r="BK180" s="75">
        <f>'RD Feedstock Breakdown'!ES171</f>
        <v>2477.3036184051448</v>
      </c>
      <c r="BL180" s="78">
        <f t="shared" si="57"/>
        <v>7.9951210320559021</v>
      </c>
      <c r="BM180" s="78">
        <f t="shared" si="55"/>
        <v>9.7422973548879188</v>
      </c>
      <c r="BN180" s="60"/>
      <c r="BO180" s="60"/>
      <c r="BP180" s="60"/>
      <c r="BQ180" s="66">
        <f>'[1]D4 Gallon Forecast'!$P80/1000000</f>
        <v>174.66922600000001</v>
      </c>
      <c r="BR180" s="66">
        <f>'[1]D6 Gallon Forecast'!$P73/1000000</f>
        <v>0.25260899999999997</v>
      </c>
      <c r="BS180" s="66">
        <f t="shared" si="82"/>
        <v>174.92183500000002</v>
      </c>
      <c r="BT180" s="60"/>
      <c r="BU180" s="67">
        <f>'[2]US EIA'!$P317</f>
        <v>947.76232217708207</v>
      </c>
      <c r="BV180" s="68">
        <f t="shared" si="66"/>
        <v>5.4182047780203195</v>
      </c>
      <c r="BW180" s="60"/>
      <c r="BX180" s="69">
        <f t="shared" si="67"/>
        <v>0.63916810166768157</v>
      </c>
      <c r="BY180" s="69">
        <f t="shared" si="68"/>
        <v>0.36083189833231832</v>
      </c>
      <c r="BZ180" s="60"/>
      <c r="CA180" s="60"/>
      <c r="CB180" s="70">
        <f>('[1]D4 Gallon Forecast'!$P352+'[1]D4 Gallon Forecast'!$P368)/1000000</f>
        <v>2.1610939999999998</v>
      </c>
      <c r="CC180" s="70">
        <f>'[1]D6 Gallon Forecast'!$P284/1000000</f>
        <v>0</v>
      </c>
      <c r="CD180" s="70">
        <f t="shared" si="49"/>
        <v>2.1610939999999998</v>
      </c>
      <c r="CE180" s="60"/>
      <c r="CF180" s="84">
        <f>'RD Feedstock Breakdown'!GQ171*1000000</f>
        <v>17278208.091649815</v>
      </c>
      <c r="CG180" s="85">
        <f t="shared" si="46"/>
        <v>7995121.0320559014</v>
      </c>
      <c r="CH180" s="73">
        <f>'[2]US EIA'!$R317+AW180</f>
        <v>6106.9</v>
      </c>
    </row>
    <row r="181" spans="1:86" ht="13.5" x14ac:dyDescent="0.25">
      <c r="A181" s="59">
        <v>45658</v>
      </c>
      <c r="B181" s="74">
        <f t="shared" si="56"/>
        <v>690</v>
      </c>
      <c r="C181" s="74">
        <v>47</v>
      </c>
      <c r="D181" s="74">
        <f t="shared" si="43"/>
        <v>3</v>
      </c>
      <c r="E181" s="74">
        <f t="shared" si="60"/>
        <v>85</v>
      </c>
      <c r="F181" s="74">
        <f t="shared" ref="F181:F244" si="91">90+(250*$F$12)</f>
        <v>340</v>
      </c>
      <c r="G181" s="74">
        <f t="shared" si="85"/>
        <v>25</v>
      </c>
      <c r="H181" s="74">
        <f t="shared" si="81"/>
        <v>190</v>
      </c>
      <c r="I181" s="74">
        <f>$I$12*$I$5*0.5</f>
        <v>62.5</v>
      </c>
      <c r="J181" s="74">
        <f t="shared" si="51"/>
        <v>153.30000000000001</v>
      </c>
      <c r="K181" s="74">
        <f t="shared" si="61"/>
        <v>125</v>
      </c>
      <c r="L181" s="74">
        <v>125</v>
      </c>
      <c r="M181" s="74">
        <v>730</v>
      </c>
      <c r="N181" s="74">
        <f t="shared" si="41"/>
        <v>180</v>
      </c>
      <c r="O181" s="74">
        <v>375</v>
      </c>
      <c r="P181" s="74">
        <f t="shared" si="76"/>
        <v>50</v>
      </c>
      <c r="Q181" s="74">
        <f t="shared" si="77"/>
        <v>21</v>
      </c>
      <c r="R181" s="74">
        <v>100</v>
      </c>
      <c r="S181" s="74">
        <f t="shared" si="83"/>
        <v>60</v>
      </c>
      <c r="T181" s="74">
        <f t="shared" si="71"/>
        <v>36</v>
      </c>
      <c r="U181" s="74"/>
      <c r="V181" s="74"/>
      <c r="W181" s="74">
        <f t="shared" si="78"/>
        <v>20</v>
      </c>
      <c r="X181" s="74">
        <f t="shared" si="52"/>
        <v>0</v>
      </c>
      <c r="Y181" s="74">
        <f t="shared" si="73"/>
        <v>3.5</v>
      </c>
      <c r="Z181" s="74">
        <f t="shared" si="86"/>
        <v>57.5</v>
      </c>
      <c r="AA181" s="74">
        <f t="shared" si="72"/>
        <v>306</v>
      </c>
      <c r="AB181" s="74">
        <f t="shared" si="87"/>
        <v>60</v>
      </c>
      <c r="AC181" s="74"/>
      <c r="AD181" s="74">
        <f t="shared" si="80"/>
        <v>180</v>
      </c>
      <c r="AE181" s="74">
        <f t="shared" si="84"/>
        <v>1.1000000000000001</v>
      </c>
      <c r="AF181" s="74">
        <f t="shared" si="90"/>
        <v>275</v>
      </c>
      <c r="AG181" s="74"/>
      <c r="AH181" s="74">
        <f t="shared" si="88"/>
        <v>3</v>
      </c>
      <c r="AI181" s="74">
        <f t="shared" si="79"/>
        <v>47</v>
      </c>
      <c r="AJ181" s="74"/>
      <c r="AK181" s="74"/>
      <c r="AL181" s="74">
        <f t="shared" si="89"/>
        <v>22.5</v>
      </c>
      <c r="AM181" s="74">
        <v>46</v>
      </c>
      <c r="AN181" s="74"/>
      <c r="AO181" s="74"/>
      <c r="AP181" s="74"/>
      <c r="AQ181" s="74"/>
      <c r="AR181" s="74"/>
      <c r="AS181" s="74"/>
      <c r="AT181" s="74"/>
      <c r="AU181" s="74"/>
      <c r="AV181" s="74"/>
      <c r="AW181" s="74">
        <f t="shared" si="74"/>
        <v>4419.3999999999996</v>
      </c>
      <c r="AX181" s="74">
        <v>4580</v>
      </c>
      <c r="AY181" s="62">
        <f>'[1]D4 Gallon Forecast'!$Q149/1000000</f>
        <v>0</v>
      </c>
      <c r="AZ181" s="62">
        <f>'[1]D4 Gallon Forecast'!$Q181/1000000</f>
        <v>175.88289499999999</v>
      </c>
      <c r="BA181" s="62">
        <f t="shared" si="39"/>
        <v>175.88289499999999</v>
      </c>
      <c r="BB181" s="62">
        <f>'[1]D4 Gallon Forecast'!$Q165/1000000</f>
        <v>36.068371999999997</v>
      </c>
      <c r="BC181" s="63">
        <f>'[1]D4 Gallon Forecast'!$Q341/1000000</f>
        <v>8.4753439999999998</v>
      </c>
      <c r="BD181" s="64">
        <f>'[1]D4 Gallon Forecast'!$Q357/1000000</f>
        <v>0</v>
      </c>
      <c r="BE181" s="64">
        <f t="shared" si="40"/>
        <v>44.543715999999996</v>
      </c>
      <c r="BF181" s="76">
        <f t="shared" si="54"/>
        <v>220.42661099999998</v>
      </c>
      <c r="BG181" s="77">
        <f t="shared" si="59"/>
        <v>0.56666934085786724</v>
      </c>
      <c r="BH181" s="60"/>
      <c r="BI181" s="75">
        <f t="shared" si="75"/>
        <v>4307.8999999999996</v>
      </c>
      <c r="BJ181" s="75">
        <f t="shared" si="50"/>
        <v>272.10000000000036</v>
      </c>
      <c r="BK181" s="75">
        <f>'RD Feedstock Breakdown'!ES172</f>
        <v>1779.6250507922853</v>
      </c>
      <c r="BL181" s="78">
        <f t="shared" si="57"/>
        <v>8.0735490271285144</v>
      </c>
      <c r="BM181" s="78">
        <f t="shared" si="55"/>
        <v>10.118238335753373</v>
      </c>
      <c r="BN181" s="60"/>
      <c r="BO181" s="60"/>
      <c r="BP181" s="60"/>
      <c r="BQ181" s="66">
        <f>'[1]D4 Gallon Forecast'!$Q69/1000000</f>
        <v>65.635810000000006</v>
      </c>
      <c r="BR181" s="66">
        <f>'[1]D6 Gallon Forecast'!$Q62/1000000</f>
        <v>0</v>
      </c>
      <c r="BS181" s="66">
        <f t="shared" si="82"/>
        <v>65.635810000000006</v>
      </c>
      <c r="BT181" s="60"/>
      <c r="BU181" s="67">
        <f>'[2]US EIA'!$P318</f>
        <v>630.81908722675325</v>
      </c>
      <c r="BV181" s="68">
        <f t="shared" si="66"/>
        <v>9.6108981854075264</v>
      </c>
      <c r="BW181" s="60"/>
      <c r="BX181" s="69">
        <f t="shared" si="67"/>
        <v>0.77055423857997762</v>
      </c>
      <c r="BY181" s="69">
        <f t="shared" si="68"/>
        <v>0.22944576142002243</v>
      </c>
      <c r="BZ181" s="60"/>
      <c r="CA181" s="60"/>
      <c r="CB181" s="70">
        <f>('[1]D4 Gallon Forecast'!$Q341+'[1]D4 Gallon Forecast'!$Q357)/1000000</f>
        <v>8.4753439999999998</v>
      </c>
      <c r="CC181" s="70">
        <f>'[1]D6 Gallon Forecast'!$Q274/1000000</f>
        <v>0</v>
      </c>
      <c r="CD181" s="70">
        <f t="shared" si="49"/>
        <v>8.4753439999999998</v>
      </c>
      <c r="CE181" s="60"/>
      <c r="CF181" s="84">
        <f>'RD Feedstock Breakdown'!GQ172*1000000</f>
        <v>68426105.305779472</v>
      </c>
      <c r="CG181" s="85">
        <f t="shared" si="46"/>
        <v>8073549.027128512</v>
      </c>
      <c r="CH181" s="73">
        <f>'[2]US EIA'!$R318+AW181</f>
        <v>6403.4</v>
      </c>
    </row>
    <row r="182" spans="1:86" ht="13.5" x14ac:dyDescent="0.25">
      <c r="A182" s="59">
        <v>45689</v>
      </c>
      <c r="B182" s="74">
        <f t="shared" si="56"/>
        <v>690</v>
      </c>
      <c r="C182" s="74">
        <v>47</v>
      </c>
      <c r="D182" s="74">
        <f t="shared" si="43"/>
        <v>3</v>
      </c>
      <c r="E182" s="74">
        <f t="shared" si="60"/>
        <v>85</v>
      </c>
      <c r="F182" s="74">
        <f t="shared" si="91"/>
        <v>340</v>
      </c>
      <c r="G182" s="74">
        <f t="shared" si="85"/>
        <v>25</v>
      </c>
      <c r="H182" s="74">
        <f t="shared" si="81"/>
        <v>190</v>
      </c>
      <c r="I182" s="74">
        <f>$I$12*$I$5*0.75</f>
        <v>93.75</v>
      </c>
      <c r="J182" s="74">
        <f t="shared" si="51"/>
        <v>153.30000000000001</v>
      </c>
      <c r="K182" s="74">
        <f t="shared" si="61"/>
        <v>125</v>
      </c>
      <c r="L182" s="74">
        <v>125</v>
      </c>
      <c r="M182" s="74">
        <v>730</v>
      </c>
      <c r="N182" s="74">
        <f t="shared" si="41"/>
        <v>180</v>
      </c>
      <c r="O182" s="74">
        <v>375</v>
      </c>
      <c r="P182" s="74">
        <f t="shared" si="76"/>
        <v>50</v>
      </c>
      <c r="Q182" s="74">
        <f t="shared" si="77"/>
        <v>21</v>
      </c>
      <c r="R182" s="74">
        <v>100</v>
      </c>
      <c r="S182" s="74">
        <f t="shared" si="83"/>
        <v>60</v>
      </c>
      <c r="T182" s="74">
        <f t="shared" si="71"/>
        <v>36</v>
      </c>
      <c r="U182" s="74"/>
      <c r="V182" s="74"/>
      <c r="W182" s="74">
        <f t="shared" si="78"/>
        <v>20</v>
      </c>
      <c r="X182" s="74">
        <f t="shared" si="52"/>
        <v>0</v>
      </c>
      <c r="Y182" s="74">
        <f t="shared" si="73"/>
        <v>3.5</v>
      </c>
      <c r="Z182" s="74">
        <f t="shared" si="86"/>
        <v>57.5</v>
      </c>
      <c r="AA182" s="74">
        <f t="shared" si="72"/>
        <v>306</v>
      </c>
      <c r="AB182" s="74">
        <f t="shared" si="87"/>
        <v>60</v>
      </c>
      <c r="AC182" s="74"/>
      <c r="AD182" s="74">
        <f t="shared" si="80"/>
        <v>180</v>
      </c>
      <c r="AE182" s="74">
        <f t="shared" si="84"/>
        <v>1.1000000000000001</v>
      </c>
      <c r="AF182" s="74">
        <f t="shared" si="90"/>
        <v>275</v>
      </c>
      <c r="AG182" s="74"/>
      <c r="AH182" s="74">
        <f t="shared" si="88"/>
        <v>3</v>
      </c>
      <c r="AI182" s="74">
        <f t="shared" si="79"/>
        <v>47</v>
      </c>
      <c r="AJ182" s="74"/>
      <c r="AK182" s="74"/>
      <c r="AL182" s="74">
        <f t="shared" si="89"/>
        <v>22.5</v>
      </c>
      <c r="AM182" s="74">
        <v>46</v>
      </c>
      <c r="AN182" s="74"/>
      <c r="AO182" s="74"/>
      <c r="AP182" s="74"/>
      <c r="AQ182" s="74"/>
      <c r="AR182" s="74"/>
      <c r="AS182" s="74"/>
      <c r="AT182" s="74"/>
      <c r="AU182" s="74"/>
      <c r="AV182" s="74"/>
      <c r="AW182" s="74">
        <f t="shared" si="74"/>
        <v>4450.6499999999996</v>
      </c>
      <c r="AX182" s="74">
        <v>4580</v>
      </c>
      <c r="AY182" s="62">
        <f>'[1]D4 Gallon Forecast'!$Q150/1000000</f>
        <v>0</v>
      </c>
      <c r="AZ182" s="62">
        <f>'[1]D4 Gallon Forecast'!$Q182/1000000</f>
        <v>143.90364500000001</v>
      </c>
      <c r="BA182" s="62">
        <f t="shared" ref="BA182:BA245" si="92">SUM(AY182:AZ182)</f>
        <v>143.90364500000001</v>
      </c>
      <c r="BB182" s="62">
        <f>'[1]D4 Gallon Forecast'!$Q166/1000000</f>
        <v>37.563478000000003</v>
      </c>
      <c r="BC182" s="63">
        <f>'[1]D4 Gallon Forecast'!$Q342/1000000</f>
        <v>15.728119</v>
      </c>
      <c r="BD182" s="64">
        <f>'[1]D4 Gallon Forecast'!$Q358/1000000</f>
        <v>0</v>
      </c>
      <c r="BE182" s="64">
        <f t="shared" si="40"/>
        <v>53.291597000000003</v>
      </c>
      <c r="BF182" s="76">
        <f t="shared" si="54"/>
        <v>197.19524200000001</v>
      </c>
      <c r="BG182" s="77">
        <f t="shared" si="59"/>
        <v>0.50694649478799836</v>
      </c>
      <c r="BH182" s="60"/>
      <c r="BI182" s="75">
        <f t="shared" si="75"/>
        <v>4339.1499999999996</v>
      </c>
      <c r="BJ182" s="75">
        <f t="shared" si="50"/>
        <v>240.85000000000036</v>
      </c>
      <c r="BK182" s="75">
        <f>'RD Feedstock Breakdown'!ES173</f>
        <v>1591.8959909710366</v>
      </c>
      <c r="BL182" s="78">
        <f t="shared" si="57"/>
        <v>8.0726896593734061</v>
      </c>
      <c r="BM182" s="78">
        <f t="shared" si="55"/>
        <v>11.062235365692345</v>
      </c>
      <c r="BN182" s="60"/>
      <c r="BO182" s="60"/>
      <c r="BP182" s="60"/>
      <c r="BQ182" s="66">
        <f>'[1]D4 Gallon Forecast'!$Q70/1000000</f>
        <v>73.721896000000001</v>
      </c>
      <c r="BR182" s="66">
        <f>'[1]D6 Gallon Forecast'!$Q63/1000000</f>
        <v>0</v>
      </c>
      <c r="BS182" s="66">
        <f t="shared" si="82"/>
        <v>73.721896000000001</v>
      </c>
      <c r="BT182" s="60"/>
      <c r="BU182" s="67">
        <f>'[2]US EIA'!$P319</f>
        <v>602.71194513330249</v>
      </c>
      <c r="BV182" s="68">
        <f t="shared" si="66"/>
        <v>8.1754807979070758</v>
      </c>
      <c r="BW182" s="60"/>
      <c r="BX182" s="69">
        <f t="shared" si="67"/>
        <v>0.72788027902465136</v>
      </c>
      <c r="BY182" s="69">
        <f t="shared" si="68"/>
        <v>0.27211972097534853</v>
      </c>
      <c r="BZ182" s="60"/>
      <c r="CA182" s="60"/>
      <c r="CB182" s="70">
        <f>('[1]D4 Gallon Forecast'!$Q342+'[1]D4 Gallon Forecast'!$Q358)/1000000</f>
        <v>15.728119</v>
      </c>
      <c r="CC182" s="70">
        <f>'[1]D6 Gallon Forecast'!$Q275/1000000</f>
        <v>0</v>
      </c>
      <c r="CD182" s="70">
        <f t="shared" si="49"/>
        <v>15.728119</v>
      </c>
      <c r="CE182" s="60"/>
      <c r="CF182" s="84">
        <f>'RD Feedstock Breakdown'!GQ173*1000000</f>
        <v>126968223.61269441</v>
      </c>
      <c r="CG182" s="85">
        <f t="shared" si="46"/>
        <v>8072689.6593734073</v>
      </c>
      <c r="CH182" s="73">
        <f>'[2]US EIA'!$R319+AW182</f>
        <v>6434.65</v>
      </c>
    </row>
    <row r="183" spans="1:86" ht="13.5" x14ac:dyDescent="0.25">
      <c r="A183" s="59">
        <v>45717</v>
      </c>
      <c r="B183" s="74">
        <f t="shared" si="56"/>
        <v>690</v>
      </c>
      <c r="C183" s="74">
        <v>47</v>
      </c>
      <c r="D183" s="74">
        <f t="shared" si="43"/>
        <v>3</v>
      </c>
      <c r="E183" s="74">
        <f t="shared" si="60"/>
        <v>85</v>
      </c>
      <c r="F183" s="74">
        <f t="shared" si="91"/>
        <v>340</v>
      </c>
      <c r="G183" s="74">
        <f t="shared" si="85"/>
        <v>25</v>
      </c>
      <c r="H183" s="74">
        <f t="shared" si="81"/>
        <v>190</v>
      </c>
      <c r="I183" s="74">
        <f t="shared" ref="I183:I214" si="93">$I$12*$I$5</f>
        <v>125</v>
      </c>
      <c r="J183" s="74">
        <f t="shared" si="51"/>
        <v>153.30000000000001</v>
      </c>
      <c r="K183" s="74">
        <f t="shared" si="61"/>
        <v>125</v>
      </c>
      <c r="L183" s="74">
        <v>125</v>
      </c>
      <c r="M183" s="74">
        <v>730</v>
      </c>
      <c r="N183" s="74">
        <f t="shared" si="41"/>
        <v>180</v>
      </c>
      <c r="O183" s="74">
        <v>375</v>
      </c>
      <c r="P183" s="74">
        <f t="shared" si="76"/>
        <v>50</v>
      </c>
      <c r="Q183" s="74">
        <f t="shared" si="77"/>
        <v>21</v>
      </c>
      <c r="R183" s="74">
        <v>100</v>
      </c>
      <c r="S183" s="74">
        <f t="shared" si="83"/>
        <v>60</v>
      </c>
      <c r="T183" s="74">
        <f t="shared" si="71"/>
        <v>36</v>
      </c>
      <c r="U183" s="74"/>
      <c r="V183" s="74"/>
      <c r="W183" s="74">
        <f t="shared" si="78"/>
        <v>20</v>
      </c>
      <c r="X183" s="74">
        <f t="shared" si="52"/>
        <v>0</v>
      </c>
      <c r="Y183" s="74">
        <f t="shared" si="73"/>
        <v>3.5</v>
      </c>
      <c r="Z183" s="74">
        <f t="shared" si="86"/>
        <v>57.5</v>
      </c>
      <c r="AA183" s="74">
        <f t="shared" si="72"/>
        <v>306</v>
      </c>
      <c r="AB183" s="74">
        <f t="shared" si="87"/>
        <v>60</v>
      </c>
      <c r="AC183" s="74"/>
      <c r="AD183" s="74">
        <f t="shared" si="80"/>
        <v>180</v>
      </c>
      <c r="AE183" s="74">
        <f t="shared" si="84"/>
        <v>1.1000000000000001</v>
      </c>
      <c r="AF183" s="74">
        <f t="shared" si="90"/>
        <v>275</v>
      </c>
      <c r="AG183" s="74"/>
      <c r="AH183" s="74">
        <f t="shared" si="88"/>
        <v>3</v>
      </c>
      <c r="AI183" s="74">
        <f t="shared" si="79"/>
        <v>47</v>
      </c>
      <c r="AJ183" s="74"/>
      <c r="AK183" s="74"/>
      <c r="AL183" s="74">
        <f t="shared" si="89"/>
        <v>22.5</v>
      </c>
      <c r="AM183" s="74">
        <v>46</v>
      </c>
      <c r="AN183" s="74"/>
      <c r="AO183" s="74"/>
      <c r="AP183" s="74"/>
      <c r="AQ183" s="74"/>
      <c r="AR183" s="74"/>
      <c r="AS183" s="74"/>
      <c r="AT183" s="74"/>
      <c r="AU183" s="74"/>
      <c r="AV183" s="74"/>
      <c r="AW183" s="74">
        <f>SUM(B183:AT183)</f>
        <v>4481.8999999999996</v>
      </c>
      <c r="AX183" s="74">
        <v>4580</v>
      </c>
      <c r="AY183" s="62">
        <f>'[1]D4 Gallon Forecast'!$Q151/1000000</f>
        <v>0</v>
      </c>
      <c r="AZ183" s="62">
        <f>'[1]D4 Gallon Forecast'!$Q183/1000000</f>
        <v>186.33222900000001</v>
      </c>
      <c r="BA183" s="62">
        <f t="shared" si="92"/>
        <v>186.33222900000001</v>
      </c>
      <c r="BB183" s="62">
        <f>'[1]D4 Gallon Forecast'!$Q167/1000000</f>
        <v>36.495939999999997</v>
      </c>
      <c r="BC183" s="63">
        <f>'[1]D4 Gallon Forecast'!$Q343/1000000</f>
        <v>3.8450150000000001</v>
      </c>
      <c r="BD183" s="64">
        <f>'[1]D4 Gallon Forecast'!$Q359/1000000</f>
        <v>0</v>
      </c>
      <c r="BE183" s="64">
        <f t="shared" ref="BE183:BE246" si="94">BD183+BC183+BB183</f>
        <v>40.340954999999994</v>
      </c>
      <c r="BF183" s="76">
        <f t="shared" si="54"/>
        <v>226.67318399999999</v>
      </c>
      <c r="BG183" s="77">
        <f t="shared" si="59"/>
        <v>0.64516307049282595</v>
      </c>
      <c r="BH183" s="60"/>
      <c r="BI183" s="75">
        <f t="shared" si="75"/>
        <v>4370.3999999999996</v>
      </c>
      <c r="BJ183" s="75">
        <f t="shared" si="50"/>
        <v>209.60000000000036</v>
      </c>
      <c r="BK183" s="75">
        <f>'RD Feedstock Breakdown'!ES174</f>
        <v>1839.2903767974281</v>
      </c>
      <c r="BL183" s="78">
        <f t="shared" si="57"/>
        <v>8.1142830587204706</v>
      </c>
      <c r="BM183" s="78">
        <f t="shared" si="55"/>
        <v>9.8710265350683262</v>
      </c>
      <c r="BN183" s="60"/>
      <c r="BO183" s="60"/>
      <c r="BP183" s="60"/>
      <c r="BQ183" s="66">
        <f>'[1]D4 Gallon Forecast'!$Q71/1000000</f>
        <v>95.833393000000001</v>
      </c>
      <c r="BR183" s="66">
        <f>'[1]D6 Gallon Forecast'!$Q64/1000000</f>
        <v>2.0249999999999999E-3</v>
      </c>
      <c r="BS183" s="66">
        <f t="shared" si="82"/>
        <v>95.835418000000004</v>
      </c>
      <c r="BT183" s="60"/>
      <c r="BU183" s="67">
        <f>'[2]US EIA'!$P320</f>
        <v>763.74486752865425</v>
      </c>
      <c r="BV183" s="68">
        <f t="shared" si="66"/>
        <v>7.9693383038059498</v>
      </c>
      <c r="BW183" s="60"/>
      <c r="BX183" s="69">
        <f t="shared" si="67"/>
        <v>0.70284383918541182</v>
      </c>
      <c r="BY183" s="69">
        <f t="shared" si="68"/>
        <v>0.29715616081458818</v>
      </c>
      <c r="BZ183" s="60"/>
      <c r="CA183" s="60"/>
      <c r="CB183" s="70">
        <f>('[1]D4 Gallon Forecast'!$Q343+'[1]D4 Gallon Forecast'!$Q359)/1000000</f>
        <v>3.8450150000000001</v>
      </c>
      <c r="CC183" s="70">
        <f>'[1]D6 Gallon Forecast'!$Q276/1000000</f>
        <v>0</v>
      </c>
      <c r="CD183" s="70">
        <f t="shared" si="49"/>
        <v>3.8450150000000001</v>
      </c>
      <c r="CE183" s="60"/>
      <c r="CF183" s="84">
        <f>'RD Feedstock Breakdown'!GQ174*1000000</f>
        <v>31199540.075026091</v>
      </c>
      <c r="CG183" s="85">
        <f t="shared" si="46"/>
        <v>8114283.0587204704</v>
      </c>
      <c r="CH183" s="73">
        <f>'[2]US EIA'!$R320+AW183</f>
        <v>6465.9</v>
      </c>
    </row>
    <row r="184" spans="1:86" ht="13.5" x14ac:dyDescent="0.25">
      <c r="A184" s="59">
        <v>45748</v>
      </c>
      <c r="B184" s="74">
        <f t="shared" si="56"/>
        <v>690</v>
      </c>
      <c r="C184" s="74">
        <v>47</v>
      </c>
      <c r="D184" s="74">
        <f t="shared" si="43"/>
        <v>3</v>
      </c>
      <c r="E184" s="74">
        <f t="shared" si="60"/>
        <v>85</v>
      </c>
      <c r="F184" s="74">
        <f t="shared" si="91"/>
        <v>340</v>
      </c>
      <c r="G184" s="74">
        <f t="shared" si="85"/>
        <v>25</v>
      </c>
      <c r="H184" s="74">
        <f t="shared" si="81"/>
        <v>190</v>
      </c>
      <c r="I184" s="74">
        <f t="shared" si="93"/>
        <v>125</v>
      </c>
      <c r="J184" s="74">
        <f t="shared" si="51"/>
        <v>153.30000000000001</v>
      </c>
      <c r="K184" s="74">
        <f t="shared" si="61"/>
        <v>125</v>
      </c>
      <c r="L184" s="74">
        <v>125</v>
      </c>
      <c r="M184" s="74">
        <v>730</v>
      </c>
      <c r="N184" s="74">
        <f t="shared" si="41"/>
        <v>180</v>
      </c>
      <c r="O184" s="74">
        <v>375</v>
      </c>
      <c r="P184" s="74">
        <f t="shared" si="76"/>
        <v>50</v>
      </c>
      <c r="Q184" s="74">
        <f t="shared" si="77"/>
        <v>21</v>
      </c>
      <c r="R184" s="74">
        <v>100</v>
      </c>
      <c r="S184" s="74">
        <f t="shared" si="83"/>
        <v>60</v>
      </c>
      <c r="T184" s="74">
        <f t="shared" si="71"/>
        <v>36</v>
      </c>
      <c r="U184" s="74"/>
      <c r="V184" s="74"/>
      <c r="W184" s="74">
        <f t="shared" si="78"/>
        <v>20</v>
      </c>
      <c r="X184" s="74">
        <f t="shared" si="52"/>
        <v>0</v>
      </c>
      <c r="Y184" s="74">
        <f t="shared" si="73"/>
        <v>3.5</v>
      </c>
      <c r="Z184" s="74">
        <f t="shared" si="86"/>
        <v>57.5</v>
      </c>
      <c r="AA184" s="74">
        <f t="shared" si="72"/>
        <v>306</v>
      </c>
      <c r="AB184" s="74">
        <f t="shared" si="87"/>
        <v>60</v>
      </c>
      <c r="AC184" s="74">
        <f>16*$AC$12</f>
        <v>0.8</v>
      </c>
      <c r="AD184" s="74">
        <f t="shared" si="80"/>
        <v>180</v>
      </c>
      <c r="AE184" s="74">
        <f t="shared" si="84"/>
        <v>1.1000000000000001</v>
      </c>
      <c r="AF184" s="74">
        <f t="shared" si="90"/>
        <v>275</v>
      </c>
      <c r="AG184" s="74"/>
      <c r="AH184" s="74">
        <f t="shared" si="88"/>
        <v>3</v>
      </c>
      <c r="AI184" s="74">
        <f t="shared" si="79"/>
        <v>47</v>
      </c>
      <c r="AJ184" s="74"/>
      <c r="AK184" s="74"/>
      <c r="AL184" s="74">
        <f t="shared" si="89"/>
        <v>22.5</v>
      </c>
      <c r="AM184" s="74">
        <v>46</v>
      </c>
      <c r="AN184" s="74"/>
      <c r="AO184" s="74"/>
      <c r="AP184" s="74"/>
      <c r="AQ184" s="74"/>
      <c r="AR184" s="74"/>
      <c r="AS184" s="74"/>
      <c r="AT184" s="74"/>
      <c r="AU184" s="74"/>
      <c r="AV184" s="74"/>
      <c r="AW184" s="74">
        <f t="shared" si="74"/>
        <v>4482.7000000000007</v>
      </c>
      <c r="AX184" s="74">
        <v>4580</v>
      </c>
      <c r="AY184" s="62">
        <f>'[1]D4 Gallon Forecast'!$Q152/1000000</f>
        <v>0</v>
      </c>
      <c r="AZ184" s="62">
        <f>'[1]D4 Gallon Forecast'!$Q184/1000000</f>
        <v>197.52681140333843</v>
      </c>
      <c r="BA184" s="62">
        <f t="shared" si="92"/>
        <v>197.52681140333843</v>
      </c>
      <c r="BB184" s="62">
        <f>'[1]D4 Gallon Forecast'!$Q168/1000000</f>
        <v>0</v>
      </c>
      <c r="BC184" s="63">
        <f>'[1]D4 Gallon Forecast'!$Q344/1000000</f>
        <v>8.4044749199190303</v>
      </c>
      <c r="BD184" s="64">
        <f>'[1]D4 Gallon Forecast'!$Q360/1000000</f>
        <v>0</v>
      </c>
      <c r="BE184" s="64">
        <f t="shared" si="94"/>
        <v>8.4044749199190303</v>
      </c>
      <c r="BF184" s="76">
        <f t="shared" si="54"/>
        <v>205.93128632325747</v>
      </c>
      <c r="BG184" s="77">
        <f t="shared" si="59"/>
        <v>0.52940498315247908</v>
      </c>
      <c r="BH184" s="60"/>
      <c r="BI184" s="75">
        <f t="shared" si="75"/>
        <v>4370.3999999999996</v>
      </c>
      <c r="BJ184" s="75">
        <f t="shared" si="50"/>
        <v>209.60000000000036</v>
      </c>
      <c r="BK184" s="75">
        <f>'RD Feedstock Breakdown'!ES175</f>
        <v>1665.2013451609344</v>
      </c>
      <c r="BL184" s="78">
        <f t="shared" si="57"/>
        <v>8.0861989204836515</v>
      </c>
      <c r="BM184" s="78">
        <f t="shared" si="55"/>
        <v>8.4302547756956834</v>
      </c>
      <c r="BN184" s="60"/>
      <c r="BO184" s="60"/>
      <c r="BP184" s="60"/>
      <c r="BQ184" s="66">
        <f>'[1]D4 Gallon Forecast'!$Q72/1000000</f>
        <v>131.79198624915776</v>
      </c>
      <c r="BR184" s="66">
        <f>'[1]D6 Gallon Forecast'!$Q65/1000000</f>
        <v>0</v>
      </c>
      <c r="BS184" s="66">
        <f t="shared" si="82"/>
        <v>131.79198624915776</v>
      </c>
      <c r="BT184" s="60"/>
      <c r="BU184" s="67">
        <f>'[2]US EIA'!$P321</f>
        <v>1043.7106742474616</v>
      </c>
      <c r="BV184" s="68">
        <f t="shared" si="66"/>
        <v>7.9193788936019747</v>
      </c>
      <c r="BW184" s="60"/>
      <c r="BX184" s="69">
        <f t="shared" si="67"/>
        <v>0.60976338632127081</v>
      </c>
      <c r="BY184" s="69">
        <f t="shared" si="68"/>
        <v>0.39023661367872919</v>
      </c>
      <c r="BZ184" s="60"/>
      <c r="CA184" s="60"/>
      <c r="CB184" s="70">
        <f>('[1]D4 Gallon Forecast'!$Q344+'[1]D4 Gallon Forecast'!$Q360)/1000000</f>
        <v>8.4044749199190303</v>
      </c>
      <c r="CC184" s="70">
        <f>'[1]D6 Gallon Forecast'!$Q277/1000000</f>
        <v>0</v>
      </c>
      <c r="CD184" s="70">
        <f t="shared" si="49"/>
        <v>8.4044749199190303</v>
      </c>
      <c r="CE184" s="60"/>
      <c r="CF184" s="84">
        <f>'RD Feedstock Breakdown'!GQ175*1000000</f>
        <v>67960256.024681181</v>
      </c>
      <c r="CG184" s="85">
        <f t="shared" si="46"/>
        <v>8086198.9204836506</v>
      </c>
      <c r="CH184" s="73">
        <f>'[2]US EIA'!$R321+AW184</f>
        <v>6466.7000000000007</v>
      </c>
    </row>
    <row r="185" spans="1:86" ht="13.5" x14ac:dyDescent="0.25">
      <c r="A185" s="59">
        <v>45778</v>
      </c>
      <c r="B185" s="74">
        <f t="shared" si="56"/>
        <v>690</v>
      </c>
      <c r="C185" s="74">
        <v>47</v>
      </c>
      <c r="D185" s="74">
        <f t="shared" si="43"/>
        <v>3</v>
      </c>
      <c r="E185" s="74">
        <f t="shared" si="60"/>
        <v>85</v>
      </c>
      <c r="F185" s="74">
        <f t="shared" si="91"/>
        <v>340</v>
      </c>
      <c r="G185" s="74">
        <f t="shared" si="85"/>
        <v>25</v>
      </c>
      <c r="H185" s="74">
        <f t="shared" si="81"/>
        <v>190</v>
      </c>
      <c r="I185" s="74">
        <f t="shared" si="93"/>
        <v>125</v>
      </c>
      <c r="J185" s="74">
        <f t="shared" si="51"/>
        <v>153.30000000000001</v>
      </c>
      <c r="K185" s="74">
        <f t="shared" si="61"/>
        <v>125</v>
      </c>
      <c r="L185" s="74">
        <v>125</v>
      </c>
      <c r="M185" s="74">
        <v>730</v>
      </c>
      <c r="N185" s="74">
        <f t="shared" si="41"/>
        <v>180</v>
      </c>
      <c r="O185" s="74">
        <v>375</v>
      </c>
      <c r="P185" s="74">
        <f t="shared" si="76"/>
        <v>50</v>
      </c>
      <c r="Q185" s="74">
        <f t="shared" si="77"/>
        <v>21</v>
      </c>
      <c r="R185" s="74">
        <v>100</v>
      </c>
      <c r="S185" s="74">
        <f t="shared" si="83"/>
        <v>60</v>
      </c>
      <c r="T185" s="74">
        <f t="shared" si="71"/>
        <v>36</v>
      </c>
      <c r="U185" s="74"/>
      <c r="V185" s="74"/>
      <c r="W185" s="74">
        <f t="shared" si="78"/>
        <v>20</v>
      </c>
      <c r="X185" s="74">
        <f t="shared" si="52"/>
        <v>0</v>
      </c>
      <c r="Y185" s="74">
        <f t="shared" si="73"/>
        <v>3.5</v>
      </c>
      <c r="Z185" s="74">
        <f t="shared" si="86"/>
        <v>57.5</v>
      </c>
      <c r="AA185" s="74">
        <f t="shared" si="72"/>
        <v>306</v>
      </c>
      <c r="AB185" s="74">
        <f t="shared" si="87"/>
        <v>60</v>
      </c>
      <c r="AC185" s="74">
        <f>32*$AC$12</f>
        <v>1.6</v>
      </c>
      <c r="AD185" s="74">
        <f t="shared" si="80"/>
        <v>180</v>
      </c>
      <c r="AE185" s="74">
        <f t="shared" si="84"/>
        <v>1.1000000000000001</v>
      </c>
      <c r="AF185" s="74">
        <f t="shared" si="90"/>
        <v>275</v>
      </c>
      <c r="AG185" s="74"/>
      <c r="AH185" s="74">
        <f t="shared" si="88"/>
        <v>3</v>
      </c>
      <c r="AI185" s="74">
        <f t="shared" si="79"/>
        <v>47</v>
      </c>
      <c r="AJ185" s="74"/>
      <c r="AK185" s="74"/>
      <c r="AL185" s="74">
        <f t="shared" si="89"/>
        <v>22.5</v>
      </c>
      <c r="AM185" s="74">
        <v>46</v>
      </c>
      <c r="AN185" s="74"/>
      <c r="AO185" s="74"/>
      <c r="AP185" s="74"/>
      <c r="AQ185" s="74"/>
      <c r="AR185" s="74"/>
      <c r="AS185" s="74"/>
      <c r="AT185" s="74">
        <f>$AT$5*$AT$12*0.5</f>
        <v>27.5</v>
      </c>
      <c r="AU185" s="74"/>
      <c r="AV185" s="74"/>
      <c r="AW185" s="74">
        <f t="shared" si="74"/>
        <v>4511</v>
      </c>
      <c r="AX185" s="74">
        <v>4718</v>
      </c>
      <c r="AY185" s="62">
        <f>'[1]D4 Gallon Forecast'!$Q153/1000000</f>
        <v>0</v>
      </c>
      <c r="AZ185" s="62">
        <f>'[1]D4 Gallon Forecast'!$Q185/1000000</f>
        <v>193.87494281081851</v>
      </c>
      <c r="BA185" s="62">
        <f t="shared" si="92"/>
        <v>193.87494281081851</v>
      </c>
      <c r="BB185" s="62">
        <f>'[1]D4 Gallon Forecast'!$Q169/1000000</f>
        <v>0</v>
      </c>
      <c r="BC185" s="63">
        <f>'[1]D4 Gallon Forecast'!$Q345/1000000</f>
        <v>10.97616797756708</v>
      </c>
      <c r="BD185" s="64">
        <f>'[1]D4 Gallon Forecast'!$Q361/1000000</f>
        <v>0</v>
      </c>
      <c r="BE185" s="64">
        <f t="shared" si="94"/>
        <v>10.97616797756708</v>
      </c>
      <c r="BF185" s="76">
        <f t="shared" si="54"/>
        <v>204.8511107883856</v>
      </c>
      <c r="BG185" s="77">
        <f t="shared" si="59"/>
        <v>0.52826519314512321</v>
      </c>
      <c r="BH185" s="60"/>
      <c r="BI185" s="75">
        <f t="shared" si="75"/>
        <v>4370.3999999999996</v>
      </c>
      <c r="BJ185" s="75">
        <f t="shared" si="50"/>
        <v>347.60000000000036</v>
      </c>
      <c r="BK185" s="75">
        <f>'RD Feedstock Breakdown'!ES176</f>
        <v>1659.0003390444244</v>
      </c>
      <c r="BL185" s="78">
        <f t="shared" si="57"/>
        <v>8.0985664791351688</v>
      </c>
      <c r="BM185" s="78">
        <f t="shared" si="55"/>
        <v>8.5570642342536374</v>
      </c>
      <c r="BN185" s="60"/>
      <c r="BO185" s="60"/>
      <c r="BP185" s="60"/>
      <c r="BQ185" s="66">
        <f>'[1]D4 Gallon Forecast'!$Q73/1000000</f>
        <v>137.81763089019856</v>
      </c>
      <c r="BR185" s="66">
        <f>'[1]D6 Gallon Forecast'!$Q66/1000000</f>
        <v>0.102606</v>
      </c>
      <c r="BS185" s="66">
        <f t="shared" si="82"/>
        <v>137.92023689019857</v>
      </c>
      <c r="BT185" s="60"/>
      <c r="BU185" s="67">
        <f>'[2]US EIA'!$P322</f>
        <v>1091.1805931895663</v>
      </c>
      <c r="BV185" s="68">
        <f t="shared" si="66"/>
        <v>7.9116786469724518</v>
      </c>
      <c r="BW185" s="60"/>
      <c r="BX185" s="69">
        <f t="shared" si="67"/>
        <v>0.59763195545875669</v>
      </c>
      <c r="BY185" s="69">
        <f t="shared" si="68"/>
        <v>0.40236804454124336</v>
      </c>
      <c r="BZ185" s="60"/>
      <c r="CA185" s="60"/>
      <c r="CB185" s="70">
        <f>('[1]D4 Gallon Forecast'!$Q345+'[1]D4 Gallon Forecast'!$Q361)/1000000</f>
        <v>10.97616797756708</v>
      </c>
      <c r="CC185" s="70">
        <f>'[1]D6 Gallon Forecast'!$Q278/1000000</f>
        <v>0</v>
      </c>
      <c r="CD185" s="70">
        <f t="shared" si="49"/>
        <v>10.97616797756708</v>
      </c>
      <c r="CE185" s="60"/>
      <c r="CF185" s="84">
        <f>'RD Feedstock Breakdown'!GQ176*1000000</f>
        <v>88891226.052481592</v>
      </c>
      <c r="CG185" s="85">
        <f t="shared" si="46"/>
        <v>8098566.4791351669</v>
      </c>
      <c r="CH185" s="73">
        <f>'[2]US EIA'!$R322+AW185</f>
        <v>6495</v>
      </c>
    </row>
    <row r="186" spans="1:86" ht="13.5" x14ac:dyDescent="0.25">
      <c r="A186" s="59">
        <v>45809</v>
      </c>
      <c r="B186" s="74">
        <f t="shared" si="56"/>
        <v>690</v>
      </c>
      <c r="C186" s="74">
        <v>47</v>
      </c>
      <c r="D186" s="74">
        <f t="shared" si="43"/>
        <v>3</v>
      </c>
      <c r="E186" s="74">
        <f t="shared" si="60"/>
        <v>85</v>
      </c>
      <c r="F186" s="74">
        <f t="shared" si="91"/>
        <v>340</v>
      </c>
      <c r="G186" s="74">
        <f t="shared" si="85"/>
        <v>25</v>
      </c>
      <c r="H186" s="74">
        <f t="shared" si="81"/>
        <v>190</v>
      </c>
      <c r="I186" s="74">
        <f t="shared" si="93"/>
        <v>125</v>
      </c>
      <c r="J186" s="74">
        <f t="shared" si="51"/>
        <v>153.30000000000001</v>
      </c>
      <c r="K186" s="74">
        <f t="shared" si="61"/>
        <v>125</v>
      </c>
      <c r="L186" s="74">
        <v>125</v>
      </c>
      <c r="M186" s="74">
        <v>730</v>
      </c>
      <c r="N186" s="74">
        <f t="shared" si="41"/>
        <v>180</v>
      </c>
      <c r="O186" s="74">
        <v>375</v>
      </c>
      <c r="P186" s="74">
        <f t="shared" si="76"/>
        <v>50</v>
      </c>
      <c r="Q186" s="74">
        <f t="shared" si="77"/>
        <v>21</v>
      </c>
      <c r="R186" s="74">
        <v>100</v>
      </c>
      <c r="S186" s="74">
        <f t="shared" si="83"/>
        <v>60</v>
      </c>
      <c r="T186" s="74">
        <f t="shared" si="71"/>
        <v>36</v>
      </c>
      <c r="U186" s="74"/>
      <c r="V186" s="74">
        <f>$V$5*$V$12*0.25</f>
        <v>0</v>
      </c>
      <c r="W186" s="74">
        <f t="shared" si="78"/>
        <v>20</v>
      </c>
      <c r="X186" s="74">
        <f t="shared" si="52"/>
        <v>0</v>
      </c>
      <c r="Y186" s="74">
        <f t="shared" si="73"/>
        <v>3.5</v>
      </c>
      <c r="Z186" s="74">
        <f t="shared" si="86"/>
        <v>57.5</v>
      </c>
      <c r="AA186" s="74">
        <f t="shared" si="72"/>
        <v>306</v>
      </c>
      <c r="AB186" s="74">
        <f t="shared" si="87"/>
        <v>60</v>
      </c>
      <c r="AC186" s="74">
        <f t="shared" ref="AC186:AC249" si="95">32*$AC$12</f>
        <v>1.6</v>
      </c>
      <c r="AD186" s="74">
        <f t="shared" si="80"/>
        <v>180</v>
      </c>
      <c r="AE186" s="74">
        <f t="shared" si="84"/>
        <v>1.1000000000000001</v>
      </c>
      <c r="AF186" s="74">
        <f t="shared" si="90"/>
        <v>275</v>
      </c>
      <c r="AG186" s="74">
        <f>$AG$5*$AG$12*0.5</f>
        <v>9</v>
      </c>
      <c r="AH186" s="74">
        <f t="shared" si="88"/>
        <v>3</v>
      </c>
      <c r="AI186" s="74">
        <f t="shared" si="79"/>
        <v>47</v>
      </c>
      <c r="AJ186" s="74"/>
      <c r="AK186" s="74"/>
      <c r="AL186" s="74">
        <f t="shared" si="89"/>
        <v>22.5</v>
      </c>
      <c r="AM186" s="74">
        <v>46</v>
      </c>
      <c r="AN186" s="74"/>
      <c r="AO186" s="74">
        <v>5</v>
      </c>
      <c r="AP186" s="74"/>
      <c r="AQ186" s="74"/>
      <c r="AR186" s="74">
        <f>AR5*0.5*AR12</f>
        <v>60</v>
      </c>
      <c r="AS186" s="74"/>
      <c r="AT186" s="74">
        <f t="shared" ref="AT186:AT249" si="96">$AT$5*$AT$12</f>
        <v>55</v>
      </c>
      <c r="AU186" s="74"/>
      <c r="AV186" s="74"/>
      <c r="AW186" s="74">
        <f t="shared" si="74"/>
        <v>4612.5</v>
      </c>
      <c r="AX186" s="74">
        <v>4764.1949999999997</v>
      </c>
      <c r="AY186" s="62">
        <f>'[1]D4 Gallon Forecast'!$Q154/1000000</f>
        <v>0</v>
      </c>
      <c r="AZ186" s="62">
        <f>'[1]D4 Gallon Forecast'!$Q186/1000000</f>
        <v>190.30989298933784</v>
      </c>
      <c r="BA186" s="62">
        <f t="shared" si="92"/>
        <v>190.30989298933784</v>
      </c>
      <c r="BB186" s="62">
        <f>'[1]D4 Gallon Forecast'!$Q170/1000000</f>
        <v>0</v>
      </c>
      <c r="BC186" s="63">
        <f>'[1]D4 Gallon Forecast'!$Q346/1000000</f>
        <v>10.802570811467989</v>
      </c>
      <c r="BD186" s="64">
        <f>'[1]D4 Gallon Forecast'!$Q362/1000000</f>
        <v>0</v>
      </c>
      <c r="BE186" s="64">
        <f t="shared" si="94"/>
        <v>10.802570811467989</v>
      </c>
      <c r="BF186" s="76">
        <f t="shared" si="54"/>
        <v>201.11246380080584</v>
      </c>
      <c r="BG186" s="77">
        <f t="shared" si="59"/>
        <v>0.49702774000301875</v>
      </c>
      <c r="BH186" s="60"/>
      <c r="BI186" s="75">
        <f t="shared" si="75"/>
        <v>4370.3999999999996</v>
      </c>
      <c r="BJ186" s="75">
        <f t="shared" si="50"/>
        <v>393.79500000000007</v>
      </c>
      <c r="BK186" s="75">
        <f>'RD Feedstock Breakdown'!ES177</f>
        <v>1627.7578393203796</v>
      </c>
      <c r="BL186" s="78">
        <f t="shared" si="57"/>
        <v>8.0937690710835852</v>
      </c>
      <c r="BM186" s="78">
        <f t="shared" si="55"/>
        <v>8.5531961252880073</v>
      </c>
      <c r="BN186" s="60"/>
      <c r="BO186" s="60"/>
      <c r="BP186" s="60"/>
      <c r="BQ186" s="66">
        <f>'[1]D4 Gallon Forecast'!$Q74/1000000</f>
        <v>139.59632119621358</v>
      </c>
      <c r="BR186" s="66">
        <f>'[1]D6 Gallon Forecast'!$Q67/1000000</f>
        <v>0</v>
      </c>
      <c r="BS186" s="66">
        <f t="shared" si="82"/>
        <v>139.59632119621358</v>
      </c>
      <c r="BT186" s="60"/>
      <c r="BU186" s="67">
        <f>'[2]US EIA'!$P323</f>
        <v>1096.2792753786096</v>
      </c>
      <c r="BV186" s="68">
        <f t="shared" si="66"/>
        <v>7.853210356723535</v>
      </c>
      <c r="BW186" s="60"/>
      <c r="BX186" s="69">
        <f t="shared" si="67"/>
        <v>0.59027671917108104</v>
      </c>
      <c r="BY186" s="69">
        <f t="shared" si="68"/>
        <v>0.40972328082891907</v>
      </c>
      <c r="BZ186" s="60"/>
      <c r="CA186" s="60"/>
      <c r="CB186" s="70">
        <f>('[1]D4 Gallon Forecast'!$Q346+'[1]D4 Gallon Forecast'!$Q362)/1000000</f>
        <v>10.802570811467989</v>
      </c>
      <c r="CC186" s="70">
        <f>'[1]D6 Gallon Forecast'!$Q279/1000000</f>
        <v>0</v>
      </c>
      <c r="CD186" s="70">
        <f t="shared" si="49"/>
        <v>10.802570811467989</v>
      </c>
      <c r="CE186" s="60"/>
      <c r="CF186" s="84">
        <f>'RD Feedstock Breakdown'!GQ177*1000000</f>
        <v>87433513.522049934</v>
      </c>
      <c r="CG186" s="85">
        <f t="shared" si="46"/>
        <v>8093769.0710835867</v>
      </c>
      <c r="CH186" s="73">
        <f>'[2]US EIA'!$R323+AW186</f>
        <v>6579.833333333333</v>
      </c>
    </row>
    <row r="187" spans="1:86" ht="13.5" x14ac:dyDescent="0.25">
      <c r="A187" s="59">
        <v>45839</v>
      </c>
      <c r="B187" s="74">
        <f t="shared" si="56"/>
        <v>690</v>
      </c>
      <c r="C187" s="74">
        <v>47</v>
      </c>
      <c r="D187" s="74">
        <f t="shared" si="43"/>
        <v>3</v>
      </c>
      <c r="E187" s="74">
        <f t="shared" si="60"/>
        <v>85</v>
      </c>
      <c r="F187" s="74">
        <f t="shared" si="91"/>
        <v>340</v>
      </c>
      <c r="G187" s="74">
        <f t="shared" si="85"/>
        <v>25</v>
      </c>
      <c r="H187" s="74">
        <f t="shared" si="81"/>
        <v>190</v>
      </c>
      <c r="I187" s="74">
        <f t="shared" si="93"/>
        <v>125</v>
      </c>
      <c r="J187" s="74">
        <f t="shared" si="51"/>
        <v>153.30000000000001</v>
      </c>
      <c r="K187" s="74">
        <f t="shared" si="61"/>
        <v>125</v>
      </c>
      <c r="L187" s="74">
        <v>125</v>
      </c>
      <c r="M187" s="74">
        <v>730</v>
      </c>
      <c r="N187" s="74">
        <f t="shared" si="41"/>
        <v>180</v>
      </c>
      <c r="O187" s="74">
        <v>375</v>
      </c>
      <c r="P187" s="74">
        <f t="shared" si="76"/>
        <v>50</v>
      </c>
      <c r="Q187" s="74">
        <f t="shared" si="77"/>
        <v>21</v>
      </c>
      <c r="R187" s="74">
        <v>100</v>
      </c>
      <c r="S187" s="74">
        <f t="shared" si="83"/>
        <v>60</v>
      </c>
      <c r="T187" s="74">
        <f t="shared" si="71"/>
        <v>36</v>
      </c>
      <c r="U187" s="74"/>
      <c r="V187" s="74">
        <f>$V$5*$V$12*0.5</f>
        <v>0</v>
      </c>
      <c r="W187" s="74">
        <f t="shared" si="78"/>
        <v>20</v>
      </c>
      <c r="X187" s="74">
        <f t="shared" si="52"/>
        <v>0</v>
      </c>
      <c r="Y187" s="74">
        <f t="shared" si="73"/>
        <v>3.5</v>
      </c>
      <c r="Z187" s="74">
        <f t="shared" si="86"/>
        <v>57.5</v>
      </c>
      <c r="AA187" s="74">
        <f t="shared" si="72"/>
        <v>306</v>
      </c>
      <c r="AB187" s="74">
        <f t="shared" si="87"/>
        <v>60</v>
      </c>
      <c r="AC187" s="74">
        <f t="shared" si="95"/>
        <v>1.6</v>
      </c>
      <c r="AD187" s="74">
        <f t="shared" si="80"/>
        <v>180</v>
      </c>
      <c r="AE187" s="74">
        <f t="shared" si="84"/>
        <v>1.1000000000000001</v>
      </c>
      <c r="AF187" s="74">
        <f t="shared" si="90"/>
        <v>275</v>
      </c>
      <c r="AG187" s="74">
        <f t="shared" ref="AG187:AG250" si="97">$AG$5*$AG$12</f>
        <v>18</v>
      </c>
      <c r="AH187" s="74">
        <f t="shared" si="88"/>
        <v>3</v>
      </c>
      <c r="AI187" s="74">
        <f t="shared" si="79"/>
        <v>47</v>
      </c>
      <c r="AJ187" s="74"/>
      <c r="AK187" s="74"/>
      <c r="AL187" s="74">
        <f t="shared" si="89"/>
        <v>22.5</v>
      </c>
      <c r="AM187" s="74">
        <v>46</v>
      </c>
      <c r="AN187" s="74"/>
      <c r="AO187" s="74">
        <v>10</v>
      </c>
      <c r="AP187" s="74"/>
      <c r="AQ187" s="74"/>
      <c r="AR187" s="74">
        <f>AR5*0.75*AR12</f>
        <v>90</v>
      </c>
      <c r="AS187" s="74"/>
      <c r="AT187" s="74">
        <f t="shared" si="96"/>
        <v>55</v>
      </c>
      <c r="AU187" s="74"/>
      <c r="AV187" s="74"/>
      <c r="AW187" s="74">
        <f t="shared" si="74"/>
        <v>4656.5</v>
      </c>
      <c r="AX187" s="83">
        <f t="shared" ref="AX187:AX241" si="98">AX186+AW187-AW186</f>
        <v>4808.1949999999997</v>
      </c>
      <c r="AY187" s="62">
        <f>'[1]D4 Gallon Forecast'!$Q155/1000000</f>
        <v>0</v>
      </c>
      <c r="AZ187" s="62">
        <f>'[1]D4 Gallon Forecast'!$Q187/1000000</f>
        <v>187.39840805446761</v>
      </c>
      <c r="BA187" s="62">
        <f t="shared" si="92"/>
        <v>187.39840805446761</v>
      </c>
      <c r="BB187" s="62">
        <f>'[1]D4 Gallon Forecast'!$Q171/1000000</f>
        <v>0</v>
      </c>
      <c r="BC187" s="63">
        <f>'[1]D4 Gallon Forecast'!$Q347/1000000</f>
        <v>10.933554606466778</v>
      </c>
      <c r="BD187" s="64">
        <f>'[1]D4 Gallon Forecast'!$Q363/1000000</f>
        <v>0</v>
      </c>
      <c r="BE187" s="64">
        <f t="shared" si="94"/>
        <v>10.933554606466778</v>
      </c>
      <c r="BF187" s="76">
        <f t="shared" si="54"/>
        <v>198.33196266093438</v>
      </c>
      <c r="BG187" s="77">
        <f t="shared" si="59"/>
        <v>0.50185961239953214</v>
      </c>
      <c r="BH187" s="60"/>
      <c r="BI187" s="75">
        <f t="shared" si="75"/>
        <v>4370.3999999999996</v>
      </c>
      <c r="BJ187" s="75">
        <f t="shared" si="50"/>
        <v>437.79500000000007</v>
      </c>
      <c r="BK187" s="75">
        <f>'RD Feedstock Breakdown'!ES178</f>
        <v>1605.1758669703818</v>
      </c>
      <c r="BL187" s="78">
        <f t="shared" si="57"/>
        <v>8.0933796319787774</v>
      </c>
      <c r="BM187" s="78">
        <f t="shared" si="55"/>
        <v>8.5655789909583184</v>
      </c>
      <c r="BN187" s="60"/>
      <c r="BO187" s="60"/>
      <c r="BP187" s="60"/>
      <c r="BQ187" s="66">
        <f>'[1]D4 Gallon Forecast'!$Q75/1000000</f>
        <v>136.97735388914845</v>
      </c>
      <c r="BR187" s="66">
        <f>'[1]D6 Gallon Forecast'!$Q68/1000000</f>
        <v>0.43268147152891645</v>
      </c>
      <c r="BS187" s="66">
        <f t="shared" si="82"/>
        <v>137.41003536067737</v>
      </c>
      <c r="BT187" s="60"/>
      <c r="BU187" s="67">
        <f>'[2]US EIA'!$P324</f>
        <v>1065.9645059948446</v>
      </c>
      <c r="BV187" s="68">
        <f t="shared" si="66"/>
        <v>7.7575448052019906</v>
      </c>
      <c r="BW187" s="60"/>
      <c r="BX187" s="69">
        <f t="shared" si="67"/>
        <v>0.59072729604762686</v>
      </c>
      <c r="BY187" s="69">
        <f t="shared" si="68"/>
        <v>0.4092727039523732</v>
      </c>
      <c r="BZ187" s="60"/>
      <c r="CA187" s="60"/>
      <c r="CB187" s="70">
        <f>('[1]D4 Gallon Forecast'!$Q347+'[1]D4 Gallon Forecast'!$Q363)/1000000</f>
        <v>10.933554606466778</v>
      </c>
      <c r="CC187" s="70">
        <f>'[1]D6 Gallon Forecast'!$Q280/1000000</f>
        <v>0</v>
      </c>
      <c r="CD187" s="70">
        <f t="shared" si="49"/>
        <v>10.933554606466778</v>
      </c>
      <c r="CE187" s="60"/>
      <c r="CF187" s="84">
        <f>'RD Feedstock Breakdown'!GQ178*1000000</f>
        <v>88489408.157105967</v>
      </c>
      <c r="CG187" s="85">
        <f t="shared" si="46"/>
        <v>8093379.6319787782</v>
      </c>
      <c r="CH187" s="73">
        <f>'[2]US EIA'!$R324+AW187</f>
        <v>6607.1666666666661</v>
      </c>
    </row>
    <row r="188" spans="1:86" ht="13.5" x14ac:dyDescent="0.25">
      <c r="A188" s="59">
        <v>45870</v>
      </c>
      <c r="B188" s="74">
        <f t="shared" si="56"/>
        <v>690</v>
      </c>
      <c r="C188" s="74">
        <v>47</v>
      </c>
      <c r="D188" s="74">
        <f t="shared" si="43"/>
        <v>3</v>
      </c>
      <c r="E188" s="74">
        <f t="shared" si="60"/>
        <v>85</v>
      </c>
      <c r="F188" s="74">
        <f t="shared" si="91"/>
        <v>340</v>
      </c>
      <c r="G188" s="74">
        <f t="shared" si="85"/>
        <v>25</v>
      </c>
      <c r="H188" s="74">
        <f t="shared" si="81"/>
        <v>190</v>
      </c>
      <c r="I188" s="74">
        <f t="shared" si="93"/>
        <v>125</v>
      </c>
      <c r="J188" s="74">
        <f t="shared" si="51"/>
        <v>153.30000000000001</v>
      </c>
      <c r="K188" s="74">
        <f t="shared" si="61"/>
        <v>125</v>
      </c>
      <c r="L188" s="74">
        <v>125</v>
      </c>
      <c r="M188" s="74">
        <v>730</v>
      </c>
      <c r="N188" s="74">
        <f t="shared" si="41"/>
        <v>180</v>
      </c>
      <c r="O188" s="74">
        <v>375</v>
      </c>
      <c r="P188" s="74">
        <f t="shared" si="76"/>
        <v>50</v>
      </c>
      <c r="Q188" s="74">
        <f t="shared" si="77"/>
        <v>21</v>
      </c>
      <c r="R188" s="74">
        <v>100</v>
      </c>
      <c r="S188" s="74">
        <f t="shared" si="83"/>
        <v>60</v>
      </c>
      <c r="T188" s="74">
        <f t="shared" si="71"/>
        <v>36</v>
      </c>
      <c r="U188" s="74"/>
      <c r="V188" s="74">
        <f t="shared" ref="V188:V251" si="99">$V$5*$V$12</f>
        <v>0</v>
      </c>
      <c r="W188" s="74">
        <f t="shared" si="78"/>
        <v>20</v>
      </c>
      <c r="X188" s="74">
        <f t="shared" si="52"/>
        <v>0</v>
      </c>
      <c r="Y188" s="74">
        <f t="shared" si="73"/>
        <v>3.5</v>
      </c>
      <c r="Z188" s="74">
        <f t="shared" si="86"/>
        <v>57.5</v>
      </c>
      <c r="AA188" s="74">
        <f t="shared" si="72"/>
        <v>306</v>
      </c>
      <c r="AB188" s="74">
        <f t="shared" si="87"/>
        <v>60</v>
      </c>
      <c r="AC188" s="74">
        <f t="shared" si="95"/>
        <v>1.6</v>
      </c>
      <c r="AD188" s="74">
        <f t="shared" si="80"/>
        <v>180</v>
      </c>
      <c r="AE188" s="74">
        <f t="shared" si="84"/>
        <v>1.1000000000000001</v>
      </c>
      <c r="AF188" s="74">
        <f t="shared" si="90"/>
        <v>275</v>
      </c>
      <c r="AG188" s="74">
        <f t="shared" si="97"/>
        <v>18</v>
      </c>
      <c r="AH188" s="74">
        <f t="shared" si="88"/>
        <v>3</v>
      </c>
      <c r="AI188" s="74">
        <f t="shared" si="79"/>
        <v>47</v>
      </c>
      <c r="AJ188" s="74"/>
      <c r="AK188" s="74"/>
      <c r="AL188" s="74">
        <f t="shared" si="89"/>
        <v>22.5</v>
      </c>
      <c r="AM188" s="74">
        <v>46</v>
      </c>
      <c r="AN188" s="74"/>
      <c r="AO188" s="74">
        <f t="shared" ref="AO188:AP219" si="100">$AO$12*$AO$5</f>
        <v>19</v>
      </c>
      <c r="AP188" s="74"/>
      <c r="AQ188" s="74"/>
      <c r="AR188" s="74">
        <f t="shared" ref="AR188:AR251" si="101">$AR$5*$AR$12</f>
        <v>120</v>
      </c>
      <c r="AS188" s="74"/>
      <c r="AT188" s="74">
        <f t="shared" si="96"/>
        <v>55</v>
      </c>
      <c r="AU188" s="74"/>
      <c r="AV188" s="74"/>
      <c r="AW188" s="74">
        <f t="shared" si="74"/>
        <v>4695.5</v>
      </c>
      <c r="AX188" s="83">
        <f t="shared" si="98"/>
        <v>4847.1949999999997</v>
      </c>
      <c r="AY188" s="62">
        <f>'[1]D4 Gallon Forecast'!$Q156/1000000</f>
        <v>0</v>
      </c>
      <c r="AZ188" s="62">
        <f>'[1]D4 Gallon Forecast'!$Q188/1000000</f>
        <v>190.06586883781767</v>
      </c>
      <c r="BA188" s="62">
        <f t="shared" si="92"/>
        <v>190.06586883781767</v>
      </c>
      <c r="BB188" s="62">
        <f>'[1]D4 Gallon Forecast'!$Q172/1000000</f>
        <v>0</v>
      </c>
      <c r="BC188" s="63">
        <f>'[1]D4 Gallon Forecast'!$Q348/1000000</f>
        <v>11.770394176198298</v>
      </c>
      <c r="BD188" s="64">
        <f>'[1]D4 Gallon Forecast'!$Q364/1000000</f>
        <v>0</v>
      </c>
      <c r="BE188" s="64">
        <f t="shared" si="94"/>
        <v>11.770394176198298</v>
      </c>
      <c r="BF188" s="76">
        <f t="shared" si="54"/>
        <v>201.83626301401597</v>
      </c>
      <c r="BG188" s="77">
        <f t="shared" si="59"/>
        <v>0.49027514383270904</v>
      </c>
      <c r="BH188" s="60"/>
      <c r="BI188" s="75">
        <f t="shared" si="75"/>
        <v>4370.3999999999996</v>
      </c>
      <c r="BJ188" s="75">
        <f t="shared" si="50"/>
        <v>476.79500000000007</v>
      </c>
      <c r="BK188" s="75">
        <f>'RD Feedstock Breakdown'!ES179</f>
        <v>1633.0840768124087</v>
      </c>
      <c r="BL188" s="78">
        <f t="shared" si="57"/>
        <v>8.0911331414167318</v>
      </c>
      <c r="BM188" s="78">
        <f t="shared" si="55"/>
        <v>8.5922006239106068</v>
      </c>
      <c r="BN188" s="60"/>
      <c r="BO188" s="60"/>
      <c r="BP188" s="60"/>
      <c r="BQ188" s="66">
        <f>'[1]D4 Gallon Forecast'!$Q76/1000000</f>
        <v>143.28923395318782</v>
      </c>
      <c r="BR188" s="66">
        <f>'[1]D6 Gallon Forecast'!$Q69/1000000</f>
        <v>0.44946543806489098</v>
      </c>
      <c r="BS188" s="66">
        <f t="shared" si="82"/>
        <v>143.73869939125271</v>
      </c>
      <c r="BT188" s="60"/>
      <c r="BU188" s="67">
        <f>'[2]US EIA'!$P325</f>
        <v>1106.1161533011973</v>
      </c>
      <c r="BV188" s="68">
        <f t="shared" si="66"/>
        <v>7.6953260185719374</v>
      </c>
      <c r="BW188" s="60"/>
      <c r="BX188" s="69">
        <f t="shared" si="67"/>
        <v>0.58405927793262702</v>
      </c>
      <c r="BY188" s="69">
        <f t="shared" si="68"/>
        <v>0.41594072206737287</v>
      </c>
      <c r="BZ188" s="60"/>
      <c r="CA188" s="60"/>
      <c r="CB188" s="70">
        <f>('[1]D4 Gallon Forecast'!$Q348+'[1]D4 Gallon Forecast'!$Q364)/1000000</f>
        <v>11.770394176198298</v>
      </c>
      <c r="CC188" s="70">
        <f>'[1]D6 Gallon Forecast'!$Q281/1000000</f>
        <v>0</v>
      </c>
      <c r="CD188" s="70">
        <f t="shared" si="49"/>
        <v>11.770394176198298</v>
      </c>
      <c r="CE188" s="60"/>
      <c r="CF188" s="84">
        <f>'RD Feedstock Breakdown'!GQ179*1000000</f>
        <v>95235826.406576544</v>
      </c>
      <c r="CG188" s="85">
        <f t="shared" si="46"/>
        <v>8091133.1414167322</v>
      </c>
      <c r="CH188" s="73">
        <f>'[2]US EIA'!$R325+AW188</f>
        <v>6629.5</v>
      </c>
    </row>
    <row r="189" spans="1:86" ht="13.5" x14ac:dyDescent="0.25">
      <c r="A189" s="59">
        <v>45901</v>
      </c>
      <c r="B189" s="74">
        <f t="shared" si="56"/>
        <v>690</v>
      </c>
      <c r="C189" s="74">
        <v>47</v>
      </c>
      <c r="D189" s="74">
        <f t="shared" si="43"/>
        <v>3</v>
      </c>
      <c r="E189" s="74">
        <f t="shared" si="60"/>
        <v>85</v>
      </c>
      <c r="F189" s="74">
        <f t="shared" si="91"/>
        <v>340</v>
      </c>
      <c r="G189" s="74">
        <f t="shared" si="85"/>
        <v>25</v>
      </c>
      <c r="H189" s="74">
        <f t="shared" si="81"/>
        <v>190</v>
      </c>
      <c r="I189" s="74">
        <f t="shared" si="93"/>
        <v>125</v>
      </c>
      <c r="J189" s="74">
        <f t="shared" si="51"/>
        <v>153.30000000000001</v>
      </c>
      <c r="K189" s="74">
        <f t="shared" si="61"/>
        <v>125</v>
      </c>
      <c r="L189" s="74">
        <v>125</v>
      </c>
      <c r="M189" s="74">
        <v>730</v>
      </c>
      <c r="N189" s="74">
        <f t="shared" si="41"/>
        <v>180</v>
      </c>
      <c r="O189" s="74">
        <v>375</v>
      </c>
      <c r="P189" s="74">
        <f t="shared" si="76"/>
        <v>50</v>
      </c>
      <c r="Q189" s="74">
        <f t="shared" si="77"/>
        <v>21</v>
      </c>
      <c r="R189" s="74">
        <v>100</v>
      </c>
      <c r="S189" s="74">
        <f t="shared" si="83"/>
        <v>60</v>
      </c>
      <c r="T189" s="74">
        <f t="shared" si="71"/>
        <v>36</v>
      </c>
      <c r="U189" s="74"/>
      <c r="V189" s="74">
        <f t="shared" si="99"/>
        <v>0</v>
      </c>
      <c r="W189" s="74">
        <f t="shared" si="78"/>
        <v>20</v>
      </c>
      <c r="X189" s="74">
        <f t="shared" si="52"/>
        <v>0</v>
      </c>
      <c r="Y189" s="74">
        <f t="shared" si="73"/>
        <v>3.5</v>
      </c>
      <c r="Z189" s="74">
        <f t="shared" si="86"/>
        <v>57.5</v>
      </c>
      <c r="AA189" s="74">
        <f t="shared" si="72"/>
        <v>306</v>
      </c>
      <c r="AB189" s="74">
        <f t="shared" si="87"/>
        <v>60</v>
      </c>
      <c r="AC189" s="74">
        <f t="shared" si="95"/>
        <v>1.6</v>
      </c>
      <c r="AD189" s="74">
        <f t="shared" si="80"/>
        <v>180</v>
      </c>
      <c r="AE189" s="74">
        <f t="shared" si="84"/>
        <v>1.1000000000000001</v>
      </c>
      <c r="AF189" s="74">
        <f t="shared" si="90"/>
        <v>275</v>
      </c>
      <c r="AG189" s="74">
        <f t="shared" si="97"/>
        <v>18</v>
      </c>
      <c r="AH189" s="74">
        <f t="shared" si="88"/>
        <v>3</v>
      </c>
      <c r="AI189" s="74">
        <f t="shared" si="79"/>
        <v>47</v>
      </c>
      <c r="AJ189" s="74"/>
      <c r="AK189" s="74"/>
      <c r="AL189" s="74">
        <f t="shared" si="89"/>
        <v>22.5</v>
      </c>
      <c r="AM189" s="74">
        <v>46</v>
      </c>
      <c r="AN189" s="74"/>
      <c r="AO189" s="74">
        <f t="shared" si="100"/>
        <v>19</v>
      </c>
      <c r="AP189" s="74"/>
      <c r="AQ189" s="74"/>
      <c r="AR189" s="74">
        <f t="shared" si="101"/>
        <v>120</v>
      </c>
      <c r="AS189" s="74"/>
      <c r="AT189" s="74">
        <f t="shared" si="96"/>
        <v>55</v>
      </c>
      <c r="AU189" s="74"/>
      <c r="AV189" s="74"/>
      <c r="AW189" s="74">
        <f t="shared" si="74"/>
        <v>4695.5</v>
      </c>
      <c r="AX189" s="83">
        <f t="shared" si="98"/>
        <v>4847.1949999999997</v>
      </c>
      <c r="AY189" s="62">
        <f>'[1]D4 Gallon Forecast'!$Q157/1000000</f>
        <v>0</v>
      </c>
      <c r="AZ189" s="62">
        <f>'[1]D4 Gallon Forecast'!$Q189/1000000</f>
        <v>193.51174304861229</v>
      </c>
      <c r="BA189" s="62">
        <f t="shared" si="92"/>
        <v>193.51174304861229</v>
      </c>
      <c r="BB189" s="62">
        <f>'[1]D4 Gallon Forecast'!$Q173/1000000</f>
        <v>0</v>
      </c>
      <c r="BC189" s="63">
        <f>'[1]D4 Gallon Forecast'!$Q349/1000000</f>
        <v>12.352933632424854</v>
      </c>
      <c r="BD189" s="64">
        <f>'[1]D4 Gallon Forecast'!$Q365/1000000</f>
        <v>0</v>
      </c>
      <c r="BE189" s="64">
        <f t="shared" si="94"/>
        <v>12.352933632424854</v>
      </c>
      <c r="BF189" s="76">
        <f t="shared" si="54"/>
        <v>205.86467668103714</v>
      </c>
      <c r="BG189" s="77">
        <f t="shared" si="59"/>
        <v>0.5000604572373637</v>
      </c>
      <c r="BH189" s="60"/>
      <c r="BI189" s="75">
        <f t="shared" si="75"/>
        <v>4370.3999999999996</v>
      </c>
      <c r="BJ189" s="75">
        <f t="shared" si="50"/>
        <v>476.79500000000007</v>
      </c>
      <c r="BK189" s="75">
        <f>'RD Feedstock Breakdown'!ES180</f>
        <v>1663.8304744322047</v>
      </c>
      <c r="BL189" s="78">
        <f t="shared" si="57"/>
        <v>8.0821562069636279</v>
      </c>
      <c r="BM189" s="78">
        <f t="shared" si="55"/>
        <v>8.5980853059353208</v>
      </c>
      <c r="BN189" s="60"/>
      <c r="BO189" s="60"/>
      <c r="BP189" s="60"/>
      <c r="BQ189" s="66">
        <f>'[1]D4 Gallon Forecast'!$Q77/1000000</f>
        <v>135.30445247691944</v>
      </c>
      <c r="BR189" s="66">
        <f>'[1]D6 Gallon Forecast'!$Q70/1000000</f>
        <v>0.44872911148699313</v>
      </c>
      <c r="BS189" s="66">
        <f t="shared" si="82"/>
        <v>135.75318158840642</v>
      </c>
      <c r="BT189" s="60"/>
      <c r="BU189" s="67">
        <f>'[2]US EIA'!$P326</f>
        <v>1049.4844247506844</v>
      </c>
      <c r="BV189" s="68">
        <f t="shared" si="66"/>
        <v>7.7308274654854374</v>
      </c>
      <c r="BW189" s="60"/>
      <c r="BX189" s="69">
        <f t="shared" si="67"/>
        <v>0.60261684715166708</v>
      </c>
      <c r="BY189" s="69">
        <f t="shared" si="68"/>
        <v>0.39738315284833292</v>
      </c>
      <c r="BZ189" s="60"/>
      <c r="CA189" s="60"/>
      <c r="CB189" s="70">
        <f>('[1]D4 Gallon Forecast'!$Q349+'[1]D4 Gallon Forecast'!$Q365)/1000000</f>
        <v>12.352933632424854</v>
      </c>
      <c r="CC189" s="70">
        <f>'[1]D6 Gallon Forecast'!$Q282/1000000</f>
        <v>0</v>
      </c>
      <c r="CD189" s="70">
        <f t="shared" si="49"/>
        <v>12.352933632424854</v>
      </c>
      <c r="CE189" s="60"/>
      <c r="CF189" s="84">
        <f>'RD Feedstock Breakdown'!GQ180*1000000</f>
        <v>99838339.231512278</v>
      </c>
      <c r="CG189" s="85">
        <f t="shared" si="46"/>
        <v>8082156.2069636267</v>
      </c>
      <c r="CH189" s="73">
        <f>'[2]US EIA'!$R326+AW189</f>
        <v>6612.833333333333</v>
      </c>
    </row>
    <row r="190" spans="1:86" ht="13.5" x14ac:dyDescent="0.25">
      <c r="A190" s="59">
        <v>45931</v>
      </c>
      <c r="B190" s="74">
        <f t="shared" si="56"/>
        <v>690</v>
      </c>
      <c r="C190" s="74">
        <v>47</v>
      </c>
      <c r="D190" s="74">
        <f t="shared" si="43"/>
        <v>3</v>
      </c>
      <c r="E190" s="74">
        <f t="shared" si="60"/>
        <v>85</v>
      </c>
      <c r="F190" s="74">
        <f t="shared" si="91"/>
        <v>340</v>
      </c>
      <c r="G190" s="74">
        <f t="shared" si="85"/>
        <v>25</v>
      </c>
      <c r="H190" s="74">
        <f t="shared" si="81"/>
        <v>190</v>
      </c>
      <c r="I190" s="74">
        <f t="shared" si="93"/>
        <v>125</v>
      </c>
      <c r="J190" s="74">
        <f t="shared" si="51"/>
        <v>153.30000000000001</v>
      </c>
      <c r="K190" s="74">
        <f t="shared" si="61"/>
        <v>125</v>
      </c>
      <c r="L190" s="74">
        <v>125</v>
      </c>
      <c r="M190" s="74">
        <v>730</v>
      </c>
      <c r="N190" s="74">
        <f t="shared" si="41"/>
        <v>180</v>
      </c>
      <c r="O190" s="74">
        <v>375</v>
      </c>
      <c r="P190" s="74">
        <f t="shared" si="76"/>
        <v>50</v>
      </c>
      <c r="Q190" s="74">
        <f t="shared" si="77"/>
        <v>21</v>
      </c>
      <c r="R190" s="74">
        <v>100</v>
      </c>
      <c r="S190" s="74">
        <f t="shared" si="83"/>
        <v>60</v>
      </c>
      <c r="T190" s="74">
        <f t="shared" si="71"/>
        <v>36</v>
      </c>
      <c r="U190" s="74"/>
      <c r="V190" s="74">
        <f t="shared" si="99"/>
        <v>0</v>
      </c>
      <c r="W190" s="74">
        <f t="shared" si="78"/>
        <v>20</v>
      </c>
      <c r="X190" s="74">
        <f t="shared" si="52"/>
        <v>0</v>
      </c>
      <c r="Y190" s="74">
        <f t="shared" si="73"/>
        <v>3.5</v>
      </c>
      <c r="Z190" s="74">
        <f t="shared" si="86"/>
        <v>57.5</v>
      </c>
      <c r="AA190" s="74">
        <f t="shared" si="72"/>
        <v>306</v>
      </c>
      <c r="AB190" s="74">
        <f t="shared" si="87"/>
        <v>60</v>
      </c>
      <c r="AC190" s="74">
        <f t="shared" si="95"/>
        <v>1.6</v>
      </c>
      <c r="AD190" s="74">
        <f t="shared" si="80"/>
        <v>180</v>
      </c>
      <c r="AE190" s="74">
        <f t="shared" si="84"/>
        <v>1.1000000000000001</v>
      </c>
      <c r="AF190" s="74">
        <f t="shared" si="90"/>
        <v>275</v>
      </c>
      <c r="AG190" s="74">
        <f t="shared" si="97"/>
        <v>18</v>
      </c>
      <c r="AH190" s="74">
        <f t="shared" si="88"/>
        <v>3</v>
      </c>
      <c r="AI190" s="74">
        <f t="shared" si="79"/>
        <v>47</v>
      </c>
      <c r="AJ190" s="74"/>
      <c r="AK190" s="74"/>
      <c r="AL190" s="74">
        <f t="shared" si="89"/>
        <v>22.5</v>
      </c>
      <c r="AM190" s="74">
        <v>46</v>
      </c>
      <c r="AN190" s="74"/>
      <c r="AO190" s="74">
        <f t="shared" si="100"/>
        <v>19</v>
      </c>
      <c r="AP190" s="74"/>
      <c r="AQ190" s="74"/>
      <c r="AR190" s="74">
        <f t="shared" si="101"/>
        <v>120</v>
      </c>
      <c r="AS190" s="74"/>
      <c r="AT190" s="74">
        <f t="shared" si="96"/>
        <v>55</v>
      </c>
      <c r="AU190" s="74"/>
      <c r="AV190" s="74"/>
      <c r="AW190" s="74">
        <f t="shared" si="74"/>
        <v>4695.5</v>
      </c>
      <c r="AX190" s="83">
        <f t="shared" si="98"/>
        <v>4847.1949999999997</v>
      </c>
      <c r="AY190" s="62">
        <f>'[1]D4 Gallon Forecast'!$Q158/1000000</f>
        <v>0</v>
      </c>
      <c r="AZ190" s="62">
        <f>'[1]D4 Gallon Forecast'!$Q190/1000000</f>
        <v>211.54489034916315</v>
      </c>
      <c r="BA190" s="62">
        <f t="shared" si="92"/>
        <v>211.54489034916315</v>
      </c>
      <c r="BB190" s="62">
        <f>'[1]D4 Gallon Forecast'!$Q174/1000000</f>
        <v>0</v>
      </c>
      <c r="BC190" s="63">
        <f>'[1]D4 Gallon Forecast'!$Q350/1000000</f>
        <v>14.80432559477609</v>
      </c>
      <c r="BD190" s="64">
        <f>'[1]D4 Gallon Forecast'!$Q366/1000000</f>
        <v>0</v>
      </c>
      <c r="BE190" s="64">
        <f t="shared" si="94"/>
        <v>14.80432559477609</v>
      </c>
      <c r="BF190" s="76">
        <f t="shared" si="54"/>
        <v>226.34921594393924</v>
      </c>
      <c r="BG190" s="77">
        <f t="shared" si="59"/>
        <v>0.56814620840532748</v>
      </c>
      <c r="BH190" s="60"/>
      <c r="BI190" s="75">
        <f t="shared" si="75"/>
        <v>4370.3999999999996</v>
      </c>
      <c r="BJ190" s="75">
        <f t="shared" si="50"/>
        <v>476.79500000000007</v>
      </c>
      <c r="BK190" s="75">
        <f>'RD Feedstock Breakdown'!ES181</f>
        <v>1699.1412263789034</v>
      </c>
      <c r="BL190" s="78">
        <f t="shared" si="57"/>
        <v>7.506724594971586</v>
      </c>
      <c r="BM190" s="78">
        <f t="shared" si="55"/>
        <v>8.0320598789902427</v>
      </c>
      <c r="BN190" s="60"/>
      <c r="BO190" s="60"/>
      <c r="BP190" s="60"/>
      <c r="BQ190" s="66">
        <f>'[1]D4 Gallon Forecast'!$Q78/1000000</f>
        <v>134.02573970324804</v>
      </c>
      <c r="BR190" s="66">
        <f>'[1]D6 Gallon Forecast'!$Q71/1000000</f>
        <v>0.44830393446367661</v>
      </c>
      <c r="BS190" s="66">
        <f t="shared" si="82"/>
        <v>134.4740436377117</v>
      </c>
      <c r="BT190" s="60"/>
      <c r="BU190" s="67">
        <f>'[2]US EIA'!$P327</f>
        <v>1000.6225000022445</v>
      </c>
      <c r="BV190" s="68">
        <f t="shared" si="66"/>
        <v>7.4410084870953588</v>
      </c>
      <c r="BW190" s="60"/>
      <c r="BX190" s="69">
        <f t="shared" si="67"/>
        <v>0.6273132619176911</v>
      </c>
      <c r="BY190" s="69">
        <f t="shared" si="68"/>
        <v>0.3726867380823089</v>
      </c>
      <c r="BZ190" s="60"/>
      <c r="CA190" s="60"/>
      <c r="CB190" s="70">
        <f>('[1]D4 Gallon Forecast'!$Q350+'[1]D4 Gallon Forecast'!$Q366)/1000000</f>
        <v>14.80432559477609</v>
      </c>
      <c r="CC190" s="70">
        <f>'[1]D6 Gallon Forecast'!$Q283/1000000</f>
        <v>0</v>
      </c>
      <c r="CD190" s="70">
        <f t="shared" si="49"/>
        <v>14.80432559477609</v>
      </c>
      <c r="CE190" s="60"/>
      <c r="CF190" s="84">
        <f>'RD Feedstock Breakdown'!GQ181*1000000</f>
        <v>119307595.27285449</v>
      </c>
      <c r="CG190" s="85">
        <f t="shared" si="46"/>
        <v>8058968.6108331624</v>
      </c>
      <c r="CH190" s="73">
        <f>'[2]US EIA'!$R327+AW190</f>
        <v>6596.1666666666661</v>
      </c>
    </row>
    <row r="191" spans="1:86" ht="13.5" x14ac:dyDescent="0.25">
      <c r="A191" s="59">
        <v>45962</v>
      </c>
      <c r="B191" s="74">
        <f t="shared" si="56"/>
        <v>690</v>
      </c>
      <c r="C191" s="74">
        <v>47</v>
      </c>
      <c r="D191" s="74">
        <f t="shared" si="43"/>
        <v>3</v>
      </c>
      <c r="E191" s="74">
        <f t="shared" si="60"/>
        <v>85</v>
      </c>
      <c r="F191" s="74">
        <f t="shared" si="91"/>
        <v>340</v>
      </c>
      <c r="G191" s="74">
        <f t="shared" si="85"/>
        <v>25</v>
      </c>
      <c r="H191" s="74">
        <f t="shared" si="81"/>
        <v>190</v>
      </c>
      <c r="I191" s="74">
        <f t="shared" si="93"/>
        <v>125</v>
      </c>
      <c r="J191" s="74">
        <f t="shared" si="51"/>
        <v>153.30000000000001</v>
      </c>
      <c r="K191" s="74">
        <f t="shared" si="61"/>
        <v>125</v>
      </c>
      <c r="L191" s="74">
        <v>125</v>
      </c>
      <c r="M191" s="74">
        <v>730</v>
      </c>
      <c r="N191" s="74">
        <f t="shared" si="41"/>
        <v>180</v>
      </c>
      <c r="O191" s="74">
        <v>375</v>
      </c>
      <c r="P191" s="74">
        <f t="shared" si="76"/>
        <v>50</v>
      </c>
      <c r="Q191" s="74">
        <f t="shared" si="77"/>
        <v>21</v>
      </c>
      <c r="R191" s="74">
        <v>100</v>
      </c>
      <c r="S191" s="74">
        <f t="shared" si="83"/>
        <v>60</v>
      </c>
      <c r="T191" s="74">
        <f t="shared" si="71"/>
        <v>36</v>
      </c>
      <c r="U191" s="74"/>
      <c r="V191" s="74">
        <f t="shared" si="99"/>
        <v>0</v>
      </c>
      <c r="W191" s="74">
        <f t="shared" si="78"/>
        <v>20</v>
      </c>
      <c r="X191" s="74">
        <f t="shared" si="52"/>
        <v>0</v>
      </c>
      <c r="Y191" s="74">
        <f t="shared" si="73"/>
        <v>3.5</v>
      </c>
      <c r="Z191" s="74">
        <f t="shared" si="86"/>
        <v>57.5</v>
      </c>
      <c r="AA191" s="74">
        <f t="shared" si="72"/>
        <v>306</v>
      </c>
      <c r="AB191" s="74">
        <f t="shared" si="87"/>
        <v>60</v>
      </c>
      <c r="AC191" s="74">
        <f t="shared" si="95"/>
        <v>1.6</v>
      </c>
      <c r="AD191" s="74">
        <f t="shared" si="80"/>
        <v>180</v>
      </c>
      <c r="AE191" s="74">
        <f t="shared" si="84"/>
        <v>1.1000000000000001</v>
      </c>
      <c r="AF191" s="74">
        <f t="shared" si="90"/>
        <v>275</v>
      </c>
      <c r="AG191" s="74">
        <f t="shared" si="97"/>
        <v>18</v>
      </c>
      <c r="AH191" s="74">
        <f t="shared" si="88"/>
        <v>3</v>
      </c>
      <c r="AI191" s="74">
        <f t="shared" si="79"/>
        <v>47</v>
      </c>
      <c r="AJ191" s="74"/>
      <c r="AK191" s="74"/>
      <c r="AL191" s="74">
        <f t="shared" si="89"/>
        <v>22.5</v>
      </c>
      <c r="AM191" s="74">
        <v>46</v>
      </c>
      <c r="AN191" s="74"/>
      <c r="AO191" s="74">
        <f t="shared" si="100"/>
        <v>19</v>
      </c>
      <c r="AP191" s="74"/>
      <c r="AQ191" s="74"/>
      <c r="AR191" s="74">
        <f t="shared" si="101"/>
        <v>120</v>
      </c>
      <c r="AS191" s="74"/>
      <c r="AT191" s="74">
        <f t="shared" si="96"/>
        <v>55</v>
      </c>
      <c r="AU191" s="74"/>
      <c r="AV191" s="74"/>
      <c r="AW191" s="74">
        <f t="shared" si="74"/>
        <v>4695.5</v>
      </c>
      <c r="AX191" s="83">
        <f t="shared" si="98"/>
        <v>4847.1949999999997</v>
      </c>
      <c r="AY191" s="62">
        <f>'[1]D4 Gallon Forecast'!$Q159/1000000</f>
        <v>0</v>
      </c>
      <c r="AZ191" s="62">
        <f>'[1]D4 Gallon Forecast'!$Q191/1000000</f>
        <v>229.02235708691242</v>
      </c>
      <c r="BA191" s="62">
        <f t="shared" si="92"/>
        <v>229.02235708691242</v>
      </c>
      <c r="BB191" s="62">
        <f>'[1]D4 Gallon Forecast'!$Q175/1000000</f>
        <v>0</v>
      </c>
      <c r="BC191" s="63">
        <f>'[1]D4 Gallon Forecast'!$Q351/1000000</f>
        <v>16.380536413000446</v>
      </c>
      <c r="BD191" s="64">
        <f>'[1]D4 Gallon Forecast'!$Q367/1000000</f>
        <v>0</v>
      </c>
      <c r="BE191" s="64">
        <f t="shared" si="94"/>
        <v>16.380536413000446</v>
      </c>
      <c r="BF191" s="76">
        <f t="shared" si="54"/>
        <v>245.40289349991286</v>
      </c>
      <c r="BG191" s="77">
        <f t="shared" si="59"/>
        <v>0.59610169704379545</v>
      </c>
      <c r="BH191" s="60"/>
      <c r="BI191" s="75">
        <f t="shared" si="75"/>
        <v>4370.3999999999996</v>
      </c>
      <c r="BJ191" s="75">
        <f t="shared" si="50"/>
        <v>476.79500000000007</v>
      </c>
      <c r="BK191" s="75">
        <f>'RD Feedstock Breakdown'!ES182</f>
        <v>1982.5700505325092</v>
      </c>
      <c r="BL191" s="78">
        <f t="shared" si="57"/>
        <v>8.0788373040646864</v>
      </c>
      <c r="BM191" s="78">
        <f t="shared" si="55"/>
        <v>8.6566659943166044</v>
      </c>
      <c r="BN191" s="60"/>
      <c r="BO191" s="60"/>
      <c r="BP191" s="60"/>
      <c r="BQ191" s="66">
        <f>'[1]D4 Gallon Forecast'!$Q79/1000000</f>
        <v>129.2136585624767</v>
      </c>
      <c r="BR191" s="66">
        <f>'[1]D6 Gallon Forecast'!$Q72/1000000</f>
        <v>0.46284903651519305</v>
      </c>
      <c r="BS191" s="66">
        <f t="shared" si="82"/>
        <v>129.67650759899189</v>
      </c>
      <c r="BT191" s="60"/>
      <c r="BU191" s="67">
        <f>'[2]US EIA'!$P328</f>
        <v>989.61271913507392</v>
      </c>
      <c r="BV191" s="68">
        <f t="shared" si="66"/>
        <v>7.6313955199605266</v>
      </c>
      <c r="BW191" s="60"/>
      <c r="BX191" s="69">
        <f t="shared" si="67"/>
        <v>0.65426918348737184</v>
      </c>
      <c r="BY191" s="69">
        <f t="shared" si="68"/>
        <v>0.3457308165126281</v>
      </c>
      <c r="BZ191" s="60"/>
      <c r="CA191" s="60"/>
      <c r="CB191" s="70">
        <f>('[1]D4 Gallon Forecast'!$Q351+'[1]D4 Gallon Forecast'!$Q367)/1000000</f>
        <v>16.380536413000446</v>
      </c>
      <c r="CC191" s="70">
        <f>'[1]D6 Gallon Forecast'!$Q284/1000000</f>
        <v>0</v>
      </c>
      <c r="CD191" s="70">
        <f t="shared" si="49"/>
        <v>16.380536413000446</v>
      </c>
      <c r="CE191" s="60"/>
      <c r="CF191" s="84">
        <f>'RD Feedstock Breakdown'!GQ182*1000000</f>
        <v>132335688.63393791</v>
      </c>
      <c r="CG191" s="85">
        <f t="shared" si="46"/>
        <v>8078837.3040646836</v>
      </c>
      <c r="CH191" s="73">
        <f>'[2]US EIA'!$R328+AW191</f>
        <v>6579.5</v>
      </c>
    </row>
    <row r="192" spans="1:86" ht="13.5" x14ac:dyDescent="0.25">
      <c r="A192" s="59">
        <v>45992</v>
      </c>
      <c r="B192" s="74">
        <f t="shared" si="56"/>
        <v>690</v>
      </c>
      <c r="C192" s="74">
        <v>47</v>
      </c>
      <c r="D192" s="74">
        <f t="shared" si="43"/>
        <v>3</v>
      </c>
      <c r="E192" s="74">
        <f t="shared" si="60"/>
        <v>85</v>
      </c>
      <c r="F192" s="74">
        <f t="shared" si="91"/>
        <v>340</v>
      </c>
      <c r="G192" s="74">
        <f t="shared" si="85"/>
        <v>25</v>
      </c>
      <c r="H192" s="74">
        <f t="shared" si="81"/>
        <v>190</v>
      </c>
      <c r="I192" s="74">
        <f t="shared" si="93"/>
        <v>125</v>
      </c>
      <c r="J192" s="74">
        <f t="shared" si="51"/>
        <v>153.30000000000001</v>
      </c>
      <c r="K192" s="74">
        <f t="shared" si="61"/>
        <v>125</v>
      </c>
      <c r="L192" s="74">
        <v>125</v>
      </c>
      <c r="M192" s="74">
        <v>730</v>
      </c>
      <c r="N192" s="74">
        <f t="shared" si="41"/>
        <v>180</v>
      </c>
      <c r="O192" s="74">
        <v>375</v>
      </c>
      <c r="P192" s="74">
        <f t="shared" si="76"/>
        <v>50</v>
      </c>
      <c r="Q192" s="74">
        <f t="shared" si="77"/>
        <v>21</v>
      </c>
      <c r="R192" s="74">
        <v>100</v>
      </c>
      <c r="S192" s="74">
        <f t="shared" si="83"/>
        <v>60</v>
      </c>
      <c r="T192" s="74">
        <f t="shared" si="71"/>
        <v>36</v>
      </c>
      <c r="U192" s="74"/>
      <c r="V192" s="74">
        <f t="shared" si="99"/>
        <v>0</v>
      </c>
      <c r="W192" s="74">
        <f t="shared" si="78"/>
        <v>20</v>
      </c>
      <c r="X192" s="74">
        <f t="shared" si="52"/>
        <v>0</v>
      </c>
      <c r="Y192" s="74">
        <f t="shared" si="73"/>
        <v>3.5</v>
      </c>
      <c r="Z192" s="74">
        <f t="shared" si="86"/>
        <v>57.5</v>
      </c>
      <c r="AA192" s="74">
        <f t="shared" si="72"/>
        <v>306</v>
      </c>
      <c r="AB192" s="74">
        <f t="shared" si="87"/>
        <v>60</v>
      </c>
      <c r="AC192" s="74">
        <f t="shared" si="95"/>
        <v>1.6</v>
      </c>
      <c r="AD192" s="74">
        <f t="shared" si="80"/>
        <v>180</v>
      </c>
      <c r="AE192" s="74">
        <f t="shared" si="84"/>
        <v>1.1000000000000001</v>
      </c>
      <c r="AF192" s="74">
        <f t="shared" si="90"/>
        <v>275</v>
      </c>
      <c r="AG192" s="74">
        <f t="shared" si="97"/>
        <v>18</v>
      </c>
      <c r="AH192" s="74">
        <f t="shared" si="88"/>
        <v>3</v>
      </c>
      <c r="AI192" s="74">
        <f t="shared" si="79"/>
        <v>47</v>
      </c>
      <c r="AJ192" s="74"/>
      <c r="AK192" s="74"/>
      <c r="AL192" s="74">
        <f t="shared" si="89"/>
        <v>22.5</v>
      </c>
      <c r="AM192" s="74">
        <v>46</v>
      </c>
      <c r="AN192" s="74"/>
      <c r="AO192" s="74">
        <f t="shared" si="100"/>
        <v>19</v>
      </c>
      <c r="AP192" s="74"/>
      <c r="AQ192" s="74"/>
      <c r="AR192" s="74">
        <f t="shared" si="101"/>
        <v>120</v>
      </c>
      <c r="AS192" s="60"/>
      <c r="AT192" s="74">
        <f t="shared" si="96"/>
        <v>55</v>
      </c>
      <c r="AU192" s="74"/>
      <c r="AV192" s="74"/>
      <c r="AW192" s="74">
        <f t="shared" si="74"/>
        <v>4695.5</v>
      </c>
      <c r="AX192" s="83">
        <f t="shared" si="98"/>
        <v>4847.1949999999997</v>
      </c>
      <c r="AY192" s="62">
        <f>'[1]D4 Gallon Forecast'!$Q160/1000000</f>
        <v>0</v>
      </c>
      <c r="AZ192" s="62">
        <f>'[1]D4 Gallon Forecast'!$Q192/1000000</f>
        <v>279.92341201707484</v>
      </c>
      <c r="BA192" s="62">
        <f t="shared" si="92"/>
        <v>279.92341201707484</v>
      </c>
      <c r="BB192" s="62">
        <f>'[1]D4 Gallon Forecast'!$Q176/1000000</f>
        <v>0</v>
      </c>
      <c r="BC192" s="63">
        <f>'[1]D4 Gallon Forecast'!$Q352/1000000</f>
        <v>15.071413644033596</v>
      </c>
      <c r="BD192" s="64">
        <f>'[1]D4 Gallon Forecast'!$Q368/1000000</f>
        <v>0</v>
      </c>
      <c r="BE192" s="64">
        <f t="shared" si="94"/>
        <v>15.071413644033596</v>
      </c>
      <c r="BF192" s="76">
        <f t="shared" si="54"/>
        <v>294.99482566110845</v>
      </c>
      <c r="BG192" s="77">
        <f t="shared" si="59"/>
        <v>0.74044962338221454</v>
      </c>
      <c r="BH192" s="77">
        <f>AVERAGE(BG181:BG192)</f>
        <v>0.55586413039502125</v>
      </c>
      <c r="BI192" s="75">
        <f t="shared" si="75"/>
        <v>4370.3999999999996</v>
      </c>
      <c r="BJ192" s="75">
        <f t="shared" si="50"/>
        <v>476.79500000000007</v>
      </c>
      <c r="BK192" s="75">
        <f>'RD Feedstock Breakdown'!ES183</f>
        <v>2387.8340256339425</v>
      </c>
      <c r="BL192" s="78">
        <f t="shared" si="57"/>
        <v>8.0944946077701658</v>
      </c>
      <c r="BM192" s="78">
        <f t="shared" si="55"/>
        <v>8.53031194649874</v>
      </c>
      <c r="BN192" s="60"/>
      <c r="BO192" s="60"/>
      <c r="BP192" s="60"/>
      <c r="BQ192" s="66">
        <f>'[1]D4 Gallon Forecast'!$Q80/1000000</f>
        <v>257.70856514586092</v>
      </c>
      <c r="BR192" s="66">
        <f>'[1]D6 Gallon Forecast'!$Q73/1000000</f>
        <v>0.43529644951639329</v>
      </c>
      <c r="BS192" s="66">
        <f t="shared" si="82"/>
        <v>258.1438615953773</v>
      </c>
      <c r="BT192" s="60"/>
      <c r="BU192" s="67">
        <f>'[2]US EIA'!$P329</f>
        <v>1907.8210754572785</v>
      </c>
      <c r="BV192" s="68">
        <f t="shared" si="66"/>
        <v>7.3905343464941904</v>
      </c>
      <c r="BW192" s="60"/>
      <c r="BX192" s="69">
        <f t="shared" si="67"/>
        <v>0.53331078164909085</v>
      </c>
      <c r="BY192" s="69">
        <f t="shared" si="68"/>
        <v>0.46668921835090904</v>
      </c>
      <c r="BZ192" s="60"/>
      <c r="CA192" s="60"/>
      <c r="CB192" s="70">
        <f>('[1]D4 Gallon Forecast'!$Q352+'[1]D4 Gallon Forecast'!$Q368)/1000000</f>
        <v>15.071413644033596</v>
      </c>
      <c r="CC192" s="70">
        <f>'[1]D6 Gallon Forecast'!$Q285/1000000</f>
        <v>0</v>
      </c>
      <c r="CD192" s="70">
        <f t="shared" si="49"/>
        <v>15.071413644033596</v>
      </c>
      <c r="CE192" s="60"/>
      <c r="CF192" s="84">
        <f>'RD Feedstock Breakdown'!GQ183*1000000</f>
        <v>121995476.47310363</v>
      </c>
      <c r="CG192" s="85">
        <f t="shared" si="46"/>
        <v>8094494.6077701645</v>
      </c>
      <c r="CH192" s="73">
        <f>'[2]US EIA'!$R329+AW192</f>
        <v>6562.833333333333</v>
      </c>
    </row>
    <row r="193" spans="1:86" ht="13.5" x14ac:dyDescent="0.25">
      <c r="A193" s="59">
        <v>46023</v>
      </c>
      <c r="B193" s="74">
        <f t="shared" si="56"/>
        <v>690</v>
      </c>
      <c r="C193" s="74">
        <v>47</v>
      </c>
      <c r="D193" s="74">
        <f t="shared" si="43"/>
        <v>3</v>
      </c>
      <c r="E193" s="74">
        <f t="shared" si="60"/>
        <v>85</v>
      </c>
      <c r="F193" s="74">
        <f t="shared" si="91"/>
        <v>340</v>
      </c>
      <c r="G193" s="74">
        <f t="shared" si="85"/>
        <v>25</v>
      </c>
      <c r="H193" s="74">
        <f t="shared" si="81"/>
        <v>190</v>
      </c>
      <c r="I193" s="74">
        <f t="shared" si="93"/>
        <v>125</v>
      </c>
      <c r="J193" s="74">
        <f t="shared" si="51"/>
        <v>153.30000000000001</v>
      </c>
      <c r="K193" s="74">
        <f t="shared" si="61"/>
        <v>125</v>
      </c>
      <c r="L193" s="74">
        <v>125</v>
      </c>
      <c r="M193" s="74">
        <v>730</v>
      </c>
      <c r="N193" s="74">
        <f t="shared" si="41"/>
        <v>180</v>
      </c>
      <c r="O193" s="74">
        <v>375</v>
      </c>
      <c r="P193" s="74">
        <f t="shared" si="76"/>
        <v>50</v>
      </c>
      <c r="Q193" s="74">
        <f t="shared" si="77"/>
        <v>21</v>
      </c>
      <c r="R193" s="74">
        <v>100</v>
      </c>
      <c r="S193" s="74">
        <f t="shared" si="83"/>
        <v>60</v>
      </c>
      <c r="T193" s="74">
        <f t="shared" si="71"/>
        <v>36</v>
      </c>
      <c r="U193" s="74"/>
      <c r="V193" s="74">
        <f t="shared" si="99"/>
        <v>0</v>
      </c>
      <c r="W193" s="74">
        <f t="shared" si="78"/>
        <v>20</v>
      </c>
      <c r="X193" s="74">
        <f t="shared" si="52"/>
        <v>0</v>
      </c>
      <c r="Y193" s="74">
        <f t="shared" si="73"/>
        <v>3.5</v>
      </c>
      <c r="Z193" s="74">
        <f t="shared" si="86"/>
        <v>57.5</v>
      </c>
      <c r="AA193" s="74">
        <f t="shared" si="72"/>
        <v>306</v>
      </c>
      <c r="AB193" s="74">
        <f t="shared" si="87"/>
        <v>60</v>
      </c>
      <c r="AC193" s="74">
        <f t="shared" si="95"/>
        <v>1.6</v>
      </c>
      <c r="AD193" s="74">
        <f t="shared" si="80"/>
        <v>180</v>
      </c>
      <c r="AE193" s="74">
        <f t="shared" si="84"/>
        <v>1.1000000000000001</v>
      </c>
      <c r="AF193" s="74">
        <f t="shared" si="90"/>
        <v>275</v>
      </c>
      <c r="AG193" s="74">
        <f t="shared" si="97"/>
        <v>18</v>
      </c>
      <c r="AH193" s="74">
        <f t="shared" si="88"/>
        <v>3</v>
      </c>
      <c r="AI193" s="74">
        <f t="shared" si="79"/>
        <v>47</v>
      </c>
      <c r="AJ193" s="74"/>
      <c r="AK193" s="74"/>
      <c r="AL193" s="74">
        <f t="shared" si="89"/>
        <v>22.5</v>
      </c>
      <c r="AM193" s="74">
        <v>46</v>
      </c>
      <c r="AN193" s="74"/>
      <c r="AO193" s="74">
        <f t="shared" si="100"/>
        <v>19</v>
      </c>
      <c r="AP193" s="74"/>
      <c r="AQ193" s="74"/>
      <c r="AR193" s="74">
        <f t="shared" si="101"/>
        <v>120</v>
      </c>
      <c r="AS193" s="74">
        <f>AS5*AS12*0.5</f>
        <v>60</v>
      </c>
      <c r="AT193" s="74">
        <f t="shared" si="96"/>
        <v>55</v>
      </c>
      <c r="AU193" s="74"/>
      <c r="AV193" s="74"/>
      <c r="AW193" s="74">
        <f t="shared" si="74"/>
        <v>4755.5</v>
      </c>
      <c r="AX193" s="83">
        <f t="shared" si="98"/>
        <v>4907.1949999999997</v>
      </c>
      <c r="AY193" s="62">
        <f>'[1]D4 Gallon Forecast'!$R149/1000000</f>
        <v>0</v>
      </c>
      <c r="AZ193" s="62">
        <f>'[1]D4 Gallon Forecast'!$R181/1000000</f>
        <v>167.36350603565694</v>
      </c>
      <c r="BA193" s="62">
        <f t="shared" si="92"/>
        <v>167.36350603565694</v>
      </c>
      <c r="BB193" s="62">
        <f>'[1]D4 Gallon Forecast'!$R165/1000000</f>
        <v>0</v>
      </c>
      <c r="BC193" s="63">
        <f>'[1]D4 Gallon Forecast'!$R341/1000000</f>
        <v>23.89312617964994</v>
      </c>
      <c r="BD193" s="64">
        <f>'[1]D4 Gallon Forecast'!$R357/1000000</f>
        <v>0</v>
      </c>
      <c r="BE193" s="64">
        <f t="shared" si="94"/>
        <v>23.89312617964994</v>
      </c>
      <c r="BF193" s="76">
        <f t="shared" si="54"/>
        <v>191.25663221530687</v>
      </c>
      <c r="BG193" s="77">
        <f t="shared" si="59"/>
        <v>0.4588960913751563</v>
      </c>
      <c r="BH193" s="60"/>
      <c r="BI193" s="75">
        <f t="shared" si="75"/>
        <v>4370.3999999999996</v>
      </c>
      <c r="BJ193" s="75">
        <f t="shared" si="50"/>
        <v>536.79500000000007</v>
      </c>
      <c r="BK193" s="75">
        <f>'RD Feedstock Breakdown'!ES184</f>
        <v>1536.2988494168089</v>
      </c>
      <c r="BL193" s="78">
        <f t="shared" si="57"/>
        <v>8.032656601875761</v>
      </c>
      <c r="BM193" s="78">
        <f t="shared" si="55"/>
        <v>9.1794136356673786</v>
      </c>
      <c r="BN193" s="60"/>
      <c r="BO193" s="60"/>
      <c r="BP193" s="60"/>
      <c r="BQ193" s="66">
        <f>'[1]D4 Gallon Forecast'!$R69/1000000</f>
        <v>98.015663363137136</v>
      </c>
      <c r="BR193" s="66">
        <f>'[1]D6 Gallon Forecast'!$R62/1000000</f>
        <v>0</v>
      </c>
      <c r="BS193" s="66">
        <f t="shared" si="82"/>
        <v>98.015663363137136</v>
      </c>
      <c r="BT193" s="60"/>
      <c r="BU193" s="67">
        <f>'[2]US EIA'!$P330</f>
        <v>956.94945681007221</v>
      </c>
      <c r="BV193" s="68">
        <f t="shared" si="66"/>
        <v>9.763229916270431</v>
      </c>
      <c r="BW193" s="60"/>
      <c r="BX193" s="69">
        <f t="shared" si="67"/>
        <v>0.66116470584526632</v>
      </c>
      <c r="BY193" s="69">
        <f t="shared" si="68"/>
        <v>0.33883529415473362</v>
      </c>
      <c r="BZ193" s="60"/>
      <c r="CA193" s="60"/>
      <c r="CB193" s="84" t="e">
        <f>#REF!</f>
        <v>#REF!</v>
      </c>
      <c r="CC193" s="84" t="e">
        <f>#REF!</f>
        <v>#REF!</v>
      </c>
      <c r="CD193" s="84" t="e">
        <f t="shared" si="49"/>
        <v>#REF!</v>
      </c>
      <c r="CE193" s="60"/>
      <c r="CF193" s="84">
        <f>'RD Feedstock Breakdown'!GQ184*1000000</f>
        <v>191925277.74641562</v>
      </c>
      <c r="CG193" s="85" t="e">
        <f t="shared" si="46"/>
        <v>#REF!</v>
      </c>
      <c r="CH193" s="73">
        <f>'[2]US EIA'!$R330+AW193</f>
        <v>6622.2777777777774</v>
      </c>
    </row>
    <row r="194" spans="1:86" ht="13.5" x14ac:dyDescent="0.25">
      <c r="A194" s="59">
        <v>46054</v>
      </c>
      <c r="B194" s="74">
        <f t="shared" si="56"/>
        <v>690</v>
      </c>
      <c r="C194" s="74">
        <v>47</v>
      </c>
      <c r="D194" s="74">
        <f t="shared" si="43"/>
        <v>3</v>
      </c>
      <c r="E194" s="74">
        <f t="shared" si="60"/>
        <v>85</v>
      </c>
      <c r="F194" s="74">
        <f t="shared" si="91"/>
        <v>340</v>
      </c>
      <c r="G194" s="74">
        <f t="shared" si="85"/>
        <v>25</v>
      </c>
      <c r="H194" s="74">
        <f t="shared" si="81"/>
        <v>190</v>
      </c>
      <c r="I194" s="74">
        <f t="shared" si="93"/>
        <v>125</v>
      </c>
      <c r="J194" s="74">
        <f t="shared" si="51"/>
        <v>153.30000000000001</v>
      </c>
      <c r="K194" s="74">
        <f t="shared" si="61"/>
        <v>125</v>
      </c>
      <c r="L194" s="74">
        <v>125</v>
      </c>
      <c r="M194" s="74">
        <v>730</v>
      </c>
      <c r="N194" s="74">
        <f t="shared" ref="N194:N257" si="102">180*$N$12</f>
        <v>180</v>
      </c>
      <c r="O194" s="74">
        <v>375</v>
      </c>
      <c r="P194" s="74">
        <f t="shared" si="76"/>
        <v>50</v>
      </c>
      <c r="Q194" s="74">
        <f t="shared" si="77"/>
        <v>21</v>
      </c>
      <c r="R194" s="74">
        <v>100</v>
      </c>
      <c r="S194" s="74">
        <f t="shared" si="83"/>
        <v>60</v>
      </c>
      <c r="T194" s="74">
        <f t="shared" si="71"/>
        <v>36</v>
      </c>
      <c r="U194" s="74"/>
      <c r="V194" s="74">
        <f t="shared" si="99"/>
        <v>0</v>
      </c>
      <c r="W194" s="74">
        <f t="shared" si="78"/>
        <v>20</v>
      </c>
      <c r="X194" s="74">
        <f t="shared" si="52"/>
        <v>0</v>
      </c>
      <c r="Y194" s="74">
        <f t="shared" si="73"/>
        <v>3.5</v>
      </c>
      <c r="Z194" s="74">
        <f>305*$Z$12</f>
        <v>76.25</v>
      </c>
      <c r="AA194" s="74">
        <f t="shared" si="72"/>
        <v>306</v>
      </c>
      <c r="AB194" s="74">
        <f t="shared" si="87"/>
        <v>60</v>
      </c>
      <c r="AC194" s="74">
        <f t="shared" si="95"/>
        <v>1.6</v>
      </c>
      <c r="AD194" s="74">
        <f t="shared" si="80"/>
        <v>180</v>
      </c>
      <c r="AE194" s="74">
        <f t="shared" si="84"/>
        <v>1.1000000000000001</v>
      </c>
      <c r="AF194" s="74">
        <f t="shared" si="90"/>
        <v>275</v>
      </c>
      <c r="AG194" s="74">
        <f t="shared" si="97"/>
        <v>18</v>
      </c>
      <c r="AH194" s="74">
        <f t="shared" si="88"/>
        <v>3</v>
      </c>
      <c r="AI194" s="74">
        <f t="shared" si="79"/>
        <v>47</v>
      </c>
      <c r="AJ194" s="74"/>
      <c r="AK194" s="74"/>
      <c r="AL194" s="74">
        <f t="shared" si="89"/>
        <v>22.5</v>
      </c>
      <c r="AM194" s="74">
        <v>46</v>
      </c>
      <c r="AN194" s="74"/>
      <c r="AO194" s="74">
        <f t="shared" si="100"/>
        <v>19</v>
      </c>
      <c r="AP194" s="74"/>
      <c r="AQ194" s="74"/>
      <c r="AR194" s="74">
        <f t="shared" si="101"/>
        <v>120</v>
      </c>
      <c r="AS194" s="74">
        <f>AS5*AS12*0.75</f>
        <v>90</v>
      </c>
      <c r="AT194" s="74">
        <f t="shared" si="96"/>
        <v>55</v>
      </c>
      <c r="AU194" s="74"/>
      <c r="AV194" s="74"/>
      <c r="AW194" s="74">
        <f t="shared" si="74"/>
        <v>4804.25</v>
      </c>
      <c r="AX194" s="83">
        <f t="shared" si="98"/>
        <v>4955.9449999999997</v>
      </c>
      <c r="AY194" s="62">
        <f>'[1]D4 Gallon Forecast'!$R150/1000000</f>
        <v>0</v>
      </c>
      <c r="AZ194" s="62">
        <f>'[1]D4 Gallon Forecast'!$R182/1000000</f>
        <v>184.55199380017194</v>
      </c>
      <c r="BA194" s="62">
        <f t="shared" si="92"/>
        <v>184.55199380017194</v>
      </c>
      <c r="BB194" s="62">
        <f>'[1]D4 Gallon Forecast'!$R166/1000000</f>
        <v>0</v>
      </c>
      <c r="BC194" s="63">
        <f>'[1]D4 Gallon Forecast'!$R342/1000000</f>
        <v>45.244644572742757</v>
      </c>
      <c r="BD194" s="64">
        <f>'[1]D4 Gallon Forecast'!$R358/1000000</f>
        <v>0</v>
      </c>
      <c r="BE194" s="64">
        <f t="shared" si="94"/>
        <v>45.244644572742757</v>
      </c>
      <c r="BF194" s="76">
        <f t="shared" si="54"/>
        <v>229.79663837291469</v>
      </c>
      <c r="BG194" s="77">
        <f t="shared" si="59"/>
        <v>0.54594433492934547</v>
      </c>
      <c r="BH194" s="60"/>
      <c r="BI194" s="75">
        <f t="shared" si="75"/>
        <v>4389.1499999999996</v>
      </c>
      <c r="BJ194" s="75">
        <f t="shared" si="50"/>
        <v>566.79500000000007</v>
      </c>
      <c r="BK194" s="75">
        <f>'RD Feedstock Breakdown'!ES185</f>
        <v>1845.3294368657632</v>
      </c>
      <c r="BL194" s="78">
        <f t="shared" si="57"/>
        <v>8.0302716781746692</v>
      </c>
      <c r="BM194" s="78">
        <f t="shared" si="55"/>
        <v>9.9989677644113542</v>
      </c>
      <c r="BN194" s="60"/>
      <c r="BO194" s="60"/>
      <c r="BP194" s="60"/>
      <c r="BQ194" s="66">
        <f>'[1]D4 Gallon Forecast'!$R70/1000000</f>
        <v>103.98121243447548</v>
      </c>
      <c r="BR194" s="66">
        <f>'[1]D6 Gallon Forecast'!$R63/1000000</f>
        <v>0</v>
      </c>
      <c r="BS194" s="66">
        <f t="shared" si="82"/>
        <v>103.98121243447548</v>
      </c>
      <c r="BT194" s="60"/>
      <c r="BU194" s="67">
        <f>'[2]US EIA'!$P331</f>
        <v>871.19890772105953</v>
      </c>
      <c r="BV194" s="68">
        <f t="shared" si="66"/>
        <v>8.378426134144684</v>
      </c>
      <c r="BW194" s="60"/>
      <c r="BX194" s="69">
        <f t="shared" si="67"/>
        <v>0.68847180187975121</v>
      </c>
      <c r="BY194" s="69">
        <f t="shared" si="68"/>
        <v>0.31152819812024879</v>
      </c>
      <c r="BZ194" s="60"/>
      <c r="CA194" s="60"/>
      <c r="CB194" s="84" t="e">
        <f>#REF!</f>
        <v>#REF!</v>
      </c>
      <c r="CC194" s="84" t="e">
        <f>#REF!</f>
        <v>#REF!</v>
      </c>
      <c r="CD194" s="84" t="e">
        <f t="shared" si="49"/>
        <v>#REF!</v>
      </c>
      <c r="CE194" s="60"/>
      <c r="CF194" s="84">
        <f>'RD Feedstock Breakdown'!GQ185*1000000</f>
        <v>363326787.90157539</v>
      </c>
      <c r="CG194" s="85" t="e">
        <f t="shared" si="46"/>
        <v>#REF!</v>
      </c>
      <c r="CH194" s="73">
        <f>'[2]US EIA'!$R331+AW194</f>
        <v>6670.4722222222217</v>
      </c>
    </row>
    <row r="195" spans="1:86" ht="13.5" x14ac:dyDescent="0.25">
      <c r="A195" s="59">
        <v>46082</v>
      </c>
      <c r="B195" s="74">
        <f t="shared" si="56"/>
        <v>690</v>
      </c>
      <c r="C195" s="74">
        <v>47</v>
      </c>
      <c r="D195" s="74">
        <f t="shared" si="43"/>
        <v>3</v>
      </c>
      <c r="E195" s="74">
        <f t="shared" si="60"/>
        <v>85</v>
      </c>
      <c r="F195" s="74">
        <f t="shared" si="91"/>
        <v>340</v>
      </c>
      <c r="G195" s="74">
        <f t="shared" si="85"/>
        <v>25</v>
      </c>
      <c r="H195" s="74">
        <f t="shared" si="81"/>
        <v>190</v>
      </c>
      <c r="I195" s="74">
        <f t="shared" si="93"/>
        <v>125</v>
      </c>
      <c r="J195" s="74">
        <f t="shared" si="51"/>
        <v>153.30000000000001</v>
      </c>
      <c r="K195" s="74">
        <f t="shared" si="61"/>
        <v>125</v>
      </c>
      <c r="L195" s="74">
        <v>125</v>
      </c>
      <c r="M195" s="74">
        <v>730</v>
      </c>
      <c r="N195" s="74">
        <f t="shared" si="102"/>
        <v>180</v>
      </c>
      <c r="O195" s="74">
        <v>375</v>
      </c>
      <c r="P195" s="74">
        <f t="shared" si="76"/>
        <v>50</v>
      </c>
      <c r="Q195" s="74">
        <f t="shared" si="77"/>
        <v>21</v>
      </c>
      <c r="R195" s="74">
        <v>100</v>
      </c>
      <c r="S195" s="74">
        <f t="shared" si="83"/>
        <v>60</v>
      </c>
      <c r="T195" s="74">
        <f t="shared" si="71"/>
        <v>36</v>
      </c>
      <c r="U195" s="74"/>
      <c r="V195" s="74">
        <f t="shared" si="99"/>
        <v>0</v>
      </c>
      <c r="W195" s="74">
        <f t="shared" si="78"/>
        <v>20</v>
      </c>
      <c r="X195" s="74">
        <f t="shared" si="52"/>
        <v>0</v>
      </c>
      <c r="Y195" s="74">
        <f t="shared" si="73"/>
        <v>3.5</v>
      </c>
      <c r="Z195" s="74">
        <f>460*$Z$12</f>
        <v>115</v>
      </c>
      <c r="AA195" s="74">
        <f t="shared" si="72"/>
        <v>306</v>
      </c>
      <c r="AB195" s="74">
        <f t="shared" si="87"/>
        <v>60</v>
      </c>
      <c r="AC195" s="74">
        <f t="shared" si="95"/>
        <v>1.6</v>
      </c>
      <c r="AD195" s="74">
        <f t="shared" si="80"/>
        <v>180</v>
      </c>
      <c r="AE195" s="74">
        <f t="shared" si="84"/>
        <v>1.1000000000000001</v>
      </c>
      <c r="AF195" s="74">
        <f t="shared" si="90"/>
        <v>275</v>
      </c>
      <c r="AG195" s="74">
        <f t="shared" si="97"/>
        <v>18</v>
      </c>
      <c r="AH195" s="74">
        <f t="shared" si="88"/>
        <v>3</v>
      </c>
      <c r="AI195" s="74">
        <f t="shared" si="79"/>
        <v>47</v>
      </c>
      <c r="AJ195" s="74">
        <f>$AJ$12*$AJ$5*0.25</f>
        <v>22.5</v>
      </c>
      <c r="AK195" s="74"/>
      <c r="AL195" s="74">
        <f t="shared" si="89"/>
        <v>22.5</v>
      </c>
      <c r="AM195" s="74">
        <v>46</v>
      </c>
      <c r="AN195" s="74"/>
      <c r="AO195" s="74">
        <f t="shared" si="100"/>
        <v>19</v>
      </c>
      <c r="AP195" s="74"/>
      <c r="AQ195" s="74"/>
      <c r="AR195" s="74">
        <f t="shared" si="101"/>
        <v>120</v>
      </c>
      <c r="AS195" s="74">
        <f t="shared" ref="AS195:AS258" si="103">$AS$5*$AS$12</f>
        <v>120</v>
      </c>
      <c r="AT195" s="74">
        <f t="shared" si="96"/>
        <v>55</v>
      </c>
      <c r="AU195" s="74"/>
      <c r="AV195" s="74"/>
      <c r="AW195" s="74">
        <f t="shared" si="74"/>
        <v>4895.5</v>
      </c>
      <c r="AX195" s="83">
        <f t="shared" si="98"/>
        <v>5047.1949999999997</v>
      </c>
      <c r="AY195" s="62">
        <f>'[1]D4 Gallon Forecast'!$R151/1000000</f>
        <v>0</v>
      </c>
      <c r="AZ195" s="62">
        <f>'[1]D4 Gallon Forecast'!$R183/1000000</f>
        <v>194.38100933101276</v>
      </c>
      <c r="BA195" s="62">
        <f t="shared" si="92"/>
        <v>194.38100933101276</v>
      </c>
      <c r="BB195" s="62">
        <f>'[1]D4 Gallon Forecast'!$R167/1000000</f>
        <v>0</v>
      </c>
      <c r="BC195" s="63">
        <f>'[1]D4 Gallon Forecast'!$R343/1000000</f>
        <v>18.303595228116713</v>
      </c>
      <c r="BD195" s="64">
        <f>'[1]D4 Gallon Forecast'!$R359/1000000</f>
        <v>0</v>
      </c>
      <c r="BE195" s="64">
        <f t="shared" si="94"/>
        <v>18.303595228116713</v>
      </c>
      <c r="BF195" s="76">
        <f t="shared" si="54"/>
        <v>212.68460455912947</v>
      </c>
      <c r="BG195" s="77">
        <f t="shared" si="59"/>
        <v>0.54931417113920467</v>
      </c>
      <c r="BH195" s="60"/>
      <c r="BI195" s="75">
        <f t="shared" si="75"/>
        <v>4427.8999999999996</v>
      </c>
      <c r="BJ195" s="75">
        <f t="shared" si="50"/>
        <v>619.29500000000007</v>
      </c>
      <c r="BK195" s="75">
        <f>'RD Feedstock Breakdown'!ES186</f>
        <v>1708.7911931011017</v>
      </c>
      <c r="BL195" s="78">
        <f t="shared" si="57"/>
        <v>8.0343906257024464</v>
      </c>
      <c r="BM195" s="78">
        <f t="shared" si="55"/>
        <v>8.790936928366234</v>
      </c>
      <c r="BN195" s="60"/>
      <c r="BO195" s="60"/>
      <c r="BP195" s="60"/>
      <c r="BQ195" s="66">
        <f>'[1]D4 Gallon Forecast'!$R71/1000000</f>
        <v>114.30140664373816</v>
      </c>
      <c r="BR195" s="66">
        <f>'[1]D6 Gallon Forecast'!$R64/1000000</f>
        <v>2.026E-3</v>
      </c>
      <c r="BS195" s="66">
        <f t="shared" si="82"/>
        <v>114.30343264373816</v>
      </c>
      <c r="BT195" s="60"/>
      <c r="BU195" s="67">
        <f>'[2]US EIA'!$P332</f>
        <v>930.23677455528991</v>
      </c>
      <c r="BV195" s="68">
        <f t="shared" si="66"/>
        <v>8.1383100493111105</v>
      </c>
      <c r="BW195" s="60"/>
      <c r="BX195" s="69">
        <f t="shared" si="67"/>
        <v>0.65043542992729475</v>
      </c>
      <c r="BY195" s="69">
        <f t="shared" si="68"/>
        <v>0.34956457007270519</v>
      </c>
      <c r="BZ195" s="60"/>
      <c r="CA195" s="60"/>
      <c r="CB195" s="84" t="e">
        <f>#REF!</f>
        <v>#REF!</v>
      </c>
      <c r="CC195" s="84" t="e">
        <f>#REF!</f>
        <v>#REF!</v>
      </c>
      <c r="CD195" s="84" t="e">
        <f t="shared" si="49"/>
        <v>#REF!</v>
      </c>
      <c r="CE195" s="60"/>
      <c r="CF195" s="84">
        <f>'RD Feedstock Breakdown'!GQ186*1000000</f>
        <v>147058233.91743293</v>
      </c>
      <c r="CG195" s="85" t="e">
        <f t="shared" si="46"/>
        <v>#REF!</v>
      </c>
      <c r="CH195" s="73">
        <f>'[2]US EIA'!$R332+AW195</f>
        <v>6761.1666666666661</v>
      </c>
    </row>
    <row r="196" spans="1:86" ht="13.5" x14ac:dyDescent="0.25">
      <c r="A196" s="59">
        <v>46113</v>
      </c>
      <c r="B196" s="74">
        <f t="shared" si="56"/>
        <v>690</v>
      </c>
      <c r="C196" s="74">
        <v>47</v>
      </c>
      <c r="D196" s="74">
        <f t="shared" si="43"/>
        <v>3</v>
      </c>
      <c r="E196" s="74">
        <f t="shared" si="60"/>
        <v>85</v>
      </c>
      <c r="F196" s="74">
        <f t="shared" si="91"/>
        <v>340</v>
      </c>
      <c r="G196" s="74">
        <f t="shared" si="85"/>
        <v>25</v>
      </c>
      <c r="H196" s="74">
        <f t="shared" si="81"/>
        <v>190</v>
      </c>
      <c r="I196" s="74">
        <f t="shared" si="93"/>
        <v>125</v>
      </c>
      <c r="J196" s="74">
        <f t="shared" si="51"/>
        <v>153.30000000000001</v>
      </c>
      <c r="K196" s="74">
        <f t="shared" si="61"/>
        <v>125</v>
      </c>
      <c r="L196" s="74">
        <v>125</v>
      </c>
      <c r="M196" s="74">
        <v>730</v>
      </c>
      <c r="N196" s="74">
        <f t="shared" si="102"/>
        <v>180</v>
      </c>
      <c r="O196" s="74">
        <v>375</v>
      </c>
      <c r="P196" s="74">
        <f t="shared" si="76"/>
        <v>50</v>
      </c>
      <c r="Q196" s="74">
        <f t="shared" si="77"/>
        <v>21</v>
      </c>
      <c r="R196" s="74">
        <v>100</v>
      </c>
      <c r="S196" s="74">
        <f t="shared" si="83"/>
        <v>60</v>
      </c>
      <c r="T196" s="74">
        <f t="shared" si="71"/>
        <v>36</v>
      </c>
      <c r="U196" s="74"/>
      <c r="V196" s="74">
        <f t="shared" si="99"/>
        <v>0</v>
      </c>
      <c r="W196" s="74">
        <f t="shared" si="78"/>
        <v>20</v>
      </c>
      <c r="X196" s="74">
        <f t="shared" si="52"/>
        <v>0</v>
      </c>
      <c r="Y196" s="74">
        <f t="shared" si="73"/>
        <v>3.5</v>
      </c>
      <c r="Z196" s="74">
        <f t="shared" ref="Z196:Z217" si="104">460*$Z$12</f>
        <v>115</v>
      </c>
      <c r="AA196" s="74">
        <f t="shared" si="72"/>
        <v>306</v>
      </c>
      <c r="AB196" s="74">
        <f t="shared" si="87"/>
        <v>60</v>
      </c>
      <c r="AC196" s="74">
        <f t="shared" si="95"/>
        <v>1.6</v>
      </c>
      <c r="AD196" s="74">
        <f t="shared" si="80"/>
        <v>180</v>
      </c>
      <c r="AE196" s="74">
        <f t="shared" si="84"/>
        <v>1.1000000000000001</v>
      </c>
      <c r="AF196" s="74">
        <f t="shared" si="90"/>
        <v>275</v>
      </c>
      <c r="AG196" s="74">
        <f t="shared" si="97"/>
        <v>18</v>
      </c>
      <c r="AH196" s="74">
        <f t="shared" si="88"/>
        <v>3</v>
      </c>
      <c r="AI196" s="74">
        <f t="shared" si="79"/>
        <v>47</v>
      </c>
      <c r="AJ196" s="74">
        <f>$AJ$12*$AJ$5*0.5</f>
        <v>45</v>
      </c>
      <c r="AK196" s="74"/>
      <c r="AL196" s="74">
        <f t="shared" si="89"/>
        <v>22.5</v>
      </c>
      <c r="AM196" s="74">
        <v>46</v>
      </c>
      <c r="AN196" s="74"/>
      <c r="AO196" s="74">
        <f t="shared" si="100"/>
        <v>19</v>
      </c>
      <c r="AP196" s="74"/>
      <c r="AQ196" s="74"/>
      <c r="AR196" s="74">
        <f t="shared" si="101"/>
        <v>120</v>
      </c>
      <c r="AS196" s="74">
        <f t="shared" si="103"/>
        <v>120</v>
      </c>
      <c r="AT196" s="74">
        <f t="shared" si="96"/>
        <v>55</v>
      </c>
      <c r="AU196" s="74"/>
      <c r="AV196" s="74"/>
      <c r="AW196" s="74">
        <f t="shared" si="74"/>
        <v>4918</v>
      </c>
      <c r="AX196" s="83">
        <f t="shared" si="98"/>
        <v>5069.6949999999997</v>
      </c>
      <c r="AY196" s="62">
        <f>'[1]D4 Gallon Forecast'!$R152/1000000</f>
        <v>0</v>
      </c>
      <c r="AZ196" s="62">
        <f>'[1]D4 Gallon Forecast'!$R184/1000000</f>
        <v>188.73438538676169</v>
      </c>
      <c r="BA196" s="62">
        <f t="shared" si="92"/>
        <v>188.73438538676169</v>
      </c>
      <c r="BB196" s="62">
        <f>'[1]D4 Gallon Forecast'!$R168/1000000</f>
        <v>0</v>
      </c>
      <c r="BC196" s="63">
        <f>'[1]D4 Gallon Forecast'!$R344/1000000</f>
        <v>28.923927353115388</v>
      </c>
      <c r="BD196" s="64">
        <f>'[1]D4 Gallon Forecast'!$R360/1000000</f>
        <v>0</v>
      </c>
      <c r="BE196" s="64">
        <f t="shared" si="94"/>
        <v>28.923927353115388</v>
      </c>
      <c r="BF196" s="76">
        <f t="shared" si="54"/>
        <v>217.65831273987709</v>
      </c>
      <c r="BG196" s="77">
        <f t="shared" si="59"/>
        <v>0.50550400006601615</v>
      </c>
      <c r="BH196" s="60"/>
      <c r="BI196" s="75">
        <f t="shared" si="75"/>
        <v>4427.8999999999996</v>
      </c>
      <c r="BJ196" s="75">
        <f t="shared" si="50"/>
        <v>641.79500000000007</v>
      </c>
      <c r="BK196" s="75">
        <f>'RD Feedstock Breakdown'!ES187</f>
        <v>1752.2058693295612</v>
      </c>
      <c r="BL196" s="78">
        <f t="shared" si="57"/>
        <v>8.0502593596028564</v>
      </c>
      <c r="BM196" s="78">
        <f t="shared" si="55"/>
        <v>9.2839779340625945</v>
      </c>
      <c r="BN196" s="60"/>
      <c r="BO196" s="60"/>
      <c r="BP196" s="60"/>
      <c r="BQ196" s="66">
        <f>'[1]D4 Gallon Forecast'!$R72/1000000</f>
        <v>121.89290563593009</v>
      </c>
      <c r="BR196" s="66">
        <f>'[1]D6 Gallon Forecast'!$R65/1000000</f>
        <v>0.3882663490329461</v>
      </c>
      <c r="BS196" s="66">
        <f t="shared" si="82"/>
        <v>122.28117198496304</v>
      </c>
      <c r="BT196" s="60"/>
      <c r="BU196" s="67">
        <f>'[2]US EIA'!$P333</f>
        <v>950.77801422682194</v>
      </c>
      <c r="BV196" s="68">
        <f t="shared" si="66"/>
        <v>7.775342669628154</v>
      </c>
      <c r="BW196" s="60"/>
      <c r="BX196" s="69">
        <f t="shared" si="67"/>
        <v>0.64028546997433378</v>
      </c>
      <c r="BY196" s="69">
        <f t="shared" si="68"/>
        <v>0.35971453002566633</v>
      </c>
      <c r="BZ196" s="60"/>
      <c r="CA196" s="60"/>
      <c r="CB196" s="84" t="e">
        <f>#REF!</f>
        <v>#REF!</v>
      </c>
      <c r="CC196" s="84" t="e">
        <f>#REF!</f>
        <v>#REF!</v>
      </c>
      <c r="CD196" s="84" t="e">
        <f t="shared" si="49"/>
        <v>#REF!</v>
      </c>
      <c r="CE196" s="60"/>
      <c r="CF196" s="84">
        <f>'RD Feedstock Breakdown'!GQ187*1000000</f>
        <v>232845116.89089027</v>
      </c>
      <c r="CG196" s="85" t="e">
        <f t="shared" si="46"/>
        <v>#REF!</v>
      </c>
      <c r="CH196" s="73">
        <f>'[2]US EIA'!$R333+AW196</f>
        <v>6783.1111111111104</v>
      </c>
    </row>
    <row r="197" spans="1:86" ht="13.5" x14ac:dyDescent="0.25">
      <c r="A197" s="59">
        <v>46143</v>
      </c>
      <c r="B197" s="74">
        <f t="shared" si="56"/>
        <v>690</v>
      </c>
      <c r="C197" s="74">
        <v>47</v>
      </c>
      <c r="D197" s="74">
        <f t="shared" si="43"/>
        <v>3</v>
      </c>
      <c r="E197" s="74">
        <f t="shared" si="60"/>
        <v>85</v>
      </c>
      <c r="F197" s="74">
        <f t="shared" si="91"/>
        <v>340</v>
      </c>
      <c r="G197" s="74">
        <f t="shared" si="85"/>
        <v>25</v>
      </c>
      <c r="H197" s="74">
        <f t="shared" si="81"/>
        <v>190</v>
      </c>
      <c r="I197" s="74">
        <f t="shared" si="93"/>
        <v>125</v>
      </c>
      <c r="J197" s="74">
        <f t="shared" si="51"/>
        <v>153.30000000000001</v>
      </c>
      <c r="K197" s="74">
        <f t="shared" si="61"/>
        <v>125</v>
      </c>
      <c r="L197" s="74">
        <v>125</v>
      </c>
      <c r="M197" s="74">
        <v>730</v>
      </c>
      <c r="N197" s="74">
        <f t="shared" si="102"/>
        <v>180</v>
      </c>
      <c r="O197" s="74">
        <v>375</v>
      </c>
      <c r="P197" s="74">
        <f t="shared" si="76"/>
        <v>50</v>
      </c>
      <c r="Q197" s="74">
        <f t="shared" si="77"/>
        <v>21</v>
      </c>
      <c r="R197" s="74">
        <v>100</v>
      </c>
      <c r="S197" s="74">
        <f t="shared" si="83"/>
        <v>60</v>
      </c>
      <c r="T197" s="74">
        <f t="shared" si="71"/>
        <v>36</v>
      </c>
      <c r="U197" s="74"/>
      <c r="V197" s="74">
        <f t="shared" si="99"/>
        <v>0</v>
      </c>
      <c r="W197" s="74">
        <f t="shared" si="78"/>
        <v>20</v>
      </c>
      <c r="X197" s="74">
        <f t="shared" si="52"/>
        <v>0</v>
      </c>
      <c r="Y197" s="74">
        <f t="shared" si="73"/>
        <v>3.5</v>
      </c>
      <c r="Z197" s="74">
        <f t="shared" si="104"/>
        <v>115</v>
      </c>
      <c r="AA197" s="74">
        <f t="shared" si="72"/>
        <v>306</v>
      </c>
      <c r="AB197" s="74">
        <f t="shared" si="87"/>
        <v>60</v>
      </c>
      <c r="AC197" s="74">
        <f t="shared" si="95"/>
        <v>1.6</v>
      </c>
      <c r="AD197" s="74">
        <f t="shared" si="80"/>
        <v>180</v>
      </c>
      <c r="AE197" s="74">
        <f t="shared" si="84"/>
        <v>1.1000000000000001</v>
      </c>
      <c r="AF197" s="74">
        <f t="shared" si="90"/>
        <v>275</v>
      </c>
      <c r="AG197" s="74">
        <f t="shared" si="97"/>
        <v>18</v>
      </c>
      <c r="AH197" s="74">
        <f t="shared" si="88"/>
        <v>3</v>
      </c>
      <c r="AI197" s="74">
        <f t="shared" si="79"/>
        <v>47</v>
      </c>
      <c r="AJ197" s="74">
        <f t="shared" ref="AJ197:AJ260" si="105">$AJ$12*$AJ$5</f>
        <v>90</v>
      </c>
      <c r="AK197" s="74"/>
      <c r="AL197" s="74">
        <f t="shared" si="89"/>
        <v>22.5</v>
      </c>
      <c r="AM197" s="74">
        <v>46</v>
      </c>
      <c r="AN197" s="74"/>
      <c r="AO197" s="74">
        <f t="shared" si="100"/>
        <v>19</v>
      </c>
      <c r="AP197" s="74"/>
      <c r="AQ197" s="74"/>
      <c r="AR197" s="74">
        <f t="shared" si="101"/>
        <v>120</v>
      </c>
      <c r="AS197" s="74">
        <f t="shared" si="103"/>
        <v>120</v>
      </c>
      <c r="AT197" s="74">
        <f t="shared" si="96"/>
        <v>55</v>
      </c>
      <c r="AU197" s="74"/>
      <c r="AV197" s="74"/>
      <c r="AW197" s="74">
        <f t="shared" si="74"/>
        <v>4963</v>
      </c>
      <c r="AX197" s="83">
        <f t="shared" si="98"/>
        <v>5114.6949999999997</v>
      </c>
      <c r="AY197" s="62">
        <f>'[1]D4 Gallon Forecast'!$R153/1000000</f>
        <v>0</v>
      </c>
      <c r="AZ197" s="62">
        <f>'[1]D4 Gallon Forecast'!$R185/1000000</f>
        <v>210.83421038909154</v>
      </c>
      <c r="BA197" s="62">
        <f t="shared" si="92"/>
        <v>210.83421038909154</v>
      </c>
      <c r="BB197" s="62">
        <f>'[1]D4 Gallon Forecast'!$R169/1000000</f>
        <v>0</v>
      </c>
      <c r="BC197" s="63">
        <f>'[1]D4 Gallon Forecast'!$R345/1000000</f>
        <v>38.073237291912427</v>
      </c>
      <c r="BD197" s="64">
        <f>'[1]D4 Gallon Forecast'!$R361/1000000</f>
        <v>0</v>
      </c>
      <c r="BE197" s="64">
        <f t="shared" si="94"/>
        <v>38.073237291912427</v>
      </c>
      <c r="BF197" s="76">
        <f t="shared" si="54"/>
        <v>248.90744768100396</v>
      </c>
      <c r="BG197" s="77">
        <f t="shared" si="59"/>
        <v>0.5920927732319422</v>
      </c>
      <c r="BH197" s="60"/>
      <c r="BI197" s="75">
        <f t="shared" si="75"/>
        <v>4427.8999999999996</v>
      </c>
      <c r="BJ197" s="75">
        <f t="shared" si="50"/>
        <v>686.79500000000007</v>
      </c>
      <c r="BK197" s="75">
        <f>'RD Feedstock Breakdown'!ES188</f>
        <v>2001.8597365466917</v>
      </c>
      <c r="BL197" s="78">
        <f t="shared" si="57"/>
        <v>8.0425867333316798</v>
      </c>
      <c r="BM197" s="78">
        <f t="shared" si="55"/>
        <v>9.494947394221688</v>
      </c>
      <c r="BN197" s="60"/>
      <c r="BO197" s="60"/>
      <c r="BP197" s="60"/>
      <c r="BQ197" s="66">
        <f>'[1]D4 Gallon Forecast'!$R73/1000000</f>
        <v>129.76655307013709</v>
      </c>
      <c r="BR197" s="66">
        <f>'[1]D6 Gallon Forecast'!$R66/1000000</f>
        <v>0.41454249544444571</v>
      </c>
      <c r="BS197" s="66">
        <f t="shared" si="82"/>
        <v>130.18109556558153</v>
      </c>
      <c r="BT197" s="60"/>
      <c r="BU197" s="67">
        <f>'[2]US EIA'!$P334</f>
        <v>1019.3917473243047</v>
      </c>
      <c r="BV197" s="68">
        <f t="shared" si="66"/>
        <v>7.8305666648101306</v>
      </c>
      <c r="BW197" s="60"/>
      <c r="BX197" s="69">
        <f t="shared" si="67"/>
        <v>0.65659448726493774</v>
      </c>
      <c r="BY197" s="69">
        <f t="shared" si="68"/>
        <v>0.34340551273506231</v>
      </c>
      <c r="BZ197" s="60"/>
      <c r="CA197" s="60"/>
      <c r="CB197" s="84" t="e">
        <f>#REF!</f>
        <v>#REF!</v>
      </c>
      <c r="CC197" s="84" t="e">
        <f>#REF!</f>
        <v>#REF!</v>
      </c>
      <c r="CD197" s="84" t="e">
        <f t="shared" si="49"/>
        <v>#REF!</v>
      </c>
      <c r="CE197" s="60"/>
      <c r="CF197" s="84">
        <f>'RD Feedstock Breakdown'!GQ188*1000000</f>
        <v>306207313.13892382</v>
      </c>
      <c r="CG197" s="85" t="e">
        <f t="shared" si="46"/>
        <v>#REF!</v>
      </c>
      <c r="CH197" s="73">
        <f>'[2]US EIA'!$R334+AW197</f>
        <v>6827.5555555555547</v>
      </c>
    </row>
    <row r="198" spans="1:86" ht="13.5" x14ac:dyDescent="0.25">
      <c r="A198" s="59">
        <v>46174</v>
      </c>
      <c r="B198" s="74">
        <f t="shared" si="56"/>
        <v>690</v>
      </c>
      <c r="C198" s="74">
        <v>47</v>
      </c>
      <c r="D198" s="74">
        <f t="shared" si="43"/>
        <v>3</v>
      </c>
      <c r="E198" s="74">
        <f t="shared" si="60"/>
        <v>85</v>
      </c>
      <c r="F198" s="74">
        <f t="shared" si="91"/>
        <v>340</v>
      </c>
      <c r="G198" s="74">
        <f t="shared" si="85"/>
        <v>25</v>
      </c>
      <c r="H198" s="74">
        <f t="shared" si="81"/>
        <v>190</v>
      </c>
      <c r="I198" s="74">
        <f t="shared" si="93"/>
        <v>125</v>
      </c>
      <c r="J198" s="74">
        <f t="shared" si="51"/>
        <v>153.30000000000001</v>
      </c>
      <c r="K198" s="74">
        <f t="shared" si="61"/>
        <v>125</v>
      </c>
      <c r="L198" s="74">
        <v>125</v>
      </c>
      <c r="M198" s="74">
        <v>730</v>
      </c>
      <c r="N198" s="74">
        <f t="shared" si="102"/>
        <v>180</v>
      </c>
      <c r="O198" s="74">
        <v>375</v>
      </c>
      <c r="P198" s="74">
        <f t="shared" si="76"/>
        <v>50</v>
      </c>
      <c r="Q198" s="74">
        <f t="shared" si="77"/>
        <v>21</v>
      </c>
      <c r="R198" s="74">
        <v>100</v>
      </c>
      <c r="S198" s="74">
        <f t="shared" si="83"/>
        <v>60</v>
      </c>
      <c r="T198" s="74">
        <f t="shared" si="71"/>
        <v>36</v>
      </c>
      <c r="U198" s="74"/>
      <c r="V198" s="74">
        <f t="shared" si="99"/>
        <v>0</v>
      </c>
      <c r="W198" s="74">
        <f t="shared" si="78"/>
        <v>20</v>
      </c>
      <c r="X198" s="74">
        <f t="shared" si="52"/>
        <v>0</v>
      </c>
      <c r="Y198" s="74">
        <f t="shared" si="73"/>
        <v>3.5</v>
      </c>
      <c r="Z198" s="74">
        <f t="shared" si="104"/>
        <v>115</v>
      </c>
      <c r="AA198" s="74">
        <f t="shared" si="72"/>
        <v>306</v>
      </c>
      <c r="AB198" s="74">
        <f t="shared" si="87"/>
        <v>60</v>
      </c>
      <c r="AC198" s="74">
        <f t="shared" si="95"/>
        <v>1.6</v>
      </c>
      <c r="AD198" s="74">
        <f t="shared" si="80"/>
        <v>180</v>
      </c>
      <c r="AE198" s="74">
        <f t="shared" si="84"/>
        <v>1.1000000000000001</v>
      </c>
      <c r="AF198" s="74">
        <f t="shared" si="90"/>
        <v>275</v>
      </c>
      <c r="AG198" s="74">
        <f t="shared" si="97"/>
        <v>18</v>
      </c>
      <c r="AH198" s="74">
        <f t="shared" si="88"/>
        <v>3</v>
      </c>
      <c r="AI198" s="74">
        <f t="shared" si="79"/>
        <v>47</v>
      </c>
      <c r="AJ198" s="74">
        <f t="shared" si="105"/>
        <v>90</v>
      </c>
      <c r="AK198" s="74"/>
      <c r="AL198" s="74">
        <v>27.5</v>
      </c>
      <c r="AM198" s="74">
        <v>46</v>
      </c>
      <c r="AN198" s="74"/>
      <c r="AO198" s="74">
        <f t="shared" si="100"/>
        <v>19</v>
      </c>
      <c r="AP198" s="74"/>
      <c r="AQ198" s="74"/>
      <c r="AR198" s="74">
        <f t="shared" si="101"/>
        <v>120</v>
      </c>
      <c r="AS198" s="74">
        <f t="shared" si="103"/>
        <v>120</v>
      </c>
      <c r="AT198" s="74">
        <f t="shared" si="96"/>
        <v>55</v>
      </c>
      <c r="AU198" s="74"/>
      <c r="AV198" s="74"/>
      <c r="AW198" s="74">
        <f t="shared" si="74"/>
        <v>4968</v>
      </c>
      <c r="AX198" s="83">
        <f t="shared" si="98"/>
        <v>5119.6949999999997</v>
      </c>
      <c r="AY198" s="62">
        <f>'[1]D4 Gallon Forecast'!$R154/1000000</f>
        <v>0</v>
      </c>
      <c r="AZ198" s="62">
        <f>'[1]D4 Gallon Forecast'!$R186/1000000</f>
        <v>209.11451714255438</v>
      </c>
      <c r="BA198" s="62">
        <f t="shared" si="92"/>
        <v>209.11451714255438</v>
      </c>
      <c r="BB198" s="62">
        <f>'[1]D4 Gallon Forecast'!$R170/1000000</f>
        <v>0</v>
      </c>
      <c r="BC198" s="63">
        <f>'[1]D4 Gallon Forecast'!$R346/1000000</f>
        <v>36.445958845373937</v>
      </c>
      <c r="BD198" s="64">
        <f>'[1]D4 Gallon Forecast'!$R362/1000000</f>
        <v>0</v>
      </c>
      <c r="BE198" s="64">
        <f t="shared" si="94"/>
        <v>36.445958845373937</v>
      </c>
      <c r="BF198" s="76">
        <f t="shared" si="54"/>
        <v>245.56047598792833</v>
      </c>
      <c r="BG198" s="77">
        <f t="shared" si="59"/>
        <v>0.56473609699717087</v>
      </c>
      <c r="BH198" s="60"/>
      <c r="BI198" s="75">
        <f t="shared" si="75"/>
        <v>4432.8999999999996</v>
      </c>
      <c r="BJ198" s="75">
        <f t="shared" si="50"/>
        <v>686.79500000000007</v>
      </c>
      <c r="BK198" s="75">
        <f>'RD Feedstock Breakdown'!ES189</f>
        <v>1976.7202058148398</v>
      </c>
      <c r="BL198" s="78">
        <f t="shared" si="57"/>
        <v>8.0498304862058294</v>
      </c>
      <c r="BM198" s="78">
        <f t="shared" si="55"/>
        <v>9.4528119464192919</v>
      </c>
      <c r="BN198" s="60"/>
      <c r="BO198" s="60"/>
      <c r="BP198" s="60"/>
      <c r="BQ198" s="66">
        <f>'[1]D4 Gallon Forecast'!$R74/1000000</f>
        <v>127.81690480437457</v>
      </c>
      <c r="BR198" s="66">
        <f>'[1]D6 Gallon Forecast'!$R67/1000000</f>
        <v>0.51053894673617317</v>
      </c>
      <c r="BS198" s="66">
        <f t="shared" si="82"/>
        <v>128.32744375111074</v>
      </c>
      <c r="BT198" s="60"/>
      <c r="BU198" s="67">
        <f>'[2]US EIA'!$P335</f>
        <v>1000.4235136865046</v>
      </c>
      <c r="BV198" s="68">
        <f t="shared" si="66"/>
        <v>7.7958656733380582</v>
      </c>
      <c r="BW198" s="60"/>
      <c r="BX198" s="69">
        <f t="shared" si="67"/>
        <v>0.65677563522063276</v>
      </c>
      <c r="BY198" s="69">
        <f t="shared" si="68"/>
        <v>0.3432243647793673</v>
      </c>
      <c r="BZ198" s="60"/>
      <c r="CA198" s="60"/>
      <c r="CB198" s="84" t="e">
        <f>#REF!</f>
        <v>#REF!</v>
      </c>
      <c r="CC198" s="84" t="e">
        <f>#REF!</f>
        <v>#REF!</v>
      </c>
      <c r="CD198" s="84" t="e">
        <f t="shared" si="49"/>
        <v>#REF!</v>
      </c>
      <c r="CE198" s="60"/>
      <c r="CF198" s="84">
        <f>'RD Feedstock Breakdown'!GQ189*1000000</f>
        <v>293383790.61249411</v>
      </c>
      <c r="CG198" s="85" t="e">
        <f t="shared" si="46"/>
        <v>#REF!</v>
      </c>
      <c r="CH198" s="73">
        <f>'[2]US EIA'!$R335+AW198</f>
        <v>6831.9999999999991</v>
      </c>
    </row>
    <row r="199" spans="1:86" ht="13.5" x14ac:dyDescent="0.25">
      <c r="A199" s="59">
        <v>46204</v>
      </c>
      <c r="B199" s="74">
        <f t="shared" si="56"/>
        <v>690</v>
      </c>
      <c r="C199" s="74">
        <v>47</v>
      </c>
      <c r="D199" s="74">
        <f t="shared" si="43"/>
        <v>3</v>
      </c>
      <c r="E199" s="74">
        <f t="shared" si="60"/>
        <v>85</v>
      </c>
      <c r="F199" s="74">
        <f t="shared" si="91"/>
        <v>340</v>
      </c>
      <c r="G199" s="74">
        <f t="shared" si="85"/>
        <v>25</v>
      </c>
      <c r="H199" s="74">
        <f t="shared" si="81"/>
        <v>190</v>
      </c>
      <c r="I199" s="74">
        <f t="shared" si="93"/>
        <v>125</v>
      </c>
      <c r="J199" s="74">
        <f t="shared" si="51"/>
        <v>153.30000000000001</v>
      </c>
      <c r="K199" s="74">
        <f t="shared" si="61"/>
        <v>125</v>
      </c>
      <c r="L199" s="74">
        <v>125</v>
      </c>
      <c r="M199" s="74">
        <v>730</v>
      </c>
      <c r="N199" s="74">
        <f t="shared" si="102"/>
        <v>180</v>
      </c>
      <c r="O199" s="74">
        <v>375</v>
      </c>
      <c r="P199" s="74">
        <f t="shared" si="76"/>
        <v>50</v>
      </c>
      <c r="Q199" s="74">
        <f t="shared" si="77"/>
        <v>21</v>
      </c>
      <c r="R199" s="74">
        <v>100</v>
      </c>
      <c r="S199" s="74">
        <f t="shared" si="83"/>
        <v>60</v>
      </c>
      <c r="T199" s="74">
        <f t="shared" si="71"/>
        <v>36</v>
      </c>
      <c r="U199" s="74"/>
      <c r="V199" s="74">
        <f t="shared" si="99"/>
        <v>0</v>
      </c>
      <c r="W199" s="74">
        <f t="shared" si="78"/>
        <v>20</v>
      </c>
      <c r="X199" s="74">
        <f t="shared" si="52"/>
        <v>0</v>
      </c>
      <c r="Y199" s="74">
        <f t="shared" si="73"/>
        <v>3.5</v>
      </c>
      <c r="Z199" s="74">
        <f t="shared" si="104"/>
        <v>115</v>
      </c>
      <c r="AA199" s="74">
        <f t="shared" si="72"/>
        <v>306</v>
      </c>
      <c r="AB199" s="74">
        <f t="shared" si="87"/>
        <v>60</v>
      </c>
      <c r="AC199" s="74">
        <f t="shared" si="95"/>
        <v>1.6</v>
      </c>
      <c r="AD199" s="74">
        <f t="shared" si="80"/>
        <v>180</v>
      </c>
      <c r="AE199" s="74">
        <f t="shared" si="84"/>
        <v>1.1000000000000001</v>
      </c>
      <c r="AF199" s="74">
        <f t="shared" si="90"/>
        <v>275</v>
      </c>
      <c r="AG199" s="74">
        <f t="shared" si="97"/>
        <v>18</v>
      </c>
      <c r="AH199" s="74">
        <f t="shared" si="88"/>
        <v>3</v>
      </c>
      <c r="AI199" s="74">
        <f t="shared" si="79"/>
        <v>47</v>
      </c>
      <c r="AJ199" s="74">
        <f t="shared" si="105"/>
        <v>90</v>
      </c>
      <c r="AK199" s="74"/>
      <c r="AL199" s="74">
        <v>37.5</v>
      </c>
      <c r="AM199" s="74">
        <v>46</v>
      </c>
      <c r="AN199" s="74"/>
      <c r="AO199" s="74">
        <f t="shared" si="100"/>
        <v>19</v>
      </c>
      <c r="AP199" s="74"/>
      <c r="AQ199" s="74"/>
      <c r="AR199" s="74">
        <f t="shared" si="101"/>
        <v>120</v>
      </c>
      <c r="AS199" s="74">
        <f t="shared" si="103"/>
        <v>120</v>
      </c>
      <c r="AT199" s="74">
        <f t="shared" si="96"/>
        <v>55</v>
      </c>
      <c r="AU199" s="74"/>
      <c r="AV199" s="74"/>
      <c r="AW199" s="74">
        <f t="shared" si="74"/>
        <v>4978</v>
      </c>
      <c r="AX199" s="83">
        <f t="shared" si="98"/>
        <v>5129.6949999999997</v>
      </c>
      <c r="AY199" s="62">
        <f>'[1]D4 Gallon Forecast'!$R155/1000000</f>
        <v>0</v>
      </c>
      <c r="AZ199" s="62">
        <f>'[1]D4 Gallon Forecast'!$R187/1000000</f>
        <v>204.81653625140024</v>
      </c>
      <c r="BA199" s="62">
        <f t="shared" si="92"/>
        <v>204.81653625140024</v>
      </c>
      <c r="BB199" s="62">
        <f>'[1]D4 Gallon Forecast'!$R171/1000000</f>
        <v>0</v>
      </c>
      <c r="BC199" s="63">
        <f>'[1]D4 Gallon Forecast'!$R347/1000000</f>
        <v>39.976921761037993</v>
      </c>
      <c r="BD199" s="64">
        <f>'[1]D4 Gallon Forecast'!$R363/1000000</f>
        <v>0</v>
      </c>
      <c r="BE199" s="64">
        <f t="shared" si="94"/>
        <v>39.976921761037993</v>
      </c>
      <c r="BF199" s="76">
        <f t="shared" si="54"/>
        <v>244.79345801243824</v>
      </c>
      <c r="BG199" s="77">
        <f t="shared" si="59"/>
        <v>0.58060379921574257</v>
      </c>
      <c r="BH199" s="60"/>
      <c r="BI199" s="75">
        <f t="shared" si="75"/>
        <v>4442.8999999999996</v>
      </c>
      <c r="BJ199" s="75">
        <f t="shared" si="50"/>
        <v>686.79500000000007</v>
      </c>
      <c r="BK199" s="75">
        <f>'RD Feedstock Breakdown'!ES190</f>
        <v>1970.5458411322716</v>
      </c>
      <c r="BL199" s="78">
        <f t="shared" si="57"/>
        <v>8.0498304862058276</v>
      </c>
      <c r="BM199" s="78">
        <f t="shared" si="55"/>
        <v>9.621029030163573</v>
      </c>
      <c r="BN199" s="60"/>
      <c r="BO199" s="60"/>
      <c r="BP199" s="60"/>
      <c r="BQ199" s="66">
        <f>'[1]D4 Gallon Forecast'!$R75/1000000</f>
        <v>125.36159677078378</v>
      </c>
      <c r="BR199" s="66">
        <f>'[1]D6 Gallon Forecast'!$R68/1000000</f>
        <v>0.52333883410284698</v>
      </c>
      <c r="BS199" s="66">
        <f t="shared" si="82"/>
        <v>125.88493560488662</v>
      </c>
      <c r="BT199" s="60"/>
      <c r="BU199" s="67">
        <f>'[2]US EIA'!$P336</f>
        <v>1008.4448567060484</v>
      </c>
      <c r="BV199" s="68">
        <f t="shared" si="66"/>
        <v>8.0108461895015051</v>
      </c>
      <c r="BW199" s="60"/>
      <c r="BX199" s="69">
        <f t="shared" si="67"/>
        <v>0.66039311227067166</v>
      </c>
      <c r="BY199" s="69">
        <f t="shared" si="68"/>
        <v>0.33960688772932834</v>
      </c>
      <c r="BZ199" s="60"/>
      <c r="CA199" s="60"/>
      <c r="CB199" s="84" t="e">
        <f>#REF!</f>
        <v>#REF!</v>
      </c>
      <c r="CC199" s="84" t="e">
        <f>#REF!</f>
        <v>#REF!</v>
      </c>
      <c r="CD199" s="84" t="e">
        <f t="shared" si="49"/>
        <v>#REF!</v>
      </c>
      <c r="CE199" s="60"/>
      <c r="CF199" s="84">
        <f>'RD Feedstock Breakdown'!GQ190*1000000</f>
        <v>321807443.5366689</v>
      </c>
      <c r="CG199" s="85" t="e">
        <f t="shared" si="46"/>
        <v>#REF!</v>
      </c>
      <c r="CH199" s="73">
        <f>'[2]US EIA'!$R336+AW199</f>
        <v>6841.4444444444434</v>
      </c>
    </row>
    <row r="200" spans="1:86" ht="13.5" x14ac:dyDescent="0.25">
      <c r="A200" s="59">
        <v>46235</v>
      </c>
      <c r="B200" s="74">
        <f t="shared" si="56"/>
        <v>690</v>
      </c>
      <c r="C200" s="74">
        <v>47</v>
      </c>
      <c r="D200" s="74">
        <f t="shared" si="43"/>
        <v>3</v>
      </c>
      <c r="E200" s="74">
        <f t="shared" si="60"/>
        <v>85</v>
      </c>
      <c r="F200" s="74">
        <f t="shared" si="91"/>
        <v>340</v>
      </c>
      <c r="G200" s="74">
        <f t="shared" si="85"/>
        <v>25</v>
      </c>
      <c r="H200" s="74">
        <f t="shared" si="81"/>
        <v>190</v>
      </c>
      <c r="I200" s="74">
        <f t="shared" si="93"/>
        <v>125</v>
      </c>
      <c r="J200" s="74">
        <f t="shared" si="51"/>
        <v>153.30000000000001</v>
      </c>
      <c r="K200" s="74">
        <f t="shared" si="61"/>
        <v>125</v>
      </c>
      <c r="L200" s="74">
        <v>125</v>
      </c>
      <c r="M200" s="74">
        <v>730</v>
      </c>
      <c r="N200" s="74">
        <f t="shared" si="102"/>
        <v>180</v>
      </c>
      <c r="O200" s="74">
        <v>375</v>
      </c>
      <c r="P200" s="74">
        <f t="shared" si="76"/>
        <v>50</v>
      </c>
      <c r="Q200" s="74">
        <f t="shared" si="77"/>
        <v>21</v>
      </c>
      <c r="R200" s="74">
        <v>100</v>
      </c>
      <c r="S200" s="74">
        <f t="shared" si="83"/>
        <v>60</v>
      </c>
      <c r="T200" s="74">
        <f t="shared" si="71"/>
        <v>36</v>
      </c>
      <c r="U200" s="74"/>
      <c r="V200" s="74">
        <f t="shared" si="99"/>
        <v>0</v>
      </c>
      <c r="W200" s="74">
        <f t="shared" si="78"/>
        <v>20</v>
      </c>
      <c r="X200" s="74">
        <f t="shared" si="52"/>
        <v>0</v>
      </c>
      <c r="Y200" s="74">
        <f t="shared" si="73"/>
        <v>3.5</v>
      </c>
      <c r="Z200" s="74">
        <f t="shared" si="104"/>
        <v>115</v>
      </c>
      <c r="AA200" s="74">
        <f t="shared" si="72"/>
        <v>306</v>
      </c>
      <c r="AB200" s="74">
        <f t="shared" si="87"/>
        <v>60</v>
      </c>
      <c r="AC200" s="74">
        <f t="shared" si="95"/>
        <v>1.6</v>
      </c>
      <c r="AD200" s="74">
        <f t="shared" si="80"/>
        <v>180</v>
      </c>
      <c r="AE200" s="74">
        <f t="shared" si="84"/>
        <v>1.1000000000000001</v>
      </c>
      <c r="AF200" s="74">
        <f t="shared" si="90"/>
        <v>275</v>
      </c>
      <c r="AG200" s="74">
        <f t="shared" si="97"/>
        <v>18</v>
      </c>
      <c r="AH200" s="74">
        <f t="shared" si="88"/>
        <v>3</v>
      </c>
      <c r="AI200" s="74">
        <f t="shared" si="79"/>
        <v>47</v>
      </c>
      <c r="AJ200" s="74">
        <f t="shared" si="105"/>
        <v>90</v>
      </c>
      <c r="AK200" s="74"/>
      <c r="AL200" s="74">
        <f>90*$AL$12</f>
        <v>45</v>
      </c>
      <c r="AM200" s="74">
        <v>46</v>
      </c>
      <c r="AN200" s="74"/>
      <c r="AO200" s="74">
        <f t="shared" si="100"/>
        <v>19</v>
      </c>
      <c r="AP200" s="74"/>
      <c r="AQ200" s="74"/>
      <c r="AR200" s="74">
        <f t="shared" si="101"/>
        <v>120</v>
      </c>
      <c r="AS200" s="74">
        <f t="shared" si="103"/>
        <v>120</v>
      </c>
      <c r="AT200" s="74">
        <f t="shared" si="96"/>
        <v>55</v>
      </c>
      <c r="AU200" s="74"/>
      <c r="AV200" s="74"/>
      <c r="AW200" s="74">
        <f t="shared" si="74"/>
        <v>4985.5</v>
      </c>
      <c r="AX200" s="83">
        <f t="shared" si="98"/>
        <v>5137.1949999999997</v>
      </c>
      <c r="AY200" s="62">
        <f>'[1]D4 Gallon Forecast'!$R156/1000000</f>
        <v>0</v>
      </c>
      <c r="AZ200" s="62">
        <f>'[1]D4 Gallon Forecast'!$R188/1000000</f>
        <v>207.74757028723039</v>
      </c>
      <c r="BA200" s="62">
        <f t="shared" si="92"/>
        <v>207.74757028723039</v>
      </c>
      <c r="BB200" s="62">
        <f>'[1]D4 Gallon Forecast'!$R172/1000000</f>
        <v>0</v>
      </c>
      <c r="BC200" s="63">
        <f>'[1]D4 Gallon Forecast'!$R348/1000000</f>
        <v>42.945445735034241</v>
      </c>
      <c r="BD200" s="64">
        <f>'[1]D4 Gallon Forecast'!$R364/1000000</f>
        <v>0</v>
      </c>
      <c r="BE200" s="64">
        <f t="shared" si="94"/>
        <v>42.945445735034241</v>
      </c>
      <c r="BF200" s="76">
        <f t="shared" si="54"/>
        <v>250.69301602226463</v>
      </c>
      <c r="BG200" s="77">
        <f t="shared" si="59"/>
        <v>0.57457583211753716</v>
      </c>
      <c r="BH200" s="60"/>
      <c r="BI200" s="75">
        <f t="shared" si="75"/>
        <v>4450.3999999999996</v>
      </c>
      <c r="BJ200" s="75">
        <f t="shared" si="50"/>
        <v>686.79500000000007</v>
      </c>
      <c r="BK200" s="75">
        <f>'RD Feedstock Breakdown'!ES191</f>
        <v>2018.0362830549118</v>
      </c>
      <c r="BL200" s="78">
        <f t="shared" si="57"/>
        <v>8.0498304862058276</v>
      </c>
      <c r="BM200" s="78">
        <f t="shared" si="55"/>
        <v>9.7138863297644757</v>
      </c>
      <c r="BN200" s="60"/>
      <c r="BO200" s="60"/>
      <c r="BP200" s="60"/>
      <c r="BQ200" s="66">
        <f>'[1]D4 Gallon Forecast'!$R76/1000000</f>
        <v>130.91608105035863</v>
      </c>
      <c r="BR200" s="66">
        <f>'[1]D6 Gallon Forecast'!$R69/1000000</f>
        <v>0.5436394525867404</v>
      </c>
      <c r="BS200" s="66">
        <f t="shared" si="82"/>
        <v>131.45972050294537</v>
      </c>
      <c r="BT200" s="60"/>
      <c r="BU200" s="67">
        <f>'[2]US EIA'!$P337</f>
        <v>992.05764055859333</v>
      </c>
      <c r="BV200" s="68">
        <f t="shared" si="66"/>
        <v>7.5464761127068281</v>
      </c>
      <c r="BW200" s="60"/>
      <c r="BX200" s="69">
        <f t="shared" si="67"/>
        <v>0.65600214799384748</v>
      </c>
      <c r="BY200" s="69">
        <f t="shared" si="68"/>
        <v>0.34399785200615246</v>
      </c>
      <c r="BZ200" s="60"/>
      <c r="CA200" s="60"/>
      <c r="CB200" s="84" t="e">
        <f>#REF!</f>
        <v>#REF!</v>
      </c>
      <c r="CC200" s="84" t="e">
        <f>#REF!</f>
        <v>#REF!</v>
      </c>
      <c r="CD200" s="84" t="e">
        <f t="shared" si="49"/>
        <v>#REF!</v>
      </c>
      <c r="CE200" s="60"/>
      <c r="CF200" s="84">
        <f>'RD Feedstock Breakdown'!GQ191*1000000</f>
        <v>345703558.32157665</v>
      </c>
      <c r="CG200" s="85" t="e">
        <f t="shared" si="46"/>
        <v>#REF!</v>
      </c>
      <c r="CH200" s="73">
        <f>'[2]US EIA'!$R337+AW200</f>
        <v>6848.3888888888878</v>
      </c>
    </row>
    <row r="201" spans="1:86" ht="13.5" x14ac:dyDescent="0.25">
      <c r="A201" s="59">
        <v>46266</v>
      </c>
      <c r="B201" s="74">
        <f t="shared" si="56"/>
        <v>690</v>
      </c>
      <c r="C201" s="74">
        <v>47</v>
      </c>
      <c r="D201" s="74">
        <f t="shared" si="43"/>
        <v>3</v>
      </c>
      <c r="E201" s="74">
        <f t="shared" si="60"/>
        <v>85</v>
      </c>
      <c r="F201" s="74">
        <f t="shared" si="91"/>
        <v>340</v>
      </c>
      <c r="G201" s="74">
        <f>750*$G$12</f>
        <v>37.5</v>
      </c>
      <c r="H201" s="74">
        <f t="shared" si="81"/>
        <v>190</v>
      </c>
      <c r="I201" s="74">
        <f t="shared" si="93"/>
        <v>125</v>
      </c>
      <c r="J201" s="74">
        <f t="shared" si="51"/>
        <v>153.30000000000001</v>
      </c>
      <c r="K201" s="74">
        <f t="shared" si="61"/>
        <v>125</v>
      </c>
      <c r="L201" s="74">
        <v>125</v>
      </c>
      <c r="M201" s="74">
        <v>730</v>
      </c>
      <c r="N201" s="74">
        <f t="shared" si="102"/>
        <v>180</v>
      </c>
      <c r="O201" s="74">
        <v>375</v>
      </c>
      <c r="P201" s="74">
        <f t="shared" si="76"/>
        <v>50</v>
      </c>
      <c r="Q201" s="74">
        <f t="shared" si="77"/>
        <v>21</v>
      </c>
      <c r="R201" s="74">
        <v>100</v>
      </c>
      <c r="S201" s="74">
        <f t="shared" si="83"/>
        <v>60</v>
      </c>
      <c r="T201" s="74">
        <f t="shared" si="71"/>
        <v>36</v>
      </c>
      <c r="U201" s="74"/>
      <c r="V201" s="74">
        <f t="shared" si="99"/>
        <v>0</v>
      </c>
      <c r="W201" s="74">
        <f t="shared" si="78"/>
        <v>20</v>
      </c>
      <c r="X201" s="74">
        <f t="shared" si="52"/>
        <v>0</v>
      </c>
      <c r="Y201" s="74">
        <f t="shared" si="73"/>
        <v>3.5</v>
      </c>
      <c r="Z201" s="74">
        <f t="shared" si="104"/>
        <v>115</v>
      </c>
      <c r="AA201" s="74">
        <f t="shared" si="72"/>
        <v>306</v>
      </c>
      <c r="AB201" s="74">
        <f t="shared" si="87"/>
        <v>60</v>
      </c>
      <c r="AC201" s="74">
        <f t="shared" si="95"/>
        <v>1.6</v>
      </c>
      <c r="AD201" s="74">
        <f t="shared" si="80"/>
        <v>180</v>
      </c>
      <c r="AE201" s="74">
        <f t="shared" si="84"/>
        <v>1.1000000000000001</v>
      </c>
      <c r="AF201" s="74">
        <f t="shared" si="90"/>
        <v>275</v>
      </c>
      <c r="AG201" s="74">
        <f t="shared" si="97"/>
        <v>18</v>
      </c>
      <c r="AH201" s="74">
        <f t="shared" si="88"/>
        <v>3</v>
      </c>
      <c r="AI201" s="74">
        <f t="shared" si="79"/>
        <v>47</v>
      </c>
      <c r="AJ201" s="74">
        <f t="shared" si="105"/>
        <v>90</v>
      </c>
      <c r="AK201" s="74"/>
      <c r="AL201" s="74">
        <f t="shared" ref="AL201:AL264" si="106">90*$AL$12</f>
        <v>45</v>
      </c>
      <c r="AM201" s="74">
        <v>46</v>
      </c>
      <c r="AN201" s="74"/>
      <c r="AO201" s="74">
        <f t="shared" si="100"/>
        <v>19</v>
      </c>
      <c r="AP201" s="74"/>
      <c r="AQ201" s="74"/>
      <c r="AR201" s="74">
        <f t="shared" si="101"/>
        <v>120</v>
      </c>
      <c r="AS201" s="74">
        <f t="shared" si="103"/>
        <v>120</v>
      </c>
      <c r="AT201" s="74">
        <f t="shared" si="96"/>
        <v>55</v>
      </c>
      <c r="AU201" s="74"/>
      <c r="AV201" s="74"/>
      <c r="AW201" s="74">
        <f t="shared" si="74"/>
        <v>4998</v>
      </c>
      <c r="AX201" s="83">
        <f t="shared" si="98"/>
        <v>5149.6949999999997</v>
      </c>
      <c r="AY201" s="62">
        <f>'[1]D4 Gallon Forecast'!$R157/1000000</f>
        <v>0</v>
      </c>
      <c r="AZ201" s="62">
        <f>'[1]D4 Gallon Forecast'!$R189/1000000</f>
        <v>211.53393320513018</v>
      </c>
      <c r="BA201" s="62">
        <f t="shared" si="92"/>
        <v>211.53393320513018</v>
      </c>
      <c r="BB201" s="62">
        <f>'[1]D4 Gallon Forecast'!$R173/1000000</f>
        <v>0</v>
      </c>
      <c r="BC201" s="63">
        <f>'[1]D4 Gallon Forecast'!$R349/1000000</f>
        <v>51.996708025440149</v>
      </c>
      <c r="BD201" s="64">
        <f>'[1]D4 Gallon Forecast'!$R365/1000000</f>
        <v>0</v>
      </c>
      <c r="BE201" s="64">
        <f t="shared" si="94"/>
        <v>51.996708025440149</v>
      </c>
      <c r="BF201" s="76">
        <f t="shared" si="54"/>
        <v>263.53064123057032</v>
      </c>
      <c r="BG201" s="77">
        <f t="shared" si="59"/>
        <v>0.60253292200398201</v>
      </c>
      <c r="BH201" s="60"/>
      <c r="BI201" s="75">
        <f t="shared" si="75"/>
        <v>4462.8999999999996</v>
      </c>
      <c r="BJ201" s="75">
        <f t="shared" si="50"/>
        <v>686.79500000000007</v>
      </c>
      <c r="BK201" s="75">
        <f>'RD Feedstock Breakdown'!ES192</f>
        <v>2121.0787401607622</v>
      </c>
      <c r="BL201" s="78">
        <f t="shared" si="57"/>
        <v>8.0486987405194039</v>
      </c>
      <c r="BM201" s="78">
        <f t="shared" si="55"/>
        <v>10.027132328239245</v>
      </c>
      <c r="BN201" s="60"/>
      <c r="BO201" s="60"/>
      <c r="BP201" s="60"/>
      <c r="BQ201" s="66">
        <f>'[1]D4 Gallon Forecast'!$R77/1000000</f>
        <v>122.57254230596884</v>
      </c>
      <c r="BR201" s="66">
        <f>'[1]D6 Gallon Forecast'!$R70/1000000</f>
        <v>0.54274884756167585</v>
      </c>
      <c r="BS201" s="66">
        <f t="shared" si="82"/>
        <v>123.11529115353052</v>
      </c>
      <c r="BT201" s="60"/>
      <c r="BU201" s="67">
        <f>'[2]US EIA'!$P338</f>
        <v>947.27876287864854</v>
      </c>
      <c r="BV201" s="68">
        <f t="shared" si="66"/>
        <v>7.6942413408042682</v>
      </c>
      <c r="BW201" s="60"/>
      <c r="BX201" s="69">
        <f t="shared" si="67"/>
        <v>0.68158131033633729</v>
      </c>
      <c r="BY201" s="69">
        <f t="shared" si="68"/>
        <v>0.31841868966366271</v>
      </c>
      <c r="BZ201" s="60"/>
      <c r="CA201" s="60"/>
      <c r="CB201" s="84" t="e">
        <f>#REF!</f>
        <v>#REF!</v>
      </c>
      <c r="CC201" s="84" t="e">
        <f>#REF!</f>
        <v>#REF!</v>
      </c>
      <c r="CD201" s="84" t="e">
        <f t="shared" si="49"/>
        <v>#REF!</v>
      </c>
      <c r="CE201" s="60"/>
      <c r="CF201" s="84">
        <f>'RD Feedstock Breakdown'!GQ192*1000000</f>
        <v>418505838.39551526</v>
      </c>
      <c r="CG201" s="85" t="e">
        <f t="shared" si="46"/>
        <v>#REF!</v>
      </c>
      <c r="CH201" s="73">
        <f>'[2]US EIA'!$R338+AW201</f>
        <v>6860.3333333333321</v>
      </c>
    </row>
    <row r="202" spans="1:86" ht="13.5" x14ac:dyDescent="0.25">
      <c r="A202" s="59">
        <v>46296</v>
      </c>
      <c r="B202" s="74">
        <f t="shared" si="56"/>
        <v>690</v>
      </c>
      <c r="C202" s="74">
        <v>47</v>
      </c>
      <c r="D202" s="74">
        <f t="shared" si="43"/>
        <v>3</v>
      </c>
      <c r="E202" s="74">
        <f t="shared" si="60"/>
        <v>85</v>
      </c>
      <c r="F202" s="74">
        <f t="shared" si="91"/>
        <v>340</v>
      </c>
      <c r="G202" s="74">
        <f t="shared" ref="G202:G265" si="107">750*$G$12</f>
        <v>37.5</v>
      </c>
      <c r="H202" s="74">
        <f t="shared" si="81"/>
        <v>190</v>
      </c>
      <c r="I202" s="74">
        <f t="shared" si="93"/>
        <v>125</v>
      </c>
      <c r="J202" s="74">
        <f t="shared" si="51"/>
        <v>153.30000000000001</v>
      </c>
      <c r="K202" s="74">
        <f t="shared" si="61"/>
        <v>125</v>
      </c>
      <c r="L202" s="74">
        <v>125</v>
      </c>
      <c r="M202" s="74">
        <v>730</v>
      </c>
      <c r="N202" s="74">
        <f t="shared" si="102"/>
        <v>180</v>
      </c>
      <c r="O202" s="74">
        <v>375</v>
      </c>
      <c r="P202" s="74">
        <f t="shared" si="76"/>
        <v>50</v>
      </c>
      <c r="Q202" s="74">
        <f t="shared" si="77"/>
        <v>21</v>
      </c>
      <c r="R202" s="74">
        <v>100</v>
      </c>
      <c r="S202" s="74">
        <f t="shared" si="83"/>
        <v>60</v>
      </c>
      <c r="T202" s="74">
        <f t="shared" si="71"/>
        <v>36</v>
      </c>
      <c r="U202" s="74"/>
      <c r="V202" s="74">
        <f t="shared" si="99"/>
        <v>0</v>
      </c>
      <c r="W202" s="74">
        <f t="shared" si="78"/>
        <v>20</v>
      </c>
      <c r="X202" s="74">
        <f t="shared" si="52"/>
        <v>0</v>
      </c>
      <c r="Y202" s="74">
        <f t="shared" si="73"/>
        <v>3.5</v>
      </c>
      <c r="Z202" s="74">
        <f t="shared" si="104"/>
        <v>115</v>
      </c>
      <c r="AA202" s="74">
        <f t="shared" si="72"/>
        <v>306</v>
      </c>
      <c r="AB202" s="74">
        <f t="shared" si="87"/>
        <v>60</v>
      </c>
      <c r="AC202" s="74">
        <f t="shared" si="95"/>
        <v>1.6</v>
      </c>
      <c r="AD202" s="74">
        <f t="shared" si="80"/>
        <v>180</v>
      </c>
      <c r="AE202" s="74">
        <f t="shared" si="84"/>
        <v>1.1000000000000001</v>
      </c>
      <c r="AF202" s="74">
        <f t="shared" si="90"/>
        <v>275</v>
      </c>
      <c r="AG202" s="74">
        <f t="shared" si="97"/>
        <v>18</v>
      </c>
      <c r="AH202" s="74">
        <f t="shared" si="88"/>
        <v>3</v>
      </c>
      <c r="AI202" s="74">
        <f t="shared" si="79"/>
        <v>47</v>
      </c>
      <c r="AJ202" s="74">
        <f t="shared" si="105"/>
        <v>90</v>
      </c>
      <c r="AK202" s="74"/>
      <c r="AL202" s="74">
        <f t="shared" si="106"/>
        <v>45</v>
      </c>
      <c r="AM202" s="74">
        <v>46</v>
      </c>
      <c r="AN202" s="74"/>
      <c r="AO202" s="74">
        <f t="shared" si="100"/>
        <v>19</v>
      </c>
      <c r="AP202" s="74"/>
      <c r="AQ202" s="74"/>
      <c r="AR202" s="74">
        <f t="shared" si="101"/>
        <v>120</v>
      </c>
      <c r="AS202" s="74">
        <f t="shared" si="103"/>
        <v>120</v>
      </c>
      <c r="AT202" s="74">
        <f t="shared" si="96"/>
        <v>55</v>
      </c>
      <c r="AU202" s="74"/>
      <c r="AV202" s="74"/>
      <c r="AW202" s="74">
        <f t="shared" si="74"/>
        <v>4998</v>
      </c>
      <c r="AX202" s="83">
        <f t="shared" si="98"/>
        <v>5149.6949999999997</v>
      </c>
      <c r="AY202" s="62">
        <f>'[1]D4 Gallon Forecast'!$R158/1000000</f>
        <v>0</v>
      </c>
      <c r="AZ202" s="62">
        <f>'[1]D4 Gallon Forecast'!$R190/1000000</f>
        <v>232.44775615431749</v>
      </c>
      <c r="BA202" s="62">
        <f t="shared" si="92"/>
        <v>232.44775615431749</v>
      </c>
      <c r="BB202" s="62">
        <f>'[1]D4 Gallon Forecast'!$R174/1000000</f>
        <v>0</v>
      </c>
      <c r="BC202" s="63">
        <f>'[1]D4 Gallon Forecast'!$R350/1000000</f>
        <v>51.799170449949763</v>
      </c>
      <c r="BD202" s="64">
        <f>'[1]D4 Gallon Forecast'!$R366/1000000</f>
        <v>0</v>
      </c>
      <c r="BE202" s="64">
        <f t="shared" si="94"/>
        <v>51.799170449949763</v>
      </c>
      <c r="BF202" s="76">
        <f t="shared" si="54"/>
        <v>284.24692660426723</v>
      </c>
      <c r="BG202" s="77">
        <f t="shared" si="59"/>
        <v>0.67156163753748233</v>
      </c>
      <c r="BH202" s="60"/>
      <c r="BI202" s="75">
        <f t="shared" si="75"/>
        <v>4462.8999999999996</v>
      </c>
      <c r="BJ202" s="75">
        <f t="shared" si="50"/>
        <v>686.79500000000007</v>
      </c>
      <c r="BK202" s="75">
        <f>'RD Feedstock Breakdown'!ES193</f>
        <v>2263.75018336533</v>
      </c>
      <c r="BL202" s="78">
        <f t="shared" si="57"/>
        <v>7.964026948009737</v>
      </c>
      <c r="BM202" s="78">
        <f t="shared" si="55"/>
        <v>9.7387482710844964</v>
      </c>
      <c r="BN202" s="60"/>
      <c r="BO202" s="60"/>
      <c r="BP202" s="60"/>
      <c r="BQ202" s="66">
        <f>'[1]D4 Gallon Forecast'!$R78/1000000</f>
        <v>124.38287226247027</v>
      </c>
      <c r="BR202" s="66">
        <f>'[1]D6 Gallon Forecast'!$R71/1000000</f>
        <v>0.54223458554143367</v>
      </c>
      <c r="BS202" s="66">
        <f t="shared" si="82"/>
        <v>124.92510684801171</v>
      </c>
      <c r="BT202" s="60"/>
      <c r="BU202" s="67">
        <f>'[2]US EIA'!$P339</f>
        <v>979.35363314938854</v>
      </c>
      <c r="BV202" s="68">
        <f t="shared" si="66"/>
        <v>7.8395260797407582</v>
      </c>
      <c r="BW202" s="60"/>
      <c r="BX202" s="69">
        <f t="shared" si="67"/>
        <v>0.6946880611707752</v>
      </c>
      <c r="BY202" s="69">
        <f t="shared" si="68"/>
        <v>0.3053119388292248</v>
      </c>
      <c r="BZ202" s="60"/>
      <c r="CA202" s="60"/>
      <c r="CB202" s="84" t="e">
        <f>#REF!</f>
        <v>#REF!</v>
      </c>
      <c r="CC202" s="84" t="e">
        <f>#REF!</f>
        <v>#REF!</v>
      </c>
      <c r="CD202" s="84" t="e">
        <f t="shared" si="49"/>
        <v>#REF!</v>
      </c>
      <c r="CE202" s="60"/>
      <c r="CF202" s="84">
        <f>'RD Feedstock Breakdown'!GQ193*1000000</f>
        <v>412529989.34794962</v>
      </c>
      <c r="CG202" s="85" t="e">
        <f t="shared" si="46"/>
        <v>#REF!</v>
      </c>
      <c r="CH202" s="73">
        <f>'[2]US EIA'!$R339+AW202</f>
        <v>6859.7777777777765</v>
      </c>
    </row>
    <row r="203" spans="1:86" ht="13.5" x14ac:dyDescent="0.25">
      <c r="A203" s="59">
        <v>46327</v>
      </c>
      <c r="B203" s="74">
        <f t="shared" si="56"/>
        <v>690</v>
      </c>
      <c r="C203" s="74">
        <v>47</v>
      </c>
      <c r="D203" s="74">
        <f t="shared" si="43"/>
        <v>3</v>
      </c>
      <c r="E203" s="74">
        <f t="shared" si="60"/>
        <v>85</v>
      </c>
      <c r="F203" s="74">
        <f t="shared" si="91"/>
        <v>340</v>
      </c>
      <c r="G203" s="74">
        <f t="shared" si="107"/>
        <v>37.5</v>
      </c>
      <c r="H203" s="74">
        <f t="shared" si="81"/>
        <v>190</v>
      </c>
      <c r="I203" s="74">
        <f t="shared" si="93"/>
        <v>125</v>
      </c>
      <c r="J203" s="74">
        <f t="shared" si="51"/>
        <v>153.30000000000001</v>
      </c>
      <c r="K203" s="74">
        <f t="shared" si="61"/>
        <v>125</v>
      </c>
      <c r="L203" s="74">
        <v>125</v>
      </c>
      <c r="M203" s="74">
        <v>730</v>
      </c>
      <c r="N203" s="74">
        <f t="shared" si="102"/>
        <v>180</v>
      </c>
      <c r="O203" s="74">
        <v>375</v>
      </c>
      <c r="P203" s="74">
        <f t="shared" si="76"/>
        <v>50</v>
      </c>
      <c r="Q203" s="74">
        <f t="shared" si="77"/>
        <v>21</v>
      </c>
      <c r="R203" s="74">
        <v>100</v>
      </c>
      <c r="S203" s="74">
        <f t="shared" si="83"/>
        <v>60</v>
      </c>
      <c r="T203" s="74">
        <f t="shared" si="71"/>
        <v>36</v>
      </c>
      <c r="U203" s="74"/>
      <c r="V203" s="74">
        <f t="shared" si="99"/>
        <v>0</v>
      </c>
      <c r="W203" s="74">
        <f t="shared" si="78"/>
        <v>20</v>
      </c>
      <c r="X203" s="74">
        <f t="shared" si="52"/>
        <v>0</v>
      </c>
      <c r="Y203" s="74">
        <f t="shared" si="73"/>
        <v>3.5</v>
      </c>
      <c r="Z203" s="74">
        <f t="shared" si="104"/>
        <v>115</v>
      </c>
      <c r="AA203" s="74">
        <f t="shared" si="72"/>
        <v>306</v>
      </c>
      <c r="AB203" s="74">
        <f t="shared" si="87"/>
        <v>60</v>
      </c>
      <c r="AC203" s="74">
        <f t="shared" si="95"/>
        <v>1.6</v>
      </c>
      <c r="AD203" s="74">
        <f t="shared" si="80"/>
        <v>180</v>
      </c>
      <c r="AE203" s="74">
        <f t="shared" si="84"/>
        <v>1.1000000000000001</v>
      </c>
      <c r="AF203" s="74">
        <f t="shared" si="90"/>
        <v>275</v>
      </c>
      <c r="AG203" s="74">
        <f t="shared" si="97"/>
        <v>18</v>
      </c>
      <c r="AH203" s="74">
        <f t="shared" si="88"/>
        <v>3</v>
      </c>
      <c r="AI203" s="74">
        <f t="shared" si="79"/>
        <v>47</v>
      </c>
      <c r="AJ203" s="74">
        <f t="shared" si="105"/>
        <v>90</v>
      </c>
      <c r="AK203" s="74"/>
      <c r="AL203" s="74">
        <f t="shared" si="106"/>
        <v>45</v>
      </c>
      <c r="AM203" s="74">
        <v>46</v>
      </c>
      <c r="AN203" s="74"/>
      <c r="AO203" s="74">
        <f t="shared" si="100"/>
        <v>19</v>
      </c>
      <c r="AP203" s="74"/>
      <c r="AQ203" s="74"/>
      <c r="AR203" s="74">
        <f t="shared" si="101"/>
        <v>120</v>
      </c>
      <c r="AS203" s="74">
        <f t="shared" si="103"/>
        <v>120</v>
      </c>
      <c r="AT203" s="74">
        <f t="shared" si="96"/>
        <v>55</v>
      </c>
      <c r="AU203" s="74"/>
      <c r="AV203" s="74"/>
      <c r="AW203" s="74">
        <f t="shared" si="74"/>
        <v>4998</v>
      </c>
      <c r="AX203" s="83">
        <f t="shared" si="98"/>
        <v>5149.6949999999997</v>
      </c>
      <c r="AY203" s="62">
        <f>'[1]D4 Gallon Forecast'!$R159/1000000</f>
        <v>0</v>
      </c>
      <c r="AZ203" s="62">
        <f>'[1]D4 Gallon Forecast'!$R191/1000000</f>
        <v>282.41887614366988</v>
      </c>
      <c r="BA203" s="62">
        <f t="shared" si="92"/>
        <v>282.41887614366988</v>
      </c>
      <c r="BB203" s="62">
        <f>'[1]D4 Gallon Forecast'!$R175/1000000</f>
        <v>0</v>
      </c>
      <c r="BC203" s="63">
        <f>'[1]D4 Gallon Forecast'!$R351/1000000</f>
        <v>43.786179408729204</v>
      </c>
      <c r="BD203" s="64">
        <f>'[1]D4 Gallon Forecast'!$R367/1000000</f>
        <v>0</v>
      </c>
      <c r="BE203" s="64">
        <f t="shared" si="94"/>
        <v>43.786179408729204</v>
      </c>
      <c r="BF203" s="76">
        <f t="shared" si="54"/>
        <v>326.20505555239907</v>
      </c>
      <c r="BG203" s="77">
        <f t="shared" si="59"/>
        <v>0.74583086193188364</v>
      </c>
      <c r="BH203" s="60"/>
      <c r="BI203" s="75">
        <f t="shared" si="75"/>
        <v>4462.8999999999996</v>
      </c>
      <c r="BJ203" s="75">
        <f t="shared" si="50"/>
        <v>686.79500000000007</v>
      </c>
      <c r="BK203" s="75">
        <f>'RD Feedstock Breakdown'!ES194</f>
        <v>2598.5919779237151</v>
      </c>
      <c r="BL203" s="78">
        <f t="shared" si="57"/>
        <v>7.9661303026810302</v>
      </c>
      <c r="BM203" s="78">
        <f t="shared" si="55"/>
        <v>9.2011979277255538</v>
      </c>
      <c r="BN203" s="60"/>
      <c r="BO203" s="60"/>
      <c r="BP203" s="60"/>
      <c r="BQ203" s="66">
        <f>'[1]D4 Gallon Forecast'!$R79/1000000</f>
        <v>120.14581083906877</v>
      </c>
      <c r="BR203" s="66">
        <f>'[1]D6 Gallon Forecast'!$R72/1000000</f>
        <v>0.55982724261234973</v>
      </c>
      <c r="BS203" s="66">
        <f t="shared" si="82"/>
        <v>120.70563808168112</v>
      </c>
      <c r="BT203" s="60"/>
      <c r="BU203" s="67">
        <f>'[2]US EIA'!$P340</f>
        <v>927.34441452754879</v>
      </c>
      <c r="BV203" s="68">
        <f t="shared" si="66"/>
        <v>7.6826934455208944</v>
      </c>
      <c r="BW203" s="60"/>
      <c r="BX203" s="69">
        <f t="shared" si="67"/>
        <v>0.72991105426420611</v>
      </c>
      <c r="BY203" s="69">
        <f t="shared" si="68"/>
        <v>0.27008894573579395</v>
      </c>
      <c r="BZ203" s="60"/>
      <c r="CA203" s="60"/>
      <c r="CB203" s="84" t="e">
        <f>#REF!</f>
        <v>#REF!</v>
      </c>
      <c r="CC203" s="84" t="e">
        <f>#REF!</f>
        <v>#REF!</v>
      </c>
      <c r="CD203" s="84" t="e">
        <f t="shared" si="49"/>
        <v>#REF!</v>
      </c>
      <c r="CE203" s="60"/>
      <c r="CF203" s="84">
        <f>'RD Feedstock Breakdown'!GQ194*1000000</f>
        <v>348806410.62650573</v>
      </c>
      <c r="CG203" s="85" t="e">
        <f t="shared" si="46"/>
        <v>#REF!</v>
      </c>
      <c r="CH203" s="73">
        <f>'[2]US EIA'!$R340+AW203</f>
        <v>6859.2222222222208</v>
      </c>
    </row>
    <row r="204" spans="1:86" ht="13.5" x14ac:dyDescent="0.25">
      <c r="A204" s="59">
        <v>46357</v>
      </c>
      <c r="B204" s="74">
        <f t="shared" si="56"/>
        <v>690</v>
      </c>
      <c r="C204" s="74">
        <v>47</v>
      </c>
      <c r="D204" s="74">
        <f t="shared" ref="D204:D267" si="108">3*$D$12</f>
        <v>3</v>
      </c>
      <c r="E204" s="74">
        <f t="shared" si="60"/>
        <v>85</v>
      </c>
      <c r="F204" s="74">
        <f t="shared" si="91"/>
        <v>340</v>
      </c>
      <c r="G204" s="74">
        <f t="shared" si="107"/>
        <v>37.5</v>
      </c>
      <c r="H204" s="74">
        <f t="shared" si="81"/>
        <v>190</v>
      </c>
      <c r="I204" s="74">
        <f t="shared" si="93"/>
        <v>125</v>
      </c>
      <c r="J204" s="74">
        <f t="shared" si="51"/>
        <v>153.30000000000001</v>
      </c>
      <c r="K204" s="74">
        <f t="shared" si="61"/>
        <v>125</v>
      </c>
      <c r="L204" s="74">
        <v>125</v>
      </c>
      <c r="M204" s="74">
        <v>730</v>
      </c>
      <c r="N204" s="74">
        <f t="shared" si="102"/>
        <v>180</v>
      </c>
      <c r="O204" s="74">
        <v>375</v>
      </c>
      <c r="P204" s="74">
        <f t="shared" si="76"/>
        <v>50</v>
      </c>
      <c r="Q204" s="74">
        <f t="shared" si="77"/>
        <v>21</v>
      </c>
      <c r="R204" s="74">
        <v>100</v>
      </c>
      <c r="S204" s="74">
        <f t="shared" si="83"/>
        <v>60</v>
      </c>
      <c r="T204" s="74">
        <f t="shared" si="71"/>
        <v>36</v>
      </c>
      <c r="U204" s="74"/>
      <c r="V204" s="74">
        <f t="shared" si="99"/>
        <v>0</v>
      </c>
      <c r="W204" s="74">
        <f t="shared" si="78"/>
        <v>20</v>
      </c>
      <c r="X204" s="74">
        <f t="shared" si="52"/>
        <v>0</v>
      </c>
      <c r="Y204" s="74">
        <f t="shared" si="73"/>
        <v>3.5</v>
      </c>
      <c r="Z204" s="74">
        <f t="shared" si="104"/>
        <v>115</v>
      </c>
      <c r="AA204" s="74">
        <f t="shared" si="72"/>
        <v>306</v>
      </c>
      <c r="AB204" s="74">
        <f t="shared" si="87"/>
        <v>60</v>
      </c>
      <c r="AC204" s="74">
        <f t="shared" si="95"/>
        <v>1.6</v>
      </c>
      <c r="AD204" s="74">
        <f t="shared" si="80"/>
        <v>180</v>
      </c>
      <c r="AE204" s="74">
        <f t="shared" si="84"/>
        <v>1.1000000000000001</v>
      </c>
      <c r="AF204" s="74">
        <f t="shared" si="90"/>
        <v>275</v>
      </c>
      <c r="AG204" s="74">
        <f t="shared" si="97"/>
        <v>18</v>
      </c>
      <c r="AH204" s="74">
        <f t="shared" si="88"/>
        <v>3</v>
      </c>
      <c r="AI204" s="74">
        <f t="shared" si="79"/>
        <v>47</v>
      </c>
      <c r="AJ204" s="74">
        <f t="shared" si="105"/>
        <v>90</v>
      </c>
      <c r="AK204" s="74"/>
      <c r="AL204" s="74">
        <f t="shared" si="106"/>
        <v>45</v>
      </c>
      <c r="AM204" s="74">
        <v>46</v>
      </c>
      <c r="AN204" s="74"/>
      <c r="AO204" s="74">
        <f t="shared" si="100"/>
        <v>19</v>
      </c>
      <c r="AP204" s="74"/>
      <c r="AQ204" s="74"/>
      <c r="AR204" s="74">
        <f t="shared" si="101"/>
        <v>120</v>
      </c>
      <c r="AS204" s="74">
        <f t="shared" si="103"/>
        <v>120</v>
      </c>
      <c r="AT204" s="74">
        <f t="shared" si="96"/>
        <v>55</v>
      </c>
      <c r="AU204" s="74"/>
      <c r="AV204" s="74"/>
      <c r="AW204" s="74">
        <f t="shared" si="74"/>
        <v>4998</v>
      </c>
      <c r="AX204" s="83">
        <f t="shared" si="98"/>
        <v>5149.6949999999997</v>
      </c>
      <c r="AY204" s="62">
        <f>'[1]D4 Gallon Forecast'!$R160/1000000</f>
        <v>0</v>
      </c>
      <c r="AZ204" s="62">
        <f>'[1]D4 Gallon Forecast'!$R192/1000000</f>
        <v>320.45244305385592</v>
      </c>
      <c r="BA204" s="62">
        <f t="shared" si="92"/>
        <v>320.45244305385592</v>
      </c>
      <c r="BB204" s="62">
        <f>'[1]D4 Gallon Forecast'!$R176/1000000</f>
        <v>0</v>
      </c>
      <c r="BC204" s="63">
        <f>'[1]D4 Gallon Forecast'!$R352/1000000</f>
        <v>39.496037437086997</v>
      </c>
      <c r="BD204" s="64">
        <f>'[1]D4 Gallon Forecast'!$R368/1000000</f>
        <v>0</v>
      </c>
      <c r="BE204" s="64">
        <f t="shared" si="94"/>
        <v>39.496037437086997</v>
      </c>
      <c r="BF204" s="76">
        <f t="shared" si="54"/>
        <v>359.94848049094293</v>
      </c>
      <c r="BG204" s="77">
        <f t="shared" si="59"/>
        <v>0.8504140884666902</v>
      </c>
      <c r="BH204" s="77">
        <f>AVERAGE(BG193:BG204)</f>
        <v>0.60350055075101272</v>
      </c>
      <c r="BI204" s="75">
        <f t="shared" si="75"/>
        <v>4462.8999999999996</v>
      </c>
      <c r="BJ204" s="75">
        <f t="shared" si="50"/>
        <v>686.79500000000007</v>
      </c>
      <c r="BK204" s="75">
        <f>'RD Feedstock Breakdown'!ES195</f>
        <v>2867.3964978428921</v>
      </c>
      <c r="BL204" s="78">
        <f t="shared" si="57"/>
        <v>7.9661303026810302</v>
      </c>
      <c r="BM204" s="78">
        <f t="shared" si="55"/>
        <v>8.947962669646401</v>
      </c>
      <c r="BN204" s="60"/>
      <c r="BO204" s="60"/>
      <c r="BP204" s="60"/>
      <c r="BQ204" s="66">
        <f>'[1]D4 Gallon Forecast'!$R80/1000000</f>
        <v>137.13537171240736</v>
      </c>
      <c r="BR204" s="66">
        <f>'[1]D6 Gallon Forecast'!$R73/1000000</f>
        <v>0.52650171400693679</v>
      </c>
      <c r="BS204" s="66">
        <f t="shared" si="82"/>
        <v>137.6618734264143</v>
      </c>
      <c r="BT204" s="60"/>
      <c r="BU204" s="67">
        <f>'[2]US EIA'!$P341</f>
        <v>989.56912105623269</v>
      </c>
      <c r="BV204" s="68">
        <f t="shared" si="66"/>
        <v>7.1884037055851664</v>
      </c>
      <c r="BW204" s="60"/>
      <c r="BX204" s="69">
        <f t="shared" si="67"/>
        <v>0.7233540814762125</v>
      </c>
      <c r="BY204" s="69">
        <f t="shared" si="68"/>
        <v>0.27664591852378756</v>
      </c>
      <c r="BZ204" s="60"/>
      <c r="CA204" s="60"/>
      <c r="CB204" s="84" t="e">
        <f>#REF!</f>
        <v>#REF!</v>
      </c>
      <c r="CC204" s="84" t="e">
        <f>#REF!</f>
        <v>#REF!</v>
      </c>
      <c r="CD204" s="84" t="e">
        <f t="shared" si="49"/>
        <v>#REF!</v>
      </c>
      <c r="CE204" s="60"/>
      <c r="CF204" s="84">
        <f>'RD Feedstock Breakdown'!GQ195*1000000</f>
        <v>314630580.66340309</v>
      </c>
      <c r="CG204" s="85" t="e">
        <f t="shared" si="46"/>
        <v>#REF!</v>
      </c>
      <c r="CH204" s="73">
        <f>'[2]US EIA'!$R341+AW204</f>
        <v>6858.6666666666652</v>
      </c>
    </row>
    <row r="205" spans="1:86" ht="13.5" x14ac:dyDescent="0.25">
      <c r="A205" s="59">
        <v>46388</v>
      </c>
      <c r="B205" s="74">
        <f t="shared" si="56"/>
        <v>690</v>
      </c>
      <c r="C205" s="74">
        <v>47</v>
      </c>
      <c r="D205" s="74">
        <f t="shared" si="108"/>
        <v>3</v>
      </c>
      <c r="E205" s="74">
        <f t="shared" si="60"/>
        <v>85</v>
      </c>
      <c r="F205" s="74">
        <f t="shared" si="91"/>
        <v>340</v>
      </c>
      <c r="G205" s="74">
        <f t="shared" si="107"/>
        <v>37.5</v>
      </c>
      <c r="H205" s="74">
        <f t="shared" si="81"/>
        <v>190</v>
      </c>
      <c r="I205" s="74">
        <f t="shared" si="93"/>
        <v>125</v>
      </c>
      <c r="J205" s="74">
        <f t="shared" si="51"/>
        <v>153.30000000000001</v>
      </c>
      <c r="K205" s="74">
        <f t="shared" si="61"/>
        <v>125</v>
      </c>
      <c r="L205" s="74">
        <v>125</v>
      </c>
      <c r="M205" s="74">
        <v>730</v>
      </c>
      <c r="N205" s="74">
        <f t="shared" si="102"/>
        <v>180</v>
      </c>
      <c r="O205" s="74">
        <v>375</v>
      </c>
      <c r="P205" s="74">
        <f t="shared" si="76"/>
        <v>50</v>
      </c>
      <c r="Q205" s="74">
        <f t="shared" si="77"/>
        <v>21</v>
      </c>
      <c r="R205" s="74">
        <v>100</v>
      </c>
      <c r="S205" s="74">
        <f t="shared" si="83"/>
        <v>60</v>
      </c>
      <c r="T205" s="74">
        <f t="shared" si="71"/>
        <v>36</v>
      </c>
      <c r="U205" s="74"/>
      <c r="V205" s="74">
        <f t="shared" si="99"/>
        <v>0</v>
      </c>
      <c r="W205" s="74">
        <f t="shared" si="78"/>
        <v>20</v>
      </c>
      <c r="X205" s="74">
        <f t="shared" si="52"/>
        <v>0</v>
      </c>
      <c r="Y205" s="74">
        <f t="shared" si="73"/>
        <v>3.5</v>
      </c>
      <c r="Z205" s="74">
        <f t="shared" si="104"/>
        <v>115</v>
      </c>
      <c r="AA205" s="74">
        <f t="shared" si="72"/>
        <v>306</v>
      </c>
      <c r="AB205" s="74">
        <f t="shared" si="87"/>
        <v>60</v>
      </c>
      <c r="AC205" s="74">
        <f t="shared" si="95"/>
        <v>1.6</v>
      </c>
      <c r="AD205" s="74">
        <f t="shared" si="80"/>
        <v>180</v>
      </c>
      <c r="AE205" s="74">
        <f t="shared" si="84"/>
        <v>1.1000000000000001</v>
      </c>
      <c r="AF205" s="74">
        <f t="shared" si="90"/>
        <v>275</v>
      </c>
      <c r="AG205" s="74">
        <f t="shared" si="97"/>
        <v>18</v>
      </c>
      <c r="AH205" s="74">
        <f t="shared" si="88"/>
        <v>3</v>
      </c>
      <c r="AI205" s="74">
        <f t="shared" si="79"/>
        <v>47</v>
      </c>
      <c r="AJ205" s="74">
        <f t="shared" si="105"/>
        <v>90</v>
      </c>
      <c r="AK205" s="74">
        <v>2</v>
      </c>
      <c r="AL205" s="74">
        <f t="shared" si="106"/>
        <v>45</v>
      </c>
      <c r="AM205" s="74">
        <v>46</v>
      </c>
      <c r="AN205" s="74"/>
      <c r="AO205" s="74">
        <f t="shared" si="100"/>
        <v>19</v>
      </c>
      <c r="AP205" s="74"/>
      <c r="AQ205" s="74"/>
      <c r="AR205" s="74">
        <f t="shared" si="101"/>
        <v>120</v>
      </c>
      <c r="AS205" s="74">
        <f t="shared" si="103"/>
        <v>120</v>
      </c>
      <c r="AT205" s="74">
        <f t="shared" si="96"/>
        <v>55</v>
      </c>
      <c r="AU205" s="74"/>
      <c r="AV205" s="74"/>
      <c r="AW205" s="74">
        <f t="shared" si="74"/>
        <v>5000</v>
      </c>
      <c r="AX205" s="83">
        <f t="shared" si="98"/>
        <v>5151.6949999999997</v>
      </c>
      <c r="AY205" s="62">
        <f>'[1]D4 Gallon Forecast'!$S149/1000000</f>
        <v>0</v>
      </c>
      <c r="AZ205" s="62">
        <f>'[1]D4 Gallon Forecast'!$S181/1000000</f>
        <v>184.11301990570001</v>
      </c>
      <c r="BA205" s="62">
        <f t="shared" si="92"/>
        <v>184.11301990570001</v>
      </c>
      <c r="BB205" s="62">
        <f>'[1]D4 Gallon Forecast'!$S165/1000000</f>
        <v>0</v>
      </c>
      <c r="BC205" s="63">
        <f>'[1]D4 Gallon Forecast'!$S341/1000000</f>
        <v>68.451166585377194</v>
      </c>
      <c r="BD205" s="64">
        <f>'[1]D4 Gallon Forecast'!$S357/1000000</f>
        <v>0</v>
      </c>
      <c r="BE205" s="64">
        <f t="shared" si="94"/>
        <v>68.451166585377194</v>
      </c>
      <c r="BF205" s="76">
        <f t="shared" si="54"/>
        <v>252.56418649107721</v>
      </c>
      <c r="BG205" s="77">
        <f t="shared" si="59"/>
        <v>0.57723518475703173</v>
      </c>
      <c r="BH205" s="60"/>
      <c r="BI205" s="75">
        <f t="shared" si="75"/>
        <v>4462.8999999999996</v>
      </c>
      <c r="BJ205" s="75">
        <f t="shared" si="50"/>
        <v>688.79500000000007</v>
      </c>
      <c r="BK205" s="75">
        <f>'RD Feedstock Breakdown'!ES196</f>
        <v>2010.9363537579745</v>
      </c>
      <c r="BL205" s="78">
        <f t="shared" si="57"/>
        <v>7.9620803792346804</v>
      </c>
      <c r="BM205" s="78">
        <f t="shared" si="55"/>
        <v>10.92229302842323</v>
      </c>
      <c r="BN205" s="60"/>
      <c r="BO205" s="60"/>
      <c r="BP205" s="60"/>
      <c r="BQ205" s="66">
        <f>'[1]D4 Gallon Forecast'!$S69/1000000</f>
        <v>90.708468784077724</v>
      </c>
      <c r="BR205" s="66">
        <f>'[1]D6 Gallon Forecast'!$S62/1000000</f>
        <v>0</v>
      </c>
      <c r="BS205" s="66">
        <f t="shared" si="82"/>
        <v>90.708468784077724</v>
      </c>
      <c r="BT205" s="60"/>
      <c r="BU205" s="67">
        <f>'[2]US EIA'!$P342</f>
        <v>875.0105523660925</v>
      </c>
      <c r="BV205" s="68">
        <f t="shared" si="66"/>
        <v>9.6464041791838202</v>
      </c>
      <c r="BW205" s="60"/>
      <c r="BX205" s="69">
        <f t="shared" si="67"/>
        <v>0.73575387555595095</v>
      </c>
      <c r="BY205" s="69">
        <f t="shared" si="68"/>
        <v>0.26424612444404899</v>
      </c>
      <c r="BZ205" s="60"/>
      <c r="CA205" s="60"/>
      <c r="CB205" s="84" t="e">
        <f>#REF!</f>
        <v>#REF!</v>
      </c>
      <c r="CC205" s="84" t="e">
        <f>#REF!</f>
        <v>#REF!</v>
      </c>
      <c r="CD205" s="84" t="e">
        <f t="shared" si="49"/>
        <v>#REF!</v>
      </c>
      <c r="CE205" s="60"/>
      <c r="CF205" s="84">
        <f>'RD Feedstock Breakdown'!GQ196*1000000</f>
        <v>545013690.40515625</v>
      </c>
      <c r="CG205" s="85" t="e">
        <f t="shared" ref="CG205:CG268" si="109">CF205/CB205</f>
        <v>#REF!</v>
      </c>
      <c r="CH205" s="73">
        <f>'[2]US EIA'!$R342+AW205</f>
        <v>6860.1111111111095</v>
      </c>
    </row>
    <row r="206" spans="1:86" ht="13.5" x14ac:dyDescent="0.25">
      <c r="A206" s="59">
        <v>46419</v>
      </c>
      <c r="B206" s="74">
        <f t="shared" si="56"/>
        <v>690</v>
      </c>
      <c r="C206" s="74">
        <v>47</v>
      </c>
      <c r="D206" s="74">
        <f t="shared" si="108"/>
        <v>3</v>
      </c>
      <c r="E206" s="74">
        <f t="shared" si="60"/>
        <v>85</v>
      </c>
      <c r="F206" s="74">
        <f t="shared" si="91"/>
        <v>340</v>
      </c>
      <c r="G206" s="74">
        <f t="shared" si="107"/>
        <v>37.5</v>
      </c>
      <c r="H206" s="74">
        <f t="shared" si="81"/>
        <v>190</v>
      </c>
      <c r="I206" s="74">
        <f t="shared" si="93"/>
        <v>125</v>
      </c>
      <c r="J206" s="74">
        <f t="shared" si="51"/>
        <v>153.30000000000001</v>
      </c>
      <c r="K206" s="74">
        <f t="shared" si="61"/>
        <v>125</v>
      </c>
      <c r="L206" s="74">
        <v>125</v>
      </c>
      <c r="M206" s="74">
        <v>730</v>
      </c>
      <c r="N206" s="74">
        <f t="shared" si="102"/>
        <v>180</v>
      </c>
      <c r="O206" s="74">
        <v>375</v>
      </c>
      <c r="P206" s="74">
        <f t="shared" si="76"/>
        <v>50</v>
      </c>
      <c r="Q206" s="74">
        <f t="shared" si="77"/>
        <v>21</v>
      </c>
      <c r="R206" s="74">
        <v>100</v>
      </c>
      <c r="S206" s="74">
        <f t="shared" si="83"/>
        <v>60</v>
      </c>
      <c r="T206" s="74">
        <f t="shared" si="71"/>
        <v>36</v>
      </c>
      <c r="U206" s="74"/>
      <c r="V206" s="74">
        <f t="shared" si="99"/>
        <v>0</v>
      </c>
      <c r="W206" s="74">
        <f t="shared" si="78"/>
        <v>20</v>
      </c>
      <c r="X206" s="74">
        <f t="shared" si="52"/>
        <v>0</v>
      </c>
      <c r="Y206" s="74">
        <f t="shared" si="73"/>
        <v>3.5</v>
      </c>
      <c r="Z206" s="74">
        <f t="shared" si="104"/>
        <v>115</v>
      </c>
      <c r="AA206" s="74">
        <f t="shared" si="72"/>
        <v>306</v>
      </c>
      <c r="AB206" s="74">
        <f t="shared" si="87"/>
        <v>60</v>
      </c>
      <c r="AC206" s="74">
        <f t="shared" si="95"/>
        <v>1.6</v>
      </c>
      <c r="AD206" s="74">
        <f t="shared" si="80"/>
        <v>180</v>
      </c>
      <c r="AE206" s="74">
        <f t="shared" si="84"/>
        <v>1.1000000000000001</v>
      </c>
      <c r="AF206" s="74">
        <f t="shared" si="90"/>
        <v>275</v>
      </c>
      <c r="AG206" s="74">
        <f t="shared" si="97"/>
        <v>18</v>
      </c>
      <c r="AH206" s="74">
        <f t="shared" si="88"/>
        <v>3</v>
      </c>
      <c r="AI206" s="74">
        <f t="shared" si="79"/>
        <v>47</v>
      </c>
      <c r="AJ206" s="74">
        <f t="shared" si="105"/>
        <v>90</v>
      </c>
      <c r="AK206" s="74">
        <v>5</v>
      </c>
      <c r="AL206" s="74">
        <f t="shared" si="106"/>
        <v>45</v>
      </c>
      <c r="AM206" s="74">
        <v>46</v>
      </c>
      <c r="AN206" s="74"/>
      <c r="AO206" s="74">
        <f t="shared" si="100"/>
        <v>19</v>
      </c>
      <c r="AP206" s="74"/>
      <c r="AQ206" s="74"/>
      <c r="AR206" s="74">
        <f t="shared" si="101"/>
        <v>120</v>
      </c>
      <c r="AS206" s="74">
        <f t="shared" si="103"/>
        <v>120</v>
      </c>
      <c r="AT206" s="74">
        <f t="shared" si="96"/>
        <v>55</v>
      </c>
      <c r="AU206" s="74"/>
      <c r="AV206" s="74"/>
      <c r="AW206" s="74">
        <f t="shared" si="74"/>
        <v>5003</v>
      </c>
      <c r="AX206" s="83">
        <f t="shared" si="98"/>
        <v>5154.6949999999997</v>
      </c>
      <c r="AY206" s="62">
        <f>'[1]D4 Gallon Forecast'!$S150/1000000</f>
        <v>0</v>
      </c>
      <c r="AZ206" s="62">
        <f>'[1]D4 Gallon Forecast'!$S182/1000000</f>
        <v>203.02170833424438</v>
      </c>
      <c r="BA206" s="62">
        <f t="shared" si="92"/>
        <v>203.02170833424438</v>
      </c>
      <c r="BB206" s="62">
        <f>'[1]D4 Gallon Forecast'!$S166/1000000</f>
        <v>0</v>
      </c>
      <c r="BC206" s="63">
        <f>'[1]D4 Gallon Forecast'!$S342/1000000</f>
        <v>129.88577512177199</v>
      </c>
      <c r="BD206" s="64">
        <f>'[1]D4 Gallon Forecast'!$S358/1000000</f>
        <v>0</v>
      </c>
      <c r="BE206" s="64">
        <f t="shared" si="94"/>
        <v>129.88577512177199</v>
      </c>
      <c r="BF206" s="76">
        <f t="shared" si="54"/>
        <v>332.90748345601639</v>
      </c>
      <c r="BG206" s="77">
        <f t="shared" si="59"/>
        <v>0.76041689060509166</v>
      </c>
      <c r="BH206" s="60"/>
      <c r="BI206" s="75">
        <f t="shared" si="75"/>
        <v>4462.8999999999996</v>
      </c>
      <c r="BJ206" s="75">
        <f t="shared" si="50"/>
        <v>691.79500000000007</v>
      </c>
      <c r="BK206" s="75">
        <f>'RD Feedstock Breakdown'!ES197</f>
        <v>2652.7631314210012</v>
      </c>
      <c r="BL206" s="78">
        <f t="shared" si="57"/>
        <v>7.9684695095521434</v>
      </c>
      <c r="BM206" s="78">
        <f t="shared" si="55"/>
        <v>13.066401387252785</v>
      </c>
      <c r="BN206" s="60"/>
      <c r="BO206" s="60"/>
      <c r="BP206" s="60"/>
      <c r="BQ206" s="66">
        <f>'[1]D4 Gallon Forecast'!$S70/1000000</f>
        <v>96.954079202789245</v>
      </c>
      <c r="BR206" s="66">
        <f>'[1]D6 Gallon Forecast'!$S63/1000000</f>
        <v>0</v>
      </c>
      <c r="BS206" s="66">
        <f t="shared" si="82"/>
        <v>96.954079202789245</v>
      </c>
      <c r="BT206" s="60"/>
      <c r="BU206" s="67">
        <f>'[2]US EIA'!$P343</f>
        <v>829.76539558964748</v>
      </c>
      <c r="BV206" s="68">
        <f t="shared" si="66"/>
        <v>8.558334032074189</v>
      </c>
      <c r="BW206" s="60"/>
      <c r="BX206" s="69">
        <f t="shared" si="67"/>
        <v>0.77445278288409181</v>
      </c>
      <c r="BY206" s="69">
        <f t="shared" si="68"/>
        <v>0.22554721711590828</v>
      </c>
      <c r="BZ206" s="60"/>
      <c r="CA206" s="60"/>
      <c r="CB206" s="84" t="e">
        <f>#REF!</f>
        <v>#REF!</v>
      </c>
      <c r="CC206" s="84" t="e">
        <f>#REF!</f>
        <v>#REF!</v>
      </c>
      <c r="CD206" s="84" t="e">
        <f t="shared" ref="CD206:CD269" si="110">SUM(CB206:CC206)</f>
        <v>#REF!</v>
      </c>
      <c r="CE206" s="60"/>
      <c r="CF206" s="84">
        <f>'RD Feedstock Breakdown'!GQ197*1000000</f>
        <v>1034990838.7823864</v>
      </c>
      <c r="CG206" s="85" t="e">
        <f t="shared" si="109"/>
        <v>#REF!</v>
      </c>
      <c r="CH206" s="73">
        <f>'[2]US EIA'!$R343+AW206</f>
        <v>6862.5555555555538</v>
      </c>
    </row>
    <row r="207" spans="1:86" ht="13.5" x14ac:dyDescent="0.25">
      <c r="A207" s="59">
        <v>46447</v>
      </c>
      <c r="B207" s="74">
        <f t="shared" si="56"/>
        <v>690</v>
      </c>
      <c r="C207" s="74">
        <v>47</v>
      </c>
      <c r="D207" s="74">
        <f t="shared" si="108"/>
        <v>3</v>
      </c>
      <c r="E207" s="74">
        <f t="shared" si="60"/>
        <v>85</v>
      </c>
      <c r="F207" s="74">
        <f t="shared" si="91"/>
        <v>340</v>
      </c>
      <c r="G207" s="74">
        <f t="shared" si="107"/>
        <v>37.5</v>
      </c>
      <c r="H207" s="74">
        <f t="shared" si="81"/>
        <v>190</v>
      </c>
      <c r="I207" s="74">
        <f t="shared" si="93"/>
        <v>125</v>
      </c>
      <c r="J207" s="74">
        <f t="shared" si="51"/>
        <v>153.30000000000001</v>
      </c>
      <c r="K207" s="74">
        <f t="shared" si="61"/>
        <v>125</v>
      </c>
      <c r="L207" s="74">
        <v>125</v>
      </c>
      <c r="M207" s="74">
        <v>730</v>
      </c>
      <c r="N207" s="74">
        <f t="shared" si="102"/>
        <v>180</v>
      </c>
      <c r="O207" s="74">
        <v>375</v>
      </c>
      <c r="P207" s="74">
        <f t="shared" si="76"/>
        <v>50</v>
      </c>
      <c r="Q207" s="74">
        <f t="shared" si="77"/>
        <v>21</v>
      </c>
      <c r="R207" s="74">
        <v>100</v>
      </c>
      <c r="S207" s="74">
        <f t="shared" si="83"/>
        <v>60</v>
      </c>
      <c r="T207" s="74">
        <f t="shared" si="71"/>
        <v>36</v>
      </c>
      <c r="U207" s="74"/>
      <c r="V207" s="74">
        <f t="shared" si="99"/>
        <v>0</v>
      </c>
      <c r="W207" s="74">
        <f t="shared" si="78"/>
        <v>20</v>
      </c>
      <c r="X207" s="74">
        <f t="shared" si="52"/>
        <v>0</v>
      </c>
      <c r="Y207" s="74">
        <f t="shared" si="73"/>
        <v>3.5</v>
      </c>
      <c r="Z207" s="74">
        <f t="shared" si="104"/>
        <v>115</v>
      </c>
      <c r="AA207" s="74">
        <f t="shared" si="72"/>
        <v>306</v>
      </c>
      <c r="AB207" s="74">
        <f t="shared" si="87"/>
        <v>60</v>
      </c>
      <c r="AC207" s="74">
        <f t="shared" si="95"/>
        <v>1.6</v>
      </c>
      <c r="AD207" s="74">
        <f t="shared" si="80"/>
        <v>180</v>
      </c>
      <c r="AE207" s="74">
        <f t="shared" si="84"/>
        <v>1.1000000000000001</v>
      </c>
      <c r="AF207" s="74">
        <f t="shared" si="90"/>
        <v>275</v>
      </c>
      <c r="AG207" s="74">
        <f t="shared" si="97"/>
        <v>18</v>
      </c>
      <c r="AH207" s="74">
        <f t="shared" si="88"/>
        <v>3</v>
      </c>
      <c r="AI207" s="74">
        <f t="shared" si="79"/>
        <v>47</v>
      </c>
      <c r="AJ207" s="74">
        <f t="shared" si="105"/>
        <v>90</v>
      </c>
      <c r="AK207" s="74">
        <f t="shared" ref="AK207:AK270" si="111">$AK$12*$AK$5</f>
        <v>14</v>
      </c>
      <c r="AL207" s="74">
        <f t="shared" si="106"/>
        <v>45</v>
      </c>
      <c r="AM207" s="74">
        <v>46</v>
      </c>
      <c r="AN207" s="74">
        <f t="shared" ref="AN207:AN270" si="112">$AN$5*$AN$12</f>
        <v>0.75</v>
      </c>
      <c r="AO207" s="74">
        <f t="shared" si="100"/>
        <v>19</v>
      </c>
      <c r="AP207" s="74"/>
      <c r="AQ207" s="74"/>
      <c r="AR207" s="74">
        <f t="shared" si="101"/>
        <v>120</v>
      </c>
      <c r="AS207" s="74">
        <f t="shared" si="103"/>
        <v>120</v>
      </c>
      <c r="AT207" s="74">
        <f t="shared" si="96"/>
        <v>55</v>
      </c>
      <c r="AU207" s="74"/>
      <c r="AV207" s="74"/>
      <c r="AW207" s="74">
        <f t="shared" si="74"/>
        <v>5012.75</v>
      </c>
      <c r="AX207" s="83">
        <f t="shared" si="98"/>
        <v>5164.4449999999997</v>
      </c>
      <c r="AY207" s="62">
        <f>'[1]D4 Gallon Forecast'!$S151/1000000</f>
        <v>0</v>
      </c>
      <c r="AZ207" s="62">
        <f>'[1]D4 Gallon Forecast'!$S183/1000000</f>
        <v>213.83439847768327</v>
      </c>
      <c r="BA207" s="62">
        <f t="shared" si="92"/>
        <v>213.83439847768327</v>
      </c>
      <c r="BB207" s="62">
        <f>'[1]D4 Gallon Forecast'!$S167/1000000</f>
        <v>0</v>
      </c>
      <c r="BC207" s="63">
        <f>'[1]D4 Gallon Forecast'!$S343/1000000</f>
        <v>52.446592878731003</v>
      </c>
      <c r="BD207" s="64">
        <f>'[1]D4 Gallon Forecast'!$S359/1000000</f>
        <v>0</v>
      </c>
      <c r="BE207" s="64">
        <f t="shared" si="94"/>
        <v>52.446592878731003</v>
      </c>
      <c r="BF207" s="76">
        <f t="shared" si="54"/>
        <v>266.28099135641429</v>
      </c>
      <c r="BG207" s="77">
        <f t="shared" si="59"/>
        <v>0.67212699971419421</v>
      </c>
      <c r="BH207" s="60"/>
      <c r="BI207" s="75">
        <f t="shared" si="75"/>
        <v>4462.8999999999996</v>
      </c>
      <c r="BJ207" s="75">
        <f t="shared" si="50"/>
        <v>701.54500000000007</v>
      </c>
      <c r="BK207" s="75">
        <f>'RD Feedstock Breakdown'!ES198</f>
        <v>2121.8536770903511</v>
      </c>
      <c r="BL207" s="78">
        <f t="shared" si="57"/>
        <v>7.9684759557255527</v>
      </c>
      <c r="BM207" s="78">
        <f t="shared" si="55"/>
        <v>9.922882811166593</v>
      </c>
      <c r="BN207" s="60"/>
      <c r="BO207" s="60"/>
      <c r="BP207" s="60"/>
      <c r="BQ207" s="66">
        <f>'[1]D4 Gallon Forecast'!$S71/1000000</f>
        <v>111.9343572928541</v>
      </c>
      <c r="BR207" s="66">
        <f>'[1]D6 Gallon Forecast'!$S64/1000000</f>
        <v>2.0270000000000002E-3</v>
      </c>
      <c r="BS207" s="66">
        <f t="shared" si="82"/>
        <v>111.9363842928541</v>
      </c>
      <c r="BT207" s="60"/>
      <c r="BU207" s="67">
        <f>'[2]US EIA'!$P344</f>
        <v>926.61276170143333</v>
      </c>
      <c r="BV207" s="68">
        <f t="shared" si="66"/>
        <v>8.2780301289451899</v>
      </c>
      <c r="BW207" s="60"/>
      <c r="BX207" s="69">
        <f t="shared" si="67"/>
        <v>0.7040421950453809</v>
      </c>
      <c r="BY207" s="69">
        <f t="shared" si="68"/>
        <v>0.29595780495461915</v>
      </c>
      <c r="BZ207" s="60"/>
      <c r="CA207" s="60"/>
      <c r="CB207" s="84" t="e">
        <f>#REF!</f>
        <v>#REF!</v>
      </c>
      <c r="CC207" s="84" t="e">
        <f>#REF!</f>
        <v>#REF!</v>
      </c>
      <c r="CD207" s="84" t="e">
        <f t="shared" si="110"/>
        <v>#REF!</v>
      </c>
      <c r="CE207" s="60"/>
      <c r="CF207" s="84">
        <f>'RD Feedstock Breakdown'!GQ198*1000000</f>
        <v>417919414.31389505</v>
      </c>
      <c r="CG207" s="85" t="e">
        <f t="shared" si="109"/>
        <v>#REF!</v>
      </c>
      <c r="CH207" s="73">
        <f>'[2]US EIA'!$R344+AW207</f>
        <v>6871.7499999999982</v>
      </c>
    </row>
    <row r="208" spans="1:86" ht="13.5" x14ac:dyDescent="0.25">
      <c r="A208" s="59">
        <v>46478</v>
      </c>
      <c r="B208" s="74">
        <f t="shared" si="56"/>
        <v>690</v>
      </c>
      <c r="C208" s="74">
        <v>47</v>
      </c>
      <c r="D208" s="74">
        <f t="shared" si="108"/>
        <v>3</v>
      </c>
      <c r="E208" s="74">
        <f t="shared" si="60"/>
        <v>85</v>
      </c>
      <c r="F208" s="74">
        <f t="shared" si="91"/>
        <v>340</v>
      </c>
      <c r="G208" s="74">
        <f t="shared" si="107"/>
        <v>37.5</v>
      </c>
      <c r="H208" s="74">
        <f t="shared" si="81"/>
        <v>190</v>
      </c>
      <c r="I208" s="74">
        <f t="shared" si="93"/>
        <v>125</v>
      </c>
      <c r="J208" s="74">
        <f t="shared" si="51"/>
        <v>153.30000000000001</v>
      </c>
      <c r="K208" s="74">
        <f t="shared" si="61"/>
        <v>125</v>
      </c>
      <c r="L208" s="74">
        <v>125</v>
      </c>
      <c r="M208" s="74">
        <v>730</v>
      </c>
      <c r="N208" s="74">
        <f t="shared" si="102"/>
        <v>180</v>
      </c>
      <c r="O208" s="74">
        <v>375</v>
      </c>
      <c r="P208" s="74">
        <f t="shared" si="76"/>
        <v>50</v>
      </c>
      <c r="Q208" s="74">
        <f t="shared" si="77"/>
        <v>21</v>
      </c>
      <c r="R208" s="74">
        <v>100</v>
      </c>
      <c r="S208" s="74">
        <f t="shared" si="83"/>
        <v>60</v>
      </c>
      <c r="T208" s="74">
        <f t="shared" si="71"/>
        <v>36</v>
      </c>
      <c r="U208" s="74"/>
      <c r="V208" s="74">
        <f t="shared" si="99"/>
        <v>0</v>
      </c>
      <c r="W208" s="74">
        <f t="shared" si="78"/>
        <v>20</v>
      </c>
      <c r="X208" s="74">
        <f t="shared" si="52"/>
        <v>0</v>
      </c>
      <c r="Y208" s="74">
        <f t="shared" si="73"/>
        <v>3.5</v>
      </c>
      <c r="Z208" s="74">
        <f t="shared" si="104"/>
        <v>115</v>
      </c>
      <c r="AA208" s="74">
        <f t="shared" si="72"/>
        <v>306</v>
      </c>
      <c r="AB208" s="74">
        <f t="shared" si="87"/>
        <v>60</v>
      </c>
      <c r="AC208" s="74">
        <f t="shared" si="95"/>
        <v>1.6</v>
      </c>
      <c r="AD208" s="74">
        <f t="shared" si="80"/>
        <v>180</v>
      </c>
      <c r="AE208" s="74">
        <f t="shared" si="84"/>
        <v>1.1000000000000001</v>
      </c>
      <c r="AF208" s="74">
        <f t="shared" si="90"/>
        <v>275</v>
      </c>
      <c r="AG208" s="74">
        <f t="shared" si="97"/>
        <v>18</v>
      </c>
      <c r="AH208" s="74">
        <f t="shared" si="88"/>
        <v>3</v>
      </c>
      <c r="AI208" s="74">
        <f t="shared" si="79"/>
        <v>47</v>
      </c>
      <c r="AJ208" s="74">
        <f t="shared" si="105"/>
        <v>90</v>
      </c>
      <c r="AK208" s="74">
        <f t="shared" si="111"/>
        <v>14</v>
      </c>
      <c r="AL208" s="74">
        <f t="shared" si="106"/>
        <v>45</v>
      </c>
      <c r="AM208" s="74">
        <v>46</v>
      </c>
      <c r="AN208" s="74">
        <f t="shared" si="112"/>
        <v>0.75</v>
      </c>
      <c r="AO208" s="74">
        <f t="shared" si="100"/>
        <v>19</v>
      </c>
      <c r="AP208" s="74"/>
      <c r="AQ208" s="74"/>
      <c r="AR208" s="74">
        <f t="shared" si="101"/>
        <v>120</v>
      </c>
      <c r="AS208" s="74">
        <f t="shared" si="103"/>
        <v>120</v>
      </c>
      <c r="AT208" s="74">
        <f t="shared" si="96"/>
        <v>55</v>
      </c>
      <c r="AU208" s="74"/>
      <c r="AV208" s="74"/>
      <c r="AW208" s="74">
        <f t="shared" si="74"/>
        <v>5012.75</v>
      </c>
      <c r="AX208" s="83">
        <f t="shared" si="98"/>
        <v>5164.4449999999997</v>
      </c>
      <c r="AY208" s="62">
        <f>'[1]D4 Gallon Forecast'!$S152/1000000</f>
        <v>0</v>
      </c>
      <c r="AZ208" s="62">
        <f>'[1]D4 Gallon Forecast'!$S184/1000000</f>
        <v>207.62266802775827</v>
      </c>
      <c r="BA208" s="62">
        <f t="shared" si="92"/>
        <v>207.62266802775827</v>
      </c>
      <c r="BB208" s="62">
        <f>'[1]D4 Gallon Forecast'!$S168/1000000</f>
        <v>0</v>
      </c>
      <c r="BC208" s="63">
        <f>'[1]D4 Gallon Forecast'!$S344/1000000</f>
        <v>83.355933002837475</v>
      </c>
      <c r="BD208" s="64">
        <f>'[1]D4 Gallon Forecast'!$S360/1000000</f>
        <v>0</v>
      </c>
      <c r="BE208" s="64">
        <f t="shared" si="94"/>
        <v>83.355933002837475</v>
      </c>
      <c r="BF208" s="76">
        <f t="shared" si="54"/>
        <v>290.97860103059577</v>
      </c>
      <c r="BG208" s="77">
        <f t="shared" si="59"/>
        <v>0.66338945752605438</v>
      </c>
      <c r="BH208" s="60"/>
      <c r="BI208" s="75">
        <f t="shared" si="75"/>
        <v>4462.8999999999996</v>
      </c>
      <c r="BJ208" s="75">
        <f t="shared" si="50"/>
        <v>701.54500000000007</v>
      </c>
      <c r="BK208" s="75">
        <f>'RD Feedstock Breakdown'!ES199</f>
        <v>2316.797141263899</v>
      </c>
      <c r="BL208" s="78">
        <f t="shared" si="57"/>
        <v>7.9620877035569118</v>
      </c>
      <c r="BM208" s="78">
        <f t="shared" si="55"/>
        <v>11.158690730985853</v>
      </c>
      <c r="BN208" s="60"/>
      <c r="BO208" s="60"/>
      <c r="BP208" s="60"/>
      <c r="BQ208" s="66">
        <f>'[1]D4 Gallon Forecast'!$S72/1000000</f>
        <v>122.28912148130513</v>
      </c>
      <c r="BR208" s="66">
        <f>'[1]D6 Gallon Forecast'!$S65/1000000</f>
        <v>0.46904744631292822</v>
      </c>
      <c r="BS208" s="66">
        <f t="shared" si="82"/>
        <v>122.75816892761806</v>
      </c>
      <c r="BT208" s="60"/>
      <c r="BU208" s="67">
        <f>'[2]US EIA'!$P345</f>
        <v>957.71107641147148</v>
      </c>
      <c r="BV208" s="68">
        <f t="shared" si="66"/>
        <v>7.8016077038112792</v>
      </c>
      <c r="BW208" s="60"/>
      <c r="BX208" s="69">
        <f t="shared" si="67"/>
        <v>0.70329403175836591</v>
      </c>
      <c r="BY208" s="69">
        <f t="shared" si="68"/>
        <v>0.29670596824163409</v>
      </c>
      <c r="BZ208" s="60"/>
      <c r="CA208" s="60"/>
      <c r="CB208" s="84" t="e">
        <f>#REF!</f>
        <v>#REF!</v>
      </c>
      <c r="CC208" s="84" t="e">
        <f>#REF!</f>
        <v>#REF!</v>
      </c>
      <c r="CD208" s="84" t="e">
        <f t="shared" si="110"/>
        <v>#REF!</v>
      </c>
      <c r="CE208" s="60"/>
      <c r="CF208" s="84">
        <f>'RD Feedstock Breakdown'!GQ199*1000000</f>
        <v>663687249.18040597</v>
      </c>
      <c r="CG208" s="85" t="e">
        <f t="shared" si="109"/>
        <v>#REF!</v>
      </c>
      <c r="CH208" s="73">
        <f>'[2]US EIA'!$R345+AW208</f>
        <v>6871.1944444444425</v>
      </c>
    </row>
    <row r="209" spans="1:86" ht="13.5" x14ac:dyDescent="0.25">
      <c r="A209" s="59">
        <v>46508</v>
      </c>
      <c r="B209" s="74">
        <f t="shared" si="56"/>
        <v>690</v>
      </c>
      <c r="C209" s="74">
        <v>47</v>
      </c>
      <c r="D209" s="74">
        <f t="shared" si="108"/>
        <v>3</v>
      </c>
      <c r="E209" s="74">
        <f t="shared" si="60"/>
        <v>85</v>
      </c>
      <c r="F209" s="74">
        <f t="shared" si="91"/>
        <v>340</v>
      </c>
      <c r="G209" s="74">
        <f t="shared" si="107"/>
        <v>37.5</v>
      </c>
      <c r="H209" s="74">
        <f t="shared" si="81"/>
        <v>190</v>
      </c>
      <c r="I209" s="74">
        <f t="shared" si="93"/>
        <v>125</v>
      </c>
      <c r="J209" s="74">
        <f t="shared" si="51"/>
        <v>153.30000000000001</v>
      </c>
      <c r="K209" s="74">
        <f t="shared" si="61"/>
        <v>125</v>
      </c>
      <c r="L209" s="74">
        <v>125</v>
      </c>
      <c r="M209" s="74">
        <v>730</v>
      </c>
      <c r="N209" s="74">
        <f t="shared" si="102"/>
        <v>180</v>
      </c>
      <c r="O209" s="74">
        <v>375</v>
      </c>
      <c r="P209" s="74">
        <f t="shared" si="76"/>
        <v>50</v>
      </c>
      <c r="Q209" s="74">
        <f t="shared" si="77"/>
        <v>21</v>
      </c>
      <c r="R209" s="74">
        <v>100</v>
      </c>
      <c r="S209" s="74">
        <f t="shared" si="83"/>
        <v>60</v>
      </c>
      <c r="T209" s="74">
        <f t="shared" si="71"/>
        <v>36</v>
      </c>
      <c r="U209" s="74"/>
      <c r="V209" s="74">
        <f t="shared" si="99"/>
        <v>0</v>
      </c>
      <c r="W209" s="74">
        <f t="shared" si="78"/>
        <v>20</v>
      </c>
      <c r="X209" s="74">
        <f t="shared" si="52"/>
        <v>0</v>
      </c>
      <c r="Y209" s="74">
        <f t="shared" si="73"/>
        <v>3.5</v>
      </c>
      <c r="Z209" s="74">
        <f t="shared" si="104"/>
        <v>115</v>
      </c>
      <c r="AA209" s="74">
        <f t="shared" si="72"/>
        <v>306</v>
      </c>
      <c r="AB209" s="74">
        <f t="shared" si="87"/>
        <v>60</v>
      </c>
      <c r="AC209" s="74">
        <f t="shared" si="95"/>
        <v>1.6</v>
      </c>
      <c r="AD209" s="74">
        <f t="shared" si="80"/>
        <v>180</v>
      </c>
      <c r="AE209" s="74">
        <f t="shared" si="84"/>
        <v>1.1000000000000001</v>
      </c>
      <c r="AF209" s="74">
        <f t="shared" si="90"/>
        <v>275</v>
      </c>
      <c r="AG209" s="74">
        <f t="shared" si="97"/>
        <v>18</v>
      </c>
      <c r="AH209" s="74">
        <f t="shared" si="88"/>
        <v>3</v>
      </c>
      <c r="AI209" s="74">
        <f t="shared" si="79"/>
        <v>47</v>
      </c>
      <c r="AJ209" s="74">
        <f t="shared" si="105"/>
        <v>90</v>
      </c>
      <c r="AK209" s="74">
        <f t="shared" si="111"/>
        <v>14</v>
      </c>
      <c r="AL209" s="74">
        <f t="shared" si="106"/>
        <v>45</v>
      </c>
      <c r="AM209" s="74">
        <v>46</v>
      </c>
      <c r="AN209" s="74">
        <f t="shared" si="112"/>
        <v>0.75</v>
      </c>
      <c r="AO209" s="74">
        <f t="shared" si="100"/>
        <v>19</v>
      </c>
      <c r="AP209" s="74"/>
      <c r="AQ209" s="74"/>
      <c r="AR209" s="74">
        <f t="shared" si="101"/>
        <v>120</v>
      </c>
      <c r="AS209" s="74">
        <f t="shared" si="103"/>
        <v>120</v>
      </c>
      <c r="AT209" s="74">
        <f t="shared" si="96"/>
        <v>55</v>
      </c>
      <c r="AU209" s="74"/>
      <c r="AV209" s="74"/>
      <c r="AW209" s="74">
        <f t="shared" si="74"/>
        <v>5012.75</v>
      </c>
      <c r="AX209" s="83">
        <f t="shared" si="98"/>
        <v>5164.4449999999997</v>
      </c>
      <c r="AY209" s="62">
        <f>'[1]D4 Gallon Forecast'!$S153/1000000</f>
        <v>0</v>
      </c>
      <c r="AZ209" s="62">
        <f>'[1]D4 Gallon Forecast'!$S185/1000000</f>
        <v>231.93421369829153</v>
      </c>
      <c r="BA209" s="62">
        <f t="shared" si="92"/>
        <v>231.93421369829153</v>
      </c>
      <c r="BB209" s="62">
        <f>'[1]D4 Gallon Forecast'!$S169/1000000</f>
        <v>0</v>
      </c>
      <c r="BC209" s="63">
        <f>'[1]D4 Gallon Forecast'!$S345/1000000</f>
        <v>109.83702955094272</v>
      </c>
      <c r="BD209" s="64">
        <f>'[1]D4 Gallon Forecast'!$S361/1000000</f>
        <v>0</v>
      </c>
      <c r="BE209" s="64">
        <f t="shared" si="94"/>
        <v>109.83702955094272</v>
      </c>
      <c r="BF209" s="76">
        <f t="shared" si="54"/>
        <v>341.77124324923426</v>
      </c>
      <c r="BG209" s="77">
        <f t="shared" si="59"/>
        <v>0.80516237327838402</v>
      </c>
      <c r="BH209" s="60"/>
      <c r="BI209" s="75">
        <f t="shared" si="75"/>
        <v>4462.8999999999996</v>
      </c>
      <c r="BJ209" s="75">
        <f t="shared" ref="BJ209:BJ272" si="113">AX209-BI209</f>
        <v>701.54500000000007</v>
      </c>
      <c r="BK209" s="75">
        <f>'RD Feedstock Breakdown'!ES200</f>
        <v>2725.2735178824209</v>
      </c>
      <c r="BL209" s="78">
        <f t="shared" si="57"/>
        <v>7.9739696411351808</v>
      </c>
      <c r="BM209" s="78">
        <f t="shared" si="55"/>
        <v>11.750200517753521</v>
      </c>
      <c r="BN209" s="60"/>
      <c r="BO209" s="60"/>
      <c r="BP209" s="60"/>
      <c r="BQ209" s="66">
        <f>'[1]D4 Gallon Forecast'!$S73/1000000</f>
        <v>130.77919761732133</v>
      </c>
      <c r="BR209" s="66">
        <f>'[1]D6 Gallon Forecast'!$S66/1000000</f>
        <v>0.50079049951327825</v>
      </c>
      <c r="BS209" s="66">
        <f t="shared" si="82"/>
        <v>131.2799881168346</v>
      </c>
      <c r="BT209" s="60"/>
      <c r="BU209" s="67">
        <f>'[2]US EIA'!$P346</f>
        <v>1032.4565599034318</v>
      </c>
      <c r="BV209" s="68">
        <f t="shared" si="66"/>
        <v>7.8645387976770804</v>
      </c>
      <c r="BW209" s="60"/>
      <c r="BX209" s="69">
        <f t="shared" si="67"/>
        <v>0.7224825147633025</v>
      </c>
      <c r="BY209" s="69">
        <f t="shared" si="68"/>
        <v>0.2775174852366975</v>
      </c>
      <c r="BZ209" s="60"/>
      <c r="CA209" s="60"/>
      <c r="CB209" s="84" t="e">
        <f>#REF!</f>
        <v>#REF!</v>
      </c>
      <c r="CC209" s="84" t="e">
        <f>#REF!</f>
        <v>#REF!</v>
      </c>
      <c r="CD209" s="84" t="e">
        <f t="shared" si="110"/>
        <v>#REF!</v>
      </c>
      <c r="CE209" s="60"/>
      <c r="CF209" s="84">
        <f>'RD Feedstock Breakdown'!GQ200*1000000</f>
        <v>875837139.11168492</v>
      </c>
      <c r="CG209" s="85" t="e">
        <f t="shared" si="109"/>
        <v>#REF!</v>
      </c>
      <c r="CH209" s="73">
        <f>'[2]US EIA'!$R346+AW209</f>
        <v>6870.6388888888869</v>
      </c>
    </row>
    <row r="210" spans="1:86" ht="13.5" x14ac:dyDescent="0.25">
      <c r="A210" s="59">
        <v>46539</v>
      </c>
      <c r="B210" s="74">
        <f t="shared" si="56"/>
        <v>690</v>
      </c>
      <c r="C210" s="74">
        <v>47</v>
      </c>
      <c r="D210" s="74">
        <f t="shared" si="108"/>
        <v>3</v>
      </c>
      <c r="E210" s="74">
        <f t="shared" si="60"/>
        <v>85</v>
      </c>
      <c r="F210" s="74">
        <f t="shared" si="91"/>
        <v>340</v>
      </c>
      <c r="G210" s="74">
        <f t="shared" si="107"/>
        <v>37.5</v>
      </c>
      <c r="H210" s="74">
        <f t="shared" si="81"/>
        <v>190</v>
      </c>
      <c r="I210" s="74">
        <f t="shared" si="93"/>
        <v>125</v>
      </c>
      <c r="J210" s="74">
        <f t="shared" ref="J210:J273" si="114">100+(53.3*$J$12)</f>
        <v>153.30000000000001</v>
      </c>
      <c r="K210" s="74">
        <f t="shared" si="61"/>
        <v>125</v>
      </c>
      <c r="L210" s="74">
        <v>125</v>
      </c>
      <c r="M210" s="74">
        <v>730</v>
      </c>
      <c r="N210" s="74">
        <f t="shared" si="102"/>
        <v>180</v>
      </c>
      <c r="O210" s="74">
        <v>375</v>
      </c>
      <c r="P210" s="74">
        <f t="shared" si="76"/>
        <v>50</v>
      </c>
      <c r="Q210" s="74">
        <f t="shared" si="77"/>
        <v>21</v>
      </c>
      <c r="R210" s="74">
        <v>100</v>
      </c>
      <c r="S210" s="74">
        <f t="shared" si="83"/>
        <v>60</v>
      </c>
      <c r="T210" s="74">
        <f t="shared" si="71"/>
        <v>36</v>
      </c>
      <c r="U210" s="74"/>
      <c r="V210" s="74">
        <f t="shared" si="99"/>
        <v>0</v>
      </c>
      <c r="W210" s="74">
        <f t="shared" si="78"/>
        <v>20</v>
      </c>
      <c r="X210" s="74">
        <f t="shared" si="52"/>
        <v>0</v>
      </c>
      <c r="Y210" s="74">
        <f t="shared" si="73"/>
        <v>3.5</v>
      </c>
      <c r="Z210" s="74">
        <f t="shared" si="104"/>
        <v>115</v>
      </c>
      <c r="AA210" s="74">
        <f t="shared" si="72"/>
        <v>306</v>
      </c>
      <c r="AB210" s="74">
        <f t="shared" si="87"/>
        <v>60</v>
      </c>
      <c r="AC210" s="74">
        <f t="shared" si="95"/>
        <v>1.6</v>
      </c>
      <c r="AD210" s="74">
        <f t="shared" si="80"/>
        <v>180</v>
      </c>
      <c r="AE210" s="74">
        <f t="shared" si="84"/>
        <v>1.1000000000000001</v>
      </c>
      <c r="AF210" s="74">
        <f t="shared" si="90"/>
        <v>275</v>
      </c>
      <c r="AG210" s="74">
        <f t="shared" si="97"/>
        <v>18</v>
      </c>
      <c r="AH210" s="74">
        <f t="shared" si="88"/>
        <v>3</v>
      </c>
      <c r="AI210" s="74">
        <f t="shared" si="79"/>
        <v>47</v>
      </c>
      <c r="AJ210" s="74">
        <f t="shared" si="105"/>
        <v>90</v>
      </c>
      <c r="AK210" s="74">
        <f t="shared" si="111"/>
        <v>14</v>
      </c>
      <c r="AL210" s="74">
        <f t="shared" si="106"/>
        <v>45</v>
      </c>
      <c r="AM210" s="74">
        <v>46</v>
      </c>
      <c r="AN210" s="74">
        <f t="shared" si="112"/>
        <v>0.75</v>
      </c>
      <c r="AO210" s="74">
        <f t="shared" si="100"/>
        <v>19</v>
      </c>
      <c r="AP210" s="74">
        <v>5</v>
      </c>
      <c r="AQ210" s="74">
        <v>2.5</v>
      </c>
      <c r="AR210" s="74">
        <f t="shared" si="101"/>
        <v>120</v>
      </c>
      <c r="AS210" s="74">
        <f t="shared" si="103"/>
        <v>120</v>
      </c>
      <c r="AT210" s="74">
        <f t="shared" si="96"/>
        <v>55</v>
      </c>
      <c r="AU210" s="74"/>
      <c r="AV210" s="74"/>
      <c r="AW210" s="74">
        <f t="shared" si="74"/>
        <v>5020.25</v>
      </c>
      <c r="AX210" s="83">
        <f t="shared" si="98"/>
        <v>5171.9449999999997</v>
      </c>
      <c r="AY210" s="62">
        <f>'[1]D4 Gallon Forecast'!$S154/1000000</f>
        <v>0</v>
      </c>
      <c r="AZ210" s="62">
        <f>'[1]D4 Gallon Forecast'!$S186/1000000</f>
        <v>230.04241587192467</v>
      </c>
      <c r="BA210" s="62">
        <f t="shared" si="92"/>
        <v>230.04241587192467</v>
      </c>
      <c r="BB210" s="62">
        <f>'[1]D4 Gallon Forecast'!$S170/1000000</f>
        <v>0</v>
      </c>
      <c r="BC210" s="63">
        <f>'[1]D4 Gallon Forecast'!$S346/1000000</f>
        <v>104.66929816987525</v>
      </c>
      <c r="BD210" s="64">
        <f>'[1]D4 Gallon Forecast'!$S362/1000000</f>
        <v>0</v>
      </c>
      <c r="BE210" s="64">
        <f t="shared" si="94"/>
        <v>104.66929816987525</v>
      </c>
      <c r="BF210" s="76">
        <f t="shared" si="54"/>
        <v>334.71171404179995</v>
      </c>
      <c r="BG210" s="77">
        <f t="shared" si="59"/>
        <v>0.7619880923019382</v>
      </c>
      <c r="BH210" s="60"/>
      <c r="BI210" s="75">
        <f t="shared" si="75"/>
        <v>4462.8999999999996</v>
      </c>
      <c r="BJ210" s="75">
        <f t="shared" si="113"/>
        <v>709.04500000000007</v>
      </c>
      <c r="BK210" s="75">
        <f>'RD Feedstock Breakdown'!ES201</f>
        <v>2669.2057097218817</v>
      </c>
      <c r="BL210" s="78">
        <f t="shared" si="57"/>
        <v>7.9746408558277766</v>
      </c>
      <c r="BM210" s="78">
        <f t="shared" si="55"/>
        <v>11.603102408766011</v>
      </c>
      <c r="BN210" s="60"/>
      <c r="BO210" s="60"/>
      <c r="BP210" s="60"/>
      <c r="BQ210" s="66">
        <f>'[1]D4 Gallon Forecast'!$S74/1000000</f>
        <v>127.67434135939271</v>
      </c>
      <c r="BR210" s="66">
        <f>'[1]D6 Gallon Forecast'!$S67/1000000</f>
        <v>0.61675957704378404</v>
      </c>
      <c r="BS210" s="66">
        <f t="shared" si="82"/>
        <v>128.29110093643649</v>
      </c>
      <c r="BT210" s="60"/>
      <c r="BU210" s="67">
        <f>'[2]US EIA'!$P347</f>
        <v>1017.8738341558103</v>
      </c>
      <c r="BV210" s="68">
        <f t="shared" si="66"/>
        <v>7.9340954027678761</v>
      </c>
      <c r="BW210" s="60"/>
      <c r="BX210" s="69">
        <f t="shared" si="67"/>
        <v>0.72291507354557483</v>
      </c>
      <c r="BY210" s="69">
        <f t="shared" si="68"/>
        <v>0.27708492645442523</v>
      </c>
      <c r="BZ210" s="60"/>
      <c r="CA210" s="60"/>
      <c r="CB210" s="84" t="e">
        <f>#REF!</f>
        <v>#REF!</v>
      </c>
      <c r="CC210" s="84" t="e">
        <f>#REF!</f>
        <v>#REF!</v>
      </c>
      <c r="CD210" s="84" t="e">
        <f t="shared" si="110"/>
        <v>#REF!</v>
      </c>
      <c r="CE210" s="60"/>
      <c r="CF210" s="84">
        <f>'RD Feedstock Breakdown'!GQ201*1000000</f>
        <v>834700061.53630662</v>
      </c>
      <c r="CG210" s="85" t="e">
        <f t="shared" si="109"/>
        <v>#REF!</v>
      </c>
      <c r="CH210" s="73">
        <f>'[2]US EIA'!$R347+AW210</f>
        <v>6877.5833333333312</v>
      </c>
    </row>
    <row r="211" spans="1:86" ht="13.5" x14ac:dyDescent="0.25">
      <c r="A211" s="59">
        <v>46569</v>
      </c>
      <c r="B211" s="74">
        <f t="shared" si="56"/>
        <v>690</v>
      </c>
      <c r="C211" s="74">
        <v>47</v>
      </c>
      <c r="D211" s="74">
        <f t="shared" si="108"/>
        <v>3</v>
      </c>
      <c r="E211" s="74">
        <f t="shared" si="60"/>
        <v>85</v>
      </c>
      <c r="F211" s="74">
        <f t="shared" si="91"/>
        <v>340</v>
      </c>
      <c r="G211" s="74">
        <f t="shared" si="107"/>
        <v>37.5</v>
      </c>
      <c r="H211" s="74">
        <f t="shared" si="81"/>
        <v>190</v>
      </c>
      <c r="I211" s="74">
        <f t="shared" si="93"/>
        <v>125</v>
      </c>
      <c r="J211" s="74">
        <f t="shared" si="114"/>
        <v>153.30000000000001</v>
      </c>
      <c r="K211" s="74">
        <f t="shared" si="61"/>
        <v>125</v>
      </c>
      <c r="L211" s="74">
        <v>125</v>
      </c>
      <c r="M211" s="74">
        <v>730</v>
      </c>
      <c r="N211" s="74">
        <f t="shared" si="102"/>
        <v>180</v>
      </c>
      <c r="O211" s="74">
        <v>375</v>
      </c>
      <c r="P211" s="74">
        <f t="shared" si="76"/>
        <v>50</v>
      </c>
      <c r="Q211" s="74">
        <f t="shared" si="77"/>
        <v>21</v>
      </c>
      <c r="R211" s="74">
        <v>100</v>
      </c>
      <c r="S211" s="74">
        <f t="shared" si="83"/>
        <v>60</v>
      </c>
      <c r="T211" s="74">
        <f t="shared" si="71"/>
        <v>36</v>
      </c>
      <c r="U211" s="74"/>
      <c r="V211" s="74">
        <f t="shared" si="99"/>
        <v>0</v>
      </c>
      <c r="W211" s="74">
        <f t="shared" si="78"/>
        <v>20</v>
      </c>
      <c r="X211" s="74">
        <f t="shared" si="52"/>
        <v>0</v>
      </c>
      <c r="Y211" s="74">
        <f t="shared" si="73"/>
        <v>3.5</v>
      </c>
      <c r="Z211" s="74">
        <f t="shared" si="104"/>
        <v>115</v>
      </c>
      <c r="AA211" s="74">
        <f t="shared" si="72"/>
        <v>306</v>
      </c>
      <c r="AB211" s="74">
        <f t="shared" si="87"/>
        <v>60</v>
      </c>
      <c r="AC211" s="74">
        <f t="shared" si="95"/>
        <v>1.6</v>
      </c>
      <c r="AD211" s="74">
        <f t="shared" si="80"/>
        <v>180</v>
      </c>
      <c r="AE211" s="74">
        <f t="shared" si="84"/>
        <v>1.1000000000000001</v>
      </c>
      <c r="AF211" s="74">
        <f t="shared" si="90"/>
        <v>275</v>
      </c>
      <c r="AG211" s="74">
        <f t="shared" si="97"/>
        <v>18</v>
      </c>
      <c r="AH211" s="74">
        <f t="shared" si="88"/>
        <v>3</v>
      </c>
      <c r="AI211" s="74">
        <f t="shared" si="79"/>
        <v>47</v>
      </c>
      <c r="AJ211" s="74">
        <f t="shared" si="105"/>
        <v>90</v>
      </c>
      <c r="AK211" s="74">
        <f t="shared" si="111"/>
        <v>14</v>
      </c>
      <c r="AL211" s="74">
        <f t="shared" si="106"/>
        <v>45</v>
      </c>
      <c r="AM211" s="74">
        <v>46</v>
      </c>
      <c r="AN211" s="74">
        <f t="shared" si="112"/>
        <v>0.75</v>
      </c>
      <c r="AO211" s="74">
        <f t="shared" si="100"/>
        <v>19</v>
      </c>
      <c r="AP211" s="74">
        <v>7.5</v>
      </c>
      <c r="AQ211" s="74">
        <v>5</v>
      </c>
      <c r="AR211" s="74">
        <f t="shared" si="101"/>
        <v>120</v>
      </c>
      <c r="AS211" s="74">
        <f t="shared" si="103"/>
        <v>120</v>
      </c>
      <c r="AT211" s="74">
        <f t="shared" si="96"/>
        <v>55</v>
      </c>
      <c r="AU211" s="74"/>
      <c r="AV211" s="74"/>
      <c r="AW211" s="74">
        <f t="shared" si="74"/>
        <v>5025.25</v>
      </c>
      <c r="AX211" s="83">
        <f t="shared" si="98"/>
        <v>5176.9449999999997</v>
      </c>
      <c r="AY211" s="62">
        <f>'[1]D4 Gallon Forecast'!$S155/1000000</f>
        <v>0</v>
      </c>
      <c r="AZ211" s="62">
        <f>'[1]D4 Gallon Forecast'!$S187/1000000</f>
        <v>225.31429885220356</v>
      </c>
      <c r="BA211" s="62">
        <f t="shared" si="92"/>
        <v>225.31429885220356</v>
      </c>
      <c r="BB211" s="62">
        <f>'[1]D4 Gallon Forecast'!$S171/1000000</f>
        <v>0</v>
      </c>
      <c r="BC211" s="63">
        <f>'[1]D4 Gallon Forecast'!$S347/1000000</f>
        <v>113.97848488508038</v>
      </c>
      <c r="BD211" s="64">
        <f>'[1]D4 Gallon Forecast'!$S363/1000000</f>
        <v>0</v>
      </c>
      <c r="BE211" s="64">
        <f t="shared" si="94"/>
        <v>113.97848488508038</v>
      </c>
      <c r="BF211" s="76">
        <f t="shared" si="54"/>
        <v>339.29278373728391</v>
      </c>
      <c r="BG211" s="77">
        <f t="shared" si="59"/>
        <v>0.79739348247604602</v>
      </c>
      <c r="BH211" s="60"/>
      <c r="BI211" s="75">
        <f t="shared" si="75"/>
        <v>4462.8999999999996</v>
      </c>
      <c r="BJ211" s="75">
        <f t="shared" si="113"/>
        <v>714.04500000000007</v>
      </c>
      <c r="BK211" s="75">
        <f>'RD Feedstock Breakdown'!ES202</f>
        <v>2705.8167627810021</v>
      </c>
      <c r="BL211" s="78">
        <f t="shared" si="57"/>
        <v>7.974872713108244</v>
      </c>
      <c r="BM211" s="78">
        <f t="shared" si="55"/>
        <v>12.009076994069963</v>
      </c>
      <c r="BN211" s="60"/>
      <c r="BO211" s="60"/>
      <c r="BP211" s="60"/>
      <c r="BQ211" s="66">
        <f>'[1]D4 Gallon Forecast'!$S75/1000000</f>
        <v>126.06529859349772</v>
      </c>
      <c r="BR211" s="66">
        <f>'[1]D6 Gallon Forecast'!$S68/1000000</f>
        <v>0.63222255625221924</v>
      </c>
      <c r="BS211" s="66">
        <f t="shared" si="82"/>
        <v>126.69752114974993</v>
      </c>
      <c r="BT211" s="60"/>
      <c r="BU211" s="67">
        <f>'[2]US EIA'!$P348</f>
        <v>1024.3503325055788</v>
      </c>
      <c r="BV211" s="68">
        <f t="shared" si="66"/>
        <v>8.0850068983974008</v>
      </c>
      <c r="BW211" s="60"/>
      <c r="BX211" s="69">
        <f t="shared" si="67"/>
        <v>0.72811125076848071</v>
      </c>
      <c r="BY211" s="69">
        <f t="shared" si="68"/>
        <v>0.27188874923151923</v>
      </c>
      <c r="BZ211" s="60"/>
      <c r="CA211" s="60"/>
      <c r="CB211" s="84" t="e">
        <f>#REF!</f>
        <v>#REF!</v>
      </c>
      <c r="CC211" s="84" t="e">
        <f>#REF!</f>
        <v>#REF!</v>
      </c>
      <c r="CD211" s="84" t="e">
        <f t="shared" si="110"/>
        <v>#REF!</v>
      </c>
      <c r="CE211" s="60"/>
      <c r="CF211" s="84">
        <f>'RD Feedstock Breakdown'!GQ202*1000000</f>
        <v>908963908.99144781</v>
      </c>
      <c r="CG211" s="85" t="e">
        <f t="shared" si="109"/>
        <v>#REF!</v>
      </c>
      <c r="CH211" s="73">
        <f>'[2]US EIA'!$R348+AW211</f>
        <v>6882.0277777777756</v>
      </c>
    </row>
    <row r="212" spans="1:86" ht="13.5" x14ac:dyDescent="0.25">
      <c r="A212" s="59">
        <v>46600</v>
      </c>
      <c r="B212" s="74">
        <f t="shared" si="56"/>
        <v>690</v>
      </c>
      <c r="C212" s="74">
        <v>47</v>
      </c>
      <c r="D212" s="74">
        <f t="shared" si="108"/>
        <v>3</v>
      </c>
      <c r="E212" s="74">
        <f t="shared" si="60"/>
        <v>85</v>
      </c>
      <c r="F212" s="74">
        <f t="shared" si="91"/>
        <v>340</v>
      </c>
      <c r="G212" s="74">
        <f t="shared" si="107"/>
        <v>37.5</v>
      </c>
      <c r="H212" s="74">
        <f t="shared" si="81"/>
        <v>190</v>
      </c>
      <c r="I212" s="74">
        <f t="shared" si="93"/>
        <v>125</v>
      </c>
      <c r="J212" s="74">
        <f t="shared" si="114"/>
        <v>153.30000000000001</v>
      </c>
      <c r="K212" s="74">
        <f t="shared" si="61"/>
        <v>125</v>
      </c>
      <c r="L212" s="74">
        <v>125</v>
      </c>
      <c r="M212" s="74">
        <v>730</v>
      </c>
      <c r="N212" s="74">
        <f t="shared" si="102"/>
        <v>180</v>
      </c>
      <c r="O212" s="74">
        <v>375</v>
      </c>
      <c r="P212" s="74">
        <f t="shared" si="76"/>
        <v>50</v>
      </c>
      <c r="Q212" s="74">
        <f t="shared" si="77"/>
        <v>21</v>
      </c>
      <c r="R212" s="74">
        <v>100</v>
      </c>
      <c r="S212" s="74">
        <f t="shared" si="83"/>
        <v>60</v>
      </c>
      <c r="T212" s="74">
        <f t="shared" si="71"/>
        <v>36</v>
      </c>
      <c r="U212" s="74"/>
      <c r="V212" s="74">
        <f t="shared" si="99"/>
        <v>0</v>
      </c>
      <c r="W212" s="74">
        <f t="shared" si="78"/>
        <v>20</v>
      </c>
      <c r="X212" s="74">
        <f t="shared" si="52"/>
        <v>0</v>
      </c>
      <c r="Y212" s="74">
        <f t="shared" si="73"/>
        <v>3.5</v>
      </c>
      <c r="Z212" s="74">
        <f t="shared" si="104"/>
        <v>115</v>
      </c>
      <c r="AA212" s="74">
        <f t="shared" si="72"/>
        <v>306</v>
      </c>
      <c r="AB212" s="74">
        <f t="shared" si="87"/>
        <v>60</v>
      </c>
      <c r="AC212" s="74">
        <f t="shared" si="95"/>
        <v>1.6</v>
      </c>
      <c r="AD212" s="74">
        <f t="shared" si="80"/>
        <v>180</v>
      </c>
      <c r="AE212" s="74">
        <f t="shared" si="84"/>
        <v>1.1000000000000001</v>
      </c>
      <c r="AF212" s="74">
        <f t="shared" si="90"/>
        <v>275</v>
      </c>
      <c r="AG212" s="74">
        <f t="shared" si="97"/>
        <v>18</v>
      </c>
      <c r="AH212" s="74">
        <f t="shared" si="88"/>
        <v>3</v>
      </c>
      <c r="AI212" s="74">
        <f t="shared" si="79"/>
        <v>47</v>
      </c>
      <c r="AJ212" s="74">
        <f t="shared" si="105"/>
        <v>90</v>
      </c>
      <c r="AK212" s="74">
        <f t="shared" si="111"/>
        <v>14</v>
      </c>
      <c r="AL212" s="74">
        <f t="shared" si="106"/>
        <v>45</v>
      </c>
      <c r="AM212" s="74">
        <v>46</v>
      </c>
      <c r="AN212" s="74">
        <f t="shared" si="112"/>
        <v>0.75</v>
      </c>
      <c r="AO212" s="74">
        <f t="shared" si="100"/>
        <v>19</v>
      </c>
      <c r="AP212" s="74">
        <f>$AP$12*$AP$5</f>
        <v>9.5</v>
      </c>
      <c r="AQ212" s="74">
        <f t="shared" ref="AQ212:AQ275" si="115">$AQ$5*$AQ$12</f>
        <v>5</v>
      </c>
      <c r="AR212" s="74">
        <f t="shared" si="101"/>
        <v>120</v>
      </c>
      <c r="AS212" s="74">
        <f t="shared" si="103"/>
        <v>120</v>
      </c>
      <c r="AT212" s="74">
        <f t="shared" si="96"/>
        <v>55</v>
      </c>
      <c r="AU212" s="74"/>
      <c r="AV212" s="74"/>
      <c r="AW212" s="74">
        <f t="shared" si="74"/>
        <v>5027.25</v>
      </c>
      <c r="AX212" s="83">
        <f t="shared" si="98"/>
        <v>5178.9449999999997</v>
      </c>
      <c r="AY212" s="62">
        <f>'[1]D4 Gallon Forecast'!$S156/1000000</f>
        <v>0</v>
      </c>
      <c r="AZ212" s="62">
        <f>'[1]D4 Gallon Forecast'!$S188/1000000</f>
        <v>228.53866681966306</v>
      </c>
      <c r="BA212" s="62">
        <f t="shared" si="92"/>
        <v>228.53866681966306</v>
      </c>
      <c r="BB212" s="62">
        <f>'[1]D4 Gallon Forecast'!$S172/1000000</f>
        <v>0</v>
      </c>
      <c r="BC212" s="63">
        <f>'[1]D4 Gallon Forecast'!$S348/1000000</f>
        <v>124.36578844880567</v>
      </c>
      <c r="BD212" s="64">
        <f>'[1]D4 Gallon Forecast'!$S364/1000000</f>
        <v>0</v>
      </c>
      <c r="BE212" s="64">
        <f t="shared" si="94"/>
        <v>124.36578844880567</v>
      </c>
      <c r="BF212" s="76">
        <f t="shared" si="54"/>
        <v>352.90445526846872</v>
      </c>
      <c r="BG212" s="77">
        <f t="shared" si="59"/>
        <v>0.80231888162918652</v>
      </c>
      <c r="BH212" s="60"/>
      <c r="BI212" s="75">
        <f t="shared" si="75"/>
        <v>4462.8999999999996</v>
      </c>
      <c r="BJ212" s="75">
        <f t="shared" si="113"/>
        <v>716.04500000000007</v>
      </c>
      <c r="BK212" s="75">
        <f>'RD Feedstock Breakdown'!ES203</f>
        <v>2814.4915538527544</v>
      </c>
      <c r="BL212" s="78">
        <f t="shared" si="57"/>
        <v>7.9752225052292314</v>
      </c>
      <c r="BM212" s="78">
        <f t="shared" si="55"/>
        <v>12.315165713614816</v>
      </c>
      <c r="BN212" s="60"/>
      <c r="BO212" s="60"/>
      <c r="BP212" s="60"/>
      <c r="BQ212" s="66">
        <f>'[1]D4 Gallon Forecast'!$S76/1000000</f>
        <v>131.43391838240549</v>
      </c>
      <c r="BR212" s="66">
        <f>'[1]D6 Gallon Forecast'!$S69/1000000</f>
        <v>0.65674683779801779</v>
      </c>
      <c r="BS212" s="66">
        <f t="shared" si="82"/>
        <v>132.0906652202035</v>
      </c>
      <c r="BT212" s="60"/>
      <c r="BU212" s="67">
        <f>'[2]US EIA'!$P349</f>
        <v>1030.3015358511564</v>
      </c>
      <c r="BV212" s="68">
        <f t="shared" si="66"/>
        <v>7.7999572046486287</v>
      </c>
      <c r="BW212" s="60"/>
      <c r="BX212" s="69">
        <f t="shared" si="67"/>
        <v>0.72764537282950115</v>
      </c>
      <c r="BY212" s="69">
        <f t="shared" si="68"/>
        <v>0.27235462717049885</v>
      </c>
      <c r="BZ212" s="60"/>
      <c r="CA212" s="60"/>
      <c r="CB212" s="84" t="e">
        <f>#REF!</f>
        <v>#REF!</v>
      </c>
      <c r="CC212" s="84" t="e">
        <f>#REF!</f>
        <v>#REF!</v>
      </c>
      <c r="CD212" s="84" t="e">
        <f t="shared" si="110"/>
        <v>#REF!</v>
      </c>
      <c r="CE212" s="60"/>
      <c r="CF212" s="84">
        <f>'RD Feedstock Breakdown'!GQ203*1000000</f>
        <v>991844834.91749239</v>
      </c>
      <c r="CG212" s="85" t="e">
        <f t="shared" si="109"/>
        <v>#REF!</v>
      </c>
      <c r="CH212" s="73">
        <f>'[2]US EIA'!$R349+AW212</f>
        <v>6883.4722222222199</v>
      </c>
    </row>
    <row r="213" spans="1:86" ht="13.5" x14ac:dyDescent="0.25">
      <c r="A213" s="59">
        <v>46631</v>
      </c>
      <c r="B213" s="74">
        <f t="shared" si="56"/>
        <v>690</v>
      </c>
      <c r="C213" s="74">
        <v>47</v>
      </c>
      <c r="D213" s="74">
        <f t="shared" si="108"/>
        <v>3</v>
      </c>
      <c r="E213" s="74">
        <f t="shared" si="60"/>
        <v>85</v>
      </c>
      <c r="F213" s="74">
        <f t="shared" si="91"/>
        <v>340</v>
      </c>
      <c r="G213" s="74">
        <f t="shared" si="107"/>
        <v>37.5</v>
      </c>
      <c r="H213" s="74">
        <f t="shared" si="81"/>
        <v>190</v>
      </c>
      <c r="I213" s="74">
        <f t="shared" si="93"/>
        <v>125</v>
      </c>
      <c r="J213" s="74">
        <f t="shared" si="114"/>
        <v>153.30000000000001</v>
      </c>
      <c r="K213" s="74">
        <f t="shared" si="61"/>
        <v>125</v>
      </c>
      <c r="L213" s="74">
        <v>125</v>
      </c>
      <c r="M213" s="74">
        <v>730</v>
      </c>
      <c r="N213" s="74">
        <f t="shared" si="102"/>
        <v>180</v>
      </c>
      <c r="O213" s="74">
        <v>375</v>
      </c>
      <c r="P213" s="74">
        <f t="shared" si="76"/>
        <v>50</v>
      </c>
      <c r="Q213" s="74">
        <f t="shared" si="77"/>
        <v>21</v>
      </c>
      <c r="R213" s="74">
        <v>100</v>
      </c>
      <c r="S213" s="74">
        <f t="shared" si="83"/>
        <v>60</v>
      </c>
      <c r="T213" s="74">
        <f t="shared" si="71"/>
        <v>36</v>
      </c>
      <c r="U213" s="74"/>
      <c r="V213" s="74">
        <f t="shared" si="99"/>
        <v>0</v>
      </c>
      <c r="W213" s="74">
        <f t="shared" si="78"/>
        <v>20</v>
      </c>
      <c r="X213" s="74">
        <f t="shared" ref="X213:X276" si="116">16.1*$X$12</f>
        <v>0</v>
      </c>
      <c r="Y213" s="74">
        <f t="shared" si="73"/>
        <v>3.5</v>
      </c>
      <c r="Z213" s="74">
        <f t="shared" si="104"/>
        <v>115</v>
      </c>
      <c r="AA213" s="74">
        <f t="shared" si="72"/>
        <v>306</v>
      </c>
      <c r="AB213" s="74">
        <f t="shared" si="87"/>
        <v>60</v>
      </c>
      <c r="AC213" s="74">
        <f t="shared" si="95"/>
        <v>1.6</v>
      </c>
      <c r="AD213" s="74">
        <f t="shared" si="80"/>
        <v>180</v>
      </c>
      <c r="AE213" s="74">
        <f t="shared" si="84"/>
        <v>1.1000000000000001</v>
      </c>
      <c r="AF213" s="74">
        <f t="shared" si="90"/>
        <v>275</v>
      </c>
      <c r="AG213" s="74">
        <f t="shared" si="97"/>
        <v>18</v>
      </c>
      <c r="AH213" s="74">
        <f t="shared" si="88"/>
        <v>3</v>
      </c>
      <c r="AI213" s="74">
        <f t="shared" si="79"/>
        <v>47</v>
      </c>
      <c r="AJ213" s="74">
        <f t="shared" si="105"/>
        <v>90</v>
      </c>
      <c r="AK213" s="74">
        <f t="shared" si="111"/>
        <v>14</v>
      </c>
      <c r="AL213" s="74">
        <f t="shared" si="106"/>
        <v>45</v>
      </c>
      <c r="AM213" s="74">
        <v>46</v>
      </c>
      <c r="AN213" s="74">
        <f t="shared" si="112"/>
        <v>0.75</v>
      </c>
      <c r="AO213" s="74">
        <f t="shared" si="100"/>
        <v>19</v>
      </c>
      <c r="AP213" s="74">
        <f t="shared" si="100"/>
        <v>19</v>
      </c>
      <c r="AQ213" s="74">
        <f t="shared" si="115"/>
        <v>5</v>
      </c>
      <c r="AR213" s="74">
        <f t="shared" si="101"/>
        <v>120</v>
      </c>
      <c r="AS213" s="74">
        <f t="shared" si="103"/>
        <v>120</v>
      </c>
      <c r="AT213" s="74">
        <f t="shared" si="96"/>
        <v>55</v>
      </c>
      <c r="AU213" s="74"/>
      <c r="AV213" s="74"/>
      <c r="AW213" s="74">
        <f t="shared" si="74"/>
        <v>5036.75</v>
      </c>
      <c r="AX213" s="83">
        <f t="shared" si="98"/>
        <v>5188.4449999999997</v>
      </c>
      <c r="AY213" s="62">
        <f>'[1]D4 Gallon Forecast'!$S157/1000000</f>
        <v>0</v>
      </c>
      <c r="AZ213" s="62">
        <f>'[1]D4 Gallon Forecast'!$S189/1000000</f>
        <v>232.70396382966334</v>
      </c>
      <c r="BA213" s="62">
        <f t="shared" si="92"/>
        <v>232.70396382966334</v>
      </c>
      <c r="BB213" s="62">
        <f>'[1]D4 Gallon Forecast'!$S173/1000000</f>
        <v>0</v>
      </c>
      <c r="BC213" s="63">
        <f>'[1]D4 Gallon Forecast'!$S349/1000000</f>
        <v>150.93632087113687</v>
      </c>
      <c r="BD213" s="64">
        <f>'[1]D4 Gallon Forecast'!$S365/1000000</f>
        <v>0</v>
      </c>
      <c r="BE213" s="64">
        <f t="shared" si="94"/>
        <v>150.93632087113687</v>
      </c>
      <c r="BF213" s="76">
        <f t="shared" ref="BF213:BF276" si="117">BA213+BE213</f>
        <v>383.64028470080018</v>
      </c>
      <c r="BG213" s="77">
        <f t="shared" si="59"/>
        <v>0.87059898775558975</v>
      </c>
      <c r="BH213" s="60"/>
      <c r="BI213" s="75">
        <f t="shared" si="75"/>
        <v>4462.8999999999996</v>
      </c>
      <c r="BJ213" s="75">
        <f t="shared" si="113"/>
        <v>725.54500000000007</v>
      </c>
      <c r="BK213" s="75">
        <f>'RD Feedstock Breakdown'!ES204</f>
        <v>3064.1494041978999</v>
      </c>
      <c r="BL213" s="78">
        <f t="shared" si="57"/>
        <v>7.9870376662545235</v>
      </c>
      <c r="BM213" s="78">
        <f t="shared" ref="BM213:BM276" si="118">BK213/BA213</f>
        <v>13.167585776238958</v>
      </c>
      <c r="BN213" s="60"/>
      <c r="BO213" s="60"/>
      <c r="BP213" s="60"/>
      <c r="BQ213" s="66">
        <f>'[1]D4 Gallon Forecast'!$S77/1000000</f>
        <v>123.93683190819335</v>
      </c>
      <c r="BR213" s="66">
        <f>'[1]D6 Gallon Forecast'!$S70/1000000</f>
        <v>0.65567093715991076</v>
      </c>
      <c r="BS213" s="66">
        <f t="shared" si="82"/>
        <v>124.59250284535327</v>
      </c>
      <c r="BT213" s="60"/>
      <c r="BU213" s="67">
        <f>'[2]US EIA'!$P350</f>
        <v>986.34476813968524</v>
      </c>
      <c r="BV213" s="68">
        <f t="shared" si="66"/>
        <v>7.9165659699761894</v>
      </c>
      <c r="BW213" s="60"/>
      <c r="BX213" s="69">
        <f t="shared" si="67"/>
        <v>0.75485150525823008</v>
      </c>
      <c r="BY213" s="69">
        <f t="shared" si="68"/>
        <v>0.24514849474176995</v>
      </c>
      <c r="BZ213" s="60"/>
      <c r="CA213" s="60"/>
      <c r="CB213" s="84" t="e">
        <f>#REF!</f>
        <v>#REF!</v>
      </c>
      <c r="CC213" s="84" t="e">
        <f>#REF!</f>
        <v>#REF!</v>
      </c>
      <c r="CD213" s="84" t="e">
        <f t="shared" si="110"/>
        <v>#REF!</v>
      </c>
      <c r="CE213" s="60"/>
      <c r="CF213" s="84">
        <f>'RD Feedstock Breakdown'!GQ204*1000000</f>
        <v>1205534080.003649</v>
      </c>
      <c r="CG213" s="85" t="e">
        <f t="shared" si="109"/>
        <v>#REF!</v>
      </c>
      <c r="CH213" s="73">
        <f>'[2]US EIA'!$R350+AW213</f>
        <v>6892.4166666666642</v>
      </c>
    </row>
    <row r="214" spans="1:86" ht="13.5" x14ac:dyDescent="0.25">
      <c r="A214" s="59">
        <v>46661</v>
      </c>
      <c r="B214" s="74">
        <f t="shared" ref="B214:B277" si="119">690*$B$12</f>
        <v>690</v>
      </c>
      <c r="C214" s="74">
        <v>47</v>
      </c>
      <c r="D214" s="74">
        <f t="shared" si="108"/>
        <v>3</v>
      </c>
      <c r="E214" s="74">
        <f t="shared" si="60"/>
        <v>85</v>
      </c>
      <c r="F214" s="74">
        <f t="shared" si="91"/>
        <v>340</v>
      </c>
      <c r="G214" s="74">
        <f t="shared" si="107"/>
        <v>37.5</v>
      </c>
      <c r="H214" s="74">
        <f t="shared" si="81"/>
        <v>190</v>
      </c>
      <c r="I214" s="74">
        <f t="shared" si="93"/>
        <v>125</v>
      </c>
      <c r="J214" s="74">
        <f t="shared" si="114"/>
        <v>153.30000000000001</v>
      </c>
      <c r="K214" s="74">
        <f t="shared" si="61"/>
        <v>125</v>
      </c>
      <c r="L214" s="74">
        <v>125</v>
      </c>
      <c r="M214" s="74">
        <v>730</v>
      </c>
      <c r="N214" s="74">
        <f t="shared" si="102"/>
        <v>180</v>
      </c>
      <c r="O214" s="74">
        <v>375</v>
      </c>
      <c r="P214" s="74">
        <f t="shared" si="76"/>
        <v>50</v>
      </c>
      <c r="Q214" s="74">
        <f t="shared" si="77"/>
        <v>21</v>
      </c>
      <c r="R214" s="74">
        <v>100</v>
      </c>
      <c r="S214" s="74">
        <f t="shared" si="83"/>
        <v>60</v>
      </c>
      <c r="T214" s="74">
        <f t="shared" si="71"/>
        <v>36</v>
      </c>
      <c r="U214" s="74"/>
      <c r="V214" s="74">
        <f t="shared" si="99"/>
        <v>0</v>
      </c>
      <c r="W214" s="74">
        <f t="shared" si="78"/>
        <v>20</v>
      </c>
      <c r="X214" s="74">
        <f t="shared" si="116"/>
        <v>0</v>
      </c>
      <c r="Y214" s="74">
        <f t="shared" si="73"/>
        <v>3.5</v>
      </c>
      <c r="Z214" s="74">
        <f t="shared" si="104"/>
        <v>115</v>
      </c>
      <c r="AA214" s="74">
        <f t="shared" si="72"/>
        <v>306</v>
      </c>
      <c r="AB214" s="74">
        <f t="shared" si="87"/>
        <v>60</v>
      </c>
      <c r="AC214" s="74">
        <f t="shared" si="95"/>
        <v>1.6</v>
      </c>
      <c r="AD214" s="74">
        <f t="shared" si="80"/>
        <v>180</v>
      </c>
      <c r="AE214" s="74">
        <f t="shared" si="84"/>
        <v>1.1000000000000001</v>
      </c>
      <c r="AF214" s="74">
        <f t="shared" si="90"/>
        <v>275</v>
      </c>
      <c r="AG214" s="74">
        <f t="shared" si="97"/>
        <v>18</v>
      </c>
      <c r="AH214" s="74">
        <f t="shared" si="88"/>
        <v>3</v>
      </c>
      <c r="AI214" s="74">
        <f t="shared" si="79"/>
        <v>47</v>
      </c>
      <c r="AJ214" s="74">
        <f t="shared" si="105"/>
        <v>90</v>
      </c>
      <c r="AK214" s="74">
        <f t="shared" si="111"/>
        <v>14</v>
      </c>
      <c r="AL214" s="74">
        <f t="shared" si="106"/>
        <v>45</v>
      </c>
      <c r="AM214" s="74">
        <v>46</v>
      </c>
      <c r="AN214" s="74">
        <f t="shared" si="112"/>
        <v>0.75</v>
      </c>
      <c r="AO214" s="74">
        <f t="shared" si="100"/>
        <v>19</v>
      </c>
      <c r="AP214" s="74">
        <f t="shared" si="100"/>
        <v>19</v>
      </c>
      <c r="AQ214" s="74">
        <f t="shared" si="115"/>
        <v>5</v>
      </c>
      <c r="AR214" s="74">
        <f t="shared" si="101"/>
        <v>120</v>
      </c>
      <c r="AS214" s="74">
        <f t="shared" si="103"/>
        <v>120</v>
      </c>
      <c r="AT214" s="74">
        <f t="shared" si="96"/>
        <v>55</v>
      </c>
      <c r="AU214" s="74"/>
      <c r="AV214" s="74"/>
      <c r="AW214" s="74">
        <f t="shared" si="74"/>
        <v>5036.75</v>
      </c>
      <c r="AX214" s="83">
        <f t="shared" si="98"/>
        <v>5188.4449999999997</v>
      </c>
      <c r="AY214" s="62">
        <f>'[1]D4 Gallon Forecast'!$S158/1000000</f>
        <v>0</v>
      </c>
      <c r="AZ214" s="62">
        <f>'[1]D4 Gallon Forecast'!$S190/1000000</f>
        <v>255.7108139617803</v>
      </c>
      <c r="BA214" s="62">
        <f t="shared" si="92"/>
        <v>255.7108139617803</v>
      </c>
      <c r="BB214" s="62">
        <f>'[1]D4 Gallon Forecast'!$S174/1000000</f>
        <v>0</v>
      </c>
      <c r="BC214" s="63">
        <f>'[1]D4 Gallon Forecast'!$S350/1000000</f>
        <v>146.98740750142557</v>
      </c>
      <c r="BD214" s="64">
        <f>'[1]D4 Gallon Forecast'!$S366/1000000</f>
        <v>0</v>
      </c>
      <c r="BE214" s="64">
        <f t="shared" si="94"/>
        <v>146.98740750142557</v>
      </c>
      <c r="BF214" s="76">
        <f t="shared" si="117"/>
        <v>402.69822146320587</v>
      </c>
      <c r="BG214" s="77">
        <f t="shared" si="59"/>
        <v>0.94430894570576318</v>
      </c>
      <c r="BH214" s="60"/>
      <c r="BI214" s="75">
        <f t="shared" si="75"/>
        <v>4462.8999999999996</v>
      </c>
      <c r="BJ214" s="75">
        <f t="shared" si="113"/>
        <v>725.54500000000007</v>
      </c>
      <c r="BK214" s="75">
        <f>'RD Feedstock Breakdown'!ES205</f>
        <v>3192.5970969369782</v>
      </c>
      <c r="BL214" s="78">
        <f t="shared" ref="BL214:BL277" si="120">BK214/BF214</f>
        <v>7.9280138991840134</v>
      </c>
      <c r="BM214" s="78">
        <f t="shared" si="118"/>
        <v>12.485186087648833</v>
      </c>
      <c r="BN214" s="60"/>
      <c r="BO214" s="60"/>
      <c r="BP214" s="60"/>
      <c r="BQ214" s="66">
        <f>'[1]D4 Gallon Forecast'!$S78/1000000</f>
        <v>126.17491654740903</v>
      </c>
      <c r="BR214" s="66">
        <f>'[1]D6 Gallon Forecast'!$S71/1000000</f>
        <v>0.6550496799020229</v>
      </c>
      <c r="BS214" s="66">
        <f t="shared" si="82"/>
        <v>126.82996622731105</v>
      </c>
      <c r="BT214" s="60"/>
      <c r="BU214" s="67">
        <f>'[2]US EIA'!$P351</f>
        <v>989.21880216068462</v>
      </c>
      <c r="BV214" s="68">
        <f t="shared" si="66"/>
        <v>7.7995668656708217</v>
      </c>
      <c r="BW214" s="60"/>
      <c r="BX214" s="69">
        <f t="shared" si="67"/>
        <v>0.76048495778767322</v>
      </c>
      <c r="BY214" s="69">
        <f t="shared" si="68"/>
        <v>0.23951504221232675</v>
      </c>
      <c r="BZ214" s="60"/>
      <c r="CA214" s="60"/>
      <c r="CB214" s="84" t="e">
        <f>#REF!</f>
        <v>#REF!</v>
      </c>
      <c r="CC214" s="84" t="e">
        <f>#REF!</f>
        <v>#REF!</v>
      </c>
      <c r="CD214" s="84" t="e">
        <f t="shared" si="110"/>
        <v>#REF!</v>
      </c>
      <c r="CE214" s="60"/>
      <c r="CF214" s="84">
        <f>'RD Feedstock Breakdown'!GQ205*1000000</f>
        <v>1165318209.6763265</v>
      </c>
      <c r="CG214" s="85" t="e">
        <f t="shared" si="109"/>
        <v>#REF!</v>
      </c>
      <c r="CH214" s="73">
        <f>'[2]US EIA'!$R351+AW214</f>
        <v>6891.8611111111086</v>
      </c>
    </row>
    <row r="215" spans="1:86" ht="13.5" x14ac:dyDescent="0.25">
      <c r="A215" s="59">
        <v>46692</v>
      </c>
      <c r="B215" s="74">
        <f t="shared" si="119"/>
        <v>690</v>
      </c>
      <c r="C215" s="74">
        <v>47</v>
      </c>
      <c r="D215" s="74">
        <f t="shared" si="108"/>
        <v>3</v>
      </c>
      <c r="E215" s="74">
        <f t="shared" si="60"/>
        <v>85</v>
      </c>
      <c r="F215" s="74">
        <f t="shared" si="91"/>
        <v>340</v>
      </c>
      <c r="G215" s="74">
        <f t="shared" si="107"/>
        <v>37.5</v>
      </c>
      <c r="H215" s="74">
        <f t="shared" si="81"/>
        <v>190</v>
      </c>
      <c r="I215" s="74">
        <f>$I$12*$I$5</f>
        <v>125</v>
      </c>
      <c r="J215" s="74">
        <f t="shared" si="114"/>
        <v>153.30000000000001</v>
      </c>
      <c r="K215" s="74">
        <f t="shared" si="61"/>
        <v>125</v>
      </c>
      <c r="L215" s="74">
        <v>125</v>
      </c>
      <c r="M215" s="74">
        <v>730</v>
      </c>
      <c r="N215" s="74">
        <f t="shared" si="102"/>
        <v>180</v>
      </c>
      <c r="O215" s="74">
        <v>375</v>
      </c>
      <c r="P215" s="74">
        <f t="shared" si="76"/>
        <v>50</v>
      </c>
      <c r="Q215" s="74">
        <f t="shared" si="77"/>
        <v>21</v>
      </c>
      <c r="R215" s="74">
        <v>100</v>
      </c>
      <c r="S215" s="74">
        <f t="shared" si="83"/>
        <v>60</v>
      </c>
      <c r="T215" s="74">
        <f t="shared" si="71"/>
        <v>36</v>
      </c>
      <c r="U215" s="74"/>
      <c r="V215" s="74">
        <f t="shared" si="99"/>
        <v>0</v>
      </c>
      <c r="W215" s="74">
        <f t="shared" si="78"/>
        <v>20</v>
      </c>
      <c r="X215" s="74">
        <f t="shared" si="116"/>
        <v>0</v>
      </c>
      <c r="Y215" s="74">
        <f t="shared" si="73"/>
        <v>3.5</v>
      </c>
      <c r="Z215" s="74">
        <f t="shared" si="104"/>
        <v>115</v>
      </c>
      <c r="AA215" s="74">
        <f t="shared" si="72"/>
        <v>306</v>
      </c>
      <c r="AB215" s="74">
        <f t="shared" si="87"/>
        <v>60</v>
      </c>
      <c r="AC215" s="74">
        <f t="shared" si="95"/>
        <v>1.6</v>
      </c>
      <c r="AD215" s="74">
        <f t="shared" si="80"/>
        <v>180</v>
      </c>
      <c r="AE215" s="74">
        <f t="shared" si="84"/>
        <v>1.1000000000000001</v>
      </c>
      <c r="AF215" s="74">
        <f t="shared" si="90"/>
        <v>275</v>
      </c>
      <c r="AG215" s="74">
        <f t="shared" si="97"/>
        <v>18</v>
      </c>
      <c r="AH215" s="74">
        <f t="shared" si="88"/>
        <v>3</v>
      </c>
      <c r="AI215" s="74">
        <f t="shared" si="79"/>
        <v>47</v>
      </c>
      <c r="AJ215" s="74">
        <f t="shared" si="105"/>
        <v>90</v>
      </c>
      <c r="AK215" s="74">
        <f t="shared" si="111"/>
        <v>14</v>
      </c>
      <c r="AL215" s="74">
        <f t="shared" si="106"/>
        <v>45</v>
      </c>
      <c r="AM215" s="74">
        <v>46</v>
      </c>
      <c r="AN215" s="74">
        <f t="shared" si="112"/>
        <v>0.75</v>
      </c>
      <c r="AO215" s="74">
        <f t="shared" si="100"/>
        <v>19</v>
      </c>
      <c r="AP215" s="74">
        <f t="shared" si="100"/>
        <v>19</v>
      </c>
      <c r="AQ215" s="74">
        <f t="shared" si="115"/>
        <v>5</v>
      </c>
      <c r="AR215" s="74">
        <f t="shared" si="101"/>
        <v>120</v>
      </c>
      <c r="AS215" s="74">
        <f t="shared" si="103"/>
        <v>120</v>
      </c>
      <c r="AT215" s="74">
        <f t="shared" si="96"/>
        <v>55</v>
      </c>
      <c r="AU215" s="74"/>
      <c r="AV215" s="74"/>
      <c r="AW215" s="74">
        <f t="shared" si="74"/>
        <v>5036.75</v>
      </c>
      <c r="AX215" s="83">
        <f t="shared" si="98"/>
        <v>5188.4449999999997</v>
      </c>
      <c r="AY215" s="62">
        <f>'[1]D4 Gallon Forecast'!$S159/1000000</f>
        <v>0</v>
      </c>
      <c r="AZ215" s="62">
        <f>'[1]D4 Gallon Forecast'!$S191/1000000</f>
        <v>310.68297621649333</v>
      </c>
      <c r="BA215" s="62">
        <f t="shared" si="92"/>
        <v>310.68297621649333</v>
      </c>
      <c r="BB215" s="62">
        <f>'[1]D4 Gallon Forecast'!$S175/1000000</f>
        <v>0</v>
      </c>
      <c r="BC215" s="63">
        <f>'[1]D4 Gallon Forecast'!$S351/1000000</f>
        <v>126.74184549121414</v>
      </c>
      <c r="BD215" s="64">
        <f>'[1]D4 Gallon Forecast'!$S367/1000000</f>
        <v>0</v>
      </c>
      <c r="BE215" s="64">
        <f t="shared" si="94"/>
        <v>126.74184549121414</v>
      </c>
      <c r="BF215" s="76">
        <f t="shared" si="117"/>
        <v>437.42482170770745</v>
      </c>
      <c r="BG215" s="77">
        <f t="shared" si="59"/>
        <v>0.99265281093955227</v>
      </c>
      <c r="BH215" s="60"/>
      <c r="BI215" s="75">
        <f t="shared" si="75"/>
        <v>4462.8999999999996</v>
      </c>
      <c r="BJ215" s="75">
        <f t="shared" si="113"/>
        <v>725.54500000000007</v>
      </c>
      <c r="BK215" s="75">
        <f>'RD Feedstock Breakdown'!ES206</f>
        <v>3463.5060798650525</v>
      </c>
      <c r="BL215" s="78">
        <f t="shared" si="120"/>
        <v>7.9179459143253856</v>
      </c>
      <c r="BM215" s="78">
        <f t="shared" si="118"/>
        <v>11.148039464677899</v>
      </c>
      <c r="BN215" s="60"/>
      <c r="BO215" s="60"/>
      <c r="BP215" s="60"/>
      <c r="BQ215" s="66">
        <f>'[1]D4 Gallon Forecast'!$S79/1000000</f>
        <v>120.80594443290494</v>
      </c>
      <c r="BR215" s="66">
        <f>'[1]D6 Gallon Forecast'!$S72/1000000</f>
        <v>0.67630259273756743</v>
      </c>
      <c r="BS215" s="66">
        <f t="shared" si="82"/>
        <v>121.48224702564251</v>
      </c>
      <c r="BT215" s="60"/>
      <c r="BU215" s="67">
        <f>'[2]US EIA'!$P352</f>
        <v>946.16213488537892</v>
      </c>
      <c r="BV215" s="68">
        <f t="shared" si="66"/>
        <v>7.7884806879285229</v>
      </c>
      <c r="BW215" s="60"/>
      <c r="BX215" s="69">
        <f t="shared" si="67"/>
        <v>0.78264320882368243</v>
      </c>
      <c r="BY215" s="69">
        <f t="shared" si="68"/>
        <v>0.21735679117631754</v>
      </c>
      <c r="BZ215" s="60"/>
      <c r="CA215" s="60"/>
      <c r="CB215" s="84" t="e">
        <f>#REF!</f>
        <v>#REF!</v>
      </c>
      <c r="CC215" s="84" t="e">
        <f>#REF!</f>
        <v>#REF!</v>
      </c>
      <c r="CD215" s="84" t="e">
        <f t="shared" si="110"/>
        <v>#REF!</v>
      </c>
      <c r="CE215" s="60"/>
      <c r="CF215" s="84">
        <f>'RD Feedstock Breakdown'!GQ206*1000000</f>
        <v>1003535077.6812186</v>
      </c>
      <c r="CG215" s="85" t="e">
        <f t="shared" si="109"/>
        <v>#REF!</v>
      </c>
      <c r="CH215" s="73">
        <f>'[2]US EIA'!$R352+AW215</f>
        <v>6891.3055555555529</v>
      </c>
    </row>
    <row r="216" spans="1:86" ht="13.5" x14ac:dyDescent="0.25">
      <c r="A216" s="59">
        <v>46722</v>
      </c>
      <c r="B216" s="74">
        <f t="shared" si="119"/>
        <v>690</v>
      </c>
      <c r="C216" s="74">
        <v>47</v>
      </c>
      <c r="D216" s="74">
        <f t="shared" si="108"/>
        <v>3</v>
      </c>
      <c r="E216" s="74">
        <f t="shared" si="60"/>
        <v>85</v>
      </c>
      <c r="F216" s="74">
        <f t="shared" si="91"/>
        <v>340</v>
      </c>
      <c r="G216" s="74">
        <f t="shared" si="107"/>
        <v>37.5</v>
      </c>
      <c r="H216" s="74">
        <f t="shared" si="81"/>
        <v>190</v>
      </c>
      <c r="I216" s="74">
        <f>$I$12*$I$5</f>
        <v>125</v>
      </c>
      <c r="J216" s="74">
        <f t="shared" si="114"/>
        <v>153.30000000000001</v>
      </c>
      <c r="K216" s="74">
        <f t="shared" si="61"/>
        <v>125</v>
      </c>
      <c r="L216" s="74">
        <v>125</v>
      </c>
      <c r="M216" s="74">
        <v>730</v>
      </c>
      <c r="N216" s="74">
        <f t="shared" si="102"/>
        <v>180</v>
      </c>
      <c r="O216" s="74">
        <v>375</v>
      </c>
      <c r="P216" s="74">
        <f t="shared" si="76"/>
        <v>50</v>
      </c>
      <c r="Q216" s="74">
        <f t="shared" si="77"/>
        <v>21</v>
      </c>
      <c r="R216" s="74">
        <v>100</v>
      </c>
      <c r="S216" s="74">
        <f t="shared" si="83"/>
        <v>60</v>
      </c>
      <c r="T216" s="74">
        <f t="shared" si="71"/>
        <v>36</v>
      </c>
      <c r="U216" s="74"/>
      <c r="V216" s="74">
        <f t="shared" si="99"/>
        <v>0</v>
      </c>
      <c r="W216" s="74">
        <f t="shared" si="78"/>
        <v>20</v>
      </c>
      <c r="X216" s="74">
        <f t="shared" si="116"/>
        <v>0</v>
      </c>
      <c r="Y216" s="74">
        <f t="shared" si="73"/>
        <v>3.5</v>
      </c>
      <c r="Z216" s="74">
        <f t="shared" si="104"/>
        <v>115</v>
      </c>
      <c r="AA216" s="74">
        <f t="shared" si="72"/>
        <v>306</v>
      </c>
      <c r="AB216" s="74">
        <f t="shared" si="87"/>
        <v>60</v>
      </c>
      <c r="AC216" s="74">
        <f t="shared" si="95"/>
        <v>1.6</v>
      </c>
      <c r="AD216" s="74">
        <f t="shared" si="80"/>
        <v>180</v>
      </c>
      <c r="AE216" s="74">
        <f t="shared" si="84"/>
        <v>1.1000000000000001</v>
      </c>
      <c r="AF216" s="74">
        <f t="shared" si="90"/>
        <v>275</v>
      </c>
      <c r="AG216" s="74">
        <f t="shared" si="97"/>
        <v>18</v>
      </c>
      <c r="AH216" s="74">
        <f t="shared" si="88"/>
        <v>3</v>
      </c>
      <c r="AI216" s="74">
        <f t="shared" si="79"/>
        <v>47</v>
      </c>
      <c r="AJ216" s="74">
        <f t="shared" si="105"/>
        <v>90</v>
      </c>
      <c r="AK216" s="74">
        <f t="shared" si="111"/>
        <v>14</v>
      </c>
      <c r="AL216" s="74">
        <f t="shared" si="106"/>
        <v>45</v>
      </c>
      <c r="AM216" s="74">
        <v>46</v>
      </c>
      <c r="AN216" s="74">
        <f t="shared" si="112"/>
        <v>0.75</v>
      </c>
      <c r="AO216" s="74">
        <f t="shared" si="100"/>
        <v>19</v>
      </c>
      <c r="AP216" s="74">
        <f t="shared" si="100"/>
        <v>19</v>
      </c>
      <c r="AQ216" s="74">
        <f t="shared" si="115"/>
        <v>5</v>
      </c>
      <c r="AR216" s="74">
        <f t="shared" si="101"/>
        <v>120</v>
      </c>
      <c r="AS216" s="74">
        <f t="shared" si="103"/>
        <v>120</v>
      </c>
      <c r="AT216" s="74">
        <f t="shared" si="96"/>
        <v>55</v>
      </c>
      <c r="AU216" s="74"/>
      <c r="AV216" s="74"/>
      <c r="AW216" s="74">
        <f t="shared" si="74"/>
        <v>5036.75</v>
      </c>
      <c r="AX216" s="83">
        <f t="shared" si="98"/>
        <v>5188.4449999999997</v>
      </c>
      <c r="AY216" s="62">
        <f>'[1]D4 Gallon Forecast'!$S160/1000000</f>
        <v>0</v>
      </c>
      <c r="AZ216" s="62">
        <f>'[1]D4 Gallon Forecast'!$S192/1000000</f>
        <v>352.52289118653442</v>
      </c>
      <c r="BA216" s="62">
        <f t="shared" si="92"/>
        <v>352.52289118653442</v>
      </c>
      <c r="BB216" s="62">
        <f>'[1]D4 Gallon Forecast'!$S176/1000000</f>
        <v>0</v>
      </c>
      <c r="BC216" s="63">
        <f>'[1]D4 Gallon Forecast'!$S352/1000000</f>
        <v>113.36904915085674</v>
      </c>
      <c r="BD216" s="64">
        <f>'[1]D4 Gallon Forecast'!$S368/1000000</f>
        <v>0</v>
      </c>
      <c r="BE216" s="64">
        <f t="shared" si="94"/>
        <v>113.36904915085674</v>
      </c>
      <c r="BF216" s="76">
        <f t="shared" si="117"/>
        <v>465.89194033739113</v>
      </c>
      <c r="BG216" s="77">
        <f t="shared" ref="BG216:BG279" si="121">(BF216/(A216-A215)*365)/AX216</f>
        <v>1.0924953316015864</v>
      </c>
      <c r="BH216" s="77">
        <f>AVERAGE(BG205:BG216)</f>
        <v>0.81167395319086821</v>
      </c>
      <c r="BI216" s="75">
        <f t="shared" si="75"/>
        <v>4462.8999999999996</v>
      </c>
      <c r="BJ216" s="75">
        <f t="shared" si="113"/>
        <v>725.54500000000007</v>
      </c>
      <c r="BK216" s="75">
        <f>'RD Feedstock Breakdown'!ES207</f>
        <v>4051.0983243005171</v>
      </c>
      <c r="BL216" s="78">
        <f t="shared" si="120"/>
        <v>8.6953603905806567</v>
      </c>
      <c r="BM216" s="78">
        <f t="shared" si="118"/>
        <v>11.491731248047985</v>
      </c>
      <c r="BN216" s="60"/>
      <c r="BO216" s="60"/>
      <c r="BP216" s="60"/>
      <c r="BQ216" s="66">
        <f>'[1]D4 Gallon Forecast'!$S80/1000000</f>
        <v>156.02892425371695</v>
      </c>
      <c r="BR216" s="66">
        <f>'[1]D6 Gallon Forecast'!$S73/1000000</f>
        <v>0.63604349192100129</v>
      </c>
      <c r="BS216" s="66">
        <f t="shared" si="82"/>
        <v>156.66496774563797</v>
      </c>
      <c r="BT216" s="60"/>
      <c r="BU216" s="67">
        <f>'[2]US EIA'!$P353</f>
        <v>1127.7448650508711</v>
      </c>
      <c r="BV216" s="68">
        <f t="shared" si="66"/>
        <v>7.1984495403074629</v>
      </c>
      <c r="BW216" s="60"/>
      <c r="BX216" s="69">
        <f t="shared" si="67"/>
        <v>0.74835237435877278</v>
      </c>
      <c r="BY216" s="69">
        <f t="shared" si="68"/>
        <v>0.25164762564122711</v>
      </c>
      <c r="BZ216" s="60"/>
      <c r="CA216" s="60"/>
      <c r="CB216" s="84" t="e">
        <f>#REF!</f>
        <v>#REF!</v>
      </c>
      <c r="CC216" s="84" t="e">
        <f>#REF!</f>
        <v>#REF!</v>
      </c>
      <c r="CD216" s="84" t="e">
        <f t="shared" si="110"/>
        <v>#REF!</v>
      </c>
      <c r="CE216" s="60"/>
      <c r="CF216" s="84">
        <f>'RD Feedstock Breakdown'!GQ207*1000000</f>
        <v>902323983.44348192</v>
      </c>
      <c r="CG216" s="85" t="e">
        <f t="shared" si="109"/>
        <v>#REF!</v>
      </c>
      <c r="CH216" s="73">
        <f>'[2]US EIA'!$R353+AW216</f>
        <v>6890.7499999999973</v>
      </c>
    </row>
    <row r="217" spans="1:86" ht="13.5" x14ac:dyDescent="0.25">
      <c r="A217" s="59">
        <v>46753</v>
      </c>
      <c r="B217" s="74">
        <f t="shared" si="119"/>
        <v>690</v>
      </c>
      <c r="C217" s="74">
        <v>47</v>
      </c>
      <c r="D217" s="74">
        <f t="shared" si="108"/>
        <v>3</v>
      </c>
      <c r="E217" s="74">
        <f t="shared" si="60"/>
        <v>85</v>
      </c>
      <c r="F217" s="74">
        <f t="shared" si="91"/>
        <v>340</v>
      </c>
      <c r="G217" s="74">
        <f t="shared" si="107"/>
        <v>37.5</v>
      </c>
      <c r="H217" s="74">
        <f t="shared" si="81"/>
        <v>190</v>
      </c>
      <c r="I217" s="74">
        <f>$I$12*$I$5*2</f>
        <v>250</v>
      </c>
      <c r="J217" s="74">
        <f t="shared" si="114"/>
        <v>153.30000000000001</v>
      </c>
      <c r="K217" s="74">
        <f t="shared" si="61"/>
        <v>125</v>
      </c>
      <c r="L217" s="74">
        <v>125</v>
      </c>
      <c r="M217" s="74">
        <v>730</v>
      </c>
      <c r="N217" s="74">
        <f t="shared" si="102"/>
        <v>180</v>
      </c>
      <c r="O217" s="74">
        <v>375</v>
      </c>
      <c r="P217" s="74">
        <f t="shared" si="76"/>
        <v>50</v>
      </c>
      <c r="Q217" s="74">
        <f t="shared" si="77"/>
        <v>21</v>
      </c>
      <c r="R217" s="74">
        <v>100</v>
      </c>
      <c r="S217" s="74">
        <f t="shared" si="83"/>
        <v>60</v>
      </c>
      <c r="T217" s="74">
        <f t="shared" si="71"/>
        <v>36</v>
      </c>
      <c r="U217" s="74"/>
      <c r="V217" s="74">
        <f t="shared" si="99"/>
        <v>0</v>
      </c>
      <c r="W217" s="74">
        <f t="shared" si="78"/>
        <v>20</v>
      </c>
      <c r="X217" s="74">
        <f t="shared" si="116"/>
        <v>0</v>
      </c>
      <c r="Y217" s="74">
        <f t="shared" si="73"/>
        <v>3.5</v>
      </c>
      <c r="Z217" s="74">
        <f t="shared" si="104"/>
        <v>115</v>
      </c>
      <c r="AA217" s="74">
        <f t="shared" si="72"/>
        <v>306</v>
      </c>
      <c r="AB217" s="74">
        <f t="shared" si="87"/>
        <v>60</v>
      </c>
      <c r="AC217" s="74">
        <f t="shared" si="95"/>
        <v>1.6</v>
      </c>
      <c r="AD217" s="74">
        <f t="shared" si="80"/>
        <v>180</v>
      </c>
      <c r="AE217" s="74">
        <f t="shared" si="84"/>
        <v>1.1000000000000001</v>
      </c>
      <c r="AF217" s="74">
        <f t="shared" si="90"/>
        <v>275</v>
      </c>
      <c r="AG217" s="74">
        <f t="shared" si="97"/>
        <v>18</v>
      </c>
      <c r="AH217" s="74">
        <f t="shared" si="88"/>
        <v>3</v>
      </c>
      <c r="AI217" s="74">
        <f t="shared" si="79"/>
        <v>47</v>
      </c>
      <c r="AJ217" s="74">
        <f t="shared" si="105"/>
        <v>90</v>
      </c>
      <c r="AK217" s="74">
        <f t="shared" si="111"/>
        <v>14</v>
      </c>
      <c r="AL217" s="74">
        <f t="shared" si="106"/>
        <v>45</v>
      </c>
      <c r="AM217" s="74">
        <v>46</v>
      </c>
      <c r="AN217" s="74">
        <f t="shared" si="112"/>
        <v>0.75</v>
      </c>
      <c r="AO217" s="74">
        <f t="shared" si="100"/>
        <v>19</v>
      </c>
      <c r="AP217" s="74">
        <f t="shared" si="100"/>
        <v>19</v>
      </c>
      <c r="AQ217" s="74">
        <f t="shared" si="115"/>
        <v>5</v>
      </c>
      <c r="AR217" s="74">
        <f t="shared" si="101"/>
        <v>120</v>
      </c>
      <c r="AS217" s="74">
        <f t="shared" si="103"/>
        <v>120</v>
      </c>
      <c r="AT217" s="74">
        <f t="shared" si="96"/>
        <v>55</v>
      </c>
      <c r="AU217" s="74"/>
      <c r="AV217" s="74"/>
      <c r="AW217" s="74">
        <f t="shared" si="74"/>
        <v>5161.7500000000009</v>
      </c>
      <c r="AX217" s="83">
        <f t="shared" si="98"/>
        <v>5313.4449999999997</v>
      </c>
      <c r="AY217" s="62">
        <f>'[1]D4 Gallon Forecast'!$T149/1000000</f>
        <v>0</v>
      </c>
      <c r="AZ217" s="62">
        <f>'[1]D4 Gallon Forecast'!$T181/1000000</f>
        <v>187.50308312669492</v>
      </c>
      <c r="BA217" s="62">
        <f t="shared" si="92"/>
        <v>187.50308312669492</v>
      </c>
      <c r="BB217" s="62">
        <f>'[1]D4 Gallon Forecast'!$T165/1000000</f>
        <v>0</v>
      </c>
      <c r="BC217" s="63">
        <f>'[1]D4 Gallon Forecast'!$T341/1000000</f>
        <v>89.387901643266886</v>
      </c>
      <c r="BD217" s="64">
        <f>'[1]D4 Gallon Forecast'!$T357/1000000</f>
        <v>0</v>
      </c>
      <c r="BE217" s="64">
        <f t="shared" si="94"/>
        <v>89.387901643266886</v>
      </c>
      <c r="BF217" s="76">
        <f t="shared" si="117"/>
        <v>276.89098476996179</v>
      </c>
      <c r="BG217" s="77">
        <f t="shared" si="121"/>
        <v>0.61356954790819029</v>
      </c>
      <c r="BH217" s="60"/>
      <c r="BI217" s="75">
        <f t="shared" si="75"/>
        <v>4587.9000000000005</v>
      </c>
      <c r="BJ217" s="75">
        <f t="shared" si="113"/>
        <v>725.54499999999916</v>
      </c>
      <c r="BK217" s="75">
        <f>'RD Feedstock Breakdown'!ES208</f>
        <v>2203.2281402941444</v>
      </c>
      <c r="BL217" s="78">
        <f t="shared" si="120"/>
        <v>7.9570237439278273</v>
      </c>
      <c r="BM217" s="78">
        <f t="shared" si="118"/>
        <v>11.750356866427811</v>
      </c>
      <c r="BN217" s="60"/>
      <c r="BO217" s="60"/>
      <c r="BP217" s="60"/>
      <c r="BQ217" s="66">
        <f>'[1]D4 Gallon Forecast'!$T69/1000000</f>
        <v>73.650931236886862</v>
      </c>
      <c r="BR217" s="66">
        <f>'[1]D6 Gallon Forecast'!$T62/1000000</f>
        <v>0</v>
      </c>
      <c r="BS217" s="66">
        <f t="shared" si="82"/>
        <v>73.650931236886862</v>
      </c>
      <c r="BT217" s="60"/>
      <c r="BU217" s="67">
        <f>'[2]US EIA'!$P354</f>
        <v>694.86255468368267</v>
      </c>
      <c r="BV217" s="68">
        <f t="shared" si="66"/>
        <v>9.4345386136227454</v>
      </c>
      <c r="BW217" s="60"/>
      <c r="BX217" s="69">
        <f t="shared" si="67"/>
        <v>0.78989408149566942</v>
      </c>
      <c r="BY217" s="69">
        <f t="shared" si="68"/>
        <v>0.21010591850433066</v>
      </c>
      <c r="BZ217" s="60"/>
      <c r="CA217" s="60"/>
      <c r="CB217" s="84" t="e">
        <f>#REF!</f>
        <v>#REF!</v>
      </c>
      <c r="CC217" s="84" t="e">
        <f>#REF!</f>
        <v>#REF!</v>
      </c>
      <c r="CD217" s="84" t="e">
        <f t="shared" si="110"/>
        <v>#REF!</v>
      </c>
      <c r="CE217" s="60"/>
      <c r="CF217" s="84">
        <f>'RD Feedstock Breakdown'!GQ208*1000000</f>
        <v>711261655.79536009</v>
      </c>
      <c r="CG217" s="85" t="e">
        <f t="shared" si="109"/>
        <v>#REF!</v>
      </c>
      <c r="CH217" s="73">
        <f>'[2]US EIA'!$R354+AW217</f>
        <v>7015.1944444444425</v>
      </c>
    </row>
    <row r="218" spans="1:86" ht="13.5" x14ac:dyDescent="0.25">
      <c r="A218" s="59">
        <v>46784</v>
      </c>
      <c r="B218" s="74">
        <f t="shared" si="119"/>
        <v>690</v>
      </c>
      <c r="C218" s="74">
        <v>47</v>
      </c>
      <c r="D218" s="74">
        <f t="shared" si="108"/>
        <v>3</v>
      </c>
      <c r="E218" s="74">
        <f t="shared" si="60"/>
        <v>85</v>
      </c>
      <c r="F218" s="74">
        <f t="shared" si="91"/>
        <v>340</v>
      </c>
      <c r="G218" s="74">
        <f t="shared" si="107"/>
        <v>37.5</v>
      </c>
      <c r="H218" s="74">
        <f t="shared" si="81"/>
        <v>190</v>
      </c>
      <c r="I218" s="74">
        <f t="shared" ref="I218:I281" si="122">$I$12*$I$5*2</f>
        <v>250</v>
      </c>
      <c r="J218" s="74">
        <f t="shared" si="114"/>
        <v>153.30000000000001</v>
      </c>
      <c r="K218" s="74">
        <f t="shared" si="61"/>
        <v>125</v>
      </c>
      <c r="L218" s="74">
        <v>125</v>
      </c>
      <c r="M218" s="74">
        <v>730</v>
      </c>
      <c r="N218" s="74">
        <f t="shared" si="102"/>
        <v>180</v>
      </c>
      <c r="O218" s="74">
        <v>375</v>
      </c>
      <c r="P218" s="74">
        <f t="shared" si="76"/>
        <v>50</v>
      </c>
      <c r="Q218" s="74">
        <f t="shared" si="77"/>
        <v>21</v>
      </c>
      <c r="R218" s="74">
        <v>100</v>
      </c>
      <c r="S218" s="74">
        <f t="shared" si="83"/>
        <v>60</v>
      </c>
      <c r="T218" s="74">
        <f t="shared" si="71"/>
        <v>36</v>
      </c>
      <c r="U218" s="74"/>
      <c r="V218" s="74">
        <f t="shared" si="99"/>
        <v>0</v>
      </c>
      <c r="W218" s="74">
        <f t="shared" si="78"/>
        <v>20</v>
      </c>
      <c r="X218" s="74">
        <f t="shared" si="116"/>
        <v>0</v>
      </c>
      <c r="Y218" s="74">
        <f t="shared" si="73"/>
        <v>3.5</v>
      </c>
      <c r="Z218" s="74">
        <f>535*$Z$12</f>
        <v>133.75</v>
      </c>
      <c r="AA218" s="74">
        <f t="shared" si="72"/>
        <v>306</v>
      </c>
      <c r="AB218" s="74">
        <f t="shared" si="87"/>
        <v>60</v>
      </c>
      <c r="AC218" s="74">
        <f t="shared" si="95"/>
        <v>1.6</v>
      </c>
      <c r="AD218" s="74">
        <f t="shared" si="80"/>
        <v>180</v>
      </c>
      <c r="AE218" s="74">
        <f t="shared" si="84"/>
        <v>1.1000000000000001</v>
      </c>
      <c r="AF218" s="74">
        <f t="shared" si="90"/>
        <v>275</v>
      </c>
      <c r="AG218" s="74">
        <f t="shared" si="97"/>
        <v>18</v>
      </c>
      <c r="AH218" s="74">
        <f t="shared" si="88"/>
        <v>3</v>
      </c>
      <c r="AI218" s="74">
        <f t="shared" si="79"/>
        <v>47</v>
      </c>
      <c r="AJ218" s="74">
        <f t="shared" si="105"/>
        <v>90</v>
      </c>
      <c r="AK218" s="74">
        <f t="shared" si="111"/>
        <v>14</v>
      </c>
      <c r="AL218" s="74">
        <f t="shared" si="106"/>
        <v>45</v>
      </c>
      <c r="AM218" s="74">
        <v>46</v>
      </c>
      <c r="AN218" s="74">
        <f t="shared" si="112"/>
        <v>0.75</v>
      </c>
      <c r="AO218" s="74">
        <f t="shared" si="100"/>
        <v>19</v>
      </c>
      <c r="AP218" s="74">
        <f t="shared" si="100"/>
        <v>19</v>
      </c>
      <c r="AQ218" s="74">
        <f t="shared" si="115"/>
        <v>5</v>
      </c>
      <c r="AR218" s="74">
        <f t="shared" si="101"/>
        <v>120</v>
      </c>
      <c r="AS218" s="74">
        <f t="shared" si="103"/>
        <v>120</v>
      </c>
      <c r="AT218" s="74">
        <f t="shared" si="96"/>
        <v>55</v>
      </c>
      <c r="AU218" s="74"/>
      <c r="AV218" s="74"/>
      <c r="AW218" s="74">
        <f t="shared" si="74"/>
        <v>5180.5000000000009</v>
      </c>
      <c r="AX218" s="83">
        <f t="shared" si="98"/>
        <v>5332.1949999999988</v>
      </c>
      <c r="AY218" s="62">
        <f>'[1]D4 Gallon Forecast'!$T150/1000000</f>
        <v>0</v>
      </c>
      <c r="AZ218" s="62">
        <f>'[1]D4 Gallon Forecast'!$T182/1000000</f>
        <v>206.75993622730692</v>
      </c>
      <c r="BA218" s="62">
        <f t="shared" si="92"/>
        <v>206.75993622730692</v>
      </c>
      <c r="BB218" s="62">
        <f>'[1]D4 Gallon Forecast'!$T166/1000000</f>
        <v>0</v>
      </c>
      <c r="BC218" s="63">
        <f>'[1]D4 Gallon Forecast'!$T342/1000000</f>
        <v>170.15201300065522</v>
      </c>
      <c r="BD218" s="64">
        <f>'[1]D4 Gallon Forecast'!$T358/1000000</f>
        <v>0</v>
      </c>
      <c r="BE218" s="64">
        <f t="shared" si="94"/>
        <v>170.15201300065522</v>
      </c>
      <c r="BF218" s="76">
        <f t="shared" si="117"/>
        <v>376.91194922796217</v>
      </c>
      <c r="BG218" s="77">
        <f t="shared" si="121"/>
        <v>0.83227155813129072</v>
      </c>
      <c r="BH218" s="60"/>
      <c r="BI218" s="75">
        <f t="shared" si="75"/>
        <v>4606.6500000000005</v>
      </c>
      <c r="BJ218" s="75">
        <f t="shared" si="113"/>
        <v>725.54499999999825</v>
      </c>
      <c r="BK218" s="75">
        <f>'RD Feedstock Breakdown'!ES209</f>
        <v>2993.6672925069215</v>
      </c>
      <c r="BL218" s="78">
        <f t="shared" si="120"/>
        <v>7.9426170983406665</v>
      </c>
      <c r="BM218" s="78">
        <f t="shared" si="118"/>
        <v>14.478952485339111</v>
      </c>
      <c r="BN218" s="60"/>
      <c r="BO218" s="60"/>
      <c r="BP218" s="60"/>
      <c r="BQ218" s="66">
        <f>'[1]D4 Gallon Forecast'!$T70/1000000</f>
        <v>76.714622401454776</v>
      </c>
      <c r="BR218" s="66">
        <f>'[1]D6 Gallon Forecast'!$T63/1000000</f>
        <v>0</v>
      </c>
      <c r="BS218" s="66">
        <f t="shared" si="82"/>
        <v>76.714622401454776</v>
      </c>
      <c r="BT218" s="60"/>
      <c r="BU218" s="67">
        <f>'[2]US EIA'!$P355</f>
        <v>648.81188090682986</v>
      </c>
      <c r="BV218" s="68">
        <f t="shared" si="66"/>
        <v>8.4574734333115362</v>
      </c>
      <c r="BW218" s="60"/>
      <c r="BX218" s="69">
        <f t="shared" si="67"/>
        <v>0.83088595951093103</v>
      </c>
      <c r="BY218" s="69">
        <f t="shared" si="68"/>
        <v>0.169114040489069</v>
      </c>
      <c r="BZ218" s="60"/>
      <c r="CA218" s="60"/>
      <c r="CB218" s="84" t="e">
        <f>#REF!</f>
        <v>#REF!</v>
      </c>
      <c r="CC218" s="84" t="e">
        <f>#REF!</f>
        <v>#REF!</v>
      </c>
      <c r="CD218" s="84" t="e">
        <f t="shared" si="110"/>
        <v>#REF!</v>
      </c>
      <c r="CE218" s="60"/>
      <c r="CF218" s="84">
        <f>'RD Feedstock Breakdown'!GQ209*1000000</f>
        <v>1351452287.7760875</v>
      </c>
      <c r="CG218" s="85" t="e">
        <f t="shared" si="109"/>
        <v>#REF!</v>
      </c>
      <c r="CH218" s="73">
        <f>'[2]US EIA'!$R355+AW218</f>
        <v>7033.3888888888869</v>
      </c>
    </row>
    <row r="219" spans="1:86" ht="13.5" x14ac:dyDescent="0.25">
      <c r="A219" s="59">
        <v>46813</v>
      </c>
      <c r="B219" s="74">
        <f t="shared" si="119"/>
        <v>690</v>
      </c>
      <c r="C219" s="74">
        <v>47</v>
      </c>
      <c r="D219" s="74">
        <f t="shared" si="108"/>
        <v>3</v>
      </c>
      <c r="E219" s="74">
        <f t="shared" ref="E219:E282" si="123">$E$5*$E$12</f>
        <v>85</v>
      </c>
      <c r="F219" s="74">
        <f t="shared" si="91"/>
        <v>340</v>
      </c>
      <c r="G219" s="74">
        <f t="shared" si="107"/>
        <v>37.5</v>
      </c>
      <c r="H219" s="74">
        <f t="shared" si="81"/>
        <v>190</v>
      </c>
      <c r="I219" s="74">
        <f t="shared" si="122"/>
        <v>250</v>
      </c>
      <c r="J219" s="74">
        <f t="shared" si="114"/>
        <v>153.30000000000001</v>
      </c>
      <c r="K219" s="74">
        <f t="shared" si="61"/>
        <v>125</v>
      </c>
      <c r="L219" s="74">
        <v>125</v>
      </c>
      <c r="M219" s="74">
        <v>730</v>
      </c>
      <c r="N219" s="74">
        <f t="shared" si="102"/>
        <v>180</v>
      </c>
      <c r="O219" s="74">
        <v>375</v>
      </c>
      <c r="P219" s="74">
        <f t="shared" si="76"/>
        <v>50</v>
      </c>
      <c r="Q219" s="74">
        <f t="shared" si="77"/>
        <v>21</v>
      </c>
      <c r="R219" s="74">
        <v>100</v>
      </c>
      <c r="S219" s="74">
        <f t="shared" si="83"/>
        <v>60</v>
      </c>
      <c r="T219" s="74">
        <f t="shared" si="71"/>
        <v>36</v>
      </c>
      <c r="U219" s="74"/>
      <c r="V219" s="74">
        <f t="shared" si="99"/>
        <v>0</v>
      </c>
      <c r="W219" s="74">
        <f t="shared" si="78"/>
        <v>20</v>
      </c>
      <c r="X219" s="74">
        <f t="shared" si="116"/>
        <v>0</v>
      </c>
      <c r="Y219" s="74">
        <f t="shared" si="73"/>
        <v>3.5</v>
      </c>
      <c r="Z219" s="74">
        <f>690*$Z$12</f>
        <v>172.5</v>
      </c>
      <c r="AA219" s="74">
        <f t="shared" si="72"/>
        <v>306</v>
      </c>
      <c r="AB219" s="74">
        <f t="shared" si="87"/>
        <v>60</v>
      </c>
      <c r="AC219" s="74">
        <f t="shared" si="95"/>
        <v>1.6</v>
      </c>
      <c r="AD219" s="74">
        <f t="shared" si="80"/>
        <v>180</v>
      </c>
      <c r="AE219" s="74">
        <f t="shared" si="84"/>
        <v>1.1000000000000001</v>
      </c>
      <c r="AF219" s="74">
        <f t="shared" si="90"/>
        <v>275</v>
      </c>
      <c r="AG219" s="74">
        <f t="shared" si="97"/>
        <v>18</v>
      </c>
      <c r="AH219" s="74">
        <f t="shared" si="88"/>
        <v>3</v>
      </c>
      <c r="AI219" s="74">
        <f t="shared" si="79"/>
        <v>47</v>
      </c>
      <c r="AJ219" s="74">
        <f t="shared" si="105"/>
        <v>90</v>
      </c>
      <c r="AK219" s="74">
        <f t="shared" si="111"/>
        <v>14</v>
      </c>
      <c r="AL219" s="74">
        <f t="shared" si="106"/>
        <v>45</v>
      </c>
      <c r="AM219" s="74">
        <v>46</v>
      </c>
      <c r="AN219" s="74">
        <f t="shared" si="112"/>
        <v>0.75</v>
      </c>
      <c r="AO219" s="74">
        <f t="shared" si="100"/>
        <v>19</v>
      </c>
      <c r="AP219" s="74">
        <f t="shared" si="100"/>
        <v>19</v>
      </c>
      <c r="AQ219" s="74">
        <f t="shared" si="115"/>
        <v>5</v>
      </c>
      <c r="AR219" s="74">
        <f t="shared" si="101"/>
        <v>120</v>
      </c>
      <c r="AS219" s="74">
        <f t="shared" si="103"/>
        <v>120</v>
      </c>
      <c r="AT219" s="74">
        <f t="shared" si="96"/>
        <v>55</v>
      </c>
      <c r="AU219" s="74"/>
      <c r="AV219" s="74"/>
      <c r="AW219" s="74">
        <f t="shared" si="74"/>
        <v>5219.2500000000009</v>
      </c>
      <c r="AX219" s="83">
        <f t="shared" si="98"/>
        <v>5370.9449999999988</v>
      </c>
      <c r="AY219" s="62">
        <f>'[1]D4 Gallon Forecast'!$T151/1000000</f>
        <v>0</v>
      </c>
      <c r="AZ219" s="62">
        <f>'[1]D4 Gallon Forecast'!$T183/1000000</f>
        <v>217.77171985796397</v>
      </c>
      <c r="BA219" s="62">
        <f t="shared" si="92"/>
        <v>217.77171985796397</v>
      </c>
      <c r="BB219" s="62">
        <f>'[1]D4 Gallon Forecast'!$T167/1000000</f>
        <v>0</v>
      </c>
      <c r="BC219" s="63">
        <f>'[1]D4 Gallon Forecast'!$T343/1000000</f>
        <v>68.091377268205889</v>
      </c>
      <c r="BD219" s="64">
        <f>'[1]D4 Gallon Forecast'!$T359/1000000</f>
        <v>0</v>
      </c>
      <c r="BE219" s="64">
        <f t="shared" si="94"/>
        <v>68.091377268205889</v>
      </c>
      <c r="BF219" s="76">
        <f t="shared" si="117"/>
        <v>285.86309712616986</v>
      </c>
      <c r="BG219" s="77">
        <f t="shared" si="121"/>
        <v>0.6698880894365955</v>
      </c>
      <c r="BH219" s="60"/>
      <c r="BI219" s="75">
        <f t="shared" si="75"/>
        <v>4645.4000000000005</v>
      </c>
      <c r="BJ219" s="75">
        <f t="shared" si="113"/>
        <v>725.54499999999825</v>
      </c>
      <c r="BK219" s="75">
        <f>'RD Feedstock Breakdown'!ES210</f>
        <v>2272.7588473758774</v>
      </c>
      <c r="BL219" s="78">
        <f t="shared" si="120"/>
        <v>7.9505150200368888</v>
      </c>
      <c r="BM219" s="78">
        <f t="shared" si="118"/>
        <v>10.43642787437334</v>
      </c>
      <c r="BN219" s="60"/>
      <c r="BO219" s="60"/>
      <c r="BP219" s="60"/>
      <c r="BQ219" s="66">
        <f>'[1]D4 Gallon Forecast'!$T71/1000000</f>
        <v>87.322837127315694</v>
      </c>
      <c r="BR219" s="66">
        <f>'[1]D6 Gallon Forecast'!$T64/1000000</f>
        <v>2.0279999999999999E-3</v>
      </c>
      <c r="BS219" s="66">
        <f t="shared" si="82"/>
        <v>87.32486512731569</v>
      </c>
      <c r="BT219" s="60"/>
      <c r="BU219" s="67">
        <f>'[2]US EIA'!$P356</f>
        <v>718.31266417723134</v>
      </c>
      <c r="BV219" s="68">
        <f t="shared" si="66"/>
        <v>8.225751773334709</v>
      </c>
      <c r="BW219" s="60"/>
      <c r="BX219" s="69">
        <f t="shared" si="67"/>
        <v>0.76600299591657017</v>
      </c>
      <c r="BY219" s="69">
        <f t="shared" si="68"/>
        <v>0.23399700408342974</v>
      </c>
      <c r="BZ219" s="60"/>
      <c r="CA219" s="60"/>
      <c r="CB219" s="84" t="e">
        <f>#REF!</f>
        <v>#REF!</v>
      </c>
      <c r="CC219" s="84" t="e">
        <f>#REF!</f>
        <v>#REF!</v>
      </c>
      <c r="CD219" s="84" t="e">
        <f t="shared" si="110"/>
        <v>#REF!</v>
      </c>
      <c r="CE219" s="60"/>
      <c r="CF219" s="84">
        <f>'RD Feedstock Breakdown'!GQ210*1000000</f>
        <v>541361517.70586944</v>
      </c>
      <c r="CG219" s="85" t="e">
        <f t="shared" si="109"/>
        <v>#REF!</v>
      </c>
      <c r="CH219" s="73">
        <f>'[2]US EIA'!$R356+AW219</f>
        <v>7063.2499999999982</v>
      </c>
    </row>
    <row r="220" spans="1:86" ht="13.5" x14ac:dyDescent="0.25">
      <c r="A220" s="59">
        <v>46844</v>
      </c>
      <c r="B220" s="74">
        <f t="shared" si="119"/>
        <v>690</v>
      </c>
      <c r="C220" s="74">
        <v>47</v>
      </c>
      <c r="D220" s="74">
        <f t="shared" si="108"/>
        <v>3</v>
      </c>
      <c r="E220" s="74">
        <f t="shared" si="123"/>
        <v>85</v>
      </c>
      <c r="F220" s="74">
        <f t="shared" si="91"/>
        <v>340</v>
      </c>
      <c r="G220" s="74">
        <f t="shared" si="107"/>
        <v>37.5</v>
      </c>
      <c r="H220" s="74">
        <f t="shared" si="81"/>
        <v>190</v>
      </c>
      <c r="I220" s="74">
        <f t="shared" si="122"/>
        <v>250</v>
      </c>
      <c r="J220" s="74">
        <f t="shared" si="114"/>
        <v>153.30000000000001</v>
      </c>
      <c r="K220" s="74">
        <f t="shared" si="61"/>
        <v>125</v>
      </c>
      <c r="L220" s="74">
        <v>125</v>
      </c>
      <c r="M220" s="74">
        <v>730</v>
      </c>
      <c r="N220" s="74">
        <f t="shared" si="102"/>
        <v>180</v>
      </c>
      <c r="O220" s="74">
        <v>375</v>
      </c>
      <c r="P220" s="74">
        <f t="shared" si="76"/>
        <v>50</v>
      </c>
      <c r="Q220" s="74">
        <f t="shared" si="77"/>
        <v>21</v>
      </c>
      <c r="R220" s="74">
        <v>100</v>
      </c>
      <c r="S220" s="74">
        <f t="shared" si="83"/>
        <v>60</v>
      </c>
      <c r="T220" s="74">
        <f t="shared" si="71"/>
        <v>36</v>
      </c>
      <c r="U220" s="74"/>
      <c r="V220" s="74">
        <f t="shared" si="99"/>
        <v>0</v>
      </c>
      <c r="W220" s="74">
        <f t="shared" si="78"/>
        <v>20</v>
      </c>
      <c r="X220" s="74">
        <f t="shared" si="116"/>
        <v>0</v>
      </c>
      <c r="Y220" s="74">
        <f t="shared" si="73"/>
        <v>3.5</v>
      </c>
      <c r="Z220" s="74">
        <f t="shared" ref="Z220:Z253" si="124">690*$Z$12</f>
        <v>172.5</v>
      </c>
      <c r="AA220" s="74">
        <f t="shared" si="72"/>
        <v>306</v>
      </c>
      <c r="AB220" s="74">
        <f t="shared" si="87"/>
        <v>60</v>
      </c>
      <c r="AC220" s="74">
        <f t="shared" si="95"/>
        <v>1.6</v>
      </c>
      <c r="AD220" s="74">
        <f t="shared" si="80"/>
        <v>180</v>
      </c>
      <c r="AE220" s="74">
        <f t="shared" si="84"/>
        <v>1.1000000000000001</v>
      </c>
      <c r="AF220" s="74">
        <f t="shared" si="90"/>
        <v>275</v>
      </c>
      <c r="AG220" s="74">
        <f t="shared" si="97"/>
        <v>18</v>
      </c>
      <c r="AH220" s="74">
        <f t="shared" si="88"/>
        <v>3</v>
      </c>
      <c r="AI220" s="74">
        <f t="shared" si="79"/>
        <v>47</v>
      </c>
      <c r="AJ220" s="74">
        <f t="shared" si="105"/>
        <v>90</v>
      </c>
      <c r="AK220" s="74">
        <f t="shared" si="111"/>
        <v>14</v>
      </c>
      <c r="AL220" s="74">
        <f t="shared" si="106"/>
        <v>45</v>
      </c>
      <c r="AM220" s="74">
        <v>46</v>
      </c>
      <c r="AN220" s="74">
        <f t="shared" si="112"/>
        <v>0.75</v>
      </c>
      <c r="AO220" s="74">
        <f t="shared" ref="AO220:AP251" si="125">$AO$12*$AO$5</f>
        <v>19</v>
      </c>
      <c r="AP220" s="74">
        <f t="shared" si="125"/>
        <v>19</v>
      </c>
      <c r="AQ220" s="74">
        <f t="shared" si="115"/>
        <v>5</v>
      </c>
      <c r="AR220" s="74">
        <f t="shared" si="101"/>
        <v>120</v>
      </c>
      <c r="AS220" s="74">
        <f t="shared" si="103"/>
        <v>120</v>
      </c>
      <c r="AT220" s="74">
        <f t="shared" si="96"/>
        <v>55</v>
      </c>
      <c r="AU220" s="74"/>
      <c r="AV220" s="74"/>
      <c r="AW220" s="74">
        <f t="shared" si="74"/>
        <v>5219.2500000000009</v>
      </c>
      <c r="AX220" s="83">
        <f t="shared" si="98"/>
        <v>5370.9449999999988</v>
      </c>
      <c r="AY220" s="62">
        <f>'[1]D4 Gallon Forecast'!$T152/1000000</f>
        <v>0</v>
      </c>
      <c r="AZ220" s="62">
        <f>'[1]D4 Gallon Forecast'!$T184/1000000</f>
        <v>211.44561314639378</v>
      </c>
      <c r="BA220" s="62">
        <f t="shared" si="92"/>
        <v>211.44561314639378</v>
      </c>
      <c r="BB220" s="62">
        <f>'[1]D4 Gallon Forecast'!$T168/1000000</f>
        <v>0</v>
      </c>
      <c r="BC220" s="63">
        <f>'[1]D4 Gallon Forecast'!$T344/1000000</f>
        <v>109.22935493369607</v>
      </c>
      <c r="BD220" s="64">
        <f>'[1]D4 Gallon Forecast'!$T360/1000000</f>
        <v>0</v>
      </c>
      <c r="BE220" s="64">
        <f t="shared" si="94"/>
        <v>109.22935493369607</v>
      </c>
      <c r="BF220" s="76">
        <f t="shared" si="117"/>
        <v>320.67496808008985</v>
      </c>
      <c r="BG220" s="77">
        <f t="shared" si="121"/>
        <v>0.70298413785615621</v>
      </c>
      <c r="BH220" s="60"/>
      <c r="BI220" s="75">
        <f t="shared" si="75"/>
        <v>4645.4000000000005</v>
      </c>
      <c r="BJ220" s="75">
        <f t="shared" si="113"/>
        <v>725.54499999999825</v>
      </c>
      <c r="BK220" s="75">
        <f>'RD Feedstock Breakdown'!ES211</f>
        <v>2552.6502085369584</v>
      </c>
      <c r="BL220" s="78">
        <f t="shared" si="120"/>
        <v>7.9602415611667698</v>
      </c>
      <c r="BM220" s="78">
        <f t="shared" si="118"/>
        <v>12.072372514863376</v>
      </c>
      <c r="BN220" s="60"/>
      <c r="BO220" s="60"/>
      <c r="BP220" s="60"/>
      <c r="BQ220" s="66">
        <f>'[1]D4 Gallon Forecast'!$T72/1000000</f>
        <v>96.018766815526192</v>
      </c>
      <c r="BR220" s="66">
        <f>'[1]D6 Gallon Forecast'!$T65/1000000</f>
        <v>0.49032569551466765</v>
      </c>
      <c r="BS220" s="66">
        <f t="shared" si="82"/>
        <v>96.509092511040862</v>
      </c>
      <c r="BT220" s="60"/>
      <c r="BU220" s="67">
        <f>'[2]US EIA'!$P357</f>
        <v>761.93429506336702</v>
      </c>
      <c r="BV220" s="68">
        <f t="shared" si="66"/>
        <v>7.8949482918016249</v>
      </c>
      <c r="BW220" s="60"/>
      <c r="BX220" s="69">
        <f t="shared" si="67"/>
        <v>0.7686654366077843</v>
      </c>
      <c r="BY220" s="69">
        <f t="shared" si="68"/>
        <v>0.23133456339221564</v>
      </c>
      <c r="BZ220" s="60"/>
      <c r="CA220" s="60"/>
      <c r="CB220" s="84" t="e">
        <f>#REF!</f>
        <v>#REF!</v>
      </c>
      <c r="CC220" s="84" t="e">
        <f>#REF!</f>
        <v>#REF!</v>
      </c>
      <c r="CD220" s="84" t="e">
        <f t="shared" si="110"/>
        <v>#REF!</v>
      </c>
      <c r="CE220" s="60"/>
      <c r="CF220" s="84">
        <f>'RD Feedstock Breakdown'!GQ211*1000000</f>
        <v>869492050.8426441</v>
      </c>
      <c r="CG220" s="85" t="e">
        <f t="shared" si="109"/>
        <v>#REF!</v>
      </c>
      <c r="CH220" s="73">
        <f>'[2]US EIA'!$R357+AW220</f>
        <v>7063.2499999999982</v>
      </c>
    </row>
    <row r="221" spans="1:86" ht="13.5" x14ac:dyDescent="0.25">
      <c r="A221" s="59">
        <v>46874</v>
      </c>
      <c r="B221" s="74">
        <f t="shared" si="119"/>
        <v>690</v>
      </c>
      <c r="C221" s="74">
        <v>47</v>
      </c>
      <c r="D221" s="74">
        <f t="shared" si="108"/>
        <v>3</v>
      </c>
      <c r="E221" s="74">
        <f t="shared" si="123"/>
        <v>85</v>
      </c>
      <c r="F221" s="74">
        <f t="shared" si="91"/>
        <v>340</v>
      </c>
      <c r="G221" s="74">
        <f t="shared" si="107"/>
        <v>37.5</v>
      </c>
      <c r="H221" s="74">
        <f t="shared" si="81"/>
        <v>190</v>
      </c>
      <c r="I221" s="74">
        <f t="shared" si="122"/>
        <v>250</v>
      </c>
      <c r="J221" s="74">
        <f t="shared" si="114"/>
        <v>153.30000000000001</v>
      </c>
      <c r="K221" s="74">
        <f t="shared" ref="K221:K284" si="126">125*$K$12</f>
        <v>125</v>
      </c>
      <c r="L221" s="74">
        <v>125</v>
      </c>
      <c r="M221" s="74">
        <v>730</v>
      </c>
      <c r="N221" s="74">
        <f t="shared" si="102"/>
        <v>180</v>
      </c>
      <c r="O221" s="74">
        <v>375</v>
      </c>
      <c r="P221" s="74">
        <f t="shared" si="76"/>
        <v>50</v>
      </c>
      <c r="Q221" s="74">
        <f t="shared" si="77"/>
        <v>21</v>
      </c>
      <c r="R221" s="74">
        <v>100</v>
      </c>
      <c r="S221" s="74">
        <f t="shared" si="83"/>
        <v>60</v>
      </c>
      <c r="T221" s="74">
        <f t="shared" si="71"/>
        <v>36</v>
      </c>
      <c r="U221" s="74"/>
      <c r="V221" s="74">
        <f t="shared" si="99"/>
        <v>0</v>
      </c>
      <c r="W221" s="74">
        <f t="shared" si="78"/>
        <v>20</v>
      </c>
      <c r="X221" s="74">
        <f t="shared" si="116"/>
        <v>0</v>
      </c>
      <c r="Y221" s="74">
        <f t="shared" si="73"/>
        <v>3.5</v>
      </c>
      <c r="Z221" s="74">
        <f t="shared" si="124"/>
        <v>172.5</v>
      </c>
      <c r="AA221" s="74">
        <f t="shared" si="72"/>
        <v>306</v>
      </c>
      <c r="AB221" s="74">
        <f t="shared" si="87"/>
        <v>60</v>
      </c>
      <c r="AC221" s="74">
        <f t="shared" si="95"/>
        <v>1.6</v>
      </c>
      <c r="AD221" s="74">
        <f t="shared" si="80"/>
        <v>180</v>
      </c>
      <c r="AE221" s="74">
        <f t="shared" si="84"/>
        <v>1.1000000000000001</v>
      </c>
      <c r="AF221" s="74">
        <f t="shared" si="90"/>
        <v>275</v>
      </c>
      <c r="AG221" s="74">
        <f t="shared" si="97"/>
        <v>18</v>
      </c>
      <c r="AH221" s="74">
        <f t="shared" si="88"/>
        <v>3</v>
      </c>
      <c r="AI221" s="74">
        <f t="shared" si="79"/>
        <v>47</v>
      </c>
      <c r="AJ221" s="74">
        <f t="shared" si="105"/>
        <v>90</v>
      </c>
      <c r="AK221" s="74">
        <f t="shared" si="111"/>
        <v>14</v>
      </c>
      <c r="AL221" s="74">
        <f t="shared" si="106"/>
        <v>45</v>
      </c>
      <c r="AM221" s="74">
        <v>46</v>
      </c>
      <c r="AN221" s="74">
        <f t="shared" si="112"/>
        <v>0.75</v>
      </c>
      <c r="AO221" s="74">
        <f t="shared" si="125"/>
        <v>19</v>
      </c>
      <c r="AP221" s="74">
        <f t="shared" si="125"/>
        <v>19</v>
      </c>
      <c r="AQ221" s="74">
        <f t="shared" si="115"/>
        <v>5</v>
      </c>
      <c r="AR221" s="74">
        <f t="shared" si="101"/>
        <v>120</v>
      </c>
      <c r="AS221" s="74">
        <f t="shared" si="103"/>
        <v>120</v>
      </c>
      <c r="AT221" s="74">
        <f t="shared" si="96"/>
        <v>55</v>
      </c>
      <c r="AU221" s="74"/>
      <c r="AV221" s="74"/>
      <c r="AW221" s="74">
        <f t="shared" si="74"/>
        <v>5219.2500000000009</v>
      </c>
      <c r="AX221" s="83">
        <f t="shared" si="98"/>
        <v>5370.9449999999988</v>
      </c>
      <c r="AY221" s="62">
        <f>'[1]D4 Gallon Forecast'!$T153/1000000</f>
        <v>0</v>
      </c>
      <c r="AZ221" s="62">
        <f>'[1]D4 Gallon Forecast'!$T185/1000000</f>
        <v>236.20480601138087</v>
      </c>
      <c r="BA221" s="62">
        <f t="shared" si="92"/>
        <v>236.20480601138087</v>
      </c>
      <c r="BB221" s="62">
        <f>'[1]D4 Gallon Forecast'!$T169/1000000</f>
        <v>0</v>
      </c>
      <c r="BC221" s="63">
        <f>'[1]D4 Gallon Forecast'!$T345/1000000</f>
        <v>143.8746989010358</v>
      </c>
      <c r="BD221" s="64">
        <f>'[1]D4 Gallon Forecast'!$T361/1000000</f>
        <v>0</v>
      </c>
      <c r="BE221" s="64">
        <f t="shared" si="94"/>
        <v>143.8746989010358</v>
      </c>
      <c r="BF221" s="76">
        <f t="shared" si="117"/>
        <v>380.07950491241667</v>
      </c>
      <c r="BG221" s="77">
        <f t="shared" si="121"/>
        <v>0.86098454612755693</v>
      </c>
      <c r="BH221" s="60"/>
      <c r="BI221" s="75">
        <f t="shared" si="75"/>
        <v>4645.4000000000005</v>
      </c>
      <c r="BJ221" s="75">
        <f t="shared" si="113"/>
        <v>725.54499999999825</v>
      </c>
      <c r="BK221" s="75">
        <f>'RD Feedstock Breakdown'!ES212</f>
        <v>3023.3266758612185</v>
      </c>
      <c r="BL221" s="78">
        <f t="shared" si="120"/>
        <v>7.9544585719187788</v>
      </c>
      <c r="BM221" s="78">
        <f t="shared" si="118"/>
        <v>12.799598479446468</v>
      </c>
      <c r="BN221" s="60"/>
      <c r="BO221" s="60"/>
      <c r="BP221" s="60"/>
      <c r="BQ221" s="66">
        <f>'[1]D4 Gallon Forecast'!$T73/1000000</f>
        <v>104.83342136076534</v>
      </c>
      <c r="BR221" s="66">
        <f>'[1]D6 Gallon Forecast'!$T66/1000000</f>
        <v>0.52350876635444965</v>
      </c>
      <c r="BS221" s="66">
        <f t="shared" si="82"/>
        <v>105.3569301271198</v>
      </c>
      <c r="BT221" s="60"/>
      <c r="BU221" s="67">
        <f>'[2]US EIA'!$P358</f>
        <v>827.51674171210016</v>
      </c>
      <c r="BV221" s="68">
        <f t="shared" si="66"/>
        <v>7.8544120516196596</v>
      </c>
      <c r="BW221" s="60"/>
      <c r="BX221" s="69">
        <f t="shared" si="67"/>
        <v>0.78296451909601927</v>
      </c>
      <c r="BY221" s="69">
        <f t="shared" si="68"/>
        <v>0.21703548090398073</v>
      </c>
      <c r="BZ221" s="60"/>
      <c r="CA221" s="60"/>
      <c r="CB221" s="84" t="e">
        <f>#REF!</f>
        <v>#REF!</v>
      </c>
      <c r="CC221" s="84" t="e">
        <f>#REF!</f>
        <v>#REF!</v>
      </c>
      <c r="CD221" s="84" t="e">
        <f t="shared" si="110"/>
        <v>#REF!</v>
      </c>
      <c r="CE221" s="60"/>
      <c r="CF221" s="84">
        <f>'RD Feedstock Breakdown'!GQ212*1000000</f>
        <v>1144445331.9555779</v>
      </c>
      <c r="CG221" s="85" t="e">
        <f t="shared" si="109"/>
        <v>#REF!</v>
      </c>
      <c r="CH221" s="73">
        <f>'[2]US EIA'!$R358+AW221</f>
        <v>7063.2499999999982</v>
      </c>
    </row>
    <row r="222" spans="1:86" ht="13.5" x14ac:dyDescent="0.25">
      <c r="A222" s="59">
        <v>46905</v>
      </c>
      <c r="B222" s="74">
        <f t="shared" si="119"/>
        <v>690</v>
      </c>
      <c r="C222" s="74">
        <v>47</v>
      </c>
      <c r="D222" s="74">
        <f t="shared" si="108"/>
        <v>3</v>
      </c>
      <c r="E222" s="74">
        <f t="shared" si="123"/>
        <v>85</v>
      </c>
      <c r="F222" s="74">
        <f t="shared" si="91"/>
        <v>340</v>
      </c>
      <c r="G222" s="74">
        <f t="shared" si="107"/>
        <v>37.5</v>
      </c>
      <c r="H222" s="74">
        <f t="shared" si="81"/>
        <v>190</v>
      </c>
      <c r="I222" s="74">
        <f t="shared" si="122"/>
        <v>250</v>
      </c>
      <c r="J222" s="74">
        <f t="shared" si="114"/>
        <v>153.30000000000001</v>
      </c>
      <c r="K222" s="74">
        <f t="shared" si="126"/>
        <v>125</v>
      </c>
      <c r="L222" s="74">
        <v>125</v>
      </c>
      <c r="M222" s="74">
        <v>730</v>
      </c>
      <c r="N222" s="74">
        <f t="shared" si="102"/>
        <v>180</v>
      </c>
      <c r="O222" s="74">
        <v>375</v>
      </c>
      <c r="P222" s="74">
        <f t="shared" si="76"/>
        <v>50</v>
      </c>
      <c r="Q222" s="74">
        <f t="shared" si="77"/>
        <v>21</v>
      </c>
      <c r="R222" s="74">
        <v>100</v>
      </c>
      <c r="S222" s="74">
        <f t="shared" si="83"/>
        <v>60</v>
      </c>
      <c r="T222" s="74">
        <f t="shared" si="71"/>
        <v>36</v>
      </c>
      <c r="U222" s="74"/>
      <c r="V222" s="74">
        <f t="shared" si="99"/>
        <v>0</v>
      </c>
      <c r="W222" s="74">
        <f t="shared" si="78"/>
        <v>20</v>
      </c>
      <c r="X222" s="74">
        <f t="shared" si="116"/>
        <v>0</v>
      </c>
      <c r="Y222" s="74">
        <f t="shared" si="73"/>
        <v>3.5</v>
      </c>
      <c r="Z222" s="74">
        <f t="shared" si="124"/>
        <v>172.5</v>
      </c>
      <c r="AA222" s="74">
        <f t="shared" si="72"/>
        <v>306</v>
      </c>
      <c r="AB222" s="74">
        <f t="shared" si="87"/>
        <v>60</v>
      </c>
      <c r="AC222" s="74">
        <f t="shared" si="95"/>
        <v>1.6</v>
      </c>
      <c r="AD222" s="74">
        <f t="shared" si="80"/>
        <v>180</v>
      </c>
      <c r="AE222" s="74">
        <f t="shared" si="84"/>
        <v>1.1000000000000001</v>
      </c>
      <c r="AF222" s="74">
        <f t="shared" si="90"/>
        <v>275</v>
      </c>
      <c r="AG222" s="74">
        <f t="shared" si="97"/>
        <v>18</v>
      </c>
      <c r="AH222" s="74">
        <f t="shared" si="88"/>
        <v>3</v>
      </c>
      <c r="AI222" s="74">
        <f t="shared" si="79"/>
        <v>47</v>
      </c>
      <c r="AJ222" s="74">
        <f t="shared" si="105"/>
        <v>90</v>
      </c>
      <c r="AK222" s="74">
        <f t="shared" si="111"/>
        <v>14</v>
      </c>
      <c r="AL222" s="74">
        <f t="shared" si="106"/>
        <v>45</v>
      </c>
      <c r="AM222" s="74">
        <v>46</v>
      </c>
      <c r="AN222" s="74">
        <f t="shared" si="112"/>
        <v>0.75</v>
      </c>
      <c r="AO222" s="74">
        <f t="shared" si="125"/>
        <v>19</v>
      </c>
      <c r="AP222" s="74">
        <f t="shared" si="125"/>
        <v>19</v>
      </c>
      <c r="AQ222" s="74">
        <f t="shared" si="115"/>
        <v>5</v>
      </c>
      <c r="AR222" s="74">
        <f t="shared" si="101"/>
        <v>120</v>
      </c>
      <c r="AS222" s="74">
        <f t="shared" si="103"/>
        <v>120</v>
      </c>
      <c r="AT222" s="74">
        <f t="shared" si="96"/>
        <v>55</v>
      </c>
      <c r="AU222" s="74"/>
      <c r="AV222" s="74"/>
      <c r="AW222" s="74">
        <f t="shared" si="74"/>
        <v>5219.2500000000009</v>
      </c>
      <c r="AX222" s="83">
        <f t="shared" si="98"/>
        <v>5370.9449999999988</v>
      </c>
      <c r="AY222" s="62">
        <f>'[1]D4 Gallon Forecast'!$T154/1000000</f>
        <v>0</v>
      </c>
      <c r="AZ222" s="62">
        <f>'[1]D4 Gallon Forecast'!$T186/1000000</f>
        <v>234.27817461248335</v>
      </c>
      <c r="BA222" s="62">
        <f t="shared" si="92"/>
        <v>234.27817461248335</v>
      </c>
      <c r="BB222" s="62">
        <f>'[1]D4 Gallon Forecast'!$T170/1000000</f>
        <v>0</v>
      </c>
      <c r="BC222" s="63">
        <f>'[1]D4 Gallon Forecast'!$T346/1000000</f>
        <v>137.07443203247411</v>
      </c>
      <c r="BD222" s="64">
        <f>'[1]D4 Gallon Forecast'!$T362/1000000</f>
        <v>0</v>
      </c>
      <c r="BE222" s="64">
        <f t="shared" si="94"/>
        <v>137.07443203247411</v>
      </c>
      <c r="BF222" s="76">
        <f t="shared" si="117"/>
        <v>371.35260664495746</v>
      </c>
      <c r="BG222" s="77">
        <f t="shared" si="121"/>
        <v>0.81407973184156435</v>
      </c>
      <c r="BH222" s="60"/>
      <c r="BI222" s="75">
        <f t="shared" si="75"/>
        <v>4645.4000000000005</v>
      </c>
      <c r="BJ222" s="75">
        <f t="shared" si="113"/>
        <v>725.54499999999825</v>
      </c>
      <c r="BK222" s="75">
        <f>'RD Feedstock Breakdown'!ES213</f>
        <v>2951.1314554147002</v>
      </c>
      <c r="BL222" s="78">
        <f t="shared" si="120"/>
        <v>7.9469792391580434</v>
      </c>
      <c r="BM222" s="78">
        <f t="shared" si="118"/>
        <v>12.596698178548346</v>
      </c>
      <c r="BN222" s="60"/>
      <c r="BO222" s="60"/>
      <c r="BP222" s="60"/>
      <c r="BQ222" s="66">
        <f>'[1]D4 Gallon Forecast'!$T74/1000000</f>
        <v>101.40634405221833</v>
      </c>
      <c r="BR222" s="66">
        <f>'[1]D6 Gallon Forecast'!$T67/1000000</f>
        <v>0.64473875928016189</v>
      </c>
      <c r="BS222" s="66">
        <f t="shared" si="82"/>
        <v>102.05108281149849</v>
      </c>
      <c r="BT222" s="60"/>
      <c r="BU222" s="67">
        <f>'[2]US EIA'!$P359</f>
        <v>814.60490378635598</v>
      </c>
      <c r="BV222" s="68">
        <f t="shared" ref="BV222:BV285" si="127">BU222/BS222</f>
        <v>7.9823249429997354</v>
      </c>
      <c r="BW222" s="60"/>
      <c r="BX222" s="69">
        <f t="shared" ref="BX222:BX285" si="128">BF222/(BF222+BS222)</f>
        <v>0.78443116290734949</v>
      </c>
      <c r="BY222" s="69">
        <f t="shared" ref="BY222:BY285" si="129">BS222/(BS222+BF222)</f>
        <v>0.21556883709265057</v>
      </c>
      <c r="BZ222" s="60"/>
      <c r="CA222" s="60"/>
      <c r="CB222" s="84" t="e">
        <f>#REF!</f>
        <v>#REF!</v>
      </c>
      <c r="CC222" s="84" t="e">
        <f>#REF!</f>
        <v>#REF!</v>
      </c>
      <c r="CD222" s="84" t="e">
        <f t="shared" si="110"/>
        <v>#REF!</v>
      </c>
      <c r="CE222" s="60"/>
      <c r="CF222" s="84">
        <f>'RD Feedstock Breakdown'!GQ213*1000000</f>
        <v>1089327665.5814521</v>
      </c>
      <c r="CG222" s="85" t="e">
        <f t="shared" si="109"/>
        <v>#REF!</v>
      </c>
      <c r="CH222" s="73">
        <f>'[2]US EIA'!$R359+AW222</f>
        <v>7063.2499999999982</v>
      </c>
    </row>
    <row r="223" spans="1:86" ht="13.5" x14ac:dyDescent="0.25">
      <c r="A223" s="59">
        <v>46935</v>
      </c>
      <c r="B223" s="74">
        <f t="shared" si="119"/>
        <v>690</v>
      </c>
      <c r="C223" s="74">
        <v>47</v>
      </c>
      <c r="D223" s="74">
        <f t="shared" si="108"/>
        <v>3</v>
      </c>
      <c r="E223" s="74">
        <f t="shared" si="123"/>
        <v>85</v>
      </c>
      <c r="F223" s="74">
        <f t="shared" si="91"/>
        <v>340</v>
      </c>
      <c r="G223" s="74">
        <f t="shared" si="107"/>
        <v>37.5</v>
      </c>
      <c r="H223" s="74">
        <f t="shared" si="81"/>
        <v>190</v>
      </c>
      <c r="I223" s="74">
        <f t="shared" si="122"/>
        <v>250</v>
      </c>
      <c r="J223" s="74">
        <f t="shared" si="114"/>
        <v>153.30000000000001</v>
      </c>
      <c r="K223" s="74">
        <f t="shared" si="126"/>
        <v>125</v>
      </c>
      <c r="L223" s="74">
        <v>125</v>
      </c>
      <c r="M223" s="74">
        <v>730</v>
      </c>
      <c r="N223" s="74">
        <f t="shared" si="102"/>
        <v>180</v>
      </c>
      <c r="O223" s="74">
        <v>375</v>
      </c>
      <c r="P223" s="74">
        <f t="shared" si="76"/>
        <v>50</v>
      </c>
      <c r="Q223" s="74">
        <f t="shared" si="77"/>
        <v>21</v>
      </c>
      <c r="R223" s="74">
        <v>100</v>
      </c>
      <c r="S223" s="74">
        <f t="shared" si="83"/>
        <v>60</v>
      </c>
      <c r="T223" s="74">
        <f t="shared" si="71"/>
        <v>36</v>
      </c>
      <c r="U223" s="74"/>
      <c r="V223" s="74">
        <f t="shared" si="99"/>
        <v>0</v>
      </c>
      <c r="W223" s="74">
        <f t="shared" si="78"/>
        <v>20</v>
      </c>
      <c r="X223" s="74">
        <f t="shared" si="116"/>
        <v>0</v>
      </c>
      <c r="Y223" s="74">
        <f t="shared" si="73"/>
        <v>3.5</v>
      </c>
      <c r="Z223" s="74">
        <f t="shared" si="124"/>
        <v>172.5</v>
      </c>
      <c r="AA223" s="74">
        <f t="shared" si="72"/>
        <v>306</v>
      </c>
      <c r="AB223" s="74">
        <f t="shared" si="87"/>
        <v>60</v>
      </c>
      <c r="AC223" s="74">
        <f t="shared" si="95"/>
        <v>1.6</v>
      </c>
      <c r="AD223" s="74">
        <f t="shared" si="80"/>
        <v>180</v>
      </c>
      <c r="AE223" s="74">
        <f t="shared" si="84"/>
        <v>1.1000000000000001</v>
      </c>
      <c r="AF223" s="74">
        <f t="shared" si="90"/>
        <v>275</v>
      </c>
      <c r="AG223" s="74">
        <f t="shared" si="97"/>
        <v>18</v>
      </c>
      <c r="AH223" s="74">
        <f t="shared" si="88"/>
        <v>3</v>
      </c>
      <c r="AI223" s="74">
        <f t="shared" si="79"/>
        <v>47</v>
      </c>
      <c r="AJ223" s="74">
        <f t="shared" si="105"/>
        <v>90</v>
      </c>
      <c r="AK223" s="74">
        <f t="shared" si="111"/>
        <v>14</v>
      </c>
      <c r="AL223" s="74">
        <f t="shared" si="106"/>
        <v>45</v>
      </c>
      <c r="AM223" s="74">
        <v>46</v>
      </c>
      <c r="AN223" s="74">
        <f t="shared" si="112"/>
        <v>0.75</v>
      </c>
      <c r="AO223" s="74">
        <f t="shared" si="125"/>
        <v>19</v>
      </c>
      <c r="AP223" s="74">
        <f t="shared" si="125"/>
        <v>19</v>
      </c>
      <c r="AQ223" s="74">
        <f t="shared" si="115"/>
        <v>5</v>
      </c>
      <c r="AR223" s="74">
        <f t="shared" si="101"/>
        <v>120</v>
      </c>
      <c r="AS223" s="74">
        <f t="shared" si="103"/>
        <v>120</v>
      </c>
      <c r="AT223" s="74">
        <f t="shared" si="96"/>
        <v>55</v>
      </c>
      <c r="AU223" s="74"/>
      <c r="AV223" s="74"/>
      <c r="AW223" s="74">
        <f t="shared" si="74"/>
        <v>5219.2500000000009</v>
      </c>
      <c r="AX223" s="83">
        <f t="shared" si="98"/>
        <v>5370.9449999999988</v>
      </c>
      <c r="AY223" s="62">
        <f>'[1]D4 Gallon Forecast'!$T155/1000000</f>
        <v>0</v>
      </c>
      <c r="AZ223" s="62">
        <f>'[1]D4 Gallon Forecast'!$T187/1000000</f>
        <v>229.46299902612029</v>
      </c>
      <c r="BA223" s="62">
        <f t="shared" si="92"/>
        <v>229.46299902612029</v>
      </c>
      <c r="BB223" s="62">
        <f>'[1]D4 Gallon Forecast'!$T171/1000000</f>
        <v>0</v>
      </c>
      <c r="BC223" s="63">
        <f>'[1]D4 Gallon Forecast'!$T347/1000000</f>
        <v>149.26606301052726</v>
      </c>
      <c r="BD223" s="64">
        <f>'[1]D4 Gallon Forecast'!$T363/1000000</f>
        <v>0</v>
      </c>
      <c r="BE223" s="64">
        <f t="shared" si="94"/>
        <v>149.26606301052726</v>
      </c>
      <c r="BF223" s="76">
        <f t="shared" si="117"/>
        <v>378.72906203664752</v>
      </c>
      <c r="BG223" s="77">
        <f t="shared" si="121"/>
        <v>0.85792542183530307</v>
      </c>
      <c r="BH223" s="60"/>
      <c r="BI223" s="75">
        <f t="shared" si="75"/>
        <v>4645.4000000000005</v>
      </c>
      <c r="BJ223" s="75">
        <f t="shared" si="113"/>
        <v>725.54499999999825</v>
      </c>
      <c r="BK223" s="75">
        <f>'RD Feedstock Breakdown'!ES214</f>
        <v>3009.7519932710366</v>
      </c>
      <c r="BL223" s="78">
        <f t="shared" si="120"/>
        <v>7.9469792391580434</v>
      </c>
      <c r="BM223" s="78">
        <f t="shared" si="118"/>
        <v>13.116502469003422</v>
      </c>
      <c r="BN223" s="60"/>
      <c r="BO223" s="60"/>
      <c r="BP223" s="60"/>
      <c r="BQ223" s="66">
        <f>'[1]D4 Gallon Forecast'!$T75/1000000</f>
        <v>100.65084829994829</v>
      </c>
      <c r="BR223" s="66">
        <f>'[1]D6 Gallon Forecast'!$T68/1000000</f>
        <v>0.66090321363271054</v>
      </c>
      <c r="BS223" s="66">
        <f t="shared" si="82"/>
        <v>101.311751513581</v>
      </c>
      <c r="BT223" s="60"/>
      <c r="BU223" s="67">
        <f>'[2]US EIA'!$P360</f>
        <v>806.7174152748629</v>
      </c>
      <c r="BV223" s="68">
        <f t="shared" si="127"/>
        <v>7.9627230131020008</v>
      </c>
      <c r="BW223" s="60"/>
      <c r="BX223" s="69">
        <f t="shared" si="128"/>
        <v>0.7889517960685225</v>
      </c>
      <c r="BY223" s="69">
        <f t="shared" si="129"/>
        <v>0.21104820393147752</v>
      </c>
      <c r="BZ223" s="60"/>
      <c r="CA223" s="60"/>
      <c r="CB223" s="84" t="e">
        <f>#REF!</f>
        <v>#REF!</v>
      </c>
      <c r="CC223" s="84" t="e">
        <f>#REF!</f>
        <v>#REF!</v>
      </c>
      <c r="CD223" s="84" t="e">
        <f t="shared" si="110"/>
        <v>#REF!</v>
      </c>
      <c r="CE223" s="60"/>
      <c r="CF223" s="84">
        <f>'RD Feedstock Breakdown'!GQ214*1000000</f>
        <v>1186214303.8555167</v>
      </c>
      <c r="CG223" s="85" t="e">
        <f t="shared" si="109"/>
        <v>#REF!</v>
      </c>
      <c r="CH223" s="73">
        <f>'[2]US EIA'!$R360+AW223</f>
        <v>7063.2499999999982</v>
      </c>
    </row>
    <row r="224" spans="1:86" ht="13.5" x14ac:dyDescent="0.25">
      <c r="A224" s="59">
        <v>46966</v>
      </c>
      <c r="B224" s="74">
        <f t="shared" si="119"/>
        <v>690</v>
      </c>
      <c r="C224" s="74">
        <v>47</v>
      </c>
      <c r="D224" s="74">
        <f t="shared" si="108"/>
        <v>3</v>
      </c>
      <c r="E224" s="74">
        <f t="shared" si="123"/>
        <v>85</v>
      </c>
      <c r="F224" s="74">
        <f t="shared" si="91"/>
        <v>340</v>
      </c>
      <c r="G224" s="74">
        <f t="shared" si="107"/>
        <v>37.5</v>
      </c>
      <c r="H224" s="74">
        <f t="shared" si="81"/>
        <v>190</v>
      </c>
      <c r="I224" s="74">
        <f t="shared" si="122"/>
        <v>250</v>
      </c>
      <c r="J224" s="74">
        <f t="shared" si="114"/>
        <v>153.30000000000001</v>
      </c>
      <c r="K224" s="74">
        <f t="shared" si="126"/>
        <v>125</v>
      </c>
      <c r="L224" s="74">
        <v>125</v>
      </c>
      <c r="M224" s="74">
        <v>730</v>
      </c>
      <c r="N224" s="74">
        <f t="shared" si="102"/>
        <v>180</v>
      </c>
      <c r="O224" s="74">
        <v>375</v>
      </c>
      <c r="P224" s="74">
        <f t="shared" si="76"/>
        <v>50</v>
      </c>
      <c r="Q224" s="74">
        <f t="shared" si="77"/>
        <v>21</v>
      </c>
      <c r="R224" s="74">
        <v>100</v>
      </c>
      <c r="S224" s="74">
        <f t="shared" si="83"/>
        <v>60</v>
      </c>
      <c r="T224" s="74">
        <f t="shared" si="71"/>
        <v>36</v>
      </c>
      <c r="U224" s="74"/>
      <c r="V224" s="74">
        <f t="shared" si="99"/>
        <v>0</v>
      </c>
      <c r="W224" s="74">
        <f t="shared" si="78"/>
        <v>20</v>
      </c>
      <c r="X224" s="74">
        <f t="shared" si="116"/>
        <v>0</v>
      </c>
      <c r="Y224" s="74">
        <f t="shared" si="73"/>
        <v>3.5</v>
      </c>
      <c r="Z224" s="74">
        <f t="shared" si="124"/>
        <v>172.5</v>
      </c>
      <c r="AA224" s="74">
        <f t="shared" si="72"/>
        <v>306</v>
      </c>
      <c r="AB224" s="74">
        <f t="shared" si="87"/>
        <v>60</v>
      </c>
      <c r="AC224" s="74">
        <f t="shared" si="95"/>
        <v>1.6</v>
      </c>
      <c r="AD224" s="74">
        <f t="shared" si="80"/>
        <v>180</v>
      </c>
      <c r="AE224" s="74">
        <f t="shared" si="84"/>
        <v>1.1000000000000001</v>
      </c>
      <c r="AF224" s="74">
        <f t="shared" si="90"/>
        <v>275</v>
      </c>
      <c r="AG224" s="74">
        <f t="shared" si="97"/>
        <v>18</v>
      </c>
      <c r="AH224" s="74">
        <f t="shared" si="88"/>
        <v>3</v>
      </c>
      <c r="AI224" s="74">
        <f t="shared" si="79"/>
        <v>47</v>
      </c>
      <c r="AJ224" s="74">
        <f t="shared" si="105"/>
        <v>90</v>
      </c>
      <c r="AK224" s="74">
        <f t="shared" si="111"/>
        <v>14</v>
      </c>
      <c r="AL224" s="74">
        <f t="shared" si="106"/>
        <v>45</v>
      </c>
      <c r="AM224" s="74">
        <v>46</v>
      </c>
      <c r="AN224" s="74">
        <f t="shared" si="112"/>
        <v>0.75</v>
      </c>
      <c r="AO224" s="74">
        <f t="shared" si="125"/>
        <v>19</v>
      </c>
      <c r="AP224" s="74">
        <f t="shared" si="125"/>
        <v>19</v>
      </c>
      <c r="AQ224" s="74">
        <f t="shared" si="115"/>
        <v>5</v>
      </c>
      <c r="AR224" s="74">
        <f t="shared" si="101"/>
        <v>120</v>
      </c>
      <c r="AS224" s="74">
        <f t="shared" si="103"/>
        <v>120</v>
      </c>
      <c r="AT224" s="74">
        <f t="shared" si="96"/>
        <v>55</v>
      </c>
      <c r="AU224" s="74"/>
      <c r="AV224" s="74"/>
      <c r="AW224" s="74">
        <f t="shared" si="74"/>
        <v>5219.2500000000009</v>
      </c>
      <c r="AX224" s="83">
        <f t="shared" si="98"/>
        <v>5370.9449999999988</v>
      </c>
      <c r="AY224" s="62">
        <f>'[1]D4 Gallon Forecast'!$T156/1000000</f>
        <v>0</v>
      </c>
      <c r="AZ224" s="62">
        <f>'[1]D4 Gallon Forecast'!$T188/1000000</f>
        <v>232.74673710908294</v>
      </c>
      <c r="BA224" s="62">
        <f t="shared" si="92"/>
        <v>232.74673710908294</v>
      </c>
      <c r="BB224" s="62">
        <f>'[1]D4 Gallon Forecast'!$T172/1000000</f>
        <v>0</v>
      </c>
      <c r="BC224" s="63">
        <f>'[1]D4 Gallon Forecast'!$T348/1000000</f>
        <v>162.64569940454592</v>
      </c>
      <c r="BD224" s="64">
        <f>'[1]D4 Gallon Forecast'!$T364/1000000</f>
        <v>0</v>
      </c>
      <c r="BE224" s="64">
        <f>BD224+BC224+BB224</f>
        <v>162.64569940454592</v>
      </c>
      <c r="BF224" s="76">
        <f t="shared" si="117"/>
        <v>395.39243651362887</v>
      </c>
      <c r="BG224" s="77">
        <f t="shared" si="121"/>
        <v>0.86677988232607561</v>
      </c>
      <c r="BH224" s="60"/>
      <c r="BI224" s="75">
        <f t="shared" si="75"/>
        <v>4645.4000000000005</v>
      </c>
      <c r="BJ224" s="75">
        <f t="shared" si="113"/>
        <v>725.54499999999825</v>
      </c>
      <c r="BK224" s="75">
        <f>'RD Feedstock Breakdown'!ES215</f>
        <v>3145.1327558976868</v>
      </c>
      <c r="BL224" s="78">
        <f t="shared" si="120"/>
        <v>7.9544585719187788</v>
      </c>
      <c r="BM224" s="78">
        <f t="shared" si="118"/>
        <v>13.513112127641286</v>
      </c>
      <c r="BN224" s="60"/>
      <c r="BO224" s="60"/>
      <c r="BP224" s="60"/>
      <c r="BQ224" s="66">
        <f>'[1]D4 Gallon Forecast'!$T76/1000000</f>
        <v>103.68195797008775</v>
      </c>
      <c r="BR224" s="66">
        <f>'[1]D6 Gallon Forecast'!$T69/1000000</f>
        <v>0.68654003459925872</v>
      </c>
      <c r="BS224" s="66">
        <f t="shared" si="82"/>
        <v>104.36849800468701</v>
      </c>
      <c r="BT224" s="60"/>
      <c r="BU224" s="67">
        <f>'[2]US EIA'!$P361</f>
        <v>811.83143042447739</v>
      </c>
      <c r="BV224" s="68">
        <f t="shared" si="127"/>
        <v>7.7785102396320722</v>
      </c>
      <c r="BW224" s="60"/>
      <c r="BX224" s="69">
        <f t="shared" si="128"/>
        <v>0.79116315262760506</v>
      </c>
      <c r="BY224" s="69">
        <f t="shared" si="129"/>
        <v>0.20883684737239497</v>
      </c>
      <c r="BZ224" s="60"/>
      <c r="CA224" s="60"/>
      <c r="CB224" s="84" t="e">
        <f>#REF!</f>
        <v>#REF!</v>
      </c>
      <c r="CC224" s="84" t="e">
        <f>#REF!</f>
        <v>#REF!</v>
      </c>
      <c r="CD224" s="84" t="e">
        <f t="shared" si="110"/>
        <v>#REF!</v>
      </c>
      <c r="CE224" s="60"/>
      <c r="CF224" s="84">
        <f>'RD Feedstock Breakdown'!GQ215*1000000</f>
        <v>1293758477.8142154</v>
      </c>
      <c r="CG224" s="85" t="e">
        <f t="shared" si="109"/>
        <v>#REF!</v>
      </c>
      <c r="CH224" s="73">
        <f>'[2]US EIA'!$R361+AW224</f>
        <v>7063.2499999999982</v>
      </c>
    </row>
    <row r="225" spans="1:86" ht="13.5" x14ac:dyDescent="0.25">
      <c r="A225" s="59">
        <v>46997</v>
      </c>
      <c r="B225" s="74">
        <f t="shared" si="119"/>
        <v>690</v>
      </c>
      <c r="C225" s="74">
        <v>47</v>
      </c>
      <c r="D225" s="74">
        <f t="shared" si="108"/>
        <v>3</v>
      </c>
      <c r="E225" s="74">
        <f t="shared" si="123"/>
        <v>85</v>
      </c>
      <c r="F225" s="74">
        <f t="shared" si="91"/>
        <v>340</v>
      </c>
      <c r="G225" s="74">
        <f t="shared" si="107"/>
        <v>37.5</v>
      </c>
      <c r="H225" s="74">
        <f t="shared" si="81"/>
        <v>190</v>
      </c>
      <c r="I225" s="74">
        <f t="shared" si="122"/>
        <v>250</v>
      </c>
      <c r="J225" s="74">
        <f t="shared" si="114"/>
        <v>153.30000000000001</v>
      </c>
      <c r="K225" s="74">
        <f t="shared" si="126"/>
        <v>125</v>
      </c>
      <c r="L225" s="74">
        <v>125</v>
      </c>
      <c r="M225" s="74">
        <v>730</v>
      </c>
      <c r="N225" s="74">
        <f t="shared" si="102"/>
        <v>180</v>
      </c>
      <c r="O225" s="74">
        <v>375</v>
      </c>
      <c r="P225" s="74">
        <f t="shared" si="76"/>
        <v>50</v>
      </c>
      <c r="Q225" s="74">
        <f t="shared" si="77"/>
        <v>21</v>
      </c>
      <c r="R225" s="74">
        <v>100</v>
      </c>
      <c r="S225" s="74">
        <f t="shared" si="83"/>
        <v>60</v>
      </c>
      <c r="T225" s="74">
        <f t="shared" si="71"/>
        <v>36</v>
      </c>
      <c r="U225" s="74"/>
      <c r="V225" s="74">
        <f t="shared" si="99"/>
        <v>0</v>
      </c>
      <c r="W225" s="74">
        <f t="shared" si="78"/>
        <v>20</v>
      </c>
      <c r="X225" s="74">
        <f t="shared" si="116"/>
        <v>0</v>
      </c>
      <c r="Y225" s="74">
        <f t="shared" si="73"/>
        <v>3.5</v>
      </c>
      <c r="Z225" s="74">
        <f t="shared" si="124"/>
        <v>172.5</v>
      </c>
      <c r="AA225" s="74">
        <f t="shared" si="72"/>
        <v>306</v>
      </c>
      <c r="AB225" s="74">
        <f t="shared" si="87"/>
        <v>60</v>
      </c>
      <c r="AC225" s="74">
        <f t="shared" si="95"/>
        <v>1.6</v>
      </c>
      <c r="AD225" s="74">
        <f t="shared" si="80"/>
        <v>180</v>
      </c>
      <c r="AE225" s="74">
        <f t="shared" si="84"/>
        <v>1.1000000000000001</v>
      </c>
      <c r="AF225" s="74">
        <f t="shared" si="90"/>
        <v>275</v>
      </c>
      <c r="AG225" s="74">
        <f t="shared" si="97"/>
        <v>18</v>
      </c>
      <c r="AH225" s="74">
        <f t="shared" si="88"/>
        <v>3</v>
      </c>
      <c r="AI225" s="74">
        <f t="shared" si="79"/>
        <v>47</v>
      </c>
      <c r="AJ225" s="74">
        <f t="shared" si="105"/>
        <v>90</v>
      </c>
      <c r="AK225" s="74">
        <f t="shared" si="111"/>
        <v>14</v>
      </c>
      <c r="AL225" s="74">
        <f t="shared" si="106"/>
        <v>45</v>
      </c>
      <c r="AM225" s="74">
        <v>46</v>
      </c>
      <c r="AN225" s="74">
        <f t="shared" si="112"/>
        <v>0.75</v>
      </c>
      <c r="AO225" s="74">
        <f t="shared" si="125"/>
        <v>19</v>
      </c>
      <c r="AP225" s="74">
        <f t="shared" si="125"/>
        <v>19</v>
      </c>
      <c r="AQ225" s="74">
        <f t="shared" si="115"/>
        <v>5</v>
      </c>
      <c r="AR225" s="74">
        <f t="shared" si="101"/>
        <v>120</v>
      </c>
      <c r="AS225" s="74">
        <f t="shared" si="103"/>
        <v>120</v>
      </c>
      <c r="AT225" s="74">
        <f t="shared" si="96"/>
        <v>55</v>
      </c>
      <c r="AU225" s="74"/>
      <c r="AV225" s="74"/>
      <c r="AW225" s="74">
        <f t="shared" si="74"/>
        <v>5219.2500000000009</v>
      </c>
      <c r="AX225" s="83">
        <f t="shared" si="98"/>
        <v>5370.9449999999988</v>
      </c>
      <c r="AY225" s="62">
        <f>'[1]D4 Gallon Forecast'!$T157/1000000</f>
        <v>0</v>
      </c>
      <c r="AZ225" s="62">
        <f>'[1]D4 Gallon Forecast'!$T189/1000000</f>
        <v>236.9887295108885</v>
      </c>
      <c r="BA225" s="62">
        <f t="shared" si="92"/>
        <v>236.9887295108885</v>
      </c>
      <c r="BB225" s="62">
        <f>'[1]D4 Gallon Forecast'!$T173/1000000</f>
        <v>0</v>
      </c>
      <c r="BC225" s="63">
        <f>'[1]D4 Gallon Forecast'!$T349/1000000</f>
        <v>197.81669635851759</v>
      </c>
      <c r="BD225" s="64">
        <f>'[1]D4 Gallon Forecast'!$T365/1000000</f>
        <v>0</v>
      </c>
      <c r="BE225" s="64">
        <f t="shared" si="94"/>
        <v>197.81669635851759</v>
      </c>
      <c r="BF225" s="76">
        <f t="shared" si="117"/>
        <v>434.80542586940612</v>
      </c>
      <c r="BG225" s="77">
        <f t="shared" si="121"/>
        <v>0.95318109570574017</v>
      </c>
      <c r="BH225" s="60"/>
      <c r="BI225" s="75">
        <f t="shared" si="75"/>
        <v>4645.4000000000005</v>
      </c>
      <c r="BJ225" s="75">
        <f t="shared" si="113"/>
        <v>725.54499999999825</v>
      </c>
      <c r="BK225" s="75">
        <f>'RD Feedstock Breakdown'!ES216</f>
        <v>3455.1752364335757</v>
      </c>
      <c r="BL225" s="78">
        <f t="shared" si="120"/>
        <v>7.9464860161872455</v>
      </c>
      <c r="BM225" s="78">
        <f t="shared" si="118"/>
        <v>14.579491790873654</v>
      </c>
      <c r="BN225" s="60"/>
      <c r="BO225" s="60"/>
      <c r="BP225" s="60"/>
      <c r="BQ225" s="66">
        <f>'[1]D4 Gallon Forecast'!$T77/1000000</f>
        <v>97.963149874461749</v>
      </c>
      <c r="BR225" s="66">
        <f>'[1]D6 Gallon Forecast'!$T70/1000000</f>
        <v>0.68541532593101773</v>
      </c>
      <c r="BS225" s="66">
        <f t="shared" si="82"/>
        <v>98.648565200392767</v>
      </c>
      <c r="BT225" s="60"/>
      <c r="BU225" s="67">
        <f>'[2]US EIA'!$P362</f>
        <v>780.33713539680821</v>
      </c>
      <c r="BV225" s="68">
        <f t="shared" si="127"/>
        <v>7.910273543377409</v>
      </c>
      <c r="BW225" s="60"/>
      <c r="BX225" s="69">
        <f t="shared" si="128"/>
        <v>0.81507577625849037</v>
      </c>
      <c r="BY225" s="69">
        <f t="shared" si="129"/>
        <v>0.1849242237415096</v>
      </c>
      <c r="BZ225" s="60"/>
      <c r="CA225" s="60"/>
      <c r="CB225" s="84" t="e">
        <f>#REF!</f>
        <v>#REF!</v>
      </c>
      <c r="CC225" s="84" t="e">
        <f>#REF!</f>
        <v>#REF!</v>
      </c>
      <c r="CD225" s="84" t="e">
        <f t="shared" si="110"/>
        <v>#REF!</v>
      </c>
      <c r="CE225" s="60"/>
      <c r="CF225" s="84">
        <f>'RD Feedstock Breakdown'!GQ216*1000000</f>
        <v>1571947611.3813183</v>
      </c>
      <c r="CG225" s="85" t="e">
        <f t="shared" si="109"/>
        <v>#REF!</v>
      </c>
      <c r="CH225" s="73">
        <f>'[2]US EIA'!$R362+AW225</f>
        <v>7063.2499999999982</v>
      </c>
    </row>
    <row r="226" spans="1:86" ht="13.5" x14ac:dyDescent="0.25">
      <c r="A226" s="59">
        <v>47027</v>
      </c>
      <c r="B226" s="74">
        <f t="shared" si="119"/>
        <v>690</v>
      </c>
      <c r="C226" s="74">
        <v>47</v>
      </c>
      <c r="D226" s="74">
        <f t="shared" si="108"/>
        <v>3</v>
      </c>
      <c r="E226" s="74">
        <f t="shared" si="123"/>
        <v>85</v>
      </c>
      <c r="F226" s="74">
        <f t="shared" si="91"/>
        <v>340</v>
      </c>
      <c r="G226" s="74">
        <f t="shared" si="107"/>
        <v>37.5</v>
      </c>
      <c r="H226" s="74">
        <f t="shared" si="81"/>
        <v>190</v>
      </c>
      <c r="I226" s="74">
        <f t="shared" si="122"/>
        <v>250</v>
      </c>
      <c r="J226" s="74">
        <f t="shared" si="114"/>
        <v>153.30000000000001</v>
      </c>
      <c r="K226" s="74">
        <f t="shared" si="126"/>
        <v>125</v>
      </c>
      <c r="L226" s="74">
        <v>125</v>
      </c>
      <c r="M226" s="74">
        <v>730</v>
      </c>
      <c r="N226" s="74">
        <f t="shared" si="102"/>
        <v>180</v>
      </c>
      <c r="O226" s="74">
        <v>375</v>
      </c>
      <c r="P226" s="74">
        <f t="shared" si="76"/>
        <v>50</v>
      </c>
      <c r="Q226" s="74">
        <f t="shared" si="77"/>
        <v>21</v>
      </c>
      <c r="R226" s="74">
        <v>100</v>
      </c>
      <c r="S226" s="74">
        <f t="shared" si="83"/>
        <v>60</v>
      </c>
      <c r="T226" s="74">
        <f t="shared" ref="T226:T289" si="130">36*$T$12</f>
        <v>36</v>
      </c>
      <c r="U226" s="74"/>
      <c r="V226" s="74">
        <f t="shared" si="99"/>
        <v>0</v>
      </c>
      <c r="W226" s="74">
        <f t="shared" si="78"/>
        <v>20</v>
      </c>
      <c r="X226" s="74">
        <f t="shared" si="116"/>
        <v>0</v>
      </c>
      <c r="Y226" s="74">
        <f t="shared" si="73"/>
        <v>3.5</v>
      </c>
      <c r="Z226" s="74">
        <f t="shared" si="124"/>
        <v>172.5</v>
      </c>
      <c r="AA226" s="74">
        <f t="shared" ref="AA226:AA289" si="131">$AA$12*$AA$5</f>
        <v>306</v>
      </c>
      <c r="AB226" s="74">
        <f t="shared" si="87"/>
        <v>60</v>
      </c>
      <c r="AC226" s="74">
        <f t="shared" si="95"/>
        <v>1.6</v>
      </c>
      <c r="AD226" s="74">
        <f t="shared" si="80"/>
        <v>180</v>
      </c>
      <c r="AE226" s="74">
        <f t="shared" si="84"/>
        <v>1.1000000000000001</v>
      </c>
      <c r="AF226" s="74">
        <f t="shared" si="90"/>
        <v>275</v>
      </c>
      <c r="AG226" s="74">
        <f t="shared" si="97"/>
        <v>18</v>
      </c>
      <c r="AH226" s="74">
        <f t="shared" si="88"/>
        <v>3</v>
      </c>
      <c r="AI226" s="74">
        <f t="shared" si="79"/>
        <v>47</v>
      </c>
      <c r="AJ226" s="74">
        <f t="shared" si="105"/>
        <v>90</v>
      </c>
      <c r="AK226" s="74">
        <f t="shared" si="111"/>
        <v>14</v>
      </c>
      <c r="AL226" s="74">
        <f t="shared" si="106"/>
        <v>45</v>
      </c>
      <c r="AM226" s="74">
        <v>46</v>
      </c>
      <c r="AN226" s="74">
        <f t="shared" si="112"/>
        <v>0.75</v>
      </c>
      <c r="AO226" s="74">
        <f t="shared" si="125"/>
        <v>19</v>
      </c>
      <c r="AP226" s="74">
        <f t="shared" si="125"/>
        <v>19</v>
      </c>
      <c r="AQ226" s="74">
        <f t="shared" si="115"/>
        <v>5</v>
      </c>
      <c r="AR226" s="74">
        <f t="shared" si="101"/>
        <v>120</v>
      </c>
      <c r="AS226" s="74">
        <f t="shared" si="103"/>
        <v>120</v>
      </c>
      <c r="AT226" s="74">
        <f t="shared" si="96"/>
        <v>55</v>
      </c>
      <c r="AU226" s="74"/>
      <c r="AV226" s="74"/>
      <c r="AW226" s="74">
        <f t="shared" si="74"/>
        <v>5219.2500000000009</v>
      </c>
      <c r="AX226" s="83">
        <f t="shared" si="98"/>
        <v>5370.9449999999988</v>
      </c>
      <c r="AY226" s="62">
        <f>'[1]D4 Gallon Forecast'!$T158/1000000</f>
        <v>0</v>
      </c>
      <c r="AZ226" s="62">
        <f>'[1]D4 Gallon Forecast'!$T190/1000000</f>
        <v>260.41920354806001</v>
      </c>
      <c r="BA226" s="62">
        <f t="shared" si="92"/>
        <v>260.41920354806001</v>
      </c>
      <c r="BB226" s="62">
        <f>'[1]D4 Gallon Forecast'!$T174/1000000</f>
        <v>0</v>
      </c>
      <c r="BC226" s="63">
        <f>'[1]D4 Gallon Forecast'!$T350/1000000</f>
        <v>192.77227950451348</v>
      </c>
      <c r="BD226" s="64">
        <f>'[1]D4 Gallon Forecast'!$T366/1000000</f>
        <v>0</v>
      </c>
      <c r="BE226" s="64">
        <f t="shared" si="94"/>
        <v>192.77227950451348</v>
      </c>
      <c r="BF226" s="76">
        <f t="shared" si="117"/>
        <v>453.19148305257352</v>
      </c>
      <c r="BG226" s="77">
        <f t="shared" si="121"/>
        <v>1.0266032719517661</v>
      </c>
      <c r="BH226" s="60"/>
      <c r="BI226" s="75">
        <f t="shared" si="75"/>
        <v>4645.4000000000005</v>
      </c>
      <c r="BJ226" s="75">
        <f t="shared" si="113"/>
        <v>725.54499999999825</v>
      </c>
      <c r="BK226" s="75">
        <f>'RD Feedstock Breakdown'!ES217</f>
        <v>3691.7744681546255</v>
      </c>
      <c r="BL226" s="78">
        <f t="shared" si="120"/>
        <v>8.1461691276452175</v>
      </c>
      <c r="BM226" s="78">
        <f t="shared" si="118"/>
        <v>14.176275857756833</v>
      </c>
      <c r="BN226" s="60"/>
      <c r="BO226" s="60"/>
      <c r="BP226" s="60"/>
      <c r="BQ226" s="66">
        <f>'[1]D4 Gallon Forecast'!$T78/1000000</f>
        <v>100.68256420731441</v>
      </c>
      <c r="BR226" s="66">
        <f>'[1]D6 Gallon Forecast'!$T71/1000000</f>
        <v>0.68476588545444783</v>
      </c>
      <c r="BS226" s="66">
        <f t="shared" si="82"/>
        <v>101.36733009276887</v>
      </c>
      <c r="BT226" s="60"/>
      <c r="BU226" s="67">
        <f>'[2]US EIA'!$P363</f>
        <v>775.40193779649996</v>
      </c>
      <c r="BV226" s="68">
        <f t="shared" si="127"/>
        <v>7.6494264679445667</v>
      </c>
      <c r="BW226" s="60"/>
      <c r="BX226" s="69">
        <f t="shared" si="128"/>
        <v>0.81721085718963804</v>
      </c>
      <c r="BY226" s="69">
        <f t="shared" si="129"/>
        <v>0.18278914281036204</v>
      </c>
      <c r="BZ226" s="60"/>
      <c r="CA226" s="60"/>
      <c r="CB226" s="84" t="e">
        <f>#REF!</f>
        <v>#REF!</v>
      </c>
      <c r="CC226" s="84" t="e">
        <f>#REF!</f>
        <v>#REF!</v>
      </c>
      <c r="CD226" s="84" t="e">
        <f t="shared" si="110"/>
        <v>#REF!</v>
      </c>
      <c r="CE226" s="60"/>
      <c r="CF226" s="84">
        <f>'RD Feedstock Breakdown'!GQ217*1000000</f>
        <v>1529661588.7264032</v>
      </c>
      <c r="CG226" s="85" t="e">
        <f t="shared" si="109"/>
        <v>#REF!</v>
      </c>
      <c r="CH226" s="73">
        <f>'[2]US EIA'!$R363+AW226</f>
        <v>7063.2499999999982</v>
      </c>
    </row>
    <row r="227" spans="1:86" ht="13.5" x14ac:dyDescent="0.25">
      <c r="A227" s="59">
        <v>47058</v>
      </c>
      <c r="B227" s="74">
        <f t="shared" si="119"/>
        <v>690</v>
      </c>
      <c r="C227" s="74">
        <v>47</v>
      </c>
      <c r="D227" s="74">
        <f t="shared" si="108"/>
        <v>3</v>
      </c>
      <c r="E227" s="74">
        <f t="shared" si="123"/>
        <v>85</v>
      </c>
      <c r="F227" s="74">
        <f t="shared" si="91"/>
        <v>340</v>
      </c>
      <c r="G227" s="74">
        <f t="shared" si="107"/>
        <v>37.5</v>
      </c>
      <c r="H227" s="74">
        <f t="shared" si="81"/>
        <v>190</v>
      </c>
      <c r="I227" s="74">
        <f t="shared" si="122"/>
        <v>250</v>
      </c>
      <c r="J227" s="74">
        <f t="shared" si="114"/>
        <v>153.30000000000001</v>
      </c>
      <c r="K227" s="74">
        <f t="shared" si="126"/>
        <v>125</v>
      </c>
      <c r="L227" s="74">
        <v>125</v>
      </c>
      <c r="M227" s="74">
        <v>730</v>
      </c>
      <c r="N227" s="74">
        <f t="shared" si="102"/>
        <v>180</v>
      </c>
      <c r="O227" s="74">
        <v>375</v>
      </c>
      <c r="P227" s="74">
        <f t="shared" si="76"/>
        <v>50</v>
      </c>
      <c r="Q227" s="74">
        <f t="shared" si="77"/>
        <v>21</v>
      </c>
      <c r="R227" s="74">
        <v>100</v>
      </c>
      <c r="S227" s="74">
        <f t="shared" si="83"/>
        <v>60</v>
      </c>
      <c r="T227" s="74">
        <f t="shared" si="130"/>
        <v>36</v>
      </c>
      <c r="U227" s="74"/>
      <c r="V227" s="74">
        <f t="shared" si="99"/>
        <v>0</v>
      </c>
      <c r="W227" s="74">
        <f t="shared" si="78"/>
        <v>20</v>
      </c>
      <c r="X227" s="74">
        <f t="shared" si="116"/>
        <v>0</v>
      </c>
      <c r="Y227" s="74">
        <f t="shared" ref="Y227:Y290" si="132">$Y$5*$Y$12</f>
        <v>3.5</v>
      </c>
      <c r="Z227" s="74">
        <f t="shared" si="124"/>
        <v>172.5</v>
      </c>
      <c r="AA227" s="74">
        <f t="shared" si="131"/>
        <v>306</v>
      </c>
      <c r="AB227" s="74">
        <f t="shared" si="87"/>
        <v>60</v>
      </c>
      <c r="AC227" s="74">
        <f t="shared" si="95"/>
        <v>1.6</v>
      </c>
      <c r="AD227" s="74">
        <f t="shared" si="80"/>
        <v>180</v>
      </c>
      <c r="AE227" s="74">
        <f t="shared" si="84"/>
        <v>1.1000000000000001</v>
      </c>
      <c r="AF227" s="74">
        <f t="shared" si="90"/>
        <v>275</v>
      </c>
      <c r="AG227" s="74">
        <f t="shared" si="97"/>
        <v>18</v>
      </c>
      <c r="AH227" s="74">
        <f t="shared" si="88"/>
        <v>3</v>
      </c>
      <c r="AI227" s="74">
        <f t="shared" si="79"/>
        <v>47</v>
      </c>
      <c r="AJ227" s="74">
        <f t="shared" si="105"/>
        <v>90</v>
      </c>
      <c r="AK227" s="74">
        <f t="shared" si="111"/>
        <v>14</v>
      </c>
      <c r="AL227" s="74">
        <f t="shared" si="106"/>
        <v>45</v>
      </c>
      <c r="AM227" s="74">
        <v>46</v>
      </c>
      <c r="AN227" s="74">
        <f t="shared" si="112"/>
        <v>0.75</v>
      </c>
      <c r="AO227" s="74">
        <f t="shared" si="125"/>
        <v>19</v>
      </c>
      <c r="AP227" s="74">
        <f t="shared" si="125"/>
        <v>19</v>
      </c>
      <c r="AQ227" s="74">
        <f t="shared" si="115"/>
        <v>5</v>
      </c>
      <c r="AR227" s="74">
        <f t="shared" si="101"/>
        <v>120</v>
      </c>
      <c r="AS227" s="74">
        <f t="shared" si="103"/>
        <v>120</v>
      </c>
      <c r="AT227" s="74">
        <f t="shared" si="96"/>
        <v>55</v>
      </c>
      <c r="AU227" s="74"/>
      <c r="AV227" s="74"/>
      <c r="AW227" s="74">
        <f t="shared" ref="AW227:AW290" si="133">SUM(B227:AT227)</f>
        <v>5219.2500000000009</v>
      </c>
      <c r="AX227" s="83">
        <f t="shared" si="98"/>
        <v>5370.9449999999988</v>
      </c>
      <c r="AY227" s="62">
        <f>'[1]D4 Gallon Forecast'!$T159/1000000</f>
        <v>0</v>
      </c>
      <c r="AZ227" s="62">
        <f>'[1]D4 Gallon Forecast'!$T191/1000000</f>
        <v>316.40356529596318</v>
      </c>
      <c r="BA227" s="62">
        <f t="shared" si="92"/>
        <v>316.40356529596318</v>
      </c>
      <c r="BB227" s="62">
        <f>'[1]D4 Gallon Forecast'!$T175/1000000</f>
        <v>0</v>
      </c>
      <c r="BC227" s="63">
        <f>'[1]D4 Gallon Forecast'!$T351/1000000</f>
        <v>166.28843847560069</v>
      </c>
      <c r="BD227" s="64">
        <f>'[1]D4 Gallon Forecast'!$T367/1000000</f>
        <v>0</v>
      </c>
      <c r="BE227" s="64">
        <f t="shared" si="94"/>
        <v>166.28843847560069</v>
      </c>
      <c r="BF227" s="76">
        <f t="shared" si="117"/>
        <v>482.69200377156386</v>
      </c>
      <c r="BG227" s="77">
        <f t="shared" si="121"/>
        <v>1.0581581223909737</v>
      </c>
      <c r="BH227" s="60"/>
      <c r="BI227" s="75">
        <f t="shared" ref="BI227:BI290" si="134">SUMIF($B$7:$AN$7,"Yes",B227:AN227)</f>
        <v>4645.4000000000005</v>
      </c>
      <c r="BJ227" s="75">
        <f t="shared" si="113"/>
        <v>725.54499999999825</v>
      </c>
      <c r="BK227" s="75">
        <f>'RD Feedstock Breakdown'!ES218</f>
        <v>4056.9692396352157</v>
      </c>
      <c r="BL227" s="78">
        <f t="shared" si="120"/>
        <v>8.4048818044128915</v>
      </c>
      <c r="BM227" s="78">
        <f t="shared" si="118"/>
        <v>12.822135034541523</v>
      </c>
      <c r="BN227" s="60"/>
      <c r="BO227" s="60"/>
      <c r="BP227" s="60"/>
      <c r="BQ227" s="66">
        <f>'[1]D4 Gallon Forecast'!$T79/1000000</f>
        <v>95.038972472854596</v>
      </c>
      <c r="BR227" s="66">
        <f>'[1]D6 Gallon Forecast'!$T72/1000000</f>
        <v>0.7069829326843533</v>
      </c>
      <c r="BS227" s="66">
        <f t="shared" si="82"/>
        <v>95.74595540553895</v>
      </c>
      <c r="BT227" s="60"/>
      <c r="BU227" s="67">
        <f>'[2]US EIA'!$P364</f>
        <v>742.49487398341</v>
      </c>
      <c r="BV227" s="68">
        <f t="shared" si="127"/>
        <v>7.7548432290274718</v>
      </c>
      <c r="BW227" s="60"/>
      <c r="BX227" s="69">
        <f t="shared" si="128"/>
        <v>0.83447497888667432</v>
      </c>
      <c r="BY227" s="69">
        <f t="shared" si="129"/>
        <v>0.16552502111332565</v>
      </c>
      <c r="BZ227" s="60"/>
      <c r="CA227" s="60"/>
      <c r="CB227" s="84" t="e">
        <f>#REF!</f>
        <v>#REF!</v>
      </c>
      <c r="CC227" s="84" t="e">
        <f>#REF!</f>
        <v>#REF!</v>
      </c>
      <c r="CD227" s="84" t="e">
        <f t="shared" si="110"/>
        <v>#REF!</v>
      </c>
      <c r="CE227" s="60"/>
      <c r="CF227" s="84">
        <f>'RD Feedstock Breakdown'!GQ218*1000000</f>
        <v>1320818355.2660038</v>
      </c>
      <c r="CG227" s="85" t="e">
        <f t="shared" si="109"/>
        <v>#REF!</v>
      </c>
      <c r="CH227" s="73">
        <f>'[2]US EIA'!$R364+AW227</f>
        <v>7063.2499999999982</v>
      </c>
    </row>
    <row r="228" spans="1:86" ht="13.5" x14ac:dyDescent="0.25">
      <c r="A228" s="59">
        <v>47088</v>
      </c>
      <c r="B228" s="74">
        <f t="shared" si="119"/>
        <v>690</v>
      </c>
      <c r="C228" s="74">
        <v>47</v>
      </c>
      <c r="D228" s="74">
        <f t="shared" si="108"/>
        <v>3</v>
      </c>
      <c r="E228" s="74">
        <f t="shared" si="123"/>
        <v>85</v>
      </c>
      <c r="F228" s="74">
        <f t="shared" si="91"/>
        <v>340</v>
      </c>
      <c r="G228" s="74">
        <f t="shared" si="107"/>
        <v>37.5</v>
      </c>
      <c r="H228" s="74">
        <f t="shared" si="81"/>
        <v>190</v>
      </c>
      <c r="I228" s="74">
        <f t="shared" si="122"/>
        <v>250</v>
      </c>
      <c r="J228" s="74">
        <f t="shared" si="114"/>
        <v>153.30000000000001</v>
      </c>
      <c r="K228" s="74">
        <f t="shared" si="126"/>
        <v>125</v>
      </c>
      <c r="L228" s="74">
        <v>125</v>
      </c>
      <c r="M228" s="74">
        <v>730</v>
      </c>
      <c r="N228" s="74">
        <f t="shared" si="102"/>
        <v>180</v>
      </c>
      <c r="O228" s="74">
        <v>375</v>
      </c>
      <c r="P228" s="74">
        <f t="shared" si="76"/>
        <v>50</v>
      </c>
      <c r="Q228" s="74">
        <f t="shared" si="77"/>
        <v>21</v>
      </c>
      <c r="R228" s="74">
        <v>100</v>
      </c>
      <c r="S228" s="74">
        <f t="shared" si="83"/>
        <v>60</v>
      </c>
      <c r="T228" s="74">
        <f t="shared" si="130"/>
        <v>36</v>
      </c>
      <c r="U228" s="74"/>
      <c r="V228" s="74">
        <f t="shared" si="99"/>
        <v>0</v>
      </c>
      <c r="W228" s="74">
        <f t="shared" si="78"/>
        <v>20</v>
      </c>
      <c r="X228" s="74">
        <f t="shared" si="116"/>
        <v>0</v>
      </c>
      <c r="Y228" s="74">
        <f t="shared" si="132"/>
        <v>3.5</v>
      </c>
      <c r="Z228" s="74">
        <f t="shared" si="124"/>
        <v>172.5</v>
      </c>
      <c r="AA228" s="74">
        <f t="shared" si="131"/>
        <v>306</v>
      </c>
      <c r="AB228" s="74">
        <f t="shared" si="87"/>
        <v>60</v>
      </c>
      <c r="AC228" s="74">
        <f t="shared" si="95"/>
        <v>1.6</v>
      </c>
      <c r="AD228" s="74">
        <f t="shared" si="80"/>
        <v>180</v>
      </c>
      <c r="AE228" s="74">
        <f t="shared" si="84"/>
        <v>1.1000000000000001</v>
      </c>
      <c r="AF228" s="74">
        <f t="shared" si="90"/>
        <v>275</v>
      </c>
      <c r="AG228" s="74">
        <f t="shared" si="97"/>
        <v>18</v>
      </c>
      <c r="AH228" s="74">
        <f t="shared" si="88"/>
        <v>3</v>
      </c>
      <c r="AI228" s="74">
        <f t="shared" si="79"/>
        <v>47</v>
      </c>
      <c r="AJ228" s="74">
        <f t="shared" si="105"/>
        <v>90</v>
      </c>
      <c r="AK228" s="74">
        <f t="shared" si="111"/>
        <v>14</v>
      </c>
      <c r="AL228" s="74">
        <f t="shared" si="106"/>
        <v>45</v>
      </c>
      <c r="AM228" s="74">
        <v>46</v>
      </c>
      <c r="AN228" s="74">
        <f t="shared" si="112"/>
        <v>0.75</v>
      </c>
      <c r="AO228" s="74">
        <f t="shared" si="125"/>
        <v>19</v>
      </c>
      <c r="AP228" s="74">
        <f t="shared" si="125"/>
        <v>19</v>
      </c>
      <c r="AQ228" s="74">
        <f t="shared" si="115"/>
        <v>5</v>
      </c>
      <c r="AR228" s="74">
        <f t="shared" si="101"/>
        <v>120</v>
      </c>
      <c r="AS228" s="74">
        <f t="shared" si="103"/>
        <v>120</v>
      </c>
      <c r="AT228" s="74">
        <f t="shared" si="96"/>
        <v>55</v>
      </c>
      <c r="AU228" s="74"/>
      <c r="AV228" s="74"/>
      <c r="AW228" s="74">
        <f t="shared" si="133"/>
        <v>5219.2500000000009</v>
      </c>
      <c r="AX228" s="83">
        <f t="shared" si="98"/>
        <v>5370.9449999999988</v>
      </c>
      <c r="AY228" s="62">
        <f>'[1]D4 Gallon Forecast'!$T160/1000000</f>
        <v>0</v>
      </c>
      <c r="AZ228" s="62">
        <f>'[1]D4 Gallon Forecast'!$T192/1000000</f>
        <v>359.01387638998364</v>
      </c>
      <c r="BA228" s="62">
        <f t="shared" si="92"/>
        <v>359.01387638998364</v>
      </c>
      <c r="BB228" s="62">
        <f>'[1]D4 Gallon Forecast'!$T176/1000000</f>
        <v>0</v>
      </c>
      <c r="BC228" s="63">
        <f>'[1]D4 Gallon Forecast'!$T352/1000000</f>
        <v>149.52865070780086</v>
      </c>
      <c r="BD228" s="64">
        <f>'[1]D4 Gallon Forecast'!$T368/1000000</f>
        <v>0</v>
      </c>
      <c r="BE228" s="64">
        <f t="shared" si="94"/>
        <v>149.52865070780086</v>
      </c>
      <c r="BF228" s="76">
        <f t="shared" si="117"/>
        <v>508.5425270977845</v>
      </c>
      <c r="BG228" s="77">
        <f t="shared" si="121"/>
        <v>1.1519886003344004</v>
      </c>
      <c r="BH228" s="77">
        <f>AVERAGE(BG217:BG228)</f>
        <v>0.86736783382046789</v>
      </c>
      <c r="BI228" s="75">
        <f t="shared" si="134"/>
        <v>4645.4000000000005</v>
      </c>
      <c r="BJ228" s="75">
        <f t="shared" si="113"/>
        <v>725.54499999999825</v>
      </c>
      <c r="BK228" s="75">
        <f>'RD Feedstock Breakdown'!ES219</f>
        <v>4644.7723594616809</v>
      </c>
      <c r="BL228" s="78">
        <f t="shared" si="120"/>
        <v>9.1334984037009868</v>
      </c>
      <c r="BM228" s="78">
        <f t="shared" si="118"/>
        <v>12.937584491626264</v>
      </c>
      <c r="BN228" s="60"/>
      <c r="BO228" s="60"/>
      <c r="BP228" s="60"/>
      <c r="BQ228" s="66">
        <f>'[1]D4 Gallon Forecast'!$T80/1000000</f>
        <v>128.24386593361496</v>
      </c>
      <c r="BR228" s="66">
        <f>'[1]D6 Gallon Forecast'!$T73/1000000</f>
        <v>0.66489748532961357</v>
      </c>
      <c r="BS228" s="66">
        <f t="shared" si="82"/>
        <v>128.90876341894457</v>
      </c>
      <c r="BT228" s="60"/>
      <c r="BU228" s="67">
        <f>'[2]US EIA'!$P365</f>
        <v>914.57468631328788</v>
      </c>
      <c r="BV228" s="68">
        <f t="shared" si="127"/>
        <v>7.0947440814476153</v>
      </c>
      <c r="BW228" s="60"/>
      <c r="BX228" s="69">
        <f t="shared" si="128"/>
        <v>0.79777472359582347</v>
      </c>
      <c r="BY228" s="69">
        <f t="shared" si="129"/>
        <v>0.20222527640417653</v>
      </c>
      <c r="BZ228" s="60"/>
      <c r="CA228" s="60"/>
      <c r="CB228" s="84" t="e">
        <f>#REF!</f>
        <v>#REF!</v>
      </c>
      <c r="CC228" s="84" t="e">
        <f>#REF!</f>
        <v>#REF!</v>
      </c>
      <c r="CD228" s="84" t="e">
        <f t="shared" si="110"/>
        <v>#REF!</v>
      </c>
      <c r="CE228" s="60"/>
      <c r="CF228" s="84">
        <f>'RD Feedstock Breakdown'!GQ219*1000000</f>
        <v>1185532297.9331737</v>
      </c>
      <c r="CG228" s="85" t="e">
        <f t="shared" si="109"/>
        <v>#REF!</v>
      </c>
      <c r="CH228" s="73">
        <f>'[2]US EIA'!$R365+AW228</f>
        <v>7063.2499999999982</v>
      </c>
    </row>
    <row r="229" spans="1:86" ht="13.5" x14ac:dyDescent="0.25">
      <c r="A229" s="59">
        <v>47119</v>
      </c>
      <c r="B229" s="74">
        <f t="shared" si="119"/>
        <v>690</v>
      </c>
      <c r="C229" s="74">
        <v>47</v>
      </c>
      <c r="D229" s="74">
        <f t="shared" si="108"/>
        <v>3</v>
      </c>
      <c r="E229" s="74">
        <f t="shared" si="123"/>
        <v>85</v>
      </c>
      <c r="F229" s="74">
        <f t="shared" si="91"/>
        <v>340</v>
      </c>
      <c r="G229" s="74">
        <f t="shared" si="107"/>
        <v>37.5</v>
      </c>
      <c r="H229" s="74">
        <f t="shared" si="81"/>
        <v>190</v>
      </c>
      <c r="I229" s="74">
        <f t="shared" si="122"/>
        <v>250</v>
      </c>
      <c r="J229" s="74">
        <f t="shared" si="114"/>
        <v>153.30000000000001</v>
      </c>
      <c r="K229" s="74">
        <f t="shared" si="126"/>
        <v>125</v>
      </c>
      <c r="L229" s="74">
        <v>125</v>
      </c>
      <c r="M229" s="74">
        <v>730</v>
      </c>
      <c r="N229" s="74">
        <f t="shared" si="102"/>
        <v>180</v>
      </c>
      <c r="O229" s="74">
        <v>375</v>
      </c>
      <c r="P229" s="74">
        <f t="shared" si="76"/>
        <v>50</v>
      </c>
      <c r="Q229" s="74">
        <f t="shared" si="77"/>
        <v>21</v>
      </c>
      <c r="R229" s="74">
        <v>100</v>
      </c>
      <c r="S229" s="74">
        <f t="shared" si="83"/>
        <v>60</v>
      </c>
      <c r="T229" s="74">
        <f t="shared" si="130"/>
        <v>36</v>
      </c>
      <c r="U229" s="74"/>
      <c r="V229" s="74">
        <f t="shared" si="99"/>
        <v>0</v>
      </c>
      <c r="W229" s="74">
        <f t="shared" si="78"/>
        <v>20</v>
      </c>
      <c r="X229" s="74">
        <f t="shared" si="116"/>
        <v>0</v>
      </c>
      <c r="Y229" s="74">
        <f t="shared" si="132"/>
        <v>3.5</v>
      </c>
      <c r="Z229" s="74">
        <f t="shared" si="124"/>
        <v>172.5</v>
      </c>
      <c r="AA229" s="74">
        <f t="shared" si="131"/>
        <v>306</v>
      </c>
      <c r="AB229" s="74">
        <f t="shared" si="87"/>
        <v>60</v>
      </c>
      <c r="AC229" s="74">
        <f t="shared" si="95"/>
        <v>1.6</v>
      </c>
      <c r="AD229" s="74">
        <f t="shared" si="80"/>
        <v>180</v>
      </c>
      <c r="AE229" s="74">
        <f t="shared" si="84"/>
        <v>1.1000000000000001</v>
      </c>
      <c r="AF229" s="74">
        <f t="shared" si="90"/>
        <v>275</v>
      </c>
      <c r="AG229" s="74">
        <f t="shared" si="97"/>
        <v>18</v>
      </c>
      <c r="AH229" s="74">
        <f t="shared" si="88"/>
        <v>3</v>
      </c>
      <c r="AI229" s="74">
        <f t="shared" si="79"/>
        <v>47</v>
      </c>
      <c r="AJ229" s="74">
        <f t="shared" si="105"/>
        <v>90</v>
      </c>
      <c r="AK229" s="74">
        <f t="shared" si="111"/>
        <v>14</v>
      </c>
      <c r="AL229" s="74">
        <f t="shared" si="106"/>
        <v>45</v>
      </c>
      <c r="AM229" s="74">
        <v>46</v>
      </c>
      <c r="AN229" s="74">
        <f t="shared" si="112"/>
        <v>0.75</v>
      </c>
      <c r="AO229" s="74">
        <f t="shared" si="125"/>
        <v>19</v>
      </c>
      <c r="AP229" s="74">
        <f t="shared" si="125"/>
        <v>19</v>
      </c>
      <c r="AQ229" s="74">
        <f t="shared" si="115"/>
        <v>5</v>
      </c>
      <c r="AR229" s="74">
        <f t="shared" si="101"/>
        <v>120</v>
      </c>
      <c r="AS229" s="74">
        <f t="shared" si="103"/>
        <v>120</v>
      </c>
      <c r="AT229" s="74">
        <f t="shared" si="96"/>
        <v>55</v>
      </c>
      <c r="AU229" s="74"/>
      <c r="AV229" s="74"/>
      <c r="AW229" s="74">
        <f t="shared" si="133"/>
        <v>5219.2500000000009</v>
      </c>
      <c r="AX229" s="83">
        <f t="shared" si="98"/>
        <v>5370.9449999999988</v>
      </c>
      <c r="AY229" s="62">
        <f>'[1]D4 Gallon Forecast'!$U149/1000000</f>
        <v>0</v>
      </c>
      <c r="AZ229" s="62">
        <f>'[1]D4 Gallon Forecast'!$U181/1000000</f>
        <v>188.60960132131936</v>
      </c>
      <c r="BA229" s="62">
        <f t="shared" si="92"/>
        <v>188.60960132131936</v>
      </c>
      <c r="BB229" s="62">
        <f>'[1]D4 Gallon Forecast'!$U165/1000000</f>
        <v>0</v>
      </c>
      <c r="BC229" s="63">
        <f>'[1]D4 Gallon Forecast'!$U341/1000000</f>
        <v>117.38533087423706</v>
      </c>
      <c r="BD229" s="64">
        <f>'[1]D4 Gallon Forecast'!$U357/1000000</f>
        <v>0</v>
      </c>
      <c r="BE229" s="64">
        <f t="shared" si="94"/>
        <v>117.38533087423706</v>
      </c>
      <c r="BF229" s="76">
        <f t="shared" si="117"/>
        <v>305.99493219555643</v>
      </c>
      <c r="BG229" s="77">
        <f t="shared" si="121"/>
        <v>0.67080254154456409</v>
      </c>
      <c r="BH229" s="60"/>
      <c r="BI229" s="75">
        <f t="shared" si="134"/>
        <v>4645.4000000000005</v>
      </c>
      <c r="BJ229" s="75">
        <f t="shared" si="113"/>
        <v>725.54499999999825</v>
      </c>
      <c r="BK229" s="75">
        <f>'RD Feedstock Breakdown'!ES220</f>
        <v>2432.6452465156203</v>
      </c>
      <c r="BL229" s="78">
        <f t="shared" si="120"/>
        <v>7.9499527298084658</v>
      </c>
      <c r="BM229" s="78">
        <f t="shared" si="118"/>
        <v>12.897780544964483</v>
      </c>
      <c r="BN229" s="60"/>
      <c r="BO229" s="60"/>
      <c r="BP229" s="60"/>
      <c r="BQ229" s="66">
        <f>'[1]D4 Gallon Forecast'!$U69/1000000</f>
        <v>82.344485293023411</v>
      </c>
      <c r="BR229" s="66">
        <f>'[1]D6 Gallon Forecast'!$U62/1000000</f>
        <v>0</v>
      </c>
      <c r="BS229" s="66">
        <f t="shared" si="82"/>
        <v>82.344485293023411</v>
      </c>
      <c r="BT229" s="60"/>
      <c r="BU229" s="67">
        <f>'[2]US EIA'!$P366</f>
        <v>765.00915576027955</v>
      </c>
      <c r="BV229" s="68">
        <f t="shared" si="127"/>
        <v>9.2903508114476558</v>
      </c>
      <c r="BW229" s="60"/>
      <c r="BX229" s="69">
        <f t="shared" si="128"/>
        <v>0.78795743727085088</v>
      </c>
      <c r="BY229" s="69">
        <f t="shared" si="129"/>
        <v>0.21204256272914909</v>
      </c>
      <c r="BZ229" s="60"/>
      <c r="CA229" s="60"/>
      <c r="CB229" s="84" t="e">
        <f>#REF!</f>
        <v>#REF!</v>
      </c>
      <c r="CC229" s="84" t="e">
        <f>#REF!</f>
        <v>#REF!</v>
      </c>
      <c r="CD229" s="84" t="e">
        <f t="shared" si="110"/>
        <v>#REF!</v>
      </c>
      <c r="CE229" s="60"/>
      <c r="CF229" s="84">
        <f>'RD Feedstock Breakdown'!GQ220*1000000</f>
        <v>933207831.62311101</v>
      </c>
      <c r="CG229" s="85" t="e">
        <f t="shared" si="109"/>
        <v>#REF!</v>
      </c>
      <c r="CH229" s="73">
        <f>'[2]US EIA'!$R366+AW229</f>
        <v>7083.2499999999982</v>
      </c>
    </row>
    <row r="230" spans="1:86" ht="13.5" x14ac:dyDescent="0.25">
      <c r="A230" s="59">
        <v>47150</v>
      </c>
      <c r="B230" s="74">
        <f t="shared" si="119"/>
        <v>690</v>
      </c>
      <c r="C230" s="74">
        <v>47</v>
      </c>
      <c r="D230" s="74">
        <f t="shared" si="108"/>
        <v>3</v>
      </c>
      <c r="E230" s="74">
        <f t="shared" si="123"/>
        <v>85</v>
      </c>
      <c r="F230" s="74">
        <f t="shared" si="91"/>
        <v>340</v>
      </c>
      <c r="G230" s="74">
        <f t="shared" si="107"/>
        <v>37.5</v>
      </c>
      <c r="H230" s="74">
        <f t="shared" si="81"/>
        <v>190</v>
      </c>
      <c r="I230" s="74">
        <f t="shared" si="122"/>
        <v>250</v>
      </c>
      <c r="J230" s="74">
        <f t="shared" si="114"/>
        <v>153.30000000000001</v>
      </c>
      <c r="K230" s="74">
        <f t="shared" si="126"/>
        <v>125</v>
      </c>
      <c r="L230" s="74">
        <v>125</v>
      </c>
      <c r="M230" s="74">
        <v>730</v>
      </c>
      <c r="N230" s="74">
        <f t="shared" si="102"/>
        <v>180</v>
      </c>
      <c r="O230" s="74">
        <v>375</v>
      </c>
      <c r="P230" s="74">
        <f t="shared" ref="P230:P293" si="135">100*$P$12</f>
        <v>50</v>
      </c>
      <c r="Q230" s="74">
        <f t="shared" ref="Q230:Q293" si="136">$Q$5*$Q$12</f>
        <v>21</v>
      </c>
      <c r="R230" s="74">
        <v>100</v>
      </c>
      <c r="S230" s="74">
        <f t="shared" si="83"/>
        <v>60</v>
      </c>
      <c r="T230" s="74">
        <f t="shared" si="130"/>
        <v>36</v>
      </c>
      <c r="U230" s="74"/>
      <c r="V230" s="74">
        <f t="shared" si="99"/>
        <v>0</v>
      </c>
      <c r="W230" s="74">
        <f t="shared" ref="W230:W293" si="137">$W$5*$W$12</f>
        <v>20</v>
      </c>
      <c r="X230" s="74">
        <f t="shared" si="116"/>
        <v>0</v>
      </c>
      <c r="Y230" s="74">
        <f t="shared" si="132"/>
        <v>3.5</v>
      </c>
      <c r="Z230" s="74">
        <f t="shared" si="124"/>
        <v>172.5</v>
      </c>
      <c r="AA230" s="74">
        <f t="shared" si="131"/>
        <v>306</v>
      </c>
      <c r="AB230" s="74">
        <f t="shared" si="87"/>
        <v>60</v>
      </c>
      <c r="AC230" s="74">
        <f t="shared" si="95"/>
        <v>1.6</v>
      </c>
      <c r="AD230" s="74">
        <f t="shared" si="80"/>
        <v>180</v>
      </c>
      <c r="AE230" s="74">
        <f t="shared" si="84"/>
        <v>1.1000000000000001</v>
      </c>
      <c r="AF230" s="74">
        <f t="shared" si="90"/>
        <v>275</v>
      </c>
      <c r="AG230" s="74">
        <f t="shared" si="97"/>
        <v>18</v>
      </c>
      <c r="AH230" s="74">
        <f t="shared" si="88"/>
        <v>3</v>
      </c>
      <c r="AI230" s="74">
        <f t="shared" si="79"/>
        <v>47</v>
      </c>
      <c r="AJ230" s="74">
        <f t="shared" si="105"/>
        <v>90</v>
      </c>
      <c r="AK230" s="74">
        <f t="shared" si="111"/>
        <v>14</v>
      </c>
      <c r="AL230" s="74">
        <f t="shared" si="106"/>
        <v>45</v>
      </c>
      <c r="AM230" s="74">
        <v>46</v>
      </c>
      <c r="AN230" s="74">
        <f t="shared" si="112"/>
        <v>0.75</v>
      </c>
      <c r="AO230" s="74">
        <f t="shared" si="125"/>
        <v>19</v>
      </c>
      <c r="AP230" s="74">
        <f t="shared" si="125"/>
        <v>19</v>
      </c>
      <c r="AQ230" s="74">
        <f t="shared" si="115"/>
        <v>5</v>
      </c>
      <c r="AR230" s="74">
        <f t="shared" si="101"/>
        <v>120</v>
      </c>
      <c r="AS230" s="74">
        <f t="shared" si="103"/>
        <v>120</v>
      </c>
      <c r="AT230" s="74">
        <f t="shared" si="96"/>
        <v>55</v>
      </c>
      <c r="AU230" s="74"/>
      <c r="AV230" s="74"/>
      <c r="AW230" s="74">
        <f t="shared" si="133"/>
        <v>5219.2500000000009</v>
      </c>
      <c r="AX230" s="83">
        <f t="shared" si="98"/>
        <v>5370.9449999999988</v>
      </c>
      <c r="AY230" s="62">
        <f>'[1]D4 Gallon Forecast'!$U150/1000000</f>
        <v>0</v>
      </c>
      <c r="AZ230" s="62">
        <f>'[1]D4 Gallon Forecast'!$U182/1000000</f>
        <v>207.98009553103591</v>
      </c>
      <c r="BA230" s="62">
        <f t="shared" si="92"/>
        <v>207.98009553103591</v>
      </c>
      <c r="BB230" s="62">
        <f>'[1]D4 Gallon Forecast'!$U166/1000000</f>
        <v>0</v>
      </c>
      <c r="BC230" s="63">
        <f>'[1]D4 Gallon Forecast'!$U342/1000000</f>
        <v>222.5938807394669</v>
      </c>
      <c r="BD230" s="64">
        <f>'[1]D4 Gallon Forecast'!$U358/1000000</f>
        <v>0</v>
      </c>
      <c r="BE230" s="64">
        <f t="shared" si="94"/>
        <v>222.5938807394669</v>
      </c>
      <c r="BF230" s="76">
        <f t="shared" si="117"/>
        <v>430.57397627050284</v>
      </c>
      <c r="BG230" s="77">
        <f t="shared" si="121"/>
        <v>0.9439049056558082</v>
      </c>
      <c r="BH230" s="60"/>
      <c r="BI230" s="75">
        <f t="shared" si="134"/>
        <v>4645.4000000000005</v>
      </c>
      <c r="BJ230" s="75">
        <f t="shared" si="113"/>
        <v>725.54499999999825</v>
      </c>
      <c r="BK230" s="75">
        <f>'RD Feedstock Breakdown'!ES221</f>
        <v>3424.8494009859851</v>
      </c>
      <c r="BL230" s="78">
        <f t="shared" si="120"/>
        <v>7.9541486242409718</v>
      </c>
      <c r="BM230" s="78">
        <f t="shared" si="118"/>
        <v>16.46719794142469</v>
      </c>
      <c r="BN230" s="60"/>
      <c r="BO230" s="60"/>
      <c r="BP230" s="60"/>
      <c r="BQ230" s="66">
        <f>'[1]D4 Gallon Forecast'!$U70/1000000</f>
        <v>87.564249538713028</v>
      </c>
      <c r="BR230" s="66">
        <f>'[1]D6 Gallon Forecast'!$U63/1000000</f>
        <v>0</v>
      </c>
      <c r="BS230" s="66">
        <f t="shared" si="82"/>
        <v>87.564249538713028</v>
      </c>
      <c r="BT230" s="60"/>
      <c r="BU230" s="67">
        <f>'[2]US EIA'!$P367</f>
        <v>721.35627445053615</v>
      </c>
      <c r="BV230" s="68">
        <f t="shared" si="127"/>
        <v>8.2380226890612178</v>
      </c>
      <c r="BW230" s="60"/>
      <c r="BX230" s="69">
        <f t="shared" si="128"/>
        <v>0.83100214348795187</v>
      </c>
      <c r="BY230" s="69">
        <f t="shared" si="129"/>
        <v>0.16899785651204807</v>
      </c>
      <c r="BZ230" s="60"/>
      <c r="CA230" s="60"/>
      <c r="CB230" s="84" t="e">
        <f>#REF!</f>
        <v>#REF!</v>
      </c>
      <c r="CC230" s="84" t="e">
        <f>#REF!</f>
        <v>#REF!</v>
      </c>
      <c r="CD230" s="84" t="e">
        <f t="shared" si="110"/>
        <v>#REF!</v>
      </c>
      <c r="CE230" s="60"/>
      <c r="CF230" s="84">
        <f>'RD Feedstock Breakdown'!GQ221*1000000</f>
        <v>1770544810.2482901</v>
      </c>
      <c r="CG230" s="85" t="e">
        <f t="shared" si="109"/>
        <v>#REF!</v>
      </c>
      <c r="CH230" s="73">
        <f>'[2]US EIA'!$R367+AW230</f>
        <v>7083.2499999999982</v>
      </c>
    </row>
    <row r="231" spans="1:86" ht="13.5" x14ac:dyDescent="0.25">
      <c r="A231" s="59">
        <v>47178</v>
      </c>
      <c r="B231" s="74">
        <f t="shared" si="119"/>
        <v>690</v>
      </c>
      <c r="C231" s="74">
        <v>47</v>
      </c>
      <c r="D231" s="74">
        <f t="shared" si="108"/>
        <v>3</v>
      </c>
      <c r="E231" s="74">
        <f t="shared" si="123"/>
        <v>85</v>
      </c>
      <c r="F231" s="74">
        <f t="shared" si="91"/>
        <v>340</v>
      </c>
      <c r="G231" s="74">
        <f t="shared" si="107"/>
        <v>37.5</v>
      </c>
      <c r="H231" s="74">
        <f t="shared" si="81"/>
        <v>190</v>
      </c>
      <c r="I231" s="74">
        <f t="shared" si="122"/>
        <v>250</v>
      </c>
      <c r="J231" s="74">
        <f t="shared" si="114"/>
        <v>153.30000000000001</v>
      </c>
      <c r="K231" s="74">
        <f t="shared" si="126"/>
        <v>125</v>
      </c>
      <c r="L231" s="74">
        <v>125</v>
      </c>
      <c r="M231" s="74">
        <v>730</v>
      </c>
      <c r="N231" s="74">
        <f t="shared" si="102"/>
        <v>180</v>
      </c>
      <c r="O231" s="74">
        <v>375</v>
      </c>
      <c r="P231" s="74">
        <f t="shared" si="135"/>
        <v>50</v>
      </c>
      <c r="Q231" s="74">
        <f t="shared" si="136"/>
        <v>21</v>
      </c>
      <c r="R231" s="74">
        <v>100</v>
      </c>
      <c r="S231" s="74">
        <f t="shared" si="83"/>
        <v>60</v>
      </c>
      <c r="T231" s="74">
        <f t="shared" si="130"/>
        <v>36</v>
      </c>
      <c r="U231" s="74"/>
      <c r="V231" s="74">
        <f t="shared" si="99"/>
        <v>0</v>
      </c>
      <c r="W231" s="74">
        <f t="shared" si="137"/>
        <v>20</v>
      </c>
      <c r="X231" s="74">
        <f t="shared" si="116"/>
        <v>0</v>
      </c>
      <c r="Y231" s="74">
        <f t="shared" si="132"/>
        <v>3.5</v>
      </c>
      <c r="Z231" s="74">
        <f t="shared" si="124"/>
        <v>172.5</v>
      </c>
      <c r="AA231" s="74">
        <f t="shared" si="131"/>
        <v>306</v>
      </c>
      <c r="AB231" s="74">
        <f t="shared" si="87"/>
        <v>60</v>
      </c>
      <c r="AC231" s="74">
        <f t="shared" si="95"/>
        <v>1.6</v>
      </c>
      <c r="AD231" s="74">
        <f t="shared" si="80"/>
        <v>180</v>
      </c>
      <c r="AE231" s="74">
        <f t="shared" si="84"/>
        <v>1.1000000000000001</v>
      </c>
      <c r="AF231" s="74">
        <f t="shared" si="90"/>
        <v>275</v>
      </c>
      <c r="AG231" s="74">
        <f t="shared" si="97"/>
        <v>18</v>
      </c>
      <c r="AH231" s="74">
        <f t="shared" si="88"/>
        <v>3</v>
      </c>
      <c r="AI231" s="74">
        <f t="shared" ref="AI231:AI294" si="138">$AI$5*$AI$12</f>
        <v>47</v>
      </c>
      <c r="AJ231" s="74">
        <f t="shared" si="105"/>
        <v>90</v>
      </c>
      <c r="AK231" s="74">
        <f t="shared" si="111"/>
        <v>14</v>
      </c>
      <c r="AL231" s="74">
        <f t="shared" si="106"/>
        <v>45</v>
      </c>
      <c r="AM231" s="74">
        <v>46</v>
      </c>
      <c r="AN231" s="74">
        <f t="shared" si="112"/>
        <v>0.75</v>
      </c>
      <c r="AO231" s="74">
        <f t="shared" si="125"/>
        <v>19</v>
      </c>
      <c r="AP231" s="74">
        <f t="shared" si="125"/>
        <v>19</v>
      </c>
      <c r="AQ231" s="74">
        <f t="shared" si="115"/>
        <v>5</v>
      </c>
      <c r="AR231" s="74">
        <f t="shared" si="101"/>
        <v>120</v>
      </c>
      <c r="AS231" s="74">
        <f t="shared" si="103"/>
        <v>120</v>
      </c>
      <c r="AT231" s="74">
        <f t="shared" si="96"/>
        <v>55</v>
      </c>
      <c r="AU231" s="74"/>
      <c r="AV231" s="74"/>
      <c r="AW231" s="74">
        <f t="shared" si="133"/>
        <v>5219.2500000000009</v>
      </c>
      <c r="AX231" s="83">
        <f t="shared" si="98"/>
        <v>5370.9449999999988</v>
      </c>
      <c r="AY231" s="62">
        <f>'[1]D4 Gallon Forecast'!$U151/1000000</f>
        <v>0</v>
      </c>
      <c r="AZ231" s="62">
        <f>'[1]D4 Gallon Forecast'!$U183/1000000</f>
        <v>219.05686336749591</v>
      </c>
      <c r="BA231" s="62">
        <f t="shared" si="92"/>
        <v>219.05686336749591</v>
      </c>
      <c r="BB231" s="62">
        <f>'[1]D4 Gallon Forecast'!$U167/1000000</f>
        <v>0</v>
      </c>
      <c r="BC231" s="63">
        <f>'[1]D4 Gallon Forecast'!$U343/1000000</f>
        <v>88.975887423838913</v>
      </c>
      <c r="BD231" s="64">
        <f>'[1]D4 Gallon Forecast'!$U359/1000000</f>
        <v>0</v>
      </c>
      <c r="BE231" s="64">
        <f t="shared" si="94"/>
        <v>88.975887423838913</v>
      </c>
      <c r="BF231" s="76">
        <f t="shared" si="117"/>
        <v>308.03275079133482</v>
      </c>
      <c r="BG231" s="77">
        <f t="shared" si="121"/>
        <v>0.74762019159728366</v>
      </c>
      <c r="BH231" s="60"/>
      <c r="BI231" s="75">
        <f t="shared" si="134"/>
        <v>4645.4000000000005</v>
      </c>
      <c r="BJ231" s="75">
        <f t="shared" si="113"/>
        <v>725.54499999999825</v>
      </c>
      <c r="BK231" s="75">
        <f>'RD Feedstock Breakdown'!ES222</f>
        <v>2450.1382809280585</v>
      </c>
      <c r="BL231" s="78">
        <f t="shared" si="120"/>
        <v>7.9541486242409736</v>
      </c>
      <c r="BM231" s="78">
        <f t="shared" si="118"/>
        <v>11.184941860587305</v>
      </c>
      <c r="BN231" s="60"/>
      <c r="BO231" s="60"/>
      <c r="BP231" s="60"/>
      <c r="BQ231" s="66">
        <f>'[1]D4 Gallon Forecast'!$U71/1000000</f>
        <v>99.621771395883513</v>
      </c>
      <c r="BR231" s="66">
        <f>'[1]D6 Gallon Forecast'!$U64/1000000</f>
        <v>2.029E-3</v>
      </c>
      <c r="BS231" s="66">
        <f t="shared" si="82"/>
        <v>99.623800395883507</v>
      </c>
      <c r="BT231" s="60"/>
      <c r="BU231" s="67">
        <f>'[2]US EIA'!$P368</f>
        <v>787.73338561446883</v>
      </c>
      <c r="BV231" s="68">
        <f t="shared" si="127"/>
        <v>7.9070802607829274</v>
      </c>
      <c r="BW231" s="60"/>
      <c r="BX231" s="69">
        <f t="shared" si="128"/>
        <v>0.75561830147032083</v>
      </c>
      <c r="BY231" s="69">
        <f t="shared" si="129"/>
        <v>0.24438169852967914</v>
      </c>
      <c r="BZ231" s="60"/>
      <c r="CA231" s="60"/>
      <c r="CB231" s="84" t="e">
        <f>#REF!</f>
        <v>#REF!</v>
      </c>
      <c r="CC231" s="84" t="e">
        <f>#REF!</f>
        <v>#REF!</v>
      </c>
      <c r="CD231" s="84" t="e">
        <f t="shared" si="110"/>
        <v>#REF!</v>
      </c>
      <c r="CE231" s="60"/>
      <c r="CF231" s="84">
        <f>'RD Feedstock Breakdown'!GQ222*1000000</f>
        <v>707727432.54294801</v>
      </c>
      <c r="CG231" s="85" t="e">
        <f t="shared" si="109"/>
        <v>#REF!</v>
      </c>
      <c r="CH231" s="73">
        <f>'[2]US EIA'!$R368+AW231</f>
        <v>7083.2499999999982</v>
      </c>
    </row>
    <row r="232" spans="1:86" ht="13.5" x14ac:dyDescent="0.25">
      <c r="A232" s="59">
        <v>47209</v>
      </c>
      <c r="B232" s="74">
        <f t="shared" si="119"/>
        <v>690</v>
      </c>
      <c r="C232" s="74">
        <v>47</v>
      </c>
      <c r="D232" s="74">
        <f t="shared" si="108"/>
        <v>3</v>
      </c>
      <c r="E232" s="74">
        <f t="shared" si="123"/>
        <v>85</v>
      </c>
      <c r="F232" s="74">
        <f t="shared" si="91"/>
        <v>340</v>
      </c>
      <c r="G232" s="74">
        <f t="shared" si="107"/>
        <v>37.5</v>
      </c>
      <c r="H232" s="74">
        <f t="shared" si="81"/>
        <v>190</v>
      </c>
      <c r="I232" s="74">
        <f t="shared" si="122"/>
        <v>250</v>
      </c>
      <c r="J232" s="74">
        <f t="shared" si="114"/>
        <v>153.30000000000001</v>
      </c>
      <c r="K232" s="74">
        <f t="shared" si="126"/>
        <v>125</v>
      </c>
      <c r="L232" s="74">
        <v>125</v>
      </c>
      <c r="M232" s="74">
        <v>730</v>
      </c>
      <c r="N232" s="74">
        <f t="shared" si="102"/>
        <v>180</v>
      </c>
      <c r="O232" s="74">
        <v>375</v>
      </c>
      <c r="P232" s="74">
        <f t="shared" si="135"/>
        <v>50</v>
      </c>
      <c r="Q232" s="74">
        <f t="shared" si="136"/>
        <v>21</v>
      </c>
      <c r="R232" s="74">
        <v>100</v>
      </c>
      <c r="S232" s="74">
        <f t="shared" si="83"/>
        <v>60</v>
      </c>
      <c r="T232" s="74">
        <f t="shared" si="130"/>
        <v>36</v>
      </c>
      <c r="U232" s="74"/>
      <c r="V232" s="74">
        <f t="shared" si="99"/>
        <v>0</v>
      </c>
      <c r="W232" s="74">
        <f t="shared" si="137"/>
        <v>20</v>
      </c>
      <c r="X232" s="74">
        <f t="shared" si="116"/>
        <v>0</v>
      </c>
      <c r="Y232" s="74">
        <f t="shared" si="132"/>
        <v>3.5</v>
      </c>
      <c r="Z232" s="74">
        <f t="shared" si="124"/>
        <v>172.5</v>
      </c>
      <c r="AA232" s="74">
        <f t="shared" si="131"/>
        <v>306</v>
      </c>
      <c r="AB232" s="74">
        <f t="shared" si="87"/>
        <v>60</v>
      </c>
      <c r="AC232" s="74">
        <f t="shared" si="95"/>
        <v>1.6</v>
      </c>
      <c r="AD232" s="74">
        <f t="shared" si="80"/>
        <v>180</v>
      </c>
      <c r="AE232" s="74">
        <f t="shared" si="84"/>
        <v>1.1000000000000001</v>
      </c>
      <c r="AF232" s="74">
        <f t="shared" si="90"/>
        <v>275</v>
      </c>
      <c r="AG232" s="74">
        <f t="shared" si="97"/>
        <v>18</v>
      </c>
      <c r="AH232" s="74">
        <f t="shared" si="88"/>
        <v>3</v>
      </c>
      <c r="AI232" s="74">
        <f t="shared" si="138"/>
        <v>47</v>
      </c>
      <c r="AJ232" s="74">
        <f t="shared" si="105"/>
        <v>90</v>
      </c>
      <c r="AK232" s="74">
        <f t="shared" si="111"/>
        <v>14</v>
      </c>
      <c r="AL232" s="74">
        <f t="shared" si="106"/>
        <v>45</v>
      </c>
      <c r="AM232" s="74">
        <v>46</v>
      </c>
      <c r="AN232" s="74">
        <f t="shared" si="112"/>
        <v>0.75</v>
      </c>
      <c r="AO232" s="74">
        <f t="shared" si="125"/>
        <v>19</v>
      </c>
      <c r="AP232" s="74">
        <f t="shared" si="125"/>
        <v>19</v>
      </c>
      <c r="AQ232" s="74">
        <f t="shared" si="115"/>
        <v>5</v>
      </c>
      <c r="AR232" s="74">
        <f t="shared" si="101"/>
        <v>120</v>
      </c>
      <c r="AS232" s="74">
        <f t="shared" si="103"/>
        <v>120</v>
      </c>
      <c r="AT232" s="74">
        <f t="shared" si="96"/>
        <v>55</v>
      </c>
      <c r="AU232" s="74"/>
      <c r="AV232" s="74"/>
      <c r="AW232" s="74">
        <f t="shared" si="133"/>
        <v>5219.2500000000009</v>
      </c>
      <c r="AX232" s="83">
        <f t="shared" si="98"/>
        <v>5370.9449999999988</v>
      </c>
      <c r="AY232" s="62">
        <f>'[1]D4 Gallon Forecast'!$U152/1000000</f>
        <v>0</v>
      </c>
      <c r="AZ232" s="62">
        <f>'[1]D4 Gallon Forecast'!$U184/1000000</f>
        <v>212.69342419151621</v>
      </c>
      <c r="BA232" s="62">
        <f t="shared" si="92"/>
        <v>212.69342419151621</v>
      </c>
      <c r="BB232" s="62">
        <f>'[1]D4 Gallon Forecast'!$U168/1000000</f>
        <v>0</v>
      </c>
      <c r="BC232" s="63">
        <f>'[1]D4 Gallon Forecast'!$U344/1000000</f>
        <v>142.95585488060638</v>
      </c>
      <c r="BD232" s="64">
        <f>'[1]D4 Gallon Forecast'!$U360/1000000</f>
        <v>0</v>
      </c>
      <c r="BE232" s="64">
        <f t="shared" si="94"/>
        <v>142.95585488060638</v>
      </c>
      <c r="BF232" s="76">
        <f t="shared" si="117"/>
        <v>355.64927907212257</v>
      </c>
      <c r="BG232" s="77">
        <f t="shared" si="121"/>
        <v>0.77965487398204747</v>
      </c>
      <c r="BH232" s="60"/>
      <c r="BI232" s="75">
        <f t="shared" si="134"/>
        <v>4645.4000000000005</v>
      </c>
      <c r="BJ232" s="75">
        <f t="shared" si="113"/>
        <v>725.54499999999825</v>
      </c>
      <c r="BK232" s="75">
        <f>'RD Feedstock Breakdown'!ES223</f>
        <v>2827.8508185650489</v>
      </c>
      <c r="BL232" s="78">
        <f t="shared" si="120"/>
        <v>7.9512345025493092</v>
      </c>
      <c r="BM232" s="78">
        <f t="shared" si="118"/>
        <v>13.295431343560288</v>
      </c>
      <c r="BN232" s="60"/>
      <c r="BO232" s="60"/>
      <c r="BP232" s="60"/>
      <c r="BQ232" s="66">
        <f>'[1]D4 Gallon Forecast'!$U72/1000000</f>
        <v>111.39332689138438</v>
      </c>
      <c r="BR232" s="66">
        <f>'[1]D6 Gallon Forecast'!$U65/1000000</f>
        <v>0.52568832868096604</v>
      </c>
      <c r="BS232" s="66">
        <f t="shared" si="82"/>
        <v>111.91901522006535</v>
      </c>
      <c r="BT232" s="60"/>
      <c r="BU232" s="67">
        <f>'[2]US EIA'!$P369</f>
        <v>880.30866937267012</v>
      </c>
      <c r="BV232" s="68">
        <f t="shared" si="127"/>
        <v>7.8655862691583476</v>
      </c>
      <c r="BW232" s="60"/>
      <c r="BX232" s="69">
        <f t="shared" si="128"/>
        <v>0.76063600422374644</v>
      </c>
      <c r="BY232" s="69">
        <f t="shared" si="129"/>
        <v>0.23936399577625353</v>
      </c>
      <c r="BZ232" s="60"/>
      <c r="CA232" s="60"/>
      <c r="CB232" s="84" t="e">
        <f>#REF!</f>
        <v>#REF!</v>
      </c>
      <c r="CC232" s="84" t="e">
        <f>#REF!</f>
        <v>#REF!</v>
      </c>
      <c r="CD232" s="84" t="e">
        <f t="shared" si="110"/>
        <v>#REF!</v>
      </c>
      <c r="CE232" s="60"/>
      <c r="CF232" s="84">
        <f>'RD Feedstock Breakdown'!GQ223*1000000</f>
        <v>1136675525.6681094</v>
      </c>
      <c r="CG232" s="85" t="e">
        <f t="shared" si="109"/>
        <v>#REF!</v>
      </c>
      <c r="CH232" s="73">
        <f>'[2]US EIA'!$R369+AW232</f>
        <v>7083.2499999999982</v>
      </c>
    </row>
    <row r="233" spans="1:86" ht="13.5" x14ac:dyDescent="0.25">
      <c r="A233" s="59">
        <v>47239</v>
      </c>
      <c r="B233" s="74">
        <f t="shared" si="119"/>
        <v>690</v>
      </c>
      <c r="C233" s="74">
        <v>47</v>
      </c>
      <c r="D233" s="74">
        <f t="shared" si="108"/>
        <v>3</v>
      </c>
      <c r="E233" s="74">
        <f t="shared" si="123"/>
        <v>85</v>
      </c>
      <c r="F233" s="74">
        <f t="shared" si="91"/>
        <v>340</v>
      </c>
      <c r="G233" s="74">
        <f t="shared" si="107"/>
        <v>37.5</v>
      </c>
      <c r="H233" s="74">
        <f t="shared" si="81"/>
        <v>190</v>
      </c>
      <c r="I233" s="74">
        <f t="shared" si="122"/>
        <v>250</v>
      </c>
      <c r="J233" s="74">
        <f t="shared" si="114"/>
        <v>153.30000000000001</v>
      </c>
      <c r="K233" s="74">
        <f t="shared" si="126"/>
        <v>125</v>
      </c>
      <c r="L233" s="74">
        <v>125</v>
      </c>
      <c r="M233" s="74">
        <v>730</v>
      </c>
      <c r="N233" s="74">
        <f t="shared" si="102"/>
        <v>180</v>
      </c>
      <c r="O233" s="74">
        <v>375</v>
      </c>
      <c r="P233" s="74">
        <f t="shared" si="135"/>
        <v>50</v>
      </c>
      <c r="Q233" s="74">
        <f t="shared" si="136"/>
        <v>21</v>
      </c>
      <c r="R233" s="74">
        <v>100</v>
      </c>
      <c r="S233" s="74">
        <f t="shared" si="83"/>
        <v>60</v>
      </c>
      <c r="T233" s="74">
        <f t="shared" si="130"/>
        <v>36</v>
      </c>
      <c r="U233" s="74"/>
      <c r="V233" s="74">
        <f t="shared" si="99"/>
        <v>0</v>
      </c>
      <c r="W233" s="74">
        <f t="shared" si="137"/>
        <v>20</v>
      </c>
      <c r="X233" s="74">
        <f t="shared" si="116"/>
        <v>0</v>
      </c>
      <c r="Y233" s="74">
        <f t="shared" si="132"/>
        <v>3.5</v>
      </c>
      <c r="Z233" s="74">
        <f t="shared" si="124"/>
        <v>172.5</v>
      </c>
      <c r="AA233" s="74">
        <f t="shared" si="131"/>
        <v>306</v>
      </c>
      <c r="AB233" s="74">
        <f t="shared" si="87"/>
        <v>60</v>
      </c>
      <c r="AC233" s="74">
        <f t="shared" si="95"/>
        <v>1.6</v>
      </c>
      <c r="AD233" s="74">
        <f t="shared" ref="AD233:AD296" si="139">150*$AD$12+(50*$AD$12)</f>
        <v>180</v>
      </c>
      <c r="AE233" s="74">
        <f t="shared" si="84"/>
        <v>1.1000000000000001</v>
      </c>
      <c r="AF233" s="74">
        <f t="shared" si="90"/>
        <v>275</v>
      </c>
      <c r="AG233" s="74">
        <f t="shared" si="97"/>
        <v>18</v>
      </c>
      <c r="AH233" s="74">
        <f t="shared" si="88"/>
        <v>3</v>
      </c>
      <c r="AI233" s="74">
        <f t="shared" si="138"/>
        <v>47</v>
      </c>
      <c r="AJ233" s="74">
        <f t="shared" si="105"/>
        <v>90</v>
      </c>
      <c r="AK233" s="74">
        <f t="shared" si="111"/>
        <v>14</v>
      </c>
      <c r="AL233" s="74">
        <f t="shared" si="106"/>
        <v>45</v>
      </c>
      <c r="AM233" s="74">
        <v>46</v>
      </c>
      <c r="AN233" s="74">
        <f t="shared" si="112"/>
        <v>0.75</v>
      </c>
      <c r="AO233" s="74">
        <f t="shared" si="125"/>
        <v>19</v>
      </c>
      <c r="AP233" s="74">
        <f t="shared" si="125"/>
        <v>19</v>
      </c>
      <c r="AQ233" s="74">
        <f t="shared" si="115"/>
        <v>5</v>
      </c>
      <c r="AR233" s="74">
        <f t="shared" si="101"/>
        <v>120</v>
      </c>
      <c r="AS233" s="74">
        <f t="shared" si="103"/>
        <v>120</v>
      </c>
      <c r="AT233" s="74">
        <f t="shared" si="96"/>
        <v>55</v>
      </c>
      <c r="AU233" s="74"/>
      <c r="AV233" s="74"/>
      <c r="AW233" s="74">
        <f t="shared" si="133"/>
        <v>5219.2500000000009</v>
      </c>
      <c r="AX233" s="83">
        <f t="shared" si="98"/>
        <v>5370.9449999999988</v>
      </c>
      <c r="AY233" s="62">
        <f>'[1]D4 Gallon Forecast'!$U153/1000000</f>
        <v>0</v>
      </c>
      <c r="AZ233" s="62">
        <f>'[1]D4 Gallon Forecast'!$U185/1000000</f>
        <v>237.59872930667262</v>
      </c>
      <c r="BA233" s="62">
        <f t="shared" si="92"/>
        <v>237.59872930667262</v>
      </c>
      <c r="BB233" s="62">
        <f>'[1]D4 Gallon Forecast'!$U169/1000000</f>
        <v>0</v>
      </c>
      <c r="BC233" s="63">
        <f>'[1]D4 Gallon Forecast'!$U345/1000000</f>
        <v>188.03837830701107</v>
      </c>
      <c r="BD233" s="64">
        <f>'[1]D4 Gallon Forecast'!$U361/1000000</f>
        <v>0</v>
      </c>
      <c r="BE233" s="64">
        <f t="shared" si="94"/>
        <v>188.03837830701107</v>
      </c>
      <c r="BF233" s="76">
        <f t="shared" si="117"/>
        <v>425.63710761368372</v>
      </c>
      <c r="BG233" s="77">
        <f t="shared" si="121"/>
        <v>0.96418503807054801</v>
      </c>
      <c r="BH233" s="60"/>
      <c r="BI233" s="75">
        <f t="shared" si="134"/>
        <v>4645.4000000000005</v>
      </c>
      <c r="BJ233" s="75">
        <f t="shared" si="113"/>
        <v>725.54499999999825</v>
      </c>
      <c r="BK233" s="75">
        <f>'RD Feedstock Breakdown'!ES224</f>
        <v>3382.5659869654723</v>
      </c>
      <c r="BL233" s="78">
        <f t="shared" si="120"/>
        <v>7.9470655317852437</v>
      </c>
      <c r="BM233" s="78">
        <f t="shared" si="118"/>
        <v>14.236464971155373</v>
      </c>
      <c r="BN233" s="60"/>
      <c r="BO233" s="60"/>
      <c r="BP233" s="60"/>
      <c r="BQ233" s="66">
        <f>'[1]D4 Gallon Forecast'!$U73/1000000</f>
        <v>118.41320174282238</v>
      </c>
      <c r="BR233" s="66">
        <f>'[1]D6 Gallon Forecast'!$U66/1000000</f>
        <v>0.56126458587050032</v>
      </c>
      <c r="BS233" s="66">
        <f t="shared" si="82"/>
        <v>118.97446632869288</v>
      </c>
      <c r="BT233" s="60"/>
      <c r="BU233" s="67">
        <f>'[2]US EIA'!$P370</f>
        <v>917.01839666428884</v>
      </c>
      <c r="BV233" s="68">
        <f t="shared" si="127"/>
        <v>7.7076907756898505</v>
      </c>
      <c r="BW233" s="60"/>
      <c r="BX233" s="69">
        <f t="shared" si="128"/>
        <v>0.78154253045440947</v>
      </c>
      <c r="BY233" s="69">
        <f t="shared" si="129"/>
        <v>0.21845746954559059</v>
      </c>
      <c r="BZ233" s="60"/>
      <c r="CA233" s="60"/>
      <c r="CB233" s="84" t="e">
        <f>#REF!</f>
        <v>#REF!</v>
      </c>
      <c r="CC233" s="84" t="e">
        <f>#REF!</f>
        <v>#REF!</v>
      </c>
      <c r="CD233" s="84" t="e">
        <f t="shared" si="110"/>
        <v>#REF!</v>
      </c>
      <c r="CE233" s="60"/>
      <c r="CF233" s="84">
        <f>'RD Feedstock Breakdown'!GQ224*1000000</f>
        <v>1494353314.8964417</v>
      </c>
      <c r="CG233" s="85" t="e">
        <f t="shared" si="109"/>
        <v>#REF!</v>
      </c>
      <c r="CH233" s="73">
        <f>'[2]US EIA'!$R370+AW233</f>
        <v>7083.2499999999982</v>
      </c>
    </row>
    <row r="234" spans="1:86" ht="13.5" x14ac:dyDescent="0.25">
      <c r="A234" s="59">
        <v>47270</v>
      </c>
      <c r="B234" s="74">
        <f t="shared" si="119"/>
        <v>690</v>
      </c>
      <c r="C234" s="74">
        <v>47</v>
      </c>
      <c r="D234" s="74">
        <f t="shared" si="108"/>
        <v>3</v>
      </c>
      <c r="E234" s="74">
        <f t="shared" si="123"/>
        <v>85</v>
      </c>
      <c r="F234" s="74">
        <f t="shared" si="91"/>
        <v>340</v>
      </c>
      <c r="G234" s="74">
        <f t="shared" si="107"/>
        <v>37.5</v>
      </c>
      <c r="H234" s="74">
        <f t="shared" ref="H234:H297" si="140">50+((200*$H$12)*1)</f>
        <v>190</v>
      </c>
      <c r="I234" s="74">
        <f t="shared" si="122"/>
        <v>250</v>
      </c>
      <c r="J234" s="74">
        <f t="shared" si="114"/>
        <v>153.30000000000001</v>
      </c>
      <c r="K234" s="74">
        <f t="shared" si="126"/>
        <v>125</v>
      </c>
      <c r="L234" s="74">
        <v>125</v>
      </c>
      <c r="M234" s="74">
        <v>730</v>
      </c>
      <c r="N234" s="74">
        <f t="shared" si="102"/>
        <v>180</v>
      </c>
      <c r="O234" s="74">
        <v>375</v>
      </c>
      <c r="P234" s="74">
        <f t="shared" si="135"/>
        <v>50</v>
      </c>
      <c r="Q234" s="74">
        <f t="shared" si="136"/>
        <v>21</v>
      </c>
      <c r="R234" s="74">
        <v>100</v>
      </c>
      <c r="S234" s="74">
        <f t="shared" si="83"/>
        <v>60</v>
      </c>
      <c r="T234" s="74">
        <f t="shared" si="130"/>
        <v>36</v>
      </c>
      <c r="U234" s="74"/>
      <c r="V234" s="74">
        <f t="shared" si="99"/>
        <v>0</v>
      </c>
      <c r="W234" s="74">
        <f t="shared" si="137"/>
        <v>20</v>
      </c>
      <c r="X234" s="74">
        <f t="shared" si="116"/>
        <v>0</v>
      </c>
      <c r="Y234" s="74">
        <f t="shared" si="132"/>
        <v>3.5</v>
      </c>
      <c r="Z234" s="74">
        <f t="shared" si="124"/>
        <v>172.5</v>
      </c>
      <c r="AA234" s="74">
        <f t="shared" si="131"/>
        <v>306</v>
      </c>
      <c r="AB234" s="74">
        <f t="shared" si="87"/>
        <v>60</v>
      </c>
      <c r="AC234" s="74">
        <f t="shared" si="95"/>
        <v>1.6</v>
      </c>
      <c r="AD234" s="74">
        <f t="shared" si="139"/>
        <v>180</v>
      </c>
      <c r="AE234" s="74">
        <f t="shared" si="84"/>
        <v>1.1000000000000001</v>
      </c>
      <c r="AF234" s="74">
        <f t="shared" si="90"/>
        <v>275</v>
      </c>
      <c r="AG234" s="74">
        <f t="shared" si="97"/>
        <v>18</v>
      </c>
      <c r="AH234" s="74">
        <f t="shared" si="88"/>
        <v>3</v>
      </c>
      <c r="AI234" s="74">
        <f t="shared" si="138"/>
        <v>47</v>
      </c>
      <c r="AJ234" s="74">
        <f t="shared" si="105"/>
        <v>90</v>
      </c>
      <c r="AK234" s="74">
        <f t="shared" si="111"/>
        <v>14</v>
      </c>
      <c r="AL234" s="74">
        <f t="shared" si="106"/>
        <v>45</v>
      </c>
      <c r="AM234" s="74">
        <v>46</v>
      </c>
      <c r="AN234" s="74">
        <f t="shared" si="112"/>
        <v>0.75</v>
      </c>
      <c r="AO234" s="74">
        <f t="shared" si="125"/>
        <v>19</v>
      </c>
      <c r="AP234" s="74">
        <f t="shared" si="125"/>
        <v>19</v>
      </c>
      <c r="AQ234" s="74">
        <f t="shared" si="115"/>
        <v>5</v>
      </c>
      <c r="AR234" s="74">
        <f t="shared" si="101"/>
        <v>120</v>
      </c>
      <c r="AS234" s="74">
        <f t="shared" si="103"/>
        <v>120</v>
      </c>
      <c r="AT234" s="74">
        <f t="shared" si="96"/>
        <v>55</v>
      </c>
      <c r="AU234" s="74"/>
      <c r="AV234" s="74"/>
      <c r="AW234" s="74">
        <f t="shared" si="133"/>
        <v>5219.2500000000009</v>
      </c>
      <c r="AX234" s="83">
        <f t="shared" si="98"/>
        <v>5370.9449999999988</v>
      </c>
      <c r="AY234" s="62">
        <f>'[1]D4 Gallon Forecast'!$U154/1000000</f>
        <v>0</v>
      </c>
      <c r="AZ234" s="62">
        <f>'[1]D4 Gallon Forecast'!$U186/1000000</f>
        <v>235.66072821367908</v>
      </c>
      <c r="BA234" s="62">
        <f t="shared" si="92"/>
        <v>235.66072821367908</v>
      </c>
      <c r="BB234" s="62">
        <f>'[1]D4 Gallon Forecast'!$U170/1000000</f>
        <v>0</v>
      </c>
      <c r="BC234" s="63">
        <f>'[1]D4 Gallon Forecast'!$U346/1000000</f>
        <v>179.41367029720334</v>
      </c>
      <c r="BD234" s="64">
        <f>'[1]D4 Gallon Forecast'!$U362/1000000</f>
        <v>0</v>
      </c>
      <c r="BE234" s="64">
        <f t="shared" si="94"/>
        <v>179.41367029720334</v>
      </c>
      <c r="BF234" s="76">
        <f t="shared" si="117"/>
        <v>415.07439851088242</v>
      </c>
      <c r="BG234" s="77">
        <f t="shared" si="121"/>
        <v>0.90992670843724677</v>
      </c>
      <c r="BH234" s="60"/>
      <c r="BI234" s="75">
        <f t="shared" si="134"/>
        <v>4645.4000000000005</v>
      </c>
      <c r="BJ234" s="75">
        <f t="shared" si="113"/>
        <v>725.54499999999825</v>
      </c>
      <c r="BK234" s="75">
        <f>'RD Feedstock Breakdown'!ES225</f>
        <v>3300.3538785646306</v>
      </c>
      <c r="BL234" s="78">
        <f t="shared" si="120"/>
        <v>7.951234502549311</v>
      </c>
      <c r="BM234" s="78">
        <f t="shared" si="118"/>
        <v>14.004683358069414</v>
      </c>
      <c r="BN234" s="60"/>
      <c r="BO234" s="60"/>
      <c r="BP234" s="60"/>
      <c r="BQ234" s="66">
        <f>'[1]D4 Gallon Forecast'!$U74/1000000</f>
        <v>115.50363164849998</v>
      </c>
      <c r="BR234" s="66">
        <f>'[1]D6 Gallon Forecast'!$U67/1000000</f>
        <v>0.6912377709393146</v>
      </c>
      <c r="BS234" s="66">
        <f t="shared" ref="BS234:BS288" si="141">SUM(BQ234:BR234)</f>
        <v>116.19486941943929</v>
      </c>
      <c r="BT234" s="60"/>
      <c r="BU234" s="67">
        <f>'[2]US EIA'!$P371</f>
        <v>910.07161665841568</v>
      </c>
      <c r="BV234" s="68">
        <f t="shared" si="127"/>
        <v>7.8322874426860158</v>
      </c>
      <c r="BW234" s="60"/>
      <c r="BX234" s="69">
        <f t="shared" si="128"/>
        <v>0.78128817826767505</v>
      </c>
      <c r="BY234" s="69">
        <f t="shared" si="129"/>
        <v>0.21871182173232492</v>
      </c>
      <c r="BZ234" s="60"/>
      <c r="CA234" s="60"/>
      <c r="CB234" s="84" t="e">
        <f>#REF!</f>
        <v>#REF!</v>
      </c>
      <c r="CC234" s="84" t="e">
        <f>#REF!</f>
        <v>#REF!</v>
      </c>
      <c r="CD234" s="84" t="e">
        <f t="shared" si="110"/>
        <v>#REF!</v>
      </c>
      <c r="CE234" s="60"/>
      <c r="CF234" s="84">
        <f>'RD Feedstock Breakdown'!GQ225*1000000</f>
        <v>1426560165.4961295</v>
      </c>
      <c r="CG234" s="85" t="e">
        <f t="shared" si="109"/>
        <v>#REF!</v>
      </c>
      <c r="CH234" s="73">
        <f>'[2]US EIA'!$R371+AW234</f>
        <v>7083.2499999999982</v>
      </c>
    </row>
    <row r="235" spans="1:86" ht="13.5" x14ac:dyDescent="0.25">
      <c r="A235" s="59">
        <v>47300</v>
      </c>
      <c r="B235" s="74">
        <f t="shared" si="119"/>
        <v>690</v>
      </c>
      <c r="C235" s="74">
        <v>47</v>
      </c>
      <c r="D235" s="74">
        <f t="shared" si="108"/>
        <v>3</v>
      </c>
      <c r="E235" s="74">
        <f t="shared" si="123"/>
        <v>85</v>
      </c>
      <c r="F235" s="74">
        <f t="shared" si="91"/>
        <v>340</v>
      </c>
      <c r="G235" s="74">
        <f t="shared" si="107"/>
        <v>37.5</v>
      </c>
      <c r="H235" s="74">
        <f t="shared" si="140"/>
        <v>190</v>
      </c>
      <c r="I235" s="74">
        <f t="shared" si="122"/>
        <v>250</v>
      </c>
      <c r="J235" s="74">
        <f t="shared" si="114"/>
        <v>153.30000000000001</v>
      </c>
      <c r="K235" s="74">
        <f t="shared" si="126"/>
        <v>125</v>
      </c>
      <c r="L235" s="74">
        <v>125</v>
      </c>
      <c r="M235" s="74">
        <v>730</v>
      </c>
      <c r="N235" s="74">
        <f t="shared" si="102"/>
        <v>180</v>
      </c>
      <c r="O235" s="74">
        <v>375</v>
      </c>
      <c r="P235" s="74">
        <f t="shared" si="135"/>
        <v>50</v>
      </c>
      <c r="Q235" s="74">
        <f t="shared" si="136"/>
        <v>21</v>
      </c>
      <c r="R235" s="74">
        <v>100</v>
      </c>
      <c r="S235" s="74">
        <f t="shared" si="83"/>
        <v>60</v>
      </c>
      <c r="T235" s="74">
        <f t="shared" si="130"/>
        <v>36</v>
      </c>
      <c r="U235" s="74"/>
      <c r="V235" s="74">
        <f t="shared" si="99"/>
        <v>0</v>
      </c>
      <c r="W235" s="74">
        <f t="shared" si="137"/>
        <v>20</v>
      </c>
      <c r="X235" s="74">
        <f t="shared" si="116"/>
        <v>0</v>
      </c>
      <c r="Y235" s="74">
        <f t="shared" si="132"/>
        <v>3.5</v>
      </c>
      <c r="Z235" s="74">
        <f t="shared" si="124"/>
        <v>172.5</v>
      </c>
      <c r="AA235" s="74">
        <f t="shared" si="131"/>
        <v>306</v>
      </c>
      <c r="AB235" s="74">
        <f t="shared" si="87"/>
        <v>60</v>
      </c>
      <c r="AC235" s="74">
        <f t="shared" si="95"/>
        <v>1.6</v>
      </c>
      <c r="AD235" s="74">
        <f t="shared" si="139"/>
        <v>180</v>
      </c>
      <c r="AE235" s="74">
        <f t="shared" si="84"/>
        <v>1.1000000000000001</v>
      </c>
      <c r="AF235" s="74">
        <f t="shared" si="90"/>
        <v>275</v>
      </c>
      <c r="AG235" s="74">
        <f t="shared" si="97"/>
        <v>18</v>
      </c>
      <c r="AH235" s="74">
        <f t="shared" si="88"/>
        <v>3</v>
      </c>
      <c r="AI235" s="74">
        <f t="shared" si="138"/>
        <v>47</v>
      </c>
      <c r="AJ235" s="74">
        <f t="shared" si="105"/>
        <v>90</v>
      </c>
      <c r="AK235" s="74">
        <f t="shared" si="111"/>
        <v>14</v>
      </c>
      <c r="AL235" s="74">
        <f t="shared" si="106"/>
        <v>45</v>
      </c>
      <c r="AM235" s="74">
        <v>46</v>
      </c>
      <c r="AN235" s="74">
        <f t="shared" si="112"/>
        <v>0.75</v>
      </c>
      <c r="AO235" s="74">
        <f t="shared" si="125"/>
        <v>19</v>
      </c>
      <c r="AP235" s="74">
        <f t="shared" si="125"/>
        <v>19</v>
      </c>
      <c r="AQ235" s="74">
        <f t="shared" si="115"/>
        <v>5</v>
      </c>
      <c r="AR235" s="74">
        <f t="shared" si="101"/>
        <v>120</v>
      </c>
      <c r="AS235" s="74">
        <f t="shared" si="103"/>
        <v>120</v>
      </c>
      <c r="AT235" s="74">
        <f t="shared" si="96"/>
        <v>55</v>
      </c>
      <c r="AU235" s="74"/>
      <c r="AV235" s="74"/>
      <c r="AW235" s="74">
        <f t="shared" si="133"/>
        <v>5219.2500000000009</v>
      </c>
      <c r="AX235" s="83">
        <f t="shared" si="98"/>
        <v>5370.9449999999988</v>
      </c>
      <c r="AY235" s="62">
        <f>'[1]D4 Gallon Forecast'!$U155/1000000</f>
        <v>0</v>
      </c>
      <c r="AZ235" s="62">
        <f>'[1]D4 Gallon Forecast'!$U187/1000000</f>
        <v>230.81713667112064</v>
      </c>
      <c r="BA235" s="62">
        <f t="shared" si="92"/>
        <v>230.81713667112064</v>
      </c>
      <c r="BB235" s="62">
        <f>'[1]D4 Gallon Forecast'!$U171/1000000</f>
        <v>0</v>
      </c>
      <c r="BC235" s="63">
        <f>'[1]D4 Gallon Forecast'!$U347/1000000</f>
        <v>195.03361743180668</v>
      </c>
      <c r="BD235" s="64">
        <f>'[1]D4 Gallon Forecast'!$U363/1000000</f>
        <v>0</v>
      </c>
      <c r="BE235" s="64">
        <f t="shared" si="94"/>
        <v>195.03361743180668</v>
      </c>
      <c r="BF235" s="76">
        <f t="shared" si="117"/>
        <v>425.85075410292734</v>
      </c>
      <c r="BG235" s="77">
        <f t="shared" si="121"/>
        <v>0.96466900609091155</v>
      </c>
      <c r="BH235" s="60"/>
      <c r="BI235" s="75">
        <f t="shared" si="134"/>
        <v>4645.4000000000005</v>
      </c>
      <c r="BJ235" s="75">
        <f t="shared" si="113"/>
        <v>725.54499999999825</v>
      </c>
      <c r="BK235" s="75">
        <f>'RD Feedstock Breakdown'!ES226</f>
        <v>3376.1961590866699</v>
      </c>
      <c r="BL235" s="78">
        <f t="shared" si="120"/>
        <v>7.9281206539102422</v>
      </c>
      <c r="BM235" s="78">
        <f t="shared" si="118"/>
        <v>14.627146873835613</v>
      </c>
      <c r="BN235" s="60"/>
      <c r="BO235" s="60"/>
      <c r="BP235" s="60"/>
      <c r="BQ235" s="66">
        <f>'[1]D4 Gallon Forecast'!$U75/1000000</f>
        <v>116.34479460040227</v>
      </c>
      <c r="BR235" s="66">
        <f>'[1]D6 Gallon Forecast'!$U68/1000000</f>
        <v>0.70856801708052852</v>
      </c>
      <c r="BS235" s="66">
        <f t="shared" si="141"/>
        <v>117.05336261748279</v>
      </c>
      <c r="BT235" s="60"/>
      <c r="BU235" s="67">
        <f>'[2]US EIA'!$P372</f>
        <v>900.36819574487311</v>
      </c>
      <c r="BV235" s="68">
        <f t="shared" si="127"/>
        <v>7.6919464388833916</v>
      </c>
      <c r="BW235" s="60"/>
      <c r="BX235" s="69">
        <f t="shared" si="128"/>
        <v>0.78439404120826728</v>
      </c>
      <c r="BY235" s="69">
        <f t="shared" si="129"/>
        <v>0.21560595879173272</v>
      </c>
      <c r="BZ235" s="60"/>
      <c r="CA235" s="60"/>
      <c r="CB235" s="84" t="e">
        <f>#REF!</f>
        <v>#REF!</v>
      </c>
      <c r="CC235" s="84" t="e">
        <f>#REF!</f>
        <v>#REF!</v>
      </c>
      <c r="CD235" s="84" t="e">
        <f t="shared" si="110"/>
        <v>#REF!</v>
      </c>
      <c r="CE235" s="60"/>
      <c r="CF235" s="84">
        <f>'RD Feedstock Breakdown'!GQ226*1000000</f>
        <v>1546250050.5679355</v>
      </c>
      <c r="CG235" s="85" t="e">
        <f t="shared" si="109"/>
        <v>#REF!</v>
      </c>
      <c r="CH235" s="73">
        <f>'[2]US EIA'!$R372+AW235</f>
        <v>7083.2499999999982</v>
      </c>
    </row>
    <row r="236" spans="1:86" ht="13.5" x14ac:dyDescent="0.25">
      <c r="A236" s="59">
        <v>47331</v>
      </c>
      <c r="B236" s="74">
        <f t="shared" si="119"/>
        <v>690</v>
      </c>
      <c r="C236" s="74">
        <v>47</v>
      </c>
      <c r="D236" s="74">
        <f t="shared" si="108"/>
        <v>3</v>
      </c>
      <c r="E236" s="74">
        <f t="shared" si="123"/>
        <v>85</v>
      </c>
      <c r="F236" s="74">
        <f t="shared" si="91"/>
        <v>340</v>
      </c>
      <c r="G236" s="74">
        <f t="shared" si="107"/>
        <v>37.5</v>
      </c>
      <c r="H236" s="74">
        <f t="shared" si="140"/>
        <v>190</v>
      </c>
      <c r="I236" s="74">
        <f t="shared" si="122"/>
        <v>250</v>
      </c>
      <c r="J236" s="74">
        <f t="shared" si="114"/>
        <v>153.30000000000001</v>
      </c>
      <c r="K236" s="74">
        <f t="shared" si="126"/>
        <v>125</v>
      </c>
      <c r="L236" s="74">
        <v>125</v>
      </c>
      <c r="M236" s="74">
        <v>730</v>
      </c>
      <c r="N236" s="74">
        <f t="shared" si="102"/>
        <v>180</v>
      </c>
      <c r="O236" s="74">
        <v>375</v>
      </c>
      <c r="P236" s="74">
        <f t="shared" si="135"/>
        <v>50</v>
      </c>
      <c r="Q236" s="74">
        <f t="shared" si="136"/>
        <v>21</v>
      </c>
      <c r="R236" s="74">
        <v>100</v>
      </c>
      <c r="S236" s="74">
        <f t="shared" si="83"/>
        <v>60</v>
      </c>
      <c r="T236" s="74">
        <f t="shared" si="130"/>
        <v>36</v>
      </c>
      <c r="U236" s="74"/>
      <c r="V236" s="74">
        <f t="shared" si="99"/>
        <v>0</v>
      </c>
      <c r="W236" s="74">
        <f t="shared" si="137"/>
        <v>20</v>
      </c>
      <c r="X236" s="74">
        <f t="shared" si="116"/>
        <v>0</v>
      </c>
      <c r="Y236" s="74">
        <f t="shared" si="132"/>
        <v>3.5</v>
      </c>
      <c r="Z236" s="74">
        <f t="shared" si="124"/>
        <v>172.5</v>
      </c>
      <c r="AA236" s="74">
        <f t="shared" si="131"/>
        <v>306</v>
      </c>
      <c r="AB236" s="74">
        <f t="shared" si="87"/>
        <v>60</v>
      </c>
      <c r="AC236" s="74">
        <f t="shared" si="95"/>
        <v>1.6</v>
      </c>
      <c r="AD236" s="74">
        <f t="shared" si="139"/>
        <v>180</v>
      </c>
      <c r="AE236" s="74">
        <f t="shared" si="84"/>
        <v>1.1000000000000001</v>
      </c>
      <c r="AF236" s="74">
        <f t="shared" si="90"/>
        <v>275</v>
      </c>
      <c r="AG236" s="74">
        <f t="shared" si="97"/>
        <v>18</v>
      </c>
      <c r="AH236" s="74">
        <f t="shared" si="88"/>
        <v>3</v>
      </c>
      <c r="AI236" s="74">
        <f t="shared" si="138"/>
        <v>47</v>
      </c>
      <c r="AJ236" s="74">
        <f t="shared" si="105"/>
        <v>90</v>
      </c>
      <c r="AK236" s="74">
        <f t="shared" si="111"/>
        <v>14</v>
      </c>
      <c r="AL236" s="74">
        <f t="shared" si="106"/>
        <v>45</v>
      </c>
      <c r="AM236" s="74">
        <v>46</v>
      </c>
      <c r="AN236" s="74">
        <f t="shared" si="112"/>
        <v>0.75</v>
      </c>
      <c r="AO236" s="74">
        <f t="shared" si="125"/>
        <v>19</v>
      </c>
      <c r="AP236" s="74">
        <f t="shared" si="125"/>
        <v>19</v>
      </c>
      <c r="AQ236" s="74">
        <f t="shared" si="115"/>
        <v>5</v>
      </c>
      <c r="AR236" s="74">
        <f t="shared" si="101"/>
        <v>120</v>
      </c>
      <c r="AS236" s="74">
        <f t="shared" si="103"/>
        <v>120</v>
      </c>
      <c r="AT236" s="74">
        <f t="shared" si="96"/>
        <v>55</v>
      </c>
      <c r="AU236" s="74"/>
      <c r="AV236" s="74"/>
      <c r="AW236" s="74">
        <f t="shared" si="133"/>
        <v>5219.2500000000009</v>
      </c>
      <c r="AX236" s="83">
        <f t="shared" si="98"/>
        <v>5370.9449999999988</v>
      </c>
      <c r="AY236" s="62">
        <f>'[1]D4 Gallon Forecast'!$U156/1000000</f>
        <v>0</v>
      </c>
      <c r="AZ236" s="62">
        <f>'[1]D4 Gallon Forecast'!$U188/1000000</f>
        <v>234.12025318709138</v>
      </c>
      <c r="BA236" s="62">
        <f t="shared" si="92"/>
        <v>234.12025318709138</v>
      </c>
      <c r="BB236" s="62">
        <f>'[1]D4 Gallon Forecast'!$U172/1000000</f>
        <v>0</v>
      </c>
      <c r="BC236" s="63">
        <f>'[1]D4 Gallon Forecast'!$U348/1000000</f>
        <v>212.44847447981218</v>
      </c>
      <c r="BD236" s="64">
        <f>'[1]D4 Gallon Forecast'!$U364/1000000</f>
        <v>0</v>
      </c>
      <c r="BE236" s="64">
        <f t="shared" si="94"/>
        <v>212.44847447981218</v>
      </c>
      <c r="BF236" s="76">
        <f t="shared" si="117"/>
        <v>446.56872766690356</v>
      </c>
      <c r="BG236" s="77">
        <f t="shared" si="121"/>
        <v>0.97896862325104639</v>
      </c>
      <c r="BH236" s="60"/>
      <c r="BI236" s="75">
        <f t="shared" si="134"/>
        <v>4645.4000000000005</v>
      </c>
      <c r="BJ236" s="75">
        <f t="shared" si="113"/>
        <v>725.54499999999825</v>
      </c>
      <c r="BK236" s="75">
        <f>'RD Feedstock Breakdown'!ES227</f>
        <v>3536.6139260813206</v>
      </c>
      <c r="BL236" s="78">
        <f t="shared" si="120"/>
        <v>7.9195288585440036</v>
      </c>
      <c r="BM236" s="78">
        <f t="shared" si="118"/>
        <v>15.105971730071229</v>
      </c>
      <c r="BN236" s="60"/>
      <c r="BO236" s="60"/>
      <c r="BP236" s="60"/>
      <c r="BQ236" s="66">
        <f>'[1]D4 Gallon Forecast'!$U76/1000000</f>
        <v>118.84694110506543</v>
      </c>
      <c r="BR236" s="66">
        <f>'[1]D6 Gallon Forecast'!$U69/1000000</f>
        <v>0.73605378356162598</v>
      </c>
      <c r="BS236" s="66">
        <f t="shared" si="141"/>
        <v>119.58299488862706</v>
      </c>
      <c r="BT236" s="60"/>
      <c r="BU236" s="67">
        <f>'[2]US EIA'!$P373</f>
        <v>913.36120022146144</v>
      </c>
      <c r="BV236" s="68">
        <f t="shared" si="127"/>
        <v>7.6378853119719503</v>
      </c>
      <c r="BW236" s="60"/>
      <c r="BX236" s="69">
        <f t="shared" si="128"/>
        <v>0.78877924392979692</v>
      </c>
      <c r="BY236" s="69">
        <f t="shared" si="129"/>
        <v>0.21122075607020316</v>
      </c>
      <c r="BZ236" s="60"/>
      <c r="CA236" s="60"/>
      <c r="CB236" s="84" t="e">
        <f>#REF!</f>
        <v>#REF!</v>
      </c>
      <c r="CC236" s="84" t="e">
        <f>#REF!</f>
        <v>#REF!</v>
      </c>
      <c r="CD236" s="84" t="e">
        <f t="shared" si="110"/>
        <v>#REF!</v>
      </c>
      <c r="CE236" s="60"/>
      <c r="CF236" s="84">
        <f>'RD Feedstock Breakdown'!GQ227*1000000</f>
        <v>1682491824.5965221</v>
      </c>
      <c r="CG236" s="85" t="e">
        <f t="shared" si="109"/>
        <v>#REF!</v>
      </c>
      <c r="CH236" s="73">
        <f>'[2]US EIA'!$R373+AW236</f>
        <v>7083.2499999999982</v>
      </c>
    </row>
    <row r="237" spans="1:86" ht="13.5" x14ac:dyDescent="0.25">
      <c r="A237" s="59">
        <v>47362</v>
      </c>
      <c r="B237" s="74">
        <f t="shared" si="119"/>
        <v>690</v>
      </c>
      <c r="C237" s="74">
        <v>47</v>
      </c>
      <c r="D237" s="74">
        <f t="shared" si="108"/>
        <v>3</v>
      </c>
      <c r="E237" s="74">
        <f t="shared" si="123"/>
        <v>85</v>
      </c>
      <c r="F237" s="74">
        <f t="shared" si="91"/>
        <v>340</v>
      </c>
      <c r="G237" s="74">
        <f t="shared" si="107"/>
        <v>37.5</v>
      </c>
      <c r="H237" s="74">
        <f t="shared" si="140"/>
        <v>190</v>
      </c>
      <c r="I237" s="74">
        <f t="shared" si="122"/>
        <v>250</v>
      </c>
      <c r="J237" s="74">
        <f t="shared" si="114"/>
        <v>153.30000000000001</v>
      </c>
      <c r="K237" s="74">
        <f t="shared" si="126"/>
        <v>125</v>
      </c>
      <c r="L237" s="74">
        <v>125</v>
      </c>
      <c r="M237" s="74">
        <v>730</v>
      </c>
      <c r="N237" s="74">
        <f t="shared" si="102"/>
        <v>180</v>
      </c>
      <c r="O237" s="74">
        <v>375</v>
      </c>
      <c r="P237" s="74">
        <f t="shared" si="135"/>
        <v>50</v>
      </c>
      <c r="Q237" s="74">
        <f t="shared" si="136"/>
        <v>21</v>
      </c>
      <c r="R237" s="74">
        <v>100</v>
      </c>
      <c r="S237" s="74">
        <f t="shared" si="83"/>
        <v>60</v>
      </c>
      <c r="T237" s="74">
        <f t="shared" si="130"/>
        <v>36</v>
      </c>
      <c r="U237" s="74"/>
      <c r="V237" s="74">
        <f t="shared" si="99"/>
        <v>0</v>
      </c>
      <c r="W237" s="74">
        <f t="shared" si="137"/>
        <v>20</v>
      </c>
      <c r="X237" s="74">
        <f t="shared" si="116"/>
        <v>0</v>
      </c>
      <c r="Y237" s="74">
        <f t="shared" si="132"/>
        <v>3.5</v>
      </c>
      <c r="Z237" s="74">
        <f t="shared" si="124"/>
        <v>172.5</v>
      </c>
      <c r="AA237" s="74">
        <f t="shared" si="131"/>
        <v>306</v>
      </c>
      <c r="AB237" s="74">
        <f t="shared" si="87"/>
        <v>60</v>
      </c>
      <c r="AC237" s="74">
        <f t="shared" si="95"/>
        <v>1.6</v>
      </c>
      <c r="AD237" s="74">
        <f t="shared" si="139"/>
        <v>180</v>
      </c>
      <c r="AE237" s="74">
        <f t="shared" si="84"/>
        <v>1.1000000000000001</v>
      </c>
      <c r="AF237" s="74">
        <f t="shared" si="90"/>
        <v>275</v>
      </c>
      <c r="AG237" s="74">
        <f t="shared" si="97"/>
        <v>18</v>
      </c>
      <c r="AH237" s="74">
        <f t="shared" si="88"/>
        <v>3</v>
      </c>
      <c r="AI237" s="74">
        <f t="shared" si="138"/>
        <v>47</v>
      </c>
      <c r="AJ237" s="74">
        <f t="shared" si="105"/>
        <v>90</v>
      </c>
      <c r="AK237" s="74">
        <f t="shared" si="111"/>
        <v>14</v>
      </c>
      <c r="AL237" s="74">
        <f t="shared" si="106"/>
        <v>45</v>
      </c>
      <c r="AM237" s="74">
        <v>46</v>
      </c>
      <c r="AN237" s="74">
        <f t="shared" si="112"/>
        <v>0.75</v>
      </c>
      <c r="AO237" s="74">
        <f t="shared" si="125"/>
        <v>19</v>
      </c>
      <c r="AP237" s="74">
        <f t="shared" si="125"/>
        <v>19</v>
      </c>
      <c r="AQ237" s="74">
        <f t="shared" si="115"/>
        <v>5</v>
      </c>
      <c r="AR237" s="74">
        <f t="shared" si="101"/>
        <v>120</v>
      </c>
      <c r="AS237" s="74">
        <f t="shared" si="103"/>
        <v>120</v>
      </c>
      <c r="AT237" s="74">
        <f t="shared" si="96"/>
        <v>55</v>
      </c>
      <c r="AU237" s="74"/>
      <c r="AV237" s="74"/>
      <c r="AW237" s="74">
        <f t="shared" si="133"/>
        <v>5219.2500000000009</v>
      </c>
      <c r="AX237" s="83">
        <f t="shared" si="98"/>
        <v>5370.9449999999988</v>
      </c>
      <c r="AY237" s="62">
        <f>'[1]D4 Gallon Forecast'!$U157/1000000</f>
        <v>0</v>
      </c>
      <c r="AZ237" s="62">
        <f>'[1]D4 Gallon Forecast'!$U189/1000000</f>
        <v>238.38727900005898</v>
      </c>
      <c r="BA237" s="62">
        <f t="shared" si="92"/>
        <v>238.38727900005898</v>
      </c>
      <c r="BB237" s="62">
        <f>'[1]D4 Gallon Forecast'!$U173/1000000</f>
        <v>0</v>
      </c>
      <c r="BC237" s="63">
        <f>'[1]D4 Gallon Forecast'!$U349/1000000</f>
        <v>259.50754987836723</v>
      </c>
      <c r="BD237" s="64">
        <f>'[1]D4 Gallon Forecast'!$U365/1000000</f>
        <v>0</v>
      </c>
      <c r="BE237" s="64">
        <f t="shared" si="94"/>
        <v>259.50754987836723</v>
      </c>
      <c r="BF237" s="76">
        <f t="shared" si="117"/>
        <v>497.89482887842621</v>
      </c>
      <c r="BG237" s="77">
        <f t="shared" si="121"/>
        <v>1.0914857780066012</v>
      </c>
      <c r="BH237" s="60"/>
      <c r="BI237" s="75">
        <f t="shared" si="134"/>
        <v>4645.4000000000005</v>
      </c>
      <c r="BJ237" s="75">
        <f t="shared" si="113"/>
        <v>725.54499999999825</v>
      </c>
      <c r="BK237" s="75">
        <f>'RD Feedstock Breakdown'!ES228</f>
        <v>4306.2280727392663</v>
      </c>
      <c r="BL237" s="78">
        <f t="shared" si="120"/>
        <v>8.6488708517813144</v>
      </c>
      <c r="BM237" s="78">
        <f t="shared" si="118"/>
        <v>18.064001111142346</v>
      </c>
      <c r="BN237" s="60"/>
      <c r="BO237" s="60"/>
      <c r="BP237" s="60"/>
      <c r="BQ237" s="66">
        <f>'[1]D4 Gallon Forecast'!$U77/1000000</f>
        <v>112.30481878177434</v>
      </c>
      <c r="BR237" s="66">
        <f>'[1]D6 Gallon Forecast'!$U70/1000000</f>
        <v>0.7348479601151513</v>
      </c>
      <c r="BS237" s="66">
        <f t="shared" si="141"/>
        <v>113.03966674188949</v>
      </c>
      <c r="BT237" s="60"/>
      <c r="BU237" s="67">
        <f>'[2]US EIA'!$P374</f>
        <v>892.60752664249787</v>
      </c>
      <c r="BV237" s="68">
        <f t="shared" si="127"/>
        <v>7.8964097503988953</v>
      </c>
      <c r="BW237" s="60"/>
      <c r="BX237" s="69">
        <f t="shared" si="128"/>
        <v>0.81497252561076283</v>
      </c>
      <c r="BY237" s="69">
        <f t="shared" si="129"/>
        <v>0.18502747438923717</v>
      </c>
      <c r="BZ237" s="60"/>
      <c r="CA237" s="60"/>
      <c r="CB237" s="84" t="e">
        <f>#REF!</f>
        <v>#REF!</v>
      </c>
      <c r="CC237" s="84" t="e">
        <f>#REF!</f>
        <v>#REF!</v>
      </c>
      <c r="CD237" s="84" t="e">
        <f t="shared" si="110"/>
        <v>#REF!</v>
      </c>
      <c r="CE237" s="60"/>
      <c r="CF237" s="84">
        <f>'RD Feedstock Breakdown'!GQ228*1000000</f>
        <v>2056322976.6119976</v>
      </c>
      <c r="CG237" s="85" t="e">
        <f t="shared" si="109"/>
        <v>#REF!</v>
      </c>
      <c r="CH237" s="73">
        <f>'[2]US EIA'!$R374+AW237</f>
        <v>7083.2499999999982</v>
      </c>
    </row>
    <row r="238" spans="1:86" ht="13.5" x14ac:dyDescent="0.25">
      <c r="A238" s="59">
        <v>47392</v>
      </c>
      <c r="B238" s="74">
        <f t="shared" si="119"/>
        <v>690</v>
      </c>
      <c r="C238" s="74">
        <v>47</v>
      </c>
      <c r="D238" s="74">
        <f t="shared" si="108"/>
        <v>3</v>
      </c>
      <c r="E238" s="74">
        <f t="shared" si="123"/>
        <v>85</v>
      </c>
      <c r="F238" s="74">
        <f t="shared" si="91"/>
        <v>340</v>
      </c>
      <c r="G238" s="74">
        <f t="shared" si="107"/>
        <v>37.5</v>
      </c>
      <c r="H238" s="74">
        <f t="shared" si="140"/>
        <v>190</v>
      </c>
      <c r="I238" s="74">
        <f t="shared" si="122"/>
        <v>250</v>
      </c>
      <c r="J238" s="74">
        <f t="shared" si="114"/>
        <v>153.30000000000001</v>
      </c>
      <c r="K238" s="74">
        <f t="shared" si="126"/>
        <v>125</v>
      </c>
      <c r="L238" s="74">
        <v>125</v>
      </c>
      <c r="M238" s="74">
        <v>730</v>
      </c>
      <c r="N238" s="74">
        <f t="shared" si="102"/>
        <v>180</v>
      </c>
      <c r="O238" s="74">
        <v>375</v>
      </c>
      <c r="P238" s="74">
        <f t="shared" si="135"/>
        <v>50</v>
      </c>
      <c r="Q238" s="74">
        <f t="shared" si="136"/>
        <v>21</v>
      </c>
      <c r="R238" s="74">
        <v>100</v>
      </c>
      <c r="S238" s="74">
        <f t="shared" ref="S238:S301" si="142">150*$S$12</f>
        <v>60</v>
      </c>
      <c r="T238" s="74">
        <f t="shared" si="130"/>
        <v>36</v>
      </c>
      <c r="U238" s="74"/>
      <c r="V238" s="74">
        <f t="shared" si="99"/>
        <v>0</v>
      </c>
      <c r="W238" s="74">
        <f t="shared" si="137"/>
        <v>20</v>
      </c>
      <c r="X238" s="74">
        <f t="shared" si="116"/>
        <v>0</v>
      </c>
      <c r="Y238" s="74">
        <f t="shared" si="132"/>
        <v>3.5</v>
      </c>
      <c r="Z238" s="74">
        <f t="shared" si="124"/>
        <v>172.5</v>
      </c>
      <c r="AA238" s="74">
        <f t="shared" si="131"/>
        <v>306</v>
      </c>
      <c r="AB238" s="74">
        <f t="shared" si="87"/>
        <v>60</v>
      </c>
      <c r="AC238" s="74">
        <f t="shared" si="95"/>
        <v>1.6</v>
      </c>
      <c r="AD238" s="74">
        <f t="shared" si="139"/>
        <v>180</v>
      </c>
      <c r="AE238" s="74">
        <f t="shared" si="84"/>
        <v>1.1000000000000001</v>
      </c>
      <c r="AF238" s="74">
        <f t="shared" si="90"/>
        <v>275</v>
      </c>
      <c r="AG238" s="74">
        <f t="shared" si="97"/>
        <v>18</v>
      </c>
      <c r="AH238" s="74">
        <f t="shared" si="88"/>
        <v>3</v>
      </c>
      <c r="AI238" s="74">
        <f t="shared" si="138"/>
        <v>47</v>
      </c>
      <c r="AJ238" s="74">
        <f t="shared" si="105"/>
        <v>90</v>
      </c>
      <c r="AK238" s="74">
        <f t="shared" si="111"/>
        <v>14</v>
      </c>
      <c r="AL238" s="74">
        <f t="shared" si="106"/>
        <v>45</v>
      </c>
      <c r="AM238" s="74">
        <v>46</v>
      </c>
      <c r="AN238" s="74">
        <f t="shared" si="112"/>
        <v>0.75</v>
      </c>
      <c r="AO238" s="74">
        <f t="shared" si="125"/>
        <v>19</v>
      </c>
      <c r="AP238" s="74">
        <f t="shared" si="125"/>
        <v>19</v>
      </c>
      <c r="AQ238" s="74">
        <f t="shared" si="115"/>
        <v>5</v>
      </c>
      <c r="AR238" s="74">
        <f t="shared" si="101"/>
        <v>120</v>
      </c>
      <c r="AS238" s="74">
        <f t="shared" si="103"/>
        <v>120</v>
      </c>
      <c r="AT238" s="74">
        <f t="shared" si="96"/>
        <v>55</v>
      </c>
      <c r="AU238" s="74"/>
      <c r="AV238" s="74"/>
      <c r="AW238" s="74">
        <f t="shared" si="133"/>
        <v>5219.2500000000009</v>
      </c>
      <c r="AX238" s="83">
        <f t="shared" si="98"/>
        <v>5370.9449999999988</v>
      </c>
      <c r="AY238" s="62">
        <f>'[1]D4 Gallon Forecast'!$U158/1000000</f>
        <v>0</v>
      </c>
      <c r="AZ238" s="62">
        <f>'[1]D4 Gallon Forecast'!$U190/1000000</f>
        <v>261.95602407469005</v>
      </c>
      <c r="BA238" s="62">
        <f t="shared" si="92"/>
        <v>261.95602407469005</v>
      </c>
      <c r="BB238" s="62">
        <f>'[1]D4 Gallon Forecast'!$U174/1000000</f>
        <v>0</v>
      </c>
      <c r="BC238" s="63">
        <f>'[1]D4 Gallon Forecast'!$U350/1000000</f>
        <v>252.3845124317161</v>
      </c>
      <c r="BD238" s="64">
        <f>'[1]D4 Gallon Forecast'!$U366/1000000</f>
        <v>0</v>
      </c>
      <c r="BE238" s="64">
        <f t="shared" si="94"/>
        <v>252.3845124317161</v>
      </c>
      <c r="BF238" s="76">
        <f t="shared" si="117"/>
        <v>514.34053650640612</v>
      </c>
      <c r="BG238" s="77">
        <f t="shared" si="121"/>
        <v>1.1651226852682242</v>
      </c>
      <c r="BH238" s="60"/>
      <c r="BI238" s="75">
        <f t="shared" si="134"/>
        <v>4645.4000000000005</v>
      </c>
      <c r="BJ238" s="75">
        <f t="shared" si="113"/>
        <v>725.54499999999825</v>
      </c>
      <c r="BK238" s="75">
        <f>'RD Feedstock Breakdown'!ES229</f>
        <v>4772.7483851547595</v>
      </c>
      <c r="BL238" s="78">
        <f t="shared" si="120"/>
        <v>9.2793549144950873</v>
      </c>
      <c r="BM238" s="78">
        <f t="shared" si="118"/>
        <v>18.219655005123808</v>
      </c>
      <c r="BN238" s="60"/>
      <c r="BO238" s="60"/>
      <c r="BP238" s="60"/>
      <c r="BQ238" s="66">
        <f>'[1]D4 Gallon Forecast'!$U78/1000000</f>
        <v>116.11551725071931</v>
      </c>
      <c r="BR238" s="66">
        <f>'[1]D6 Gallon Forecast'!$U71/1000000</f>
        <v>0.73415168153577259</v>
      </c>
      <c r="BS238" s="66">
        <f t="shared" si="141"/>
        <v>116.84966893225508</v>
      </c>
      <c r="BT238" s="60"/>
      <c r="BU238" s="67">
        <f>'[2]US EIA'!$P375</f>
        <v>861.10692276970428</v>
      </c>
      <c r="BV238" s="68">
        <f t="shared" si="127"/>
        <v>7.3693569749773165</v>
      </c>
      <c r="BW238" s="60"/>
      <c r="BX238" s="69">
        <f t="shared" si="128"/>
        <v>0.81487407769414366</v>
      </c>
      <c r="BY238" s="69">
        <f t="shared" si="129"/>
        <v>0.18512592230585631</v>
      </c>
      <c r="BZ238" s="60"/>
      <c r="CA238" s="60"/>
      <c r="CB238" s="84" t="e">
        <f>#REF!</f>
        <v>#REF!</v>
      </c>
      <c r="CC238" s="84" t="e">
        <f>#REF!</f>
        <v>#REF!</v>
      </c>
      <c r="CD238" s="84" t="e">
        <f t="shared" si="110"/>
        <v>#REF!</v>
      </c>
      <c r="CE238" s="60"/>
      <c r="CF238" s="84">
        <f>'RD Feedstock Breakdown'!GQ229*1000000</f>
        <v>2010059108.2702551</v>
      </c>
      <c r="CG238" s="85" t="e">
        <f t="shared" si="109"/>
        <v>#REF!</v>
      </c>
      <c r="CH238" s="73">
        <f>'[2]US EIA'!$R375+AW238</f>
        <v>7079.9166666666642</v>
      </c>
    </row>
    <row r="239" spans="1:86" ht="13.5" x14ac:dyDescent="0.25">
      <c r="A239" s="59">
        <v>47423</v>
      </c>
      <c r="B239" s="74">
        <f t="shared" si="119"/>
        <v>690</v>
      </c>
      <c r="C239" s="74">
        <v>47</v>
      </c>
      <c r="D239" s="74">
        <f t="shared" si="108"/>
        <v>3</v>
      </c>
      <c r="E239" s="74">
        <f t="shared" si="123"/>
        <v>85</v>
      </c>
      <c r="F239" s="74">
        <f t="shared" si="91"/>
        <v>340</v>
      </c>
      <c r="G239" s="74">
        <f t="shared" si="107"/>
        <v>37.5</v>
      </c>
      <c r="H239" s="74">
        <f t="shared" si="140"/>
        <v>190</v>
      </c>
      <c r="I239" s="74">
        <f t="shared" si="122"/>
        <v>250</v>
      </c>
      <c r="J239" s="74">
        <f t="shared" si="114"/>
        <v>153.30000000000001</v>
      </c>
      <c r="K239" s="74">
        <f t="shared" si="126"/>
        <v>125</v>
      </c>
      <c r="L239" s="74">
        <v>125</v>
      </c>
      <c r="M239" s="74">
        <v>730</v>
      </c>
      <c r="N239" s="74">
        <f t="shared" si="102"/>
        <v>180</v>
      </c>
      <c r="O239" s="74">
        <v>375</v>
      </c>
      <c r="P239" s="74">
        <f t="shared" si="135"/>
        <v>50</v>
      </c>
      <c r="Q239" s="74">
        <f t="shared" si="136"/>
        <v>21</v>
      </c>
      <c r="R239" s="74">
        <v>100</v>
      </c>
      <c r="S239" s="74">
        <f t="shared" si="142"/>
        <v>60</v>
      </c>
      <c r="T239" s="74">
        <f t="shared" si="130"/>
        <v>36</v>
      </c>
      <c r="U239" s="74"/>
      <c r="V239" s="74">
        <f t="shared" si="99"/>
        <v>0</v>
      </c>
      <c r="W239" s="74">
        <f t="shared" si="137"/>
        <v>20</v>
      </c>
      <c r="X239" s="74">
        <f t="shared" si="116"/>
        <v>0</v>
      </c>
      <c r="Y239" s="74">
        <f t="shared" si="132"/>
        <v>3.5</v>
      </c>
      <c r="Z239" s="74">
        <f t="shared" si="124"/>
        <v>172.5</v>
      </c>
      <c r="AA239" s="74">
        <f t="shared" si="131"/>
        <v>306</v>
      </c>
      <c r="AB239" s="74">
        <f t="shared" si="87"/>
        <v>60</v>
      </c>
      <c r="AC239" s="74">
        <f t="shared" si="95"/>
        <v>1.6</v>
      </c>
      <c r="AD239" s="74">
        <f t="shared" si="139"/>
        <v>180</v>
      </c>
      <c r="AE239" s="74">
        <f t="shared" ref="AE239:AE302" si="143">55*$AE$12+(55*$AE$12)</f>
        <v>1.1000000000000001</v>
      </c>
      <c r="AF239" s="74">
        <f t="shared" si="90"/>
        <v>275</v>
      </c>
      <c r="AG239" s="74">
        <f t="shared" si="97"/>
        <v>18</v>
      </c>
      <c r="AH239" s="74">
        <f t="shared" si="88"/>
        <v>3</v>
      </c>
      <c r="AI239" s="74">
        <f t="shared" si="138"/>
        <v>47</v>
      </c>
      <c r="AJ239" s="74">
        <f t="shared" si="105"/>
        <v>90</v>
      </c>
      <c r="AK239" s="74">
        <f t="shared" si="111"/>
        <v>14</v>
      </c>
      <c r="AL239" s="74">
        <f t="shared" si="106"/>
        <v>45</v>
      </c>
      <c r="AM239" s="74">
        <v>46</v>
      </c>
      <c r="AN239" s="74">
        <f t="shared" si="112"/>
        <v>0.75</v>
      </c>
      <c r="AO239" s="74">
        <f t="shared" si="125"/>
        <v>19</v>
      </c>
      <c r="AP239" s="74">
        <f t="shared" si="125"/>
        <v>19</v>
      </c>
      <c r="AQ239" s="74">
        <f t="shared" si="115"/>
        <v>5</v>
      </c>
      <c r="AR239" s="74">
        <f t="shared" si="101"/>
        <v>120</v>
      </c>
      <c r="AS239" s="74">
        <f t="shared" si="103"/>
        <v>120</v>
      </c>
      <c r="AT239" s="74">
        <f t="shared" si="96"/>
        <v>55</v>
      </c>
      <c r="AU239" s="74"/>
      <c r="AV239" s="74"/>
      <c r="AW239" s="74">
        <f t="shared" si="133"/>
        <v>5219.2500000000009</v>
      </c>
      <c r="AX239" s="83">
        <f t="shared" si="98"/>
        <v>5370.9449999999988</v>
      </c>
      <c r="AY239" s="62">
        <f>'[1]D4 Gallon Forecast'!$U159/1000000</f>
        <v>0</v>
      </c>
      <c r="AZ239" s="62">
        <f>'[1]D4 Gallon Forecast'!$U191/1000000</f>
        <v>318.27076820274124</v>
      </c>
      <c r="BA239" s="62">
        <f t="shared" si="92"/>
        <v>318.27076820274124</v>
      </c>
      <c r="BB239" s="62">
        <f>'[1]D4 Gallon Forecast'!$U175/1000000</f>
        <v>0</v>
      </c>
      <c r="BC239" s="63">
        <f>'[1]D4 Gallon Forecast'!$U351/1000000</f>
        <v>218.48747243177388</v>
      </c>
      <c r="BD239" s="64">
        <f>'[1]D4 Gallon Forecast'!$U367/1000000</f>
        <v>0</v>
      </c>
      <c r="BE239" s="64">
        <f t="shared" si="94"/>
        <v>218.48747243177388</v>
      </c>
      <c r="BF239" s="76">
        <f t="shared" si="117"/>
        <v>536.75824063451512</v>
      </c>
      <c r="BG239" s="77">
        <f t="shared" si="121"/>
        <v>1.1766822065618838</v>
      </c>
      <c r="BH239" s="60"/>
      <c r="BI239" s="75">
        <f t="shared" si="134"/>
        <v>4645.4000000000005</v>
      </c>
      <c r="BJ239" s="75">
        <f t="shared" si="113"/>
        <v>725.54499999999825</v>
      </c>
      <c r="BK239" s="75">
        <f>'RD Feedstock Breakdown'!ES230</f>
        <v>5029.558929949555</v>
      </c>
      <c r="BL239" s="78">
        <f t="shared" si="120"/>
        <v>9.3702500477756789</v>
      </c>
      <c r="BM239" s="78">
        <f t="shared" si="118"/>
        <v>15.802767430861518</v>
      </c>
      <c r="BN239" s="60"/>
      <c r="BO239" s="60"/>
      <c r="BP239" s="60"/>
      <c r="BQ239" s="66">
        <f>'[1]D4 Gallon Forecast'!$U79/1000000</f>
        <v>109.78830175630317</v>
      </c>
      <c r="BR239" s="66">
        <f>'[1]D6 Gallon Forecast'!$U72/1000000</f>
        <v>0.75797103779907438</v>
      </c>
      <c r="BS239" s="66">
        <f t="shared" si="141"/>
        <v>110.54627279410225</v>
      </c>
      <c r="BT239" s="60"/>
      <c r="BU239" s="67">
        <f>'[2]US EIA'!$P376</f>
        <v>828.62325479671392</v>
      </c>
      <c r="BV239" s="68">
        <f t="shared" si="127"/>
        <v>7.49571409196278</v>
      </c>
      <c r="BW239" s="60"/>
      <c r="BX239" s="69">
        <f t="shared" si="128"/>
        <v>0.82922060560250832</v>
      </c>
      <c r="BY239" s="69">
        <f t="shared" si="129"/>
        <v>0.1707793943974916</v>
      </c>
      <c r="BZ239" s="60"/>
      <c r="CA239" s="60"/>
      <c r="CB239" s="84" t="e">
        <f>#REF!</f>
        <v>#REF!</v>
      </c>
      <c r="CC239" s="84" t="e">
        <f>#REF!</f>
        <v>#REF!</v>
      </c>
      <c r="CD239" s="84" t="e">
        <f t="shared" si="110"/>
        <v>#REF!</v>
      </c>
      <c r="CE239" s="60"/>
      <c r="CF239" s="84">
        <f>'RD Feedstock Breakdown'!GQ230*1000000</f>
        <v>1739876950.2719994</v>
      </c>
      <c r="CG239" s="85" t="e">
        <f t="shared" si="109"/>
        <v>#REF!</v>
      </c>
      <c r="CH239" s="73">
        <f>'[2]US EIA'!$R376+AW239</f>
        <v>7076.5833333333312</v>
      </c>
    </row>
    <row r="240" spans="1:86" ht="13.5" x14ac:dyDescent="0.25">
      <c r="A240" s="59">
        <v>47453</v>
      </c>
      <c r="B240" s="74">
        <f t="shared" si="119"/>
        <v>690</v>
      </c>
      <c r="C240" s="74">
        <v>47</v>
      </c>
      <c r="D240" s="74">
        <f t="shared" si="108"/>
        <v>3</v>
      </c>
      <c r="E240" s="74">
        <f t="shared" si="123"/>
        <v>85</v>
      </c>
      <c r="F240" s="74">
        <f t="shared" si="91"/>
        <v>340</v>
      </c>
      <c r="G240" s="74">
        <f t="shared" si="107"/>
        <v>37.5</v>
      </c>
      <c r="H240" s="74">
        <f t="shared" si="140"/>
        <v>190</v>
      </c>
      <c r="I240" s="74">
        <f t="shared" si="122"/>
        <v>250</v>
      </c>
      <c r="J240" s="74">
        <f t="shared" si="114"/>
        <v>153.30000000000001</v>
      </c>
      <c r="K240" s="74">
        <f t="shared" si="126"/>
        <v>125</v>
      </c>
      <c r="L240" s="74">
        <v>125</v>
      </c>
      <c r="M240" s="74">
        <v>730</v>
      </c>
      <c r="N240" s="74">
        <f t="shared" si="102"/>
        <v>180</v>
      </c>
      <c r="O240" s="74">
        <v>375</v>
      </c>
      <c r="P240" s="74">
        <f t="shared" si="135"/>
        <v>50</v>
      </c>
      <c r="Q240" s="74">
        <f t="shared" si="136"/>
        <v>21</v>
      </c>
      <c r="R240" s="74">
        <v>100</v>
      </c>
      <c r="S240" s="74">
        <f t="shared" si="142"/>
        <v>60</v>
      </c>
      <c r="T240" s="74">
        <f t="shared" si="130"/>
        <v>36</v>
      </c>
      <c r="U240" s="74"/>
      <c r="V240" s="74">
        <f t="shared" si="99"/>
        <v>0</v>
      </c>
      <c r="W240" s="74">
        <f t="shared" si="137"/>
        <v>20</v>
      </c>
      <c r="X240" s="74">
        <f t="shared" si="116"/>
        <v>0</v>
      </c>
      <c r="Y240" s="74">
        <f t="shared" si="132"/>
        <v>3.5</v>
      </c>
      <c r="Z240" s="74">
        <f t="shared" si="124"/>
        <v>172.5</v>
      </c>
      <c r="AA240" s="74">
        <f t="shared" si="131"/>
        <v>306</v>
      </c>
      <c r="AB240" s="74">
        <f t="shared" ref="AB240:AB303" si="144">$AB$5*$AB$12</f>
        <v>60</v>
      </c>
      <c r="AC240" s="74">
        <f t="shared" si="95"/>
        <v>1.6</v>
      </c>
      <c r="AD240" s="74">
        <f t="shared" si="139"/>
        <v>180</v>
      </c>
      <c r="AE240" s="74">
        <f t="shared" si="143"/>
        <v>1.1000000000000001</v>
      </c>
      <c r="AF240" s="74">
        <f t="shared" si="90"/>
        <v>275</v>
      </c>
      <c r="AG240" s="74">
        <f t="shared" si="97"/>
        <v>18</v>
      </c>
      <c r="AH240" s="74">
        <f t="shared" si="88"/>
        <v>3</v>
      </c>
      <c r="AI240" s="74">
        <f t="shared" si="138"/>
        <v>47</v>
      </c>
      <c r="AJ240" s="74">
        <f t="shared" si="105"/>
        <v>90</v>
      </c>
      <c r="AK240" s="74">
        <f t="shared" si="111"/>
        <v>14</v>
      </c>
      <c r="AL240" s="74">
        <f t="shared" si="106"/>
        <v>45</v>
      </c>
      <c r="AM240" s="74">
        <v>46</v>
      </c>
      <c r="AN240" s="74">
        <f t="shared" si="112"/>
        <v>0.75</v>
      </c>
      <c r="AO240" s="74">
        <f t="shared" si="125"/>
        <v>19</v>
      </c>
      <c r="AP240" s="74">
        <f t="shared" si="125"/>
        <v>19</v>
      </c>
      <c r="AQ240" s="74">
        <f t="shared" si="115"/>
        <v>5</v>
      </c>
      <c r="AR240" s="74">
        <f t="shared" si="101"/>
        <v>120</v>
      </c>
      <c r="AS240" s="74">
        <f t="shared" si="103"/>
        <v>120</v>
      </c>
      <c r="AT240" s="74">
        <f t="shared" si="96"/>
        <v>55</v>
      </c>
      <c r="AU240" s="74"/>
      <c r="AV240" s="74"/>
      <c r="AW240" s="74">
        <f t="shared" si="133"/>
        <v>5219.2500000000009</v>
      </c>
      <c r="AX240" s="83">
        <f t="shared" si="98"/>
        <v>5370.9449999999988</v>
      </c>
      <c r="AY240" s="62">
        <f>'[1]D4 Gallon Forecast'!$U160/1000000</f>
        <v>0</v>
      </c>
      <c r="AZ240" s="62">
        <f>'[1]D4 Gallon Forecast'!$U192/1000000</f>
        <v>361.13253694598006</v>
      </c>
      <c r="BA240" s="62">
        <f t="shared" si="92"/>
        <v>361.13253694598006</v>
      </c>
      <c r="BB240" s="62">
        <f>'[1]D4 Gallon Forecast'!$U176/1000000</f>
        <v>0</v>
      </c>
      <c r="BC240" s="63">
        <f>'[1]D4 Gallon Forecast'!$U352/1000000</f>
        <v>196.39421384245372</v>
      </c>
      <c r="BD240" s="64">
        <f>'[1]D4 Gallon Forecast'!$U368/1000000</f>
        <v>0</v>
      </c>
      <c r="BE240" s="64">
        <f t="shared" si="94"/>
        <v>196.39421384245372</v>
      </c>
      <c r="BF240" s="76">
        <f t="shared" si="117"/>
        <v>557.52675078843379</v>
      </c>
      <c r="BG240" s="77">
        <f t="shared" si="121"/>
        <v>1.2629513306490034</v>
      </c>
      <c r="BH240" s="77">
        <f>AVERAGE(BG229:BG240)</f>
        <v>0.97133115742626419</v>
      </c>
      <c r="BI240" s="75">
        <f t="shared" si="134"/>
        <v>4645.4000000000005</v>
      </c>
      <c r="BJ240" s="75">
        <f t="shared" si="113"/>
        <v>725.54499999999825</v>
      </c>
      <c r="BK240" s="75">
        <f>'RD Feedstock Breakdown'!ES231</f>
        <v>5608.6581419270406</v>
      </c>
      <c r="BL240" s="78">
        <f t="shared" si="120"/>
        <v>10.059890640216784</v>
      </c>
      <c r="BM240" s="78">
        <f t="shared" si="118"/>
        <v>15.530747213635891</v>
      </c>
      <c r="BN240" s="60"/>
      <c r="BO240" s="60"/>
      <c r="BP240" s="60"/>
      <c r="BQ240" s="66">
        <f>'[1]D4 Gallon Forecast'!$U80/1000000</f>
        <v>156.67574289320015</v>
      </c>
      <c r="BR240" s="66">
        <f>'[1]D6 Gallon Forecast'!$U73/1000000</f>
        <v>0.71285035845453837</v>
      </c>
      <c r="BS240" s="66">
        <f t="shared" si="141"/>
        <v>157.3885932516547</v>
      </c>
      <c r="BT240" s="60"/>
      <c r="BU240" s="67">
        <f>'[2]US EIA'!$P377</f>
        <v>1054.095279558748</v>
      </c>
      <c r="BV240" s="68">
        <f t="shared" si="127"/>
        <v>6.697405814367464</v>
      </c>
      <c r="BW240" s="60"/>
      <c r="BX240" s="69">
        <f t="shared" si="128"/>
        <v>0.77985002760994149</v>
      </c>
      <c r="BY240" s="69">
        <f t="shared" si="129"/>
        <v>0.22014997239005857</v>
      </c>
      <c r="BZ240" s="60"/>
      <c r="CA240" s="60"/>
      <c r="CB240" s="84" t="e">
        <f>#REF!</f>
        <v>#REF!</v>
      </c>
      <c r="CC240" s="84" t="e">
        <f>#REF!</f>
        <v>#REF!</v>
      </c>
      <c r="CD240" s="84" t="e">
        <f t="shared" si="110"/>
        <v>#REF!</v>
      </c>
      <c r="CE240" s="60"/>
      <c r="CF240" s="84">
        <f>'RD Feedstock Breakdown'!GQ231*1000000</f>
        <v>1564355067.1197777</v>
      </c>
      <c r="CG240" s="85" t="e">
        <f t="shared" si="109"/>
        <v>#REF!</v>
      </c>
      <c r="CH240" s="73">
        <f>'[2]US EIA'!$R377+AW240</f>
        <v>7073.2499999999982</v>
      </c>
    </row>
    <row r="241" spans="1:86" ht="13.5" x14ac:dyDescent="0.25">
      <c r="A241" s="59">
        <v>47484</v>
      </c>
      <c r="B241" s="74">
        <f t="shared" si="119"/>
        <v>690</v>
      </c>
      <c r="C241" s="74">
        <v>47</v>
      </c>
      <c r="D241" s="74">
        <f t="shared" si="108"/>
        <v>3</v>
      </c>
      <c r="E241" s="74">
        <f t="shared" si="123"/>
        <v>85</v>
      </c>
      <c r="F241" s="74">
        <f t="shared" si="91"/>
        <v>340</v>
      </c>
      <c r="G241" s="74">
        <f t="shared" si="107"/>
        <v>37.5</v>
      </c>
      <c r="H241" s="74">
        <f t="shared" si="140"/>
        <v>190</v>
      </c>
      <c r="I241" s="74">
        <f t="shared" si="122"/>
        <v>250</v>
      </c>
      <c r="J241" s="74">
        <f t="shared" si="114"/>
        <v>153.30000000000001</v>
      </c>
      <c r="K241" s="74">
        <f t="shared" si="126"/>
        <v>125</v>
      </c>
      <c r="L241" s="74">
        <v>125</v>
      </c>
      <c r="M241" s="74">
        <v>730</v>
      </c>
      <c r="N241" s="74">
        <f t="shared" si="102"/>
        <v>180</v>
      </c>
      <c r="O241" s="74">
        <v>375</v>
      </c>
      <c r="P241" s="74">
        <f t="shared" si="135"/>
        <v>50</v>
      </c>
      <c r="Q241" s="74">
        <f t="shared" si="136"/>
        <v>21</v>
      </c>
      <c r="R241" s="74">
        <v>100</v>
      </c>
      <c r="S241" s="74">
        <f t="shared" si="142"/>
        <v>60</v>
      </c>
      <c r="T241" s="74">
        <f t="shared" si="130"/>
        <v>36</v>
      </c>
      <c r="U241" s="74"/>
      <c r="V241" s="74">
        <f t="shared" si="99"/>
        <v>0</v>
      </c>
      <c r="W241" s="74">
        <f t="shared" si="137"/>
        <v>20</v>
      </c>
      <c r="X241" s="74">
        <f t="shared" si="116"/>
        <v>0</v>
      </c>
      <c r="Y241" s="74">
        <f t="shared" si="132"/>
        <v>3.5</v>
      </c>
      <c r="Z241" s="74">
        <f t="shared" si="124"/>
        <v>172.5</v>
      </c>
      <c r="AA241" s="74">
        <f t="shared" si="131"/>
        <v>306</v>
      </c>
      <c r="AB241" s="74">
        <f t="shared" si="144"/>
        <v>60</v>
      </c>
      <c r="AC241" s="74">
        <f t="shared" si="95"/>
        <v>1.6</v>
      </c>
      <c r="AD241" s="74">
        <f t="shared" si="139"/>
        <v>180</v>
      </c>
      <c r="AE241" s="74">
        <f t="shared" si="143"/>
        <v>1.1000000000000001</v>
      </c>
      <c r="AF241" s="74">
        <f t="shared" si="90"/>
        <v>275</v>
      </c>
      <c r="AG241" s="74">
        <f t="shared" si="97"/>
        <v>18</v>
      </c>
      <c r="AH241" s="74">
        <f t="shared" ref="AH241:AH304" si="145">60*$AH$12</f>
        <v>3</v>
      </c>
      <c r="AI241" s="74">
        <f t="shared" si="138"/>
        <v>47</v>
      </c>
      <c r="AJ241" s="74">
        <f t="shared" si="105"/>
        <v>90</v>
      </c>
      <c r="AK241" s="74">
        <f t="shared" si="111"/>
        <v>14</v>
      </c>
      <c r="AL241" s="74">
        <f t="shared" si="106"/>
        <v>45</v>
      </c>
      <c r="AM241" s="74">
        <v>46</v>
      </c>
      <c r="AN241" s="74">
        <f t="shared" si="112"/>
        <v>0.75</v>
      </c>
      <c r="AO241" s="74">
        <f t="shared" si="125"/>
        <v>19</v>
      </c>
      <c r="AP241" s="74">
        <f t="shared" si="125"/>
        <v>19</v>
      </c>
      <c r="AQ241" s="74">
        <f t="shared" si="115"/>
        <v>5</v>
      </c>
      <c r="AR241" s="74">
        <f t="shared" si="101"/>
        <v>120</v>
      </c>
      <c r="AS241" s="74">
        <f t="shared" si="103"/>
        <v>120</v>
      </c>
      <c r="AT241" s="74">
        <f t="shared" si="96"/>
        <v>55</v>
      </c>
      <c r="AU241" s="74"/>
      <c r="AV241" s="74"/>
      <c r="AW241" s="74">
        <f t="shared" si="133"/>
        <v>5219.2500000000009</v>
      </c>
      <c r="AX241" s="83">
        <f t="shared" si="98"/>
        <v>5370.9449999999988</v>
      </c>
      <c r="AY241" s="62">
        <f>'[1]D4 Gallon Forecast'!$V149/1000000</f>
        <v>0</v>
      </c>
      <c r="AZ241" s="62">
        <f>'[1]D4 Gallon Forecast'!$V181/1000000</f>
        <v>197.48580188694481</v>
      </c>
      <c r="BA241" s="62">
        <f t="shared" si="92"/>
        <v>197.48580188694481</v>
      </c>
      <c r="BB241" s="62">
        <f>'[1]D4 Gallon Forecast'!$V165/1000000</f>
        <v>0</v>
      </c>
      <c r="BC241" s="63">
        <f>'[1]D4 Gallon Forecast'!$V341/1000000</f>
        <v>159.26172544323626</v>
      </c>
      <c r="BD241" s="64">
        <f>'[1]D4 Gallon Forecast'!$V357/1000000</f>
        <v>0</v>
      </c>
      <c r="BE241" s="64">
        <f t="shared" si="94"/>
        <v>159.26172544323626</v>
      </c>
      <c r="BF241" s="76">
        <f t="shared" si="117"/>
        <v>356.74752733018107</v>
      </c>
      <c r="BG241" s="77">
        <f t="shared" si="121"/>
        <v>0.78206245543271591</v>
      </c>
      <c r="BH241" s="60"/>
      <c r="BI241" s="75">
        <f t="shared" si="134"/>
        <v>4645.4000000000005</v>
      </c>
      <c r="BJ241" s="75">
        <f t="shared" si="113"/>
        <v>725.54499999999825</v>
      </c>
      <c r="BK241" s="75">
        <f>'RD Feedstock Breakdown'!ES232</f>
        <v>2833.2602312742147</v>
      </c>
      <c r="BL241" s="78">
        <f t="shared" si="120"/>
        <v>7.941919744973994</v>
      </c>
      <c r="BM241" s="78">
        <f t="shared" si="118"/>
        <v>14.34665279327867</v>
      </c>
      <c r="BN241" s="60"/>
      <c r="BO241" s="60"/>
      <c r="BP241" s="60"/>
      <c r="BQ241" s="66">
        <f>'[1]D4 Gallon Forecast'!$V69/1000000</f>
        <v>79.639224581323091</v>
      </c>
      <c r="BR241" s="66">
        <f>'[1]D6 Gallon Forecast'!$V62/1000000</f>
        <v>0</v>
      </c>
      <c r="BS241" s="66">
        <f t="shared" si="141"/>
        <v>79.639224581323091</v>
      </c>
      <c r="BT241" s="60"/>
      <c r="BU241" s="67">
        <f>'[2]US EIA'!$P378</f>
        <v>747.84257868445866</v>
      </c>
      <c r="BV241" s="68">
        <f t="shared" si="127"/>
        <v>9.3903799618340571</v>
      </c>
      <c r="BW241" s="60"/>
      <c r="BX241" s="69">
        <f t="shared" si="128"/>
        <v>0.81750311109931839</v>
      </c>
      <c r="BY241" s="69">
        <f t="shared" si="129"/>
        <v>0.18249688890068161</v>
      </c>
      <c r="BZ241" s="60"/>
      <c r="CA241" s="60"/>
      <c r="CB241" s="84" t="e">
        <f>#REF!</f>
        <v>#REF!</v>
      </c>
      <c r="CC241" s="84" t="e">
        <f>#REF!</f>
        <v>#REF!</v>
      </c>
      <c r="CD241" s="84" t="e">
        <f t="shared" si="110"/>
        <v>#REF!</v>
      </c>
      <c r="CE241" s="60"/>
      <c r="CF241" s="84">
        <f>'RD Feedstock Breakdown'!GQ232*1000000</f>
        <v>1264843841.9162655</v>
      </c>
      <c r="CG241" s="85" t="e">
        <f t="shared" si="109"/>
        <v>#REF!</v>
      </c>
      <c r="CH241" s="73">
        <f>'[2]US EIA'!$R378+AW241</f>
        <v>7069.9166666666642</v>
      </c>
    </row>
    <row r="242" spans="1:86" ht="13.5" x14ac:dyDescent="0.25">
      <c r="A242" s="59">
        <v>47515</v>
      </c>
      <c r="B242" s="74">
        <f t="shared" si="119"/>
        <v>690</v>
      </c>
      <c r="C242" s="74">
        <v>47</v>
      </c>
      <c r="D242" s="74">
        <f t="shared" si="108"/>
        <v>3</v>
      </c>
      <c r="E242" s="74">
        <f t="shared" si="123"/>
        <v>85</v>
      </c>
      <c r="F242" s="74">
        <f t="shared" si="91"/>
        <v>340</v>
      </c>
      <c r="G242" s="74">
        <f t="shared" si="107"/>
        <v>37.5</v>
      </c>
      <c r="H242" s="74">
        <f t="shared" si="140"/>
        <v>190</v>
      </c>
      <c r="I242" s="74">
        <f t="shared" si="122"/>
        <v>250</v>
      </c>
      <c r="J242" s="74">
        <f t="shared" si="114"/>
        <v>153.30000000000001</v>
      </c>
      <c r="K242" s="74">
        <f t="shared" si="126"/>
        <v>125</v>
      </c>
      <c r="L242" s="74">
        <v>125</v>
      </c>
      <c r="M242" s="74">
        <v>730</v>
      </c>
      <c r="N242" s="74">
        <f t="shared" si="102"/>
        <v>180</v>
      </c>
      <c r="O242" s="74">
        <v>375</v>
      </c>
      <c r="P242" s="74">
        <f t="shared" si="135"/>
        <v>50</v>
      </c>
      <c r="Q242" s="74">
        <f t="shared" si="136"/>
        <v>21</v>
      </c>
      <c r="R242" s="74">
        <v>100</v>
      </c>
      <c r="S242" s="74">
        <f t="shared" si="142"/>
        <v>60</v>
      </c>
      <c r="T242" s="74">
        <f t="shared" si="130"/>
        <v>36</v>
      </c>
      <c r="U242" s="74"/>
      <c r="V242" s="74">
        <f t="shared" si="99"/>
        <v>0</v>
      </c>
      <c r="W242" s="74">
        <f t="shared" si="137"/>
        <v>20</v>
      </c>
      <c r="X242" s="74">
        <f t="shared" si="116"/>
        <v>0</v>
      </c>
      <c r="Y242" s="74">
        <f t="shared" si="132"/>
        <v>3.5</v>
      </c>
      <c r="Z242" s="74">
        <f t="shared" si="124"/>
        <v>172.5</v>
      </c>
      <c r="AA242" s="74">
        <f t="shared" si="131"/>
        <v>306</v>
      </c>
      <c r="AB242" s="74">
        <f t="shared" si="144"/>
        <v>60</v>
      </c>
      <c r="AC242" s="74">
        <f t="shared" si="95"/>
        <v>1.6</v>
      </c>
      <c r="AD242" s="74">
        <f t="shared" si="139"/>
        <v>180</v>
      </c>
      <c r="AE242" s="74">
        <f t="shared" si="143"/>
        <v>1.1000000000000001</v>
      </c>
      <c r="AF242" s="74">
        <f t="shared" si="90"/>
        <v>275</v>
      </c>
      <c r="AG242" s="74">
        <f t="shared" si="97"/>
        <v>18</v>
      </c>
      <c r="AH242" s="74">
        <f t="shared" si="145"/>
        <v>3</v>
      </c>
      <c r="AI242" s="74">
        <f t="shared" si="138"/>
        <v>47</v>
      </c>
      <c r="AJ242" s="74">
        <f t="shared" si="105"/>
        <v>90</v>
      </c>
      <c r="AK242" s="74">
        <f t="shared" si="111"/>
        <v>14</v>
      </c>
      <c r="AL242" s="74">
        <f t="shared" si="106"/>
        <v>45</v>
      </c>
      <c r="AM242" s="74">
        <v>46</v>
      </c>
      <c r="AN242" s="74">
        <f t="shared" si="112"/>
        <v>0.75</v>
      </c>
      <c r="AO242" s="74">
        <f t="shared" si="125"/>
        <v>19</v>
      </c>
      <c r="AP242" s="74">
        <f t="shared" si="125"/>
        <v>19</v>
      </c>
      <c r="AQ242" s="74">
        <f t="shared" si="115"/>
        <v>5</v>
      </c>
      <c r="AR242" s="74">
        <f t="shared" si="101"/>
        <v>120</v>
      </c>
      <c r="AS242" s="74">
        <f t="shared" si="103"/>
        <v>120</v>
      </c>
      <c r="AT242" s="74">
        <f t="shared" si="96"/>
        <v>55</v>
      </c>
      <c r="AU242" s="74"/>
      <c r="AV242" s="74"/>
      <c r="AW242" s="74">
        <f t="shared" si="133"/>
        <v>5219.2500000000009</v>
      </c>
      <c r="AX242" s="83">
        <f t="shared" ref="AX242:AX305" si="146">AX241+AW242-AW241</f>
        <v>5370.9449999999988</v>
      </c>
      <c r="AY242" s="62">
        <f>'[1]D4 Gallon Forecast'!$V150/1000000</f>
        <v>0</v>
      </c>
      <c r="AZ242" s="62">
        <f>'[1]D4 Gallon Forecast'!$V182/1000000</f>
        <v>217.76789545563466</v>
      </c>
      <c r="BA242" s="62">
        <f t="shared" si="92"/>
        <v>217.76789545563466</v>
      </c>
      <c r="BB242" s="62">
        <f>'[1]D4 Gallon Forecast'!$V166/1000000</f>
        <v>0</v>
      </c>
      <c r="BC242" s="63">
        <f>'[1]D4 Gallon Forecast'!$V342/1000000</f>
        <v>302.17166315545495</v>
      </c>
      <c r="BD242" s="64">
        <f>'[1]D4 Gallon Forecast'!$V358/1000000</f>
        <v>0</v>
      </c>
      <c r="BE242" s="64">
        <f t="shared" si="94"/>
        <v>302.17166315545495</v>
      </c>
      <c r="BF242" s="76">
        <f t="shared" si="117"/>
        <v>519.93955861108964</v>
      </c>
      <c r="BG242" s="77">
        <f t="shared" si="121"/>
        <v>1.1398122670312072</v>
      </c>
      <c r="BH242" s="60"/>
      <c r="BI242" s="75">
        <f t="shared" si="134"/>
        <v>4645.4000000000005</v>
      </c>
      <c r="BJ242" s="75">
        <f t="shared" si="113"/>
        <v>725.54499999999825</v>
      </c>
      <c r="BK242" s="75">
        <f>'RD Feedstock Breakdown'!ES233</f>
        <v>4721.0016248259499</v>
      </c>
      <c r="BL242" s="78">
        <f t="shared" si="120"/>
        <v>9.0799046670676944</v>
      </c>
      <c r="BM242" s="78">
        <f t="shared" si="118"/>
        <v>21.679052437680138</v>
      </c>
      <c r="BN242" s="60"/>
      <c r="BO242" s="60"/>
      <c r="BP242" s="60"/>
      <c r="BQ242" s="66">
        <f>'[1]D4 Gallon Forecast'!$V70/1000000</f>
        <v>85.185989865512084</v>
      </c>
      <c r="BR242" s="66">
        <f>'[1]D6 Gallon Forecast'!$V63/1000000</f>
        <v>0</v>
      </c>
      <c r="BS242" s="66">
        <f t="shared" si="141"/>
        <v>85.185989865512084</v>
      </c>
      <c r="BT242" s="60"/>
      <c r="BU242" s="67">
        <f>'[2]US EIA'!$P379</f>
        <v>694.16496157689619</v>
      </c>
      <c r="BV242" s="68">
        <f t="shared" si="127"/>
        <v>8.1488160514752899</v>
      </c>
      <c r="BW242" s="60"/>
      <c r="BX242" s="69">
        <f t="shared" si="128"/>
        <v>0.8592259241409208</v>
      </c>
      <c r="BY242" s="69">
        <f t="shared" si="129"/>
        <v>0.14077407585907928</v>
      </c>
      <c r="BZ242" s="60"/>
      <c r="CA242" s="60"/>
      <c r="CB242" s="84" t="e">
        <f>#REF!</f>
        <v>#REF!</v>
      </c>
      <c r="CC242" s="84" t="e">
        <f>#REF!</f>
        <v>#REF!</v>
      </c>
      <c r="CD242" s="84" t="e">
        <f t="shared" si="110"/>
        <v>#REF!</v>
      </c>
      <c r="CE242" s="60"/>
      <c r="CF242" s="84">
        <f>'RD Feedstock Breakdown'!GQ233*1000000</f>
        <v>2407141924.9479818</v>
      </c>
      <c r="CG242" s="85" t="e">
        <f t="shared" si="109"/>
        <v>#REF!</v>
      </c>
      <c r="CH242" s="73">
        <f>'[2]US EIA'!$R379+AW242</f>
        <v>7069.9166666666642</v>
      </c>
    </row>
    <row r="243" spans="1:86" ht="13.5" x14ac:dyDescent="0.25">
      <c r="A243" s="59">
        <v>47543</v>
      </c>
      <c r="B243" s="74">
        <f t="shared" si="119"/>
        <v>690</v>
      </c>
      <c r="C243" s="74">
        <v>47</v>
      </c>
      <c r="D243" s="74">
        <f t="shared" si="108"/>
        <v>3</v>
      </c>
      <c r="E243" s="74">
        <f t="shared" si="123"/>
        <v>85</v>
      </c>
      <c r="F243" s="74">
        <f t="shared" si="91"/>
        <v>340</v>
      </c>
      <c r="G243" s="74">
        <f t="shared" si="107"/>
        <v>37.5</v>
      </c>
      <c r="H243" s="74">
        <f t="shared" si="140"/>
        <v>190</v>
      </c>
      <c r="I243" s="74">
        <f t="shared" si="122"/>
        <v>250</v>
      </c>
      <c r="J243" s="74">
        <f t="shared" si="114"/>
        <v>153.30000000000001</v>
      </c>
      <c r="K243" s="74">
        <f t="shared" si="126"/>
        <v>125</v>
      </c>
      <c r="L243" s="74">
        <v>125</v>
      </c>
      <c r="M243" s="74">
        <v>730</v>
      </c>
      <c r="N243" s="74">
        <f t="shared" si="102"/>
        <v>180</v>
      </c>
      <c r="O243" s="74">
        <v>375</v>
      </c>
      <c r="P243" s="74">
        <f t="shared" si="135"/>
        <v>50</v>
      </c>
      <c r="Q243" s="74">
        <f t="shared" si="136"/>
        <v>21</v>
      </c>
      <c r="R243" s="74">
        <v>100</v>
      </c>
      <c r="S243" s="74">
        <f t="shared" si="142"/>
        <v>60</v>
      </c>
      <c r="T243" s="74">
        <f t="shared" si="130"/>
        <v>36</v>
      </c>
      <c r="U243" s="74"/>
      <c r="V243" s="74">
        <f t="shared" si="99"/>
        <v>0</v>
      </c>
      <c r="W243" s="74">
        <f t="shared" si="137"/>
        <v>20</v>
      </c>
      <c r="X243" s="74">
        <f t="shared" si="116"/>
        <v>0</v>
      </c>
      <c r="Y243" s="74">
        <f t="shared" si="132"/>
        <v>3.5</v>
      </c>
      <c r="Z243" s="74">
        <f t="shared" si="124"/>
        <v>172.5</v>
      </c>
      <c r="AA243" s="74">
        <f t="shared" si="131"/>
        <v>306</v>
      </c>
      <c r="AB243" s="74">
        <f t="shared" si="144"/>
        <v>60</v>
      </c>
      <c r="AC243" s="74">
        <f t="shared" si="95"/>
        <v>1.6</v>
      </c>
      <c r="AD243" s="74">
        <f t="shared" si="139"/>
        <v>180</v>
      </c>
      <c r="AE243" s="74">
        <f t="shared" si="143"/>
        <v>1.1000000000000001</v>
      </c>
      <c r="AF243" s="74">
        <f t="shared" ref="AF243:AF306" si="147">90*$AF$12+(185*$AF$12)</f>
        <v>275</v>
      </c>
      <c r="AG243" s="74">
        <f t="shared" si="97"/>
        <v>18</v>
      </c>
      <c r="AH243" s="74">
        <f t="shared" si="145"/>
        <v>3</v>
      </c>
      <c r="AI243" s="74">
        <f t="shared" si="138"/>
        <v>47</v>
      </c>
      <c r="AJ243" s="74">
        <f t="shared" si="105"/>
        <v>90</v>
      </c>
      <c r="AK243" s="74">
        <f t="shared" si="111"/>
        <v>14</v>
      </c>
      <c r="AL243" s="74">
        <f t="shared" si="106"/>
        <v>45</v>
      </c>
      <c r="AM243" s="74">
        <v>46</v>
      </c>
      <c r="AN243" s="74">
        <f t="shared" si="112"/>
        <v>0.75</v>
      </c>
      <c r="AO243" s="74">
        <f t="shared" si="125"/>
        <v>19</v>
      </c>
      <c r="AP243" s="74">
        <f t="shared" si="125"/>
        <v>19</v>
      </c>
      <c r="AQ243" s="74">
        <f t="shared" si="115"/>
        <v>5</v>
      </c>
      <c r="AR243" s="74">
        <f t="shared" si="101"/>
        <v>120</v>
      </c>
      <c r="AS243" s="74">
        <f t="shared" si="103"/>
        <v>120</v>
      </c>
      <c r="AT243" s="74">
        <f t="shared" si="96"/>
        <v>55</v>
      </c>
      <c r="AU243" s="74"/>
      <c r="AV243" s="74"/>
      <c r="AW243" s="74">
        <f t="shared" si="133"/>
        <v>5219.2500000000009</v>
      </c>
      <c r="AX243" s="83">
        <f t="shared" si="146"/>
        <v>5370.9449999999988</v>
      </c>
      <c r="AY243" s="62">
        <f>'[1]D4 Gallon Forecast'!$V151/1000000</f>
        <v>0</v>
      </c>
      <c r="AZ243" s="62">
        <f>'[1]D4 Gallon Forecast'!$V183/1000000</f>
        <v>229.36594965422307</v>
      </c>
      <c r="BA243" s="62">
        <f t="shared" si="92"/>
        <v>229.36594965422307</v>
      </c>
      <c r="BB243" s="62">
        <f>'[1]D4 Gallon Forecast'!$V167/1000000</f>
        <v>0</v>
      </c>
      <c r="BC243" s="63">
        <f>'[1]D4 Gallon Forecast'!$V343/1000000</f>
        <v>119.9473980919919</v>
      </c>
      <c r="BD243" s="64">
        <f>'[1]D4 Gallon Forecast'!$V359/1000000</f>
        <v>0</v>
      </c>
      <c r="BE243" s="64">
        <f t="shared" si="94"/>
        <v>119.9473980919919</v>
      </c>
      <c r="BF243" s="76">
        <f t="shared" si="117"/>
        <v>349.31334774621496</v>
      </c>
      <c r="BG243" s="77">
        <f t="shared" si="121"/>
        <v>0.84781151127148346</v>
      </c>
      <c r="BH243" s="60"/>
      <c r="BI243" s="75">
        <f t="shared" si="134"/>
        <v>4645.4000000000005</v>
      </c>
      <c r="BJ243" s="75">
        <f t="shared" si="113"/>
        <v>725.54499999999825</v>
      </c>
      <c r="BK243" s="75">
        <f>'RD Feedstock Breakdown'!ES234</f>
        <v>2782.9681171520801</v>
      </c>
      <c r="BL243" s="78">
        <f t="shared" si="120"/>
        <v>7.9669675811357124</v>
      </c>
      <c r="BM243" s="78">
        <f t="shared" si="118"/>
        <v>12.133309766979357</v>
      </c>
      <c r="BN243" s="60"/>
      <c r="BO243" s="60"/>
      <c r="BP243" s="60"/>
      <c r="BQ243" s="66">
        <f>'[1]D4 Gallon Forecast'!$V71/1000000</f>
        <v>98.786236673304529</v>
      </c>
      <c r="BR243" s="66">
        <f>'[1]D6 Gallon Forecast'!$V64/1000000</f>
        <v>2.0300000000000001E-3</v>
      </c>
      <c r="BS243" s="66">
        <f t="shared" si="141"/>
        <v>98.788266673304534</v>
      </c>
      <c r="BT243" s="60"/>
      <c r="BU243" s="67">
        <f>'[2]US EIA'!$P380</f>
        <v>779.84212977180141</v>
      </c>
      <c r="BV243" s="68">
        <f t="shared" si="127"/>
        <v>7.8940764529330227</v>
      </c>
      <c r="BW243" s="60"/>
      <c r="BX243" s="69">
        <f t="shared" si="128"/>
        <v>0.77954048034110079</v>
      </c>
      <c r="BY243" s="69">
        <f t="shared" si="129"/>
        <v>0.22045951965889923</v>
      </c>
      <c r="BZ243" s="60"/>
      <c r="CA243" s="60"/>
      <c r="CB243" s="84" t="e">
        <f>#REF!</f>
        <v>#REF!</v>
      </c>
      <c r="CC243" s="84" t="e">
        <f>#REF!</f>
        <v>#REF!</v>
      </c>
      <c r="CD243" s="84" t="e">
        <f t="shared" si="110"/>
        <v>#REF!</v>
      </c>
      <c r="CE243" s="60"/>
      <c r="CF243" s="84">
        <f>'RD Feedstock Breakdown'!GQ234*1000000</f>
        <v>955617032.04047918</v>
      </c>
      <c r="CG243" s="85" t="e">
        <f t="shared" si="109"/>
        <v>#REF!</v>
      </c>
      <c r="CH243" s="73">
        <f>'[2]US EIA'!$R380+AW243</f>
        <v>7069.9166666666642</v>
      </c>
    </row>
    <row r="244" spans="1:86" ht="13.5" x14ac:dyDescent="0.25">
      <c r="A244" s="59">
        <v>47574</v>
      </c>
      <c r="B244" s="74">
        <f t="shared" si="119"/>
        <v>690</v>
      </c>
      <c r="C244" s="74">
        <v>47</v>
      </c>
      <c r="D244" s="74">
        <f t="shared" si="108"/>
        <v>3</v>
      </c>
      <c r="E244" s="74">
        <f t="shared" si="123"/>
        <v>85</v>
      </c>
      <c r="F244" s="74">
        <f t="shared" si="91"/>
        <v>340</v>
      </c>
      <c r="G244" s="74">
        <f t="shared" si="107"/>
        <v>37.5</v>
      </c>
      <c r="H244" s="74">
        <f t="shared" si="140"/>
        <v>190</v>
      </c>
      <c r="I244" s="74">
        <f t="shared" si="122"/>
        <v>250</v>
      </c>
      <c r="J244" s="74">
        <f t="shared" si="114"/>
        <v>153.30000000000001</v>
      </c>
      <c r="K244" s="74">
        <f t="shared" si="126"/>
        <v>125</v>
      </c>
      <c r="L244" s="74">
        <v>125</v>
      </c>
      <c r="M244" s="74">
        <v>730</v>
      </c>
      <c r="N244" s="74">
        <f t="shared" si="102"/>
        <v>180</v>
      </c>
      <c r="O244" s="74">
        <v>375</v>
      </c>
      <c r="P244" s="74">
        <f t="shared" si="135"/>
        <v>50</v>
      </c>
      <c r="Q244" s="74">
        <f t="shared" si="136"/>
        <v>21</v>
      </c>
      <c r="R244" s="74">
        <v>100</v>
      </c>
      <c r="S244" s="74">
        <f t="shared" si="142"/>
        <v>60</v>
      </c>
      <c r="T244" s="74">
        <f t="shared" si="130"/>
        <v>36</v>
      </c>
      <c r="U244" s="74"/>
      <c r="V244" s="74">
        <f t="shared" si="99"/>
        <v>0</v>
      </c>
      <c r="W244" s="74">
        <f t="shared" si="137"/>
        <v>20</v>
      </c>
      <c r="X244" s="74">
        <f t="shared" si="116"/>
        <v>0</v>
      </c>
      <c r="Y244" s="74">
        <f t="shared" si="132"/>
        <v>3.5</v>
      </c>
      <c r="Z244" s="74">
        <f t="shared" si="124"/>
        <v>172.5</v>
      </c>
      <c r="AA244" s="74">
        <f t="shared" si="131"/>
        <v>306</v>
      </c>
      <c r="AB244" s="74">
        <f t="shared" si="144"/>
        <v>60</v>
      </c>
      <c r="AC244" s="74">
        <f t="shared" si="95"/>
        <v>1.6</v>
      </c>
      <c r="AD244" s="74">
        <f t="shared" si="139"/>
        <v>180</v>
      </c>
      <c r="AE244" s="74">
        <f t="shared" si="143"/>
        <v>1.1000000000000001</v>
      </c>
      <c r="AF244" s="74">
        <f t="shared" si="147"/>
        <v>275</v>
      </c>
      <c r="AG244" s="74">
        <f t="shared" si="97"/>
        <v>18</v>
      </c>
      <c r="AH244" s="74">
        <f t="shared" si="145"/>
        <v>3</v>
      </c>
      <c r="AI244" s="74">
        <f t="shared" si="138"/>
        <v>47</v>
      </c>
      <c r="AJ244" s="74">
        <f t="shared" si="105"/>
        <v>90</v>
      </c>
      <c r="AK244" s="74">
        <f t="shared" si="111"/>
        <v>14</v>
      </c>
      <c r="AL244" s="74">
        <f t="shared" si="106"/>
        <v>45</v>
      </c>
      <c r="AM244" s="74">
        <v>46</v>
      </c>
      <c r="AN244" s="74">
        <f t="shared" si="112"/>
        <v>0.75</v>
      </c>
      <c r="AO244" s="74">
        <f t="shared" si="125"/>
        <v>19</v>
      </c>
      <c r="AP244" s="74">
        <f t="shared" si="125"/>
        <v>19</v>
      </c>
      <c r="AQ244" s="74">
        <f t="shared" si="115"/>
        <v>5</v>
      </c>
      <c r="AR244" s="74">
        <f t="shared" si="101"/>
        <v>120</v>
      </c>
      <c r="AS244" s="74">
        <f t="shared" si="103"/>
        <v>120</v>
      </c>
      <c r="AT244" s="74">
        <f t="shared" si="96"/>
        <v>55</v>
      </c>
      <c r="AU244" s="74"/>
      <c r="AV244" s="74"/>
      <c r="AW244" s="74">
        <f t="shared" si="133"/>
        <v>5219.2500000000009</v>
      </c>
      <c r="AX244" s="83">
        <f t="shared" si="146"/>
        <v>5370.9449999999988</v>
      </c>
      <c r="AY244" s="62">
        <f>'[1]D4 Gallon Forecast'!$V152/1000000</f>
        <v>0</v>
      </c>
      <c r="AZ244" s="62">
        <f>'[1]D4 Gallon Forecast'!$V184/1000000</f>
        <v>222.70303917870484</v>
      </c>
      <c r="BA244" s="62">
        <f t="shared" si="92"/>
        <v>222.70303917870484</v>
      </c>
      <c r="BB244" s="62">
        <f>'[1]D4 Gallon Forecast'!$V168/1000000</f>
        <v>0</v>
      </c>
      <c r="BC244" s="63">
        <f>'[1]D4 Gallon Forecast'!$V344/1000000</f>
        <v>193.05989522712349</v>
      </c>
      <c r="BD244" s="64">
        <f>'[1]D4 Gallon Forecast'!$V360/1000000</f>
        <v>0</v>
      </c>
      <c r="BE244" s="64">
        <f t="shared" si="94"/>
        <v>193.05989522712349</v>
      </c>
      <c r="BF244" s="76">
        <f t="shared" si="117"/>
        <v>415.76293440582833</v>
      </c>
      <c r="BG244" s="77">
        <f t="shared" si="121"/>
        <v>0.91143611784138423</v>
      </c>
      <c r="BH244" s="60"/>
      <c r="BI244" s="75">
        <f t="shared" si="134"/>
        <v>4645.4000000000005</v>
      </c>
      <c r="BJ244" s="75">
        <f t="shared" si="113"/>
        <v>725.54499999999825</v>
      </c>
      <c r="BK244" s="75">
        <f>'RD Feedstock Breakdown'!ES235</f>
        <v>3312.3698198490888</v>
      </c>
      <c r="BL244" s="78">
        <f t="shared" si="120"/>
        <v>7.9669675811357141</v>
      </c>
      <c r="BM244" s="78">
        <f t="shared" si="118"/>
        <v>14.873482787054044</v>
      </c>
      <c r="BN244" s="60"/>
      <c r="BO244" s="60"/>
      <c r="BP244" s="60"/>
      <c r="BQ244" s="66">
        <f>'[1]D4 Gallon Forecast'!$V72/1000000</f>
        <v>113.21995976514225</v>
      </c>
      <c r="BR244" s="66">
        <f>'[1]D6 Gallon Forecast'!$V65/1000000</f>
        <v>0.56232384028202365</v>
      </c>
      <c r="BS244" s="66">
        <f t="shared" si="141"/>
        <v>113.78228360542427</v>
      </c>
      <c r="BT244" s="60"/>
      <c r="BU244" s="67">
        <f>'[2]US EIA'!$P381</f>
        <v>870.48583361502062</v>
      </c>
      <c r="BV244" s="68">
        <f t="shared" si="127"/>
        <v>7.6504514238236165</v>
      </c>
      <c r="BW244" s="60"/>
      <c r="BX244" s="69">
        <f t="shared" si="128"/>
        <v>0.78513207232284654</v>
      </c>
      <c r="BY244" s="69">
        <f t="shared" si="129"/>
        <v>0.21486792767715343</v>
      </c>
      <c r="BZ244" s="60"/>
      <c r="CA244" s="60"/>
      <c r="CB244" s="84" t="e">
        <f>#REF!</f>
        <v>#REF!</v>
      </c>
      <c r="CC244" s="84" t="e">
        <f>#REF!</f>
        <v>#REF!</v>
      </c>
      <c r="CD244" s="84" t="e">
        <f t="shared" si="110"/>
        <v>#REF!</v>
      </c>
      <c r="CE244" s="60"/>
      <c r="CF244" s="84">
        <f>'RD Feedstock Breakdown'!GQ235*1000000</f>
        <v>1538101926.4919505</v>
      </c>
      <c r="CG244" s="85" t="e">
        <f t="shared" si="109"/>
        <v>#REF!</v>
      </c>
      <c r="CH244" s="73">
        <f>'[2]US EIA'!$R381+AW244</f>
        <v>7066.5833333333312</v>
      </c>
    </row>
    <row r="245" spans="1:86" ht="13.5" x14ac:dyDescent="0.25">
      <c r="A245" s="59">
        <v>47604</v>
      </c>
      <c r="B245" s="74">
        <f t="shared" si="119"/>
        <v>690</v>
      </c>
      <c r="C245" s="74">
        <v>47</v>
      </c>
      <c r="D245" s="74">
        <f t="shared" si="108"/>
        <v>3</v>
      </c>
      <c r="E245" s="74">
        <f t="shared" si="123"/>
        <v>85</v>
      </c>
      <c r="F245" s="74">
        <f t="shared" ref="F245:F308" si="148">90+(250*$F$12)</f>
        <v>340</v>
      </c>
      <c r="G245" s="74">
        <f t="shared" si="107"/>
        <v>37.5</v>
      </c>
      <c r="H245" s="74">
        <f t="shared" si="140"/>
        <v>190</v>
      </c>
      <c r="I245" s="74">
        <f t="shared" si="122"/>
        <v>250</v>
      </c>
      <c r="J245" s="74">
        <f t="shared" si="114"/>
        <v>153.30000000000001</v>
      </c>
      <c r="K245" s="74">
        <f t="shared" si="126"/>
        <v>125</v>
      </c>
      <c r="L245" s="74">
        <v>125</v>
      </c>
      <c r="M245" s="74">
        <v>730</v>
      </c>
      <c r="N245" s="74">
        <f t="shared" si="102"/>
        <v>180</v>
      </c>
      <c r="O245" s="74">
        <v>375</v>
      </c>
      <c r="P245" s="74">
        <f t="shared" si="135"/>
        <v>50</v>
      </c>
      <c r="Q245" s="74">
        <f t="shared" si="136"/>
        <v>21</v>
      </c>
      <c r="R245" s="74">
        <v>100</v>
      </c>
      <c r="S245" s="74">
        <f t="shared" si="142"/>
        <v>60</v>
      </c>
      <c r="T245" s="74">
        <f t="shared" si="130"/>
        <v>36</v>
      </c>
      <c r="U245" s="74"/>
      <c r="V245" s="74">
        <f t="shared" si="99"/>
        <v>0</v>
      </c>
      <c r="W245" s="74">
        <f t="shared" si="137"/>
        <v>20</v>
      </c>
      <c r="X245" s="74">
        <f t="shared" si="116"/>
        <v>0</v>
      </c>
      <c r="Y245" s="74">
        <f t="shared" si="132"/>
        <v>3.5</v>
      </c>
      <c r="Z245" s="74">
        <f t="shared" si="124"/>
        <v>172.5</v>
      </c>
      <c r="AA245" s="74">
        <f t="shared" si="131"/>
        <v>306</v>
      </c>
      <c r="AB245" s="74">
        <f t="shared" si="144"/>
        <v>60</v>
      </c>
      <c r="AC245" s="74">
        <f t="shared" si="95"/>
        <v>1.6</v>
      </c>
      <c r="AD245" s="74">
        <f t="shared" si="139"/>
        <v>180</v>
      </c>
      <c r="AE245" s="74">
        <f t="shared" si="143"/>
        <v>1.1000000000000001</v>
      </c>
      <c r="AF245" s="74">
        <f t="shared" si="147"/>
        <v>275</v>
      </c>
      <c r="AG245" s="74">
        <f t="shared" si="97"/>
        <v>18</v>
      </c>
      <c r="AH245" s="74">
        <f t="shared" si="145"/>
        <v>3</v>
      </c>
      <c r="AI245" s="74">
        <f t="shared" si="138"/>
        <v>47</v>
      </c>
      <c r="AJ245" s="74">
        <f t="shared" si="105"/>
        <v>90</v>
      </c>
      <c r="AK245" s="74">
        <f t="shared" si="111"/>
        <v>14</v>
      </c>
      <c r="AL245" s="74">
        <f t="shared" si="106"/>
        <v>45</v>
      </c>
      <c r="AM245" s="74">
        <v>46</v>
      </c>
      <c r="AN245" s="74">
        <f t="shared" si="112"/>
        <v>0.75</v>
      </c>
      <c r="AO245" s="74">
        <f t="shared" si="125"/>
        <v>19</v>
      </c>
      <c r="AP245" s="74">
        <f t="shared" si="125"/>
        <v>19</v>
      </c>
      <c r="AQ245" s="74">
        <f t="shared" si="115"/>
        <v>5</v>
      </c>
      <c r="AR245" s="74">
        <f t="shared" si="101"/>
        <v>120</v>
      </c>
      <c r="AS245" s="74">
        <f t="shared" si="103"/>
        <v>120</v>
      </c>
      <c r="AT245" s="74">
        <f t="shared" si="96"/>
        <v>55</v>
      </c>
      <c r="AU245" s="74"/>
      <c r="AV245" s="74"/>
      <c r="AW245" s="74">
        <f t="shared" si="133"/>
        <v>5219.2500000000009</v>
      </c>
      <c r="AX245" s="83">
        <f t="shared" si="146"/>
        <v>5370.9449999999988</v>
      </c>
      <c r="AY245" s="62">
        <f>'[1]D4 Gallon Forecast'!$V153/1000000</f>
        <v>0</v>
      </c>
      <c r="AZ245" s="62">
        <f>'[1]D4 Gallon Forecast'!$V185/1000000</f>
        <v>248.78041868350812</v>
      </c>
      <c r="BA245" s="62">
        <f t="shared" si="92"/>
        <v>248.78041868350812</v>
      </c>
      <c r="BB245" s="62">
        <f>'[1]D4 Gallon Forecast'!$V169/1000000</f>
        <v>0</v>
      </c>
      <c r="BC245" s="63">
        <f>'[1]D4 Gallon Forecast'!$V345/1000000</f>
        <v>254.12025094949621</v>
      </c>
      <c r="BD245" s="64">
        <f>'[1]D4 Gallon Forecast'!$V361/1000000</f>
        <v>0</v>
      </c>
      <c r="BE245" s="64">
        <f t="shared" si="94"/>
        <v>254.12025094949621</v>
      </c>
      <c r="BF245" s="76">
        <f t="shared" si="117"/>
        <v>502.90066963300433</v>
      </c>
      <c r="BG245" s="77">
        <f t="shared" si="121"/>
        <v>1.1392082424728276</v>
      </c>
      <c r="BH245" s="60"/>
      <c r="BI245" s="75">
        <f t="shared" si="134"/>
        <v>4645.4000000000005</v>
      </c>
      <c r="BJ245" s="75">
        <f t="shared" si="113"/>
        <v>725.54499999999825</v>
      </c>
      <c r="BK245" s="75">
        <f>'RD Feedstock Breakdown'!ES236</f>
        <v>4563.5153285069282</v>
      </c>
      <c r="BL245" s="78">
        <f t="shared" si="120"/>
        <v>9.0743870590532101</v>
      </c>
      <c r="BM245" s="78">
        <f t="shared" si="118"/>
        <v>18.34354710332935</v>
      </c>
      <c r="BN245" s="60"/>
      <c r="BO245" s="60"/>
      <c r="BP245" s="60"/>
      <c r="BQ245" s="66">
        <f>'[1]D4 Gallon Forecast'!$V73/1000000</f>
        <v>120.63821689668245</v>
      </c>
      <c r="BR245" s="66">
        <f>'[1]D6 Gallon Forecast'!$V66/1000000</f>
        <v>0.60037942659469024</v>
      </c>
      <c r="BS245" s="66">
        <f t="shared" si="141"/>
        <v>121.23859632327714</v>
      </c>
      <c r="BT245" s="60"/>
      <c r="BU245" s="67">
        <f>'[2]US EIA'!$P382</f>
        <v>925.63735558432495</v>
      </c>
      <c r="BV245" s="68">
        <f t="shared" si="127"/>
        <v>7.6348405842323972</v>
      </c>
      <c r="BW245" s="60"/>
      <c r="BX245" s="69">
        <f t="shared" si="128"/>
        <v>0.80575073074833692</v>
      </c>
      <c r="BY245" s="69">
        <f t="shared" si="129"/>
        <v>0.19424926925166319</v>
      </c>
      <c r="BZ245" s="60"/>
      <c r="CA245" s="60"/>
      <c r="CB245" s="84" t="e">
        <f>#REF!</f>
        <v>#REF!</v>
      </c>
      <c r="CC245" s="84" t="e">
        <f>#REF!</f>
        <v>#REF!</v>
      </c>
      <c r="CD245" s="84" t="e">
        <f t="shared" si="110"/>
        <v>#REF!</v>
      </c>
      <c r="CE245" s="60"/>
      <c r="CF245" s="84">
        <f>'RD Feedstock Breakdown'!GQ236*1000000</f>
        <v>2024200168.754015</v>
      </c>
      <c r="CG245" s="85" t="e">
        <f t="shared" si="109"/>
        <v>#REF!</v>
      </c>
      <c r="CH245" s="73">
        <f>'[2]US EIA'!$R382+AW245</f>
        <v>7066.5833333333312</v>
      </c>
    </row>
    <row r="246" spans="1:86" ht="13.5" x14ac:dyDescent="0.25">
      <c r="A246" s="59">
        <v>47635</v>
      </c>
      <c r="B246" s="74">
        <f t="shared" si="119"/>
        <v>690</v>
      </c>
      <c r="C246" s="74">
        <v>47</v>
      </c>
      <c r="D246" s="74">
        <f t="shared" si="108"/>
        <v>3</v>
      </c>
      <c r="E246" s="74">
        <f t="shared" si="123"/>
        <v>85</v>
      </c>
      <c r="F246" s="74">
        <f t="shared" si="148"/>
        <v>340</v>
      </c>
      <c r="G246" s="74">
        <f t="shared" si="107"/>
        <v>37.5</v>
      </c>
      <c r="H246" s="74">
        <f t="shared" si="140"/>
        <v>190</v>
      </c>
      <c r="I246" s="74">
        <f t="shared" si="122"/>
        <v>250</v>
      </c>
      <c r="J246" s="74">
        <f t="shared" si="114"/>
        <v>153.30000000000001</v>
      </c>
      <c r="K246" s="74">
        <f t="shared" si="126"/>
        <v>125</v>
      </c>
      <c r="L246" s="74">
        <v>125</v>
      </c>
      <c r="M246" s="74">
        <v>730</v>
      </c>
      <c r="N246" s="74">
        <f t="shared" si="102"/>
        <v>180</v>
      </c>
      <c r="O246" s="74">
        <v>375</v>
      </c>
      <c r="P246" s="74">
        <f t="shared" si="135"/>
        <v>50</v>
      </c>
      <c r="Q246" s="74">
        <f t="shared" si="136"/>
        <v>21</v>
      </c>
      <c r="R246" s="74">
        <v>100</v>
      </c>
      <c r="S246" s="74">
        <f t="shared" si="142"/>
        <v>60</v>
      </c>
      <c r="T246" s="74">
        <f t="shared" si="130"/>
        <v>36</v>
      </c>
      <c r="U246" s="74"/>
      <c r="V246" s="74">
        <f t="shared" si="99"/>
        <v>0</v>
      </c>
      <c r="W246" s="74">
        <f t="shared" si="137"/>
        <v>20</v>
      </c>
      <c r="X246" s="74">
        <f t="shared" si="116"/>
        <v>0</v>
      </c>
      <c r="Y246" s="74">
        <f t="shared" si="132"/>
        <v>3.5</v>
      </c>
      <c r="Z246" s="74">
        <f t="shared" si="124"/>
        <v>172.5</v>
      </c>
      <c r="AA246" s="74">
        <f t="shared" si="131"/>
        <v>306</v>
      </c>
      <c r="AB246" s="74">
        <f t="shared" si="144"/>
        <v>60</v>
      </c>
      <c r="AC246" s="74">
        <f t="shared" si="95"/>
        <v>1.6</v>
      </c>
      <c r="AD246" s="74">
        <f t="shared" si="139"/>
        <v>180</v>
      </c>
      <c r="AE246" s="74">
        <f t="shared" si="143"/>
        <v>1.1000000000000001</v>
      </c>
      <c r="AF246" s="74">
        <f t="shared" si="147"/>
        <v>275</v>
      </c>
      <c r="AG246" s="74">
        <f t="shared" si="97"/>
        <v>18</v>
      </c>
      <c r="AH246" s="74">
        <f t="shared" si="145"/>
        <v>3</v>
      </c>
      <c r="AI246" s="74">
        <f t="shared" si="138"/>
        <v>47</v>
      </c>
      <c r="AJ246" s="74">
        <f t="shared" si="105"/>
        <v>90</v>
      </c>
      <c r="AK246" s="74">
        <f t="shared" si="111"/>
        <v>14</v>
      </c>
      <c r="AL246" s="74">
        <f t="shared" si="106"/>
        <v>45</v>
      </c>
      <c r="AM246" s="74">
        <v>46</v>
      </c>
      <c r="AN246" s="74">
        <f t="shared" si="112"/>
        <v>0.75</v>
      </c>
      <c r="AO246" s="74">
        <f t="shared" si="125"/>
        <v>19</v>
      </c>
      <c r="AP246" s="74">
        <f t="shared" si="125"/>
        <v>19</v>
      </c>
      <c r="AQ246" s="74">
        <f t="shared" si="115"/>
        <v>5</v>
      </c>
      <c r="AR246" s="74">
        <f t="shared" si="101"/>
        <v>120</v>
      </c>
      <c r="AS246" s="74">
        <f t="shared" si="103"/>
        <v>120</v>
      </c>
      <c r="AT246" s="74">
        <f t="shared" si="96"/>
        <v>55</v>
      </c>
      <c r="AU246" s="74"/>
      <c r="AV246" s="74"/>
      <c r="AW246" s="74">
        <f t="shared" si="133"/>
        <v>5219.2500000000009</v>
      </c>
      <c r="AX246" s="83">
        <f t="shared" si="146"/>
        <v>5370.9449999999988</v>
      </c>
      <c r="AY246" s="62">
        <f>'[1]D4 Gallon Forecast'!$V154/1000000</f>
        <v>0</v>
      </c>
      <c r="AZ246" s="62">
        <f>'[1]D4 Gallon Forecast'!$V186/1000000</f>
        <v>246.7512128677576</v>
      </c>
      <c r="BA246" s="62">
        <f t="shared" ref="BA246:BA309" si="149">SUM(AY246:AZ246)</f>
        <v>246.7512128677576</v>
      </c>
      <c r="BB246" s="62">
        <f>'[1]D4 Gallon Forecast'!$V170/1000000</f>
        <v>0</v>
      </c>
      <c r="BC246" s="63">
        <f>'[1]D4 Gallon Forecast'!$V346/1000000</f>
        <v>242.52557225580676</v>
      </c>
      <c r="BD246" s="64">
        <f>'[1]D4 Gallon Forecast'!$V362/1000000</f>
        <v>0</v>
      </c>
      <c r="BE246" s="64">
        <f t="shared" si="94"/>
        <v>242.52557225580676</v>
      </c>
      <c r="BF246" s="76">
        <f t="shared" si="117"/>
        <v>489.27678512356437</v>
      </c>
      <c r="BG246" s="77">
        <f t="shared" si="121"/>
        <v>1.0725932897800019</v>
      </c>
      <c r="BH246" s="60"/>
      <c r="BI246" s="75">
        <f t="shared" si="134"/>
        <v>4645.4000000000005</v>
      </c>
      <c r="BJ246" s="75">
        <f t="shared" si="113"/>
        <v>725.54499999999825</v>
      </c>
      <c r="BK246" s="75">
        <f>'RD Feedstock Breakdown'!ES237</f>
        <v>4180.2655107037408</v>
      </c>
      <c r="BL246" s="78">
        <f t="shared" si="120"/>
        <v>8.5437642614661069</v>
      </c>
      <c r="BM246" s="78">
        <f t="shared" si="118"/>
        <v>16.941215656532915</v>
      </c>
      <c r="BN246" s="60"/>
      <c r="BO246" s="60"/>
      <c r="BP246" s="60"/>
      <c r="BQ246" s="66">
        <f>'[1]D4 Gallon Forecast'!$V74/1000000</f>
        <v>118.77268992453365</v>
      </c>
      <c r="BR246" s="66">
        <f>'[1]D6 Gallon Forecast'!$V67/1000000</f>
        <v>0.73941051512003098</v>
      </c>
      <c r="BS246" s="66">
        <f t="shared" si="141"/>
        <v>119.51210043965368</v>
      </c>
      <c r="BT246" s="60"/>
      <c r="BU246" s="67">
        <f>'[2]US EIA'!$P383</f>
        <v>917.08519048839719</v>
      </c>
      <c r="BV246" s="68">
        <f t="shared" si="127"/>
        <v>7.6735760405405085</v>
      </c>
      <c r="BW246" s="60"/>
      <c r="BX246" s="69">
        <f t="shared" si="128"/>
        <v>0.80368876095842701</v>
      </c>
      <c r="BY246" s="69">
        <f t="shared" si="129"/>
        <v>0.19631123904157291</v>
      </c>
      <c r="BZ246" s="60"/>
      <c r="CA246" s="60"/>
      <c r="CB246" s="84" t="e">
        <f>#REF!</f>
        <v>#REF!</v>
      </c>
      <c r="CC246" s="84" t="e">
        <f>#REF!</f>
        <v>#REF!</v>
      </c>
      <c r="CD246" s="84" t="e">
        <f t="shared" si="110"/>
        <v>#REF!</v>
      </c>
      <c r="CE246" s="60"/>
      <c r="CF246" s="84">
        <f>'RD Feedstock Breakdown'!GQ237*1000000</f>
        <v>1931842513.3498452</v>
      </c>
      <c r="CG246" s="85" t="e">
        <f t="shared" si="109"/>
        <v>#REF!</v>
      </c>
      <c r="CH246" s="73">
        <f>'[2]US EIA'!$R383+AW246</f>
        <v>7066.5833333333312</v>
      </c>
    </row>
    <row r="247" spans="1:86" ht="13.5" x14ac:dyDescent="0.25">
      <c r="A247" s="59">
        <v>47665</v>
      </c>
      <c r="B247" s="74">
        <f t="shared" si="119"/>
        <v>690</v>
      </c>
      <c r="C247" s="74">
        <v>47</v>
      </c>
      <c r="D247" s="74">
        <f t="shared" si="108"/>
        <v>3</v>
      </c>
      <c r="E247" s="74">
        <f t="shared" si="123"/>
        <v>85</v>
      </c>
      <c r="F247" s="74">
        <f t="shared" si="148"/>
        <v>340</v>
      </c>
      <c r="G247" s="74">
        <f t="shared" si="107"/>
        <v>37.5</v>
      </c>
      <c r="H247" s="74">
        <f t="shared" si="140"/>
        <v>190</v>
      </c>
      <c r="I247" s="74">
        <f t="shared" si="122"/>
        <v>250</v>
      </c>
      <c r="J247" s="74">
        <f t="shared" si="114"/>
        <v>153.30000000000001</v>
      </c>
      <c r="K247" s="74">
        <f t="shared" si="126"/>
        <v>125</v>
      </c>
      <c r="L247" s="74">
        <v>125</v>
      </c>
      <c r="M247" s="74">
        <v>730</v>
      </c>
      <c r="N247" s="74">
        <f t="shared" si="102"/>
        <v>180</v>
      </c>
      <c r="O247" s="74">
        <v>375</v>
      </c>
      <c r="P247" s="74">
        <f t="shared" si="135"/>
        <v>50</v>
      </c>
      <c r="Q247" s="74">
        <f t="shared" si="136"/>
        <v>21</v>
      </c>
      <c r="R247" s="74">
        <v>100</v>
      </c>
      <c r="S247" s="74">
        <f t="shared" si="142"/>
        <v>60</v>
      </c>
      <c r="T247" s="74">
        <f t="shared" si="130"/>
        <v>36</v>
      </c>
      <c r="U247" s="74"/>
      <c r="V247" s="74">
        <f t="shared" si="99"/>
        <v>0</v>
      </c>
      <c r="W247" s="74">
        <f t="shared" si="137"/>
        <v>20</v>
      </c>
      <c r="X247" s="74">
        <f t="shared" si="116"/>
        <v>0</v>
      </c>
      <c r="Y247" s="74">
        <f t="shared" si="132"/>
        <v>3.5</v>
      </c>
      <c r="Z247" s="74">
        <f t="shared" si="124"/>
        <v>172.5</v>
      </c>
      <c r="AA247" s="74">
        <f t="shared" si="131"/>
        <v>306</v>
      </c>
      <c r="AB247" s="74">
        <f t="shared" si="144"/>
        <v>60</v>
      </c>
      <c r="AC247" s="74">
        <f t="shared" si="95"/>
        <v>1.6</v>
      </c>
      <c r="AD247" s="74">
        <f t="shared" si="139"/>
        <v>180</v>
      </c>
      <c r="AE247" s="74">
        <f t="shared" si="143"/>
        <v>1.1000000000000001</v>
      </c>
      <c r="AF247" s="74">
        <f t="shared" si="147"/>
        <v>275</v>
      </c>
      <c r="AG247" s="74">
        <f t="shared" si="97"/>
        <v>18</v>
      </c>
      <c r="AH247" s="74">
        <f t="shared" si="145"/>
        <v>3</v>
      </c>
      <c r="AI247" s="74">
        <f t="shared" si="138"/>
        <v>47</v>
      </c>
      <c r="AJ247" s="74">
        <f t="shared" si="105"/>
        <v>90</v>
      </c>
      <c r="AK247" s="74">
        <f t="shared" si="111"/>
        <v>14</v>
      </c>
      <c r="AL247" s="74">
        <f t="shared" si="106"/>
        <v>45</v>
      </c>
      <c r="AM247" s="74">
        <v>46</v>
      </c>
      <c r="AN247" s="74">
        <f t="shared" si="112"/>
        <v>0.75</v>
      </c>
      <c r="AO247" s="74">
        <f t="shared" si="125"/>
        <v>19</v>
      </c>
      <c r="AP247" s="74">
        <f t="shared" si="125"/>
        <v>19</v>
      </c>
      <c r="AQ247" s="74">
        <f t="shared" si="115"/>
        <v>5</v>
      </c>
      <c r="AR247" s="74">
        <f t="shared" si="101"/>
        <v>120</v>
      </c>
      <c r="AS247" s="74">
        <f t="shared" si="103"/>
        <v>120</v>
      </c>
      <c r="AT247" s="74">
        <f t="shared" si="96"/>
        <v>55</v>
      </c>
      <c r="AU247" s="74"/>
      <c r="AV247" s="74"/>
      <c r="AW247" s="74">
        <f t="shared" si="133"/>
        <v>5219.2500000000009</v>
      </c>
      <c r="AX247" s="83">
        <f t="shared" si="146"/>
        <v>5370.9449999999988</v>
      </c>
      <c r="AY247" s="62">
        <f>'[1]D4 Gallon Forecast'!$V155/1000000</f>
        <v>0</v>
      </c>
      <c r="AZ247" s="62">
        <f>'[1]D4 Gallon Forecast'!$V187/1000000</f>
        <v>241.67967593064594</v>
      </c>
      <c r="BA247" s="62">
        <f t="shared" si="149"/>
        <v>241.67967593064594</v>
      </c>
      <c r="BB247" s="62">
        <f>'[1]D4 Gallon Forecast'!$V171/1000000</f>
        <v>0</v>
      </c>
      <c r="BC247" s="63">
        <f>'[1]D4 Gallon Forecast'!$V347/1000000</f>
        <v>263.641552684837</v>
      </c>
      <c r="BD247" s="64">
        <f>'[1]D4 Gallon Forecast'!$V363/1000000</f>
        <v>0</v>
      </c>
      <c r="BE247" s="64">
        <f t="shared" ref="BE247:BE310" si="150">BD247+BC247+BB247</f>
        <v>263.641552684837</v>
      </c>
      <c r="BF247" s="76">
        <f t="shared" si="117"/>
        <v>505.32122861548294</v>
      </c>
      <c r="BG247" s="77">
        <f t="shared" si="121"/>
        <v>1.1446914738756484</v>
      </c>
      <c r="BH247" s="60"/>
      <c r="BI247" s="75">
        <f t="shared" si="134"/>
        <v>4645.4000000000005</v>
      </c>
      <c r="BJ247" s="75">
        <f t="shared" si="113"/>
        <v>725.54499999999825</v>
      </c>
      <c r="BK247" s="75">
        <f>'RD Feedstock Breakdown'!ES238</f>
        <v>4607.5512289762801</v>
      </c>
      <c r="BL247" s="78">
        <f t="shared" si="120"/>
        <v>9.1180638533639193</v>
      </c>
      <c r="BM247" s="78">
        <f t="shared" si="118"/>
        <v>19.064702942991758</v>
      </c>
      <c r="BN247" s="60"/>
      <c r="BO247" s="60"/>
      <c r="BP247" s="60"/>
      <c r="BQ247" s="66">
        <f>'[1]D4 Gallon Forecast'!$V75/1000000</f>
        <v>117.49225872953446</v>
      </c>
      <c r="BR247" s="66">
        <f>'[1]D6 Gallon Forecast'!$V68/1000000</f>
        <v>0.75794851574030786</v>
      </c>
      <c r="BS247" s="66">
        <f t="shared" si="141"/>
        <v>118.25020724527477</v>
      </c>
      <c r="BT247" s="60"/>
      <c r="BU247" s="67">
        <f>'[2]US EIA'!$P384</f>
        <v>909.80913132225805</v>
      </c>
      <c r="BV247" s="68">
        <f t="shared" si="127"/>
        <v>7.6939326578526037</v>
      </c>
      <c r="BW247" s="60"/>
      <c r="BX247" s="69">
        <f t="shared" si="128"/>
        <v>0.81036622198377961</v>
      </c>
      <c r="BY247" s="69">
        <f t="shared" si="129"/>
        <v>0.18963377801622044</v>
      </c>
      <c r="BZ247" s="60"/>
      <c r="CA247" s="60"/>
      <c r="CB247" s="84" t="e">
        <f>#REF!</f>
        <v>#REF!</v>
      </c>
      <c r="CC247" s="84" t="e">
        <f>#REF!</f>
        <v>#REF!</v>
      </c>
      <c r="CD247" s="84" t="e">
        <f t="shared" si="110"/>
        <v>#REF!</v>
      </c>
      <c r="CE247" s="60"/>
      <c r="CF247" s="84">
        <f>'RD Feedstock Breakdown'!GQ238*1000000</f>
        <v>2100042296.673466</v>
      </c>
      <c r="CG247" s="85" t="e">
        <f t="shared" si="109"/>
        <v>#REF!</v>
      </c>
      <c r="CH247" s="73">
        <f>'[2]US EIA'!$R384+AW247</f>
        <v>7066.5833333333312</v>
      </c>
    </row>
    <row r="248" spans="1:86" ht="13.5" x14ac:dyDescent="0.25">
      <c r="A248" s="59">
        <v>47696</v>
      </c>
      <c r="B248" s="74">
        <f t="shared" si="119"/>
        <v>690</v>
      </c>
      <c r="C248" s="74">
        <v>47</v>
      </c>
      <c r="D248" s="74">
        <f t="shared" si="108"/>
        <v>3</v>
      </c>
      <c r="E248" s="74">
        <f t="shared" si="123"/>
        <v>85</v>
      </c>
      <c r="F248" s="74">
        <f t="shared" si="148"/>
        <v>340</v>
      </c>
      <c r="G248" s="74">
        <f t="shared" si="107"/>
        <v>37.5</v>
      </c>
      <c r="H248" s="74">
        <f t="shared" si="140"/>
        <v>190</v>
      </c>
      <c r="I248" s="74">
        <f t="shared" si="122"/>
        <v>250</v>
      </c>
      <c r="J248" s="74">
        <f t="shared" si="114"/>
        <v>153.30000000000001</v>
      </c>
      <c r="K248" s="74">
        <f t="shared" si="126"/>
        <v>125</v>
      </c>
      <c r="L248" s="74">
        <v>125</v>
      </c>
      <c r="M248" s="74">
        <v>730</v>
      </c>
      <c r="N248" s="74">
        <f t="shared" si="102"/>
        <v>180</v>
      </c>
      <c r="O248" s="74">
        <v>375</v>
      </c>
      <c r="P248" s="74">
        <f t="shared" si="135"/>
        <v>50</v>
      </c>
      <c r="Q248" s="74">
        <f t="shared" si="136"/>
        <v>21</v>
      </c>
      <c r="R248" s="74">
        <v>100</v>
      </c>
      <c r="S248" s="74">
        <f t="shared" si="142"/>
        <v>60</v>
      </c>
      <c r="T248" s="74">
        <f t="shared" si="130"/>
        <v>36</v>
      </c>
      <c r="U248" s="74"/>
      <c r="V248" s="74">
        <f t="shared" si="99"/>
        <v>0</v>
      </c>
      <c r="W248" s="74">
        <f t="shared" si="137"/>
        <v>20</v>
      </c>
      <c r="X248" s="74">
        <f t="shared" si="116"/>
        <v>0</v>
      </c>
      <c r="Y248" s="74">
        <f t="shared" si="132"/>
        <v>3.5</v>
      </c>
      <c r="Z248" s="74">
        <f t="shared" si="124"/>
        <v>172.5</v>
      </c>
      <c r="AA248" s="74">
        <f t="shared" si="131"/>
        <v>306</v>
      </c>
      <c r="AB248" s="74">
        <f t="shared" si="144"/>
        <v>60</v>
      </c>
      <c r="AC248" s="74">
        <f t="shared" si="95"/>
        <v>1.6</v>
      </c>
      <c r="AD248" s="74">
        <f t="shared" si="139"/>
        <v>180</v>
      </c>
      <c r="AE248" s="74">
        <f t="shared" si="143"/>
        <v>1.1000000000000001</v>
      </c>
      <c r="AF248" s="74">
        <f t="shared" si="147"/>
        <v>275</v>
      </c>
      <c r="AG248" s="74">
        <f t="shared" si="97"/>
        <v>18</v>
      </c>
      <c r="AH248" s="74">
        <f t="shared" si="145"/>
        <v>3</v>
      </c>
      <c r="AI248" s="74">
        <f t="shared" si="138"/>
        <v>47</v>
      </c>
      <c r="AJ248" s="74">
        <f t="shared" si="105"/>
        <v>90</v>
      </c>
      <c r="AK248" s="74">
        <f t="shared" si="111"/>
        <v>14</v>
      </c>
      <c r="AL248" s="74">
        <f t="shared" si="106"/>
        <v>45</v>
      </c>
      <c r="AM248" s="74">
        <v>46</v>
      </c>
      <c r="AN248" s="74">
        <f t="shared" si="112"/>
        <v>0.75</v>
      </c>
      <c r="AO248" s="74">
        <f t="shared" si="125"/>
        <v>19</v>
      </c>
      <c r="AP248" s="74">
        <f t="shared" si="125"/>
        <v>19</v>
      </c>
      <c r="AQ248" s="74">
        <f t="shared" si="115"/>
        <v>5</v>
      </c>
      <c r="AR248" s="74">
        <f t="shared" si="101"/>
        <v>120</v>
      </c>
      <c r="AS248" s="74">
        <f t="shared" si="103"/>
        <v>120</v>
      </c>
      <c r="AT248" s="74">
        <f t="shared" si="96"/>
        <v>55</v>
      </c>
      <c r="AU248" s="74"/>
      <c r="AV248" s="74"/>
      <c r="AW248" s="74">
        <f t="shared" si="133"/>
        <v>5219.2500000000009</v>
      </c>
      <c r="AX248" s="83">
        <f t="shared" si="146"/>
        <v>5370.9449999999988</v>
      </c>
      <c r="AY248" s="62">
        <f>'[1]D4 Gallon Forecast'!$V156/1000000</f>
        <v>0</v>
      </c>
      <c r="AZ248" s="62">
        <f>'[1]D4 Gallon Forecast'!$V188/1000000</f>
        <v>245.13824118560976</v>
      </c>
      <c r="BA248" s="62">
        <f t="shared" si="149"/>
        <v>245.13824118560976</v>
      </c>
      <c r="BB248" s="62">
        <f>'[1]D4 Gallon Forecast'!$V172/1000000</f>
        <v>0</v>
      </c>
      <c r="BC248" s="63">
        <f>'[1]D4 Gallon Forecast'!$V348/1000000</f>
        <v>286.93446200556855</v>
      </c>
      <c r="BD248" s="64">
        <f>'[1]D4 Gallon Forecast'!$V364/1000000</f>
        <v>0</v>
      </c>
      <c r="BE248" s="64">
        <f t="shared" si="150"/>
        <v>286.93446200556855</v>
      </c>
      <c r="BF248" s="76">
        <f t="shared" si="117"/>
        <v>532.07270319117833</v>
      </c>
      <c r="BG248" s="77">
        <f t="shared" si="121"/>
        <v>1.1664105644698386</v>
      </c>
      <c r="BH248" s="60"/>
      <c r="BI248" s="75">
        <f t="shared" si="134"/>
        <v>4645.4000000000005</v>
      </c>
      <c r="BJ248" s="75">
        <f t="shared" si="113"/>
        <v>725.54499999999825</v>
      </c>
      <c r="BK248" s="75">
        <f>'RD Feedstock Breakdown'!ES239</f>
        <v>4943.5235190738831</v>
      </c>
      <c r="BL248" s="78">
        <f t="shared" si="120"/>
        <v>9.2910677233100465</v>
      </c>
      <c r="BM248" s="78">
        <f t="shared" si="118"/>
        <v>20.166268205093417</v>
      </c>
      <c r="BN248" s="60"/>
      <c r="BO248" s="60"/>
      <c r="BP248" s="60"/>
      <c r="BQ248" s="66">
        <f>'[1]D4 Gallon Forecast'!$V76/1000000</f>
        <v>121.91097768815116</v>
      </c>
      <c r="BR248" s="66">
        <f>'[1]D6 Gallon Forecast'!$V69/1000000</f>
        <v>0.78734978055348515</v>
      </c>
      <c r="BS248" s="66">
        <f t="shared" si="141"/>
        <v>122.69832746870465</v>
      </c>
      <c r="BT248" s="60"/>
      <c r="BU248" s="67">
        <f>'[2]US EIA'!$P385</f>
        <v>919.82475270737564</v>
      </c>
      <c r="BV248" s="68">
        <f t="shared" si="127"/>
        <v>7.4966364390092073</v>
      </c>
      <c r="BW248" s="60"/>
      <c r="BX248" s="69">
        <f t="shared" si="128"/>
        <v>0.81260880258393786</v>
      </c>
      <c r="BY248" s="69">
        <f t="shared" si="129"/>
        <v>0.18739119741606219</v>
      </c>
      <c r="BZ248" s="60"/>
      <c r="CA248" s="60"/>
      <c r="CB248" s="84" t="e">
        <f>#REF!</f>
        <v>#REF!</v>
      </c>
      <c r="CC248" s="84" t="e">
        <f>#REF!</f>
        <v>#REF!</v>
      </c>
      <c r="CD248" s="84" t="e">
        <f t="shared" si="110"/>
        <v>#REF!</v>
      </c>
      <c r="CE248" s="60"/>
      <c r="CF248" s="84">
        <f>'RD Feedstock Breakdown'!GQ239*1000000</f>
        <v>2285582452.5706329</v>
      </c>
      <c r="CG248" s="85" t="e">
        <f t="shared" si="109"/>
        <v>#REF!</v>
      </c>
      <c r="CH248" s="73">
        <f>'[2]US EIA'!$R385+AW248</f>
        <v>7066.5833333333312</v>
      </c>
    </row>
    <row r="249" spans="1:86" ht="13.5" x14ac:dyDescent="0.25">
      <c r="A249" s="59">
        <v>47727</v>
      </c>
      <c r="B249" s="74">
        <f t="shared" si="119"/>
        <v>690</v>
      </c>
      <c r="C249" s="74">
        <v>47</v>
      </c>
      <c r="D249" s="74">
        <f t="shared" si="108"/>
        <v>3</v>
      </c>
      <c r="E249" s="74">
        <f t="shared" si="123"/>
        <v>85</v>
      </c>
      <c r="F249" s="74">
        <f t="shared" si="148"/>
        <v>340</v>
      </c>
      <c r="G249" s="74">
        <f t="shared" si="107"/>
        <v>37.5</v>
      </c>
      <c r="H249" s="74">
        <f t="shared" si="140"/>
        <v>190</v>
      </c>
      <c r="I249" s="74">
        <f t="shared" si="122"/>
        <v>250</v>
      </c>
      <c r="J249" s="74">
        <f t="shared" si="114"/>
        <v>153.30000000000001</v>
      </c>
      <c r="K249" s="74">
        <f t="shared" si="126"/>
        <v>125</v>
      </c>
      <c r="L249" s="74">
        <v>125</v>
      </c>
      <c r="M249" s="74">
        <v>730</v>
      </c>
      <c r="N249" s="74">
        <f t="shared" si="102"/>
        <v>180</v>
      </c>
      <c r="O249" s="74">
        <v>375</v>
      </c>
      <c r="P249" s="74">
        <f t="shared" si="135"/>
        <v>50</v>
      </c>
      <c r="Q249" s="74">
        <f t="shared" si="136"/>
        <v>21</v>
      </c>
      <c r="R249" s="74">
        <v>100</v>
      </c>
      <c r="S249" s="74">
        <f t="shared" si="142"/>
        <v>60</v>
      </c>
      <c r="T249" s="74">
        <f t="shared" si="130"/>
        <v>36</v>
      </c>
      <c r="U249" s="74"/>
      <c r="V249" s="74">
        <f t="shared" si="99"/>
        <v>0</v>
      </c>
      <c r="W249" s="74">
        <f t="shared" si="137"/>
        <v>20</v>
      </c>
      <c r="X249" s="74">
        <f t="shared" si="116"/>
        <v>0</v>
      </c>
      <c r="Y249" s="74">
        <f t="shared" si="132"/>
        <v>3.5</v>
      </c>
      <c r="Z249" s="74">
        <f t="shared" si="124"/>
        <v>172.5</v>
      </c>
      <c r="AA249" s="74">
        <f t="shared" si="131"/>
        <v>306</v>
      </c>
      <c r="AB249" s="74">
        <f t="shared" si="144"/>
        <v>60</v>
      </c>
      <c r="AC249" s="74">
        <f t="shared" si="95"/>
        <v>1.6</v>
      </c>
      <c r="AD249" s="74">
        <f t="shared" si="139"/>
        <v>180</v>
      </c>
      <c r="AE249" s="74">
        <f t="shared" si="143"/>
        <v>1.1000000000000001</v>
      </c>
      <c r="AF249" s="74">
        <f t="shared" si="147"/>
        <v>275</v>
      </c>
      <c r="AG249" s="74">
        <f t="shared" si="97"/>
        <v>18</v>
      </c>
      <c r="AH249" s="74">
        <f t="shared" si="145"/>
        <v>3</v>
      </c>
      <c r="AI249" s="74">
        <f t="shared" si="138"/>
        <v>47</v>
      </c>
      <c r="AJ249" s="74">
        <f t="shared" si="105"/>
        <v>90</v>
      </c>
      <c r="AK249" s="74">
        <f t="shared" si="111"/>
        <v>14</v>
      </c>
      <c r="AL249" s="74">
        <f t="shared" si="106"/>
        <v>45</v>
      </c>
      <c r="AM249" s="74">
        <v>46</v>
      </c>
      <c r="AN249" s="74">
        <f t="shared" si="112"/>
        <v>0.75</v>
      </c>
      <c r="AO249" s="74">
        <f t="shared" si="125"/>
        <v>19</v>
      </c>
      <c r="AP249" s="74">
        <f t="shared" si="125"/>
        <v>19</v>
      </c>
      <c r="AQ249" s="74">
        <f t="shared" si="115"/>
        <v>5</v>
      </c>
      <c r="AR249" s="74">
        <f t="shared" si="101"/>
        <v>120</v>
      </c>
      <c r="AS249" s="74">
        <f t="shared" si="103"/>
        <v>120</v>
      </c>
      <c r="AT249" s="74">
        <f t="shared" si="96"/>
        <v>55</v>
      </c>
      <c r="AU249" s="74"/>
      <c r="AV249" s="74"/>
      <c r="AW249" s="74">
        <f t="shared" si="133"/>
        <v>5219.2500000000009</v>
      </c>
      <c r="AX249" s="83">
        <f t="shared" si="146"/>
        <v>5370.9449999999988</v>
      </c>
      <c r="AY249" s="62">
        <f>'[1]D4 Gallon Forecast'!$V157/1000000</f>
        <v>0</v>
      </c>
      <c r="AZ249" s="62">
        <f>'[1]D4 Gallon Forecast'!$V189/1000000</f>
        <v>249.60607849846528</v>
      </c>
      <c r="BA249" s="62">
        <f t="shared" si="149"/>
        <v>249.60607849846528</v>
      </c>
      <c r="BB249" s="62">
        <f>'[1]D4 Gallon Forecast'!$V173/1000000</f>
        <v>0</v>
      </c>
      <c r="BC249" s="63">
        <f>'[1]D4 Gallon Forecast'!$V349/1000000</f>
        <v>348.25600037040306</v>
      </c>
      <c r="BD249" s="64">
        <f>'[1]D4 Gallon Forecast'!$V365/1000000</f>
        <v>0</v>
      </c>
      <c r="BE249" s="64">
        <f t="shared" si="150"/>
        <v>348.25600037040306</v>
      </c>
      <c r="BF249" s="76">
        <f t="shared" si="117"/>
        <v>597.86207886886837</v>
      </c>
      <c r="BG249" s="77">
        <f t="shared" si="121"/>
        <v>1.3106341308360316</v>
      </c>
      <c r="BH249" s="60"/>
      <c r="BI249" s="75">
        <f t="shared" si="134"/>
        <v>4645.4000000000005</v>
      </c>
      <c r="BJ249" s="75">
        <f t="shared" si="113"/>
        <v>725.54499999999825</v>
      </c>
      <c r="BK249" s="75">
        <f>'RD Feedstock Breakdown'!ES240</f>
        <v>6223.0396456836615</v>
      </c>
      <c r="BL249" s="78">
        <f t="shared" si="120"/>
        <v>10.408821475109123</v>
      </c>
      <c r="BM249" s="78">
        <f t="shared" si="118"/>
        <v>24.931442708122688</v>
      </c>
      <c r="BN249" s="60"/>
      <c r="BO249" s="60"/>
      <c r="BP249" s="60"/>
      <c r="BQ249" s="66">
        <f>'[1]D4 Gallon Forecast'!$V77/1000000</f>
        <v>114.90756504846516</v>
      </c>
      <c r="BR249" s="66">
        <f>'[1]D6 Gallon Forecast'!$V70/1000000</f>
        <v>0.78605992260129298</v>
      </c>
      <c r="BS249" s="66">
        <f t="shared" si="141"/>
        <v>115.69362497106646</v>
      </c>
      <c r="BT249" s="60"/>
      <c r="BU249" s="67">
        <f>'[2]US EIA'!$P386</f>
        <v>882.37779422307551</v>
      </c>
      <c r="BV249" s="68">
        <f t="shared" si="127"/>
        <v>7.6268488816367128</v>
      </c>
      <c r="BW249" s="60"/>
      <c r="BX249" s="69">
        <f t="shared" si="128"/>
        <v>0.83786321887909831</v>
      </c>
      <c r="BY249" s="69">
        <f t="shared" si="129"/>
        <v>0.16213678112090169</v>
      </c>
      <c r="BZ249" s="60"/>
      <c r="CA249" s="60"/>
      <c r="CB249" s="84" t="e">
        <f>#REF!</f>
        <v>#REF!</v>
      </c>
      <c r="CC249" s="84" t="e">
        <f>#REF!</f>
        <v>#REF!</v>
      </c>
      <c r="CD249" s="84" t="e">
        <f t="shared" si="110"/>
        <v>#REF!</v>
      </c>
      <c r="CE249" s="60"/>
      <c r="CF249" s="84">
        <f>'RD Feedstock Breakdown'!GQ240*1000000</f>
        <v>2765786767.0352654</v>
      </c>
      <c r="CG249" s="85" t="e">
        <f t="shared" si="109"/>
        <v>#REF!</v>
      </c>
      <c r="CH249" s="73">
        <f>'[2]US EIA'!$R386+AW249</f>
        <v>7066.5833333333312</v>
      </c>
    </row>
    <row r="250" spans="1:86" ht="13.5" x14ac:dyDescent="0.25">
      <c r="A250" s="59">
        <v>47757</v>
      </c>
      <c r="B250" s="74">
        <f t="shared" si="119"/>
        <v>690</v>
      </c>
      <c r="C250" s="74">
        <v>47</v>
      </c>
      <c r="D250" s="74">
        <f t="shared" si="108"/>
        <v>3</v>
      </c>
      <c r="E250" s="74">
        <f t="shared" si="123"/>
        <v>85</v>
      </c>
      <c r="F250" s="74">
        <f t="shared" si="148"/>
        <v>340</v>
      </c>
      <c r="G250" s="74">
        <f t="shared" si="107"/>
        <v>37.5</v>
      </c>
      <c r="H250" s="74">
        <f t="shared" si="140"/>
        <v>190</v>
      </c>
      <c r="I250" s="74">
        <f t="shared" si="122"/>
        <v>250</v>
      </c>
      <c r="J250" s="74">
        <f t="shared" si="114"/>
        <v>153.30000000000001</v>
      </c>
      <c r="K250" s="74">
        <f t="shared" si="126"/>
        <v>125</v>
      </c>
      <c r="L250" s="74">
        <v>125</v>
      </c>
      <c r="M250" s="74">
        <v>730</v>
      </c>
      <c r="N250" s="74">
        <f t="shared" si="102"/>
        <v>180</v>
      </c>
      <c r="O250" s="74">
        <v>375</v>
      </c>
      <c r="P250" s="74">
        <f t="shared" si="135"/>
        <v>50</v>
      </c>
      <c r="Q250" s="74">
        <f t="shared" si="136"/>
        <v>21</v>
      </c>
      <c r="R250" s="74">
        <v>100</v>
      </c>
      <c r="S250" s="74">
        <f t="shared" si="142"/>
        <v>60</v>
      </c>
      <c r="T250" s="74">
        <f t="shared" si="130"/>
        <v>36</v>
      </c>
      <c r="U250" s="74"/>
      <c r="V250" s="74">
        <f t="shared" si="99"/>
        <v>0</v>
      </c>
      <c r="W250" s="74">
        <f t="shared" si="137"/>
        <v>20</v>
      </c>
      <c r="X250" s="74">
        <f t="shared" si="116"/>
        <v>0</v>
      </c>
      <c r="Y250" s="74">
        <f t="shared" si="132"/>
        <v>3.5</v>
      </c>
      <c r="Z250" s="74">
        <f t="shared" si="124"/>
        <v>172.5</v>
      </c>
      <c r="AA250" s="74">
        <f t="shared" si="131"/>
        <v>306</v>
      </c>
      <c r="AB250" s="74">
        <f t="shared" si="144"/>
        <v>60</v>
      </c>
      <c r="AC250" s="74">
        <f t="shared" ref="AC250:AC313" si="151">32*$AC$12</f>
        <v>1.6</v>
      </c>
      <c r="AD250" s="74">
        <f t="shared" si="139"/>
        <v>180</v>
      </c>
      <c r="AE250" s="74">
        <f t="shared" si="143"/>
        <v>1.1000000000000001</v>
      </c>
      <c r="AF250" s="74">
        <f t="shared" si="147"/>
        <v>275</v>
      </c>
      <c r="AG250" s="74">
        <f t="shared" si="97"/>
        <v>18</v>
      </c>
      <c r="AH250" s="74">
        <f t="shared" si="145"/>
        <v>3</v>
      </c>
      <c r="AI250" s="74">
        <f t="shared" si="138"/>
        <v>47</v>
      </c>
      <c r="AJ250" s="74">
        <f t="shared" si="105"/>
        <v>90</v>
      </c>
      <c r="AK250" s="74">
        <f t="shared" si="111"/>
        <v>14</v>
      </c>
      <c r="AL250" s="74">
        <f t="shared" si="106"/>
        <v>45</v>
      </c>
      <c r="AM250" s="74">
        <v>46</v>
      </c>
      <c r="AN250" s="74">
        <f t="shared" si="112"/>
        <v>0.75</v>
      </c>
      <c r="AO250" s="74">
        <f t="shared" si="125"/>
        <v>19</v>
      </c>
      <c r="AP250" s="74">
        <f t="shared" si="125"/>
        <v>19</v>
      </c>
      <c r="AQ250" s="74">
        <f t="shared" si="115"/>
        <v>5</v>
      </c>
      <c r="AR250" s="74">
        <f t="shared" si="101"/>
        <v>120</v>
      </c>
      <c r="AS250" s="74">
        <f t="shared" si="103"/>
        <v>120</v>
      </c>
      <c r="AT250" s="74">
        <f t="shared" ref="AT250:AT313" si="152">$AT$5*$AT$12</f>
        <v>55</v>
      </c>
      <c r="AU250" s="74"/>
      <c r="AV250" s="74"/>
      <c r="AW250" s="74">
        <f t="shared" si="133"/>
        <v>5219.2500000000009</v>
      </c>
      <c r="AX250" s="83">
        <f t="shared" si="146"/>
        <v>5370.9449999999988</v>
      </c>
      <c r="AY250" s="62">
        <f>'[1]D4 Gallon Forecast'!$V158/1000000</f>
        <v>0</v>
      </c>
      <c r="AZ250" s="62">
        <f>'[1]D4 Gallon Forecast'!$V190/1000000</f>
        <v>274.2839977980401</v>
      </c>
      <c r="BA250" s="62">
        <f t="shared" si="149"/>
        <v>274.2839977980401</v>
      </c>
      <c r="BB250" s="62">
        <f>'[1]D4 Gallon Forecast'!$V174/1000000</f>
        <v>0</v>
      </c>
      <c r="BC250" s="63">
        <f>'[1]D4 Gallon Forecast'!$V350/1000000</f>
        <v>341.07843546241088</v>
      </c>
      <c r="BD250" s="64">
        <f>'[1]D4 Gallon Forecast'!$V366/1000000</f>
        <v>0</v>
      </c>
      <c r="BE250" s="64">
        <f t="shared" si="150"/>
        <v>341.07843546241088</v>
      </c>
      <c r="BF250" s="76">
        <f t="shared" si="117"/>
        <v>615.36243326045098</v>
      </c>
      <c r="BG250" s="77">
        <f t="shared" si="121"/>
        <v>1.3939650479885424</v>
      </c>
      <c r="BH250" s="60"/>
      <c r="BI250" s="75">
        <f t="shared" si="134"/>
        <v>4645.4000000000005</v>
      </c>
      <c r="BJ250" s="75">
        <f t="shared" si="113"/>
        <v>725.54499999999825</v>
      </c>
      <c r="BK250" s="75">
        <f>'RD Feedstock Breakdown'!ES241</f>
        <v>6817.2579637068229</v>
      </c>
      <c r="BL250" s="78">
        <f t="shared" si="120"/>
        <v>11.078443524064511</v>
      </c>
      <c r="BM250" s="78">
        <f t="shared" si="118"/>
        <v>24.854741867684471</v>
      </c>
      <c r="BN250" s="60"/>
      <c r="BO250" s="60"/>
      <c r="BP250" s="60"/>
      <c r="BQ250" s="66">
        <f>'[1]D4 Gallon Forecast'!$V78/1000000</f>
        <v>116.71241542931686</v>
      </c>
      <c r="BR250" s="66">
        <f>'[1]D6 Gallon Forecast'!$V71/1000000</f>
        <v>0.78531511998099368</v>
      </c>
      <c r="BS250" s="66">
        <f t="shared" si="141"/>
        <v>117.49773054929786</v>
      </c>
      <c r="BT250" s="60"/>
      <c r="BU250" s="67">
        <f>'[2]US EIA'!$P387</f>
        <v>872.14404384957459</v>
      </c>
      <c r="BV250" s="68">
        <f t="shared" si="127"/>
        <v>7.4226458653484721</v>
      </c>
      <c r="BW250" s="60"/>
      <c r="BX250" s="69">
        <f t="shared" si="128"/>
        <v>0.83967237359649904</v>
      </c>
      <c r="BY250" s="69">
        <f t="shared" si="129"/>
        <v>0.16032762640350084</v>
      </c>
      <c r="BZ250" s="60"/>
      <c r="CA250" s="60"/>
      <c r="CB250" s="84" t="e">
        <f>#REF!</f>
        <v>#REF!</v>
      </c>
      <c r="CC250" s="84" t="e">
        <f>#REF!</f>
        <v>#REF!</v>
      </c>
      <c r="CD250" s="84" t="e">
        <f t="shared" si="110"/>
        <v>#REF!</v>
      </c>
      <c r="CE250" s="60"/>
      <c r="CF250" s="84">
        <f>'RD Feedstock Breakdown'!GQ241*1000000</f>
        <v>2710697940.3816867</v>
      </c>
      <c r="CG250" s="85" t="e">
        <f t="shared" si="109"/>
        <v>#REF!</v>
      </c>
      <c r="CH250" s="73">
        <f>'[2]US EIA'!$R387+AW250</f>
        <v>7066.5833333333312</v>
      </c>
    </row>
    <row r="251" spans="1:86" ht="13.5" x14ac:dyDescent="0.25">
      <c r="A251" s="59">
        <v>47788</v>
      </c>
      <c r="B251" s="74">
        <f t="shared" si="119"/>
        <v>690</v>
      </c>
      <c r="C251" s="74">
        <v>47</v>
      </c>
      <c r="D251" s="74">
        <f t="shared" si="108"/>
        <v>3</v>
      </c>
      <c r="E251" s="74">
        <f t="shared" si="123"/>
        <v>85</v>
      </c>
      <c r="F251" s="74">
        <f t="shared" si="148"/>
        <v>340</v>
      </c>
      <c r="G251" s="74">
        <f t="shared" si="107"/>
        <v>37.5</v>
      </c>
      <c r="H251" s="74">
        <f t="shared" si="140"/>
        <v>190</v>
      </c>
      <c r="I251" s="74">
        <f t="shared" si="122"/>
        <v>250</v>
      </c>
      <c r="J251" s="74">
        <f t="shared" si="114"/>
        <v>153.30000000000001</v>
      </c>
      <c r="K251" s="74">
        <f t="shared" si="126"/>
        <v>125</v>
      </c>
      <c r="L251" s="74">
        <v>125</v>
      </c>
      <c r="M251" s="74">
        <v>730</v>
      </c>
      <c r="N251" s="74">
        <f t="shared" si="102"/>
        <v>180</v>
      </c>
      <c r="O251" s="74">
        <v>375</v>
      </c>
      <c r="P251" s="74">
        <f t="shared" si="135"/>
        <v>50</v>
      </c>
      <c r="Q251" s="74">
        <f t="shared" si="136"/>
        <v>21</v>
      </c>
      <c r="R251" s="74">
        <v>100</v>
      </c>
      <c r="S251" s="74">
        <f t="shared" si="142"/>
        <v>60</v>
      </c>
      <c r="T251" s="74">
        <f t="shared" si="130"/>
        <v>36</v>
      </c>
      <c r="U251" s="74"/>
      <c r="V251" s="74">
        <f t="shared" si="99"/>
        <v>0</v>
      </c>
      <c r="W251" s="74">
        <f t="shared" si="137"/>
        <v>20</v>
      </c>
      <c r="X251" s="74">
        <f t="shared" si="116"/>
        <v>0</v>
      </c>
      <c r="Y251" s="74">
        <f t="shared" si="132"/>
        <v>3.5</v>
      </c>
      <c r="Z251" s="74">
        <f t="shared" si="124"/>
        <v>172.5</v>
      </c>
      <c r="AA251" s="74">
        <f t="shared" si="131"/>
        <v>306</v>
      </c>
      <c r="AB251" s="74">
        <f t="shared" si="144"/>
        <v>60</v>
      </c>
      <c r="AC251" s="74">
        <f t="shared" si="151"/>
        <v>1.6</v>
      </c>
      <c r="AD251" s="74">
        <f t="shared" si="139"/>
        <v>180</v>
      </c>
      <c r="AE251" s="74">
        <f t="shared" si="143"/>
        <v>1.1000000000000001</v>
      </c>
      <c r="AF251" s="74">
        <f t="shared" si="147"/>
        <v>275</v>
      </c>
      <c r="AG251" s="74">
        <f t="shared" ref="AG251:AG314" si="153">$AG$5*$AG$12</f>
        <v>18</v>
      </c>
      <c r="AH251" s="74">
        <f t="shared" si="145"/>
        <v>3</v>
      </c>
      <c r="AI251" s="74">
        <f t="shared" si="138"/>
        <v>47</v>
      </c>
      <c r="AJ251" s="74">
        <f t="shared" si="105"/>
        <v>90</v>
      </c>
      <c r="AK251" s="74">
        <f t="shared" si="111"/>
        <v>14</v>
      </c>
      <c r="AL251" s="74">
        <f t="shared" si="106"/>
        <v>45</v>
      </c>
      <c r="AM251" s="74">
        <v>46</v>
      </c>
      <c r="AN251" s="74">
        <f t="shared" si="112"/>
        <v>0.75</v>
      </c>
      <c r="AO251" s="74">
        <f t="shared" si="125"/>
        <v>19</v>
      </c>
      <c r="AP251" s="74">
        <f t="shared" si="125"/>
        <v>19</v>
      </c>
      <c r="AQ251" s="74">
        <f t="shared" si="115"/>
        <v>5</v>
      </c>
      <c r="AR251" s="74">
        <f t="shared" si="101"/>
        <v>120</v>
      </c>
      <c r="AS251" s="74">
        <f t="shared" si="103"/>
        <v>120</v>
      </c>
      <c r="AT251" s="74">
        <f t="shared" si="152"/>
        <v>55</v>
      </c>
      <c r="AU251" s="74"/>
      <c r="AV251" s="74"/>
      <c r="AW251" s="74">
        <f t="shared" si="133"/>
        <v>5219.2500000000009</v>
      </c>
      <c r="AX251" s="83">
        <f t="shared" si="146"/>
        <v>5370.9449999999988</v>
      </c>
      <c r="AY251" s="62">
        <f>'[1]D4 Gallon Forecast'!$V159/1000000</f>
        <v>0</v>
      </c>
      <c r="AZ251" s="62">
        <f>'[1]D4 Gallon Forecast'!$V191/1000000</f>
        <v>333.24898327213435</v>
      </c>
      <c r="BA251" s="62">
        <f t="shared" si="149"/>
        <v>333.24898327213435</v>
      </c>
      <c r="BB251" s="62">
        <f>'[1]D4 Gallon Forecast'!$V175/1000000</f>
        <v>0</v>
      </c>
      <c r="BC251" s="63">
        <f>'[1]D4 Gallon Forecast'!$V351/1000000</f>
        <v>295.99988994310718</v>
      </c>
      <c r="BD251" s="64">
        <f>'[1]D4 Gallon Forecast'!$V367/1000000</f>
        <v>0</v>
      </c>
      <c r="BE251" s="64">
        <f t="shared" si="150"/>
        <v>295.99988994310718</v>
      </c>
      <c r="BF251" s="76">
        <f t="shared" si="117"/>
        <v>629.24887321524147</v>
      </c>
      <c r="BG251" s="77">
        <f t="shared" si="121"/>
        <v>1.3794403076815622</v>
      </c>
      <c r="BH251" s="60"/>
      <c r="BI251" s="75">
        <f t="shared" si="134"/>
        <v>4645.4000000000005</v>
      </c>
      <c r="BJ251" s="75">
        <f t="shared" si="113"/>
        <v>725.54499999999825</v>
      </c>
      <c r="BK251" s="75">
        <f>'RD Feedstock Breakdown'!ES242</f>
        <v>6913.4101978587641</v>
      </c>
      <c r="BL251" s="78">
        <f t="shared" si="120"/>
        <v>10.986766114548061</v>
      </c>
      <c r="BM251" s="78">
        <f t="shared" si="118"/>
        <v>20.745480241160124</v>
      </c>
      <c r="BN251" s="60"/>
      <c r="BO251" s="60"/>
      <c r="BP251" s="60"/>
      <c r="BQ251" s="66">
        <f>'[1]D4 Gallon Forecast'!$V79/1000000</f>
        <v>111.59101702713788</v>
      </c>
      <c r="BR251" s="66">
        <f>'[1]D6 Gallon Forecast'!$V72/1000000</f>
        <v>0.81079446041191727</v>
      </c>
      <c r="BS251" s="66">
        <f t="shared" si="141"/>
        <v>112.40181148754979</v>
      </c>
      <c r="BT251" s="60"/>
      <c r="BU251" s="67">
        <f>'[2]US EIA'!$P388</f>
        <v>839.95591658387582</v>
      </c>
      <c r="BV251" s="68">
        <f t="shared" si="127"/>
        <v>7.4727969724661749</v>
      </c>
      <c r="BW251" s="60"/>
      <c r="BX251" s="69">
        <f t="shared" si="128"/>
        <v>0.84844372990420192</v>
      </c>
      <c r="BY251" s="69">
        <f t="shared" si="129"/>
        <v>0.15155627009579806</v>
      </c>
      <c r="BZ251" s="60"/>
      <c r="CA251" s="60"/>
      <c r="CB251" s="84" t="e">
        <f>#REF!</f>
        <v>#REF!</v>
      </c>
      <c r="CC251" s="84" t="e">
        <f>#REF!</f>
        <v>#REF!</v>
      </c>
      <c r="CD251" s="84" t="e">
        <f t="shared" si="110"/>
        <v>#REF!</v>
      </c>
      <c r="CE251" s="60"/>
      <c r="CF251" s="84">
        <f>'RD Feedstock Breakdown'!GQ242*1000000</f>
        <v>2357536997.1627755</v>
      </c>
      <c r="CG251" s="85" t="e">
        <f t="shared" si="109"/>
        <v>#REF!</v>
      </c>
      <c r="CH251" s="73">
        <f>'[2]US EIA'!$R388+AW251</f>
        <v>7066.5833333333312</v>
      </c>
    </row>
    <row r="252" spans="1:86" ht="13.5" x14ac:dyDescent="0.25">
      <c r="A252" s="59">
        <v>47818</v>
      </c>
      <c r="B252" s="74">
        <f t="shared" si="119"/>
        <v>690</v>
      </c>
      <c r="C252" s="74">
        <v>47</v>
      </c>
      <c r="D252" s="74">
        <f t="shared" si="108"/>
        <v>3</v>
      </c>
      <c r="E252" s="74">
        <f t="shared" si="123"/>
        <v>85</v>
      </c>
      <c r="F252" s="74">
        <f t="shared" si="148"/>
        <v>340</v>
      </c>
      <c r="G252" s="74">
        <f t="shared" si="107"/>
        <v>37.5</v>
      </c>
      <c r="H252" s="74">
        <f t="shared" si="140"/>
        <v>190</v>
      </c>
      <c r="I252" s="74">
        <f t="shared" si="122"/>
        <v>250</v>
      </c>
      <c r="J252" s="74">
        <f t="shared" si="114"/>
        <v>153.30000000000001</v>
      </c>
      <c r="K252" s="74">
        <f t="shared" si="126"/>
        <v>125</v>
      </c>
      <c r="L252" s="74">
        <v>125</v>
      </c>
      <c r="M252" s="74">
        <v>730</v>
      </c>
      <c r="N252" s="74">
        <f t="shared" si="102"/>
        <v>180</v>
      </c>
      <c r="O252" s="74">
        <v>375</v>
      </c>
      <c r="P252" s="74">
        <f t="shared" si="135"/>
        <v>50</v>
      </c>
      <c r="Q252" s="74">
        <f t="shared" si="136"/>
        <v>21</v>
      </c>
      <c r="R252" s="74">
        <v>100</v>
      </c>
      <c r="S252" s="74">
        <f t="shared" si="142"/>
        <v>60</v>
      </c>
      <c r="T252" s="74">
        <f t="shared" si="130"/>
        <v>36</v>
      </c>
      <c r="U252" s="74"/>
      <c r="V252" s="74">
        <f t="shared" ref="V252:V315" si="154">$V$5*$V$12</f>
        <v>0</v>
      </c>
      <c r="W252" s="74">
        <f t="shared" si="137"/>
        <v>20</v>
      </c>
      <c r="X252" s="74">
        <f t="shared" si="116"/>
        <v>0</v>
      </c>
      <c r="Y252" s="74">
        <f t="shared" si="132"/>
        <v>3.5</v>
      </c>
      <c r="Z252" s="74">
        <f t="shared" si="124"/>
        <v>172.5</v>
      </c>
      <c r="AA252" s="74">
        <f t="shared" si="131"/>
        <v>306</v>
      </c>
      <c r="AB252" s="74">
        <f t="shared" si="144"/>
        <v>60</v>
      </c>
      <c r="AC252" s="74">
        <f t="shared" si="151"/>
        <v>1.6</v>
      </c>
      <c r="AD252" s="74">
        <f t="shared" si="139"/>
        <v>180</v>
      </c>
      <c r="AE252" s="74">
        <f t="shared" si="143"/>
        <v>1.1000000000000001</v>
      </c>
      <c r="AF252" s="74">
        <f t="shared" si="147"/>
        <v>275</v>
      </c>
      <c r="AG252" s="74">
        <f t="shared" si="153"/>
        <v>18</v>
      </c>
      <c r="AH252" s="74">
        <f t="shared" si="145"/>
        <v>3</v>
      </c>
      <c r="AI252" s="74">
        <f t="shared" si="138"/>
        <v>47</v>
      </c>
      <c r="AJ252" s="74">
        <f t="shared" si="105"/>
        <v>90</v>
      </c>
      <c r="AK252" s="74">
        <f t="shared" si="111"/>
        <v>14</v>
      </c>
      <c r="AL252" s="74">
        <f t="shared" si="106"/>
        <v>45</v>
      </c>
      <c r="AM252" s="74">
        <v>46</v>
      </c>
      <c r="AN252" s="74">
        <f t="shared" si="112"/>
        <v>0.75</v>
      </c>
      <c r="AO252" s="74">
        <f t="shared" ref="AO252:AP283" si="155">$AO$12*$AO$5</f>
        <v>19</v>
      </c>
      <c r="AP252" s="74">
        <f t="shared" si="155"/>
        <v>19</v>
      </c>
      <c r="AQ252" s="74">
        <f t="shared" si="115"/>
        <v>5</v>
      </c>
      <c r="AR252" s="74">
        <f t="shared" ref="AR252:AR315" si="156">$AR$5*$AR$12</f>
        <v>120</v>
      </c>
      <c r="AS252" s="74">
        <f t="shared" si="103"/>
        <v>120</v>
      </c>
      <c r="AT252" s="74">
        <f t="shared" si="152"/>
        <v>55</v>
      </c>
      <c r="AU252" s="74"/>
      <c r="AV252" s="74"/>
      <c r="AW252" s="74">
        <f t="shared" si="133"/>
        <v>5219.2500000000009</v>
      </c>
      <c r="AX252" s="83">
        <f t="shared" si="146"/>
        <v>5370.9449999999988</v>
      </c>
      <c r="AY252" s="62">
        <f>'[1]D4 Gallon Forecast'!$V160/1000000</f>
        <v>0</v>
      </c>
      <c r="AZ252" s="62">
        <f>'[1]D4 Gallon Forecast'!$V192/1000000</f>
        <v>378.12787974003362</v>
      </c>
      <c r="BA252" s="62">
        <f t="shared" si="149"/>
        <v>378.12787974003362</v>
      </c>
      <c r="BB252" s="62">
        <f>'[1]D4 Gallon Forecast'!$V176/1000000</f>
        <v>0</v>
      </c>
      <c r="BC252" s="63">
        <f>'[1]D4 Gallon Forecast'!$V352/1000000</f>
        <v>266.05990334325173</v>
      </c>
      <c r="BD252" s="64">
        <f>'[1]D4 Gallon Forecast'!$V368/1000000</f>
        <v>0</v>
      </c>
      <c r="BE252" s="64">
        <f t="shared" si="150"/>
        <v>266.05990334325173</v>
      </c>
      <c r="BF252" s="76">
        <f t="shared" si="117"/>
        <v>644.18778308328535</v>
      </c>
      <c r="BG252" s="77">
        <f t="shared" si="121"/>
        <v>1.4592623881855626</v>
      </c>
      <c r="BH252" s="60"/>
      <c r="BI252" s="75">
        <f t="shared" si="134"/>
        <v>4645.4000000000005</v>
      </c>
      <c r="BJ252" s="75">
        <f t="shared" si="113"/>
        <v>725.54499999999825</v>
      </c>
      <c r="BK252" s="75">
        <f>'RD Feedstock Breakdown'!ES243</f>
        <v>7481.8271345637177</v>
      </c>
      <c r="BL252" s="78">
        <f t="shared" si="120"/>
        <v>11.614357383111706</v>
      </c>
      <c r="BM252" s="78">
        <f t="shared" si="118"/>
        <v>19.78649958238346</v>
      </c>
      <c r="BN252" s="60"/>
      <c r="BO252" s="60"/>
      <c r="BP252" s="60"/>
      <c r="BQ252" s="66">
        <f>'[1]D4 Gallon Forecast'!$V80/1000000</f>
        <v>162.20542222578072</v>
      </c>
      <c r="BR252" s="66">
        <f>'[1]D6 Gallon Forecast'!$V73/1000000</f>
        <v>0.76252929586314988</v>
      </c>
      <c r="BS252" s="66">
        <f t="shared" si="141"/>
        <v>162.96795152164387</v>
      </c>
      <c r="BT252" s="60"/>
      <c r="BU252" s="67">
        <f>'[2]US EIA'!$P389</f>
        <v>1131.6077762030309</v>
      </c>
      <c r="BV252" s="68">
        <f t="shared" si="127"/>
        <v>6.943744249327092</v>
      </c>
      <c r="BW252" s="60"/>
      <c r="BX252" s="69">
        <f t="shared" si="128"/>
        <v>0.79809602467681129</v>
      </c>
      <c r="BY252" s="69">
        <f t="shared" si="129"/>
        <v>0.20190397532318868</v>
      </c>
      <c r="BZ252" s="60"/>
      <c r="CA252" s="60"/>
      <c r="CB252" s="84" t="e">
        <f>#REF!</f>
        <v>#REF!</v>
      </c>
      <c r="CC252" s="84" t="e">
        <f>#REF!</f>
        <v>#REF!</v>
      </c>
      <c r="CD252" s="84" t="e">
        <f t="shared" si="110"/>
        <v>#REF!</v>
      </c>
      <c r="CE252" s="60"/>
      <c r="CF252" s="84">
        <f>'RD Feedstock Breakdown'!GQ243*1000000</f>
        <v>2117586821.7825532</v>
      </c>
      <c r="CG252" s="85" t="e">
        <f t="shared" si="109"/>
        <v>#REF!</v>
      </c>
      <c r="CH252" s="73">
        <f>'[2]US EIA'!$R389+AW252</f>
        <v>7066.5833333333312</v>
      </c>
    </row>
    <row r="253" spans="1:86" ht="13.5" x14ac:dyDescent="0.25">
      <c r="A253" s="59">
        <v>47849</v>
      </c>
      <c r="B253" s="74">
        <f t="shared" si="119"/>
        <v>690</v>
      </c>
      <c r="C253" s="74">
        <v>47</v>
      </c>
      <c r="D253" s="74">
        <f t="shared" si="108"/>
        <v>3</v>
      </c>
      <c r="E253" s="74">
        <f t="shared" si="123"/>
        <v>85</v>
      </c>
      <c r="F253" s="74">
        <f t="shared" si="148"/>
        <v>340</v>
      </c>
      <c r="G253" s="74">
        <f t="shared" si="107"/>
        <v>37.5</v>
      </c>
      <c r="H253" s="74">
        <f t="shared" si="140"/>
        <v>190</v>
      </c>
      <c r="I253" s="74">
        <f t="shared" si="122"/>
        <v>250</v>
      </c>
      <c r="J253" s="74">
        <f t="shared" si="114"/>
        <v>153.30000000000001</v>
      </c>
      <c r="K253" s="74">
        <f t="shared" si="126"/>
        <v>125</v>
      </c>
      <c r="L253" s="74">
        <v>125</v>
      </c>
      <c r="M253" s="74">
        <v>730</v>
      </c>
      <c r="N253" s="74">
        <f t="shared" si="102"/>
        <v>180</v>
      </c>
      <c r="O253" s="74">
        <v>375</v>
      </c>
      <c r="P253" s="74">
        <f t="shared" si="135"/>
        <v>50</v>
      </c>
      <c r="Q253" s="74">
        <f t="shared" si="136"/>
        <v>21</v>
      </c>
      <c r="R253" s="74">
        <v>100</v>
      </c>
      <c r="S253" s="74">
        <f t="shared" si="142"/>
        <v>60</v>
      </c>
      <c r="T253" s="74">
        <f t="shared" si="130"/>
        <v>36</v>
      </c>
      <c r="U253" s="74"/>
      <c r="V253" s="74">
        <f t="shared" si="154"/>
        <v>0</v>
      </c>
      <c r="W253" s="74">
        <f t="shared" si="137"/>
        <v>20</v>
      </c>
      <c r="X253" s="74">
        <f t="shared" si="116"/>
        <v>0</v>
      </c>
      <c r="Y253" s="74">
        <f t="shared" si="132"/>
        <v>3.5</v>
      </c>
      <c r="Z253" s="74">
        <f t="shared" si="124"/>
        <v>172.5</v>
      </c>
      <c r="AA253" s="74">
        <f t="shared" si="131"/>
        <v>306</v>
      </c>
      <c r="AB253" s="74">
        <f t="shared" si="144"/>
        <v>60</v>
      </c>
      <c r="AC253" s="74">
        <f t="shared" si="151"/>
        <v>1.6</v>
      </c>
      <c r="AD253" s="74">
        <f t="shared" si="139"/>
        <v>180</v>
      </c>
      <c r="AE253" s="74">
        <f t="shared" si="143"/>
        <v>1.1000000000000001</v>
      </c>
      <c r="AF253" s="74">
        <f t="shared" si="147"/>
        <v>275</v>
      </c>
      <c r="AG253" s="74">
        <f t="shared" si="153"/>
        <v>18</v>
      </c>
      <c r="AH253" s="74">
        <f t="shared" si="145"/>
        <v>3</v>
      </c>
      <c r="AI253" s="74">
        <f t="shared" si="138"/>
        <v>47</v>
      </c>
      <c r="AJ253" s="74">
        <f t="shared" si="105"/>
        <v>90</v>
      </c>
      <c r="AK253" s="74">
        <f t="shared" si="111"/>
        <v>14</v>
      </c>
      <c r="AL253" s="74">
        <f t="shared" si="106"/>
        <v>45</v>
      </c>
      <c r="AM253" s="74">
        <v>46</v>
      </c>
      <c r="AN253" s="74">
        <f t="shared" si="112"/>
        <v>0.75</v>
      </c>
      <c r="AO253" s="74">
        <f t="shared" si="155"/>
        <v>19</v>
      </c>
      <c r="AP253" s="74">
        <f t="shared" si="155"/>
        <v>19</v>
      </c>
      <c r="AQ253" s="74">
        <f t="shared" si="115"/>
        <v>5</v>
      </c>
      <c r="AR253" s="74">
        <f t="shared" si="156"/>
        <v>120</v>
      </c>
      <c r="AS253" s="74">
        <f t="shared" si="103"/>
        <v>120</v>
      </c>
      <c r="AT253" s="74">
        <f t="shared" si="152"/>
        <v>55</v>
      </c>
      <c r="AU253" s="74"/>
      <c r="AV253" s="74"/>
      <c r="AW253" s="74">
        <f t="shared" si="133"/>
        <v>5219.2500000000009</v>
      </c>
      <c r="AX253" s="83">
        <f t="shared" si="146"/>
        <v>5370.9449999999988</v>
      </c>
      <c r="AY253" s="62">
        <f>'[1]D4 Gallon Forecast'!$W149/1000000</f>
        <v>0</v>
      </c>
      <c r="AZ253" s="62">
        <f>'[1]D4 Gallon Forecast'!$W181/1000000</f>
        <v>214.40894945894166</v>
      </c>
      <c r="BA253" s="62">
        <f t="shared" si="149"/>
        <v>214.40894945894166</v>
      </c>
      <c r="BB253" s="62">
        <f>'[1]D4 Gallon Forecast'!$W165/1000000</f>
        <v>0</v>
      </c>
      <c r="BC253" s="63">
        <f>'[1]D4 Gallon Forecast'!$W341/1000000</f>
        <v>185.46658281507732</v>
      </c>
      <c r="BD253" s="64">
        <f>'[1]D4 Gallon Forecast'!$W357/1000000</f>
        <v>0</v>
      </c>
      <c r="BE253" s="64">
        <f t="shared" si="150"/>
        <v>185.46658281507732</v>
      </c>
      <c r="BF253" s="76">
        <f t="shared" si="117"/>
        <v>399.87553227401895</v>
      </c>
      <c r="BG253" s="77">
        <f t="shared" si="121"/>
        <v>0.876607731462268</v>
      </c>
      <c r="BH253" s="60"/>
      <c r="BI253" s="75">
        <f t="shared" si="134"/>
        <v>4645.4000000000005</v>
      </c>
      <c r="BJ253" s="75">
        <f t="shared" si="113"/>
        <v>725.54499999999825</v>
      </c>
      <c r="BK253" s="75">
        <f>'RD Feedstock Breakdown'!ES244</f>
        <v>3188.6342407484126</v>
      </c>
      <c r="BL253" s="78">
        <f t="shared" si="120"/>
        <v>7.9740668868015838</v>
      </c>
      <c r="BM253" s="78">
        <f t="shared" si="118"/>
        <v>14.871740423125489</v>
      </c>
      <c r="BN253" s="60"/>
      <c r="BO253" s="60"/>
      <c r="BP253" s="60"/>
      <c r="BQ253" s="66">
        <f>'[1]D4 Gallon Forecast'!$W69/1000000</f>
        <v>84.515444617420528</v>
      </c>
      <c r="BR253" s="66">
        <f>'[1]D6 Gallon Forecast'!$W62/1000000</f>
        <v>0</v>
      </c>
      <c r="BS253" s="66">
        <f t="shared" si="141"/>
        <v>84.515444617420528</v>
      </c>
      <c r="BT253" s="60"/>
      <c r="BU253" s="67">
        <f>'[2]US EIA'!$P390</f>
        <v>784.37169677173574</v>
      </c>
      <c r="BV253" s="68">
        <f t="shared" si="127"/>
        <v>9.280808973109977</v>
      </c>
      <c r="BW253" s="60"/>
      <c r="BX253" s="69">
        <f t="shared" si="128"/>
        <v>0.82552225650486888</v>
      </c>
      <c r="BY253" s="69">
        <f t="shared" si="129"/>
        <v>0.17447774349513104</v>
      </c>
      <c r="BZ253" s="60"/>
      <c r="CA253" s="60"/>
      <c r="CB253" s="84" t="e">
        <f>#REF!</f>
        <v>#REF!</v>
      </c>
      <c r="CC253" s="84" t="e">
        <f>#REF!</f>
        <v>#REF!</v>
      </c>
      <c r="CD253" s="84" t="e">
        <f t="shared" si="110"/>
        <v>#REF!</v>
      </c>
      <c r="CE253" s="60"/>
      <c r="CF253" s="84">
        <f>'RD Feedstock Breakdown'!GQ244*1000000</f>
        <v>1478922936.6339517</v>
      </c>
      <c r="CG253" s="85" t="e">
        <f t="shared" si="109"/>
        <v>#REF!</v>
      </c>
      <c r="CH253" s="73">
        <f>'[2]US EIA'!$R390+AW253</f>
        <v>7086.5833333333312</v>
      </c>
    </row>
    <row r="254" spans="1:86" ht="13.5" x14ac:dyDescent="0.25">
      <c r="A254" s="59">
        <v>47880</v>
      </c>
      <c r="B254" s="74">
        <f t="shared" si="119"/>
        <v>690</v>
      </c>
      <c r="C254" s="74">
        <v>47</v>
      </c>
      <c r="D254" s="74">
        <f t="shared" si="108"/>
        <v>3</v>
      </c>
      <c r="E254" s="74">
        <f t="shared" si="123"/>
        <v>85</v>
      </c>
      <c r="F254" s="74">
        <f t="shared" si="148"/>
        <v>340</v>
      </c>
      <c r="G254" s="74">
        <f t="shared" si="107"/>
        <v>37.5</v>
      </c>
      <c r="H254" s="74">
        <f t="shared" si="140"/>
        <v>190</v>
      </c>
      <c r="I254" s="74">
        <f t="shared" si="122"/>
        <v>250</v>
      </c>
      <c r="J254" s="74">
        <f t="shared" si="114"/>
        <v>153.30000000000001</v>
      </c>
      <c r="K254" s="74">
        <f t="shared" si="126"/>
        <v>125</v>
      </c>
      <c r="L254" s="74">
        <v>125</v>
      </c>
      <c r="M254" s="74">
        <v>730</v>
      </c>
      <c r="N254" s="74">
        <f t="shared" si="102"/>
        <v>180</v>
      </c>
      <c r="O254" s="74">
        <v>375</v>
      </c>
      <c r="P254" s="74">
        <f t="shared" si="135"/>
        <v>50</v>
      </c>
      <c r="Q254" s="74">
        <f t="shared" si="136"/>
        <v>21</v>
      </c>
      <c r="R254" s="74">
        <v>100</v>
      </c>
      <c r="S254" s="74">
        <f t="shared" si="142"/>
        <v>60</v>
      </c>
      <c r="T254" s="74">
        <f t="shared" si="130"/>
        <v>36</v>
      </c>
      <c r="U254" s="74"/>
      <c r="V254" s="74">
        <f t="shared" si="154"/>
        <v>0</v>
      </c>
      <c r="W254" s="74">
        <f t="shared" si="137"/>
        <v>20</v>
      </c>
      <c r="X254" s="74">
        <f t="shared" si="116"/>
        <v>0</v>
      </c>
      <c r="Y254" s="74">
        <f t="shared" si="132"/>
        <v>3.5</v>
      </c>
      <c r="Z254" s="74">
        <f>765*$Z$12</f>
        <v>191.25</v>
      </c>
      <c r="AA254" s="74">
        <f t="shared" si="131"/>
        <v>306</v>
      </c>
      <c r="AB254" s="74">
        <f t="shared" si="144"/>
        <v>60</v>
      </c>
      <c r="AC254" s="74">
        <f t="shared" si="151"/>
        <v>1.6</v>
      </c>
      <c r="AD254" s="74">
        <f t="shared" si="139"/>
        <v>180</v>
      </c>
      <c r="AE254" s="74">
        <f t="shared" si="143"/>
        <v>1.1000000000000001</v>
      </c>
      <c r="AF254" s="74">
        <f t="shared" si="147"/>
        <v>275</v>
      </c>
      <c r="AG254" s="74">
        <f t="shared" si="153"/>
        <v>18</v>
      </c>
      <c r="AH254" s="74">
        <f t="shared" si="145"/>
        <v>3</v>
      </c>
      <c r="AI254" s="74">
        <f t="shared" si="138"/>
        <v>47</v>
      </c>
      <c r="AJ254" s="74">
        <f t="shared" si="105"/>
        <v>90</v>
      </c>
      <c r="AK254" s="74">
        <f t="shared" si="111"/>
        <v>14</v>
      </c>
      <c r="AL254" s="74">
        <f t="shared" si="106"/>
        <v>45</v>
      </c>
      <c r="AM254" s="74">
        <v>46</v>
      </c>
      <c r="AN254" s="74">
        <f t="shared" si="112"/>
        <v>0.75</v>
      </c>
      <c r="AO254" s="74">
        <f t="shared" si="155"/>
        <v>19</v>
      </c>
      <c r="AP254" s="74">
        <f t="shared" si="155"/>
        <v>19</v>
      </c>
      <c r="AQ254" s="74">
        <f t="shared" si="115"/>
        <v>5</v>
      </c>
      <c r="AR254" s="74">
        <f t="shared" si="156"/>
        <v>120</v>
      </c>
      <c r="AS254" s="74">
        <f t="shared" si="103"/>
        <v>120</v>
      </c>
      <c r="AT254" s="74">
        <f t="shared" si="152"/>
        <v>55</v>
      </c>
      <c r="AU254" s="74"/>
      <c r="AV254" s="74"/>
      <c r="AW254" s="74">
        <f t="shared" si="133"/>
        <v>5238.0000000000009</v>
      </c>
      <c r="AX254" s="83">
        <f t="shared" si="146"/>
        <v>5389.6949999999988</v>
      </c>
      <c r="AY254" s="62">
        <f>'[1]D4 Gallon Forecast'!$W150/1000000</f>
        <v>0</v>
      </c>
      <c r="AZ254" s="62">
        <f>'[1]D4 Gallon Forecast'!$W182/1000000</f>
        <v>236.42907613812565</v>
      </c>
      <c r="BA254" s="62">
        <f t="shared" si="149"/>
        <v>236.42907613812565</v>
      </c>
      <c r="BB254" s="62">
        <f>'[1]D4 Gallon Forecast'!$W166/1000000</f>
        <v>0</v>
      </c>
      <c r="BC254" s="63">
        <f>'[1]D4 Gallon Forecast'!$W342/1000000</f>
        <v>352.03344140870752</v>
      </c>
      <c r="BD254" s="64">
        <f>'[1]D4 Gallon Forecast'!$W358/1000000</f>
        <v>0</v>
      </c>
      <c r="BE254" s="64">
        <f t="shared" si="150"/>
        <v>352.03344140870752</v>
      </c>
      <c r="BF254" s="76">
        <f t="shared" si="117"/>
        <v>588.46251754683317</v>
      </c>
      <c r="BG254" s="77">
        <f t="shared" si="121"/>
        <v>1.2855405690985395</v>
      </c>
      <c r="BH254" s="60"/>
      <c r="BI254" s="75">
        <f t="shared" si="134"/>
        <v>4664.1500000000005</v>
      </c>
      <c r="BJ254" s="75">
        <f t="shared" si="113"/>
        <v>725.54499999999825</v>
      </c>
      <c r="BK254" s="75">
        <f>'RD Feedstock Breakdown'!ES245</f>
        <v>6033.0669794023443</v>
      </c>
      <c r="BL254" s="78">
        <f t="shared" si="120"/>
        <v>10.252253626200073</v>
      </c>
      <c r="BM254" s="78">
        <f t="shared" si="118"/>
        <v>25.517449367681536</v>
      </c>
      <c r="BN254" s="60"/>
      <c r="BO254" s="60"/>
      <c r="BP254" s="60"/>
      <c r="BQ254" s="66">
        <f>'[1]D4 Gallon Forecast'!$W70/1000000</f>
        <v>89.701855181868964</v>
      </c>
      <c r="BR254" s="66">
        <f>'[1]D6 Gallon Forecast'!$W63/1000000</f>
        <v>0</v>
      </c>
      <c r="BS254" s="66">
        <f t="shared" si="141"/>
        <v>89.701855181868964</v>
      </c>
      <c r="BT254" s="60"/>
      <c r="BU254" s="67">
        <f>'[2]US EIA'!$P391</f>
        <v>730.30728599632664</v>
      </c>
      <c r="BV254" s="68">
        <f t="shared" si="127"/>
        <v>8.1414958978901968</v>
      </c>
      <c r="BW254" s="60"/>
      <c r="BX254" s="69">
        <f t="shared" si="128"/>
        <v>0.86772844639281288</v>
      </c>
      <c r="BY254" s="69">
        <f t="shared" si="129"/>
        <v>0.13227155360718715</v>
      </c>
      <c r="BZ254" s="60"/>
      <c r="CA254" s="60"/>
      <c r="CB254" s="84" t="e">
        <f>#REF!</f>
        <v>#REF!</v>
      </c>
      <c r="CC254" s="84" t="e">
        <f>#REF!</f>
        <v>#REF!</v>
      </c>
      <c r="CD254" s="84" t="e">
        <f t="shared" si="110"/>
        <v>#REF!</v>
      </c>
      <c r="CE254" s="60"/>
      <c r="CF254" s="84">
        <f>'RD Feedstock Breakdown'!GQ245*1000000</f>
        <v>2807485203.4867711</v>
      </c>
      <c r="CG254" s="85" t="e">
        <f t="shared" si="109"/>
        <v>#REF!</v>
      </c>
      <c r="CH254" s="73">
        <f>'[2]US EIA'!$R391+AW254</f>
        <v>7105.3333333333312</v>
      </c>
    </row>
    <row r="255" spans="1:86" ht="13.5" x14ac:dyDescent="0.25">
      <c r="A255" s="59">
        <v>47908</v>
      </c>
      <c r="B255" s="74">
        <f t="shared" si="119"/>
        <v>690</v>
      </c>
      <c r="C255" s="74">
        <v>47</v>
      </c>
      <c r="D255" s="74">
        <f t="shared" si="108"/>
        <v>3</v>
      </c>
      <c r="E255" s="74">
        <f t="shared" si="123"/>
        <v>85</v>
      </c>
      <c r="F255" s="74">
        <f t="shared" si="148"/>
        <v>340</v>
      </c>
      <c r="G255" s="74">
        <f t="shared" si="107"/>
        <v>37.5</v>
      </c>
      <c r="H255" s="74">
        <f t="shared" si="140"/>
        <v>190</v>
      </c>
      <c r="I255" s="74">
        <f t="shared" si="122"/>
        <v>250</v>
      </c>
      <c r="J255" s="74">
        <f t="shared" si="114"/>
        <v>153.30000000000001</v>
      </c>
      <c r="K255" s="74">
        <f t="shared" si="126"/>
        <v>125</v>
      </c>
      <c r="L255" s="74">
        <v>125</v>
      </c>
      <c r="M255" s="74">
        <v>730</v>
      </c>
      <c r="N255" s="74">
        <f t="shared" si="102"/>
        <v>180</v>
      </c>
      <c r="O255" s="74">
        <v>375</v>
      </c>
      <c r="P255" s="74">
        <f t="shared" si="135"/>
        <v>50</v>
      </c>
      <c r="Q255" s="74">
        <f t="shared" si="136"/>
        <v>21</v>
      </c>
      <c r="R255" s="74">
        <v>100</v>
      </c>
      <c r="S255" s="74">
        <f t="shared" si="142"/>
        <v>60</v>
      </c>
      <c r="T255" s="74">
        <f t="shared" si="130"/>
        <v>36</v>
      </c>
      <c r="U255" s="74"/>
      <c r="V255" s="74">
        <f t="shared" si="154"/>
        <v>0</v>
      </c>
      <c r="W255" s="74">
        <f t="shared" si="137"/>
        <v>20</v>
      </c>
      <c r="X255" s="74">
        <f t="shared" si="116"/>
        <v>0</v>
      </c>
      <c r="Y255" s="74">
        <f t="shared" si="132"/>
        <v>3.5</v>
      </c>
      <c r="Z255" s="74">
        <f>920*$Z$12</f>
        <v>230</v>
      </c>
      <c r="AA255" s="74">
        <f t="shared" si="131"/>
        <v>306</v>
      </c>
      <c r="AB255" s="74">
        <f t="shared" si="144"/>
        <v>60</v>
      </c>
      <c r="AC255" s="74">
        <f t="shared" si="151"/>
        <v>1.6</v>
      </c>
      <c r="AD255" s="74">
        <f t="shared" si="139"/>
        <v>180</v>
      </c>
      <c r="AE255" s="74">
        <f t="shared" si="143"/>
        <v>1.1000000000000001</v>
      </c>
      <c r="AF255" s="74">
        <f t="shared" si="147"/>
        <v>275</v>
      </c>
      <c r="AG255" s="74">
        <f t="shared" si="153"/>
        <v>18</v>
      </c>
      <c r="AH255" s="74">
        <f t="shared" si="145"/>
        <v>3</v>
      </c>
      <c r="AI255" s="74">
        <f t="shared" si="138"/>
        <v>47</v>
      </c>
      <c r="AJ255" s="74">
        <f t="shared" si="105"/>
        <v>90</v>
      </c>
      <c r="AK255" s="74">
        <f t="shared" si="111"/>
        <v>14</v>
      </c>
      <c r="AL255" s="74">
        <f t="shared" si="106"/>
        <v>45</v>
      </c>
      <c r="AM255" s="74">
        <v>46</v>
      </c>
      <c r="AN255" s="74">
        <f t="shared" si="112"/>
        <v>0.75</v>
      </c>
      <c r="AO255" s="74">
        <f t="shared" si="155"/>
        <v>19</v>
      </c>
      <c r="AP255" s="74">
        <f t="shared" si="155"/>
        <v>19</v>
      </c>
      <c r="AQ255" s="74">
        <f t="shared" si="115"/>
        <v>5</v>
      </c>
      <c r="AR255" s="74">
        <f t="shared" si="156"/>
        <v>120</v>
      </c>
      <c r="AS255" s="74">
        <f t="shared" si="103"/>
        <v>120</v>
      </c>
      <c r="AT255" s="74">
        <f t="shared" si="152"/>
        <v>55</v>
      </c>
      <c r="AU255" s="74"/>
      <c r="AV255" s="74"/>
      <c r="AW255" s="74">
        <f t="shared" si="133"/>
        <v>5276.7500000000009</v>
      </c>
      <c r="AX255" s="83">
        <f t="shared" si="146"/>
        <v>5428.4449999999988</v>
      </c>
      <c r="AY255" s="62">
        <f>'[1]D4 Gallon Forecast'!$W151/1000000</f>
        <v>0</v>
      </c>
      <c r="AZ255" s="62">
        <f>'[1]D4 Gallon Forecast'!$W183/1000000</f>
        <v>249.02100220433874</v>
      </c>
      <c r="BA255" s="62">
        <f t="shared" si="149"/>
        <v>249.02100220433874</v>
      </c>
      <c r="BB255" s="62">
        <f>'[1]D4 Gallon Forecast'!$W167/1000000</f>
        <v>0</v>
      </c>
      <c r="BC255" s="63">
        <f>'[1]D4 Gallon Forecast'!$W343/1000000</f>
        <v>140.7104671858601</v>
      </c>
      <c r="BD255" s="64">
        <f>'[1]D4 Gallon Forecast'!$W359/1000000</f>
        <v>0</v>
      </c>
      <c r="BE255" s="64">
        <f t="shared" si="150"/>
        <v>140.7104671858601</v>
      </c>
      <c r="BF255" s="76">
        <f t="shared" si="117"/>
        <v>389.73146939019887</v>
      </c>
      <c r="BG255" s="77">
        <f t="shared" si="121"/>
        <v>0.93589012748996003</v>
      </c>
      <c r="BH255" s="60"/>
      <c r="BI255" s="75">
        <f t="shared" si="134"/>
        <v>4702.9000000000005</v>
      </c>
      <c r="BJ255" s="75">
        <f t="shared" si="113"/>
        <v>725.54499999999825</v>
      </c>
      <c r="BK255" s="75">
        <f>'RD Feedstock Breakdown'!ES246</f>
        <v>3108.5146975450848</v>
      </c>
      <c r="BL255" s="78">
        <f t="shared" si="120"/>
        <v>7.9760423309128319</v>
      </c>
      <c r="BM255" s="78">
        <f t="shared" si="118"/>
        <v>12.482941880517918</v>
      </c>
      <c r="BN255" s="60"/>
      <c r="BO255" s="60"/>
      <c r="BP255" s="60"/>
      <c r="BQ255" s="66">
        <f>'[1]D4 Gallon Forecast'!$W71/1000000</f>
        <v>101.9634524530131</v>
      </c>
      <c r="BR255" s="66">
        <f>'[1]D6 Gallon Forecast'!$W64/1000000</f>
        <v>2.0309999999999998E-3</v>
      </c>
      <c r="BS255" s="66">
        <f t="shared" si="141"/>
        <v>101.96548345301311</v>
      </c>
      <c r="BT255" s="60"/>
      <c r="BU255" s="67">
        <f>'[2]US EIA'!$P392</f>
        <v>803.33266138772149</v>
      </c>
      <c r="BV255" s="68">
        <f t="shared" si="127"/>
        <v>7.8784764626542136</v>
      </c>
      <c r="BW255" s="60"/>
      <c r="BX255" s="69">
        <f t="shared" si="128"/>
        <v>0.79262535009948087</v>
      </c>
      <c r="BY255" s="69">
        <f t="shared" si="129"/>
        <v>0.20737464990051904</v>
      </c>
      <c r="BZ255" s="60"/>
      <c r="CA255" s="60"/>
      <c r="CB255" s="84" t="e">
        <f>#REF!</f>
        <v>#REF!</v>
      </c>
      <c r="CC255" s="84" t="e">
        <f>#REF!</f>
        <v>#REF!</v>
      </c>
      <c r="CD255" s="84" t="e">
        <f t="shared" si="110"/>
        <v>#REF!</v>
      </c>
      <c r="CE255" s="60"/>
      <c r="CF255" s="84">
        <f>'RD Feedstock Breakdown'!GQ246*1000000</f>
        <v>1122312642.6769412</v>
      </c>
      <c r="CG255" s="85" t="e">
        <f t="shared" si="109"/>
        <v>#REF!</v>
      </c>
      <c r="CH255" s="73">
        <f>'[2]US EIA'!$R392+AW255</f>
        <v>7144.0833333333312</v>
      </c>
    </row>
    <row r="256" spans="1:86" ht="13.5" x14ac:dyDescent="0.25">
      <c r="A256" s="59">
        <v>47939</v>
      </c>
      <c r="B256" s="74">
        <f t="shared" si="119"/>
        <v>690</v>
      </c>
      <c r="C256" s="74">
        <v>47</v>
      </c>
      <c r="D256" s="74">
        <f t="shared" si="108"/>
        <v>3</v>
      </c>
      <c r="E256" s="74">
        <f t="shared" si="123"/>
        <v>85</v>
      </c>
      <c r="F256" s="74">
        <f t="shared" si="148"/>
        <v>340</v>
      </c>
      <c r="G256" s="74">
        <f t="shared" si="107"/>
        <v>37.5</v>
      </c>
      <c r="H256" s="74">
        <f t="shared" si="140"/>
        <v>190</v>
      </c>
      <c r="I256" s="74">
        <f t="shared" si="122"/>
        <v>250</v>
      </c>
      <c r="J256" s="74">
        <f t="shared" si="114"/>
        <v>153.30000000000001</v>
      </c>
      <c r="K256" s="74">
        <f t="shared" si="126"/>
        <v>125</v>
      </c>
      <c r="L256" s="74">
        <v>125</v>
      </c>
      <c r="M256" s="74">
        <v>730</v>
      </c>
      <c r="N256" s="74">
        <f t="shared" si="102"/>
        <v>180</v>
      </c>
      <c r="O256" s="74">
        <v>375</v>
      </c>
      <c r="P256" s="74">
        <f t="shared" si="135"/>
        <v>50</v>
      </c>
      <c r="Q256" s="74">
        <f t="shared" si="136"/>
        <v>21</v>
      </c>
      <c r="R256" s="74">
        <v>100</v>
      </c>
      <c r="S256" s="74">
        <f t="shared" si="142"/>
        <v>60</v>
      </c>
      <c r="T256" s="74">
        <f t="shared" si="130"/>
        <v>36</v>
      </c>
      <c r="U256" s="74"/>
      <c r="V256" s="74">
        <f t="shared" si="154"/>
        <v>0</v>
      </c>
      <c r="W256" s="74">
        <f t="shared" si="137"/>
        <v>20</v>
      </c>
      <c r="X256" s="74">
        <f t="shared" si="116"/>
        <v>0</v>
      </c>
      <c r="Y256" s="74">
        <f t="shared" si="132"/>
        <v>3.5</v>
      </c>
      <c r="Z256" s="74">
        <f t="shared" ref="Z256:Z319" si="157">920*$Z$12</f>
        <v>230</v>
      </c>
      <c r="AA256" s="74">
        <f t="shared" si="131"/>
        <v>306</v>
      </c>
      <c r="AB256" s="74">
        <f t="shared" si="144"/>
        <v>60</v>
      </c>
      <c r="AC256" s="74">
        <f t="shared" si="151"/>
        <v>1.6</v>
      </c>
      <c r="AD256" s="74">
        <f t="shared" si="139"/>
        <v>180</v>
      </c>
      <c r="AE256" s="74">
        <f t="shared" si="143"/>
        <v>1.1000000000000001</v>
      </c>
      <c r="AF256" s="74">
        <f t="shared" si="147"/>
        <v>275</v>
      </c>
      <c r="AG256" s="74">
        <f t="shared" si="153"/>
        <v>18</v>
      </c>
      <c r="AH256" s="74">
        <f t="shared" si="145"/>
        <v>3</v>
      </c>
      <c r="AI256" s="74">
        <f t="shared" si="138"/>
        <v>47</v>
      </c>
      <c r="AJ256" s="74">
        <f t="shared" si="105"/>
        <v>90</v>
      </c>
      <c r="AK256" s="74">
        <f t="shared" si="111"/>
        <v>14</v>
      </c>
      <c r="AL256" s="74">
        <f t="shared" si="106"/>
        <v>45</v>
      </c>
      <c r="AM256" s="74">
        <v>46</v>
      </c>
      <c r="AN256" s="74">
        <f t="shared" si="112"/>
        <v>0.75</v>
      </c>
      <c r="AO256" s="74">
        <f t="shared" si="155"/>
        <v>19</v>
      </c>
      <c r="AP256" s="74">
        <f t="shared" si="155"/>
        <v>19</v>
      </c>
      <c r="AQ256" s="74">
        <f t="shared" si="115"/>
        <v>5</v>
      </c>
      <c r="AR256" s="74">
        <f t="shared" si="156"/>
        <v>120</v>
      </c>
      <c r="AS256" s="74">
        <f t="shared" si="103"/>
        <v>120</v>
      </c>
      <c r="AT256" s="74">
        <f t="shared" si="152"/>
        <v>55</v>
      </c>
      <c r="AU256" s="74"/>
      <c r="AV256" s="74"/>
      <c r="AW256" s="74">
        <f t="shared" si="133"/>
        <v>5276.7500000000009</v>
      </c>
      <c r="AX256" s="83">
        <f t="shared" si="146"/>
        <v>5428.4449999999988</v>
      </c>
      <c r="AY256" s="62">
        <f>'[1]D4 Gallon Forecast'!$W152/1000000</f>
        <v>0</v>
      </c>
      <c r="AZ256" s="62">
        <f>'[1]D4 Gallon Forecast'!$W184/1000000</f>
        <v>241.78712705106224</v>
      </c>
      <c r="BA256" s="62">
        <f t="shared" si="149"/>
        <v>241.78712705106224</v>
      </c>
      <c r="BB256" s="62">
        <f>'[1]D4 Gallon Forecast'!$W168/1000000</f>
        <v>0</v>
      </c>
      <c r="BC256" s="63">
        <f>'[1]D4 Gallon Forecast'!$W344/1000000</f>
        <v>225.58230985068755</v>
      </c>
      <c r="BD256" s="64">
        <f>'[1]D4 Gallon Forecast'!$W360/1000000</f>
        <v>0</v>
      </c>
      <c r="BE256" s="64">
        <f t="shared" si="150"/>
        <v>225.58230985068755</v>
      </c>
      <c r="BF256" s="76">
        <f t="shared" si="117"/>
        <v>467.36943690174979</v>
      </c>
      <c r="BG256" s="77">
        <f t="shared" si="121"/>
        <v>1.0137153841812698</v>
      </c>
      <c r="BH256" s="60"/>
      <c r="BI256" s="75">
        <f t="shared" si="134"/>
        <v>4702.9000000000005</v>
      </c>
      <c r="BJ256" s="75">
        <f t="shared" si="113"/>
        <v>725.54499999999825</v>
      </c>
      <c r="BK256" s="75">
        <f>'RD Feedstock Breakdown'!ES247</f>
        <v>3778.8860516711779</v>
      </c>
      <c r="BL256" s="78">
        <f t="shared" si="120"/>
        <v>8.0854368157273697</v>
      </c>
      <c r="BM256" s="78">
        <f t="shared" si="118"/>
        <v>15.628979498454139</v>
      </c>
      <c r="BN256" s="60"/>
      <c r="BO256" s="60"/>
      <c r="BP256" s="60"/>
      <c r="BQ256" s="66">
        <f>'[1]D4 Gallon Forecast'!$W72/1000000</f>
        <v>112.48857371474865</v>
      </c>
      <c r="BR256" s="66">
        <f>'[1]D6 Gallon Forecast'!$W65/1000000</f>
        <v>0.58454591798252986</v>
      </c>
      <c r="BS256" s="66">
        <f t="shared" si="141"/>
        <v>113.07311963273118</v>
      </c>
      <c r="BT256" s="60"/>
      <c r="BU256" s="67">
        <f>'[2]US EIA'!$P393</f>
        <v>858.58504960782761</v>
      </c>
      <c r="BV256" s="68">
        <f t="shared" si="127"/>
        <v>7.5931844137365934</v>
      </c>
      <c r="BW256" s="60"/>
      <c r="BX256" s="69">
        <f t="shared" si="128"/>
        <v>0.80519498723899274</v>
      </c>
      <c r="BY256" s="69">
        <f t="shared" si="129"/>
        <v>0.19480501276100715</v>
      </c>
      <c r="BZ256" s="60"/>
      <c r="CA256" s="60"/>
      <c r="CB256" s="84" t="e">
        <f>#REF!</f>
        <v>#REF!</v>
      </c>
      <c r="CC256" s="84" t="e">
        <f>#REF!</f>
        <v>#REF!</v>
      </c>
      <c r="CD256" s="84" t="e">
        <f t="shared" si="110"/>
        <v>#REF!</v>
      </c>
      <c r="CE256" s="60"/>
      <c r="CF256" s="84">
        <f>'RD Feedstock Breakdown'!GQ247*1000000</f>
        <v>1799254052.4741786</v>
      </c>
      <c r="CG256" s="85" t="e">
        <f t="shared" si="109"/>
        <v>#REF!</v>
      </c>
      <c r="CH256" s="73">
        <f>'[2]US EIA'!$R393+AW256</f>
        <v>7154.0833333333312</v>
      </c>
    </row>
    <row r="257" spans="1:86" ht="13.5" x14ac:dyDescent="0.25">
      <c r="A257" s="59">
        <v>47969</v>
      </c>
      <c r="B257" s="74">
        <f t="shared" si="119"/>
        <v>690</v>
      </c>
      <c r="C257" s="74">
        <v>47</v>
      </c>
      <c r="D257" s="74">
        <f t="shared" si="108"/>
        <v>3</v>
      </c>
      <c r="E257" s="74">
        <f t="shared" si="123"/>
        <v>85</v>
      </c>
      <c r="F257" s="74">
        <f t="shared" si="148"/>
        <v>340</v>
      </c>
      <c r="G257" s="74">
        <f t="shared" si="107"/>
        <v>37.5</v>
      </c>
      <c r="H257" s="74">
        <f t="shared" si="140"/>
        <v>190</v>
      </c>
      <c r="I257" s="74">
        <f t="shared" si="122"/>
        <v>250</v>
      </c>
      <c r="J257" s="74">
        <f t="shared" si="114"/>
        <v>153.30000000000001</v>
      </c>
      <c r="K257" s="74">
        <f t="shared" si="126"/>
        <v>125</v>
      </c>
      <c r="L257" s="74">
        <v>125</v>
      </c>
      <c r="M257" s="74">
        <v>730</v>
      </c>
      <c r="N257" s="74">
        <f t="shared" si="102"/>
        <v>180</v>
      </c>
      <c r="O257" s="74">
        <v>375</v>
      </c>
      <c r="P257" s="74">
        <f t="shared" si="135"/>
        <v>50</v>
      </c>
      <c r="Q257" s="74">
        <f t="shared" si="136"/>
        <v>21</v>
      </c>
      <c r="R257" s="74">
        <v>100</v>
      </c>
      <c r="S257" s="74">
        <f t="shared" si="142"/>
        <v>60</v>
      </c>
      <c r="T257" s="74">
        <f t="shared" si="130"/>
        <v>36</v>
      </c>
      <c r="U257" s="74"/>
      <c r="V257" s="74">
        <f t="shared" si="154"/>
        <v>0</v>
      </c>
      <c r="W257" s="74">
        <f t="shared" si="137"/>
        <v>20</v>
      </c>
      <c r="X257" s="74">
        <f t="shared" si="116"/>
        <v>0</v>
      </c>
      <c r="Y257" s="74">
        <f t="shared" si="132"/>
        <v>3.5</v>
      </c>
      <c r="Z257" s="74">
        <f t="shared" si="157"/>
        <v>230</v>
      </c>
      <c r="AA257" s="74">
        <f t="shared" si="131"/>
        <v>306</v>
      </c>
      <c r="AB257" s="74">
        <f t="shared" si="144"/>
        <v>60</v>
      </c>
      <c r="AC257" s="74">
        <f t="shared" si="151"/>
        <v>1.6</v>
      </c>
      <c r="AD257" s="74">
        <f t="shared" si="139"/>
        <v>180</v>
      </c>
      <c r="AE257" s="74">
        <f t="shared" si="143"/>
        <v>1.1000000000000001</v>
      </c>
      <c r="AF257" s="74">
        <f t="shared" si="147"/>
        <v>275</v>
      </c>
      <c r="AG257" s="74">
        <f t="shared" si="153"/>
        <v>18</v>
      </c>
      <c r="AH257" s="74">
        <f t="shared" si="145"/>
        <v>3</v>
      </c>
      <c r="AI257" s="74">
        <f t="shared" si="138"/>
        <v>47</v>
      </c>
      <c r="AJ257" s="74">
        <f t="shared" si="105"/>
        <v>90</v>
      </c>
      <c r="AK257" s="74">
        <f t="shared" si="111"/>
        <v>14</v>
      </c>
      <c r="AL257" s="74">
        <f t="shared" si="106"/>
        <v>45</v>
      </c>
      <c r="AM257" s="74">
        <v>46</v>
      </c>
      <c r="AN257" s="74">
        <f t="shared" si="112"/>
        <v>0.75</v>
      </c>
      <c r="AO257" s="74">
        <f t="shared" si="155"/>
        <v>19</v>
      </c>
      <c r="AP257" s="74">
        <f t="shared" si="155"/>
        <v>19</v>
      </c>
      <c r="AQ257" s="74">
        <f t="shared" si="115"/>
        <v>5</v>
      </c>
      <c r="AR257" s="74">
        <f t="shared" si="156"/>
        <v>120</v>
      </c>
      <c r="AS257" s="74">
        <f t="shared" si="103"/>
        <v>120</v>
      </c>
      <c r="AT257" s="74">
        <f t="shared" si="152"/>
        <v>55</v>
      </c>
      <c r="AU257" s="74"/>
      <c r="AV257" s="74"/>
      <c r="AW257" s="74">
        <f t="shared" si="133"/>
        <v>5276.7500000000009</v>
      </c>
      <c r="AX257" s="83">
        <f t="shared" si="146"/>
        <v>5428.4449999999988</v>
      </c>
      <c r="AY257" s="62">
        <f>'[1]D4 Gallon Forecast'!$W153/1000000</f>
        <v>0</v>
      </c>
      <c r="AZ257" s="62">
        <f>'[1]D4 Gallon Forecast'!$W185/1000000</f>
        <v>270.09915500873711</v>
      </c>
      <c r="BA257" s="62">
        <f t="shared" si="149"/>
        <v>270.09915500873711</v>
      </c>
      <c r="BB257" s="62">
        <f>'[1]D4 Gallon Forecast'!$W169/1000000</f>
        <v>0</v>
      </c>
      <c r="BC257" s="63">
        <f>'[1]D4 Gallon Forecast'!$W345/1000000</f>
        <v>296.96372671365538</v>
      </c>
      <c r="BD257" s="64">
        <f>'[1]D4 Gallon Forecast'!$W361/1000000</f>
        <v>0</v>
      </c>
      <c r="BE257" s="64">
        <f t="shared" si="150"/>
        <v>296.96372671365538</v>
      </c>
      <c r="BF257" s="76">
        <f t="shared" si="117"/>
        <v>567.06288172239249</v>
      </c>
      <c r="BG257" s="77">
        <f t="shared" si="121"/>
        <v>1.2709468477539658</v>
      </c>
      <c r="BH257" s="60"/>
      <c r="BI257" s="75">
        <f t="shared" si="134"/>
        <v>4702.9000000000005</v>
      </c>
      <c r="BJ257" s="75">
        <f t="shared" si="113"/>
        <v>725.54499999999825</v>
      </c>
      <c r="BK257" s="75">
        <f>'RD Feedstock Breakdown'!ES248</f>
        <v>5748.387801434721</v>
      </c>
      <c r="BL257" s="78">
        <f t="shared" si="120"/>
        <v>10.137125858025854</v>
      </c>
      <c r="BM257" s="78">
        <f t="shared" si="118"/>
        <v>21.282509385298791</v>
      </c>
      <c r="BN257" s="60"/>
      <c r="BO257" s="60"/>
      <c r="BP257" s="60"/>
      <c r="BQ257" s="66">
        <f>'[1]D4 Gallon Forecast'!$W73/1000000</f>
        <v>120.37861199403523</v>
      </c>
      <c r="BR257" s="66">
        <f>'[1]D6 Gallon Forecast'!$W66/1000000</f>
        <v>0.62410539606609161</v>
      </c>
      <c r="BS257" s="66">
        <f t="shared" si="141"/>
        <v>121.00271739010131</v>
      </c>
      <c r="BT257" s="60"/>
      <c r="BU257" s="67">
        <f>'[2]US EIA'!$P394</f>
        <v>917.02104181612128</v>
      </c>
      <c r="BV257" s="68">
        <f t="shared" si="127"/>
        <v>7.5785160994338021</v>
      </c>
      <c r="BW257" s="60"/>
      <c r="BX257" s="69">
        <f t="shared" si="128"/>
        <v>0.82414072503235514</v>
      </c>
      <c r="BY257" s="69">
        <f t="shared" si="129"/>
        <v>0.17585927496764481</v>
      </c>
      <c r="BZ257" s="60"/>
      <c r="CA257" s="60"/>
      <c r="CB257" s="84" t="e">
        <f>#REF!</f>
        <v>#REF!</v>
      </c>
      <c r="CC257" s="84" t="e">
        <f>#REF!</f>
        <v>#REF!</v>
      </c>
      <c r="CD257" s="84" t="e">
        <f t="shared" si="110"/>
        <v>#REF!</v>
      </c>
      <c r="CE257" s="60"/>
      <c r="CF257" s="84">
        <f>'RD Feedstock Breakdown'!GQ248*1000000</f>
        <v>2368595255.0137448</v>
      </c>
      <c r="CG257" s="85" t="e">
        <f t="shared" si="109"/>
        <v>#REF!</v>
      </c>
      <c r="CH257" s="73">
        <f>'[2]US EIA'!$R394+AW257</f>
        <v>7154.0833333333312</v>
      </c>
    </row>
    <row r="258" spans="1:86" ht="13.5" x14ac:dyDescent="0.25">
      <c r="A258" s="59">
        <v>48000</v>
      </c>
      <c r="B258" s="74">
        <f t="shared" si="119"/>
        <v>690</v>
      </c>
      <c r="C258" s="74">
        <v>47</v>
      </c>
      <c r="D258" s="74">
        <f t="shared" si="108"/>
        <v>3</v>
      </c>
      <c r="E258" s="74">
        <f t="shared" si="123"/>
        <v>85</v>
      </c>
      <c r="F258" s="74">
        <f t="shared" si="148"/>
        <v>340</v>
      </c>
      <c r="G258" s="74">
        <f t="shared" si="107"/>
        <v>37.5</v>
      </c>
      <c r="H258" s="74">
        <f t="shared" si="140"/>
        <v>190</v>
      </c>
      <c r="I258" s="74">
        <f t="shared" si="122"/>
        <v>250</v>
      </c>
      <c r="J258" s="74">
        <f t="shared" si="114"/>
        <v>153.30000000000001</v>
      </c>
      <c r="K258" s="74">
        <f t="shared" si="126"/>
        <v>125</v>
      </c>
      <c r="L258" s="74">
        <v>125</v>
      </c>
      <c r="M258" s="74">
        <v>730</v>
      </c>
      <c r="N258" s="74">
        <f t="shared" ref="N258:N321" si="158">180*$N$12</f>
        <v>180</v>
      </c>
      <c r="O258" s="74">
        <v>375</v>
      </c>
      <c r="P258" s="74">
        <f t="shared" si="135"/>
        <v>50</v>
      </c>
      <c r="Q258" s="74">
        <f t="shared" si="136"/>
        <v>21</v>
      </c>
      <c r="R258" s="74">
        <v>100</v>
      </c>
      <c r="S258" s="74">
        <f t="shared" si="142"/>
        <v>60</v>
      </c>
      <c r="T258" s="74">
        <f t="shared" si="130"/>
        <v>36</v>
      </c>
      <c r="U258" s="74"/>
      <c r="V258" s="74">
        <f t="shared" si="154"/>
        <v>0</v>
      </c>
      <c r="W258" s="74">
        <f t="shared" si="137"/>
        <v>20</v>
      </c>
      <c r="X258" s="74">
        <f t="shared" si="116"/>
        <v>0</v>
      </c>
      <c r="Y258" s="74">
        <f t="shared" si="132"/>
        <v>3.5</v>
      </c>
      <c r="Z258" s="74">
        <f t="shared" si="157"/>
        <v>230</v>
      </c>
      <c r="AA258" s="74">
        <f t="shared" si="131"/>
        <v>306</v>
      </c>
      <c r="AB258" s="74">
        <f t="shared" si="144"/>
        <v>60</v>
      </c>
      <c r="AC258" s="74">
        <f t="shared" si="151"/>
        <v>1.6</v>
      </c>
      <c r="AD258" s="74">
        <f t="shared" si="139"/>
        <v>180</v>
      </c>
      <c r="AE258" s="74">
        <f t="shared" si="143"/>
        <v>1.1000000000000001</v>
      </c>
      <c r="AF258" s="74">
        <f t="shared" si="147"/>
        <v>275</v>
      </c>
      <c r="AG258" s="74">
        <f t="shared" si="153"/>
        <v>18</v>
      </c>
      <c r="AH258" s="74">
        <f t="shared" si="145"/>
        <v>3</v>
      </c>
      <c r="AI258" s="74">
        <f t="shared" si="138"/>
        <v>47</v>
      </c>
      <c r="AJ258" s="74">
        <f t="shared" si="105"/>
        <v>90</v>
      </c>
      <c r="AK258" s="74">
        <f t="shared" si="111"/>
        <v>14</v>
      </c>
      <c r="AL258" s="74">
        <f t="shared" si="106"/>
        <v>45</v>
      </c>
      <c r="AM258" s="74">
        <v>46</v>
      </c>
      <c r="AN258" s="74">
        <f t="shared" si="112"/>
        <v>0.75</v>
      </c>
      <c r="AO258" s="74">
        <f t="shared" si="155"/>
        <v>19</v>
      </c>
      <c r="AP258" s="74">
        <f t="shared" si="155"/>
        <v>19</v>
      </c>
      <c r="AQ258" s="74">
        <f t="shared" si="115"/>
        <v>5</v>
      </c>
      <c r="AR258" s="74">
        <f t="shared" si="156"/>
        <v>120</v>
      </c>
      <c r="AS258" s="74">
        <f t="shared" si="103"/>
        <v>120</v>
      </c>
      <c r="AT258" s="74">
        <f t="shared" si="152"/>
        <v>55</v>
      </c>
      <c r="AU258" s="74"/>
      <c r="AV258" s="74"/>
      <c r="AW258" s="74">
        <f t="shared" si="133"/>
        <v>5276.7500000000009</v>
      </c>
      <c r="AX258" s="83">
        <f t="shared" si="146"/>
        <v>5428.4449999999988</v>
      </c>
      <c r="AY258" s="62">
        <f>'[1]D4 Gallon Forecast'!$W154/1000000</f>
        <v>0</v>
      </c>
      <c r="AZ258" s="62">
        <f>'[1]D4 Gallon Forecast'!$W186/1000000</f>
        <v>267.89606049240257</v>
      </c>
      <c r="BA258" s="62">
        <f t="shared" si="149"/>
        <v>267.89606049240257</v>
      </c>
      <c r="BB258" s="62">
        <f>'[1]D4 Gallon Forecast'!$W170/1000000</f>
        <v>0</v>
      </c>
      <c r="BC258" s="63">
        <f>'[1]D4 Gallon Forecast'!$W346/1000000</f>
        <v>283.28184634963793</v>
      </c>
      <c r="BD258" s="64">
        <f>'[1]D4 Gallon Forecast'!$W362/1000000</f>
        <v>0</v>
      </c>
      <c r="BE258" s="64">
        <f t="shared" si="150"/>
        <v>283.28184634963793</v>
      </c>
      <c r="BF258" s="76">
        <f t="shared" si="117"/>
        <v>551.17790684204056</v>
      </c>
      <c r="BG258" s="77">
        <f t="shared" si="121"/>
        <v>1.195494355151993</v>
      </c>
      <c r="BH258" s="60"/>
      <c r="BI258" s="75">
        <f t="shared" si="134"/>
        <v>4702.9000000000005</v>
      </c>
      <c r="BJ258" s="75">
        <f t="shared" si="113"/>
        <v>725.54499999999825</v>
      </c>
      <c r="BK258" s="75">
        <f>'RD Feedstock Breakdown'!ES249</f>
        <v>5255.6541817932875</v>
      </c>
      <c r="BL258" s="78">
        <f t="shared" si="120"/>
        <v>9.5353135830596347</v>
      </c>
      <c r="BM258" s="78">
        <f t="shared" si="118"/>
        <v>19.618258559432366</v>
      </c>
      <c r="BN258" s="60"/>
      <c r="BO258" s="60"/>
      <c r="BP258" s="60"/>
      <c r="BQ258" s="66">
        <f>'[1]D4 Gallon Forecast'!$W74/1000000</f>
        <v>117.73840709695759</v>
      </c>
      <c r="BR258" s="66">
        <f>'[1]D6 Gallon Forecast'!$W67/1000000</f>
        <v>0.76863075574032536</v>
      </c>
      <c r="BS258" s="66">
        <f t="shared" si="141"/>
        <v>118.50703785269792</v>
      </c>
      <c r="BT258" s="60"/>
      <c r="BU258" s="67">
        <f>'[2]US EIA'!$P395</f>
        <v>905.24066725086107</v>
      </c>
      <c r="BV258" s="68">
        <f t="shared" si="127"/>
        <v>7.6387080772034706</v>
      </c>
      <c r="BW258" s="60"/>
      <c r="BX258" s="69">
        <f t="shared" si="128"/>
        <v>0.82304061216917923</v>
      </c>
      <c r="BY258" s="69">
        <f t="shared" si="129"/>
        <v>0.17695938783082066</v>
      </c>
      <c r="BZ258" s="60"/>
      <c r="CA258" s="60"/>
      <c r="CB258" s="84" t="e">
        <f>#REF!</f>
        <v>#REF!</v>
      </c>
      <c r="CC258" s="84" t="e">
        <f>#REF!</f>
        <v>#REF!</v>
      </c>
      <c r="CD258" s="84" t="e">
        <f t="shared" si="110"/>
        <v>#REF!</v>
      </c>
      <c r="CE258" s="60"/>
      <c r="CF258" s="84">
        <f>'RD Feedstock Breakdown'!GQ249*1000000</f>
        <v>2259467998.0638561</v>
      </c>
      <c r="CG258" s="85" t="e">
        <f t="shared" si="109"/>
        <v>#REF!</v>
      </c>
      <c r="CH258" s="73">
        <f>'[2]US EIA'!$R395+AW258</f>
        <v>7154.0833333333312</v>
      </c>
    </row>
    <row r="259" spans="1:86" ht="13.5" x14ac:dyDescent="0.25">
      <c r="A259" s="59">
        <v>48030</v>
      </c>
      <c r="B259" s="74">
        <f t="shared" si="119"/>
        <v>690</v>
      </c>
      <c r="C259" s="74">
        <v>47</v>
      </c>
      <c r="D259" s="74">
        <f t="shared" si="108"/>
        <v>3</v>
      </c>
      <c r="E259" s="74">
        <f t="shared" si="123"/>
        <v>85</v>
      </c>
      <c r="F259" s="74">
        <f t="shared" si="148"/>
        <v>340</v>
      </c>
      <c r="G259" s="74">
        <f t="shared" si="107"/>
        <v>37.5</v>
      </c>
      <c r="H259" s="74">
        <f t="shared" si="140"/>
        <v>190</v>
      </c>
      <c r="I259" s="74">
        <f t="shared" si="122"/>
        <v>250</v>
      </c>
      <c r="J259" s="74">
        <f t="shared" si="114"/>
        <v>153.30000000000001</v>
      </c>
      <c r="K259" s="74">
        <f t="shared" si="126"/>
        <v>125</v>
      </c>
      <c r="L259" s="74">
        <v>125</v>
      </c>
      <c r="M259" s="74">
        <v>730</v>
      </c>
      <c r="N259" s="74">
        <f t="shared" si="158"/>
        <v>180</v>
      </c>
      <c r="O259" s="74">
        <v>375</v>
      </c>
      <c r="P259" s="74">
        <f t="shared" si="135"/>
        <v>50</v>
      </c>
      <c r="Q259" s="74">
        <f t="shared" si="136"/>
        <v>21</v>
      </c>
      <c r="R259" s="74">
        <v>100</v>
      </c>
      <c r="S259" s="74">
        <f t="shared" si="142"/>
        <v>60</v>
      </c>
      <c r="T259" s="74">
        <f t="shared" si="130"/>
        <v>36</v>
      </c>
      <c r="U259" s="74"/>
      <c r="V259" s="74">
        <f t="shared" si="154"/>
        <v>0</v>
      </c>
      <c r="W259" s="74">
        <f t="shared" si="137"/>
        <v>20</v>
      </c>
      <c r="X259" s="74">
        <f t="shared" si="116"/>
        <v>0</v>
      </c>
      <c r="Y259" s="74">
        <f t="shared" si="132"/>
        <v>3.5</v>
      </c>
      <c r="Z259" s="74">
        <f t="shared" si="157"/>
        <v>230</v>
      </c>
      <c r="AA259" s="74">
        <f t="shared" si="131"/>
        <v>306</v>
      </c>
      <c r="AB259" s="74">
        <f t="shared" si="144"/>
        <v>60</v>
      </c>
      <c r="AC259" s="74">
        <f t="shared" si="151"/>
        <v>1.6</v>
      </c>
      <c r="AD259" s="74">
        <f t="shared" si="139"/>
        <v>180</v>
      </c>
      <c r="AE259" s="74">
        <f t="shared" si="143"/>
        <v>1.1000000000000001</v>
      </c>
      <c r="AF259" s="74">
        <f t="shared" si="147"/>
        <v>275</v>
      </c>
      <c r="AG259" s="74">
        <f t="shared" si="153"/>
        <v>18</v>
      </c>
      <c r="AH259" s="74">
        <f t="shared" si="145"/>
        <v>3</v>
      </c>
      <c r="AI259" s="74">
        <f t="shared" si="138"/>
        <v>47</v>
      </c>
      <c r="AJ259" s="74">
        <f t="shared" si="105"/>
        <v>90</v>
      </c>
      <c r="AK259" s="74">
        <f t="shared" si="111"/>
        <v>14</v>
      </c>
      <c r="AL259" s="74">
        <f t="shared" si="106"/>
        <v>45</v>
      </c>
      <c r="AM259" s="74">
        <v>46</v>
      </c>
      <c r="AN259" s="74">
        <f t="shared" si="112"/>
        <v>0.75</v>
      </c>
      <c r="AO259" s="74">
        <f t="shared" si="155"/>
        <v>19</v>
      </c>
      <c r="AP259" s="74">
        <f t="shared" si="155"/>
        <v>19</v>
      </c>
      <c r="AQ259" s="74">
        <f t="shared" si="115"/>
        <v>5</v>
      </c>
      <c r="AR259" s="74">
        <f t="shared" si="156"/>
        <v>120</v>
      </c>
      <c r="AS259" s="74">
        <f t="shared" ref="AS259:AS322" si="159">$AS$5*$AS$12</f>
        <v>120</v>
      </c>
      <c r="AT259" s="74">
        <f t="shared" si="152"/>
        <v>55</v>
      </c>
      <c r="AU259" s="74"/>
      <c r="AV259" s="74"/>
      <c r="AW259" s="74">
        <f t="shared" si="133"/>
        <v>5276.7500000000009</v>
      </c>
      <c r="AX259" s="83">
        <f t="shared" si="146"/>
        <v>5428.4449999999988</v>
      </c>
      <c r="AY259" s="62">
        <f>'[1]D4 Gallon Forecast'!$W155/1000000</f>
        <v>0</v>
      </c>
      <c r="AZ259" s="62">
        <f>'[1]D4 Gallon Forecast'!$W187/1000000</f>
        <v>262.38992842397761</v>
      </c>
      <c r="BA259" s="62">
        <f t="shared" si="149"/>
        <v>262.38992842397761</v>
      </c>
      <c r="BB259" s="62">
        <f>'[1]D4 Gallon Forecast'!$W171/1000000</f>
        <v>0</v>
      </c>
      <c r="BC259" s="63">
        <f>'[1]D4 Gallon Forecast'!$W347/1000000</f>
        <v>308.27391513317133</v>
      </c>
      <c r="BD259" s="64">
        <f>'[1]D4 Gallon Forecast'!$W363/1000000</f>
        <v>0</v>
      </c>
      <c r="BE259" s="64">
        <f t="shared" si="150"/>
        <v>308.27391513317133</v>
      </c>
      <c r="BF259" s="76">
        <f t="shared" si="117"/>
        <v>570.66384355714899</v>
      </c>
      <c r="BG259" s="77">
        <f t="shared" si="121"/>
        <v>1.2790176124615147</v>
      </c>
      <c r="BH259" s="60"/>
      <c r="BI259" s="75">
        <f t="shared" si="134"/>
        <v>4702.9000000000005</v>
      </c>
      <c r="BJ259" s="75">
        <f t="shared" si="113"/>
        <v>725.54499999999825</v>
      </c>
      <c r="BK259" s="75">
        <f>'RD Feedstock Breakdown'!ES250</f>
        <v>5821.6264119478501</v>
      </c>
      <c r="BL259" s="78">
        <f t="shared" si="120"/>
        <v>10.201498618976103</v>
      </c>
      <c r="BM259" s="78">
        <f t="shared" si="118"/>
        <v>22.186927855481898</v>
      </c>
      <c r="BN259" s="60"/>
      <c r="BO259" s="60"/>
      <c r="BP259" s="60"/>
      <c r="BQ259" s="66">
        <f>'[1]D4 Gallon Forecast'!$W75/1000000</f>
        <v>116.69099991890374</v>
      </c>
      <c r="BR259" s="66">
        <f>'[1]D6 Gallon Forecast'!$W68/1000000</f>
        <v>0.78790134648160659</v>
      </c>
      <c r="BS259" s="66">
        <f t="shared" si="141"/>
        <v>117.47890126538535</v>
      </c>
      <c r="BT259" s="60"/>
      <c r="BU259" s="67">
        <f>'[2]US EIA'!$P396</f>
        <v>903.02099111086295</v>
      </c>
      <c r="BV259" s="68">
        <f t="shared" si="127"/>
        <v>7.6866652767796548</v>
      </c>
      <c r="BW259" s="60"/>
      <c r="BX259" s="69">
        <f t="shared" si="128"/>
        <v>0.82928120342868383</v>
      </c>
      <c r="BY259" s="69">
        <f t="shared" si="129"/>
        <v>0.17071879657131611</v>
      </c>
      <c r="BZ259" s="60"/>
      <c r="CA259" s="60"/>
      <c r="CB259" s="84" t="e">
        <f>#REF!</f>
        <v>#REF!</v>
      </c>
      <c r="CC259" s="84" t="e">
        <f>#REF!</f>
        <v>#REF!</v>
      </c>
      <c r="CD259" s="84" t="e">
        <f t="shared" si="110"/>
        <v>#REF!</v>
      </c>
      <c r="CE259" s="60"/>
      <c r="CF259" s="84">
        <f>'RD Feedstock Breakdown'!GQ250*1000000</f>
        <v>2458805796.6184039</v>
      </c>
      <c r="CG259" s="85" t="e">
        <f t="shared" si="109"/>
        <v>#REF!</v>
      </c>
      <c r="CH259" s="73">
        <f>'[2]US EIA'!$R396+AW259</f>
        <v>7164.0833333333312</v>
      </c>
    </row>
    <row r="260" spans="1:86" ht="13.5" x14ac:dyDescent="0.25">
      <c r="A260" s="59">
        <v>48061</v>
      </c>
      <c r="B260" s="74">
        <f t="shared" si="119"/>
        <v>690</v>
      </c>
      <c r="C260" s="74">
        <v>47</v>
      </c>
      <c r="D260" s="74">
        <f t="shared" si="108"/>
        <v>3</v>
      </c>
      <c r="E260" s="74">
        <f t="shared" si="123"/>
        <v>85</v>
      </c>
      <c r="F260" s="74">
        <f t="shared" si="148"/>
        <v>340</v>
      </c>
      <c r="G260" s="74">
        <f t="shared" si="107"/>
        <v>37.5</v>
      </c>
      <c r="H260" s="74">
        <f t="shared" si="140"/>
        <v>190</v>
      </c>
      <c r="I260" s="74">
        <f t="shared" si="122"/>
        <v>250</v>
      </c>
      <c r="J260" s="74">
        <f t="shared" si="114"/>
        <v>153.30000000000001</v>
      </c>
      <c r="K260" s="74">
        <f t="shared" si="126"/>
        <v>125</v>
      </c>
      <c r="L260" s="74">
        <v>125</v>
      </c>
      <c r="M260" s="74">
        <v>730</v>
      </c>
      <c r="N260" s="74">
        <f t="shared" si="158"/>
        <v>180</v>
      </c>
      <c r="O260" s="74">
        <v>375</v>
      </c>
      <c r="P260" s="74">
        <f t="shared" si="135"/>
        <v>50</v>
      </c>
      <c r="Q260" s="74">
        <f t="shared" si="136"/>
        <v>21</v>
      </c>
      <c r="R260" s="74">
        <v>100</v>
      </c>
      <c r="S260" s="74">
        <f t="shared" si="142"/>
        <v>60</v>
      </c>
      <c r="T260" s="74">
        <f t="shared" si="130"/>
        <v>36</v>
      </c>
      <c r="U260" s="74"/>
      <c r="V260" s="74">
        <f t="shared" si="154"/>
        <v>0</v>
      </c>
      <c r="W260" s="74">
        <f t="shared" si="137"/>
        <v>20</v>
      </c>
      <c r="X260" s="74">
        <f t="shared" si="116"/>
        <v>0</v>
      </c>
      <c r="Y260" s="74">
        <f t="shared" si="132"/>
        <v>3.5</v>
      </c>
      <c r="Z260" s="74">
        <f t="shared" si="157"/>
        <v>230</v>
      </c>
      <c r="AA260" s="74">
        <f t="shared" si="131"/>
        <v>306</v>
      </c>
      <c r="AB260" s="74">
        <f t="shared" si="144"/>
        <v>60</v>
      </c>
      <c r="AC260" s="74">
        <f t="shared" si="151"/>
        <v>1.6</v>
      </c>
      <c r="AD260" s="74">
        <f t="shared" si="139"/>
        <v>180</v>
      </c>
      <c r="AE260" s="74">
        <f t="shared" si="143"/>
        <v>1.1000000000000001</v>
      </c>
      <c r="AF260" s="74">
        <f t="shared" si="147"/>
        <v>275</v>
      </c>
      <c r="AG260" s="74">
        <f t="shared" si="153"/>
        <v>18</v>
      </c>
      <c r="AH260" s="74">
        <f t="shared" si="145"/>
        <v>3</v>
      </c>
      <c r="AI260" s="74">
        <f t="shared" si="138"/>
        <v>47</v>
      </c>
      <c r="AJ260" s="74">
        <f t="shared" si="105"/>
        <v>90</v>
      </c>
      <c r="AK260" s="74">
        <f t="shared" si="111"/>
        <v>14</v>
      </c>
      <c r="AL260" s="74">
        <f t="shared" si="106"/>
        <v>45</v>
      </c>
      <c r="AM260" s="74">
        <v>46</v>
      </c>
      <c r="AN260" s="74">
        <f t="shared" si="112"/>
        <v>0.75</v>
      </c>
      <c r="AO260" s="74">
        <f t="shared" si="155"/>
        <v>19</v>
      </c>
      <c r="AP260" s="74">
        <f t="shared" si="155"/>
        <v>19</v>
      </c>
      <c r="AQ260" s="74">
        <f t="shared" si="115"/>
        <v>5</v>
      </c>
      <c r="AR260" s="74">
        <f t="shared" si="156"/>
        <v>120</v>
      </c>
      <c r="AS260" s="74">
        <f t="shared" si="159"/>
        <v>120</v>
      </c>
      <c r="AT260" s="74">
        <f t="shared" si="152"/>
        <v>55</v>
      </c>
      <c r="AU260" s="74"/>
      <c r="AV260" s="74"/>
      <c r="AW260" s="74">
        <f t="shared" si="133"/>
        <v>5276.7500000000009</v>
      </c>
      <c r="AX260" s="83">
        <f t="shared" si="146"/>
        <v>5428.4449999999988</v>
      </c>
      <c r="AY260" s="62">
        <f>'[1]D4 Gallon Forecast'!$W156/1000000</f>
        <v>0</v>
      </c>
      <c r="AZ260" s="62">
        <f>'[1]D4 Gallon Forecast'!$W188/1000000</f>
        <v>266.14486845443361</v>
      </c>
      <c r="BA260" s="62">
        <f t="shared" si="149"/>
        <v>266.14486845443361</v>
      </c>
      <c r="BB260" s="62">
        <f>'[1]D4 Gallon Forecast'!$W172/1000000</f>
        <v>0</v>
      </c>
      <c r="BC260" s="63">
        <f>'[1]D4 Gallon Forecast'!$W348/1000000</f>
        <v>335.5623786446298</v>
      </c>
      <c r="BD260" s="64">
        <f>'[1]D4 Gallon Forecast'!$W364/1000000</f>
        <v>0</v>
      </c>
      <c r="BE260" s="64">
        <f t="shared" si="150"/>
        <v>335.5623786446298</v>
      </c>
      <c r="BF260" s="76">
        <f t="shared" si="117"/>
        <v>601.70724709906335</v>
      </c>
      <c r="BG260" s="77">
        <f t="shared" si="121"/>
        <v>1.3050915293074821</v>
      </c>
      <c r="BH260" s="60"/>
      <c r="BI260" s="75">
        <f t="shared" si="134"/>
        <v>4702.9000000000005</v>
      </c>
      <c r="BJ260" s="75">
        <f t="shared" si="113"/>
        <v>725.54499999999825</v>
      </c>
      <c r="BK260" s="75">
        <f>'RD Feedstock Breakdown'!ES251</f>
        <v>6263.4506994913527</v>
      </c>
      <c r="BL260" s="78">
        <f t="shared" si="120"/>
        <v>10.40946528347224</v>
      </c>
      <c r="BM260" s="78">
        <f t="shared" si="118"/>
        <v>23.533990100446786</v>
      </c>
      <c r="BN260" s="60"/>
      <c r="BO260" s="60"/>
      <c r="BP260" s="60"/>
      <c r="BQ260" s="66">
        <f>'[1]D4 Gallon Forecast'!$W76/1000000</f>
        <v>120.84848813724702</v>
      </c>
      <c r="BR260" s="66">
        <f>'[1]D6 Gallon Forecast'!$W69/1000000</f>
        <v>0.81846449906188246</v>
      </c>
      <c r="BS260" s="66">
        <f t="shared" si="141"/>
        <v>121.66695263630891</v>
      </c>
      <c r="BT260" s="60"/>
      <c r="BU260" s="67">
        <f>'[2]US EIA'!$P397</f>
        <v>907.02341589656714</v>
      </c>
      <c r="BV260" s="68">
        <f t="shared" si="127"/>
        <v>7.4549694575475494</v>
      </c>
      <c r="BW260" s="60"/>
      <c r="BX260" s="69">
        <f t="shared" si="128"/>
        <v>0.83180634216589755</v>
      </c>
      <c r="BY260" s="69">
        <f t="shared" si="129"/>
        <v>0.16819365783410248</v>
      </c>
      <c r="BZ260" s="60"/>
      <c r="CA260" s="60"/>
      <c r="CB260" s="84" t="e">
        <f>#REF!</f>
        <v>#REF!</v>
      </c>
      <c r="CC260" s="84" t="e">
        <f>#REF!</f>
        <v>#REF!</v>
      </c>
      <c r="CD260" s="84" t="e">
        <f t="shared" si="110"/>
        <v>#REF!</v>
      </c>
      <c r="CE260" s="60"/>
      <c r="CF260" s="84">
        <f>'RD Feedstock Breakdown'!GQ251*1000000</f>
        <v>2676459736.7313671</v>
      </c>
      <c r="CG260" s="85" t="e">
        <f t="shared" si="109"/>
        <v>#REF!</v>
      </c>
      <c r="CH260" s="73">
        <f>'[2]US EIA'!$R397+AW260</f>
        <v>7164.0833333333312</v>
      </c>
    </row>
    <row r="261" spans="1:86" ht="13.5" x14ac:dyDescent="0.25">
      <c r="A261" s="59">
        <v>48092</v>
      </c>
      <c r="B261" s="74">
        <f t="shared" si="119"/>
        <v>690</v>
      </c>
      <c r="C261" s="74">
        <v>47</v>
      </c>
      <c r="D261" s="74">
        <f t="shared" si="108"/>
        <v>3</v>
      </c>
      <c r="E261" s="74">
        <f t="shared" si="123"/>
        <v>85</v>
      </c>
      <c r="F261" s="74">
        <f t="shared" si="148"/>
        <v>340</v>
      </c>
      <c r="G261" s="74">
        <f t="shared" si="107"/>
        <v>37.5</v>
      </c>
      <c r="H261" s="74">
        <f t="shared" si="140"/>
        <v>190</v>
      </c>
      <c r="I261" s="74">
        <f t="shared" si="122"/>
        <v>250</v>
      </c>
      <c r="J261" s="74">
        <f t="shared" si="114"/>
        <v>153.30000000000001</v>
      </c>
      <c r="K261" s="74">
        <f t="shared" si="126"/>
        <v>125</v>
      </c>
      <c r="L261" s="74">
        <v>125</v>
      </c>
      <c r="M261" s="74">
        <v>730</v>
      </c>
      <c r="N261" s="74">
        <f t="shared" si="158"/>
        <v>180</v>
      </c>
      <c r="O261" s="74">
        <v>375</v>
      </c>
      <c r="P261" s="74">
        <f t="shared" si="135"/>
        <v>50</v>
      </c>
      <c r="Q261" s="74">
        <f t="shared" si="136"/>
        <v>21</v>
      </c>
      <c r="R261" s="74">
        <v>100</v>
      </c>
      <c r="S261" s="74">
        <f t="shared" si="142"/>
        <v>60</v>
      </c>
      <c r="T261" s="74">
        <f t="shared" si="130"/>
        <v>36</v>
      </c>
      <c r="U261" s="74"/>
      <c r="V261" s="74">
        <f t="shared" si="154"/>
        <v>0</v>
      </c>
      <c r="W261" s="74">
        <f t="shared" si="137"/>
        <v>20</v>
      </c>
      <c r="X261" s="74">
        <f t="shared" si="116"/>
        <v>0</v>
      </c>
      <c r="Y261" s="74">
        <f t="shared" si="132"/>
        <v>3.5</v>
      </c>
      <c r="Z261" s="74">
        <f t="shared" si="157"/>
        <v>230</v>
      </c>
      <c r="AA261" s="74">
        <f t="shared" si="131"/>
        <v>306</v>
      </c>
      <c r="AB261" s="74">
        <f t="shared" si="144"/>
        <v>60</v>
      </c>
      <c r="AC261" s="74">
        <f t="shared" si="151"/>
        <v>1.6</v>
      </c>
      <c r="AD261" s="74">
        <f t="shared" si="139"/>
        <v>180</v>
      </c>
      <c r="AE261" s="74">
        <f t="shared" si="143"/>
        <v>1.1000000000000001</v>
      </c>
      <c r="AF261" s="74">
        <f t="shared" si="147"/>
        <v>275</v>
      </c>
      <c r="AG261" s="74">
        <f t="shared" si="153"/>
        <v>18</v>
      </c>
      <c r="AH261" s="74">
        <f t="shared" si="145"/>
        <v>3</v>
      </c>
      <c r="AI261" s="74">
        <f t="shared" si="138"/>
        <v>47</v>
      </c>
      <c r="AJ261" s="74">
        <f t="shared" ref="AJ261:AJ324" si="160">$AJ$12*$AJ$5</f>
        <v>90</v>
      </c>
      <c r="AK261" s="74">
        <f t="shared" si="111"/>
        <v>14</v>
      </c>
      <c r="AL261" s="74">
        <f t="shared" si="106"/>
        <v>45</v>
      </c>
      <c r="AM261" s="74">
        <v>46</v>
      </c>
      <c r="AN261" s="74">
        <f t="shared" si="112"/>
        <v>0.75</v>
      </c>
      <c r="AO261" s="74">
        <f t="shared" si="155"/>
        <v>19</v>
      </c>
      <c r="AP261" s="74">
        <f t="shared" si="155"/>
        <v>19</v>
      </c>
      <c r="AQ261" s="74">
        <f t="shared" si="115"/>
        <v>5</v>
      </c>
      <c r="AR261" s="74">
        <f t="shared" si="156"/>
        <v>120</v>
      </c>
      <c r="AS261" s="74">
        <f t="shared" si="159"/>
        <v>120</v>
      </c>
      <c r="AT261" s="74">
        <f t="shared" si="152"/>
        <v>55</v>
      </c>
      <c r="AU261" s="74"/>
      <c r="AV261" s="74"/>
      <c r="AW261" s="74">
        <f t="shared" si="133"/>
        <v>5276.7500000000009</v>
      </c>
      <c r="AX261" s="83">
        <f t="shared" si="146"/>
        <v>5428.4449999999988</v>
      </c>
      <c r="AY261" s="62">
        <f>'[1]D4 Gallon Forecast'!$W157/1000000</f>
        <v>0</v>
      </c>
      <c r="AZ261" s="62">
        <f>'[1]D4 Gallon Forecast'!$W189/1000000</f>
        <v>270.99556807663333</v>
      </c>
      <c r="BA261" s="62">
        <f t="shared" si="149"/>
        <v>270.99556807663333</v>
      </c>
      <c r="BB261" s="62">
        <f>'[1]D4 Gallon Forecast'!$W173/1000000</f>
        <v>0</v>
      </c>
      <c r="BC261" s="63">
        <f>'[1]D4 Gallon Forecast'!$W349/1000000</f>
        <v>408.058415897288</v>
      </c>
      <c r="BD261" s="64">
        <f>'[1]D4 Gallon Forecast'!$W365/1000000</f>
        <v>0</v>
      </c>
      <c r="BE261" s="64">
        <f t="shared" si="150"/>
        <v>408.058415897288</v>
      </c>
      <c r="BF261" s="76">
        <f t="shared" si="117"/>
        <v>679.05398397392128</v>
      </c>
      <c r="BG261" s="77">
        <f t="shared" si="121"/>
        <v>1.4728551246466162</v>
      </c>
      <c r="BH261" s="60"/>
      <c r="BI261" s="75">
        <f t="shared" si="134"/>
        <v>4702.9000000000005</v>
      </c>
      <c r="BJ261" s="75">
        <f t="shared" si="113"/>
        <v>725.54499999999825</v>
      </c>
      <c r="BK261" s="75">
        <f>'RD Feedstock Breakdown'!ES252</f>
        <v>7914.7268554961056</v>
      </c>
      <c r="BL261" s="78">
        <f t="shared" si="120"/>
        <v>11.655519358237161</v>
      </c>
      <c r="BM261" s="78">
        <f t="shared" si="118"/>
        <v>29.206111788728382</v>
      </c>
      <c r="BN261" s="60"/>
      <c r="BO261" s="60"/>
      <c r="BP261" s="60"/>
      <c r="BQ261" s="66">
        <f>'[1]D4 Gallon Forecast'!$W77/1000000</f>
        <v>113.8569701359885</v>
      </c>
      <c r="BR261" s="66">
        <f>'[1]D6 Gallon Forecast'!$W70/1000000</f>
        <v>0.81712366812653914</v>
      </c>
      <c r="BS261" s="66">
        <f t="shared" si="141"/>
        <v>114.67409380411505</v>
      </c>
      <c r="BT261" s="60"/>
      <c r="BU261" s="67">
        <f>'[2]US EIA'!$P398</f>
        <v>872.30109602461005</v>
      </c>
      <c r="BV261" s="68">
        <f t="shared" si="127"/>
        <v>7.6067842970240918</v>
      </c>
      <c r="BW261" s="60"/>
      <c r="BX261" s="69">
        <f t="shared" si="128"/>
        <v>0.85552471052160095</v>
      </c>
      <c r="BY261" s="69">
        <f t="shared" si="129"/>
        <v>0.14447528947839908</v>
      </c>
      <c r="BZ261" s="60"/>
      <c r="CA261" s="60"/>
      <c r="CB261" s="84" t="e">
        <f>#REF!</f>
        <v>#REF!</v>
      </c>
      <c r="CC261" s="84" t="e">
        <f>#REF!</f>
        <v>#REF!</v>
      </c>
      <c r="CD261" s="84" t="e">
        <f t="shared" si="110"/>
        <v>#REF!</v>
      </c>
      <c r="CE261" s="60"/>
      <c r="CF261" s="84">
        <f>'RD Feedstock Breakdown'!GQ252*1000000</f>
        <v>3229192529.6614466</v>
      </c>
      <c r="CG261" s="85" t="e">
        <f t="shared" si="109"/>
        <v>#REF!</v>
      </c>
      <c r="CH261" s="73">
        <f>'[2]US EIA'!$R398+AW261</f>
        <v>7164.0833333333312</v>
      </c>
    </row>
    <row r="262" spans="1:86" ht="13.5" x14ac:dyDescent="0.25">
      <c r="A262" s="59">
        <v>48122</v>
      </c>
      <c r="B262" s="74">
        <f t="shared" si="119"/>
        <v>690</v>
      </c>
      <c r="C262" s="74">
        <v>47</v>
      </c>
      <c r="D262" s="74">
        <f t="shared" si="108"/>
        <v>3</v>
      </c>
      <c r="E262" s="74">
        <f t="shared" si="123"/>
        <v>85</v>
      </c>
      <c r="F262" s="74">
        <f t="shared" si="148"/>
        <v>340</v>
      </c>
      <c r="G262" s="74">
        <f t="shared" si="107"/>
        <v>37.5</v>
      </c>
      <c r="H262" s="74">
        <f t="shared" si="140"/>
        <v>190</v>
      </c>
      <c r="I262" s="74">
        <f t="shared" si="122"/>
        <v>250</v>
      </c>
      <c r="J262" s="74">
        <f t="shared" si="114"/>
        <v>153.30000000000001</v>
      </c>
      <c r="K262" s="74">
        <f t="shared" si="126"/>
        <v>125</v>
      </c>
      <c r="L262" s="74">
        <v>125</v>
      </c>
      <c r="M262" s="74">
        <v>730</v>
      </c>
      <c r="N262" s="74">
        <f t="shared" si="158"/>
        <v>180</v>
      </c>
      <c r="O262" s="74">
        <v>375</v>
      </c>
      <c r="P262" s="74">
        <f t="shared" si="135"/>
        <v>50</v>
      </c>
      <c r="Q262" s="74">
        <f t="shared" si="136"/>
        <v>21</v>
      </c>
      <c r="R262" s="74">
        <v>100</v>
      </c>
      <c r="S262" s="74">
        <f t="shared" si="142"/>
        <v>60</v>
      </c>
      <c r="T262" s="74">
        <f t="shared" si="130"/>
        <v>36</v>
      </c>
      <c r="U262" s="74"/>
      <c r="V262" s="74">
        <f t="shared" si="154"/>
        <v>0</v>
      </c>
      <c r="W262" s="74">
        <f t="shared" si="137"/>
        <v>20</v>
      </c>
      <c r="X262" s="74">
        <f t="shared" si="116"/>
        <v>0</v>
      </c>
      <c r="Y262" s="74">
        <f t="shared" si="132"/>
        <v>3.5</v>
      </c>
      <c r="Z262" s="74">
        <f t="shared" si="157"/>
        <v>230</v>
      </c>
      <c r="AA262" s="74">
        <f t="shared" si="131"/>
        <v>306</v>
      </c>
      <c r="AB262" s="74">
        <f t="shared" si="144"/>
        <v>60</v>
      </c>
      <c r="AC262" s="74">
        <f t="shared" si="151"/>
        <v>1.6</v>
      </c>
      <c r="AD262" s="74">
        <f t="shared" si="139"/>
        <v>180</v>
      </c>
      <c r="AE262" s="74">
        <f t="shared" si="143"/>
        <v>1.1000000000000001</v>
      </c>
      <c r="AF262" s="74">
        <f t="shared" si="147"/>
        <v>275</v>
      </c>
      <c r="AG262" s="74">
        <f t="shared" si="153"/>
        <v>18</v>
      </c>
      <c r="AH262" s="74">
        <f t="shared" si="145"/>
        <v>3</v>
      </c>
      <c r="AI262" s="74">
        <f t="shared" si="138"/>
        <v>47</v>
      </c>
      <c r="AJ262" s="74">
        <f t="shared" si="160"/>
        <v>90</v>
      </c>
      <c r="AK262" s="74">
        <f t="shared" si="111"/>
        <v>14</v>
      </c>
      <c r="AL262" s="74">
        <f t="shared" si="106"/>
        <v>45</v>
      </c>
      <c r="AM262" s="74">
        <v>46</v>
      </c>
      <c r="AN262" s="74">
        <f t="shared" si="112"/>
        <v>0.75</v>
      </c>
      <c r="AO262" s="74">
        <f t="shared" si="155"/>
        <v>19</v>
      </c>
      <c r="AP262" s="74">
        <f t="shared" si="155"/>
        <v>19</v>
      </c>
      <c r="AQ262" s="74">
        <f t="shared" si="115"/>
        <v>5</v>
      </c>
      <c r="AR262" s="74">
        <f t="shared" si="156"/>
        <v>120</v>
      </c>
      <c r="AS262" s="74">
        <f t="shared" si="159"/>
        <v>120</v>
      </c>
      <c r="AT262" s="74">
        <f t="shared" si="152"/>
        <v>55</v>
      </c>
      <c r="AU262" s="74"/>
      <c r="AV262" s="74"/>
      <c r="AW262" s="74">
        <f t="shared" si="133"/>
        <v>5276.7500000000009</v>
      </c>
      <c r="AX262" s="83">
        <f t="shared" si="146"/>
        <v>5428.4449999999988</v>
      </c>
      <c r="AY262" s="62">
        <f>'[1]D4 Gallon Forecast'!$W158/1000000</f>
        <v>0</v>
      </c>
      <c r="AZ262" s="62">
        <f>'[1]D4 Gallon Forecast'!$W190/1000000</f>
        <v>297.78821190873742</v>
      </c>
      <c r="BA262" s="62">
        <f t="shared" si="149"/>
        <v>297.78821190873742</v>
      </c>
      <c r="BB262" s="62">
        <f>'[1]D4 Gallon Forecast'!$W174/1000000</f>
        <v>0</v>
      </c>
      <c r="BC262" s="63">
        <f>'[1]D4 Gallon Forecast'!$W350/1000000</f>
        <v>398.55344225845425</v>
      </c>
      <c r="BD262" s="64">
        <f>'[1]D4 Gallon Forecast'!$W366/1000000</f>
        <v>0</v>
      </c>
      <c r="BE262" s="64">
        <f t="shared" si="150"/>
        <v>398.55344225845425</v>
      </c>
      <c r="BF262" s="76">
        <f t="shared" si="117"/>
        <v>696.34165416719168</v>
      </c>
      <c r="BG262" s="77">
        <f t="shared" si="121"/>
        <v>1.5606968095591833</v>
      </c>
      <c r="BH262" s="60"/>
      <c r="BI262" s="75">
        <f t="shared" si="134"/>
        <v>4702.9000000000005</v>
      </c>
      <c r="BJ262" s="75">
        <f t="shared" si="113"/>
        <v>725.54499999999825</v>
      </c>
      <c r="BK262" s="75">
        <f>'RD Feedstock Breakdown'!ES253</f>
        <v>8693.7020309966119</v>
      </c>
      <c r="BL262" s="78">
        <f t="shared" si="120"/>
        <v>12.48482261397112</v>
      </c>
      <c r="BM262" s="78">
        <f t="shared" si="118"/>
        <v>29.194245048427081</v>
      </c>
      <c r="BN262" s="60"/>
      <c r="BO262" s="60"/>
      <c r="BP262" s="60"/>
      <c r="BQ262" s="66">
        <f>'[1]D4 Gallon Forecast'!$W78/1000000</f>
        <v>116.32324807050107</v>
      </c>
      <c r="BR262" s="66">
        <f>'[1]D6 Gallon Forecast'!$W71/1000000</f>
        <v>0.8163494321788326</v>
      </c>
      <c r="BS262" s="66">
        <f t="shared" si="141"/>
        <v>117.13959750267991</v>
      </c>
      <c r="BT262" s="60"/>
      <c r="BU262" s="67">
        <f>'[2]US EIA'!$P399</f>
        <v>869.38564661874909</v>
      </c>
      <c r="BV262" s="68">
        <f t="shared" si="127"/>
        <v>7.4217913084331659</v>
      </c>
      <c r="BW262" s="60"/>
      <c r="BX262" s="69">
        <f t="shared" si="128"/>
        <v>0.85600209314938502</v>
      </c>
      <c r="BY262" s="69">
        <f t="shared" si="129"/>
        <v>0.14399790685061506</v>
      </c>
      <c r="BZ262" s="60"/>
      <c r="CA262" s="60"/>
      <c r="CB262" s="84" t="e">
        <f>#REF!</f>
        <v>#REF!</v>
      </c>
      <c r="CC262" s="84" t="e">
        <f>#REF!</f>
        <v>#REF!</v>
      </c>
      <c r="CD262" s="84" t="e">
        <f t="shared" si="110"/>
        <v>#REF!</v>
      </c>
      <c r="CE262" s="60"/>
      <c r="CF262" s="84">
        <f>'RD Feedstock Breakdown'!GQ253*1000000</f>
        <v>3188235535.7603436</v>
      </c>
      <c r="CG262" s="85" t="e">
        <f t="shared" si="109"/>
        <v>#REF!</v>
      </c>
      <c r="CH262" s="73">
        <f>'[2]US EIA'!$R399+AW262</f>
        <v>7174.0833333333312</v>
      </c>
    </row>
    <row r="263" spans="1:86" ht="13.5" x14ac:dyDescent="0.25">
      <c r="A263" s="59">
        <v>48153</v>
      </c>
      <c r="B263" s="74">
        <f t="shared" si="119"/>
        <v>690</v>
      </c>
      <c r="C263" s="74">
        <v>47</v>
      </c>
      <c r="D263" s="74">
        <f t="shared" si="108"/>
        <v>3</v>
      </c>
      <c r="E263" s="74">
        <f t="shared" si="123"/>
        <v>85</v>
      </c>
      <c r="F263" s="74">
        <f t="shared" si="148"/>
        <v>340</v>
      </c>
      <c r="G263" s="74">
        <f t="shared" si="107"/>
        <v>37.5</v>
      </c>
      <c r="H263" s="74">
        <f t="shared" si="140"/>
        <v>190</v>
      </c>
      <c r="I263" s="74">
        <f t="shared" si="122"/>
        <v>250</v>
      </c>
      <c r="J263" s="74">
        <f t="shared" si="114"/>
        <v>153.30000000000001</v>
      </c>
      <c r="K263" s="74">
        <f t="shared" si="126"/>
        <v>125</v>
      </c>
      <c r="L263" s="74">
        <v>125</v>
      </c>
      <c r="M263" s="74">
        <v>730</v>
      </c>
      <c r="N263" s="74">
        <f t="shared" si="158"/>
        <v>180</v>
      </c>
      <c r="O263" s="74">
        <v>375</v>
      </c>
      <c r="P263" s="74">
        <f t="shared" si="135"/>
        <v>50</v>
      </c>
      <c r="Q263" s="74">
        <f t="shared" si="136"/>
        <v>21</v>
      </c>
      <c r="R263" s="74">
        <v>100</v>
      </c>
      <c r="S263" s="74">
        <f t="shared" si="142"/>
        <v>60</v>
      </c>
      <c r="T263" s="74">
        <f t="shared" si="130"/>
        <v>36</v>
      </c>
      <c r="U263" s="74"/>
      <c r="V263" s="74">
        <f t="shared" si="154"/>
        <v>0</v>
      </c>
      <c r="W263" s="74">
        <f t="shared" si="137"/>
        <v>20</v>
      </c>
      <c r="X263" s="74">
        <f t="shared" si="116"/>
        <v>0</v>
      </c>
      <c r="Y263" s="74">
        <f t="shared" si="132"/>
        <v>3.5</v>
      </c>
      <c r="Z263" s="74">
        <f t="shared" si="157"/>
        <v>230</v>
      </c>
      <c r="AA263" s="74">
        <f t="shared" si="131"/>
        <v>306</v>
      </c>
      <c r="AB263" s="74">
        <f t="shared" si="144"/>
        <v>60</v>
      </c>
      <c r="AC263" s="74">
        <f t="shared" si="151"/>
        <v>1.6</v>
      </c>
      <c r="AD263" s="74">
        <f t="shared" si="139"/>
        <v>180</v>
      </c>
      <c r="AE263" s="74">
        <f t="shared" si="143"/>
        <v>1.1000000000000001</v>
      </c>
      <c r="AF263" s="74">
        <f t="shared" si="147"/>
        <v>275</v>
      </c>
      <c r="AG263" s="74">
        <f t="shared" si="153"/>
        <v>18</v>
      </c>
      <c r="AH263" s="74">
        <f t="shared" si="145"/>
        <v>3</v>
      </c>
      <c r="AI263" s="74">
        <f t="shared" si="138"/>
        <v>47</v>
      </c>
      <c r="AJ263" s="74">
        <f t="shared" si="160"/>
        <v>90</v>
      </c>
      <c r="AK263" s="74">
        <f t="shared" si="111"/>
        <v>14</v>
      </c>
      <c r="AL263" s="74">
        <f t="shared" si="106"/>
        <v>45</v>
      </c>
      <c r="AM263" s="74">
        <v>46</v>
      </c>
      <c r="AN263" s="74">
        <f t="shared" si="112"/>
        <v>0.75</v>
      </c>
      <c r="AO263" s="74">
        <f t="shared" si="155"/>
        <v>19</v>
      </c>
      <c r="AP263" s="74">
        <f t="shared" si="155"/>
        <v>19</v>
      </c>
      <c r="AQ263" s="74">
        <f t="shared" si="115"/>
        <v>5</v>
      </c>
      <c r="AR263" s="74">
        <f t="shared" si="156"/>
        <v>120</v>
      </c>
      <c r="AS263" s="74">
        <f t="shared" si="159"/>
        <v>120</v>
      </c>
      <c r="AT263" s="74">
        <f t="shared" si="152"/>
        <v>55</v>
      </c>
      <c r="AU263" s="74"/>
      <c r="AV263" s="74"/>
      <c r="AW263" s="74">
        <f t="shared" si="133"/>
        <v>5276.7500000000009</v>
      </c>
      <c r="AX263" s="83">
        <f t="shared" si="146"/>
        <v>5428.4449999999988</v>
      </c>
      <c r="AY263" s="62">
        <f>'[1]D4 Gallon Forecast'!$W159/1000000</f>
        <v>0</v>
      </c>
      <c r="AZ263" s="62">
        <f>'[1]D4 Gallon Forecast'!$W191/1000000</f>
        <v>361.80608291295198</v>
      </c>
      <c r="BA263" s="62">
        <f t="shared" si="149"/>
        <v>361.80608291295198</v>
      </c>
      <c r="BB263" s="62">
        <f>'[1]D4 Gallon Forecast'!$W175/1000000</f>
        <v>0</v>
      </c>
      <c r="BC263" s="63">
        <f>'[1]D4 Gallon Forecast'!$W351/1000000</f>
        <v>344.44929880517776</v>
      </c>
      <c r="BD263" s="64">
        <f>'[1]D4 Gallon Forecast'!$W367/1000000</f>
        <v>0</v>
      </c>
      <c r="BE263" s="64">
        <f t="shared" si="150"/>
        <v>344.44929880517776</v>
      </c>
      <c r="BF263" s="76">
        <f t="shared" si="117"/>
        <v>706.25538171812968</v>
      </c>
      <c r="BG263" s="77">
        <f t="shared" si="121"/>
        <v>1.5318544369408313</v>
      </c>
      <c r="BH263" s="60"/>
      <c r="BI263" s="75">
        <f t="shared" si="134"/>
        <v>4702.9000000000005</v>
      </c>
      <c r="BJ263" s="75">
        <f t="shared" si="113"/>
        <v>725.54499999999825</v>
      </c>
      <c r="BK263" s="75">
        <f>'RD Feedstock Breakdown'!ES254</f>
        <v>8654.5223270923525</v>
      </c>
      <c r="BL263" s="78">
        <f t="shared" si="120"/>
        <v>12.254097527778441</v>
      </c>
      <c r="BM263" s="78">
        <f t="shared" si="118"/>
        <v>23.920333946332711</v>
      </c>
      <c r="BN263" s="60"/>
      <c r="BO263" s="60"/>
      <c r="BP263" s="60"/>
      <c r="BQ263" s="66">
        <f>'[1]D4 Gallon Forecast'!$W79/1000000</f>
        <v>111.00601723645703</v>
      </c>
      <c r="BR263" s="66">
        <f>'[1]D6 Gallon Forecast'!$W72/1000000</f>
        <v>0.8428356726240428</v>
      </c>
      <c r="BS263" s="66">
        <f t="shared" si="141"/>
        <v>111.84885290908107</v>
      </c>
      <c r="BT263" s="60"/>
      <c r="BU263" s="67">
        <f>'[2]US EIA'!$P400</f>
        <v>832.47646650138279</v>
      </c>
      <c r="BV263" s="68">
        <f t="shared" si="127"/>
        <v>7.4428699521673281</v>
      </c>
      <c r="BW263" s="60"/>
      <c r="BX263" s="69">
        <f t="shared" si="128"/>
        <v>0.86328288233338901</v>
      </c>
      <c r="BY263" s="69">
        <f t="shared" si="129"/>
        <v>0.13671711766661096</v>
      </c>
      <c r="BZ263" s="60"/>
      <c r="CA263" s="60"/>
      <c r="CB263" s="84" t="e">
        <f>#REF!</f>
        <v>#REF!</v>
      </c>
      <c r="CC263" s="84" t="e">
        <f>#REF!</f>
        <v>#REF!</v>
      </c>
      <c r="CD263" s="84" t="e">
        <f t="shared" si="110"/>
        <v>#REF!</v>
      </c>
      <c r="CE263" s="60"/>
      <c r="CF263" s="84">
        <f>'RD Feedstock Breakdown'!GQ254*1000000</f>
        <v>2755428452.6948047</v>
      </c>
      <c r="CG263" s="85" t="e">
        <f t="shared" si="109"/>
        <v>#REF!</v>
      </c>
      <c r="CH263" s="73">
        <f>'[2]US EIA'!$R400+AW263</f>
        <v>7174.0833333333312</v>
      </c>
    </row>
    <row r="264" spans="1:86" ht="13.5" x14ac:dyDescent="0.25">
      <c r="A264" s="59">
        <v>48183</v>
      </c>
      <c r="B264" s="74">
        <f t="shared" si="119"/>
        <v>690</v>
      </c>
      <c r="C264" s="74">
        <v>47</v>
      </c>
      <c r="D264" s="74">
        <f t="shared" si="108"/>
        <v>3</v>
      </c>
      <c r="E264" s="74">
        <f t="shared" si="123"/>
        <v>85</v>
      </c>
      <c r="F264" s="74">
        <f t="shared" si="148"/>
        <v>340</v>
      </c>
      <c r="G264" s="74">
        <f t="shared" si="107"/>
        <v>37.5</v>
      </c>
      <c r="H264" s="74">
        <f t="shared" si="140"/>
        <v>190</v>
      </c>
      <c r="I264" s="74">
        <f t="shared" si="122"/>
        <v>250</v>
      </c>
      <c r="J264" s="74">
        <f t="shared" si="114"/>
        <v>153.30000000000001</v>
      </c>
      <c r="K264" s="74">
        <f t="shared" si="126"/>
        <v>125</v>
      </c>
      <c r="L264" s="74">
        <v>125</v>
      </c>
      <c r="M264" s="74">
        <v>730</v>
      </c>
      <c r="N264" s="74">
        <f t="shared" si="158"/>
        <v>180</v>
      </c>
      <c r="O264" s="74">
        <v>375</v>
      </c>
      <c r="P264" s="74">
        <f t="shared" si="135"/>
        <v>50</v>
      </c>
      <c r="Q264" s="74">
        <f t="shared" si="136"/>
        <v>21</v>
      </c>
      <c r="R264" s="74">
        <v>100</v>
      </c>
      <c r="S264" s="74">
        <f t="shared" si="142"/>
        <v>60</v>
      </c>
      <c r="T264" s="74">
        <f t="shared" si="130"/>
        <v>36</v>
      </c>
      <c r="U264" s="74"/>
      <c r="V264" s="74">
        <f t="shared" si="154"/>
        <v>0</v>
      </c>
      <c r="W264" s="74">
        <f t="shared" si="137"/>
        <v>20</v>
      </c>
      <c r="X264" s="74">
        <f t="shared" si="116"/>
        <v>0</v>
      </c>
      <c r="Y264" s="74">
        <f t="shared" si="132"/>
        <v>3.5</v>
      </c>
      <c r="Z264" s="74">
        <f t="shared" si="157"/>
        <v>230</v>
      </c>
      <c r="AA264" s="74">
        <f t="shared" si="131"/>
        <v>306</v>
      </c>
      <c r="AB264" s="74">
        <f t="shared" si="144"/>
        <v>60</v>
      </c>
      <c r="AC264" s="74">
        <f t="shared" si="151"/>
        <v>1.6</v>
      </c>
      <c r="AD264" s="74">
        <f t="shared" si="139"/>
        <v>180</v>
      </c>
      <c r="AE264" s="74">
        <f t="shared" si="143"/>
        <v>1.1000000000000001</v>
      </c>
      <c r="AF264" s="74">
        <f t="shared" si="147"/>
        <v>275</v>
      </c>
      <c r="AG264" s="74">
        <f t="shared" si="153"/>
        <v>18</v>
      </c>
      <c r="AH264" s="74">
        <f t="shared" si="145"/>
        <v>3</v>
      </c>
      <c r="AI264" s="74">
        <f t="shared" si="138"/>
        <v>47</v>
      </c>
      <c r="AJ264" s="74">
        <f t="shared" si="160"/>
        <v>90</v>
      </c>
      <c r="AK264" s="74">
        <f t="shared" si="111"/>
        <v>14</v>
      </c>
      <c r="AL264" s="74">
        <f t="shared" si="106"/>
        <v>45</v>
      </c>
      <c r="AM264" s="74">
        <v>46</v>
      </c>
      <c r="AN264" s="74">
        <f t="shared" si="112"/>
        <v>0.75</v>
      </c>
      <c r="AO264" s="74">
        <f t="shared" si="155"/>
        <v>19</v>
      </c>
      <c r="AP264" s="74">
        <f t="shared" si="155"/>
        <v>19</v>
      </c>
      <c r="AQ264" s="74">
        <f t="shared" si="115"/>
        <v>5</v>
      </c>
      <c r="AR264" s="74">
        <f t="shared" si="156"/>
        <v>120</v>
      </c>
      <c r="AS264" s="74">
        <f t="shared" si="159"/>
        <v>120</v>
      </c>
      <c r="AT264" s="74">
        <f t="shared" si="152"/>
        <v>55</v>
      </c>
      <c r="AU264" s="74"/>
      <c r="AV264" s="74"/>
      <c r="AW264" s="74">
        <f t="shared" si="133"/>
        <v>5276.7500000000009</v>
      </c>
      <c r="AX264" s="83">
        <f t="shared" si="146"/>
        <v>5428.4449999999988</v>
      </c>
      <c r="AY264" s="62">
        <f>'[1]D4 Gallon Forecast'!$W160/1000000</f>
        <v>0</v>
      </c>
      <c r="AZ264" s="62">
        <f>'[1]D4 Gallon Forecast'!$W192/1000000</f>
        <v>410.53078591751239</v>
      </c>
      <c r="BA264" s="62">
        <f t="shared" si="149"/>
        <v>410.53078591751239</v>
      </c>
      <c r="BB264" s="62">
        <f>'[1]D4 Gallon Forecast'!$W176/1000000</f>
        <v>0</v>
      </c>
      <c r="BC264" s="63">
        <f>'[1]D4 Gallon Forecast'!$W352/1000000</f>
        <v>309.46801741029168</v>
      </c>
      <c r="BD264" s="64">
        <f>'[1]D4 Gallon Forecast'!$W368/1000000</f>
        <v>0</v>
      </c>
      <c r="BE264" s="64">
        <f t="shared" si="150"/>
        <v>309.46801741029168</v>
      </c>
      <c r="BF264" s="76">
        <f t="shared" si="117"/>
        <v>719.99880332780413</v>
      </c>
      <c r="BG264" s="77">
        <f t="shared" si="121"/>
        <v>1.6137191111797733</v>
      </c>
      <c r="BH264" s="60"/>
      <c r="BI264" s="75">
        <f t="shared" si="134"/>
        <v>4702.9000000000005</v>
      </c>
      <c r="BJ264" s="75">
        <f t="shared" si="113"/>
        <v>725.54499999999825</v>
      </c>
      <c r="BK264" s="75">
        <f>'RD Feedstock Breakdown'!ES255</f>
        <v>9249.9354734583721</v>
      </c>
      <c r="BL264" s="78">
        <f t="shared" si="120"/>
        <v>12.847153954569869</v>
      </c>
      <c r="BM264" s="78">
        <f t="shared" si="118"/>
        <v>22.531648759995687</v>
      </c>
      <c r="BN264" s="60"/>
      <c r="BO264" s="60"/>
      <c r="BP264" s="60"/>
      <c r="BQ264" s="66">
        <f>'[1]D4 Gallon Forecast'!$W80/1000000</f>
        <v>147.4362863717997</v>
      </c>
      <c r="BR264" s="66">
        <f>'[1]D6 Gallon Forecast'!$W73/1000000</f>
        <v>0.79266315121078179</v>
      </c>
      <c r="BS264" s="66">
        <f t="shared" si="141"/>
        <v>148.22894952301047</v>
      </c>
      <c r="BT264" s="60"/>
      <c r="BU264" s="67">
        <f>'[2]US EIA'!$P401</f>
        <v>1014.7665040456507</v>
      </c>
      <c r="BV264" s="68">
        <f t="shared" si="127"/>
        <v>6.8459400630652274</v>
      </c>
      <c r="BW264" s="60"/>
      <c r="BX264" s="69">
        <f t="shared" si="128"/>
        <v>0.82927411726208633</v>
      </c>
      <c r="BY264" s="69">
        <f t="shared" si="129"/>
        <v>0.17072588273791367</v>
      </c>
      <c r="BZ264" s="60"/>
      <c r="CA264" s="60"/>
      <c r="CB264" s="84" t="e">
        <f>#REF!</f>
        <v>#REF!</v>
      </c>
      <c r="CC264" s="84" t="e">
        <f>#REF!</f>
        <v>#REF!</v>
      </c>
      <c r="CD264" s="84" t="e">
        <f t="shared" si="110"/>
        <v>#REF!</v>
      </c>
      <c r="CE264" s="60"/>
      <c r="CF264" s="84">
        <f>'RD Feedstock Breakdown'!GQ255*1000000</f>
        <v>2463739343.5706868</v>
      </c>
      <c r="CG264" s="85" t="e">
        <f t="shared" si="109"/>
        <v>#REF!</v>
      </c>
      <c r="CH264" s="73">
        <f>'[2]US EIA'!$R401+AW264</f>
        <v>7174.0833333333312</v>
      </c>
    </row>
    <row r="265" spans="1:86" ht="13.5" x14ac:dyDescent="0.25">
      <c r="A265" s="59">
        <v>48214</v>
      </c>
      <c r="B265" s="74">
        <f t="shared" si="119"/>
        <v>690</v>
      </c>
      <c r="C265" s="74">
        <v>47</v>
      </c>
      <c r="D265" s="74">
        <f t="shared" si="108"/>
        <v>3</v>
      </c>
      <c r="E265" s="74">
        <f t="shared" si="123"/>
        <v>85</v>
      </c>
      <c r="F265" s="74">
        <f t="shared" si="148"/>
        <v>340</v>
      </c>
      <c r="G265" s="74">
        <f t="shared" si="107"/>
        <v>37.5</v>
      </c>
      <c r="H265" s="74">
        <f t="shared" si="140"/>
        <v>190</v>
      </c>
      <c r="I265" s="74">
        <f t="shared" si="122"/>
        <v>250</v>
      </c>
      <c r="J265" s="74">
        <f t="shared" si="114"/>
        <v>153.30000000000001</v>
      </c>
      <c r="K265" s="74">
        <f t="shared" si="126"/>
        <v>125</v>
      </c>
      <c r="L265" s="74">
        <v>125</v>
      </c>
      <c r="M265" s="74">
        <v>730</v>
      </c>
      <c r="N265" s="74">
        <f t="shared" si="158"/>
        <v>180</v>
      </c>
      <c r="O265" s="74">
        <v>375</v>
      </c>
      <c r="P265" s="74">
        <f t="shared" si="135"/>
        <v>50</v>
      </c>
      <c r="Q265" s="74">
        <f t="shared" si="136"/>
        <v>21</v>
      </c>
      <c r="R265" s="74">
        <v>100</v>
      </c>
      <c r="S265" s="74">
        <f t="shared" si="142"/>
        <v>60</v>
      </c>
      <c r="T265" s="74">
        <f t="shared" si="130"/>
        <v>36</v>
      </c>
      <c r="U265" s="74"/>
      <c r="V265" s="74">
        <f t="shared" si="154"/>
        <v>0</v>
      </c>
      <c r="W265" s="74">
        <f t="shared" si="137"/>
        <v>20</v>
      </c>
      <c r="X265" s="74">
        <f t="shared" si="116"/>
        <v>0</v>
      </c>
      <c r="Y265" s="74">
        <f t="shared" si="132"/>
        <v>3.5</v>
      </c>
      <c r="Z265" s="74">
        <f t="shared" si="157"/>
        <v>230</v>
      </c>
      <c r="AA265" s="74">
        <f t="shared" si="131"/>
        <v>306</v>
      </c>
      <c r="AB265" s="74">
        <f t="shared" si="144"/>
        <v>60</v>
      </c>
      <c r="AC265" s="74">
        <f t="shared" si="151"/>
        <v>1.6</v>
      </c>
      <c r="AD265" s="74">
        <f t="shared" si="139"/>
        <v>180</v>
      </c>
      <c r="AE265" s="74">
        <f t="shared" si="143"/>
        <v>1.1000000000000001</v>
      </c>
      <c r="AF265" s="74">
        <f t="shared" si="147"/>
        <v>275</v>
      </c>
      <c r="AG265" s="74">
        <f t="shared" si="153"/>
        <v>18</v>
      </c>
      <c r="AH265" s="74">
        <f t="shared" si="145"/>
        <v>3</v>
      </c>
      <c r="AI265" s="74">
        <f t="shared" si="138"/>
        <v>47</v>
      </c>
      <c r="AJ265" s="74">
        <f t="shared" si="160"/>
        <v>90</v>
      </c>
      <c r="AK265" s="74">
        <f t="shared" si="111"/>
        <v>14</v>
      </c>
      <c r="AL265" s="74">
        <f t="shared" ref="AL265:AL328" si="161">90*$AL$12</f>
        <v>45</v>
      </c>
      <c r="AM265" s="74">
        <v>46</v>
      </c>
      <c r="AN265" s="74">
        <f t="shared" si="112"/>
        <v>0.75</v>
      </c>
      <c r="AO265" s="74">
        <f t="shared" si="155"/>
        <v>19</v>
      </c>
      <c r="AP265" s="74">
        <f t="shared" si="155"/>
        <v>19</v>
      </c>
      <c r="AQ265" s="74">
        <f t="shared" si="115"/>
        <v>5</v>
      </c>
      <c r="AR265" s="74">
        <f t="shared" si="156"/>
        <v>120</v>
      </c>
      <c r="AS265" s="74">
        <f t="shared" si="159"/>
        <v>120</v>
      </c>
      <c r="AT265" s="74">
        <f t="shared" si="152"/>
        <v>55</v>
      </c>
      <c r="AU265" s="74"/>
      <c r="AV265" s="74"/>
      <c r="AW265" s="74">
        <f t="shared" si="133"/>
        <v>5276.7500000000009</v>
      </c>
      <c r="AX265" s="83">
        <f t="shared" si="146"/>
        <v>5428.4449999999988</v>
      </c>
      <c r="AY265" s="62">
        <f>'[1]D4 Gallon Forecast'!$X149/1000000</f>
        <v>0</v>
      </c>
      <c r="AZ265" s="62">
        <f>'[1]D4 Gallon Forecast'!$X181/1000000</f>
        <v>254.65900654638639</v>
      </c>
      <c r="BA265" s="62">
        <f t="shared" si="149"/>
        <v>254.65900654638639</v>
      </c>
      <c r="BB265" s="62">
        <f>'[1]D4 Gallon Forecast'!$X165/1000000</f>
        <v>0</v>
      </c>
      <c r="BC265" s="63">
        <f>'[1]D4 Gallon Forecast'!$X341/1000000</f>
        <v>234.58764848402637</v>
      </c>
      <c r="BD265" s="64">
        <f>'[1]D4 Gallon Forecast'!$X357/1000000</f>
        <v>0</v>
      </c>
      <c r="BE265" s="64">
        <f t="shared" si="150"/>
        <v>234.58764848402637</v>
      </c>
      <c r="BF265" s="76">
        <f t="shared" si="117"/>
        <v>489.24665503041274</v>
      </c>
      <c r="BG265" s="77">
        <f t="shared" si="121"/>
        <v>1.0611666525550234</v>
      </c>
      <c r="BH265" s="60"/>
      <c r="BI265" s="75">
        <f t="shared" si="134"/>
        <v>4702.9000000000005</v>
      </c>
      <c r="BJ265" s="75">
        <f t="shared" si="113"/>
        <v>725.54499999999825</v>
      </c>
      <c r="BK265" s="75">
        <f>'RD Feedstock Breakdown'!ES256</f>
        <v>4131.8263819365266</v>
      </c>
      <c r="BL265" s="78">
        <f t="shared" si="120"/>
        <v>8.4452828434354501</v>
      </c>
      <c r="BM265" s="78">
        <f t="shared" si="118"/>
        <v>16.224937173717869</v>
      </c>
      <c r="BN265" s="60"/>
      <c r="BO265" s="60"/>
      <c r="BP265" s="60"/>
      <c r="BQ265" s="66">
        <f>'[1]D4 Gallon Forecast'!$X69/1000000</f>
        <v>87.891592070975747</v>
      </c>
      <c r="BR265" s="66">
        <f>'[1]D6 Gallon Forecast'!$X62/1000000</f>
        <v>0</v>
      </c>
      <c r="BS265" s="66">
        <f t="shared" si="141"/>
        <v>87.891592070975747</v>
      </c>
      <c r="BT265" s="60"/>
      <c r="BU265" s="67">
        <f>'[2]US EIA'!$P402</f>
        <v>806.25347943515317</v>
      </c>
      <c r="BV265" s="68">
        <f t="shared" si="127"/>
        <v>9.1732719869731483</v>
      </c>
      <c r="BW265" s="60"/>
      <c r="BX265" s="69">
        <f t="shared" si="128"/>
        <v>0.84771137156062459</v>
      </c>
      <c r="BY265" s="69">
        <f t="shared" si="129"/>
        <v>0.15228862843937535</v>
      </c>
      <c r="BZ265" s="60"/>
      <c r="CA265" s="60"/>
      <c r="CB265" s="84" t="e">
        <f>#REF!</f>
        <v>#REF!</v>
      </c>
      <c r="CC265" s="84" t="e">
        <f>#REF!</f>
        <v>#REF!</v>
      </c>
      <c r="CD265" s="84" t="e">
        <f t="shared" si="110"/>
        <v>#REF!</v>
      </c>
      <c r="CE265" s="60"/>
      <c r="CF265" s="84">
        <f>'RD Feedstock Breakdown'!GQ256*1000000</f>
        <v>1866963156.3090298</v>
      </c>
      <c r="CG265" s="85" t="e">
        <f t="shared" si="109"/>
        <v>#REF!</v>
      </c>
      <c r="CH265" s="73">
        <f>'[2]US EIA'!$R402+AW265</f>
        <v>7174.0833333333312</v>
      </c>
    </row>
    <row r="266" spans="1:86" ht="13.5" x14ac:dyDescent="0.25">
      <c r="A266" s="59">
        <v>48245</v>
      </c>
      <c r="B266" s="74">
        <f t="shared" si="119"/>
        <v>690</v>
      </c>
      <c r="C266" s="74">
        <v>47</v>
      </c>
      <c r="D266" s="74">
        <f t="shared" si="108"/>
        <v>3</v>
      </c>
      <c r="E266" s="74">
        <f t="shared" si="123"/>
        <v>85</v>
      </c>
      <c r="F266" s="74">
        <f t="shared" si="148"/>
        <v>340</v>
      </c>
      <c r="G266" s="74">
        <f t="shared" ref="G266:G329" si="162">750*$G$12</f>
        <v>37.5</v>
      </c>
      <c r="H266" s="74">
        <f t="shared" si="140"/>
        <v>190</v>
      </c>
      <c r="I266" s="74">
        <f t="shared" si="122"/>
        <v>250</v>
      </c>
      <c r="J266" s="74">
        <f t="shared" si="114"/>
        <v>153.30000000000001</v>
      </c>
      <c r="K266" s="74">
        <f t="shared" si="126"/>
        <v>125</v>
      </c>
      <c r="L266" s="74">
        <v>125</v>
      </c>
      <c r="M266" s="74">
        <v>730</v>
      </c>
      <c r="N266" s="74">
        <f t="shared" si="158"/>
        <v>180</v>
      </c>
      <c r="O266" s="74">
        <v>375</v>
      </c>
      <c r="P266" s="74">
        <f t="shared" si="135"/>
        <v>50</v>
      </c>
      <c r="Q266" s="74">
        <f t="shared" si="136"/>
        <v>21</v>
      </c>
      <c r="R266" s="74">
        <v>100</v>
      </c>
      <c r="S266" s="74">
        <f t="shared" si="142"/>
        <v>60</v>
      </c>
      <c r="T266" s="74">
        <f t="shared" si="130"/>
        <v>36</v>
      </c>
      <c r="U266" s="74"/>
      <c r="V266" s="74">
        <f t="shared" si="154"/>
        <v>0</v>
      </c>
      <c r="W266" s="74">
        <f t="shared" si="137"/>
        <v>20</v>
      </c>
      <c r="X266" s="74">
        <f t="shared" si="116"/>
        <v>0</v>
      </c>
      <c r="Y266" s="74">
        <f t="shared" si="132"/>
        <v>3.5</v>
      </c>
      <c r="Z266" s="74">
        <f t="shared" si="157"/>
        <v>230</v>
      </c>
      <c r="AA266" s="74">
        <f t="shared" si="131"/>
        <v>306</v>
      </c>
      <c r="AB266" s="74">
        <f t="shared" si="144"/>
        <v>60</v>
      </c>
      <c r="AC266" s="74">
        <f t="shared" si="151"/>
        <v>1.6</v>
      </c>
      <c r="AD266" s="74">
        <f t="shared" si="139"/>
        <v>180</v>
      </c>
      <c r="AE266" s="74">
        <f t="shared" si="143"/>
        <v>1.1000000000000001</v>
      </c>
      <c r="AF266" s="74">
        <f t="shared" si="147"/>
        <v>275</v>
      </c>
      <c r="AG266" s="74">
        <f t="shared" si="153"/>
        <v>18</v>
      </c>
      <c r="AH266" s="74">
        <f t="shared" si="145"/>
        <v>3</v>
      </c>
      <c r="AI266" s="74">
        <f t="shared" si="138"/>
        <v>47</v>
      </c>
      <c r="AJ266" s="74">
        <f t="shared" si="160"/>
        <v>90</v>
      </c>
      <c r="AK266" s="74">
        <f t="shared" si="111"/>
        <v>14</v>
      </c>
      <c r="AL266" s="74">
        <f t="shared" si="161"/>
        <v>45</v>
      </c>
      <c r="AM266" s="74">
        <v>46</v>
      </c>
      <c r="AN266" s="74">
        <f t="shared" si="112"/>
        <v>0.75</v>
      </c>
      <c r="AO266" s="74">
        <f t="shared" si="155"/>
        <v>19</v>
      </c>
      <c r="AP266" s="74">
        <f t="shared" si="155"/>
        <v>19</v>
      </c>
      <c r="AQ266" s="74">
        <f t="shared" si="115"/>
        <v>5</v>
      </c>
      <c r="AR266" s="74">
        <f t="shared" si="156"/>
        <v>120</v>
      </c>
      <c r="AS266" s="74">
        <f t="shared" si="159"/>
        <v>120</v>
      </c>
      <c r="AT266" s="74">
        <f t="shared" si="152"/>
        <v>55</v>
      </c>
      <c r="AU266" s="74"/>
      <c r="AV266" s="74"/>
      <c r="AW266" s="74">
        <f t="shared" si="133"/>
        <v>5276.7500000000009</v>
      </c>
      <c r="AX266" s="83">
        <f t="shared" si="146"/>
        <v>5428.4449999999988</v>
      </c>
      <c r="AY266" s="62">
        <f>'[1]D4 Gallon Forecast'!$X150/1000000</f>
        <v>0</v>
      </c>
      <c r="AZ266" s="62">
        <f>'[1]D4 Gallon Forecast'!$X182/1000000</f>
        <v>280.81287558169174</v>
      </c>
      <c r="BA266" s="62">
        <f t="shared" si="149"/>
        <v>280.81287558169174</v>
      </c>
      <c r="BB266" s="62">
        <f>'[1]D4 Gallon Forecast'!$X166/1000000</f>
        <v>0</v>
      </c>
      <c r="BC266" s="63">
        <f>'[1]D4 Gallon Forecast'!$X342/1000000</f>
        <v>445.31037295188992</v>
      </c>
      <c r="BD266" s="64">
        <f>'[1]D4 Gallon Forecast'!$X358/1000000</f>
        <v>0</v>
      </c>
      <c r="BE266" s="64">
        <f t="shared" si="150"/>
        <v>445.31037295188992</v>
      </c>
      <c r="BF266" s="76">
        <f t="shared" si="117"/>
        <v>726.12324853358166</v>
      </c>
      <c r="BG266" s="77">
        <f t="shared" si="121"/>
        <v>1.5749474606849621</v>
      </c>
      <c r="BH266" s="60"/>
      <c r="BI266" s="75">
        <f t="shared" si="134"/>
        <v>4702.9000000000005</v>
      </c>
      <c r="BJ266" s="75">
        <f t="shared" si="113"/>
        <v>725.54499999999825</v>
      </c>
      <c r="BK266" s="75">
        <f>'RD Feedstock Breakdown'!ES257</f>
        <v>9086.0332970518812</v>
      </c>
      <c r="BL266" s="78">
        <f t="shared" si="120"/>
        <v>12.513073111763438</v>
      </c>
      <c r="BM266" s="78">
        <f t="shared" si="118"/>
        <v>32.356184801820625</v>
      </c>
      <c r="BN266" s="60"/>
      <c r="BO266" s="60"/>
      <c r="BP266" s="60"/>
      <c r="BQ266" s="66">
        <f>'[1]D4 Gallon Forecast'!$X70/1000000</f>
        <v>93.295735701281473</v>
      </c>
      <c r="BR266" s="66">
        <f>'[1]D6 Gallon Forecast'!$X63/1000000</f>
        <v>0</v>
      </c>
      <c r="BS266" s="66">
        <f t="shared" si="141"/>
        <v>93.295735701281473</v>
      </c>
      <c r="BT266" s="60"/>
      <c r="BU266" s="67">
        <f>'[2]US EIA'!$P403</f>
        <v>755.23608633060724</v>
      </c>
      <c r="BV266" s="68">
        <f t="shared" si="127"/>
        <v>8.095076164560794</v>
      </c>
      <c r="BW266" s="60"/>
      <c r="BX266" s="69">
        <f t="shared" si="128"/>
        <v>0.88614403925679497</v>
      </c>
      <c r="BY266" s="69">
        <f t="shared" si="129"/>
        <v>0.11385596074320498</v>
      </c>
      <c r="BZ266" s="60"/>
      <c r="CA266" s="60"/>
      <c r="CB266" s="84" t="e">
        <f>#REF!</f>
        <v>#REF!</v>
      </c>
      <c r="CC266" s="84" t="e">
        <f>#REF!</f>
        <v>#REF!</v>
      </c>
      <c r="CD266" s="84" t="e">
        <f t="shared" si="110"/>
        <v>#REF!</v>
      </c>
      <c r="CE266" s="60"/>
      <c r="CF266" s="84">
        <f>'RD Feedstock Breakdown'!GQ257*1000000</f>
        <v>3538023580.6407351</v>
      </c>
      <c r="CG266" s="85" t="e">
        <f t="shared" si="109"/>
        <v>#REF!</v>
      </c>
      <c r="CH266" s="73">
        <f>'[2]US EIA'!$R403+AW266</f>
        <v>7174.0833333333312</v>
      </c>
    </row>
    <row r="267" spans="1:86" ht="13.5" x14ac:dyDescent="0.25">
      <c r="A267" s="59">
        <v>48274</v>
      </c>
      <c r="B267" s="74">
        <f t="shared" si="119"/>
        <v>690</v>
      </c>
      <c r="C267" s="74">
        <v>47</v>
      </c>
      <c r="D267" s="74">
        <f t="shared" si="108"/>
        <v>3</v>
      </c>
      <c r="E267" s="74">
        <f t="shared" si="123"/>
        <v>85</v>
      </c>
      <c r="F267" s="74">
        <f t="shared" si="148"/>
        <v>340</v>
      </c>
      <c r="G267" s="74">
        <f t="shared" si="162"/>
        <v>37.5</v>
      </c>
      <c r="H267" s="74">
        <f t="shared" si="140"/>
        <v>190</v>
      </c>
      <c r="I267" s="74">
        <f t="shared" si="122"/>
        <v>250</v>
      </c>
      <c r="J267" s="74">
        <f t="shared" si="114"/>
        <v>153.30000000000001</v>
      </c>
      <c r="K267" s="74">
        <f t="shared" si="126"/>
        <v>125</v>
      </c>
      <c r="L267" s="74">
        <v>125</v>
      </c>
      <c r="M267" s="74">
        <v>730</v>
      </c>
      <c r="N267" s="74">
        <f t="shared" si="158"/>
        <v>180</v>
      </c>
      <c r="O267" s="74">
        <v>375</v>
      </c>
      <c r="P267" s="74">
        <f t="shared" si="135"/>
        <v>50</v>
      </c>
      <c r="Q267" s="74">
        <f t="shared" si="136"/>
        <v>21</v>
      </c>
      <c r="R267" s="74">
        <v>100</v>
      </c>
      <c r="S267" s="74">
        <f t="shared" si="142"/>
        <v>60</v>
      </c>
      <c r="T267" s="74">
        <f t="shared" si="130"/>
        <v>36</v>
      </c>
      <c r="U267" s="74"/>
      <c r="V267" s="74">
        <f t="shared" si="154"/>
        <v>0</v>
      </c>
      <c r="W267" s="74">
        <f t="shared" si="137"/>
        <v>20</v>
      </c>
      <c r="X267" s="74">
        <f t="shared" si="116"/>
        <v>0</v>
      </c>
      <c r="Y267" s="74">
        <f t="shared" si="132"/>
        <v>3.5</v>
      </c>
      <c r="Z267" s="74">
        <f t="shared" si="157"/>
        <v>230</v>
      </c>
      <c r="AA267" s="74">
        <f t="shared" si="131"/>
        <v>306</v>
      </c>
      <c r="AB267" s="74">
        <f t="shared" si="144"/>
        <v>60</v>
      </c>
      <c r="AC267" s="74">
        <f t="shared" si="151"/>
        <v>1.6</v>
      </c>
      <c r="AD267" s="74">
        <f t="shared" si="139"/>
        <v>180</v>
      </c>
      <c r="AE267" s="74">
        <f t="shared" si="143"/>
        <v>1.1000000000000001</v>
      </c>
      <c r="AF267" s="74">
        <f t="shared" si="147"/>
        <v>275</v>
      </c>
      <c r="AG267" s="74">
        <f t="shared" si="153"/>
        <v>18</v>
      </c>
      <c r="AH267" s="74">
        <f t="shared" si="145"/>
        <v>3</v>
      </c>
      <c r="AI267" s="74">
        <f t="shared" si="138"/>
        <v>47</v>
      </c>
      <c r="AJ267" s="74">
        <f t="shared" si="160"/>
        <v>90</v>
      </c>
      <c r="AK267" s="74">
        <f t="shared" si="111"/>
        <v>14</v>
      </c>
      <c r="AL267" s="74">
        <f t="shared" si="161"/>
        <v>45</v>
      </c>
      <c r="AM267" s="74">
        <v>46</v>
      </c>
      <c r="AN267" s="74">
        <f t="shared" si="112"/>
        <v>0.75</v>
      </c>
      <c r="AO267" s="74">
        <f t="shared" si="155"/>
        <v>19</v>
      </c>
      <c r="AP267" s="74">
        <f t="shared" si="155"/>
        <v>19</v>
      </c>
      <c r="AQ267" s="74">
        <f t="shared" si="115"/>
        <v>5</v>
      </c>
      <c r="AR267" s="74">
        <f t="shared" si="156"/>
        <v>120</v>
      </c>
      <c r="AS267" s="74">
        <f t="shared" si="159"/>
        <v>120</v>
      </c>
      <c r="AT267" s="74">
        <f t="shared" si="152"/>
        <v>55</v>
      </c>
      <c r="AU267" s="74"/>
      <c r="AV267" s="74"/>
      <c r="AW267" s="74">
        <f t="shared" si="133"/>
        <v>5276.7500000000009</v>
      </c>
      <c r="AX267" s="83">
        <f t="shared" si="146"/>
        <v>5428.4449999999988</v>
      </c>
      <c r="AY267" s="62">
        <f>'[1]D4 Gallon Forecast'!$X151/1000000</f>
        <v>0</v>
      </c>
      <c r="AZ267" s="62">
        <f>'[1]D4 Gallon Forecast'!$X183/1000000</f>
        <v>295.76862901744761</v>
      </c>
      <c r="BA267" s="62">
        <f t="shared" si="149"/>
        <v>295.76862901744761</v>
      </c>
      <c r="BB267" s="62">
        <f>'[1]D4 Gallon Forecast'!$X167/1000000</f>
        <v>0</v>
      </c>
      <c r="BC267" s="63">
        <f>'[1]D4 Gallon Forecast'!$X343/1000000</f>
        <v>177.91111731121515</v>
      </c>
      <c r="BD267" s="64">
        <f>'[1]D4 Gallon Forecast'!$X359/1000000</f>
        <v>0</v>
      </c>
      <c r="BE267" s="64">
        <f t="shared" si="150"/>
        <v>177.91111731121515</v>
      </c>
      <c r="BF267" s="76">
        <f t="shared" si="117"/>
        <v>473.67974632866276</v>
      </c>
      <c r="BG267" s="77">
        <f t="shared" si="121"/>
        <v>1.098257657579415</v>
      </c>
      <c r="BH267" s="60"/>
      <c r="BI267" s="75">
        <f t="shared" si="134"/>
        <v>4702.9000000000005</v>
      </c>
      <c r="BJ267" s="75">
        <f t="shared" si="113"/>
        <v>725.54499999999825</v>
      </c>
      <c r="BK267" s="75">
        <f>'RD Feedstock Breakdown'!ES258</f>
        <v>4133.2051997027183</v>
      </c>
      <c r="BL267" s="78">
        <f t="shared" si="120"/>
        <v>8.7257376565872704</v>
      </c>
      <c r="BM267" s="78">
        <f t="shared" si="118"/>
        <v>13.97445433423197</v>
      </c>
      <c r="BN267" s="60"/>
      <c r="BO267" s="60"/>
      <c r="BP267" s="60"/>
      <c r="BQ267" s="66">
        <f>'[1]D4 Gallon Forecast'!$X71/1000000</f>
        <v>106.88144969804786</v>
      </c>
      <c r="BR267" s="66">
        <f>'[1]D6 Gallon Forecast'!$X64/1000000</f>
        <v>2.032E-3</v>
      </c>
      <c r="BS267" s="66">
        <f t="shared" si="141"/>
        <v>106.88348169804786</v>
      </c>
      <c r="BT267" s="60"/>
      <c r="BU267" s="67">
        <f>'[2]US EIA'!$P404</f>
        <v>836.63587771027198</v>
      </c>
      <c r="BV267" s="68">
        <f t="shared" si="127"/>
        <v>7.8275507535749789</v>
      </c>
      <c r="BW267" s="60"/>
      <c r="BX267" s="69">
        <f t="shared" si="128"/>
        <v>0.81589691434413358</v>
      </c>
      <c r="BY267" s="69">
        <f t="shared" si="129"/>
        <v>0.1841030856558665</v>
      </c>
      <c r="BZ267" s="60"/>
      <c r="CA267" s="60"/>
      <c r="CB267" s="84" t="e">
        <f>#REF!</f>
        <v>#REF!</v>
      </c>
      <c r="CC267" s="84" t="e">
        <f>#REF!</f>
        <v>#REF!</v>
      </c>
      <c r="CD267" s="84" t="e">
        <f t="shared" si="110"/>
        <v>#REF!</v>
      </c>
      <c r="CE267" s="60"/>
      <c r="CF267" s="84">
        <f>'RD Feedstock Breakdown'!GQ258*1000000</f>
        <v>1413516878.4249802</v>
      </c>
      <c r="CG267" s="85" t="e">
        <f t="shared" si="109"/>
        <v>#REF!</v>
      </c>
      <c r="CH267" s="73">
        <f>'[2]US EIA'!$R404+AW267</f>
        <v>7174.0833333333312</v>
      </c>
    </row>
    <row r="268" spans="1:86" ht="13.5" x14ac:dyDescent="0.25">
      <c r="A268" s="59">
        <v>48305</v>
      </c>
      <c r="B268" s="74">
        <f t="shared" si="119"/>
        <v>690</v>
      </c>
      <c r="C268" s="74">
        <v>47</v>
      </c>
      <c r="D268" s="74">
        <f t="shared" ref="D268:D331" si="163">3*$D$12</f>
        <v>3</v>
      </c>
      <c r="E268" s="74">
        <f t="shared" si="123"/>
        <v>85</v>
      </c>
      <c r="F268" s="74">
        <f t="shared" si="148"/>
        <v>340</v>
      </c>
      <c r="G268" s="74">
        <f t="shared" si="162"/>
        <v>37.5</v>
      </c>
      <c r="H268" s="74">
        <f t="shared" si="140"/>
        <v>190</v>
      </c>
      <c r="I268" s="74">
        <f t="shared" si="122"/>
        <v>250</v>
      </c>
      <c r="J268" s="74">
        <f t="shared" si="114"/>
        <v>153.30000000000001</v>
      </c>
      <c r="K268" s="74">
        <f t="shared" si="126"/>
        <v>125</v>
      </c>
      <c r="L268" s="74">
        <v>125</v>
      </c>
      <c r="M268" s="74">
        <v>730</v>
      </c>
      <c r="N268" s="74">
        <f t="shared" si="158"/>
        <v>180</v>
      </c>
      <c r="O268" s="74">
        <v>375</v>
      </c>
      <c r="P268" s="74">
        <f t="shared" si="135"/>
        <v>50</v>
      </c>
      <c r="Q268" s="74">
        <f t="shared" si="136"/>
        <v>21</v>
      </c>
      <c r="R268" s="74">
        <v>100</v>
      </c>
      <c r="S268" s="74">
        <f t="shared" si="142"/>
        <v>60</v>
      </c>
      <c r="T268" s="74">
        <f t="shared" si="130"/>
        <v>36</v>
      </c>
      <c r="U268" s="74"/>
      <c r="V268" s="74">
        <f t="shared" si="154"/>
        <v>0</v>
      </c>
      <c r="W268" s="74">
        <f t="shared" si="137"/>
        <v>20</v>
      </c>
      <c r="X268" s="74">
        <f t="shared" si="116"/>
        <v>0</v>
      </c>
      <c r="Y268" s="74">
        <f t="shared" si="132"/>
        <v>3.5</v>
      </c>
      <c r="Z268" s="74">
        <f t="shared" si="157"/>
        <v>230</v>
      </c>
      <c r="AA268" s="74">
        <f t="shared" si="131"/>
        <v>306</v>
      </c>
      <c r="AB268" s="74">
        <f t="shared" si="144"/>
        <v>60</v>
      </c>
      <c r="AC268" s="74">
        <f t="shared" si="151"/>
        <v>1.6</v>
      </c>
      <c r="AD268" s="74">
        <f t="shared" si="139"/>
        <v>180</v>
      </c>
      <c r="AE268" s="74">
        <f t="shared" si="143"/>
        <v>1.1000000000000001</v>
      </c>
      <c r="AF268" s="74">
        <f t="shared" si="147"/>
        <v>275</v>
      </c>
      <c r="AG268" s="74">
        <f t="shared" si="153"/>
        <v>18</v>
      </c>
      <c r="AH268" s="74">
        <f t="shared" si="145"/>
        <v>3</v>
      </c>
      <c r="AI268" s="74">
        <f t="shared" si="138"/>
        <v>47</v>
      </c>
      <c r="AJ268" s="74">
        <f t="shared" si="160"/>
        <v>90</v>
      </c>
      <c r="AK268" s="74">
        <f t="shared" si="111"/>
        <v>14</v>
      </c>
      <c r="AL268" s="74">
        <f t="shared" si="161"/>
        <v>45</v>
      </c>
      <c r="AM268" s="74">
        <v>46</v>
      </c>
      <c r="AN268" s="74">
        <f t="shared" si="112"/>
        <v>0.75</v>
      </c>
      <c r="AO268" s="74">
        <f t="shared" si="155"/>
        <v>19</v>
      </c>
      <c r="AP268" s="74">
        <f t="shared" si="155"/>
        <v>19</v>
      </c>
      <c r="AQ268" s="74">
        <f t="shared" si="115"/>
        <v>5</v>
      </c>
      <c r="AR268" s="74">
        <f t="shared" si="156"/>
        <v>120</v>
      </c>
      <c r="AS268" s="74">
        <f t="shared" si="159"/>
        <v>120</v>
      </c>
      <c r="AT268" s="74">
        <f t="shared" si="152"/>
        <v>55</v>
      </c>
      <c r="AU268" s="74"/>
      <c r="AV268" s="74"/>
      <c r="AW268" s="74">
        <f t="shared" si="133"/>
        <v>5276.7500000000009</v>
      </c>
      <c r="AX268" s="83">
        <f t="shared" si="146"/>
        <v>5428.4449999999988</v>
      </c>
      <c r="AY268" s="62">
        <f>'[1]D4 Gallon Forecast'!$X152/1000000</f>
        <v>0</v>
      </c>
      <c r="AZ268" s="62">
        <f>'[1]D4 Gallon Forecast'!$X184/1000000</f>
        <v>287.17677002712713</v>
      </c>
      <c r="BA268" s="62">
        <f t="shared" si="149"/>
        <v>287.17677002712713</v>
      </c>
      <c r="BB268" s="62">
        <f>'[1]D4 Gallon Forecast'!$X168/1000000</f>
        <v>0</v>
      </c>
      <c r="BC268" s="63">
        <f>'[1]D4 Gallon Forecast'!$X344/1000000</f>
        <v>285.37999109891661</v>
      </c>
      <c r="BD268" s="64">
        <f>'[1]D4 Gallon Forecast'!$X360/1000000</f>
        <v>0</v>
      </c>
      <c r="BE268" s="64">
        <f t="shared" si="150"/>
        <v>285.37999109891661</v>
      </c>
      <c r="BF268" s="76">
        <f t="shared" si="117"/>
        <v>572.55676112604374</v>
      </c>
      <c r="BG268" s="77">
        <f t="shared" si="121"/>
        <v>1.2418646818629788</v>
      </c>
      <c r="BH268" s="60"/>
      <c r="BI268" s="75">
        <f t="shared" si="134"/>
        <v>4702.9000000000005</v>
      </c>
      <c r="BJ268" s="75">
        <f t="shared" si="113"/>
        <v>725.54499999999825</v>
      </c>
      <c r="BK268" s="75">
        <f>'RD Feedstock Breakdown'!ES259</f>
        <v>5658.7880677499825</v>
      </c>
      <c r="BL268" s="78">
        <f t="shared" si="120"/>
        <v>9.8833660729477373</v>
      </c>
      <c r="BM268" s="78">
        <f t="shared" si="118"/>
        <v>19.704894888313721</v>
      </c>
      <c r="BN268" s="60"/>
      <c r="BO268" s="60"/>
      <c r="BP268" s="60"/>
      <c r="BQ268" s="66">
        <f>'[1]D4 Gallon Forecast'!$X72/1000000</f>
        <v>118.81424039004087</v>
      </c>
      <c r="BR268" s="66">
        <f>'[1]D6 Gallon Forecast'!$X65/1000000</f>
        <v>0.66282452381182078</v>
      </c>
      <c r="BS268" s="66">
        <f t="shared" si="141"/>
        <v>119.47706491385269</v>
      </c>
      <c r="BT268" s="60"/>
      <c r="BU268" s="67">
        <f>'[2]US EIA'!$P405</f>
        <v>903.06980533504236</v>
      </c>
      <c r="BV268" s="68">
        <f t="shared" si="127"/>
        <v>7.5585201727728126</v>
      </c>
      <c r="BW268" s="60"/>
      <c r="BX268" s="69">
        <f t="shared" si="128"/>
        <v>0.82735372113593086</v>
      </c>
      <c r="BY268" s="69">
        <f t="shared" si="129"/>
        <v>0.17264627886406916</v>
      </c>
      <c r="BZ268" s="60"/>
      <c r="CA268" s="60"/>
      <c r="CB268" s="84" t="e">
        <f>#REF!</f>
        <v>#REF!</v>
      </c>
      <c r="CC268" s="84" t="e">
        <f>#REF!</f>
        <v>#REF!</v>
      </c>
      <c r="CD268" s="84" t="e">
        <f t="shared" si="110"/>
        <v>#REF!</v>
      </c>
      <c r="CE268" s="60"/>
      <c r="CF268" s="84">
        <f>'RD Feedstock Breakdown'!GQ259*1000000</f>
        <v>2271193442.5045199</v>
      </c>
      <c r="CG268" s="85" t="e">
        <f t="shared" si="109"/>
        <v>#REF!</v>
      </c>
      <c r="CH268" s="73">
        <f>'[2]US EIA'!$R405+AW268</f>
        <v>7174.0833333333312</v>
      </c>
    </row>
    <row r="269" spans="1:86" ht="13.5" x14ac:dyDescent="0.25">
      <c r="A269" s="59">
        <v>48335</v>
      </c>
      <c r="B269" s="74">
        <f t="shared" si="119"/>
        <v>690</v>
      </c>
      <c r="C269" s="74">
        <v>47</v>
      </c>
      <c r="D269" s="74">
        <f t="shared" si="163"/>
        <v>3</v>
      </c>
      <c r="E269" s="74">
        <f t="shared" si="123"/>
        <v>85</v>
      </c>
      <c r="F269" s="74">
        <f t="shared" si="148"/>
        <v>340</v>
      </c>
      <c r="G269" s="74">
        <f t="shared" si="162"/>
        <v>37.5</v>
      </c>
      <c r="H269" s="74">
        <f t="shared" si="140"/>
        <v>190</v>
      </c>
      <c r="I269" s="74">
        <f t="shared" si="122"/>
        <v>250</v>
      </c>
      <c r="J269" s="74">
        <f t="shared" si="114"/>
        <v>153.30000000000001</v>
      </c>
      <c r="K269" s="74">
        <f t="shared" si="126"/>
        <v>125</v>
      </c>
      <c r="L269" s="74">
        <v>125</v>
      </c>
      <c r="M269" s="74">
        <v>730</v>
      </c>
      <c r="N269" s="74">
        <f t="shared" si="158"/>
        <v>180</v>
      </c>
      <c r="O269" s="74">
        <v>375</v>
      </c>
      <c r="P269" s="74">
        <f t="shared" si="135"/>
        <v>50</v>
      </c>
      <c r="Q269" s="74">
        <f t="shared" si="136"/>
        <v>21</v>
      </c>
      <c r="R269" s="74">
        <v>100</v>
      </c>
      <c r="S269" s="74">
        <f t="shared" si="142"/>
        <v>60</v>
      </c>
      <c r="T269" s="74">
        <f t="shared" si="130"/>
        <v>36</v>
      </c>
      <c r="U269" s="74"/>
      <c r="V269" s="74">
        <f t="shared" si="154"/>
        <v>0</v>
      </c>
      <c r="W269" s="74">
        <f t="shared" si="137"/>
        <v>20</v>
      </c>
      <c r="X269" s="74">
        <f t="shared" si="116"/>
        <v>0</v>
      </c>
      <c r="Y269" s="74">
        <f t="shared" si="132"/>
        <v>3.5</v>
      </c>
      <c r="Z269" s="74">
        <f t="shared" si="157"/>
        <v>230</v>
      </c>
      <c r="AA269" s="74">
        <f t="shared" si="131"/>
        <v>306</v>
      </c>
      <c r="AB269" s="74">
        <f t="shared" si="144"/>
        <v>60</v>
      </c>
      <c r="AC269" s="74">
        <f t="shared" si="151"/>
        <v>1.6</v>
      </c>
      <c r="AD269" s="74">
        <f t="shared" si="139"/>
        <v>180</v>
      </c>
      <c r="AE269" s="74">
        <f t="shared" si="143"/>
        <v>1.1000000000000001</v>
      </c>
      <c r="AF269" s="74">
        <f t="shared" si="147"/>
        <v>275</v>
      </c>
      <c r="AG269" s="74">
        <f t="shared" si="153"/>
        <v>18</v>
      </c>
      <c r="AH269" s="74">
        <f t="shared" si="145"/>
        <v>3</v>
      </c>
      <c r="AI269" s="74">
        <f t="shared" si="138"/>
        <v>47</v>
      </c>
      <c r="AJ269" s="74">
        <f t="shared" si="160"/>
        <v>90</v>
      </c>
      <c r="AK269" s="74">
        <f t="shared" si="111"/>
        <v>14</v>
      </c>
      <c r="AL269" s="74">
        <f t="shared" si="161"/>
        <v>45</v>
      </c>
      <c r="AM269" s="74">
        <v>46</v>
      </c>
      <c r="AN269" s="74">
        <f t="shared" si="112"/>
        <v>0.75</v>
      </c>
      <c r="AO269" s="74">
        <f t="shared" si="155"/>
        <v>19</v>
      </c>
      <c r="AP269" s="74">
        <f t="shared" si="155"/>
        <v>19</v>
      </c>
      <c r="AQ269" s="74">
        <f t="shared" si="115"/>
        <v>5</v>
      </c>
      <c r="AR269" s="74">
        <f t="shared" si="156"/>
        <v>120</v>
      </c>
      <c r="AS269" s="74">
        <f t="shared" si="159"/>
        <v>120</v>
      </c>
      <c r="AT269" s="74">
        <f t="shared" si="152"/>
        <v>55</v>
      </c>
      <c r="AU269" s="74"/>
      <c r="AV269" s="74"/>
      <c r="AW269" s="74">
        <f t="shared" si="133"/>
        <v>5276.7500000000009</v>
      </c>
      <c r="AX269" s="83">
        <f t="shared" si="146"/>
        <v>5428.4449999999988</v>
      </c>
      <c r="AY269" s="62">
        <f>'[1]D4 Gallon Forecast'!$X153/1000000</f>
        <v>0</v>
      </c>
      <c r="AZ269" s="62">
        <f>'[1]D4 Gallon Forecast'!$X185/1000000</f>
        <v>320.80369153021326</v>
      </c>
      <c r="BA269" s="62">
        <f t="shared" si="149"/>
        <v>320.80369153021326</v>
      </c>
      <c r="BB269" s="62">
        <f>'[1]D4 Gallon Forecast'!$X169/1000000</f>
        <v>0</v>
      </c>
      <c r="BC269" s="63">
        <f>'[1]D4 Gallon Forecast'!$X345/1000000</f>
        <v>375.68448437097663</v>
      </c>
      <c r="BD269" s="64">
        <f>'[1]D4 Gallon Forecast'!$X361/1000000</f>
        <v>0</v>
      </c>
      <c r="BE269" s="64">
        <f t="shared" si="150"/>
        <v>375.68448437097663</v>
      </c>
      <c r="BF269" s="76">
        <f t="shared" si="117"/>
        <v>696.48817590118983</v>
      </c>
      <c r="BG269" s="77">
        <f t="shared" si="121"/>
        <v>1.561025205830487</v>
      </c>
      <c r="BH269" s="60"/>
      <c r="BI269" s="75">
        <f t="shared" si="134"/>
        <v>4702.9000000000005</v>
      </c>
      <c r="BJ269" s="75">
        <f t="shared" si="113"/>
        <v>725.54499999999825</v>
      </c>
      <c r="BK269" s="75">
        <f>'RD Feedstock Breakdown'!ES260</f>
        <v>8652.7522530748138</v>
      </c>
      <c r="BL269" s="78">
        <f t="shared" si="120"/>
        <v>12.423401505530185</v>
      </c>
      <c r="BM269" s="78">
        <f t="shared" si="118"/>
        <v>26.972109366328468</v>
      </c>
      <c r="BN269" s="60"/>
      <c r="BO269" s="60"/>
      <c r="BP269" s="60"/>
      <c r="BQ269" s="66">
        <f>'[1]D4 Gallon Forecast'!$X73/1000000</f>
        <v>127.29258098696111</v>
      </c>
      <c r="BR269" s="66">
        <f>'[1]D6 Gallon Forecast'!$X66/1000000</f>
        <v>0.70768155114934572</v>
      </c>
      <c r="BS269" s="66">
        <f t="shared" si="141"/>
        <v>128.00026253811046</v>
      </c>
      <c r="BT269" s="60"/>
      <c r="BU269" s="67">
        <f>'[2]US EIA'!$P406</f>
        <v>963.74240944829364</v>
      </c>
      <c r="BV269" s="68">
        <f t="shared" si="127"/>
        <v>7.5292221307854854</v>
      </c>
      <c r="BW269" s="60"/>
      <c r="BX269" s="69">
        <f t="shared" si="128"/>
        <v>0.84475190121476273</v>
      </c>
      <c r="BY269" s="69">
        <f t="shared" si="129"/>
        <v>0.15524809878523721</v>
      </c>
      <c r="BZ269" s="60"/>
      <c r="CA269" s="60"/>
      <c r="CB269" s="84" t="e">
        <f>#REF!</f>
        <v>#REF!</v>
      </c>
      <c r="CC269" s="84" t="e">
        <f>#REF!</f>
        <v>#REF!</v>
      </c>
      <c r="CD269" s="84" t="e">
        <f t="shared" si="110"/>
        <v>#REF!</v>
      </c>
      <c r="CE269" s="60"/>
      <c r="CF269" s="84">
        <f>'RD Feedstock Breakdown'!GQ260*1000000</f>
        <v>2989880734.3444943</v>
      </c>
      <c r="CG269" s="85" t="e">
        <f t="shared" ref="CG269:CG288" si="164">CF269/CB269</f>
        <v>#REF!</v>
      </c>
      <c r="CH269" s="73">
        <f>'[2]US EIA'!$R406+AW269</f>
        <v>7174.0833333333312</v>
      </c>
    </row>
    <row r="270" spans="1:86" ht="13.5" x14ac:dyDescent="0.25">
      <c r="A270" s="59">
        <v>48366</v>
      </c>
      <c r="B270" s="74">
        <f t="shared" si="119"/>
        <v>690</v>
      </c>
      <c r="C270" s="74">
        <v>47</v>
      </c>
      <c r="D270" s="74">
        <f t="shared" si="163"/>
        <v>3</v>
      </c>
      <c r="E270" s="74">
        <f t="shared" si="123"/>
        <v>85</v>
      </c>
      <c r="F270" s="74">
        <f t="shared" si="148"/>
        <v>340</v>
      </c>
      <c r="G270" s="74">
        <f t="shared" si="162"/>
        <v>37.5</v>
      </c>
      <c r="H270" s="74">
        <f t="shared" si="140"/>
        <v>190</v>
      </c>
      <c r="I270" s="74">
        <f t="shared" si="122"/>
        <v>250</v>
      </c>
      <c r="J270" s="74">
        <f t="shared" si="114"/>
        <v>153.30000000000001</v>
      </c>
      <c r="K270" s="74">
        <f t="shared" si="126"/>
        <v>125</v>
      </c>
      <c r="L270" s="74">
        <v>125</v>
      </c>
      <c r="M270" s="74">
        <v>730</v>
      </c>
      <c r="N270" s="74">
        <f t="shared" si="158"/>
        <v>180</v>
      </c>
      <c r="O270" s="74">
        <v>375</v>
      </c>
      <c r="P270" s="74">
        <f t="shared" si="135"/>
        <v>50</v>
      </c>
      <c r="Q270" s="74">
        <f t="shared" si="136"/>
        <v>21</v>
      </c>
      <c r="R270" s="74">
        <v>100</v>
      </c>
      <c r="S270" s="74">
        <f t="shared" si="142"/>
        <v>60</v>
      </c>
      <c r="T270" s="74">
        <f t="shared" si="130"/>
        <v>36</v>
      </c>
      <c r="U270" s="74"/>
      <c r="V270" s="74">
        <f t="shared" si="154"/>
        <v>0</v>
      </c>
      <c r="W270" s="74">
        <f t="shared" si="137"/>
        <v>20</v>
      </c>
      <c r="X270" s="74">
        <f t="shared" si="116"/>
        <v>0</v>
      </c>
      <c r="Y270" s="74">
        <f t="shared" si="132"/>
        <v>3.5</v>
      </c>
      <c r="Z270" s="74">
        <f t="shared" si="157"/>
        <v>230</v>
      </c>
      <c r="AA270" s="74">
        <f t="shared" si="131"/>
        <v>306</v>
      </c>
      <c r="AB270" s="74">
        <f t="shared" si="144"/>
        <v>60</v>
      </c>
      <c r="AC270" s="74">
        <f t="shared" si="151"/>
        <v>1.6</v>
      </c>
      <c r="AD270" s="74">
        <f t="shared" si="139"/>
        <v>180</v>
      </c>
      <c r="AE270" s="74">
        <f t="shared" si="143"/>
        <v>1.1000000000000001</v>
      </c>
      <c r="AF270" s="74">
        <f t="shared" si="147"/>
        <v>275</v>
      </c>
      <c r="AG270" s="74">
        <f t="shared" si="153"/>
        <v>18</v>
      </c>
      <c r="AH270" s="74">
        <f t="shared" si="145"/>
        <v>3</v>
      </c>
      <c r="AI270" s="74">
        <f t="shared" si="138"/>
        <v>47</v>
      </c>
      <c r="AJ270" s="74">
        <f t="shared" si="160"/>
        <v>90</v>
      </c>
      <c r="AK270" s="74">
        <f t="shared" si="111"/>
        <v>14</v>
      </c>
      <c r="AL270" s="74">
        <f t="shared" si="161"/>
        <v>45</v>
      </c>
      <c r="AM270" s="74">
        <v>46</v>
      </c>
      <c r="AN270" s="74">
        <f t="shared" si="112"/>
        <v>0.75</v>
      </c>
      <c r="AO270" s="74">
        <f t="shared" si="155"/>
        <v>19</v>
      </c>
      <c r="AP270" s="74">
        <f t="shared" si="155"/>
        <v>19</v>
      </c>
      <c r="AQ270" s="74">
        <f t="shared" si="115"/>
        <v>5</v>
      </c>
      <c r="AR270" s="74">
        <f t="shared" si="156"/>
        <v>120</v>
      </c>
      <c r="AS270" s="74">
        <f t="shared" si="159"/>
        <v>120</v>
      </c>
      <c r="AT270" s="74">
        <f t="shared" si="152"/>
        <v>55</v>
      </c>
      <c r="AU270" s="74"/>
      <c r="AV270" s="74"/>
      <c r="AW270" s="74">
        <f t="shared" si="133"/>
        <v>5276.7500000000009</v>
      </c>
      <c r="AX270" s="83">
        <f t="shared" si="146"/>
        <v>5428.4449999999988</v>
      </c>
      <c r="AY270" s="62">
        <f>'[1]D4 Gallon Forecast'!$X154/1000000</f>
        <v>0</v>
      </c>
      <c r="AZ270" s="62">
        <f>'[1]D4 Gallon Forecast'!$X186/1000000</f>
        <v>318.1870196875812</v>
      </c>
      <c r="BA270" s="62">
        <f t="shared" si="149"/>
        <v>318.1870196875812</v>
      </c>
      <c r="BB270" s="62">
        <f>'[1]D4 Gallon Forecast'!$X170/1000000</f>
        <v>0</v>
      </c>
      <c r="BC270" s="63">
        <f>'[1]D4 Gallon Forecast'!$X346/1000000</f>
        <v>358.32773608893473</v>
      </c>
      <c r="BD270" s="64">
        <f>'[1]D4 Gallon Forecast'!$X362/1000000</f>
        <v>0</v>
      </c>
      <c r="BE270" s="64">
        <f t="shared" si="150"/>
        <v>358.32773608893473</v>
      </c>
      <c r="BF270" s="76">
        <f t="shared" si="117"/>
        <v>676.51475577651593</v>
      </c>
      <c r="BG270" s="77">
        <f t="shared" si="121"/>
        <v>1.4673475871732198</v>
      </c>
      <c r="BH270" s="60"/>
      <c r="BI270" s="75">
        <f t="shared" si="134"/>
        <v>4702.9000000000005</v>
      </c>
      <c r="BJ270" s="75">
        <f t="shared" si="113"/>
        <v>725.54499999999825</v>
      </c>
      <c r="BK270" s="75">
        <f>'RD Feedstock Breakdown'!ES261</f>
        <v>7900.2508523778024</v>
      </c>
      <c r="BL270" s="78">
        <f t="shared" si="120"/>
        <v>11.677869233332171</v>
      </c>
      <c r="BM270" s="78">
        <f t="shared" si="118"/>
        <v>24.828953928211259</v>
      </c>
      <c r="BN270" s="60"/>
      <c r="BO270" s="60"/>
      <c r="BP270" s="60"/>
      <c r="BQ270" s="66">
        <f>'[1]D4 Gallon Forecast'!$X74/1000000</f>
        <v>124.30896357834575</v>
      </c>
      <c r="BR270" s="66">
        <f>'[1]D6 Gallon Forecast'!$X67/1000000</f>
        <v>0.87156081154248577</v>
      </c>
      <c r="BS270" s="66">
        <f t="shared" si="141"/>
        <v>125.18052438988823</v>
      </c>
      <c r="BT270" s="60"/>
      <c r="BU270" s="67">
        <f>'[2]US EIA'!$P407</f>
        <v>952.55995470080336</v>
      </c>
      <c r="BV270" s="68">
        <f t="shared" si="127"/>
        <v>7.6094900492184605</v>
      </c>
      <c r="BW270" s="60"/>
      <c r="BX270" s="69">
        <f t="shared" si="128"/>
        <v>0.84385523092526493</v>
      </c>
      <c r="BY270" s="69">
        <f t="shared" si="129"/>
        <v>0.1561447690747351</v>
      </c>
      <c r="BZ270" s="60"/>
      <c r="CA270" s="60"/>
      <c r="CB270" s="84" t="e">
        <f>#REF!</f>
        <v>#REF!</v>
      </c>
      <c r="CC270" s="84" t="e">
        <f>#REF!</f>
        <v>#REF!</v>
      </c>
      <c r="CD270" s="84" t="e">
        <f t="shared" ref="CD270:CD288" si="165">SUM(CB270:CC270)</f>
        <v>#REF!</v>
      </c>
      <c r="CE270" s="60"/>
      <c r="CF270" s="84">
        <f>'RD Feedstock Breakdown'!GQ261*1000000</f>
        <v>2851747248.7781863</v>
      </c>
      <c r="CG270" s="85" t="e">
        <f t="shared" si="164"/>
        <v>#REF!</v>
      </c>
      <c r="CH270" s="73">
        <f>'[2]US EIA'!$R407+AW270</f>
        <v>7174.0833333333312</v>
      </c>
    </row>
    <row r="271" spans="1:86" ht="13.5" x14ac:dyDescent="0.25">
      <c r="A271" s="59">
        <v>48396</v>
      </c>
      <c r="B271" s="74">
        <f t="shared" si="119"/>
        <v>690</v>
      </c>
      <c r="C271" s="74">
        <v>47</v>
      </c>
      <c r="D271" s="74">
        <f t="shared" si="163"/>
        <v>3</v>
      </c>
      <c r="E271" s="74">
        <f t="shared" si="123"/>
        <v>85</v>
      </c>
      <c r="F271" s="74">
        <f t="shared" si="148"/>
        <v>340</v>
      </c>
      <c r="G271" s="74">
        <f t="shared" si="162"/>
        <v>37.5</v>
      </c>
      <c r="H271" s="74">
        <f t="shared" si="140"/>
        <v>190</v>
      </c>
      <c r="I271" s="74">
        <f t="shared" si="122"/>
        <v>250</v>
      </c>
      <c r="J271" s="74">
        <f t="shared" si="114"/>
        <v>153.30000000000001</v>
      </c>
      <c r="K271" s="74">
        <f t="shared" si="126"/>
        <v>125</v>
      </c>
      <c r="L271" s="74">
        <v>125</v>
      </c>
      <c r="M271" s="74">
        <v>730</v>
      </c>
      <c r="N271" s="74">
        <f t="shared" si="158"/>
        <v>180</v>
      </c>
      <c r="O271" s="74">
        <v>375</v>
      </c>
      <c r="P271" s="74">
        <f t="shared" si="135"/>
        <v>50</v>
      </c>
      <c r="Q271" s="74">
        <f t="shared" si="136"/>
        <v>21</v>
      </c>
      <c r="R271" s="74">
        <v>100</v>
      </c>
      <c r="S271" s="74">
        <f t="shared" si="142"/>
        <v>60</v>
      </c>
      <c r="T271" s="74">
        <f t="shared" si="130"/>
        <v>36</v>
      </c>
      <c r="U271" s="74"/>
      <c r="V271" s="74">
        <f t="shared" si="154"/>
        <v>0</v>
      </c>
      <c r="W271" s="74">
        <f t="shared" si="137"/>
        <v>20</v>
      </c>
      <c r="X271" s="74">
        <f t="shared" si="116"/>
        <v>0</v>
      </c>
      <c r="Y271" s="74">
        <f t="shared" si="132"/>
        <v>3.5</v>
      </c>
      <c r="Z271" s="74">
        <f t="shared" si="157"/>
        <v>230</v>
      </c>
      <c r="AA271" s="74">
        <f t="shared" si="131"/>
        <v>306</v>
      </c>
      <c r="AB271" s="74">
        <f t="shared" si="144"/>
        <v>60</v>
      </c>
      <c r="AC271" s="74">
        <f t="shared" si="151"/>
        <v>1.6</v>
      </c>
      <c r="AD271" s="74">
        <f t="shared" si="139"/>
        <v>180</v>
      </c>
      <c r="AE271" s="74">
        <f t="shared" si="143"/>
        <v>1.1000000000000001</v>
      </c>
      <c r="AF271" s="74">
        <f t="shared" si="147"/>
        <v>275</v>
      </c>
      <c r="AG271" s="74">
        <f t="shared" si="153"/>
        <v>18</v>
      </c>
      <c r="AH271" s="74">
        <f t="shared" si="145"/>
        <v>3</v>
      </c>
      <c r="AI271" s="74">
        <f t="shared" si="138"/>
        <v>47</v>
      </c>
      <c r="AJ271" s="74">
        <f t="shared" si="160"/>
        <v>90</v>
      </c>
      <c r="AK271" s="74">
        <f t="shared" ref="AK271:AK334" si="166">$AK$12*$AK$5</f>
        <v>14</v>
      </c>
      <c r="AL271" s="74">
        <f t="shared" si="161"/>
        <v>45</v>
      </c>
      <c r="AM271" s="74">
        <v>46</v>
      </c>
      <c r="AN271" s="74">
        <f t="shared" ref="AN271:AN334" si="167">$AN$5*$AN$12</f>
        <v>0.75</v>
      </c>
      <c r="AO271" s="74">
        <f t="shared" si="155"/>
        <v>19</v>
      </c>
      <c r="AP271" s="74">
        <f t="shared" si="155"/>
        <v>19</v>
      </c>
      <c r="AQ271" s="74">
        <f t="shared" si="115"/>
        <v>5</v>
      </c>
      <c r="AR271" s="74">
        <f t="shared" si="156"/>
        <v>120</v>
      </c>
      <c r="AS271" s="74">
        <f t="shared" si="159"/>
        <v>120</v>
      </c>
      <c r="AT271" s="74">
        <f t="shared" si="152"/>
        <v>55</v>
      </c>
      <c r="AU271" s="74"/>
      <c r="AV271" s="74"/>
      <c r="AW271" s="74">
        <f t="shared" si="133"/>
        <v>5276.7500000000009</v>
      </c>
      <c r="AX271" s="83">
        <f t="shared" si="146"/>
        <v>5428.4449999999988</v>
      </c>
      <c r="AY271" s="62">
        <f>'[1]D4 Gallon Forecast'!$X155/1000000</f>
        <v>0</v>
      </c>
      <c r="AZ271" s="62">
        <f>'[1]D4 Gallon Forecast'!$X187/1000000</f>
        <v>311.64724545708987</v>
      </c>
      <c r="BA271" s="62">
        <f t="shared" si="149"/>
        <v>311.64724545708987</v>
      </c>
      <c r="BB271" s="62">
        <f>'[1]D4 Gallon Forecast'!$X171/1000000</f>
        <v>0</v>
      </c>
      <c r="BC271" s="63">
        <f>'[1]D4 Gallon Forecast'!$X347/1000000</f>
        <v>389.82118960567601</v>
      </c>
      <c r="BD271" s="64">
        <f>'[1]D4 Gallon Forecast'!$X363/1000000</f>
        <v>0</v>
      </c>
      <c r="BE271" s="64">
        <f t="shared" si="150"/>
        <v>389.82118960567601</v>
      </c>
      <c r="BF271" s="76">
        <f t="shared" si="117"/>
        <v>701.46843506276582</v>
      </c>
      <c r="BG271" s="77">
        <f t="shared" si="121"/>
        <v>1.5721873624209119</v>
      </c>
      <c r="BH271" s="60"/>
      <c r="BI271" s="75">
        <f t="shared" si="134"/>
        <v>4702.9000000000005</v>
      </c>
      <c r="BJ271" s="75">
        <f t="shared" si="113"/>
        <v>725.54499999999825</v>
      </c>
      <c r="BK271" s="75">
        <f>'RD Feedstock Breakdown'!ES262</f>
        <v>8763.7246039536312</v>
      </c>
      <c r="BL271" s="78">
        <f t="shared" si="120"/>
        <v>12.493398371046407</v>
      </c>
      <c r="BM271" s="78">
        <f t="shared" si="118"/>
        <v>28.120654784225557</v>
      </c>
      <c r="BN271" s="60"/>
      <c r="BO271" s="60"/>
      <c r="BP271" s="60"/>
      <c r="BQ271" s="66">
        <f>'[1]D4 Gallon Forecast'!$X75/1000000</f>
        <v>123.48510504889673</v>
      </c>
      <c r="BR271" s="66">
        <f>'[1]D6 Gallon Forecast'!$X68/1000000</f>
        <v>0.89341199506583724</v>
      </c>
      <c r="BS271" s="66">
        <f t="shared" si="141"/>
        <v>124.37851704396256</v>
      </c>
      <c r="BT271" s="60"/>
      <c r="BU271" s="67">
        <f>'[2]US EIA'!$P408</f>
        <v>948.07949775754093</v>
      </c>
      <c r="BV271" s="68">
        <f t="shared" si="127"/>
        <v>7.6225341826710702</v>
      </c>
      <c r="BW271" s="60"/>
      <c r="BX271" s="69">
        <f t="shared" si="128"/>
        <v>0.84939277583252681</v>
      </c>
      <c r="BY271" s="69">
        <f t="shared" si="129"/>
        <v>0.15060722416747321</v>
      </c>
      <c r="BZ271" s="60"/>
      <c r="CA271" s="60"/>
      <c r="CB271" s="84" t="e">
        <f>#REF!</f>
        <v>#REF!</v>
      </c>
      <c r="CC271" s="84" t="e">
        <f>#REF!</f>
        <v>#REF!</v>
      </c>
      <c r="CD271" s="84" t="e">
        <f t="shared" si="165"/>
        <v>#REF!</v>
      </c>
      <c r="CE271" s="60"/>
      <c r="CF271" s="84">
        <f>'RD Feedstock Breakdown'!GQ262*1000000</f>
        <v>3097716933.5082464</v>
      </c>
      <c r="CG271" s="85" t="e">
        <f t="shared" si="164"/>
        <v>#REF!</v>
      </c>
      <c r="CH271" s="73">
        <f>'[2]US EIA'!$R408+AW271</f>
        <v>7174.0833333333312</v>
      </c>
    </row>
    <row r="272" spans="1:86" ht="13.5" x14ac:dyDescent="0.25">
      <c r="A272" s="59">
        <v>48427</v>
      </c>
      <c r="B272" s="74">
        <f t="shared" si="119"/>
        <v>690</v>
      </c>
      <c r="C272" s="74">
        <v>47</v>
      </c>
      <c r="D272" s="74">
        <f t="shared" si="163"/>
        <v>3</v>
      </c>
      <c r="E272" s="74">
        <f t="shared" si="123"/>
        <v>85</v>
      </c>
      <c r="F272" s="74">
        <f t="shared" si="148"/>
        <v>340</v>
      </c>
      <c r="G272" s="74">
        <f t="shared" si="162"/>
        <v>37.5</v>
      </c>
      <c r="H272" s="74">
        <f t="shared" si="140"/>
        <v>190</v>
      </c>
      <c r="I272" s="74">
        <f t="shared" si="122"/>
        <v>250</v>
      </c>
      <c r="J272" s="74">
        <f t="shared" si="114"/>
        <v>153.30000000000001</v>
      </c>
      <c r="K272" s="74">
        <f t="shared" si="126"/>
        <v>125</v>
      </c>
      <c r="L272" s="74">
        <v>125</v>
      </c>
      <c r="M272" s="74">
        <v>730</v>
      </c>
      <c r="N272" s="74">
        <f t="shared" si="158"/>
        <v>180</v>
      </c>
      <c r="O272" s="74">
        <v>375</v>
      </c>
      <c r="P272" s="74">
        <f t="shared" si="135"/>
        <v>50</v>
      </c>
      <c r="Q272" s="74">
        <f t="shared" si="136"/>
        <v>21</v>
      </c>
      <c r="R272" s="74">
        <v>100</v>
      </c>
      <c r="S272" s="74">
        <f t="shared" si="142"/>
        <v>60</v>
      </c>
      <c r="T272" s="74">
        <f t="shared" si="130"/>
        <v>36</v>
      </c>
      <c r="U272" s="74"/>
      <c r="V272" s="74">
        <f t="shared" si="154"/>
        <v>0</v>
      </c>
      <c r="W272" s="74">
        <f t="shared" si="137"/>
        <v>20</v>
      </c>
      <c r="X272" s="74">
        <f t="shared" si="116"/>
        <v>0</v>
      </c>
      <c r="Y272" s="74">
        <f t="shared" si="132"/>
        <v>3.5</v>
      </c>
      <c r="Z272" s="74">
        <f t="shared" si="157"/>
        <v>230</v>
      </c>
      <c r="AA272" s="74">
        <f t="shared" si="131"/>
        <v>306</v>
      </c>
      <c r="AB272" s="74">
        <f t="shared" si="144"/>
        <v>60</v>
      </c>
      <c r="AC272" s="74">
        <f t="shared" si="151"/>
        <v>1.6</v>
      </c>
      <c r="AD272" s="74">
        <f t="shared" si="139"/>
        <v>180</v>
      </c>
      <c r="AE272" s="74">
        <f t="shared" si="143"/>
        <v>1.1000000000000001</v>
      </c>
      <c r="AF272" s="74">
        <f t="shared" si="147"/>
        <v>275</v>
      </c>
      <c r="AG272" s="74">
        <f t="shared" si="153"/>
        <v>18</v>
      </c>
      <c r="AH272" s="74">
        <f t="shared" si="145"/>
        <v>3</v>
      </c>
      <c r="AI272" s="74">
        <f t="shared" si="138"/>
        <v>47</v>
      </c>
      <c r="AJ272" s="74">
        <f t="shared" si="160"/>
        <v>90</v>
      </c>
      <c r="AK272" s="74">
        <f t="shared" si="166"/>
        <v>14</v>
      </c>
      <c r="AL272" s="74">
        <f t="shared" si="161"/>
        <v>45</v>
      </c>
      <c r="AM272" s="74">
        <v>46</v>
      </c>
      <c r="AN272" s="74">
        <f t="shared" si="167"/>
        <v>0.75</v>
      </c>
      <c r="AO272" s="74">
        <f t="shared" si="155"/>
        <v>19</v>
      </c>
      <c r="AP272" s="74">
        <f t="shared" si="155"/>
        <v>19</v>
      </c>
      <c r="AQ272" s="74">
        <f t="shared" si="115"/>
        <v>5</v>
      </c>
      <c r="AR272" s="74">
        <f t="shared" si="156"/>
        <v>120</v>
      </c>
      <c r="AS272" s="74">
        <f t="shared" si="159"/>
        <v>120</v>
      </c>
      <c r="AT272" s="74">
        <f t="shared" si="152"/>
        <v>55</v>
      </c>
      <c r="AU272" s="74"/>
      <c r="AV272" s="74"/>
      <c r="AW272" s="74">
        <f t="shared" si="133"/>
        <v>5276.7500000000009</v>
      </c>
      <c r="AX272" s="83">
        <f t="shared" si="146"/>
        <v>5428.4449999999988</v>
      </c>
      <c r="AY272" s="62">
        <f>'[1]D4 Gallon Forecast'!$X156/1000000</f>
        <v>0</v>
      </c>
      <c r="AZ272" s="62">
        <f>'[1]D4 Gallon Forecast'!$X188/1000000</f>
        <v>316.107084004922</v>
      </c>
      <c r="BA272" s="62">
        <f t="shared" si="149"/>
        <v>316.107084004922</v>
      </c>
      <c r="BB272" s="62">
        <f>'[1]D4 Gallon Forecast'!$X172/1000000</f>
        <v>0</v>
      </c>
      <c r="BC272" s="63">
        <f>'[1]D4 Gallon Forecast'!$X348/1000000</f>
        <v>424.54400954681194</v>
      </c>
      <c r="BD272" s="64">
        <f>'[1]D4 Gallon Forecast'!$X364/1000000</f>
        <v>0</v>
      </c>
      <c r="BE272" s="64">
        <f t="shared" si="150"/>
        <v>424.54400954681194</v>
      </c>
      <c r="BF272" s="76">
        <f t="shared" si="117"/>
        <v>740.65109355173399</v>
      </c>
      <c r="BG272" s="77">
        <f t="shared" si="121"/>
        <v>1.6064580791189145</v>
      </c>
      <c r="BH272" s="60"/>
      <c r="BI272" s="75">
        <f t="shared" si="134"/>
        <v>4702.9000000000005</v>
      </c>
      <c r="BJ272" s="75">
        <f t="shared" si="113"/>
        <v>725.54499999999825</v>
      </c>
      <c r="BK272" s="75">
        <f>'RD Feedstock Breakdown'!ES263</f>
        <v>9453.8339546103125</v>
      </c>
      <c r="BL272" s="78">
        <f t="shared" si="120"/>
        <v>12.764220611995853</v>
      </c>
      <c r="BM272" s="78">
        <f t="shared" si="118"/>
        <v>29.90706135033377</v>
      </c>
      <c r="BN272" s="60"/>
      <c r="BO272" s="60"/>
      <c r="BP272" s="60"/>
      <c r="BQ272" s="66">
        <f>'[1]D4 Gallon Forecast'!$X76/1000000</f>
        <v>127.65189120661637</v>
      </c>
      <c r="BR272" s="66">
        <f>'[1]D6 Gallon Forecast'!$X69/1000000</f>
        <v>0.9280679672179083</v>
      </c>
      <c r="BS272" s="66">
        <f t="shared" si="141"/>
        <v>128.57995917383428</v>
      </c>
      <c r="BT272" s="60"/>
      <c r="BU272" s="67">
        <f>'[2]US EIA'!$P409</f>
        <v>956.30189329772645</v>
      </c>
      <c r="BV272" s="68">
        <f t="shared" si="127"/>
        <v>7.4374101488463653</v>
      </c>
      <c r="BW272" s="60"/>
      <c r="BX272" s="69">
        <f t="shared" si="128"/>
        <v>0.85207620140737284</v>
      </c>
      <c r="BY272" s="69">
        <f t="shared" si="129"/>
        <v>0.14792379859262722</v>
      </c>
      <c r="BZ272" s="60"/>
      <c r="CA272" s="60"/>
      <c r="CB272" s="84" t="e">
        <f>#REF!</f>
        <v>#REF!</v>
      </c>
      <c r="CC272" s="84" t="e">
        <f>#REF!</f>
        <v>#REF!</v>
      </c>
      <c r="CD272" s="84" t="e">
        <f t="shared" si="165"/>
        <v>#REF!</v>
      </c>
      <c r="CE272" s="60"/>
      <c r="CF272" s="84">
        <f>'RD Feedstock Breakdown'!GQ263*1000000</f>
        <v>3373242954.6676364</v>
      </c>
      <c r="CG272" s="85" t="e">
        <f t="shared" si="164"/>
        <v>#REF!</v>
      </c>
      <c r="CH272" s="73">
        <f>'[2]US EIA'!$R409+AW272</f>
        <v>7174.0833333333312</v>
      </c>
    </row>
    <row r="273" spans="1:86" ht="13.5" x14ac:dyDescent="0.25">
      <c r="A273" s="59">
        <v>48458</v>
      </c>
      <c r="B273" s="74">
        <f t="shared" si="119"/>
        <v>690</v>
      </c>
      <c r="C273" s="74">
        <v>47</v>
      </c>
      <c r="D273" s="74">
        <f t="shared" si="163"/>
        <v>3</v>
      </c>
      <c r="E273" s="74">
        <f t="shared" si="123"/>
        <v>85</v>
      </c>
      <c r="F273" s="74">
        <f t="shared" si="148"/>
        <v>340</v>
      </c>
      <c r="G273" s="74">
        <f t="shared" si="162"/>
        <v>37.5</v>
      </c>
      <c r="H273" s="74">
        <f t="shared" si="140"/>
        <v>190</v>
      </c>
      <c r="I273" s="74">
        <f t="shared" si="122"/>
        <v>250</v>
      </c>
      <c r="J273" s="74">
        <f t="shared" si="114"/>
        <v>153.30000000000001</v>
      </c>
      <c r="K273" s="74">
        <f t="shared" si="126"/>
        <v>125</v>
      </c>
      <c r="L273" s="74">
        <v>125</v>
      </c>
      <c r="M273" s="74">
        <v>730</v>
      </c>
      <c r="N273" s="74">
        <f t="shared" si="158"/>
        <v>180</v>
      </c>
      <c r="O273" s="74">
        <v>375</v>
      </c>
      <c r="P273" s="74">
        <f t="shared" si="135"/>
        <v>50</v>
      </c>
      <c r="Q273" s="74">
        <f t="shared" si="136"/>
        <v>21</v>
      </c>
      <c r="R273" s="74">
        <v>100</v>
      </c>
      <c r="S273" s="74">
        <f t="shared" si="142"/>
        <v>60</v>
      </c>
      <c r="T273" s="74">
        <f t="shared" si="130"/>
        <v>36</v>
      </c>
      <c r="U273" s="74"/>
      <c r="V273" s="74">
        <f t="shared" si="154"/>
        <v>0</v>
      </c>
      <c r="W273" s="74">
        <f t="shared" si="137"/>
        <v>20</v>
      </c>
      <c r="X273" s="74">
        <f t="shared" si="116"/>
        <v>0</v>
      </c>
      <c r="Y273" s="74">
        <f t="shared" si="132"/>
        <v>3.5</v>
      </c>
      <c r="Z273" s="74">
        <f t="shared" si="157"/>
        <v>230</v>
      </c>
      <c r="AA273" s="74">
        <f t="shared" si="131"/>
        <v>306</v>
      </c>
      <c r="AB273" s="74">
        <f t="shared" si="144"/>
        <v>60</v>
      </c>
      <c r="AC273" s="74">
        <f t="shared" si="151"/>
        <v>1.6</v>
      </c>
      <c r="AD273" s="74">
        <f t="shared" si="139"/>
        <v>180</v>
      </c>
      <c r="AE273" s="74">
        <f t="shared" si="143"/>
        <v>1.1000000000000001</v>
      </c>
      <c r="AF273" s="74">
        <f t="shared" si="147"/>
        <v>275</v>
      </c>
      <c r="AG273" s="74">
        <f t="shared" si="153"/>
        <v>18</v>
      </c>
      <c r="AH273" s="74">
        <f t="shared" si="145"/>
        <v>3</v>
      </c>
      <c r="AI273" s="74">
        <f t="shared" si="138"/>
        <v>47</v>
      </c>
      <c r="AJ273" s="74">
        <f t="shared" si="160"/>
        <v>90</v>
      </c>
      <c r="AK273" s="74">
        <f t="shared" si="166"/>
        <v>14</v>
      </c>
      <c r="AL273" s="74">
        <f t="shared" si="161"/>
        <v>45</v>
      </c>
      <c r="AM273" s="74">
        <v>46</v>
      </c>
      <c r="AN273" s="74">
        <f t="shared" si="167"/>
        <v>0.75</v>
      </c>
      <c r="AO273" s="74">
        <f t="shared" si="155"/>
        <v>19</v>
      </c>
      <c r="AP273" s="74">
        <f t="shared" si="155"/>
        <v>19</v>
      </c>
      <c r="AQ273" s="74">
        <f t="shared" si="115"/>
        <v>5</v>
      </c>
      <c r="AR273" s="74">
        <f t="shared" si="156"/>
        <v>120</v>
      </c>
      <c r="AS273" s="74">
        <f t="shared" si="159"/>
        <v>120</v>
      </c>
      <c r="AT273" s="74">
        <f t="shared" si="152"/>
        <v>55</v>
      </c>
      <c r="AU273" s="74"/>
      <c r="AV273" s="74"/>
      <c r="AW273" s="74">
        <f t="shared" si="133"/>
        <v>5276.7500000000009</v>
      </c>
      <c r="AX273" s="83">
        <f t="shared" si="146"/>
        <v>5428.4449999999988</v>
      </c>
      <c r="AY273" s="62">
        <f>'[1]D4 Gallon Forecast'!$X157/1000000</f>
        <v>0</v>
      </c>
      <c r="AZ273" s="62">
        <f>'[1]D4 Gallon Forecast'!$X189/1000000</f>
        <v>321.86838431426781</v>
      </c>
      <c r="BA273" s="62">
        <f t="shared" si="149"/>
        <v>321.86838431426781</v>
      </c>
      <c r="BB273" s="62">
        <f>'[1]D4 Gallon Forecast'!$X173/1000000</f>
        <v>0</v>
      </c>
      <c r="BC273" s="63">
        <f>'[1]D4 Gallon Forecast'!$X349/1000000</f>
        <v>516.34976786017171</v>
      </c>
      <c r="BD273" s="64">
        <f>'[1]D4 Gallon Forecast'!$X365/1000000</f>
        <v>0</v>
      </c>
      <c r="BE273" s="64">
        <f t="shared" si="150"/>
        <v>516.34976786017171</v>
      </c>
      <c r="BF273" s="76">
        <f t="shared" si="117"/>
        <v>838.21815217443952</v>
      </c>
      <c r="BG273" s="77">
        <f t="shared" si="121"/>
        <v>1.8180791662203895</v>
      </c>
      <c r="BH273" s="60"/>
      <c r="BI273" s="75">
        <f t="shared" si="134"/>
        <v>4702.9000000000005</v>
      </c>
      <c r="BJ273" s="75">
        <f t="shared" ref="BJ273:BJ336" si="168">AX273-BI273</f>
        <v>725.54499999999825</v>
      </c>
      <c r="BK273" s="75">
        <f>'RD Feedstock Breakdown'!ES264</f>
        <v>12022.757978443982</v>
      </c>
      <c r="BL273" s="78">
        <f t="shared" si="120"/>
        <v>14.343232662351072</v>
      </c>
      <c r="BM273" s="78">
        <f t="shared" si="118"/>
        <v>37.353025535757894</v>
      </c>
      <c r="BN273" s="60"/>
      <c r="BO273" s="60"/>
      <c r="BP273" s="60"/>
      <c r="BQ273" s="66">
        <f>'[1]D4 Gallon Forecast'!$X77/1000000</f>
        <v>120.4314006916357</v>
      </c>
      <c r="BR273" s="66">
        <f>'[1]D6 Gallon Forecast'!$X70/1000000</f>
        <v>0.92654758088230871</v>
      </c>
      <c r="BS273" s="66">
        <f t="shared" si="141"/>
        <v>121.35794827251802</v>
      </c>
      <c r="BT273" s="60"/>
      <c r="BU273" s="67">
        <f>'[2]US EIA'!$P410</f>
        <v>921.20791369187759</v>
      </c>
      <c r="BV273" s="68">
        <f t="shared" si="127"/>
        <v>7.5908329598918307</v>
      </c>
      <c r="BW273" s="60"/>
      <c r="BX273" s="69">
        <f t="shared" si="128"/>
        <v>0.8735296260338381</v>
      </c>
      <c r="BY273" s="69">
        <f t="shared" si="129"/>
        <v>0.12647037396616187</v>
      </c>
      <c r="BZ273" s="60"/>
      <c r="CA273" s="60"/>
      <c r="CB273" s="84" t="e">
        <f>#REF!</f>
        <v>#REF!</v>
      </c>
      <c r="CC273" s="84" t="e">
        <f>#REF!</f>
        <v>#REF!</v>
      </c>
      <c r="CD273" s="84" t="e">
        <f t="shared" si="165"/>
        <v>#REF!</v>
      </c>
      <c r="CE273" s="60"/>
      <c r="CF273" s="84">
        <f>'RD Feedstock Breakdown'!GQ264*1000000</f>
        <v>4073598660.1540699</v>
      </c>
      <c r="CG273" s="85" t="e">
        <f t="shared" si="164"/>
        <v>#REF!</v>
      </c>
      <c r="CH273" s="73">
        <f>'[2]US EIA'!$R410+AW273</f>
        <v>7174.0833333333312</v>
      </c>
    </row>
    <row r="274" spans="1:86" ht="13.5" x14ac:dyDescent="0.25">
      <c r="A274" s="59">
        <v>48488</v>
      </c>
      <c r="B274" s="74">
        <f t="shared" si="119"/>
        <v>690</v>
      </c>
      <c r="C274" s="74">
        <v>47</v>
      </c>
      <c r="D274" s="74">
        <f t="shared" si="163"/>
        <v>3</v>
      </c>
      <c r="E274" s="74">
        <f t="shared" si="123"/>
        <v>85</v>
      </c>
      <c r="F274" s="74">
        <f t="shared" si="148"/>
        <v>340</v>
      </c>
      <c r="G274" s="74">
        <f t="shared" si="162"/>
        <v>37.5</v>
      </c>
      <c r="H274" s="74">
        <f t="shared" si="140"/>
        <v>190</v>
      </c>
      <c r="I274" s="74">
        <f t="shared" si="122"/>
        <v>250</v>
      </c>
      <c r="J274" s="74">
        <f t="shared" ref="J274:J337" si="169">100+(53.3*$J$12)</f>
        <v>153.30000000000001</v>
      </c>
      <c r="K274" s="74">
        <f t="shared" si="126"/>
        <v>125</v>
      </c>
      <c r="L274" s="74">
        <v>125</v>
      </c>
      <c r="M274" s="74">
        <v>730</v>
      </c>
      <c r="N274" s="74">
        <f t="shared" si="158"/>
        <v>180</v>
      </c>
      <c r="O274" s="74">
        <v>375</v>
      </c>
      <c r="P274" s="74">
        <f t="shared" si="135"/>
        <v>50</v>
      </c>
      <c r="Q274" s="74">
        <f t="shared" si="136"/>
        <v>21</v>
      </c>
      <c r="R274" s="74">
        <v>100</v>
      </c>
      <c r="S274" s="74">
        <f t="shared" si="142"/>
        <v>60</v>
      </c>
      <c r="T274" s="74">
        <f t="shared" si="130"/>
        <v>36</v>
      </c>
      <c r="U274" s="74"/>
      <c r="V274" s="74">
        <f t="shared" si="154"/>
        <v>0</v>
      </c>
      <c r="W274" s="74">
        <f t="shared" si="137"/>
        <v>20</v>
      </c>
      <c r="X274" s="74">
        <f t="shared" si="116"/>
        <v>0</v>
      </c>
      <c r="Y274" s="74">
        <f t="shared" si="132"/>
        <v>3.5</v>
      </c>
      <c r="Z274" s="74">
        <f t="shared" si="157"/>
        <v>230</v>
      </c>
      <c r="AA274" s="74">
        <f t="shared" si="131"/>
        <v>306</v>
      </c>
      <c r="AB274" s="74">
        <f t="shared" si="144"/>
        <v>60</v>
      </c>
      <c r="AC274" s="74">
        <f t="shared" si="151"/>
        <v>1.6</v>
      </c>
      <c r="AD274" s="74">
        <f t="shared" si="139"/>
        <v>180</v>
      </c>
      <c r="AE274" s="74">
        <f t="shared" si="143"/>
        <v>1.1000000000000001</v>
      </c>
      <c r="AF274" s="74">
        <f t="shared" si="147"/>
        <v>275</v>
      </c>
      <c r="AG274" s="74">
        <f t="shared" si="153"/>
        <v>18</v>
      </c>
      <c r="AH274" s="74">
        <f t="shared" si="145"/>
        <v>3</v>
      </c>
      <c r="AI274" s="74">
        <f t="shared" si="138"/>
        <v>47</v>
      </c>
      <c r="AJ274" s="74">
        <f t="shared" si="160"/>
        <v>90</v>
      </c>
      <c r="AK274" s="74">
        <f t="shared" si="166"/>
        <v>14</v>
      </c>
      <c r="AL274" s="74">
        <f t="shared" si="161"/>
        <v>45</v>
      </c>
      <c r="AM274" s="74">
        <v>46</v>
      </c>
      <c r="AN274" s="74">
        <f t="shared" si="167"/>
        <v>0.75</v>
      </c>
      <c r="AO274" s="74">
        <f t="shared" si="155"/>
        <v>19</v>
      </c>
      <c r="AP274" s="74">
        <f t="shared" si="155"/>
        <v>19</v>
      </c>
      <c r="AQ274" s="74">
        <f t="shared" si="115"/>
        <v>5</v>
      </c>
      <c r="AR274" s="74">
        <f t="shared" si="156"/>
        <v>120</v>
      </c>
      <c r="AS274" s="74">
        <f t="shared" si="159"/>
        <v>120</v>
      </c>
      <c r="AT274" s="74">
        <f t="shared" si="152"/>
        <v>55</v>
      </c>
      <c r="AU274" s="74"/>
      <c r="AV274" s="74"/>
      <c r="AW274" s="74">
        <f t="shared" si="133"/>
        <v>5276.7500000000009</v>
      </c>
      <c r="AX274" s="83">
        <f t="shared" si="146"/>
        <v>5428.4449999999988</v>
      </c>
      <c r="AY274" s="62">
        <f>'[1]D4 Gallon Forecast'!$X158/1000000</f>
        <v>0</v>
      </c>
      <c r="AZ274" s="62">
        <f>'[1]D4 Gallon Forecast'!$X190/1000000</f>
        <v>353.69069433561964</v>
      </c>
      <c r="BA274" s="62">
        <f t="shared" si="149"/>
        <v>353.69069433561964</v>
      </c>
      <c r="BB274" s="62">
        <f>'[1]D4 Gallon Forecast'!$X174/1000000</f>
        <v>0</v>
      </c>
      <c r="BC274" s="63">
        <f>'[1]D4 Gallon Forecast'!$X350/1000000</f>
        <v>503.93879168250572</v>
      </c>
      <c r="BD274" s="64">
        <f>'[1]D4 Gallon Forecast'!$X366/1000000</f>
        <v>0</v>
      </c>
      <c r="BE274" s="64">
        <f t="shared" si="150"/>
        <v>503.93879168250572</v>
      </c>
      <c r="BF274" s="76">
        <f t="shared" si="117"/>
        <v>857.62948601812536</v>
      </c>
      <c r="BG274" s="77">
        <f t="shared" si="121"/>
        <v>1.922188044621838</v>
      </c>
      <c r="BH274" s="60"/>
      <c r="BI274" s="75">
        <f t="shared" si="134"/>
        <v>4702.9000000000005</v>
      </c>
      <c r="BJ274" s="75">
        <f t="shared" si="168"/>
        <v>725.54499999999825</v>
      </c>
      <c r="BK274" s="75">
        <f>'RD Feedstock Breakdown'!ES265</f>
        <v>13140.844533484815</v>
      </c>
      <c r="BL274" s="78">
        <f>BK274/BF274</f>
        <v>15.322286310952574</v>
      </c>
      <c r="BM274" s="78">
        <f t="shared" si="118"/>
        <v>37.153492426960412</v>
      </c>
      <c r="BN274" s="60"/>
      <c r="BO274" s="60"/>
      <c r="BP274" s="60"/>
      <c r="BQ274" s="66">
        <f>'[1]D4 Gallon Forecast'!$X78/1000000</f>
        <v>123.2207964281302</v>
      </c>
      <c r="BR274" s="66">
        <f>'[1]D6 Gallon Forecast'!$X71/1000000</f>
        <v>0.92566966426777186</v>
      </c>
      <c r="BS274" s="66">
        <f t="shared" si="141"/>
        <v>124.14646609239797</v>
      </c>
      <c r="BT274" s="60"/>
      <c r="BU274" s="67">
        <f>'[2]US EIA'!$P411</f>
        <v>911.10916256633845</v>
      </c>
      <c r="BV274" s="68">
        <f t="shared" si="127"/>
        <v>7.3389858869460776</v>
      </c>
      <c r="BW274" s="60"/>
      <c r="BX274" s="69">
        <f t="shared" si="128"/>
        <v>0.8735490864025337</v>
      </c>
      <c r="BY274" s="69">
        <f t="shared" si="129"/>
        <v>0.12645091359746627</v>
      </c>
      <c r="BZ274" s="60"/>
      <c r="CA274" s="60"/>
      <c r="CB274" s="84" t="e">
        <f>#REF!</f>
        <v>#REF!</v>
      </c>
      <c r="CC274" s="84" t="e">
        <f>#REF!</f>
        <v>#REF!</v>
      </c>
      <c r="CD274" s="84" t="e">
        <f t="shared" si="165"/>
        <v>#REF!</v>
      </c>
      <c r="CE274" s="60"/>
      <c r="CF274" s="84">
        <f>'RD Feedstock Breakdown'!GQ265*1000000</f>
        <v>4017033854.184608</v>
      </c>
      <c r="CG274" s="85" t="e">
        <f t="shared" si="164"/>
        <v>#REF!</v>
      </c>
      <c r="CH274" s="73">
        <f>'[2]US EIA'!$R411+AW274</f>
        <v>7174.0833333333312</v>
      </c>
    </row>
    <row r="275" spans="1:86" ht="13.5" x14ac:dyDescent="0.25">
      <c r="A275" s="59">
        <v>48519</v>
      </c>
      <c r="B275" s="74">
        <f t="shared" si="119"/>
        <v>690</v>
      </c>
      <c r="C275" s="74">
        <v>47</v>
      </c>
      <c r="D275" s="74">
        <f t="shared" si="163"/>
        <v>3</v>
      </c>
      <c r="E275" s="74">
        <f t="shared" si="123"/>
        <v>85</v>
      </c>
      <c r="F275" s="74">
        <f t="shared" si="148"/>
        <v>340</v>
      </c>
      <c r="G275" s="74">
        <f t="shared" si="162"/>
        <v>37.5</v>
      </c>
      <c r="H275" s="74">
        <f t="shared" si="140"/>
        <v>190</v>
      </c>
      <c r="I275" s="74">
        <f t="shared" si="122"/>
        <v>250</v>
      </c>
      <c r="J275" s="74">
        <f t="shared" si="169"/>
        <v>153.30000000000001</v>
      </c>
      <c r="K275" s="74">
        <f t="shared" si="126"/>
        <v>125</v>
      </c>
      <c r="L275" s="74">
        <v>125</v>
      </c>
      <c r="M275" s="74">
        <v>730</v>
      </c>
      <c r="N275" s="74">
        <f t="shared" si="158"/>
        <v>180</v>
      </c>
      <c r="O275" s="74">
        <v>375</v>
      </c>
      <c r="P275" s="74">
        <f t="shared" si="135"/>
        <v>50</v>
      </c>
      <c r="Q275" s="74">
        <f t="shared" si="136"/>
        <v>21</v>
      </c>
      <c r="R275" s="74">
        <v>100</v>
      </c>
      <c r="S275" s="74">
        <f t="shared" si="142"/>
        <v>60</v>
      </c>
      <c r="T275" s="74">
        <f t="shared" si="130"/>
        <v>36</v>
      </c>
      <c r="U275" s="74"/>
      <c r="V275" s="74">
        <f t="shared" si="154"/>
        <v>0</v>
      </c>
      <c r="W275" s="74">
        <f t="shared" si="137"/>
        <v>20</v>
      </c>
      <c r="X275" s="74">
        <f t="shared" si="116"/>
        <v>0</v>
      </c>
      <c r="Y275" s="74">
        <f t="shared" si="132"/>
        <v>3.5</v>
      </c>
      <c r="Z275" s="74">
        <f t="shared" si="157"/>
        <v>230</v>
      </c>
      <c r="AA275" s="74">
        <f t="shared" si="131"/>
        <v>306</v>
      </c>
      <c r="AB275" s="74">
        <f t="shared" si="144"/>
        <v>60</v>
      </c>
      <c r="AC275" s="74">
        <f t="shared" si="151"/>
        <v>1.6</v>
      </c>
      <c r="AD275" s="74">
        <f t="shared" si="139"/>
        <v>180</v>
      </c>
      <c r="AE275" s="74">
        <f t="shared" si="143"/>
        <v>1.1000000000000001</v>
      </c>
      <c r="AF275" s="74">
        <f t="shared" si="147"/>
        <v>275</v>
      </c>
      <c r="AG275" s="74">
        <f t="shared" si="153"/>
        <v>18</v>
      </c>
      <c r="AH275" s="74">
        <f t="shared" si="145"/>
        <v>3</v>
      </c>
      <c r="AI275" s="74">
        <f t="shared" si="138"/>
        <v>47</v>
      </c>
      <c r="AJ275" s="74">
        <f t="shared" si="160"/>
        <v>90</v>
      </c>
      <c r="AK275" s="74">
        <f t="shared" si="166"/>
        <v>14</v>
      </c>
      <c r="AL275" s="74">
        <f t="shared" si="161"/>
        <v>45</v>
      </c>
      <c r="AM275" s="74">
        <v>46</v>
      </c>
      <c r="AN275" s="74">
        <f t="shared" si="167"/>
        <v>0.75</v>
      </c>
      <c r="AO275" s="74">
        <f t="shared" si="155"/>
        <v>19</v>
      </c>
      <c r="AP275" s="74">
        <f t="shared" si="155"/>
        <v>19</v>
      </c>
      <c r="AQ275" s="74">
        <f t="shared" si="115"/>
        <v>5</v>
      </c>
      <c r="AR275" s="74">
        <f t="shared" si="156"/>
        <v>120</v>
      </c>
      <c r="AS275" s="74">
        <f t="shared" si="159"/>
        <v>120</v>
      </c>
      <c r="AT275" s="74">
        <f t="shared" si="152"/>
        <v>55</v>
      </c>
      <c r="AU275" s="74"/>
      <c r="AV275" s="74"/>
      <c r="AW275" s="74">
        <f t="shared" si="133"/>
        <v>5276.7500000000009</v>
      </c>
      <c r="AX275" s="83">
        <f t="shared" si="146"/>
        <v>5428.4449999999988</v>
      </c>
      <c r="AY275" s="62">
        <f>'[1]D4 Gallon Forecast'!$X159/1000000</f>
        <v>0</v>
      </c>
      <c r="AZ275" s="62">
        <f>'[1]D4 Gallon Forecast'!$X191/1000000</f>
        <v>429.72636109434279</v>
      </c>
      <c r="BA275" s="62">
        <f t="shared" si="149"/>
        <v>429.72636109434279</v>
      </c>
      <c r="BB275" s="62">
        <f>'[1]D4 Gallon Forecast'!$X175/1000000</f>
        <v>0</v>
      </c>
      <c r="BC275" s="63">
        <f>'[1]D4 Gallon Forecast'!$X351/1000000</f>
        <v>435.89972845442838</v>
      </c>
      <c r="BD275" s="64">
        <f>'[1]D4 Gallon Forecast'!$X367/1000000</f>
        <v>0</v>
      </c>
      <c r="BE275" s="64">
        <f t="shared" si="150"/>
        <v>435.89972845442838</v>
      </c>
      <c r="BF275" s="76">
        <f t="shared" si="117"/>
        <v>865.62608954877123</v>
      </c>
      <c r="BG275" s="77">
        <f t="shared" si="121"/>
        <v>1.8775264590284504</v>
      </c>
      <c r="BH275" s="60"/>
      <c r="BI275" s="75">
        <f t="shared" si="134"/>
        <v>4702.9000000000005</v>
      </c>
      <c r="BJ275" s="75">
        <f t="shared" si="168"/>
        <v>725.54499999999825</v>
      </c>
      <c r="BK275" s="75">
        <f>'RD Feedstock Breakdown'!ES266</f>
        <v>12927.56982109246</v>
      </c>
      <c r="BL275" s="78">
        <f t="shared" si="120"/>
        <v>14.934357890981858</v>
      </c>
      <c r="BM275" s="78">
        <f t="shared" si="118"/>
        <v>30.083259933533196</v>
      </c>
      <c r="BN275" s="60"/>
      <c r="BO275" s="60"/>
      <c r="BP275" s="60"/>
      <c r="BQ275" s="66">
        <f>'[1]D4 Gallon Forecast'!$X79/1000000</f>
        <v>117.27838990295777</v>
      </c>
      <c r="BR275" s="66">
        <f>'[1]D6 Gallon Forecast'!$X72/1000000</f>
        <v>0.95570277059969655</v>
      </c>
      <c r="BS275" s="66">
        <f t="shared" si="141"/>
        <v>118.23409267355747</v>
      </c>
      <c r="BT275" s="60"/>
      <c r="BU275" s="67">
        <f>'[2]US EIA'!$P412</f>
        <v>874.39383577708736</v>
      </c>
      <c r="BV275" s="68">
        <f t="shared" si="127"/>
        <v>7.3954458989360656</v>
      </c>
      <c r="BW275" s="60"/>
      <c r="BX275" s="69">
        <f t="shared" si="128"/>
        <v>0.87982632612848288</v>
      </c>
      <c r="BY275" s="69">
        <f t="shared" si="129"/>
        <v>0.12017367387151705</v>
      </c>
      <c r="BZ275" s="60"/>
      <c r="CA275" s="60"/>
      <c r="CB275" s="84" t="e">
        <f>#REF!</f>
        <v>#REF!</v>
      </c>
      <c r="CC275" s="84" t="e">
        <f>#REF!</f>
        <v>#REF!</v>
      </c>
      <c r="CD275" s="84" t="e">
        <f t="shared" si="165"/>
        <v>#REF!</v>
      </c>
      <c r="CE275" s="60"/>
      <c r="CF275" s="84">
        <f>'RD Feedstock Breakdown'!GQ266*1000000</f>
        <v>3467265410.8367996</v>
      </c>
      <c r="CG275" s="85" t="e">
        <f t="shared" si="164"/>
        <v>#REF!</v>
      </c>
      <c r="CH275" s="73">
        <f>'[2]US EIA'!$R412+AW275</f>
        <v>7174.0833333333312</v>
      </c>
    </row>
    <row r="276" spans="1:86" ht="13.5" x14ac:dyDescent="0.25">
      <c r="A276" s="59">
        <v>48549</v>
      </c>
      <c r="B276" s="74">
        <f t="shared" si="119"/>
        <v>690</v>
      </c>
      <c r="C276" s="74">
        <v>47</v>
      </c>
      <c r="D276" s="74">
        <f t="shared" si="163"/>
        <v>3</v>
      </c>
      <c r="E276" s="74">
        <f t="shared" si="123"/>
        <v>85</v>
      </c>
      <c r="F276" s="74">
        <f t="shared" si="148"/>
        <v>340</v>
      </c>
      <c r="G276" s="74">
        <f t="shared" si="162"/>
        <v>37.5</v>
      </c>
      <c r="H276" s="74">
        <f t="shared" si="140"/>
        <v>190</v>
      </c>
      <c r="I276" s="74">
        <f t="shared" si="122"/>
        <v>250</v>
      </c>
      <c r="J276" s="74">
        <f t="shared" si="169"/>
        <v>153.30000000000001</v>
      </c>
      <c r="K276" s="74">
        <f t="shared" si="126"/>
        <v>125</v>
      </c>
      <c r="L276" s="74">
        <v>125</v>
      </c>
      <c r="M276" s="74">
        <v>730</v>
      </c>
      <c r="N276" s="74">
        <f t="shared" si="158"/>
        <v>180</v>
      </c>
      <c r="O276" s="74">
        <v>375</v>
      </c>
      <c r="P276" s="74">
        <f t="shared" si="135"/>
        <v>50</v>
      </c>
      <c r="Q276" s="74">
        <f t="shared" si="136"/>
        <v>21</v>
      </c>
      <c r="R276" s="74">
        <v>100</v>
      </c>
      <c r="S276" s="74">
        <f t="shared" si="142"/>
        <v>60</v>
      </c>
      <c r="T276" s="74">
        <f t="shared" si="130"/>
        <v>36</v>
      </c>
      <c r="U276" s="74"/>
      <c r="V276" s="74">
        <f t="shared" si="154"/>
        <v>0</v>
      </c>
      <c r="W276" s="74">
        <f t="shared" si="137"/>
        <v>20</v>
      </c>
      <c r="X276" s="74">
        <f t="shared" si="116"/>
        <v>0</v>
      </c>
      <c r="Y276" s="74">
        <f t="shared" si="132"/>
        <v>3.5</v>
      </c>
      <c r="Z276" s="74">
        <f t="shared" si="157"/>
        <v>230</v>
      </c>
      <c r="AA276" s="74">
        <f t="shared" si="131"/>
        <v>306</v>
      </c>
      <c r="AB276" s="74">
        <f t="shared" si="144"/>
        <v>60</v>
      </c>
      <c r="AC276" s="74">
        <f t="shared" si="151"/>
        <v>1.6</v>
      </c>
      <c r="AD276" s="74">
        <f t="shared" si="139"/>
        <v>180</v>
      </c>
      <c r="AE276" s="74">
        <f t="shared" si="143"/>
        <v>1.1000000000000001</v>
      </c>
      <c r="AF276" s="74">
        <f t="shared" si="147"/>
        <v>275</v>
      </c>
      <c r="AG276" s="74">
        <f t="shared" si="153"/>
        <v>18</v>
      </c>
      <c r="AH276" s="74">
        <f t="shared" si="145"/>
        <v>3</v>
      </c>
      <c r="AI276" s="74">
        <f t="shared" si="138"/>
        <v>47</v>
      </c>
      <c r="AJ276" s="74">
        <f t="shared" si="160"/>
        <v>90</v>
      </c>
      <c r="AK276" s="74">
        <f t="shared" si="166"/>
        <v>14</v>
      </c>
      <c r="AL276" s="74">
        <f t="shared" si="161"/>
        <v>45</v>
      </c>
      <c r="AM276" s="74">
        <v>46</v>
      </c>
      <c r="AN276" s="74">
        <f t="shared" si="167"/>
        <v>0.75</v>
      </c>
      <c r="AO276" s="74">
        <f t="shared" si="155"/>
        <v>19</v>
      </c>
      <c r="AP276" s="74">
        <f t="shared" si="155"/>
        <v>19</v>
      </c>
      <c r="AQ276" s="74">
        <f t="shared" ref="AQ276:AQ339" si="170">$AQ$5*$AQ$12</f>
        <v>5</v>
      </c>
      <c r="AR276" s="74">
        <f t="shared" si="156"/>
        <v>120</v>
      </c>
      <c r="AS276" s="74">
        <f t="shared" si="159"/>
        <v>120</v>
      </c>
      <c r="AT276" s="74">
        <f t="shared" si="152"/>
        <v>55</v>
      </c>
      <c r="AU276" s="74"/>
      <c r="AV276" s="74"/>
      <c r="AW276" s="74">
        <f t="shared" si="133"/>
        <v>5276.7500000000009</v>
      </c>
      <c r="AX276" s="83">
        <f t="shared" si="146"/>
        <v>5428.4449999999988</v>
      </c>
      <c r="AY276" s="62">
        <f>'[1]D4 Gallon Forecast'!$X160/1000000</f>
        <v>0</v>
      </c>
      <c r="AZ276" s="62">
        <f>'[1]D4 Gallon Forecast'!$X192/1000000</f>
        <v>487.5979401152797</v>
      </c>
      <c r="BA276" s="62">
        <f t="shared" si="149"/>
        <v>487.5979401152797</v>
      </c>
      <c r="BB276" s="62">
        <f>'[1]D4 Gallon Forecast'!$X176/1000000</f>
        <v>0</v>
      </c>
      <c r="BC276" s="63">
        <f>'[1]D4 Gallon Forecast'!$X352/1000000</f>
        <v>391.57172585410308</v>
      </c>
      <c r="BD276" s="64">
        <f>'[1]D4 Gallon Forecast'!$X368/1000000</f>
        <v>0</v>
      </c>
      <c r="BE276" s="64">
        <f t="shared" si="150"/>
        <v>391.57172585410308</v>
      </c>
      <c r="BF276" s="76">
        <f t="shared" si="117"/>
        <v>879.16966596938278</v>
      </c>
      <c r="BG276" s="77">
        <f t="shared" si="121"/>
        <v>1.9704656249246624</v>
      </c>
      <c r="BH276" s="60"/>
      <c r="BI276" s="75">
        <f t="shared" si="134"/>
        <v>4702.9000000000005</v>
      </c>
      <c r="BJ276" s="75">
        <f t="shared" si="168"/>
        <v>725.54499999999825</v>
      </c>
      <c r="BK276" s="75">
        <f>'RD Feedstock Breakdown'!ES267</f>
        <v>13820.460524847527</v>
      </c>
      <c r="BL276" s="78">
        <f t="shared" si="120"/>
        <v>15.719901470450445</v>
      </c>
      <c r="BM276" s="78">
        <f t="shared" si="118"/>
        <v>28.343968232474573</v>
      </c>
      <c r="BN276" s="60"/>
      <c r="BO276" s="60"/>
      <c r="BP276" s="60"/>
      <c r="BQ276" s="66">
        <f>'[1]D4 Gallon Forecast'!$X80/1000000</f>
        <v>160.56759828760838</v>
      </c>
      <c r="BR276" s="66">
        <f>'[1]D6 Gallon Forecast'!$X73/1000000</f>
        <v>0.89881146986328964</v>
      </c>
      <c r="BS276" s="66">
        <f t="shared" si="141"/>
        <v>161.46640975747167</v>
      </c>
      <c r="BT276" s="60"/>
      <c r="BU276" s="67">
        <f>'[2]US EIA'!$P413</f>
        <v>1093.9756835453261</v>
      </c>
      <c r="BV276" s="68">
        <f t="shared" si="127"/>
        <v>6.7752524205406983</v>
      </c>
      <c r="BW276" s="60"/>
      <c r="BX276" s="69">
        <f t="shared" si="128"/>
        <v>0.84483873515081442</v>
      </c>
      <c r="BY276" s="69">
        <f t="shared" si="129"/>
        <v>0.15516126484918563</v>
      </c>
      <c r="BZ276" s="60"/>
      <c r="CA276" s="60"/>
      <c r="CB276" s="84" t="e">
        <f>#REF!</f>
        <v>#REF!</v>
      </c>
      <c r="CC276" s="84" t="e">
        <f>#REF!</f>
        <v>#REF!</v>
      </c>
      <c r="CD276" s="84" t="e">
        <f t="shared" si="165"/>
        <v>#REF!</v>
      </c>
      <c r="CE276" s="60"/>
      <c r="CF276" s="84">
        <f>'RD Feedstock Breakdown'!GQ267*1000000</f>
        <v>3123865177.4379859</v>
      </c>
      <c r="CG276" s="85" t="e">
        <f t="shared" si="164"/>
        <v>#REF!</v>
      </c>
      <c r="CH276" s="73">
        <f>'[2]US EIA'!$R413+AW276</f>
        <v>7174.0833333333312</v>
      </c>
    </row>
    <row r="277" spans="1:86" ht="13.5" x14ac:dyDescent="0.25">
      <c r="A277" s="59">
        <v>48580</v>
      </c>
      <c r="B277" s="74">
        <f t="shared" si="119"/>
        <v>690</v>
      </c>
      <c r="C277" s="74">
        <v>47</v>
      </c>
      <c r="D277" s="74">
        <f t="shared" si="163"/>
        <v>3</v>
      </c>
      <c r="E277" s="74">
        <f t="shared" si="123"/>
        <v>85</v>
      </c>
      <c r="F277" s="74">
        <f t="shared" si="148"/>
        <v>340</v>
      </c>
      <c r="G277" s="74">
        <f t="shared" si="162"/>
        <v>37.5</v>
      </c>
      <c r="H277" s="74">
        <f t="shared" si="140"/>
        <v>190</v>
      </c>
      <c r="I277" s="74">
        <f t="shared" si="122"/>
        <v>250</v>
      </c>
      <c r="J277" s="74">
        <f t="shared" si="169"/>
        <v>153.30000000000001</v>
      </c>
      <c r="K277" s="74">
        <f t="shared" si="126"/>
        <v>125</v>
      </c>
      <c r="L277" s="74">
        <v>125</v>
      </c>
      <c r="M277" s="74">
        <v>730</v>
      </c>
      <c r="N277" s="74">
        <f t="shared" si="158"/>
        <v>180</v>
      </c>
      <c r="O277" s="74">
        <v>375</v>
      </c>
      <c r="P277" s="74">
        <f t="shared" si="135"/>
        <v>50</v>
      </c>
      <c r="Q277" s="74">
        <f t="shared" si="136"/>
        <v>21</v>
      </c>
      <c r="R277" s="74">
        <v>100</v>
      </c>
      <c r="S277" s="74">
        <f t="shared" si="142"/>
        <v>60</v>
      </c>
      <c r="T277" s="74">
        <f t="shared" si="130"/>
        <v>36</v>
      </c>
      <c r="U277" s="74"/>
      <c r="V277" s="74">
        <f t="shared" si="154"/>
        <v>0</v>
      </c>
      <c r="W277" s="74">
        <f t="shared" si="137"/>
        <v>20</v>
      </c>
      <c r="X277" s="74">
        <f t="shared" ref="X277:X340" si="171">16.1*$X$12</f>
        <v>0</v>
      </c>
      <c r="Y277" s="74">
        <f t="shared" si="132"/>
        <v>3.5</v>
      </c>
      <c r="Z277" s="74">
        <f t="shared" si="157"/>
        <v>230</v>
      </c>
      <c r="AA277" s="74">
        <f t="shared" si="131"/>
        <v>306</v>
      </c>
      <c r="AB277" s="74">
        <f t="shared" si="144"/>
        <v>60</v>
      </c>
      <c r="AC277" s="74">
        <f t="shared" si="151"/>
        <v>1.6</v>
      </c>
      <c r="AD277" s="74">
        <f t="shared" si="139"/>
        <v>180</v>
      </c>
      <c r="AE277" s="74">
        <f t="shared" si="143"/>
        <v>1.1000000000000001</v>
      </c>
      <c r="AF277" s="74">
        <f t="shared" si="147"/>
        <v>275</v>
      </c>
      <c r="AG277" s="74">
        <f t="shared" si="153"/>
        <v>18</v>
      </c>
      <c r="AH277" s="74">
        <f t="shared" si="145"/>
        <v>3</v>
      </c>
      <c r="AI277" s="74">
        <f t="shared" si="138"/>
        <v>47</v>
      </c>
      <c r="AJ277" s="74">
        <f t="shared" si="160"/>
        <v>90</v>
      </c>
      <c r="AK277" s="74">
        <f t="shared" si="166"/>
        <v>14</v>
      </c>
      <c r="AL277" s="74">
        <f t="shared" si="161"/>
        <v>45</v>
      </c>
      <c r="AM277" s="74">
        <v>46</v>
      </c>
      <c r="AN277" s="74">
        <f t="shared" si="167"/>
        <v>0.75</v>
      </c>
      <c r="AO277" s="74">
        <f t="shared" si="155"/>
        <v>19</v>
      </c>
      <c r="AP277" s="74">
        <f t="shared" si="155"/>
        <v>19</v>
      </c>
      <c r="AQ277" s="74">
        <f t="shared" si="170"/>
        <v>5</v>
      </c>
      <c r="AR277" s="74">
        <f t="shared" si="156"/>
        <v>120</v>
      </c>
      <c r="AS277" s="74">
        <f t="shared" si="159"/>
        <v>120</v>
      </c>
      <c r="AT277" s="74">
        <f t="shared" si="152"/>
        <v>55</v>
      </c>
      <c r="AU277" s="74"/>
      <c r="AV277" s="74"/>
      <c r="AW277" s="74">
        <f t="shared" si="133"/>
        <v>5276.7500000000009</v>
      </c>
      <c r="AX277" s="83">
        <f t="shared" si="146"/>
        <v>5428.4449999999988</v>
      </c>
      <c r="AY277" s="62">
        <f>'[1]D4 Gallon Forecast'!$Y149/1000000</f>
        <v>0</v>
      </c>
      <c r="AZ277" s="62">
        <f>'[1]D4 Gallon Forecast'!$Y181/1000000</f>
        <v>253.13935843034076</v>
      </c>
      <c r="BA277" s="62">
        <f t="shared" si="149"/>
        <v>253.13935843034076</v>
      </c>
      <c r="BB277" s="62">
        <f>'[1]D4 Gallon Forecast'!$Y165/1000000</f>
        <v>0</v>
      </c>
      <c r="BC277" s="63">
        <f>'[1]D4 Gallon Forecast'!$Y341/1000000</f>
        <v>245.01296190866026</v>
      </c>
      <c r="BD277" s="64">
        <f>'[1]D4 Gallon Forecast'!$Y357/1000000</f>
        <v>0</v>
      </c>
      <c r="BE277" s="64">
        <f t="shared" si="150"/>
        <v>245.01296190866026</v>
      </c>
      <c r="BF277" s="76">
        <f t="shared" ref="BF277:BF340" si="172">BA277+BE277</f>
        <v>498.15232033900099</v>
      </c>
      <c r="BG277" s="77">
        <f t="shared" si="121"/>
        <v>1.0804828705549248</v>
      </c>
      <c r="BH277" s="60"/>
      <c r="BI277" s="75">
        <f t="shared" si="134"/>
        <v>4702.9000000000005</v>
      </c>
      <c r="BJ277" s="75">
        <f t="shared" si="168"/>
        <v>725.54499999999825</v>
      </c>
      <c r="BK277" s="75">
        <f>'RD Feedstock Breakdown'!ES268</f>
        <v>4295.0481588363136</v>
      </c>
      <c r="BL277" s="78">
        <f t="shared" si="120"/>
        <v>8.6219575488747324</v>
      </c>
      <c r="BM277" s="78">
        <f t="shared" ref="BM277:BM340" si="173">BK277/BA277</f>
        <v>16.967129037021049</v>
      </c>
      <c r="BN277" s="60"/>
      <c r="BO277" s="60"/>
      <c r="BP277" s="60"/>
      <c r="BQ277" s="66">
        <f>'[1]D4 Gallon Forecast'!$Y69/1000000</f>
        <v>102.34001960040375</v>
      </c>
      <c r="BR277" s="66">
        <f>'[1]D6 Gallon Forecast'!$Y62/1000000</f>
        <v>0</v>
      </c>
      <c r="BS277" s="66">
        <f t="shared" si="141"/>
        <v>102.34001960040375</v>
      </c>
      <c r="BT277" s="60"/>
      <c r="BU277" s="67">
        <f>'[2]US EIA'!$P414</f>
        <v>928.98881361136728</v>
      </c>
      <c r="BV277" s="68">
        <f t="shared" si="127"/>
        <v>9.0774734775182928</v>
      </c>
      <c r="BW277" s="60"/>
      <c r="BX277" s="69">
        <f t="shared" si="128"/>
        <v>0.82957314724325915</v>
      </c>
      <c r="BY277" s="69">
        <f t="shared" si="129"/>
        <v>0.17042685275674094</v>
      </c>
      <c r="BZ277" s="60"/>
      <c r="CA277" s="60"/>
      <c r="CB277" s="84" t="e">
        <f>#REF!</f>
        <v>#REF!</v>
      </c>
      <c r="CC277" s="84" t="e">
        <f>#REF!</f>
        <v>#REF!</v>
      </c>
      <c r="CD277" s="84" t="e">
        <f t="shared" si="165"/>
        <v>#REF!</v>
      </c>
      <c r="CE277" s="60"/>
      <c r="CF277" s="84">
        <f>'RD Feedstock Breakdown'!GQ268*1000000</f>
        <v>1955136369.1823981</v>
      </c>
      <c r="CG277" s="85" t="e">
        <f t="shared" si="164"/>
        <v>#REF!</v>
      </c>
      <c r="CH277" s="73">
        <f>'[2]US EIA'!$R414+AW277</f>
        <v>7174.0833333333312</v>
      </c>
    </row>
    <row r="278" spans="1:86" ht="13.5" x14ac:dyDescent="0.25">
      <c r="A278" s="59">
        <v>48611</v>
      </c>
      <c r="B278" s="74">
        <f t="shared" ref="B278:B341" si="174">690*$B$12</f>
        <v>690</v>
      </c>
      <c r="C278" s="74">
        <v>47</v>
      </c>
      <c r="D278" s="74">
        <f t="shared" si="163"/>
        <v>3</v>
      </c>
      <c r="E278" s="74">
        <f t="shared" si="123"/>
        <v>85</v>
      </c>
      <c r="F278" s="74">
        <f t="shared" si="148"/>
        <v>340</v>
      </c>
      <c r="G278" s="74">
        <f t="shared" si="162"/>
        <v>37.5</v>
      </c>
      <c r="H278" s="74">
        <f t="shared" si="140"/>
        <v>190</v>
      </c>
      <c r="I278" s="74">
        <f t="shared" si="122"/>
        <v>250</v>
      </c>
      <c r="J278" s="74">
        <f t="shared" si="169"/>
        <v>153.30000000000001</v>
      </c>
      <c r="K278" s="74">
        <f t="shared" si="126"/>
        <v>125</v>
      </c>
      <c r="L278" s="74">
        <v>125</v>
      </c>
      <c r="M278" s="74">
        <v>730</v>
      </c>
      <c r="N278" s="74">
        <f t="shared" si="158"/>
        <v>180</v>
      </c>
      <c r="O278" s="74">
        <v>375</v>
      </c>
      <c r="P278" s="74">
        <f t="shared" si="135"/>
        <v>50</v>
      </c>
      <c r="Q278" s="74">
        <f t="shared" si="136"/>
        <v>21</v>
      </c>
      <c r="R278" s="74">
        <v>100</v>
      </c>
      <c r="S278" s="74">
        <f t="shared" si="142"/>
        <v>60</v>
      </c>
      <c r="T278" s="74">
        <f t="shared" si="130"/>
        <v>36</v>
      </c>
      <c r="U278" s="74"/>
      <c r="V278" s="74">
        <f t="shared" si="154"/>
        <v>0</v>
      </c>
      <c r="W278" s="74">
        <f t="shared" si="137"/>
        <v>20</v>
      </c>
      <c r="X278" s="74">
        <f t="shared" si="171"/>
        <v>0</v>
      </c>
      <c r="Y278" s="74">
        <f t="shared" si="132"/>
        <v>3.5</v>
      </c>
      <c r="Z278" s="74">
        <f t="shared" si="157"/>
        <v>230</v>
      </c>
      <c r="AA278" s="74">
        <f t="shared" si="131"/>
        <v>306</v>
      </c>
      <c r="AB278" s="74">
        <f t="shared" si="144"/>
        <v>60</v>
      </c>
      <c r="AC278" s="74">
        <f t="shared" si="151"/>
        <v>1.6</v>
      </c>
      <c r="AD278" s="74">
        <f t="shared" si="139"/>
        <v>180</v>
      </c>
      <c r="AE278" s="74">
        <f t="shared" si="143"/>
        <v>1.1000000000000001</v>
      </c>
      <c r="AF278" s="74">
        <f t="shared" si="147"/>
        <v>275</v>
      </c>
      <c r="AG278" s="74">
        <f t="shared" si="153"/>
        <v>18</v>
      </c>
      <c r="AH278" s="74">
        <f t="shared" si="145"/>
        <v>3</v>
      </c>
      <c r="AI278" s="74">
        <f t="shared" si="138"/>
        <v>47</v>
      </c>
      <c r="AJ278" s="74">
        <f t="shared" si="160"/>
        <v>90</v>
      </c>
      <c r="AK278" s="74">
        <f t="shared" si="166"/>
        <v>14</v>
      </c>
      <c r="AL278" s="74">
        <f t="shared" si="161"/>
        <v>45</v>
      </c>
      <c r="AM278" s="74">
        <v>46</v>
      </c>
      <c r="AN278" s="74">
        <f t="shared" si="167"/>
        <v>0.75</v>
      </c>
      <c r="AO278" s="74">
        <f t="shared" si="155"/>
        <v>19</v>
      </c>
      <c r="AP278" s="74">
        <f t="shared" si="155"/>
        <v>19</v>
      </c>
      <c r="AQ278" s="74">
        <f t="shared" si="170"/>
        <v>5</v>
      </c>
      <c r="AR278" s="74">
        <f t="shared" si="156"/>
        <v>120</v>
      </c>
      <c r="AS278" s="74">
        <f t="shared" si="159"/>
        <v>120</v>
      </c>
      <c r="AT278" s="74">
        <f t="shared" si="152"/>
        <v>55</v>
      </c>
      <c r="AU278" s="74"/>
      <c r="AV278" s="74"/>
      <c r="AW278" s="74">
        <f t="shared" si="133"/>
        <v>5276.7500000000009</v>
      </c>
      <c r="AX278" s="83">
        <f t="shared" si="146"/>
        <v>5428.4449999999988</v>
      </c>
      <c r="AY278" s="62">
        <f>'[1]D4 Gallon Forecast'!$Y150/1000000</f>
        <v>0</v>
      </c>
      <c r="AZ278" s="62">
        <f>'[1]D4 Gallon Forecast'!$Y182/1000000</f>
        <v>279.13715728243994</v>
      </c>
      <c r="BA278" s="62">
        <f t="shared" si="149"/>
        <v>279.13715728243994</v>
      </c>
      <c r="BB278" s="62">
        <f>'[1]D4 Gallon Forecast'!$Y166/1000000</f>
        <v>0</v>
      </c>
      <c r="BC278" s="63">
        <f>'[1]D4 Gallon Forecast'!$Y342/1000000</f>
        <v>465.11691486002161</v>
      </c>
      <c r="BD278" s="64">
        <f>'[1]D4 Gallon Forecast'!$Y358/1000000</f>
        <v>0</v>
      </c>
      <c r="BE278" s="64">
        <f t="shared" si="150"/>
        <v>465.11691486002161</v>
      </c>
      <c r="BF278" s="76">
        <f t="shared" si="172"/>
        <v>744.25407214246161</v>
      </c>
      <c r="BG278" s="77">
        <f t="shared" si="121"/>
        <v>1.6142728708830241</v>
      </c>
      <c r="BH278" s="60"/>
      <c r="BI278" s="75">
        <f t="shared" si="134"/>
        <v>4702.9000000000005</v>
      </c>
      <c r="BJ278" s="75">
        <f t="shared" si="168"/>
        <v>725.54499999999825</v>
      </c>
      <c r="BK278" s="75">
        <f>'RD Feedstock Breakdown'!ES269</f>
        <v>9584.4808868830023</v>
      </c>
      <c r="BL278" s="78">
        <f t="shared" ref="BL278:BL341" si="175">BK278/BF278</f>
        <v>12.877969023793781</v>
      </c>
      <c r="BM278" s="78">
        <f t="shared" si="173"/>
        <v>34.336098354634728</v>
      </c>
      <c r="BN278" s="60"/>
      <c r="BO278" s="60"/>
      <c r="BP278" s="60"/>
      <c r="BQ278" s="66">
        <f>'[1]D4 Gallon Forecast'!$Y70/1000000</f>
        <v>87.267964936471202</v>
      </c>
      <c r="BR278" s="66">
        <f>'[1]D6 Gallon Forecast'!$Y63/1000000</f>
        <v>0</v>
      </c>
      <c r="BS278" s="66">
        <f t="shared" si="141"/>
        <v>87.267964936471202</v>
      </c>
      <c r="BT278" s="60"/>
      <c r="BU278" s="67">
        <f>'[2]US EIA'!$P415</f>
        <v>698.46967665610532</v>
      </c>
      <c r="BV278" s="68">
        <f t="shared" si="127"/>
        <v>8.003735129661532</v>
      </c>
      <c r="BW278" s="60"/>
      <c r="BX278" s="69">
        <f t="shared" si="128"/>
        <v>0.89505032813918406</v>
      </c>
      <c r="BY278" s="69">
        <f t="shared" si="129"/>
        <v>0.10494967186081591</v>
      </c>
      <c r="BZ278" s="60"/>
      <c r="CA278" s="60"/>
      <c r="CB278" s="84" t="e">
        <f>#REF!</f>
        <v>#REF!</v>
      </c>
      <c r="CC278" s="84" t="e">
        <f>#REF!</f>
        <v>#REF!</v>
      </c>
      <c r="CD278" s="84" t="e">
        <f t="shared" si="165"/>
        <v>#REF!</v>
      </c>
      <c r="CE278" s="60"/>
      <c r="CF278" s="84">
        <f>'RD Feedstock Breakdown'!GQ269*1000000</f>
        <v>3710501074.5385485</v>
      </c>
      <c r="CG278" s="85" t="e">
        <f t="shared" si="164"/>
        <v>#REF!</v>
      </c>
      <c r="CH278" s="73">
        <f>'[2]US EIA'!$R415+AW278</f>
        <v>7174.0833333333312</v>
      </c>
    </row>
    <row r="279" spans="1:86" ht="13.5" x14ac:dyDescent="0.25">
      <c r="A279" s="59">
        <v>48639</v>
      </c>
      <c r="B279" s="74">
        <f t="shared" si="174"/>
        <v>690</v>
      </c>
      <c r="C279" s="74">
        <v>47</v>
      </c>
      <c r="D279" s="74">
        <f t="shared" si="163"/>
        <v>3</v>
      </c>
      <c r="E279" s="74">
        <f t="shared" si="123"/>
        <v>85</v>
      </c>
      <c r="F279" s="74">
        <f t="shared" si="148"/>
        <v>340</v>
      </c>
      <c r="G279" s="74">
        <f t="shared" si="162"/>
        <v>37.5</v>
      </c>
      <c r="H279" s="74">
        <f t="shared" si="140"/>
        <v>190</v>
      </c>
      <c r="I279" s="74">
        <f t="shared" si="122"/>
        <v>250</v>
      </c>
      <c r="J279" s="74">
        <f t="shared" si="169"/>
        <v>153.30000000000001</v>
      </c>
      <c r="K279" s="74">
        <f t="shared" si="126"/>
        <v>125</v>
      </c>
      <c r="L279" s="74">
        <v>125</v>
      </c>
      <c r="M279" s="74">
        <v>730</v>
      </c>
      <c r="N279" s="74">
        <f t="shared" si="158"/>
        <v>180</v>
      </c>
      <c r="O279" s="74">
        <v>375</v>
      </c>
      <c r="P279" s="74">
        <f t="shared" si="135"/>
        <v>50</v>
      </c>
      <c r="Q279" s="74">
        <f t="shared" si="136"/>
        <v>21</v>
      </c>
      <c r="R279" s="74">
        <v>100</v>
      </c>
      <c r="S279" s="74">
        <f t="shared" si="142"/>
        <v>60</v>
      </c>
      <c r="T279" s="74">
        <f t="shared" si="130"/>
        <v>36</v>
      </c>
      <c r="U279" s="74"/>
      <c r="V279" s="74">
        <f t="shared" si="154"/>
        <v>0</v>
      </c>
      <c r="W279" s="74">
        <f t="shared" si="137"/>
        <v>20</v>
      </c>
      <c r="X279" s="74">
        <f t="shared" si="171"/>
        <v>0</v>
      </c>
      <c r="Y279" s="74">
        <f t="shared" si="132"/>
        <v>3.5</v>
      </c>
      <c r="Z279" s="74">
        <f t="shared" si="157"/>
        <v>230</v>
      </c>
      <c r="AA279" s="74">
        <f t="shared" si="131"/>
        <v>306</v>
      </c>
      <c r="AB279" s="74">
        <f t="shared" si="144"/>
        <v>60</v>
      </c>
      <c r="AC279" s="74">
        <f t="shared" si="151"/>
        <v>1.6</v>
      </c>
      <c r="AD279" s="74">
        <f t="shared" si="139"/>
        <v>180</v>
      </c>
      <c r="AE279" s="74">
        <f t="shared" si="143"/>
        <v>1.1000000000000001</v>
      </c>
      <c r="AF279" s="74">
        <f t="shared" si="147"/>
        <v>275</v>
      </c>
      <c r="AG279" s="74">
        <f t="shared" si="153"/>
        <v>18</v>
      </c>
      <c r="AH279" s="74">
        <f t="shared" si="145"/>
        <v>3</v>
      </c>
      <c r="AI279" s="74">
        <f t="shared" si="138"/>
        <v>47</v>
      </c>
      <c r="AJ279" s="74">
        <f t="shared" si="160"/>
        <v>90</v>
      </c>
      <c r="AK279" s="74">
        <f t="shared" si="166"/>
        <v>14</v>
      </c>
      <c r="AL279" s="74">
        <f t="shared" si="161"/>
        <v>45</v>
      </c>
      <c r="AM279" s="74">
        <v>46</v>
      </c>
      <c r="AN279" s="74">
        <f t="shared" si="167"/>
        <v>0.75</v>
      </c>
      <c r="AO279" s="74">
        <f t="shared" si="155"/>
        <v>19</v>
      </c>
      <c r="AP279" s="74">
        <f t="shared" si="155"/>
        <v>19</v>
      </c>
      <c r="AQ279" s="74">
        <f t="shared" si="170"/>
        <v>5</v>
      </c>
      <c r="AR279" s="74">
        <f t="shared" si="156"/>
        <v>120</v>
      </c>
      <c r="AS279" s="74">
        <f t="shared" si="159"/>
        <v>120</v>
      </c>
      <c r="AT279" s="74">
        <f t="shared" si="152"/>
        <v>55</v>
      </c>
      <c r="AU279" s="74"/>
      <c r="AV279" s="74"/>
      <c r="AW279" s="74">
        <f t="shared" si="133"/>
        <v>5276.7500000000009</v>
      </c>
      <c r="AX279" s="83">
        <f t="shared" si="146"/>
        <v>5428.4449999999988</v>
      </c>
      <c r="AY279" s="62">
        <f>'[1]D4 Gallon Forecast'!$Y151/1000000</f>
        <v>0</v>
      </c>
      <c r="AZ279" s="62">
        <f>'[1]D4 Gallon Forecast'!$Y183/1000000</f>
        <v>294.00366399238419</v>
      </c>
      <c r="BA279" s="62">
        <f t="shared" si="149"/>
        <v>294.00366399238419</v>
      </c>
      <c r="BB279" s="62">
        <f>'[1]D4 Gallon Forecast'!$Y167/1000000</f>
        <v>0</v>
      </c>
      <c r="BC279" s="63">
        <f>'[1]D4 Gallon Forecast'!$Y343/1000000</f>
        <v>185.65145426298955</v>
      </c>
      <c r="BD279" s="64">
        <f>'[1]D4 Gallon Forecast'!$Y359/1000000</f>
        <v>0</v>
      </c>
      <c r="BE279" s="64">
        <f t="shared" si="150"/>
        <v>185.65145426298955</v>
      </c>
      <c r="BF279" s="76">
        <f t="shared" si="172"/>
        <v>479.65511825537374</v>
      </c>
      <c r="BG279" s="77">
        <f t="shared" si="121"/>
        <v>1.1518302344884312</v>
      </c>
      <c r="BH279" s="60"/>
      <c r="BI279" s="75">
        <f t="shared" si="134"/>
        <v>4702.9000000000005</v>
      </c>
      <c r="BJ279" s="75">
        <f t="shared" si="168"/>
        <v>725.54499999999825</v>
      </c>
      <c r="BK279" s="75">
        <f>'RD Feedstock Breakdown'!ES270</f>
        <v>4407.4559978557772</v>
      </c>
      <c r="BL279" s="78">
        <f t="shared" si="175"/>
        <v>9.1888021832995399</v>
      </c>
      <c r="BM279" s="78">
        <f t="shared" si="173"/>
        <v>14.991160103263022</v>
      </c>
      <c r="BN279" s="60"/>
      <c r="BO279" s="60"/>
      <c r="BP279" s="60"/>
      <c r="BQ279" s="66">
        <f>'[1]D4 Gallon Forecast'!$Y71/1000000</f>
        <v>99.802002947552268</v>
      </c>
      <c r="BR279" s="66">
        <f>'[1]D6 Gallon Forecast'!$Y64/1000000</f>
        <v>2.0330000000000001E-3</v>
      </c>
      <c r="BS279" s="66">
        <f t="shared" si="141"/>
        <v>99.804035947552265</v>
      </c>
      <c r="BT279" s="60"/>
      <c r="BU279" s="67">
        <f>'[2]US EIA'!$P416</f>
        <v>772.44326951378184</v>
      </c>
      <c r="BV279" s="68">
        <f t="shared" si="127"/>
        <v>7.7395995280161447</v>
      </c>
      <c r="BW279" s="60"/>
      <c r="BX279" s="69">
        <f t="shared" si="128"/>
        <v>0.82776346663323053</v>
      </c>
      <c r="BY279" s="69">
        <f t="shared" si="129"/>
        <v>0.17223653336676945</v>
      </c>
      <c r="BZ279" s="60"/>
      <c r="CA279" s="60"/>
      <c r="CB279" s="84" t="e">
        <f>#REF!</f>
        <v>#REF!</v>
      </c>
      <c r="CC279" s="84" t="e">
        <f>#REF!</f>
        <v>#REF!</v>
      </c>
      <c r="CD279" s="84" t="e">
        <f t="shared" si="165"/>
        <v>#REF!</v>
      </c>
      <c r="CE279" s="60"/>
      <c r="CF279" s="84">
        <f>'RD Feedstock Breakdown'!GQ270*1000000</f>
        <v>1481046804.6292863</v>
      </c>
      <c r="CG279" s="85" t="e">
        <f t="shared" si="164"/>
        <v>#REF!</v>
      </c>
      <c r="CH279" s="73">
        <f>'[2]US EIA'!$R416+AW279</f>
        <v>7174.0833333333312</v>
      </c>
    </row>
    <row r="280" spans="1:86" ht="13.5" x14ac:dyDescent="0.25">
      <c r="A280" s="59">
        <v>48670</v>
      </c>
      <c r="B280" s="74">
        <f t="shared" si="174"/>
        <v>690</v>
      </c>
      <c r="C280" s="74">
        <v>47</v>
      </c>
      <c r="D280" s="74">
        <f t="shared" si="163"/>
        <v>3</v>
      </c>
      <c r="E280" s="74">
        <f t="shared" si="123"/>
        <v>85</v>
      </c>
      <c r="F280" s="74">
        <f t="shared" si="148"/>
        <v>340</v>
      </c>
      <c r="G280" s="74">
        <f t="shared" si="162"/>
        <v>37.5</v>
      </c>
      <c r="H280" s="74">
        <f t="shared" si="140"/>
        <v>190</v>
      </c>
      <c r="I280" s="74">
        <f t="shared" si="122"/>
        <v>250</v>
      </c>
      <c r="J280" s="74">
        <f t="shared" si="169"/>
        <v>153.30000000000001</v>
      </c>
      <c r="K280" s="74">
        <f t="shared" si="126"/>
        <v>125</v>
      </c>
      <c r="L280" s="74">
        <v>125</v>
      </c>
      <c r="M280" s="74">
        <v>730</v>
      </c>
      <c r="N280" s="74">
        <f t="shared" si="158"/>
        <v>180</v>
      </c>
      <c r="O280" s="74">
        <v>375</v>
      </c>
      <c r="P280" s="74">
        <f t="shared" si="135"/>
        <v>50</v>
      </c>
      <c r="Q280" s="74">
        <f t="shared" si="136"/>
        <v>21</v>
      </c>
      <c r="R280" s="74">
        <v>100</v>
      </c>
      <c r="S280" s="74">
        <f t="shared" si="142"/>
        <v>60</v>
      </c>
      <c r="T280" s="74">
        <f t="shared" si="130"/>
        <v>36</v>
      </c>
      <c r="U280" s="74"/>
      <c r="V280" s="74">
        <f t="shared" si="154"/>
        <v>0</v>
      </c>
      <c r="W280" s="74">
        <f t="shared" si="137"/>
        <v>20</v>
      </c>
      <c r="X280" s="74">
        <f t="shared" si="171"/>
        <v>0</v>
      </c>
      <c r="Y280" s="74">
        <f t="shared" si="132"/>
        <v>3.5</v>
      </c>
      <c r="Z280" s="74">
        <f t="shared" si="157"/>
        <v>230</v>
      </c>
      <c r="AA280" s="74">
        <f t="shared" si="131"/>
        <v>306</v>
      </c>
      <c r="AB280" s="74">
        <f t="shared" si="144"/>
        <v>60</v>
      </c>
      <c r="AC280" s="74">
        <f t="shared" si="151"/>
        <v>1.6</v>
      </c>
      <c r="AD280" s="74">
        <f t="shared" si="139"/>
        <v>180</v>
      </c>
      <c r="AE280" s="74">
        <f t="shared" si="143"/>
        <v>1.1000000000000001</v>
      </c>
      <c r="AF280" s="74">
        <f t="shared" si="147"/>
        <v>275</v>
      </c>
      <c r="AG280" s="74">
        <f t="shared" si="153"/>
        <v>18</v>
      </c>
      <c r="AH280" s="74">
        <f t="shared" si="145"/>
        <v>3</v>
      </c>
      <c r="AI280" s="74">
        <f t="shared" si="138"/>
        <v>47</v>
      </c>
      <c r="AJ280" s="74">
        <f t="shared" si="160"/>
        <v>90</v>
      </c>
      <c r="AK280" s="74">
        <f t="shared" si="166"/>
        <v>14</v>
      </c>
      <c r="AL280" s="74">
        <f t="shared" si="161"/>
        <v>45</v>
      </c>
      <c r="AM280" s="74">
        <v>46</v>
      </c>
      <c r="AN280" s="74">
        <f t="shared" si="167"/>
        <v>0.75</v>
      </c>
      <c r="AO280" s="74">
        <f t="shared" si="155"/>
        <v>19</v>
      </c>
      <c r="AP280" s="74">
        <f t="shared" si="155"/>
        <v>19</v>
      </c>
      <c r="AQ280" s="74">
        <f t="shared" si="170"/>
        <v>5</v>
      </c>
      <c r="AR280" s="74">
        <f t="shared" si="156"/>
        <v>120</v>
      </c>
      <c r="AS280" s="74">
        <f t="shared" si="159"/>
        <v>120</v>
      </c>
      <c r="AT280" s="74">
        <f t="shared" si="152"/>
        <v>55</v>
      </c>
      <c r="AU280" s="74"/>
      <c r="AV280" s="74"/>
      <c r="AW280" s="74">
        <f t="shared" si="133"/>
        <v>5276.7500000000009</v>
      </c>
      <c r="AX280" s="83">
        <f t="shared" si="146"/>
        <v>5428.4449999999988</v>
      </c>
      <c r="AY280" s="62">
        <f>'[1]D4 Gallon Forecast'!$Y152/1000000</f>
        <v>0</v>
      </c>
      <c r="AZ280" s="62">
        <f>'[1]D4 Gallon Forecast'!$Y184/1000000</f>
        <v>285.46307592511118</v>
      </c>
      <c r="BA280" s="62">
        <f t="shared" si="149"/>
        <v>285.46307592511118</v>
      </c>
      <c r="BB280" s="62">
        <f>'[1]D4 Gallon Forecast'!$Y168/1000000</f>
        <v>0</v>
      </c>
      <c r="BC280" s="63">
        <f>'[1]D4 Gallon Forecast'!$Y344/1000000</f>
        <v>298.03642123796737</v>
      </c>
      <c r="BD280" s="64">
        <f>'[1]D4 Gallon Forecast'!$Y360/1000000</f>
        <v>0</v>
      </c>
      <c r="BE280" s="64">
        <f t="shared" si="150"/>
        <v>298.03642123796737</v>
      </c>
      <c r="BF280" s="76">
        <f t="shared" si="172"/>
        <v>583.49949716307856</v>
      </c>
      <c r="BG280" s="77">
        <f t="shared" ref="BG280:BG343" si="176">(BF280/(A280-A279)*365)/AX280</f>
        <v>1.2655992673748442</v>
      </c>
      <c r="BH280" s="60"/>
      <c r="BI280" s="75">
        <f t="shared" si="134"/>
        <v>4702.9000000000005</v>
      </c>
      <c r="BJ280" s="75">
        <f t="shared" si="168"/>
        <v>725.54499999999825</v>
      </c>
      <c r="BK280" s="75">
        <f>'RD Feedstock Breakdown'!ES271</f>
        <v>5893.3754980024478</v>
      </c>
      <c r="BL280" s="78">
        <f t="shared" si="175"/>
        <v>10.10005240219658</v>
      </c>
      <c r="BM280" s="78">
        <f t="shared" si="173"/>
        <v>20.644966004459803</v>
      </c>
      <c r="BN280" s="60"/>
      <c r="BO280" s="60"/>
      <c r="BP280" s="60"/>
      <c r="BQ280" s="66">
        <f>'[1]D4 Gallon Forecast'!$Y72/1000000</f>
        <v>111.37668107702474</v>
      </c>
      <c r="BR280" s="66">
        <f>'[1]D6 Gallon Forecast'!$Y65/1000000</f>
        <v>0.6801446378940581</v>
      </c>
      <c r="BS280" s="66">
        <f t="shared" si="141"/>
        <v>112.0568257149188</v>
      </c>
      <c r="BT280" s="60"/>
      <c r="BU280" s="67">
        <f>'[2]US EIA'!$P417</f>
        <v>841.79612932064856</v>
      </c>
      <c r="BV280" s="68">
        <f t="shared" si="127"/>
        <v>7.5122253727072614</v>
      </c>
      <c r="BW280" s="60"/>
      <c r="BX280" s="69">
        <f t="shared" si="128"/>
        <v>0.83889611519702356</v>
      </c>
      <c r="BY280" s="69">
        <f t="shared" si="129"/>
        <v>0.16110388480297649</v>
      </c>
      <c r="BZ280" s="60"/>
      <c r="CA280" s="60"/>
      <c r="CB280" s="84" t="e">
        <f>#REF!</f>
        <v>#REF!</v>
      </c>
      <c r="CC280" s="84" t="e">
        <f>#REF!</f>
        <v>#REF!</v>
      </c>
      <c r="CD280" s="84" t="e">
        <f t="shared" si="165"/>
        <v>#REF!</v>
      </c>
      <c r="CE280" s="60"/>
      <c r="CF280" s="84">
        <f>'RD Feedstock Breakdown'!GQ271*1000000</f>
        <v>2378464929.51157</v>
      </c>
      <c r="CG280" s="85" t="e">
        <f t="shared" si="164"/>
        <v>#REF!</v>
      </c>
      <c r="CH280" s="73">
        <f>'[2]US EIA'!$R417+AW280</f>
        <v>7174.0833333333312</v>
      </c>
    </row>
    <row r="281" spans="1:86" ht="13.5" x14ac:dyDescent="0.25">
      <c r="A281" s="59">
        <v>48700</v>
      </c>
      <c r="B281" s="74">
        <f t="shared" si="174"/>
        <v>690</v>
      </c>
      <c r="C281" s="74">
        <v>47</v>
      </c>
      <c r="D281" s="74">
        <f t="shared" si="163"/>
        <v>3</v>
      </c>
      <c r="E281" s="74">
        <f t="shared" si="123"/>
        <v>85</v>
      </c>
      <c r="F281" s="74">
        <f t="shared" si="148"/>
        <v>340</v>
      </c>
      <c r="G281" s="74">
        <f t="shared" si="162"/>
        <v>37.5</v>
      </c>
      <c r="H281" s="74">
        <f t="shared" si="140"/>
        <v>190</v>
      </c>
      <c r="I281" s="74">
        <f t="shared" si="122"/>
        <v>250</v>
      </c>
      <c r="J281" s="74">
        <f t="shared" si="169"/>
        <v>153.30000000000001</v>
      </c>
      <c r="K281" s="74">
        <f t="shared" si="126"/>
        <v>125</v>
      </c>
      <c r="L281" s="74">
        <v>125</v>
      </c>
      <c r="M281" s="74">
        <v>730</v>
      </c>
      <c r="N281" s="74">
        <f t="shared" si="158"/>
        <v>180</v>
      </c>
      <c r="O281" s="74">
        <v>375</v>
      </c>
      <c r="P281" s="74">
        <f t="shared" si="135"/>
        <v>50</v>
      </c>
      <c r="Q281" s="74">
        <f t="shared" si="136"/>
        <v>21</v>
      </c>
      <c r="R281" s="74">
        <v>100</v>
      </c>
      <c r="S281" s="74">
        <f t="shared" si="142"/>
        <v>60</v>
      </c>
      <c r="T281" s="74">
        <f t="shared" si="130"/>
        <v>36</v>
      </c>
      <c r="U281" s="74"/>
      <c r="V281" s="74">
        <f t="shared" si="154"/>
        <v>0</v>
      </c>
      <c r="W281" s="74">
        <f t="shared" si="137"/>
        <v>20</v>
      </c>
      <c r="X281" s="74">
        <f t="shared" si="171"/>
        <v>0</v>
      </c>
      <c r="Y281" s="74">
        <f t="shared" si="132"/>
        <v>3.5</v>
      </c>
      <c r="Z281" s="74">
        <f t="shared" si="157"/>
        <v>230</v>
      </c>
      <c r="AA281" s="74">
        <f t="shared" si="131"/>
        <v>306</v>
      </c>
      <c r="AB281" s="74">
        <f t="shared" si="144"/>
        <v>60</v>
      </c>
      <c r="AC281" s="74">
        <f t="shared" si="151"/>
        <v>1.6</v>
      </c>
      <c r="AD281" s="74">
        <f t="shared" si="139"/>
        <v>180</v>
      </c>
      <c r="AE281" s="74">
        <f t="shared" si="143"/>
        <v>1.1000000000000001</v>
      </c>
      <c r="AF281" s="74">
        <f t="shared" si="147"/>
        <v>275</v>
      </c>
      <c r="AG281" s="74">
        <f t="shared" si="153"/>
        <v>18</v>
      </c>
      <c r="AH281" s="74">
        <f t="shared" si="145"/>
        <v>3</v>
      </c>
      <c r="AI281" s="74">
        <f t="shared" si="138"/>
        <v>47</v>
      </c>
      <c r="AJ281" s="74">
        <f t="shared" si="160"/>
        <v>90</v>
      </c>
      <c r="AK281" s="74">
        <f t="shared" si="166"/>
        <v>14</v>
      </c>
      <c r="AL281" s="74">
        <f t="shared" si="161"/>
        <v>45</v>
      </c>
      <c r="AM281" s="74">
        <v>46</v>
      </c>
      <c r="AN281" s="74">
        <f t="shared" si="167"/>
        <v>0.75</v>
      </c>
      <c r="AO281" s="74">
        <f t="shared" si="155"/>
        <v>19</v>
      </c>
      <c r="AP281" s="74">
        <f t="shared" si="155"/>
        <v>19</v>
      </c>
      <c r="AQ281" s="74">
        <f t="shared" si="170"/>
        <v>5</v>
      </c>
      <c r="AR281" s="74">
        <f t="shared" si="156"/>
        <v>120</v>
      </c>
      <c r="AS281" s="74">
        <f t="shared" si="159"/>
        <v>120</v>
      </c>
      <c r="AT281" s="74">
        <f t="shared" si="152"/>
        <v>55</v>
      </c>
      <c r="AU281" s="74"/>
      <c r="AV281" s="74"/>
      <c r="AW281" s="74">
        <f t="shared" si="133"/>
        <v>5276.7500000000009</v>
      </c>
      <c r="AX281" s="83">
        <f t="shared" si="146"/>
        <v>5428.4449999999988</v>
      </c>
      <c r="AY281" s="62">
        <f>'[1]D4 Gallon Forecast'!$Y153/1000000</f>
        <v>0</v>
      </c>
      <c r="AZ281" s="62">
        <f>'[1]D4 Gallon Forecast'!$Y185/1000000</f>
        <v>318.88933267023879</v>
      </c>
      <c r="BA281" s="62">
        <f t="shared" si="149"/>
        <v>318.88933267023879</v>
      </c>
      <c r="BB281" s="62">
        <f>'[1]D4 Gallon Forecast'!$Y169/1000000</f>
        <v>0</v>
      </c>
      <c r="BC281" s="63">
        <f>'[1]D4 Gallon Forecast'!$Y345/1000000</f>
        <v>392.3133611846896</v>
      </c>
      <c r="BD281" s="64">
        <f>'[1]D4 Gallon Forecast'!$Y361/1000000</f>
        <v>0</v>
      </c>
      <c r="BE281" s="64">
        <f t="shared" si="150"/>
        <v>392.3133611846896</v>
      </c>
      <c r="BF281" s="76">
        <f t="shared" si="172"/>
        <v>711.20269385492838</v>
      </c>
      <c r="BG281" s="77">
        <f t="shared" si="176"/>
        <v>1.5940045645794139</v>
      </c>
      <c r="BH281" s="60"/>
      <c r="BI281" s="75">
        <f t="shared" si="134"/>
        <v>4702.9000000000005</v>
      </c>
      <c r="BJ281" s="75">
        <f t="shared" si="168"/>
        <v>725.54499999999825</v>
      </c>
      <c r="BK281" s="75">
        <f>'RD Feedstock Breakdown'!ES272</f>
        <v>9047.1203160033547</v>
      </c>
      <c r="BL281" s="78">
        <f t="shared" si="175"/>
        <v>12.720874645405649</v>
      </c>
      <c r="BM281" s="78">
        <f t="shared" si="173"/>
        <v>28.370721090751939</v>
      </c>
      <c r="BN281" s="60"/>
      <c r="BO281" s="60"/>
      <c r="BP281" s="60"/>
      <c r="BQ281" s="66">
        <f>'[1]D4 Gallon Forecast'!$Y73/1000000</f>
        <v>119.37196124934368</v>
      </c>
      <c r="BR281" s="66">
        <f>'[1]D6 Gallon Forecast'!$Y66/1000000</f>
        <v>0.72617381382139057</v>
      </c>
      <c r="BS281" s="66">
        <f t="shared" si="141"/>
        <v>120.09813506316507</v>
      </c>
      <c r="BT281" s="60"/>
      <c r="BU281" s="67">
        <f>'[2]US EIA'!$P418</f>
        <v>896.4068977904858</v>
      </c>
      <c r="BV281" s="68">
        <f t="shared" si="127"/>
        <v>7.4639535186705821</v>
      </c>
      <c r="BW281" s="60"/>
      <c r="BX281" s="69">
        <f t="shared" si="128"/>
        <v>0.85552987452271856</v>
      </c>
      <c r="BY281" s="69">
        <f t="shared" si="129"/>
        <v>0.1444701254772815</v>
      </c>
      <c r="BZ281" s="60"/>
      <c r="CA281" s="60"/>
      <c r="CB281" s="84" t="e">
        <f>#REF!</f>
        <v>#REF!</v>
      </c>
      <c r="CC281" s="84" t="e">
        <f>#REF!</f>
        <v>#REF!</v>
      </c>
      <c r="CD281" s="84" t="e">
        <f t="shared" si="165"/>
        <v>#REF!</v>
      </c>
      <c r="CE281" s="60"/>
      <c r="CF281" s="84">
        <f>'RD Feedstock Breakdown'!GQ272*1000000</f>
        <v>3130837389.2047</v>
      </c>
      <c r="CG281" s="85" t="e">
        <f t="shared" si="164"/>
        <v>#REF!</v>
      </c>
      <c r="CH281" s="73">
        <f>'[2]US EIA'!$R418+AW281</f>
        <v>7174.0833333333312</v>
      </c>
    </row>
    <row r="282" spans="1:86" ht="13.5" x14ac:dyDescent="0.25">
      <c r="A282" s="59">
        <v>48731</v>
      </c>
      <c r="B282" s="74">
        <f t="shared" si="174"/>
        <v>690</v>
      </c>
      <c r="C282" s="74">
        <v>47</v>
      </c>
      <c r="D282" s="74">
        <f t="shared" si="163"/>
        <v>3</v>
      </c>
      <c r="E282" s="74">
        <f t="shared" si="123"/>
        <v>85</v>
      </c>
      <c r="F282" s="74">
        <f t="shared" si="148"/>
        <v>340</v>
      </c>
      <c r="G282" s="74">
        <f t="shared" si="162"/>
        <v>37.5</v>
      </c>
      <c r="H282" s="74">
        <f t="shared" si="140"/>
        <v>190</v>
      </c>
      <c r="I282" s="74">
        <f t="shared" ref="I282:I345" si="177">$I$12*$I$5*2</f>
        <v>250</v>
      </c>
      <c r="J282" s="74">
        <f t="shared" si="169"/>
        <v>153.30000000000001</v>
      </c>
      <c r="K282" s="74">
        <f t="shared" si="126"/>
        <v>125</v>
      </c>
      <c r="L282" s="74">
        <v>125</v>
      </c>
      <c r="M282" s="74">
        <v>730</v>
      </c>
      <c r="N282" s="74">
        <f t="shared" si="158"/>
        <v>180</v>
      </c>
      <c r="O282" s="74">
        <v>375</v>
      </c>
      <c r="P282" s="74">
        <f t="shared" si="135"/>
        <v>50</v>
      </c>
      <c r="Q282" s="74">
        <f t="shared" si="136"/>
        <v>21</v>
      </c>
      <c r="R282" s="74">
        <v>100</v>
      </c>
      <c r="S282" s="74">
        <f t="shared" si="142"/>
        <v>60</v>
      </c>
      <c r="T282" s="74">
        <f t="shared" si="130"/>
        <v>36</v>
      </c>
      <c r="U282" s="74"/>
      <c r="V282" s="74">
        <f t="shared" si="154"/>
        <v>0</v>
      </c>
      <c r="W282" s="74">
        <f t="shared" si="137"/>
        <v>20</v>
      </c>
      <c r="X282" s="74">
        <f t="shared" si="171"/>
        <v>0</v>
      </c>
      <c r="Y282" s="74">
        <f t="shared" si="132"/>
        <v>3.5</v>
      </c>
      <c r="Z282" s="74">
        <f t="shared" si="157"/>
        <v>230</v>
      </c>
      <c r="AA282" s="74">
        <f t="shared" si="131"/>
        <v>306</v>
      </c>
      <c r="AB282" s="74">
        <f t="shared" si="144"/>
        <v>60</v>
      </c>
      <c r="AC282" s="74">
        <f t="shared" si="151"/>
        <v>1.6</v>
      </c>
      <c r="AD282" s="74">
        <f t="shared" si="139"/>
        <v>180</v>
      </c>
      <c r="AE282" s="74">
        <f t="shared" si="143"/>
        <v>1.1000000000000001</v>
      </c>
      <c r="AF282" s="74">
        <f t="shared" si="147"/>
        <v>275</v>
      </c>
      <c r="AG282" s="74">
        <f t="shared" si="153"/>
        <v>18</v>
      </c>
      <c r="AH282" s="74">
        <f t="shared" si="145"/>
        <v>3</v>
      </c>
      <c r="AI282" s="74">
        <f t="shared" si="138"/>
        <v>47</v>
      </c>
      <c r="AJ282" s="74">
        <f t="shared" si="160"/>
        <v>90</v>
      </c>
      <c r="AK282" s="74">
        <f t="shared" si="166"/>
        <v>14</v>
      </c>
      <c r="AL282" s="74">
        <f t="shared" si="161"/>
        <v>45</v>
      </c>
      <c r="AM282" s="74">
        <v>46</v>
      </c>
      <c r="AN282" s="74">
        <f t="shared" si="167"/>
        <v>0.75</v>
      </c>
      <c r="AO282" s="74">
        <f t="shared" si="155"/>
        <v>19</v>
      </c>
      <c r="AP282" s="74">
        <f t="shared" si="155"/>
        <v>19</v>
      </c>
      <c r="AQ282" s="74">
        <f t="shared" si="170"/>
        <v>5</v>
      </c>
      <c r="AR282" s="74">
        <f t="shared" si="156"/>
        <v>120</v>
      </c>
      <c r="AS282" s="74">
        <f t="shared" si="159"/>
        <v>120</v>
      </c>
      <c r="AT282" s="74">
        <f t="shared" si="152"/>
        <v>55</v>
      </c>
      <c r="AU282" s="74"/>
      <c r="AV282" s="74"/>
      <c r="AW282" s="74">
        <f t="shared" si="133"/>
        <v>5276.7500000000009</v>
      </c>
      <c r="AX282" s="83">
        <f t="shared" si="146"/>
        <v>5428.4449999999988</v>
      </c>
      <c r="AY282" s="62">
        <f>'[1]D4 Gallon Forecast'!$Y154/1000000</f>
        <v>0</v>
      </c>
      <c r="AZ282" s="62">
        <f>'[1]D4 Gallon Forecast'!$Y186/1000000</f>
        <v>316.28827551365254</v>
      </c>
      <c r="BA282" s="62">
        <f t="shared" si="149"/>
        <v>316.28827551365254</v>
      </c>
      <c r="BB282" s="62">
        <f>'[1]D4 Gallon Forecast'!$Y170/1000000</f>
        <v>0</v>
      </c>
      <c r="BC282" s="63">
        <f>'[1]D4 Gallon Forecast'!$Y346/1000000</f>
        <v>374.2174098805076</v>
      </c>
      <c r="BD282" s="64">
        <f>'[1]D4 Gallon Forecast'!$Y362/1000000</f>
        <v>0</v>
      </c>
      <c r="BE282" s="64">
        <f t="shared" si="150"/>
        <v>374.2174098805076</v>
      </c>
      <c r="BF282" s="76">
        <f t="shared" si="172"/>
        <v>690.50568539416008</v>
      </c>
      <c r="BG282" s="77">
        <f t="shared" si="176"/>
        <v>1.4976936463559143</v>
      </c>
      <c r="BH282" s="60"/>
      <c r="BI282" s="75">
        <f t="shared" si="134"/>
        <v>4702.9000000000005</v>
      </c>
      <c r="BJ282" s="75">
        <f t="shared" si="168"/>
        <v>725.54499999999825</v>
      </c>
      <c r="BK282" s="75">
        <f>'RD Feedstock Breakdown'!ES273</f>
        <v>8253.8911788732312</v>
      </c>
      <c r="BL282" s="78">
        <f t="shared" si="175"/>
        <v>11.953400751742802</v>
      </c>
      <c r="BM282" s="78">
        <f t="shared" si="173"/>
        <v>26.096102251874186</v>
      </c>
      <c r="BN282" s="60"/>
      <c r="BO282" s="60"/>
      <c r="BP282" s="60"/>
      <c r="BQ282" s="66">
        <f>'[1]D4 Gallon Forecast'!$Y74/1000000</f>
        <v>116.58196968812892</v>
      </c>
      <c r="BR282" s="66">
        <f>'[1]D6 Gallon Forecast'!$Y67/1000000</f>
        <v>0.89433536520370294</v>
      </c>
      <c r="BS282" s="66">
        <f t="shared" si="141"/>
        <v>117.47630505333262</v>
      </c>
      <c r="BT282" s="60"/>
      <c r="BU282" s="67">
        <f>'[2]US EIA'!$P419</f>
        <v>886.51321088036298</v>
      </c>
      <c r="BV282" s="68">
        <f t="shared" si="127"/>
        <v>7.5463150673482469</v>
      </c>
      <c r="BW282" s="60"/>
      <c r="BX282" s="69">
        <f t="shared" si="128"/>
        <v>0.85460529263991436</v>
      </c>
      <c r="BY282" s="69">
        <f t="shared" si="129"/>
        <v>0.14539470736008553</v>
      </c>
      <c r="BZ282" s="60"/>
      <c r="CA282" s="60"/>
      <c r="CB282" s="84" t="e">
        <f>#REF!</f>
        <v>#REF!</v>
      </c>
      <c r="CC282" s="84" t="e">
        <f>#REF!</f>
        <v>#REF!</v>
      </c>
      <c r="CD282" s="84" t="e">
        <f t="shared" si="165"/>
        <v>#REF!</v>
      </c>
      <c r="CE282" s="60"/>
      <c r="CF282" s="84">
        <f>'RD Feedstock Breakdown'!GQ273*1000000</f>
        <v>2986706045.9692259</v>
      </c>
      <c r="CG282" s="85" t="e">
        <f t="shared" si="164"/>
        <v>#REF!</v>
      </c>
      <c r="CH282" s="73">
        <f>'[2]US EIA'!$R419+AW282</f>
        <v>7174.0833333333312</v>
      </c>
    </row>
    <row r="283" spans="1:86" ht="13.5" x14ac:dyDescent="0.25">
      <c r="A283" s="59">
        <v>48761</v>
      </c>
      <c r="B283" s="74">
        <f t="shared" si="174"/>
        <v>690</v>
      </c>
      <c r="C283" s="74">
        <v>47</v>
      </c>
      <c r="D283" s="74">
        <f t="shared" si="163"/>
        <v>3</v>
      </c>
      <c r="E283" s="74">
        <f t="shared" ref="E283:E346" si="178">$E$5*$E$12</f>
        <v>85</v>
      </c>
      <c r="F283" s="74">
        <f t="shared" si="148"/>
        <v>340</v>
      </c>
      <c r="G283" s="74">
        <f t="shared" si="162"/>
        <v>37.5</v>
      </c>
      <c r="H283" s="74">
        <f t="shared" si="140"/>
        <v>190</v>
      </c>
      <c r="I283" s="74">
        <f t="shared" si="177"/>
        <v>250</v>
      </c>
      <c r="J283" s="74">
        <f t="shared" si="169"/>
        <v>153.30000000000001</v>
      </c>
      <c r="K283" s="74">
        <f t="shared" si="126"/>
        <v>125</v>
      </c>
      <c r="L283" s="74">
        <v>125</v>
      </c>
      <c r="M283" s="74">
        <v>730</v>
      </c>
      <c r="N283" s="74">
        <f t="shared" si="158"/>
        <v>180</v>
      </c>
      <c r="O283" s="74">
        <v>375</v>
      </c>
      <c r="P283" s="74">
        <f t="shared" si="135"/>
        <v>50</v>
      </c>
      <c r="Q283" s="74">
        <f t="shared" si="136"/>
        <v>21</v>
      </c>
      <c r="R283" s="74">
        <v>100</v>
      </c>
      <c r="S283" s="74">
        <f t="shared" si="142"/>
        <v>60</v>
      </c>
      <c r="T283" s="74">
        <f t="shared" si="130"/>
        <v>36</v>
      </c>
      <c r="U283" s="74"/>
      <c r="V283" s="74">
        <f t="shared" si="154"/>
        <v>0</v>
      </c>
      <c r="W283" s="74">
        <f t="shared" si="137"/>
        <v>20</v>
      </c>
      <c r="X283" s="74">
        <f t="shared" si="171"/>
        <v>0</v>
      </c>
      <c r="Y283" s="74">
        <f t="shared" si="132"/>
        <v>3.5</v>
      </c>
      <c r="Z283" s="74">
        <f t="shared" si="157"/>
        <v>230</v>
      </c>
      <c r="AA283" s="74">
        <f t="shared" si="131"/>
        <v>306</v>
      </c>
      <c r="AB283" s="74">
        <f t="shared" si="144"/>
        <v>60</v>
      </c>
      <c r="AC283" s="74">
        <f t="shared" si="151"/>
        <v>1.6</v>
      </c>
      <c r="AD283" s="74">
        <f t="shared" si="139"/>
        <v>180</v>
      </c>
      <c r="AE283" s="74">
        <f t="shared" si="143"/>
        <v>1.1000000000000001</v>
      </c>
      <c r="AF283" s="74">
        <f t="shared" si="147"/>
        <v>275</v>
      </c>
      <c r="AG283" s="74">
        <f t="shared" si="153"/>
        <v>18</v>
      </c>
      <c r="AH283" s="74">
        <f t="shared" si="145"/>
        <v>3</v>
      </c>
      <c r="AI283" s="74">
        <f t="shared" si="138"/>
        <v>47</v>
      </c>
      <c r="AJ283" s="74">
        <f t="shared" si="160"/>
        <v>90</v>
      </c>
      <c r="AK283" s="74">
        <f t="shared" si="166"/>
        <v>14</v>
      </c>
      <c r="AL283" s="74">
        <f t="shared" si="161"/>
        <v>45</v>
      </c>
      <c r="AM283" s="74">
        <v>46</v>
      </c>
      <c r="AN283" s="74">
        <f t="shared" si="167"/>
        <v>0.75</v>
      </c>
      <c r="AO283" s="74">
        <f t="shared" si="155"/>
        <v>19</v>
      </c>
      <c r="AP283" s="74">
        <f t="shared" si="155"/>
        <v>19</v>
      </c>
      <c r="AQ283" s="74">
        <f t="shared" si="170"/>
        <v>5</v>
      </c>
      <c r="AR283" s="74">
        <f t="shared" si="156"/>
        <v>120</v>
      </c>
      <c r="AS283" s="74">
        <f t="shared" si="159"/>
        <v>120</v>
      </c>
      <c r="AT283" s="74">
        <f t="shared" si="152"/>
        <v>55</v>
      </c>
      <c r="AU283" s="74"/>
      <c r="AV283" s="74"/>
      <c r="AW283" s="74">
        <f t="shared" si="133"/>
        <v>5276.7500000000009</v>
      </c>
      <c r="AX283" s="83">
        <f t="shared" si="146"/>
        <v>5428.4449999999988</v>
      </c>
      <c r="AY283" s="62">
        <f>'[1]D4 Gallon Forecast'!$Y155/1000000</f>
        <v>0</v>
      </c>
      <c r="AZ283" s="62">
        <f>'[1]D4 Gallon Forecast'!$Y187/1000000</f>
        <v>309.78752662816476</v>
      </c>
      <c r="BA283" s="62">
        <f t="shared" si="149"/>
        <v>309.78752662816476</v>
      </c>
      <c r="BB283" s="62">
        <f>'[1]D4 Gallon Forecast'!$Y171/1000000</f>
        <v>0</v>
      </c>
      <c r="BC283" s="63">
        <f>'[1]D4 Gallon Forecast'!$Y347/1000000</f>
        <v>407.07318695247625</v>
      </c>
      <c r="BD283" s="64">
        <f>'[1]D4 Gallon Forecast'!$Y363/1000000</f>
        <v>0</v>
      </c>
      <c r="BE283" s="64">
        <f t="shared" si="150"/>
        <v>407.07318695247625</v>
      </c>
      <c r="BF283" s="76">
        <f t="shared" si="172"/>
        <v>716.860713580641</v>
      </c>
      <c r="BG283" s="77">
        <f t="shared" si="176"/>
        <v>1.6066857725489467</v>
      </c>
      <c r="BH283" s="60"/>
      <c r="BI283" s="75">
        <f t="shared" si="134"/>
        <v>4702.9000000000005</v>
      </c>
      <c r="BJ283" s="75">
        <f t="shared" si="168"/>
        <v>725.54499999999825</v>
      </c>
      <c r="BK283" s="75">
        <f>'RD Feedstock Breakdown'!ES274</f>
        <v>9192.5123235090086</v>
      </c>
      <c r="BL283" s="78">
        <f t="shared" si="175"/>
        <v>12.823289307616557</v>
      </c>
      <c r="BM283" s="78">
        <f t="shared" si="173"/>
        <v>29.673603787613761</v>
      </c>
      <c r="BN283" s="60"/>
      <c r="BO283" s="60"/>
      <c r="BP283" s="60"/>
      <c r="BQ283" s="66">
        <f>'[1]D4 Gallon Forecast'!$Y75/1000000</f>
        <v>115.96326586554125</v>
      </c>
      <c r="BR283" s="66">
        <f>'[1]D6 Gallon Forecast'!$Y68/1000000</f>
        <v>0.91675753694167261</v>
      </c>
      <c r="BS283" s="66">
        <f t="shared" si="141"/>
        <v>116.88002340248292</v>
      </c>
      <c r="BT283" s="60"/>
      <c r="BU283" s="67">
        <f>'[2]US EIA'!$P420</f>
        <v>880.27280859981602</v>
      </c>
      <c r="BV283" s="68">
        <f t="shared" si="127"/>
        <v>7.5314222479965389</v>
      </c>
      <c r="BW283" s="60"/>
      <c r="BX283" s="69">
        <f t="shared" si="128"/>
        <v>0.85981250739239246</v>
      </c>
      <c r="BY283" s="69">
        <f t="shared" si="129"/>
        <v>0.14018749260760749</v>
      </c>
      <c r="BZ283" s="60"/>
      <c r="CA283" s="60"/>
      <c r="CB283" s="84" t="e">
        <f>#REF!</f>
        <v>#REF!</v>
      </c>
      <c r="CC283" s="84" t="e">
        <f>#REF!</f>
        <v>#REF!</v>
      </c>
      <c r="CD283" s="84" t="e">
        <f t="shared" si="165"/>
        <v>#REF!</v>
      </c>
      <c r="CE283" s="60"/>
      <c r="CF283" s="84">
        <f>'RD Feedstock Breakdown'!GQ274*1000000</f>
        <v>3248934754.2946882</v>
      </c>
      <c r="CG283" s="85" t="e">
        <f t="shared" si="164"/>
        <v>#REF!</v>
      </c>
      <c r="CH283" s="73">
        <f>'[2]US EIA'!$R420+AW283</f>
        <v>7174.0833333333312</v>
      </c>
    </row>
    <row r="284" spans="1:86" ht="13.5" x14ac:dyDescent="0.25">
      <c r="A284" s="59">
        <v>48792</v>
      </c>
      <c r="B284" s="74">
        <f t="shared" si="174"/>
        <v>690</v>
      </c>
      <c r="C284" s="74">
        <v>47</v>
      </c>
      <c r="D284" s="74">
        <f t="shared" si="163"/>
        <v>3</v>
      </c>
      <c r="E284" s="74">
        <f t="shared" si="178"/>
        <v>85</v>
      </c>
      <c r="F284" s="74">
        <f t="shared" si="148"/>
        <v>340</v>
      </c>
      <c r="G284" s="74">
        <f t="shared" si="162"/>
        <v>37.5</v>
      </c>
      <c r="H284" s="74">
        <f t="shared" si="140"/>
        <v>190</v>
      </c>
      <c r="I284" s="74">
        <f t="shared" si="177"/>
        <v>250</v>
      </c>
      <c r="J284" s="74">
        <f t="shared" si="169"/>
        <v>153.30000000000001</v>
      </c>
      <c r="K284" s="74">
        <f t="shared" si="126"/>
        <v>125</v>
      </c>
      <c r="L284" s="74">
        <v>125</v>
      </c>
      <c r="M284" s="74">
        <v>730</v>
      </c>
      <c r="N284" s="74">
        <f t="shared" si="158"/>
        <v>180</v>
      </c>
      <c r="O284" s="74">
        <v>375</v>
      </c>
      <c r="P284" s="74">
        <f t="shared" si="135"/>
        <v>50</v>
      </c>
      <c r="Q284" s="74">
        <f t="shared" si="136"/>
        <v>21</v>
      </c>
      <c r="R284" s="74">
        <v>100</v>
      </c>
      <c r="S284" s="74">
        <f t="shared" si="142"/>
        <v>60</v>
      </c>
      <c r="T284" s="74">
        <f t="shared" si="130"/>
        <v>36</v>
      </c>
      <c r="U284" s="74"/>
      <c r="V284" s="74">
        <f t="shared" si="154"/>
        <v>0</v>
      </c>
      <c r="W284" s="74">
        <f t="shared" si="137"/>
        <v>20</v>
      </c>
      <c r="X284" s="74">
        <f t="shared" si="171"/>
        <v>0</v>
      </c>
      <c r="Y284" s="74">
        <f t="shared" si="132"/>
        <v>3.5</v>
      </c>
      <c r="Z284" s="74">
        <f t="shared" si="157"/>
        <v>230</v>
      </c>
      <c r="AA284" s="74">
        <f t="shared" si="131"/>
        <v>306</v>
      </c>
      <c r="AB284" s="74">
        <f t="shared" si="144"/>
        <v>60</v>
      </c>
      <c r="AC284" s="74">
        <f t="shared" si="151"/>
        <v>1.6</v>
      </c>
      <c r="AD284" s="74">
        <f t="shared" si="139"/>
        <v>180</v>
      </c>
      <c r="AE284" s="74">
        <f t="shared" si="143"/>
        <v>1.1000000000000001</v>
      </c>
      <c r="AF284" s="74">
        <f t="shared" si="147"/>
        <v>275</v>
      </c>
      <c r="AG284" s="74">
        <f t="shared" si="153"/>
        <v>18</v>
      </c>
      <c r="AH284" s="74">
        <f t="shared" si="145"/>
        <v>3</v>
      </c>
      <c r="AI284" s="74">
        <f t="shared" si="138"/>
        <v>47</v>
      </c>
      <c r="AJ284" s="74">
        <f t="shared" si="160"/>
        <v>90</v>
      </c>
      <c r="AK284" s="74">
        <f t="shared" si="166"/>
        <v>14</v>
      </c>
      <c r="AL284" s="74">
        <f t="shared" si="161"/>
        <v>45</v>
      </c>
      <c r="AM284" s="74">
        <v>46</v>
      </c>
      <c r="AN284" s="74">
        <f t="shared" si="167"/>
        <v>0.75</v>
      </c>
      <c r="AO284" s="74">
        <f t="shared" ref="AO284:AP315" si="179">$AO$12*$AO$5</f>
        <v>19</v>
      </c>
      <c r="AP284" s="74">
        <f t="shared" si="179"/>
        <v>19</v>
      </c>
      <c r="AQ284" s="74">
        <f t="shared" si="170"/>
        <v>5</v>
      </c>
      <c r="AR284" s="74">
        <f t="shared" si="156"/>
        <v>120</v>
      </c>
      <c r="AS284" s="74">
        <f t="shared" si="159"/>
        <v>120</v>
      </c>
      <c r="AT284" s="74">
        <f t="shared" si="152"/>
        <v>55</v>
      </c>
      <c r="AU284" s="74"/>
      <c r="AV284" s="74"/>
      <c r="AW284" s="74">
        <f t="shared" si="133"/>
        <v>5276.7500000000009</v>
      </c>
      <c r="AX284" s="83">
        <f t="shared" si="146"/>
        <v>5428.4449999999988</v>
      </c>
      <c r="AY284" s="62">
        <f>'[1]D4 Gallon Forecast'!$Y156/1000000</f>
        <v>0</v>
      </c>
      <c r="AZ284" s="62">
        <f>'[1]D4 Gallon Forecast'!$Y188/1000000</f>
        <v>314.22075160619232</v>
      </c>
      <c r="BA284" s="62">
        <f t="shared" si="149"/>
        <v>314.22075160619232</v>
      </c>
      <c r="BB284" s="62">
        <f>'[1]D4 Gallon Forecast'!$Y172/1000000</f>
        <v>0</v>
      </c>
      <c r="BC284" s="63">
        <f>'[1]D4 Gallon Forecast'!$Y348/1000000</f>
        <v>443.25951717043864</v>
      </c>
      <c r="BD284" s="64">
        <f>'[1]D4 Gallon Forecast'!$Y364/1000000</f>
        <v>0</v>
      </c>
      <c r="BE284" s="64">
        <f t="shared" si="150"/>
        <v>443.25951717043864</v>
      </c>
      <c r="BF284" s="76">
        <f t="shared" si="172"/>
        <v>757.48026877663096</v>
      </c>
      <c r="BG284" s="77">
        <f t="shared" si="176"/>
        <v>1.6429602388272024</v>
      </c>
      <c r="BH284" s="60"/>
      <c r="BI284" s="75">
        <f t="shared" si="134"/>
        <v>4702.9000000000005</v>
      </c>
      <c r="BJ284" s="75">
        <f t="shared" si="168"/>
        <v>725.54499999999825</v>
      </c>
      <c r="BK284" s="75">
        <f>'RD Feedstock Breakdown'!ES275</f>
        <v>9937.2163551093472</v>
      </c>
      <c r="BL284" s="78">
        <f t="shared" si="175"/>
        <v>13.11877914808059</v>
      </c>
      <c r="BM284" s="78">
        <f t="shared" si="173"/>
        <v>31.624952535163867</v>
      </c>
      <c r="BN284" s="60"/>
      <c r="BO284" s="60"/>
      <c r="BP284" s="60"/>
      <c r="BQ284" s="66">
        <f>'[1]D4 Gallon Forecast'!$Y76/1000000</f>
        <v>119.65128800815091</v>
      </c>
      <c r="BR284" s="66">
        <f>'[1]D6 Gallon Forecast'!$Y69/1000000</f>
        <v>0.95231909627366984</v>
      </c>
      <c r="BS284" s="66">
        <f t="shared" si="141"/>
        <v>120.60360710442458</v>
      </c>
      <c r="BT284" s="60"/>
      <c r="BU284" s="67">
        <f>'[2]US EIA'!$P421</f>
        <v>888.42625166787286</v>
      </c>
      <c r="BV284" s="68">
        <f t="shared" si="127"/>
        <v>7.3664981752878198</v>
      </c>
      <c r="BW284" s="60"/>
      <c r="BX284" s="69">
        <f t="shared" si="128"/>
        <v>0.86265138169925648</v>
      </c>
      <c r="BY284" s="69">
        <f t="shared" si="129"/>
        <v>0.13734861830074357</v>
      </c>
      <c r="BZ284" s="60"/>
      <c r="CA284" s="60"/>
      <c r="CB284" s="84" t="e">
        <f>#REF!</f>
        <v>#REF!</v>
      </c>
      <c r="CC284" s="84" t="e">
        <f>#REF!</f>
        <v>#REF!</v>
      </c>
      <c r="CD284" s="84" t="e">
        <f t="shared" si="165"/>
        <v>#REF!</v>
      </c>
      <c r="CE284" s="60"/>
      <c r="CF284" s="84">
        <f>'RD Feedstock Breakdown'!GQ275*1000000</f>
        <v>3539357541.1141853</v>
      </c>
      <c r="CG284" s="85" t="e">
        <f t="shared" si="164"/>
        <v>#REF!</v>
      </c>
      <c r="CH284" s="73">
        <f>'[2]US EIA'!$R421+AW284</f>
        <v>7174.0833333333312</v>
      </c>
    </row>
    <row r="285" spans="1:86" ht="13.5" x14ac:dyDescent="0.25">
      <c r="A285" s="59">
        <v>48823</v>
      </c>
      <c r="B285" s="74">
        <f t="shared" si="174"/>
        <v>690</v>
      </c>
      <c r="C285" s="74">
        <v>47</v>
      </c>
      <c r="D285" s="74">
        <f t="shared" si="163"/>
        <v>3</v>
      </c>
      <c r="E285" s="74">
        <f t="shared" si="178"/>
        <v>85</v>
      </c>
      <c r="F285" s="74">
        <f t="shared" si="148"/>
        <v>340</v>
      </c>
      <c r="G285" s="74">
        <f t="shared" si="162"/>
        <v>37.5</v>
      </c>
      <c r="H285" s="74">
        <f t="shared" si="140"/>
        <v>190</v>
      </c>
      <c r="I285" s="74">
        <f t="shared" si="177"/>
        <v>250</v>
      </c>
      <c r="J285" s="74">
        <f t="shared" si="169"/>
        <v>153.30000000000001</v>
      </c>
      <c r="K285" s="74">
        <f t="shared" ref="K285:K348" si="180">125*$K$12</f>
        <v>125</v>
      </c>
      <c r="L285" s="74">
        <v>125</v>
      </c>
      <c r="M285" s="74">
        <v>730</v>
      </c>
      <c r="N285" s="74">
        <f t="shared" si="158"/>
        <v>180</v>
      </c>
      <c r="O285" s="74">
        <v>375</v>
      </c>
      <c r="P285" s="74">
        <f t="shared" si="135"/>
        <v>50</v>
      </c>
      <c r="Q285" s="74">
        <f t="shared" si="136"/>
        <v>21</v>
      </c>
      <c r="R285" s="74">
        <v>100</v>
      </c>
      <c r="S285" s="74">
        <f t="shared" si="142"/>
        <v>60</v>
      </c>
      <c r="T285" s="74">
        <f t="shared" si="130"/>
        <v>36</v>
      </c>
      <c r="U285" s="74"/>
      <c r="V285" s="74">
        <f t="shared" si="154"/>
        <v>0</v>
      </c>
      <c r="W285" s="74">
        <f t="shared" si="137"/>
        <v>20</v>
      </c>
      <c r="X285" s="74">
        <f t="shared" si="171"/>
        <v>0</v>
      </c>
      <c r="Y285" s="74">
        <f t="shared" si="132"/>
        <v>3.5</v>
      </c>
      <c r="Z285" s="74">
        <f t="shared" si="157"/>
        <v>230</v>
      </c>
      <c r="AA285" s="74">
        <f t="shared" si="131"/>
        <v>306</v>
      </c>
      <c r="AB285" s="74">
        <f t="shared" si="144"/>
        <v>60</v>
      </c>
      <c r="AC285" s="74">
        <f t="shared" si="151"/>
        <v>1.6</v>
      </c>
      <c r="AD285" s="74">
        <f t="shared" si="139"/>
        <v>180</v>
      </c>
      <c r="AE285" s="74">
        <f t="shared" si="143"/>
        <v>1.1000000000000001</v>
      </c>
      <c r="AF285" s="74">
        <f t="shared" si="147"/>
        <v>275</v>
      </c>
      <c r="AG285" s="74">
        <f t="shared" si="153"/>
        <v>18</v>
      </c>
      <c r="AH285" s="74">
        <f t="shared" si="145"/>
        <v>3</v>
      </c>
      <c r="AI285" s="74">
        <f t="shared" si="138"/>
        <v>47</v>
      </c>
      <c r="AJ285" s="74">
        <f t="shared" si="160"/>
        <v>90</v>
      </c>
      <c r="AK285" s="74">
        <f t="shared" si="166"/>
        <v>14</v>
      </c>
      <c r="AL285" s="74">
        <f t="shared" si="161"/>
        <v>45</v>
      </c>
      <c r="AM285" s="74">
        <v>46</v>
      </c>
      <c r="AN285" s="74">
        <f t="shared" si="167"/>
        <v>0.75</v>
      </c>
      <c r="AO285" s="74">
        <f t="shared" si="179"/>
        <v>19</v>
      </c>
      <c r="AP285" s="74">
        <f t="shared" si="179"/>
        <v>19</v>
      </c>
      <c r="AQ285" s="74">
        <f t="shared" si="170"/>
        <v>5</v>
      </c>
      <c r="AR285" s="74">
        <f t="shared" si="156"/>
        <v>120</v>
      </c>
      <c r="AS285" s="74">
        <f t="shared" si="159"/>
        <v>120</v>
      </c>
      <c r="AT285" s="74">
        <f t="shared" si="152"/>
        <v>55</v>
      </c>
      <c r="AU285" s="74"/>
      <c r="AV285" s="74"/>
      <c r="AW285" s="74">
        <f t="shared" si="133"/>
        <v>5276.7500000000009</v>
      </c>
      <c r="AX285" s="83">
        <f t="shared" si="146"/>
        <v>5428.4449999999988</v>
      </c>
      <c r="AY285" s="62">
        <f>'[1]D4 Gallon Forecast'!$Y157/1000000</f>
        <v>0</v>
      </c>
      <c r="AZ285" s="62">
        <f>'[1]D4 Gallon Forecast'!$Y189/1000000</f>
        <v>319.94767202346281</v>
      </c>
      <c r="BA285" s="62">
        <f t="shared" si="149"/>
        <v>319.94767202346281</v>
      </c>
      <c r="BB285" s="62">
        <f>'[1]D4 Gallon Forecast'!$Y173/1000000</f>
        <v>0</v>
      </c>
      <c r="BC285" s="63">
        <f>'[1]D4 Gallon Forecast'!$Y349/1000000</f>
        <v>539.21310098474032</v>
      </c>
      <c r="BD285" s="64">
        <f>'[1]D4 Gallon Forecast'!$Y365/1000000</f>
        <v>0</v>
      </c>
      <c r="BE285" s="64">
        <f t="shared" si="150"/>
        <v>539.21310098474032</v>
      </c>
      <c r="BF285" s="76">
        <f t="shared" si="172"/>
        <v>859.16077300820314</v>
      </c>
      <c r="BG285" s="77">
        <f t="shared" si="176"/>
        <v>1.8635033109077201</v>
      </c>
      <c r="BH285" s="60"/>
      <c r="BI285" s="75">
        <f t="shared" si="134"/>
        <v>4702.9000000000005</v>
      </c>
      <c r="BJ285" s="75">
        <f t="shared" si="168"/>
        <v>725.54499999999825</v>
      </c>
      <c r="BK285" s="75">
        <f>'RD Feedstock Breakdown'!ES276</f>
        <v>12815.2438442434</v>
      </c>
      <c r="BL285" s="78">
        <f t="shared" si="175"/>
        <v>14.916002041588834</v>
      </c>
      <c r="BM285" s="78">
        <f t="shared" si="173"/>
        <v>40.05418687123192</v>
      </c>
      <c r="BN285" s="60"/>
      <c r="BO285" s="60"/>
      <c r="BP285" s="60"/>
      <c r="BQ285" s="66">
        <f>'[1]D4 Gallon Forecast'!$Y77/1000000</f>
        <v>112.89598923649925</v>
      </c>
      <c r="BR285" s="66">
        <f>'[1]D6 Gallon Forecast'!$Y70/1000000</f>
        <v>0.95075898107494639</v>
      </c>
      <c r="BS285" s="66">
        <f t="shared" si="141"/>
        <v>113.84674821757419</v>
      </c>
      <c r="BT285" s="60"/>
      <c r="BU285" s="67">
        <f>'[2]US EIA'!$P422</f>
        <v>856.89434328400375</v>
      </c>
      <c r="BV285" s="68">
        <f t="shared" si="127"/>
        <v>7.526735341148088</v>
      </c>
      <c r="BW285" s="60"/>
      <c r="BX285" s="69">
        <f t="shared" si="128"/>
        <v>0.88299499671477144</v>
      </c>
      <c r="BY285" s="69">
        <f t="shared" si="129"/>
        <v>0.11700500328522857</v>
      </c>
      <c r="BZ285" s="60"/>
      <c r="CA285" s="60"/>
      <c r="CB285" s="84" t="e">
        <f>#REF!</f>
        <v>#REF!</v>
      </c>
      <c r="CC285" s="84" t="e">
        <f>#REF!</f>
        <v>#REF!</v>
      </c>
      <c r="CD285" s="84" t="e">
        <f t="shared" si="165"/>
        <v>#REF!</v>
      </c>
      <c r="CE285" s="60"/>
      <c r="CF285" s="84">
        <f>'RD Feedstock Breakdown'!GQ276*1000000</f>
        <v>4316012570.5503044</v>
      </c>
      <c r="CG285" s="85" t="e">
        <f t="shared" si="164"/>
        <v>#REF!</v>
      </c>
      <c r="CH285" s="73">
        <f>'[2]US EIA'!$R422+AW285</f>
        <v>7174.0833333333312</v>
      </c>
    </row>
    <row r="286" spans="1:86" ht="13.5" x14ac:dyDescent="0.25">
      <c r="A286" s="59">
        <v>48853</v>
      </c>
      <c r="B286" s="74">
        <f t="shared" si="174"/>
        <v>690</v>
      </c>
      <c r="C286" s="74">
        <v>47</v>
      </c>
      <c r="D286" s="74">
        <f t="shared" si="163"/>
        <v>3</v>
      </c>
      <c r="E286" s="74">
        <f t="shared" si="178"/>
        <v>85</v>
      </c>
      <c r="F286" s="74">
        <f t="shared" si="148"/>
        <v>340</v>
      </c>
      <c r="G286" s="74">
        <f t="shared" si="162"/>
        <v>37.5</v>
      </c>
      <c r="H286" s="74">
        <f t="shared" si="140"/>
        <v>190</v>
      </c>
      <c r="I286" s="74">
        <f t="shared" si="177"/>
        <v>250</v>
      </c>
      <c r="J286" s="74">
        <f t="shared" si="169"/>
        <v>153.30000000000001</v>
      </c>
      <c r="K286" s="74">
        <f t="shared" si="180"/>
        <v>125</v>
      </c>
      <c r="L286" s="74">
        <v>125</v>
      </c>
      <c r="M286" s="74">
        <v>730</v>
      </c>
      <c r="N286" s="74">
        <f t="shared" si="158"/>
        <v>180</v>
      </c>
      <c r="O286" s="74">
        <v>375</v>
      </c>
      <c r="P286" s="74">
        <f t="shared" si="135"/>
        <v>50</v>
      </c>
      <c r="Q286" s="74">
        <f t="shared" si="136"/>
        <v>21</v>
      </c>
      <c r="R286" s="74">
        <v>100</v>
      </c>
      <c r="S286" s="74">
        <f t="shared" si="142"/>
        <v>60</v>
      </c>
      <c r="T286" s="74">
        <f t="shared" si="130"/>
        <v>36</v>
      </c>
      <c r="U286" s="74"/>
      <c r="V286" s="74">
        <f t="shared" si="154"/>
        <v>0</v>
      </c>
      <c r="W286" s="74">
        <f t="shared" si="137"/>
        <v>20</v>
      </c>
      <c r="X286" s="74">
        <f t="shared" si="171"/>
        <v>0</v>
      </c>
      <c r="Y286" s="74">
        <f t="shared" si="132"/>
        <v>3.5</v>
      </c>
      <c r="Z286" s="74">
        <f t="shared" si="157"/>
        <v>230</v>
      </c>
      <c r="AA286" s="74">
        <f t="shared" si="131"/>
        <v>306</v>
      </c>
      <c r="AB286" s="74">
        <f t="shared" si="144"/>
        <v>60</v>
      </c>
      <c r="AC286" s="74">
        <f t="shared" si="151"/>
        <v>1.6</v>
      </c>
      <c r="AD286" s="74">
        <f t="shared" si="139"/>
        <v>180</v>
      </c>
      <c r="AE286" s="74">
        <f t="shared" si="143"/>
        <v>1.1000000000000001</v>
      </c>
      <c r="AF286" s="74">
        <f t="shared" si="147"/>
        <v>275</v>
      </c>
      <c r="AG286" s="74">
        <f t="shared" si="153"/>
        <v>18</v>
      </c>
      <c r="AH286" s="74">
        <f t="shared" si="145"/>
        <v>3</v>
      </c>
      <c r="AI286" s="74">
        <f t="shared" si="138"/>
        <v>47</v>
      </c>
      <c r="AJ286" s="74">
        <f t="shared" si="160"/>
        <v>90</v>
      </c>
      <c r="AK286" s="74">
        <f t="shared" si="166"/>
        <v>14</v>
      </c>
      <c r="AL286" s="74">
        <f t="shared" si="161"/>
        <v>45</v>
      </c>
      <c r="AM286" s="74">
        <v>46</v>
      </c>
      <c r="AN286" s="74">
        <f t="shared" si="167"/>
        <v>0.75</v>
      </c>
      <c r="AO286" s="74">
        <f t="shared" si="179"/>
        <v>19</v>
      </c>
      <c r="AP286" s="74">
        <f t="shared" si="179"/>
        <v>19</v>
      </c>
      <c r="AQ286" s="74">
        <f t="shared" si="170"/>
        <v>5</v>
      </c>
      <c r="AR286" s="74">
        <f t="shared" si="156"/>
        <v>120</v>
      </c>
      <c r="AS286" s="74">
        <f t="shared" si="159"/>
        <v>120</v>
      </c>
      <c r="AT286" s="74">
        <f t="shared" si="152"/>
        <v>55</v>
      </c>
      <c r="AU286" s="74"/>
      <c r="AV286" s="74"/>
      <c r="AW286" s="74">
        <f t="shared" si="133"/>
        <v>5276.7500000000009</v>
      </c>
      <c r="AX286" s="83">
        <f t="shared" si="146"/>
        <v>5428.4449999999988</v>
      </c>
      <c r="AY286" s="62">
        <f>'[1]D4 Gallon Forecast'!$Y158/1000000</f>
        <v>0</v>
      </c>
      <c r="AZ286" s="62">
        <f>'[1]D4 Gallon Forecast'!$Y190/1000000</f>
        <v>351.58008609678603</v>
      </c>
      <c r="BA286" s="62">
        <f t="shared" si="149"/>
        <v>351.58008609678603</v>
      </c>
      <c r="BB286" s="62">
        <f>'[1]D4 Gallon Forecast'!$Y174/1000000</f>
        <v>0</v>
      </c>
      <c r="BC286" s="63">
        <f>'[1]D4 Gallon Forecast'!$Y350/1000000</f>
        <v>526.35263633238776</v>
      </c>
      <c r="BD286" s="64">
        <f>'[1]D4 Gallon Forecast'!$Y366/1000000</f>
        <v>0</v>
      </c>
      <c r="BE286" s="64">
        <f t="shared" si="150"/>
        <v>526.35263633238776</v>
      </c>
      <c r="BF286" s="76">
        <f t="shared" si="172"/>
        <v>877.93272242917374</v>
      </c>
      <c r="BG286" s="77">
        <f t="shared" si="176"/>
        <v>1.9676932877748508</v>
      </c>
      <c r="BH286" s="60"/>
      <c r="BI286" s="75">
        <f t="shared" si="134"/>
        <v>4702.9000000000005</v>
      </c>
      <c r="BJ286" s="75">
        <f t="shared" si="168"/>
        <v>725.54499999999825</v>
      </c>
      <c r="BK286" s="75">
        <f>'RD Feedstock Breakdown'!ES277</f>
        <v>13804.910871485694</v>
      </c>
      <c r="BL286" s="78">
        <f t="shared" si="175"/>
        <v>15.724338003131431</v>
      </c>
      <c r="BM286" s="78">
        <f t="shared" si="173"/>
        <v>39.265337877200921</v>
      </c>
      <c r="BN286" s="60"/>
      <c r="BO286" s="60"/>
      <c r="BP286" s="60"/>
      <c r="BQ286" s="66">
        <f>'[1]D4 Gallon Forecast'!$Y78/1000000</f>
        <v>115.63848679446085</v>
      </c>
      <c r="BR286" s="66">
        <f>'[1]D6 Gallon Forecast'!$Y71/1000000</f>
        <v>0.94985812382473289</v>
      </c>
      <c r="BS286" s="66">
        <f t="shared" si="141"/>
        <v>116.58834491828559</v>
      </c>
      <c r="BT286" s="60"/>
      <c r="BU286" s="67">
        <f>'[2]US EIA'!$P423</f>
        <v>845.10274719093798</v>
      </c>
      <c r="BV286" s="68">
        <f>BU286/BS286</f>
        <v>7.2486040331325867</v>
      </c>
      <c r="BW286" s="60"/>
      <c r="BX286" s="69">
        <f>BF286/(BF286+BS286)</f>
        <v>0.88276935627995834</v>
      </c>
      <c r="BY286" s="69">
        <f>BS286/(BS286+BF286)</f>
        <v>0.11723064372004169</v>
      </c>
      <c r="BZ286" s="60"/>
      <c r="CA286" s="60"/>
      <c r="CB286" s="84" t="e">
        <f>#REF!</f>
        <v>#REF!</v>
      </c>
      <c r="CC286" s="84" t="e">
        <f>#REF!</f>
        <v>#REF!</v>
      </c>
      <c r="CD286" s="84" t="e">
        <f t="shared" si="165"/>
        <v>#REF!</v>
      </c>
      <c r="CE286" s="60"/>
      <c r="CF286" s="84">
        <f>'RD Feedstock Breakdown'!GQ277*1000000</f>
        <v>4206217917.1679974</v>
      </c>
      <c r="CG286" s="85" t="e">
        <f t="shared" si="164"/>
        <v>#REF!</v>
      </c>
      <c r="CH286" s="73">
        <f>'[2]US EIA'!$R423+AW286</f>
        <v>7174.0833333333312</v>
      </c>
    </row>
    <row r="287" spans="1:86" ht="13.5" x14ac:dyDescent="0.25">
      <c r="A287" s="59">
        <v>48884</v>
      </c>
      <c r="B287" s="74">
        <f t="shared" si="174"/>
        <v>690</v>
      </c>
      <c r="C287" s="74">
        <v>47</v>
      </c>
      <c r="D287" s="74">
        <f t="shared" si="163"/>
        <v>3</v>
      </c>
      <c r="E287" s="74">
        <f t="shared" si="178"/>
        <v>85</v>
      </c>
      <c r="F287" s="74">
        <f t="shared" si="148"/>
        <v>340</v>
      </c>
      <c r="G287" s="74">
        <f t="shared" si="162"/>
        <v>37.5</v>
      </c>
      <c r="H287" s="74">
        <f t="shared" si="140"/>
        <v>190</v>
      </c>
      <c r="I287" s="74">
        <f t="shared" si="177"/>
        <v>250</v>
      </c>
      <c r="J287" s="74">
        <f t="shared" si="169"/>
        <v>153.30000000000001</v>
      </c>
      <c r="K287" s="74">
        <f t="shared" si="180"/>
        <v>125</v>
      </c>
      <c r="L287" s="74">
        <v>125</v>
      </c>
      <c r="M287" s="74">
        <v>730</v>
      </c>
      <c r="N287" s="74">
        <f t="shared" si="158"/>
        <v>180</v>
      </c>
      <c r="O287" s="74">
        <v>375</v>
      </c>
      <c r="P287" s="74">
        <f t="shared" si="135"/>
        <v>50</v>
      </c>
      <c r="Q287" s="74">
        <f t="shared" si="136"/>
        <v>21</v>
      </c>
      <c r="R287" s="74">
        <v>100</v>
      </c>
      <c r="S287" s="74">
        <f t="shared" si="142"/>
        <v>60</v>
      </c>
      <c r="T287" s="74">
        <f t="shared" si="130"/>
        <v>36</v>
      </c>
      <c r="U287" s="74"/>
      <c r="V287" s="74">
        <f t="shared" si="154"/>
        <v>0</v>
      </c>
      <c r="W287" s="74">
        <f t="shared" si="137"/>
        <v>20</v>
      </c>
      <c r="X287" s="74">
        <f t="shared" si="171"/>
        <v>0</v>
      </c>
      <c r="Y287" s="74">
        <f t="shared" si="132"/>
        <v>3.5</v>
      </c>
      <c r="Z287" s="74">
        <f t="shared" si="157"/>
        <v>230</v>
      </c>
      <c r="AA287" s="74">
        <f t="shared" si="131"/>
        <v>306</v>
      </c>
      <c r="AB287" s="74">
        <f t="shared" si="144"/>
        <v>60</v>
      </c>
      <c r="AC287" s="74">
        <f t="shared" si="151"/>
        <v>1.6</v>
      </c>
      <c r="AD287" s="74">
        <f t="shared" si="139"/>
        <v>180</v>
      </c>
      <c r="AE287" s="74">
        <f t="shared" si="143"/>
        <v>1.1000000000000001</v>
      </c>
      <c r="AF287" s="74">
        <f t="shared" si="147"/>
        <v>275</v>
      </c>
      <c r="AG287" s="74">
        <f t="shared" si="153"/>
        <v>18</v>
      </c>
      <c r="AH287" s="74">
        <f t="shared" si="145"/>
        <v>3</v>
      </c>
      <c r="AI287" s="74">
        <f t="shared" si="138"/>
        <v>47</v>
      </c>
      <c r="AJ287" s="74">
        <f t="shared" si="160"/>
        <v>90</v>
      </c>
      <c r="AK287" s="74">
        <f t="shared" si="166"/>
        <v>14</v>
      </c>
      <c r="AL287" s="74">
        <f t="shared" si="161"/>
        <v>45</v>
      </c>
      <c r="AM287" s="74">
        <v>46</v>
      </c>
      <c r="AN287" s="74">
        <f t="shared" si="167"/>
        <v>0.75</v>
      </c>
      <c r="AO287" s="74">
        <f t="shared" si="179"/>
        <v>19</v>
      </c>
      <c r="AP287" s="74">
        <f t="shared" si="179"/>
        <v>19</v>
      </c>
      <c r="AQ287" s="74">
        <f t="shared" si="170"/>
        <v>5</v>
      </c>
      <c r="AR287" s="74">
        <f t="shared" si="156"/>
        <v>120</v>
      </c>
      <c r="AS287" s="74">
        <f t="shared" si="159"/>
        <v>120</v>
      </c>
      <c r="AT287" s="74">
        <f t="shared" si="152"/>
        <v>55</v>
      </c>
      <c r="AU287" s="74"/>
      <c r="AV287" s="74"/>
      <c r="AW287" s="74">
        <f t="shared" si="133"/>
        <v>5276.7500000000009</v>
      </c>
      <c r="AX287" s="83">
        <f t="shared" si="146"/>
        <v>5428.4449999999988</v>
      </c>
      <c r="AY287" s="62">
        <f>'[1]D4 Gallon Forecast'!$Y159/1000000</f>
        <v>0</v>
      </c>
      <c r="AZ287" s="62">
        <f>'[1]D4 Gallon Forecast'!$Y191/1000000</f>
        <v>427.16201882383598</v>
      </c>
      <c r="BA287" s="62">
        <f t="shared" si="149"/>
        <v>427.16201882383598</v>
      </c>
      <c r="BB287" s="62">
        <f>'[1]D4 Gallon Forecast'!$Y175/1000000</f>
        <v>0</v>
      </c>
      <c r="BC287" s="63">
        <f>'[1]D4 Gallon Forecast'!$Y351/1000000</f>
        <v>455.4120915854482</v>
      </c>
      <c r="BD287" s="64">
        <f>'[1]D4 Gallon Forecast'!$Y367/1000000</f>
        <v>0</v>
      </c>
      <c r="BE287" s="64">
        <f t="shared" si="150"/>
        <v>455.4120915854482</v>
      </c>
      <c r="BF287" s="76">
        <f t="shared" si="172"/>
        <v>882.57411040928423</v>
      </c>
      <c r="BG287" s="77">
        <f t="shared" si="176"/>
        <v>1.9142863926510223</v>
      </c>
      <c r="BH287" s="60"/>
      <c r="BI287" s="75">
        <f t="shared" si="134"/>
        <v>4702.9000000000005</v>
      </c>
      <c r="BJ287" s="75">
        <f t="shared" si="168"/>
        <v>725.54499999999825</v>
      </c>
      <c r="BK287" s="75">
        <f>'RD Feedstock Breakdown'!ES278</f>
        <v>13538.133417076879</v>
      </c>
      <c r="BL287" s="78">
        <f t="shared" si="175"/>
        <v>15.339372929032232</v>
      </c>
      <c r="BM287" s="78">
        <f t="shared" si="173"/>
        <v>31.693204967879133</v>
      </c>
      <c r="BN287" s="60"/>
      <c r="BO287" s="60"/>
      <c r="BP287" s="60"/>
      <c r="BQ287" s="66">
        <f>'[1]D4 Gallon Forecast'!$Y79/1000000</f>
        <v>109.91727880385731</v>
      </c>
      <c r="BR287" s="66">
        <f>'[1]D6 Gallon Forecast'!$Y72/1000000</f>
        <v>0.98067601830076745</v>
      </c>
      <c r="BS287" s="66">
        <f t="shared" si="141"/>
        <v>110.89795482215808</v>
      </c>
      <c r="BT287" s="60"/>
      <c r="BU287" s="67">
        <f>'[2]US EIA'!$P424</f>
        <v>811.58870547537731</v>
      </c>
      <c r="BV287" s="68">
        <f>BU287/BS287</f>
        <v>7.3183378970052653</v>
      </c>
      <c r="BW287" s="60"/>
      <c r="BX287" s="69">
        <f>BF287/(BF287+BS287)</f>
        <v>0.88837335371244386</v>
      </c>
      <c r="BY287" s="69">
        <f>BS287/(BS287+BF287)</f>
        <v>0.11162664628755611</v>
      </c>
      <c r="BZ287" s="60"/>
      <c r="CA287" s="60"/>
      <c r="CB287" s="84" t="e">
        <f>#REF!</f>
        <v>#REF!</v>
      </c>
      <c r="CC287" s="84" t="e">
        <f>#REF!</f>
        <v>#REF!</v>
      </c>
      <c r="CD287" s="84" t="e">
        <f t="shared" si="165"/>
        <v>#REF!</v>
      </c>
      <c r="CE287" s="60"/>
      <c r="CF287" s="84">
        <f>'RD Feedstock Breakdown'!GQ278*1000000</f>
        <v>3649263734.0149989</v>
      </c>
      <c r="CG287" s="85" t="e">
        <f t="shared" si="164"/>
        <v>#REF!</v>
      </c>
      <c r="CH287" s="73">
        <f>'[2]US EIA'!$R424+AW287</f>
        <v>7174.0833333333312</v>
      </c>
    </row>
    <row r="288" spans="1:86" ht="13.5" x14ac:dyDescent="0.25">
      <c r="A288" s="59">
        <v>48914</v>
      </c>
      <c r="B288" s="74">
        <f t="shared" si="174"/>
        <v>690</v>
      </c>
      <c r="C288" s="74">
        <v>47</v>
      </c>
      <c r="D288" s="74">
        <f t="shared" si="163"/>
        <v>3</v>
      </c>
      <c r="E288" s="74">
        <f t="shared" si="178"/>
        <v>85</v>
      </c>
      <c r="F288" s="74">
        <f t="shared" si="148"/>
        <v>340</v>
      </c>
      <c r="G288" s="74">
        <f t="shared" si="162"/>
        <v>37.5</v>
      </c>
      <c r="H288" s="74">
        <f t="shared" si="140"/>
        <v>190</v>
      </c>
      <c r="I288" s="74">
        <f t="shared" si="177"/>
        <v>250</v>
      </c>
      <c r="J288" s="74">
        <f t="shared" si="169"/>
        <v>153.30000000000001</v>
      </c>
      <c r="K288" s="74">
        <f t="shared" si="180"/>
        <v>125</v>
      </c>
      <c r="L288" s="74">
        <v>125</v>
      </c>
      <c r="M288" s="74">
        <v>730</v>
      </c>
      <c r="N288" s="74">
        <f t="shared" si="158"/>
        <v>180</v>
      </c>
      <c r="O288" s="74">
        <v>375</v>
      </c>
      <c r="P288" s="74">
        <f t="shared" si="135"/>
        <v>50</v>
      </c>
      <c r="Q288" s="74">
        <f t="shared" si="136"/>
        <v>21</v>
      </c>
      <c r="R288" s="74">
        <v>100</v>
      </c>
      <c r="S288" s="74">
        <f t="shared" si="142"/>
        <v>60</v>
      </c>
      <c r="T288" s="74">
        <f t="shared" si="130"/>
        <v>36</v>
      </c>
      <c r="U288" s="74"/>
      <c r="V288" s="74">
        <f t="shared" si="154"/>
        <v>0</v>
      </c>
      <c r="W288" s="74">
        <f t="shared" si="137"/>
        <v>20</v>
      </c>
      <c r="X288" s="74">
        <f t="shared" si="171"/>
        <v>0</v>
      </c>
      <c r="Y288" s="74">
        <f t="shared" si="132"/>
        <v>3.5</v>
      </c>
      <c r="Z288" s="74">
        <f t="shared" si="157"/>
        <v>230</v>
      </c>
      <c r="AA288" s="74">
        <f t="shared" si="131"/>
        <v>306</v>
      </c>
      <c r="AB288" s="74">
        <f t="shared" si="144"/>
        <v>60</v>
      </c>
      <c r="AC288" s="74">
        <f t="shared" si="151"/>
        <v>1.6</v>
      </c>
      <c r="AD288" s="74">
        <f t="shared" si="139"/>
        <v>180</v>
      </c>
      <c r="AE288" s="74">
        <f t="shared" si="143"/>
        <v>1.1000000000000001</v>
      </c>
      <c r="AF288" s="74">
        <f t="shared" si="147"/>
        <v>275</v>
      </c>
      <c r="AG288" s="74">
        <f t="shared" si="153"/>
        <v>18</v>
      </c>
      <c r="AH288" s="74">
        <f t="shared" si="145"/>
        <v>3</v>
      </c>
      <c r="AI288" s="74">
        <f t="shared" si="138"/>
        <v>47</v>
      </c>
      <c r="AJ288" s="74">
        <f t="shared" si="160"/>
        <v>90</v>
      </c>
      <c r="AK288" s="74">
        <f t="shared" si="166"/>
        <v>14</v>
      </c>
      <c r="AL288" s="74">
        <f t="shared" si="161"/>
        <v>45</v>
      </c>
      <c r="AM288" s="74">
        <v>46</v>
      </c>
      <c r="AN288" s="74">
        <f t="shared" si="167"/>
        <v>0.75</v>
      </c>
      <c r="AO288" s="74">
        <f t="shared" si="179"/>
        <v>19</v>
      </c>
      <c r="AP288" s="74">
        <f t="shared" si="179"/>
        <v>19</v>
      </c>
      <c r="AQ288" s="74">
        <f t="shared" si="170"/>
        <v>5</v>
      </c>
      <c r="AR288" s="74">
        <f t="shared" si="156"/>
        <v>120</v>
      </c>
      <c r="AS288" s="74">
        <f t="shared" si="159"/>
        <v>120</v>
      </c>
      <c r="AT288" s="74">
        <f t="shared" si="152"/>
        <v>55</v>
      </c>
      <c r="AU288" s="74"/>
      <c r="AV288" s="74"/>
      <c r="AW288" s="74">
        <f t="shared" si="133"/>
        <v>5276.7500000000009</v>
      </c>
      <c r="AX288" s="83">
        <f t="shared" si="146"/>
        <v>5428.4449999999988</v>
      </c>
      <c r="AY288" s="62">
        <f>'[1]D4 Gallon Forecast'!$Y160/1000000</f>
        <v>0</v>
      </c>
      <c r="AZ288" s="62">
        <f>'[1]D4 Gallon Forecast'!$Y192/1000000</f>
        <v>484.68825590213106</v>
      </c>
      <c r="BA288" s="62">
        <f t="shared" si="149"/>
        <v>484.68825590213106</v>
      </c>
      <c r="BB288" s="62">
        <f>'[1]D4 Gallon Forecast'!$Y176/1000000</f>
        <v>0</v>
      </c>
      <c r="BC288" s="63">
        <f>'[1]D4 Gallon Forecast'!$Y352/1000000</f>
        <v>409.25067906665038</v>
      </c>
      <c r="BD288" s="64">
        <f>'[1]D4 Gallon Forecast'!$Y368/1000000</f>
        <v>0</v>
      </c>
      <c r="BE288" s="64">
        <f t="shared" si="150"/>
        <v>409.25067906665038</v>
      </c>
      <c r="BF288" s="76">
        <f t="shared" si="172"/>
        <v>893.9389349687815</v>
      </c>
      <c r="BG288" s="77">
        <f t="shared" si="176"/>
        <v>2.0035676961119027</v>
      </c>
      <c r="BH288" s="60"/>
      <c r="BI288" s="75">
        <f t="shared" si="134"/>
        <v>4702.9000000000005</v>
      </c>
      <c r="BJ288" s="75">
        <f t="shared" si="168"/>
        <v>725.54499999999825</v>
      </c>
      <c r="BK288" s="75">
        <f>'RD Feedstock Breakdown'!ES279</f>
        <v>14311.835697875085</v>
      </c>
      <c r="BL288" s="78">
        <f t="shared" si="175"/>
        <v>16.009858322565275</v>
      </c>
      <c r="BM288" s="78">
        <f t="shared" si="173"/>
        <v>29.527919283369126</v>
      </c>
      <c r="BN288" s="60"/>
      <c r="BO288" s="60"/>
      <c r="BP288" s="60"/>
      <c r="BQ288" s="66">
        <f>'[1]D4 Gallon Forecast'!$Y80/1000000</f>
        <v>132.37985015611648</v>
      </c>
      <c r="BR288" s="66">
        <f>'[1]D6 Gallon Forecast'!$Y73/1000000</f>
        <v>0.92229810416421854</v>
      </c>
      <c r="BS288" s="66">
        <f t="shared" si="141"/>
        <v>133.30214826028069</v>
      </c>
      <c r="BT288" s="60"/>
      <c r="BU288" s="67">
        <f>'[2]US EIA'!$P425</f>
        <v>892.17071402225781</v>
      </c>
      <c r="BV288" s="68">
        <f>BU288/BS288</f>
        <v>6.692845731790003</v>
      </c>
      <c r="BW288" s="60"/>
      <c r="BX288" s="69">
        <f>BF288/(BF288+BS288)</f>
        <v>0.87023284948723567</v>
      </c>
      <c r="BY288" s="69">
        <f>BS288/(BS288+BF288)</f>
        <v>0.12976715051276422</v>
      </c>
      <c r="BZ288" s="60"/>
      <c r="CA288" s="60"/>
      <c r="CB288" s="84" t="e">
        <f>#REF!</f>
        <v>#REF!</v>
      </c>
      <c r="CC288" s="84" t="e">
        <f>#REF!</f>
        <v>#REF!</v>
      </c>
      <c r="CD288" s="84" t="e">
        <f t="shared" si="165"/>
        <v>#REF!</v>
      </c>
      <c r="CE288" s="60"/>
      <c r="CF288" s="84">
        <f>'RD Feedstock Breakdown'!GQ279*1000000</f>
        <v>3270189174.5337672</v>
      </c>
      <c r="CG288" s="85" t="e">
        <f t="shared" si="164"/>
        <v>#REF!</v>
      </c>
      <c r="CH288" s="73">
        <f>'[2]US EIA'!$R425+AW288</f>
        <v>7174.0833333333312</v>
      </c>
    </row>
    <row r="289" spans="1:65" ht="13.5" x14ac:dyDescent="0.25">
      <c r="A289" s="15">
        <v>48945</v>
      </c>
      <c r="B289" s="20">
        <f t="shared" si="174"/>
        <v>690</v>
      </c>
      <c r="C289" s="74">
        <v>47</v>
      </c>
      <c r="D289" s="20">
        <f t="shared" si="163"/>
        <v>3</v>
      </c>
      <c r="E289" s="20">
        <f t="shared" si="178"/>
        <v>85</v>
      </c>
      <c r="F289" s="20">
        <f t="shared" si="148"/>
        <v>340</v>
      </c>
      <c r="G289" s="20">
        <f t="shared" si="162"/>
        <v>37.5</v>
      </c>
      <c r="H289" s="20">
        <f t="shared" si="140"/>
        <v>190</v>
      </c>
      <c r="I289" s="20">
        <f t="shared" si="177"/>
        <v>250</v>
      </c>
      <c r="J289" s="20">
        <f t="shared" si="169"/>
        <v>153.30000000000001</v>
      </c>
      <c r="K289" s="20">
        <f t="shared" si="180"/>
        <v>125</v>
      </c>
      <c r="L289" s="20">
        <v>125</v>
      </c>
      <c r="M289" s="20">
        <v>730</v>
      </c>
      <c r="N289" s="20">
        <f t="shared" si="158"/>
        <v>180</v>
      </c>
      <c r="O289" s="74">
        <v>375</v>
      </c>
      <c r="P289" s="20">
        <f t="shared" si="135"/>
        <v>50</v>
      </c>
      <c r="Q289" s="20">
        <f t="shared" si="136"/>
        <v>21</v>
      </c>
      <c r="R289" s="20">
        <v>100</v>
      </c>
      <c r="S289" s="20">
        <f t="shared" si="142"/>
        <v>60</v>
      </c>
      <c r="T289" s="20">
        <f t="shared" si="130"/>
        <v>36</v>
      </c>
      <c r="U289" s="20"/>
      <c r="V289" s="20">
        <f t="shared" si="154"/>
        <v>0</v>
      </c>
      <c r="W289" s="20">
        <f t="shared" si="137"/>
        <v>20</v>
      </c>
      <c r="X289" s="20">
        <f t="shared" si="171"/>
        <v>0</v>
      </c>
      <c r="Y289" s="20">
        <f t="shared" si="132"/>
        <v>3.5</v>
      </c>
      <c r="Z289" s="20">
        <f t="shared" si="157"/>
        <v>230</v>
      </c>
      <c r="AA289" s="20">
        <f t="shared" si="131"/>
        <v>306</v>
      </c>
      <c r="AB289" s="20">
        <f t="shared" si="144"/>
        <v>60</v>
      </c>
      <c r="AC289" s="20">
        <f t="shared" si="151"/>
        <v>1.6</v>
      </c>
      <c r="AD289" s="20">
        <f t="shared" si="139"/>
        <v>180</v>
      </c>
      <c r="AE289" s="20">
        <f t="shared" si="143"/>
        <v>1.1000000000000001</v>
      </c>
      <c r="AF289" s="20">
        <f t="shared" si="147"/>
        <v>275</v>
      </c>
      <c r="AG289" s="20">
        <f t="shared" si="153"/>
        <v>18</v>
      </c>
      <c r="AH289" s="20">
        <f t="shared" si="145"/>
        <v>3</v>
      </c>
      <c r="AI289" s="20">
        <f t="shared" si="138"/>
        <v>47</v>
      </c>
      <c r="AJ289" s="20">
        <f t="shared" si="160"/>
        <v>90</v>
      </c>
      <c r="AK289" s="20">
        <f t="shared" si="166"/>
        <v>14</v>
      </c>
      <c r="AL289" s="20">
        <f t="shared" si="161"/>
        <v>45</v>
      </c>
      <c r="AM289" s="20">
        <v>46</v>
      </c>
      <c r="AN289" s="20">
        <f t="shared" si="167"/>
        <v>0.75</v>
      </c>
      <c r="AO289" s="20">
        <f t="shared" si="179"/>
        <v>19</v>
      </c>
      <c r="AP289" s="20">
        <f t="shared" si="179"/>
        <v>19</v>
      </c>
      <c r="AQ289" s="20">
        <f t="shared" si="170"/>
        <v>5</v>
      </c>
      <c r="AR289" s="20">
        <f t="shared" si="156"/>
        <v>120</v>
      </c>
      <c r="AS289" s="20">
        <f t="shared" si="159"/>
        <v>120</v>
      </c>
      <c r="AT289" s="20">
        <f t="shared" si="152"/>
        <v>55</v>
      </c>
      <c r="AU289" s="20"/>
      <c r="AV289" s="20"/>
      <c r="AW289" s="20">
        <f t="shared" si="133"/>
        <v>5276.7500000000009</v>
      </c>
      <c r="AX289" s="86">
        <f t="shared" si="146"/>
        <v>5428.4449999999988</v>
      </c>
      <c r="AY289" s="17">
        <f>'[1]D4 Gallon Forecast'!$Z149/1000000</f>
        <v>0</v>
      </c>
      <c r="AZ289" s="17">
        <f>'[1]D4 Gallon Forecast'!$Z181/1000000</f>
        <v>245.50619451056815</v>
      </c>
      <c r="BA289" s="17">
        <f t="shared" si="149"/>
        <v>245.50619451056815</v>
      </c>
      <c r="BB289" s="17">
        <f>'[1]D4 Gallon Forecast'!$Z165/1000000</f>
        <v>0</v>
      </c>
      <c r="BC289" s="87">
        <f>'[1]D4 Gallon Forecast'!$Z341/1000000</f>
        <v>266.4113514182248</v>
      </c>
      <c r="BD289" s="88">
        <f>'[1]D4 Gallon Forecast'!$Z357/1000000</f>
        <v>0</v>
      </c>
      <c r="BE289" s="88">
        <f t="shared" si="150"/>
        <v>266.4113514182248</v>
      </c>
      <c r="BF289" s="76">
        <f t="shared" si="172"/>
        <v>511.91754592879295</v>
      </c>
      <c r="BG289" s="22">
        <f t="shared" si="176"/>
        <v>1.1103393820110457</v>
      </c>
      <c r="BI289" s="21">
        <f t="shared" si="134"/>
        <v>4702.9000000000005</v>
      </c>
      <c r="BJ289" s="21">
        <f t="shared" si="168"/>
        <v>725.54499999999825</v>
      </c>
      <c r="BK289" s="21">
        <f>'RD Feedstock Breakdown'!ES280</f>
        <v>4541.0635630340175</v>
      </c>
      <c r="BL289" s="89">
        <f>BK289/BF289</f>
        <v>8.8706933355741509</v>
      </c>
      <c r="BM289" s="89">
        <f t="shared" si="173"/>
        <v>18.496737208960898</v>
      </c>
    </row>
    <row r="290" spans="1:65" ht="13.5" x14ac:dyDescent="0.25">
      <c r="A290" s="15">
        <v>48976</v>
      </c>
      <c r="B290" s="20">
        <f t="shared" si="174"/>
        <v>690</v>
      </c>
      <c r="C290" s="74">
        <v>47</v>
      </c>
      <c r="D290" s="20">
        <f t="shared" si="163"/>
        <v>3</v>
      </c>
      <c r="E290" s="20">
        <f t="shared" si="178"/>
        <v>85</v>
      </c>
      <c r="F290" s="20">
        <f t="shared" si="148"/>
        <v>340</v>
      </c>
      <c r="G290" s="20">
        <f t="shared" si="162"/>
        <v>37.5</v>
      </c>
      <c r="H290" s="20">
        <f t="shared" si="140"/>
        <v>190</v>
      </c>
      <c r="I290" s="20">
        <f t="shared" si="177"/>
        <v>250</v>
      </c>
      <c r="J290" s="20">
        <f t="shared" si="169"/>
        <v>153.30000000000001</v>
      </c>
      <c r="K290" s="20">
        <f t="shared" si="180"/>
        <v>125</v>
      </c>
      <c r="L290" s="20">
        <v>125</v>
      </c>
      <c r="M290" s="20">
        <v>730</v>
      </c>
      <c r="N290" s="20">
        <f t="shared" si="158"/>
        <v>180</v>
      </c>
      <c r="O290" s="74">
        <v>375</v>
      </c>
      <c r="P290" s="20">
        <f t="shared" si="135"/>
        <v>50</v>
      </c>
      <c r="Q290" s="20">
        <f t="shared" si="136"/>
        <v>21</v>
      </c>
      <c r="R290" s="20">
        <v>100</v>
      </c>
      <c r="S290" s="20">
        <f t="shared" si="142"/>
        <v>60</v>
      </c>
      <c r="T290" s="20">
        <f t="shared" ref="T290:T353" si="181">36*$T$12</f>
        <v>36</v>
      </c>
      <c r="U290" s="20"/>
      <c r="V290" s="20">
        <f t="shared" si="154"/>
        <v>0</v>
      </c>
      <c r="W290" s="20">
        <f t="shared" si="137"/>
        <v>20</v>
      </c>
      <c r="X290" s="20">
        <f t="shared" si="171"/>
        <v>0</v>
      </c>
      <c r="Y290" s="20">
        <f t="shared" si="132"/>
        <v>3.5</v>
      </c>
      <c r="Z290" s="20">
        <f t="shared" si="157"/>
        <v>230</v>
      </c>
      <c r="AA290" s="20">
        <f t="shared" ref="AA290:AA353" si="182">$AA$12*$AA$5</f>
        <v>306</v>
      </c>
      <c r="AB290" s="20">
        <f t="shared" si="144"/>
        <v>60</v>
      </c>
      <c r="AC290" s="20">
        <f t="shared" si="151"/>
        <v>1.6</v>
      </c>
      <c r="AD290" s="20">
        <f t="shared" si="139"/>
        <v>180</v>
      </c>
      <c r="AE290" s="20">
        <f t="shared" si="143"/>
        <v>1.1000000000000001</v>
      </c>
      <c r="AF290" s="20">
        <f t="shared" si="147"/>
        <v>275</v>
      </c>
      <c r="AG290" s="20">
        <f t="shared" si="153"/>
        <v>18</v>
      </c>
      <c r="AH290" s="20">
        <f t="shared" si="145"/>
        <v>3</v>
      </c>
      <c r="AI290" s="20">
        <f t="shared" si="138"/>
        <v>47</v>
      </c>
      <c r="AJ290" s="20">
        <f t="shared" si="160"/>
        <v>90</v>
      </c>
      <c r="AK290" s="20">
        <f t="shared" si="166"/>
        <v>14</v>
      </c>
      <c r="AL290" s="20">
        <f t="shared" si="161"/>
        <v>45</v>
      </c>
      <c r="AM290" s="20">
        <v>46</v>
      </c>
      <c r="AN290" s="20">
        <f t="shared" si="167"/>
        <v>0.75</v>
      </c>
      <c r="AO290" s="20">
        <f t="shared" si="179"/>
        <v>19</v>
      </c>
      <c r="AP290" s="20">
        <f t="shared" si="179"/>
        <v>19</v>
      </c>
      <c r="AQ290" s="20">
        <f t="shared" si="170"/>
        <v>5</v>
      </c>
      <c r="AR290" s="20">
        <f t="shared" si="156"/>
        <v>120</v>
      </c>
      <c r="AS290" s="20">
        <f t="shared" si="159"/>
        <v>120</v>
      </c>
      <c r="AT290" s="20">
        <f t="shared" si="152"/>
        <v>55</v>
      </c>
      <c r="AU290" s="20"/>
      <c r="AV290" s="20"/>
      <c r="AW290" s="20">
        <f t="shared" si="133"/>
        <v>5276.7500000000009</v>
      </c>
      <c r="AX290" s="86">
        <f t="shared" si="146"/>
        <v>5428.4449999999988</v>
      </c>
      <c r="AY290" s="17">
        <f>'[1]D4 Gallon Forecast'!$Z150/1000000</f>
        <v>0</v>
      </c>
      <c r="AZ290" s="17">
        <f>'[1]D4 Gallon Forecast'!$Z182/1000000</f>
        <v>270.72005576630988</v>
      </c>
      <c r="BA290" s="17">
        <f t="shared" si="149"/>
        <v>270.72005576630988</v>
      </c>
      <c r="BB290" s="17">
        <f>'[1]D4 Gallon Forecast'!$Z166/1000000</f>
        <v>0</v>
      </c>
      <c r="BC290" s="87">
        <f>'[1]D4 Gallon Forecast'!$Z342/1000000</f>
        <v>505.60705325518018</v>
      </c>
      <c r="BD290" s="88">
        <f>'[1]D4 Gallon Forecast'!$Z358/1000000</f>
        <v>0</v>
      </c>
      <c r="BE290" s="88">
        <f t="shared" si="150"/>
        <v>505.60705325518018</v>
      </c>
      <c r="BF290" s="76">
        <f t="shared" si="172"/>
        <v>776.32710902149006</v>
      </c>
      <c r="BG290" s="22">
        <f t="shared" si="176"/>
        <v>1.6838386754363055</v>
      </c>
      <c r="BI290" s="21">
        <f t="shared" si="134"/>
        <v>4702.9000000000005</v>
      </c>
      <c r="BJ290" s="21">
        <f t="shared" si="168"/>
        <v>725.54499999999825</v>
      </c>
      <c r="BK290" s="21">
        <f>'RD Feedstock Breakdown'!ES281</f>
        <v>10435.788270916524</v>
      </c>
      <c r="BL290" s="89">
        <f t="shared" si="175"/>
        <v>13.442514308266471</v>
      </c>
      <c r="BM290" s="89">
        <f t="shared" si="173"/>
        <v>38.548264336665447</v>
      </c>
    </row>
    <row r="291" spans="1:65" ht="13.5" x14ac:dyDescent="0.25">
      <c r="A291" s="15">
        <v>49004</v>
      </c>
      <c r="B291" s="20">
        <f t="shared" si="174"/>
        <v>690</v>
      </c>
      <c r="C291" s="74">
        <v>47</v>
      </c>
      <c r="D291" s="20">
        <f t="shared" si="163"/>
        <v>3</v>
      </c>
      <c r="E291" s="20">
        <f t="shared" si="178"/>
        <v>85</v>
      </c>
      <c r="F291" s="20">
        <f t="shared" si="148"/>
        <v>340</v>
      </c>
      <c r="G291" s="20">
        <f t="shared" si="162"/>
        <v>37.5</v>
      </c>
      <c r="H291" s="20">
        <f t="shared" si="140"/>
        <v>190</v>
      </c>
      <c r="I291" s="20">
        <f t="shared" si="177"/>
        <v>250</v>
      </c>
      <c r="J291" s="20">
        <f t="shared" si="169"/>
        <v>153.30000000000001</v>
      </c>
      <c r="K291" s="20">
        <f t="shared" si="180"/>
        <v>125</v>
      </c>
      <c r="L291" s="20">
        <v>125</v>
      </c>
      <c r="M291" s="20">
        <v>730</v>
      </c>
      <c r="N291" s="20">
        <f t="shared" si="158"/>
        <v>180</v>
      </c>
      <c r="O291" s="74">
        <v>375</v>
      </c>
      <c r="P291" s="20">
        <f t="shared" si="135"/>
        <v>50</v>
      </c>
      <c r="Q291" s="20">
        <f t="shared" si="136"/>
        <v>21</v>
      </c>
      <c r="R291" s="20">
        <v>100</v>
      </c>
      <c r="S291" s="20">
        <f t="shared" si="142"/>
        <v>60</v>
      </c>
      <c r="T291" s="20">
        <f t="shared" si="181"/>
        <v>36</v>
      </c>
      <c r="U291" s="20"/>
      <c r="V291" s="20">
        <f t="shared" si="154"/>
        <v>0</v>
      </c>
      <c r="W291" s="20">
        <f t="shared" si="137"/>
        <v>20</v>
      </c>
      <c r="X291" s="20">
        <f t="shared" si="171"/>
        <v>0</v>
      </c>
      <c r="Y291" s="20">
        <f t="shared" ref="Y291:Y354" si="183">$Y$5*$Y$12</f>
        <v>3.5</v>
      </c>
      <c r="Z291" s="20">
        <f t="shared" si="157"/>
        <v>230</v>
      </c>
      <c r="AA291" s="20">
        <f t="shared" si="182"/>
        <v>306</v>
      </c>
      <c r="AB291" s="20">
        <f t="shared" si="144"/>
        <v>60</v>
      </c>
      <c r="AC291" s="20">
        <f t="shared" si="151"/>
        <v>1.6</v>
      </c>
      <c r="AD291" s="20">
        <f t="shared" si="139"/>
        <v>180</v>
      </c>
      <c r="AE291" s="20">
        <f t="shared" si="143"/>
        <v>1.1000000000000001</v>
      </c>
      <c r="AF291" s="20">
        <f t="shared" si="147"/>
        <v>275</v>
      </c>
      <c r="AG291" s="20">
        <f t="shared" si="153"/>
        <v>18</v>
      </c>
      <c r="AH291" s="20">
        <f t="shared" si="145"/>
        <v>3</v>
      </c>
      <c r="AI291" s="20">
        <f t="shared" si="138"/>
        <v>47</v>
      </c>
      <c r="AJ291" s="20">
        <f t="shared" si="160"/>
        <v>90</v>
      </c>
      <c r="AK291" s="20">
        <f t="shared" si="166"/>
        <v>14</v>
      </c>
      <c r="AL291" s="20">
        <f t="shared" si="161"/>
        <v>45</v>
      </c>
      <c r="AM291" s="20">
        <v>46</v>
      </c>
      <c r="AN291" s="20">
        <f t="shared" si="167"/>
        <v>0.75</v>
      </c>
      <c r="AO291" s="20">
        <f t="shared" si="179"/>
        <v>19</v>
      </c>
      <c r="AP291" s="20">
        <f t="shared" si="179"/>
        <v>19</v>
      </c>
      <c r="AQ291" s="20">
        <f t="shared" si="170"/>
        <v>5</v>
      </c>
      <c r="AR291" s="20">
        <f t="shared" si="156"/>
        <v>120</v>
      </c>
      <c r="AS291" s="20">
        <f t="shared" si="159"/>
        <v>120</v>
      </c>
      <c r="AT291" s="20">
        <f t="shared" si="152"/>
        <v>55</v>
      </c>
      <c r="AU291" s="20"/>
      <c r="AV291" s="20"/>
      <c r="AW291" s="20">
        <f t="shared" ref="AW291:AW354" si="184">SUM(B291:AT291)</f>
        <v>5276.7500000000009</v>
      </c>
      <c r="AX291" s="86">
        <f t="shared" si="146"/>
        <v>5428.4449999999988</v>
      </c>
      <c r="AY291" s="17">
        <f>'[1]D4 Gallon Forecast'!$Z151/1000000</f>
        <v>0</v>
      </c>
      <c r="AZ291" s="17">
        <f>'[1]D4 Gallon Forecast'!$Z183/1000000</f>
        <v>285.1382778502084</v>
      </c>
      <c r="BA291" s="17">
        <f t="shared" si="149"/>
        <v>285.1382778502084</v>
      </c>
      <c r="BB291" s="17">
        <f>'[1]D4 Gallon Forecast'!$Z167/1000000</f>
        <v>0</v>
      </c>
      <c r="BC291" s="87">
        <f>'[1]D4 Gallon Forecast'!$Z343/1000000</f>
        <v>201.76353567193198</v>
      </c>
      <c r="BD291" s="88">
        <f>'[1]D4 Gallon Forecast'!$Z359/1000000</f>
        <v>0</v>
      </c>
      <c r="BE291" s="88">
        <f t="shared" si="150"/>
        <v>201.76353567193198</v>
      </c>
      <c r="BF291" s="76">
        <f t="shared" si="172"/>
        <v>486.9018135221404</v>
      </c>
      <c r="BG291" s="22">
        <f t="shared" si="176"/>
        <v>1.1692322435376541</v>
      </c>
      <c r="BI291" s="21">
        <f t="shared" ref="BI291:BI354" si="185">SUMIF($B$7:$AN$7,"Yes",B291:AN291)</f>
        <v>4702.9000000000005</v>
      </c>
      <c r="BJ291" s="21">
        <f t="shared" si="168"/>
        <v>725.54499999999825</v>
      </c>
      <c r="BK291" s="21">
        <f>'RD Feedstock Breakdown'!ES282</f>
        <v>4548.6734468071845</v>
      </c>
      <c r="BL291" s="89">
        <f t="shared" si="175"/>
        <v>9.3420753845689823</v>
      </c>
      <c r="BM291" s="89">
        <f t="shared" si="173"/>
        <v>15.952517778748518</v>
      </c>
    </row>
    <row r="292" spans="1:65" ht="13.5" x14ac:dyDescent="0.25">
      <c r="A292" s="15">
        <v>49035</v>
      </c>
      <c r="B292" s="20">
        <f t="shared" si="174"/>
        <v>690</v>
      </c>
      <c r="C292" s="74">
        <v>47</v>
      </c>
      <c r="D292" s="20">
        <f t="shared" si="163"/>
        <v>3</v>
      </c>
      <c r="E292" s="20">
        <f t="shared" si="178"/>
        <v>85</v>
      </c>
      <c r="F292" s="20">
        <f t="shared" si="148"/>
        <v>340</v>
      </c>
      <c r="G292" s="20">
        <f t="shared" si="162"/>
        <v>37.5</v>
      </c>
      <c r="H292" s="20">
        <f t="shared" si="140"/>
        <v>190</v>
      </c>
      <c r="I292" s="20">
        <f t="shared" si="177"/>
        <v>250</v>
      </c>
      <c r="J292" s="20">
        <f t="shared" si="169"/>
        <v>153.30000000000001</v>
      </c>
      <c r="K292" s="20">
        <f t="shared" si="180"/>
        <v>125</v>
      </c>
      <c r="L292" s="20">
        <v>125</v>
      </c>
      <c r="M292" s="20">
        <v>730</v>
      </c>
      <c r="N292" s="20">
        <f t="shared" si="158"/>
        <v>180</v>
      </c>
      <c r="O292" s="74">
        <v>375</v>
      </c>
      <c r="P292" s="20">
        <f t="shared" si="135"/>
        <v>50</v>
      </c>
      <c r="Q292" s="20">
        <f t="shared" si="136"/>
        <v>21</v>
      </c>
      <c r="R292" s="20">
        <v>100</v>
      </c>
      <c r="S292" s="20">
        <f t="shared" si="142"/>
        <v>60</v>
      </c>
      <c r="T292" s="20">
        <f t="shared" si="181"/>
        <v>36</v>
      </c>
      <c r="U292" s="20"/>
      <c r="V292" s="20">
        <f t="shared" si="154"/>
        <v>0</v>
      </c>
      <c r="W292" s="20">
        <f t="shared" si="137"/>
        <v>20</v>
      </c>
      <c r="X292" s="20">
        <f t="shared" si="171"/>
        <v>0</v>
      </c>
      <c r="Y292" s="20">
        <f t="shared" si="183"/>
        <v>3.5</v>
      </c>
      <c r="Z292" s="20">
        <f t="shared" si="157"/>
        <v>230</v>
      </c>
      <c r="AA292" s="20">
        <f t="shared" si="182"/>
        <v>306</v>
      </c>
      <c r="AB292" s="20">
        <f t="shared" si="144"/>
        <v>60</v>
      </c>
      <c r="AC292" s="20">
        <f t="shared" si="151"/>
        <v>1.6</v>
      </c>
      <c r="AD292" s="20">
        <f t="shared" si="139"/>
        <v>180</v>
      </c>
      <c r="AE292" s="20">
        <f t="shared" si="143"/>
        <v>1.1000000000000001</v>
      </c>
      <c r="AF292" s="20">
        <f t="shared" si="147"/>
        <v>275</v>
      </c>
      <c r="AG292" s="20">
        <f t="shared" si="153"/>
        <v>18</v>
      </c>
      <c r="AH292" s="20">
        <f t="shared" si="145"/>
        <v>3</v>
      </c>
      <c r="AI292" s="20">
        <f t="shared" si="138"/>
        <v>47</v>
      </c>
      <c r="AJ292" s="20">
        <f t="shared" si="160"/>
        <v>90</v>
      </c>
      <c r="AK292" s="20">
        <f t="shared" si="166"/>
        <v>14</v>
      </c>
      <c r="AL292" s="20">
        <f t="shared" si="161"/>
        <v>45</v>
      </c>
      <c r="AM292" s="20">
        <v>46</v>
      </c>
      <c r="AN292" s="20">
        <f t="shared" si="167"/>
        <v>0.75</v>
      </c>
      <c r="AO292" s="20">
        <f t="shared" si="179"/>
        <v>19</v>
      </c>
      <c r="AP292" s="20">
        <f t="shared" si="179"/>
        <v>19</v>
      </c>
      <c r="AQ292" s="20">
        <f t="shared" si="170"/>
        <v>5</v>
      </c>
      <c r="AR292" s="20">
        <f t="shared" si="156"/>
        <v>120</v>
      </c>
      <c r="AS292" s="20">
        <f t="shared" si="159"/>
        <v>120</v>
      </c>
      <c r="AT292" s="20">
        <f t="shared" si="152"/>
        <v>55</v>
      </c>
      <c r="AU292" s="20"/>
      <c r="AV292" s="20"/>
      <c r="AW292" s="20">
        <f t="shared" si="184"/>
        <v>5276.7500000000009</v>
      </c>
      <c r="AX292" s="86">
        <f t="shared" si="146"/>
        <v>5428.4449999999988</v>
      </c>
      <c r="AY292" s="17">
        <f>'[1]D4 Gallon Forecast'!$Z152/1000000</f>
        <v>0</v>
      </c>
      <c r="AZ292" s="17">
        <f>'[1]D4 Gallon Forecast'!$Z184/1000000</f>
        <v>276.85522266558542</v>
      </c>
      <c r="BA292" s="17">
        <f t="shared" si="149"/>
        <v>276.85522266558542</v>
      </c>
      <c r="BB292" s="17">
        <f>'[1]D4 Gallon Forecast'!$Z168/1000000</f>
        <v>0</v>
      </c>
      <c r="BC292" s="87">
        <f>'[1]D4 Gallon Forecast'!$Z344/1000000</f>
        <v>323.92506868341894</v>
      </c>
      <c r="BD292" s="88">
        <f>'[1]D4 Gallon Forecast'!$Z360/1000000</f>
        <v>0</v>
      </c>
      <c r="BE292" s="88">
        <f t="shared" si="150"/>
        <v>323.92506868341894</v>
      </c>
      <c r="BF292" s="76">
        <f t="shared" si="172"/>
        <v>600.7802913490043</v>
      </c>
      <c r="BG292" s="22">
        <f t="shared" si="176"/>
        <v>1.3030809799859018</v>
      </c>
      <c r="BI292" s="21">
        <f t="shared" si="185"/>
        <v>4702.9000000000005</v>
      </c>
      <c r="BJ292" s="21">
        <f t="shared" si="168"/>
        <v>725.54499999999825</v>
      </c>
      <c r="BK292" s="21">
        <f>'RD Feedstock Breakdown'!ES283</f>
        <v>6230.0020411360574</v>
      </c>
      <c r="BL292" s="89">
        <f t="shared" si="175"/>
        <v>10.369850893655457</v>
      </c>
      <c r="BM292" s="89">
        <f t="shared" si="173"/>
        <v>22.502743423631575</v>
      </c>
    </row>
    <row r="293" spans="1:65" ht="13.5" x14ac:dyDescent="0.25">
      <c r="A293" s="15">
        <v>49065</v>
      </c>
      <c r="B293" s="20">
        <f t="shared" si="174"/>
        <v>690</v>
      </c>
      <c r="C293" s="74">
        <v>47</v>
      </c>
      <c r="D293" s="20">
        <f t="shared" si="163"/>
        <v>3</v>
      </c>
      <c r="E293" s="20">
        <f t="shared" si="178"/>
        <v>85</v>
      </c>
      <c r="F293" s="20">
        <f t="shared" si="148"/>
        <v>340</v>
      </c>
      <c r="G293" s="20">
        <f t="shared" si="162"/>
        <v>37.5</v>
      </c>
      <c r="H293" s="20">
        <f t="shared" si="140"/>
        <v>190</v>
      </c>
      <c r="I293" s="20">
        <f t="shared" si="177"/>
        <v>250</v>
      </c>
      <c r="J293" s="20">
        <f t="shared" si="169"/>
        <v>153.30000000000001</v>
      </c>
      <c r="K293" s="20">
        <f t="shared" si="180"/>
        <v>125</v>
      </c>
      <c r="L293" s="20">
        <v>125</v>
      </c>
      <c r="M293" s="20">
        <v>730</v>
      </c>
      <c r="N293" s="20">
        <f t="shared" si="158"/>
        <v>180</v>
      </c>
      <c r="O293" s="74">
        <v>375</v>
      </c>
      <c r="P293" s="20">
        <f t="shared" si="135"/>
        <v>50</v>
      </c>
      <c r="Q293" s="20">
        <f t="shared" si="136"/>
        <v>21</v>
      </c>
      <c r="R293" s="20">
        <v>100</v>
      </c>
      <c r="S293" s="20">
        <f t="shared" si="142"/>
        <v>60</v>
      </c>
      <c r="T293" s="20">
        <f t="shared" si="181"/>
        <v>36</v>
      </c>
      <c r="U293" s="20"/>
      <c r="V293" s="20">
        <f t="shared" si="154"/>
        <v>0</v>
      </c>
      <c r="W293" s="20">
        <f t="shared" si="137"/>
        <v>20</v>
      </c>
      <c r="X293" s="20">
        <f t="shared" si="171"/>
        <v>0</v>
      </c>
      <c r="Y293" s="20">
        <f t="shared" si="183"/>
        <v>3.5</v>
      </c>
      <c r="Z293" s="20">
        <f t="shared" si="157"/>
        <v>230</v>
      </c>
      <c r="AA293" s="20">
        <f t="shared" si="182"/>
        <v>306</v>
      </c>
      <c r="AB293" s="20">
        <f t="shared" si="144"/>
        <v>60</v>
      </c>
      <c r="AC293" s="20">
        <f t="shared" si="151"/>
        <v>1.6</v>
      </c>
      <c r="AD293" s="20">
        <f t="shared" si="139"/>
        <v>180</v>
      </c>
      <c r="AE293" s="20">
        <f t="shared" si="143"/>
        <v>1.1000000000000001</v>
      </c>
      <c r="AF293" s="20">
        <f t="shared" si="147"/>
        <v>275</v>
      </c>
      <c r="AG293" s="20">
        <f t="shared" si="153"/>
        <v>18</v>
      </c>
      <c r="AH293" s="20">
        <f t="shared" si="145"/>
        <v>3</v>
      </c>
      <c r="AI293" s="20">
        <f t="shared" si="138"/>
        <v>47</v>
      </c>
      <c r="AJ293" s="20">
        <f t="shared" si="160"/>
        <v>90</v>
      </c>
      <c r="AK293" s="20">
        <f t="shared" si="166"/>
        <v>14</v>
      </c>
      <c r="AL293" s="20">
        <f t="shared" si="161"/>
        <v>45</v>
      </c>
      <c r="AM293" s="20">
        <v>46</v>
      </c>
      <c r="AN293" s="20">
        <f t="shared" si="167"/>
        <v>0.75</v>
      </c>
      <c r="AO293" s="20">
        <f t="shared" si="179"/>
        <v>19</v>
      </c>
      <c r="AP293" s="20">
        <f t="shared" si="179"/>
        <v>19</v>
      </c>
      <c r="AQ293" s="20">
        <f t="shared" si="170"/>
        <v>5</v>
      </c>
      <c r="AR293" s="20">
        <f t="shared" si="156"/>
        <v>120</v>
      </c>
      <c r="AS293" s="20">
        <f t="shared" si="159"/>
        <v>120</v>
      </c>
      <c r="AT293" s="20">
        <f t="shared" si="152"/>
        <v>55</v>
      </c>
      <c r="AU293" s="20"/>
      <c r="AV293" s="20"/>
      <c r="AW293" s="20">
        <f t="shared" si="184"/>
        <v>5276.7500000000009</v>
      </c>
      <c r="AX293" s="86">
        <f t="shared" si="146"/>
        <v>5428.4449999999988</v>
      </c>
      <c r="AY293" s="17">
        <f>'[1]D4 Gallon Forecast'!$Z153/1000000</f>
        <v>0</v>
      </c>
      <c r="AZ293" s="17">
        <f>'[1]D4 Gallon Forecast'!$Z185/1000000</f>
        <v>309.27354410368656</v>
      </c>
      <c r="BA293" s="17">
        <f t="shared" si="149"/>
        <v>309.27354410368656</v>
      </c>
      <c r="BB293" s="17">
        <f>'[1]D4 Gallon Forecast'!$Z169/1000000</f>
        <v>0</v>
      </c>
      <c r="BC293" s="87">
        <f>'[1]D4 Gallon Forecast'!$Z345/1000000</f>
        <v>426.36492953210126</v>
      </c>
      <c r="BD293" s="88">
        <f>'[1]D4 Gallon Forecast'!$Z361/1000000</f>
        <v>0</v>
      </c>
      <c r="BE293" s="88">
        <f t="shared" si="150"/>
        <v>426.36492953210126</v>
      </c>
      <c r="BF293" s="76">
        <f t="shared" si="172"/>
        <v>735.63847363578782</v>
      </c>
      <c r="BG293" s="22">
        <f t="shared" si="176"/>
        <v>1.6487719956455462</v>
      </c>
      <c r="BI293" s="21">
        <f t="shared" si="185"/>
        <v>4702.9000000000005</v>
      </c>
      <c r="BJ293" s="21">
        <f t="shared" si="168"/>
        <v>725.54499999999825</v>
      </c>
      <c r="BK293" s="21">
        <f>'RD Feedstock Breakdown'!ES284</f>
        <v>9653.901817923228</v>
      </c>
      <c r="BL293" s="89">
        <f t="shared" si="175"/>
        <v>13.123160579421846</v>
      </c>
      <c r="BM293" s="89">
        <f t="shared" si="173"/>
        <v>31.21476764493854</v>
      </c>
    </row>
    <row r="294" spans="1:65" ht="13.5" x14ac:dyDescent="0.25">
      <c r="A294" s="15">
        <v>49096</v>
      </c>
      <c r="B294" s="20">
        <f t="shared" si="174"/>
        <v>690</v>
      </c>
      <c r="C294" s="74">
        <v>47</v>
      </c>
      <c r="D294" s="20">
        <f t="shared" si="163"/>
        <v>3</v>
      </c>
      <c r="E294" s="20">
        <f t="shared" si="178"/>
        <v>85</v>
      </c>
      <c r="F294" s="20">
        <f t="shared" si="148"/>
        <v>340</v>
      </c>
      <c r="G294" s="20">
        <f t="shared" si="162"/>
        <v>37.5</v>
      </c>
      <c r="H294" s="20">
        <f t="shared" si="140"/>
        <v>190</v>
      </c>
      <c r="I294" s="20">
        <f t="shared" si="177"/>
        <v>250</v>
      </c>
      <c r="J294" s="20">
        <f t="shared" si="169"/>
        <v>153.30000000000001</v>
      </c>
      <c r="K294" s="20">
        <f t="shared" si="180"/>
        <v>125</v>
      </c>
      <c r="L294" s="20">
        <v>125</v>
      </c>
      <c r="M294" s="20">
        <v>730</v>
      </c>
      <c r="N294" s="20">
        <f t="shared" si="158"/>
        <v>180</v>
      </c>
      <c r="O294" s="74">
        <v>375</v>
      </c>
      <c r="P294" s="20">
        <f t="shared" ref="P294:P357" si="186">100*$P$12</f>
        <v>50</v>
      </c>
      <c r="Q294" s="20">
        <f t="shared" ref="Q294:Q357" si="187">$Q$5*$Q$12</f>
        <v>21</v>
      </c>
      <c r="R294" s="20">
        <v>100</v>
      </c>
      <c r="S294" s="20">
        <f t="shared" si="142"/>
        <v>60</v>
      </c>
      <c r="T294" s="20">
        <f t="shared" si="181"/>
        <v>36</v>
      </c>
      <c r="U294" s="20"/>
      <c r="V294" s="20">
        <f t="shared" si="154"/>
        <v>0</v>
      </c>
      <c r="W294" s="20">
        <f t="shared" ref="W294:W358" si="188">$W$5*$W$12</f>
        <v>20</v>
      </c>
      <c r="X294" s="20">
        <f t="shared" si="171"/>
        <v>0</v>
      </c>
      <c r="Y294" s="20">
        <f t="shared" si="183"/>
        <v>3.5</v>
      </c>
      <c r="Z294" s="20">
        <f t="shared" si="157"/>
        <v>230</v>
      </c>
      <c r="AA294" s="20">
        <f t="shared" si="182"/>
        <v>306</v>
      </c>
      <c r="AB294" s="20">
        <f t="shared" si="144"/>
        <v>60</v>
      </c>
      <c r="AC294" s="20">
        <f t="shared" si="151"/>
        <v>1.6</v>
      </c>
      <c r="AD294" s="20">
        <f t="shared" si="139"/>
        <v>180</v>
      </c>
      <c r="AE294" s="20">
        <f t="shared" si="143"/>
        <v>1.1000000000000001</v>
      </c>
      <c r="AF294" s="20">
        <f t="shared" si="147"/>
        <v>275</v>
      </c>
      <c r="AG294" s="20">
        <f t="shared" si="153"/>
        <v>18</v>
      </c>
      <c r="AH294" s="20">
        <f t="shared" si="145"/>
        <v>3</v>
      </c>
      <c r="AI294" s="20">
        <f t="shared" si="138"/>
        <v>47</v>
      </c>
      <c r="AJ294" s="20">
        <f t="shared" si="160"/>
        <v>90</v>
      </c>
      <c r="AK294" s="20">
        <f t="shared" si="166"/>
        <v>14</v>
      </c>
      <c r="AL294" s="20">
        <f t="shared" si="161"/>
        <v>45</v>
      </c>
      <c r="AM294" s="20">
        <v>46</v>
      </c>
      <c r="AN294" s="20">
        <f t="shared" si="167"/>
        <v>0.75</v>
      </c>
      <c r="AO294" s="20">
        <f t="shared" si="179"/>
        <v>19</v>
      </c>
      <c r="AP294" s="20">
        <f t="shared" si="179"/>
        <v>19</v>
      </c>
      <c r="AQ294" s="20">
        <f t="shared" si="170"/>
        <v>5</v>
      </c>
      <c r="AR294" s="20">
        <f t="shared" si="156"/>
        <v>120</v>
      </c>
      <c r="AS294" s="20">
        <f t="shared" si="159"/>
        <v>120</v>
      </c>
      <c r="AT294" s="20">
        <f t="shared" si="152"/>
        <v>55</v>
      </c>
      <c r="AU294" s="20"/>
      <c r="AV294" s="20"/>
      <c r="AW294" s="20">
        <f t="shared" si="184"/>
        <v>5276.7500000000009</v>
      </c>
      <c r="AX294" s="86">
        <f t="shared" si="146"/>
        <v>5428.4449999999988</v>
      </c>
      <c r="AY294" s="17">
        <f>'[1]D4 Gallon Forecast'!$Z154/1000000</f>
        <v>0</v>
      </c>
      <c r="AZ294" s="17">
        <f>'[1]D4 Gallon Forecast'!$Z186/1000000</f>
        <v>306.75091922157566</v>
      </c>
      <c r="BA294" s="17">
        <f t="shared" si="149"/>
        <v>306.75091922157566</v>
      </c>
      <c r="BB294" s="17">
        <f>'[1]D4 Gallon Forecast'!$Z170/1000000</f>
        <v>0</v>
      </c>
      <c r="BC294" s="87">
        <f>'[1]D4 Gallon Forecast'!$Z346/1000000</f>
        <v>406.74466362686309</v>
      </c>
      <c r="BD294" s="88">
        <f>'[1]D4 Gallon Forecast'!$Z362/1000000</f>
        <v>0</v>
      </c>
      <c r="BE294" s="88">
        <f t="shared" si="150"/>
        <v>406.74466362686309</v>
      </c>
      <c r="BF294" s="76">
        <f t="shared" si="172"/>
        <v>713.49558284843874</v>
      </c>
      <c r="BG294" s="22">
        <f t="shared" si="176"/>
        <v>1.5475582949402231</v>
      </c>
      <c r="BI294" s="21">
        <f t="shared" si="185"/>
        <v>4702.9000000000005</v>
      </c>
      <c r="BJ294" s="21">
        <f t="shared" si="168"/>
        <v>725.54499999999825</v>
      </c>
      <c r="BK294" s="21">
        <f>'RD Feedstock Breakdown'!ES285</f>
        <v>8765.2919359018233</v>
      </c>
      <c r="BL294" s="89">
        <f t="shared" si="175"/>
        <v>12.284998178837714</v>
      </c>
      <c r="BM294" s="89">
        <f t="shared" si="173"/>
        <v>28.57462320942674</v>
      </c>
    </row>
    <row r="295" spans="1:65" ht="13.5" x14ac:dyDescent="0.25">
      <c r="A295" s="15">
        <v>49126</v>
      </c>
      <c r="B295" s="20">
        <f t="shared" si="174"/>
        <v>690</v>
      </c>
      <c r="C295" s="74">
        <v>47</v>
      </c>
      <c r="D295" s="20">
        <f t="shared" si="163"/>
        <v>3</v>
      </c>
      <c r="E295" s="20">
        <f t="shared" si="178"/>
        <v>85</v>
      </c>
      <c r="F295" s="20">
        <f t="shared" si="148"/>
        <v>340</v>
      </c>
      <c r="G295" s="20">
        <f t="shared" si="162"/>
        <v>37.5</v>
      </c>
      <c r="H295" s="20">
        <f t="shared" si="140"/>
        <v>190</v>
      </c>
      <c r="I295" s="20">
        <f t="shared" si="177"/>
        <v>250</v>
      </c>
      <c r="J295" s="20">
        <f t="shared" si="169"/>
        <v>153.30000000000001</v>
      </c>
      <c r="K295" s="20">
        <f t="shared" si="180"/>
        <v>125</v>
      </c>
      <c r="L295" s="20">
        <v>125</v>
      </c>
      <c r="M295" s="20">
        <v>730</v>
      </c>
      <c r="N295" s="20">
        <f t="shared" si="158"/>
        <v>180</v>
      </c>
      <c r="O295" s="74">
        <v>375</v>
      </c>
      <c r="P295" s="20">
        <f t="shared" si="186"/>
        <v>50</v>
      </c>
      <c r="Q295" s="20">
        <f t="shared" si="187"/>
        <v>21</v>
      </c>
      <c r="R295" s="20">
        <v>100</v>
      </c>
      <c r="S295" s="20">
        <f t="shared" si="142"/>
        <v>60</v>
      </c>
      <c r="T295" s="20">
        <f t="shared" si="181"/>
        <v>36</v>
      </c>
      <c r="U295" s="20"/>
      <c r="V295" s="20">
        <f t="shared" si="154"/>
        <v>0</v>
      </c>
      <c r="W295" s="20">
        <f t="shared" si="188"/>
        <v>20</v>
      </c>
      <c r="X295" s="20">
        <f t="shared" si="171"/>
        <v>0</v>
      </c>
      <c r="Y295" s="20">
        <f t="shared" si="183"/>
        <v>3.5</v>
      </c>
      <c r="Z295" s="20">
        <f t="shared" si="157"/>
        <v>230</v>
      </c>
      <c r="AA295" s="20">
        <f t="shared" si="182"/>
        <v>306</v>
      </c>
      <c r="AB295" s="20">
        <f t="shared" si="144"/>
        <v>60</v>
      </c>
      <c r="AC295" s="20">
        <f t="shared" si="151"/>
        <v>1.6</v>
      </c>
      <c r="AD295" s="20">
        <f t="shared" si="139"/>
        <v>180</v>
      </c>
      <c r="AE295" s="20">
        <f t="shared" si="143"/>
        <v>1.1000000000000001</v>
      </c>
      <c r="AF295" s="20">
        <f t="shared" si="147"/>
        <v>275</v>
      </c>
      <c r="AG295" s="20">
        <f t="shared" si="153"/>
        <v>18</v>
      </c>
      <c r="AH295" s="20">
        <f t="shared" si="145"/>
        <v>3</v>
      </c>
      <c r="AI295" s="20">
        <f t="shared" ref="AI295:AI358" si="189">$AI$5*$AI$12</f>
        <v>47</v>
      </c>
      <c r="AJ295" s="20">
        <f t="shared" si="160"/>
        <v>90</v>
      </c>
      <c r="AK295" s="20">
        <f t="shared" si="166"/>
        <v>14</v>
      </c>
      <c r="AL295" s="20">
        <f t="shared" si="161"/>
        <v>45</v>
      </c>
      <c r="AM295" s="20">
        <v>46</v>
      </c>
      <c r="AN295" s="20">
        <f t="shared" si="167"/>
        <v>0.75</v>
      </c>
      <c r="AO295" s="20">
        <f t="shared" si="179"/>
        <v>19</v>
      </c>
      <c r="AP295" s="20">
        <f t="shared" si="179"/>
        <v>19</v>
      </c>
      <c r="AQ295" s="20">
        <f t="shared" si="170"/>
        <v>5</v>
      </c>
      <c r="AR295" s="20">
        <f t="shared" si="156"/>
        <v>120</v>
      </c>
      <c r="AS295" s="20">
        <f t="shared" si="159"/>
        <v>120</v>
      </c>
      <c r="AT295" s="20">
        <f t="shared" si="152"/>
        <v>55</v>
      </c>
      <c r="AU295" s="20"/>
      <c r="AV295" s="20"/>
      <c r="AW295" s="20">
        <f t="shared" si="184"/>
        <v>5276.7500000000009</v>
      </c>
      <c r="AX295" s="86">
        <f t="shared" si="146"/>
        <v>5428.4449999999988</v>
      </c>
      <c r="AY295" s="17">
        <f>'[1]D4 Gallon Forecast'!$Z155/1000000</f>
        <v>0</v>
      </c>
      <c r="AZ295" s="17">
        <f>'[1]D4 Gallon Forecast'!$Z187/1000000</f>
        <v>300.44619391042221</v>
      </c>
      <c r="BA295" s="17">
        <f t="shared" si="149"/>
        <v>300.44619391042221</v>
      </c>
      <c r="BB295" s="17">
        <f>'[1]D4 Gallon Forecast'!$Z171/1000000</f>
        <v>0</v>
      </c>
      <c r="BC295" s="87">
        <f>'[1]D4 Gallon Forecast'!$Z347/1000000</f>
        <v>442.4119633709019</v>
      </c>
      <c r="BD295" s="88">
        <f>'[1]D4 Gallon Forecast'!$Z363/1000000</f>
        <v>0</v>
      </c>
      <c r="BE295" s="88">
        <f t="shared" si="150"/>
        <v>442.4119633709019</v>
      </c>
      <c r="BF295" s="76">
        <f t="shared" si="172"/>
        <v>742.85815728132411</v>
      </c>
      <c r="BG295" s="22">
        <f t="shared" si="176"/>
        <v>1.6649533301444728</v>
      </c>
      <c r="BI295" s="21">
        <f t="shared" si="185"/>
        <v>4702.9000000000005</v>
      </c>
      <c r="BJ295" s="21">
        <f t="shared" si="168"/>
        <v>725.54499999999825</v>
      </c>
      <c r="BK295" s="21">
        <f>'RD Feedstock Breakdown'!ES286</f>
        <v>9824.9527317025131</v>
      </c>
      <c r="BL295" s="89">
        <f t="shared" si="175"/>
        <v>13.225879847182931</v>
      </c>
      <c r="BM295" s="89">
        <f t="shared" si="173"/>
        <v>32.701205509801916</v>
      </c>
    </row>
    <row r="296" spans="1:65" ht="13.5" x14ac:dyDescent="0.25">
      <c r="A296" s="15">
        <v>49157</v>
      </c>
      <c r="B296" s="20">
        <f t="shared" si="174"/>
        <v>690</v>
      </c>
      <c r="C296" s="74">
        <v>47</v>
      </c>
      <c r="D296" s="20">
        <f t="shared" si="163"/>
        <v>3</v>
      </c>
      <c r="E296" s="20">
        <f t="shared" si="178"/>
        <v>85</v>
      </c>
      <c r="F296" s="20">
        <f t="shared" si="148"/>
        <v>340</v>
      </c>
      <c r="G296" s="20">
        <f t="shared" si="162"/>
        <v>37.5</v>
      </c>
      <c r="H296" s="20">
        <f t="shared" si="140"/>
        <v>190</v>
      </c>
      <c r="I296" s="20">
        <f t="shared" si="177"/>
        <v>250</v>
      </c>
      <c r="J296" s="20">
        <f t="shared" si="169"/>
        <v>153.30000000000001</v>
      </c>
      <c r="K296" s="20">
        <f t="shared" si="180"/>
        <v>125</v>
      </c>
      <c r="L296" s="20">
        <v>125</v>
      </c>
      <c r="M296" s="20">
        <v>730</v>
      </c>
      <c r="N296" s="20">
        <f t="shared" si="158"/>
        <v>180</v>
      </c>
      <c r="O296" s="74">
        <v>375</v>
      </c>
      <c r="P296" s="20">
        <f t="shared" si="186"/>
        <v>50</v>
      </c>
      <c r="Q296" s="20">
        <f t="shared" si="187"/>
        <v>21</v>
      </c>
      <c r="R296" s="20">
        <v>100</v>
      </c>
      <c r="S296" s="20">
        <f t="shared" si="142"/>
        <v>60</v>
      </c>
      <c r="T296" s="20">
        <f t="shared" si="181"/>
        <v>36</v>
      </c>
      <c r="U296" s="20"/>
      <c r="V296" s="20">
        <f t="shared" si="154"/>
        <v>0</v>
      </c>
      <c r="W296" s="20">
        <f t="shared" si="188"/>
        <v>20</v>
      </c>
      <c r="X296" s="20">
        <f t="shared" si="171"/>
        <v>0</v>
      </c>
      <c r="Y296" s="20">
        <f t="shared" si="183"/>
        <v>3.5</v>
      </c>
      <c r="Z296" s="20">
        <f t="shared" si="157"/>
        <v>230</v>
      </c>
      <c r="AA296" s="20">
        <f t="shared" si="182"/>
        <v>306</v>
      </c>
      <c r="AB296" s="20">
        <f t="shared" si="144"/>
        <v>60</v>
      </c>
      <c r="AC296" s="20">
        <f t="shared" si="151"/>
        <v>1.6</v>
      </c>
      <c r="AD296" s="20">
        <f t="shared" si="139"/>
        <v>180</v>
      </c>
      <c r="AE296" s="20">
        <f t="shared" si="143"/>
        <v>1.1000000000000001</v>
      </c>
      <c r="AF296" s="20">
        <f t="shared" si="147"/>
        <v>275</v>
      </c>
      <c r="AG296" s="20">
        <f t="shared" si="153"/>
        <v>18</v>
      </c>
      <c r="AH296" s="20">
        <f t="shared" si="145"/>
        <v>3</v>
      </c>
      <c r="AI296" s="20">
        <f t="shared" si="189"/>
        <v>47</v>
      </c>
      <c r="AJ296" s="20">
        <f t="shared" si="160"/>
        <v>90</v>
      </c>
      <c r="AK296" s="20">
        <f t="shared" si="166"/>
        <v>14</v>
      </c>
      <c r="AL296" s="20">
        <f t="shared" si="161"/>
        <v>45</v>
      </c>
      <c r="AM296" s="20">
        <v>46</v>
      </c>
      <c r="AN296" s="20">
        <f t="shared" si="167"/>
        <v>0.75</v>
      </c>
      <c r="AO296" s="20">
        <f t="shared" si="179"/>
        <v>19</v>
      </c>
      <c r="AP296" s="20">
        <f t="shared" si="179"/>
        <v>19</v>
      </c>
      <c r="AQ296" s="20">
        <f t="shared" si="170"/>
        <v>5</v>
      </c>
      <c r="AR296" s="20">
        <f t="shared" si="156"/>
        <v>120</v>
      </c>
      <c r="AS296" s="20">
        <f t="shared" si="159"/>
        <v>120</v>
      </c>
      <c r="AT296" s="20">
        <f t="shared" si="152"/>
        <v>55</v>
      </c>
      <c r="AU296" s="20"/>
      <c r="AV296" s="20"/>
      <c r="AW296" s="20">
        <f t="shared" si="184"/>
        <v>5276.7500000000009</v>
      </c>
      <c r="AX296" s="86">
        <f t="shared" si="146"/>
        <v>5428.4449999999988</v>
      </c>
      <c r="AY296" s="17">
        <f>'[1]D4 Gallon Forecast'!$Z156/1000000</f>
        <v>0</v>
      </c>
      <c r="AZ296" s="17">
        <f>'[1]D4 Gallon Forecast'!$Z188/1000000</f>
        <v>304.74573942761702</v>
      </c>
      <c r="BA296" s="17">
        <f t="shared" si="149"/>
        <v>304.74573942761702</v>
      </c>
      <c r="BB296" s="17">
        <f>'[1]D4 Gallon Forecast'!$Z172/1000000</f>
        <v>0</v>
      </c>
      <c r="BC296" s="87">
        <f>'[1]D4 Gallon Forecast'!$Z348/1000000</f>
        <v>481.70835294362729</v>
      </c>
      <c r="BD296" s="88">
        <f>'[1]D4 Gallon Forecast'!$Z364/1000000</f>
        <v>0</v>
      </c>
      <c r="BE296" s="88">
        <f t="shared" si="150"/>
        <v>481.70835294362729</v>
      </c>
      <c r="BF296" s="76">
        <f t="shared" si="172"/>
        <v>786.45409237124431</v>
      </c>
      <c r="BG296" s="22">
        <f t="shared" si="176"/>
        <v>1.7058039089463255</v>
      </c>
      <c r="BI296" s="21">
        <f t="shared" si="185"/>
        <v>4702.9000000000005</v>
      </c>
      <c r="BJ296" s="21">
        <f t="shared" si="168"/>
        <v>725.54499999999825</v>
      </c>
      <c r="BK296" s="21">
        <f>'RD Feedstock Breakdown'!ES287</f>
        <v>10653.122036452698</v>
      </c>
      <c r="BL296" s="89">
        <f t="shared" si="175"/>
        <v>13.545764641305865</v>
      </c>
      <c r="BM296" s="89">
        <f t="shared" si="173"/>
        <v>34.957410910688118</v>
      </c>
    </row>
    <row r="297" spans="1:65" ht="13.5" x14ac:dyDescent="0.25">
      <c r="A297" s="15">
        <v>49188</v>
      </c>
      <c r="B297" s="20">
        <f t="shared" si="174"/>
        <v>690</v>
      </c>
      <c r="C297" s="74">
        <v>47</v>
      </c>
      <c r="D297" s="20">
        <f t="shared" si="163"/>
        <v>3</v>
      </c>
      <c r="E297" s="20">
        <f t="shared" si="178"/>
        <v>85</v>
      </c>
      <c r="F297" s="20">
        <f t="shared" si="148"/>
        <v>340</v>
      </c>
      <c r="G297" s="20">
        <f t="shared" si="162"/>
        <v>37.5</v>
      </c>
      <c r="H297" s="20">
        <f t="shared" si="140"/>
        <v>190</v>
      </c>
      <c r="I297" s="20">
        <f t="shared" si="177"/>
        <v>250</v>
      </c>
      <c r="J297" s="20">
        <f t="shared" si="169"/>
        <v>153.30000000000001</v>
      </c>
      <c r="K297" s="20">
        <f t="shared" si="180"/>
        <v>125</v>
      </c>
      <c r="L297" s="20">
        <v>125</v>
      </c>
      <c r="M297" s="20">
        <v>730</v>
      </c>
      <c r="N297" s="20">
        <f t="shared" si="158"/>
        <v>180</v>
      </c>
      <c r="O297" s="74">
        <v>375</v>
      </c>
      <c r="P297" s="20">
        <f t="shared" si="186"/>
        <v>50</v>
      </c>
      <c r="Q297" s="20">
        <f t="shared" si="187"/>
        <v>21</v>
      </c>
      <c r="R297" s="20">
        <v>100</v>
      </c>
      <c r="S297" s="20">
        <f t="shared" si="142"/>
        <v>60</v>
      </c>
      <c r="T297" s="20">
        <f t="shared" si="181"/>
        <v>36</v>
      </c>
      <c r="U297" s="20"/>
      <c r="V297" s="20">
        <f t="shared" si="154"/>
        <v>0</v>
      </c>
      <c r="W297" s="20">
        <f t="shared" si="188"/>
        <v>20</v>
      </c>
      <c r="X297" s="20">
        <f t="shared" si="171"/>
        <v>0</v>
      </c>
      <c r="Y297" s="20">
        <f t="shared" si="183"/>
        <v>3.5</v>
      </c>
      <c r="Z297" s="20">
        <f t="shared" si="157"/>
        <v>230</v>
      </c>
      <c r="AA297" s="20">
        <f t="shared" si="182"/>
        <v>306</v>
      </c>
      <c r="AB297" s="20">
        <f t="shared" si="144"/>
        <v>60</v>
      </c>
      <c r="AC297" s="20">
        <f t="shared" si="151"/>
        <v>1.6</v>
      </c>
      <c r="AD297" s="20">
        <f t="shared" ref="AD297:AD360" si="190">150*$AD$12+(50*$AD$12)</f>
        <v>180</v>
      </c>
      <c r="AE297" s="20">
        <f t="shared" si="143"/>
        <v>1.1000000000000001</v>
      </c>
      <c r="AF297" s="20">
        <f t="shared" si="147"/>
        <v>275</v>
      </c>
      <c r="AG297" s="20">
        <f t="shared" si="153"/>
        <v>18</v>
      </c>
      <c r="AH297" s="20">
        <f t="shared" si="145"/>
        <v>3</v>
      </c>
      <c r="AI297" s="20">
        <f t="shared" si="189"/>
        <v>47</v>
      </c>
      <c r="AJ297" s="20">
        <f t="shared" si="160"/>
        <v>90</v>
      </c>
      <c r="AK297" s="20">
        <f t="shared" si="166"/>
        <v>14</v>
      </c>
      <c r="AL297" s="20">
        <f t="shared" si="161"/>
        <v>45</v>
      </c>
      <c r="AM297" s="20">
        <v>46</v>
      </c>
      <c r="AN297" s="20">
        <f t="shared" si="167"/>
        <v>0.75</v>
      </c>
      <c r="AO297" s="20">
        <f t="shared" si="179"/>
        <v>19</v>
      </c>
      <c r="AP297" s="20">
        <f t="shared" si="179"/>
        <v>19</v>
      </c>
      <c r="AQ297" s="20">
        <f t="shared" si="170"/>
        <v>5</v>
      </c>
      <c r="AR297" s="20">
        <f t="shared" si="156"/>
        <v>120</v>
      </c>
      <c r="AS297" s="20">
        <f t="shared" si="159"/>
        <v>120</v>
      </c>
      <c r="AT297" s="20">
        <f t="shared" si="152"/>
        <v>55</v>
      </c>
      <c r="AU297" s="20"/>
      <c r="AV297" s="20"/>
      <c r="AW297" s="20">
        <f t="shared" si="184"/>
        <v>5276.7500000000009</v>
      </c>
      <c r="AX297" s="86">
        <f t="shared" si="146"/>
        <v>5428.4449999999988</v>
      </c>
      <c r="AY297" s="17">
        <f>'[1]D4 Gallon Forecast'!$Z157/1000000</f>
        <v>0</v>
      </c>
      <c r="AZ297" s="17">
        <f>'[1]D4 Gallon Forecast'!$Z189/1000000</f>
        <v>310.2999702932841</v>
      </c>
      <c r="BA297" s="17">
        <f t="shared" si="149"/>
        <v>310.2999702932841</v>
      </c>
      <c r="BB297" s="17">
        <f>'[1]D4 Gallon Forecast'!$Z173/1000000</f>
        <v>0</v>
      </c>
      <c r="BC297" s="87">
        <f>'[1]D4 Gallon Forecast'!$Z349/1000000</f>
        <v>585.99562815935928</v>
      </c>
      <c r="BD297" s="88">
        <f>'[1]D4 Gallon Forecast'!$Z365/1000000</f>
        <v>0</v>
      </c>
      <c r="BE297" s="88">
        <f t="shared" si="150"/>
        <v>585.99562815935928</v>
      </c>
      <c r="BF297" s="76">
        <f t="shared" si="172"/>
        <v>896.29559845264339</v>
      </c>
      <c r="BG297" s="22">
        <f t="shared" si="176"/>
        <v>1.9440480382041023</v>
      </c>
      <c r="BI297" s="21">
        <f t="shared" si="185"/>
        <v>4702.9000000000005</v>
      </c>
      <c r="BJ297" s="21">
        <f t="shared" si="168"/>
        <v>725.54499999999825</v>
      </c>
      <c r="BK297" s="21">
        <f>'RD Feedstock Breakdown'!ES288</f>
        <v>13751.395564548064</v>
      </c>
      <c r="BL297" s="89">
        <f t="shared" si="175"/>
        <v>15.342478071172444</v>
      </c>
      <c r="BM297" s="89">
        <f t="shared" si="173"/>
        <v>44.31645788283754</v>
      </c>
    </row>
    <row r="298" spans="1:65" ht="13.5" x14ac:dyDescent="0.25">
      <c r="A298" s="15">
        <v>49218</v>
      </c>
      <c r="B298" s="20">
        <f t="shared" si="174"/>
        <v>690</v>
      </c>
      <c r="C298" s="74">
        <v>47</v>
      </c>
      <c r="D298" s="20">
        <f t="shared" si="163"/>
        <v>3</v>
      </c>
      <c r="E298" s="20">
        <f t="shared" si="178"/>
        <v>85</v>
      </c>
      <c r="F298" s="20">
        <f t="shared" si="148"/>
        <v>340</v>
      </c>
      <c r="G298" s="20">
        <f t="shared" si="162"/>
        <v>37.5</v>
      </c>
      <c r="H298" s="20">
        <f t="shared" ref="H298:H361" si="191">50+((200*$H$12)*1)</f>
        <v>190</v>
      </c>
      <c r="I298" s="20">
        <f t="shared" si="177"/>
        <v>250</v>
      </c>
      <c r="J298" s="20">
        <f t="shared" si="169"/>
        <v>153.30000000000001</v>
      </c>
      <c r="K298" s="20">
        <f t="shared" si="180"/>
        <v>125</v>
      </c>
      <c r="L298" s="20">
        <v>125</v>
      </c>
      <c r="M298" s="20">
        <v>730</v>
      </c>
      <c r="N298" s="20">
        <f t="shared" si="158"/>
        <v>180</v>
      </c>
      <c r="O298" s="74">
        <v>375</v>
      </c>
      <c r="P298" s="20">
        <f t="shared" si="186"/>
        <v>50</v>
      </c>
      <c r="Q298" s="20">
        <f t="shared" si="187"/>
        <v>21</v>
      </c>
      <c r="R298" s="20">
        <v>100</v>
      </c>
      <c r="S298" s="20">
        <f t="shared" si="142"/>
        <v>60</v>
      </c>
      <c r="T298" s="20">
        <f t="shared" si="181"/>
        <v>36</v>
      </c>
      <c r="U298" s="20"/>
      <c r="V298" s="20">
        <f t="shared" si="154"/>
        <v>0</v>
      </c>
      <c r="W298" s="20">
        <f t="shared" si="188"/>
        <v>20</v>
      </c>
      <c r="X298" s="20">
        <f t="shared" si="171"/>
        <v>0</v>
      </c>
      <c r="Y298" s="20">
        <f t="shared" si="183"/>
        <v>3.5</v>
      </c>
      <c r="Z298" s="20">
        <f t="shared" si="157"/>
        <v>230</v>
      </c>
      <c r="AA298" s="20">
        <f t="shared" si="182"/>
        <v>306</v>
      </c>
      <c r="AB298" s="20">
        <f t="shared" si="144"/>
        <v>60</v>
      </c>
      <c r="AC298" s="20">
        <f t="shared" si="151"/>
        <v>1.6</v>
      </c>
      <c r="AD298" s="20">
        <f t="shared" si="190"/>
        <v>180</v>
      </c>
      <c r="AE298" s="20">
        <f t="shared" si="143"/>
        <v>1.1000000000000001</v>
      </c>
      <c r="AF298" s="20">
        <f t="shared" si="147"/>
        <v>275</v>
      </c>
      <c r="AG298" s="20">
        <f t="shared" si="153"/>
        <v>18</v>
      </c>
      <c r="AH298" s="20">
        <f t="shared" si="145"/>
        <v>3</v>
      </c>
      <c r="AI298" s="20">
        <f t="shared" si="189"/>
        <v>47</v>
      </c>
      <c r="AJ298" s="20">
        <f t="shared" si="160"/>
        <v>90</v>
      </c>
      <c r="AK298" s="20">
        <f t="shared" si="166"/>
        <v>14</v>
      </c>
      <c r="AL298" s="20">
        <f t="shared" si="161"/>
        <v>45</v>
      </c>
      <c r="AM298" s="20">
        <v>46</v>
      </c>
      <c r="AN298" s="20">
        <f t="shared" si="167"/>
        <v>0.75</v>
      </c>
      <c r="AO298" s="20">
        <f t="shared" si="179"/>
        <v>19</v>
      </c>
      <c r="AP298" s="20">
        <f t="shared" si="179"/>
        <v>19</v>
      </c>
      <c r="AQ298" s="20">
        <f t="shared" si="170"/>
        <v>5</v>
      </c>
      <c r="AR298" s="20">
        <f t="shared" si="156"/>
        <v>120</v>
      </c>
      <c r="AS298" s="20">
        <f t="shared" si="159"/>
        <v>120</v>
      </c>
      <c r="AT298" s="20">
        <f t="shared" si="152"/>
        <v>55</v>
      </c>
      <c r="AU298" s="20"/>
      <c r="AV298" s="20"/>
      <c r="AW298" s="20">
        <f t="shared" si="184"/>
        <v>5276.7500000000009</v>
      </c>
      <c r="AX298" s="86">
        <f t="shared" si="146"/>
        <v>5428.4449999999988</v>
      </c>
      <c r="AY298" s="17">
        <f>'[1]D4 Gallon Forecast'!$Z158/1000000</f>
        <v>0</v>
      </c>
      <c r="AZ298" s="17">
        <f>'[1]D4 Gallon Forecast'!$Z190/1000000</f>
        <v>340.97854058942062</v>
      </c>
      <c r="BA298" s="17">
        <f t="shared" si="149"/>
        <v>340.97854058942062</v>
      </c>
      <c r="BB298" s="17">
        <f>'[1]D4 Gallon Forecast'!$Z174/1000000</f>
        <v>0</v>
      </c>
      <c r="BC298" s="87">
        <f>'[1]D4 Gallon Forecast'!$Z350/1000000</f>
        <v>572.11171976345895</v>
      </c>
      <c r="BD298" s="88">
        <f>'[1]D4 Gallon Forecast'!$Z366/1000000</f>
        <v>0</v>
      </c>
      <c r="BE298" s="88">
        <f t="shared" si="150"/>
        <v>572.11171976345895</v>
      </c>
      <c r="BF298" s="76">
        <f t="shared" si="172"/>
        <v>913.09026035287957</v>
      </c>
      <c r="BG298" s="22">
        <f t="shared" si="176"/>
        <v>2.0464911838092439</v>
      </c>
      <c r="BI298" s="21">
        <f t="shared" si="185"/>
        <v>4702.9000000000005</v>
      </c>
      <c r="BJ298" s="21">
        <f t="shared" si="168"/>
        <v>725.54499999999825</v>
      </c>
      <c r="BK298" s="21">
        <f>'RD Feedstock Breakdown'!ES289</f>
        <v>14814.907059080093</v>
      </c>
      <c r="BL298" s="89">
        <f t="shared" si="175"/>
        <v>16.225019258615916</v>
      </c>
      <c r="BM298" s="89">
        <f t="shared" si="173"/>
        <v>43.448209478141415</v>
      </c>
    </row>
    <row r="299" spans="1:65" ht="13.5" x14ac:dyDescent="0.25">
      <c r="A299" s="15">
        <v>49249</v>
      </c>
      <c r="B299" s="20">
        <f t="shared" si="174"/>
        <v>690</v>
      </c>
      <c r="C299" s="74">
        <v>47</v>
      </c>
      <c r="D299" s="20">
        <f t="shared" si="163"/>
        <v>3</v>
      </c>
      <c r="E299" s="20">
        <f t="shared" si="178"/>
        <v>85</v>
      </c>
      <c r="F299" s="20">
        <f t="shared" si="148"/>
        <v>340</v>
      </c>
      <c r="G299" s="20">
        <f t="shared" si="162"/>
        <v>37.5</v>
      </c>
      <c r="H299" s="20">
        <f t="shared" si="191"/>
        <v>190</v>
      </c>
      <c r="I299" s="20">
        <f t="shared" si="177"/>
        <v>250</v>
      </c>
      <c r="J299" s="20">
        <f t="shared" si="169"/>
        <v>153.30000000000001</v>
      </c>
      <c r="K299" s="20">
        <f t="shared" si="180"/>
        <v>125</v>
      </c>
      <c r="L299" s="20">
        <v>125</v>
      </c>
      <c r="M299" s="20">
        <v>730</v>
      </c>
      <c r="N299" s="20">
        <f t="shared" si="158"/>
        <v>180</v>
      </c>
      <c r="O299" s="74">
        <v>375</v>
      </c>
      <c r="P299" s="20">
        <f t="shared" si="186"/>
        <v>50</v>
      </c>
      <c r="Q299" s="20">
        <f t="shared" si="187"/>
        <v>21</v>
      </c>
      <c r="R299" s="20">
        <v>100</v>
      </c>
      <c r="S299" s="20">
        <f t="shared" si="142"/>
        <v>60</v>
      </c>
      <c r="T299" s="20">
        <f t="shared" si="181"/>
        <v>36</v>
      </c>
      <c r="U299" s="20"/>
      <c r="V299" s="20">
        <f t="shared" si="154"/>
        <v>0</v>
      </c>
      <c r="W299" s="20">
        <f t="shared" si="188"/>
        <v>20</v>
      </c>
      <c r="X299" s="20">
        <f t="shared" si="171"/>
        <v>0</v>
      </c>
      <c r="Y299" s="20">
        <f t="shared" si="183"/>
        <v>3.5</v>
      </c>
      <c r="Z299" s="20">
        <f t="shared" si="157"/>
        <v>230</v>
      </c>
      <c r="AA299" s="20">
        <f t="shared" si="182"/>
        <v>306</v>
      </c>
      <c r="AB299" s="20">
        <f t="shared" si="144"/>
        <v>60</v>
      </c>
      <c r="AC299" s="20">
        <f t="shared" si="151"/>
        <v>1.6</v>
      </c>
      <c r="AD299" s="20">
        <f t="shared" si="190"/>
        <v>180</v>
      </c>
      <c r="AE299" s="20">
        <f t="shared" si="143"/>
        <v>1.1000000000000001</v>
      </c>
      <c r="AF299" s="20">
        <f t="shared" si="147"/>
        <v>275</v>
      </c>
      <c r="AG299" s="20">
        <f t="shared" si="153"/>
        <v>18</v>
      </c>
      <c r="AH299" s="20">
        <f t="shared" si="145"/>
        <v>3</v>
      </c>
      <c r="AI299" s="20">
        <f t="shared" si="189"/>
        <v>47</v>
      </c>
      <c r="AJ299" s="20">
        <f t="shared" si="160"/>
        <v>90</v>
      </c>
      <c r="AK299" s="20">
        <f t="shared" si="166"/>
        <v>14</v>
      </c>
      <c r="AL299" s="20">
        <f t="shared" si="161"/>
        <v>45</v>
      </c>
      <c r="AM299" s="20">
        <v>46</v>
      </c>
      <c r="AN299" s="20">
        <f t="shared" si="167"/>
        <v>0.75</v>
      </c>
      <c r="AO299" s="20">
        <f t="shared" si="179"/>
        <v>19</v>
      </c>
      <c r="AP299" s="20">
        <f t="shared" si="179"/>
        <v>19</v>
      </c>
      <c r="AQ299" s="20">
        <f t="shared" si="170"/>
        <v>5</v>
      </c>
      <c r="AR299" s="20">
        <f t="shared" si="156"/>
        <v>120</v>
      </c>
      <c r="AS299" s="20">
        <f t="shared" si="159"/>
        <v>120</v>
      </c>
      <c r="AT299" s="20">
        <f t="shared" si="152"/>
        <v>55</v>
      </c>
      <c r="AU299" s="20"/>
      <c r="AV299" s="20"/>
      <c r="AW299" s="20">
        <f t="shared" si="184"/>
        <v>5276.7500000000009</v>
      </c>
      <c r="AX299" s="86">
        <f t="shared" si="146"/>
        <v>5428.4449999999988</v>
      </c>
      <c r="AY299" s="17">
        <f>'[1]D4 Gallon Forecast'!$Z159/1000000</f>
        <v>0</v>
      </c>
      <c r="AZ299" s="17">
        <f>'[1]D4 Gallon Forecast'!$Z191/1000000</f>
        <v>414.28137580490147</v>
      </c>
      <c r="BA299" s="17">
        <f t="shared" si="149"/>
        <v>414.28137580490147</v>
      </c>
      <c r="BB299" s="17">
        <f>'[1]D4 Gallon Forecast'!$Z175/1000000</f>
        <v>0</v>
      </c>
      <c r="BC299" s="87">
        <f>'[1]D4 Gallon Forecast'!$Z351/1000000</f>
        <v>495.14602060505655</v>
      </c>
      <c r="BD299" s="88">
        <f>'[1]D4 Gallon Forecast'!$Z367/1000000</f>
        <v>0</v>
      </c>
      <c r="BE299" s="88">
        <f t="shared" si="150"/>
        <v>495.14602060505655</v>
      </c>
      <c r="BF299" s="76">
        <f t="shared" si="172"/>
        <v>909.42739640995796</v>
      </c>
      <c r="BG299" s="22">
        <f t="shared" si="176"/>
        <v>1.9725306572207333</v>
      </c>
      <c r="BI299" s="21">
        <f t="shared" si="185"/>
        <v>4702.9000000000005</v>
      </c>
      <c r="BJ299" s="21">
        <f t="shared" si="168"/>
        <v>725.54499999999825</v>
      </c>
      <c r="BK299" s="21">
        <f>'RD Feedstock Breakdown'!ES290</f>
        <v>14222.211664645392</v>
      </c>
      <c r="BL299" s="89">
        <f t="shared" si="175"/>
        <v>15.638644405027584</v>
      </c>
      <c r="BM299" s="89">
        <f t="shared" si="173"/>
        <v>34.329835940641203</v>
      </c>
    </row>
    <row r="300" spans="1:65" ht="13.5" x14ac:dyDescent="0.25">
      <c r="A300" s="15">
        <v>49279</v>
      </c>
      <c r="B300" s="20">
        <f t="shared" si="174"/>
        <v>690</v>
      </c>
      <c r="C300" s="74">
        <v>47</v>
      </c>
      <c r="D300" s="20">
        <f t="shared" si="163"/>
        <v>3</v>
      </c>
      <c r="E300" s="20">
        <f t="shared" si="178"/>
        <v>85</v>
      </c>
      <c r="F300" s="20">
        <f t="shared" si="148"/>
        <v>340</v>
      </c>
      <c r="G300" s="20">
        <f t="shared" si="162"/>
        <v>37.5</v>
      </c>
      <c r="H300" s="20">
        <f t="shared" si="191"/>
        <v>190</v>
      </c>
      <c r="I300" s="20">
        <f t="shared" si="177"/>
        <v>250</v>
      </c>
      <c r="J300" s="20">
        <f t="shared" si="169"/>
        <v>153.30000000000001</v>
      </c>
      <c r="K300" s="20">
        <f t="shared" si="180"/>
        <v>125</v>
      </c>
      <c r="L300" s="20">
        <v>125</v>
      </c>
      <c r="M300" s="20">
        <v>730</v>
      </c>
      <c r="N300" s="20">
        <f t="shared" si="158"/>
        <v>180</v>
      </c>
      <c r="O300" s="74">
        <v>375</v>
      </c>
      <c r="P300" s="20">
        <f t="shared" si="186"/>
        <v>50</v>
      </c>
      <c r="Q300" s="20">
        <f t="shared" si="187"/>
        <v>21</v>
      </c>
      <c r="R300" s="20">
        <v>100</v>
      </c>
      <c r="S300" s="20">
        <f t="shared" si="142"/>
        <v>60</v>
      </c>
      <c r="T300" s="20">
        <f t="shared" si="181"/>
        <v>36</v>
      </c>
      <c r="U300" s="20"/>
      <c r="V300" s="20">
        <f t="shared" si="154"/>
        <v>0</v>
      </c>
      <c r="W300" s="20">
        <f t="shared" si="188"/>
        <v>20</v>
      </c>
      <c r="X300" s="20">
        <f t="shared" si="171"/>
        <v>0</v>
      </c>
      <c r="Y300" s="20">
        <f t="shared" si="183"/>
        <v>3.5</v>
      </c>
      <c r="Z300" s="20">
        <f t="shared" si="157"/>
        <v>230</v>
      </c>
      <c r="AA300" s="20">
        <f t="shared" si="182"/>
        <v>306</v>
      </c>
      <c r="AB300" s="20">
        <f t="shared" si="144"/>
        <v>60</v>
      </c>
      <c r="AC300" s="20">
        <f t="shared" si="151"/>
        <v>1.6</v>
      </c>
      <c r="AD300" s="20">
        <f t="shared" si="190"/>
        <v>180</v>
      </c>
      <c r="AE300" s="20">
        <f t="shared" si="143"/>
        <v>1.1000000000000001</v>
      </c>
      <c r="AF300" s="20">
        <f t="shared" si="147"/>
        <v>275</v>
      </c>
      <c r="AG300" s="20">
        <f t="shared" si="153"/>
        <v>18</v>
      </c>
      <c r="AH300" s="20">
        <f t="shared" si="145"/>
        <v>3</v>
      </c>
      <c r="AI300" s="20">
        <f t="shared" si="189"/>
        <v>47</v>
      </c>
      <c r="AJ300" s="20">
        <f t="shared" si="160"/>
        <v>90</v>
      </c>
      <c r="AK300" s="20">
        <f t="shared" si="166"/>
        <v>14</v>
      </c>
      <c r="AL300" s="20">
        <f t="shared" si="161"/>
        <v>45</v>
      </c>
      <c r="AM300" s="20">
        <v>46</v>
      </c>
      <c r="AN300" s="20">
        <f t="shared" si="167"/>
        <v>0.75</v>
      </c>
      <c r="AO300" s="20">
        <f t="shared" si="179"/>
        <v>19</v>
      </c>
      <c r="AP300" s="20">
        <f t="shared" si="179"/>
        <v>19</v>
      </c>
      <c r="AQ300" s="20">
        <f t="shared" si="170"/>
        <v>5</v>
      </c>
      <c r="AR300" s="20">
        <f t="shared" si="156"/>
        <v>120</v>
      </c>
      <c r="AS300" s="20">
        <f t="shared" si="159"/>
        <v>120</v>
      </c>
      <c r="AT300" s="20">
        <f t="shared" si="152"/>
        <v>55</v>
      </c>
      <c r="AU300" s="20"/>
      <c r="AV300" s="20"/>
      <c r="AW300" s="20">
        <f t="shared" si="184"/>
        <v>5276.7500000000009</v>
      </c>
      <c r="AX300" s="86">
        <f t="shared" si="146"/>
        <v>5428.4449999999988</v>
      </c>
      <c r="AY300" s="17">
        <f>'[1]D4 Gallon Forecast'!$Z160/1000000</f>
        <v>0</v>
      </c>
      <c r="AZ300" s="17">
        <f>'[1]D4 Gallon Forecast'!$Z192/1000000</f>
        <v>470.07296679722594</v>
      </c>
      <c r="BA300" s="17">
        <f t="shared" si="149"/>
        <v>470.07296679722594</v>
      </c>
      <c r="BB300" s="17">
        <f>'[1]D4 Gallon Forecast'!$Z176/1000000</f>
        <v>0</v>
      </c>
      <c r="BC300" s="87">
        <f>'[1]D4 Gallon Forecast'!$Z352/1000000</f>
        <v>444.93008194314382</v>
      </c>
      <c r="BD300" s="88">
        <f>'[1]D4 Gallon Forecast'!$Z368/1000000</f>
        <v>0</v>
      </c>
      <c r="BE300" s="88">
        <f t="shared" si="150"/>
        <v>444.93008194314382</v>
      </c>
      <c r="BF300" s="76">
        <f t="shared" si="172"/>
        <v>915.00304874036976</v>
      </c>
      <c r="BG300" s="22">
        <f t="shared" si="176"/>
        <v>2.0507782786797759</v>
      </c>
      <c r="BI300" s="21">
        <f t="shared" si="185"/>
        <v>4702.9000000000005</v>
      </c>
      <c r="BJ300" s="21">
        <f t="shared" si="168"/>
        <v>725.54499999999825</v>
      </c>
      <c r="BK300" s="21">
        <f>'RD Feedstock Breakdown'!ES291</f>
        <v>14877.042129701436</v>
      </c>
      <c r="BL300" s="89">
        <f t="shared" si="175"/>
        <v>16.259008262520847</v>
      </c>
      <c r="BM300" s="89">
        <f t="shared" si="173"/>
        <v>31.648367765251439</v>
      </c>
    </row>
    <row r="301" spans="1:65" ht="13.5" x14ac:dyDescent="0.25">
      <c r="A301" s="15">
        <v>49310</v>
      </c>
      <c r="B301" s="20">
        <f t="shared" si="174"/>
        <v>690</v>
      </c>
      <c r="C301" s="74">
        <v>47</v>
      </c>
      <c r="D301" s="20">
        <f t="shared" si="163"/>
        <v>3</v>
      </c>
      <c r="E301" s="20">
        <f t="shared" si="178"/>
        <v>85</v>
      </c>
      <c r="F301" s="20">
        <f t="shared" si="148"/>
        <v>340</v>
      </c>
      <c r="G301" s="20">
        <f t="shared" si="162"/>
        <v>37.5</v>
      </c>
      <c r="H301" s="20">
        <f t="shared" si="191"/>
        <v>190</v>
      </c>
      <c r="I301" s="20">
        <f t="shared" si="177"/>
        <v>250</v>
      </c>
      <c r="J301" s="20">
        <f t="shared" si="169"/>
        <v>153.30000000000001</v>
      </c>
      <c r="K301" s="20">
        <f t="shared" si="180"/>
        <v>125</v>
      </c>
      <c r="L301" s="20">
        <v>125</v>
      </c>
      <c r="M301" s="20">
        <v>730</v>
      </c>
      <c r="N301" s="20">
        <f t="shared" si="158"/>
        <v>180</v>
      </c>
      <c r="O301" s="74">
        <v>375</v>
      </c>
      <c r="P301" s="20">
        <f t="shared" si="186"/>
        <v>50</v>
      </c>
      <c r="Q301" s="20">
        <f t="shared" si="187"/>
        <v>21</v>
      </c>
      <c r="R301" s="20">
        <v>100</v>
      </c>
      <c r="S301" s="20">
        <f t="shared" si="142"/>
        <v>60</v>
      </c>
      <c r="T301" s="20">
        <f t="shared" si="181"/>
        <v>36</v>
      </c>
      <c r="U301" s="20"/>
      <c r="V301" s="20">
        <f t="shared" si="154"/>
        <v>0</v>
      </c>
      <c r="W301" s="20">
        <f t="shared" si="188"/>
        <v>20</v>
      </c>
      <c r="X301" s="20">
        <f t="shared" si="171"/>
        <v>0</v>
      </c>
      <c r="Y301" s="20">
        <f t="shared" si="183"/>
        <v>3.5</v>
      </c>
      <c r="Z301" s="20">
        <f t="shared" si="157"/>
        <v>230</v>
      </c>
      <c r="AA301" s="20">
        <f t="shared" si="182"/>
        <v>306</v>
      </c>
      <c r="AB301" s="20">
        <f t="shared" si="144"/>
        <v>60</v>
      </c>
      <c r="AC301" s="20">
        <f t="shared" si="151"/>
        <v>1.6</v>
      </c>
      <c r="AD301" s="20">
        <f t="shared" si="190"/>
        <v>180</v>
      </c>
      <c r="AE301" s="20">
        <f t="shared" si="143"/>
        <v>1.1000000000000001</v>
      </c>
      <c r="AF301" s="20">
        <f t="shared" si="147"/>
        <v>275</v>
      </c>
      <c r="AG301" s="20">
        <f t="shared" si="153"/>
        <v>18</v>
      </c>
      <c r="AH301" s="20">
        <f t="shared" si="145"/>
        <v>3</v>
      </c>
      <c r="AI301" s="20">
        <f t="shared" si="189"/>
        <v>47</v>
      </c>
      <c r="AJ301" s="20">
        <f t="shared" si="160"/>
        <v>90</v>
      </c>
      <c r="AK301" s="20">
        <f t="shared" si="166"/>
        <v>14</v>
      </c>
      <c r="AL301" s="20">
        <f t="shared" si="161"/>
        <v>45</v>
      </c>
      <c r="AM301" s="20">
        <v>46</v>
      </c>
      <c r="AN301" s="20">
        <f t="shared" si="167"/>
        <v>0.75</v>
      </c>
      <c r="AO301" s="20">
        <f t="shared" si="179"/>
        <v>19</v>
      </c>
      <c r="AP301" s="20">
        <f t="shared" si="179"/>
        <v>19</v>
      </c>
      <c r="AQ301" s="20">
        <f t="shared" si="170"/>
        <v>5</v>
      </c>
      <c r="AR301" s="20">
        <f t="shared" si="156"/>
        <v>120</v>
      </c>
      <c r="AS301" s="20">
        <f t="shared" si="159"/>
        <v>120</v>
      </c>
      <c r="AT301" s="20">
        <f t="shared" si="152"/>
        <v>55</v>
      </c>
      <c r="AU301" s="20"/>
      <c r="AV301" s="20"/>
      <c r="AW301" s="20">
        <f t="shared" si="184"/>
        <v>5276.7500000000009</v>
      </c>
      <c r="AX301" s="86">
        <f t="shared" si="146"/>
        <v>5428.4449999999988</v>
      </c>
      <c r="AY301" s="17">
        <f>'[1]D4 Gallon Forecast'!$AA149/1000000</f>
        <v>0</v>
      </c>
      <c r="AZ301" s="17">
        <f>'[1]D4 Gallon Forecast'!$AA181/1000000</f>
        <v>260.09453044331792</v>
      </c>
      <c r="BA301" s="17">
        <f t="shared" si="149"/>
        <v>260.09453044331792</v>
      </c>
      <c r="BB301" s="17">
        <f>'[1]D4 Gallon Forecast'!$AA165/1000000</f>
        <v>0</v>
      </c>
      <c r="BC301" s="87">
        <f>'[1]D4 Gallon Forecast'!$AA341/1000000</f>
        <v>278.35862171511189</v>
      </c>
      <c r="BD301" s="88">
        <f>'[1]D4 Gallon Forecast'!$AA357/1000000</f>
        <v>0</v>
      </c>
      <c r="BE301" s="88">
        <f t="shared" si="150"/>
        <v>278.35862171511189</v>
      </c>
      <c r="BF301" s="76">
        <f t="shared" si="172"/>
        <v>538.45315215842982</v>
      </c>
      <c r="BG301" s="22">
        <f t="shared" si="176"/>
        <v>1.1678946052235</v>
      </c>
      <c r="BI301" s="21">
        <f t="shared" si="185"/>
        <v>4702.9000000000005</v>
      </c>
      <c r="BJ301" s="21">
        <f t="shared" si="168"/>
        <v>725.54499999999825</v>
      </c>
      <c r="BK301" s="21">
        <f>'RD Feedstock Breakdown'!ES292</f>
        <v>4985.7089130776976</v>
      </c>
      <c r="BL301" s="89">
        <f t="shared" si="175"/>
        <v>9.2593179055450037</v>
      </c>
      <c r="BM301" s="89">
        <f t="shared" si="173"/>
        <v>19.168834133419914</v>
      </c>
    </row>
    <row r="302" spans="1:65" ht="13.5" x14ac:dyDescent="0.25">
      <c r="A302" s="15">
        <v>49341</v>
      </c>
      <c r="B302" s="20">
        <f t="shared" si="174"/>
        <v>690</v>
      </c>
      <c r="C302" s="74">
        <v>47</v>
      </c>
      <c r="D302" s="20">
        <f t="shared" si="163"/>
        <v>3</v>
      </c>
      <c r="E302" s="20">
        <f t="shared" si="178"/>
        <v>85</v>
      </c>
      <c r="F302" s="20">
        <f t="shared" si="148"/>
        <v>340</v>
      </c>
      <c r="G302" s="20">
        <f t="shared" si="162"/>
        <v>37.5</v>
      </c>
      <c r="H302" s="20">
        <f t="shared" si="191"/>
        <v>190</v>
      </c>
      <c r="I302" s="20">
        <f t="shared" si="177"/>
        <v>250</v>
      </c>
      <c r="J302" s="20">
        <f t="shared" si="169"/>
        <v>153.30000000000001</v>
      </c>
      <c r="K302" s="20">
        <f t="shared" si="180"/>
        <v>125</v>
      </c>
      <c r="L302" s="20">
        <v>125</v>
      </c>
      <c r="M302" s="20">
        <v>730</v>
      </c>
      <c r="N302" s="20">
        <f t="shared" si="158"/>
        <v>180</v>
      </c>
      <c r="O302" s="74">
        <v>375</v>
      </c>
      <c r="P302" s="20">
        <f t="shared" si="186"/>
        <v>50</v>
      </c>
      <c r="Q302" s="20">
        <f t="shared" si="187"/>
        <v>21</v>
      </c>
      <c r="R302" s="20">
        <v>100</v>
      </c>
      <c r="S302" s="20">
        <f t="shared" ref="S302:S365" si="192">150*$S$12</f>
        <v>60</v>
      </c>
      <c r="T302" s="20">
        <f t="shared" si="181"/>
        <v>36</v>
      </c>
      <c r="U302" s="20"/>
      <c r="V302" s="20">
        <f t="shared" si="154"/>
        <v>0</v>
      </c>
      <c r="W302" s="20">
        <f t="shared" si="188"/>
        <v>20</v>
      </c>
      <c r="X302" s="20">
        <f t="shared" si="171"/>
        <v>0</v>
      </c>
      <c r="Y302" s="20">
        <f t="shared" si="183"/>
        <v>3.5</v>
      </c>
      <c r="Z302" s="20">
        <f t="shared" si="157"/>
        <v>230</v>
      </c>
      <c r="AA302" s="20">
        <f t="shared" si="182"/>
        <v>306</v>
      </c>
      <c r="AB302" s="20">
        <f t="shared" si="144"/>
        <v>60</v>
      </c>
      <c r="AC302" s="20">
        <f t="shared" si="151"/>
        <v>1.6</v>
      </c>
      <c r="AD302" s="20">
        <f t="shared" si="190"/>
        <v>180</v>
      </c>
      <c r="AE302" s="20">
        <f t="shared" si="143"/>
        <v>1.1000000000000001</v>
      </c>
      <c r="AF302" s="20">
        <f t="shared" si="147"/>
        <v>275</v>
      </c>
      <c r="AG302" s="20">
        <f t="shared" si="153"/>
        <v>18</v>
      </c>
      <c r="AH302" s="20">
        <f t="shared" si="145"/>
        <v>3</v>
      </c>
      <c r="AI302" s="20">
        <f t="shared" si="189"/>
        <v>47</v>
      </c>
      <c r="AJ302" s="20">
        <f t="shared" si="160"/>
        <v>90</v>
      </c>
      <c r="AK302" s="20">
        <f t="shared" si="166"/>
        <v>14</v>
      </c>
      <c r="AL302" s="20">
        <f t="shared" si="161"/>
        <v>45</v>
      </c>
      <c r="AM302" s="20">
        <v>46</v>
      </c>
      <c r="AN302" s="20">
        <f t="shared" si="167"/>
        <v>0.75</v>
      </c>
      <c r="AO302" s="20">
        <f t="shared" si="179"/>
        <v>19</v>
      </c>
      <c r="AP302" s="20">
        <f t="shared" si="179"/>
        <v>19</v>
      </c>
      <c r="AQ302" s="20">
        <f t="shared" si="170"/>
        <v>5</v>
      </c>
      <c r="AR302" s="20">
        <f t="shared" si="156"/>
        <v>120</v>
      </c>
      <c r="AS302" s="20">
        <f t="shared" si="159"/>
        <v>120</v>
      </c>
      <c r="AT302" s="20">
        <f t="shared" si="152"/>
        <v>55</v>
      </c>
      <c r="AU302" s="20"/>
      <c r="AV302" s="20"/>
      <c r="AW302" s="20">
        <f t="shared" si="184"/>
        <v>5276.7500000000009</v>
      </c>
      <c r="AX302" s="86">
        <f t="shared" si="146"/>
        <v>5428.4449999999988</v>
      </c>
      <c r="AY302" s="17">
        <f>'[1]D4 Gallon Forecast'!$AA150/1000000</f>
        <v>0</v>
      </c>
      <c r="AZ302" s="17">
        <f>'[1]D4 Gallon Forecast'!$AA182/1000000</f>
        <v>286.80663608712399</v>
      </c>
      <c r="BA302" s="17">
        <f t="shared" si="149"/>
        <v>286.80663608712399</v>
      </c>
      <c r="BB302" s="17">
        <f>'[1]D4 Gallon Forecast'!$AA166/1000000</f>
        <v>0</v>
      </c>
      <c r="BC302" s="87">
        <f>'[1]D4 Gallon Forecast'!$AA342/1000000</f>
        <v>528.32834224558314</v>
      </c>
      <c r="BD302" s="88">
        <f>'[1]D4 Gallon Forecast'!$AA358/1000000</f>
        <v>0</v>
      </c>
      <c r="BE302" s="88">
        <f t="shared" si="150"/>
        <v>528.32834224558314</v>
      </c>
      <c r="BF302" s="76">
        <f t="shared" si="172"/>
        <v>815.13497833270708</v>
      </c>
      <c r="BG302" s="22">
        <f t="shared" si="176"/>
        <v>1.7680122029328138</v>
      </c>
      <c r="BI302" s="21">
        <f t="shared" si="185"/>
        <v>4702.9000000000005</v>
      </c>
      <c r="BJ302" s="21">
        <f t="shared" si="168"/>
        <v>725.54499999999825</v>
      </c>
      <c r="BK302" s="21">
        <f>'RD Feedstock Breakdown'!ES293</f>
        <v>11425.892421156725</v>
      </c>
      <c r="BL302" s="89">
        <f t="shared" si="175"/>
        <v>14.017178412006643</v>
      </c>
      <c r="BM302" s="89">
        <f t="shared" si="173"/>
        <v>39.83831258941251</v>
      </c>
    </row>
    <row r="303" spans="1:65" ht="13.5" x14ac:dyDescent="0.25">
      <c r="A303" s="15">
        <v>49369</v>
      </c>
      <c r="B303" s="20">
        <f t="shared" si="174"/>
        <v>690</v>
      </c>
      <c r="C303" s="74">
        <v>47</v>
      </c>
      <c r="D303" s="20">
        <f t="shared" si="163"/>
        <v>3</v>
      </c>
      <c r="E303" s="20">
        <f t="shared" si="178"/>
        <v>85</v>
      </c>
      <c r="F303" s="20">
        <f t="shared" si="148"/>
        <v>340</v>
      </c>
      <c r="G303" s="20">
        <f t="shared" si="162"/>
        <v>37.5</v>
      </c>
      <c r="H303" s="20">
        <f t="shared" si="191"/>
        <v>190</v>
      </c>
      <c r="I303" s="20">
        <f t="shared" si="177"/>
        <v>250</v>
      </c>
      <c r="J303" s="20">
        <f t="shared" si="169"/>
        <v>153.30000000000001</v>
      </c>
      <c r="K303" s="20">
        <f t="shared" si="180"/>
        <v>125</v>
      </c>
      <c r="L303" s="20">
        <v>125</v>
      </c>
      <c r="M303" s="20">
        <v>730</v>
      </c>
      <c r="N303" s="20">
        <f t="shared" si="158"/>
        <v>180</v>
      </c>
      <c r="O303" s="74">
        <v>375</v>
      </c>
      <c r="P303" s="20">
        <f t="shared" si="186"/>
        <v>50</v>
      </c>
      <c r="Q303" s="20">
        <f t="shared" si="187"/>
        <v>21</v>
      </c>
      <c r="R303" s="20">
        <v>100</v>
      </c>
      <c r="S303" s="20">
        <f t="shared" si="192"/>
        <v>60</v>
      </c>
      <c r="T303" s="20">
        <f t="shared" si="181"/>
        <v>36</v>
      </c>
      <c r="U303" s="20"/>
      <c r="V303" s="20">
        <f t="shared" si="154"/>
        <v>0</v>
      </c>
      <c r="W303" s="20">
        <f t="shared" si="188"/>
        <v>20</v>
      </c>
      <c r="X303" s="20">
        <f t="shared" si="171"/>
        <v>0</v>
      </c>
      <c r="Y303" s="20">
        <f t="shared" si="183"/>
        <v>3.5</v>
      </c>
      <c r="Z303" s="20">
        <f t="shared" si="157"/>
        <v>230</v>
      </c>
      <c r="AA303" s="20">
        <f t="shared" si="182"/>
        <v>306</v>
      </c>
      <c r="AB303" s="20">
        <f t="shared" si="144"/>
        <v>60</v>
      </c>
      <c r="AC303" s="20">
        <f t="shared" si="151"/>
        <v>1.6</v>
      </c>
      <c r="AD303" s="20">
        <f t="shared" si="190"/>
        <v>180</v>
      </c>
      <c r="AE303" s="20">
        <f t="shared" ref="AE303:AE366" si="193">55*$AE$12+(55*$AE$12)</f>
        <v>1.1000000000000001</v>
      </c>
      <c r="AF303" s="20">
        <f t="shared" si="147"/>
        <v>275</v>
      </c>
      <c r="AG303" s="20">
        <f t="shared" si="153"/>
        <v>18</v>
      </c>
      <c r="AH303" s="20">
        <f t="shared" si="145"/>
        <v>3</v>
      </c>
      <c r="AI303" s="20">
        <f t="shared" si="189"/>
        <v>47</v>
      </c>
      <c r="AJ303" s="20">
        <f t="shared" si="160"/>
        <v>90</v>
      </c>
      <c r="AK303" s="20">
        <f t="shared" si="166"/>
        <v>14</v>
      </c>
      <c r="AL303" s="20">
        <f t="shared" si="161"/>
        <v>45</v>
      </c>
      <c r="AM303" s="20">
        <v>46</v>
      </c>
      <c r="AN303" s="20">
        <f t="shared" si="167"/>
        <v>0.75</v>
      </c>
      <c r="AO303" s="20">
        <f t="shared" si="179"/>
        <v>19</v>
      </c>
      <c r="AP303" s="20">
        <f t="shared" si="179"/>
        <v>19</v>
      </c>
      <c r="AQ303" s="20">
        <f t="shared" si="170"/>
        <v>5</v>
      </c>
      <c r="AR303" s="20">
        <f t="shared" si="156"/>
        <v>120</v>
      </c>
      <c r="AS303" s="20">
        <f t="shared" si="159"/>
        <v>120</v>
      </c>
      <c r="AT303" s="20">
        <f t="shared" si="152"/>
        <v>55</v>
      </c>
      <c r="AU303" s="20"/>
      <c r="AV303" s="20"/>
      <c r="AW303" s="20">
        <f t="shared" si="184"/>
        <v>5276.7500000000009</v>
      </c>
      <c r="AX303" s="86">
        <f t="shared" si="146"/>
        <v>5428.4449999999988</v>
      </c>
      <c r="AY303" s="17">
        <f>'[1]D4 Gallon Forecast'!$AA151/1000000</f>
        <v>0</v>
      </c>
      <c r="AZ303" s="17">
        <f>'[1]D4 Gallon Forecast'!$AA183/1000000</f>
        <v>302.08160994354802</v>
      </c>
      <c r="BA303" s="17">
        <f t="shared" si="149"/>
        <v>302.08160994354802</v>
      </c>
      <c r="BB303" s="17">
        <f>'[1]D4 Gallon Forecast'!$AA167/1000000</f>
        <v>0</v>
      </c>
      <c r="BC303" s="87">
        <f>'[1]D4 Gallon Forecast'!$AA343/1000000</f>
        <v>210.79240077562943</v>
      </c>
      <c r="BD303" s="88">
        <f>'[1]D4 Gallon Forecast'!$AA359/1000000</f>
        <v>0</v>
      </c>
      <c r="BE303" s="88">
        <f t="shared" si="150"/>
        <v>210.79240077562943</v>
      </c>
      <c r="BF303" s="76">
        <f t="shared" si="172"/>
        <v>512.87401071917748</v>
      </c>
      <c r="BG303" s="22">
        <f t="shared" si="176"/>
        <v>1.2316011432930729</v>
      </c>
      <c r="BI303" s="21">
        <f t="shared" si="185"/>
        <v>4702.9000000000005</v>
      </c>
      <c r="BJ303" s="21">
        <f t="shared" si="168"/>
        <v>725.54499999999825</v>
      </c>
      <c r="BK303" s="21">
        <f>'RD Feedstock Breakdown'!ES294</f>
        <v>5007.9054248664916</v>
      </c>
      <c r="BL303" s="89">
        <f t="shared" si="175"/>
        <v>9.7643969477887111</v>
      </c>
      <c r="BM303" s="89">
        <f t="shared" si="173"/>
        <v>16.577988397911252</v>
      </c>
    </row>
    <row r="304" spans="1:65" ht="13.5" x14ac:dyDescent="0.25">
      <c r="A304" s="15">
        <v>49400</v>
      </c>
      <c r="B304" s="20">
        <f t="shared" si="174"/>
        <v>690</v>
      </c>
      <c r="C304" s="74">
        <v>47</v>
      </c>
      <c r="D304" s="20">
        <f t="shared" si="163"/>
        <v>3</v>
      </c>
      <c r="E304" s="20">
        <f t="shared" si="178"/>
        <v>85</v>
      </c>
      <c r="F304" s="20">
        <f t="shared" si="148"/>
        <v>340</v>
      </c>
      <c r="G304" s="20">
        <f t="shared" si="162"/>
        <v>37.5</v>
      </c>
      <c r="H304" s="20">
        <f t="shared" si="191"/>
        <v>190</v>
      </c>
      <c r="I304" s="20">
        <f t="shared" si="177"/>
        <v>250</v>
      </c>
      <c r="J304" s="20">
        <f t="shared" si="169"/>
        <v>153.30000000000001</v>
      </c>
      <c r="K304" s="20">
        <f t="shared" si="180"/>
        <v>125</v>
      </c>
      <c r="L304" s="20">
        <v>125</v>
      </c>
      <c r="M304" s="20">
        <v>730</v>
      </c>
      <c r="N304" s="20">
        <f t="shared" si="158"/>
        <v>180</v>
      </c>
      <c r="O304" s="74">
        <v>375</v>
      </c>
      <c r="P304" s="20">
        <f t="shared" si="186"/>
        <v>50</v>
      </c>
      <c r="Q304" s="20">
        <f t="shared" si="187"/>
        <v>21</v>
      </c>
      <c r="R304" s="20">
        <v>100</v>
      </c>
      <c r="S304" s="20">
        <f t="shared" si="192"/>
        <v>60</v>
      </c>
      <c r="T304" s="20">
        <f t="shared" si="181"/>
        <v>36</v>
      </c>
      <c r="U304" s="20"/>
      <c r="V304" s="20">
        <f t="shared" si="154"/>
        <v>0</v>
      </c>
      <c r="W304" s="20">
        <f t="shared" si="188"/>
        <v>20</v>
      </c>
      <c r="X304" s="20">
        <f t="shared" si="171"/>
        <v>0</v>
      </c>
      <c r="Y304" s="20">
        <f t="shared" si="183"/>
        <v>3.5</v>
      </c>
      <c r="Z304" s="20">
        <f t="shared" si="157"/>
        <v>230</v>
      </c>
      <c r="AA304" s="20">
        <f t="shared" si="182"/>
        <v>306</v>
      </c>
      <c r="AB304" s="20">
        <f t="shared" ref="AB304:AB367" si="194">$AB$5*$AB$12</f>
        <v>60</v>
      </c>
      <c r="AC304" s="20">
        <f t="shared" si="151"/>
        <v>1.6</v>
      </c>
      <c r="AD304" s="20">
        <f t="shared" si="190"/>
        <v>180</v>
      </c>
      <c r="AE304" s="20">
        <f t="shared" si="193"/>
        <v>1.1000000000000001</v>
      </c>
      <c r="AF304" s="20">
        <f t="shared" si="147"/>
        <v>275</v>
      </c>
      <c r="AG304" s="20">
        <f t="shared" si="153"/>
        <v>18</v>
      </c>
      <c r="AH304" s="20">
        <f t="shared" si="145"/>
        <v>3</v>
      </c>
      <c r="AI304" s="20">
        <f t="shared" si="189"/>
        <v>47</v>
      </c>
      <c r="AJ304" s="20">
        <f t="shared" si="160"/>
        <v>90</v>
      </c>
      <c r="AK304" s="20">
        <f t="shared" si="166"/>
        <v>14</v>
      </c>
      <c r="AL304" s="20">
        <f t="shared" si="161"/>
        <v>45</v>
      </c>
      <c r="AM304" s="20">
        <v>46</v>
      </c>
      <c r="AN304" s="20">
        <f t="shared" si="167"/>
        <v>0.75</v>
      </c>
      <c r="AO304" s="20">
        <f t="shared" si="179"/>
        <v>19</v>
      </c>
      <c r="AP304" s="20">
        <f t="shared" si="179"/>
        <v>19</v>
      </c>
      <c r="AQ304" s="20">
        <f t="shared" si="170"/>
        <v>5</v>
      </c>
      <c r="AR304" s="20">
        <f t="shared" si="156"/>
        <v>120</v>
      </c>
      <c r="AS304" s="20">
        <f t="shared" si="159"/>
        <v>120</v>
      </c>
      <c r="AT304" s="20">
        <f t="shared" si="152"/>
        <v>55</v>
      </c>
      <c r="AU304" s="20"/>
      <c r="AV304" s="20"/>
      <c r="AW304" s="20">
        <f t="shared" si="184"/>
        <v>5276.7500000000009</v>
      </c>
      <c r="AX304" s="86">
        <f t="shared" si="146"/>
        <v>5428.4449999999988</v>
      </c>
      <c r="AY304" s="17">
        <f>'[1]D4 Gallon Forecast'!$AA152/1000000</f>
        <v>0</v>
      </c>
      <c r="AZ304" s="17">
        <f>'[1]D4 Gallon Forecast'!$AA184/1000000</f>
        <v>293.30636354630133</v>
      </c>
      <c r="BA304" s="17">
        <f t="shared" si="149"/>
        <v>293.30636354630133</v>
      </c>
      <c r="BB304" s="17">
        <f>'[1]D4 Gallon Forecast'!$AA168/1000000</f>
        <v>0</v>
      </c>
      <c r="BC304" s="87">
        <f>'[1]D4 Gallon Forecast'!$AA344/1000000</f>
        <v>338.39310916389786</v>
      </c>
      <c r="BD304" s="88">
        <f>'[1]D4 Gallon Forecast'!$AA360/1000000</f>
        <v>0</v>
      </c>
      <c r="BE304" s="88">
        <f t="shared" si="150"/>
        <v>338.39310916389786</v>
      </c>
      <c r="BF304" s="76">
        <f t="shared" si="172"/>
        <v>631.69947271019919</v>
      </c>
      <c r="BG304" s="22">
        <f t="shared" si="176"/>
        <v>1.3701440939539702</v>
      </c>
      <c r="BI304" s="21">
        <f t="shared" si="185"/>
        <v>4702.9000000000005</v>
      </c>
      <c r="BJ304" s="21">
        <f t="shared" si="168"/>
        <v>725.54499999999825</v>
      </c>
      <c r="BK304" s="21">
        <f>'RD Feedstock Breakdown'!ES295</f>
        <v>6862.0219083709353</v>
      </c>
      <c r="BL304" s="89">
        <f t="shared" si="175"/>
        <v>10.862795054950096</v>
      </c>
      <c r="BM304" s="89">
        <f t="shared" si="173"/>
        <v>23.39540753703319</v>
      </c>
    </row>
    <row r="305" spans="1:65" ht="13.5" x14ac:dyDescent="0.25">
      <c r="A305" s="15">
        <v>49430</v>
      </c>
      <c r="B305" s="20">
        <f t="shared" si="174"/>
        <v>690</v>
      </c>
      <c r="C305" s="74">
        <v>47</v>
      </c>
      <c r="D305" s="20">
        <f t="shared" si="163"/>
        <v>3</v>
      </c>
      <c r="E305" s="20">
        <f t="shared" si="178"/>
        <v>85</v>
      </c>
      <c r="F305" s="20">
        <f t="shared" si="148"/>
        <v>340</v>
      </c>
      <c r="G305" s="20">
        <f t="shared" si="162"/>
        <v>37.5</v>
      </c>
      <c r="H305" s="20">
        <f t="shared" si="191"/>
        <v>190</v>
      </c>
      <c r="I305" s="20">
        <f t="shared" si="177"/>
        <v>250</v>
      </c>
      <c r="J305" s="20">
        <f t="shared" si="169"/>
        <v>153.30000000000001</v>
      </c>
      <c r="K305" s="20">
        <f t="shared" si="180"/>
        <v>125</v>
      </c>
      <c r="L305" s="20">
        <v>125</v>
      </c>
      <c r="M305" s="20">
        <v>730</v>
      </c>
      <c r="N305" s="20">
        <f t="shared" si="158"/>
        <v>180</v>
      </c>
      <c r="O305" s="74">
        <v>375</v>
      </c>
      <c r="P305" s="20">
        <f t="shared" si="186"/>
        <v>50</v>
      </c>
      <c r="Q305" s="20">
        <f t="shared" si="187"/>
        <v>21</v>
      </c>
      <c r="R305" s="20">
        <v>100</v>
      </c>
      <c r="S305" s="20">
        <f t="shared" si="192"/>
        <v>60</v>
      </c>
      <c r="T305" s="20">
        <f t="shared" si="181"/>
        <v>36</v>
      </c>
      <c r="U305" s="20"/>
      <c r="V305" s="20">
        <f t="shared" si="154"/>
        <v>0</v>
      </c>
      <c r="W305" s="20">
        <f t="shared" si="188"/>
        <v>20</v>
      </c>
      <c r="X305" s="20">
        <f t="shared" si="171"/>
        <v>0</v>
      </c>
      <c r="Y305" s="20">
        <f t="shared" si="183"/>
        <v>3.5</v>
      </c>
      <c r="Z305" s="20">
        <f t="shared" si="157"/>
        <v>230</v>
      </c>
      <c r="AA305" s="20">
        <f t="shared" si="182"/>
        <v>306</v>
      </c>
      <c r="AB305" s="20">
        <f t="shared" si="194"/>
        <v>60</v>
      </c>
      <c r="AC305" s="20">
        <f t="shared" si="151"/>
        <v>1.6</v>
      </c>
      <c r="AD305" s="20">
        <f t="shared" si="190"/>
        <v>180</v>
      </c>
      <c r="AE305" s="20">
        <f t="shared" si="193"/>
        <v>1.1000000000000001</v>
      </c>
      <c r="AF305" s="20">
        <f t="shared" si="147"/>
        <v>275</v>
      </c>
      <c r="AG305" s="20">
        <f t="shared" si="153"/>
        <v>18</v>
      </c>
      <c r="AH305" s="20">
        <f t="shared" ref="AH305:AH368" si="195">60*$AH$12</f>
        <v>3</v>
      </c>
      <c r="AI305" s="20">
        <f t="shared" si="189"/>
        <v>47</v>
      </c>
      <c r="AJ305" s="20">
        <f t="shared" si="160"/>
        <v>90</v>
      </c>
      <c r="AK305" s="20">
        <f t="shared" si="166"/>
        <v>14</v>
      </c>
      <c r="AL305" s="20">
        <f t="shared" si="161"/>
        <v>45</v>
      </c>
      <c r="AM305" s="20">
        <v>46</v>
      </c>
      <c r="AN305" s="20">
        <f t="shared" si="167"/>
        <v>0.75</v>
      </c>
      <c r="AO305" s="20">
        <f t="shared" si="179"/>
        <v>19</v>
      </c>
      <c r="AP305" s="20">
        <f t="shared" si="179"/>
        <v>19</v>
      </c>
      <c r="AQ305" s="20">
        <f t="shared" si="170"/>
        <v>5</v>
      </c>
      <c r="AR305" s="20">
        <f t="shared" si="156"/>
        <v>120</v>
      </c>
      <c r="AS305" s="20">
        <f t="shared" si="159"/>
        <v>120</v>
      </c>
      <c r="AT305" s="20">
        <f t="shared" si="152"/>
        <v>55</v>
      </c>
      <c r="AU305" s="20"/>
      <c r="AV305" s="20"/>
      <c r="AW305" s="20">
        <f t="shared" si="184"/>
        <v>5276.7500000000009</v>
      </c>
      <c r="AX305" s="86">
        <f t="shared" si="146"/>
        <v>5428.4449999999988</v>
      </c>
      <c r="AY305" s="17">
        <f>'[1]D4 Gallon Forecast'!$AA153/1000000</f>
        <v>0</v>
      </c>
      <c r="AZ305" s="17">
        <f>'[1]D4 Gallon Forecast'!$AA185/1000000</f>
        <v>327.65102889787357</v>
      </c>
      <c r="BA305" s="17">
        <f t="shared" si="149"/>
        <v>327.65102889787357</v>
      </c>
      <c r="BB305" s="17">
        <f>'[1]D4 Gallon Forecast'!$AA169/1000000</f>
        <v>0</v>
      </c>
      <c r="BC305" s="87">
        <f>'[1]D4 Gallon Forecast'!$AA345/1000000</f>
        <v>445.44073938154668</v>
      </c>
      <c r="BD305" s="88">
        <f>'[1]D4 Gallon Forecast'!$AA361/1000000</f>
        <v>0</v>
      </c>
      <c r="BE305" s="88">
        <f t="shared" si="150"/>
        <v>445.44073938154668</v>
      </c>
      <c r="BF305" s="76">
        <f t="shared" si="172"/>
        <v>773.09176827942019</v>
      </c>
      <c r="BG305" s="22">
        <f t="shared" si="176"/>
        <v>1.7327153259173877</v>
      </c>
      <c r="BI305" s="21">
        <f t="shared" si="185"/>
        <v>4702.9000000000005</v>
      </c>
      <c r="BJ305" s="21">
        <f t="shared" si="168"/>
        <v>725.54499999999825</v>
      </c>
      <c r="BK305" s="21">
        <f>'RD Feedstock Breakdown'!ES296</f>
        <v>10620.222331535475</v>
      </c>
      <c r="BL305" s="89">
        <f t="shared" si="175"/>
        <v>13.737337231221153</v>
      </c>
      <c r="BM305" s="89">
        <f t="shared" si="173"/>
        <v>32.413212213185879</v>
      </c>
    </row>
    <row r="306" spans="1:65" ht="13.5" x14ac:dyDescent="0.25">
      <c r="A306" s="15">
        <v>49461</v>
      </c>
      <c r="B306" s="20">
        <f t="shared" si="174"/>
        <v>690</v>
      </c>
      <c r="C306" s="74">
        <v>47</v>
      </c>
      <c r="D306" s="20">
        <f t="shared" si="163"/>
        <v>3</v>
      </c>
      <c r="E306" s="20">
        <f t="shared" si="178"/>
        <v>85</v>
      </c>
      <c r="F306" s="20">
        <f t="shared" si="148"/>
        <v>340</v>
      </c>
      <c r="G306" s="20">
        <f t="shared" si="162"/>
        <v>37.5</v>
      </c>
      <c r="H306" s="20">
        <f t="shared" si="191"/>
        <v>190</v>
      </c>
      <c r="I306" s="20">
        <f t="shared" si="177"/>
        <v>250</v>
      </c>
      <c r="J306" s="20">
        <f t="shared" si="169"/>
        <v>153.30000000000001</v>
      </c>
      <c r="K306" s="20">
        <f t="shared" si="180"/>
        <v>125</v>
      </c>
      <c r="L306" s="20">
        <v>125</v>
      </c>
      <c r="M306" s="20">
        <v>730</v>
      </c>
      <c r="N306" s="20">
        <f t="shared" si="158"/>
        <v>180</v>
      </c>
      <c r="O306" s="74">
        <v>375</v>
      </c>
      <c r="P306" s="20">
        <f t="shared" si="186"/>
        <v>50</v>
      </c>
      <c r="Q306" s="20">
        <f t="shared" si="187"/>
        <v>21</v>
      </c>
      <c r="R306" s="20">
        <v>100</v>
      </c>
      <c r="S306" s="20">
        <f t="shared" si="192"/>
        <v>60</v>
      </c>
      <c r="T306" s="20">
        <f t="shared" si="181"/>
        <v>36</v>
      </c>
      <c r="U306" s="20"/>
      <c r="V306" s="20">
        <f t="shared" si="154"/>
        <v>0</v>
      </c>
      <c r="W306" s="20">
        <f t="shared" si="188"/>
        <v>20</v>
      </c>
      <c r="X306" s="20">
        <f t="shared" si="171"/>
        <v>0</v>
      </c>
      <c r="Y306" s="20">
        <f t="shared" si="183"/>
        <v>3.5</v>
      </c>
      <c r="Z306" s="20">
        <f t="shared" si="157"/>
        <v>230</v>
      </c>
      <c r="AA306" s="20">
        <f t="shared" si="182"/>
        <v>306</v>
      </c>
      <c r="AB306" s="20">
        <f t="shared" si="194"/>
        <v>60</v>
      </c>
      <c r="AC306" s="20">
        <f t="shared" si="151"/>
        <v>1.6</v>
      </c>
      <c r="AD306" s="20">
        <f t="shared" si="190"/>
        <v>180</v>
      </c>
      <c r="AE306" s="20">
        <f t="shared" si="193"/>
        <v>1.1000000000000001</v>
      </c>
      <c r="AF306" s="20">
        <f t="shared" si="147"/>
        <v>275</v>
      </c>
      <c r="AG306" s="20">
        <f t="shared" si="153"/>
        <v>18</v>
      </c>
      <c r="AH306" s="20">
        <f t="shared" si="195"/>
        <v>3</v>
      </c>
      <c r="AI306" s="20">
        <f t="shared" si="189"/>
        <v>47</v>
      </c>
      <c r="AJ306" s="20">
        <f t="shared" si="160"/>
        <v>90</v>
      </c>
      <c r="AK306" s="20">
        <f t="shared" si="166"/>
        <v>14</v>
      </c>
      <c r="AL306" s="20">
        <f t="shared" si="161"/>
        <v>45</v>
      </c>
      <c r="AM306" s="20">
        <v>46</v>
      </c>
      <c r="AN306" s="20">
        <f t="shared" si="167"/>
        <v>0.75</v>
      </c>
      <c r="AO306" s="20">
        <f t="shared" si="179"/>
        <v>19</v>
      </c>
      <c r="AP306" s="20">
        <f t="shared" si="179"/>
        <v>19</v>
      </c>
      <c r="AQ306" s="20">
        <f t="shared" si="170"/>
        <v>5</v>
      </c>
      <c r="AR306" s="20">
        <f t="shared" si="156"/>
        <v>120</v>
      </c>
      <c r="AS306" s="20">
        <f t="shared" si="159"/>
        <v>120</v>
      </c>
      <c r="AT306" s="20">
        <f t="shared" si="152"/>
        <v>55</v>
      </c>
      <c r="AU306" s="20"/>
      <c r="AV306" s="20"/>
      <c r="AW306" s="20">
        <f t="shared" si="184"/>
        <v>5276.7500000000009</v>
      </c>
      <c r="AX306" s="86">
        <f t="shared" ref="AX306:AX369" si="196">AX305+AW306-AW305</f>
        <v>5428.4449999999988</v>
      </c>
      <c r="AY306" s="17">
        <f>'[1]D4 Gallon Forecast'!$AA154/1000000</f>
        <v>0</v>
      </c>
      <c r="AZ306" s="17">
        <f>'[1]D4 Gallon Forecast'!$AA186/1000000</f>
        <v>324.97850596823719</v>
      </c>
      <c r="BA306" s="17">
        <f t="shared" si="149"/>
        <v>324.97850596823719</v>
      </c>
      <c r="BB306" s="17">
        <f>'[1]D4 Gallon Forecast'!$AA170/1000000</f>
        <v>0</v>
      </c>
      <c r="BC306" s="87">
        <f>'[1]D4 Gallon Forecast'!$AA346/1000000</f>
        <v>424.93541513276676</v>
      </c>
      <c r="BD306" s="88">
        <f>'[1]D4 Gallon Forecast'!$AA362/1000000</f>
        <v>0</v>
      </c>
      <c r="BE306" s="88">
        <f t="shared" si="150"/>
        <v>424.93541513276676</v>
      </c>
      <c r="BF306" s="76">
        <f t="shared" si="172"/>
        <v>749.91392110100401</v>
      </c>
      <c r="BG306" s="22">
        <f t="shared" si="176"/>
        <v>1.6265489751988116</v>
      </c>
      <c r="BI306" s="21">
        <f t="shared" si="185"/>
        <v>4702.9000000000005</v>
      </c>
      <c r="BJ306" s="21">
        <f t="shared" si="168"/>
        <v>725.54499999999825</v>
      </c>
      <c r="BK306" s="21">
        <f>'RD Feedstock Breakdown'!ES297</f>
        <v>9670.6107518680346</v>
      </c>
      <c r="BL306" s="89">
        <f t="shared" si="175"/>
        <v>12.895627724405886</v>
      </c>
      <c r="BM306" s="89">
        <f t="shared" si="173"/>
        <v>29.757693429771699</v>
      </c>
    </row>
    <row r="307" spans="1:65" ht="13.5" x14ac:dyDescent="0.25">
      <c r="A307" s="15">
        <v>49491</v>
      </c>
      <c r="B307" s="20">
        <f t="shared" si="174"/>
        <v>690</v>
      </c>
      <c r="C307" s="74">
        <v>47</v>
      </c>
      <c r="D307" s="20">
        <f t="shared" si="163"/>
        <v>3</v>
      </c>
      <c r="E307" s="20">
        <f t="shared" si="178"/>
        <v>85</v>
      </c>
      <c r="F307" s="20">
        <f t="shared" si="148"/>
        <v>340</v>
      </c>
      <c r="G307" s="20">
        <f t="shared" si="162"/>
        <v>37.5</v>
      </c>
      <c r="H307" s="20">
        <f t="shared" si="191"/>
        <v>190</v>
      </c>
      <c r="I307" s="20">
        <f t="shared" si="177"/>
        <v>250</v>
      </c>
      <c r="J307" s="20">
        <f t="shared" si="169"/>
        <v>153.30000000000001</v>
      </c>
      <c r="K307" s="20">
        <f t="shared" si="180"/>
        <v>125</v>
      </c>
      <c r="L307" s="20">
        <v>125</v>
      </c>
      <c r="M307" s="20">
        <v>730</v>
      </c>
      <c r="N307" s="20">
        <f t="shared" si="158"/>
        <v>180</v>
      </c>
      <c r="O307" s="74">
        <v>375</v>
      </c>
      <c r="P307" s="20">
        <f t="shared" si="186"/>
        <v>50</v>
      </c>
      <c r="Q307" s="20">
        <f t="shared" si="187"/>
        <v>21</v>
      </c>
      <c r="R307" s="20">
        <v>100</v>
      </c>
      <c r="S307" s="20">
        <f t="shared" si="192"/>
        <v>60</v>
      </c>
      <c r="T307" s="20">
        <f t="shared" si="181"/>
        <v>36</v>
      </c>
      <c r="U307" s="20"/>
      <c r="V307" s="20">
        <f t="shared" si="154"/>
        <v>0</v>
      </c>
      <c r="W307" s="20">
        <f t="shared" si="188"/>
        <v>20</v>
      </c>
      <c r="X307" s="20">
        <f t="shared" si="171"/>
        <v>0</v>
      </c>
      <c r="Y307" s="20">
        <f t="shared" si="183"/>
        <v>3.5</v>
      </c>
      <c r="Z307" s="20">
        <f t="shared" si="157"/>
        <v>230</v>
      </c>
      <c r="AA307" s="20">
        <f t="shared" si="182"/>
        <v>306</v>
      </c>
      <c r="AB307" s="20">
        <f t="shared" si="194"/>
        <v>60</v>
      </c>
      <c r="AC307" s="20">
        <f t="shared" si="151"/>
        <v>1.6</v>
      </c>
      <c r="AD307" s="20">
        <f t="shared" si="190"/>
        <v>180</v>
      </c>
      <c r="AE307" s="20">
        <f t="shared" si="193"/>
        <v>1.1000000000000001</v>
      </c>
      <c r="AF307" s="20">
        <f t="shared" ref="AF307:AF370" si="197">90*$AF$12+(185*$AF$12)</f>
        <v>275</v>
      </c>
      <c r="AG307" s="20">
        <f t="shared" si="153"/>
        <v>18</v>
      </c>
      <c r="AH307" s="20">
        <f t="shared" si="195"/>
        <v>3</v>
      </c>
      <c r="AI307" s="20">
        <f t="shared" si="189"/>
        <v>47</v>
      </c>
      <c r="AJ307" s="20">
        <f t="shared" si="160"/>
        <v>90</v>
      </c>
      <c r="AK307" s="20">
        <f t="shared" si="166"/>
        <v>14</v>
      </c>
      <c r="AL307" s="20">
        <f t="shared" si="161"/>
        <v>45</v>
      </c>
      <c r="AM307" s="20">
        <v>46</v>
      </c>
      <c r="AN307" s="20">
        <f t="shared" si="167"/>
        <v>0.75</v>
      </c>
      <c r="AO307" s="20">
        <f t="shared" si="179"/>
        <v>19</v>
      </c>
      <c r="AP307" s="20">
        <f t="shared" si="179"/>
        <v>19</v>
      </c>
      <c r="AQ307" s="20">
        <f t="shared" si="170"/>
        <v>5</v>
      </c>
      <c r="AR307" s="20">
        <f t="shared" si="156"/>
        <v>120</v>
      </c>
      <c r="AS307" s="20">
        <f t="shared" si="159"/>
        <v>120</v>
      </c>
      <c r="AT307" s="20">
        <f t="shared" si="152"/>
        <v>55</v>
      </c>
      <c r="AU307" s="20"/>
      <c r="AV307" s="20"/>
      <c r="AW307" s="20">
        <f t="shared" si="184"/>
        <v>5276.7500000000009</v>
      </c>
      <c r="AX307" s="86">
        <f t="shared" si="196"/>
        <v>5428.4449999999988</v>
      </c>
      <c r="AY307" s="17">
        <f>'[1]D4 Gallon Forecast'!$AA155/1000000</f>
        <v>0</v>
      </c>
      <c r="AZ307" s="17">
        <f>'[1]D4 Gallon Forecast'!$AA187/1000000</f>
        <v>318.29914468919628</v>
      </c>
      <c r="BA307" s="17">
        <f t="shared" si="149"/>
        <v>318.29914468919628</v>
      </c>
      <c r="BB307" s="17">
        <f>'[1]D4 Gallon Forecast'!$AA171/1000000</f>
        <v>0</v>
      </c>
      <c r="BC307" s="87">
        <f>'[1]D4 Gallon Forecast'!$AA347/1000000</f>
        <v>462.22663622094757</v>
      </c>
      <c r="BD307" s="88">
        <f>'[1]D4 Gallon Forecast'!$AA363/1000000</f>
        <v>0</v>
      </c>
      <c r="BE307" s="88">
        <f t="shared" si="150"/>
        <v>462.22663622094757</v>
      </c>
      <c r="BF307" s="76">
        <f t="shared" si="172"/>
        <v>780.52578091014379</v>
      </c>
      <c r="BG307" s="22">
        <f t="shared" si="176"/>
        <v>1.7493770317417636</v>
      </c>
      <c r="BI307" s="21">
        <f t="shared" si="185"/>
        <v>4702.9000000000005</v>
      </c>
      <c r="BJ307" s="21">
        <f t="shared" si="168"/>
        <v>725.54499999999825</v>
      </c>
      <c r="BK307" s="21">
        <f>'RD Feedstock Breakdown'!ES298</f>
        <v>10825.451423465393</v>
      </c>
      <c r="BL307" s="89">
        <f t="shared" si="175"/>
        <v>13.869434794123279</v>
      </c>
      <c r="BM307" s="89">
        <f t="shared" si="173"/>
        <v>34.010306355161347</v>
      </c>
    </row>
    <row r="308" spans="1:65" ht="13.5" x14ac:dyDescent="0.25">
      <c r="A308" s="15">
        <v>49522</v>
      </c>
      <c r="B308" s="20">
        <f t="shared" si="174"/>
        <v>690</v>
      </c>
      <c r="C308" s="74">
        <v>47</v>
      </c>
      <c r="D308" s="20">
        <f t="shared" si="163"/>
        <v>3</v>
      </c>
      <c r="E308" s="20">
        <f t="shared" si="178"/>
        <v>85</v>
      </c>
      <c r="F308" s="20">
        <f t="shared" si="148"/>
        <v>340</v>
      </c>
      <c r="G308" s="20">
        <f t="shared" si="162"/>
        <v>37.5</v>
      </c>
      <c r="H308" s="20">
        <f t="shared" si="191"/>
        <v>190</v>
      </c>
      <c r="I308" s="20">
        <f t="shared" si="177"/>
        <v>250</v>
      </c>
      <c r="J308" s="20">
        <f t="shared" si="169"/>
        <v>153.30000000000001</v>
      </c>
      <c r="K308" s="20">
        <f t="shared" si="180"/>
        <v>125</v>
      </c>
      <c r="L308" s="20">
        <v>125</v>
      </c>
      <c r="M308" s="20">
        <v>730</v>
      </c>
      <c r="N308" s="20">
        <f t="shared" si="158"/>
        <v>180</v>
      </c>
      <c r="O308" s="74">
        <v>375</v>
      </c>
      <c r="P308" s="20">
        <f t="shared" si="186"/>
        <v>50</v>
      </c>
      <c r="Q308" s="20">
        <f t="shared" si="187"/>
        <v>21</v>
      </c>
      <c r="R308" s="20">
        <v>100</v>
      </c>
      <c r="S308" s="20">
        <f t="shared" si="192"/>
        <v>60</v>
      </c>
      <c r="T308" s="20">
        <f t="shared" si="181"/>
        <v>36</v>
      </c>
      <c r="U308" s="20"/>
      <c r="V308" s="20">
        <f t="shared" si="154"/>
        <v>0</v>
      </c>
      <c r="W308" s="20">
        <f t="shared" si="188"/>
        <v>20</v>
      </c>
      <c r="X308" s="20">
        <f t="shared" si="171"/>
        <v>0</v>
      </c>
      <c r="Y308" s="20">
        <f t="shared" si="183"/>
        <v>3.5</v>
      </c>
      <c r="Z308" s="20">
        <f t="shared" si="157"/>
        <v>230</v>
      </c>
      <c r="AA308" s="20">
        <f t="shared" si="182"/>
        <v>306</v>
      </c>
      <c r="AB308" s="20">
        <f t="shared" si="194"/>
        <v>60</v>
      </c>
      <c r="AC308" s="20">
        <f t="shared" si="151"/>
        <v>1.6</v>
      </c>
      <c r="AD308" s="20">
        <f t="shared" si="190"/>
        <v>180</v>
      </c>
      <c r="AE308" s="20">
        <f t="shared" si="193"/>
        <v>1.1000000000000001</v>
      </c>
      <c r="AF308" s="20">
        <f t="shared" si="197"/>
        <v>275</v>
      </c>
      <c r="AG308" s="20">
        <f t="shared" si="153"/>
        <v>18</v>
      </c>
      <c r="AH308" s="20">
        <f t="shared" si="195"/>
        <v>3</v>
      </c>
      <c r="AI308" s="20">
        <f t="shared" si="189"/>
        <v>47</v>
      </c>
      <c r="AJ308" s="20">
        <f t="shared" si="160"/>
        <v>90</v>
      </c>
      <c r="AK308" s="20">
        <f t="shared" si="166"/>
        <v>14</v>
      </c>
      <c r="AL308" s="20">
        <f t="shared" si="161"/>
        <v>45</v>
      </c>
      <c r="AM308" s="20">
        <v>46</v>
      </c>
      <c r="AN308" s="20">
        <f t="shared" si="167"/>
        <v>0.75</v>
      </c>
      <c r="AO308" s="20">
        <f t="shared" si="179"/>
        <v>19</v>
      </c>
      <c r="AP308" s="20">
        <f t="shared" si="179"/>
        <v>19</v>
      </c>
      <c r="AQ308" s="20">
        <f t="shared" si="170"/>
        <v>5</v>
      </c>
      <c r="AR308" s="20">
        <f t="shared" si="156"/>
        <v>120</v>
      </c>
      <c r="AS308" s="20">
        <f t="shared" si="159"/>
        <v>120</v>
      </c>
      <c r="AT308" s="20">
        <f t="shared" si="152"/>
        <v>55</v>
      </c>
      <c r="AU308" s="20"/>
      <c r="AV308" s="20"/>
      <c r="AW308" s="20">
        <f t="shared" si="184"/>
        <v>5276.7500000000009</v>
      </c>
      <c r="AX308" s="86">
        <f t="shared" si="196"/>
        <v>5428.4449999999988</v>
      </c>
      <c r="AY308" s="17">
        <f>'[1]D4 Gallon Forecast'!$AA156/1000000</f>
        <v>0</v>
      </c>
      <c r="AZ308" s="17">
        <f>'[1]D4 Gallon Forecast'!$AA188/1000000</f>
        <v>322.85417546812977</v>
      </c>
      <c r="BA308" s="17">
        <f t="shared" si="149"/>
        <v>322.85417546812977</v>
      </c>
      <c r="BB308" s="17">
        <f>'[1]D4 Gallon Forecast'!$AA172/1000000</f>
        <v>0</v>
      </c>
      <c r="BC308" s="87">
        <f>'[1]D4 Gallon Forecast'!$AA348/1000000</f>
        <v>503.25970761227575</v>
      </c>
      <c r="BD308" s="88">
        <f>'[1]D4 Gallon Forecast'!$AA364/1000000</f>
        <v>0</v>
      </c>
      <c r="BE308" s="88">
        <f t="shared" si="150"/>
        <v>503.25970761227575</v>
      </c>
      <c r="BF308" s="76">
        <f t="shared" si="172"/>
        <v>826.11388308040546</v>
      </c>
      <c r="BG308" s="22">
        <f t="shared" si="176"/>
        <v>1.7918252376874639</v>
      </c>
      <c r="BI308" s="21">
        <f t="shared" si="185"/>
        <v>4702.9000000000005</v>
      </c>
      <c r="BJ308" s="21">
        <f t="shared" si="168"/>
        <v>725.54499999999825</v>
      </c>
      <c r="BK308" s="21">
        <f>'RD Feedstock Breakdown'!ES299</f>
        <v>11735.751714804979</v>
      </c>
      <c r="BL308" s="89">
        <f t="shared" si="175"/>
        <v>14.205973238271728</v>
      </c>
      <c r="BM308" s="89">
        <f t="shared" si="173"/>
        <v>36.350007546869911</v>
      </c>
    </row>
    <row r="309" spans="1:65" ht="13.5" x14ac:dyDescent="0.25">
      <c r="A309" s="15">
        <v>49553</v>
      </c>
      <c r="B309" s="20">
        <f t="shared" si="174"/>
        <v>690</v>
      </c>
      <c r="C309" s="74">
        <v>47</v>
      </c>
      <c r="D309" s="20">
        <f t="shared" si="163"/>
        <v>3</v>
      </c>
      <c r="E309" s="20">
        <f t="shared" si="178"/>
        <v>85</v>
      </c>
      <c r="F309" s="20">
        <f t="shared" ref="F309:F372" si="198">90+(250*$F$12)</f>
        <v>340</v>
      </c>
      <c r="G309" s="20">
        <f t="shared" si="162"/>
        <v>37.5</v>
      </c>
      <c r="H309" s="20">
        <f t="shared" si="191"/>
        <v>190</v>
      </c>
      <c r="I309" s="20">
        <f t="shared" si="177"/>
        <v>250</v>
      </c>
      <c r="J309" s="20">
        <f t="shared" si="169"/>
        <v>153.30000000000001</v>
      </c>
      <c r="K309" s="20">
        <f t="shared" si="180"/>
        <v>125</v>
      </c>
      <c r="L309" s="20">
        <v>125</v>
      </c>
      <c r="M309" s="20">
        <v>730</v>
      </c>
      <c r="N309" s="20">
        <f t="shared" si="158"/>
        <v>180</v>
      </c>
      <c r="O309" s="74">
        <v>375</v>
      </c>
      <c r="P309" s="20">
        <f t="shared" si="186"/>
        <v>50</v>
      </c>
      <c r="Q309" s="20">
        <f t="shared" si="187"/>
        <v>21</v>
      </c>
      <c r="R309" s="20">
        <v>100</v>
      </c>
      <c r="S309" s="20">
        <f t="shared" si="192"/>
        <v>60</v>
      </c>
      <c r="T309" s="20">
        <f t="shared" si="181"/>
        <v>36</v>
      </c>
      <c r="U309" s="20"/>
      <c r="V309" s="20">
        <f t="shared" si="154"/>
        <v>0</v>
      </c>
      <c r="W309" s="20">
        <f t="shared" si="188"/>
        <v>20</v>
      </c>
      <c r="X309" s="20">
        <f t="shared" si="171"/>
        <v>0</v>
      </c>
      <c r="Y309" s="20">
        <f t="shared" si="183"/>
        <v>3.5</v>
      </c>
      <c r="Z309" s="20">
        <f t="shared" si="157"/>
        <v>230</v>
      </c>
      <c r="AA309" s="20">
        <f t="shared" si="182"/>
        <v>306</v>
      </c>
      <c r="AB309" s="20">
        <f t="shared" si="194"/>
        <v>60</v>
      </c>
      <c r="AC309" s="20">
        <f t="shared" si="151"/>
        <v>1.6</v>
      </c>
      <c r="AD309" s="20">
        <f t="shared" si="190"/>
        <v>180</v>
      </c>
      <c r="AE309" s="20">
        <f t="shared" si="193"/>
        <v>1.1000000000000001</v>
      </c>
      <c r="AF309" s="20">
        <f t="shared" si="197"/>
        <v>275</v>
      </c>
      <c r="AG309" s="20">
        <f t="shared" si="153"/>
        <v>18</v>
      </c>
      <c r="AH309" s="20">
        <f t="shared" si="195"/>
        <v>3</v>
      </c>
      <c r="AI309" s="20">
        <f t="shared" si="189"/>
        <v>47</v>
      </c>
      <c r="AJ309" s="20">
        <f t="shared" si="160"/>
        <v>90</v>
      </c>
      <c r="AK309" s="20">
        <f t="shared" si="166"/>
        <v>14</v>
      </c>
      <c r="AL309" s="20">
        <f t="shared" si="161"/>
        <v>45</v>
      </c>
      <c r="AM309" s="20">
        <v>46</v>
      </c>
      <c r="AN309" s="20">
        <f t="shared" si="167"/>
        <v>0.75</v>
      </c>
      <c r="AO309" s="20">
        <f t="shared" si="179"/>
        <v>19</v>
      </c>
      <c r="AP309" s="20">
        <f t="shared" si="179"/>
        <v>19</v>
      </c>
      <c r="AQ309" s="20">
        <f t="shared" si="170"/>
        <v>5</v>
      </c>
      <c r="AR309" s="20">
        <f t="shared" si="156"/>
        <v>120</v>
      </c>
      <c r="AS309" s="20">
        <f t="shared" si="159"/>
        <v>120</v>
      </c>
      <c r="AT309" s="20">
        <f t="shared" si="152"/>
        <v>55</v>
      </c>
      <c r="AU309" s="20"/>
      <c r="AV309" s="20"/>
      <c r="AW309" s="20">
        <f t="shared" si="184"/>
        <v>5276.7500000000009</v>
      </c>
      <c r="AX309" s="86">
        <f t="shared" si="196"/>
        <v>5428.4449999999988</v>
      </c>
      <c r="AY309" s="17">
        <f>'[1]D4 Gallon Forecast'!$AA157/1000000</f>
        <v>0</v>
      </c>
      <c r="AZ309" s="17">
        <f>'[1]D4 Gallon Forecast'!$AA189/1000000</f>
        <v>328.73844682779713</v>
      </c>
      <c r="BA309" s="17">
        <f t="shared" si="149"/>
        <v>328.73844682779713</v>
      </c>
      <c r="BB309" s="17">
        <f>'[1]D4 Gallon Forecast'!$AA173/1000000</f>
        <v>0</v>
      </c>
      <c r="BC309" s="87">
        <f>'[1]D4 Gallon Forecast'!$AA349/1000000</f>
        <v>611.94091526851037</v>
      </c>
      <c r="BD309" s="88">
        <f>'[1]D4 Gallon Forecast'!$AA365/1000000</f>
        <v>0</v>
      </c>
      <c r="BE309" s="88">
        <f t="shared" si="150"/>
        <v>611.94091526851037</v>
      </c>
      <c r="BF309" s="76">
        <f t="shared" si="172"/>
        <v>940.6793620963075</v>
      </c>
      <c r="BG309" s="22">
        <f t="shared" si="176"/>
        <v>2.0403155740355174</v>
      </c>
      <c r="BI309" s="21">
        <f t="shared" si="185"/>
        <v>4702.9000000000005</v>
      </c>
      <c r="BJ309" s="21">
        <f t="shared" si="168"/>
        <v>725.54499999999825</v>
      </c>
      <c r="BK309" s="21">
        <f>'RD Feedstock Breakdown'!ES300</f>
        <v>15189.336686565117</v>
      </c>
      <c r="BL309" s="89">
        <f t="shared" si="175"/>
        <v>16.147198820983615</v>
      </c>
      <c r="BM309" s="89">
        <f t="shared" si="173"/>
        <v>46.204929277778504</v>
      </c>
    </row>
    <row r="310" spans="1:65" ht="13.5" x14ac:dyDescent="0.25">
      <c r="A310" s="15">
        <v>49583</v>
      </c>
      <c r="B310" s="20">
        <f t="shared" si="174"/>
        <v>690</v>
      </c>
      <c r="C310" s="74">
        <v>47</v>
      </c>
      <c r="D310" s="20">
        <f t="shared" si="163"/>
        <v>3</v>
      </c>
      <c r="E310" s="20">
        <f t="shared" si="178"/>
        <v>85</v>
      </c>
      <c r="F310" s="20">
        <f t="shared" si="198"/>
        <v>340</v>
      </c>
      <c r="G310" s="20">
        <f t="shared" si="162"/>
        <v>37.5</v>
      </c>
      <c r="H310" s="20">
        <f t="shared" si="191"/>
        <v>190</v>
      </c>
      <c r="I310" s="20">
        <f t="shared" si="177"/>
        <v>250</v>
      </c>
      <c r="J310" s="20">
        <f t="shared" si="169"/>
        <v>153.30000000000001</v>
      </c>
      <c r="K310" s="20">
        <f t="shared" si="180"/>
        <v>125</v>
      </c>
      <c r="L310" s="20">
        <v>125</v>
      </c>
      <c r="M310" s="20">
        <v>730</v>
      </c>
      <c r="N310" s="20">
        <f t="shared" si="158"/>
        <v>180</v>
      </c>
      <c r="O310" s="74">
        <v>375</v>
      </c>
      <c r="P310" s="20">
        <f t="shared" si="186"/>
        <v>50</v>
      </c>
      <c r="Q310" s="20">
        <f t="shared" si="187"/>
        <v>21</v>
      </c>
      <c r="R310" s="20">
        <v>100</v>
      </c>
      <c r="S310" s="20">
        <f t="shared" si="192"/>
        <v>60</v>
      </c>
      <c r="T310" s="20">
        <f t="shared" si="181"/>
        <v>36</v>
      </c>
      <c r="U310" s="20"/>
      <c r="V310" s="20">
        <f t="shared" si="154"/>
        <v>0</v>
      </c>
      <c r="W310" s="20">
        <f t="shared" si="188"/>
        <v>20</v>
      </c>
      <c r="X310" s="20">
        <f t="shared" si="171"/>
        <v>0</v>
      </c>
      <c r="Y310" s="20">
        <f t="shared" si="183"/>
        <v>3.5</v>
      </c>
      <c r="Z310" s="20">
        <f t="shared" si="157"/>
        <v>230</v>
      </c>
      <c r="AA310" s="20">
        <f t="shared" si="182"/>
        <v>306</v>
      </c>
      <c r="AB310" s="20">
        <f t="shared" si="194"/>
        <v>60</v>
      </c>
      <c r="AC310" s="20">
        <f t="shared" si="151"/>
        <v>1.6</v>
      </c>
      <c r="AD310" s="20">
        <f t="shared" si="190"/>
        <v>180</v>
      </c>
      <c r="AE310" s="20">
        <f t="shared" si="193"/>
        <v>1.1000000000000001</v>
      </c>
      <c r="AF310" s="20">
        <f t="shared" si="197"/>
        <v>275</v>
      </c>
      <c r="AG310" s="20">
        <f t="shared" si="153"/>
        <v>18</v>
      </c>
      <c r="AH310" s="20">
        <f t="shared" si="195"/>
        <v>3</v>
      </c>
      <c r="AI310" s="20">
        <f t="shared" si="189"/>
        <v>47</v>
      </c>
      <c r="AJ310" s="20">
        <f t="shared" si="160"/>
        <v>90</v>
      </c>
      <c r="AK310" s="20">
        <f t="shared" si="166"/>
        <v>14</v>
      </c>
      <c r="AL310" s="20">
        <f t="shared" si="161"/>
        <v>45</v>
      </c>
      <c r="AM310" s="20">
        <v>46</v>
      </c>
      <c r="AN310" s="20">
        <f t="shared" si="167"/>
        <v>0.75</v>
      </c>
      <c r="AO310" s="20">
        <f t="shared" si="179"/>
        <v>19</v>
      </c>
      <c r="AP310" s="20">
        <f t="shared" si="179"/>
        <v>19</v>
      </c>
      <c r="AQ310" s="20">
        <f t="shared" si="170"/>
        <v>5</v>
      </c>
      <c r="AR310" s="20">
        <f t="shared" si="156"/>
        <v>120</v>
      </c>
      <c r="AS310" s="20">
        <f t="shared" si="159"/>
        <v>120</v>
      </c>
      <c r="AT310" s="20">
        <f t="shared" si="152"/>
        <v>55</v>
      </c>
      <c r="AU310" s="20"/>
      <c r="AV310" s="20"/>
      <c r="AW310" s="20">
        <f t="shared" si="184"/>
        <v>5276.7500000000009</v>
      </c>
      <c r="AX310" s="86">
        <f t="shared" si="196"/>
        <v>5428.4449999999988</v>
      </c>
      <c r="AY310" s="17">
        <f>'[1]D4 Gallon Forecast'!$AA158/1000000</f>
        <v>0</v>
      </c>
      <c r="AZ310" s="17">
        <f>'[1]D4 Gallon Forecast'!$AA190/1000000</f>
        <v>361.23998248865178</v>
      </c>
      <c r="BA310" s="17">
        <f t="shared" ref="BA310:BA373" si="199">SUM(AY310:AZ310)</f>
        <v>361.23998248865178</v>
      </c>
      <c r="BB310" s="17">
        <f>'[1]D4 Gallon Forecast'!$AA174/1000000</f>
        <v>0</v>
      </c>
      <c r="BC310" s="87">
        <f>'[1]D4 Gallon Forecast'!$AA350/1000000</f>
        <v>597.69099903600704</v>
      </c>
      <c r="BD310" s="88">
        <f>'[1]D4 Gallon Forecast'!$AA366/1000000</f>
        <v>0</v>
      </c>
      <c r="BE310" s="88">
        <f t="shared" si="150"/>
        <v>597.69099903600704</v>
      </c>
      <c r="BF310" s="76">
        <f t="shared" si="172"/>
        <v>958.93098152465882</v>
      </c>
      <c r="BG310" s="22">
        <f t="shared" si="176"/>
        <v>2.1492330876613872</v>
      </c>
      <c r="BI310" s="21">
        <f t="shared" si="185"/>
        <v>4702.9000000000005</v>
      </c>
      <c r="BJ310" s="21">
        <f t="shared" si="168"/>
        <v>725.54499999999825</v>
      </c>
      <c r="BK310" s="21">
        <f>'RD Feedstock Breakdown'!ES301</f>
        <v>16298.222018499298</v>
      </c>
      <c r="BL310" s="89">
        <f t="shared" si="175"/>
        <v>16.996240952175548</v>
      </c>
      <c r="BM310" s="89">
        <f t="shared" si="173"/>
        <v>45.117436630955716</v>
      </c>
    </row>
    <row r="311" spans="1:65" ht="13.5" x14ac:dyDescent="0.25">
      <c r="A311" s="15">
        <v>49614</v>
      </c>
      <c r="B311" s="20">
        <f t="shared" si="174"/>
        <v>690</v>
      </c>
      <c r="C311" s="74">
        <v>47</v>
      </c>
      <c r="D311" s="20">
        <f t="shared" si="163"/>
        <v>3</v>
      </c>
      <c r="E311" s="20">
        <f t="shared" si="178"/>
        <v>85</v>
      </c>
      <c r="F311" s="20">
        <f t="shared" si="198"/>
        <v>340</v>
      </c>
      <c r="G311" s="20">
        <f t="shared" si="162"/>
        <v>37.5</v>
      </c>
      <c r="H311" s="20">
        <f t="shared" si="191"/>
        <v>190</v>
      </c>
      <c r="I311" s="20">
        <f t="shared" si="177"/>
        <v>250</v>
      </c>
      <c r="J311" s="20">
        <f t="shared" si="169"/>
        <v>153.30000000000001</v>
      </c>
      <c r="K311" s="20">
        <f t="shared" si="180"/>
        <v>125</v>
      </c>
      <c r="L311" s="20">
        <v>125</v>
      </c>
      <c r="M311" s="20">
        <v>730</v>
      </c>
      <c r="N311" s="20">
        <f t="shared" si="158"/>
        <v>180</v>
      </c>
      <c r="O311" s="74">
        <v>375</v>
      </c>
      <c r="P311" s="20">
        <f t="shared" si="186"/>
        <v>50</v>
      </c>
      <c r="Q311" s="20">
        <f t="shared" si="187"/>
        <v>21</v>
      </c>
      <c r="R311" s="20">
        <v>100</v>
      </c>
      <c r="S311" s="20">
        <f t="shared" si="192"/>
        <v>60</v>
      </c>
      <c r="T311" s="20">
        <f t="shared" si="181"/>
        <v>36</v>
      </c>
      <c r="U311" s="20"/>
      <c r="V311" s="20">
        <f t="shared" si="154"/>
        <v>0</v>
      </c>
      <c r="W311" s="20">
        <f t="shared" si="188"/>
        <v>20</v>
      </c>
      <c r="X311" s="20">
        <f t="shared" si="171"/>
        <v>0</v>
      </c>
      <c r="Y311" s="20">
        <f t="shared" si="183"/>
        <v>3.5</v>
      </c>
      <c r="Z311" s="20">
        <f t="shared" si="157"/>
        <v>230</v>
      </c>
      <c r="AA311" s="20">
        <f t="shared" si="182"/>
        <v>306</v>
      </c>
      <c r="AB311" s="20">
        <f t="shared" si="194"/>
        <v>60</v>
      </c>
      <c r="AC311" s="20">
        <f t="shared" si="151"/>
        <v>1.6</v>
      </c>
      <c r="AD311" s="20">
        <f t="shared" si="190"/>
        <v>180</v>
      </c>
      <c r="AE311" s="20">
        <f t="shared" si="193"/>
        <v>1.1000000000000001</v>
      </c>
      <c r="AF311" s="20">
        <f t="shared" si="197"/>
        <v>275</v>
      </c>
      <c r="AG311" s="20">
        <f t="shared" si="153"/>
        <v>18</v>
      </c>
      <c r="AH311" s="20">
        <f t="shared" si="195"/>
        <v>3</v>
      </c>
      <c r="AI311" s="20">
        <f t="shared" si="189"/>
        <v>47</v>
      </c>
      <c r="AJ311" s="20">
        <f t="shared" si="160"/>
        <v>90</v>
      </c>
      <c r="AK311" s="20">
        <f t="shared" si="166"/>
        <v>14</v>
      </c>
      <c r="AL311" s="20">
        <f t="shared" si="161"/>
        <v>45</v>
      </c>
      <c r="AM311" s="20">
        <v>46</v>
      </c>
      <c r="AN311" s="20">
        <f t="shared" si="167"/>
        <v>0.75</v>
      </c>
      <c r="AO311" s="20">
        <f t="shared" si="179"/>
        <v>19</v>
      </c>
      <c r="AP311" s="20">
        <f t="shared" si="179"/>
        <v>19</v>
      </c>
      <c r="AQ311" s="20">
        <f t="shared" si="170"/>
        <v>5</v>
      </c>
      <c r="AR311" s="20">
        <f t="shared" si="156"/>
        <v>120</v>
      </c>
      <c r="AS311" s="20">
        <f t="shared" si="159"/>
        <v>120</v>
      </c>
      <c r="AT311" s="20">
        <f t="shared" si="152"/>
        <v>55</v>
      </c>
      <c r="AU311" s="20"/>
      <c r="AV311" s="20"/>
      <c r="AW311" s="20">
        <f t="shared" si="184"/>
        <v>5276.7500000000009</v>
      </c>
      <c r="AX311" s="86">
        <f t="shared" si="196"/>
        <v>5428.4449999999988</v>
      </c>
      <c r="AY311" s="17">
        <f>'[1]D4 Gallon Forecast'!$AA159/1000000</f>
        <v>0</v>
      </c>
      <c r="AZ311" s="17">
        <f>'[1]D4 Gallon Forecast'!$AA191/1000000</f>
        <v>438.89857902037261</v>
      </c>
      <c r="BA311" s="17">
        <f t="shared" si="199"/>
        <v>438.89857902037261</v>
      </c>
      <c r="BB311" s="17">
        <f>'[1]D4 Gallon Forecast'!$AA175/1000000</f>
        <v>0</v>
      </c>
      <c r="BC311" s="87">
        <f>'[1]D4 Gallon Forecast'!$AA351/1000000</f>
        <v>517.26984189440452</v>
      </c>
      <c r="BD311" s="88">
        <f>'[1]D4 Gallon Forecast'!$AA367/1000000</f>
        <v>0</v>
      </c>
      <c r="BE311" s="88">
        <f t="shared" ref="BE311:BE374" si="200">BD311+BC311+BB311</f>
        <v>517.26984189440452</v>
      </c>
      <c r="BF311" s="76">
        <f t="shared" si="172"/>
        <v>956.16842091477713</v>
      </c>
      <c r="BG311" s="22">
        <f t="shared" si="176"/>
        <v>2.0739110468479001</v>
      </c>
      <c r="BI311" s="21">
        <f t="shared" si="185"/>
        <v>4702.9000000000005</v>
      </c>
      <c r="BJ311" s="21">
        <f t="shared" si="168"/>
        <v>725.54499999999825</v>
      </c>
      <c r="BK311" s="21">
        <f>'RD Feedstock Breakdown'!ES302</f>
        <v>15681.726767533197</v>
      </c>
      <c r="BL311" s="89">
        <f t="shared" si="175"/>
        <v>16.400590549236412</v>
      </c>
      <c r="BM311" s="89">
        <f t="shared" si="173"/>
        <v>35.729727816697462</v>
      </c>
    </row>
    <row r="312" spans="1:65" ht="13.5" x14ac:dyDescent="0.25">
      <c r="A312" s="15">
        <v>49644</v>
      </c>
      <c r="B312" s="20">
        <f t="shared" si="174"/>
        <v>690</v>
      </c>
      <c r="C312" s="74">
        <v>47</v>
      </c>
      <c r="D312" s="20">
        <f t="shared" si="163"/>
        <v>3</v>
      </c>
      <c r="E312" s="20">
        <f t="shared" si="178"/>
        <v>85</v>
      </c>
      <c r="F312" s="20">
        <f t="shared" si="198"/>
        <v>340</v>
      </c>
      <c r="G312" s="20">
        <f t="shared" si="162"/>
        <v>37.5</v>
      </c>
      <c r="H312" s="20">
        <f t="shared" si="191"/>
        <v>190</v>
      </c>
      <c r="I312" s="20">
        <f t="shared" si="177"/>
        <v>250</v>
      </c>
      <c r="J312" s="20">
        <f t="shared" si="169"/>
        <v>153.30000000000001</v>
      </c>
      <c r="K312" s="20">
        <f t="shared" si="180"/>
        <v>125</v>
      </c>
      <c r="L312" s="20">
        <v>125</v>
      </c>
      <c r="M312" s="20">
        <v>730</v>
      </c>
      <c r="N312" s="20">
        <f t="shared" si="158"/>
        <v>180</v>
      </c>
      <c r="O312" s="74">
        <v>375</v>
      </c>
      <c r="P312" s="20">
        <f t="shared" si="186"/>
        <v>50</v>
      </c>
      <c r="Q312" s="20">
        <f t="shared" si="187"/>
        <v>21</v>
      </c>
      <c r="R312" s="20">
        <v>100</v>
      </c>
      <c r="S312" s="20">
        <f t="shared" si="192"/>
        <v>60</v>
      </c>
      <c r="T312" s="20">
        <f t="shared" si="181"/>
        <v>36</v>
      </c>
      <c r="U312" s="20"/>
      <c r="V312" s="20">
        <f t="shared" si="154"/>
        <v>0</v>
      </c>
      <c r="W312" s="20">
        <f t="shared" si="188"/>
        <v>20</v>
      </c>
      <c r="X312" s="20">
        <f t="shared" si="171"/>
        <v>0</v>
      </c>
      <c r="Y312" s="20">
        <f t="shared" si="183"/>
        <v>3.5</v>
      </c>
      <c r="Z312" s="20">
        <f t="shared" si="157"/>
        <v>230</v>
      </c>
      <c r="AA312" s="20">
        <f t="shared" si="182"/>
        <v>306</v>
      </c>
      <c r="AB312" s="20">
        <f t="shared" si="194"/>
        <v>60</v>
      </c>
      <c r="AC312" s="20">
        <f t="shared" si="151"/>
        <v>1.6</v>
      </c>
      <c r="AD312" s="20">
        <f t="shared" si="190"/>
        <v>180</v>
      </c>
      <c r="AE312" s="20">
        <f t="shared" si="193"/>
        <v>1.1000000000000001</v>
      </c>
      <c r="AF312" s="20">
        <f t="shared" si="197"/>
        <v>275</v>
      </c>
      <c r="AG312" s="20">
        <f t="shared" si="153"/>
        <v>18</v>
      </c>
      <c r="AH312" s="20">
        <f t="shared" si="195"/>
        <v>3</v>
      </c>
      <c r="AI312" s="20">
        <f t="shared" si="189"/>
        <v>47</v>
      </c>
      <c r="AJ312" s="20">
        <f t="shared" si="160"/>
        <v>90</v>
      </c>
      <c r="AK312" s="20">
        <f t="shared" si="166"/>
        <v>14</v>
      </c>
      <c r="AL312" s="20">
        <f t="shared" si="161"/>
        <v>45</v>
      </c>
      <c r="AM312" s="20">
        <v>46</v>
      </c>
      <c r="AN312" s="20">
        <f t="shared" si="167"/>
        <v>0.75</v>
      </c>
      <c r="AO312" s="20">
        <f t="shared" si="179"/>
        <v>19</v>
      </c>
      <c r="AP312" s="20">
        <f t="shared" si="179"/>
        <v>19</v>
      </c>
      <c r="AQ312" s="20">
        <f t="shared" si="170"/>
        <v>5</v>
      </c>
      <c r="AR312" s="20">
        <f t="shared" si="156"/>
        <v>120</v>
      </c>
      <c r="AS312" s="20">
        <f t="shared" si="159"/>
        <v>120</v>
      </c>
      <c r="AT312" s="20">
        <f t="shared" si="152"/>
        <v>55</v>
      </c>
      <c r="AU312" s="20"/>
      <c r="AV312" s="20"/>
      <c r="AW312" s="20">
        <f t="shared" si="184"/>
        <v>5276.7500000000009</v>
      </c>
      <c r="AX312" s="86">
        <f t="shared" si="196"/>
        <v>5428.4449999999988</v>
      </c>
      <c r="AY312" s="17">
        <f>'[1]D4 Gallon Forecast'!$AA160/1000000</f>
        <v>0</v>
      </c>
      <c r="AZ312" s="17">
        <f>'[1]D4 Gallon Forecast'!$AA192/1000000</f>
        <v>498.00538767244387</v>
      </c>
      <c r="BA312" s="17">
        <f t="shared" si="199"/>
        <v>498.00538767244387</v>
      </c>
      <c r="BB312" s="17">
        <f>'[1]D4 Gallon Forecast'!$AA176/1000000</f>
        <v>0</v>
      </c>
      <c r="BC312" s="87">
        <f>'[1]D4 Gallon Forecast'!$AA352/1000000</f>
        <v>464.79360662914945</v>
      </c>
      <c r="BD312" s="88">
        <f>'[1]D4 Gallon Forecast'!$AA368/1000000</f>
        <v>0</v>
      </c>
      <c r="BE312" s="88">
        <f t="shared" si="200"/>
        <v>464.79360662914945</v>
      </c>
      <c r="BF312" s="76">
        <f t="shared" si="172"/>
        <v>962.79899430159332</v>
      </c>
      <c r="BG312" s="22">
        <f t="shared" si="176"/>
        <v>2.1579023883763004</v>
      </c>
      <c r="BI312" s="21">
        <f t="shared" si="185"/>
        <v>4702.9000000000005</v>
      </c>
      <c r="BJ312" s="21">
        <f t="shared" si="168"/>
        <v>725.54499999999825</v>
      </c>
      <c r="BK312" s="21">
        <f>'RD Feedstock Breakdown'!ES303</f>
        <v>16434.561166718711</v>
      </c>
      <c r="BL312" s="89">
        <f t="shared" si="175"/>
        <v>17.069566196047194</v>
      </c>
      <c r="BM312" s="89">
        <f t="shared" si="173"/>
        <v>33.000769818033206</v>
      </c>
    </row>
    <row r="313" spans="1:65" ht="13.5" x14ac:dyDescent="0.25">
      <c r="A313" s="15">
        <v>49675</v>
      </c>
      <c r="B313" s="20">
        <f t="shared" si="174"/>
        <v>690</v>
      </c>
      <c r="C313" s="74">
        <v>47</v>
      </c>
      <c r="D313" s="20">
        <f t="shared" si="163"/>
        <v>3</v>
      </c>
      <c r="E313" s="20">
        <f t="shared" si="178"/>
        <v>85</v>
      </c>
      <c r="F313" s="20">
        <f t="shared" si="198"/>
        <v>340</v>
      </c>
      <c r="G313" s="20">
        <f t="shared" si="162"/>
        <v>37.5</v>
      </c>
      <c r="H313" s="20">
        <f t="shared" si="191"/>
        <v>190</v>
      </c>
      <c r="I313" s="20">
        <f t="shared" si="177"/>
        <v>250</v>
      </c>
      <c r="J313" s="20">
        <f t="shared" si="169"/>
        <v>153.30000000000001</v>
      </c>
      <c r="K313" s="20">
        <f t="shared" si="180"/>
        <v>125</v>
      </c>
      <c r="L313" s="20">
        <v>125</v>
      </c>
      <c r="M313" s="20">
        <v>730</v>
      </c>
      <c r="N313" s="20">
        <f t="shared" si="158"/>
        <v>180</v>
      </c>
      <c r="O313" s="74">
        <v>375</v>
      </c>
      <c r="P313" s="20">
        <f t="shared" si="186"/>
        <v>50</v>
      </c>
      <c r="Q313" s="20">
        <f t="shared" si="187"/>
        <v>21</v>
      </c>
      <c r="R313" s="20">
        <v>100</v>
      </c>
      <c r="S313" s="20">
        <f t="shared" si="192"/>
        <v>60</v>
      </c>
      <c r="T313" s="20">
        <f t="shared" si="181"/>
        <v>36</v>
      </c>
      <c r="U313" s="20"/>
      <c r="V313" s="20">
        <f t="shared" si="154"/>
        <v>0</v>
      </c>
      <c r="W313" s="20">
        <f t="shared" si="188"/>
        <v>20</v>
      </c>
      <c r="X313" s="20">
        <f t="shared" si="171"/>
        <v>0</v>
      </c>
      <c r="Y313" s="20">
        <f t="shared" si="183"/>
        <v>3.5</v>
      </c>
      <c r="Z313" s="20">
        <f t="shared" si="157"/>
        <v>230</v>
      </c>
      <c r="AA313" s="20">
        <f t="shared" si="182"/>
        <v>306</v>
      </c>
      <c r="AB313" s="20">
        <f t="shared" si="194"/>
        <v>60</v>
      </c>
      <c r="AC313" s="20">
        <f t="shared" si="151"/>
        <v>1.6</v>
      </c>
      <c r="AD313" s="20">
        <f t="shared" si="190"/>
        <v>180</v>
      </c>
      <c r="AE313" s="20">
        <f t="shared" si="193"/>
        <v>1.1000000000000001</v>
      </c>
      <c r="AF313" s="20">
        <f t="shared" si="197"/>
        <v>275</v>
      </c>
      <c r="AG313" s="20">
        <f t="shared" si="153"/>
        <v>18</v>
      </c>
      <c r="AH313" s="20">
        <f t="shared" si="195"/>
        <v>3</v>
      </c>
      <c r="AI313" s="20">
        <f t="shared" si="189"/>
        <v>47</v>
      </c>
      <c r="AJ313" s="20">
        <f t="shared" si="160"/>
        <v>90</v>
      </c>
      <c r="AK313" s="20">
        <f t="shared" si="166"/>
        <v>14</v>
      </c>
      <c r="AL313" s="20">
        <f t="shared" si="161"/>
        <v>45</v>
      </c>
      <c r="AM313" s="20">
        <v>46</v>
      </c>
      <c r="AN313" s="20">
        <f t="shared" si="167"/>
        <v>0.75</v>
      </c>
      <c r="AO313" s="20">
        <f t="shared" si="179"/>
        <v>19</v>
      </c>
      <c r="AP313" s="20">
        <f t="shared" si="179"/>
        <v>19</v>
      </c>
      <c r="AQ313" s="20">
        <f t="shared" si="170"/>
        <v>5</v>
      </c>
      <c r="AR313" s="20">
        <f t="shared" si="156"/>
        <v>120</v>
      </c>
      <c r="AS313" s="20">
        <f t="shared" si="159"/>
        <v>120</v>
      </c>
      <c r="AT313" s="20">
        <f t="shared" si="152"/>
        <v>55</v>
      </c>
      <c r="AU313" s="20"/>
      <c r="AV313" s="20"/>
      <c r="AW313" s="20">
        <f t="shared" si="184"/>
        <v>5276.7500000000009</v>
      </c>
      <c r="AX313" s="86">
        <f t="shared" si="196"/>
        <v>5428.4449999999988</v>
      </c>
      <c r="AY313" s="17">
        <f>'[1]D4 Gallon Forecast'!$AB149/1000000</f>
        <v>0</v>
      </c>
      <c r="AZ313" s="17">
        <f>'[1]D4 Gallon Forecast'!$AB181/1000000</f>
        <v>281.96461745584696</v>
      </c>
      <c r="BA313" s="17">
        <f t="shared" si="199"/>
        <v>281.96461745584696</v>
      </c>
      <c r="BB313" s="17">
        <f>'[1]D4 Gallon Forecast'!$AB165/1000000</f>
        <v>0</v>
      </c>
      <c r="BC313" s="87">
        <f>'[1]D4 Gallon Forecast'!$AB341/1000000</f>
        <v>214.09789414772646</v>
      </c>
      <c r="BD313" s="88">
        <f>'[1]D4 Gallon Forecast'!$AB357/1000000</f>
        <v>0</v>
      </c>
      <c r="BE313" s="88">
        <f t="shared" si="200"/>
        <v>214.09789414772646</v>
      </c>
      <c r="BF313" s="76">
        <f t="shared" si="172"/>
        <v>496.0625116035734</v>
      </c>
      <c r="BG313" s="22">
        <f t="shared" si="176"/>
        <v>1.0759501153128557</v>
      </c>
      <c r="BI313" s="21">
        <f t="shared" si="185"/>
        <v>4702.9000000000005</v>
      </c>
      <c r="BJ313" s="21">
        <f t="shared" si="168"/>
        <v>725.54499999999825</v>
      </c>
      <c r="BK313" s="21">
        <f>'RD Feedstock Breakdown'!ES304</f>
        <v>4222.0097576770486</v>
      </c>
      <c r="BL313" s="89">
        <f t="shared" si="175"/>
        <v>8.5110437876649154</v>
      </c>
      <c r="BM313" s="89">
        <f t="shared" si="173"/>
        <v>14.973544538219148</v>
      </c>
    </row>
    <row r="314" spans="1:65" ht="13.5" x14ac:dyDescent="0.25">
      <c r="A314" s="15">
        <v>49706</v>
      </c>
      <c r="B314" s="20">
        <f t="shared" si="174"/>
        <v>690</v>
      </c>
      <c r="C314" s="74">
        <v>47</v>
      </c>
      <c r="D314" s="20">
        <f t="shared" si="163"/>
        <v>3</v>
      </c>
      <c r="E314" s="20">
        <f t="shared" si="178"/>
        <v>85</v>
      </c>
      <c r="F314" s="20">
        <f t="shared" si="198"/>
        <v>340</v>
      </c>
      <c r="G314" s="20">
        <f t="shared" si="162"/>
        <v>37.5</v>
      </c>
      <c r="H314" s="20">
        <f t="shared" si="191"/>
        <v>190</v>
      </c>
      <c r="I314" s="20">
        <f t="shared" si="177"/>
        <v>250</v>
      </c>
      <c r="J314" s="20">
        <f t="shared" si="169"/>
        <v>153.30000000000001</v>
      </c>
      <c r="K314" s="20">
        <f t="shared" si="180"/>
        <v>125</v>
      </c>
      <c r="L314" s="20">
        <v>125</v>
      </c>
      <c r="M314" s="20">
        <v>730</v>
      </c>
      <c r="N314" s="20">
        <f t="shared" si="158"/>
        <v>180</v>
      </c>
      <c r="O314" s="74">
        <v>375</v>
      </c>
      <c r="P314" s="20">
        <f t="shared" si="186"/>
        <v>50</v>
      </c>
      <c r="Q314" s="20">
        <f t="shared" si="187"/>
        <v>21</v>
      </c>
      <c r="R314" s="20">
        <v>100</v>
      </c>
      <c r="S314" s="20">
        <f t="shared" si="192"/>
        <v>60</v>
      </c>
      <c r="T314" s="20">
        <f t="shared" si="181"/>
        <v>36</v>
      </c>
      <c r="U314" s="20"/>
      <c r="V314" s="20">
        <f t="shared" si="154"/>
        <v>0</v>
      </c>
      <c r="W314" s="20">
        <f t="shared" si="188"/>
        <v>20</v>
      </c>
      <c r="X314" s="20">
        <f t="shared" si="171"/>
        <v>0</v>
      </c>
      <c r="Y314" s="20">
        <f t="shared" si="183"/>
        <v>3.5</v>
      </c>
      <c r="Z314" s="20">
        <f t="shared" si="157"/>
        <v>230</v>
      </c>
      <c r="AA314" s="20">
        <f t="shared" si="182"/>
        <v>306</v>
      </c>
      <c r="AB314" s="20">
        <f t="shared" si="194"/>
        <v>60</v>
      </c>
      <c r="AC314" s="20">
        <f t="shared" ref="AC314:AC377" si="201">32*$AC$12</f>
        <v>1.6</v>
      </c>
      <c r="AD314" s="20">
        <f t="shared" si="190"/>
        <v>180</v>
      </c>
      <c r="AE314" s="20">
        <f t="shared" si="193"/>
        <v>1.1000000000000001</v>
      </c>
      <c r="AF314" s="20">
        <f t="shared" si="197"/>
        <v>275</v>
      </c>
      <c r="AG314" s="20">
        <f t="shared" si="153"/>
        <v>18</v>
      </c>
      <c r="AH314" s="20">
        <f t="shared" si="195"/>
        <v>3</v>
      </c>
      <c r="AI314" s="20">
        <f t="shared" si="189"/>
        <v>47</v>
      </c>
      <c r="AJ314" s="20">
        <f t="shared" si="160"/>
        <v>90</v>
      </c>
      <c r="AK314" s="20">
        <f t="shared" si="166"/>
        <v>14</v>
      </c>
      <c r="AL314" s="20">
        <f t="shared" si="161"/>
        <v>45</v>
      </c>
      <c r="AM314" s="20">
        <v>46</v>
      </c>
      <c r="AN314" s="20">
        <f t="shared" si="167"/>
        <v>0.75</v>
      </c>
      <c r="AO314" s="20">
        <f t="shared" si="179"/>
        <v>19</v>
      </c>
      <c r="AP314" s="20">
        <f t="shared" si="179"/>
        <v>19</v>
      </c>
      <c r="AQ314" s="20">
        <f t="shared" si="170"/>
        <v>5</v>
      </c>
      <c r="AR314" s="20">
        <f t="shared" si="156"/>
        <v>120</v>
      </c>
      <c r="AS314" s="20">
        <f t="shared" si="159"/>
        <v>120</v>
      </c>
      <c r="AT314" s="20">
        <f t="shared" ref="AT314:AT377" si="202">$AT$5*$AT$12</f>
        <v>55</v>
      </c>
      <c r="AU314" s="20"/>
      <c r="AV314" s="20"/>
      <c r="AW314" s="20">
        <f t="shared" si="184"/>
        <v>5276.7500000000009</v>
      </c>
      <c r="AX314" s="86">
        <f t="shared" si="196"/>
        <v>5428.4449999999988</v>
      </c>
      <c r="AY314" s="17">
        <f>'[1]D4 Gallon Forecast'!$AB150/1000000</f>
        <v>0</v>
      </c>
      <c r="AZ314" s="17">
        <f>'[1]D4 Gallon Forecast'!$AB182/1000000</f>
        <v>310.92281444852603</v>
      </c>
      <c r="BA314" s="17">
        <f t="shared" si="199"/>
        <v>310.92281444852603</v>
      </c>
      <c r="BB314" s="17">
        <f>'[1]D4 Gallon Forecast'!$AB166/1000000</f>
        <v>0</v>
      </c>
      <c r="BC314" s="87">
        <f>'[1]D4 Gallon Forecast'!$AB342/1000000</f>
        <v>406.37995600577483</v>
      </c>
      <c r="BD314" s="88">
        <f>'[1]D4 Gallon Forecast'!$AB358/1000000</f>
        <v>0</v>
      </c>
      <c r="BE314" s="88">
        <f t="shared" si="200"/>
        <v>406.37995600577483</v>
      </c>
      <c r="BF314" s="76">
        <f t="shared" si="172"/>
        <v>717.3027704543008</v>
      </c>
      <c r="BG314" s="22">
        <f t="shared" si="176"/>
        <v>1.5558160121587712</v>
      </c>
      <c r="BI314" s="21">
        <f t="shared" si="185"/>
        <v>4702.9000000000005</v>
      </c>
      <c r="BJ314" s="21">
        <f t="shared" si="168"/>
        <v>725.54499999999825</v>
      </c>
      <c r="BK314" s="21">
        <f>'RD Feedstock Breakdown'!ES305</f>
        <v>8827.7786196498764</v>
      </c>
      <c r="BL314" s="89">
        <f t="shared" si="175"/>
        <v>12.306907185174872</v>
      </c>
      <c r="BM314" s="89">
        <f t="shared" si="173"/>
        <v>28.392186772487019</v>
      </c>
    </row>
    <row r="315" spans="1:65" ht="13.5" x14ac:dyDescent="0.25">
      <c r="A315" s="15">
        <v>49735</v>
      </c>
      <c r="B315" s="20">
        <f t="shared" si="174"/>
        <v>690</v>
      </c>
      <c r="C315" s="74">
        <v>47</v>
      </c>
      <c r="D315" s="20">
        <f t="shared" si="163"/>
        <v>3</v>
      </c>
      <c r="E315" s="20">
        <f t="shared" si="178"/>
        <v>85</v>
      </c>
      <c r="F315" s="20">
        <f t="shared" si="198"/>
        <v>340</v>
      </c>
      <c r="G315" s="20">
        <f t="shared" si="162"/>
        <v>37.5</v>
      </c>
      <c r="H315" s="20">
        <f t="shared" si="191"/>
        <v>190</v>
      </c>
      <c r="I315" s="20">
        <f t="shared" si="177"/>
        <v>250</v>
      </c>
      <c r="J315" s="20">
        <f t="shared" si="169"/>
        <v>153.30000000000001</v>
      </c>
      <c r="K315" s="20">
        <f t="shared" si="180"/>
        <v>125</v>
      </c>
      <c r="L315" s="20">
        <v>125</v>
      </c>
      <c r="M315" s="20">
        <v>730</v>
      </c>
      <c r="N315" s="20">
        <f t="shared" si="158"/>
        <v>180</v>
      </c>
      <c r="O315" s="74">
        <v>375</v>
      </c>
      <c r="P315" s="20">
        <f t="shared" si="186"/>
        <v>50</v>
      </c>
      <c r="Q315" s="20">
        <f t="shared" si="187"/>
        <v>21</v>
      </c>
      <c r="R315" s="20">
        <v>100</v>
      </c>
      <c r="S315" s="20">
        <f t="shared" si="192"/>
        <v>60</v>
      </c>
      <c r="T315" s="20">
        <f t="shared" si="181"/>
        <v>36</v>
      </c>
      <c r="U315" s="20"/>
      <c r="V315" s="20">
        <f t="shared" si="154"/>
        <v>0</v>
      </c>
      <c r="W315" s="20">
        <f t="shared" si="188"/>
        <v>20</v>
      </c>
      <c r="X315" s="20">
        <f t="shared" si="171"/>
        <v>0</v>
      </c>
      <c r="Y315" s="20">
        <f t="shared" si="183"/>
        <v>3.5</v>
      </c>
      <c r="Z315" s="20">
        <f t="shared" si="157"/>
        <v>230</v>
      </c>
      <c r="AA315" s="20">
        <f t="shared" si="182"/>
        <v>306</v>
      </c>
      <c r="AB315" s="20">
        <f t="shared" si="194"/>
        <v>60</v>
      </c>
      <c r="AC315" s="20">
        <f t="shared" si="201"/>
        <v>1.6</v>
      </c>
      <c r="AD315" s="20">
        <f t="shared" si="190"/>
        <v>180</v>
      </c>
      <c r="AE315" s="20">
        <f t="shared" si="193"/>
        <v>1.1000000000000001</v>
      </c>
      <c r="AF315" s="20">
        <f t="shared" si="197"/>
        <v>275</v>
      </c>
      <c r="AG315" s="20">
        <f t="shared" ref="AG315:AG378" si="203">$AG$5*$AG$12</f>
        <v>18</v>
      </c>
      <c r="AH315" s="20">
        <f t="shared" si="195"/>
        <v>3</v>
      </c>
      <c r="AI315" s="20">
        <f t="shared" si="189"/>
        <v>47</v>
      </c>
      <c r="AJ315" s="20">
        <f t="shared" si="160"/>
        <v>90</v>
      </c>
      <c r="AK315" s="20">
        <f t="shared" si="166"/>
        <v>14</v>
      </c>
      <c r="AL315" s="20">
        <f t="shared" si="161"/>
        <v>45</v>
      </c>
      <c r="AM315" s="20">
        <v>46</v>
      </c>
      <c r="AN315" s="20">
        <f t="shared" si="167"/>
        <v>0.75</v>
      </c>
      <c r="AO315" s="20">
        <f t="shared" si="179"/>
        <v>19</v>
      </c>
      <c r="AP315" s="20">
        <f t="shared" si="179"/>
        <v>19</v>
      </c>
      <c r="AQ315" s="20">
        <f t="shared" si="170"/>
        <v>5</v>
      </c>
      <c r="AR315" s="20">
        <f t="shared" si="156"/>
        <v>120</v>
      </c>
      <c r="AS315" s="20">
        <f t="shared" si="159"/>
        <v>120</v>
      </c>
      <c r="AT315" s="20">
        <f t="shared" si="202"/>
        <v>55</v>
      </c>
      <c r="AU315" s="20"/>
      <c r="AV315" s="20"/>
      <c r="AW315" s="20">
        <f t="shared" si="184"/>
        <v>5276.7500000000009</v>
      </c>
      <c r="AX315" s="86">
        <f t="shared" si="196"/>
        <v>5428.4449999999988</v>
      </c>
      <c r="AY315" s="17">
        <f>'[1]D4 Gallon Forecast'!$AB151/1000000</f>
        <v>0</v>
      </c>
      <c r="AZ315" s="17">
        <f>'[1]D4 Gallon Forecast'!$AB183/1000000</f>
        <v>327.48218673803007</v>
      </c>
      <c r="BA315" s="17">
        <f t="shared" si="199"/>
        <v>327.48218673803007</v>
      </c>
      <c r="BB315" s="17">
        <f>'[1]D4 Gallon Forecast'!$AB167/1000000</f>
        <v>0</v>
      </c>
      <c r="BC315" s="87">
        <f>'[1]D4 Gallon Forecast'!$AB343/1000000</f>
        <v>162.24592725913061</v>
      </c>
      <c r="BD315" s="88">
        <f>'[1]D4 Gallon Forecast'!$AB359/1000000</f>
        <v>0</v>
      </c>
      <c r="BE315" s="88">
        <f t="shared" si="200"/>
        <v>162.24592725913061</v>
      </c>
      <c r="BF315" s="76">
        <f t="shared" si="172"/>
        <v>489.72811399716068</v>
      </c>
      <c r="BG315" s="22">
        <f t="shared" si="176"/>
        <v>1.1354668539197383</v>
      </c>
      <c r="BI315" s="21">
        <f t="shared" si="185"/>
        <v>4702.9000000000005</v>
      </c>
      <c r="BJ315" s="21">
        <f t="shared" si="168"/>
        <v>725.54499999999825</v>
      </c>
      <c r="BK315" s="21">
        <f>'RD Feedstock Breakdown'!ES306</f>
        <v>4398.6578927328255</v>
      </c>
      <c r="BL315" s="89">
        <f t="shared" si="175"/>
        <v>8.9818365885327296</v>
      </c>
      <c r="BM315" s="89">
        <f t="shared" si="173"/>
        <v>13.431747041104069</v>
      </c>
    </row>
    <row r="316" spans="1:65" ht="13.5" x14ac:dyDescent="0.25">
      <c r="A316" s="15">
        <v>49766</v>
      </c>
      <c r="B316" s="20">
        <f t="shared" si="174"/>
        <v>690</v>
      </c>
      <c r="C316" s="74">
        <v>47</v>
      </c>
      <c r="D316" s="20">
        <f t="shared" si="163"/>
        <v>3</v>
      </c>
      <c r="E316" s="20">
        <f t="shared" si="178"/>
        <v>85</v>
      </c>
      <c r="F316" s="20">
        <f t="shared" si="198"/>
        <v>340</v>
      </c>
      <c r="G316" s="20">
        <f t="shared" si="162"/>
        <v>37.5</v>
      </c>
      <c r="H316" s="20">
        <f t="shared" si="191"/>
        <v>190</v>
      </c>
      <c r="I316" s="20">
        <f t="shared" si="177"/>
        <v>250</v>
      </c>
      <c r="J316" s="20">
        <f t="shared" si="169"/>
        <v>153.30000000000001</v>
      </c>
      <c r="K316" s="20">
        <f t="shared" si="180"/>
        <v>125</v>
      </c>
      <c r="L316" s="20">
        <v>125</v>
      </c>
      <c r="M316" s="20">
        <v>730</v>
      </c>
      <c r="N316" s="20">
        <f t="shared" si="158"/>
        <v>180</v>
      </c>
      <c r="O316" s="74">
        <v>375</v>
      </c>
      <c r="P316" s="20">
        <f t="shared" si="186"/>
        <v>50</v>
      </c>
      <c r="Q316" s="20">
        <f t="shared" si="187"/>
        <v>21</v>
      </c>
      <c r="R316" s="20">
        <v>100</v>
      </c>
      <c r="S316" s="20">
        <f t="shared" si="192"/>
        <v>60</v>
      </c>
      <c r="T316" s="20">
        <f t="shared" si="181"/>
        <v>36</v>
      </c>
      <c r="U316" s="20"/>
      <c r="V316" s="20">
        <f t="shared" ref="V316:V379" si="204">$V$5*$V$12</f>
        <v>0</v>
      </c>
      <c r="W316" s="20">
        <f t="shared" si="188"/>
        <v>20</v>
      </c>
      <c r="X316" s="20">
        <f t="shared" si="171"/>
        <v>0</v>
      </c>
      <c r="Y316" s="20">
        <f t="shared" si="183"/>
        <v>3.5</v>
      </c>
      <c r="Z316" s="20">
        <f t="shared" si="157"/>
        <v>230</v>
      </c>
      <c r="AA316" s="20">
        <f t="shared" si="182"/>
        <v>306</v>
      </c>
      <c r="AB316" s="20">
        <f t="shared" si="194"/>
        <v>60</v>
      </c>
      <c r="AC316" s="20">
        <f t="shared" si="201"/>
        <v>1.6</v>
      </c>
      <c r="AD316" s="20">
        <f t="shared" si="190"/>
        <v>180</v>
      </c>
      <c r="AE316" s="20">
        <f t="shared" si="193"/>
        <v>1.1000000000000001</v>
      </c>
      <c r="AF316" s="20">
        <f t="shared" si="197"/>
        <v>275</v>
      </c>
      <c r="AG316" s="20">
        <f t="shared" si="203"/>
        <v>18</v>
      </c>
      <c r="AH316" s="20">
        <f t="shared" si="195"/>
        <v>3</v>
      </c>
      <c r="AI316" s="20">
        <f t="shared" si="189"/>
        <v>47</v>
      </c>
      <c r="AJ316" s="20">
        <f t="shared" si="160"/>
        <v>90</v>
      </c>
      <c r="AK316" s="20">
        <f t="shared" si="166"/>
        <v>14</v>
      </c>
      <c r="AL316" s="20">
        <f t="shared" si="161"/>
        <v>45</v>
      </c>
      <c r="AM316" s="20">
        <v>46</v>
      </c>
      <c r="AN316" s="20">
        <f t="shared" si="167"/>
        <v>0.75</v>
      </c>
      <c r="AO316" s="20">
        <f t="shared" ref="AO316:AP347" si="205">$AO$12*$AO$5</f>
        <v>19</v>
      </c>
      <c r="AP316" s="20">
        <f t="shared" si="205"/>
        <v>19</v>
      </c>
      <c r="AQ316" s="20">
        <f t="shared" si="170"/>
        <v>5</v>
      </c>
      <c r="AR316" s="20">
        <f t="shared" ref="AR316:AR379" si="206">$AR$5*$AR$12</f>
        <v>120</v>
      </c>
      <c r="AS316" s="20">
        <f t="shared" si="159"/>
        <v>120</v>
      </c>
      <c r="AT316" s="20">
        <f t="shared" si="202"/>
        <v>55</v>
      </c>
      <c r="AU316" s="20"/>
      <c r="AV316" s="20"/>
      <c r="AW316" s="20">
        <f t="shared" si="184"/>
        <v>5276.7500000000009</v>
      </c>
      <c r="AX316" s="86">
        <f t="shared" si="196"/>
        <v>5428.4449999999988</v>
      </c>
      <c r="AY316" s="17">
        <f>'[1]D4 Gallon Forecast'!$AB152/1000000</f>
        <v>0</v>
      </c>
      <c r="AZ316" s="17">
        <f>'[1]D4 Gallon Forecast'!$AB184/1000000</f>
        <v>317.96907245122389</v>
      </c>
      <c r="BA316" s="17">
        <f t="shared" si="199"/>
        <v>317.96907245122389</v>
      </c>
      <c r="BB316" s="17">
        <f>'[1]D4 Gallon Forecast'!$AB168/1000000</f>
        <v>0</v>
      </c>
      <c r="BC316" s="87">
        <f>'[1]D4 Gallon Forecast'!$AB344/1000000</f>
        <v>260.37045206182569</v>
      </c>
      <c r="BD316" s="88">
        <f>'[1]D4 Gallon Forecast'!$AB360/1000000</f>
        <v>0</v>
      </c>
      <c r="BE316" s="88">
        <f t="shared" si="200"/>
        <v>260.37045206182569</v>
      </c>
      <c r="BF316" s="76">
        <f t="shared" si="172"/>
        <v>578.33952451304958</v>
      </c>
      <c r="BG316" s="22">
        <f t="shared" si="176"/>
        <v>1.2544073852270423</v>
      </c>
      <c r="BI316" s="21">
        <f t="shared" si="185"/>
        <v>4702.9000000000005</v>
      </c>
      <c r="BJ316" s="21">
        <f t="shared" si="168"/>
        <v>725.54499999999825</v>
      </c>
      <c r="BK316" s="21">
        <f>'RD Feedstock Breakdown'!ES307</f>
        <v>5738.6820607098844</v>
      </c>
      <c r="BL316" s="89">
        <f t="shared" si="175"/>
        <v>9.9226869641007873</v>
      </c>
      <c r="BM316" s="89">
        <f t="shared" si="173"/>
        <v>18.047925279242975</v>
      </c>
    </row>
    <row r="317" spans="1:65" ht="13.5" x14ac:dyDescent="0.25">
      <c r="A317" s="15">
        <v>49796</v>
      </c>
      <c r="B317" s="20">
        <f t="shared" si="174"/>
        <v>690</v>
      </c>
      <c r="C317" s="74">
        <v>47</v>
      </c>
      <c r="D317" s="20">
        <f t="shared" si="163"/>
        <v>3</v>
      </c>
      <c r="E317" s="20">
        <f t="shared" si="178"/>
        <v>85</v>
      </c>
      <c r="F317" s="20">
        <f t="shared" si="198"/>
        <v>340</v>
      </c>
      <c r="G317" s="20">
        <f t="shared" si="162"/>
        <v>37.5</v>
      </c>
      <c r="H317" s="20">
        <f t="shared" si="191"/>
        <v>190</v>
      </c>
      <c r="I317" s="20">
        <f t="shared" si="177"/>
        <v>250</v>
      </c>
      <c r="J317" s="20">
        <f t="shared" si="169"/>
        <v>153.30000000000001</v>
      </c>
      <c r="K317" s="20">
        <f t="shared" si="180"/>
        <v>125</v>
      </c>
      <c r="L317" s="20">
        <v>125</v>
      </c>
      <c r="M317" s="20">
        <v>730</v>
      </c>
      <c r="N317" s="20">
        <f t="shared" si="158"/>
        <v>180</v>
      </c>
      <c r="O317" s="74">
        <v>375</v>
      </c>
      <c r="P317" s="20">
        <f t="shared" si="186"/>
        <v>50</v>
      </c>
      <c r="Q317" s="20">
        <f t="shared" si="187"/>
        <v>21</v>
      </c>
      <c r="R317" s="20">
        <v>100</v>
      </c>
      <c r="S317" s="20">
        <f t="shared" si="192"/>
        <v>60</v>
      </c>
      <c r="T317" s="20">
        <f t="shared" si="181"/>
        <v>36</v>
      </c>
      <c r="U317" s="20"/>
      <c r="V317" s="20">
        <f t="shared" si="204"/>
        <v>0</v>
      </c>
      <c r="W317" s="20">
        <f t="shared" si="188"/>
        <v>20</v>
      </c>
      <c r="X317" s="20">
        <f t="shared" si="171"/>
        <v>0</v>
      </c>
      <c r="Y317" s="20">
        <f t="shared" si="183"/>
        <v>3.5</v>
      </c>
      <c r="Z317" s="20">
        <f t="shared" si="157"/>
        <v>230</v>
      </c>
      <c r="AA317" s="20">
        <f t="shared" si="182"/>
        <v>306</v>
      </c>
      <c r="AB317" s="20">
        <f t="shared" si="194"/>
        <v>60</v>
      </c>
      <c r="AC317" s="20">
        <f t="shared" si="201"/>
        <v>1.6</v>
      </c>
      <c r="AD317" s="20">
        <f t="shared" si="190"/>
        <v>180</v>
      </c>
      <c r="AE317" s="20">
        <f t="shared" si="193"/>
        <v>1.1000000000000001</v>
      </c>
      <c r="AF317" s="20">
        <f t="shared" si="197"/>
        <v>275</v>
      </c>
      <c r="AG317" s="20">
        <f t="shared" si="203"/>
        <v>18</v>
      </c>
      <c r="AH317" s="20">
        <f t="shared" si="195"/>
        <v>3</v>
      </c>
      <c r="AI317" s="20">
        <f t="shared" si="189"/>
        <v>47</v>
      </c>
      <c r="AJ317" s="20">
        <f t="shared" si="160"/>
        <v>90</v>
      </c>
      <c r="AK317" s="20">
        <f t="shared" si="166"/>
        <v>14</v>
      </c>
      <c r="AL317" s="20">
        <f t="shared" si="161"/>
        <v>45</v>
      </c>
      <c r="AM317" s="20">
        <v>46</v>
      </c>
      <c r="AN317" s="20">
        <f t="shared" si="167"/>
        <v>0.75</v>
      </c>
      <c r="AO317" s="20">
        <f t="shared" si="205"/>
        <v>19</v>
      </c>
      <c r="AP317" s="20">
        <f t="shared" si="205"/>
        <v>19</v>
      </c>
      <c r="AQ317" s="20">
        <f t="shared" si="170"/>
        <v>5</v>
      </c>
      <c r="AR317" s="20">
        <f t="shared" si="206"/>
        <v>120</v>
      </c>
      <c r="AS317" s="20">
        <f t="shared" si="159"/>
        <v>120</v>
      </c>
      <c r="AT317" s="20">
        <f t="shared" si="202"/>
        <v>55</v>
      </c>
      <c r="AU317" s="20"/>
      <c r="AV317" s="20"/>
      <c r="AW317" s="20">
        <f t="shared" si="184"/>
        <v>5276.7500000000009</v>
      </c>
      <c r="AX317" s="86">
        <f t="shared" si="196"/>
        <v>5428.4449999999988</v>
      </c>
      <c r="AY317" s="17">
        <f>'[1]D4 Gallon Forecast'!$AB153/1000000</f>
        <v>0</v>
      </c>
      <c r="AZ317" s="17">
        <f>'[1]D4 Gallon Forecast'!$AB185/1000000</f>
        <v>355.2016140621501</v>
      </c>
      <c r="BA317" s="17">
        <f t="shared" si="199"/>
        <v>355.2016140621501</v>
      </c>
      <c r="BB317" s="17">
        <f>'[1]D4 Gallon Forecast'!$AB169/1000000</f>
        <v>0</v>
      </c>
      <c r="BC317" s="87">
        <f>'[1]D4 Gallon Forecast'!$AB345/1000000</f>
        <v>342.73851004728289</v>
      </c>
      <c r="BD317" s="88">
        <f>'[1]D4 Gallon Forecast'!$AB361/1000000</f>
        <v>0</v>
      </c>
      <c r="BE317" s="88">
        <f t="shared" si="200"/>
        <v>342.73851004728289</v>
      </c>
      <c r="BF317" s="76">
        <f t="shared" si="172"/>
        <v>697.94012410943299</v>
      </c>
      <c r="BG317" s="22">
        <f t="shared" si="176"/>
        <v>1.5642794287003805</v>
      </c>
      <c r="BI317" s="21">
        <f t="shared" si="185"/>
        <v>4702.9000000000005</v>
      </c>
      <c r="BJ317" s="21">
        <f t="shared" si="168"/>
        <v>725.54499999999825</v>
      </c>
      <c r="BK317" s="21">
        <f>'RD Feedstock Breakdown'!ES308</f>
        <v>8636.2098942161283</v>
      </c>
      <c r="BL317" s="89">
        <f t="shared" si="175"/>
        <v>12.373854999719175</v>
      </c>
      <c r="BM317" s="89">
        <f t="shared" si="173"/>
        <v>24.313543498439845</v>
      </c>
    </row>
    <row r="318" spans="1:65" ht="13.5" x14ac:dyDescent="0.25">
      <c r="A318" s="15">
        <v>49827</v>
      </c>
      <c r="B318" s="20">
        <f t="shared" si="174"/>
        <v>690</v>
      </c>
      <c r="C318" s="74">
        <v>47</v>
      </c>
      <c r="D318" s="20">
        <f t="shared" si="163"/>
        <v>3</v>
      </c>
      <c r="E318" s="20">
        <f t="shared" si="178"/>
        <v>85</v>
      </c>
      <c r="F318" s="20">
        <f t="shared" si="198"/>
        <v>340</v>
      </c>
      <c r="G318" s="20">
        <f t="shared" si="162"/>
        <v>37.5</v>
      </c>
      <c r="H318" s="20">
        <f t="shared" si="191"/>
        <v>190</v>
      </c>
      <c r="I318" s="20">
        <f t="shared" si="177"/>
        <v>250</v>
      </c>
      <c r="J318" s="20">
        <f t="shared" si="169"/>
        <v>153.30000000000001</v>
      </c>
      <c r="K318" s="20">
        <f t="shared" si="180"/>
        <v>125</v>
      </c>
      <c r="L318" s="20">
        <v>125</v>
      </c>
      <c r="M318" s="20">
        <v>730</v>
      </c>
      <c r="N318" s="20">
        <f t="shared" si="158"/>
        <v>180</v>
      </c>
      <c r="O318" s="74">
        <v>375</v>
      </c>
      <c r="P318" s="20">
        <f t="shared" si="186"/>
        <v>50</v>
      </c>
      <c r="Q318" s="20">
        <f t="shared" si="187"/>
        <v>21</v>
      </c>
      <c r="R318" s="20">
        <v>100</v>
      </c>
      <c r="S318" s="20">
        <f t="shared" si="192"/>
        <v>60</v>
      </c>
      <c r="T318" s="20">
        <f t="shared" si="181"/>
        <v>36</v>
      </c>
      <c r="U318" s="20"/>
      <c r="V318" s="20">
        <f t="shared" si="204"/>
        <v>0</v>
      </c>
      <c r="W318" s="20">
        <f t="shared" si="188"/>
        <v>20</v>
      </c>
      <c r="X318" s="20">
        <f t="shared" si="171"/>
        <v>0</v>
      </c>
      <c r="Y318" s="20">
        <f t="shared" si="183"/>
        <v>3.5</v>
      </c>
      <c r="Z318" s="20">
        <f t="shared" si="157"/>
        <v>230</v>
      </c>
      <c r="AA318" s="20">
        <f t="shared" si="182"/>
        <v>306</v>
      </c>
      <c r="AB318" s="20">
        <f t="shared" si="194"/>
        <v>60</v>
      </c>
      <c r="AC318" s="20">
        <f t="shared" si="201"/>
        <v>1.6</v>
      </c>
      <c r="AD318" s="20">
        <f t="shared" si="190"/>
        <v>180</v>
      </c>
      <c r="AE318" s="20">
        <f t="shared" si="193"/>
        <v>1.1000000000000001</v>
      </c>
      <c r="AF318" s="20">
        <f t="shared" si="197"/>
        <v>275</v>
      </c>
      <c r="AG318" s="20">
        <f t="shared" si="203"/>
        <v>18</v>
      </c>
      <c r="AH318" s="20">
        <f t="shared" si="195"/>
        <v>3</v>
      </c>
      <c r="AI318" s="20">
        <f t="shared" si="189"/>
        <v>47</v>
      </c>
      <c r="AJ318" s="20">
        <f t="shared" si="160"/>
        <v>90</v>
      </c>
      <c r="AK318" s="20">
        <f t="shared" si="166"/>
        <v>14</v>
      </c>
      <c r="AL318" s="20">
        <f t="shared" si="161"/>
        <v>45</v>
      </c>
      <c r="AM318" s="20">
        <v>46</v>
      </c>
      <c r="AN318" s="20">
        <f t="shared" si="167"/>
        <v>0.75</v>
      </c>
      <c r="AO318" s="20">
        <f t="shared" si="205"/>
        <v>19</v>
      </c>
      <c r="AP318" s="20">
        <f t="shared" si="205"/>
        <v>19</v>
      </c>
      <c r="AQ318" s="20">
        <f t="shared" si="170"/>
        <v>5</v>
      </c>
      <c r="AR318" s="20">
        <f t="shared" si="206"/>
        <v>120</v>
      </c>
      <c r="AS318" s="20">
        <f t="shared" si="159"/>
        <v>120</v>
      </c>
      <c r="AT318" s="20">
        <f t="shared" si="202"/>
        <v>55</v>
      </c>
      <c r="AU318" s="20"/>
      <c r="AV318" s="20"/>
      <c r="AW318" s="20">
        <f t="shared" si="184"/>
        <v>5276.7500000000009</v>
      </c>
      <c r="AX318" s="86">
        <f t="shared" si="196"/>
        <v>5428.4449999999988</v>
      </c>
      <c r="AY318" s="17">
        <f>'[1]D4 Gallon Forecast'!$AB154/1000000</f>
        <v>0</v>
      </c>
      <c r="AZ318" s="17">
        <f>'[1]D4 Gallon Forecast'!$AB186/1000000</f>
        <v>352.30437164720013</v>
      </c>
      <c r="BA318" s="17">
        <f t="shared" si="199"/>
        <v>352.30437164720013</v>
      </c>
      <c r="BB318" s="17">
        <f>'[1]D4 Gallon Forecast'!$AB170/1000000</f>
        <v>0</v>
      </c>
      <c r="BC318" s="87">
        <f>'[1]D4 Gallon Forecast'!$AB346/1000000</f>
        <v>326.94265339627157</v>
      </c>
      <c r="BD318" s="88">
        <f>'[1]D4 Gallon Forecast'!$AB362/1000000</f>
        <v>0</v>
      </c>
      <c r="BE318" s="88">
        <f t="shared" si="200"/>
        <v>326.94265339627157</v>
      </c>
      <c r="BF318" s="76">
        <f t="shared" si="172"/>
        <v>679.24702504347169</v>
      </c>
      <c r="BG318" s="22">
        <f t="shared" si="176"/>
        <v>1.4732738270403356</v>
      </c>
      <c r="BI318" s="21">
        <f t="shared" si="185"/>
        <v>4702.9000000000005</v>
      </c>
      <c r="BJ318" s="21">
        <f t="shared" si="168"/>
        <v>725.54499999999825</v>
      </c>
      <c r="BK318" s="21">
        <f>'RD Feedstock Breakdown'!ES309</f>
        <v>7915.9293057572941</v>
      </c>
      <c r="BL318" s="89">
        <f t="shared" si="175"/>
        <v>11.653977145134608</v>
      </c>
      <c r="BM318" s="89">
        <f t="shared" si="173"/>
        <v>22.469006753297847</v>
      </c>
    </row>
    <row r="319" spans="1:65" ht="13.5" x14ac:dyDescent="0.25">
      <c r="A319" s="15">
        <v>49857</v>
      </c>
      <c r="B319" s="20">
        <f t="shared" si="174"/>
        <v>690</v>
      </c>
      <c r="C319" s="74">
        <v>47</v>
      </c>
      <c r="D319" s="20">
        <f t="shared" si="163"/>
        <v>3</v>
      </c>
      <c r="E319" s="20">
        <f t="shared" si="178"/>
        <v>85</v>
      </c>
      <c r="F319" s="20">
        <f t="shared" si="198"/>
        <v>340</v>
      </c>
      <c r="G319" s="20">
        <f t="shared" si="162"/>
        <v>37.5</v>
      </c>
      <c r="H319" s="20">
        <f t="shared" si="191"/>
        <v>190</v>
      </c>
      <c r="I319" s="20">
        <f t="shared" si="177"/>
        <v>250</v>
      </c>
      <c r="J319" s="20">
        <f t="shared" si="169"/>
        <v>153.30000000000001</v>
      </c>
      <c r="K319" s="20">
        <f t="shared" si="180"/>
        <v>125</v>
      </c>
      <c r="L319" s="20">
        <v>125</v>
      </c>
      <c r="M319" s="20">
        <v>730</v>
      </c>
      <c r="N319" s="20">
        <f t="shared" si="158"/>
        <v>180</v>
      </c>
      <c r="O319" s="74">
        <v>375</v>
      </c>
      <c r="P319" s="20">
        <f t="shared" si="186"/>
        <v>50</v>
      </c>
      <c r="Q319" s="20">
        <f t="shared" si="187"/>
        <v>21</v>
      </c>
      <c r="R319" s="20">
        <v>100</v>
      </c>
      <c r="S319" s="20">
        <f t="shared" si="192"/>
        <v>60</v>
      </c>
      <c r="T319" s="20">
        <f t="shared" si="181"/>
        <v>36</v>
      </c>
      <c r="U319" s="20"/>
      <c r="V319" s="20">
        <f t="shared" si="204"/>
        <v>0</v>
      </c>
      <c r="W319" s="20">
        <f t="shared" si="188"/>
        <v>20</v>
      </c>
      <c r="X319" s="20">
        <f t="shared" si="171"/>
        <v>0</v>
      </c>
      <c r="Y319" s="20">
        <f t="shared" si="183"/>
        <v>3.5</v>
      </c>
      <c r="Z319" s="20">
        <f t="shared" si="157"/>
        <v>230</v>
      </c>
      <c r="AA319" s="20">
        <f t="shared" si="182"/>
        <v>306</v>
      </c>
      <c r="AB319" s="20">
        <f t="shared" si="194"/>
        <v>60</v>
      </c>
      <c r="AC319" s="20">
        <f t="shared" si="201"/>
        <v>1.6</v>
      </c>
      <c r="AD319" s="20">
        <f t="shared" si="190"/>
        <v>180</v>
      </c>
      <c r="AE319" s="20">
        <f t="shared" si="193"/>
        <v>1.1000000000000001</v>
      </c>
      <c r="AF319" s="20">
        <f t="shared" si="197"/>
        <v>275</v>
      </c>
      <c r="AG319" s="20">
        <f t="shared" si="203"/>
        <v>18</v>
      </c>
      <c r="AH319" s="20">
        <f t="shared" si="195"/>
        <v>3</v>
      </c>
      <c r="AI319" s="20">
        <f t="shared" si="189"/>
        <v>47</v>
      </c>
      <c r="AJ319" s="20">
        <f t="shared" si="160"/>
        <v>90</v>
      </c>
      <c r="AK319" s="20">
        <f t="shared" si="166"/>
        <v>14</v>
      </c>
      <c r="AL319" s="20">
        <f t="shared" si="161"/>
        <v>45</v>
      </c>
      <c r="AM319" s="20">
        <v>46</v>
      </c>
      <c r="AN319" s="20">
        <f t="shared" si="167"/>
        <v>0.75</v>
      </c>
      <c r="AO319" s="20">
        <f t="shared" si="205"/>
        <v>19</v>
      </c>
      <c r="AP319" s="20">
        <f t="shared" si="205"/>
        <v>19</v>
      </c>
      <c r="AQ319" s="20">
        <f t="shared" si="170"/>
        <v>5</v>
      </c>
      <c r="AR319" s="20">
        <f t="shared" si="206"/>
        <v>120</v>
      </c>
      <c r="AS319" s="20">
        <f t="shared" si="159"/>
        <v>120</v>
      </c>
      <c r="AT319" s="20">
        <f t="shared" si="202"/>
        <v>55</v>
      </c>
      <c r="AU319" s="20"/>
      <c r="AV319" s="20"/>
      <c r="AW319" s="20">
        <f t="shared" si="184"/>
        <v>5276.7500000000009</v>
      </c>
      <c r="AX319" s="86">
        <f t="shared" si="196"/>
        <v>5428.4449999999988</v>
      </c>
      <c r="AY319" s="17">
        <f>'[1]D4 Gallon Forecast'!$AB155/1000000</f>
        <v>0</v>
      </c>
      <c r="AZ319" s="17">
        <f>'[1]D4 Gallon Forecast'!$AB187/1000000</f>
        <v>345.06337528836048</v>
      </c>
      <c r="BA319" s="17">
        <f t="shared" si="199"/>
        <v>345.06337528836048</v>
      </c>
      <c r="BB319" s="17">
        <f>'[1]D4 Gallon Forecast'!$AB171/1000000</f>
        <v>0</v>
      </c>
      <c r="BC319" s="87">
        <f>'[1]D4 Gallon Forecast'!$AB347/1000000</f>
        <v>355.66391497845484</v>
      </c>
      <c r="BD319" s="88">
        <f>'[1]D4 Gallon Forecast'!$AB363/1000000</f>
        <v>0</v>
      </c>
      <c r="BE319" s="88">
        <f t="shared" si="200"/>
        <v>355.66391497845484</v>
      </c>
      <c r="BF319" s="76">
        <f t="shared" si="172"/>
        <v>700.72729026681532</v>
      </c>
      <c r="BG319" s="22">
        <f t="shared" si="176"/>
        <v>1.5705262492137104</v>
      </c>
      <c r="BI319" s="21">
        <f t="shared" si="185"/>
        <v>4702.9000000000005</v>
      </c>
      <c r="BJ319" s="21">
        <f t="shared" si="168"/>
        <v>725.54499999999825</v>
      </c>
      <c r="BK319" s="21">
        <f>'RD Feedstock Breakdown'!ES310</f>
        <v>8705.3235989343248</v>
      </c>
      <c r="BL319" s="89">
        <f t="shared" si="175"/>
        <v>12.423268966190266</v>
      </c>
      <c r="BM319" s="89">
        <f t="shared" si="173"/>
        <v>25.228187696418122</v>
      </c>
    </row>
    <row r="320" spans="1:65" ht="13.5" x14ac:dyDescent="0.25">
      <c r="A320" s="15">
        <v>49888</v>
      </c>
      <c r="B320" s="20">
        <f t="shared" si="174"/>
        <v>690</v>
      </c>
      <c r="C320" s="74">
        <v>47</v>
      </c>
      <c r="D320" s="20">
        <f t="shared" si="163"/>
        <v>3</v>
      </c>
      <c r="E320" s="20">
        <f t="shared" si="178"/>
        <v>85</v>
      </c>
      <c r="F320" s="20">
        <f t="shared" si="198"/>
        <v>340</v>
      </c>
      <c r="G320" s="20">
        <f t="shared" si="162"/>
        <v>37.5</v>
      </c>
      <c r="H320" s="20">
        <f t="shared" si="191"/>
        <v>190</v>
      </c>
      <c r="I320" s="20">
        <f t="shared" si="177"/>
        <v>250</v>
      </c>
      <c r="J320" s="20">
        <f t="shared" si="169"/>
        <v>153.30000000000001</v>
      </c>
      <c r="K320" s="20">
        <f t="shared" si="180"/>
        <v>125</v>
      </c>
      <c r="L320" s="20">
        <v>125</v>
      </c>
      <c r="M320" s="20">
        <v>730</v>
      </c>
      <c r="N320" s="20">
        <f t="shared" si="158"/>
        <v>180</v>
      </c>
      <c r="O320" s="74">
        <v>375</v>
      </c>
      <c r="P320" s="20">
        <f t="shared" si="186"/>
        <v>50</v>
      </c>
      <c r="Q320" s="20">
        <f t="shared" si="187"/>
        <v>21</v>
      </c>
      <c r="R320" s="20">
        <v>100</v>
      </c>
      <c r="S320" s="20">
        <f t="shared" si="192"/>
        <v>60</v>
      </c>
      <c r="T320" s="20">
        <f t="shared" si="181"/>
        <v>36</v>
      </c>
      <c r="U320" s="20"/>
      <c r="V320" s="20">
        <f t="shared" si="204"/>
        <v>0</v>
      </c>
      <c r="W320" s="20">
        <f t="shared" si="188"/>
        <v>20</v>
      </c>
      <c r="X320" s="20">
        <f t="shared" si="171"/>
        <v>0</v>
      </c>
      <c r="Y320" s="20">
        <f t="shared" si="183"/>
        <v>3.5</v>
      </c>
      <c r="Z320" s="20">
        <f t="shared" ref="Z320:Z385" si="207">920*$Z$12</f>
        <v>230</v>
      </c>
      <c r="AA320" s="20">
        <f t="shared" si="182"/>
        <v>306</v>
      </c>
      <c r="AB320" s="20">
        <f t="shared" si="194"/>
        <v>60</v>
      </c>
      <c r="AC320" s="20">
        <f t="shared" si="201"/>
        <v>1.6</v>
      </c>
      <c r="AD320" s="20">
        <f t="shared" si="190"/>
        <v>180</v>
      </c>
      <c r="AE320" s="20">
        <f t="shared" si="193"/>
        <v>1.1000000000000001</v>
      </c>
      <c r="AF320" s="20">
        <f t="shared" si="197"/>
        <v>275</v>
      </c>
      <c r="AG320" s="20">
        <f t="shared" si="203"/>
        <v>18</v>
      </c>
      <c r="AH320" s="20">
        <f t="shared" si="195"/>
        <v>3</v>
      </c>
      <c r="AI320" s="20">
        <f t="shared" si="189"/>
        <v>47</v>
      </c>
      <c r="AJ320" s="20">
        <f t="shared" si="160"/>
        <v>90</v>
      </c>
      <c r="AK320" s="20">
        <f t="shared" si="166"/>
        <v>14</v>
      </c>
      <c r="AL320" s="20">
        <f t="shared" si="161"/>
        <v>45</v>
      </c>
      <c r="AM320" s="20">
        <v>46</v>
      </c>
      <c r="AN320" s="20">
        <f t="shared" si="167"/>
        <v>0.75</v>
      </c>
      <c r="AO320" s="20">
        <f t="shared" si="205"/>
        <v>19</v>
      </c>
      <c r="AP320" s="20">
        <f t="shared" si="205"/>
        <v>19</v>
      </c>
      <c r="AQ320" s="20">
        <f t="shared" si="170"/>
        <v>5</v>
      </c>
      <c r="AR320" s="20">
        <f t="shared" si="206"/>
        <v>120</v>
      </c>
      <c r="AS320" s="20">
        <f t="shared" si="159"/>
        <v>120</v>
      </c>
      <c r="AT320" s="20">
        <f t="shared" si="202"/>
        <v>55</v>
      </c>
      <c r="AU320" s="20"/>
      <c r="AV320" s="20"/>
      <c r="AW320" s="20">
        <f t="shared" si="184"/>
        <v>5276.7500000000009</v>
      </c>
      <c r="AX320" s="86">
        <f t="shared" si="196"/>
        <v>5428.4449999999988</v>
      </c>
      <c r="AY320" s="17">
        <f>'[1]D4 Gallon Forecast'!$AB156/1000000</f>
        <v>0</v>
      </c>
      <c r="AZ320" s="17">
        <f>'[1]D4 Gallon Forecast'!$AB188/1000000</f>
        <v>350.0014165031929</v>
      </c>
      <c r="BA320" s="17">
        <f t="shared" si="199"/>
        <v>350.0014165031929</v>
      </c>
      <c r="BB320" s="17">
        <f>'[1]D4 Gallon Forecast'!$AB172/1000000</f>
        <v>0</v>
      </c>
      <c r="BC320" s="87">
        <f>'[1]D4 Gallon Forecast'!$AB348/1000000</f>
        <v>387.25682003295844</v>
      </c>
      <c r="BD320" s="88">
        <f>'[1]D4 Gallon Forecast'!$AB364/1000000</f>
        <v>0</v>
      </c>
      <c r="BE320" s="88">
        <f t="shared" si="200"/>
        <v>387.25682003295844</v>
      </c>
      <c r="BF320" s="76">
        <f t="shared" si="172"/>
        <v>737.25823653615134</v>
      </c>
      <c r="BG320" s="22">
        <f t="shared" si="176"/>
        <v>1.5990990370390052</v>
      </c>
      <c r="BI320" s="21">
        <f t="shared" si="185"/>
        <v>4702.9000000000005</v>
      </c>
      <c r="BJ320" s="21">
        <f t="shared" si="168"/>
        <v>725.54499999999825</v>
      </c>
      <c r="BK320" s="21">
        <f>'RD Feedstock Breakdown'!ES311</f>
        <v>9325.7911084471343</v>
      </c>
      <c r="BL320" s="89">
        <f t="shared" si="175"/>
        <v>12.649287110392081</v>
      </c>
      <c r="BM320" s="89">
        <f t="shared" si="173"/>
        <v>26.64500961630268</v>
      </c>
    </row>
    <row r="321" spans="1:65" ht="13.5" x14ac:dyDescent="0.25">
      <c r="A321" s="15">
        <v>49919</v>
      </c>
      <c r="B321" s="20">
        <f t="shared" si="174"/>
        <v>690</v>
      </c>
      <c r="C321" s="74">
        <v>47</v>
      </c>
      <c r="D321" s="20">
        <f t="shared" si="163"/>
        <v>3</v>
      </c>
      <c r="E321" s="20">
        <f t="shared" si="178"/>
        <v>85</v>
      </c>
      <c r="F321" s="20">
        <f t="shared" si="198"/>
        <v>340</v>
      </c>
      <c r="G321" s="20">
        <f t="shared" si="162"/>
        <v>37.5</v>
      </c>
      <c r="H321" s="20">
        <f t="shared" si="191"/>
        <v>190</v>
      </c>
      <c r="I321" s="20">
        <f t="shared" si="177"/>
        <v>250</v>
      </c>
      <c r="J321" s="20">
        <f t="shared" si="169"/>
        <v>153.30000000000001</v>
      </c>
      <c r="K321" s="20">
        <f t="shared" si="180"/>
        <v>125</v>
      </c>
      <c r="L321" s="20">
        <v>125</v>
      </c>
      <c r="M321" s="20">
        <v>730</v>
      </c>
      <c r="N321" s="20">
        <f t="shared" si="158"/>
        <v>180</v>
      </c>
      <c r="O321" s="74">
        <v>375</v>
      </c>
      <c r="P321" s="20">
        <f t="shared" si="186"/>
        <v>50</v>
      </c>
      <c r="Q321" s="20">
        <f t="shared" si="187"/>
        <v>21</v>
      </c>
      <c r="R321" s="20">
        <v>100</v>
      </c>
      <c r="S321" s="20">
        <f t="shared" si="192"/>
        <v>60</v>
      </c>
      <c r="T321" s="20">
        <f t="shared" si="181"/>
        <v>36</v>
      </c>
      <c r="U321" s="20"/>
      <c r="V321" s="20">
        <f t="shared" si="204"/>
        <v>0</v>
      </c>
      <c r="W321" s="20">
        <f t="shared" si="188"/>
        <v>20</v>
      </c>
      <c r="X321" s="20">
        <f t="shared" si="171"/>
        <v>0</v>
      </c>
      <c r="Y321" s="20">
        <f t="shared" si="183"/>
        <v>3.5</v>
      </c>
      <c r="Z321" s="20">
        <f t="shared" si="207"/>
        <v>230</v>
      </c>
      <c r="AA321" s="20">
        <f t="shared" si="182"/>
        <v>306</v>
      </c>
      <c r="AB321" s="20">
        <f t="shared" si="194"/>
        <v>60</v>
      </c>
      <c r="AC321" s="20">
        <f t="shared" si="201"/>
        <v>1.6</v>
      </c>
      <c r="AD321" s="20">
        <f t="shared" si="190"/>
        <v>180</v>
      </c>
      <c r="AE321" s="20">
        <f t="shared" si="193"/>
        <v>1.1000000000000001</v>
      </c>
      <c r="AF321" s="20">
        <f t="shared" si="197"/>
        <v>275</v>
      </c>
      <c r="AG321" s="20">
        <f t="shared" si="203"/>
        <v>18</v>
      </c>
      <c r="AH321" s="20">
        <f t="shared" si="195"/>
        <v>3</v>
      </c>
      <c r="AI321" s="20">
        <f t="shared" si="189"/>
        <v>47</v>
      </c>
      <c r="AJ321" s="20">
        <f t="shared" si="160"/>
        <v>90</v>
      </c>
      <c r="AK321" s="20">
        <f t="shared" si="166"/>
        <v>14</v>
      </c>
      <c r="AL321" s="20">
        <f t="shared" si="161"/>
        <v>45</v>
      </c>
      <c r="AM321" s="20">
        <v>46</v>
      </c>
      <c r="AN321" s="20">
        <f t="shared" si="167"/>
        <v>0.75</v>
      </c>
      <c r="AO321" s="20">
        <f t="shared" si="205"/>
        <v>19</v>
      </c>
      <c r="AP321" s="20">
        <f t="shared" si="205"/>
        <v>19</v>
      </c>
      <c r="AQ321" s="20">
        <f t="shared" si="170"/>
        <v>5</v>
      </c>
      <c r="AR321" s="20">
        <f t="shared" si="206"/>
        <v>120</v>
      </c>
      <c r="AS321" s="20">
        <f t="shared" si="159"/>
        <v>120</v>
      </c>
      <c r="AT321" s="20">
        <f t="shared" si="202"/>
        <v>55</v>
      </c>
      <c r="AU321" s="20"/>
      <c r="AV321" s="20"/>
      <c r="AW321" s="20">
        <f t="shared" si="184"/>
        <v>5276.7500000000009</v>
      </c>
      <c r="AX321" s="86">
        <f t="shared" si="196"/>
        <v>5428.4449999999988</v>
      </c>
      <c r="AY321" s="17">
        <f>'[1]D4 Gallon Forecast'!$AB157/1000000</f>
        <v>0</v>
      </c>
      <c r="AZ321" s="17">
        <f>'[1]D4 Gallon Forecast'!$AB189/1000000</f>
        <v>356.38046768934072</v>
      </c>
      <c r="BA321" s="17">
        <f t="shared" si="199"/>
        <v>356.38046768934072</v>
      </c>
      <c r="BB321" s="17">
        <f>'[1]D4 Gallon Forecast'!$AB173/1000000</f>
        <v>0</v>
      </c>
      <c r="BC321" s="87">
        <f>'[1]D4 Gallon Forecast'!$AB349/1000000</f>
        <v>471.00051314091451</v>
      </c>
      <c r="BD321" s="88">
        <f>'[1]D4 Gallon Forecast'!$AB365/1000000</f>
        <v>0</v>
      </c>
      <c r="BE321" s="88">
        <f t="shared" si="200"/>
        <v>471.00051314091451</v>
      </c>
      <c r="BF321" s="76">
        <f t="shared" si="172"/>
        <v>827.38098083025523</v>
      </c>
      <c r="BG321" s="22">
        <f t="shared" si="176"/>
        <v>1.7945735485115499</v>
      </c>
      <c r="BI321" s="21">
        <f t="shared" si="185"/>
        <v>4702.9000000000005</v>
      </c>
      <c r="BJ321" s="21">
        <f t="shared" si="168"/>
        <v>725.54499999999825</v>
      </c>
      <c r="BK321" s="21">
        <f>'RD Feedstock Breakdown'!ES312</f>
        <v>11745.120694198935</v>
      </c>
      <c r="BL321" s="89">
        <f t="shared" si="175"/>
        <v>14.195541070345868</v>
      </c>
      <c r="BM321" s="89">
        <f t="shared" si="173"/>
        <v>32.956690276407734</v>
      </c>
    </row>
    <row r="322" spans="1:65" ht="13.5" x14ac:dyDescent="0.25">
      <c r="A322" s="15">
        <v>49949</v>
      </c>
      <c r="B322" s="20">
        <f t="shared" si="174"/>
        <v>690</v>
      </c>
      <c r="C322" s="74">
        <v>47</v>
      </c>
      <c r="D322" s="20">
        <f t="shared" si="163"/>
        <v>3</v>
      </c>
      <c r="E322" s="20">
        <f t="shared" si="178"/>
        <v>85</v>
      </c>
      <c r="F322" s="20">
        <f t="shared" si="198"/>
        <v>340</v>
      </c>
      <c r="G322" s="20">
        <f t="shared" si="162"/>
        <v>37.5</v>
      </c>
      <c r="H322" s="20">
        <f t="shared" si="191"/>
        <v>190</v>
      </c>
      <c r="I322" s="20">
        <f t="shared" si="177"/>
        <v>250</v>
      </c>
      <c r="J322" s="20">
        <f t="shared" si="169"/>
        <v>153.30000000000001</v>
      </c>
      <c r="K322" s="20">
        <f t="shared" si="180"/>
        <v>125</v>
      </c>
      <c r="L322" s="20">
        <v>125</v>
      </c>
      <c r="M322" s="20">
        <v>730</v>
      </c>
      <c r="N322" s="20">
        <f t="shared" ref="N322:N385" si="208">180*$N$12</f>
        <v>180</v>
      </c>
      <c r="O322" s="74">
        <v>375</v>
      </c>
      <c r="P322" s="20">
        <f t="shared" si="186"/>
        <v>50</v>
      </c>
      <c r="Q322" s="20">
        <f t="shared" si="187"/>
        <v>21</v>
      </c>
      <c r="R322" s="20">
        <v>100</v>
      </c>
      <c r="S322" s="20">
        <f t="shared" si="192"/>
        <v>60</v>
      </c>
      <c r="T322" s="20">
        <f t="shared" si="181"/>
        <v>36</v>
      </c>
      <c r="U322" s="20"/>
      <c r="V322" s="20">
        <f t="shared" si="204"/>
        <v>0</v>
      </c>
      <c r="W322" s="20">
        <f t="shared" si="188"/>
        <v>20</v>
      </c>
      <c r="X322" s="20">
        <f t="shared" si="171"/>
        <v>0</v>
      </c>
      <c r="Y322" s="20">
        <f t="shared" si="183"/>
        <v>3.5</v>
      </c>
      <c r="Z322" s="20">
        <f t="shared" si="207"/>
        <v>230</v>
      </c>
      <c r="AA322" s="20">
        <f t="shared" si="182"/>
        <v>306</v>
      </c>
      <c r="AB322" s="20">
        <f t="shared" si="194"/>
        <v>60</v>
      </c>
      <c r="AC322" s="20">
        <f t="shared" si="201"/>
        <v>1.6</v>
      </c>
      <c r="AD322" s="20">
        <f t="shared" si="190"/>
        <v>180</v>
      </c>
      <c r="AE322" s="20">
        <f t="shared" si="193"/>
        <v>1.1000000000000001</v>
      </c>
      <c r="AF322" s="20">
        <f t="shared" si="197"/>
        <v>275</v>
      </c>
      <c r="AG322" s="20">
        <f t="shared" si="203"/>
        <v>18</v>
      </c>
      <c r="AH322" s="20">
        <f t="shared" si="195"/>
        <v>3</v>
      </c>
      <c r="AI322" s="20">
        <f t="shared" si="189"/>
        <v>47</v>
      </c>
      <c r="AJ322" s="20">
        <f t="shared" si="160"/>
        <v>90</v>
      </c>
      <c r="AK322" s="20">
        <f t="shared" si="166"/>
        <v>14</v>
      </c>
      <c r="AL322" s="20">
        <f t="shared" si="161"/>
        <v>45</v>
      </c>
      <c r="AM322" s="20">
        <v>46</v>
      </c>
      <c r="AN322" s="20">
        <f t="shared" si="167"/>
        <v>0.75</v>
      </c>
      <c r="AO322" s="20">
        <f t="shared" si="205"/>
        <v>19</v>
      </c>
      <c r="AP322" s="20">
        <f t="shared" si="205"/>
        <v>19</v>
      </c>
      <c r="AQ322" s="20">
        <f t="shared" si="170"/>
        <v>5</v>
      </c>
      <c r="AR322" s="20">
        <f t="shared" si="206"/>
        <v>120</v>
      </c>
      <c r="AS322" s="20">
        <f t="shared" si="159"/>
        <v>120</v>
      </c>
      <c r="AT322" s="20">
        <f t="shared" si="202"/>
        <v>55</v>
      </c>
      <c r="AU322" s="20"/>
      <c r="AV322" s="20"/>
      <c r="AW322" s="20">
        <f t="shared" si="184"/>
        <v>5276.7500000000009</v>
      </c>
      <c r="AX322" s="86">
        <f t="shared" si="196"/>
        <v>5428.4449999999988</v>
      </c>
      <c r="AY322" s="17">
        <f>'[1]D4 Gallon Forecast'!$AB158/1000000</f>
        <v>0</v>
      </c>
      <c r="AZ322" s="17">
        <f>'[1]D4 Gallon Forecast'!$AB190/1000000</f>
        <v>391.61489977724506</v>
      </c>
      <c r="BA322" s="17">
        <f t="shared" si="199"/>
        <v>391.61489977724506</v>
      </c>
      <c r="BB322" s="17">
        <f>'[1]D4 Gallon Forecast'!$AB174/1000000</f>
        <v>0</v>
      </c>
      <c r="BC322" s="87">
        <f>'[1]D4 Gallon Forecast'!$AB350/1000000</f>
        <v>459.86765155774253</v>
      </c>
      <c r="BD322" s="88">
        <f>'[1]D4 Gallon Forecast'!$AB366/1000000</f>
        <v>0</v>
      </c>
      <c r="BE322" s="88">
        <f t="shared" si="200"/>
        <v>459.86765155774253</v>
      </c>
      <c r="BF322" s="76">
        <f t="shared" si="172"/>
        <v>851.48255133498765</v>
      </c>
      <c r="BG322" s="22">
        <f t="shared" si="176"/>
        <v>1.9084110412052961</v>
      </c>
      <c r="BI322" s="21">
        <f t="shared" si="185"/>
        <v>4702.9000000000005</v>
      </c>
      <c r="BJ322" s="21">
        <f t="shared" si="168"/>
        <v>725.54499999999825</v>
      </c>
      <c r="BK322" s="21">
        <f>'RD Feedstock Breakdown'!ES313</f>
        <v>12869.78409787274</v>
      </c>
      <c r="BL322" s="89">
        <f t="shared" si="175"/>
        <v>15.114559984458859</v>
      </c>
      <c r="BM322" s="89">
        <f t="shared" si="173"/>
        <v>32.863366805484716</v>
      </c>
    </row>
    <row r="323" spans="1:65" ht="13.5" x14ac:dyDescent="0.25">
      <c r="A323" s="15">
        <v>49980</v>
      </c>
      <c r="B323" s="20">
        <f t="shared" si="174"/>
        <v>690</v>
      </c>
      <c r="C323" s="74">
        <v>47</v>
      </c>
      <c r="D323" s="20">
        <f t="shared" si="163"/>
        <v>3</v>
      </c>
      <c r="E323" s="20">
        <f t="shared" si="178"/>
        <v>85</v>
      </c>
      <c r="F323" s="20">
        <f t="shared" si="198"/>
        <v>340</v>
      </c>
      <c r="G323" s="20">
        <f t="shared" si="162"/>
        <v>37.5</v>
      </c>
      <c r="H323" s="20">
        <f t="shared" si="191"/>
        <v>190</v>
      </c>
      <c r="I323" s="20">
        <f t="shared" si="177"/>
        <v>250</v>
      </c>
      <c r="J323" s="20">
        <f t="shared" si="169"/>
        <v>153.30000000000001</v>
      </c>
      <c r="K323" s="20">
        <f t="shared" si="180"/>
        <v>125</v>
      </c>
      <c r="L323" s="20">
        <v>125</v>
      </c>
      <c r="M323" s="20">
        <v>730</v>
      </c>
      <c r="N323" s="20">
        <f t="shared" si="208"/>
        <v>180</v>
      </c>
      <c r="O323" s="74">
        <v>375</v>
      </c>
      <c r="P323" s="20">
        <f t="shared" si="186"/>
        <v>50</v>
      </c>
      <c r="Q323" s="20">
        <f t="shared" si="187"/>
        <v>21</v>
      </c>
      <c r="R323" s="20">
        <v>100</v>
      </c>
      <c r="S323" s="20">
        <f t="shared" si="192"/>
        <v>60</v>
      </c>
      <c r="T323" s="20">
        <f t="shared" si="181"/>
        <v>36</v>
      </c>
      <c r="U323" s="20"/>
      <c r="V323" s="20">
        <f t="shared" si="204"/>
        <v>0</v>
      </c>
      <c r="W323" s="20">
        <f t="shared" si="188"/>
        <v>20</v>
      </c>
      <c r="X323" s="20">
        <f t="shared" si="171"/>
        <v>0</v>
      </c>
      <c r="Y323" s="20">
        <f t="shared" si="183"/>
        <v>3.5</v>
      </c>
      <c r="Z323" s="20">
        <f t="shared" si="207"/>
        <v>230</v>
      </c>
      <c r="AA323" s="20">
        <f t="shared" si="182"/>
        <v>306</v>
      </c>
      <c r="AB323" s="20">
        <f t="shared" si="194"/>
        <v>60</v>
      </c>
      <c r="AC323" s="20">
        <f t="shared" si="201"/>
        <v>1.6</v>
      </c>
      <c r="AD323" s="20">
        <f t="shared" si="190"/>
        <v>180</v>
      </c>
      <c r="AE323" s="20">
        <f t="shared" si="193"/>
        <v>1.1000000000000001</v>
      </c>
      <c r="AF323" s="20">
        <f t="shared" si="197"/>
        <v>275</v>
      </c>
      <c r="AG323" s="20">
        <f t="shared" si="203"/>
        <v>18</v>
      </c>
      <c r="AH323" s="20">
        <f t="shared" si="195"/>
        <v>3</v>
      </c>
      <c r="AI323" s="20">
        <f t="shared" si="189"/>
        <v>47</v>
      </c>
      <c r="AJ323" s="20">
        <f t="shared" si="160"/>
        <v>90</v>
      </c>
      <c r="AK323" s="20">
        <f t="shared" si="166"/>
        <v>14</v>
      </c>
      <c r="AL323" s="20">
        <f t="shared" si="161"/>
        <v>45</v>
      </c>
      <c r="AM323" s="20">
        <v>46</v>
      </c>
      <c r="AN323" s="20">
        <f t="shared" si="167"/>
        <v>0.75</v>
      </c>
      <c r="AO323" s="20">
        <f t="shared" si="205"/>
        <v>19</v>
      </c>
      <c r="AP323" s="20">
        <f t="shared" si="205"/>
        <v>19</v>
      </c>
      <c r="AQ323" s="20">
        <f t="shared" si="170"/>
        <v>5</v>
      </c>
      <c r="AR323" s="20">
        <f t="shared" si="206"/>
        <v>120</v>
      </c>
      <c r="AS323" s="20">
        <f t="shared" ref="AS323:AS386" si="209">$AS$5*$AS$12</f>
        <v>120</v>
      </c>
      <c r="AT323" s="20">
        <f t="shared" si="202"/>
        <v>55</v>
      </c>
      <c r="AU323" s="20"/>
      <c r="AV323" s="20"/>
      <c r="AW323" s="20">
        <f t="shared" si="184"/>
        <v>5276.7500000000009</v>
      </c>
      <c r="AX323" s="86">
        <f t="shared" si="196"/>
        <v>5428.4449999999988</v>
      </c>
      <c r="AY323" s="17">
        <f>'[1]D4 Gallon Forecast'!$AB159/1000000</f>
        <v>0</v>
      </c>
      <c r="AZ323" s="17">
        <f>'[1]D4 Gallon Forecast'!$AB191/1000000</f>
        <v>475.80343086977649</v>
      </c>
      <c r="BA323" s="17">
        <f t="shared" si="199"/>
        <v>475.80343086977649</v>
      </c>
      <c r="BB323" s="17">
        <f>'[1]D4 Gallon Forecast'!$AB175/1000000</f>
        <v>0</v>
      </c>
      <c r="BC323" s="87">
        <f>'[1]D4 Gallon Forecast'!$AB351/1000000</f>
        <v>397.84689276238311</v>
      </c>
      <c r="BD323" s="88">
        <f>'[1]D4 Gallon Forecast'!$AB367/1000000</f>
        <v>0</v>
      </c>
      <c r="BE323" s="88">
        <f t="shared" si="200"/>
        <v>397.84689276238311</v>
      </c>
      <c r="BF323" s="76">
        <f t="shared" si="172"/>
        <v>873.6503236321596</v>
      </c>
      <c r="BG323" s="22">
        <f t="shared" si="176"/>
        <v>1.8949308695318963</v>
      </c>
      <c r="BI323" s="21">
        <f t="shared" si="185"/>
        <v>4702.9000000000005</v>
      </c>
      <c r="BJ323" s="21">
        <f t="shared" si="168"/>
        <v>725.54499999999825</v>
      </c>
      <c r="BK323" s="21">
        <f>'RD Feedstock Breakdown'!ES314</f>
        <v>13111.56706998683</v>
      </c>
      <c r="BL323" s="89">
        <f t="shared" si="175"/>
        <v>15.007797416563774</v>
      </c>
      <c r="BM323" s="89">
        <f t="shared" si="173"/>
        <v>27.556688790618153</v>
      </c>
    </row>
    <row r="324" spans="1:65" ht="13.5" x14ac:dyDescent="0.25">
      <c r="A324" s="15">
        <v>50010</v>
      </c>
      <c r="B324" s="20">
        <f t="shared" si="174"/>
        <v>690</v>
      </c>
      <c r="C324" s="74">
        <v>47</v>
      </c>
      <c r="D324" s="20">
        <f t="shared" si="163"/>
        <v>3</v>
      </c>
      <c r="E324" s="20">
        <f t="shared" si="178"/>
        <v>85</v>
      </c>
      <c r="F324" s="20">
        <f t="shared" si="198"/>
        <v>340</v>
      </c>
      <c r="G324" s="20">
        <f t="shared" si="162"/>
        <v>37.5</v>
      </c>
      <c r="H324" s="20">
        <f t="shared" si="191"/>
        <v>190</v>
      </c>
      <c r="I324" s="20">
        <f t="shared" si="177"/>
        <v>250</v>
      </c>
      <c r="J324" s="20">
        <f t="shared" si="169"/>
        <v>153.30000000000001</v>
      </c>
      <c r="K324" s="20">
        <f t="shared" si="180"/>
        <v>125</v>
      </c>
      <c r="L324" s="20">
        <v>125</v>
      </c>
      <c r="M324" s="20">
        <v>730</v>
      </c>
      <c r="N324" s="20">
        <f t="shared" si="208"/>
        <v>180</v>
      </c>
      <c r="O324" s="74">
        <v>375</v>
      </c>
      <c r="P324" s="20">
        <f t="shared" si="186"/>
        <v>50</v>
      </c>
      <c r="Q324" s="20">
        <f t="shared" si="187"/>
        <v>21</v>
      </c>
      <c r="R324" s="20">
        <v>100</v>
      </c>
      <c r="S324" s="20">
        <f t="shared" si="192"/>
        <v>60</v>
      </c>
      <c r="T324" s="20">
        <f t="shared" si="181"/>
        <v>36</v>
      </c>
      <c r="U324" s="20"/>
      <c r="V324" s="20">
        <f t="shared" si="204"/>
        <v>0</v>
      </c>
      <c r="W324" s="20">
        <f t="shared" si="188"/>
        <v>20</v>
      </c>
      <c r="X324" s="20">
        <f t="shared" si="171"/>
        <v>0</v>
      </c>
      <c r="Y324" s="20">
        <f t="shared" si="183"/>
        <v>3.5</v>
      </c>
      <c r="Z324" s="20">
        <f t="shared" si="207"/>
        <v>230</v>
      </c>
      <c r="AA324" s="20">
        <f t="shared" si="182"/>
        <v>306</v>
      </c>
      <c r="AB324" s="20">
        <f t="shared" si="194"/>
        <v>60</v>
      </c>
      <c r="AC324" s="20">
        <f t="shared" si="201"/>
        <v>1.6</v>
      </c>
      <c r="AD324" s="20">
        <f t="shared" si="190"/>
        <v>180</v>
      </c>
      <c r="AE324" s="20">
        <f t="shared" si="193"/>
        <v>1.1000000000000001</v>
      </c>
      <c r="AF324" s="20">
        <f t="shared" si="197"/>
        <v>275</v>
      </c>
      <c r="AG324" s="20">
        <f t="shared" si="203"/>
        <v>18</v>
      </c>
      <c r="AH324" s="20">
        <f t="shared" si="195"/>
        <v>3</v>
      </c>
      <c r="AI324" s="20">
        <f t="shared" si="189"/>
        <v>47</v>
      </c>
      <c r="AJ324" s="20">
        <f t="shared" si="160"/>
        <v>90</v>
      </c>
      <c r="AK324" s="20">
        <f t="shared" si="166"/>
        <v>14</v>
      </c>
      <c r="AL324" s="20">
        <f t="shared" si="161"/>
        <v>45</v>
      </c>
      <c r="AM324" s="20">
        <v>46</v>
      </c>
      <c r="AN324" s="20">
        <f t="shared" si="167"/>
        <v>0.75</v>
      </c>
      <c r="AO324" s="20">
        <f t="shared" si="205"/>
        <v>19</v>
      </c>
      <c r="AP324" s="20">
        <f t="shared" si="205"/>
        <v>19</v>
      </c>
      <c r="AQ324" s="20">
        <f t="shared" si="170"/>
        <v>5</v>
      </c>
      <c r="AR324" s="20">
        <f t="shared" si="206"/>
        <v>120</v>
      </c>
      <c r="AS324" s="20">
        <f t="shared" si="209"/>
        <v>120</v>
      </c>
      <c r="AT324" s="20">
        <f t="shared" si="202"/>
        <v>55</v>
      </c>
      <c r="AU324" s="20"/>
      <c r="AV324" s="20"/>
      <c r="AW324" s="20">
        <f t="shared" si="184"/>
        <v>5276.7500000000009</v>
      </c>
      <c r="AX324" s="86">
        <f t="shared" si="196"/>
        <v>5428.4449999999988</v>
      </c>
      <c r="AY324" s="17">
        <f>'[1]D4 Gallon Forecast'!$AB160/1000000</f>
        <v>0</v>
      </c>
      <c r="AZ324" s="17">
        <f>'[1]D4 Gallon Forecast'!$AB192/1000000</f>
        <v>539.88024425839615</v>
      </c>
      <c r="BA324" s="17">
        <f t="shared" si="199"/>
        <v>539.88024425839615</v>
      </c>
      <c r="BB324" s="17">
        <f>'[1]D4 Gallon Forecast'!$AB176/1000000</f>
        <v>0</v>
      </c>
      <c r="BC324" s="87">
        <f>'[1]D4 Gallon Forecast'!$AB352/1000000</f>
        <v>357.4702276679468</v>
      </c>
      <c r="BD324" s="88">
        <f>'[1]D4 Gallon Forecast'!$AB368/1000000</f>
        <v>0</v>
      </c>
      <c r="BE324" s="88">
        <f t="shared" si="200"/>
        <v>357.4702276679468</v>
      </c>
      <c r="BF324" s="76">
        <f t="shared" si="172"/>
        <v>897.35047192634295</v>
      </c>
      <c r="BG324" s="22">
        <f t="shared" si="176"/>
        <v>2.0112139065798478</v>
      </c>
      <c r="BI324" s="21">
        <f t="shared" si="185"/>
        <v>4702.9000000000005</v>
      </c>
      <c r="BJ324" s="21">
        <f t="shared" si="168"/>
        <v>725.54499999999825</v>
      </c>
      <c r="BK324" s="21">
        <f>'RD Feedstock Breakdown'!ES315</f>
        <v>14293.676436148147</v>
      </c>
      <c r="BL324" s="89">
        <f t="shared" si="175"/>
        <v>15.928755690587538</v>
      </c>
      <c r="BM324" s="89">
        <f t="shared" si="173"/>
        <v>26.475642678465825</v>
      </c>
    </row>
    <row r="325" spans="1:65" ht="13.5" x14ac:dyDescent="0.25">
      <c r="A325" s="15">
        <v>50041</v>
      </c>
      <c r="B325" s="20">
        <f t="shared" si="174"/>
        <v>690</v>
      </c>
      <c r="C325" s="74">
        <v>47</v>
      </c>
      <c r="D325" s="20">
        <f t="shared" si="163"/>
        <v>3</v>
      </c>
      <c r="E325" s="20">
        <f t="shared" si="178"/>
        <v>85</v>
      </c>
      <c r="F325" s="20">
        <f t="shared" si="198"/>
        <v>340</v>
      </c>
      <c r="G325" s="20">
        <f t="shared" si="162"/>
        <v>37.5</v>
      </c>
      <c r="H325" s="20">
        <f t="shared" si="191"/>
        <v>190</v>
      </c>
      <c r="I325" s="20">
        <f t="shared" si="177"/>
        <v>250</v>
      </c>
      <c r="J325" s="20">
        <f t="shared" si="169"/>
        <v>153.30000000000001</v>
      </c>
      <c r="K325" s="20">
        <f t="shared" si="180"/>
        <v>125</v>
      </c>
      <c r="L325" s="20">
        <v>125</v>
      </c>
      <c r="M325" s="20">
        <v>730</v>
      </c>
      <c r="N325" s="20">
        <f t="shared" si="208"/>
        <v>180</v>
      </c>
      <c r="O325" s="74">
        <v>375</v>
      </c>
      <c r="P325" s="20">
        <f t="shared" si="186"/>
        <v>50</v>
      </c>
      <c r="Q325" s="20">
        <f t="shared" si="187"/>
        <v>21</v>
      </c>
      <c r="R325" s="20">
        <v>100</v>
      </c>
      <c r="S325" s="20">
        <f t="shared" si="192"/>
        <v>60</v>
      </c>
      <c r="T325" s="20">
        <f t="shared" si="181"/>
        <v>36</v>
      </c>
      <c r="U325" s="20"/>
      <c r="V325" s="20">
        <f t="shared" si="204"/>
        <v>0</v>
      </c>
      <c r="W325" s="20">
        <f t="shared" si="188"/>
        <v>20</v>
      </c>
      <c r="X325" s="20">
        <f t="shared" si="171"/>
        <v>0</v>
      </c>
      <c r="Y325" s="20">
        <f t="shared" si="183"/>
        <v>3.5</v>
      </c>
      <c r="Z325" s="20">
        <f t="shared" si="207"/>
        <v>230</v>
      </c>
      <c r="AA325" s="20">
        <f t="shared" si="182"/>
        <v>306</v>
      </c>
      <c r="AB325" s="20">
        <f t="shared" si="194"/>
        <v>60</v>
      </c>
      <c r="AC325" s="20">
        <f t="shared" si="201"/>
        <v>1.6</v>
      </c>
      <c r="AD325" s="20">
        <f t="shared" si="190"/>
        <v>180</v>
      </c>
      <c r="AE325" s="20">
        <f t="shared" si="193"/>
        <v>1.1000000000000001</v>
      </c>
      <c r="AF325" s="20">
        <f t="shared" si="197"/>
        <v>275</v>
      </c>
      <c r="AG325" s="20">
        <f t="shared" si="203"/>
        <v>18</v>
      </c>
      <c r="AH325" s="20">
        <f t="shared" si="195"/>
        <v>3</v>
      </c>
      <c r="AI325" s="20">
        <f t="shared" si="189"/>
        <v>47</v>
      </c>
      <c r="AJ325" s="20">
        <f t="shared" ref="AJ325:AJ388" si="210">$AJ$12*$AJ$5</f>
        <v>90</v>
      </c>
      <c r="AK325" s="20">
        <f t="shared" si="166"/>
        <v>14</v>
      </c>
      <c r="AL325" s="20">
        <f t="shared" si="161"/>
        <v>45</v>
      </c>
      <c r="AM325" s="20">
        <v>46</v>
      </c>
      <c r="AN325" s="20">
        <f t="shared" si="167"/>
        <v>0.75</v>
      </c>
      <c r="AO325" s="20">
        <f t="shared" si="205"/>
        <v>19</v>
      </c>
      <c r="AP325" s="20">
        <f t="shared" si="205"/>
        <v>19</v>
      </c>
      <c r="AQ325" s="20">
        <f t="shared" si="170"/>
        <v>5</v>
      </c>
      <c r="AR325" s="20">
        <f t="shared" si="206"/>
        <v>120</v>
      </c>
      <c r="AS325" s="20">
        <f t="shared" si="209"/>
        <v>120</v>
      </c>
      <c r="AT325" s="20">
        <f t="shared" si="202"/>
        <v>55</v>
      </c>
      <c r="AU325" s="20"/>
      <c r="AV325" s="20"/>
      <c r="AW325" s="20">
        <f t="shared" si="184"/>
        <v>5276.7500000000009</v>
      </c>
      <c r="AX325" s="86">
        <f t="shared" si="196"/>
        <v>5428.4449999999988</v>
      </c>
      <c r="AY325" s="17">
        <f>'[1]D4 Gallon Forecast'!$AC149/1000000</f>
        <v>0</v>
      </c>
      <c r="AZ325" s="17">
        <f>'[1]D4 Gallon Forecast'!$AC181/1000000</f>
        <v>321.3573963818215</v>
      </c>
      <c r="BA325" s="17">
        <f t="shared" si="199"/>
        <v>321.3573963818215</v>
      </c>
      <c r="BB325" s="17">
        <f>'[1]D4 Gallon Forecast'!$AC165/1000000</f>
        <v>0</v>
      </c>
      <c r="BC325" s="87">
        <f>'[1]D4 Gallon Forecast'!$AC341/1000000</f>
        <v>233.71817831806746</v>
      </c>
      <c r="BD325" s="88">
        <f>'[1]D4 Gallon Forecast'!$AC357/1000000</f>
        <v>0</v>
      </c>
      <c r="BE325" s="88">
        <f t="shared" si="200"/>
        <v>233.71817831806746</v>
      </c>
      <c r="BF325" s="76">
        <f t="shared" si="172"/>
        <v>555.07557469988899</v>
      </c>
      <c r="BG325" s="22">
        <f t="shared" si="176"/>
        <v>1.2039483223093712</v>
      </c>
      <c r="BI325" s="21">
        <f t="shared" si="185"/>
        <v>4702.9000000000005</v>
      </c>
      <c r="BJ325" s="21">
        <f t="shared" si="168"/>
        <v>725.54499999999825</v>
      </c>
      <c r="BK325" s="21">
        <f>'RD Feedstock Breakdown'!ES316</f>
        <v>5297.8607201194309</v>
      </c>
      <c r="BL325" s="89">
        <f t="shared" si="175"/>
        <v>9.5443953248777138</v>
      </c>
      <c r="BM325" s="89">
        <f t="shared" si="173"/>
        <v>16.485883878100523</v>
      </c>
    </row>
    <row r="326" spans="1:65" ht="13.5" x14ac:dyDescent="0.25">
      <c r="A326" s="15">
        <v>50072</v>
      </c>
      <c r="B326" s="20">
        <f t="shared" si="174"/>
        <v>690</v>
      </c>
      <c r="C326" s="74">
        <v>47</v>
      </c>
      <c r="D326" s="20">
        <f t="shared" si="163"/>
        <v>3</v>
      </c>
      <c r="E326" s="20">
        <f t="shared" si="178"/>
        <v>85</v>
      </c>
      <c r="F326" s="20">
        <f t="shared" si="198"/>
        <v>340</v>
      </c>
      <c r="G326" s="20">
        <f t="shared" si="162"/>
        <v>37.5</v>
      </c>
      <c r="H326" s="20">
        <f t="shared" si="191"/>
        <v>190</v>
      </c>
      <c r="I326" s="20">
        <f t="shared" si="177"/>
        <v>250</v>
      </c>
      <c r="J326" s="20">
        <f t="shared" si="169"/>
        <v>153.30000000000001</v>
      </c>
      <c r="K326" s="20">
        <f t="shared" si="180"/>
        <v>125</v>
      </c>
      <c r="L326" s="20">
        <v>125</v>
      </c>
      <c r="M326" s="20">
        <v>730</v>
      </c>
      <c r="N326" s="20">
        <f t="shared" si="208"/>
        <v>180</v>
      </c>
      <c r="O326" s="74">
        <v>375</v>
      </c>
      <c r="P326" s="20">
        <f t="shared" si="186"/>
        <v>50</v>
      </c>
      <c r="Q326" s="20">
        <f t="shared" si="187"/>
        <v>21</v>
      </c>
      <c r="R326" s="20">
        <v>100</v>
      </c>
      <c r="S326" s="20">
        <f t="shared" si="192"/>
        <v>60</v>
      </c>
      <c r="T326" s="20">
        <f t="shared" si="181"/>
        <v>36</v>
      </c>
      <c r="U326" s="20"/>
      <c r="V326" s="20">
        <f t="shared" si="204"/>
        <v>0</v>
      </c>
      <c r="W326" s="20">
        <f t="shared" si="188"/>
        <v>20</v>
      </c>
      <c r="X326" s="20">
        <f t="shared" si="171"/>
        <v>0</v>
      </c>
      <c r="Y326" s="20">
        <f t="shared" si="183"/>
        <v>3.5</v>
      </c>
      <c r="Z326" s="20">
        <f t="shared" si="207"/>
        <v>230</v>
      </c>
      <c r="AA326" s="20">
        <f t="shared" si="182"/>
        <v>306</v>
      </c>
      <c r="AB326" s="20">
        <f t="shared" si="194"/>
        <v>60</v>
      </c>
      <c r="AC326" s="20">
        <f t="shared" si="201"/>
        <v>1.6</v>
      </c>
      <c r="AD326" s="20">
        <f t="shared" si="190"/>
        <v>180</v>
      </c>
      <c r="AE326" s="20">
        <f t="shared" si="193"/>
        <v>1.1000000000000001</v>
      </c>
      <c r="AF326" s="20">
        <f t="shared" si="197"/>
        <v>275</v>
      </c>
      <c r="AG326" s="20">
        <f t="shared" si="203"/>
        <v>18</v>
      </c>
      <c r="AH326" s="20">
        <f t="shared" si="195"/>
        <v>3</v>
      </c>
      <c r="AI326" s="20">
        <f t="shared" si="189"/>
        <v>47</v>
      </c>
      <c r="AJ326" s="20">
        <f t="shared" si="210"/>
        <v>90</v>
      </c>
      <c r="AK326" s="20">
        <f t="shared" si="166"/>
        <v>14</v>
      </c>
      <c r="AL326" s="20">
        <f t="shared" si="161"/>
        <v>45</v>
      </c>
      <c r="AM326" s="20">
        <v>46</v>
      </c>
      <c r="AN326" s="20">
        <f t="shared" si="167"/>
        <v>0.75</v>
      </c>
      <c r="AO326" s="20">
        <f t="shared" si="205"/>
        <v>19</v>
      </c>
      <c r="AP326" s="20">
        <f t="shared" si="205"/>
        <v>19</v>
      </c>
      <c r="AQ326" s="20">
        <f t="shared" si="170"/>
        <v>5</v>
      </c>
      <c r="AR326" s="20">
        <f t="shared" si="206"/>
        <v>120</v>
      </c>
      <c r="AS326" s="20">
        <f t="shared" si="209"/>
        <v>120</v>
      </c>
      <c r="AT326" s="20">
        <f t="shared" si="202"/>
        <v>55</v>
      </c>
      <c r="AU326" s="20"/>
      <c r="AV326" s="20"/>
      <c r="AW326" s="20">
        <f t="shared" si="184"/>
        <v>5276.7500000000009</v>
      </c>
      <c r="AX326" s="86">
        <f t="shared" si="196"/>
        <v>5428.4449999999988</v>
      </c>
      <c r="AY326" s="17">
        <f>'[1]D4 Gallon Forecast'!$AC150/1000000</f>
        <v>0</v>
      </c>
      <c r="AZ326" s="17">
        <f>'[1]D4 Gallon Forecast'!$AC182/1000000</f>
        <v>354.36129195370637</v>
      </c>
      <c r="BA326" s="17">
        <f t="shared" si="199"/>
        <v>354.36129195370637</v>
      </c>
      <c r="BB326" s="17">
        <f>'[1]D4 Gallon Forecast'!$AC166/1000000</f>
        <v>0</v>
      </c>
      <c r="BC326" s="87">
        <f>'[1]D4 Gallon Forecast'!$AC342/1000000</f>
        <v>443.62153519489544</v>
      </c>
      <c r="BD326" s="88">
        <f>'[1]D4 Gallon Forecast'!$AC358/1000000</f>
        <v>0</v>
      </c>
      <c r="BE326" s="88">
        <f t="shared" si="200"/>
        <v>443.62153519489544</v>
      </c>
      <c r="BF326" s="76">
        <f t="shared" si="172"/>
        <v>797.98282714860181</v>
      </c>
      <c r="BG326" s="22">
        <f t="shared" si="176"/>
        <v>1.7308095145362561</v>
      </c>
      <c r="BI326" s="21">
        <f t="shared" si="185"/>
        <v>4702.9000000000005</v>
      </c>
      <c r="BJ326" s="21">
        <f t="shared" si="168"/>
        <v>725.54499999999825</v>
      </c>
      <c r="BK326" s="21">
        <f>'RD Feedstock Breakdown'!ES317</f>
        <v>10949.225310463158</v>
      </c>
      <c r="BL326" s="89">
        <f t="shared" si="175"/>
        <v>13.721128999213631</v>
      </c>
      <c r="BM326" s="89">
        <f t="shared" si="173"/>
        <v>30.898480051521997</v>
      </c>
    </row>
    <row r="327" spans="1:65" ht="13.5" x14ac:dyDescent="0.25">
      <c r="A327" s="15">
        <v>50100</v>
      </c>
      <c r="B327" s="20">
        <f t="shared" si="174"/>
        <v>690</v>
      </c>
      <c r="C327" s="74">
        <v>47</v>
      </c>
      <c r="D327" s="20">
        <f t="shared" si="163"/>
        <v>3</v>
      </c>
      <c r="E327" s="20">
        <f t="shared" si="178"/>
        <v>85</v>
      </c>
      <c r="F327" s="20">
        <f t="shared" si="198"/>
        <v>340</v>
      </c>
      <c r="G327" s="20">
        <f t="shared" si="162"/>
        <v>37.5</v>
      </c>
      <c r="H327" s="20">
        <f t="shared" si="191"/>
        <v>190</v>
      </c>
      <c r="I327" s="20">
        <f t="shared" si="177"/>
        <v>250</v>
      </c>
      <c r="J327" s="20">
        <f t="shared" si="169"/>
        <v>153.30000000000001</v>
      </c>
      <c r="K327" s="20">
        <f t="shared" si="180"/>
        <v>125</v>
      </c>
      <c r="L327" s="20">
        <v>125</v>
      </c>
      <c r="M327" s="20">
        <v>730</v>
      </c>
      <c r="N327" s="20">
        <f t="shared" si="208"/>
        <v>180</v>
      </c>
      <c r="O327" s="74">
        <v>375</v>
      </c>
      <c r="P327" s="20">
        <f t="shared" si="186"/>
        <v>50</v>
      </c>
      <c r="Q327" s="20">
        <f t="shared" si="187"/>
        <v>21</v>
      </c>
      <c r="R327" s="20">
        <v>100</v>
      </c>
      <c r="S327" s="20">
        <f t="shared" si="192"/>
        <v>60</v>
      </c>
      <c r="T327" s="20">
        <f t="shared" si="181"/>
        <v>36</v>
      </c>
      <c r="U327" s="20"/>
      <c r="V327" s="20">
        <f t="shared" si="204"/>
        <v>0</v>
      </c>
      <c r="W327" s="20">
        <f t="shared" si="188"/>
        <v>20</v>
      </c>
      <c r="X327" s="20">
        <f t="shared" si="171"/>
        <v>0</v>
      </c>
      <c r="Y327" s="20">
        <f t="shared" si="183"/>
        <v>3.5</v>
      </c>
      <c r="Z327" s="20">
        <f t="shared" si="207"/>
        <v>230</v>
      </c>
      <c r="AA327" s="20">
        <f t="shared" si="182"/>
        <v>306</v>
      </c>
      <c r="AB327" s="20">
        <f t="shared" si="194"/>
        <v>60</v>
      </c>
      <c r="AC327" s="20">
        <f t="shared" si="201"/>
        <v>1.6</v>
      </c>
      <c r="AD327" s="20">
        <f t="shared" si="190"/>
        <v>180</v>
      </c>
      <c r="AE327" s="20">
        <f t="shared" si="193"/>
        <v>1.1000000000000001</v>
      </c>
      <c r="AF327" s="20">
        <f t="shared" si="197"/>
        <v>275</v>
      </c>
      <c r="AG327" s="20">
        <f t="shared" si="203"/>
        <v>18</v>
      </c>
      <c r="AH327" s="20">
        <f t="shared" si="195"/>
        <v>3</v>
      </c>
      <c r="AI327" s="20">
        <f t="shared" si="189"/>
        <v>47</v>
      </c>
      <c r="AJ327" s="20">
        <f t="shared" si="210"/>
        <v>90</v>
      </c>
      <c r="AK327" s="20">
        <f t="shared" si="166"/>
        <v>14</v>
      </c>
      <c r="AL327" s="20">
        <f t="shared" si="161"/>
        <v>45</v>
      </c>
      <c r="AM327" s="20">
        <v>46</v>
      </c>
      <c r="AN327" s="20">
        <f t="shared" si="167"/>
        <v>0.75</v>
      </c>
      <c r="AO327" s="20">
        <f t="shared" si="205"/>
        <v>19</v>
      </c>
      <c r="AP327" s="20">
        <f t="shared" si="205"/>
        <v>19</v>
      </c>
      <c r="AQ327" s="20">
        <f t="shared" si="170"/>
        <v>5</v>
      </c>
      <c r="AR327" s="20">
        <f t="shared" si="206"/>
        <v>120</v>
      </c>
      <c r="AS327" s="20">
        <f t="shared" si="209"/>
        <v>120</v>
      </c>
      <c r="AT327" s="20">
        <f t="shared" si="202"/>
        <v>55</v>
      </c>
      <c r="AU327" s="20"/>
      <c r="AV327" s="20"/>
      <c r="AW327" s="20">
        <f t="shared" si="184"/>
        <v>5276.7500000000009</v>
      </c>
      <c r="AX327" s="86">
        <f t="shared" si="196"/>
        <v>5428.4449999999988</v>
      </c>
      <c r="AY327" s="17">
        <f>'[1]D4 Gallon Forecast'!$AC151/1000000</f>
        <v>0</v>
      </c>
      <c r="AZ327" s="17">
        <f>'[1]D4 Gallon Forecast'!$AC183/1000000</f>
        <v>373.23414491195251</v>
      </c>
      <c r="BA327" s="17">
        <f t="shared" si="199"/>
        <v>373.23414491195251</v>
      </c>
      <c r="BB327" s="17">
        <f>'[1]D4 Gallon Forecast'!$AC167/1000000</f>
        <v>0</v>
      </c>
      <c r="BC327" s="87">
        <f>'[1]D4 Gallon Forecast'!$AC343/1000000</f>
        <v>177.08389867480091</v>
      </c>
      <c r="BD327" s="88">
        <f>'[1]D4 Gallon Forecast'!$AC359/1000000</f>
        <v>0</v>
      </c>
      <c r="BE327" s="88">
        <f t="shared" si="200"/>
        <v>177.08389867480091</v>
      </c>
      <c r="BF327" s="76">
        <f t="shared" si="172"/>
        <v>550.31804358675345</v>
      </c>
      <c r="BG327" s="22">
        <f t="shared" si="176"/>
        <v>1.3215181847601256</v>
      </c>
      <c r="BI327" s="21">
        <f t="shared" si="185"/>
        <v>4702.9000000000005</v>
      </c>
      <c r="BJ327" s="21">
        <f t="shared" si="168"/>
        <v>725.54499999999825</v>
      </c>
      <c r="BK327" s="21">
        <f>'RD Feedstock Breakdown'!ES318</f>
        <v>5765.3737920422991</v>
      </c>
      <c r="BL327" s="89">
        <f t="shared" si="175"/>
        <v>10.476439686523619</v>
      </c>
      <c r="BM327" s="89">
        <f t="shared" si="173"/>
        <v>15.447069542370983</v>
      </c>
    </row>
    <row r="328" spans="1:65" ht="13.5" x14ac:dyDescent="0.25">
      <c r="A328" s="15">
        <v>50131</v>
      </c>
      <c r="B328" s="20">
        <f t="shared" si="174"/>
        <v>690</v>
      </c>
      <c r="C328" s="74">
        <v>47</v>
      </c>
      <c r="D328" s="20">
        <f t="shared" si="163"/>
        <v>3</v>
      </c>
      <c r="E328" s="20">
        <f t="shared" si="178"/>
        <v>85</v>
      </c>
      <c r="F328" s="20">
        <f t="shared" si="198"/>
        <v>340</v>
      </c>
      <c r="G328" s="20">
        <f t="shared" si="162"/>
        <v>37.5</v>
      </c>
      <c r="H328" s="20">
        <f t="shared" si="191"/>
        <v>190</v>
      </c>
      <c r="I328" s="20">
        <f t="shared" si="177"/>
        <v>250</v>
      </c>
      <c r="J328" s="20">
        <f t="shared" si="169"/>
        <v>153.30000000000001</v>
      </c>
      <c r="K328" s="20">
        <f t="shared" si="180"/>
        <v>125</v>
      </c>
      <c r="L328" s="20">
        <v>125</v>
      </c>
      <c r="M328" s="20">
        <v>730</v>
      </c>
      <c r="N328" s="20">
        <f t="shared" si="208"/>
        <v>180</v>
      </c>
      <c r="O328" s="74">
        <v>375</v>
      </c>
      <c r="P328" s="20">
        <f t="shared" si="186"/>
        <v>50</v>
      </c>
      <c r="Q328" s="20">
        <f t="shared" si="187"/>
        <v>21</v>
      </c>
      <c r="R328" s="20">
        <v>100</v>
      </c>
      <c r="S328" s="20">
        <f t="shared" si="192"/>
        <v>60</v>
      </c>
      <c r="T328" s="20">
        <f t="shared" si="181"/>
        <v>36</v>
      </c>
      <c r="U328" s="20"/>
      <c r="V328" s="20">
        <f t="shared" si="204"/>
        <v>0</v>
      </c>
      <c r="W328" s="20">
        <f t="shared" si="188"/>
        <v>20</v>
      </c>
      <c r="X328" s="20">
        <f t="shared" si="171"/>
        <v>0</v>
      </c>
      <c r="Y328" s="20">
        <f t="shared" si="183"/>
        <v>3.5</v>
      </c>
      <c r="Z328" s="20">
        <f t="shared" si="207"/>
        <v>230</v>
      </c>
      <c r="AA328" s="20">
        <f t="shared" si="182"/>
        <v>306</v>
      </c>
      <c r="AB328" s="20">
        <f t="shared" si="194"/>
        <v>60</v>
      </c>
      <c r="AC328" s="20">
        <f t="shared" si="201"/>
        <v>1.6</v>
      </c>
      <c r="AD328" s="20">
        <f t="shared" si="190"/>
        <v>180</v>
      </c>
      <c r="AE328" s="20">
        <f t="shared" si="193"/>
        <v>1.1000000000000001</v>
      </c>
      <c r="AF328" s="20">
        <f t="shared" si="197"/>
        <v>275</v>
      </c>
      <c r="AG328" s="20">
        <f t="shared" si="203"/>
        <v>18</v>
      </c>
      <c r="AH328" s="20">
        <f t="shared" si="195"/>
        <v>3</v>
      </c>
      <c r="AI328" s="20">
        <f t="shared" si="189"/>
        <v>47</v>
      </c>
      <c r="AJ328" s="20">
        <f t="shared" si="210"/>
        <v>90</v>
      </c>
      <c r="AK328" s="20">
        <f t="shared" si="166"/>
        <v>14</v>
      </c>
      <c r="AL328" s="20">
        <f t="shared" si="161"/>
        <v>45</v>
      </c>
      <c r="AM328" s="20">
        <v>46</v>
      </c>
      <c r="AN328" s="20">
        <f t="shared" si="167"/>
        <v>0.75</v>
      </c>
      <c r="AO328" s="20">
        <f t="shared" si="205"/>
        <v>19</v>
      </c>
      <c r="AP328" s="20">
        <f t="shared" si="205"/>
        <v>19</v>
      </c>
      <c r="AQ328" s="20">
        <f t="shared" si="170"/>
        <v>5</v>
      </c>
      <c r="AR328" s="20">
        <f t="shared" si="206"/>
        <v>120</v>
      </c>
      <c r="AS328" s="20">
        <f t="shared" si="209"/>
        <v>120</v>
      </c>
      <c r="AT328" s="20">
        <f t="shared" si="202"/>
        <v>55</v>
      </c>
      <c r="AU328" s="20"/>
      <c r="AV328" s="20"/>
      <c r="AW328" s="20">
        <f t="shared" si="184"/>
        <v>5276.7500000000009</v>
      </c>
      <c r="AX328" s="86">
        <f t="shared" si="196"/>
        <v>5428.4449999999988</v>
      </c>
      <c r="AY328" s="17">
        <f>'[1]D4 Gallon Forecast'!$AC152/1000000</f>
        <v>0</v>
      </c>
      <c r="AZ328" s="17">
        <f>'[1]D4 Gallon Forecast'!$AC184/1000000</f>
        <v>362.39197022253614</v>
      </c>
      <c r="BA328" s="17">
        <f t="shared" si="199"/>
        <v>362.39197022253614</v>
      </c>
      <c r="BB328" s="17">
        <f>'[1]D4 Gallon Forecast'!$AC168/1000000</f>
        <v>0</v>
      </c>
      <c r="BC328" s="87">
        <f>'[1]D4 Gallon Forecast'!$AC344/1000000</f>
        <v>284.22534216662228</v>
      </c>
      <c r="BD328" s="88">
        <f>'[1]D4 Gallon Forecast'!$AC360/1000000</f>
        <v>0</v>
      </c>
      <c r="BE328" s="88">
        <f t="shared" si="200"/>
        <v>284.22534216662228</v>
      </c>
      <c r="BF328" s="76">
        <f t="shared" si="172"/>
        <v>646.61731238915843</v>
      </c>
      <c r="BG328" s="22">
        <f t="shared" si="176"/>
        <v>1.4025006033602321</v>
      </c>
      <c r="BI328" s="21">
        <f t="shared" si="185"/>
        <v>4702.9000000000005</v>
      </c>
      <c r="BJ328" s="21">
        <f t="shared" si="168"/>
        <v>725.54499999999825</v>
      </c>
      <c r="BK328" s="21">
        <f>'RD Feedstock Breakdown'!ES319</f>
        <v>7189.3720404078667</v>
      </c>
      <c r="BL328" s="89">
        <f t="shared" si="175"/>
        <v>11.118434200043556</v>
      </c>
      <c r="BM328" s="89">
        <f t="shared" si="173"/>
        <v>19.838662639221965</v>
      </c>
    </row>
    <row r="329" spans="1:65" ht="13.5" x14ac:dyDescent="0.25">
      <c r="A329" s="15">
        <v>50161</v>
      </c>
      <c r="B329" s="20">
        <f t="shared" si="174"/>
        <v>690</v>
      </c>
      <c r="C329" s="74">
        <v>47</v>
      </c>
      <c r="D329" s="20">
        <f t="shared" si="163"/>
        <v>3</v>
      </c>
      <c r="E329" s="20">
        <f t="shared" si="178"/>
        <v>85</v>
      </c>
      <c r="F329" s="20">
        <f t="shared" si="198"/>
        <v>340</v>
      </c>
      <c r="G329" s="20">
        <f t="shared" si="162"/>
        <v>37.5</v>
      </c>
      <c r="H329" s="20">
        <f t="shared" si="191"/>
        <v>190</v>
      </c>
      <c r="I329" s="20">
        <f t="shared" si="177"/>
        <v>250</v>
      </c>
      <c r="J329" s="20">
        <f t="shared" si="169"/>
        <v>153.30000000000001</v>
      </c>
      <c r="K329" s="20">
        <f t="shared" si="180"/>
        <v>125</v>
      </c>
      <c r="L329" s="20">
        <v>125</v>
      </c>
      <c r="M329" s="20">
        <v>730</v>
      </c>
      <c r="N329" s="20">
        <f t="shared" si="208"/>
        <v>180</v>
      </c>
      <c r="O329" s="74">
        <v>375</v>
      </c>
      <c r="P329" s="20">
        <f t="shared" si="186"/>
        <v>50</v>
      </c>
      <c r="Q329" s="20">
        <f t="shared" si="187"/>
        <v>21</v>
      </c>
      <c r="R329" s="20">
        <v>100</v>
      </c>
      <c r="S329" s="20">
        <f t="shared" si="192"/>
        <v>60</v>
      </c>
      <c r="T329" s="20">
        <f t="shared" si="181"/>
        <v>36</v>
      </c>
      <c r="U329" s="20"/>
      <c r="V329" s="20">
        <f t="shared" si="204"/>
        <v>0</v>
      </c>
      <c r="W329" s="20">
        <f t="shared" si="188"/>
        <v>20</v>
      </c>
      <c r="X329" s="20">
        <f t="shared" si="171"/>
        <v>0</v>
      </c>
      <c r="Y329" s="20">
        <f t="shared" si="183"/>
        <v>3.5</v>
      </c>
      <c r="Z329" s="20">
        <f t="shared" si="207"/>
        <v>230</v>
      </c>
      <c r="AA329" s="20">
        <f t="shared" si="182"/>
        <v>306</v>
      </c>
      <c r="AB329" s="20">
        <f t="shared" si="194"/>
        <v>60</v>
      </c>
      <c r="AC329" s="20">
        <f t="shared" si="201"/>
        <v>1.6</v>
      </c>
      <c r="AD329" s="20">
        <f t="shared" si="190"/>
        <v>180</v>
      </c>
      <c r="AE329" s="20">
        <f t="shared" si="193"/>
        <v>1.1000000000000001</v>
      </c>
      <c r="AF329" s="20">
        <f t="shared" si="197"/>
        <v>275</v>
      </c>
      <c r="AG329" s="20">
        <f t="shared" si="203"/>
        <v>18</v>
      </c>
      <c r="AH329" s="20">
        <f t="shared" si="195"/>
        <v>3</v>
      </c>
      <c r="AI329" s="20">
        <f t="shared" si="189"/>
        <v>47</v>
      </c>
      <c r="AJ329" s="20">
        <f t="shared" si="210"/>
        <v>90</v>
      </c>
      <c r="AK329" s="20">
        <f t="shared" si="166"/>
        <v>14</v>
      </c>
      <c r="AL329" s="20">
        <f t="shared" ref="AL329:AL392" si="211">90*$AL$12</f>
        <v>45</v>
      </c>
      <c r="AM329" s="20">
        <v>46</v>
      </c>
      <c r="AN329" s="20">
        <f t="shared" si="167"/>
        <v>0.75</v>
      </c>
      <c r="AO329" s="20">
        <f t="shared" si="205"/>
        <v>19</v>
      </c>
      <c r="AP329" s="20">
        <f t="shared" si="205"/>
        <v>19</v>
      </c>
      <c r="AQ329" s="20">
        <f t="shared" si="170"/>
        <v>5</v>
      </c>
      <c r="AR329" s="20">
        <f t="shared" si="206"/>
        <v>120</v>
      </c>
      <c r="AS329" s="20">
        <f t="shared" si="209"/>
        <v>120</v>
      </c>
      <c r="AT329" s="20">
        <f t="shared" si="202"/>
        <v>55</v>
      </c>
      <c r="AU329" s="20"/>
      <c r="AV329" s="20"/>
      <c r="AW329" s="20">
        <f t="shared" si="184"/>
        <v>5276.7500000000009</v>
      </c>
      <c r="AX329" s="86">
        <f t="shared" si="196"/>
        <v>5428.4449999999988</v>
      </c>
      <c r="AY329" s="17">
        <f>'[1]D4 Gallon Forecast'!$AC153/1000000</f>
        <v>0</v>
      </c>
      <c r="AZ329" s="17">
        <f>'[1]D4 Gallon Forecast'!$AC185/1000000</f>
        <v>404.82620449180115</v>
      </c>
      <c r="BA329" s="17">
        <f t="shared" si="199"/>
        <v>404.82620449180115</v>
      </c>
      <c r="BB329" s="17">
        <f>'[1]D4 Gallon Forecast'!$AC169/1000000</f>
        <v>0</v>
      </c>
      <c r="BC329" s="87">
        <f>'[1]D4 Gallon Forecast'!$AC345/1000000</f>
        <v>374.13637792329394</v>
      </c>
      <c r="BD329" s="88">
        <f>'[1]D4 Gallon Forecast'!$AC361/1000000</f>
        <v>0</v>
      </c>
      <c r="BE329" s="88">
        <f t="shared" si="200"/>
        <v>374.13637792329394</v>
      </c>
      <c r="BF329" s="76">
        <f t="shared" si="172"/>
        <v>778.96258241509508</v>
      </c>
      <c r="BG329" s="22">
        <f t="shared" si="176"/>
        <v>1.7458734657991977</v>
      </c>
      <c r="BI329" s="21">
        <f t="shared" si="185"/>
        <v>4702.9000000000005</v>
      </c>
      <c r="BJ329" s="21">
        <f t="shared" si="168"/>
        <v>725.54499999999825</v>
      </c>
      <c r="BK329" s="21">
        <f>'RD Feedstock Breakdown'!ES320</f>
        <v>10781.270306366059</v>
      </c>
      <c r="BL329" s="89">
        <f t="shared" si="175"/>
        <v>13.84054966149955</v>
      </c>
      <c r="BM329" s="89">
        <f t="shared" si="173"/>
        <v>26.631848894021903</v>
      </c>
    </row>
    <row r="330" spans="1:65" ht="13.5" x14ac:dyDescent="0.25">
      <c r="A330" s="15">
        <v>50192</v>
      </c>
      <c r="B330" s="20">
        <f t="shared" si="174"/>
        <v>690</v>
      </c>
      <c r="C330" s="74">
        <v>47</v>
      </c>
      <c r="D330" s="20">
        <f t="shared" si="163"/>
        <v>3</v>
      </c>
      <c r="E330" s="20">
        <f t="shared" si="178"/>
        <v>85</v>
      </c>
      <c r="F330" s="20">
        <f t="shared" si="198"/>
        <v>340</v>
      </c>
      <c r="G330" s="20">
        <f t="shared" ref="G330:G393" si="212">750*$G$12</f>
        <v>37.5</v>
      </c>
      <c r="H330" s="20">
        <f t="shared" si="191"/>
        <v>190</v>
      </c>
      <c r="I330" s="20">
        <f t="shared" si="177"/>
        <v>250</v>
      </c>
      <c r="J330" s="20">
        <f t="shared" si="169"/>
        <v>153.30000000000001</v>
      </c>
      <c r="K330" s="20">
        <f t="shared" si="180"/>
        <v>125</v>
      </c>
      <c r="L330" s="20">
        <v>125</v>
      </c>
      <c r="M330" s="20">
        <v>730</v>
      </c>
      <c r="N330" s="20">
        <f t="shared" si="208"/>
        <v>180</v>
      </c>
      <c r="O330" s="74">
        <v>375</v>
      </c>
      <c r="P330" s="20">
        <f t="shared" si="186"/>
        <v>50</v>
      </c>
      <c r="Q330" s="20">
        <f t="shared" si="187"/>
        <v>21</v>
      </c>
      <c r="R330" s="20">
        <v>100</v>
      </c>
      <c r="S330" s="20">
        <f t="shared" si="192"/>
        <v>60</v>
      </c>
      <c r="T330" s="20">
        <f t="shared" si="181"/>
        <v>36</v>
      </c>
      <c r="U330" s="20"/>
      <c r="V330" s="20">
        <f t="shared" si="204"/>
        <v>0</v>
      </c>
      <c r="W330" s="20">
        <f t="shared" si="188"/>
        <v>20</v>
      </c>
      <c r="X330" s="20">
        <f t="shared" si="171"/>
        <v>0</v>
      </c>
      <c r="Y330" s="20">
        <f t="shared" si="183"/>
        <v>3.5</v>
      </c>
      <c r="Z330" s="20">
        <f t="shared" si="207"/>
        <v>230</v>
      </c>
      <c r="AA330" s="20">
        <f t="shared" si="182"/>
        <v>306</v>
      </c>
      <c r="AB330" s="20">
        <f t="shared" si="194"/>
        <v>60</v>
      </c>
      <c r="AC330" s="20">
        <f t="shared" si="201"/>
        <v>1.6</v>
      </c>
      <c r="AD330" s="20">
        <f t="shared" si="190"/>
        <v>180</v>
      </c>
      <c r="AE330" s="20">
        <f t="shared" si="193"/>
        <v>1.1000000000000001</v>
      </c>
      <c r="AF330" s="20">
        <f t="shared" si="197"/>
        <v>275</v>
      </c>
      <c r="AG330" s="20">
        <f t="shared" si="203"/>
        <v>18</v>
      </c>
      <c r="AH330" s="20">
        <f t="shared" si="195"/>
        <v>3</v>
      </c>
      <c r="AI330" s="20">
        <f t="shared" si="189"/>
        <v>47</v>
      </c>
      <c r="AJ330" s="20">
        <f t="shared" si="210"/>
        <v>90</v>
      </c>
      <c r="AK330" s="20">
        <f t="shared" si="166"/>
        <v>14</v>
      </c>
      <c r="AL330" s="20">
        <f t="shared" si="211"/>
        <v>45</v>
      </c>
      <c r="AM330" s="20">
        <v>46</v>
      </c>
      <c r="AN330" s="20">
        <f t="shared" si="167"/>
        <v>0.75</v>
      </c>
      <c r="AO330" s="20">
        <f t="shared" si="205"/>
        <v>19</v>
      </c>
      <c r="AP330" s="20">
        <f t="shared" si="205"/>
        <v>19</v>
      </c>
      <c r="AQ330" s="20">
        <f t="shared" si="170"/>
        <v>5</v>
      </c>
      <c r="AR330" s="20">
        <f t="shared" si="206"/>
        <v>120</v>
      </c>
      <c r="AS330" s="20">
        <f t="shared" si="209"/>
        <v>120</v>
      </c>
      <c r="AT330" s="20">
        <f t="shared" si="202"/>
        <v>55</v>
      </c>
      <c r="AU330" s="20"/>
      <c r="AV330" s="20"/>
      <c r="AW330" s="20">
        <f t="shared" si="184"/>
        <v>5276.7500000000009</v>
      </c>
      <c r="AX330" s="86">
        <f t="shared" si="196"/>
        <v>5428.4449999999988</v>
      </c>
      <c r="AY330" s="17">
        <f>'[1]D4 Gallon Forecast'!$AC154/1000000</f>
        <v>0</v>
      </c>
      <c r="AZ330" s="17">
        <f>'[1]D4 Gallon Forecast'!$AC186/1000000</f>
        <v>401.52419345383419</v>
      </c>
      <c r="BA330" s="17">
        <f t="shared" si="199"/>
        <v>401.52419345383419</v>
      </c>
      <c r="BB330" s="17">
        <f>'[1]D4 Gallon Forecast'!$AC170/1000000</f>
        <v>0</v>
      </c>
      <c r="BC330" s="87">
        <f>'[1]D4 Gallon Forecast'!$AC346/1000000</f>
        <v>356.89266165201229</v>
      </c>
      <c r="BD330" s="88">
        <f>'[1]D4 Gallon Forecast'!$AC362/1000000</f>
        <v>0</v>
      </c>
      <c r="BE330" s="88">
        <f t="shared" si="200"/>
        <v>356.89266165201229</v>
      </c>
      <c r="BF330" s="76">
        <f t="shared" si="172"/>
        <v>758.41685510584648</v>
      </c>
      <c r="BG330" s="22">
        <f t="shared" si="176"/>
        <v>1.6449916766910766</v>
      </c>
      <c r="BI330" s="21">
        <f t="shared" si="185"/>
        <v>4702.9000000000005</v>
      </c>
      <c r="BJ330" s="21">
        <f t="shared" si="168"/>
        <v>725.54499999999825</v>
      </c>
      <c r="BK330" s="21">
        <f>'RD Feedstock Breakdown'!ES321</f>
        <v>9890.3635237189246</v>
      </c>
      <c r="BL330" s="89">
        <f t="shared" si="175"/>
        <v>13.040801318080677</v>
      </c>
      <c r="BM330" s="89">
        <f t="shared" si="173"/>
        <v>24.632048790494821</v>
      </c>
    </row>
    <row r="331" spans="1:65" ht="13.5" x14ac:dyDescent="0.25">
      <c r="A331" s="15">
        <v>50222</v>
      </c>
      <c r="B331" s="20">
        <f t="shared" si="174"/>
        <v>690</v>
      </c>
      <c r="C331" s="74">
        <v>47</v>
      </c>
      <c r="D331" s="20">
        <f t="shared" si="163"/>
        <v>3</v>
      </c>
      <c r="E331" s="20">
        <f t="shared" si="178"/>
        <v>85</v>
      </c>
      <c r="F331" s="20">
        <f t="shared" si="198"/>
        <v>340</v>
      </c>
      <c r="G331" s="20">
        <f t="shared" si="212"/>
        <v>37.5</v>
      </c>
      <c r="H331" s="20">
        <f t="shared" si="191"/>
        <v>190</v>
      </c>
      <c r="I331" s="20">
        <f t="shared" si="177"/>
        <v>250</v>
      </c>
      <c r="J331" s="20">
        <f t="shared" si="169"/>
        <v>153.30000000000001</v>
      </c>
      <c r="K331" s="20">
        <f t="shared" si="180"/>
        <v>125</v>
      </c>
      <c r="L331" s="20">
        <v>125</v>
      </c>
      <c r="M331" s="20">
        <v>730</v>
      </c>
      <c r="N331" s="20">
        <f t="shared" si="208"/>
        <v>180</v>
      </c>
      <c r="O331" s="74">
        <v>375</v>
      </c>
      <c r="P331" s="20">
        <f t="shared" si="186"/>
        <v>50</v>
      </c>
      <c r="Q331" s="20">
        <f t="shared" si="187"/>
        <v>21</v>
      </c>
      <c r="R331" s="20">
        <v>100</v>
      </c>
      <c r="S331" s="20">
        <f t="shared" si="192"/>
        <v>60</v>
      </c>
      <c r="T331" s="20">
        <f t="shared" si="181"/>
        <v>36</v>
      </c>
      <c r="U331" s="20"/>
      <c r="V331" s="20">
        <f t="shared" si="204"/>
        <v>0</v>
      </c>
      <c r="W331" s="20">
        <f t="shared" si="188"/>
        <v>20</v>
      </c>
      <c r="X331" s="20">
        <f t="shared" si="171"/>
        <v>0</v>
      </c>
      <c r="Y331" s="20">
        <f t="shared" si="183"/>
        <v>3.5</v>
      </c>
      <c r="Z331" s="20">
        <f t="shared" si="207"/>
        <v>230</v>
      </c>
      <c r="AA331" s="20">
        <f t="shared" si="182"/>
        <v>306</v>
      </c>
      <c r="AB331" s="20">
        <f t="shared" si="194"/>
        <v>60</v>
      </c>
      <c r="AC331" s="20">
        <f t="shared" si="201"/>
        <v>1.6</v>
      </c>
      <c r="AD331" s="20">
        <f t="shared" si="190"/>
        <v>180</v>
      </c>
      <c r="AE331" s="20">
        <f t="shared" si="193"/>
        <v>1.1000000000000001</v>
      </c>
      <c r="AF331" s="20">
        <f t="shared" si="197"/>
        <v>275</v>
      </c>
      <c r="AG331" s="20">
        <f t="shared" si="203"/>
        <v>18</v>
      </c>
      <c r="AH331" s="20">
        <f t="shared" si="195"/>
        <v>3</v>
      </c>
      <c r="AI331" s="20">
        <f t="shared" si="189"/>
        <v>47</v>
      </c>
      <c r="AJ331" s="20">
        <f t="shared" si="210"/>
        <v>90</v>
      </c>
      <c r="AK331" s="20">
        <f t="shared" si="166"/>
        <v>14</v>
      </c>
      <c r="AL331" s="20">
        <f t="shared" si="211"/>
        <v>45</v>
      </c>
      <c r="AM331" s="20">
        <v>46</v>
      </c>
      <c r="AN331" s="20">
        <f t="shared" si="167"/>
        <v>0.75</v>
      </c>
      <c r="AO331" s="20">
        <f t="shared" si="205"/>
        <v>19</v>
      </c>
      <c r="AP331" s="20">
        <f t="shared" si="205"/>
        <v>19</v>
      </c>
      <c r="AQ331" s="20">
        <f t="shared" si="170"/>
        <v>5</v>
      </c>
      <c r="AR331" s="20">
        <f t="shared" si="206"/>
        <v>120</v>
      </c>
      <c r="AS331" s="20">
        <f t="shared" si="209"/>
        <v>120</v>
      </c>
      <c r="AT331" s="20">
        <f t="shared" si="202"/>
        <v>55</v>
      </c>
      <c r="AU331" s="20"/>
      <c r="AV331" s="20"/>
      <c r="AW331" s="20">
        <f t="shared" si="184"/>
        <v>5276.7500000000009</v>
      </c>
      <c r="AX331" s="86">
        <f t="shared" si="196"/>
        <v>5428.4449999999988</v>
      </c>
      <c r="AY331" s="17">
        <f>'[1]D4 Gallon Forecast'!$AC155/1000000</f>
        <v>0</v>
      </c>
      <c r="AZ331" s="17">
        <f>'[1]D4 Gallon Forecast'!$AC187/1000000</f>
        <v>393.27157027691618</v>
      </c>
      <c r="BA331" s="17">
        <f t="shared" si="199"/>
        <v>393.27157027691618</v>
      </c>
      <c r="BB331" s="17">
        <f>'[1]D4 Gallon Forecast'!$AC171/1000000</f>
        <v>0</v>
      </c>
      <c r="BC331" s="87">
        <f>'[1]D4 Gallon Forecast'!$AC347/1000000</f>
        <v>388.22490721705157</v>
      </c>
      <c r="BD331" s="88">
        <f>'[1]D4 Gallon Forecast'!$AC363/1000000</f>
        <v>0</v>
      </c>
      <c r="BE331" s="88">
        <f t="shared" si="200"/>
        <v>388.22490721705157</v>
      </c>
      <c r="BF331" s="76">
        <f t="shared" si="172"/>
        <v>781.49647749396775</v>
      </c>
      <c r="BG331" s="22">
        <f t="shared" si="176"/>
        <v>1.7515526348417043</v>
      </c>
      <c r="BI331" s="21">
        <f t="shared" si="185"/>
        <v>4702.9000000000005</v>
      </c>
      <c r="BJ331" s="21">
        <f t="shared" si="168"/>
        <v>725.54499999999825</v>
      </c>
      <c r="BK331" s="21">
        <f>'RD Feedstock Breakdown'!ES322</f>
        <v>10851.525388896462</v>
      </c>
      <c r="BL331" s="89">
        <f t="shared" si="175"/>
        <v>13.88557172220936</v>
      </c>
      <c r="BM331" s="89">
        <f t="shared" si="173"/>
        <v>27.592956646358967</v>
      </c>
    </row>
    <row r="332" spans="1:65" ht="13.5" x14ac:dyDescent="0.25">
      <c r="A332" s="15">
        <v>50253</v>
      </c>
      <c r="B332" s="20">
        <f t="shared" si="174"/>
        <v>690</v>
      </c>
      <c r="C332" s="74">
        <v>47</v>
      </c>
      <c r="D332" s="20">
        <f t="shared" ref="D332:D395" si="213">3*$D$12</f>
        <v>3</v>
      </c>
      <c r="E332" s="20">
        <f t="shared" si="178"/>
        <v>85</v>
      </c>
      <c r="F332" s="20">
        <f t="shared" si="198"/>
        <v>340</v>
      </c>
      <c r="G332" s="20">
        <f t="shared" si="212"/>
        <v>37.5</v>
      </c>
      <c r="H332" s="20">
        <f t="shared" si="191"/>
        <v>190</v>
      </c>
      <c r="I332" s="20">
        <f t="shared" si="177"/>
        <v>250</v>
      </c>
      <c r="J332" s="20">
        <f t="shared" si="169"/>
        <v>153.30000000000001</v>
      </c>
      <c r="K332" s="20">
        <f t="shared" si="180"/>
        <v>125</v>
      </c>
      <c r="L332" s="20">
        <v>125</v>
      </c>
      <c r="M332" s="20">
        <v>730</v>
      </c>
      <c r="N332" s="20">
        <f t="shared" si="208"/>
        <v>180</v>
      </c>
      <c r="O332" s="74">
        <v>375</v>
      </c>
      <c r="P332" s="20">
        <f t="shared" si="186"/>
        <v>50</v>
      </c>
      <c r="Q332" s="20">
        <f t="shared" si="187"/>
        <v>21</v>
      </c>
      <c r="R332" s="20">
        <v>100</v>
      </c>
      <c r="S332" s="20">
        <f t="shared" si="192"/>
        <v>60</v>
      </c>
      <c r="T332" s="20">
        <f t="shared" si="181"/>
        <v>36</v>
      </c>
      <c r="U332" s="20"/>
      <c r="V332" s="20">
        <f t="shared" si="204"/>
        <v>0</v>
      </c>
      <c r="W332" s="20">
        <f t="shared" si="188"/>
        <v>20</v>
      </c>
      <c r="X332" s="20">
        <f t="shared" si="171"/>
        <v>0</v>
      </c>
      <c r="Y332" s="20">
        <f t="shared" si="183"/>
        <v>3.5</v>
      </c>
      <c r="Z332" s="20">
        <f t="shared" si="207"/>
        <v>230</v>
      </c>
      <c r="AA332" s="20">
        <f t="shared" si="182"/>
        <v>306</v>
      </c>
      <c r="AB332" s="20">
        <f t="shared" si="194"/>
        <v>60</v>
      </c>
      <c r="AC332" s="20">
        <f t="shared" si="201"/>
        <v>1.6</v>
      </c>
      <c r="AD332" s="20">
        <f t="shared" si="190"/>
        <v>180</v>
      </c>
      <c r="AE332" s="20">
        <f t="shared" si="193"/>
        <v>1.1000000000000001</v>
      </c>
      <c r="AF332" s="20">
        <f t="shared" si="197"/>
        <v>275</v>
      </c>
      <c r="AG332" s="20">
        <f t="shared" si="203"/>
        <v>18</v>
      </c>
      <c r="AH332" s="20">
        <f t="shared" si="195"/>
        <v>3</v>
      </c>
      <c r="AI332" s="20">
        <f t="shared" si="189"/>
        <v>47</v>
      </c>
      <c r="AJ332" s="20">
        <f t="shared" si="210"/>
        <v>90</v>
      </c>
      <c r="AK332" s="20">
        <f t="shared" si="166"/>
        <v>14</v>
      </c>
      <c r="AL332" s="20">
        <f t="shared" si="211"/>
        <v>45</v>
      </c>
      <c r="AM332" s="20">
        <v>46</v>
      </c>
      <c r="AN332" s="20">
        <f t="shared" si="167"/>
        <v>0.75</v>
      </c>
      <c r="AO332" s="20">
        <f t="shared" si="205"/>
        <v>19</v>
      </c>
      <c r="AP332" s="20">
        <f t="shared" si="205"/>
        <v>19</v>
      </c>
      <c r="AQ332" s="20">
        <f t="shared" si="170"/>
        <v>5</v>
      </c>
      <c r="AR332" s="20">
        <f t="shared" si="206"/>
        <v>120</v>
      </c>
      <c r="AS332" s="20">
        <f t="shared" si="209"/>
        <v>120</v>
      </c>
      <c r="AT332" s="20">
        <f t="shared" si="202"/>
        <v>55</v>
      </c>
      <c r="AU332" s="20"/>
      <c r="AV332" s="20"/>
      <c r="AW332" s="20">
        <f t="shared" si="184"/>
        <v>5276.7500000000009</v>
      </c>
      <c r="AX332" s="86">
        <f t="shared" si="196"/>
        <v>5428.4449999999988</v>
      </c>
      <c r="AY332" s="17">
        <f>'[1]D4 Gallon Forecast'!$AC156/1000000</f>
        <v>0</v>
      </c>
      <c r="AZ332" s="17">
        <f>'[1]D4 Gallon Forecast'!$AC188/1000000</f>
        <v>398.8994965122821</v>
      </c>
      <c r="BA332" s="17">
        <f t="shared" si="199"/>
        <v>398.8994965122821</v>
      </c>
      <c r="BB332" s="17">
        <f>'[1]D4 Gallon Forecast'!$AC172/1000000</f>
        <v>0</v>
      </c>
      <c r="BC332" s="87">
        <f>'[1]D4 Gallon Forecast'!$AC348/1000000</f>
        <v>422.72804530291944</v>
      </c>
      <c r="BD332" s="88">
        <f>'[1]D4 Gallon Forecast'!$AC364/1000000</f>
        <v>0</v>
      </c>
      <c r="BE332" s="88">
        <f t="shared" si="200"/>
        <v>422.72804530291944</v>
      </c>
      <c r="BF332" s="76">
        <f t="shared" si="172"/>
        <v>821.62754181520154</v>
      </c>
      <c r="BG332" s="22">
        <f t="shared" si="176"/>
        <v>1.7820944491502995</v>
      </c>
      <c r="BI332" s="21">
        <f t="shared" si="185"/>
        <v>4702.9000000000005</v>
      </c>
      <c r="BJ332" s="21">
        <f t="shared" si="168"/>
        <v>725.54499999999825</v>
      </c>
      <c r="BK332" s="21">
        <f>'RD Feedstock Breakdown'!ES323</f>
        <v>11607.702792712869</v>
      </c>
      <c r="BL332" s="89">
        <f t="shared" si="175"/>
        <v>14.127694365099126</v>
      </c>
      <c r="BM332" s="89">
        <f t="shared" si="173"/>
        <v>29.099316730662931</v>
      </c>
    </row>
    <row r="333" spans="1:65" ht="13.5" x14ac:dyDescent="0.25">
      <c r="A333" s="15">
        <v>50284</v>
      </c>
      <c r="B333" s="20">
        <f t="shared" si="174"/>
        <v>690</v>
      </c>
      <c r="C333" s="74">
        <v>47</v>
      </c>
      <c r="D333" s="20">
        <f t="shared" si="213"/>
        <v>3</v>
      </c>
      <c r="E333" s="20">
        <f t="shared" si="178"/>
        <v>85</v>
      </c>
      <c r="F333" s="20">
        <f t="shared" si="198"/>
        <v>340</v>
      </c>
      <c r="G333" s="20">
        <f t="shared" si="212"/>
        <v>37.5</v>
      </c>
      <c r="H333" s="20">
        <f t="shared" si="191"/>
        <v>190</v>
      </c>
      <c r="I333" s="20">
        <f t="shared" si="177"/>
        <v>250</v>
      </c>
      <c r="J333" s="20">
        <f t="shared" si="169"/>
        <v>153.30000000000001</v>
      </c>
      <c r="K333" s="20">
        <f t="shared" si="180"/>
        <v>125</v>
      </c>
      <c r="L333" s="20">
        <v>125</v>
      </c>
      <c r="M333" s="20">
        <v>730</v>
      </c>
      <c r="N333" s="20">
        <f t="shared" si="208"/>
        <v>180</v>
      </c>
      <c r="O333" s="74">
        <v>375</v>
      </c>
      <c r="P333" s="20">
        <f t="shared" si="186"/>
        <v>50</v>
      </c>
      <c r="Q333" s="20">
        <f t="shared" si="187"/>
        <v>21</v>
      </c>
      <c r="R333" s="20">
        <v>100</v>
      </c>
      <c r="S333" s="20">
        <f t="shared" si="192"/>
        <v>60</v>
      </c>
      <c r="T333" s="20">
        <f t="shared" si="181"/>
        <v>36</v>
      </c>
      <c r="U333" s="20"/>
      <c r="V333" s="20">
        <f t="shared" si="204"/>
        <v>0</v>
      </c>
      <c r="W333" s="20">
        <f t="shared" si="188"/>
        <v>20</v>
      </c>
      <c r="X333" s="20">
        <f t="shared" si="171"/>
        <v>0</v>
      </c>
      <c r="Y333" s="20">
        <f t="shared" si="183"/>
        <v>3.5</v>
      </c>
      <c r="Z333" s="20">
        <f t="shared" si="207"/>
        <v>230</v>
      </c>
      <c r="AA333" s="20">
        <f t="shared" si="182"/>
        <v>306</v>
      </c>
      <c r="AB333" s="20">
        <f t="shared" si="194"/>
        <v>60</v>
      </c>
      <c r="AC333" s="20">
        <f t="shared" si="201"/>
        <v>1.6</v>
      </c>
      <c r="AD333" s="20">
        <f t="shared" si="190"/>
        <v>180</v>
      </c>
      <c r="AE333" s="20">
        <f t="shared" si="193"/>
        <v>1.1000000000000001</v>
      </c>
      <c r="AF333" s="20">
        <f t="shared" si="197"/>
        <v>275</v>
      </c>
      <c r="AG333" s="20">
        <f t="shared" si="203"/>
        <v>18</v>
      </c>
      <c r="AH333" s="20">
        <f t="shared" si="195"/>
        <v>3</v>
      </c>
      <c r="AI333" s="20">
        <f t="shared" si="189"/>
        <v>47</v>
      </c>
      <c r="AJ333" s="20">
        <f t="shared" si="210"/>
        <v>90</v>
      </c>
      <c r="AK333" s="20">
        <f t="shared" si="166"/>
        <v>14</v>
      </c>
      <c r="AL333" s="20">
        <f t="shared" si="211"/>
        <v>45</v>
      </c>
      <c r="AM333" s="20">
        <v>46</v>
      </c>
      <c r="AN333" s="20">
        <f t="shared" si="167"/>
        <v>0.75</v>
      </c>
      <c r="AO333" s="20">
        <f t="shared" si="205"/>
        <v>19</v>
      </c>
      <c r="AP333" s="20">
        <f t="shared" si="205"/>
        <v>19</v>
      </c>
      <c r="AQ333" s="20">
        <f t="shared" si="170"/>
        <v>5</v>
      </c>
      <c r="AR333" s="20">
        <f t="shared" si="206"/>
        <v>120</v>
      </c>
      <c r="AS333" s="20">
        <f t="shared" si="209"/>
        <v>120</v>
      </c>
      <c r="AT333" s="20">
        <f t="shared" si="202"/>
        <v>55</v>
      </c>
      <c r="AU333" s="20"/>
      <c r="AV333" s="20"/>
      <c r="AW333" s="20">
        <f t="shared" si="184"/>
        <v>5276.7500000000009</v>
      </c>
      <c r="AX333" s="86">
        <f t="shared" si="196"/>
        <v>5428.4449999999988</v>
      </c>
      <c r="AY333" s="17">
        <f>'[1]D4 Gallon Forecast'!$AC157/1000000</f>
        <v>0</v>
      </c>
      <c r="AZ333" s="17">
        <f>'[1]D4 Gallon Forecast'!$AC189/1000000</f>
        <v>406.16975367810477</v>
      </c>
      <c r="BA333" s="17">
        <f t="shared" si="199"/>
        <v>406.16975367810477</v>
      </c>
      <c r="BB333" s="17">
        <f>'[1]D4 Gallon Forecast'!$AC173/1000000</f>
        <v>0</v>
      </c>
      <c r="BC333" s="87">
        <f>'[1]D4 Gallon Forecast'!$AC349/1000000</f>
        <v>514.15532237966499</v>
      </c>
      <c r="BD333" s="88">
        <f>'[1]D4 Gallon Forecast'!$AC365/1000000</f>
        <v>0</v>
      </c>
      <c r="BE333" s="88">
        <f t="shared" si="200"/>
        <v>514.15532237966499</v>
      </c>
      <c r="BF333" s="76">
        <f t="shared" si="172"/>
        <v>920.32507605776982</v>
      </c>
      <c r="BG333" s="22">
        <f t="shared" si="176"/>
        <v>1.9961675162847299</v>
      </c>
      <c r="BI333" s="21">
        <f t="shared" si="185"/>
        <v>4702.9000000000005</v>
      </c>
      <c r="BJ333" s="21">
        <f t="shared" si="168"/>
        <v>725.54499999999825</v>
      </c>
      <c r="BK333" s="21">
        <f>'RD Feedstock Breakdown'!ES324</f>
        <v>14563.937712541241</v>
      </c>
      <c r="BL333" s="89">
        <f t="shared" si="175"/>
        <v>15.824775496638805</v>
      </c>
      <c r="BM333" s="89">
        <f t="shared" si="173"/>
        <v>35.856775598518261</v>
      </c>
    </row>
    <row r="334" spans="1:65" ht="13.5" x14ac:dyDescent="0.25">
      <c r="A334" s="15">
        <v>50314</v>
      </c>
      <c r="B334" s="20">
        <f t="shared" si="174"/>
        <v>690</v>
      </c>
      <c r="C334" s="74">
        <v>47</v>
      </c>
      <c r="D334" s="20">
        <f t="shared" si="213"/>
        <v>3</v>
      </c>
      <c r="E334" s="20">
        <f t="shared" si="178"/>
        <v>85</v>
      </c>
      <c r="F334" s="20">
        <f t="shared" si="198"/>
        <v>340</v>
      </c>
      <c r="G334" s="20">
        <f t="shared" si="212"/>
        <v>37.5</v>
      </c>
      <c r="H334" s="20">
        <f t="shared" si="191"/>
        <v>190</v>
      </c>
      <c r="I334" s="20">
        <f t="shared" si="177"/>
        <v>250</v>
      </c>
      <c r="J334" s="20">
        <f t="shared" si="169"/>
        <v>153.30000000000001</v>
      </c>
      <c r="K334" s="20">
        <f t="shared" si="180"/>
        <v>125</v>
      </c>
      <c r="L334" s="20">
        <v>125</v>
      </c>
      <c r="M334" s="20">
        <v>730</v>
      </c>
      <c r="N334" s="20">
        <f t="shared" si="208"/>
        <v>180</v>
      </c>
      <c r="O334" s="74">
        <v>375</v>
      </c>
      <c r="P334" s="20">
        <f t="shared" si="186"/>
        <v>50</v>
      </c>
      <c r="Q334" s="20">
        <f t="shared" si="187"/>
        <v>21</v>
      </c>
      <c r="R334" s="20">
        <v>100</v>
      </c>
      <c r="S334" s="20">
        <f t="shared" si="192"/>
        <v>60</v>
      </c>
      <c r="T334" s="20">
        <f t="shared" si="181"/>
        <v>36</v>
      </c>
      <c r="U334" s="20"/>
      <c r="V334" s="20">
        <f t="shared" si="204"/>
        <v>0</v>
      </c>
      <c r="W334" s="20">
        <f t="shared" si="188"/>
        <v>20</v>
      </c>
      <c r="X334" s="20">
        <f t="shared" si="171"/>
        <v>0</v>
      </c>
      <c r="Y334" s="20">
        <f t="shared" si="183"/>
        <v>3.5</v>
      </c>
      <c r="Z334" s="20">
        <f t="shared" si="207"/>
        <v>230</v>
      </c>
      <c r="AA334" s="20">
        <f t="shared" si="182"/>
        <v>306</v>
      </c>
      <c r="AB334" s="20">
        <f t="shared" si="194"/>
        <v>60</v>
      </c>
      <c r="AC334" s="20">
        <f t="shared" si="201"/>
        <v>1.6</v>
      </c>
      <c r="AD334" s="20">
        <f t="shared" si="190"/>
        <v>180</v>
      </c>
      <c r="AE334" s="20">
        <f t="shared" si="193"/>
        <v>1.1000000000000001</v>
      </c>
      <c r="AF334" s="20">
        <f t="shared" si="197"/>
        <v>275</v>
      </c>
      <c r="AG334" s="20">
        <f t="shared" si="203"/>
        <v>18</v>
      </c>
      <c r="AH334" s="20">
        <f t="shared" si="195"/>
        <v>3</v>
      </c>
      <c r="AI334" s="20">
        <f t="shared" si="189"/>
        <v>47</v>
      </c>
      <c r="AJ334" s="20">
        <f t="shared" si="210"/>
        <v>90</v>
      </c>
      <c r="AK334" s="20">
        <f t="shared" si="166"/>
        <v>14</v>
      </c>
      <c r="AL334" s="20">
        <f t="shared" si="211"/>
        <v>45</v>
      </c>
      <c r="AM334" s="20">
        <v>46</v>
      </c>
      <c r="AN334" s="20">
        <f t="shared" si="167"/>
        <v>0.75</v>
      </c>
      <c r="AO334" s="20">
        <f t="shared" si="205"/>
        <v>19</v>
      </c>
      <c r="AP334" s="20">
        <f t="shared" si="205"/>
        <v>19</v>
      </c>
      <c r="AQ334" s="20">
        <f t="shared" si="170"/>
        <v>5</v>
      </c>
      <c r="AR334" s="20">
        <f t="shared" si="206"/>
        <v>120</v>
      </c>
      <c r="AS334" s="20">
        <f t="shared" si="209"/>
        <v>120</v>
      </c>
      <c r="AT334" s="20">
        <f t="shared" si="202"/>
        <v>55</v>
      </c>
      <c r="AU334" s="20"/>
      <c r="AV334" s="20"/>
      <c r="AW334" s="20">
        <f t="shared" si="184"/>
        <v>5276.7500000000009</v>
      </c>
      <c r="AX334" s="86">
        <f t="shared" si="196"/>
        <v>5428.4449999999988</v>
      </c>
      <c r="AY334" s="17">
        <f>'[1]D4 Gallon Forecast'!$AC158/1000000</f>
        <v>0</v>
      </c>
      <c r="AZ334" s="17">
        <f>'[1]D4 Gallon Forecast'!$AC190/1000000</f>
        <v>446.32672607033794</v>
      </c>
      <c r="BA334" s="17">
        <f t="shared" si="199"/>
        <v>446.32672607033794</v>
      </c>
      <c r="BB334" s="17">
        <f>'[1]D4 Gallon Forecast'!$AC174/1000000</f>
        <v>0</v>
      </c>
      <c r="BC334" s="87">
        <f>'[1]D4 Gallon Forecast'!$AC350/1000000</f>
        <v>501.97597849151566</v>
      </c>
      <c r="BD334" s="88">
        <f>'[1]D4 Gallon Forecast'!$AC366/1000000</f>
        <v>0</v>
      </c>
      <c r="BE334" s="88">
        <f t="shared" si="200"/>
        <v>501.97597849151566</v>
      </c>
      <c r="BF334" s="76">
        <f t="shared" si="172"/>
        <v>948.3027045618536</v>
      </c>
      <c r="BG334" s="22">
        <f t="shared" si="176"/>
        <v>2.1254121402174202</v>
      </c>
      <c r="BI334" s="21">
        <f t="shared" si="185"/>
        <v>4702.9000000000005</v>
      </c>
      <c r="BJ334" s="21">
        <f t="shared" si="168"/>
        <v>725.54499999999825</v>
      </c>
      <c r="BK334" s="21">
        <f>'RD Feedstock Breakdown'!ES325</f>
        <v>16036.602596212218</v>
      </c>
      <c r="BL334" s="89">
        <f t="shared" si="175"/>
        <v>16.910847685098236</v>
      </c>
      <c r="BM334" s="89">
        <f t="shared" si="173"/>
        <v>35.930186698443336</v>
      </c>
    </row>
    <row r="335" spans="1:65" ht="13.5" x14ac:dyDescent="0.25">
      <c r="A335" s="15">
        <v>50345</v>
      </c>
      <c r="B335" s="20">
        <f t="shared" si="174"/>
        <v>690</v>
      </c>
      <c r="C335" s="74">
        <v>47</v>
      </c>
      <c r="D335" s="20">
        <f t="shared" si="213"/>
        <v>3</v>
      </c>
      <c r="E335" s="20">
        <f t="shared" si="178"/>
        <v>85</v>
      </c>
      <c r="F335" s="20">
        <f t="shared" si="198"/>
        <v>340</v>
      </c>
      <c r="G335" s="20">
        <f t="shared" si="212"/>
        <v>37.5</v>
      </c>
      <c r="H335" s="20">
        <f t="shared" si="191"/>
        <v>190</v>
      </c>
      <c r="I335" s="20">
        <f t="shared" si="177"/>
        <v>250</v>
      </c>
      <c r="J335" s="20">
        <f t="shared" si="169"/>
        <v>153.30000000000001</v>
      </c>
      <c r="K335" s="20">
        <f t="shared" si="180"/>
        <v>125</v>
      </c>
      <c r="L335" s="20">
        <v>125</v>
      </c>
      <c r="M335" s="20">
        <v>730</v>
      </c>
      <c r="N335" s="20">
        <f t="shared" si="208"/>
        <v>180</v>
      </c>
      <c r="O335" s="74">
        <v>375</v>
      </c>
      <c r="P335" s="20">
        <f t="shared" si="186"/>
        <v>50</v>
      </c>
      <c r="Q335" s="20">
        <f t="shared" si="187"/>
        <v>21</v>
      </c>
      <c r="R335" s="20">
        <v>100</v>
      </c>
      <c r="S335" s="20">
        <f t="shared" si="192"/>
        <v>60</v>
      </c>
      <c r="T335" s="20">
        <f t="shared" si="181"/>
        <v>36</v>
      </c>
      <c r="U335" s="20"/>
      <c r="V335" s="20">
        <f t="shared" si="204"/>
        <v>0</v>
      </c>
      <c r="W335" s="20">
        <f t="shared" si="188"/>
        <v>20</v>
      </c>
      <c r="X335" s="20">
        <f t="shared" si="171"/>
        <v>0</v>
      </c>
      <c r="Y335" s="20">
        <f t="shared" si="183"/>
        <v>3.5</v>
      </c>
      <c r="Z335" s="20">
        <f t="shared" si="207"/>
        <v>230</v>
      </c>
      <c r="AA335" s="20">
        <f t="shared" si="182"/>
        <v>306</v>
      </c>
      <c r="AB335" s="20">
        <f t="shared" si="194"/>
        <v>60</v>
      </c>
      <c r="AC335" s="20">
        <f t="shared" si="201"/>
        <v>1.6</v>
      </c>
      <c r="AD335" s="20">
        <f t="shared" si="190"/>
        <v>180</v>
      </c>
      <c r="AE335" s="20">
        <f t="shared" si="193"/>
        <v>1.1000000000000001</v>
      </c>
      <c r="AF335" s="20">
        <f t="shared" si="197"/>
        <v>275</v>
      </c>
      <c r="AG335" s="20">
        <f t="shared" si="203"/>
        <v>18</v>
      </c>
      <c r="AH335" s="20">
        <f t="shared" si="195"/>
        <v>3</v>
      </c>
      <c r="AI335" s="20">
        <f t="shared" si="189"/>
        <v>47</v>
      </c>
      <c r="AJ335" s="20">
        <f t="shared" si="210"/>
        <v>90</v>
      </c>
      <c r="AK335" s="20">
        <f t="shared" ref="AK335:AK398" si="214">$AK$12*$AK$5</f>
        <v>14</v>
      </c>
      <c r="AL335" s="20">
        <f t="shared" si="211"/>
        <v>45</v>
      </c>
      <c r="AM335" s="20">
        <v>46</v>
      </c>
      <c r="AN335" s="20">
        <f t="shared" ref="AN335:AN398" si="215">$AN$5*$AN$12</f>
        <v>0.75</v>
      </c>
      <c r="AO335" s="20">
        <f t="shared" si="205"/>
        <v>19</v>
      </c>
      <c r="AP335" s="20">
        <f t="shared" si="205"/>
        <v>19</v>
      </c>
      <c r="AQ335" s="20">
        <f t="shared" si="170"/>
        <v>5</v>
      </c>
      <c r="AR335" s="20">
        <f t="shared" si="206"/>
        <v>120</v>
      </c>
      <c r="AS335" s="20">
        <f t="shared" si="209"/>
        <v>120</v>
      </c>
      <c r="AT335" s="20">
        <f t="shared" si="202"/>
        <v>55</v>
      </c>
      <c r="AU335" s="20"/>
      <c r="AV335" s="20"/>
      <c r="AW335" s="20">
        <f t="shared" si="184"/>
        <v>5276.7500000000009</v>
      </c>
      <c r="AX335" s="86">
        <f t="shared" si="196"/>
        <v>5428.4449999999988</v>
      </c>
      <c r="AY335" s="17">
        <f>'[1]D4 Gallon Forecast'!$AC159/1000000</f>
        <v>0</v>
      </c>
      <c r="AZ335" s="17">
        <f>'[1]D4 Gallon Forecast'!$AC191/1000000</f>
        <v>542.27708821583815</v>
      </c>
      <c r="BA335" s="17">
        <f t="shared" si="199"/>
        <v>542.27708821583815</v>
      </c>
      <c r="BB335" s="17">
        <f>'[1]D4 Gallon Forecast'!$AC175/1000000</f>
        <v>0</v>
      </c>
      <c r="BC335" s="87">
        <f>'[1]D4 Gallon Forecast'!$AC351/1000000</f>
        <v>434.34276019127094</v>
      </c>
      <c r="BD335" s="88">
        <f>'[1]D4 Gallon Forecast'!$AC367/1000000</f>
        <v>0</v>
      </c>
      <c r="BE335" s="88">
        <f t="shared" si="200"/>
        <v>434.34276019127094</v>
      </c>
      <c r="BF335" s="76">
        <f t="shared" si="172"/>
        <v>976.61984840710909</v>
      </c>
      <c r="BG335" s="22">
        <f t="shared" si="176"/>
        <v>2.1182698025570437</v>
      </c>
      <c r="BI335" s="21">
        <f t="shared" si="185"/>
        <v>4702.9000000000005</v>
      </c>
      <c r="BJ335" s="21">
        <f t="shared" si="168"/>
        <v>725.54499999999825</v>
      </c>
      <c r="BK335" s="21">
        <f>'RD Feedstock Breakdown'!ES326</f>
        <v>16459.970120877362</v>
      </c>
      <c r="BL335" s="89">
        <f t="shared" si="175"/>
        <v>16.854019655369463</v>
      </c>
      <c r="BM335" s="89">
        <f t="shared" si="173"/>
        <v>30.353430890898959</v>
      </c>
    </row>
    <row r="336" spans="1:65" ht="13.5" x14ac:dyDescent="0.25">
      <c r="A336" s="15">
        <v>50375</v>
      </c>
      <c r="B336" s="20">
        <f t="shared" si="174"/>
        <v>690</v>
      </c>
      <c r="C336" s="74">
        <v>47</v>
      </c>
      <c r="D336" s="20">
        <f t="shared" si="213"/>
        <v>3</v>
      </c>
      <c r="E336" s="20">
        <f t="shared" si="178"/>
        <v>85</v>
      </c>
      <c r="F336" s="20">
        <f t="shared" si="198"/>
        <v>340</v>
      </c>
      <c r="G336" s="20">
        <f t="shared" si="212"/>
        <v>37.5</v>
      </c>
      <c r="H336" s="20">
        <f t="shared" si="191"/>
        <v>190</v>
      </c>
      <c r="I336" s="20">
        <f t="shared" si="177"/>
        <v>250</v>
      </c>
      <c r="J336" s="20">
        <f t="shared" si="169"/>
        <v>153.30000000000001</v>
      </c>
      <c r="K336" s="20">
        <f t="shared" si="180"/>
        <v>125</v>
      </c>
      <c r="L336" s="20">
        <v>125</v>
      </c>
      <c r="M336" s="20">
        <v>730</v>
      </c>
      <c r="N336" s="20">
        <f t="shared" si="208"/>
        <v>180</v>
      </c>
      <c r="O336" s="74">
        <v>375</v>
      </c>
      <c r="P336" s="20">
        <f t="shared" si="186"/>
        <v>50</v>
      </c>
      <c r="Q336" s="20">
        <f t="shared" si="187"/>
        <v>21</v>
      </c>
      <c r="R336" s="20">
        <v>100</v>
      </c>
      <c r="S336" s="20">
        <f t="shared" si="192"/>
        <v>60</v>
      </c>
      <c r="T336" s="20">
        <f t="shared" si="181"/>
        <v>36</v>
      </c>
      <c r="U336" s="20"/>
      <c r="V336" s="20">
        <f t="shared" si="204"/>
        <v>0</v>
      </c>
      <c r="W336" s="20">
        <f t="shared" si="188"/>
        <v>20</v>
      </c>
      <c r="X336" s="20">
        <f t="shared" si="171"/>
        <v>0</v>
      </c>
      <c r="Y336" s="20">
        <f t="shared" si="183"/>
        <v>3.5</v>
      </c>
      <c r="Z336" s="20">
        <f t="shared" si="207"/>
        <v>230</v>
      </c>
      <c r="AA336" s="20">
        <f t="shared" si="182"/>
        <v>306</v>
      </c>
      <c r="AB336" s="20">
        <f t="shared" si="194"/>
        <v>60</v>
      </c>
      <c r="AC336" s="20">
        <f t="shared" si="201"/>
        <v>1.6</v>
      </c>
      <c r="AD336" s="20">
        <f t="shared" si="190"/>
        <v>180</v>
      </c>
      <c r="AE336" s="20">
        <f t="shared" si="193"/>
        <v>1.1000000000000001</v>
      </c>
      <c r="AF336" s="20">
        <f t="shared" si="197"/>
        <v>275</v>
      </c>
      <c r="AG336" s="20">
        <f t="shared" si="203"/>
        <v>18</v>
      </c>
      <c r="AH336" s="20">
        <f t="shared" si="195"/>
        <v>3</v>
      </c>
      <c r="AI336" s="20">
        <f t="shared" si="189"/>
        <v>47</v>
      </c>
      <c r="AJ336" s="20">
        <f t="shared" si="210"/>
        <v>90</v>
      </c>
      <c r="AK336" s="20">
        <f t="shared" si="214"/>
        <v>14</v>
      </c>
      <c r="AL336" s="20">
        <f t="shared" si="211"/>
        <v>45</v>
      </c>
      <c r="AM336" s="20">
        <v>46</v>
      </c>
      <c r="AN336" s="20">
        <f t="shared" si="215"/>
        <v>0.75</v>
      </c>
      <c r="AO336" s="20">
        <f t="shared" si="205"/>
        <v>19</v>
      </c>
      <c r="AP336" s="20">
        <f t="shared" si="205"/>
        <v>19</v>
      </c>
      <c r="AQ336" s="20">
        <f t="shared" si="170"/>
        <v>5</v>
      </c>
      <c r="AR336" s="20">
        <f t="shared" si="206"/>
        <v>120</v>
      </c>
      <c r="AS336" s="20">
        <f t="shared" si="209"/>
        <v>120</v>
      </c>
      <c r="AT336" s="20">
        <f t="shared" si="202"/>
        <v>55</v>
      </c>
      <c r="AU336" s="20"/>
      <c r="AV336" s="20"/>
      <c r="AW336" s="20">
        <f t="shared" si="184"/>
        <v>5276.7500000000009</v>
      </c>
      <c r="AX336" s="86">
        <f t="shared" si="196"/>
        <v>5428.4449999999988</v>
      </c>
      <c r="AY336" s="17">
        <f>'[1]D4 Gallon Forecast'!$AC160/1000000</f>
        <v>0</v>
      </c>
      <c r="AZ336" s="17">
        <f>'[1]D4 Gallon Forecast'!$AC192/1000000</f>
        <v>615.30596008212945</v>
      </c>
      <c r="BA336" s="17">
        <f t="shared" si="199"/>
        <v>615.30596008212945</v>
      </c>
      <c r="BB336" s="17">
        <f>'[1]D4 Gallon Forecast'!$AC176/1000000</f>
        <v>0</v>
      </c>
      <c r="BC336" s="87">
        <f>'[1]D4 Gallon Forecast'!$AC352/1000000</f>
        <v>390.26670119342612</v>
      </c>
      <c r="BD336" s="88">
        <f>'[1]D4 Gallon Forecast'!$AC368/1000000</f>
        <v>0</v>
      </c>
      <c r="BE336" s="88">
        <f t="shared" si="200"/>
        <v>390.26670119342612</v>
      </c>
      <c r="BF336" s="76">
        <f t="shared" si="172"/>
        <v>1005.5726612755556</v>
      </c>
      <c r="BG336" s="22">
        <f t="shared" si="176"/>
        <v>2.2537701641727228</v>
      </c>
      <c r="BI336" s="21">
        <f t="shared" si="185"/>
        <v>4702.9000000000005</v>
      </c>
      <c r="BJ336" s="21">
        <f t="shared" si="168"/>
        <v>725.54499999999825</v>
      </c>
      <c r="BK336" s="21">
        <f>'RD Feedstock Breakdown'!ES327</f>
        <v>18031.195541964524</v>
      </c>
      <c r="BL336" s="89">
        <f t="shared" si="175"/>
        <v>17.931270644422842</v>
      </c>
      <c r="BM336" s="89">
        <f t="shared" si="173"/>
        <v>29.304438298562502</v>
      </c>
    </row>
    <row r="337" spans="1:65" ht="13.5" x14ac:dyDescent="0.25">
      <c r="A337" s="15">
        <v>50406</v>
      </c>
      <c r="B337" s="20">
        <f t="shared" si="174"/>
        <v>690</v>
      </c>
      <c r="C337" s="74">
        <v>47</v>
      </c>
      <c r="D337" s="20">
        <f t="shared" si="213"/>
        <v>3</v>
      </c>
      <c r="E337" s="20">
        <f t="shared" si="178"/>
        <v>85</v>
      </c>
      <c r="F337" s="20">
        <f t="shared" si="198"/>
        <v>340</v>
      </c>
      <c r="G337" s="20">
        <f t="shared" si="212"/>
        <v>37.5</v>
      </c>
      <c r="H337" s="20">
        <f t="shared" si="191"/>
        <v>190</v>
      </c>
      <c r="I337" s="20">
        <f t="shared" si="177"/>
        <v>250</v>
      </c>
      <c r="J337" s="20">
        <f t="shared" si="169"/>
        <v>153.30000000000001</v>
      </c>
      <c r="K337" s="20">
        <f t="shared" si="180"/>
        <v>125</v>
      </c>
      <c r="L337" s="20">
        <v>125</v>
      </c>
      <c r="M337" s="20">
        <v>730</v>
      </c>
      <c r="N337" s="20">
        <f t="shared" si="208"/>
        <v>180</v>
      </c>
      <c r="O337" s="74">
        <v>375</v>
      </c>
      <c r="P337" s="20">
        <f t="shared" si="186"/>
        <v>50</v>
      </c>
      <c r="Q337" s="20">
        <f t="shared" si="187"/>
        <v>21</v>
      </c>
      <c r="R337" s="20">
        <v>100</v>
      </c>
      <c r="S337" s="20">
        <f t="shared" si="192"/>
        <v>60</v>
      </c>
      <c r="T337" s="20">
        <f t="shared" si="181"/>
        <v>36</v>
      </c>
      <c r="U337" s="20"/>
      <c r="V337" s="20">
        <f t="shared" si="204"/>
        <v>0</v>
      </c>
      <c r="W337" s="20">
        <f t="shared" si="188"/>
        <v>20</v>
      </c>
      <c r="X337" s="20">
        <f t="shared" si="171"/>
        <v>0</v>
      </c>
      <c r="Y337" s="20">
        <f t="shared" si="183"/>
        <v>3.5</v>
      </c>
      <c r="Z337" s="20">
        <f t="shared" si="207"/>
        <v>230</v>
      </c>
      <c r="AA337" s="20">
        <f t="shared" si="182"/>
        <v>306</v>
      </c>
      <c r="AB337" s="20">
        <f t="shared" si="194"/>
        <v>60</v>
      </c>
      <c r="AC337" s="20">
        <f t="shared" si="201"/>
        <v>1.6</v>
      </c>
      <c r="AD337" s="20">
        <f t="shared" si="190"/>
        <v>180</v>
      </c>
      <c r="AE337" s="20">
        <f t="shared" si="193"/>
        <v>1.1000000000000001</v>
      </c>
      <c r="AF337" s="20">
        <f t="shared" si="197"/>
        <v>275</v>
      </c>
      <c r="AG337" s="20">
        <f t="shared" si="203"/>
        <v>18</v>
      </c>
      <c r="AH337" s="20">
        <f t="shared" si="195"/>
        <v>3</v>
      </c>
      <c r="AI337" s="20">
        <f t="shared" si="189"/>
        <v>47</v>
      </c>
      <c r="AJ337" s="20">
        <f t="shared" si="210"/>
        <v>90</v>
      </c>
      <c r="AK337" s="20">
        <f t="shared" si="214"/>
        <v>14</v>
      </c>
      <c r="AL337" s="20">
        <f t="shared" si="211"/>
        <v>45</v>
      </c>
      <c r="AM337" s="20">
        <v>46</v>
      </c>
      <c r="AN337" s="20">
        <f t="shared" si="215"/>
        <v>0.75</v>
      </c>
      <c r="AO337" s="20">
        <f t="shared" si="205"/>
        <v>19</v>
      </c>
      <c r="AP337" s="20">
        <f t="shared" si="205"/>
        <v>19</v>
      </c>
      <c r="AQ337" s="20">
        <f t="shared" si="170"/>
        <v>5</v>
      </c>
      <c r="AR337" s="20">
        <f t="shared" si="206"/>
        <v>120</v>
      </c>
      <c r="AS337" s="20">
        <f t="shared" si="209"/>
        <v>120</v>
      </c>
      <c r="AT337" s="20">
        <f t="shared" si="202"/>
        <v>55</v>
      </c>
      <c r="AU337" s="20"/>
      <c r="AV337" s="20"/>
      <c r="AW337" s="20">
        <f t="shared" si="184"/>
        <v>5276.7500000000009</v>
      </c>
      <c r="AX337" s="86">
        <f t="shared" si="196"/>
        <v>5428.4449999999988</v>
      </c>
      <c r="AY337" s="17">
        <f>'[1]D4 Gallon Forecast'!$AD149/1000000</f>
        <v>0</v>
      </c>
      <c r="AZ337" s="17">
        <f>'[1]D4 Gallon Forecast'!$AD181/1000000</f>
        <v>354.49732515878497</v>
      </c>
      <c r="BA337" s="17">
        <f t="shared" si="199"/>
        <v>354.49732515878497</v>
      </c>
      <c r="BB337" s="17">
        <f>'[1]D4 Gallon Forecast'!$AD165/1000000</f>
        <v>0</v>
      </c>
      <c r="BC337" s="87">
        <f>'[1]D4 Gallon Forecast'!$AD341/1000000</f>
        <v>263.18336704348184</v>
      </c>
      <c r="BD337" s="88">
        <f>'[1]D4 Gallon Forecast'!$AD357/1000000</f>
        <v>0</v>
      </c>
      <c r="BE337" s="88">
        <f t="shared" si="200"/>
        <v>263.18336704348184</v>
      </c>
      <c r="BF337" s="76">
        <f t="shared" si="172"/>
        <v>617.68069220226675</v>
      </c>
      <c r="BG337" s="22">
        <f t="shared" si="176"/>
        <v>1.3397376267220551</v>
      </c>
      <c r="BI337" s="21">
        <f t="shared" si="185"/>
        <v>4702.9000000000005</v>
      </c>
      <c r="BJ337" s="21">
        <f t="shared" ref="BJ337:BJ400" si="216">AX337-BI337</f>
        <v>725.54499999999825</v>
      </c>
      <c r="BK337" s="21">
        <f>'RD Feedstock Breakdown'!ES328</f>
        <v>6586.6156214631483</v>
      </c>
      <c r="BL337" s="89">
        <f t="shared" si="175"/>
        <v>10.663463670815672</v>
      </c>
      <c r="BM337" s="89">
        <f t="shared" si="173"/>
        <v>18.580156051989668</v>
      </c>
    </row>
    <row r="338" spans="1:65" ht="13.5" x14ac:dyDescent="0.25">
      <c r="A338" s="15">
        <v>50437</v>
      </c>
      <c r="B338" s="20">
        <f t="shared" si="174"/>
        <v>690</v>
      </c>
      <c r="C338" s="74">
        <v>47</v>
      </c>
      <c r="D338" s="20">
        <f t="shared" si="213"/>
        <v>3</v>
      </c>
      <c r="E338" s="20">
        <f t="shared" si="178"/>
        <v>85</v>
      </c>
      <c r="F338" s="20">
        <f t="shared" si="198"/>
        <v>340</v>
      </c>
      <c r="G338" s="20">
        <f t="shared" si="212"/>
        <v>37.5</v>
      </c>
      <c r="H338" s="20">
        <f t="shared" si="191"/>
        <v>190</v>
      </c>
      <c r="I338" s="20">
        <f t="shared" si="177"/>
        <v>250</v>
      </c>
      <c r="J338" s="20">
        <f t="shared" ref="J338:J401" si="217">100+(53.3*$J$12)</f>
        <v>153.30000000000001</v>
      </c>
      <c r="K338" s="20">
        <f t="shared" si="180"/>
        <v>125</v>
      </c>
      <c r="L338" s="20">
        <v>125</v>
      </c>
      <c r="M338" s="20">
        <v>730</v>
      </c>
      <c r="N338" s="20">
        <f t="shared" si="208"/>
        <v>180</v>
      </c>
      <c r="O338" s="74">
        <v>375</v>
      </c>
      <c r="P338" s="20">
        <f t="shared" si="186"/>
        <v>50</v>
      </c>
      <c r="Q338" s="20">
        <f t="shared" si="187"/>
        <v>21</v>
      </c>
      <c r="R338" s="20">
        <v>100</v>
      </c>
      <c r="S338" s="20">
        <f t="shared" si="192"/>
        <v>60</v>
      </c>
      <c r="T338" s="20">
        <f t="shared" si="181"/>
        <v>36</v>
      </c>
      <c r="U338" s="20"/>
      <c r="V338" s="20">
        <f t="shared" si="204"/>
        <v>0</v>
      </c>
      <c r="W338" s="20">
        <f t="shared" si="188"/>
        <v>20</v>
      </c>
      <c r="X338" s="20">
        <f t="shared" si="171"/>
        <v>0</v>
      </c>
      <c r="Y338" s="20">
        <f t="shared" si="183"/>
        <v>3.5</v>
      </c>
      <c r="Z338" s="20">
        <f t="shared" si="207"/>
        <v>230</v>
      </c>
      <c r="AA338" s="20">
        <f t="shared" si="182"/>
        <v>306</v>
      </c>
      <c r="AB338" s="20">
        <f t="shared" si="194"/>
        <v>60</v>
      </c>
      <c r="AC338" s="20">
        <f t="shared" si="201"/>
        <v>1.6</v>
      </c>
      <c r="AD338" s="20">
        <f t="shared" si="190"/>
        <v>180</v>
      </c>
      <c r="AE338" s="20">
        <f t="shared" si="193"/>
        <v>1.1000000000000001</v>
      </c>
      <c r="AF338" s="20">
        <f t="shared" si="197"/>
        <v>275</v>
      </c>
      <c r="AG338" s="20">
        <f t="shared" si="203"/>
        <v>18</v>
      </c>
      <c r="AH338" s="20">
        <f t="shared" si="195"/>
        <v>3</v>
      </c>
      <c r="AI338" s="20">
        <f t="shared" si="189"/>
        <v>47</v>
      </c>
      <c r="AJ338" s="20">
        <f t="shared" si="210"/>
        <v>90</v>
      </c>
      <c r="AK338" s="20">
        <f t="shared" si="214"/>
        <v>14</v>
      </c>
      <c r="AL338" s="20">
        <f t="shared" si="211"/>
        <v>45</v>
      </c>
      <c r="AM338" s="20">
        <v>46</v>
      </c>
      <c r="AN338" s="20">
        <f t="shared" si="215"/>
        <v>0.75</v>
      </c>
      <c r="AO338" s="20">
        <f t="shared" si="205"/>
        <v>19</v>
      </c>
      <c r="AP338" s="20">
        <f t="shared" si="205"/>
        <v>19</v>
      </c>
      <c r="AQ338" s="20">
        <f t="shared" si="170"/>
        <v>5</v>
      </c>
      <c r="AR338" s="20">
        <f t="shared" si="206"/>
        <v>120</v>
      </c>
      <c r="AS338" s="20">
        <f t="shared" si="209"/>
        <v>120</v>
      </c>
      <c r="AT338" s="20">
        <f t="shared" si="202"/>
        <v>55</v>
      </c>
      <c r="AU338" s="20"/>
      <c r="AV338" s="20"/>
      <c r="AW338" s="20">
        <f t="shared" si="184"/>
        <v>5276.7500000000009</v>
      </c>
      <c r="AX338" s="86">
        <f t="shared" si="196"/>
        <v>5428.4449999999988</v>
      </c>
      <c r="AY338" s="17">
        <f>'[1]D4 Gallon Forecast'!$AD150/1000000</f>
        <v>0</v>
      </c>
      <c r="AZ338" s="17">
        <f>'[1]D4 Gallon Forecast'!$AD182/1000000</f>
        <v>390.90474204659148</v>
      </c>
      <c r="BA338" s="17">
        <f t="shared" si="199"/>
        <v>390.90474204659148</v>
      </c>
      <c r="BB338" s="17">
        <f>'[1]D4 Gallon Forecast'!$AD166/1000000</f>
        <v>0</v>
      </c>
      <c r="BC338" s="87">
        <f>'[1]D4 Gallon Forecast'!$AD342/1000000</f>
        <v>499.5413579930032</v>
      </c>
      <c r="BD338" s="88">
        <f>'[1]D4 Gallon Forecast'!$AD358/1000000</f>
        <v>0</v>
      </c>
      <c r="BE338" s="88">
        <f t="shared" si="200"/>
        <v>499.5413579930032</v>
      </c>
      <c r="BF338" s="76">
        <f t="shared" si="172"/>
        <v>890.44610003959474</v>
      </c>
      <c r="BG338" s="22">
        <f t="shared" si="176"/>
        <v>1.9313605878428626</v>
      </c>
      <c r="BI338" s="21">
        <f t="shared" si="185"/>
        <v>4702.9000000000005</v>
      </c>
      <c r="BJ338" s="21">
        <f t="shared" si="216"/>
        <v>725.54499999999825</v>
      </c>
      <c r="BK338" s="21">
        <f>'RD Feedstock Breakdown'!ES329</f>
        <v>13688.300786900223</v>
      </c>
      <c r="BL338" s="89">
        <f t="shared" si="175"/>
        <v>15.37240803939908</v>
      </c>
      <c r="BM338" s="89">
        <f t="shared" si="173"/>
        <v>35.016972972071876</v>
      </c>
    </row>
    <row r="339" spans="1:65" ht="13.5" x14ac:dyDescent="0.25">
      <c r="A339" s="15">
        <v>50465</v>
      </c>
      <c r="B339" s="20">
        <f t="shared" si="174"/>
        <v>690</v>
      </c>
      <c r="C339" s="74">
        <v>47</v>
      </c>
      <c r="D339" s="20">
        <f t="shared" si="213"/>
        <v>3</v>
      </c>
      <c r="E339" s="20">
        <f t="shared" si="178"/>
        <v>85</v>
      </c>
      <c r="F339" s="20">
        <f t="shared" si="198"/>
        <v>340</v>
      </c>
      <c r="G339" s="20">
        <f t="shared" si="212"/>
        <v>37.5</v>
      </c>
      <c r="H339" s="20">
        <f t="shared" si="191"/>
        <v>190</v>
      </c>
      <c r="I339" s="20">
        <f t="shared" si="177"/>
        <v>250</v>
      </c>
      <c r="J339" s="20">
        <f t="shared" si="217"/>
        <v>153.30000000000001</v>
      </c>
      <c r="K339" s="20">
        <f t="shared" si="180"/>
        <v>125</v>
      </c>
      <c r="L339" s="20">
        <v>125</v>
      </c>
      <c r="M339" s="20">
        <v>730</v>
      </c>
      <c r="N339" s="20">
        <f t="shared" si="208"/>
        <v>180</v>
      </c>
      <c r="O339" s="74">
        <v>375</v>
      </c>
      <c r="P339" s="20">
        <f t="shared" si="186"/>
        <v>50</v>
      </c>
      <c r="Q339" s="20">
        <f t="shared" si="187"/>
        <v>21</v>
      </c>
      <c r="R339" s="20">
        <v>100</v>
      </c>
      <c r="S339" s="20">
        <f t="shared" si="192"/>
        <v>60</v>
      </c>
      <c r="T339" s="20">
        <f t="shared" si="181"/>
        <v>36</v>
      </c>
      <c r="U339" s="20"/>
      <c r="V339" s="20">
        <f t="shared" si="204"/>
        <v>0</v>
      </c>
      <c r="W339" s="20">
        <f t="shared" si="188"/>
        <v>20</v>
      </c>
      <c r="X339" s="20">
        <f t="shared" si="171"/>
        <v>0</v>
      </c>
      <c r="Y339" s="20">
        <f t="shared" si="183"/>
        <v>3.5</v>
      </c>
      <c r="Z339" s="20">
        <f t="shared" si="207"/>
        <v>230</v>
      </c>
      <c r="AA339" s="20">
        <f t="shared" si="182"/>
        <v>306</v>
      </c>
      <c r="AB339" s="20">
        <f t="shared" si="194"/>
        <v>60</v>
      </c>
      <c r="AC339" s="20">
        <f t="shared" si="201"/>
        <v>1.6</v>
      </c>
      <c r="AD339" s="20">
        <f t="shared" si="190"/>
        <v>180</v>
      </c>
      <c r="AE339" s="20">
        <f t="shared" si="193"/>
        <v>1.1000000000000001</v>
      </c>
      <c r="AF339" s="20">
        <f t="shared" si="197"/>
        <v>275</v>
      </c>
      <c r="AG339" s="20">
        <f t="shared" si="203"/>
        <v>18</v>
      </c>
      <c r="AH339" s="20">
        <f t="shared" si="195"/>
        <v>3</v>
      </c>
      <c r="AI339" s="20">
        <f t="shared" si="189"/>
        <v>47</v>
      </c>
      <c r="AJ339" s="20">
        <f t="shared" si="210"/>
        <v>90</v>
      </c>
      <c r="AK339" s="20">
        <f t="shared" si="214"/>
        <v>14</v>
      </c>
      <c r="AL339" s="20">
        <f t="shared" si="211"/>
        <v>45</v>
      </c>
      <c r="AM339" s="20">
        <v>46</v>
      </c>
      <c r="AN339" s="20">
        <f t="shared" si="215"/>
        <v>0.75</v>
      </c>
      <c r="AO339" s="20">
        <f t="shared" si="205"/>
        <v>19</v>
      </c>
      <c r="AP339" s="20">
        <f t="shared" si="205"/>
        <v>19</v>
      </c>
      <c r="AQ339" s="20">
        <f t="shared" si="170"/>
        <v>5</v>
      </c>
      <c r="AR339" s="20">
        <f t="shared" si="206"/>
        <v>120</v>
      </c>
      <c r="AS339" s="20">
        <f t="shared" si="209"/>
        <v>120</v>
      </c>
      <c r="AT339" s="20">
        <f t="shared" si="202"/>
        <v>55</v>
      </c>
      <c r="AU339" s="20"/>
      <c r="AV339" s="20"/>
      <c r="AW339" s="20">
        <f t="shared" si="184"/>
        <v>5276.7500000000009</v>
      </c>
      <c r="AX339" s="86">
        <f t="shared" si="196"/>
        <v>5428.4449999999988</v>
      </c>
      <c r="AY339" s="17">
        <f>'[1]D4 Gallon Forecast'!$AD151/1000000</f>
        <v>0</v>
      </c>
      <c r="AZ339" s="17">
        <f>'[1]D4 Gallon Forecast'!$AD183/1000000</f>
        <v>411.72385486969915</v>
      </c>
      <c r="BA339" s="17">
        <f t="shared" si="199"/>
        <v>411.72385486969915</v>
      </c>
      <c r="BB339" s="17">
        <f>'[1]D4 Gallon Forecast'!$AD167/1000000</f>
        <v>0</v>
      </c>
      <c r="BC339" s="87">
        <f>'[1]D4 Gallon Forecast'!$AD343/1000000</f>
        <v>199.37330258687672</v>
      </c>
      <c r="BD339" s="88">
        <f>'[1]D4 Gallon Forecast'!$AD359/1000000</f>
        <v>0</v>
      </c>
      <c r="BE339" s="88">
        <f t="shared" si="200"/>
        <v>199.37330258687672</v>
      </c>
      <c r="BF339" s="76">
        <f t="shared" si="172"/>
        <v>611.09715745657581</v>
      </c>
      <c r="BG339" s="22">
        <f t="shared" si="176"/>
        <v>1.4674714297402072</v>
      </c>
      <c r="BI339" s="21">
        <f t="shared" si="185"/>
        <v>4702.9000000000005</v>
      </c>
      <c r="BJ339" s="21">
        <f t="shared" si="216"/>
        <v>725.54499999999825</v>
      </c>
      <c r="BK339" s="21">
        <f>'RD Feedstock Breakdown'!ES330</f>
        <v>7137.7027408254298</v>
      </c>
      <c r="BL339" s="89">
        <f t="shared" si="175"/>
        <v>11.680143907939271</v>
      </c>
      <c r="BM339" s="89">
        <f t="shared" si="173"/>
        <v>17.33614085364168</v>
      </c>
    </row>
    <row r="340" spans="1:65" ht="13.5" x14ac:dyDescent="0.25">
      <c r="A340" s="15">
        <v>50496</v>
      </c>
      <c r="B340" s="20">
        <f t="shared" si="174"/>
        <v>690</v>
      </c>
      <c r="C340" s="74">
        <v>47</v>
      </c>
      <c r="D340" s="20">
        <f t="shared" si="213"/>
        <v>3</v>
      </c>
      <c r="E340" s="20">
        <f t="shared" si="178"/>
        <v>85</v>
      </c>
      <c r="F340" s="20">
        <f t="shared" si="198"/>
        <v>340</v>
      </c>
      <c r="G340" s="20">
        <f t="shared" si="212"/>
        <v>37.5</v>
      </c>
      <c r="H340" s="20">
        <f t="shared" si="191"/>
        <v>190</v>
      </c>
      <c r="I340" s="20">
        <f t="shared" si="177"/>
        <v>250</v>
      </c>
      <c r="J340" s="20">
        <f t="shared" si="217"/>
        <v>153.30000000000001</v>
      </c>
      <c r="K340" s="20">
        <f t="shared" si="180"/>
        <v>125</v>
      </c>
      <c r="L340" s="20">
        <v>125</v>
      </c>
      <c r="M340" s="20">
        <v>730</v>
      </c>
      <c r="N340" s="20">
        <f t="shared" si="208"/>
        <v>180</v>
      </c>
      <c r="O340" s="74">
        <v>375</v>
      </c>
      <c r="P340" s="20">
        <f t="shared" si="186"/>
        <v>50</v>
      </c>
      <c r="Q340" s="20">
        <f t="shared" si="187"/>
        <v>21</v>
      </c>
      <c r="R340" s="20">
        <v>100</v>
      </c>
      <c r="S340" s="20">
        <f t="shared" si="192"/>
        <v>60</v>
      </c>
      <c r="T340" s="20">
        <f t="shared" si="181"/>
        <v>36</v>
      </c>
      <c r="U340" s="20"/>
      <c r="V340" s="20">
        <f t="shared" si="204"/>
        <v>0</v>
      </c>
      <c r="W340" s="20">
        <f t="shared" si="188"/>
        <v>20</v>
      </c>
      <c r="X340" s="20">
        <f t="shared" si="171"/>
        <v>0</v>
      </c>
      <c r="Y340" s="20">
        <f t="shared" si="183"/>
        <v>3.5</v>
      </c>
      <c r="Z340" s="20">
        <f t="shared" si="207"/>
        <v>230</v>
      </c>
      <c r="AA340" s="20">
        <f t="shared" si="182"/>
        <v>306</v>
      </c>
      <c r="AB340" s="20">
        <f t="shared" si="194"/>
        <v>60</v>
      </c>
      <c r="AC340" s="20">
        <f t="shared" si="201"/>
        <v>1.6</v>
      </c>
      <c r="AD340" s="20">
        <f t="shared" si="190"/>
        <v>180</v>
      </c>
      <c r="AE340" s="20">
        <f t="shared" si="193"/>
        <v>1.1000000000000001</v>
      </c>
      <c r="AF340" s="20">
        <f t="shared" si="197"/>
        <v>275</v>
      </c>
      <c r="AG340" s="20">
        <f t="shared" si="203"/>
        <v>18</v>
      </c>
      <c r="AH340" s="20">
        <f t="shared" si="195"/>
        <v>3</v>
      </c>
      <c r="AI340" s="20">
        <f t="shared" si="189"/>
        <v>47</v>
      </c>
      <c r="AJ340" s="20">
        <f t="shared" si="210"/>
        <v>90</v>
      </c>
      <c r="AK340" s="20">
        <f t="shared" si="214"/>
        <v>14</v>
      </c>
      <c r="AL340" s="20">
        <f t="shared" si="211"/>
        <v>45</v>
      </c>
      <c r="AM340" s="20">
        <v>46</v>
      </c>
      <c r="AN340" s="20">
        <f t="shared" si="215"/>
        <v>0.75</v>
      </c>
      <c r="AO340" s="20">
        <f t="shared" si="205"/>
        <v>19</v>
      </c>
      <c r="AP340" s="20">
        <f t="shared" si="205"/>
        <v>19</v>
      </c>
      <c r="AQ340" s="20">
        <f t="shared" ref="AQ340:AQ403" si="218">$AQ$5*$AQ$12</f>
        <v>5</v>
      </c>
      <c r="AR340" s="20">
        <f t="shared" si="206"/>
        <v>120</v>
      </c>
      <c r="AS340" s="20">
        <f t="shared" si="209"/>
        <v>120</v>
      </c>
      <c r="AT340" s="20">
        <f t="shared" si="202"/>
        <v>55</v>
      </c>
      <c r="AU340" s="20"/>
      <c r="AV340" s="20"/>
      <c r="AW340" s="20">
        <f t="shared" si="184"/>
        <v>5276.7500000000009</v>
      </c>
      <c r="AX340" s="86">
        <f t="shared" si="196"/>
        <v>5428.4449999999988</v>
      </c>
      <c r="AY340" s="17">
        <f>'[1]D4 Gallon Forecast'!$AD152/1000000</f>
        <v>0</v>
      </c>
      <c r="AZ340" s="17">
        <f>'[1]D4 Gallon Forecast'!$AD184/1000000</f>
        <v>399.76358269430585</v>
      </c>
      <c r="BA340" s="17">
        <f t="shared" si="199"/>
        <v>399.76358269430585</v>
      </c>
      <c r="BB340" s="17">
        <f>'[1]D4 Gallon Forecast'!$AD168/1000000</f>
        <v>0</v>
      </c>
      <c r="BC340" s="87">
        <f>'[1]D4 Gallon Forecast'!$AD344/1000000</f>
        <v>320.03735405648092</v>
      </c>
      <c r="BD340" s="88">
        <f>'[1]D4 Gallon Forecast'!$AD360/1000000</f>
        <v>0</v>
      </c>
      <c r="BE340" s="88">
        <f t="shared" si="200"/>
        <v>320.03735405648092</v>
      </c>
      <c r="BF340" s="76">
        <f t="shared" si="172"/>
        <v>719.80093675078683</v>
      </c>
      <c r="BG340" s="22">
        <f t="shared" si="176"/>
        <v>1.5612344871531543</v>
      </c>
      <c r="BI340" s="21">
        <f t="shared" si="185"/>
        <v>4702.9000000000005</v>
      </c>
      <c r="BJ340" s="21">
        <f t="shared" si="216"/>
        <v>725.54499999999825</v>
      </c>
      <c r="BK340" s="21">
        <f>'RD Feedstock Breakdown'!ES331</f>
        <v>8944.5620785702959</v>
      </c>
      <c r="BL340" s="89">
        <f t="shared" si="175"/>
        <v>12.426438508049801</v>
      </c>
      <c r="BM340" s="89">
        <f t="shared" si="173"/>
        <v>22.374629570523158</v>
      </c>
    </row>
    <row r="341" spans="1:65" ht="13.5" x14ac:dyDescent="0.25">
      <c r="A341" s="15">
        <v>50526</v>
      </c>
      <c r="B341" s="20">
        <f t="shared" si="174"/>
        <v>690</v>
      </c>
      <c r="C341" s="74">
        <v>47</v>
      </c>
      <c r="D341" s="20">
        <f t="shared" si="213"/>
        <v>3</v>
      </c>
      <c r="E341" s="20">
        <f t="shared" si="178"/>
        <v>85</v>
      </c>
      <c r="F341" s="20">
        <f t="shared" si="198"/>
        <v>340</v>
      </c>
      <c r="G341" s="20">
        <f t="shared" si="212"/>
        <v>37.5</v>
      </c>
      <c r="H341" s="20">
        <f t="shared" si="191"/>
        <v>190</v>
      </c>
      <c r="I341" s="20">
        <f t="shared" si="177"/>
        <v>250</v>
      </c>
      <c r="J341" s="20">
        <f t="shared" si="217"/>
        <v>153.30000000000001</v>
      </c>
      <c r="K341" s="20">
        <f t="shared" si="180"/>
        <v>125</v>
      </c>
      <c r="L341" s="20">
        <v>125</v>
      </c>
      <c r="M341" s="20">
        <v>730</v>
      </c>
      <c r="N341" s="20">
        <f t="shared" si="208"/>
        <v>180</v>
      </c>
      <c r="O341" s="74">
        <v>375</v>
      </c>
      <c r="P341" s="20">
        <f t="shared" si="186"/>
        <v>50</v>
      </c>
      <c r="Q341" s="20">
        <f t="shared" si="187"/>
        <v>21</v>
      </c>
      <c r="R341" s="20">
        <v>100</v>
      </c>
      <c r="S341" s="20">
        <f t="shared" si="192"/>
        <v>60</v>
      </c>
      <c r="T341" s="20">
        <f t="shared" si="181"/>
        <v>36</v>
      </c>
      <c r="U341" s="20"/>
      <c r="V341" s="20">
        <f t="shared" si="204"/>
        <v>0</v>
      </c>
      <c r="W341" s="20">
        <f t="shared" si="188"/>
        <v>20</v>
      </c>
      <c r="X341" s="20">
        <f t="shared" ref="X341:X404" si="219">16.1*$X$12</f>
        <v>0</v>
      </c>
      <c r="Y341" s="20">
        <f t="shared" si="183"/>
        <v>3.5</v>
      </c>
      <c r="Z341" s="20">
        <f t="shared" si="207"/>
        <v>230</v>
      </c>
      <c r="AA341" s="20">
        <f t="shared" si="182"/>
        <v>306</v>
      </c>
      <c r="AB341" s="20">
        <f t="shared" si="194"/>
        <v>60</v>
      </c>
      <c r="AC341" s="20">
        <f t="shared" si="201"/>
        <v>1.6</v>
      </c>
      <c r="AD341" s="20">
        <f t="shared" si="190"/>
        <v>180</v>
      </c>
      <c r="AE341" s="20">
        <f t="shared" si="193"/>
        <v>1.1000000000000001</v>
      </c>
      <c r="AF341" s="20">
        <f t="shared" si="197"/>
        <v>275</v>
      </c>
      <c r="AG341" s="20">
        <f t="shared" si="203"/>
        <v>18</v>
      </c>
      <c r="AH341" s="20">
        <f t="shared" si="195"/>
        <v>3</v>
      </c>
      <c r="AI341" s="20">
        <f t="shared" si="189"/>
        <v>47</v>
      </c>
      <c r="AJ341" s="20">
        <f t="shared" si="210"/>
        <v>90</v>
      </c>
      <c r="AK341" s="20">
        <f t="shared" si="214"/>
        <v>14</v>
      </c>
      <c r="AL341" s="20">
        <f t="shared" si="211"/>
        <v>45</v>
      </c>
      <c r="AM341" s="20">
        <v>46</v>
      </c>
      <c r="AN341" s="20">
        <f t="shared" si="215"/>
        <v>0.75</v>
      </c>
      <c r="AO341" s="20">
        <f t="shared" si="205"/>
        <v>19</v>
      </c>
      <c r="AP341" s="20">
        <f t="shared" si="205"/>
        <v>19</v>
      </c>
      <c r="AQ341" s="20">
        <f t="shared" si="218"/>
        <v>5</v>
      </c>
      <c r="AR341" s="20">
        <f t="shared" si="206"/>
        <v>120</v>
      </c>
      <c r="AS341" s="20">
        <f t="shared" si="209"/>
        <v>120</v>
      </c>
      <c r="AT341" s="20">
        <f t="shared" si="202"/>
        <v>55</v>
      </c>
      <c r="AU341" s="20"/>
      <c r="AV341" s="20"/>
      <c r="AW341" s="20">
        <f t="shared" si="184"/>
        <v>5276.7500000000009</v>
      </c>
      <c r="AX341" s="86">
        <f t="shared" si="196"/>
        <v>5428.4449999999988</v>
      </c>
      <c r="AY341" s="17">
        <f>'[1]D4 Gallon Forecast'!$AD153/1000000</f>
        <v>0</v>
      </c>
      <c r="AZ341" s="17">
        <f>'[1]D4 Gallon Forecast'!$AD185/1000000</f>
        <v>446.57384041042985</v>
      </c>
      <c r="BA341" s="17">
        <f t="shared" si="199"/>
        <v>446.57384041042985</v>
      </c>
      <c r="BB341" s="17">
        <f>'[1]D4 Gallon Forecast'!$AD169/1000000</f>
        <v>0</v>
      </c>
      <c r="BC341" s="87">
        <f>'[1]D4 Gallon Forecast'!$AD345/1000000</f>
        <v>421.27106299150307</v>
      </c>
      <c r="BD341" s="88">
        <f>'[1]D4 Gallon Forecast'!$AD361/1000000</f>
        <v>0</v>
      </c>
      <c r="BE341" s="88">
        <f t="shared" si="200"/>
        <v>421.27106299150307</v>
      </c>
      <c r="BF341" s="76">
        <f>BA341+BE341</f>
        <v>867.84490340193292</v>
      </c>
      <c r="BG341" s="22">
        <f t="shared" si="176"/>
        <v>1.9450836580377719</v>
      </c>
      <c r="BI341" s="21">
        <f t="shared" si="185"/>
        <v>4702.9000000000005</v>
      </c>
      <c r="BJ341" s="21">
        <f t="shared" si="216"/>
        <v>725.54499999999825</v>
      </c>
      <c r="BK341" s="21">
        <f>'RD Feedstock Breakdown'!ES332</f>
        <v>13435.658025576764</v>
      </c>
      <c r="BL341" s="89">
        <f t="shared" si="175"/>
        <v>15.481634993659904</v>
      </c>
      <c r="BM341" s="89">
        <f t="shared" ref="BM341:BM404" si="220">BK341/BA341</f>
        <v>30.086083889796448</v>
      </c>
    </row>
    <row r="342" spans="1:65" ht="13.5" x14ac:dyDescent="0.25">
      <c r="A342" s="15">
        <v>50557</v>
      </c>
      <c r="B342" s="20">
        <f t="shared" ref="B342:B405" si="221">690*$B$12</f>
        <v>690</v>
      </c>
      <c r="C342" s="74">
        <v>47</v>
      </c>
      <c r="D342" s="20">
        <f t="shared" si="213"/>
        <v>3</v>
      </c>
      <c r="E342" s="20">
        <f t="shared" si="178"/>
        <v>85</v>
      </c>
      <c r="F342" s="20">
        <f t="shared" si="198"/>
        <v>340</v>
      </c>
      <c r="G342" s="20">
        <f t="shared" si="212"/>
        <v>37.5</v>
      </c>
      <c r="H342" s="20">
        <f t="shared" si="191"/>
        <v>190</v>
      </c>
      <c r="I342" s="20">
        <f t="shared" si="177"/>
        <v>250</v>
      </c>
      <c r="J342" s="20">
        <f t="shared" si="217"/>
        <v>153.30000000000001</v>
      </c>
      <c r="K342" s="20">
        <f t="shared" si="180"/>
        <v>125</v>
      </c>
      <c r="L342" s="20">
        <v>125</v>
      </c>
      <c r="M342" s="20">
        <v>730</v>
      </c>
      <c r="N342" s="20">
        <f t="shared" si="208"/>
        <v>180</v>
      </c>
      <c r="O342" s="74">
        <v>375</v>
      </c>
      <c r="P342" s="20">
        <f t="shared" si="186"/>
        <v>50</v>
      </c>
      <c r="Q342" s="20">
        <f t="shared" si="187"/>
        <v>21</v>
      </c>
      <c r="R342" s="20">
        <v>100</v>
      </c>
      <c r="S342" s="20">
        <f t="shared" si="192"/>
        <v>60</v>
      </c>
      <c r="T342" s="20">
        <f t="shared" si="181"/>
        <v>36</v>
      </c>
      <c r="U342" s="20"/>
      <c r="V342" s="20">
        <f t="shared" si="204"/>
        <v>0</v>
      </c>
      <c r="W342" s="20">
        <f t="shared" si="188"/>
        <v>20</v>
      </c>
      <c r="X342" s="20">
        <f t="shared" si="219"/>
        <v>0</v>
      </c>
      <c r="Y342" s="20">
        <f t="shared" si="183"/>
        <v>3.5</v>
      </c>
      <c r="Z342" s="20">
        <f t="shared" si="207"/>
        <v>230</v>
      </c>
      <c r="AA342" s="20">
        <f t="shared" si="182"/>
        <v>306</v>
      </c>
      <c r="AB342" s="20">
        <f t="shared" si="194"/>
        <v>60</v>
      </c>
      <c r="AC342" s="20">
        <f t="shared" si="201"/>
        <v>1.6</v>
      </c>
      <c r="AD342" s="20">
        <f t="shared" si="190"/>
        <v>180</v>
      </c>
      <c r="AE342" s="20">
        <f t="shared" si="193"/>
        <v>1.1000000000000001</v>
      </c>
      <c r="AF342" s="20">
        <f t="shared" si="197"/>
        <v>275</v>
      </c>
      <c r="AG342" s="20">
        <f t="shared" si="203"/>
        <v>18</v>
      </c>
      <c r="AH342" s="20">
        <f t="shared" si="195"/>
        <v>3</v>
      </c>
      <c r="AI342" s="20">
        <f t="shared" si="189"/>
        <v>47</v>
      </c>
      <c r="AJ342" s="20">
        <f t="shared" si="210"/>
        <v>90</v>
      </c>
      <c r="AK342" s="20">
        <f t="shared" si="214"/>
        <v>14</v>
      </c>
      <c r="AL342" s="20">
        <f t="shared" si="211"/>
        <v>45</v>
      </c>
      <c r="AM342" s="20">
        <v>46</v>
      </c>
      <c r="AN342" s="20">
        <f t="shared" si="215"/>
        <v>0.75</v>
      </c>
      <c r="AO342" s="20">
        <f t="shared" si="205"/>
        <v>19</v>
      </c>
      <c r="AP342" s="20">
        <f t="shared" si="205"/>
        <v>19</v>
      </c>
      <c r="AQ342" s="20">
        <f t="shared" si="218"/>
        <v>5</v>
      </c>
      <c r="AR342" s="20">
        <f t="shared" si="206"/>
        <v>120</v>
      </c>
      <c r="AS342" s="20">
        <f t="shared" si="209"/>
        <v>120</v>
      </c>
      <c r="AT342" s="20">
        <f t="shared" si="202"/>
        <v>55</v>
      </c>
      <c r="AU342" s="20"/>
      <c r="AV342" s="20"/>
      <c r="AW342" s="20">
        <f t="shared" si="184"/>
        <v>5276.7500000000009</v>
      </c>
      <c r="AX342" s="86">
        <f t="shared" si="196"/>
        <v>5428.4449999999988</v>
      </c>
      <c r="AY342" s="17">
        <f>'[1]D4 Gallon Forecast'!$AD154/1000000</f>
        <v>0</v>
      </c>
      <c r="AZ342" s="17">
        <f>'[1]D4 Gallon Forecast'!$AD186/1000000</f>
        <v>442.93131002593145</v>
      </c>
      <c r="BA342" s="17">
        <f t="shared" si="199"/>
        <v>442.93131002593145</v>
      </c>
      <c r="BB342" s="17">
        <f>'[1]D4 Gallon Forecast'!$AD170/1000000</f>
        <v>0</v>
      </c>
      <c r="BC342" s="87">
        <f>'[1]D4 Gallon Forecast'!$AD346/1000000</f>
        <v>401.8638016596073</v>
      </c>
      <c r="BD342" s="88">
        <f>'[1]D4 Gallon Forecast'!$AD362/1000000</f>
        <v>0</v>
      </c>
      <c r="BE342" s="88">
        <f t="shared" si="200"/>
        <v>401.8638016596073</v>
      </c>
      <c r="BF342" s="76">
        <f>BA342+BE342</f>
        <v>844.79511168553881</v>
      </c>
      <c r="BG342" s="22">
        <f t="shared" si="176"/>
        <v>1.8323444658123698</v>
      </c>
      <c r="BI342" s="21">
        <f t="shared" si="185"/>
        <v>4702.9000000000005</v>
      </c>
      <c r="BJ342" s="21">
        <f t="shared" si="216"/>
        <v>725.54499999999825</v>
      </c>
      <c r="BK342" s="21">
        <f>'RD Feedstock Breakdown'!ES333</f>
        <v>12320.747348907982</v>
      </c>
      <c r="BL342" s="89">
        <f t="shared" ref="BL342:BL405" si="222">BK342/BF342</f>
        <v>14.584302369275758</v>
      </c>
      <c r="BM342" s="89">
        <f t="shared" si="220"/>
        <v>27.816383872674667</v>
      </c>
    </row>
    <row r="343" spans="1:65" ht="13.5" x14ac:dyDescent="0.25">
      <c r="A343" s="15">
        <v>50587</v>
      </c>
      <c r="B343" s="20">
        <f t="shared" si="221"/>
        <v>690</v>
      </c>
      <c r="C343" s="74">
        <v>47</v>
      </c>
      <c r="D343" s="20">
        <f t="shared" si="213"/>
        <v>3</v>
      </c>
      <c r="E343" s="20">
        <f t="shared" si="178"/>
        <v>85</v>
      </c>
      <c r="F343" s="20">
        <f t="shared" si="198"/>
        <v>340</v>
      </c>
      <c r="G343" s="20">
        <f t="shared" si="212"/>
        <v>37.5</v>
      </c>
      <c r="H343" s="20">
        <f t="shared" si="191"/>
        <v>190</v>
      </c>
      <c r="I343" s="20">
        <f t="shared" si="177"/>
        <v>250</v>
      </c>
      <c r="J343" s="20">
        <f t="shared" si="217"/>
        <v>153.30000000000001</v>
      </c>
      <c r="K343" s="20">
        <f t="shared" si="180"/>
        <v>125</v>
      </c>
      <c r="L343" s="20">
        <v>125</v>
      </c>
      <c r="M343" s="20">
        <v>730</v>
      </c>
      <c r="N343" s="20">
        <f t="shared" si="208"/>
        <v>180</v>
      </c>
      <c r="O343" s="74">
        <v>375</v>
      </c>
      <c r="P343" s="20">
        <f t="shared" si="186"/>
        <v>50</v>
      </c>
      <c r="Q343" s="20">
        <f t="shared" si="187"/>
        <v>21</v>
      </c>
      <c r="R343" s="20">
        <v>100</v>
      </c>
      <c r="S343" s="20">
        <f t="shared" si="192"/>
        <v>60</v>
      </c>
      <c r="T343" s="20">
        <f t="shared" si="181"/>
        <v>36</v>
      </c>
      <c r="U343" s="20"/>
      <c r="V343" s="20">
        <f t="shared" si="204"/>
        <v>0</v>
      </c>
      <c r="W343" s="20">
        <f t="shared" si="188"/>
        <v>20</v>
      </c>
      <c r="X343" s="20">
        <f t="shared" si="219"/>
        <v>0</v>
      </c>
      <c r="Y343" s="20">
        <f t="shared" si="183"/>
        <v>3.5</v>
      </c>
      <c r="Z343" s="20">
        <f t="shared" si="207"/>
        <v>230</v>
      </c>
      <c r="AA343" s="20">
        <f t="shared" si="182"/>
        <v>306</v>
      </c>
      <c r="AB343" s="20">
        <f t="shared" si="194"/>
        <v>60</v>
      </c>
      <c r="AC343" s="20">
        <f t="shared" si="201"/>
        <v>1.6</v>
      </c>
      <c r="AD343" s="20">
        <f t="shared" si="190"/>
        <v>180</v>
      </c>
      <c r="AE343" s="20">
        <f t="shared" si="193"/>
        <v>1.1000000000000001</v>
      </c>
      <c r="AF343" s="20">
        <f t="shared" si="197"/>
        <v>275</v>
      </c>
      <c r="AG343" s="20">
        <f t="shared" si="203"/>
        <v>18</v>
      </c>
      <c r="AH343" s="20">
        <f t="shared" si="195"/>
        <v>3</v>
      </c>
      <c r="AI343" s="20">
        <f t="shared" si="189"/>
        <v>47</v>
      </c>
      <c r="AJ343" s="20">
        <f t="shared" si="210"/>
        <v>90</v>
      </c>
      <c r="AK343" s="20">
        <f t="shared" si="214"/>
        <v>14</v>
      </c>
      <c r="AL343" s="20">
        <f t="shared" si="211"/>
        <v>45</v>
      </c>
      <c r="AM343" s="20">
        <v>46</v>
      </c>
      <c r="AN343" s="20">
        <f t="shared" si="215"/>
        <v>0.75</v>
      </c>
      <c r="AO343" s="20">
        <f t="shared" si="205"/>
        <v>19</v>
      </c>
      <c r="AP343" s="20">
        <f t="shared" si="205"/>
        <v>19</v>
      </c>
      <c r="AQ343" s="20">
        <f t="shared" si="218"/>
        <v>5</v>
      </c>
      <c r="AR343" s="20">
        <f t="shared" si="206"/>
        <v>120</v>
      </c>
      <c r="AS343" s="20">
        <f t="shared" si="209"/>
        <v>120</v>
      </c>
      <c r="AT343" s="20">
        <f t="shared" si="202"/>
        <v>55</v>
      </c>
      <c r="AU343" s="20"/>
      <c r="AV343" s="20"/>
      <c r="AW343" s="20">
        <f t="shared" si="184"/>
        <v>5276.7500000000009</v>
      </c>
      <c r="AX343" s="86">
        <f t="shared" si="196"/>
        <v>5428.4449999999988</v>
      </c>
      <c r="AY343" s="17">
        <f>'[1]D4 Gallon Forecast'!$AD155/1000000</f>
        <v>0</v>
      </c>
      <c r="AZ343" s="17">
        <f>'[1]D4 Gallon Forecast'!$AD187/1000000</f>
        <v>433.82763643789667</v>
      </c>
      <c r="BA343" s="17">
        <f t="shared" si="199"/>
        <v>433.82763643789667</v>
      </c>
      <c r="BB343" s="17">
        <f>'[1]D4 Gallon Forecast'!$AD171/1000000</f>
        <v>0</v>
      </c>
      <c r="BC343" s="87">
        <f>'[1]D4 Gallon Forecast'!$AD347/1000000</f>
        <v>437.13665429824135</v>
      </c>
      <c r="BD343" s="88">
        <f>'[1]D4 Gallon Forecast'!$AD363/1000000</f>
        <v>0</v>
      </c>
      <c r="BE343" s="88">
        <f t="shared" si="200"/>
        <v>437.13665429824135</v>
      </c>
      <c r="BF343" s="76">
        <f>BA343+BE343</f>
        <v>870.96429073613808</v>
      </c>
      <c r="BG343" s="22">
        <f t="shared" si="176"/>
        <v>1.9520750793194643</v>
      </c>
      <c r="BH343">
        <f>BF343/(AX343/12)</f>
        <v>1.9253343248082386</v>
      </c>
      <c r="BI343" s="21">
        <f t="shared" si="185"/>
        <v>4702.9000000000005</v>
      </c>
      <c r="BJ343" s="21">
        <f t="shared" si="216"/>
        <v>725.54499999999825</v>
      </c>
      <c r="BK343" s="21">
        <f>'RD Feedstock Breakdown'!ES334</f>
        <v>13532.418043249145</v>
      </c>
      <c r="BL343" s="89">
        <f>BK343/BF343</f>
        <v>15.537282282619831</v>
      </c>
      <c r="BM343" s="89">
        <f t="shared" si="220"/>
        <v>31.193075098585471</v>
      </c>
    </row>
    <row r="344" spans="1:65" ht="13.5" x14ac:dyDescent="0.25">
      <c r="A344" s="15">
        <v>50618</v>
      </c>
      <c r="B344" s="20">
        <f t="shared" si="221"/>
        <v>690</v>
      </c>
      <c r="C344" s="74">
        <v>47</v>
      </c>
      <c r="D344" s="20">
        <f t="shared" si="213"/>
        <v>3</v>
      </c>
      <c r="E344" s="20">
        <f t="shared" si="178"/>
        <v>85</v>
      </c>
      <c r="F344" s="20">
        <f t="shared" si="198"/>
        <v>340</v>
      </c>
      <c r="G344" s="20">
        <f t="shared" si="212"/>
        <v>37.5</v>
      </c>
      <c r="H344" s="20">
        <f t="shared" si="191"/>
        <v>190</v>
      </c>
      <c r="I344" s="20">
        <f t="shared" si="177"/>
        <v>250</v>
      </c>
      <c r="J344" s="20">
        <f t="shared" si="217"/>
        <v>153.30000000000001</v>
      </c>
      <c r="K344" s="20">
        <f t="shared" si="180"/>
        <v>125</v>
      </c>
      <c r="L344" s="20">
        <v>125</v>
      </c>
      <c r="M344" s="20">
        <v>730</v>
      </c>
      <c r="N344" s="20">
        <f t="shared" si="208"/>
        <v>180</v>
      </c>
      <c r="O344" s="74">
        <v>375</v>
      </c>
      <c r="P344" s="20">
        <f t="shared" si="186"/>
        <v>50</v>
      </c>
      <c r="Q344" s="20">
        <f t="shared" si="187"/>
        <v>21</v>
      </c>
      <c r="R344" s="20">
        <v>100</v>
      </c>
      <c r="S344" s="20">
        <f t="shared" si="192"/>
        <v>60</v>
      </c>
      <c r="T344" s="20">
        <f t="shared" si="181"/>
        <v>36</v>
      </c>
      <c r="U344" s="20"/>
      <c r="V344" s="20">
        <f t="shared" si="204"/>
        <v>0</v>
      </c>
      <c r="W344" s="20">
        <f t="shared" si="188"/>
        <v>20</v>
      </c>
      <c r="X344" s="20">
        <f t="shared" si="219"/>
        <v>0</v>
      </c>
      <c r="Y344" s="20">
        <f t="shared" si="183"/>
        <v>3.5</v>
      </c>
      <c r="Z344" s="20">
        <f t="shared" si="207"/>
        <v>230</v>
      </c>
      <c r="AA344" s="20">
        <f t="shared" si="182"/>
        <v>306</v>
      </c>
      <c r="AB344" s="20">
        <f t="shared" si="194"/>
        <v>60</v>
      </c>
      <c r="AC344" s="20">
        <f t="shared" si="201"/>
        <v>1.6</v>
      </c>
      <c r="AD344" s="20">
        <f t="shared" si="190"/>
        <v>180</v>
      </c>
      <c r="AE344" s="20">
        <f t="shared" si="193"/>
        <v>1.1000000000000001</v>
      </c>
      <c r="AF344" s="20">
        <f t="shared" si="197"/>
        <v>275</v>
      </c>
      <c r="AG344" s="20">
        <f t="shared" si="203"/>
        <v>18</v>
      </c>
      <c r="AH344" s="20">
        <f t="shared" si="195"/>
        <v>3</v>
      </c>
      <c r="AI344" s="20">
        <f t="shared" si="189"/>
        <v>47</v>
      </c>
      <c r="AJ344" s="20">
        <f t="shared" si="210"/>
        <v>90</v>
      </c>
      <c r="AK344" s="20">
        <f t="shared" si="214"/>
        <v>14</v>
      </c>
      <c r="AL344" s="20">
        <f t="shared" si="211"/>
        <v>45</v>
      </c>
      <c r="AM344" s="20">
        <v>46</v>
      </c>
      <c r="AN344" s="20">
        <f t="shared" si="215"/>
        <v>0.75</v>
      </c>
      <c r="AO344" s="20">
        <f t="shared" si="205"/>
        <v>19</v>
      </c>
      <c r="AP344" s="20">
        <f t="shared" si="205"/>
        <v>19</v>
      </c>
      <c r="AQ344" s="20">
        <f t="shared" si="218"/>
        <v>5</v>
      </c>
      <c r="AR344" s="20">
        <f t="shared" si="206"/>
        <v>120</v>
      </c>
      <c r="AS344" s="20">
        <f t="shared" si="209"/>
        <v>120</v>
      </c>
      <c r="AT344" s="20">
        <f t="shared" si="202"/>
        <v>55</v>
      </c>
      <c r="AU344" s="20"/>
      <c r="AV344" s="20"/>
      <c r="AW344" s="20">
        <f t="shared" si="184"/>
        <v>5276.7500000000009</v>
      </c>
      <c r="AX344" s="86">
        <f t="shared" si="196"/>
        <v>5428.4449999999988</v>
      </c>
      <c r="AY344" s="17">
        <f>'[1]D4 Gallon Forecast'!$AD156/1000000</f>
        <v>0</v>
      </c>
      <c r="AZ344" s="17">
        <f>'[1]D4 Gallon Forecast'!$AD188/1000000</f>
        <v>440.03594164291417</v>
      </c>
      <c r="BA344" s="17">
        <f t="shared" si="199"/>
        <v>440.03594164291417</v>
      </c>
      <c r="BB344" s="17">
        <f>'[1]D4 Gallon Forecast'!$AD172/1000000</f>
        <v>0</v>
      </c>
      <c r="BC344" s="87">
        <f>'[1]D4 Gallon Forecast'!$AD348/1000000</f>
        <v>475.97023215940487</v>
      </c>
      <c r="BD344" s="88">
        <f>'[1]D4 Gallon Forecast'!$AD364/1000000</f>
        <v>0</v>
      </c>
      <c r="BE344" s="88">
        <f t="shared" si="200"/>
        <v>475.97023215940487</v>
      </c>
      <c r="BF344" s="76">
        <f t="shared" ref="BF344:BF407" si="223">BA344+BE344</f>
        <v>916.00617380231904</v>
      </c>
      <c r="BG344" s="22">
        <f t="shared" ref="BG344:BG407" si="224">(BF344/(A344-A343)*365)/AX344</f>
        <v>1.9867998997624581</v>
      </c>
      <c r="BI344" s="21">
        <f t="shared" si="185"/>
        <v>4702.9000000000005</v>
      </c>
      <c r="BJ344" s="21">
        <f t="shared" si="216"/>
        <v>725.54499999999825</v>
      </c>
      <c r="BK344" s="21">
        <f>'RD Feedstock Breakdown'!ES335</f>
        <v>14485.419238842436</v>
      </c>
      <c r="BL344" s="89">
        <f t="shared" si="222"/>
        <v>15.813669878133918</v>
      </c>
      <c r="BM344" s="89">
        <f t="shared" si="220"/>
        <v>32.918718377321198</v>
      </c>
    </row>
    <row r="345" spans="1:65" ht="13.5" x14ac:dyDescent="0.25">
      <c r="A345" s="15">
        <v>50649</v>
      </c>
      <c r="B345" s="20">
        <f t="shared" si="221"/>
        <v>690</v>
      </c>
      <c r="C345" s="74">
        <v>47</v>
      </c>
      <c r="D345" s="20">
        <f t="shared" si="213"/>
        <v>3</v>
      </c>
      <c r="E345" s="20">
        <f t="shared" si="178"/>
        <v>85</v>
      </c>
      <c r="F345" s="20">
        <f t="shared" si="198"/>
        <v>340</v>
      </c>
      <c r="G345" s="20">
        <f t="shared" si="212"/>
        <v>37.5</v>
      </c>
      <c r="H345" s="20">
        <f t="shared" si="191"/>
        <v>190</v>
      </c>
      <c r="I345" s="20">
        <f t="shared" si="177"/>
        <v>250</v>
      </c>
      <c r="J345" s="20">
        <f t="shared" si="217"/>
        <v>153.30000000000001</v>
      </c>
      <c r="K345" s="20">
        <f t="shared" si="180"/>
        <v>125</v>
      </c>
      <c r="L345" s="20">
        <v>125</v>
      </c>
      <c r="M345" s="20">
        <v>730</v>
      </c>
      <c r="N345" s="20">
        <f t="shared" si="208"/>
        <v>180</v>
      </c>
      <c r="O345" s="74">
        <v>375</v>
      </c>
      <c r="P345" s="20">
        <f t="shared" si="186"/>
        <v>50</v>
      </c>
      <c r="Q345" s="20">
        <f t="shared" si="187"/>
        <v>21</v>
      </c>
      <c r="R345" s="20">
        <v>100</v>
      </c>
      <c r="S345" s="20">
        <f t="shared" si="192"/>
        <v>60</v>
      </c>
      <c r="T345" s="20">
        <f t="shared" si="181"/>
        <v>36</v>
      </c>
      <c r="U345" s="20"/>
      <c r="V345" s="20">
        <f t="shared" si="204"/>
        <v>0</v>
      </c>
      <c r="W345" s="20">
        <f t="shared" si="188"/>
        <v>20</v>
      </c>
      <c r="X345" s="20">
        <f t="shared" si="219"/>
        <v>0</v>
      </c>
      <c r="Y345" s="20">
        <f t="shared" si="183"/>
        <v>3.5</v>
      </c>
      <c r="Z345" s="20">
        <f t="shared" si="207"/>
        <v>230</v>
      </c>
      <c r="AA345" s="20">
        <f t="shared" si="182"/>
        <v>306</v>
      </c>
      <c r="AB345" s="20">
        <f t="shared" si="194"/>
        <v>60</v>
      </c>
      <c r="AC345" s="20">
        <f t="shared" si="201"/>
        <v>1.6</v>
      </c>
      <c r="AD345" s="20">
        <f t="shared" si="190"/>
        <v>180</v>
      </c>
      <c r="AE345" s="20">
        <f t="shared" si="193"/>
        <v>1.1000000000000001</v>
      </c>
      <c r="AF345" s="20">
        <f t="shared" si="197"/>
        <v>275</v>
      </c>
      <c r="AG345" s="20">
        <f t="shared" si="203"/>
        <v>18</v>
      </c>
      <c r="AH345" s="20">
        <f t="shared" si="195"/>
        <v>3</v>
      </c>
      <c r="AI345" s="20">
        <f t="shared" si="189"/>
        <v>47</v>
      </c>
      <c r="AJ345" s="20">
        <f t="shared" si="210"/>
        <v>90</v>
      </c>
      <c r="AK345" s="20">
        <f t="shared" si="214"/>
        <v>14</v>
      </c>
      <c r="AL345" s="20">
        <f t="shared" si="211"/>
        <v>45</v>
      </c>
      <c r="AM345" s="20">
        <v>46</v>
      </c>
      <c r="AN345" s="20">
        <f t="shared" si="215"/>
        <v>0.75</v>
      </c>
      <c r="AO345" s="20">
        <f t="shared" si="205"/>
        <v>19</v>
      </c>
      <c r="AP345" s="20">
        <f t="shared" si="205"/>
        <v>19</v>
      </c>
      <c r="AQ345" s="20">
        <f t="shared" si="218"/>
        <v>5</v>
      </c>
      <c r="AR345" s="20">
        <f t="shared" si="206"/>
        <v>120</v>
      </c>
      <c r="AS345" s="20">
        <f t="shared" si="209"/>
        <v>120</v>
      </c>
      <c r="AT345" s="20">
        <f t="shared" si="202"/>
        <v>55</v>
      </c>
      <c r="AU345" s="20"/>
      <c r="AV345" s="20"/>
      <c r="AW345" s="20">
        <f t="shared" si="184"/>
        <v>5276.7500000000009</v>
      </c>
      <c r="AX345" s="86">
        <f t="shared" si="196"/>
        <v>5428.4449999999988</v>
      </c>
      <c r="AY345" s="17">
        <f>'[1]D4 Gallon Forecast'!$AD157/1000000</f>
        <v>0</v>
      </c>
      <c r="AZ345" s="17">
        <f>'[1]D4 Gallon Forecast'!$AD189/1000000</f>
        <v>448.05594288613571</v>
      </c>
      <c r="BA345" s="17">
        <f t="shared" si="199"/>
        <v>448.05594288613571</v>
      </c>
      <c r="BB345" s="17">
        <f>'[1]D4 Gallon Forecast'!$AD173/1000000</f>
        <v>0</v>
      </c>
      <c r="BC345" s="87">
        <f>'[1]D4 Gallon Forecast'!$AD349/1000000</f>
        <v>578.91572147631052</v>
      </c>
      <c r="BD345" s="88">
        <f>'[1]D4 Gallon Forecast'!$AD365/1000000</f>
        <v>0</v>
      </c>
      <c r="BE345" s="88">
        <f t="shared" si="200"/>
        <v>578.91572147631052</v>
      </c>
      <c r="BF345" s="76">
        <f t="shared" si="223"/>
        <v>1026.9716643624463</v>
      </c>
      <c r="BG345" s="22">
        <f t="shared" si="224"/>
        <v>2.2274819298920185</v>
      </c>
      <c r="BI345" s="21">
        <f t="shared" si="185"/>
        <v>4702.9000000000005</v>
      </c>
      <c r="BJ345" s="21">
        <f t="shared" si="216"/>
        <v>725.54499999999825</v>
      </c>
      <c r="BK345" s="21">
        <f>'RD Feedstock Breakdown'!ES336</f>
        <v>18207.536508888013</v>
      </c>
      <c r="BL345" s="89">
        <f t="shared" si="222"/>
        <v>17.729346525048893</v>
      </c>
      <c r="BM345" s="89">
        <f t="shared" si="220"/>
        <v>40.636748151592059</v>
      </c>
    </row>
    <row r="346" spans="1:65" ht="13.5" x14ac:dyDescent="0.25">
      <c r="A346" s="15">
        <v>50679</v>
      </c>
      <c r="B346" s="20">
        <f t="shared" si="221"/>
        <v>690</v>
      </c>
      <c r="C346" s="74">
        <v>47</v>
      </c>
      <c r="D346" s="20">
        <f t="shared" si="213"/>
        <v>3</v>
      </c>
      <c r="E346" s="20">
        <f t="shared" si="178"/>
        <v>85</v>
      </c>
      <c r="F346" s="20">
        <f t="shared" si="198"/>
        <v>340</v>
      </c>
      <c r="G346" s="20">
        <f t="shared" si="212"/>
        <v>37.5</v>
      </c>
      <c r="H346" s="20">
        <f t="shared" si="191"/>
        <v>190</v>
      </c>
      <c r="I346" s="20">
        <f t="shared" ref="I346:I409" si="225">$I$12*$I$5*2</f>
        <v>250</v>
      </c>
      <c r="J346" s="20">
        <f t="shared" si="217"/>
        <v>153.30000000000001</v>
      </c>
      <c r="K346" s="20">
        <f t="shared" si="180"/>
        <v>125</v>
      </c>
      <c r="L346" s="20">
        <v>125</v>
      </c>
      <c r="M346" s="20">
        <v>730</v>
      </c>
      <c r="N346" s="20">
        <f t="shared" si="208"/>
        <v>180</v>
      </c>
      <c r="O346" s="74">
        <v>375</v>
      </c>
      <c r="P346" s="20">
        <f t="shared" si="186"/>
        <v>50</v>
      </c>
      <c r="Q346" s="20">
        <f t="shared" si="187"/>
        <v>21</v>
      </c>
      <c r="R346" s="20">
        <v>100</v>
      </c>
      <c r="S346" s="20">
        <f t="shared" si="192"/>
        <v>60</v>
      </c>
      <c r="T346" s="20">
        <f t="shared" si="181"/>
        <v>36</v>
      </c>
      <c r="U346" s="20"/>
      <c r="V346" s="20">
        <f t="shared" si="204"/>
        <v>0</v>
      </c>
      <c r="W346" s="20">
        <f t="shared" si="188"/>
        <v>20</v>
      </c>
      <c r="X346" s="20">
        <f t="shared" si="219"/>
        <v>0</v>
      </c>
      <c r="Y346" s="20">
        <f t="shared" si="183"/>
        <v>3.5</v>
      </c>
      <c r="Z346" s="20">
        <f t="shared" si="207"/>
        <v>230</v>
      </c>
      <c r="AA346" s="20">
        <f t="shared" si="182"/>
        <v>306</v>
      </c>
      <c r="AB346" s="20">
        <f t="shared" si="194"/>
        <v>60</v>
      </c>
      <c r="AC346" s="20">
        <f t="shared" si="201"/>
        <v>1.6</v>
      </c>
      <c r="AD346" s="20">
        <f t="shared" si="190"/>
        <v>180</v>
      </c>
      <c r="AE346" s="20">
        <f t="shared" si="193"/>
        <v>1.1000000000000001</v>
      </c>
      <c r="AF346" s="20">
        <f t="shared" si="197"/>
        <v>275</v>
      </c>
      <c r="AG346" s="20">
        <f t="shared" si="203"/>
        <v>18</v>
      </c>
      <c r="AH346" s="20">
        <f t="shared" si="195"/>
        <v>3</v>
      </c>
      <c r="AI346" s="20">
        <f t="shared" si="189"/>
        <v>47</v>
      </c>
      <c r="AJ346" s="20">
        <f t="shared" si="210"/>
        <v>90</v>
      </c>
      <c r="AK346" s="20">
        <f t="shared" si="214"/>
        <v>14</v>
      </c>
      <c r="AL346" s="20">
        <f t="shared" si="211"/>
        <v>45</v>
      </c>
      <c r="AM346" s="20">
        <v>46</v>
      </c>
      <c r="AN346" s="20">
        <f t="shared" si="215"/>
        <v>0.75</v>
      </c>
      <c r="AO346" s="20">
        <f t="shared" si="205"/>
        <v>19</v>
      </c>
      <c r="AP346" s="20">
        <f t="shared" si="205"/>
        <v>19</v>
      </c>
      <c r="AQ346" s="20">
        <f t="shared" si="218"/>
        <v>5</v>
      </c>
      <c r="AR346" s="20">
        <f t="shared" si="206"/>
        <v>120</v>
      </c>
      <c r="AS346" s="20">
        <f t="shared" si="209"/>
        <v>120</v>
      </c>
      <c r="AT346" s="20">
        <f t="shared" si="202"/>
        <v>55</v>
      </c>
      <c r="AU346" s="20"/>
      <c r="AV346" s="20"/>
      <c r="AW346" s="20">
        <f t="shared" si="184"/>
        <v>5276.7500000000009</v>
      </c>
      <c r="AX346" s="86">
        <f t="shared" si="196"/>
        <v>5428.4449999999988</v>
      </c>
      <c r="AY346" s="17">
        <f>'[1]D4 Gallon Forecast'!$AD158/1000000</f>
        <v>0</v>
      </c>
      <c r="AZ346" s="17">
        <f>'[1]D4 Gallon Forecast'!$AD190/1000000</f>
        <v>492.354096467788</v>
      </c>
      <c r="BA346" s="17">
        <f t="shared" si="199"/>
        <v>492.354096467788</v>
      </c>
      <c r="BB346" s="17">
        <f>'[1]D4 Gallon Forecast'!$AD174/1000000</f>
        <v>0</v>
      </c>
      <c r="BC346" s="87">
        <f>'[1]D4 Gallon Forecast'!$AD350/1000000</f>
        <v>565.24053289830943</v>
      </c>
      <c r="BD346" s="88">
        <f>'[1]D4 Gallon Forecast'!$AD366/1000000</f>
        <v>0</v>
      </c>
      <c r="BE346" s="88">
        <f t="shared" si="200"/>
        <v>565.24053289830943</v>
      </c>
      <c r="BF346" s="76">
        <f t="shared" si="223"/>
        <v>1057.5946293660975</v>
      </c>
      <c r="BG346" s="22">
        <f t="shared" si="224"/>
        <v>2.3703659747780788</v>
      </c>
      <c r="BI346" s="21">
        <f t="shared" si="185"/>
        <v>4702.9000000000005</v>
      </c>
      <c r="BJ346" s="21">
        <f t="shared" si="216"/>
        <v>725.54499999999825</v>
      </c>
      <c r="BK346" s="21">
        <f>'RD Feedstock Breakdown'!ES337</f>
        <v>19941.573669111054</v>
      </c>
      <c r="BL346" s="89">
        <f t="shared" si="222"/>
        <v>18.855592790844316</v>
      </c>
      <c r="BM346" s="89">
        <f t="shared" si="220"/>
        <v>40.502503812143502</v>
      </c>
    </row>
    <row r="347" spans="1:65" ht="13.5" x14ac:dyDescent="0.25">
      <c r="A347" s="15">
        <v>50710</v>
      </c>
      <c r="B347" s="20">
        <f t="shared" si="221"/>
        <v>690</v>
      </c>
      <c r="C347" s="74">
        <v>47</v>
      </c>
      <c r="D347" s="20">
        <f t="shared" si="213"/>
        <v>3</v>
      </c>
      <c r="E347" s="20">
        <f t="shared" ref="E347:E410" si="226">$E$5*$E$12</f>
        <v>85</v>
      </c>
      <c r="F347" s="20">
        <f t="shared" si="198"/>
        <v>340</v>
      </c>
      <c r="G347" s="20">
        <f t="shared" si="212"/>
        <v>37.5</v>
      </c>
      <c r="H347" s="20">
        <f t="shared" si="191"/>
        <v>190</v>
      </c>
      <c r="I347" s="20">
        <f t="shared" si="225"/>
        <v>250</v>
      </c>
      <c r="J347" s="20">
        <f t="shared" si="217"/>
        <v>153.30000000000001</v>
      </c>
      <c r="K347" s="20">
        <f t="shared" si="180"/>
        <v>125</v>
      </c>
      <c r="L347" s="20">
        <v>125</v>
      </c>
      <c r="M347" s="20">
        <v>730</v>
      </c>
      <c r="N347" s="20">
        <f t="shared" si="208"/>
        <v>180</v>
      </c>
      <c r="O347" s="74">
        <v>375</v>
      </c>
      <c r="P347" s="20">
        <f t="shared" si="186"/>
        <v>50</v>
      </c>
      <c r="Q347" s="20">
        <f t="shared" si="187"/>
        <v>21</v>
      </c>
      <c r="R347" s="20">
        <v>100</v>
      </c>
      <c r="S347" s="20">
        <f t="shared" si="192"/>
        <v>60</v>
      </c>
      <c r="T347" s="20">
        <f t="shared" si="181"/>
        <v>36</v>
      </c>
      <c r="U347" s="20"/>
      <c r="V347" s="20">
        <f t="shared" si="204"/>
        <v>0</v>
      </c>
      <c r="W347" s="20">
        <f t="shared" si="188"/>
        <v>20</v>
      </c>
      <c r="X347" s="20">
        <f t="shared" si="219"/>
        <v>0</v>
      </c>
      <c r="Y347" s="20">
        <f t="shared" si="183"/>
        <v>3.5</v>
      </c>
      <c r="Z347" s="20">
        <f t="shared" si="207"/>
        <v>230</v>
      </c>
      <c r="AA347" s="20">
        <f t="shared" si="182"/>
        <v>306</v>
      </c>
      <c r="AB347" s="20">
        <f t="shared" si="194"/>
        <v>60</v>
      </c>
      <c r="AC347" s="20">
        <f t="shared" si="201"/>
        <v>1.6</v>
      </c>
      <c r="AD347" s="20">
        <f t="shared" si="190"/>
        <v>180</v>
      </c>
      <c r="AE347" s="20">
        <f t="shared" si="193"/>
        <v>1.1000000000000001</v>
      </c>
      <c r="AF347" s="20">
        <f t="shared" si="197"/>
        <v>275</v>
      </c>
      <c r="AG347" s="20">
        <f t="shared" si="203"/>
        <v>18</v>
      </c>
      <c r="AH347" s="20">
        <f t="shared" si="195"/>
        <v>3</v>
      </c>
      <c r="AI347" s="20">
        <f t="shared" si="189"/>
        <v>47</v>
      </c>
      <c r="AJ347" s="20">
        <f t="shared" si="210"/>
        <v>90</v>
      </c>
      <c r="AK347" s="20">
        <f t="shared" si="214"/>
        <v>14</v>
      </c>
      <c r="AL347" s="20">
        <f t="shared" si="211"/>
        <v>45</v>
      </c>
      <c r="AM347" s="20">
        <v>46</v>
      </c>
      <c r="AN347" s="20">
        <f t="shared" si="215"/>
        <v>0.75</v>
      </c>
      <c r="AO347" s="20">
        <f t="shared" si="205"/>
        <v>19</v>
      </c>
      <c r="AP347" s="20">
        <f t="shared" si="205"/>
        <v>19</v>
      </c>
      <c r="AQ347" s="20">
        <f t="shared" si="218"/>
        <v>5</v>
      </c>
      <c r="AR347" s="20">
        <f t="shared" si="206"/>
        <v>120</v>
      </c>
      <c r="AS347" s="20">
        <f t="shared" si="209"/>
        <v>120</v>
      </c>
      <c r="AT347" s="20">
        <f t="shared" si="202"/>
        <v>55</v>
      </c>
      <c r="AU347" s="20"/>
      <c r="AV347" s="20"/>
      <c r="AW347" s="20">
        <f t="shared" si="184"/>
        <v>5276.7500000000009</v>
      </c>
      <c r="AX347" s="86">
        <f t="shared" si="196"/>
        <v>5428.4449999999988</v>
      </c>
      <c r="AY347" s="17">
        <f>'[1]D4 Gallon Forecast'!$AD159/1000000</f>
        <v>0</v>
      </c>
      <c r="AZ347" s="17">
        <f>'[1]D4 Gallon Forecast'!$AD191/1000000</f>
        <v>598.19932396702552</v>
      </c>
      <c r="BA347" s="17">
        <f t="shared" si="199"/>
        <v>598.19932396702552</v>
      </c>
      <c r="BB347" s="17">
        <f>'[1]D4 Gallon Forecast'!$AD175/1000000</f>
        <v>0</v>
      </c>
      <c r="BC347" s="87">
        <f>'[1]D4 Gallon Forecast'!$AD351/1000000</f>
        <v>489.11349670413358</v>
      </c>
      <c r="BD347" s="88">
        <f>'[1]D4 Gallon Forecast'!$AD367/1000000</f>
        <v>0</v>
      </c>
      <c r="BE347" s="88">
        <f t="shared" si="200"/>
        <v>489.11349670413358</v>
      </c>
      <c r="BF347" s="76">
        <f t="shared" si="223"/>
        <v>1087.312820671159</v>
      </c>
      <c r="BG347" s="22">
        <f t="shared" si="224"/>
        <v>2.3583607457061717</v>
      </c>
      <c r="BI347" s="21">
        <f t="shared" si="185"/>
        <v>4702.9000000000005</v>
      </c>
      <c r="BJ347" s="21">
        <f t="shared" si="216"/>
        <v>725.54499999999825</v>
      </c>
      <c r="BK347" s="21">
        <f>'RD Feedstock Breakdown'!ES338</f>
        <v>20398.091353331503</v>
      </c>
      <c r="BL347" s="89">
        <f t="shared" si="222"/>
        <v>18.760094579534616</v>
      </c>
      <c r="BM347" s="89">
        <f t="shared" si="220"/>
        <v>34.099154806894944</v>
      </c>
    </row>
    <row r="348" spans="1:65" ht="13.5" x14ac:dyDescent="0.25">
      <c r="A348" s="15">
        <v>50740</v>
      </c>
      <c r="B348" s="20">
        <f t="shared" si="221"/>
        <v>690</v>
      </c>
      <c r="C348" s="74">
        <v>47</v>
      </c>
      <c r="D348" s="20">
        <f t="shared" si="213"/>
        <v>3</v>
      </c>
      <c r="E348" s="20">
        <f t="shared" si="226"/>
        <v>85</v>
      </c>
      <c r="F348" s="20">
        <f t="shared" si="198"/>
        <v>340</v>
      </c>
      <c r="G348" s="20">
        <f t="shared" si="212"/>
        <v>37.5</v>
      </c>
      <c r="H348" s="20">
        <f t="shared" si="191"/>
        <v>190</v>
      </c>
      <c r="I348" s="20">
        <f t="shared" si="225"/>
        <v>250</v>
      </c>
      <c r="J348" s="20">
        <f t="shared" si="217"/>
        <v>153.30000000000001</v>
      </c>
      <c r="K348" s="20">
        <f t="shared" si="180"/>
        <v>125</v>
      </c>
      <c r="L348" s="20">
        <v>125</v>
      </c>
      <c r="M348" s="20">
        <v>730</v>
      </c>
      <c r="N348" s="20">
        <f t="shared" si="208"/>
        <v>180</v>
      </c>
      <c r="O348" s="74">
        <v>375</v>
      </c>
      <c r="P348" s="20">
        <f t="shared" si="186"/>
        <v>50</v>
      </c>
      <c r="Q348" s="20">
        <f t="shared" si="187"/>
        <v>21</v>
      </c>
      <c r="R348" s="20">
        <v>100</v>
      </c>
      <c r="S348" s="20">
        <f t="shared" si="192"/>
        <v>60</v>
      </c>
      <c r="T348" s="20">
        <f t="shared" si="181"/>
        <v>36</v>
      </c>
      <c r="U348" s="20"/>
      <c r="V348" s="20">
        <f t="shared" si="204"/>
        <v>0</v>
      </c>
      <c r="W348" s="20">
        <f t="shared" si="188"/>
        <v>20</v>
      </c>
      <c r="X348" s="20">
        <f t="shared" si="219"/>
        <v>0</v>
      </c>
      <c r="Y348" s="20">
        <f t="shared" si="183"/>
        <v>3.5</v>
      </c>
      <c r="Z348" s="20">
        <f t="shared" si="207"/>
        <v>230</v>
      </c>
      <c r="AA348" s="20">
        <f t="shared" si="182"/>
        <v>306</v>
      </c>
      <c r="AB348" s="20">
        <f t="shared" si="194"/>
        <v>60</v>
      </c>
      <c r="AC348" s="20">
        <f t="shared" si="201"/>
        <v>1.6</v>
      </c>
      <c r="AD348" s="20">
        <f t="shared" si="190"/>
        <v>180</v>
      </c>
      <c r="AE348" s="20">
        <f t="shared" si="193"/>
        <v>1.1000000000000001</v>
      </c>
      <c r="AF348" s="20">
        <f t="shared" si="197"/>
        <v>275</v>
      </c>
      <c r="AG348" s="20">
        <f t="shared" si="203"/>
        <v>18</v>
      </c>
      <c r="AH348" s="20">
        <f t="shared" si="195"/>
        <v>3</v>
      </c>
      <c r="AI348" s="20">
        <f t="shared" si="189"/>
        <v>47</v>
      </c>
      <c r="AJ348" s="20">
        <f t="shared" si="210"/>
        <v>90</v>
      </c>
      <c r="AK348" s="20">
        <f t="shared" si="214"/>
        <v>14</v>
      </c>
      <c r="AL348" s="20">
        <f t="shared" si="211"/>
        <v>45</v>
      </c>
      <c r="AM348" s="20">
        <v>46</v>
      </c>
      <c r="AN348" s="20">
        <f t="shared" si="215"/>
        <v>0.75</v>
      </c>
      <c r="AO348" s="20">
        <f t="shared" ref="AO348:AP380" si="227">$AO$12*$AO$5</f>
        <v>19</v>
      </c>
      <c r="AP348" s="20">
        <f t="shared" si="227"/>
        <v>19</v>
      </c>
      <c r="AQ348" s="20">
        <f t="shared" si="218"/>
        <v>5</v>
      </c>
      <c r="AR348" s="20">
        <f t="shared" si="206"/>
        <v>120</v>
      </c>
      <c r="AS348" s="20">
        <f t="shared" si="209"/>
        <v>120</v>
      </c>
      <c r="AT348" s="20">
        <f t="shared" si="202"/>
        <v>55</v>
      </c>
      <c r="AU348" s="20"/>
      <c r="AV348" s="20"/>
      <c r="AW348" s="20">
        <f t="shared" si="184"/>
        <v>5276.7500000000009</v>
      </c>
      <c r="AX348" s="86">
        <f t="shared" si="196"/>
        <v>5428.4449999999988</v>
      </c>
      <c r="AY348" s="17">
        <f>'[1]D4 Gallon Forecast'!$AD160/1000000</f>
        <v>0</v>
      </c>
      <c r="AZ348" s="17">
        <f>'[1]D4 Gallon Forecast'!$AD192/1000000</f>
        <v>678.75928626272491</v>
      </c>
      <c r="BA348" s="17">
        <f t="shared" si="199"/>
        <v>678.75928626272491</v>
      </c>
      <c r="BB348" s="17">
        <f>'[1]D4 Gallon Forecast'!$AD176/1000000</f>
        <v>0</v>
      </c>
      <c r="BC348" s="87">
        <f>'[1]D4 Gallon Forecast'!$AD352/1000000</f>
        <v>439.49941331568812</v>
      </c>
      <c r="BD348" s="88">
        <f>'[1]D4 Gallon Forecast'!$AD368/1000000</f>
        <v>0</v>
      </c>
      <c r="BE348" s="88">
        <f t="shared" si="200"/>
        <v>439.49941331568812</v>
      </c>
      <c r="BF348" s="76">
        <f t="shared" si="223"/>
        <v>1118.2586995784131</v>
      </c>
      <c r="BG348" s="22">
        <f t="shared" si="224"/>
        <v>2.5063311583465793</v>
      </c>
      <c r="BI348" s="21">
        <f t="shared" si="185"/>
        <v>4702.9000000000005</v>
      </c>
      <c r="BJ348" s="21">
        <f t="shared" si="216"/>
        <v>725.54499999999825</v>
      </c>
      <c r="BK348" s="21">
        <f>'RD Feedstock Breakdown'!ES339</f>
        <v>22294.899795178353</v>
      </c>
      <c r="BL348" s="89">
        <f t="shared" si="222"/>
        <v>19.937157478482927</v>
      </c>
      <c r="BM348" s="89">
        <f t="shared" si="220"/>
        <v>32.846548469244439</v>
      </c>
    </row>
    <row r="349" spans="1:65" ht="13.5" x14ac:dyDescent="0.25">
      <c r="A349" s="15">
        <v>50771</v>
      </c>
      <c r="B349" s="20">
        <f t="shared" si="221"/>
        <v>690</v>
      </c>
      <c r="C349" s="74">
        <v>47</v>
      </c>
      <c r="D349" s="20">
        <f t="shared" si="213"/>
        <v>3</v>
      </c>
      <c r="E349" s="20">
        <f t="shared" si="226"/>
        <v>85</v>
      </c>
      <c r="F349" s="20">
        <f t="shared" si="198"/>
        <v>340</v>
      </c>
      <c r="G349" s="20">
        <f t="shared" si="212"/>
        <v>37.5</v>
      </c>
      <c r="H349" s="20">
        <f t="shared" si="191"/>
        <v>190</v>
      </c>
      <c r="I349" s="20">
        <f t="shared" si="225"/>
        <v>250</v>
      </c>
      <c r="J349" s="20">
        <f t="shared" si="217"/>
        <v>153.30000000000001</v>
      </c>
      <c r="K349" s="20">
        <f t="shared" ref="K349:K412" si="228">125*$K$12</f>
        <v>125</v>
      </c>
      <c r="L349" s="20">
        <v>125</v>
      </c>
      <c r="M349" s="20">
        <v>730</v>
      </c>
      <c r="N349" s="20">
        <f t="shared" si="208"/>
        <v>180</v>
      </c>
      <c r="O349" s="74">
        <v>375</v>
      </c>
      <c r="P349" s="20">
        <f t="shared" si="186"/>
        <v>50</v>
      </c>
      <c r="Q349" s="20">
        <f t="shared" si="187"/>
        <v>21</v>
      </c>
      <c r="R349" s="20">
        <v>100</v>
      </c>
      <c r="S349" s="20">
        <f t="shared" si="192"/>
        <v>60</v>
      </c>
      <c r="T349" s="20">
        <f t="shared" si="181"/>
        <v>36</v>
      </c>
      <c r="U349" s="20"/>
      <c r="V349" s="20">
        <f t="shared" si="204"/>
        <v>0</v>
      </c>
      <c r="W349" s="20">
        <f t="shared" si="188"/>
        <v>20</v>
      </c>
      <c r="X349" s="20">
        <f t="shared" si="219"/>
        <v>0</v>
      </c>
      <c r="Y349" s="20">
        <f t="shared" si="183"/>
        <v>3.5</v>
      </c>
      <c r="Z349" s="20">
        <f t="shared" si="207"/>
        <v>230</v>
      </c>
      <c r="AA349" s="20">
        <f t="shared" si="182"/>
        <v>306</v>
      </c>
      <c r="AB349" s="20">
        <f t="shared" si="194"/>
        <v>60</v>
      </c>
      <c r="AC349" s="20">
        <f t="shared" si="201"/>
        <v>1.6</v>
      </c>
      <c r="AD349" s="20">
        <f t="shared" si="190"/>
        <v>180</v>
      </c>
      <c r="AE349" s="20">
        <f t="shared" si="193"/>
        <v>1.1000000000000001</v>
      </c>
      <c r="AF349" s="20">
        <f t="shared" si="197"/>
        <v>275</v>
      </c>
      <c r="AG349" s="20">
        <f t="shared" si="203"/>
        <v>18</v>
      </c>
      <c r="AH349" s="20">
        <f t="shared" si="195"/>
        <v>3</v>
      </c>
      <c r="AI349" s="20">
        <f t="shared" si="189"/>
        <v>47</v>
      </c>
      <c r="AJ349" s="20">
        <f t="shared" si="210"/>
        <v>90</v>
      </c>
      <c r="AK349" s="20">
        <f t="shared" si="214"/>
        <v>14</v>
      </c>
      <c r="AL349" s="20">
        <f t="shared" si="211"/>
        <v>45</v>
      </c>
      <c r="AM349" s="20">
        <v>46</v>
      </c>
      <c r="AN349" s="20">
        <f t="shared" si="215"/>
        <v>0.75</v>
      </c>
      <c r="AO349" s="20">
        <f t="shared" si="227"/>
        <v>19</v>
      </c>
      <c r="AP349" s="20">
        <f t="shared" si="227"/>
        <v>19</v>
      </c>
      <c r="AQ349" s="20">
        <f t="shared" si="218"/>
        <v>5</v>
      </c>
      <c r="AR349" s="20">
        <f t="shared" si="206"/>
        <v>120</v>
      </c>
      <c r="AS349" s="20">
        <f t="shared" si="209"/>
        <v>120</v>
      </c>
      <c r="AT349" s="20">
        <f t="shared" si="202"/>
        <v>55</v>
      </c>
      <c r="AU349" s="20"/>
      <c r="AV349" s="20"/>
      <c r="AW349" s="20">
        <f t="shared" si="184"/>
        <v>5276.7500000000009</v>
      </c>
      <c r="AX349" s="86">
        <f t="shared" si="196"/>
        <v>5428.4449999999988</v>
      </c>
      <c r="AY349" s="17">
        <f>'[1]D4 Gallon Forecast'!$AE149/1000000</f>
        <v>0</v>
      </c>
      <c r="AZ349" s="17">
        <f>'[1]D4 Gallon Forecast'!$AE181/1000000</f>
        <v>354.72605395795659</v>
      </c>
      <c r="BA349" s="17">
        <f t="shared" si="199"/>
        <v>354.72605395795659</v>
      </c>
      <c r="BB349" s="17">
        <f>'[1]D4 Gallon Forecast'!$AE165/1000000</f>
        <v>0</v>
      </c>
      <c r="BC349" s="87">
        <f>'[1]D4 Gallon Forecast'!$AE341/1000000</f>
        <v>263.10309937063352</v>
      </c>
      <c r="BD349" s="88">
        <f>'[1]D4 Gallon Forecast'!$AE357/1000000</f>
        <v>0</v>
      </c>
      <c r="BE349" s="88">
        <f t="shared" si="200"/>
        <v>263.10309937063352</v>
      </c>
      <c r="BF349" s="76">
        <f t="shared" si="223"/>
        <v>617.82915332859011</v>
      </c>
      <c r="BG349" s="22">
        <f t="shared" si="224"/>
        <v>1.3400596360701729</v>
      </c>
      <c r="BI349" s="21">
        <f t="shared" si="185"/>
        <v>4702.9000000000005</v>
      </c>
      <c r="BJ349" s="21">
        <f t="shared" si="216"/>
        <v>725.54499999999825</v>
      </c>
      <c r="BK349" s="21">
        <f>'RD Feedstock Breakdown'!ES340</f>
        <v>6589.5079071561186</v>
      </c>
      <c r="BL349" s="89">
        <f t="shared" si="222"/>
        <v>10.665582664163329</v>
      </c>
      <c r="BM349" s="89">
        <f t="shared" si="220"/>
        <v>18.576329067548929</v>
      </c>
    </row>
    <row r="350" spans="1:65" ht="13.5" x14ac:dyDescent="0.25">
      <c r="A350" s="15">
        <v>50802</v>
      </c>
      <c r="B350" s="20">
        <f t="shared" si="221"/>
        <v>690</v>
      </c>
      <c r="C350" s="74">
        <v>47</v>
      </c>
      <c r="D350" s="20">
        <f t="shared" si="213"/>
        <v>3</v>
      </c>
      <c r="E350" s="20">
        <f t="shared" si="226"/>
        <v>85</v>
      </c>
      <c r="F350" s="20">
        <f t="shared" si="198"/>
        <v>340</v>
      </c>
      <c r="G350" s="20">
        <f t="shared" si="212"/>
        <v>37.5</v>
      </c>
      <c r="H350" s="20">
        <f t="shared" si="191"/>
        <v>190</v>
      </c>
      <c r="I350" s="20">
        <f t="shared" si="225"/>
        <v>250</v>
      </c>
      <c r="J350" s="20">
        <f t="shared" si="217"/>
        <v>153.30000000000001</v>
      </c>
      <c r="K350" s="20">
        <f t="shared" si="228"/>
        <v>125</v>
      </c>
      <c r="L350" s="20">
        <v>125</v>
      </c>
      <c r="M350" s="20">
        <v>730</v>
      </c>
      <c r="N350" s="20">
        <f t="shared" si="208"/>
        <v>180</v>
      </c>
      <c r="O350" s="74">
        <v>375</v>
      </c>
      <c r="P350" s="20">
        <f t="shared" si="186"/>
        <v>50</v>
      </c>
      <c r="Q350" s="20">
        <f t="shared" si="187"/>
        <v>21</v>
      </c>
      <c r="R350" s="20">
        <v>100</v>
      </c>
      <c r="S350" s="20">
        <f t="shared" si="192"/>
        <v>60</v>
      </c>
      <c r="T350" s="20">
        <f t="shared" si="181"/>
        <v>36</v>
      </c>
      <c r="U350" s="20"/>
      <c r="V350" s="20">
        <f t="shared" si="204"/>
        <v>0</v>
      </c>
      <c r="W350" s="20">
        <f t="shared" si="188"/>
        <v>20</v>
      </c>
      <c r="X350" s="20">
        <f t="shared" si="219"/>
        <v>0</v>
      </c>
      <c r="Y350" s="20">
        <f t="shared" si="183"/>
        <v>3.5</v>
      </c>
      <c r="Z350" s="20">
        <f t="shared" si="207"/>
        <v>230</v>
      </c>
      <c r="AA350" s="20">
        <f t="shared" si="182"/>
        <v>306</v>
      </c>
      <c r="AB350" s="20">
        <f t="shared" si="194"/>
        <v>60</v>
      </c>
      <c r="AC350" s="20">
        <f t="shared" si="201"/>
        <v>1.6</v>
      </c>
      <c r="AD350" s="20">
        <f t="shared" si="190"/>
        <v>180</v>
      </c>
      <c r="AE350" s="20">
        <f t="shared" si="193"/>
        <v>1.1000000000000001</v>
      </c>
      <c r="AF350" s="20">
        <f t="shared" si="197"/>
        <v>275</v>
      </c>
      <c r="AG350" s="20">
        <f t="shared" si="203"/>
        <v>18</v>
      </c>
      <c r="AH350" s="20">
        <f t="shared" si="195"/>
        <v>3</v>
      </c>
      <c r="AI350" s="20">
        <f t="shared" si="189"/>
        <v>47</v>
      </c>
      <c r="AJ350" s="20">
        <f t="shared" si="210"/>
        <v>90</v>
      </c>
      <c r="AK350" s="20">
        <f t="shared" si="214"/>
        <v>14</v>
      </c>
      <c r="AL350" s="20">
        <f t="shared" si="211"/>
        <v>45</v>
      </c>
      <c r="AM350" s="20">
        <v>46</v>
      </c>
      <c r="AN350" s="20">
        <f t="shared" si="215"/>
        <v>0.75</v>
      </c>
      <c r="AO350" s="20">
        <f t="shared" si="227"/>
        <v>19</v>
      </c>
      <c r="AP350" s="20">
        <f t="shared" si="227"/>
        <v>19</v>
      </c>
      <c r="AQ350" s="20">
        <f t="shared" si="218"/>
        <v>5</v>
      </c>
      <c r="AR350" s="20">
        <f t="shared" si="206"/>
        <v>120</v>
      </c>
      <c r="AS350" s="20">
        <f t="shared" si="209"/>
        <v>120</v>
      </c>
      <c r="AT350" s="20">
        <f t="shared" si="202"/>
        <v>55</v>
      </c>
      <c r="AU350" s="20"/>
      <c r="AV350" s="20"/>
      <c r="AW350" s="20">
        <f t="shared" si="184"/>
        <v>5276.7500000000009</v>
      </c>
      <c r="AX350" s="86">
        <f t="shared" si="196"/>
        <v>5428.4449999999988</v>
      </c>
      <c r="AY350" s="17">
        <f>'[1]D4 Gallon Forecast'!$AE150/1000000</f>
        <v>0</v>
      </c>
      <c r="AZ350" s="17">
        <f>'[1]D4 Gallon Forecast'!$AE182/1000000</f>
        <v>391.15696164288534</v>
      </c>
      <c r="BA350" s="17">
        <f t="shared" si="199"/>
        <v>391.15696164288534</v>
      </c>
      <c r="BB350" s="17">
        <f>'[1]D4 Gallon Forecast'!$AE166/1000000</f>
        <v>0</v>
      </c>
      <c r="BC350" s="87">
        <f>'[1]D4 Gallon Forecast'!$AE342/1000000</f>
        <v>499.37552798162818</v>
      </c>
      <c r="BD350" s="88">
        <f>'[1]D4 Gallon Forecast'!$AE358/1000000</f>
        <v>0</v>
      </c>
      <c r="BE350" s="88">
        <f t="shared" si="200"/>
        <v>499.37552798162818</v>
      </c>
      <c r="BF350" s="76">
        <f t="shared" si="223"/>
        <v>890.53248962451357</v>
      </c>
      <c r="BG350" s="22">
        <f t="shared" si="224"/>
        <v>1.9315479652029355</v>
      </c>
      <c r="BI350" s="21">
        <f t="shared" si="185"/>
        <v>4702.9000000000005</v>
      </c>
      <c r="BJ350" s="21">
        <f t="shared" si="216"/>
        <v>725.54499999999825</v>
      </c>
      <c r="BK350" s="21">
        <f>'RD Feedstock Breakdown'!ES341</f>
        <v>13690.387030850205</v>
      </c>
      <c r="BL350" s="89">
        <f t="shared" si="222"/>
        <v>15.373259471558027</v>
      </c>
      <c r="BM350" s="89">
        <f t="shared" si="220"/>
        <v>34.999727406997096</v>
      </c>
    </row>
    <row r="351" spans="1:65" ht="13.5" x14ac:dyDescent="0.25">
      <c r="A351" s="15">
        <v>50830</v>
      </c>
      <c r="B351" s="20">
        <f t="shared" si="221"/>
        <v>690</v>
      </c>
      <c r="C351" s="74">
        <v>47</v>
      </c>
      <c r="D351" s="20">
        <f t="shared" si="213"/>
        <v>3</v>
      </c>
      <c r="E351" s="20">
        <f t="shared" si="226"/>
        <v>85</v>
      </c>
      <c r="F351" s="20">
        <f t="shared" si="198"/>
        <v>340</v>
      </c>
      <c r="G351" s="20">
        <f t="shared" si="212"/>
        <v>37.5</v>
      </c>
      <c r="H351" s="20">
        <f t="shared" si="191"/>
        <v>190</v>
      </c>
      <c r="I351" s="20">
        <f t="shared" si="225"/>
        <v>250</v>
      </c>
      <c r="J351" s="20">
        <f t="shared" si="217"/>
        <v>153.30000000000001</v>
      </c>
      <c r="K351" s="20">
        <f t="shared" si="228"/>
        <v>125</v>
      </c>
      <c r="L351" s="20">
        <v>125</v>
      </c>
      <c r="M351" s="20">
        <v>730</v>
      </c>
      <c r="N351" s="20">
        <f t="shared" si="208"/>
        <v>180</v>
      </c>
      <c r="O351" s="74">
        <v>375</v>
      </c>
      <c r="P351" s="20">
        <f t="shared" si="186"/>
        <v>50</v>
      </c>
      <c r="Q351" s="20">
        <f t="shared" si="187"/>
        <v>21</v>
      </c>
      <c r="R351" s="20">
        <v>100</v>
      </c>
      <c r="S351" s="20">
        <f t="shared" si="192"/>
        <v>60</v>
      </c>
      <c r="T351" s="20">
        <f t="shared" si="181"/>
        <v>36</v>
      </c>
      <c r="U351" s="20"/>
      <c r="V351" s="20">
        <f t="shared" si="204"/>
        <v>0</v>
      </c>
      <c r="W351" s="20">
        <f t="shared" si="188"/>
        <v>20</v>
      </c>
      <c r="X351" s="20">
        <f t="shared" si="219"/>
        <v>0</v>
      </c>
      <c r="Y351" s="20">
        <f t="shared" si="183"/>
        <v>3.5</v>
      </c>
      <c r="Z351" s="20">
        <f t="shared" si="207"/>
        <v>230</v>
      </c>
      <c r="AA351" s="20">
        <f t="shared" si="182"/>
        <v>306</v>
      </c>
      <c r="AB351" s="20">
        <f t="shared" si="194"/>
        <v>60</v>
      </c>
      <c r="AC351" s="20">
        <f t="shared" si="201"/>
        <v>1.6</v>
      </c>
      <c r="AD351" s="20">
        <f t="shared" si="190"/>
        <v>180</v>
      </c>
      <c r="AE351" s="20">
        <f t="shared" si="193"/>
        <v>1.1000000000000001</v>
      </c>
      <c r="AF351" s="20">
        <f t="shared" si="197"/>
        <v>275</v>
      </c>
      <c r="AG351" s="20">
        <f t="shared" si="203"/>
        <v>18</v>
      </c>
      <c r="AH351" s="20">
        <f t="shared" si="195"/>
        <v>3</v>
      </c>
      <c r="AI351" s="20">
        <f t="shared" si="189"/>
        <v>47</v>
      </c>
      <c r="AJ351" s="20">
        <f t="shared" si="210"/>
        <v>90</v>
      </c>
      <c r="AK351" s="20">
        <f t="shared" si="214"/>
        <v>14</v>
      </c>
      <c r="AL351" s="20">
        <f t="shared" si="211"/>
        <v>45</v>
      </c>
      <c r="AM351" s="20">
        <v>46</v>
      </c>
      <c r="AN351" s="20">
        <f t="shared" si="215"/>
        <v>0.75</v>
      </c>
      <c r="AO351" s="20">
        <f t="shared" si="227"/>
        <v>19</v>
      </c>
      <c r="AP351" s="20">
        <f t="shared" si="227"/>
        <v>19</v>
      </c>
      <c r="AQ351" s="20">
        <f t="shared" si="218"/>
        <v>5</v>
      </c>
      <c r="AR351" s="20">
        <f t="shared" si="206"/>
        <v>120</v>
      </c>
      <c r="AS351" s="20">
        <f t="shared" si="209"/>
        <v>120</v>
      </c>
      <c r="AT351" s="20">
        <f t="shared" si="202"/>
        <v>55</v>
      </c>
      <c r="AU351" s="20"/>
      <c r="AV351" s="20"/>
      <c r="AW351" s="20">
        <f t="shared" si="184"/>
        <v>5276.7500000000009</v>
      </c>
      <c r="AX351" s="86">
        <f t="shared" si="196"/>
        <v>5428.4449999999988</v>
      </c>
      <c r="AY351" s="17">
        <f>'[1]D4 Gallon Forecast'!$AE151/1000000</f>
        <v>0</v>
      </c>
      <c r="AZ351" s="17">
        <f>'[1]D4 Gallon Forecast'!$AE183/1000000</f>
        <v>411.98950737602627</v>
      </c>
      <c r="BA351" s="17">
        <f t="shared" si="199"/>
        <v>411.98950737602627</v>
      </c>
      <c r="BB351" s="17">
        <f>'[1]D4 Gallon Forecast'!$AE167/1000000</f>
        <v>0</v>
      </c>
      <c r="BC351" s="87">
        <f>'[1]D4 Gallon Forecast'!$AE343/1000000</f>
        <v>199.30347544531051</v>
      </c>
      <c r="BD351" s="88">
        <f>'[1]D4 Gallon Forecast'!$AE359/1000000</f>
        <v>0</v>
      </c>
      <c r="BE351" s="88">
        <f t="shared" si="200"/>
        <v>199.30347544531051</v>
      </c>
      <c r="BF351" s="76">
        <f t="shared" si="223"/>
        <v>611.29298282133675</v>
      </c>
      <c r="BG351" s="22">
        <f t="shared" si="224"/>
        <v>1.4679416792324502</v>
      </c>
      <c r="BI351" s="21">
        <f t="shared" si="185"/>
        <v>4702.9000000000005</v>
      </c>
      <c r="BJ351" s="21">
        <f t="shared" si="216"/>
        <v>725.54499999999825</v>
      </c>
      <c r="BK351" s="21">
        <f>'RD Feedstock Breakdown'!ES342</f>
        <v>7141.9806973182658</v>
      </c>
      <c r="BL351" s="89">
        <f t="shared" si="222"/>
        <v>11.68340042831092</v>
      </c>
      <c r="BM351" s="89">
        <f t="shared" si="220"/>
        <v>17.335346093656021</v>
      </c>
    </row>
    <row r="352" spans="1:65" ht="13.5" x14ac:dyDescent="0.25">
      <c r="A352" s="15">
        <v>50861</v>
      </c>
      <c r="B352" s="20">
        <f t="shared" si="221"/>
        <v>690</v>
      </c>
      <c r="C352" s="74">
        <v>47</v>
      </c>
      <c r="D352" s="20">
        <f t="shared" si="213"/>
        <v>3</v>
      </c>
      <c r="E352" s="20">
        <f t="shared" si="226"/>
        <v>85</v>
      </c>
      <c r="F352" s="20">
        <f t="shared" si="198"/>
        <v>340</v>
      </c>
      <c r="G352" s="20">
        <f t="shared" si="212"/>
        <v>37.5</v>
      </c>
      <c r="H352" s="20">
        <f t="shared" si="191"/>
        <v>190</v>
      </c>
      <c r="I352" s="20">
        <f t="shared" si="225"/>
        <v>250</v>
      </c>
      <c r="J352" s="20">
        <f t="shared" si="217"/>
        <v>153.30000000000001</v>
      </c>
      <c r="K352" s="20">
        <f t="shared" si="228"/>
        <v>125</v>
      </c>
      <c r="L352" s="20">
        <v>125</v>
      </c>
      <c r="M352" s="20">
        <v>730</v>
      </c>
      <c r="N352" s="20">
        <f t="shared" si="208"/>
        <v>180</v>
      </c>
      <c r="O352" s="74">
        <v>375</v>
      </c>
      <c r="P352" s="20">
        <f t="shared" si="186"/>
        <v>50</v>
      </c>
      <c r="Q352" s="20">
        <f t="shared" si="187"/>
        <v>21</v>
      </c>
      <c r="R352" s="20">
        <v>100</v>
      </c>
      <c r="S352" s="20">
        <f t="shared" si="192"/>
        <v>60</v>
      </c>
      <c r="T352" s="20">
        <f t="shared" si="181"/>
        <v>36</v>
      </c>
      <c r="U352" s="20"/>
      <c r="V352" s="20">
        <f t="shared" si="204"/>
        <v>0</v>
      </c>
      <c r="W352" s="20">
        <f t="shared" si="188"/>
        <v>20</v>
      </c>
      <c r="X352" s="20">
        <f t="shared" si="219"/>
        <v>0</v>
      </c>
      <c r="Y352" s="20">
        <f t="shared" si="183"/>
        <v>3.5</v>
      </c>
      <c r="Z352" s="20">
        <f t="shared" si="207"/>
        <v>230</v>
      </c>
      <c r="AA352" s="20">
        <f t="shared" si="182"/>
        <v>306</v>
      </c>
      <c r="AB352" s="20">
        <f t="shared" si="194"/>
        <v>60</v>
      </c>
      <c r="AC352" s="20">
        <f t="shared" si="201"/>
        <v>1.6</v>
      </c>
      <c r="AD352" s="20">
        <f t="shared" si="190"/>
        <v>180</v>
      </c>
      <c r="AE352" s="20">
        <f t="shared" si="193"/>
        <v>1.1000000000000001</v>
      </c>
      <c r="AF352" s="20">
        <f t="shared" si="197"/>
        <v>275</v>
      </c>
      <c r="AG352" s="20">
        <f t="shared" si="203"/>
        <v>18</v>
      </c>
      <c r="AH352" s="20">
        <f t="shared" si="195"/>
        <v>3</v>
      </c>
      <c r="AI352" s="20">
        <f t="shared" si="189"/>
        <v>47</v>
      </c>
      <c r="AJ352" s="20">
        <f t="shared" si="210"/>
        <v>90</v>
      </c>
      <c r="AK352" s="20">
        <f t="shared" si="214"/>
        <v>14</v>
      </c>
      <c r="AL352" s="20">
        <f t="shared" si="211"/>
        <v>45</v>
      </c>
      <c r="AM352" s="20">
        <v>46</v>
      </c>
      <c r="AN352" s="20">
        <f t="shared" si="215"/>
        <v>0.75</v>
      </c>
      <c r="AO352" s="20">
        <f t="shared" si="227"/>
        <v>19</v>
      </c>
      <c r="AP352" s="20">
        <f t="shared" si="227"/>
        <v>19</v>
      </c>
      <c r="AQ352" s="20">
        <f t="shared" si="218"/>
        <v>5</v>
      </c>
      <c r="AR352" s="20">
        <f t="shared" si="206"/>
        <v>120</v>
      </c>
      <c r="AS352" s="20">
        <f t="shared" si="209"/>
        <v>120</v>
      </c>
      <c r="AT352" s="20">
        <f t="shared" si="202"/>
        <v>55</v>
      </c>
      <c r="AU352" s="20"/>
      <c r="AV352" s="20"/>
      <c r="AW352" s="20">
        <f t="shared" si="184"/>
        <v>5276.7500000000009</v>
      </c>
      <c r="AX352" s="86">
        <f t="shared" si="196"/>
        <v>5428.4449999999988</v>
      </c>
      <c r="AY352" s="17">
        <f>'[1]D4 Gallon Forecast'!$AE152/1000000</f>
        <v>0</v>
      </c>
      <c r="AZ352" s="17">
        <f>'[1]D4 Gallon Forecast'!$AE184/1000000</f>
        <v>400.02151819263793</v>
      </c>
      <c r="BA352" s="17">
        <f t="shared" si="199"/>
        <v>400.02151819263793</v>
      </c>
      <c r="BB352" s="17">
        <f>'[1]D4 Gallon Forecast'!$AE168/1000000</f>
        <v>0</v>
      </c>
      <c r="BC352" s="87">
        <f>'[1]D4 Gallon Forecast'!$AE344/1000000</f>
        <v>319.9199012564485</v>
      </c>
      <c r="BD352" s="88">
        <f>'[1]D4 Gallon Forecast'!$AE360/1000000</f>
        <v>0</v>
      </c>
      <c r="BE352" s="88">
        <f t="shared" si="200"/>
        <v>319.9199012564485</v>
      </c>
      <c r="BF352" s="76">
        <f t="shared" si="223"/>
        <v>719.94141944908642</v>
      </c>
      <c r="BG352" s="22">
        <f t="shared" si="224"/>
        <v>1.5615391914432373</v>
      </c>
      <c r="BI352" s="21">
        <f t="shared" si="185"/>
        <v>4702.9000000000005</v>
      </c>
      <c r="BJ352" s="21">
        <f t="shared" si="216"/>
        <v>725.54499999999825</v>
      </c>
      <c r="BK352" s="21">
        <f>'RD Feedstock Breakdown'!ES343</f>
        <v>8947.6813356897455</v>
      </c>
      <c r="BL352" s="89">
        <f t="shared" si="222"/>
        <v>12.428346382038542</v>
      </c>
      <c r="BM352" s="89">
        <f t="shared" si="220"/>
        <v>22.368000041889797</v>
      </c>
    </row>
    <row r="353" spans="1:65" ht="13.5" x14ac:dyDescent="0.25">
      <c r="A353" s="15">
        <v>50891</v>
      </c>
      <c r="B353" s="20">
        <f t="shared" si="221"/>
        <v>690</v>
      </c>
      <c r="C353" s="74">
        <v>47</v>
      </c>
      <c r="D353" s="20">
        <f t="shared" si="213"/>
        <v>3</v>
      </c>
      <c r="E353" s="20">
        <f t="shared" si="226"/>
        <v>85</v>
      </c>
      <c r="F353" s="20">
        <f t="shared" si="198"/>
        <v>340</v>
      </c>
      <c r="G353" s="20">
        <f t="shared" si="212"/>
        <v>37.5</v>
      </c>
      <c r="H353" s="20">
        <f t="shared" si="191"/>
        <v>190</v>
      </c>
      <c r="I353" s="20">
        <f t="shared" si="225"/>
        <v>250</v>
      </c>
      <c r="J353" s="20">
        <f t="shared" si="217"/>
        <v>153.30000000000001</v>
      </c>
      <c r="K353" s="20">
        <f t="shared" si="228"/>
        <v>125</v>
      </c>
      <c r="L353" s="20">
        <v>125</v>
      </c>
      <c r="M353" s="20">
        <v>730</v>
      </c>
      <c r="N353" s="20">
        <f t="shared" si="208"/>
        <v>180</v>
      </c>
      <c r="O353" s="74">
        <v>375</v>
      </c>
      <c r="P353" s="20">
        <f t="shared" si="186"/>
        <v>50</v>
      </c>
      <c r="Q353" s="20">
        <f t="shared" si="187"/>
        <v>21</v>
      </c>
      <c r="R353" s="20">
        <v>100</v>
      </c>
      <c r="S353" s="20">
        <f t="shared" si="192"/>
        <v>60</v>
      </c>
      <c r="T353" s="20">
        <f t="shared" si="181"/>
        <v>36</v>
      </c>
      <c r="U353" s="20"/>
      <c r="V353" s="20">
        <f t="shared" si="204"/>
        <v>0</v>
      </c>
      <c r="W353" s="20">
        <f t="shared" si="188"/>
        <v>20</v>
      </c>
      <c r="X353" s="20">
        <f t="shared" si="219"/>
        <v>0</v>
      </c>
      <c r="Y353" s="20">
        <f t="shared" si="183"/>
        <v>3.5</v>
      </c>
      <c r="Z353" s="20">
        <f t="shared" si="207"/>
        <v>230</v>
      </c>
      <c r="AA353" s="20">
        <f t="shared" si="182"/>
        <v>306</v>
      </c>
      <c r="AB353" s="20">
        <f t="shared" si="194"/>
        <v>60</v>
      </c>
      <c r="AC353" s="20">
        <f t="shared" si="201"/>
        <v>1.6</v>
      </c>
      <c r="AD353" s="20">
        <f t="shared" si="190"/>
        <v>180</v>
      </c>
      <c r="AE353" s="20">
        <f t="shared" si="193"/>
        <v>1.1000000000000001</v>
      </c>
      <c r="AF353" s="20">
        <f t="shared" si="197"/>
        <v>275</v>
      </c>
      <c r="AG353" s="20">
        <f t="shared" si="203"/>
        <v>18</v>
      </c>
      <c r="AH353" s="20">
        <f t="shared" si="195"/>
        <v>3</v>
      </c>
      <c r="AI353" s="20">
        <f t="shared" si="189"/>
        <v>47</v>
      </c>
      <c r="AJ353" s="20">
        <f t="shared" si="210"/>
        <v>90</v>
      </c>
      <c r="AK353" s="20">
        <f t="shared" si="214"/>
        <v>14</v>
      </c>
      <c r="AL353" s="20">
        <f t="shared" si="211"/>
        <v>45</v>
      </c>
      <c r="AM353" s="20">
        <v>46</v>
      </c>
      <c r="AN353" s="20">
        <f t="shared" si="215"/>
        <v>0.75</v>
      </c>
      <c r="AO353" s="20">
        <f t="shared" si="227"/>
        <v>19</v>
      </c>
      <c r="AP353" s="20">
        <f t="shared" si="227"/>
        <v>19</v>
      </c>
      <c r="AQ353" s="20">
        <f t="shared" si="218"/>
        <v>5</v>
      </c>
      <c r="AR353" s="20">
        <f t="shared" si="206"/>
        <v>120</v>
      </c>
      <c r="AS353" s="20">
        <f t="shared" si="209"/>
        <v>120</v>
      </c>
      <c r="AT353" s="20">
        <f t="shared" si="202"/>
        <v>55</v>
      </c>
      <c r="AU353" s="20"/>
      <c r="AV353" s="20"/>
      <c r="AW353" s="20">
        <f t="shared" si="184"/>
        <v>5276.7500000000009</v>
      </c>
      <c r="AX353" s="86">
        <f t="shared" si="196"/>
        <v>5428.4449999999988</v>
      </c>
      <c r="AY353" s="17">
        <f>'[1]D4 Gallon Forecast'!$AE153/1000000</f>
        <v>0</v>
      </c>
      <c r="AZ353" s="17">
        <f>'[1]D4 Gallon Forecast'!$AE185/1000000</f>
        <v>446.86197882787144</v>
      </c>
      <c r="BA353" s="17">
        <f t="shared" si="199"/>
        <v>446.86197882787144</v>
      </c>
      <c r="BB353" s="17">
        <f>'[1]D4 Gallon Forecast'!$AE169/1000000</f>
        <v>0</v>
      </c>
      <c r="BC353" s="87">
        <f>'[1]D4 Gallon Forecast'!$AE345/1000000</f>
        <v>421.1159273751407</v>
      </c>
      <c r="BD353" s="88">
        <f>'[1]D4 Gallon Forecast'!$AE361/1000000</f>
        <v>0</v>
      </c>
      <c r="BE353" s="88">
        <f t="shared" si="200"/>
        <v>421.1159273751407</v>
      </c>
      <c r="BF353" s="76">
        <f t="shared" si="223"/>
        <v>867.97790620301214</v>
      </c>
      <c r="BG353" s="22">
        <f t="shared" si="224"/>
        <v>1.9453817545914747</v>
      </c>
      <c r="BI353" s="21">
        <f t="shared" si="185"/>
        <v>4702.9000000000005</v>
      </c>
      <c r="BJ353" s="21">
        <f t="shared" si="216"/>
        <v>725.54499999999825</v>
      </c>
      <c r="BK353" s="21">
        <f>'RD Feedstock Breakdown'!ES344</f>
        <v>13439.21708194245</v>
      </c>
      <c r="BL353" s="89">
        <f t="shared" si="222"/>
        <v>15.483363097031573</v>
      </c>
      <c r="BM353" s="89">
        <f t="shared" si="220"/>
        <v>30.07464881481706</v>
      </c>
    </row>
    <row r="354" spans="1:65" ht="13.5" x14ac:dyDescent="0.25">
      <c r="A354" s="15">
        <v>50922</v>
      </c>
      <c r="B354" s="20">
        <f t="shared" si="221"/>
        <v>690</v>
      </c>
      <c r="C354" s="74">
        <v>47</v>
      </c>
      <c r="D354" s="20">
        <f t="shared" si="213"/>
        <v>3</v>
      </c>
      <c r="E354" s="20">
        <f t="shared" si="226"/>
        <v>85</v>
      </c>
      <c r="F354" s="20">
        <f t="shared" si="198"/>
        <v>340</v>
      </c>
      <c r="G354" s="20">
        <f t="shared" si="212"/>
        <v>37.5</v>
      </c>
      <c r="H354" s="20">
        <f t="shared" si="191"/>
        <v>190</v>
      </c>
      <c r="I354" s="20">
        <f t="shared" si="225"/>
        <v>250</v>
      </c>
      <c r="J354" s="20">
        <f t="shared" si="217"/>
        <v>153.30000000000001</v>
      </c>
      <c r="K354" s="20">
        <f t="shared" si="228"/>
        <v>125</v>
      </c>
      <c r="L354" s="20">
        <v>125</v>
      </c>
      <c r="M354" s="20">
        <v>730</v>
      </c>
      <c r="N354" s="20">
        <f t="shared" si="208"/>
        <v>180</v>
      </c>
      <c r="O354" s="74">
        <v>375</v>
      </c>
      <c r="P354" s="20">
        <f t="shared" si="186"/>
        <v>50</v>
      </c>
      <c r="Q354" s="20">
        <f t="shared" si="187"/>
        <v>21</v>
      </c>
      <c r="R354" s="20">
        <v>100</v>
      </c>
      <c r="S354" s="20">
        <f t="shared" si="192"/>
        <v>60</v>
      </c>
      <c r="T354" s="20">
        <f t="shared" ref="T354:T417" si="229">36*$T$12</f>
        <v>36</v>
      </c>
      <c r="U354" s="20"/>
      <c r="V354" s="20">
        <f t="shared" si="204"/>
        <v>0</v>
      </c>
      <c r="W354" s="20">
        <f t="shared" si="188"/>
        <v>20</v>
      </c>
      <c r="X354" s="20">
        <f t="shared" si="219"/>
        <v>0</v>
      </c>
      <c r="Y354" s="20">
        <f t="shared" si="183"/>
        <v>3.5</v>
      </c>
      <c r="Z354" s="20">
        <f t="shared" si="207"/>
        <v>230</v>
      </c>
      <c r="AA354" s="20">
        <f t="shared" ref="AA354:AA417" si="230">$AA$12*$AA$5</f>
        <v>306</v>
      </c>
      <c r="AB354" s="20">
        <f t="shared" si="194"/>
        <v>60</v>
      </c>
      <c r="AC354" s="20">
        <f t="shared" si="201"/>
        <v>1.6</v>
      </c>
      <c r="AD354" s="20">
        <f t="shared" si="190"/>
        <v>180</v>
      </c>
      <c r="AE354" s="20">
        <f t="shared" si="193"/>
        <v>1.1000000000000001</v>
      </c>
      <c r="AF354" s="20">
        <f t="shared" si="197"/>
        <v>275</v>
      </c>
      <c r="AG354" s="20">
        <f t="shared" si="203"/>
        <v>18</v>
      </c>
      <c r="AH354" s="20">
        <f t="shared" si="195"/>
        <v>3</v>
      </c>
      <c r="AI354" s="20">
        <f t="shared" si="189"/>
        <v>47</v>
      </c>
      <c r="AJ354" s="20">
        <f t="shared" si="210"/>
        <v>90</v>
      </c>
      <c r="AK354" s="20">
        <f t="shared" si="214"/>
        <v>14</v>
      </c>
      <c r="AL354" s="20">
        <f t="shared" si="211"/>
        <v>45</v>
      </c>
      <c r="AM354" s="20">
        <v>46</v>
      </c>
      <c r="AN354" s="20">
        <f t="shared" si="215"/>
        <v>0.75</v>
      </c>
      <c r="AO354" s="20">
        <f t="shared" si="227"/>
        <v>19</v>
      </c>
      <c r="AP354" s="20">
        <f t="shared" si="227"/>
        <v>19</v>
      </c>
      <c r="AQ354" s="20">
        <f t="shared" si="218"/>
        <v>5</v>
      </c>
      <c r="AR354" s="20">
        <f t="shared" si="206"/>
        <v>120</v>
      </c>
      <c r="AS354" s="20">
        <f t="shared" si="209"/>
        <v>120</v>
      </c>
      <c r="AT354" s="20">
        <f t="shared" si="202"/>
        <v>55</v>
      </c>
      <c r="AU354" s="20"/>
      <c r="AV354" s="20"/>
      <c r="AW354" s="20">
        <f t="shared" si="184"/>
        <v>5276.7500000000009</v>
      </c>
      <c r="AX354" s="86">
        <f t="shared" si="196"/>
        <v>5428.4449999999988</v>
      </c>
      <c r="AY354" s="17">
        <f>'[1]D4 Gallon Forecast'!$AE154/1000000</f>
        <v>0</v>
      </c>
      <c r="AZ354" s="17">
        <f>'[1]D4 Gallon Forecast'!$AE186/1000000</f>
        <v>443.2170982095584</v>
      </c>
      <c r="BA354" s="17">
        <f t="shared" si="199"/>
        <v>443.2170982095584</v>
      </c>
      <c r="BB354" s="17">
        <f>'[1]D4 Gallon Forecast'!$AE170/1000000</f>
        <v>0</v>
      </c>
      <c r="BC354" s="87">
        <f>'[1]D4 Gallon Forecast'!$AE346/1000000</f>
        <v>401.72057379123839</v>
      </c>
      <c r="BD354" s="88">
        <f>'[1]D4 Gallon Forecast'!$AE362/1000000</f>
        <v>0</v>
      </c>
      <c r="BE354" s="88">
        <f t="shared" si="200"/>
        <v>401.72057379123839</v>
      </c>
      <c r="BF354" s="76">
        <f t="shared" si="223"/>
        <v>844.93767200079674</v>
      </c>
      <c r="BG354" s="22">
        <f t="shared" si="224"/>
        <v>1.8326536764139632</v>
      </c>
      <c r="BI354" s="21">
        <f t="shared" si="185"/>
        <v>4702.9000000000005</v>
      </c>
      <c r="BJ354" s="21">
        <f t="shared" si="216"/>
        <v>725.54499999999825</v>
      </c>
      <c r="BK354" s="21">
        <f>'RD Feedstock Breakdown'!ES345</f>
        <v>12324.392933397259</v>
      </c>
      <c r="BL354" s="89">
        <f t="shared" si="222"/>
        <v>14.586156283236047</v>
      </c>
      <c r="BM354" s="89">
        <f t="shared" si="220"/>
        <v>27.806673034915583</v>
      </c>
    </row>
    <row r="355" spans="1:65" ht="13.5" x14ac:dyDescent="0.25">
      <c r="A355" s="15">
        <v>50952</v>
      </c>
      <c r="B355" s="20">
        <f t="shared" si="221"/>
        <v>690</v>
      </c>
      <c r="C355" s="74">
        <v>47</v>
      </c>
      <c r="D355" s="20">
        <f t="shared" si="213"/>
        <v>3</v>
      </c>
      <c r="E355" s="20">
        <f t="shared" si="226"/>
        <v>85</v>
      </c>
      <c r="F355" s="20">
        <f t="shared" si="198"/>
        <v>340</v>
      </c>
      <c r="G355" s="20">
        <f t="shared" si="212"/>
        <v>37.5</v>
      </c>
      <c r="H355" s="20">
        <f t="shared" si="191"/>
        <v>190</v>
      </c>
      <c r="I355" s="20">
        <f t="shared" si="225"/>
        <v>250</v>
      </c>
      <c r="J355" s="20">
        <f t="shared" si="217"/>
        <v>153.30000000000001</v>
      </c>
      <c r="K355" s="20">
        <f t="shared" si="228"/>
        <v>125</v>
      </c>
      <c r="L355" s="20">
        <v>125</v>
      </c>
      <c r="M355" s="20">
        <v>730</v>
      </c>
      <c r="N355" s="20">
        <f t="shared" si="208"/>
        <v>180</v>
      </c>
      <c r="O355" s="74">
        <v>375</v>
      </c>
      <c r="P355" s="20">
        <f t="shared" si="186"/>
        <v>50</v>
      </c>
      <c r="Q355" s="20">
        <f t="shared" si="187"/>
        <v>21</v>
      </c>
      <c r="R355" s="20">
        <v>100</v>
      </c>
      <c r="S355" s="20">
        <f t="shared" si="192"/>
        <v>60</v>
      </c>
      <c r="T355" s="20">
        <f t="shared" si="229"/>
        <v>36</v>
      </c>
      <c r="U355" s="20"/>
      <c r="V355" s="20">
        <f t="shared" si="204"/>
        <v>0</v>
      </c>
      <c r="W355" s="20">
        <f t="shared" si="188"/>
        <v>20</v>
      </c>
      <c r="X355" s="20">
        <f t="shared" si="219"/>
        <v>0</v>
      </c>
      <c r="Y355" s="20">
        <f t="shared" ref="Y355:Y418" si="231">$Y$5*$Y$12</f>
        <v>3.5</v>
      </c>
      <c r="Z355" s="20">
        <f t="shared" si="207"/>
        <v>230</v>
      </c>
      <c r="AA355" s="20">
        <f t="shared" si="230"/>
        <v>306</v>
      </c>
      <c r="AB355" s="20">
        <f t="shared" si="194"/>
        <v>60</v>
      </c>
      <c r="AC355" s="20">
        <f t="shared" si="201"/>
        <v>1.6</v>
      </c>
      <c r="AD355" s="20">
        <f t="shared" si="190"/>
        <v>180</v>
      </c>
      <c r="AE355" s="20">
        <f t="shared" si="193"/>
        <v>1.1000000000000001</v>
      </c>
      <c r="AF355" s="20">
        <f t="shared" si="197"/>
        <v>275</v>
      </c>
      <c r="AG355" s="20">
        <f t="shared" si="203"/>
        <v>18</v>
      </c>
      <c r="AH355" s="20">
        <f t="shared" si="195"/>
        <v>3</v>
      </c>
      <c r="AI355" s="20">
        <f t="shared" si="189"/>
        <v>47</v>
      </c>
      <c r="AJ355" s="20">
        <f t="shared" si="210"/>
        <v>90</v>
      </c>
      <c r="AK355" s="20">
        <f t="shared" si="214"/>
        <v>14</v>
      </c>
      <c r="AL355" s="20">
        <f t="shared" si="211"/>
        <v>45</v>
      </c>
      <c r="AM355" s="20">
        <v>46</v>
      </c>
      <c r="AN355" s="20">
        <f t="shared" si="215"/>
        <v>0.75</v>
      </c>
      <c r="AO355" s="20">
        <f t="shared" si="227"/>
        <v>19</v>
      </c>
      <c r="AP355" s="20">
        <f t="shared" si="227"/>
        <v>19</v>
      </c>
      <c r="AQ355" s="20">
        <f t="shared" si="218"/>
        <v>5</v>
      </c>
      <c r="AR355" s="20">
        <f t="shared" si="206"/>
        <v>120</v>
      </c>
      <c r="AS355" s="20">
        <f t="shared" si="209"/>
        <v>120</v>
      </c>
      <c r="AT355" s="20">
        <f t="shared" si="202"/>
        <v>55</v>
      </c>
      <c r="AU355" s="20"/>
      <c r="AV355" s="20"/>
      <c r="AW355" s="20">
        <f t="shared" ref="AW355:AW418" si="232">SUM(B355:AT355)</f>
        <v>5276.7500000000009</v>
      </c>
      <c r="AX355" s="86">
        <f t="shared" si="196"/>
        <v>5428.4449999999988</v>
      </c>
      <c r="AY355" s="17">
        <f>'[1]D4 Gallon Forecast'!$AE155/1000000</f>
        <v>0</v>
      </c>
      <c r="AZ355" s="17">
        <f>'[1]D4 Gallon Forecast'!$AE187/1000000</f>
        <v>434.10755074835151</v>
      </c>
      <c r="BA355" s="17">
        <f t="shared" si="199"/>
        <v>434.10755074835151</v>
      </c>
      <c r="BB355" s="17">
        <f>'[1]D4 Gallon Forecast'!$AE171/1000000</f>
        <v>0</v>
      </c>
      <c r="BC355" s="87">
        <f>'[1]D4 Gallon Forecast'!$AE347/1000000</f>
        <v>436.97885705731892</v>
      </c>
      <c r="BD355" s="88">
        <f>'[1]D4 Gallon Forecast'!$AE363/1000000</f>
        <v>0</v>
      </c>
      <c r="BE355" s="88">
        <f t="shared" si="200"/>
        <v>436.97885705731892</v>
      </c>
      <c r="BF355" s="76">
        <f t="shared" si="223"/>
        <v>871.08640780567043</v>
      </c>
      <c r="BG355" s="22">
        <f t="shared" si="224"/>
        <v>1.9523487778978437</v>
      </c>
      <c r="BI355" s="21">
        <f t="shared" ref="BI355:BI418" si="233">SUMIF($B$7:$AN$7,"Yes",B355:AN355)</f>
        <v>4702.9000000000005</v>
      </c>
      <c r="BJ355" s="21">
        <f t="shared" si="216"/>
        <v>725.54499999999825</v>
      </c>
      <c r="BK355" s="21">
        <f>'RD Feedstock Breakdown'!ES346</f>
        <v>13535.649568809633</v>
      </c>
      <c r="BL355" s="89">
        <f t="shared" si="222"/>
        <v>15.538813885188395</v>
      </c>
      <c r="BM355" s="89">
        <f t="shared" si="220"/>
        <v>31.180405743866306</v>
      </c>
    </row>
    <row r="356" spans="1:65" ht="13.5" x14ac:dyDescent="0.25">
      <c r="A356" s="15">
        <v>50983</v>
      </c>
      <c r="B356" s="20">
        <f t="shared" si="221"/>
        <v>690</v>
      </c>
      <c r="C356" s="74">
        <v>47</v>
      </c>
      <c r="D356" s="20">
        <f t="shared" si="213"/>
        <v>3</v>
      </c>
      <c r="E356" s="20">
        <f t="shared" si="226"/>
        <v>85</v>
      </c>
      <c r="F356" s="20">
        <f t="shared" si="198"/>
        <v>340</v>
      </c>
      <c r="G356" s="20">
        <f t="shared" si="212"/>
        <v>37.5</v>
      </c>
      <c r="H356" s="20">
        <f t="shared" si="191"/>
        <v>190</v>
      </c>
      <c r="I356" s="20">
        <f t="shared" si="225"/>
        <v>250</v>
      </c>
      <c r="J356" s="20">
        <f t="shared" si="217"/>
        <v>153.30000000000001</v>
      </c>
      <c r="K356" s="20">
        <f t="shared" si="228"/>
        <v>125</v>
      </c>
      <c r="L356" s="20">
        <v>125</v>
      </c>
      <c r="M356" s="20">
        <v>730</v>
      </c>
      <c r="N356" s="20">
        <f t="shared" si="208"/>
        <v>180</v>
      </c>
      <c r="O356" s="74">
        <v>375</v>
      </c>
      <c r="P356" s="20">
        <f t="shared" si="186"/>
        <v>50</v>
      </c>
      <c r="Q356" s="20">
        <f t="shared" si="187"/>
        <v>21</v>
      </c>
      <c r="R356" s="20">
        <v>100</v>
      </c>
      <c r="S356" s="20">
        <f t="shared" si="192"/>
        <v>60</v>
      </c>
      <c r="T356" s="20">
        <f t="shared" si="229"/>
        <v>36</v>
      </c>
      <c r="U356" s="20"/>
      <c r="V356" s="20">
        <f t="shared" si="204"/>
        <v>0</v>
      </c>
      <c r="W356" s="20">
        <f t="shared" si="188"/>
        <v>20</v>
      </c>
      <c r="X356" s="20">
        <f t="shared" si="219"/>
        <v>0</v>
      </c>
      <c r="Y356" s="20">
        <f t="shared" si="231"/>
        <v>3.5</v>
      </c>
      <c r="Z356" s="20">
        <f t="shared" si="207"/>
        <v>230</v>
      </c>
      <c r="AA356" s="20">
        <f t="shared" si="230"/>
        <v>306</v>
      </c>
      <c r="AB356" s="20">
        <f t="shared" si="194"/>
        <v>60</v>
      </c>
      <c r="AC356" s="20">
        <f t="shared" si="201"/>
        <v>1.6</v>
      </c>
      <c r="AD356" s="20">
        <f t="shared" si="190"/>
        <v>180</v>
      </c>
      <c r="AE356" s="20">
        <f t="shared" si="193"/>
        <v>1.1000000000000001</v>
      </c>
      <c r="AF356" s="20">
        <f t="shared" si="197"/>
        <v>275</v>
      </c>
      <c r="AG356" s="20">
        <f t="shared" si="203"/>
        <v>18</v>
      </c>
      <c r="AH356" s="20">
        <f t="shared" si="195"/>
        <v>3</v>
      </c>
      <c r="AI356" s="20">
        <f t="shared" si="189"/>
        <v>47</v>
      </c>
      <c r="AJ356" s="20">
        <f t="shared" si="210"/>
        <v>90</v>
      </c>
      <c r="AK356" s="20">
        <f t="shared" si="214"/>
        <v>14</v>
      </c>
      <c r="AL356" s="20">
        <f t="shared" si="211"/>
        <v>45</v>
      </c>
      <c r="AM356" s="20">
        <v>46</v>
      </c>
      <c r="AN356" s="20">
        <f t="shared" si="215"/>
        <v>0.75</v>
      </c>
      <c r="AO356" s="20">
        <f t="shared" si="227"/>
        <v>19</v>
      </c>
      <c r="AP356" s="20">
        <f t="shared" si="227"/>
        <v>19</v>
      </c>
      <c r="AQ356" s="20">
        <f t="shared" si="218"/>
        <v>5</v>
      </c>
      <c r="AR356" s="20">
        <f t="shared" si="206"/>
        <v>120</v>
      </c>
      <c r="AS356" s="20">
        <f t="shared" si="209"/>
        <v>120</v>
      </c>
      <c r="AT356" s="20">
        <f t="shared" si="202"/>
        <v>55</v>
      </c>
      <c r="AU356" s="20"/>
      <c r="AV356" s="20"/>
      <c r="AW356" s="20">
        <f t="shared" si="232"/>
        <v>5276.7500000000009</v>
      </c>
      <c r="AX356" s="86">
        <f t="shared" si="196"/>
        <v>5428.4449999999988</v>
      </c>
      <c r="AY356" s="17">
        <f>'[1]D4 Gallon Forecast'!$AE156/1000000</f>
        <v>0</v>
      </c>
      <c r="AZ356" s="17">
        <f>'[1]D4 Gallon Forecast'!$AE188/1000000</f>
        <v>440.31986167666696</v>
      </c>
      <c r="BA356" s="17">
        <f t="shared" si="199"/>
        <v>440.31986167666696</v>
      </c>
      <c r="BB356" s="17">
        <f>'[1]D4 Gallon Forecast'!$AE172/1000000</f>
        <v>0</v>
      </c>
      <c r="BC356" s="87">
        <f>'[1]D4 Gallon Forecast'!$AE348/1000000</f>
        <v>475.79349783530421</v>
      </c>
      <c r="BD356" s="88">
        <f>'[1]D4 Gallon Forecast'!$AE364/1000000</f>
        <v>0</v>
      </c>
      <c r="BE356" s="88">
        <f t="shared" si="200"/>
        <v>475.79349783530421</v>
      </c>
      <c r="BF356" s="76">
        <f t="shared" si="223"/>
        <v>916.11335951197111</v>
      </c>
      <c r="BG356" s="22">
        <f t="shared" si="224"/>
        <v>1.9870323835199732</v>
      </c>
      <c r="BI356" s="21">
        <f t="shared" si="233"/>
        <v>4702.9000000000005</v>
      </c>
      <c r="BJ356" s="21">
        <f t="shared" si="216"/>
        <v>725.54499999999825</v>
      </c>
      <c r="BK356" s="21">
        <f>'RD Feedstock Breakdown'!ES347</f>
        <v>14488.206306846843</v>
      </c>
      <c r="BL356" s="89">
        <f t="shared" si="222"/>
        <v>15.81486194521271</v>
      </c>
      <c r="BM356" s="89">
        <f t="shared" si="220"/>
        <v>32.903821898194856</v>
      </c>
    </row>
    <row r="357" spans="1:65" ht="13.5" x14ac:dyDescent="0.25">
      <c r="A357" s="15">
        <v>51014</v>
      </c>
      <c r="B357" s="20">
        <f t="shared" si="221"/>
        <v>690</v>
      </c>
      <c r="C357" s="74">
        <v>47</v>
      </c>
      <c r="D357" s="20">
        <f t="shared" si="213"/>
        <v>3</v>
      </c>
      <c r="E357" s="20">
        <f t="shared" si="226"/>
        <v>85</v>
      </c>
      <c r="F357" s="20">
        <f t="shared" si="198"/>
        <v>340</v>
      </c>
      <c r="G357" s="20">
        <f t="shared" si="212"/>
        <v>37.5</v>
      </c>
      <c r="H357" s="20">
        <f t="shared" si="191"/>
        <v>190</v>
      </c>
      <c r="I357" s="20">
        <f t="shared" si="225"/>
        <v>250</v>
      </c>
      <c r="J357" s="20">
        <f t="shared" si="217"/>
        <v>153.30000000000001</v>
      </c>
      <c r="K357" s="20">
        <f t="shared" si="228"/>
        <v>125</v>
      </c>
      <c r="L357" s="20">
        <v>125</v>
      </c>
      <c r="M357" s="20">
        <v>730</v>
      </c>
      <c r="N357" s="20">
        <f t="shared" si="208"/>
        <v>180</v>
      </c>
      <c r="O357" s="74">
        <v>375</v>
      </c>
      <c r="P357" s="20">
        <f t="shared" si="186"/>
        <v>50</v>
      </c>
      <c r="Q357" s="20">
        <f t="shared" si="187"/>
        <v>21</v>
      </c>
      <c r="R357" s="20">
        <v>100</v>
      </c>
      <c r="S357" s="20">
        <f t="shared" si="192"/>
        <v>60</v>
      </c>
      <c r="T357" s="20">
        <f t="shared" si="229"/>
        <v>36</v>
      </c>
      <c r="U357" s="20"/>
      <c r="V357" s="20">
        <f t="shared" si="204"/>
        <v>0</v>
      </c>
      <c r="W357" s="20">
        <f t="shared" si="188"/>
        <v>20</v>
      </c>
      <c r="X357" s="20">
        <f t="shared" si="219"/>
        <v>0</v>
      </c>
      <c r="Y357" s="20">
        <f t="shared" si="231"/>
        <v>3.5</v>
      </c>
      <c r="Z357" s="20">
        <f t="shared" si="207"/>
        <v>230</v>
      </c>
      <c r="AA357" s="20">
        <f t="shared" si="230"/>
        <v>306</v>
      </c>
      <c r="AB357" s="20">
        <f t="shared" si="194"/>
        <v>60</v>
      </c>
      <c r="AC357" s="20">
        <f t="shared" si="201"/>
        <v>1.6</v>
      </c>
      <c r="AD357" s="20">
        <f t="shared" si="190"/>
        <v>180</v>
      </c>
      <c r="AE357" s="20">
        <f t="shared" si="193"/>
        <v>1.1000000000000001</v>
      </c>
      <c r="AF357" s="20">
        <f t="shared" si="197"/>
        <v>275</v>
      </c>
      <c r="AG357" s="20">
        <f t="shared" si="203"/>
        <v>18</v>
      </c>
      <c r="AH357" s="20">
        <f t="shared" si="195"/>
        <v>3</v>
      </c>
      <c r="AI357" s="20">
        <f t="shared" si="189"/>
        <v>47</v>
      </c>
      <c r="AJ357" s="20">
        <f t="shared" si="210"/>
        <v>90</v>
      </c>
      <c r="AK357" s="20">
        <f t="shared" si="214"/>
        <v>14</v>
      </c>
      <c r="AL357" s="20">
        <f t="shared" si="211"/>
        <v>45</v>
      </c>
      <c r="AM357" s="20">
        <v>46</v>
      </c>
      <c r="AN357" s="20">
        <f t="shared" si="215"/>
        <v>0.75</v>
      </c>
      <c r="AO357" s="20">
        <f t="shared" si="227"/>
        <v>19</v>
      </c>
      <c r="AP357" s="20">
        <f t="shared" si="227"/>
        <v>19</v>
      </c>
      <c r="AQ357" s="20">
        <f t="shared" si="218"/>
        <v>5</v>
      </c>
      <c r="AR357" s="20">
        <f t="shared" si="206"/>
        <v>120</v>
      </c>
      <c r="AS357" s="20">
        <f t="shared" si="209"/>
        <v>120</v>
      </c>
      <c r="AT357" s="20">
        <f t="shared" si="202"/>
        <v>55</v>
      </c>
      <c r="AU357" s="20"/>
      <c r="AV357" s="20"/>
      <c r="AW357" s="20">
        <f t="shared" si="232"/>
        <v>5276.7500000000009</v>
      </c>
      <c r="AX357" s="86">
        <f t="shared" si="196"/>
        <v>5428.4449999999988</v>
      </c>
      <c r="AY357" s="17">
        <f>'[1]D4 Gallon Forecast'!$AE157/1000000</f>
        <v>0</v>
      </c>
      <c r="AZ357" s="17">
        <f>'[1]D4 Gallon Forecast'!$AE189/1000000</f>
        <v>448.34503758588318</v>
      </c>
      <c r="BA357" s="17">
        <f t="shared" si="199"/>
        <v>448.34503758588318</v>
      </c>
      <c r="BB357" s="17">
        <f>'[1]D4 Gallon Forecast'!$AE173/1000000</f>
        <v>0</v>
      </c>
      <c r="BC357" s="87">
        <f>'[1]D4 Gallon Forecast'!$AE349/1000000</f>
        <v>578.68338278706324</v>
      </c>
      <c r="BD357" s="88">
        <f>'[1]D4 Gallon Forecast'!$AE365/1000000</f>
        <v>0</v>
      </c>
      <c r="BE357" s="88">
        <f t="shared" si="200"/>
        <v>578.68338278706324</v>
      </c>
      <c r="BF357" s="76">
        <f t="shared" si="223"/>
        <v>1027.0284203729464</v>
      </c>
      <c r="BG357" s="22">
        <f t="shared" si="224"/>
        <v>2.2276050325950321</v>
      </c>
      <c r="BI357" s="21">
        <f t="shared" si="233"/>
        <v>4702.9000000000005</v>
      </c>
      <c r="BJ357" s="21">
        <f t="shared" si="216"/>
        <v>725.54499999999825</v>
      </c>
      <c r="BK357" s="21">
        <f>'RD Feedstock Breakdown'!ES348</f>
        <v>18208.7910451307</v>
      </c>
      <c r="BL357" s="89">
        <f t="shared" si="222"/>
        <v>17.729588280058028</v>
      </c>
      <c r="BM357" s="89">
        <f t="shared" si="220"/>
        <v>40.613343560522175</v>
      </c>
    </row>
    <row r="358" spans="1:65" ht="13.5" x14ac:dyDescent="0.25">
      <c r="A358" s="15">
        <v>51044</v>
      </c>
      <c r="B358" s="20">
        <f t="shared" si="221"/>
        <v>690</v>
      </c>
      <c r="C358" s="74">
        <v>47</v>
      </c>
      <c r="D358" s="20">
        <f t="shared" si="213"/>
        <v>3</v>
      </c>
      <c r="E358" s="20">
        <f t="shared" si="226"/>
        <v>85</v>
      </c>
      <c r="F358" s="20">
        <f t="shared" si="198"/>
        <v>340</v>
      </c>
      <c r="G358" s="20">
        <f t="shared" si="212"/>
        <v>37.5</v>
      </c>
      <c r="H358" s="20">
        <f t="shared" si="191"/>
        <v>190</v>
      </c>
      <c r="I358" s="20">
        <f t="shared" si="225"/>
        <v>250</v>
      </c>
      <c r="J358" s="20">
        <f t="shared" si="217"/>
        <v>153.30000000000001</v>
      </c>
      <c r="K358" s="20">
        <f t="shared" si="228"/>
        <v>125</v>
      </c>
      <c r="L358" s="20">
        <v>125</v>
      </c>
      <c r="M358" s="20">
        <v>730</v>
      </c>
      <c r="N358" s="20">
        <f t="shared" si="208"/>
        <v>180</v>
      </c>
      <c r="O358" s="74">
        <v>375</v>
      </c>
      <c r="P358" s="20">
        <f t="shared" ref="P358:P421" si="234">100*$P$12</f>
        <v>50</v>
      </c>
      <c r="Q358" s="20">
        <f t="shared" ref="Q358:Q421" si="235">$Q$5*$Q$12</f>
        <v>21</v>
      </c>
      <c r="R358" s="20">
        <v>100</v>
      </c>
      <c r="S358" s="20">
        <f t="shared" si="192"/>
        <v>60</v>
      </c>
      <c r="T358" s="20">
        <f t="shared" si="229"/>
        <v>36</v>
      </c>
      <c r="U358" s="20"/>
      <c r="V358" s="20">
        <f t="shared" si="204"/>
        <v>0</v>
      </c>
      <c r="W358" s="20">
        <f t="shared" si="188"/>
        <v>20</v>
      </c>
      <c r="X358" s="20">
        <f t="shared" si="219"/>
        <v>0</v>
      </c>
      <c r="Y358" s="20">
        <f t="shared" si="231"/>
        <v>3.5</v>
      </c>
      <c r="Z358" s="20">
        <f t="shared" si="207"/>
        <v>230</v>
      </c>
      <c r="AA358" s="20">
        <f t="shared" si="230"/>
        <v>306</v>
      </c>
      <c r="AB358" s="20">
        <f t="shared" si="194"/>
        <v>60</v>
      </c>
      <c r="AC358" s="20">
        <f t="shared" si="201"/>
        <v>1.6</v>
      </c>
      <c r="AD358" s="20">
        <f t="shared" si="190"/>
        <v>180</v>
      </c>
      <c r="AE358" s="20">
        <f t="shared" si="193"/>
        <v>1.1000000000000001</v>
      </c>
      <c r="AF358" s="20">
        <f t="shared" si="197"/>
        <v>275</v>
      </c>
      <c r="AG358" s="20">
        <f t="shared" si="203"/>
        <v>18</v>
      </c>
      <c r="AH358" s="20">
        <f t="shared" si="195"/>
        <v>3</v>
      </c>
      <c r="AI358" s="20">
        <f t="shared" si="189"/>
        <v>47</v>
      </c>
      <c r="AJ358" s="20">
        <f t="shared" si="210"/>
        <v>90</v>
      </c>
      <c r="AK358" s="20">
        <f t="shared" si="214"/>
        <v>14</v>
      </c>
      <c r="AL358" s="20">
        <f t="shared" si="211"/>
        <v>45</v>
      </c>
      <c r="AM358" s="20">
        <v>46</v>
      </c>
      <c r="AN358" s="20">
        <f t="shared" si="215"/>
        <v>0.75</v>
      </c>
      <c r="AO358" s="20">
        <f t="shared" si="227"/>
        <v>19</v>
      </c>
      <c r="AP358" s="20">
        <f t="shared" si="227"/>
        <v>19</v>
      </c>
      <c r="AQ358" s="20">
        <f t="shared" si="218"/>
        <v>5</v>
      </c>
      <c r="AR358" s="20">
        <f t="shared" si="206"/>
        <v>120</v>
      </c>
      <c r="AS358" s="20">
        <f t="shared" si="209"/>
        <v>120</v>
      </c>
      <c r="AT358" s="20">
        <f t="shared" si="202"/>
        <v>55</v>
      </c>
      <c r="AU358" s="20"/>
      <c r="AV358" s="20"/>
      <c r="AW358" s="20">
        <f t="shared" si="232"/>
        <v>5276.7500000000009</v>
      </c>
      <c r="AX358" s="86">
        <f t="shared" si="196"/>
        <v>5428.4449999999988</v>
      </c>
      <c r="AY358" s="17">
        <f>'[1]D4 Gallon Forecast'!$AE158/1000000</f>
        <v>0</v>
      </c>
      <c r="AZ358" s="17">
        <f>'[1]D4 Gallon Forecast'!$AE190/1000000</f>
        <v>492.67177322656715</v>
      </c>
      <c r="BA358" s="17">
        <f t="shared" si="199"/>
        <v>492.67177322656715</v>
      </c>
      <c r="BB358" s="17">
        <f>'[1]D4 Gallon Forecast'!$AE174/1000000</f>
        <v>0</v>
      </c>
      <c r="BC358" s="87">
        <f>'[1]D4 Gallon Forecast'!$AE350/1000000</f>
        <v>565.03948105127643</v>
      </c>
      <c r="BD358" s="88">
        <f>'[1]D4 Gallon Forecast'!$AE366/1000000</f>
        <v>0</v>
      </c>
      <c r="BE358" s="88">
        <f t="shared" si="200"/>
        <v>565.03948105127643</v>
      </c>
      <c r="BF358" s="76">
        <f t="shared" si="223"/>
        <v>1057.7112542778436</v>
      </c>
      <c r="BG358" s="22">
        <f t="shared" si="224"/>
        <v>2.3706273638915807</v>
      </c>
      <c r="BI358" s="21">
        <f t="shared" si="233"/>
        <v>4702.9000000000005</v>
      </c>
      <c r="BJ358" s="21">
        <f t="shared" si="216"/>
        <v>725.54499999999825</v>
      </c>
      <c r="BK358" s="21">
        <f>'RD Feedstock Breakdown'!ES349</f>
        <v>20001.996515202558</v>
      </c>
      <c r="BL358" s="89">
        <f t="shared" si="222"/>
        <v>18.910639774613156</v>
      </c>
      <c r="BM358" s="89">
        <f t="shared" si="220"/>
        <v>40.599030839958736</v>
      </c>
    </row>
    <row r="359" spans="1:65" ht="13.5" x14ac:dyDescent="0.25">
      <c r="A359" s="15">
        <v>51075</v>
      </c>
      <c r="B359" s="20">
        <f t="shared" si="221"/>
        <v>690</v>
      </c>
      <c r="C359" s="74">
        <v>47</v>
      </c>
      <c r="D359" s="20">
        <f t="shared" si="213"/>
        <v>3</v>
      </c>
      <c r="E359" s="20">
        <f t="shared" si="226"/>
        <v>85</v>
      </c>
      <c r="F359" s="20">
        <f t="shared" si="198"/>
        <v>340</v>
      </c>
      <c r="G359" s="20">
        <f t="shared" si="212"/>
        <v>37.5</v>
      </c>
      <c r="H359" s="20">
        <f t="shared" si="191"/>
        <v>190</v>
      </c>
      <c r="I359" s="20">
        <f t="shared" si="225"/>
        <v>250</v>
      </c>
      <c r="J359" s="20">
        <f t="shared" si="217"/>
        <v>153.30000000000001</v>
      </c>
      <c r="K359" s="20">
        <f t="shared" si="228"/>
        <v>125</v>
      </c>
      <c r="L359" s="20">
        <v>125</v>
      </c>
      <c r="M359" s="20">
        <v>730</v>
      </c>
      <c r="N359" s="20">
        <f t="shared" si="208"/>
        <v>180</v>
      </c>
      <c r="O359" s="74">
        <v>375</v>
      </c>
      <c r="P359" s="20">
        <f t="shared" si="234"/>
        <v>50</v>
      </c>
      <c r="Q359" s="20">
        <f t="shared" si="235"/>
        <v>21</v>
      </c>
      <c r="R359" s="20">
        <v>100</v>
      </c>
      <c r="S359" s="20">
        <f t="shared" si="192"/>
        <v>60</v>
      </c>
      <c r="T359" s="20">
        <f t="shared" si="229"/>
        <v>36</v>
      </c>
      <c r="U359" s="20"/>
      <c r="V359" s="20">
        <f t="shared" si="204"/>
        <v>0</v>
      </c>
      <c r="W359" s="20">
        <f t="shared" ref="W359:W422" si="236">$W$5*$W$12</f>
        <v>20</v>
      </c>
      <c r="X359" s="20">
        <f t="shared" si="219"/>
        <v>0</v>
      </c>
      <c r="Y359" s="20">
        <f t="shared" si="231"/>
        <v>3.5</v>
      </c>
      <c r="Z359" s="20">
        <f t="shared" si="207"/>
        <v>230</v>
      </c>
      <c r="AA359" s="20">
        <f t="shared" si="230"/>
        <v>306</v>
      </c>
      <c r="AB359" s="20">
        <f t="shared" si="194"/>
        <v>60</v>
      </c>
      <c r="AC359" s="20">
        <f t="shared" si="201"/>
        <v>1.6</v>
      </c>
      <c r="AD359" s="20">
        <f t="shared" si="190"/>
        <v>180</v>
      </c>
      <c r="AE359" s="20">
        <f t="shared" si="193"/>
        <v>1.1000000000000001</v>
      </c>
      <c r="AF359" s="20">
        <f t="shared" si="197"/>
        <v>275</v>
      </c>
      <c r="AG359" s="20">
        <f t="shared" si="203"/>
        <v>18</v>
      </c>
      <c r="AH359" s="20">
        <f t="shared" si="195"/>
        <v>3</v>
      </c>
      <c r="AI359" s="20">
        <f t="shared" ref="AI359:AI422" si="237">$AI$5*$AI$12</f>
        <v>47</v>
      </c>
      <c r="AJ359" s="20">
        <f t="shared" si="210"/>
        <v>90</v>
      </c>
      <c r="AK359" s="20">
        <f t="shared" si="214"/>
        <v>14</v>
      </c>
      <c r="AL359" s="20">
        <f t="shared" si="211"/>
        <v>45</v>
      </c>
      <c r="AM359" s="20">
        <v>46</v>
      </c>
      <c r="AN359" s="20">
        <f t="shared" si="215"/>
        <v>0.75</v>
      </c>
      <c r="AO359" s="20">
        <f t="shared" si="227"/>
        <v>19</v>
      </c>
      <c r="AP359" s="20">
        <f t="shared" si="227"/>
        <v>19</v>
      </c>
      <c r="AQ359" s="20">
        <f t="shared" si="218"/>
        <v>5</v>
      </c>
      <c r="AR359" s="20">
        <f t="shared" si="206"/>
        <v>120</v>
      </c>
      <c r="AS359" s="20">
        <f t="shared" si="209"/>
        <v>120</v>
      </c>
      <c r="AT359" s="20">
        <f t="shared" si="202"/>
        <v>55</v>
      </c>
      <c r="AU359" s="20"/>
      <c r="AV359" s="20"/>
      <c r="AW359" s="20">
        <f t="shared" si="232"/>
        <v>5276.7500000000009</v>
      </c>
      <c r="AX359" s="86">
        <f t="shared" si="196"/>
        <v>5428.4449999999988</v>
      </c>
      <c r="AY359" s="17">
        <f>'[1]D4 Gallon Forecast'!$AE159/1000000</f>
        <v>0</v>
      </c>
      <c r="AZ359" s="17">
        <f>'[1]D4 Gallon Forecast'!$AE191/1000000</f>
        <v>598.58529419395177</v>
      </c>
      <c r="BA359" s="17">
        <f t="shared" si="199"/>
        <v>598.58529419395177</v>
      </c>
      <c r="BB359" s="17">
        <f>'[1]D4 Gallon Forecast'!$AE175/1000000</f>
        <v>0</v>
      </c>
      <c r="BC359" s="87">
        <f>'[1]D4 Gallon Forecast'!$AE351/1000000</f>
        <v>488.95019975573337</v>
      </c>
      <c r="BD359" s="88">
        <f>'[1]D4 Gallon Forecast'!$AE367/1000000</f>
        <v>0</v>
      </c>
      <c r="BE359" s="88">
        <f t="shared" si="200"/>
        <v>488.95019975573337</v>
      </c>
      <c r="BF359" s="76">
        <f t="shared" si="223"/>
        <v>1087.5354939496851</v>
      </c>
      <c r="BG359" s="22">
        <f t="shared" si="224"/>
        <v>2.3588437197953298</v>
      </c>
      <c r="BI359" s="21">
        <f t="shared" si="233"/>
        <v>4702.9000000000005</v>
      </c>
      <c r="BJ359" s="21">
        <f t="shared" si="216"/>
        <v>725.54499999999825</v>
      </c>
      <c r="BK359" s="21">
        <f>'RD Feedstock Breakdown'!ES350</f>
        <v>20463.764881160485</v>
      </c>
      <c r="BL359" s="89">
        <f t="shared" si="222"/>
        <v>18.816640923452233</v>
      </c>
      <c r="BM359" s="89">
        <f t="shared" si="220"/>
        <v>34.186882102936991</v>
      </c>
    </row>
    <row r="360" spans="1:65" ht="13.5" x14ac:dyDescent="0.25">
      <c r="A360" s="15">
        <v>51105</v>
      </c>
      <c r="B360" s="20">
        <f t="shared" si="221"/>
        <v>690</v>
      </c>
      <c r="C360" s="74">
        <v>47</v>
      </c>
      <c r="D360" s="20">
        <f t="shared" si="213"/>
        <v>3</v>
      </c>
      <c r="E360" s="20">
        <f t="shared" si="226"/>
        <v>85</v>
      </c>
      <c r="F360" s="20">
        <f t="shared" si="198"/>
        <v>340</v>
      </c>
      <c r="G360" s="20">
        <f t="shared" si="212"/>
        <v>37.5</v>
      </c>
      <c r="H360" s="20">
        <f t="shared" si="191"/>
        <v>190</v>
      </c>
      <c r="I360" s="20">
        <f t="shared" si="225"/>
        <v>250</v>
      </c>
      <c r="J360" s="20">
        <f t="shared" si="217"/>
        <v>153.30000000000001</v>
      </c>
      <c r="K360" s="20">
        <f t="shared" si="228"/>
        <v>125</v>
      </c>
      <c r="L360" s="20">
        <v>125</v>
      </c>
      <c r="M360" s="20">
        <v>730</v>
      </c>
      <c r="N360" s="20">
        <f t="shared" si="208"/>
        <v>180</v>
      </c>
      <c r="O360" s="74">
        <v>375</v>
      </c>
      <c r="P360" s="20">
        <f t="shared" si="234"/>
        <v>50</v>
      </c>
      <c r="Q360" s="20">
        <f t="shared" si="235"/>
        <v>21</v>
      </c>
      <c r="R360" s="20">
        <v>100</v>
      </c>
      <c r="S360" s="20">
        <f t="shared" si="192"/>
        <v>60</v>
      </c>
      <c r="T360" s="20">
        <f t="shared" si="229"/>
        <v>36</v>
      </c>
      <c r="U360" s="20"/>
      <c r="V360" s="20">
        <f t="shared" si="204"/>
        <v>0</v>
      </c>
      <c r="W360" s="20">
        <f t="shared" si="236"/>
        <v>20</v>
      </c>
      <c r="X360" s="20">
        <f t="shared" si="219"/>
        <v>0</v>
      </c>
      <c r="Y360" s="20">
        <f t="shared" si="231"/>
        <v>3.5</v>
      </c>
      <c r="Z360" s="20">
        <f t="shared" si="207"/>
        <v>230</v>
      </c>
      <c r="AA360" s="20">
        <f t="shared" si="230"/>
        <v>306</v>
      </c>
      <c r="AB360" s="20">
        <f t="shared" si="194"/>
        <v>60</v>
      </c>
      <c r="AC360" s="20">
        <f t="shared" si="201"/>
        <v>1.6</v>
      </c>
      <c r="AD360" s="20">
        <f t="shared" si="190"/>
        <v>180</v>
      </c>
      <c r="AE360" s="20">
        <f t="shared" si="193"/>
        <v>1.1000000000000001</v>
      </c>
      <c r="AF360" s="20">
        <f t="shared" si="197"/>
        <v>275</v>
      </c>
      <c r="AG360" s="20">
        <f t="shared" si="203"/>
        <v>18</v>
      </c>
      <c r="AH360" s="20">
        <f t="shared" si="195"/>
        <v>3</v>
      </c>
      <c r="AI360" s="20">
        <f t="shared" si="237"/>
        <v>47</v>
      </c>
      <c r="AJ360" s="20">
        <f t="shared" si="210"/>
        <v>90</v>
      </c>
      <c r="AK360" s="20">
        <f t="shared" si="214"/>
        <v>14</v>
      </c>
      <c r="AL360" s="20">
        <f t="shared" si="211"/>
        <v>45</v>
      </c>
      <c r="AM360" s="20">
        <v>46</v>
      </c>
      <c r="AN360" s="20">
        <f t="shared" si="215"/>
        <v>0.75</v>
      </c>
      <c r="AO360" s="20">
        <f t="shared" si="227"/>
        <v>19</v>
      </c>
      <c r="AP360" s="20">
        <f t="shared" si="227"/>
        <v>19</v>
      </c>
      <c r="AQ360" s="20">
        <f t="shared" si="218"/>
        <v>5</v>
      </c>
      <c r="AR360" s="20">
        <f t="shared" si="206"/>
        <v>120</v>
      </c>
      <c r="AS360" s="20">
        <f t="shared" si="209"/>
        <v>120</v>
      </c>
      <c r="AT360" s="20">
        <f t="shared" si="202"/>
        <v>55</v>
      </c>
      <c r="AU360" s="20"/>
      <c r="AV360" s="20"/>
      <c r="AW360" s="20">
        <f t="shared" si="232"/>
        <v>5276.7500000000009</v>
      </c>
      <c r="AX360" s="86">
        <f t="shared" si="196"/>
        <v>5428.4449999999988</v>
      </c>
      <c r="AY360" s="17">
        <f>'[1]D4 Gallon Forecast'!$AE160/1000000</f>
        <v>0</v>
      </c>
      <c r="AZ360" s="17">
        <f>'[1]D4 Gallon Forecast'!$AE192/1000000</f>
        <v>679.19723539648533</v>
      </c>
      <c r="BA360" s="17">
        <f t="shared" si="199"/>
        <v>679.19723539648533</v>
      </c>
      <c r="BB360" s="17">
        <f>'[1]D4 Gallon Forecast'!$AE176/1000000</f>
        <v>0</v>
      </c>
      <c r="BC360" s="87">
        <f>'[1]D4 Gallon Forecast'!$AE352/1000000</f>
        <v>439.34553413390921</v>
      </c>
      <c r="BD360" s="88">
        <f>'[1]D4 Gallon Forecast'!$AE368/1000000</f>
        <v>0</v>
      </c>
      <c r="BE360" s="88">
        <f t="shared" si="200"/>
        <v>439.34553413390921</v>
      </c>
      <c r="BF360" s="76">
        <f t="shared" si="223"/>
        <v>1118.5427695303945</v>
      </c>
      <c r="BG360" s="22">
        <f t="shared" si="224"/>
        <v>2.5069678387248042</v>
      </c>
      <c r="BI360" s="21">
        <f t="shared" si="233"/>
        <v>4702.9000000000005</v>
      </c>
      <c r="BJ360" s="21">
        <f t="shared" si="216"/>
        <v>725.54499999999825</v>
      </c>
      <c r="BK360" s="21">
        <f>'RD Feedstock Breakdown'!ES351</f>
        <v>22368.882391337364</v>
      </c>
      <c r="BL360" s="89">
        <f t="shared" si="222"/>
        <v>19.998236098498626</v>
      </c>
      <c r="BM360" s="89">
        <f t="shared" si="220"/>
        <v>32.934295408725269</v>
      </c>
    </row>
    <row r="361" spans="1:65" ht="13.5" x14ac:dyDescent="0.25">
      <c r="A361" s="15">
        <v>51136</v>
      </c>
      <c r="B361" s="20">
        <f t="shared" si="221"/>
        <v>690</v>
      </c>
      <c r="C361" s="74">
        <v>47</v>
      </c>
      <c r="D361" s="20">
        <f t="shared" si="213"/>
        <v>3</v>
      </c>
      <c r="E361" s="20">
        <f t="shared" si="226"/>
        <v>85</v>
      </c>
      <c r="F361" s="20">
        <f t="shared" si="198"/>
        <v>340</v>
      </c>
      <c r="G361" s="20">
        <f t="shared" si="212"/>
        <v>37.5</v>
      </c>
      <c r="H361" s="20">
        <f t="shared" si="191"/>
        <v>190</v>
      </c>
      <c r="I361" s="20">
        <f t="shared" si="225"/>
        <v>250</v>
      </c>
      <c r="J361" s="20">
        <f t="shared" si="217"/>
        <v>153.30000000000001</v>
      </c>
      <c r="K361" s="20">
        <f t="shared" si="228"/>
        <v>125</v>
      </c>
      <c r="L361" s="20">
        <v>125</v>
      </c>
      <c r="M361" s="20">
        <v>730</v>
      </c>
      <c r="N361" s="20">
        <f t="shared" si="208"/>
        <v>180</v>
      </c>
      <c r="O361" s="74">
        <v>375</v>
      </c>
      <c r="P361" s="20">
        <f t="shared" si="234"/>
        <v>50</v>
      </c>
      <c r="Q361" s="20">
        <f t="shared" si="235"/>
        <v>21</v>
      </c>
      <c r="R361" s="20">
        <v>100</v>
      </c>
      <c r="S361" s="20">
        <f t="shared" si="192"/>
        <v>60</v>
      </c>
      <c r="T361" s="20">
        <f t="shared" si="229"/>
        <v>36</v>
      </c>
      <c r="U361" s="20"/>
      <c r="V361" s="20">
        <f t="shared" si="204"/>
        <v>0</v>
      </c>
      <c r="W361" s="20">
        <f t="shared" si="236"/>
        <v>20</v>
      </c>
      <c r="X361" s="20">
        <f t="shared" si="219"/>
        <v>0</v>
      </c>
      <c r="Y361" s="20">
        <f t="shared" si="231"/>
        <v>3.5</v>
      </c>
      <c r="Z361" s="20">
        <f t="shared" si="207"/>
        <v>230</v>
      </c>
      <c r="AA361" s="20">
        <f t="shared" si="230"/>
        <v>306</v>
      </c>
      <c r="AB361" s="20">
        <f t="shared" si="194"/>
        <v>60</v>
      </c>
      <c r="AC361" s="20">
        <f t="shared" si="201"/>
        <v>1.6</v>
      </c>
      <c r="AD361" s="20">
        <f t="shared" ref="AD361:AD424" si="238">150*$AD$12+(50*$AD$12)</f>
        <v>180</v>
      </c>
      <c r="AE361" s="20">
        <f t="shared" si="193"/>
        <v>1.1000000000000001</v>
      </c>
      <c r="AF361" s="20">
        <f t="shared" si="197"/>
        <v>275</v>
      </c>
      <c r="AG361" s="20">
        <f t="shared" si="203"/>
        <v>18</v>
      </c>
      <c r="AH361" s="20">
        <f t="shared" si="195"/>
        <v>3</v>
      </c>
      <c r="AI361" s="20">
        <f t="shared" si="237"/>
        <v>47</v>
      </c>
      <c r="AJ361" s="20">
        <f t="shared" si="210"/>
        <v>90</v>
      </c>
      <c r="AK361" s="20">
        <f t="shared" si="214"/>
        <v>14</v>
      </c>
      <c r="AL361" s="20">
        <f t="shared" si="211"/>
        <v>45</v>
      </c>
      <c r="AM361" s="20">
        <v>46</v>
      </c>
      <c r="AN361" s="20">
        <f t="shared" si="215"/>
        <v>0.75</v>
      </c>
      <c r="AO361" s="20">
        <f t="shared" si="227"/>
        <v>19</v>
      </c>
      <c r="AP361" s="20">
        <f t="shared" si="227"/>
        <v>19</v>
      </c>
      <c r="AQ361" s="20">
        <f t="shared" si="218"/>
        <v>5</v>
      </c>
      <c r="AR361" s="20">
        <f t="shared" si="206"/>
        <v>120</v>
      </c>
      <c r="AS361" s="20">
        <f t="shared" si="209"/>
        <v>120</v>
      </c>
      <c r="AT361" s="20">
        <f t="shared" si="202"/>
        <v>55</v>
      </c>
      <c r="AU361" s="20"/>
      <c r="AV361" s="20"/>
      <c r="AW361" s="20">
        <f t="shared" si="232"/>
        <v>5276.7500000000009</v>
      </c>
      <c r="AX361" s="86">
        <f t="shared" si="196"/>
        <v>5428.4449999999988</v>
      </c>
      <c r="AY361" s="17">
        <f>'[1]D4 Gallon Forecast'!$AF149/1000000</f>
        <v>0</v>
      </c>
      <c r="AZ361" s="17">
        <f>'[1]D4 Gallon Forecast'!$AF181/1000000</f>
        <v>310.49836783100875</v>
      </c>
      <c r="BA361" s="17">
        <f t="shared" si="199"/>
        <v>310.49836783100875</v>
      </c>
      <c r="BB361" s="17">
        <f>'[1]D4 Gallon Forecast'!$AF165/1000000</f>
        <v>0</v>
      </c>
      <c r="BC361" s="87">
        <f>'[1]D4 Gallon Forecast'!$AF341/1000000</f>
        <v>261.65457854580529</v>
      </c>
      <c r="BD361" s="88">
        <f>'[1]D4 Gallon Forecast'!$AF357/1000000</f>
        <v>0</v>
      </c>
      <c r="BE361" s="88">
        <f t="shared" si="200"/>
        <v>261.65457854580529</v>
      </c>
      <c r="BF361" s="76">
        <f t="shared" si="223"/>
        <v>572.15294637681404</v>
      </c>
      <c r="BG361" s="22">
        <f t="shared" si="224"/>
        <v>1.2409888153827762</v>
      </c>
      <c r="BI361" s="21">
        <f t="shared" si="233"/>
        <v>4702.9000000000005</v>
      </c>
      <c r="BJ361" s="21">
        <f t="shared" si="216"/>
        <v>725.54499999999825</v>
      </c>
      <c r="BK361" s="21">
        <f>'RD Feedstock Breakdown'!ES352</f>
        <v>5663.9959599723352</v>
      </c>
      <c r="BL361" s="89">
        <f t="shared" si="222"/>
        <v>9.8994438389942072</v>
      </c>
      <c r="BM361" s="89">
        <f t="shared" si="220"/>
        <v>18.241628770992481</v>
      </c>
    </row>
    <row r="362" spans="1:65" ht="13.5" x14ac:dyDescent="0.25">
      <c r="A362" s="15">
        <v>51167</v>
      </c>
      <c r="B362" s="20">
        <f t="shared" si="221"/>
        <v>690</v>
      </c>
      <c r="C362" s="74">
        <v>47</v>
      </c>
      <c r="D362" s="20">
        <f t="shared" si="213"/>
        <v>3</v>
      </c>
      <c r="E362" s="20">
        <f t="shared" si="226"/>
        <v>85</v>
      </c>
      <c r="F362" s="20">
        <f t="shared" si="198"/>
        <v>340</v>
      </c>
      <c r="G362" s="20">
        <f t="shared" si="212"/>
        <v>37.5</v>
      </c>
      <c r="H362" s="20">
        <f t="shared" ref="H362:H425" si="239">50+((200*$H$12)*1)</f>
        <v>190</v>
      </c>
      <c r="I362" s="20">
        <f t="shared" si="225"/>
        <v>250</v>
      </c>
      <c r="J362" s="20">
        <f t="shared" si="217"/>
        <v>153.30000000000001</v>
      </c>
      <c r="K362" s="20">
        <f t="shared" si="228"/>
        <v>125</v>
      </c>
      <c r="L362" s="20">
        <v>125</v>
      </c>
      <c r="M362" s="20">
        <v>730</v>
      </c>
      <c r="N362" s="20">
        <f t="shared" si="208"/>
        <v>180</v>
      </c>
      <c r="O362" s="74">
        <v>375</v>
      </c>
      <c r="P362" s="20">
        <f t="shared" si="234"/>
        <v>50</v>
      </c>
      <c r="Q362" s="20">
        <f t="shared" si="235"/>
        <v>21</v>
      </c>
      <c r="R362" s="20">
        <v>100</v>
      </c>
      <c r="S362" s="20">
        <f t="shared" si="192"/>
        <v>60</v>
      </c>
      <c r="T362" s="20">
        <f t="shared" si="229"/>
        <v>36</v>
      </c>
      <c r="U362" s="20"/>
      <c r="V362" s="20">
        <f t="shared" si="204"/>
        <v>0</v>
      </c>
      <c r="W362" s="20">
        <f t="shared" si="236"/>
        <v>20</v>
      </c>
      <c r="X362" s="20">
        <f t="shared" si="219"/>
        <v>0</v>
      </c>
      <c r="Y362" s="20">
        <f t="shared" si="231"/>
        <v>3.5</v>
      </c>
      <c r="Z362" s="20">
        <f t="shared" si="207"/>
        <v>230</v>
      </c>
      <c r="AA362" s="20">
        <f t="shared" si="230"/>
        <v>306</v>
      </c>
      <c r="AB362" s="20">
        <f t="shared" si="194"/>
        <v>60</v>
      </c>
      <c r="AC362" s="20">
        <f t="shared" si="201"/>
        <v>1.6</v>
      </c>
      <c r="AD362" s="20">
        <f t="shared" si="238"/>
        <v>180</v>
      </c>
      <c r="AE362" s="20">
        <f t="shared" si="193"/>
        <v>1.1000000000000001</v>
      </c>
      <c r="AF362" s="20">
        <f t="shared" si="197"/>
        <v>275</v>
      </c>
      <c r="AG362" s="20">
        <f t="shared" si="203"/>
        <v>18</v>
      </c>
      <c r="AH362" s="20">
        <f t="shared" si="195"/>
        <v>3</v>
      </c>
      <c r="AI362" s="20">
        <f t="shared" si="237"/>
        <v>47</v>
      </c>
      <c r="AJ362" s="20">
        <f t="shared" si="210"/>
        <v>90</v>
      </c>
      <c r="AK362" s="20">
        <f t="shared" si="214"/>
        <v>14</v>
      </c>
      <c r="AL362" s="20">
        <f t="shared" si="211"/>
        <v>45</v>
      </c>
      <c r="AM362" s="20">
        <v>46</v>
      </c>
      <c r="AN362" s="20">
        <f t="shared" si="215"/>
        <v>0.75</v>
      </c>
      <c r="AO362" s="20">
        <f t="shared" si="227"/>
        <v>19</v>
      </c>
      <c r="AP362" s="20">
        <f t="shared" si="227"/>
        <v>19</v>
      </c>
      <c r="AQ362" s="20">
        <f t="shared" si="218"/>
        <v>5</v>
      </c>
      <c r="AR362" s="20">
        <f t="shared" si="206"/>
        <v>120</v>
      </c>
      <c r="AS362" s="20">
        <f t="shared" si="209"/>
        <v>120</v>
      </c>
      <c r="AT362" s="20">
        <f t="shared" si="202"/>
        <v>55</v>
      </c>
      <c r="AU362" s="20"/>
      <c r="AV362" s="20"/>
      <c r="AW362" s="20">
        <f t="shared" si="232"/>
        <v>5276.7500000000009</v>
      </c>
      <c r="AX362" s="86">
        <f t="shared" si="196"/>
        <v>5428.4449999999988</v>
      </c>
      <c r="AY362" s="17">
        <f>'[1]D4 Gallon Forecast'!$AF150/1000000</f>
        <v>0</v>
      </c>
      <c r="AZ362" s="17">
        <f>'[1]D4 Gallon Forecast'!$AF182/1000000</f>
        <v>342.38702458051614</v>
      </c>
      <c r="BA362" s="17">
        <f t="shared" si="199"/>
        <v>342.38702458051614</v>
      </c>
      <c r="BB362" s="17">
        <f>'[1]D4 Gallon Forecast'!$AF166/1000000</f>
        <v>0</v>
      </c>
      <c r="BC362" s="87">
        <f>'[1]D4 Gallon Forecast'!$AF342/1000000</f>
        <v>496.6361497181764</v>
      </c>
      <c r="BD362" s="88">
        <f>'[1]D4 Gallon Forecast'!$AF358/1000000</f>
        <v>0</v>
      </c>
      <c r="BE362" s="88">
        <f t="shared" si="200"/>
        <v>496.6361497181764</v>
      </c>
      <c r="BF362" s="76">
        <f t="shared" si="223"/>
        <v>839.02317429869254</v>
      </c>
      <c r="BG362" s="22">
        <f t="shared" si="224"/>
        <v>1.8198252438359293</v>
      </c>
      <c r="BI362" s="21">
        <f t="shared" si="233"/>
        <v>4702.9000000000005</v>
      </c>
      <c r="BJ362" s="21">
        <f t="shared" si="216"/>
        <v>725.54499999999825</v>
      </c>
      <c r="BK362" s="21">
        <f>'RD Feedstock Breakdown'!ES353</f>
        <v>12179.979864637684</v>
      </c>
      <c r="BL362" s="89">
        <f t="shared" si="222"/>
        <v>14.516857504941344</v>
      </c>
      <c r="BM362" s="89">
        <f t="shared" si="220"/>
        <v>35.573719183898064</v>
      </c>
    </row>
    <row r="363" spans="1:65" ht="13.5" x14ac:dyDescent="0.25">
      <c r="A363" s="15">
        <v>51196</v>
      </c>
      <c r="B363" s="20">
        <f t="shared" si="221"/>
        <v>690</v>
      </c>
      <c r="C363" s="74">
        <v>47</v>
      </c>
      <c r="D363" s="20">
        <f t="shared" si="213"/>
        <v>3</v>
      </c>
      <c r="E363" s="20">
        <f t="shared" si="226"/>
        <v>85</v>
      </c>
      <c r="F363" s="20">
        <f t="shared" si="198"/>
        <v>340</v>
      </c>
      <c r="G363" s="20">
        <f t="shared" si="212"/>
        <v>37.5</v>
      </c>
      <c r="H363" s="20">
        <f t="shared" si="239"/>
        <v>190</v>
      </c>
      <c r="I363" s="20">
        <f t="shared" si="225"/>
        <v>250</v>
      </c>
      <c r="J363" s="20">
        <f t="shared" si="217"/>
        <v>153.30000000000001</v>
      </c>
      <c r="K363" s="20">
        <f t="shared" si="228"/>
        <v>125</v>
      </c>
      <c r="L363" s="20">
        <v>125</v>
      </c>
      <c r="M363" s="20">
        <v>730</v>
      </c>
      <c r="N363" s="20">
        <f t="shared" si="208"/>
        <v>180</v>
      </c>
      <c r="O363" s="74">
        <v>375</v>
      </c>
      <c r="P363" s="20">
        <f t="shared" si="234"/>
        <v>50</v>
      </c>
      <c r="Q363" s="20">
        <f t="shared" si="235"/>
        <v>21</v>
      </c>
      <c r="R363" s="20">
        <v>100</v>
      </c>
      <c r="S363" s="20">
        <f t="shared" si="192"/>
        <v>60</v>
      </c>
      <c r="T363" s="20">
        <f t="shared" si="229"/>
        <v>36</v>
      </c>
      <c r="U363" s="20"/>
      <c r="V363" s="20">
        <f t="shared" si="204"/>
        <v>0</v>
      </c>
      <c r="W363" s="20">
        <f t="shared" si="236"/>
        <v>20</v>
      </c>
      <c r="X363" s="20">
        <f t="shared" si="219"/>
        <v>0</v>
      </c>
      <c r="Y363" s="20">
        <f t="shared" si="231"/>
        <v>3.5</v>
      </c>
      <c r="Z363" s="20">
        <f t="shared" si="207"/>
        <v>230</v>
      </c>
      <c r="AA363" s="20">
        <f t="shared" si="230"/>
        <v>306</v>
      </c>
      <c r="AB363" s="20">
        <f t="shared" si="194"/>
        <v>60</v>
      </c>
      <c r="AC363" s="20">
        <f t="shared" si="201"/>
        <v>1.6</v>
      </c>
      <c r="AD363" s="20">
        <f t="shared" si="238"/>
        <v>180</v>
      </c>
      <c r="AE363" s="20">
        <f t="shared" si="193"/>
        <v>1.1000000000000001</v>
      </c>
      <c r="AF363" s="20">
        <f t="shared" si="197"/>
        <v>275</v>
      </c>
      <c r="AG363" s="20">
        <f t="shared" si="203"/>
        <v>18</v>
      </c>
      <c r="AH363" s="20">
        <f t="shared" si="195"/>
        <v>3</v>
      </c>
      <c r="AI363" s="20">
        <f t="shared" si="237"/>
        <v>47</v>
      </c>
      <c r="AJ363" s="20">
        <f t="shared" si="210"/>
        <v>90</v>
      </c>
      <c r="AK363" s="20">
        <f t="shared" si="214"/>
        <v>14</v>
      </c>
      <c r="AL363" s="20">
        <f t="shared" si="211"/>
        <v>45</v>
      </c>
      <c r="AM363" s="20">
        <v>46</v>
      </c>
      <c r="AN363" s="20">
        <f t="shared" si="215"/>
        <v>0.75</v>
      </c>
      <c r="AO363" s="20">
        <f t="shared" si="227"/>
        <v>19</v>
      </c>
      <c r="AP363" s="20">
        <f t="shared" si="227"/>
        <v>19</v>
      </c>
      <c r="AQ363" s="20">
        <f t="shared" si="218"/>
        <v>5</v>
      </c>
      <c r="AR363" s="20">
        <f t="shared" si="206"/>
        <v>120</v>
      </c>
      <c r="AS363" s="20">
        <f t="shared" si="209"/>
        <v>120</v>
      </c>
      <c r="AT363" s="20">
        <f t="shared" si="202"/>
        <v>55</v>
      </c>
      <c r="AU363" s="20"/>
      <c r="AV363" s="20"/>
      <c r="AW363" s="20">
        <f t="shared" si="232"/>
        <v>5276.7500000000009</v>
      </c>
      <c r="AX363" s="86">
        <f t="shared" si="196"/>
        <v>5428.4449999999988</v>
      </c>
      <c r="AY363" s="17">
        <f>'[1]D4 Gallon Forecast'!$AF151/1000000</f>
        <v>0</v>
      </c>
      <c r="AZ363" s="17">
        <f>'[1]D4 Gallon Forecast'!$AF183/1000000</f>
        <v>360.6221425701064</v>
      </c>
      <c r="BA363" s="17">
        <f t="shared" si="199"/>
        <v>360.6221425701064</v>
      </c>
      <c r="BB363" s="17">
        <f>'[1]D4 Gallon Forecast'!$AF167/1000000</f>
        <v>0</v>
      </c>
      <c r="BC363" s="87">
        <f>'[1]D4 Gallon Forecast'!$AF343/1000000</f>
        <v>198.21581021517588</v>
      </c>
      <c r="BD363" s="88">
        <f>'[1]D4 Gallon Forecast'!$AF359/1000000</f>
        <v>0</v>
      </c>
      <c r="BE363" s="88">
        <f t="shared" si="200"/>
        <v>198.21581021517588</v>
      </c>
      <c r="BF363" s="76">
        <f t="shared" si="223"/>
        <v>558.83795278528225</v>
      </c>
      <c r="BG363" s="22">
        <f t="shared" si="224"/>
        <v>1.2957025622256406</v>
      </c>
      <c r="BI363" s="21">
        <f t="shared" si="233"/>
        <v>4702.9000000000005</v>
      </c>
      <c r="BJ363" s="21">
        <f t="shared" si="216"/>
        <v>725.54499999999825</v>
      </c>
      <c r="BK363" s="21">
        <f>'RD Feedstock Breakdown'!ES354</f>
        <v>5776.0924981479757</v>
      </c>
      <c r="BL363" s="89">
        <f t="shared" si="222"/>
        <v>10.335898750898325</v>
      </c>
      <c r="BM363" s="89">
        <f t="shared" si="220"/>
        <v>16.017021187280754</v>
      </c>
    </row>
    <row r="364" spans="1:65" ht="13.5" x14ac:dyDescent="0.25">
      <c r="A364" s="15">
        <v>51227</v>
      </c>
      <c r="B364" s="20">
        <f t="shared" si="221"/>
        <v>690</v>
      </c>
      <c r="C364" s="74">
        <v>47</v>
      </c>
      <c r="D364" s="20">
        <f t="shared" si="213"/>
        <v>3</v>
      </c>
      <c r="E364" s="20">
        <f t="shared" si="226"/>
        <v>85</v>
      </c>
      <c r="F364" s="20">
        <f t="shared" si="198"/>
        <v>340</v>
      </c>
      <c r="G364" s="20">
        <f t="shared" si="212"/>
        <v>37.5</v>
      </c>
      <c r="H364" s="20">
        <f t="shared" si="239"/>
        <v>190</v>
      </c>
      <c r="I364" s="20">
        <f t="shared" si="225"/>
        <v>250</v>
      </c>
      <c r="J364" s="20">
        <f t="shared" si="217"/>
        <v>153.30000000000001</v>
      </c>
      <c r="K364" s="20">
        <f t="shared" si="228"/>
        <v>125</v>
      </c>
      <c r="L364" s="20">
        <v>125</v>
      </c>
      <c r="M364" s="20">
        <v>730</v>
      </c>
      <c r="N364" s="20">
        <f t="shared" si="208"/>
        <v>180</v>
      </c>
      <c r="O364" s="74">
        <v>375</v>
      </c>
      <c r="P364" s="20">
        <f t="shared" si="234"/>
        <v>50</v>
      </c>
      <c r="Q364" s="20">
        <f t="shared" si="235"/>
        <v>21</v>
      </c>
      <c r="R364" s="20">
        <v>100</v>
      </c>
      <c r="S364" s="20">
        <f t="shared" si="192"/>
        <v>60</v>
      </c>
      <c r="T364" s="20">
        <f t="shared" si="229"/>
        <v>36</v>
      </c>
      <c r="U364" s="20"/>
      <c r="V364" s="20">
        <f t="shared" si="204"/>
        <v>0</v>
      </c>
      <c r="W364" s="20">
        <f t="shared" si="236"/>
        <v>20</v>
      </c>
      <c r="X364" s="20">
        <f t="shared" si="219"/>
        <v>0</v>
      </c>
      <c r="Y364" s="20">
        <f t="shared" si="231"/>
        <v>3.5</v>
      </c>
      <c r="Z364" s="20">
        <f t="shared" si="207"/>
        <v>230</v>
      </c>
      <c r="AA364" s="20">
        <f t="shared" si="230"/>
        <v>306</v>
      </c>
      <c r="AB364" s="20">
        <f t="shared" si="194"/>
        <v>60</v>
      </c>
      <c r="AC364" s="20">
        <f t="shared" si="201"/>
        <v>1.6</v>
      </c>
      <c r="AD364" s="20">
        <f t="shared" si="238"/>
        <v>180</v>
      </c>
      <c r="AE364" s="20">
        <f t="shared" si="193"/>
        <v>1.1000000000000001</v>
      </c>
      <c r="AF364" s="20">
        <f t="shared" si="197"/>
        <v>275</v>
      </c>
      <c r="AG364" s="20">
        <f t="shared" si="203"/>
        <v>18</v>
      </c>
      <c r="AH364" s="20">
        <f t="shared" si="195"/>
        <v>3</v>
      </c>
      <c r="AI364" s="20">
        <f t="shared" si="237"/>
        <v>47</v>
      </c>
      <c r="AJ364" s="20">
        <f t="shared" si="210"/>
        <v>90</v>
      </c>
      <c r="AK364" s="20">
        <f t="shared" si="214"/>
        <v>14</v>
      </c>
      <c r="AL364" s="20">
        <f t="shared" si="211"/>
        <v>45</v>
      </c>
      <c r="AM364" s="20">
        <v>46</v>
      </c>
      <c r="AN364" s="20">
        <f t="shared" si="215"/>
        <v>0.75</v>
      </c>
      <c r="AO364" s="20">
        <f t="shared" si="227"/>
        <v>19</v>
      </c>
      <c r="AP364" s="20">
        <f t="shared" si="227"/>
        <v>19</v>
      </c>
      <c r="AQ364" s="20">
        <f t="shared" si="218"/>
        <v>5</v>
      </c>
      <c r="AR364" s="20">
        <f t="shared" si="206"/>
        <v>120</v>
      </c>
      <c r="AS364" s="20">
        <f t="shared" si="209"/>
        <v>120</v>
      </c>
      <c r="AT364" s="20">
        <f t="shared" si="202"/>
        <v>55</v>
      </c>
      <c r="AU364" s="20"/>
      <c r="AV364" s="20"/>
      <c r="AW364" s="20">
        <f t="shared" si="232"/>
        <v>5276.7500000000009</v>
      </c>
      <c r="AX364" s="86">
        <f t="shared" si="196"/>
        <v>5428.4449999999988</v>
      </c>
      <c r="AY364" s="17">
        <f>'[1]D4 Gallon Forecast'!$AF152/1000000</f>
        <v>0</v>
      </c>
      <c r="AZ364" s="17">
        <f>'[1]D4 Gallon Forecast'!$AF184/1000000</f>
        <v>350.14633718113515</v>
      </c>
      <c r="BA364" s="17">
        <f t="shared" si="199"/>
        <v>350.14633718113515</v>
      </c>
      <c r="BB364" s="17">
        <f>'[1]D4 Gallon Forecast'!$AF168/1000000</f>
        <v>0</v>
      </c>
      <c r="BC364" s="87">
        <f>'[1]D4 Gallon Forecast'!$AF344/1000000</f>
        <v>318.16222956939333</v>
      </c>
      <c r="BD364" s="88">
        <f>'[1]D4 Gallon Forecast'!$AF360/1000000</f>
        <v>0</v>
      </c>
      <c r="BE364" s="88">
        <f t="shared" si="200"/>
        <v>318.16222956939333</v>
      </c>
      <c r="BF364" s="76">
        <f t="shared" si="223"/>
        <v>668.30856675052848</v>
      </c>
      <c r="BG364" s="22">
        <f t="shared" si="224"/>
        <v>1.4495485198737212</v>
      </c>
      <c r="BI364" s="21">
        <f t="shared" si="233"/>
        <v>4702.9000000000005</v>
      </c>
      <c r="BJ364" s="21">
        <f t="shared" si="216"/>
        <v>725.54499999999825</v>
      </c>
      <c r="BK364" s="21">
        <f>'RD Feedstock Breakdown'!ES355</f>
        <v>7727.7437722989944</v>
      </c>
      <c r="BL364" s="89">
        <f t="shared" si="222"/>
        <v>11.563137384087533</v>
      </c>
      <c r="BM364" s="89">
        <f t="shared" si="220"/>
        <v>22.070040299468658</v>
      </c>
    </row>
    <row r="365" spans="1:65" ht="13.5" x14ac:dyDescent="0.25">
      <c r="A365" s="15">
        <v>51257</v>
      </c>
      <c r="B365" s="20">
        <f t="shared" si="221"/>
        <v>690</v>
      </c>
      <c r="C365" s="74">
        <v>47</v>
      </c>
      <c r="D365" s="20">
        <f t="shared" si="213"/>
        <v>3</v>
      </c>
      <c r="E365" s="20">
        <f t="shared" si="226"/>
        <v>85</v>
      </c>
      <c r="F365" s="20">
        <f t="shared" si="198"/>
        <v>340</v>
      </c>
      <c r="G365" s="20">
        <f t="shared" si="212"/>
        <v>37.5</v>
      </c>
      <c r="H365" s="20">
        <f t="shared" si="239"/>
        <v>190</v>
      </c>
      <c r="I365" s="20">
        <f t="shared" si="225"/>
        <v>250</v>
      </c>
      <c r="J365" s="20">
        <f t="shared" si="217"/>
        <v>153.30000000000001</v>
      </c>
      <c r="K365" s="20">
        <f t="shared" si="228"/>
        <v>125</v>
      </c>
      <c r="L365" s="20">
        <v>125</v>
      </c>
      <c r="M365" s="20">
        <v>730</v>
      </c>
      <c r="N365" s="20">
        <f t="shared" si="208"/>
        <v>180</v>
      </c>
      <c r="O365" s="74">
        <v>375</v>
      </c>
      <c r="P365" s="20">
        <f t="shared" si="234"/>
        <v>50</v>
      </c>
      <c r="Q365" s="20">
        <f t="shared" si="235"/>
        <v>21</v>
      </c>
      <c r="R365" s="20">
        <v>100</v>
      </c>
      <c r="S365" s="20">
        <f t="shared" si="192"/>
        <v>60</v>
      </c>
      <c r="T365" s="20">
        <f t="shared" si="229"/>
        <v>36</v>
      </c>
      <c r="U365" s="20"/>
      <c r="V365" s="20">
        <f t="shared" si="204"/>
        <v>0</v>
      </c>
      <c r="W365" s="20">
        <f t="shared" si="236"/>
        <v>20</v>
      </c>
      <c r="X365" s="20">
        <f t="shared" si="219"/>
        <v>0</v>
      </c>
      <c r="Y365" s="20">
        <f t="shared" si="231"/>
        <v>3.5</v>
      </c>
      <c r="Z365" s="20">
        <f t="shared" si="207"/>
        <v>230</v>
      </c>
      <c r="AA365" s="20">
        <f t="shared" si="230"/>
        <v>306</v>
      </c>
      <c r="AB365" s="20">
        <f t="shared" si="194"/>
        <v>60</v>
      </c>
      <c r="AC365" s="20">
        <f t="shared" si="201"/>
        <v>1.6</v>
      </c>
      <c r="AD365" s="20">
        <f t="shared" si="238"/>
        <v>180</v>
      </c>
      <c r="AE365" s="20">
        <f t="shared" si="193"/>
        <v>1.1000000000000001</v>
      </c>
      <c r="AF365" s="20">
        <f t="shared" si="197"/>
        <v>275</v>
      </c>
      <c r="AG365" s="20">
        <f t="shared" si="203"/>
        <v>18</v>
      </c>
      <c r="AH365" s="20">
        <f t="shared" si="195"/>
        <v>3</v>
      </c>
      <c r="AI365" s="20">
        <f t="shared" si="237"/>
        <v>47</v>
      </c>
      <c r="AJ365" s="20">
        <f t="shared" si="210"/>
        <v>90</v>
      </c>
      <c r="AK365" s="20">
        <f t="shared" si="214"/>
        <v>14</v>
      </c>
      <c r="AL365" s="20">
        <f t="shared" si="211"/>
        <v>45</v>
      </c>
      <c r="AM365" s="20">
        <v>46</v>
      </c>
      <c r="AN365" s="20">
        <f t="shared" si="215"/>
        <v>0.75</v>
      </c>
      <c r="AO365" s="20">
        <f t="shared" si="227"/>
        <v>19</v>
      </c>
      <c r="AP365" s="20">
        <f t="shared" si="227"/>
        <v>19</v>
      </c>
      <c r="AQ365" s="20">
        <f t="shared" si="218"/>
        <v>5</v>
      </c>
      <c r="AR365" s="20">
        <f t="shared" si="206"/>
        <v>120</v>
      </c>
      <c r="AS365" s="20">
        <f t="shared" si="209"/>
        <v>120</v>
      </c>
      <c r="AT365" s="20">
        <f t="shared" si="202"/>
        <v>55</v>
      </c>
      <c r="AU365" s="20"/>
      <c r="AV365" s="20"/>
      <c r="AW365" s="20">
        <f t="shared" si="232"/>
        <v>5276.7500000000009</v>
      </c>
      <c r="AX365" s="86">
        <f t="shared" si="196"/>
        <v>5428.4449999999988</v>
      </c>
      <c r="AY365" s="17">
        <f>'[1]D4 Gallon Forecast'!$AF153/1000000</f>
        <v>0</v>
      </c>
      <c r="AZ365" s="17">
        <f>'[1]D4 Gallon Forecast'!$AF185/1000000</f>
        <v>391.14667085669998</v>
      </c>
      <c r="BA365" s="17">
        <f t="shared" si="199"/>
        <v>391.14667085669998</v>
      </c>
      <c r="BB365" s="17">
        <f>'[1]D4 Gallon Forecast'!$AF169/1000000</f>
        <v>0</v>
      </c>
      <c r="BC365" s="87">
        <f>'[1]D4 Gallon Forecast'!$AF345/1000000</f>
        <v>418.80709362650219</v>
      </c>
      <c r="BD365" s="88">
        <f>'[1]D4 Gallon Forecast'!$AF361/1000000</f>
        <v>0</v>
      </c>
      <c r="BE365" s="88">
        <f t="shared" si="200"/>
        <v>418.80709362650219</v>
      </c>
      <c r="BF365" s="76">
        <f t="shared" si="223"/>
        <v>809.95376448320212</v>
      </c>
      <c r="BG365" s="22">
        <f t="shared" si="224"/>
        <v>1.8153333906632492</v>
      </c>
      <c r="BI365" s="21">
        <f t="shared" si="233"/>
        <v>4702.9000000000005</v>
      </c>
      <c r="BJ365" s="21">
        <f t="shared" si="216"/>
        <v>725.54499999999825</v>
      </c>
      <c r="BK365" s="21">
        <f>'RD Feedstock Breakdown'!ES356</f>
        <v>11728.961292967195</v>
      </c>
      <c r="BL365" s="89">
        <f t="shared" si="222"/>
        <v>14.481025716882689</v>
      </c>
      <c r="BM365" s="89">
        <f t="shared" si="220"/>
        <v>29.986095157803867</v>
      </c>
    </row>
    <row r="366" spans="1:65" ht="13.5" x14ac:dyDescent="0.25">
      <c r="A366" s="15">
        <v>51288</v>
      </c>
      <c r="B366" s="20">
        <f t="shared" si="221"/>
        <v>690</v>
      </c>
      <c r="C366" s="74">
        <v>47</v>
      </c>
      <c r="D366" s="20">
        <f t="shared" si="213"/>
        <v>3</v>
      </c>
      <c r="E366" s="20">
        <f t="shared" si="226"/>
        <v>85</v>
      </c>
      <c r="F366" s="20">
        <f t="shared" si="198"/>
        <v>340</v>
      </c>
      <c r="G366" s="20">
        <f t="shared" si="212"/>
        <v>37.5</v>
      </c>
      <c r="H366" s="20">
        <f t="shared" si="239"/>
        <v>190</v>
      </c>
      <c r="I366" s="20">
        <f t="shared" si="225"/>
        <v>250</v>
      </c>
      <c r="J366" s="20">
        <f t="shared" si="217"/>
        <v>153.30000000000001</v>
      </c>
      <c r="K366" s="20">
        <f t="shared" si="228"/>
        <v>125</v>
      </c>
      <c r="L366" s="20">
        <v>125</v>
      </c>
      <c r="M366" s="20">
        <v>730</v>
      </c>
      <c r="N366" s="20">
        <f t="shared" si="208"/>
        <v>180</v>
      </c>
      <c r="O366" s="74">
        <v>375</v>
      </c>
      <c r="P366" s="20">
        <f t="shared" si="234"/>
        <v>50</v>
      </c>
      <c r="Q366" s="20">
        <f t="shared" si="235"/>
        <v>21</v>
      </c>
      <c r="R366" s="20">
        <v>100</v>
      </c>
      <c r="S366" s="20">
        <f t="shared" ref="S366:S429" si="240">150*$S$12</f>
        <v>60</v>
      </c>
      <c r="T366" s="20">
        <f t="shared" si="229"/>
        <v>36</v>
      </c>
      <c r="U366" s="20"/>
      <c r="V366" s="20">
        <f t="shared" si="204"/>
        <v>0</v>
      </c>
      <c r="W366" s="20">
        <f t="shared" si="236"/>
        <v>20</v>
      </c>
      <c r="X366" s="20">
        <f t="shared" si="219"/>
        <v>0</v>
      </c>
      <c r="Y366" s="20">
        <f t="shared" si="231"/>
        <v>3.5</v>
      </c>
      <c r="Z366" s="20">
        <f t="shared" si="207"/>
        <v>230</v>
      </c>
      <c r="AA366" s="20">
        <f t="shared" si="230"/>
        <v>306</v>
      </c>
      <c r="AB366" s="20">
        <f t="shared" si="194"/>
        <v>60</v>
      </c>
      <c r="AC366" s="20">
        <f t="shared" si="201"/>
        <v>1.6</v>
      </c>
      <c r="AD366" s="20">
        <f t="shared" si="238"/>
        <v>180</v>
      </c>
      <c r="AE366" s="20">
        <f t="shared" si="193"/>
        <v>1.1000000000000001</v>
      </c>
      <c r="AF366" s="20">
        <f t="shared" si="197"/>
        <v>275</v>
      </c>
      <c r="AG366" s="20">
        <f t="shared" si="203"/>
        <v>18</v>
      </c>
      <c r="AH366" s="20">
        <f t="shared" si="195"/>
        <v>3</v>
      </c>
      <c r="AI366" s="20">
        <f t="shared" si="237"/>
        <v>47</v>
      </c>
      <c r="AJ366" s="20">
        <f t="shared" si="210"/>
        <v>90</v>
      </c>
      <c r="AK366" s="20">
        <f t="shared" si="214"/>
        <v>14</v>
      </c>
      <c r="AL366" s="20">
        <f t="shared" si="211"/>
        <v>45</v>
      </c>
      <c r="AM366" s="20">
        <v>46</v>
      </c>
      <c r="AN366" s="20">
        <f t="shared" si="215"/>
        <v>0.75</v>
      </c>
      <c r="AO366" s="20">
        <f t="shared" si="227"/>
        <v>19</v>
      </c>
      <c r="AP366" s="20">
        <f t="shared" si="227"/>
        <v>19</v>
      </c>
      <c r="AQ366" s="20">
        <f t="shared" si="218"/>
        <v>5</v>
      </c>
      <c r="AR366" s="20">
        <f t="shared" si="206"/>
        <v>120</v>
      </c>
      <c r="AS366" s="20">
        <f t="shared" si="209"/>
        <v>120</v>
      </c>
      <c r="AT366" s="20">
        <f t="shared" si="202"/>
        <v>55</v>
      </c>
      <c r="AU366" s="20"/>
      <c r="AV366" s="20"/>
      <c r="AW366" s="20">
        <f t="shared" si="232"/>
        <v>5276.7500000000009</v>
      </c>
      <c r="AX366" s="86">
        <f t="shared" si="196"/>
        <v>5428.4449999999988</v>
      </c>
      <c r="AY366" s="17">
        <f>'[1]D4 Gallon Forecast'!$AF154/1000000</f>
        <v>0</v>
      </c>
      <c r="AZ366" s="17">
        <f>'[1]D4 Gallon Forecast'!$AF186/1000000</f>
        <v>387.95623849263353</v>
      </c>
      <c r="BA366" s="17">
        <f t="shared" si="199"/>
        <v>387.95623849263353</v>
      </c>
      <c r="BB366" s="17">
        <f>'[1]D4 Gallon Forecast'!$AF170/1000000</f>
        <v>0</v>
      </c>
      <c r="BC366" s="87">
        <f>'[1]D4 Gallon Forecast'!$AF346/1000000</f>
        <v>399.51455976192761</v>
      </c>
      <c r="BD366" s="88">
        <f>'[1]D4 Gallon Forecast'!$AF362/1000000</f>
        <v>0</v>
      </c>
      <c r="BE366" s="88">
        <f t="shared" si="200"/>
        <v>399.51455976192761</v>
      </c>
      <c r="BF366" s="76">
        <f t="shared" si="223"/>
        <v>787.47079825456115</v>
      </c>
      <c r="BG366" s="22">
        <f t="shared" si="224"/>
        <v>1.7080091245931559</v>
      </c>
      <c r="BI366" s="21">
        <f t="shared" si="233"/>
        <v>4702.9000000000005</v>
      </c>
      <c r="BJ366" s="21">
        <f t="shared" si="216"/>
        <v>725.54499999999825</v>
      </c>
      <c r="BK366" s="21">
        <f>'RD Feedstock Breakdown'!ES357</f>
        <v>10729.205735905844</v>
      </c>
      <c r="BL366" s="89">
        <f t="shared" si="222"/>
        <v>13.624893468668631</v>
      </c>
      <c r="BM366" s="89">
        <f t="shared" si="220"/>
        <v>27.655711318351614</v>
      </c>
    </row>
    <row r="367" spans="1:65" ht="13.5" x14ac:dyDescent="0.25">
      <c r="A367" s="15">
        <v>51318</v>
      </c>
      <c r="B367" s="20">
        <f t="shared" si="221"/>
        <v>690</v>
      </c>
      <c r="C367" s="74">
        <v>47</v>
      </c>
      <c r="D367" s="20">
        <f t="shared" si="213"/>
        <v>3</v>
      </c>
      <c r="E367" s="20">
        <f t="shared" si="226"/>
        <v>85</v>
      </c>
      <c r="F367" s="20">
        <f t="shared" si="198"/>
        <v>340</v>
      </c>
      <c r="G367" s="20">
        <f t="shared" si="212"/>
        <v>37.5</v>
      </c>
      <c r="H367" s="20">
        <f t="shared" si="239"/>
        <v>190</v>
      </c>
      <c r="I367" s="20">
        <f t="shared" si="225"/>
        <v>250</v>
      </c>
      <c r="J367" s="20">
        <f t="shared" si="217"/>
        <v>153.30000000000001</v>
      </c>
      <c r="K367" s="20">
        <f t="shared" si="228"/>
        <v>125</v>
      </c>
      <c r="L367" s="20">
        <v>125</v>
      </c>
      <c r="M367" s="20">
        <v>730</v>
      </c>
      <c r="N367" s="20">
        <f t="shared" si="208"/>
        <v>180</v>
      </c>
      <c r="O367" s="74">
        <v>375</v>
      </c>
      <c r="P367" s="20">
        <f t="shared" si="234"/>
        <v>50</v>
      </c>
      <c r="Q367" s="20">
        <f t="shared" si="235"/>
        <v>21</v>
      </c>
      <c r="R367" s="20">
        <v>100</v>
      </c>
      <c r="S367" s="20">
        <f t="shared" si="240"/>
        <v>60</v>
      </c>
      <c r="T367" s="20">
        <f t="shared" si="229"/>
        <v>36</v>
      </c>
      <c r="U367" s="20"/>
      <c r="V367" s="20">
        <f t="shared" si="204"/>
        <v>0</v>
      </c>
      <c r="W367" s="20">
        <f t="shared" si="236"/>
        <v>20</v>
      </c>
      <c r="X367" s="20">
        <f t="shared" si="219"/>
        <v>0</v>
      </c>
      <c r="Y367" s="20">
        <f t="shared" si="231"/>
        <v>3.5</v>
      </c>
      <c r="Z367" s="20">
        <f t="shared" si="207"/>
        <v>230</v>
      </c>
      <c r="AA367" s="20">
        <f t="shared" si="230"/>
        <v>306</v>
      </c>
      <c r="AB367" s="20">
        <f t="shared" si="194"/>
        <v>60</v>
      </c>
      <c r="AC367" s="20">
        <f t="shared" si="201"/>
        <v>1.6</v>
      </c>
      <c r="AD367" s="20">
        <f t="shared" si="238"/>
        <v>180</v>
      </c>
      <c r="AE367" s="20">
        <f t="shared" ref="AE367:AE430" si="241">55*$AE$12+(55*$AE$12)</f>
        <v>1.1000000000000001</v>
      </c>
      <c r="AF367" s="20">
        <f t="shared" si="197"/>
        <v>275</v>
      </c>
      <c r="AG367" s="20">
        <f t="shared" si="203"/>
        <v>18</v>
      </c>
      <c r="AH367" s="20">
        <f t="shared" si="195"/>
        <v>3</v>
      </c>
      <c r="AI367" s="20">
        <f t="shared" si="237"/>
        <v>47</v>
      </c>
      <c r="AJ367" s="20">
        <f t="shared" si="210"/>
        <v>90</v>
      </c>
      <c r="AK367" s="20">
        <f t="shared" si="214"/>
        <v>14</v>
      </c>
      <c r="AL367" s="20">
        <f t="shared" si="211"/>
        <v>45</v>
      </c>
      <c r="AM367" s="20">
        <v>46</v>
      </c>
      <c r="AN367" s="20">
        <f t="shared" si="215"/>
        <v>0.75</v>
      </c>
      <c r="AO367" s="20">
        <f t="shared" si="227"/>
        <v>19</v>
      </c>
      <c r="AP367" s="20">
        <f t="shared" si="227"/>
        <v>19</v>
      </c>
      <c r="AQ367" s="20">
        <f t="shared" si="218"/>
        <v>5</v>
      </c>
      <c r="AR367" s="20">
        <f t="shared" si="206"/>
        <v>120</v>
      </c>
      <c r="AS367" s="20">
        <f t="shared" si="209"/>
        <v>120</v>
      </c>
      <c r="AT367" s="20">
        <f t="shared" si="202"/>
        <v>55</v>
      </c>
      <c r="AU367" s="20"/>
      <c r="AV367" s="20"/>
      <c r="AW367" s="20">
        <f t="shared" si="232"/>
        <v>5276.7500000000009</v>
      </c>
      <c r="AX367" s="86">
        <f t="shared" si="196"/>
        <v>5428.4449999999988</v>
      </c>
      <c r="AY367" s="17">
        <f>'[1]D4 Gallon Forecast'!$AF155/1000000</f>
        <v>0</v>
      </c>
      <c r="AZ367" s="17">
        <f>'[1]D4 Gallon Forecast'!$AF187/1000000</f>
        <v>379.98248075247301</v>
      </c>
      <c r="BA367" s="17">
        <f t="shared" si="199"/>
        <v>379.98248075247301</v>
      </c>
      <c r="BB367" s="17">
        <f>'[1]D4 Gallon Forecast'!$AF171/1000000</f>
        <v>0</v>
      </c>
      <c r="BC367" s="87">
        <f>'[1]D4 Gallon Forecast'!$AF347/1000000</f>
        <v>434.58589758986244</v>
      </c>
      <c r="BD367" s="88">
        <f>'[1]D4 Gallon Forecast'!$AF363/1000000</f>
        <v>0</v>
      </c>
      <c r="BE367" s="88">
        <f t="shared" si="200"/>
        <v>434.58589758986244</v>
      </c>
      <c r="BF367" s="76">
        <f t="shared" si="223"/>
        <v>814.56837834233545</v>
      </c>
      <c r="BG367" s="22">
        <f t="shared" si="224"/>
        <v>1.825676033652071</v>
      </c>
      <c r="BI367" s="21">
        <f t="shared" si="233"/>
        <v>4702.9000000000005</v>
      </c>
      <c r="BJ367" s="21">
        <f t="shared" si="216"/>
        <v>725.54499999999825</v>
      </c>
      <c r="BK367" s="21">
        <f>'RD Feedstock Breakdown'!ES358</f>
        <v>11862.990700528953</v>
      </c>
      <c r="BL367" s="89">
        <f t="shared" si="222"/>
        <v>14.563529613892452</v>
      </c>
      <c r="BM367" s="89">
        <f t="shared" si="220"/>
        <v>31.219835917268789</v>
      </c>
    </row>
    <row r="368" spans="1:65" ht="13.5" x14ac:dyDescent="0.25">
      <c r="A368" s="15">
        <v>51349</v>
      </c>
      <c r="B368" s="20">
        <f t="shared" si="221"/>
        <v>690</v>
      </c>
      <c r="C368" s="74">
        <v>47</v>
      </c>
      <c r="D368" s="20">
        <f t="shared" si="213"/>
        <v>3</v>
      </c>
      <c r="E368" s="20">
        <f t="shared" si="226"/>
        <v>85</v>
      </c>
      <c r="F368" s="20">
        <f t="shared" si="198"/>
        <v>340</v>
      </c>
      <c r="G368" s="20">
        <f t="shared" si="212"/>
        <v>37.5</v>
      </c>
      <c r="H368" s="20">
        <f t="shared" si="239"/>
        <v>190</v>
      </c>
      <c r="I368" s="20">
        <f t="shared" si="225"/>
        <v>250</v>
      </c>
      <c r="J368" s="20">
        <f t="shared" si="217"/>
        <v>153.30000000000001</v>
      </c>
      <c r="K368" s="20">
        <f t="shared" si="228"/>
        <v>125</v>
      </c>
      <c r="L368" s="20">
        <v>125</v>
      </c>
      <c r="M368" s="20">
        <v>730</v>
      </c>
      <c r="N368" s="20">
        <f t="shared" si="208"/>
        <v>180</v>
      </c>
      <c r="O368" s="74">
        <v>375</v>
      </c>
      <c r="P368" s="20">
        <f t="shared" si="234"/>
        <v>50</v>
      </c>
      <c r="Q368" s="20">
        <f t="shared" si="235"/>
        <v>21</v>
      </c>
      <c r="R368" s="20">
        <v>100</v>
      </c>
      <c r="S368" s="20">
        <f t="shared" si="240"/>
        <v>60</v>
      </c>
      <c r="T368" s="20">
        <f t="shared" si="229"/>
        <v>36</v>
      </c>
      <c r="U368" s="20"/>
      <c r="V368" s="20">
        <f t="shared" si="204"/>
        <v>0</v>
      </c>
      <c r="W368" s="20">
        <f t="shared" si="236"/>
        <v>20</v>
      </c>
      <c r="X368" s="20">
        <f t="shared" si="219"/>
        <v>0</v>
      </c>
      <c r="Y368" s="20">
        <f t="shared" si="231"/>
        <v>3.5</v>
      </c>
      <c r="Z368" s="20">
        <f t="shared" si="207"/>
        <v>230</v>
      </c>
      <c r="AA368" s="20">
        <f t="shared" si="230"/>
        <v>306</v>
      </c>
      <c r="AB368" s="20">
        <f t="shared" ref="AB368:AB431" si="242">$AB$5*$AB$12</f>
        <v>60</v>
      </c>
      <c r="AC368" s="20">
        <f t="shared" si="201"/>
        <v>1.6</v>
      </c>
      <c r="AD368" s="20">
        <f t="shared" si="238"/>
        <v>180</v>
      </c>
      <c r="AE368" s="20">
        <f t="shared" si="241"/>
        <v>1.1000000000000001</v>
      </c>
      <c r="AF368" s="20">
        <f t="shared" si="197"/>
        <v>275</v>
      </c>
      <c r="AG368" s="20">
        <f t="shared" si="203"/>
        <v>18</v>
      </c>
      <c r="AH368" s="20">
        <f t="shared" si="195"/>
        <v>3</v>
      </c>
      <c r="AI368" s="20">
        <f t="shared" si="237"/>
        <v>47</v>
      </c>
      <c r="AJ368" s="20">
        <f t="shared" si="210"/>
        <v>90</v>
      </c>
      <c r="AK368" s="20">
        <f t="shared" si="214"/>
        <v>14</v>
      </c>
      <c r="AL368" s="20">
        <f t="shared" si="211"/>
        <v>45</v>
      </c>
      <c r="AM368" s="20">
        <v>46</v>
      </c>
      <c r="AN368" s="20">
        <f t="shared" si="215"/>
        <v>0.75</v>
      </c>
      <c r="AO368" s="20">
        <f t="shared" si="227"/>
        <v>19</v>
      </c>
      <c r="AP368" s="20">
        <f t="shared" si="227"/>
        <v>19</v>
      </c>
      <c r="AQ368" s="20">
        <f t="shared" si="218"/>
        <v>5</v>
      </c>
      <c r="AR368" s="20">
        <f t="shared" si="206"/>
        <v>120</v>
      </c>
      <c r="AS368" s="20">
        <f t="shared" si="209"/>
        <v>120</v>
      </c>
      <c r="AT368" s="20">
        <f t="shared" si="202"/>
        <v>55</v>
      </c>
      <c r="AU368" s="20"/>
      <c r="AV368" s="20"/>
      <c r="AW368" s="20">
        <f t="shared" si="232"/>
        <v>5276.7500000000009</v>
      </c>
      <c r="AX368" s="86">
        <f t="shared" si="196"/>
        <v>5428.4449999999988</v>
      </c>
      <c r="AY368" s="17">
        <f>'[1]D4 Gallon Forecast'!$AF156/1000000</f>
        <v>0</v>
      </c>
      <c r="AZ368" s="17">
        <f>'[1]D4 Gallon Forecast'!$AF188/1000000</f>
        <v>385.42023301842102</v>
      </c>
      <c r="BA368" s="17">
        <f t="shared" si="199"/>
        <v>385.42023301842102</v>
      </c>
      <c r="BB368" s="17">
        <f>'[1]D4 Gallon Forecast'!$AF172/1000000</f>
        <v>0</v>
      </c>
      <c r="BC368" s="87">
        <f>'[1]D4 Gallon Forecast'!$AF348/1000000</f>
        <v>473.18816068332802</v>
      </c>
      <c r="BD368" s="88">
        <f>'[1]D4 Gallon Forecast'!$AF364/1000000</f>
        <v>0</v>
      </c>
      <c r="BE368" s="88">
        <f t="shared" si="200"/>
        <v>473.18816068332802</v>
      </c>
      <c r="BF368" s="76">
        <f t="shared" si="223"/>
        <v>858.60839370174904</v>
      </c>
      <c r="BG368" s="22">
        <f t="shared" si="224"/>
        <v>1.8623052107397502</v>
      </c>
      <c r="BI368" s="21">
        <f t="shared" si="233"/>
        <v>4702.9000000000005</v>
      </c>
      <c r="BJ368" s="21">
        <f t="shared" si="216"/>
        <v>725.54499999999825</v>
      </c>
      <c r="BK368" s="21">
        <f>'RD Feedstock Breakdown'!ES359</f>
        <v>12755.24829443156</v>
      </c>
      <c r="BL368" s="89">
        <f t="shared" si="222"/>
        <v>14.855722804478305</v>
      </c>
      <c r="BM368" s="89">
        <f t="shared" si="220"/>
        <v>33.094392047191583</v>
      </c>
    </row>
    <row r="369" spans="1:65" ht="13.5" x14ac:dyDescent="0.25">
      <c r="A369" s="15">
        <v>51380</v>
      </c>
      <c r="B369" s="20">
        <f t="shared" si="221"/>
        <v>690</v>
      </c>
      <c r="C369" s="74">
        <v>47</v>
      </c>
      <c r="D369" s="20">
        <f t="shared" si="213"/>
        <v>3</v>
      </c>
      <c r="E369" s="20">
        <f t="shared" si="226"/>
        <v>85</v>
      </c>
      <c r="F369" s="20">
        <f t="shared" si="198"/>
        <v>340</v>
      </c>
      <c r="G369" s="20">
        <f t="shared" si="212"/>
        <v>37.5</v>
      </c>
      <c r="H369" s="20">
        <f t="shared" si="239"/>
        <v>190</v>
      </c>
      <c r="I369" s="20">
        <f t="shared" si="225"/>
        <v>250</v>
      </c>
      <c r="J369" s="20">
        <f t="shared" si="217"/>
        <v>153.30000000000001</v>
      </c>
      <c r="K369" s="20">
        <f t="shared" si="228"/>
        <v>125</v>
      </c>
      <c r="L369" s="20">
        <v>125</v>
      </c>
      <c r="M369" s="20">
        <v>730</v>
      </c>
      <c r="N369" s="20">
        <f t="shared" si="208"/>
        <v>180</v>
      </c>
      <c r="O369" s="74">
        <v>375</v>
      </c>
      <c r="P369" s="20">
        <f t="shared" si="234"/>
        <v>50</v>
      </c>
      <c r="Q369" s="20">
        <f t="shared" si="235"/>
        <v>21</v>
      </c>
      <c r="R369" s="20">
        <v>100</v>
      </c>
      <c r="S369" s="20">
        <f t="shared" si="240"/>
        <v>60</v>
      </c>
      <c r="T369" s="20">
        <f t="shared" si="229"/>
        <v>36</v>
      </c>
      <c r="U369" s="20"/>
      <c r="V369" s="20">
        <f t="shared" si="204"/>
        <v>0</v>
      </c>
      <c r="W369" s="20">
        <f t="shared" si="236"/>
        <v>20</v>
      </c>
      <c r="X369" s="20">
        <f t="shared" si="219"/>
        <v>0</v>
      </c>
      <c r="Y369" s="20">
        <f t="shared" si="231"/>
        <v>3.5</v>
      </c>
      <c r="Z369" s="20">
        <f t="shared" si="207"/>
        <v>230</v>
      </c>
      <c r="AA369" s="20">
        <f t="shared" si="230"/>
        <v>306</v>
      </c>
      <c r="AB369" s="20">
        <f t="shared" si="242"/>
        <v>60</v>
      </c>
      <c r="AC369" s="20">
        <f t="shared" si="201"/>
        <v>1.6</v>
      </c>
      <c r="AD369" s="20">
        <f t="shared" si="238"/>
        <v>180</v>
      </c>
      <c r="AE369" s="20">
        <f t="shared" si="241"/>
        <v>1.1000000000000001</v>
      </c>
      <c r="AF369" s="20">
        <f t="shared" si="197"/>
        <v>275</v>
      </c>
      <c r="AG369" s="20">
        <f t="shared" si="203"/>
        <v>18</v>
      </c>
      <c r="AH369" s="20">
        <f t="shared" ref="AH369:AH432" si="243">60*$AH$12</f>
        <v>3</v>
      </c>
      <c r="AI369" s="20">
        <f t="shared" si="237"/>
        <v>47</v>
      </c>
      <c r="AJ369" s="20">
        <f t="shared" si="210"/>
        <v>90</v>
      </c>
      <c r="AK369" s="20">
        <f t="shared" si="214"/>
        <v>14</v>
      </c>
      <c r="AL369" s="20">
        <f t="shared" si="211"/>
        <v>45</v>
      </c>
      <c r="AM369" s="20">
        <v>46</v>
      </c>
      <c r="AN369" s="20">
        <f t="shared" si="215"/>
        <v>0.75</v>
      </c>
      <c r="AO369" s="20">
        <f t="shared" si="227"/>
        <v>19</v>
      </c>
      <c r="AP369" s="20">
        <f t="shared" si="227"/>
        <v>19</v>
      </c>
      <c r="AQ369" s="20">
        <f t="shared" si="218"/>
        <v>5</v>
      </c>
      <c r="AR369" s="20">
        <f t="shared" si="206"/>
        <v>120</v>
      </c>
      <c r="AS369" s="20">
        <f t="shared" si="209"/>
        <v>120</v>
      </c>
      <c r="AT369" s="20">
        <f t="shared" si="202"/>
        <v>55</v>
      </c>
      <c r="AU369" s="20"/>
      <c r="AV369" s="20"/>
      <c r="AW369" s="20">
        <f t="shared" si="232"/>
        <v>5276.7500000000009</v>
      </c>
      <c r="AX369" s="86">
        <f t="shared" si="196"/>
        <v>5428.4449999999988</v>
      </c>
      <c r="AY369" s="17">
        <f>'[1]D4 Gallon Forecast'!$AF157/1000000</f>
        <v>0</v>
      </c>
      <c r="AZ369" s="17">
        <f>'[1]D4 Gallon Forecast'!$AF189/1000000</f>
        <v>392.44482000199713</v>
      </c>
      <c r="BA369" s="17">
        <f t="shared" si="199"/>
        <v>392.44482000199713</v>
      </c>
      <c r="BB369" s="17">
        <f>'[1]D4 Gallon Forecast'!$AF173/1000000</f>
        <v>0</v>
      </c>
      <c r="BC369" s="87">
        <f>'[1]D4 Gallon Forecast'!$AF349/1000000</f>
        <v>575.48992787385146</v>
      </c>
      <c r="BD369" s="88">
        <f>'[1]D4 Gallon Forecast'!$AF365/1000000</f>
        <v>0</v>
      </c>
      <c r="BE369" s="88">
        <f t="shared" si="200"/>
        <v>575.48992787385146</v>
      </c>
      <c r="BF369" s="76">
        <f t="shared" si="223"/>
        <v>967.93474787584864</v>
      </c>
      <c r="BG369" s="22">
        <f t="shared" si="224"/>
        <v>2.0994319853474632</v>
      </c>
      <c r="BI369" s="21">
        <f t="shared" si="233"/>
        <v>4702.9000000000005</v>
      </c>
      <c r="BJ369" s="21">
        <f t="shared" si="216"/>
        <v>725.54499999999825</v>
      </c>
      <c r="BK369" s="21">
        <f>'RD Feedstock Breakdown'!ES360</f>
        <v>16210.291298190956</v>
      </c>
      <c r="BL369" s="89">
        <f t="shared" si="222"/>
        <v>16.747297618733857</v>
      </c>
      <c r="BM369" s="89">
        <f t="shared" si="220"/>
        <v>41.305912250564198</v>
      </c>
    </row>
    <row r="370" spans="1:65" ht="13.5" x14ac:dyDescent="0.25">
      <c r="A370" s="15">
        <v>51410</v>
      </c>
      <c r="B370" s="20">
        <f t="shared" si="221"/>
        <v>690</v>
      </c>
      <c r="C370" s="74">
        <v>47</v>
      </c>
      <c r="D370" s="20">
        <f t="shared" si="213"/>
        <v>3</v>
      </c>
      <c r="E370" s="20">
        <f t="shared" si="226"/>
        <v>85</v>
      </c>
      <c r="F370" s="20">
        <f t="shared" si="198"/>
        <v>340</v>
      </c>
      <c r="G370" s="20">
        <f t="shared" si="212"/>
        <v>37.5</v>
      </c>
      <c r="H370" s="20">
        <f t="shared" si="239"/>
        <v>190</v>
      </c>
      <c r="I370" s="20">
        <f t="shared" si="225"/>
        <v>250</v>
      </c>
      <c r="J370" s="20">
        <f t="shared" si="217"/>
        <v>153.30000000000001</v>
      </c>
      <c r="K370" s="20">
        <f t="shared" si="228"/>
        <v>125</v>
      </c>
      <c r="L370" s="20">
        <v>125</v>
      </c>
      <c r="M370" s="20">
        <v>730</v>
      </c>
      <c r="N370" s="20">
        <f t="shared" si="208"/>
        <v>180</v>
      </c>
      <c r="O370" s="74">
        <v>375</v>
      </c>
      <c r="P370" s="20">
        <f t="shared" si="234"/>
        <v>50</v>
      </c>
      <c r="Q370" s="20">
        <f t="shared" si="235"/>
        <v>21</v>
      </c>
      <c r="R370" s="20">
        <v>100</v>
      </c>
      <c r="S370" s="20">
        <f t="shared" si="240"/>
        <v>60</v>
      </c>
      <c r="T370" s="20">
        <f t="shared" si="229"/>
        <v>36</v>
      </c>
      <c r="U370" s="20"/>
      <c r="V370" s="20">
        <f t="shared" si="204"/>
        <v>0</v>
      </c>
      <c r="W370" s="20">
        <f t="shared" si="236"/>
        <v>20</v>
      </c>
      <c r="X370" s="20">
        <f t="shared" si="219"/>
        <v>0</v>
      </c>
      <c r="Y370" s="20">
        <f t="shared" si="231"/>
        <v>3.5</v>
      </c>
      <c r="Z370" s="20">
        <f t="shared" si="207"/>
        <v>230</v>
      </c>
      <c r="AA370" s="20">
        <f t="shared" si="230"/>
        <v>306</v>
      </c>
      <c r="AB370" s="20">
        <f t="shared" si="242"/>
        <v>60</v>
      </c>
      <c r="AC370" s="20">
        <f t="shared" si="201"/>
        <v>1.6</v>
      </c>
      <c r="AD370" s="20">
        <f t="shared" si="238"/>
        <v>180</v>
      </c>
      <c r="AE370" s="20">
        <f t="shared" si="241"/>
        <v>1.1000000000000001</v>
      </c>
      <c r="AF370" s="20">
        <f t="shared" si="197"/>
        <v>275</v>
      </c>
      <c r="AG370" s="20">
        <f t="shared" si="203"/>
        <v>18</v>
      </c>
      <c r="AH370" s="20">
        <f t="shared" si="243"/>
        <v>3</v>
      </c>
      <c r="AI370" s="20">
        <f t="shared" si="237"/>
        <v>47</v>
      </c>
      <c r="AJ370" s="20">
        <f t="shared" si="210"/>
        <v>90</v>
      </c>
      <c r="AK370" s="20">
        <f t="shared" si="214"/>
        <v>14</v>
      </c>
      <c r="AL370" s="20">
        <f t="shared" si="211"/>
        <v>45</v>
      </c>
      <c r="AM370" s="20">
        <v>46</v>
      </c>
      <c r="AN370" s="20">
        <f t="shared" si="215"/>
        <v>0.75</v>
      </c>
      <c r="AO370" s="20">
        <f t="shared" si="227"/>
        <v>19</v>
      </c>
      <c r="AP370" s="20">
        <f t="shared" si="227"/>
        <v>19</v>
      </c>
      <c r="AQ370" s="20">
        <f t="shared" si="218"/>
        <v>5</v>
      </c>
      <c r="AR370" s="20">
        <f t="shared" si="206"/>
        <v>120</v>
      </c>
      <c r="AS370" s="20">
        <f t="shared" si="209"/>
        <v>120</v>
      </c>
      <c r="AT370" s="20">
        <f t="shared" si="202"/>
        <v>55</v>
      </c>
      <c r="AU370" s="20"/>
      <c r="AV370" s="20"/>
      <c r="AW370" s="20">
        <f t="shared" si="232"/>
        <v>5276.7500000000009</v>
      </c>
      <c r="AX370" s="86">
        <f t="shared" ref="AX370:AX433" si="244">AX369+AW370-AW369</f>
        <v>5428.4449999999988</v>
      </c>
      <c r="AY370" s="17">
        <f>'[1]D4 Gallon Forecast'!$AF158/1000000</f>
        <v>0</v>
      </c>
      <c r="AZ370" s="17">
        <f>'[1]D4 Gallon Forecast'!$AF190/1000000</f>
        <v>431.24484304552652</v>
      </c>
      <c r="BA370" s="17">
        <f t="shared" si="199"/>
        <v>431.24484304552652</v>
      </c>
      <c r="BB370" s="17">
        <f>'[1]D4 Gallon Forecast'!$AF174/1000000</f>
        <v>0</v>
      </c>
      <c r="BC370" s="87">
        <f>'[1]D4 Gallon Forecast'!$AF350/1000000</f>
        <v>561.93544273680811</v>
      </c>
      <c r="BD370" s="88">
        <f>'[1]D4 Gallon Forecast'!$AF366/1000000</f>
        <v>0</v>
      </c>
      <c r="BE370" s="88">
        <f t="shared" si="200"/>
        <v>561.93544273680811</v>
      </c>
      <c r="BF370" s="76">
        <f t="shared" si="223"/>
        <v>993.18028578233464</v>
      </c>
      <c r="BG370" s="22">
        <f t="shared" si="224"/>
        <v>2.2259953775009982</v>
      </c>
      <c r="BI370" s="21">
        <f t="shared" si="233"/>
        <v>4702.9000000000005</v>
      </c>
      <c r="BJ370" s="21">
        <f t="shared" si="216"/>
        <v>725.54499999999825</v>
      </c>
      <c r="BK370" s="21">
        <f>'RD Feedstock Breakdown'!ES361</f>
        <v>17644.344047839288</v>
      </c>
      <c r="BL370" s="89">
        <f t="shared" si="222"/>
        <v>17.765499678581239</v>
      </c>
      <c r="BM370" s="89">
        <f t="shared" si="220"/>
        <v>40.914910247347756</v>
      </c>
    </row>
    <row r="371" spans="1:65" ht="13.5" x14ac:dyDescent="0.25">
      <c r="A371" s="15">
        <v>51441</v>
      </c>
      <c r="B371" s="20">
        <f t="shared" si="221"/>
        <v>690</v>
      </c>
      <c r="C371" s="74">
        <v>47</v>
      </c>
      <c r="D371" s="20">
        <f t="shared" si="213"/>
        <v>3</v>
      </c>
      <c r="E371" s="20">
        <f t="shared" si="226"/>
        <v>85</v>
      </c>
      <c r="F371" s="20">
        <f t="shared" si="198"/>
        <v>340</v>
      </c>
      <c r="G371" s="20">
        <f t="shared" si="212"/>
        <v>37.5</v>
      </c>
      <c r="H371" s="20">
        <f t="shared" si="239"/>
        <v>190</v>
      </c>
      <c r="I371" s="20">
        <f t="shared" si="225"/>
        <v>250</v>
      </c>
      <c r="J371" s="20">
        <f t="shared" si="217"/>
        <v>153.30000000000001</v>
      </c>
      <c r="K371" s="20">
        <f t="shared" si="228"/>
        <v>125</v>
      </c>
      <c r="L371" s="20">
        <v>125</v>
      </c>
      <c r="M371" s="20">
        <v>730</v>
      </c>
      <c r="N371" s="20">
        <f t="shared" si="208"/>
        <v>180</v>
      </c>
      <c r="O371" s="74">
        <v>375</v>
      </c>
      <c r="P371" s="20">
        <f t="shared" si="234"/>
        <v>50</v>
      </c>
      <c r="Q371" s="20">
        <f t="shared" si="235"/>
        <v>21</v>
      </c>
      <c r="R371" s="20">
        <v>100</v>
      </c>
      <c r="S371" s="20">
        <f t="shared" si="240"/>
        <v>60</v>
      </c>
      <c r="T371" s="20">
        <f t="shared" si="229"/>
        <v>36</v>
      </c>
      <c r="U371" s="20"/>
      <c r="V371" s="20">
        <f t="shared" si="204"/>
        <v>0</v>
      </c>
      <c r="W371" s="20">
        <f t="shared" si="236"/>
        <v>20</v>
      </c>
      <c r="X371" s="20">
        <f t="shared" si="219"/>
        <v>0</v>
      </c>
      <c r="Y371" s="20">
        <f t="shared" si="231"/>
        <v>3.5</v>
      </c>
      <c r="Z371" s="20">
        <f t="shared" si="207"/>
        <v>230</v>
      </c>
      <c r="AA371" s="20">
        <f t="shared" si="230"/>
        <v>306</v>
      </c>
      <c r="AB371" s="20">
        <f t="shared" si="242"/>
        <v>60</v>
      </c>
      <c r="AC371" s="20">
        <f t="shared" si="201"/>
        <v>1.6</v>
      </c>
      <c r="AD371" s="20">
        <f t="shared" si="238"/>
        <v>180</v>
      </c>
      <c r="AE371" s="20">
        <f t="shared" si="241"/>
        <v>1.1000000000000001</v>
      </c>
      <c r="AF371" s="20">
        <f t="shared" ref="AF371:AF434" si="245">90*$AF$12+(185*$AF$12)</f>
        <v>275</v>
      </c>
      <c r="AG371" s="20">
        <f t="shared" si="203"/>
        <v>18</v>
      </c>
      <c r="AH371" s="20">
        <f t="shared" si="243"/>
        <v>3</v>
      </c>
      <c r="AI371" s="20">
        <f t="shared" si="237"/>
        <v>47</v>
      </c>
      <c r="AJ371" s="20">
        <f t="shared" si="210"/>
        <v>90</v>
      </c>
      <c r="AK371" s="20">
        <f t="shared" si="214"/>
        <v>14</v>
      </c>
      <c r="AL371" s="20">
        <f t="shared" si="211"/>
        <v>45</v>
      </c>
      <c r="AM371" s="20">
        <v>46</v>
      </c>
      <c r="AN371" s="20">
        <f t="shared" si="215"/>
        <v>0.75</v>
      </c>
      <c r="AO371" s="20">
        <f t="shared" si="227"/>
        <v>19</v>
      </c>
      <c r="AP371" s="20">
        <f t="shared" si="227"/>
        <v>19</v>
      </c>
      <c r="AQ371" s="20">
        <f t="shared" si="218"/>
        <v>5</v>
      </c>
      <c r="AR371" s="20">
        <f t="shared" si="206"/>
        <v>120</v>
      </c>
      <c r="AS371" s="20">
        <f t="shared" si="209"/>
        <v>120</v>
      </c>
      <c r="AT371" s="20">
        <f t="shared" si="202"/>
        <v>55</v>
      </c>
      <c r="AU371" s="20"/>
      <c r="AV371" s="20"/>
      <c r="AW371" s="20">
        <f t="shared" si="232"/>
        <v>5276.7500000000009</v>
      </c>
      <c r="AX371" s="86">
        <f t="shared" si="244"/>
        <v>5428.4449999999988</v>
      </c>
      <c r="AY371" s="17">
        <f>'[1]D4 Gallon Forecast'!$AF159/1000000</f>
        <v>0</v>
      </c>
      <c r="AZ371" s="17">
        <f>'[1]D4 Gallon Forecast'!$AF191/1000000</f>
        <v>523.95293433082577</v>
      </c>
      <c r="BA371" s="17">
        <f t="shared" si="199"/>
        <v>523.95293433082577</v>
      </c>
      <c r="BB371" s="17">
        <f>'[1]D4 Gallon Forecast'!$AF175/1000000</f>
        <v>0</v>
      </c>
      <c r="BC371" s="87">
        <f>'[1]D4 Gallon Forecast'!$AF351/1000000</f>
        <v>486.24829163399761</v>
      </c>
      <c r="BD371" s="88">
        <f>'[1]D4 Gallon Forecast'!$AF367/1000000</f>
        <v>0</v>
      </c>
      <c r="BE371" s="88">
        <f t="shared" si="200"/>
        <v>486.24829163399761</v>
      </c>
      <c r="BF371" s="76">
        <f t="shared" si="223"/>
        <v>1010.2012259648234</v>
      </c>
      <c r="BG371" s="22">
        <f t="shared" si="224"/>
        <v>2.1911071692405031</v>
      </c>
      <c r="BI371" s="21">
        <f t="shared" si="233"/>
        <v>4702.9000000000005</v>
      </c>
      <c r="BJ371" s="21">
        <f t="shared" si="216"/>
        <v>725.54499999999825</v>
      </c>
      <c r="BK371" s="21">
        <f>'RD Feedstock Breakdown'!ES362</f>
        <v>17665.448989800811</v>
      </c>
      <c r="BL371" s="89">
        <f t="shared" si="222"/>
        <v>17.48705954393283</v>
      </c>
      <c r="BM371" s="89">
        <f t="shared" si="220"/>
        <v>33.715717256861055</v>
      </c>
    </row>
    <row r="372" spans="1:65" ht="13.5" x14ac:dyDescent="0.25">
      <c r="A372" s="15">
        <v>51471</v>
      </c>
      <c r="B372" s="20">
        <f t="shared" si="221"/>
        <v>690</v>
      </c>
      <c r="C372" s="74">
        <v>47</v>
      </c>
      <c r="D372" s="20">
        <f t="shared" si="213"/>
        <v>3</v>
      </c>
      <c r="E372" s="20">
        <f t="shared" si="226"/>
        <v>85</v>
      </c>
      <c r="F372" s="20">
        <f t="shared" si="198"/>
        <v>340</v>
      </c>
      <c r="G372" s="20">
        <f t="shared" si="212"/>
        <v>37.5</v>
      </c>
      <c r="H372" s="20">
        <f t="shared" si="239"/>
        <v>190</v>
      </c>
      <c r="I372" s="20">
        <f t="shared" si="225"/>
        <v>250</v>
      </c>
      <c r="J372" s="20">
        <f t="shared" si="217"/>
        <v>153.30000000000001</v>
      </c>
      <c r="K372" s="20">
        <f t="shared" si="228"/>
        <v>125</v>
      </c>
      <c r="L372" s="20">
        <v>125</v>
      </c>
      <c r="M372" s="20">
        <v>730</v>
      </c>
      <c r="N372" s="20">
        <f t="shared" si="208"/>
        <v>180</v>
      </c>
      <c r="O372" s="74">
        <v>375</v>
      </c>
      <c r="P372" s="20">
        <f t="shared" si="234"/>
        <v>50</v>
      </c>
      <c r="Q372" s="20">
        <f t="shared" si="235"/>
        <v>21</v>
      </c>
      <c r="R372" s="20">
        <v>100</v>
      </c>
      <c r="S372" s="20">
        <f t="shared" si="240"/>
        <v>60</v>
      </c>
      <c r="T372" s="20">
        <f t="shared" si="229"/>
        <v>36</v>
      </c>
      <c r="U372" s="20"/>
      <c r="V372" s="20">
        <f t="shared" si="204"/>
        <v>0</v>
      </c>
      <c r="W372" s="20">
        <f t="shared" si="236"/>
        <v>20</v>
      </c>
      <c r="X372" s="20">
        <f t="shared" si="219"/>
        <v>0</v>
      </c>
      <c r="Y372" s="20">
        <f t="shared" si="231"/>
        <v>3.5</v>
      </c>
      <c r="Z372" s="20">
        <f t="shared" si="207"/>
        <v>230</v>
      </c>
      <c r="AA372" s="20">
        <f t="shared" si="230"/>
        <v>306</v>
      </c>
      <c r="AB372" s="20">
        <f t="shared" si="242"/>
        <v>60</v>
      </c>
      <c r="AC372" s="20">
        <f t="shared" si="201"/>
        <v>1.6</v>
      </c>
      <c r="AD372" s="20">
        <f t="shared" si="238"/>
        <v>180</v>
      </c>
      <c r="AE372" s="20">
        <f t="shared" si="241"/>
        <v>1.1000000000000001</v>
      </c>
      <c r="AF372" s="20">
        <f t="shared" si="245"/>
        <v>275</v>
      </c>
      <c r="AG372" s="20">
        <f t="shared" si="203"/>
        <v>18</v>
      </c>
      <c r="AH372" s="20">
        <f t="shared" si="243"/>
        <v>3</v>
      </c>
      <c r="AI372" s="20">
        <f t="shared" si="237"/>
        <v>47</v>
      </c>
      <c r="AJ372" s="20">
        <f t="shared" si="210"/>
        <v>90</v>
      </c>
      <c r="AK372" s="20">
        <f t="shared" si="214"/>
        <v>14</v>
      </c>
      <c r="AL372" s="20">
        <f t="shared" si="211"/>
        <v>45</v>
      </c>
      <c r="AM372" s="20">
        <v>46</v>
      </c>
      <c r="AN372" s="20">
        <f t="shared" si="215"/>
        <v>0.75</v>
      </c>
      <c r="AO372" s="20">
        <f t="shared" si="227"/>
        <v>19</v>
      </c>
      <c r="AP372" s="20">
        <f t="shared" si="227"/>
        <v>19</v>
      </c>
      <c r="AQ372" s="20">
        <f t="shared" si="218"/>
        <v>5</v>
      </c>
      <c r="AR372" s="20">
        <f t="shared" si="206"/>
        <v>120</v>
      </c>
      <c r="AS372" s="20">
        <f t="shared" si="209"/>
        <v>120</v>
      </c>
      <c r="AT372" s="20">
        <f t="shared" si="202"/>
        <v>55</v>
      </c>
      <c r="AU372" s="20"/>
      <c r="AV372" s="20"/>
      <c r="AW372" s="20">
        <f t="shared" si="232"/>
        <v>5276.7500000000009</v>
      </c>
      <c r="AX372" s="86">
        <f t="shared" si="244"/>
        <v>5428.4449999999988</v>
      </c>
      <c r="AY372" s="17">
        <f>'[1]D4 Gallon Forecast'!$AF160/1000000</f>
        <v>0</v>
      </c>
      <c r="AZ372" s="17">
        <f>'[1]D4 Gallon Forecast'!$AF192/1000000</f>
        <v>594.51407832292273</v>
      </c>
      <c r="BA372" s="17">
        <f t="shared" si="199"/>
        <v>594.51407832292273</v>
      </c>
      <c r="BB372" s="17">
        <f>'[1]D4 Gallon Forecast'!$AF176/1000000</f>
        <v>0</v>
      </c>
      <c r="BC372" s="87">
        <f>'[1]D4 Gallon Forecast'!$AF352/1000000</f>
        <v>436.91412379586603</v>
      </c>
      <c r="BD372" s="88">
        <f>'[1]D4 Gallon Forecast'!$AF368/1000000</f>
        <v>0</v>
      </c>
      <c r="BE372" s="88">
        <f t="shared" si="200"/>
        <v>436.91412379586603</v>
      </c>
      <c r="BF372" s="76">
        <f t="shared" si="223"/>
        <v>1031.4282021187887</v>
      </c>
      <c r="BG372" s="22">
        <f t="shared" si="224"/>
        <v>2.3117196776938145</v>
      </c>
      <c r="BI372" s="21">
        <f t="shared" si="233"/>
        <v>4702.9000000000005</v>
      </c>
      <c r="BJ372" s="21">
        <f t="shared" si="216"/>
        <v>725.54499999999825</v>
      </c>
      <c r="BK372" s="21">
        <f>'RD Feedstock Breakdown'!ES363</f>
        <v>19029.498399194963</v>
      </c>
      <c r="BL372" s="89">
        <f t="shared" si="222"/>
        <v>18.449658793606801</v>
      </c>
      <c r="BM372" s="89">
        <f t="shared" si="220"/>
        <v>32.008490787763471</v>
      </c>
    </row>
    <row r="373" spans="1:65" ht="13.5" x14ac:dyDescent="0.25">
      <c r="A373" s="15">
        <v>51502</v>
      </c>
      <c r="B373" s="20">
        <f t="shared" si="221"/>
        <v>690</v>
      </c>
      <c r="C373" s="74">
        <v>47</v>
      </c>
      <c r="D373" s="20">
        <f t="shared" si="213"/>
        <v>3</v>
      </c>
      <c r="E373" s="20">
        <f t="shared" si="226"/>
        <v>85</v>
      </c>
      <c r="F373" s="20">
        <f t="shared" ref="F373:F436" si="246">90+(250*$F$12)</f>
        <v>340</v>
      </c>
      <c r="G373" s="20">
        <f t="shared" si="212"/>
        <v>37.5</v>
      </c>
      <c r="H373" s="20">
        <f t="shared" si="239"/>
        <v>190</v>
      </c>
      <c r="I373" s="20">
        <f t="shared" si="225"/>
        <v>250</v>
      </c>
      <c r="J373" s="20">
        <f t="shared" si="217"/>
        <v>153.30000000000001</v>
      </c>
      <c r="K373" s="20">
        <f t="shared" si="228"/>
        <v>125</v>
      </c>
      <c r="L373" s="20">
        <v>125</v>
      </c>
      <c r="M373" s="20">
        <v>730</v>
      </c>
      <c r="N373" s="20">
        <f t="shared" si="208"/>
        <v>180</v>
      </c>
      <c r="O373" s="74">
        <v>375</v>
      </c>
      <c r="P373" s="20">
        <f t="shared" si="234"/>
        <v>50</v>
      </c>
      <c r="Q373" s="20">
        <f t="shared" si="235"/>
        <v>21</v>
      </c>
      <c r="R373" s="20">
        <v>100</v>
      </c>
      <c r="S373" s="20">
        <f t="shared" si="240"/>
        <v>60</v>
      </c>
      <c r="T373" s="20">
        <f t="shared" si="229"/>
        <v>36</v>
      </c>
      <c r="U373" s="20"/>
      <c r="V373" s="20">
        <f t="shared" si="204"/>
        <v>0</v>
      </c>
      <c r="W373" s="20">
        <f t="shared" si="236"/>
        <v>20</v>
      </c>
      <c r="X373" s="20">
        <f t="shared" si="219"/>
        <v>0</v>
      </c>
      <c r="Y373" s="20">
        <f t="shared" si="231"/>
        <v>3.5</v>
      </c>
      <c r="Z373" s="20">
        <f t="shared" si="207"/>
        <v>230</v>
      </c>
      <c r="AA373" s="20">
        <f t="shared" si="230"/>
        <v>306</v>
      </c>
      <c r="AB373" s="20">
        <f t="shared" si="242"/>
        <v>60</v>
      </c>
      <c r="AC373" s="20">
        <f t="shared" si="201"/>
        <v>1.6</v>
      </c>
      <c r="AD373" s="20">
        <f t="shared" si="238"/>
        <v>180</v>
      </c>
      <c r="AE373" s="20">
        <f t="shared" si="241"/>
        <v>1.1000000000000001</v>
      </c>
      <c r="AF373" s="20">
        <f t="shared" si="245"/>
        <v>275</v>
      </c>
      <c r="AG373" s="20">
        <f t="shared" si="203"/>
        <v>18</v>
      </c>
      <c r="AH373" s="20">
        <f t="shared" si="243"/>
        <v>3</v>
      </c>
      <c r="AI373" s="20">
        <f t="shared" si="237"/>
        <v>47</v>
      </c>
      <c r="AJ373" s="20">
        <f t="shared" si="210"/>
        <v>90</v>
      </c>
      <c r="AK373" s="20">
        <f t="shared" si="214"/>
        <v>14</v>
      </c>
      <c r="AL373" s="20">
        <f t="shared" si="211"/>
        <v>45</v>
      </c>
      <c r="AM373" s="20">
        <v>46</v>
      </c>
      <c r="AN373" s="20">
        <f t="shared" si="215"/>
        <v>0.75</v>
      </c>
      <c r="AO373" s="20">
        <f t="shared" si="227"/>
        <v>19</v>
      </c>
      <c r="AP373" s="20">
        <f t="shared" si="227"/>
        <v>19</v>
      </c>
      <c r="AQ373" s="20">
        <f t="shared" si="218"/>
        <v>5</v>
      </c>
      <c r="AR373" s="20">
        <f t="shared" si="206"/>
        <v>120</v>
      </c>
      <c r="AS373" s="20">
        <f t="shared" si="209"/>
        <v>120</v>
      </c>
      <c r="AT373" s="20">
        <f t="shared" si="202"/>
        <v>55</v>
      </c>
      <c r="AU373" s="20"/>
      <c r="AV373" s="20"/>
      <c r="AW373" s="20">
        <f t="shared" si="232"/>
        <v>5276.7500000000009</v>
      </c>
      <c r="AX373" s="86">
        <f t="shared" si="244"/>
        <v>5428.4449999999988</v>
      </c>
      <c r="AY373" s="17">
        <f>'[1]D4 Gallon Forecast'!$AG149/1000000</f>
        <v>0</v>
      </c>
      <c r="AZ373" s="17">
        <f>'[1]D4 Gallon Forecast'!$AG181/1000000</f>
        <v>329.08767974111908</v>
      </c>
      <c r="BA373" s="17">
        <f t="shared" si="199"/>
        <v>329.08767974111908</v>
      </c>
      <c r="BB373" s="17">
        <f>'[1]D4 Gallon Forecast'!$AG165/1000000</f>
        <v>0</v>
      </c>
      <c r="BC373" s="87">
        <f>'[1]D4 Gallon Forecast'!$AG341/1000000</f>
        <v>273.020100644651</v>
      </c>
      <c r="BD373" s="88">
        <f>'[1]D4 Gallon Forecast'!$AG357/1000000</f>
        <v>0</v>
      </c>
      <c r="BE373" s="88">
        <f t="shared" si="200"/>
        <v>273.020100644651</v>
      </c>
      <c r="BF373" s="76">
        <f t="shared" si="223"/>
        <v>602.10778038577007</v>
      </c>
      <c r="BG373" s="22">
        <f t="shared" si="224"/>
        <v>1.3059602783581321</v>
      </c>
      <c r="BI373" s="21">
        <f t="shared" si="233"/>
        <v>4702.9000000000005</v>
      </c>
      <c r="BJ373" s="21">
        <f t="shared" si="216"/>
        <v>725.54499999999825</v>
      </c>
      <c r="BK373" s="21">
        <f>'RD Feedstock Breakdown'!ES364</f>
        <v>6275.6306571706909</v>
      </c>
      <c r="BL373" s="89">
        <f t="shared" si="222"/>
        <v>10.422769579808284</v>
      </c>
      <c r="BM373" s="89">
        <f t="shared" si="220"/>
        <v>19.069783050242094</v>
      </c>
    </row>
    <row r="374" spans="1:65" ht="13.5" x14ac:dyDescent="0.25">
      <c r="A374" s="15">
        <v>51533</v>
      </c>
      <c r="B374" s="20">
        <f t="shared" si="221"/>
        <v>690</v>
      </c>
      <c r="C374" s="74">
        <v>47</v>
      </c>
      <c r="D374" s="20">
        <f t="shared" si="213"/>
        <v>3</v>
      </c>
      <c r="E374" s="20">
        <f t="shared" si="226"/>
        <v>85</v>
      </c>
      <c r="F374" s="20">
        <f t="shared" si="246"/>
        <v>340</v>
      </c>
      <c r="G374" s="20">
        <f t="shared" si="212"/>
        <v>37.5</v>
      </c>
      <c r="H374" s="20">
        <f t="shared" si="239"/>
        <v>190</v>
      </c>
      <c r="I374" s="20">
        <f t="shared" si="225"/>
        <v>250</v>
      </c>
      <c r="J374" s="20">
        <f t="shared" si="217"/>
        <v>153.30000000000001</v>
      </c>
      <c r="K374" s="20">
        <f t="shared" si="228"/>
        <v>125</v>
      </c>
      <c r="L374" s="20">
        <v>125</v>
      </c>
      <c r="M374" s="20">
        <v>730</v>
      </c>
      <c r="N374" s="20">
        <f t="shared" si="208"/>
        <v>180</v>
      </c>
      <c r="O374" s="74">
        <v>375</v>
      </c>
      <c r="P374" s="20">
        <f t="shared" si="234"/>
        <v>50</v>
      </c>
      <c r="Q374" s="20">
        <f t="shared" si="235"/>
        <v>21</v>
      </c>
      <c r="R374" s="20">
        <v>100</v>
      </c>
      <c r="S374" s="20">
        <f t="shared" si="240"/>
        <v>60</v>
      </c>
      <c r="T374" s="20">
        <f t="shared" si="229"/>
        <v>36</v>
      </c>
      <c r="U374" s="20"/>
      <c r="V374" s="20">
        <f t="shared" si="204"/>
        <v>0</v>
      </c>
      <c r="W374" s="20">
        <f t="shared" si="236"/>
        <v>20</v>
      </c>
      <c r="X374" s="20">
        <f t="shared" si="219"/>
        <v>0</v>
      </c>
      <c r="Y374" s="20">
        <f t="shared" si="231"/>
        <v>3.5</v>
      </c>
      <c r="Z374" s="20">
        <f t="shared" si="207"/>
        <v>230</v>
      </c>
      <c r="AA374" s="20">
        <f t="shared" si="230"/>
        <v>306</v>
      </c>
      <c r="AB374" s="20">
        <f t="shared" si="242"/>
        <v>60</v>
      </c>
      <c r="AC374" s="20">
        <f t="shared" si="201"/>
        <v>1.6</v>
      </c>
      <c r="AD374" s="20">
        <f t="shared" si="238"/>
        <v>180</v>
      </c>
      <c r="AE374" s="20">
        <f t="shared" si="241"/>
        <v>1.1000000000000001</v>
      </c>
      <c r="AF374" s="20">
        <f t="shared" si="245"/>
        <v>275</v>
      </c>
      <c r="AG374" s="20">
        <f t="shared" si="203"/>
        <v>18</v>
      </c>
      <c r="AH374" s="20">
        <f t="shared" si="243"/>
        <v>3</v>
      </c>
      <c r="AI374" s="20">
        <f t="shared" si="237"/>
        <v>47</v>
      </c>
      <c r="AJ374" s="20">
        <f t="shared" si="210"/>
        <v>90</v>
      </c>
      <c r="AK374" s="20">
        <f t="shared" si="214"/>
        <v>14</v>
      </c>
      <c r="AL374" s="20">
        <f t="shared" si="211"/>
        <v>45</v>
      </c>
      <c r="AM374" s="20">
        <v>46</v>
      </c>
      <c r="AN374" s="20">
        <f t="shared" si="215"/>
        <v>0.75</v>
      </c>
      <c r="AO374" s="20">
        <f t="shared" si="227"/>
        <v>19</v>
      </c>
      <c r="AP374" s="20">
        <f t="shared" si="227"/>
        <v>19</v>
      </c>
      <c r="AQ374" s="20">
        <f t="shared" si="218"/>
        <v>5</v>
      </c>
      <c r="AR374" s="20">
        <f t="shared" si="206"/>
        <v>120</v>
      </c>
      <c r="AS374" s="20">
        <f t="shared" si="209"/>
        <v>120</v>
      </c>
      <c r="AT374" s="20">
        <f t="shared" si="202"/>
        <v>55</v>
      </c>
      <c r="AU374" s="20"/>
      <c r="AV374" s="20"/>
      <c r="AW374" s="20">
        <f t="shared" si="232"/>
        <v>5276.7500000000009</v>
      </c>
      <c r="AX374" s="86">
        <f t="shared" si="244"/>
        <v>5428.4449999999988</v>
      </c>
      <c r="AY374" s="17">
        <f>'[1]D4 Gallon Forecast'!$AG150/1000000</f>
        <v>0</v>
      </c>
      <c r="AZ374" s="17">
        <f>'[1]D4 Gallon Forecast'!$AG182/1000000</f>
        <v>362.88548722417772</v>
      </c>
      <c r="BA374" s="17">
        <f t="shared" ref="BA374:BA437" si="247">SUM(AY374:AZ374)</f>
        <v>362.88548722417772</v>
      </c>
      <c r="BB374" s="17">
        <f>'[1]D4 Gallon Forecast'!$AG166/1000000</f>
        <v>0</v>
      </c>
      <c r="BC374" s="87">
        <f>'[1]D4 Gallon Forecast'!$AG342/1000000</f>
        <v>518.21148668275396</v>
      </c>
      <c r="BD374" s="88">
        <f>'[1]D4 Gallon Forecast'!$AG358/1000000</f>
        <v>0</v>
      </c>
      <c r="BE374" s="88">
        <f t="shared" si="200"/>
        <v>518.21148668275396</v>
      </c>
      <c r="BF374" s="76">
        <f t="shared" si="223"/>
        <v>881.09697390693168</v>
      </c>
      <c r="BG374" s="22">
        <f t="shared" si="224"/>
        <v>1.9110825117834651</v>
      </c>
      <c r="BI374" s="21">
        <f t="shared" si="233"/>
        <v>4702.9000000000005</v>
      </c>
      <c r="BJ374" s="21">
        <f t="shared" si="216"/>
        <v>725.54499999999825</v>
      </c>
      <c r="BK374" s="21">
        <f>'RD Feedstock Breakdown'!ES365</f>
        <v>13438.670848443904</v>
      </c>
      <c r="BL374" s="89">
        <f t="shared" si="222"/>
        <v>15.252204066545122</v>
      </c>
      <c r="BM374" s="89">
        <f t="shared" si="220"/>
        <v>37.032814266672432</v>
      </c>
    </row>
    <row r="375" spans="1:65" ht="13.5" x14ac:dyDescent="0.25">
      <c r="A375" s="15">
        <v>51561</v>
      </c>
      <c r="B375" s="20">
        <f t="shared" si="221"/>
        <v>690</v>
      </c>
      <c r="C375" s="74">
        <v>47</v>
      </c>
      <c r="D375" s="20">
        <f t="shared" si="213"/>
        <v>3</v>
      </c>
      <c r="E375" s="20">
        <f t="shared" si="226"/>
        <v>85</v>
      </c>
      <c r="F375" s="20">
        <f t="shared" si="246"/>
        <v>340</v>
      </c>
      <c r="G375" s="20">
        <f t="shared" si="212"/>
        <v>37.5</v>
      </c>
      <c r="H375" s="20">
        <f t="shared" si="239"/>
        <v>190</v>
      </c>
      <c r="I375" s="20">
        <f t="shared" si="225"/>
        <v>250</v>
      </c>
      <c r="J375" s="20">
        <f t="shared" si="217"/>
        <v>153.30000000000001</v>
      </c>
      <c r="K375" s="20">
        <f t="shared" si="228"/>
        <v>125</v>
      </c>
      <c r="L375" s="20">
        <v>125</v>
      </c>
      <c r="M375" s="20">
        <v>730</v>
      </c>
      <c r="N375" s="20">
        <f t="shared" si="208"/>
        <v>180</v>
      </c>
      <c r="O375" s="74">
        <v>375</v>
      </c>
      <c r="P375" s="20">
        <f t="shared" si="234"/>
        <v>50</v>
      </c>
      <c r="Q375" s="20">
        <f t="shared" si="235"/>
        <v>21</v>
      </c>
      <c r="R375" s="20">
        <v>100</v>
      </c>
      <c r="S375" s="20">
        <f t="shared" si="240"/>
        <v>60</v>
      </c>
      <c r="T375" s="20">
        <f t="shared" si="229"/>
        <v>36</v>
      </c>
      <c r="U375" s="20"/>
      <c r="V375" s="20">
        <f t="shared" si="204"/>
        <v>0</v>
      </c>
      <c r="W375" s="20">
        <f t="shared" si="236"/>
        <v>20</v>
      </c>
      <c r="X375" s="20">
        <f t="shared" si="219"/>
        <v>0</v>
      </c>
      <c r="Y375" s="20">
        <f t="shared" si="231"/>
        <v>3.5</v>
      </c>
      <c r="Z375" s="20">
        <f t="shared" si="207"/>
        <v>230</v>
      </c>
      <c r="AA375" s="20">
        <f t="shared" si="230"/>
        <v>306</v>
      </c>
      <c r="AB375" s="20">
        <f t="shared" si="242"/>
        <v>60</v>
      </c>
      <c r="AC375" s="20">
        <f t="shared" si="201"/>
        <v>1.6</v>
      </c>
      <c r="AD375" s="20">
        <f t="shared" si="238"/>
        <v>180</v>
      </c>
      <c r="AE375" s="20">
        <f t="shared" si="241"/>
        <v>1.1000000000000001</v>
      </c>
      <c r="AF375" s="20">
        <f t="shared" si="245"/>
        <v>275</v>
      </c>
      <c r="AG375" s="20">
        <f t="shared" si="203"/>
        <v>18</v>
      </c>
      <c r="AH375" s="20">
        <f t="shared" si="243"/>
        <v>3</v>
      </c>
      <c r="AI375" s="20">
        <f t="shared" si="237"/>
        <v>47</v>
      </c>
      <c r="AJ375" s="20">
        <f t="shared" si="210"/>
        <v>90</v>
      </c>
      <c r="AK375" s="20">
        <f t="shared" si="214"/>
        <v>14</v>
      </c>
      <c r="AL375" s="20">
        <f t="shared" si="211"/>
        <v>45</v>
      </c>
      <c r="AM375" s="20">
        <v>46</v>
      </c>
      <c r="AN375" s="20">
        <f t="shared" si="215"/>
        <v>0.75</v>
      </c>
      <c r="AO375" s="20">
        <f t="shared" si="227"/>
        <v>19</v>
      </c>
      <c r="AP375" s="20">
        <f t="shared" si="227"/>
        <v>19</v>
      </c>
      <c r="AQ375" s="20">
        <f t="shared" si="218"/>
        <v>5</v>
      </c>
      <c r="AR375" s="20">
        <f t="shared" si="206"/>
        <v>120</v>
      </c>
      <c r="AS375" s="20">
        <f t="shared" si="209"/>
        <v>120</v>
      </c>
      <c r="AT375" s="20">
        <f t="shared" si="202"/>
        <v>55</v>
      </c>
      <c r="AU375" s="20"/>
      <c r="AV375" s="20"/>
      <c r="AW375" s="20">
        <f t="shared" si="232"/>
        <v>5276.7500000000009</v>
      </c>
      <c r="AX375" s="86">
        <f t="shared" si="244"/>
        <v>5428.4449999999988</v>
      </c>
      <c r="AY375" s="17">
        <f>'[1]D4 Gallon Forecast'!$AG151/1000000</f>
        <v>0</v>
      </c>
      <c r="AZ375" s="17">
        <f>'[1]D4 Gallon Forecast'!$AG183/1000000</f>
        <v>382.21232849203869</v>
      </c>
      <c r="BA375" s="17">
        <f t="shared" si="247"/>
        <v>382.21232849203869</v>
      </c>
      <c r="BB375" s="17">
        <f>'[1]D4 Gallon Forecast'!$AG167/1000000</f>
        <v>0</v>
      </c>
      <c r="BC375" s="87">
        <f>'[1]D4 Gallon Forecast'!$AG343/1000000</f>
        <v>206.84286106158768</v>
      </c>
      <c r="BD375" s="88">
        <f>'[1]D4 Gallon Forecast'!$AG359/1000000</f>
        <v>0</v>
      </c>
      <c r="BE375" s="88">
        <f t="shared" ref="BE375:BE438" si="248">BD375+BC375+BB375</f>
        <v>206.84286106158768</v>
      </c>
      <c r="BF375" s="76">
        <f t="shared" si="223"/>
        <v>589.05518955362641</v>
      </c>
      <c r="BG375" s="22">
        <f t="shared" si="224"/>
        <v>1.4145404714496226</v>
      </c>
      <c r="BI375" s="21">
        <f t="shared" si="233"/>
        <v>4702.9000000000005</v>
      </c>
      <c r="BJ375" s="21">
        <f t="shared" si="216"/>
        <v>725.54499999999825</v>
      </c>
      <c r="BK375" s="21">
        <f>'RD Feedstock Breakdown'!ES366</f>
        <v>6650.0442172696512</v>
      </c>
      <c r="BL375" s="89">
        <f t="shared" si="222"/>
        <v>11.289339836406356</v>
      </c>
      <c r="BM375" s="89">
        <f t="shared" si="220"/>
        <v>17.398821862984907</v>
      </c>
    </row>
    <row r="376" spans="1:65" ht="13.5" x14ac:dyDescent="0.25">
      <c r="A376" s="15">
        <v>51592</v>
      </c>
      <c r="B376" s="20">
        <f t="shared" si="221"/>
        <v>690</v>
      </c>
      <c r="C376" s="74">
        <v>47</v>
      </c>
      <c r="D376" s="20">
        <f t="shared" si="213"/>
        <v>3</v>
      </c>
      <c r="E376" s="20">
        <f t="shared" si="226"/>
        <v>85</v>
      </c>
      <c r="F376" s="20">
        <f t="shared" si="246"/>
        <v>340</v>
      </c>
      <c r="G376" s="20">
        <f t="shared" si="212"/>
        <v>37.5</v>
      </c>
      <c r="H376" s="20">
        <f t="shared" si="239"/>
        <v>190</v>
      </c>
      <c r="I376" s="20">
        <f t="shared" si="225"/>
        <v>250</v>
      </c>
      <c r="J376" s="20">
        <f t="shared" si="217"/>
        <v>153.30000000000001</v>
      </c>
      <c r="K376" s="20">
        <f t="shared" si="228"/>
        <v>125</v>
      </c>
      <c r="L376" s="20">
        <v>125</v>
      </c>
      <c r="M376" s="20">
        <v>730</v>
      </c>
      <c r="N376" s="20">
        <f t="shared" si="208"/>
        <v>180</v>
      </c>
      <c r="O376" s="74">
        <v>375</v>
      </c>
      <c r="P376" s="20">
        <f t="shared" si="234"/>
        <v>50</v>
      </c>
      <c r="Q376" s="20">
        <f t="shared" si="235"/>
        <v>21</v>
      </c>
      <c r="R376" s="20">
        <v>100</v>
      </c>
      <c r="S376" s="20">
        <f t="shared" si="240"/>
        <v>60</v>
      </c>
      <c r="T376" s="20">
        <f t="shared" si="229"/>
        <v>36</v>
      </c>
      <c r="U376" s="20"/>
      <c r="V376" s="20">
        <f t="shared" si="204"/>
        <v>0</v>
      </c>
      <c r="W376" s="20">
        <f t="shared" si="236"/>
        <v>20</v>
      </c>
      <c r="X376" s="20">
        <f t="shared" si="219"/>
        <v>0</v>
      </c>
      <c r="Y376" s="20">
        <f t="shared" si="231"/>
        <v>3.5</v>
      </c>
      <c r="Z376" s="20">
        <f t="shared" si="207"/>
        <v>230</v>
      </c>
      <c r="AA376" s="20">
        <f t="shared" si="230"/>
        <v>306</v>
      </c>
      <c r="AB376" s="20">
        <f t="shared" si="242"/>
        <v>60</v>
      </c>
      <c r="AC376" s="20">
        <f t="shared" si="201"/>
        <v>1.6</v>
      </c>
      <c r="AD376" s="20">
        <f t="shared" si="238"/>
        <v>180</v>
      </c>
      <c r="AE376" s="20">
        <f t="shared" si="241"/>
        <v>1.1000000000000001</v>
      </c>
      <c r="AF376" s="20">
        <f t="shared" si="245"/>
        <v>275</v>
      </c>
      <c r="AG376" s="20">
        <f t="shared" si="203"/>
        <v>18</v>
      </c>
      <c r="AH376" s="20">
        <f t="shared" si="243"/>
        <v>3</v>
      </c>
      <c r="AI376" s="20">
        <f t="shared" si="237"/>
        <v>47</v>
      </c>
      <c r="AJ376" s="20">
        <f t="shared" si="210"/>
        <v>90</v>
      </c>
      <c r="AK376" s="20">
        <f t="shared" si="214"/>
        <v>14</v>
      </c>
      <c r="AL376" s="20">
        <f t="shared" si="211"/>
        <v>45</v>
      </c>
      <c r="AM376" s="20">
        <v>46</v>
      </c>
      <c r="AN376" s="20">
        <f t="shared" si="215"/>
        <v>0.75</v>
      </c>
      <c r="AO376" s="20">
        <f t="shared" si="227"/>
        <v>19</v>
      </c>
      <c r="AP376" s="20">
        <f t="shared" si="227"/>
        <v>19</v>
      </c>
      <c r="AQ376" s="20">
        <f t="shared" si="218"/>
        <v>5</v>
      </c>
      <c r="AR376" s="20">
        <f t="shared" si="206"/>
        <v>120</v>
      </c>
      <c r="AS376" s="20">
        <f t="shared" si="209"/>
        <v>120</v>
      </c>
      <c r="AT376" s="20">
        <f t="shared" si="202"/>
        <v>55</v>
      </c>
      <c r="AU376" s="20"/>
      <c r="AV376" s="20"/>
      <c r="AW376" s="20">
        <f t="shared" si="232"/>
        <v>5276.7500000000009</v>
      </c>
      <c r="AX376" s="86">
        <f t="shared" si="244"/>
        <v>5428.4449999999988</v>
      </c>
      <c r="AY376" s="17">
        <f>'[1]D4 Gallon Forecast'!$AG152/1000000</f>
        <v>0</v>
      </c>
      <c r="AZ376" s="17">
        <f>'[1]D4 Gallon Forecast'!$AG184/1000000</f>
        <v>371.10934423818145</v>
      </c>
      <c r="BA376" s="17">
        <f t="shared" si="247"/>
        <v>371.10934423818145</v>
      </c>
      <c r="BB376" s="17">
        <f>'[1]D4 Gallon Forecast'!$AG168/1000000</f>
        <v>0</v>
      </c>
      <c r="BC376" s="87">
        <f>'[1]D4 Gallon Forecast'!$AG344/1000000</f>
        <v>332.0000920550961</v>
      </c>
      <c r="BD376" s="88">
        <f>'[1]D4 Gallon Forecast'!$AG360/1000000</f>
        <v>0</v>
      </c>
      <c r="BE376" s="88">
        <f t="shared" si="248"/>
        <v>332.0000920550961</v>
      </c>
      <c r="BF376" s="76">
        <f t="shared" si="223"/>
        <v>703.10943629327755</v>
      </c>
      <c r="BG376" s="22">
        <f t="shared" si="224"/>
        <v>1.5250309413864187</v>
      </c>
      <c r="BI376" s="21">
        <f t="shared" si="233"/>
        <v>4702.9000000000005</v>
      </c>
      <c r="BJ376" s="21">
        <f t="shared" si="216"/>
        <v>725.54499999999825</v>
      </c>
      <c r="BK376" s="21">
        <f>'RD Feedstock Breakdown'!ES367</f>
        <v>8557.6545407600188</v>
      </c>
      <c r="BL376" s="89">
        <f t="shared" si="222"/>
        <v>12.171155867108135</v>
      </c>
      <c r="BM376" s="89">
        <f t="shared" si="220"/>
        <v>23.059657951559515</v>
      </c>
    </row>
    <row r="377" spans="1:65" ht="13.5" x14ac:dyDescent="0.25">
      <c r="A377" s="15">
        <v>51622</v>
      </c>
      <c r="B377" s="20">
        <f t="shared" si="221"/>
        <v>690</v>
      </c>
      <c r="C377" s="74">
        <v>47</v>
      </c>
      <c r="D377" s="20">
        <f t="shared" si="213"/>
        <v>3</v>
      </c>
      <c r="E377" s="20">
        <f t="shared" si="226"/>
        <v>85</v>
      </c>
      <c r="F377" s="20">
        <f t="shared" si="246"/>
        <v>340</v>
      </c>
      <c r="G377" s="20">
        <f t="shared" si="212"/>
        <v>37.5</v>
      </c>
      <c r="H377" s="20">
        <f t="shared" si="239"/>
        <v>190</v>
      </c>
      <c r="I377" s="20">
        <f t="shared" si="225"/>
        <v>250</v>
      </c>
      <c r="J377" s="20">
        <f t="shared" si="217"/>
        <v>153.30000000000001</v>
      </c>
      <c r="K377" s="20">
        <f t="shared" si="228"/>
        <v>125</v>
      </c>
      <c r="L377" s="20">
        <v>125</v>
      </c>
      <c r="M377" s="20">
        <v>730</v>
      </c>
      <c r="N377" s="20">
        <f t="shared" si="208"/>
        <v>180</v>
      </c>
      <c r="O377" s="74">
        <v>375</v>
      </c>
      <c r="P377" s="20">
        <f t="shared" si="234"/>
        <v>50</v>
      </c>
      <c r="Q377" s="20">
        <f t="shared" si="235"/>
        <v>21</v>
      </c>
      <c r="R377" s="20">
        <v>100</v>
      </c>
      <c r="S377" s="20">
        <f t="shared" si="240"/>
        <v>60</v>
      </c>
      <c r="T377" s="20">
        <f t="shared" si="229"/>
        <v>36</v>
      </c>
      <c r="U377" s="20"/>
      <c r="V377" s="20">
        <f t="shared" si="204"/>
        <v>0</v>
      </c>
      <c r="W377" s="20">
        <f t="shared" si="236"/>
        <v>20</v>
      </c>
      <c r="X377" s="20">
        <f t="shared" si="219"/>
        <v>0</v>
      </c>
      <c r="Y377" s="20">
        <f t="shared" si="231"/>
        <v>3.5</v>
      </c>
      <c r="Z377" s="20">
        <f t="shared" si="207"/>
        <v>230</v>
      </c>
      <c r="AA377" s="20">
        <f t="shared" si="230"/>
        <v>306</v>
      </c>
      <c r="AB377" s="20">
        <f t="shared" si="242"/>
        <v>60</v>
      </c>
      <c r="AC377" s="20">
        <f t="shared" si="201"/>
        <v>1.6</v>
      </c>
      <c r="AD377" s="20">
        <f t="shared" si="238"/>
        <v>180</v>
      </c>
      <c r="AE377" s="20">
        <f t="shared" si="241"/>
        <v>1.1000000000000001</v>
      </c>
      <c r="AF377" s="20">
        <f t="shared" si="245"/>
        <v>275</v>
      </c>
      <c r="AG377" s="20">
        <f t="shared" si="203"/>
        <v>18</v>
      </c>
      <c r="AH377" s="20">
        <f t="shared" si="243"/>
        <v>3</v>
      </c>
      <c r="AI377" s="20">
        <f t="shared" si="237"/>
        <v>47</v>
      </c>
      <c r="AJ377" s="20">
        <f t="shared" si="210"/>
        <v>90</v>
      </c>
      <c r="AK377" s="20">
        <f t="shared" si="214"/>
        <v>14</v>
      </c>
      <c r="AL377" s="20">
        <f t="shared" si="211"/>
        <v>45</v>
      </c>
      <c r="AM377" s="20">
        <v>46</v>
      </c>
      <c r="AN377" s="20">
        <f t="shared" si="215"/>
        <v>0.75</v>
      </c>
      <c r="AO377" s="20">
        <f t="shared" si="227"/>
        <v>19</v>
      </c>
      <c r="AP377" s="20">
        <f t="shared" si="227"/>
        <v>19</v>
      </c>
      <c r="AQ377" s="20">
        <f t="shared" si="218"/>
        <v>5</v>
      </c>
      <c r="AR377" s="20">
        <f t="shared" si="206"/>
        <v>120</v>
      </c>
      <c r="AS377" s="20">
        <f t="shared" si="209"/>
        <v>120</v>
      </c>
      <c r="AT377" s="20">
        <f t="shared" si="202"/>
        <v>55</v>
      </c>
      <c r="AU377" s="20"/>
      <c r="AV377" s="20"/>
      <c r="AW377" s="20">
        <f t="shared" si="232"/>
        <v>5276.7500000000009</v>
      </c>
      <c r="AX377" s="86">
        <f t="shared" si="244"/>
        <v>5428.4449999999988</v>
      </c>
      <c r="AY377" s="17">
        <f>'[1]D4 Gallon Forecast'!$AG153/1000000</f>
        <v>0</v>
      </c>
      <c r="AZ377" s="17">
        <f>'[1]D4 Gallon Forecast'!$AG185/1000000</f>
        <v>414.56433813124698</v>
      </c>
      <c r="BA377" s="17">
        <f t="shared" si="247"/>
        <v>414.56433813124698</v>
      </c>
      <c r="BB377" s="17">
        <f>'[1]D4 Gallon Forecast'!$AG169/1000000</f>
        <v>0</v>
      </c>
      <c r="BC377" s="87">
        <f>'[1]D4 Gallon Forecast'!$AG345/1000000</f>
        <v>437.02163005349729</v>
      </c>
      <c r="BD377" s="88">
        <f>'[1]D4 Gallon Forecast'!$AG361/1000000</f>
        <v>0</v>
      </c>
      <c r="BE377" s="88">
        <f t="shared" si="248"/>
        <v>437.02163005349729</v>
      </c>
      <c r="BF377" s="76">
        <f t="shared" si="223"/>
        <v>851.58596818474427</v>
      </c>
      <c r="BG377" s="22">
        <f t="shared" si="224"/>
        <v>1.9086428273500775</v>
      </c>
      <c r="BI377" s="21">
        <f t="shared" si="233"/>
        <v>4702.9000000000005</v>
      </c>
      <c r="BJ377" s="21">
        <f t="shared" si="216"/>
        <v>725.54499999999825</v>
      </c>
      <c r="BK377" s="21">
        <f>'RD Feedstock Breakdown'!ES368</f>
        <v>12971.981791271903</v>
      </c>
      <c r="BL377" s="89">
        <f t="shared" si="222"/>
        <v>15.232733130776225</v>
      </c>
      <c r="BM377" s="89">
        <f t="shared" si="220"/>
        <v>31.290635971599421</v>
      </c>
    </row>
    <row r="378" spans="1:65" ht="13.5" x14ac:dyDescent="0.25">
      <c r="A378" s="15">
        <v>51653</v>
      </c>
      <c r="B378" s="20">
        <f t="shared" si="221"/>
        <v>690</v>
      </c>
      <c r="C378" s="74">
        <v>47</v>
      </c>
      <c r="D378" s="20">
        <f t="shared" si="213"/>
        <v>3</v>
      </c>
      <c r="E378" s="20">
        <f t="shared" si="226"/>
        <v>85</v>
      </c>
      <c r="F378" s="20">
        <f t="shared" si="246"/>
        <v>340</v>
      </c>
      <c r="G378" s="20">
        <f t="shared" si="212"/>
        <v>37.5</v>
      </c>
      <c r="H378" s="20">
        <f t="shared" si="239"/>
        <v>190</v>
      </c>
      <c r="I378" s="20">
        <f t="shared" si="225"/>
        <v>250</v>
      </c>
      <c r="J378" s="20">
        <f t="shared" si="217"/>
        <v>153.30000000000001</v>
      </c>
      <c r="K378" s="20">
        <f t="shared" si="228"/>
        <v>125</v>
      </c>
      <c r="L378" s="20">
        <v>125</v>
      </c>
      <c r="M378" s="20">
        <v>730</v>
      </c>
      <c r="N378" s="20">
        <f t="shared" si="208"/>
        <v>180</v>
      </c>
      <c r="O378" s="74">
        <v>375</v>
      </c>
      <c r="P378" s="20">
        <f t="shared" si="234"/>
        <v>50</v>
      </c>
      <c r="Q378" s="20">
        <f t="shared" si="235"/>
        <v>21</v>
      </c>
      <c r="R378" s="20">
        <v>100</v>
      </c>
      <c r="S378" s="20">
        <f t="shared" si="240"/>
        <v>60</v>
      </c>
      <c r="T378" s="20">
        <f t="shared" si="229"/>
        <v>36</v>
      </c>
      <c r="U378" s="20"/>
      <c r="V378" s="20">
        <f t="shared" si="204"/>
        <v>0</v>
      </c>
      <c r="W378" s="20">
        <f t="shared" si="236"/>
        <v>20</v>
      </c>
      <c r="X378" s="20">
        <f t="shared" si="219"/>
        <v>0</v>
      </c>
      <c r="Y378" s="20">
        <f t="shared" si="231"/>
        <v>3.5</v>
      </c>
      <c r="Z378" s="20">
        <f t="shared" si="207"/>
        <v>230</v>
      </c>
      <c r="AA378" s="20">
        <f t="shared" si="230"/>
        <v>306</v>
      </c>
      <c r="AB378" s="20">
        <f t="shared" si="242"/>
        <v>60</v>
      </c>
      <c r="AC378" s="20">
        <f t="shared" ref="AC378:AC441" si="249">32*$AC$12</f>
        <v>1.6</v>
      </c>
      <c r="AD378" s="20">
        <f t="shared" si="238"/>
        <v>180</v>
      </c>
      <c r="AE378" s="20">
        <f t="shared" si="241"/>
        <v>1.1000000000000001</v>
      </c>
      <c r="AF378" s="20">
        <f t="shared" si="245"/>
        <v>275</v>
      </c>
      <c r="AG378" s="20">
        <f t="shared" si="203"/>
        <v>18</v>
      </c>
      <c r="AH378" s="20">
        <f t="shared" si="243"/>
        <v>3</v>
      </c>
      <c r="AI378" s="20">
        <f t="shared" si="237"/>
        <v>47</v>
      </c>
      <c r="AJ378" s="20">
        <f t="shared" si="210"/>
        <v>90</v>
      </c>
      <c r="AK378" s="20">
        <f t="shared" si="214"/>
        <v>14</v>
      </c>
      <c r="AL378" s="20">
        <f t="shared" si="211"/>
        <v>45</v>
      </c>
      <c r="AM378" s="20">
        <v>46</v>
      </c>
      <c r="AN378" s="20">
        <f t="shared" si="215"/>
        <v>0.75</v>
      </c>
      <c r="AO378" s="20">
        <f t="shared" si="227"/>
        <v>19</v>
      </c>
      <c r="AP378" s="20">
        <f t="shared" si="227"/>
        <v>19</v>
      </c>
      <c r="AQ378" s="20">
        <f t="shared" si="218"/>
        <v>5</v>
      </c>
      <c r="AR378" s="20">
        <f t="shared" si="206"/>
        <v>120</v>
      </c>
      <c r="AS378" s="20">
        <f t="shared" si="209"/>
        <v>120</v>
      </c>
      <c r="AT378" s="20">
        <f t="shared" ref="AT378:AT441" si="250">$AT$5*$AT$12</f>
        <v>55</v>
      </c>
      <c r="AU378" s="20"/>
      <c r="AV378" s="20"/>
      <c r="AW378" s="20">
        <f t="shared" si="232"/>
        <v>5276.7500000000009</v>
      </c>
      <c r="AX378" s="86">
        <f t="shared" si="244"/>
        <v>5428.4449999999988</v>
      </c>
      <c r="AY378" s="17">
        <f>'[1]D4 Gallon Forecast'!$AG154/1000000</f>
        <v>0</v>
      </c>
      <c r="AZ378" s="17">
        <f>'[1]D4 Gallon Forecast'!$AG186/1000000</f>
        <v>411.18289689728516</v>
      </c>
      <c r="BA378" s="17">
        <f t="shared" si="247"/>
        <v>411.18289689728516</v>
      </c>
      <c r="BB378" s="17">
        <f>'[1]D4 Gallon Forecast'!$AG170/1000000</f>
        <v>0</v>
      </c>
      <c r="BC378" s="87">
        <f>'[1]D4 Gallon Forecast'!$AG346/1000000</f>
        <v>416.88692029490289</v>
      </c>
      <c r="BD378" s="88">
        <f>'[1]D4 Gallon Forecast'!$AG362/1000000</f>
        <v>0</v>
      </c>
      <c r="BE378" s="88">
        <f t="shared" si="248"/>
        <v>416.88692029490289</v>
      </c>
      <c r="BF378" s="76">
        <f t="shared" si="223"/>
        <v>828.06981719218811</v>
      </c>
      <c r="BG378" s="22">
        <f t="shared" si="224"/>
        <v>1.7960676214271944</v>
      </c>
      <c r="BI378" s="21">
        <f t="shared" si="233"/>
        <v>4702.9000000000005</v>
      </c>
      <c r="BJ378" s="21">
        <f t="shared" si="216"/>
        <v>725.54499999999825</v>
      </c>
      <c r="BK378" s="21">
        <f>'RD Feedstock Breakdown'!ES369</f>
        <v>11869.783775251743</v>
      </c>
      <c r="BL378" s="89">
        <f t="shared" si="222"/>
        <v>14.33427898084693</v>
      </c>
      <c r="BM378" s="89">
        <f t="shared" si="220"/>
        <v>28.867406365437553</v>
      </c>
    </row>
    <row r="379" spans="1:65" ht="13.5" x14ac:dyDescent="0.25">
      <c r="A379" s="15">
        <v>51683</v>
      </c>
      <c r="B379" s="20">
        <f t="shared" si="221"/>
        <v>690</v>
      </c>
      <c r="C379" s="74">
        <v>47</v>
      </c>
      <c r="D379" s="20">
        <f t="shared" si="213"/>
        <v>3</v>
      </c>
      <c r="E379" s="20">
        <f t="shared" si="226"/>
        <v>85</v>
      </c>
      <c r="F379" s="20">
        <f t="shared" si="246"/>
        <v>340</v>
      </c>
      <c r="G379" s="20">
        <f t="shared" si="212"/>
        <v>37.5</v>
      </c>
      <c r="H379" s="20">
        <f t="shared" si="239"/>
        <v>190</v>
      </c>
      <c r="I379" s="20">
        <f t="shared" si="225"/>
        <v>250</v>
      </c>
      <c r="J379" s="20">
        <f t="shared" si="217"/>
        <v>153.30000000000001</v>
      </c>
      <c r="K379" s="20">
        <f t="shared" si="228"/>
        <v>125</v>
      </c>
      <c r="L379" s="20">
        <v>125</v>
      </c>
      <c r="M379" s="20">
        <v>730</v>
      </c>
      <c r="N379" s="20">
        <f t="shared" si="208"/>
        <v>180</v>
      </c>
      <c r="O379" s="74">
        <v>375</v>
      </c>
      <c r="P379" s="20">
        <f t="shared" si="234"/>
        <v>50</v>
      </c>
      <c r="Q379" s="20">
        <f t="shared" si="235"/>
        <v>21</v>
      </c>
      <c r="R379" s="20">
        <v>100</v>
      </c>
      <c r="S379" s="20">
        <f t="shared" si="240"/>
        <v>60</v>
      </c>
      <c r="T379" s="20">
        <f t="shared" si="229"/>
        <v>36</v>
      </c>
      <c r="U379" s="20"/>
      <c r="V379" s="20">
        <f t="shared" si="204"/>
        <v>0</v>
      </c>
      <c r="W379" s="20">
        <f t="shared" si="236"/>
        <v>20</v>
      </c>
      <c r="X379" s="20">
        <f t="shared" si="219"/>
        <v>0</v>
      </c>
      <c r="Y379" s="20">
        <f t="shared" si="231"/>
        <v>3.5</v>
      </c>
      <c r="Z379" s="20">
        <f t="shared" si="207"/>
        <v>230</v>
      </c>
      <c r="AA379" s="20">
        <f t="shared" si="230"/>
        <v>306</v>
      </c>
      <c r="AB379" s="20">
        <f t="shared" si="242"/>
        <v>60</v>
      </c>
      <c r="AC379" s="20">
        <f t="shared" si="249"/>
        <v>1.6</v>
      </c>
      <c r="AD379" s="20">
        <f t="shared" si="238"/>
        <v>180</v>
      </c>
      <c r="AE379" s="20">
        <f t="shared" si="241"/>
        <v>1.1000000000000001</v>
      </c>
      <c r="AF379" s="20">
        <f t="shared" si="245"/>
        <v>275</v>
      </c>
      <c r="AG379" s="20">
        <f t="shared" ref="AG379:AG442" si="251">$AG$5*$AG$12</f>
        <v>18</v>
      </c>
      <c r="AH379" s="20">
        <f t="shared" si="243"/>
        <v>3</v>
      </c>
      <c r="AI379" s="20">
        <f t="shared" si="237"/>
        <v>47</v>
      </c>
      <c r="AJ379" s="20">
        <f t="shared" si="210"/>
        <v>90</v>
      </c>
      <c r="AK379" s="20">
        <f t="shared" si="214"/>
        <v>14</v>
      </c>
      <c r="AL379" s="20">
        <f t="shared" si="211"/>
        <v>45</v>
      </c>
      <c r="AM379" s="20">
        <v>46</v>
      </c>
      <c r="AN379" s="20">
        <f t="shared" si="215"/>
        <v>0.75</v>
      </c>
      <c r="AO379" s="20">
        <f t="shared" si="227"/>
        <v>19</v>
      </c>
      <c r="AP379" s="20">
        <f t="shared" si="227"/>
        <v>19</v>
      </c>
      <c r="AQ379" s="20">
        <f t="shared" si="218"/>
        <v>5</v>
      </c>
      <c r="AR379" s="20">
        <f t="shared" si="206"/>
        <v>120</v>
      </c>
      <c r="AS379" s="20">
        <f t="shared" si="209"/>
        <v>120</v>
      </c>
      <c r="AT379" s="20">
        <f t="shared" si="250"/>
        <v>55</v>
      </c>
      <c r="AU379" s="20"/>
      <c r="AV379" s="20"/>
      <c r="AW379" s="20">
        <f t="shared" si="232"/>
        <v>5276.7500000000009</v>
      </c>
      <c r="AX379" s="86">
        <f t="shared" si="244"/>
        <v>5428.4449999999988</v>
      </c>
      <c r="AY379" s="17">
        <f>'[1]D4 Gallon Forecast'!$AG155/1000000</f>
        <v>0</v>
      </c>
      <c r="AZ379" s="17">
        <f>'[1]D4 Gallon Forecast'!$AG187/1000000</f>
        <v>402.73175606888833</v>
      </c>
      <c r="BA379" s="17">
        <f t="shared" si="247"/>
        <v>402.73175606888833</v>
      </c>
      <c r="BB379" s="17">
        <f>'[1]D4 Gallon Forecast'!$AG171/1000000</f>
        <v>0</v>
      </c>
      <c r="BC379" s="87">
        <f>'[1]D4 Gallon Forecast'!$AG347/1000000</f>
        <v>453.48586998691627</v>
      </c>
      <c r="BD379" s="88">
        <f>'[1]D4 Gallon Forecast'!$AG363/1000000</f>
        <v>0</v>
      </c>
      <c r="BE379" s="88">
        <f t="shared" si="248"/>
        <v>453.48586998691627</v>
      </c>
      <c r="BF379" s="76">
        <f t="shared" si="223"/>
        <v>856.21762605580466</v>
      </c>
      <c r="BG379" s="22">
        <f t="shared" si="224"/>
        <v>1.9190236707465258</v>
      </c>
      <c r="BI379" s="21">
        <f t="shared" si="233"/>
        <v>4702.9000000000005</v>
      </c>
      <c r="BJ379" s="21">
        <f t="shared" si="216"/>
        <v>725.54499999999825</v>
      </c>
      <c r="BK379" s="21">
        <f>'RD Feedstock Breakdown'!ES370</f>
        <v>13113.471134808564</v>
      </c>
      <c r="BL379" s="89">
        <f t="shared" si="222"/>
        <v>15.3155818517965</v>
      </c>
      <c r="BM379" s="89">
        <f t="shared" si="220"/>
        <v>32.561303987573979</v>
      </c>
    </row>
    <row r="380" spans="1:65" ht="13.5" x14ac:dyDescent="0.25">
      <c r="A380" s="15">
        <v>51714</v>
      </c>
      <c r="B380" s="20">
        <f t="shared" si="221"/>
        <v>690</v>
      </c>
      <c r="C380" s="74">
        <v>47</v>
      </c>
      <c r="D380" s="20">
        <f t="shared" si="213"/>
        <v>3</v>
      </c>
      <c r="E380" s="20">
        <f t="shared" si="226"/>
        <v>85</v>
      </c>
      <c r="F380" s="20">
        <f t="shared" si="246"/>
        <v>340</v>
      </c>
      <c r="G380" s="20">
        <f t="shared" si="212"/>
        <v>37.5</v>
      </c>
      <c r="H380" s="20">
        <f t="shared" si="239"/>
        <v>190</v>
      </c>
      <c r="I380" s="20">
        <f t="shared" si="225"/>
        <v>250</v>
      </c>
      <c r="J380" s="20">
        <f t="shared" si="217"/>
        <v>153.30000000000001</v>
      </c>
      <c r="K380" s="20">
        <f t="shared" si="228"/>
        <v>125</v>
      </c>
      <c r="L380" s="20">
        <v>125</v>
      </c>
      <c r="M380" s="20">
        <v>730</v>
      </c>
      <c r="N380" s="20">
        <f t="shared" si="208"/>
        <v>180</v>
      </c>
      <c r="O380" s="74">
        <v>375</v>
      </c>
      <c r="P380" s="20">
        <f t="shared" si="234"/>
        <v>50</v>
      </c>
      <c r="Q380" s="20">
        <f t="shared" si="235"/>
        <v>21</v>
      </c>
      <c r="R380" s="20">
        <v>100</v>
      </c>
      <c r="S380" s="20">
        <f t="shared" si="240"/>
        <v>60</v>
      </c>
      <c r="T380" s="20">
        <f t="shared" si="229"/>
        <v>36</v>
      </c>
      <c r="U380" s="20"/>
      <c r="V380" s="20">
        <f>$V$5*$V$12</f>
        <v>0</v>
      </c>
      <c r="W380" s="20">
        <f t="shared" si="236"/>
        <v>20</v>
      </c>
      <c r="X380" s="20">
        <f t="shared" si="219"/>
        <v>0</v>
      </c>
      <c r="Y380" s="20">
        <f t="shared" si="231"/>
        <v>3.5</v>
      </c>
      <c r="Z380" s="20">
        <f t="shared" si="207"/>
        <v>230</v>
      </c>
      <c r="AA380" s="20">
        <f t="shared" si="230"/>
        <v>306</v>
      </c>
      <c r="AB380" s="20">
        <f t="shared" si="242"/>
        <v>60</v>
      </c>
      <c r="AC380" s="20">
        <f t="shared" si="249"/>
        <v>1.6</v>
      </c>
      <c r="AD380" s="20">
        <f t="shared" si="238"/>
        <v>180</v>
      </c>
      <c r="AE380" s="20">
        <f t="shared" si="241"/>
        <v>1.1000000000000001</v>
      </c>
      <c r="AF380" s="20">
        <f t="shared" si="245"/>
        <v>275</v>
      </c>
      <c r="AG380" s="20">
        <f t="shared" si="251"/>
        <v>18</v>
      </c>
      <c r="AH380" s="20">
        <f t="shared" si="243"/>
        <v>3</v>
      </c>
      <c r="AI380" s="20">
        <f t="shared" si="237"/>
        <v>47</v>
      </c>
      <c r="AJ380" s="20">
        <f t="shared" si="210"/>
        <v>90</v>
      </c>
      <c r="AK380" s="20">
        <f t="shared" si="214"/>
        <v>14</v>
      </c>
      <c r="AL380" s="20">
        <f t="shared" si="211"/>
        <v>45</v>
      </c>
      <c r="AM380" s="20">
        <v>46</v>
      </c>
      <c r="AN380" s="20">
        <f t="shared" si="215"/>
        <v>0.75</v>
      </c>
      <c r="AO380" s="20">
        <f t="shared" si="227"/>
        <v>19</v>
      </c>
      <c r="AP380" s="20">
        <f t="shared" si="227"/>
        <v>19</v>
      </c>
      <c r="AQ380" s="20">
        <f t="shared" si="218"/>
        <v>5</v>
      </c>
      <c r="AR380" s="20">
        <f>$AR$5*$AR$12</f>
        <v>120</v>
      </c>
      <c r="AS380" s="20">
        <f t="shared" si="209"/>
        <v>120</v>
      </c>
      <c r="AT380" s="20">
        <f t="shared" si="250"/>
        <v>55</v>
      </c>
      <c r="AU380" s="20"/>
      <c r="AV380" s="20"/>
      <c r="AW380" s="20">
        <f t="shared" si="232"/>
        <v>5276.7500000000009</v>
      </c>
      <c r="AX380" s="86">
        <f t="shared" si="244"/>
        <v>5428.4449999999988</v>
      </c>
      <c r="AY380" s="17">
        <f>'[1]D4 Gallon Forecast'!$AG156/1000000</f>
        <v>0</v>
      </c>
      <c r="AZ380" s="17">
        <f>'[1]D4 Gallon Forecast'!$AG188/1000000</f>
        <v>408.4950626160641</v>
      </c>
      <c r="BA380" s="17">
        <f t="shared" si="247"/>
        <v>408.4950626160641</v>
      </c>
      <c r="BB380" s="17">
        <f>'[1]D4 Gallon Forecast'!$AG172/1000000</f>
        <v>0</v>
      </c>
      <c r="BC380" s="87">
        <f>'[1]D4 Gallon Forecast'!$AG348/1000000</f>
        <v>493.77231937976603</v>
      </c>
      <c r="BD380" s="88">
        <f>'[1]D4 Gallon Forecast'!$AG364/1000000</f>
        <v>0</v>
      </c>
      <c r="BE380" s="88">
        <f t="shared" si="248"/>
        <v>493.77231937976603</v>
      </c>
      <c r="BF380" s="76">
        <f t="shared" si="223"/>
        <v>902.26738199583019</v>
      </c>
      <c r="BG380" s="22">
        <f t="shared" si="224"/>
        <v>1.9570007226775665</v>
      </c>
      <c r="BI380" s="21">
        <f t="shared" si="233"/>
        <v>4702.9000000000005</v>
      </c>
      <c r="BJ380" s="21">
        <f t="shared" si="216"/>
        <v>725.54499999999825</v>
      </c>
      <c r="BK380" s="21">
        <f>'RD Feedstock Breakdown'!ES371</f>
        <v>14092.219931209556</v>
      </c>
      <c r="BL380" s="89">
        <f t="shared" si="222"/>
        <v>15.618673812675501</v>
      </c>
      <c r="BM380" s="89">
        <f t="shared" si="220"/>
        <v>34.497895374697677</v>
      </c>
    </row>
    <row r="381" spans="1:65" ht="13.5" x14ac:dyDescent="0.25">
      <c r="A381" s="15">
        <v>51745</v>
      </c>
      <c r="B381" s="20">
        <f t="shared" si="221"/>
        <v>690</v>
      </c>
      <c r="C381" s="74">
        <v>47</v>
      </c>
      <c r="D381" s="20">
        <f t="shared" si="213"/>
        <v>3</v>
      </c>
      <c r="E381" s="20">
        <f t="shared" si="226"/>
        <v>85</v>
      </c>
      <c r="F381" s="20">
        <f t="shared" si="246"/>
        <v>340</v>
      </c>
      <c r="G381" s="20">
        <f t="shared" si="212"/>
        <v>37.5</v>
      </c>
      <c r="H381" s="20">
        <f t="shared" si="239"/>
        <v>190</v>
      </c>
      <c r="I381" s="20">
        <f t="shared" si="225"/>
        <v>250</v>
      </c>
      <c r="J381" s="20">
        <f t="shared" si="217"/>
        <v>153.30000000000001</v>
      </c>
      <c r="K381" s="20">
        <f t="shared" si="228"/>
        <v>125</v>
      </c>
      <c r="L381" s="20">
        <v>125</v>
      </c>
      <c r="M381" s="20">
        <v>730</v>
      </c>
      <c r="N381" s="20">
        <f t="shared" si="208"/>
        <v>180</v>
      </c>
      <c r="O381" s="74">
        <v>375</v>
      </c>
      <c r="P381" s="20">
        <f t="shared" si="234"/>
        <v>50</v>
      </c>
      <c r="Q381" s="20">
        <f t="shared" si="235"/>
        <v>21</v>
      </c>
      <c r="R381" s="20">
        <v>100</v>
      </c>
      <c r="S381" s="20">
        <f t="shared" si="240"/>
        <v>60</v>
      </c>
      <c r="T381" s="20">
        <f t="shared" si="229"/>
        <v>36</v>
      </c>
      <c r="U381" s="20"/>
      <c r="V381" s="20">
        <f>$V$5*$V$12</f>
        <v>0</v>
      </c>
      <c r="W381" s="20">
        <f t="shared" si="236"/>
        <v>20</v>
      </c>
      <c r="X381" s="20">
        <f t="shared" si="219"/>
        <v>0</v>
      </c>
      <c r="Y381" s="20">
        <f t="shared" si="231"/>
        <v>3.5</v>
      </c>
      <c r="Z381" s="20">
        <f t="shared" si="207"/>
        <v>230</v>
      </c>
      <c r="AA381" s="20">
        <f t="shared" si="230"/>
        <v>306</v>
      </c>
      <c r="AB381" s="20">
        <f t="shared" si="242"/>
        <v>60</v>
      </c>
      <c r="AC381" s="20">
        <f t="shared" si="249"/>
        <v>1.6</v>
      </c>
      <c r="AD381" s="20">
        <f t="shared" si="238"/>
        <v>180</v>
      </c>
      <c r="AE381" s="20">
        <f t="shared" si="241"/>
        <v>1.1000000000000001</v>
      </c>
      <c r="AF381" s="20">
        <f t="shared" si="245"/>
        <v>275</v>
      </c>
      <c r="AG381" s="20">
        <f t="shared" si="251"/>
        <v>18</v>
      </c>
      <c r="AH381" s="20">
        <f t="shared" si="243"/>
        <v>3</v>
      </c>
      <c r="AI381" s="20">
        <f t="shared" si="237"/>
        <v>47</v>
      </c>
      <c r="AJ381" s="20">
        <f t="shared" si="210"/>
        <v>90</v>
      </c>
      <c r="AK381" s="20">
        <f t="shared" si="214"/>
        <v>14</v>
      </c>
      <c r="AL381" s="20">
        <f t="shared" si="211"/>
        <v>45</v>
      </c>
      <c r="AM381" s="20">
        <v>46</v>
      </c>
      <c r="AN381" s="20">
        <f t="shared" si="215"/>
        <v>0.75</v>
      </c>
      <c r="AO381" s="20">
        <f t="shared" ref="AO381:AP396" si="252">$AO$12*$AO$5</f>
        <v>19</v>
      </c>
      <c r="AP381" s="20">
        <f t="shared" si="252"/>
        <v>19</v>
      </c>
      <c r="AQ381" s="20">
        <f t="shared" si="218"/>
        <v>5</v>
      </c>
      <c r="AR381" s="20">
        <f>$AR$5*$AR$12</f>
        <v>120</v>
      </c>
      <c r="AS381" s="20">
        <f t="shared" si="209"/>
        <v>120</v>
      </c>
      <c r="AT381" s="20">
        <f t="shared" si="250"/>
        <v>55</v>
      </c>
      <c r="AU381" s="20"/>
      <c r="AV381" s="20"/>
      <c r="AW381" s="20">
        <f t="shared" si="232"/>
        <v>5276.7500000000009</v>
      </c>
      <c r="AX381" s="86">
        <f t="shared" si="244"/>
        <v>5428.4449999999988</v>
      </c>
      <c r="AY381" s="17">
        <f>'[1]D4 Gallon Forecast'!$AG157/1000000</f>
        <v>0</v>
      </c>
      <c r="AZ381" s="17">
        <f>'[1]D4 Gallon Forecast'!$AG189/1000000</f>
        <v>415.94020652362531</v>
      </c>
      <c r="BA381" s="17">
        <f t="shared" si="247"/>
        <v>415.94020652362531</v>
      </c>
      <c r="BB381" s="17">
        <f>'[1]D4 Gallon Forecast'!$AG173/1000000</f>
        <v>0</v>
      </c>
      <c r="BC381" s="87">
        <f>'[1]D4 Gallon Forecast'!$AG349/1000000</f>
        <v>600.55125467594326</v>
      </c>
      <c r="BD381" s="88">
        <f>'[1]D4 Gallon Forecast'!$AG365/1000000</f>
        <v>0</v>
      </c>
      <c r="BE381" s="88">
        <f t="shared" si="248"/>
        <v>600.55125467594326</v>
      </c>
      <c r="BF381" s="76">
        <f t="shared" si="223"/>
        <v>1016.4914611995686</v>
      </c>
      <c r="BG381" s="22">
        <f t="shared" si="224"/>
        <v>2.2047505693520955</v>
      </c>
      <c r="BI381" s="21">
        <f t="shared" si="233"/>
        <v>4702.9000000000005</v>
      </c>
      <c r="BJ381" s="21">
        <f t="shared" si="216"/>
        <v>725.54499999999825</v>
      </c>
      <c r="BK381" s="21">
        <f>'RD Feedstock Breakdown'!ES372</f>
        <v>17886.129350444469</v>
      </c>
      <c r="BL381" s="89">
        <f t="shared" si="222"/>
        <v>17.595946481770664</v>
      </c>
      <c r="BM381" s="89">
        <f t="shared" si="220"/>
        <v>43.001684064001495</v>
      </c>
    </row>
    <row r="382" spans="1:65" ht="13.5" x14ac:dyDescent="0.25">
      <c r="A382" s="15">
        <v>51775</v>
      </c>
      <c r="B382" s="20">
        <f t="shared" si="221"/>
        <v>690</v>
      </c>
      <c r="C382" s="74">
        <v>47</v>
      </c>
      <c r="D382" s="20">
        <f t="shared" si="213"/>
        <v>3</v>
      </c>
      <c r="E382" s="20">
        <f t="shared" si="226"/>
        <v>85</v>
      </c>
      <c r="F382" s="20">
        <f t="shared" si="246"/>
        <v>340</v>
      </c>
      <c r="G382" s="20">
        <f t="shared" si="212"/>
        <v>37.5</v>
      </c>
      <c r="H382" s="20">
        <f t="shared" si="239"/>
        <v>190</v>
      </c>
      <c r="I382" s="20">
        <f t="shared" si="225"/>
        <v>250</v>
      </c>
      <c r="J382" s="20">
        <f t="shared" si="217"/>
        <v>153.30000000000001</v>
      </c>
      <c r="K382" s="20">
        <f t="shared" si="228"/>
        <v>125</v>
      </c>
      <c r="L382" s="20">
        <v>125</v>
      </c>
      <c r="M382" s="20">
        <v>730</v>
      </c>
      <c r="N382" s="20">
        <f t="shared" si="208"/>
        <v>180</v>
      </c>
      <c r="O382" s="74">
        <v>375</v>
      </c>
      <c r="P382" s="20">
        <f t="shared" si="234"/>
        <v>50</v>
      </c>
      <c r="Q382" s="20">
        <f t="shared" si="235"/>
        <v>21</v>
      </c>
      <c r="R382" s="20">
        <v>100</v>
      </c>
      <c r="S382" s="20">
        <f t="shared" si="240"/>
        <v>60</v>
      </c>
      <c r="T382" s="20">
        <f t="shared" si="229"/>
        <v>36</v>
      </c>
      <c r="U382" s="20"/>
      <c r="V382" s="20">
        <f>$V$5*$V$12</f>
        <v>0</v>
      </c>
      <c r="W382" s="20">
        <f t="shared" si="236"/>
        <v>20</v>
      </c>
      <c r="X382" s="20">
        <f t="shared" si="219"/>
        <v>0</v>
      </c>
      <c r="Y382" s="20">
        <f t="shared" si="231"/>
        <v>3.5</v>
      </c>
      <c r="Z382" s="20">
        <f t="shared" si="207"/>
        <v>230</v>
      </c>
      <c r="AA382" s="20">
        <f t="shared" si="230"/>
        <v>306</v>
      </c>
      <c r="AB382" s="20">
        <f t="shared" si="242"/>
        <v>60</v>
      </c>
      <c r="AC382" s="20">
        <f t="shared" si="249"/>
        <v>1.6</v>
      </c>
      <c r="AD382" s="20">
        <f t="shared" si="238"/>
        <v>180</v>
      </c>
      <c r="AE382" s="20">
        <f t="shared" si="241"/>
        <v>1.1000000000000001</v>
      </c>
      <c r="AF382" s="20">
        <f t="shared" si="245"/>
        <v>275</v>
      </c>
      <c r="AG382" s="20">
        <f t="shared" si="251"/>
        <v>18</v>
      </c>
      <c r="AH382" s="20">
        <f t="shared" si="243"/>
        <v>3</v>
      </c>
      <c r="AI382" s="20">
        <f t="shared" si="237"/>
        <v>47</v>
      </c>
      <c r="AJ382" s="20">
        <f t="shared" si="210"/>
        <v>90</v>
      </c>
      <c r="AK382" s="20">
        <f t="shared" si="214"/>
        <v>14</v>
      </c>
      <c r="AL382" s="20">
        <f t="shared" si="211"/>
        <v>45</v>
      </c>
      <c r="AM382" s="20">
        <v>46</v>
      </c>
      <c r="AN382" s="20">
        <f t="shared" si="215"/>
        <v>0.75</v>
      </c>
      <c r="AO382" s="20">
        <f t="shared" si="252"/>
        <v>19</v>
      </c>
      <c r="AP382" s="20">
        <f t="shared" si="252"/>
        <v>19</v>
      </c>
      <c r="AQ382" s="20">
        <f t="shared" si="218"/>
        <v>5</v>
      </c>
      <c r="AR382" s="20">
        <f>$AR$5*$AR$12</f>
        <v>120</v>
      </c>
      <c r="AS382" s="20">
        <f t="shared" si="209"/>
        <v>120</v>
      </c>
      <c r="AT382" s="20">
        <f t="shared" si="250"/>
        <v>55</v>
      </c>
      <c r="AU382" s="20"/>
      <c r="AV382" s="20"/>
      <c r="AW382" s="20">
        <f t="shared" si="232"/>
        <v>5276.7500000000009</v>
      </c>
      <c r="AX382" s="86">
        <f t="shared" si="244"/>
        <v>5428.4449999999988</v>
      </c>
      <c r="AY382" s="17">
        <f>'[1]D4 Gallon Forecast'!$AG158/1000000</f>
        <v>0</v>
      </c>
      <c r="AZ382" s="17">
        <f>'[1]D4 Gallon Forecast'!$AG190/1000000</f>
        <v>457.06315878418752</v>
      </c>
      <c r="BA382" s="17">
        <f t="shared" si="247"/>
        <v>457.06315878418752</v>
      </c>
      <c r="BB382" s="17">
        <f>'[1]D4 Gallon Forecast'!$AG174/1000000</f>
        <v>0</v>
      </c>
      <c r="BC382" s="87">
        <f>'[1]D4 Gallon Forecast'!$AG350/1000000</f>
        <v>586.37046775575391</v>
      </c>
      <c r="BD382" s="88">
        <f>'[1]D4 Gallon Forecast'!$AG366/1000000</f>
        <v>0</v>
      </c>
      <c r="BE382" s="88">
        <f t="shared" si="248"/>
        <v>586.37046775575391</v>
      </c>
      <c r="BF382" s="76">
        <f t="shared" si="223"/>
        <v>1043.4336265399415</v>
      </c>
      <c r="BG382" s="22">
        <f t="shared" si="224"/>
        <v>2.3386271985628708</v>
      </c>
      <c r="BI382" s="21">
        <f t="shared" si="233"/>
        <v>4702.9000000000005</v>
      </c>
      <c r="BJ382" s="21">
        <f t="shared" si="216"/>
        <v>725.54499999999825</v>
      </c>
      <c r="BK382" s="21">
        <f>'RD Feedstock Breakdown'!ES373</f>
        <v>19475.068495070085</v>
      </c>
      <c r="BL382" s="89">
        <f t="shared" si="222"/>
        <v>18.664405669625598</v>
      </c>
      <c r="BM382" s="89">
        <f t="shared" si="220"/>
        <v>42.609140817375895</v>
      </c>
    </row>
    <row r="383" spans="1:65" ht="13.5" x14ac:dyDescent="0.25">
      <c r="A383" s="15">
        <v>51806</v>
      </c>
      <c r="B383" s="20">
        <f t="shared" si="221"/>
        <v>690</v>
      </c>
      <c r="C383" s="74">
        <v>47</v>
      </c>
      <c r="D383" s="20">
        <f t="shared" si="213"/>
        <v>3</v>
      </c>
      <c r="E383" s="20">
        <f t="shared" si="226"/>
        <v>85</v>
      </c>
      <c r="F383" s="20">
        <f t="shared" si="246"/>
        <v>340</v>
      </c>
      <c r="G383" s="20">
        <f t="shared" si="212"/>
        <v>37.5</v>
      </c>
      <c r="H383" s="20">
        <f t="shared" si="239"/>
        <v>190</v>
      </c>
      <c r="I383" s="20">
        <f t="shared" si="225"/>
        <v>250</v>
      </c>
      <c r="J383" s="20">
        <f t="shared" si="217"/>
        <v>153.30000000000001</v>
      </c>
      <c r="K383" s="20">
        <f t="shared" si="228"/>
        <v>125</v>
      </c>
      <c r="L383" s="20">
        <v>125</v>
      </c>
      <c r="M383" s="20">
        <v>730</v>
      </c>
      <c r="N383" s="20">
        <f t="shared" si="208"/>
        <v>180</v>
      </c>
      <c r="O383" s="74">
        <v>375</v>
      </c>
      <c r="P383" s="20">
        <f t="shared" si="234"/>
        <v>50</v>
      </c>
      <c r="Q383" s="20">
        <f t="shared" si="235"/>
        <v>21</v>
      </c>
      <c r="R383" s="20">
        <v>100</v>
      </c>
      <c r="S383" s="20">
        <f t="shared" si="240"/>
        <v>60</v>
      </c>
      <c r="T383" s="20">
        <f t="shared" si="229"/>
        <v>36</v>
      </c>
      <c r="U383" s="20"/>
      <c r="V383" s="20">
        <f>$V$5*$V$12</f>
        <v>0</v>
      </c>
      <c r="W383" s="20">
        <f t="shared" si="236"/>
        <v>20</v>
      </c>
      <c r="X383" s="20">
        <f t="shared" si="219"/>
        <v>0</v>
      </c>
      <c r="Y383" s="20">
        <f t="shared" si="231"/>
        <v>3.5</v>
      </c>
      <c r="Z383" s="20">
        <f t="shared" si="207"/>
        <v>230</v>
      </c>
      <c r="AA383" s="20">
        <f t="shared" si="230"/>
        <v>306</v>
      </c>
      <c r="AB383" s="20">
        <f t="shared" si="242"/>
        <v>60</v>
      </c>
      <c r="AC383" s="20">
        <f t="shared" si="249"/>
        <v>1.6</v>
      </c>
      <c r="AD383" s="20">
        <f t="shared" si="238"/>
        <v>180</v>
      </c>
      <c r="AE383" s="20">
        <f t="shared" si="241"/>
        <v>1.1000000000000001</v>
      </c>
      <c r="AF383" s="20">
        <f t="shared" si="245"/>
        <v>275</v>
      </c>
      <c r="AG383" s="20">
        <f t="shared" si="251"/>
        <v>18</v>
      </c>
      <c r="AH383" s="20">
        <f t="shared" si="243"/>
        <v>3</v>
      </c>
      <c r="AI383" s="20">
        <f t="shared" si="237"/>
        <v>47</v>
      </c>
      <c r="AJ383" s="20">
        <f t="shared" si="210"/>
        <v>90</v>
      </c>
      <c r="AK383" s="20">
        <f t="shared" si="214"/>
        <v>14</v>
      </c>
      <c r="AL383" s="20">
        <f t="shared" si="211"/>
        <v>45</v>
      </c>
      <c r="AM383" s="20">
        <v>46</v>
      </c>
      <c r="AN383" s="20">
        <f t="shared" si="215"/>
        <v>0.75</v>
      </c>
      <c r="AO383" s="20">
        <f t="shared" si="252"/>
        <v>19</v>
      </c>
      <c r="AP383" s="20">
        <f t="shared" si="252"/>
        <v>19</v>
      </c>
      <c r="AQ383" s="20">
        <f t="shared" si="218"/>
        <v>5</v>
      </c>
      <c r="AR383" s="20">
        <f>$AR$5*$AR$12</f>
        <v>120</v>
      </c>
      <c r="AS383" s="20">
        <f t="shared" si="209"/>
        <v>120</v>
      </c>
      <c r="AT383" s="20">
        <f t="shared" si="250"/>
        <v>55</v>
      </c>
      <c r="AU383" s="20"/>
      <c r="AV383" s="20"/>
      <c r="AW383" s="20">
        <f t="shared" si="232"/>
        <v>5276.7500000000009</v>
      </c>
      <c r="AX383" s="86">
        <f t="shared" si="244"/>
        <v>5428.4449999999988</v>
      </c>
      <c r="AY383" s="17">
        <f>'[1]D4 Gallon Forecast'!$AG159/1000000</f>
        <v>0</v>
      </c>
      <c r="AZ383" s="17">
        <f>'[1]D4 Gallon Forecast'!$AG191/1000000</f>
        <v>555.32161620355726</v>
      </c>
      <c r="BA383" s="17">
        <f t="shared" si="247"/>
        <v>555.32161620355726</v>
      </c>
      <c r="BB383" s="17">
        <f>'[1]D4 Gallon Forecast'!$AG175/1000000</f>
        <v>0</v>
      </c>
      <c r="BC383" s="87">
        <f>'[1]D4 Gallon Forecast'!$AG351/1000000</f>
        <v>507.37406269245309</v>
      </c>
      <c r="BD383" s="88">
        <f>'[1]D4 Gallon Forecast'!$AG367/1000000</f>
        <v>0</v>
      </c>
      <c r="BE383" s="88">
        <f t="shared" si="248"/>
        <v>507.37406269245309</v>
      </c>
      <c r="BF383" s="76">
        <f t="shared" si="223"/>
        <v>1062.6956788960103</v>
      </c>
      <c r="BG383" s="22">
        <f t="shared" si="224"/>
        <v>2.3049666352622626</v>
      </c>
      <c r="BI383" s="21">
        <f t="shared" si="233"/>
        <v>4702.9000000000005</v>
      </c>
      <c r="BJ383" s="21">
        <f t="shared" si="216"/>
        <v>725.54499999999825</v>
      </c>
      <c r="BK383" s="21">
        <f>'RD Feedstock Breakdown'!ES374</f>
        <v>19549.09814335786</v>
      </c>
      <c r="BL383" s="89">
        <f t="shared" si="222"/>
        <v>18.39576327596118</v>
      </c>
      <c r="BM383" s="89">
        <f t="shared" si="220"/>
        <v>35.203200403047148</v>
      </c>
    </row>
    <row r="384" spans="1:65" ht="13.5" x14ac:dyDescent="0.25">
      <c r="A384" s="15">
        <v>51836</v>
      </c>
      <c r="B384" s="20">
        <f t="shared" si="221"/>
        <v>690</v>
      </c>
      <c r="C384" s="74">
        <v>47</v>
      </c>
      <c r="D384" s="20">
        <f t="shared" si="213"/>
        <v>3</v>
      </c>
      <c r="E384" s="20">
        <f t="shared" si="226"/>
        <v>85</v>
      </c>
      <c r="F384" s="20">
        <f t="shared" si="246"/>
        <v>340</v>
      </c>
      <c r="G384" s="20">
        <f t="shared" si="212"/>
        <v>37.5</v>
      </c>
      <c r="H384" s="20">
        <f t="shared" si="239"/>
        <v>190</v>
      </c>
      <c r="I384" s="20">
        <f t="shared" si="225"/>
        <v>250</v>
      </c>
      <c r="J384" s="20">
        <f t="shared" si="217"/>
        <v>153.30000000000001</v>
      </c>
      <c r="K384" s="20">
        <f t="shared" si="228"/>
        <v>125</v>
      </c>
      <c r="L384" s="20">
        <v>125</v>
      </c>
      <c r="M384" s="20">
        <v>730</v>
      </c>
      <c r="N384" s="20">
        <f t="shared" si="208"/>
        <v>180</v>
      </c>
      <c r="O384" s="74">
        <v>375</v>
      </c>
      <c r="P384" s="20">
        <f t="shared" si="234"/>
        <v>50</v>
      </c>
      <c r="Q384" s="20">
        <f t="shared" si="235"/>
        <v>21</v>
      </c>
      <c r="R384" s="20">
        <v>100</v>
      </c>
      <c r="S384" s="20">
        <f t="shared" si="240"/>
        <v>60</v>
      </c>
      <c r="T384" s="20">
        <f t="shared" si="229"/>
        <v>36</v>
      </c>
      <c r="U384" s="20"/>
      <c r="V384" s="20">
        <f>$V$5*$V$12</f>
        <v>0</v>
      </c>
      <c r="W384" s="20">
        <f t="shared" si="236"/>
        <v>20</v>
      </c>
      <c r="X384" s="20">
        <f t="shared" si="219"/>
        <v>0</v>
      </c>
      <c r="Y384" s="20">
        <f t="shared" si="231"/>
        <v>3.5</v>
      </c>
      <c r="Z384" s="20">
        <f>920*$Z$12</f>
        <v>230</v>
      </c>
      <c r="AA384" s="20">
        <f t="shared" si="230"/>
        <v>306</v>
      </c>
      <c r="AB384" s="20">
        <f t="shared" si="242"/>
        <v>60</v>
      </c>
      <c r="AC384" s="20">
        <f t="shared" si="249"/>
        <v>1.6</v>
      </c>
      <c r="AD384" s="20">
        <f t="shared" si="238"/>
        <v>180</v>
      </c>
      <c r="AE384" s="20">
        <f t="shared" si="241"/>
        <v>1.1000000000000001</v>
      </c>
      <c r="AF384" s="20">
        <f t="shared" si="245"/>
        <v>275</v>
      </c>
      <c r="AG384" s="20">
        <f t="shared" si="251"/>
        <v>18</v>
      </c>
      <c r="AH384" s="20">
        <f t="shared" si="243"/>
        <v>3</v>
      </c>
      <c r="AI384" s="20">
        <f t="shared" si="237"/>
        <v>47</v>
      </c>
      <c r="AJ384" s="20">
        <f t="shared" si="210"/>
        <v>90</v>
      </c>
      <c r="AK384" s="20">
        <f t="shared" si="214"/>
        <v>14</v>
      </c>
      <c r="AL384" s="20">
        <f t="shared" si="211"/>
        <v>45</v>
      </c>
      <c r="AM384" s="20">
        <v>46</v>
      </c>
      <c r="AN384" s="20">
        <f t="shared" si="215"/>
        <v>0.75</v>
      </c>
      <c r="AO384" s="20">
        <f t="shared" si="252"/>
        <v>19</v>
      </c>
      <c r="AP384" s="20">
        <f t="shared" si="252"/>
        <v>19</v>
      </c>
      <c r="AQ384" s="20">
        <f t="shared" si="218"/>
        <v>5</v>
      </c>
      <c r="AR384" s="20">
        <f>$AR$5*$AR$12</f>
        <v>120</v>
      </c>
      <c r="AS384" s="20">
        <f t="shared" si="209"/>
        <v>120</v>
      </c>
      <c r="AT384" s="20">
        <f t="shared" si="250"/>
        <v>55</v>
      </c>
      <c r="AU384" s="20"/>
      <c r="AV384" s="20"/>
      <c r="AW384" s="20">
        <f t="shared" si="232"/>
        <v>5276.7500000000009</v>
      </c>
      <c r="AX384" s="86">
        <f t="shared" si="244"/>
        <v>5428.4449999999988</v>
      </c>
      <c r="AY384" s="17">
        <f>'[1]D4 Gallon Forecast'!$AG160/1000000</f>
        <v>0</v>
      </c>
      <c r="AZ384" s="17">
        <f>'[1]D4 Gallon Forecast'!$AG192/1000000</f>
        <v>630.10720467040733</v>
      </c>
      <c r="BA384" s="17">
        <f t="shared" si="247"/>
        <v>630.10720467040733</v>
      </c>
      <c r="BB384" s="17">
        <f>'[1]D4 Gallon Forecast'!$AG176/1000000</f>
        <v>0</v>
      </c>
      <c r="BC384" s="87">
        <f>'[1]D4 Gallon Forecast'!$AG352/1000000</f>
        <v>455.89531930239582</v>
      </c>
      <c r="BD384" s="88">
        <f>'[1]D4 Gallon Forecast'!$AG368/1000000</f>
        <v>0</v>
      </c>
      <c r="BE384" s="88">
        <f t="shared" si="248"/>
        <v>455.89531930239582</v>
      </c>
      <c r="BF384" s="76">
        <f t="shared" si="223"/>
        <v>1086.0025239728031</v>
      </c>
      <c r="BG384" s="22">
        <f t="shared" si="224"/>
        <v>2.4340360284272524</v>
      </c>
      <c r="BI384" s="21">
        <f t="shared" si="233"/>
        <v>4702.9000000000005</v>
      </c>
      <c r="BJ384" s="21">
        <f t="shared" si="216"/>
        <v>725.54499999999825</v>
      </c>
      <c r="BK384" s="21">
        <f>'RD Feedstock Breakdown'!ES375</f>
        <v>21096.528949144838</v>
      </c>
      <c r="BL384" s="89">
        <f t="shared" si="222"/>
        <v>19.425856278832331</v>
      </c>
      <c r="BM384" s="89">
        <f t="shared" si="220"/>
        <v>33.48085657928619</v>
      </c>
    </row>
    <row r="385" spans="1:65" ht="13.5" x14ac:dyDescent="0.25">
      <c r="A385" s="15">
        <v>51867</v>
      </c>
      <c r="B385" s="20">
        <f t="shared" si="221"/>
        <v>690</v>
      </c>
      <c r="C385" s="74">
        <v>47</v>
      </c>
      <c r="D385" s="20">
        <f t="shared" si="213"/>
        <v>3</v>
      </c>
      <c r="E385" s="20">
        <f t="shared" si="226"/>
        <v>85</v>
      </c>
      <c r="F385" s="20">
        <f t="shared" si="246"/>
        <v>340</v>
      </c>
      <c r="G385" s="20">
        <f t="shared" si="212"/>
        <v>37.5</v>
      </c>
      <c r="H385" s="20">
        <f t="shared" si="239"/>
        <v>190</v>
      </c>
      <c r="I385" s="20">
        <f t="shared" si="225"/>
        <v>250</v>
      </c>
      <c r="J385" s="20">
        <f t="shared" si="217"/>
        <v>153.30000000000001</v>
      </c>
      <c r="K385" s="20">
        <f t="shared" si="228"/>
        <v>125</v>
      </c>
      <c r="L385" s="20">
        <v>125</v>
      </c>
      <c r="M385" s="20">
        <v>730</v>
      </c>
      <c r="N385" s="20">
        <f t="shared" si="208"/>
        <v>180</v>
      </c>
      <c r="O385" s="74">
        <v>375</v>
      </c>
      <c r="P385" s="20">
        <f t="shared" si="234"/>
        <v>50</v>
      </c>
      <c r="Q385" s="20">
        <f t="shared" si="235"/>
        <v>21</v>
      </c>
      <c r="R385" s="20">
        <v>100</v>
      </c>
      <c r="S385" s="20">
        <f t="shared" si="240"/>
        <v>60</v>
      </c>
      <c r="T385" s="20">
        <f t="shared" si="229"/>
        <v>36</v>
      </c>
      <c r="U385" s="20"/>
      <c r="V385" s="20">
        <f t="shared" ref="V385:V448" si="253">$V$5*$V$12</f>
        <v>0</v>
      </c>
      <c r="W385" s="20">
        <f t="shared" si="236"/>
        <v>20</v>
      </c>
      <c r="X385" s="20">
        <f t="shared" si="219"/>
        <v>0</v>
      </c>
      <c r="Y385" s="20">
        <f t="shared" si="231"/>
        <v>3.5</v>
      </c>
      <c r="Z385" s="20">
        <f t="shared" si="207"/>
        <v>230</v>
      </c>
      <c r="AA385" s="20">
        <f t="shared" si="230"/>
        <v>306</v>
      </c>
      <c r="AB385" s="20">
        <f t="shared" si="242"/>
        <v>60</v>
      </c>
      <c r="AC385" s="20">
        <f t="shared" si="249"/>
        <v>1.6</v>
      </c>
      <c r="AD385" s="20">
        <f t="shared" si="238"/>
        <v>180</v>
      </c>
      <c r="AE385" s="20">
        <f t="shared" si="241"/>
        <v>1.1000000000000001</v>
      </c>
      <c r="AF385" s="20">
        <f t="shared" si="245"/>
        <v>275</v>
      </c>
      <c r="AG385" s="20">
        <f t="shared" si="251"/>
        <v>18</v>
      </c>
      <c r="AH385" s="20">
        <f t="shared" si="243"/>
        <v>3</v>
      </c>
      <c r="AI385" s="20">
        <f t="shared" si="237"/>
        <v>47</v>
      </c>
      <c r="AJ385" s="20">
        <f t="shared" si="210"/>
        <v>90</v>
      </c>
      <c r="AK385" s="20">
        <f t="shared" si="214"/>
        <v>14</v>
      </c>
      <c r="AL385" s="20">
        <f t="shared" si="211"/>
        <v>45</v>
      </c>
      <c r="AM385" s="20">
        <v>46</v>
      </c>
      <c r="AN385" s="20">
        <f t="shared" si="215"/>
        <v>0.75</v>
      </c>
      <c r="AO385" s="20">
        <f t="shared" si="252"/>
        <v>19</v>
      </c>
      <c r="AP385" s="20">
        <f t="shared" si="252"/>
        <v>19</v>
      </c>
      <c r="AQ385" s="20">
        <f t="shared" si="218"/>
        <v>5</v>
      </c>
      <c r="AR385" s="20">
        <f t="shared" ref="AR385:AR448" si="254">$AR$5*$AR$12</f>
        <v>120</v>
      </c>
      <c r="AS385" s="20">
        <f t="shared" si="209"/>
        <v>120</v>
      </c>
      <c r="AT385" s="20">
        <f t="shared" si="250"/>
        <v>55</v>
      </c>
      <c r="AU385" s="20"/>
      <c r="AV385" s="20"/>
      <c r="AW385" s="20">
        <f t="shared" si="232"/>
        <v>5276.7500000000009</v>
      </c>
      <c r="AX385" s="86">
        <f t="shared" si="244"/>
        <v>5428.4449999999988</v>
      </c>
      <c r="AY385" s="17">
        <f>'[1]D4 Gallon Forecast'!$AH149/1000000</f>
        <v>0</v>
      </c>
      <c r="AZ385" s="17">
        <f>'[1]D4 Gallon Forecast'!$AH181/1000000</f>
        <v>347.92975770108922</v>
      </c>
      <c r="BA385" s="17">
        <f t="shared" si="247"/>
        <v>347.92975770108922</v>
      </c>
      <c r="BB385" s="17">
        <f>'[1]D4 Gallon Forecast'!$AH165/1000000</f>
        <v>0</v>
      </c>
      <c r="BC385" s="87">
        <f>'[1]D4 Gallon Forecast'!$AH341/1000000</f>
        <v>281.87390502968736</v>
      </c>
      <c r="BD385" s="88">
        <f>'[1]D4 Gallon Forecast'!$AH357/1000000</f>
        <v>0</v>
      </c>
      <c r="BE385" s="88">
        <f t="shared" si="248"/>
        <v>281.87390502968736</v>
      </c>
      <c r="BF385" s="76">
        <f t="shared" si="223"/>
        <v>629.80366273077652</v>
      </c>
      <c r="BG385" s="22">
        <f t="shared" si="224"/>
        <v>1.3660321183092532</v>
      </c>
      <c r="BI385" s="21">
        <f t="shared" si="233"/>
        <v>4702.9000000000005</v>
      </c>
      <c r="BJ385" s="21">
        <f t="shared" si="216"/>
        <v>725.54499999999825</v>
      </c>
      <c r="BK385" s="21">
        <f>'RD Feedstock Breakdown'!ES376</f>
        <v>6866.244460302325</v>
      </c>
      <c r="BL385" s="89">
        <f t="shared" si="222"/>
        <v>10.902198362154417</v>
      </c>
      <c r="BM385" s="89">
        <f t="shared" si="220"/>
        <v>19.734570867609435</v>
      </c>
    </row>
    <row r="386" spans="1:65" ht="13.5" x14ac:dyDescent="0.25">
      <c r="A386" s="15">
        <v>51898</v>
      </c>
      <c r="B386" s="20">
        <f t="shared" si="221"/>
        <v>690</v>
      </c>
      <c r="C386" s="74">
        <v>47</v>
      </c>
      <c r="D386" s="20">
        <f t="shared" si="213"/>
        <v>3</v>
      </c>
      <c r="E386" s="20">
        <f t="shared" si="226"/>
        <v>85</v>
      </c>
      <c r="F386" s="20">
        <f t="shared" si="246"/>
        <v>340</v>
      </c>
      <c r="G386" s="20">
        <f t="shared" si="212"/>
        <v>37.5</v>
      </c>
      <c r="H386" s="20">
        <f t="shared" si="239"/>
        <v>190</v>
      </c>
      <c r="I386" s="20">
        <f t="shared" si="225"/>
        <v>250</v>
      </c>
      <c r="J386" s="20">
        <f t="shared" si="217"/>
        <v>153.30000000000001</v>
      </c>
      <c r="K386" s="20">
        <f t="shared" si="228"/>
        <v>125</v>
      </c>
      <c r="L386" s="20">
        <v>125</v>
      </c>
      <c r="M386" s="20">
        <v>730</v>
      </c>
      <c r="N386" s="20">
        <f t="shared" ref="N386:N449" si="255">180*$N$12</f>
        <v>180</v>
      </c>
      <c r="O386" s="74">
        <v>375</v>
      </c>
      <c r="P386" s="20">
        <f t="shared" si="234"/>
        <v>50</v>
      </c>
      <c r="Q386" s="20">
        <f t="shared" si="235"/>
        <v>21</v>
      </c>
      <c r="R386" s="20">
        <v>100</v>
      </c>
      <c r="S386" s="20">
        <f t="shared" si="240"/>
        <v>60</v>
      </c>
      <c r="T386" s="20">
        <f t="shared" si="229"/>
        <v>36</v>
      </c>
      <c r="U386" s="20"/>
      <c r="V386" s="20">
        <f t="shared" si="253"/>
        <v>0</v>
      </c>
      <c r="W386" s="20">
        <f t="shared" si="236"/>
        <v>20</v>
      </c>
      <c r="X386" s="20">
        <f t="shared" si="219"/>
        <v>0</v>
      </c>
      <c r="Y386" s="20">
        <f t="shared" si="231"/>
        <v>3.5</v>
      </c>
      <c r="Z386" s="20">
        <f t="shared" ref="Z386:Z449" si="256">920*$Z$12</f>
        <v>230</v>
      </c>
      <c r="AA386" s="20">
        <f t="shared" si="230"/>
        <v>306</v>
      </c>
      <c r="AB386" s="20">
        <f t="shared" si="242"/>
        <v>60</v>
      </c>
      <c r="AC386" s="20">
        <f t="shared" si="249"/>
        <v>1.6</v>
      </c>
      <c r="AD386" s="20">
        <f t="shared" si="238"/>
        <v>180</v>
      </c>
      <c r="AE386" s="20">
        <f t="shared" si="241"/>
        <v>1.1000000000000001</v>
      </c>
      <c r="AF386" s="20">
        <f t="shared" si="245"/>
        <v>275</v>
      </c>
      <c r="AG386" s="20">
        <f t="shared" si="251"/>
        <v>18</v>
      </c>
      <c r="AH386" s="20">
        <f t="shared" si="243"/>
        <v>3</v>
      </c>
      <c r="AI386" s="20">
        <f t="shared" si="237"/>
        <v>47</v>
      </c>
      <c r="AJ386" s="20">
        <f t="shared" si="210"/>
        <v>90</v>
      </c>
      <c r="AK386" s="20">
        <f t="shared" si="214"/>
        <v>14</v>
      </c>
      <c r="AL386" s="20">
        <f t="shared" si="211"/>
        <v>45</v>
      </c>
      <c r="AM386" s="20">
        <v>46</v>
      </c>
      <c r="AN386" s="20">
        <f t="shared" si="215"/>
        <v>0.75</v>
      </c>
      <c r="AO386" s="20">
        <f t="shared" si="252"/>
        <v>19</v>
      </c>
      <c r="AP386" s="20">
        <f t="shared" si="252"/>
        <v>19</v>
      </c>
      <c r="AQ386" s="20">
        <f t="shared" si="218"/>
        <v>5</v>
      </c>
      <c r="AR386" s="20">
        <f t="shared" si="254"/>
        <v>120</v>
      </c>
      <c r="AS386" s="20">
        <f t="shared" si="209"/>
        <v>120</v>
      </c>
      <c r="AT386" s="20">
        <f t="shared" si="250"/>
        <v>55</v>
      </c>
      <c r="AU386" s="20"/>
      <c r="AV386" s="20"/>
      <c r="AW386" s="20">
        <f t="shared" si="232"/>
        <v>5276.7500000000009</v>
      </c>
      <c r="AX386" s="86">
        <f t="shared" si="244"/>
        <v>5428.4449999999988</v>
      </c>
      <c r="AY386" s="17">
        <f>'[1]D4 Gallon Forecast'!$AH150/1000000</f>
        <v>0</v>
      </c>
      <c r="AZ386" s="17">
        <f>'[1]D4 Gallon Forecast'!$AH182/1000000</f>
        <v>383.66267537719074</v>
      </c>
      <c r="BA386" s="17">
        <f t="shared" si="247"/>
        <v>383.66267537719074</v>
      </c>
      <c r="BB386" s="17">
        <f>'[1]D4 Gallon Forecast'!$AH166/1000000</f>
        <v>0</v>
      </c>
      <c r="BC386" s="87">
        <f>'[1]D4 Gallon Forecast'!$AH342/1000000</f>
        <v>535.01511255638309</v>
      </c>
      <c r="BD386" s="88">
        <f>'[1]D4 Gallon Forecast'!$AH358/1000000</f>
        <v>0</v>
      </c>
      <c r="BE386" s="88">
        <f t="shared" si="248"/>
        <v>535.01511255638309</v>
      </c>
      <c r="BF386" s="76">
        <f t="shared" si="223"/>
        <v>918.67778793357388</v>
      </c>
      <c r="BG386" s="22">
        <f t="shared" si="224"/>
        <v>1.9925945797984537</v>
      </c>
      <c r="BI386" s="21">
        <f t="shared" si="233"/>
        <v>4702.9000000000005</v>
      </c>
      <c r="BJ386" s="21">
        <f t="shared" si="216"/>
        <v>725.54499999999825</v>
      </c>
      <c r="BK386" s="21">
        <f>'RD Feedstock Breakdown'!ES377</f>
        <v>14609.499220771808</v>
      </c>
      <c r="BL386" s="89">
        <f t="shared" si="222"/>
        <v>15.902745677168985</v>
      </c>
      <c r="BM386" s="89">
        <f t="shared" si="220"/>
        <v>38.079021386192323</v>
      </c>
    </row>
    <row r="387" spans="1:65" ht="13.5" x14ac:dyDescent="0.25">
      <c r="A387" s="15">
        <v>51926</v>
      </c>
      <c r="B387" s="20">
        <f t="shared" si="221"/>
        <v>690</v>
      </c>
      <c r="C387" s="74">
        <v>47</v>
      </c>
      <c r="D387" s="20">
        <f t="shared" si="213"/>
        <v>3</v>
      </c>
      <c r="E387" s="20">
        <f t="shared" si="226"/>
        <v>85</v>
      </c>
      <c r="F387" s="20">
        <f t="shared" si="246"/>
        <v>340</v>
      </c>
      <c r="G387" s="20">
        <f t="shared" si="212"/>
        <v>37.5</v>
      </c>
      <c r="H387" s="20">
        <f t="shared" si="239"/>
        <v>190</v>
      </c>
      <c r="I387" s="20">
        <f t="shared" si="225"/>
        <v>250</v>
      </c>
      <c r="J387" s="20">
        <f t="shared" si="217"/>
        <v>153.30000000000001</v>
      </c>
      <c r="K387" s="20">
        <f t="shared" si="228"/>
        <v>125</v>
      </c>
      <c r="L387" s="20">
        <v>125</v>
      </c>
      <c r="M387" s="20">
        <v>730</v>
      </c>
      <c r="N387" s="20">
        <f t="shared" si="255"/>
        <v>180</v>
      </c>
      <c r="O387" s="74">
        <v>375</v>
      </c>
      <c r="P387" s="20">
        <f t="shared" si="234"/>
        <v>50</v>
      </c>
      <c r="Q387" s="20">
        <f t="shared" si="235"/>
        <v>21</v>
      </c>
      <c r="R387" s="20">
        <v>100</v>
      </c>
      <c r="S387" s="20">
        <f t="shared" si="240"/>
        <v>60</v>
      </c>
      <c r="T387" s="20">
        <f t="shared" si="229"/>
        <v>36</v>
      </c>
      <c r="U387" s="20"/>
      <c r="V387" s="20">
        <f t="shared" si="253"/>
        <v>0</v>
      </c>
      <c r="W387" s="20">
        <f t="shared" si="236"/>
        <v>20</v>
      </c>
      <c r="X387" s="20">
        <f t="shared" si="219"/>
        <v>0</v>
      </c>
      <c r="Y387" s="20">
        <f t="shared" si="231"/>
        <v>3.5</v>
      </c>
      <c r="Z387" s="20">
        <f t="shared" si="256"/>
        <v>230</v>
      </c>
      <c r="AA387" s="20">
        <f t="shared" si="230"/>
        <v>306</v>
      </c>
      <c r="AB387" s="20">
        <f t="shared" si="242"/>
        <v>60</v>
      </c>
      <c r="AC387" s="20">
        <f t="shared" si="249"/>
        <v>1.6</v>
      </c>
      <c r="AD387" s="20">
        <f t="shared" si="238"/>
        <v>180</v>
      </c>
      <c r="AE387" s="20">
        <f t="shared" si="241"/>
        <v>1.1000000000000001</v>
      </c>
      <c r="AF387" s="20">
        <f t="shared" si="245"/>
        <v>275</v>
      </c>
      <c r="AG387" s="20">
        <f t="shared" si="251"/>
        <v>18</v>
      </c>
      <c r="AH387" s="20">
        <f t="shared" si="243"/>
        <v>3</v>
      </c>
      <c r="AI387" s="20">
        <f t="shared" si="237"/>
        <v>47</v>
      </c>
      <c r="AJ387" s="20">
        <f t="shared" si="210"/>
        <v>90</v>
      </c>
      <c r="AK387" s="20">
        <f t="shared" si="214"/>
        <v>14</v>
      </c>
      <c r="AL387" s="20">
        <f t="shared" si="211"/>
        <v>45</v>
      </c>
      <c r="AM387" s="20">
        <v>46</v>
      </c>
      <c r="AN387" s="20">
        <f t="shared" si="215"/>
        <v>0.75</v>
      </c>
      <c r="AO387" s="20">
        <f t="shared" si="252"/>
        <v>19</v>
      </c>
      <c r="AP387" s="20">
        <f t="shared" si="252"/>
        <v>19</v>
      </c>
      <c r="AQ387" s="20">
        <f t="shared" si="218"/>
        <v>5</v>
      </c>
      <c r="AR387" s="20">
        <f t="shared" si="254"/>
        <v>120</v>
      </c>
      <c r="AS387" s="20">
        <f t="shared" ref="AS387:AS450" si="257">$AS$5*$AS$12</f>
        <v>120</v>
      </c>
      <c r="AT387" s="20">
        <f t="shared" si="250"/>
        <v>55</v>
      </c>
      <c r="AU387" s="20"/>
      <c r="AV387" s="20"/>
      <c r="AW387" s="20">
        <f t="shared" si="232"/>
        <v>5276.7500000000009</v>
      </c>
      <c r="AX387" s="86">
        <f t="shared" si="244"/>
        <v>5428.4449999999988</v>
      </c>
      <c r="AY387" s="17">
        <f>'[1]D4 Gallon Forecast'!$AH151/1000000</f>
        <v>0</v>
      </c>
      <c r="AZ387" s="17">
        <f>'[1]D4 Gallon Forecast'!$AH183/1000000</f>
        <v>404.0960845061623</v>
      </c>
      <c r="BA387" s="17">
        <f t="shared" si="247"/>
        <v>404.0960845061623</v>
      </c>
      <c r="BB387" s="17">
        <f>'[1]D4 Gallon Forecast'!$AH167/1000000</f>
        <v>0</v>
      </c>
      <c r="BC387" s="87">
        <f>'[1]D4 Gallon Forecast'!$AH343/1000000</f>
        <v>213.54120254829346</v>
      </c>
      <c r="BD387" s="88">
        <f>'[1]D4 Gallon Forecast'!$AH359/1000000</f>
        <v>0</v>
      </c>
      <c r="BE387" s="88">
        <f t="shared" si="248"/>
        <v>213.54120254829346</v>
      </c>
      <c r="BF387" s="76">
        <f t="shared" si="223"/>
        <v>617.63728705445578</v>
      </c>
      <c r="BG387" s="22">
        <f t="shared" si="224"/>
        <v>1.483176711976558</v>
      </c>
      <c r="BI387" s="21">
        <f t="shared" si="233"/>
        <v>4702.9000000000005</v>
      </c>
      <c r="BJ387" s="21">
        <f t="shared" si="216"/>
        <v>725.54499999999825</v>
      </c>
      <c r="BK387" s="21">
        <f>'RD Feedstock Breakdown'!ES378</f>
        <v>7311.046959964121</v>
      </c>
      <c r="BL387" s="89">
        <f t="shared" si="222"/>
        <v>11.837120447877885</v>
      </c>
      <c r="BM387" s="89">
        <f t="shared" si="220"/>
        <v>18.09234793477102</v>
      </c>
    </row>
    <row r="388" spans="1:65" ht="13.5" x14ac:dyDescent="0.25">
      <c r="A388" s="15">
        <v>51957</v>
      </c>
      <c r="B388" s="20">
        <f t="shared" si="221"/>
        <v>690</v>
      </c>
      <c r="C388" s="74">
        <v>47</v>
      </c>
      <c r="D388" s="20">
        <f t="shared" si="213"/>
        <v>3</v>
      </c>
      <c r="E388" s="20">
        <f t="shared" si="226"/>
        <v>85</v>
      </c>
      <c r="F388" s="20">
        <f t="shared" si="246"/>
        <v>340</v>
      </c>
      <c r="G388" s="20">
        <f t="shared" si="212"/>
        <v>37.5</v>
      </c>
      <c r="H388" s="20">
        <f t="shared" si="239"/>
        <v>190</v>
      </c>
      <c r="I388" s="20">
        <f t="shared" si="225"/>
        <v>250</v>
      </c>
      <c r="J388" s="20">
        <f t="shared" si="217"/>
        <v>153.30000000000001</v>
      </c>
      <c r="K388" s="20">
        <f t="shared" si="228"/>
        <v>125</v>
      </c>
      <c r="L388" s="20">
        <v>125</v>
      </c>
      <c r="M388" s="20">
        <v>730</v>
      </c>
      <c r="N388" s="20">
        <f t="shared" si="255"/>
        <v>180</v>
      </c>
      <c r="O388" s="74">
        <v>375</v>
      </c>
      <c r="P388" s="20">
        <f t="shared" si="234"/>
        <v>50</v>
      </c>
      <c r="Q388" s="20">
        <f t="shared" si="235"/>
        <v>21</v>
      </c>
      <c r="R388" s="20">
        <v>100</v>
      </c>
      <c r="S388" s="20">
        <f t="shared" si="240"/>
        <v>60</v>
      </c>
      <c r="T388" s="20">
        <f t="shared" si="229"/>
        <v>36</v>
      </c>
      <c r="U388" s="20"/>
      <c r="V388" s="20">
        <f t="shared" si="253"/>
        <v>0</v>
      </c>
      <c r="W388" s="20">
        <f t="shared" si="236"/>
        <v>20</v>
      </c>
      <c r="X388" s="20">
        <f t="shared" si="219"/>
        <v>0</v>
      </c>
      <c r="Y388" s="20">
        <f t="shared" si="231"/>
        <v>3.5</v>
      </c>
      <c r="Z388" s="20">
        <f t="shared" si="256"/>
        <v>230</v>
      </c>
      <c r="AA388" s="20">
        <f t="shared" si="230"/>
        <v>306</v>
      </c>
      <c r="AB388" s="20">
        <f t="shared" si="242"/>
        <v>60</v>
      </c>
      <c r="AC388" s="20">
        <f t="shared" si="249"/>
        <v>1.6</v>
      </c>
      <c r="AD388" s="20">
        <f t="shared" si="238"/>
        <v>180</v>
      </c>
      <c r="AE388" s="20">
        <f t="shared" si="241"/>
        <v>1.1000000000000001</v>
      </c>
      <c r="AF388" s="20">
        <f t="shared" si="245"/>
        <v>275</v>
      </c>
      <c r="AG388" s="20">
        <f t="shared" si="251"/>
        <v>18</v>
      </c>
      <c r="AH388" s="20">
        <f t="shared" si="243"/>
        <v>3</v>
      </c>
      <c r="AI388" s="20">
        <f t="shared" si="237"/>
        <v>47</v>
      </c>
      <c r="AJ388" s="20">
        <f t="shared" si="210"/>
        <v>90</v>
      </c>
      <c r="AK388" s="20">
        <f t="shared" si="214"/>
        <v>14</v>
      </c>
      <c r="AL388" s="20">
        <f t="shared" si="211"/>
        <v>45</v>
      </c>
      <c r="AM388" s="20">
        <v>46</v>
      </c>
      <c r="AN388" s="20">
        <f t="shared" si="215"/>
        <v>0.75</v>
      </c>
      <c r="AO388" s="20">
        <f t="shared" si="252"/>
        <v>19</v>
      </c>
      <c r="AP388" s="20">
        <f t="shared" si="252"/>
        <v>19</v>
      </c>
      <c r="AQ388" s="20">
        <f t="shared" si="218"/>
        <v>5</v>
      </c>
      <c r="AR388" s="20">
        <f t="shared" si="254"/>
        <v>120</v>
      </c>
      <c r="AS388" s="20">
        <f t="shared" si="257"/>
        <v>120</v>
      </c>
      <c r="AT388" s="20">
        <f t="shared" si="250"/>
        <v>55</v>
      </c>
      <c r="AU388" s="20"/>
      <c r="AV388" s="20"/>
      <c r="AW388" s="20">
        <f t="shared" si="232"/>
        <v>5276.7500000000009</v>
      </c>
      <c r="AX388" s="86">
        <f t="shared" si="244"/>
        <v>5428.4449999999988</v>
      </c>
      <c r="AY388" s="17">
        <f>'[1]D4 Gallon Forecast'!$AH152/1000000</f>
        <v>0</v>
      </c>
      <c r="AZ388" s="17">
        <f>'[1]D4 Gallon Forecast'!$AH184/1000000</f>
        <v>392.35739339429068</v>
      </c>
      <c r="BA388" s="17">
        <f t="shared" si="247"/>
        <v>392.35739339429068</v>
      </c>
      <c r="BB388" s="17">
        <f>'[1]D4 Gallon Forecast'!$AH168/1000000</f>
        <v>0</v>
      </c>
      <c r="BC388" s="87">
        <f>'[1]D4 Gallon Forecast'!$AH344/1000000</f>
        <v>342.76190405742483</v>
      </c>
      <c r="BD388" s="88">
        <f>'[1]D4 Gallon Forecast'!$AH360/1000000</f>
        <v>0</v>
      </c>
      <c r="BE388" s="88">
        <f t="shared" si="248"/>
        <v>342.76190405742483</v>
      </c>
      <c r="BF388" s="76">
        <f t="shared" si="223"/>
        <v>735.11929745171551</v>
      </c>
      <c r="BG388" s="22">
        <f t="shared" si="224"/>
        <v>1.5944597190080856</v>
      </c>
      <c r="BI388" s="21">
        <f t="shared" si="233"/>
        <v>4702.9000000000005</v>
      </c>
      <c r="BJ388" s="21">
        <f t="shared" si="216"/>
        <v>725.54499999999825</v>
      </c>
      <c r="BK388" s="21">
        <f>'RD Feedstock Breakdown'!ES379</f>
        <v>9354.5854090431294</v>
      </c>
      <c r="BL388" s="89">
        <f t="shared" si="222"/>
        <v>12.725261656809604</v>
      </c>
      <c r="BM388" s="89">
        <f t="shared" si="220"/>
        <v>23.842001110560062</v>
      </c>
    </row>
    <row r="389" spans="1:65" ht="13.5" x14ac:dyDescent="0.25">
      <c r="A389" s="15">
        <v>51987</v>
      </c>
      <c r="B389" s="20">
        <f t="shared" si="221"/>
        <v>690</v>
      </c>
      <c r="C389" s="74">
        <v>47</v>
      </c>
      <c r="D389" s="20">
        <f t="shared" si="213"/>
        <v>3</v>
      </c>
      <c r="E389" s="20">
        <f t="shared" si="226"/>
        <v>85</v>
      </c>
      <c r="F389" s="20">
        <f t="shared" si="246"/>
        <v>340</v>
      </c>
      <c r="G389" s="20">
        <f t="shared" si="212"/>
        <v>37.5</v>
      </c>
      <c r="H389" s="20">
        <f t="shared" si="239"/>
        <v>190</v>
      </c>
      <c r="I389" s="20">
        <f t="shared" si="225"/>
        <v>250</v>
      </c>
      <c r="J389" s="20">
        <f t="shared" si="217"/>
        <v>153.30000000000001</v>
      </c>
      <c r="K389" s="20">
        <f t="shared" si="228"/>
        <v>125</v>
      </c>
      <c r="L389" s="20">
        <v>125</v>
      </c>
      <c r="M389" s="20">
        <v>730</v>
      </c>
      <c r="N389" s="20">
        <f t="shared" si="255"/>
        <v>180</v>
      </c>
      <c r="O389" s="74">
        <v>375</v>
      </c>
      <c r="P389" s="20">
        <f t="shared" si="234"/>
        <v>50</v>
      </c>
      <c r="Q389" s="20">
        <f t="shared" si="235"/>
        <v>21</v>
      </c>
      <c r="R389" s="20">
        <v>100</v>
      </c>
      <c r="S389" s="20">
        <f t="shared" si="240"/>
        <v>60</v>
      </c>
      <c r="T389" s="20">
        <f t="shared" si="229"/>
        <v>36</v>
      </c>
      <c r="U389" s="20"/>
      <c r="V389" s="20">
        <f t="shared" si="253"/>
        <v>0</v>
      </c>
      <c r="W389" s="20">
        <f t="shared" si="236"/>
        <v>20</v>
      </c>
      <c r="X389" s="20">
        <f t="shared" si="219"/>
        <v>0</v>
      </c>
      <c r="Y389" s="20">
        <f t="shared" si="231"/>
        <v>3.5</v>
      </c>
      <c r="Z389" s="20">
        <f t="shared" si="256"/>
        <v>230</v>
      </c>
      <c r="AA389" s="20">
        <f t="shared" si="230"/>
        <v>306</v>
      </c>
      <c r="AB389" s="20">
        <f t="shared" si="242"/>
        <v>60</v>
      </c>
      <c r="AC389" s="20">
        <f t="shared" si="249"/>
        <v>1.6</v>
      </c>
      <c r="AD389" s="20">
        <f t="shared" si="238"/>
        <v>180</v>
      </c>
      <c r="AE389" s="20">
        <f t="shared" si="241"/>
        <v>1.1000000000000001</v>
      </c>
      <c r="AF389" s="20">
        <f t="shared" si="245"/>
        <v>275</v>
      </c>
      <c r="AG389" s="20">
        <f t="shared" si="251"/>
        <v>18</v>
      </c>
      <c r="AH389" s="20">
        <f t="shared" si="243"/>
        <v>3</v>
      </c>
      <c r="AI389" s="20">
        <f t="shared" si="237"/>
        <v>47</v>
      </c>
      <c r="AJ389" s="20">
        <f t="shared" ref="AJ389:AJ452" si="258">$AJ$12*$AJ$5</f>
        <v>90</v>
      </c>
      <c r="AK389" s="20">
        <f t="shared" si="214"/>
        <v>14</v>
      </c>
      <c r="AL389" s="20">
        <f t="shared" si="211"/>
        <v>45</v>
      </c>
      <c r="AM389" s="20">
        <v>46</v>
      </c>
      <c r="AN389" s="20">
        <f t="shared" si="215"/>
        <v>0.75</v>
      </c>
      <c r="AO389" s="20">
        <f t="shared" si="252"/>
        <v>19</v>
      </c>
      <c r="AP389" s="20">
        <f t="shared" si="252"/>
        <v>19</v>
      </c>
      <c r="AQ389" s="20">
        <f t="shared" si="218"/>
        <v>5</v>
      </c>
      <c r="AR389" s="20">
        <f t="shared" si="254"/>
        <v>120</v>
      </c>
      <c r="AS389" s="20">
        <f t="shared" si="257"/>
        <v>120</v>
      </c>
      <c r="AT389" s="20">
        <f t="shared" si="250"/>
        <v>55</v>
      </c>
      <c r="AU389" s="20"/>
      <c r="AV389" s="20"/>
      <c r="AW389" s="20">
        <f t="shared" si="232"/>
        <v>5276.7500000000009</v>
      </c>
      <c r="AX389" s="86">
        <f t="shared" si="244"/>
        <v>5428.4449999999988</v>
      </c>
      <c r="AY389" s="17">
        <f>'[1]D4 Gallon Forecast'!$AH153/1000000</f>
        <v>0</v>
      </c>
      <c r="AZ389" s="17">
        <f>'[1]D4 Gallon Forecast'!$AH185/1000000</f>
        <v>438.30042446737843</v>
      </c>
      <c r="BA389" s="17">
        <f t="shared" si="247"/>
        <v>438.30042446737843</v>
      </c>
      <c r="BB389" s="17">
        <f>'[1]D4 Gallon Forecast'!$AH169/1000000</f>
        <v>0</v>
      </c>
      <c r="BC389" s="87">
        <f>'[1]D4 Gallon Forecast'!$AH345/1000000</f>
        <v>451.18661120667758</v>
      </c>
      <c r="BD389" s="88">
        <f>'[1]D4 Gallon Forecast'!$AH361/1000000</f>
        <v>0</v>
      </c>
      <c r="BE389" s="88">
        <f t="shared" si="248"/>
        <v>451.18661120667758</v>
      </c>
      <c r="BF389" s="76">
        <f t="shared" si="223"/>
        <v>889.48703567405596</v>
      </c>
      <c r="BG389" s="22">
        <f t="shared" si="224"/>
        <v>1.9935897420656714</v>
      </c>
      <c r="BI389" s="21">
        <f t="shared" si="233"/>
        <v>4702.9000000000005</v>
      </c>
      <c r="BJ389" s="21">
        <f t="shared" si="216"/>
        <v>725.54499999999825</v>
      </c>
      <c r="BK389" s="21">
        <f>'RD Feedstock Breakdown'!ES380</f>
        <v>14152.350697074513</v>
      </c>
      <c r="BL389" s="89">
        <f t="shared" si="222"/>
        <v>15.910687991477941</v>
      </c>
      <c r="BM389" s="89">
        <f t="shared" si="220"/>
        <v>32.289155809676465</v>
      </c>
    </row>
    <row r="390" spans="1:65" ht="13.5" x14ac:dyDescent="0.25">
      <c r="A390" s="15">
        <v>52018</v>
      </c>
      <c r="B390" s="20">
        <f t="shared" si="221"/>
        <v>690</v>
      </c>
      <c r="C390" s="74">
        <v>47</v>
      </c>
      <c r="D390" s="20">
        <f t="shared" si="213"/>
        <v>3</v>
      </c>
      <c r="E390" s="20">
        <f t="shared" si="226"/>
        <v>85</v>
      </c>
      <c r="F390" s="20">
        <f t="shared" si="246"/>
        <v>340</v>
      </c>
      <c r="G390" s="20">
        <f t="shared" si="212"/>
        <v>37.5</v>
      </c>
      <c r="H390" s="20">
        <f t="shared" si="239"/>
        <v>190</v>
      </c>
      <c r="I390" s="20">
        <f t="shared" si="225"/>
        <v>250</v>
      </c>
      <c r="J390" s="20">
        <f t="shared" si="217"/>
        <v>153.30000000000001</v>
      </c>
      <c r="K390" s="20">
        <f t="shared" si="228"/>
        <v>125</v>
      </c>
      <c r="L390" s="20">
        <v>125</v>
      </c>
      <c r="M390" s="20">
        <v>730</v>
      </c>
      <c r="N390" s="20">
        <f t="shared" si="255"/>
        <v>180</v>
      </c>
      <c r="O390" s="74">
        <v>375</v>
      </c>
      <c r="P390" s="20">
        <f t="shared" si="234"/>
        <v>50</v>
      </c>
      <c r="Q390" s="20">
        <f t="shared" si="235"/>
        <v>21</v>
      </c>
      <c r="R390" s="20">
        <v>100</v>
      </c>
      <c r="S390" s="20">
        <f t="shared" si="240"/>
        <v>60</v>
      </c>
      <c r="T390" s="20">
        <f t="shared" si="229"/>
        <v>36</v>
      </c>
      <c r="U390" s="20"/>
      <c r="V390" s="20">
        <f t="shared" si="253"/>
        <v>0</v>
      </c>
      <c r="W390" s="20">
        <f t="shared" si="236"/>
        <v>20</v>
      </c>
      <c r="X390" s="20">
        <f t="shared" si="219"/>
        <v>0</v>
      </c>
      <c r="Y390" s="20">
        <f t="shared" si="231"/>
        <v>3.5</v>
      </c>
      <c r="Z390" s="20">
        <f t="shared" si="256"/>
        <v>230</v>
      </c>
      <c r="AA390" s="20">
        <f t="shared" si="230"/>
        <v>306</v>
      </c>
      <c r="AB390" s="20">
        <f t="shared" si="242"/>
        <v>60</v>
      </c>
      <c r="AC390" s="20">
        <f t="shared" si="249"/>
        <v>1.6</v>
      </c>
      <c r="AD390" s="20">
        <f t="shared" si="238"/>
        <v>180</v>
      </c>
      <c r="AE390" s="20">
        <f t="shared" si="241"/>
        <v>1.1000000000000001</v>
      </c>
      <c r="AF390" s="20">
        <f t="shared" si="245"/>
        <v>275</v>
      </c>
      <c r="AG390" s="20">
        <f t="shared" si="251"/>
        <v>18</v>
      </c>
      <c r="AH390" s="20">
        <f t="shared" si="243"/>
        <v>3</v>
      </c>
      <c r="AI390" s="20">
        <f t="shared" si="237"/>
        <v>47</v>
      </c>
      <c r="AJ390" s="20">
        <f t="shared" si="258"/>
        <v>90</v>
      </c>
      <c r="AK390" s="20">
        <f t="shared" si="214"/>
        <v>14</v>
      </c>
      <c r="AL390" s="20">
        <f t="shared" si="211"/>
        <v>45</v>
      </c>
      <c r="AM390" s="20">
        <v>46</v>
      </c>
      <c r="AN390" s="20">
        <f t="shared" si="215"/>
        <v>0.75</v>
      </c>
      <c r="AO390" s="20">
        <f t="shared" si="252"/>
        <v>19</v>
      </c>
      <c r="AP390" s="20">
        <f t="shared" si="252"/>
        <v>19</v>
      </c>
      <c r="AQ390" s="20">
        <f t="shared" si="218"/>
        <v>5</v>
      </c>
      <c r="AR390" s="20">
        <f t="shared" si="254"/>
        <v>120</v>
      </c>
      <c r="AS390" s="20">
        <f t="shared" si="257"/>
        <v>120</v>
      </c>
      <c r="AT390" s="20">
        <f t="shared" si="250"/>
        <v>55</v>
      </c>
      <c r="AU390" s="20"/>
      <c r="AV390" s="20"/>
      <c r="AW390" s="20">
        <f t="shared" si="232"/>
        <v>5276.7500000000009</v>
      </c>
      <c r="AX390" s="86">
        <f t="shared" si="244"/>
        <v>5428.4449999999988</v>
      </c>
      <c r="AY390" s="17">
        <f>'[1]D4 Gallon Forecast'!$AH154/1000000</f>
        <v>0</v>
      </c>
      <c r="AZ390" s="17">
        <f>'[1]D4 Gallon Forecast'!$AH186/1000000</f>
        <v>434.72537714218436</v>
      </c>
      <c r="BA390" s="17">
        <f t="shared" si="247"/>
        <v>434.72537714218436</v>
      </c>
      <c r="BB390" s="17">
        <f>'[1]D4 Gallon Forecast'!$AH170/1000000</f>
        <v>0</v>
      </c>
      <c r="BC390" s="87">
        <f>'[1]D4 Gallon Forecast'!$AH346/1000000</f>
        <v>430.40037567974269</v>
      </c>
      <c r="BD390" s="88">
        <f>'[1]D4 Gallon Forecast'!$AH362/1000000</f>
        <v>0</v>
      </c>
      <c r="BE390" s="88">
        <f t="shared" si="248"/>
        <v>430.40037567974269</v>
      </c>
      <c r="BF390" s="76">
        <f t="shared" si="223"/>
        <v>865.12575282192711</v>
      </c>
      <c r="BG390" s="22">
        <f t="shared" si="224"/>
        <v>1.8764412382218973</v>
      </c>
      <c r="BI390" s="21">
        <f t="shared" si="233"/>
        <v>4702.9000000000005</v>
      </c>
      <c r="BJ390" s="21">
        <f t="shared" si="216"/>
        <v>725.54499999999825</v>
      </c>
      <c r="BK390" s="21">
        <f>'RD Feedstock Breakdown'!ES381</f>
        <v>12955.893755476463</v>
      </c>
      <c r="BL390" s="89">
        <f t="shared" si="222"/>
        <v>14.975734698933689</v>
      </c>
      <c r="BM390" s="89">
        <f t="shared" si="220"/>
        <v>29.802478614536959</v>
      </c>
    </row>
    <row r="391" spans="1:65" ht="13.5" x14ac:dyDescent="0.25">
      <c r="A391" s="15">
        <v>52048</v>
      </c>
      <c r="B391" s="20">
        <f t="shared" si="221"/>
        <v>690</v>
      </c>
      <c r="C391" s="74">
        <v>47</v>
      </c>
      <c r="D391" s="20">
        <f t="shared" si="213"/>
        <v>3</v>
      </c>
      <c r="E391" s="20">
        <f t="shared" si="226"/>
        <v>85</v>
      </c>
      <c r="F391" s="20">
        <f t="shared" si="246"/>
        <v>340</v>
      </c>
      <c r="G391" s="20">
        <f t="shared" si="212"/>
        <v>37.5</v>
      </c>
      <c r="H391" s="20">
        <f t="shared" si="239"/>
        <v>190</v>
      </c>
      <c r="I391" s="20">
        <f t="shared" si="225"/>
        <v>250</v>
      </c>
      <c r="J391" s="20">
        <f t="shared" si="217"/>
        <v>153.30000000000001</v>
      </c>
      <c r="K391" s="20">
        <f t="shared" si="228"/>
        <v>125</v>
      </c>
      <c r="L391" s="20">
        <v>125</v>
      </c>
      <c r="M391" s="20">
        <v>730</v>
      </c>
      <c r="N391" s="20">
        <f t="shared" si="255"/>
        <v>180</v>
      </c>
      <c r="O391" s="74">
        <v>375</v>
      </c>
      <c r="P391" s="20">
        <f t="shared" si="234"/>
        <v>50</v>
      </c>
      <c r="Q391" s="20">
        <f t="shared" si="235"/>
        <v>21</v>
      </c>
      <c r="R391" s="20">
        <v>100</v>
      </c>
      <c r="S391" s="20">
        <f t="shared" si="240"/>
        <v>60</v>
      </c>
      <c r="T391" s="20">
        <f t="shared" si="229"/>
        <v>36</v>
      </c>
      <c r="U391" s="20"/>
      <c r="V391" s="20">
        <f t="shared" si="253"/>
        <v>0</v>
      </c>
      <c r="W391" s="20">
        <f t="shared" si="236"/>
        <v>20</v>
      </c>
      <c r="X391" s="20">
        <f t="shared" si="219"/>
        <v>0</v>
      </c>
      <c r="Y391" s="20">
        <f t="shared" si="231"/>
        <v>3.5</v>
      </c>
      <c r="Z391" s="20">
        <f t="shared" si="256"/>
        <v>230</v>
      </c>
      <c r="AA391" s="20">
        <f t="shared" si="230"/>
        <v>306</v>
      </c>
      <c r="AB391" s="20">
        <f t="shared" si="242"/>
        <v>60</v>
      </c>
      <c r="AC391" s="20">
        <f t="shared" si="249"/>
        <v>1.6</v>
      </c>
      <c r="AD391" s="20">
        <f t="shared" si="238"/>
        <v>180</v>
      </c>
      <c r="AE391" s="20">
        <f t="shared" si="241"/>
        <v>1.1000000000000001</v>
      </c>
      <c r="AF391" s="20">
        <f t="shared" si="245"/>
        <v>275</v>
      </c>
      <c r="AG391" s="20">
        <f t="shared" si="251"/>
        <v>18</v>
      </c>
      <c r="AH391" s="20">
        <f t="shared" si="243"/>
        <v>3</v>
      </c>
      <c r="AI391" s="20">
        <f t="shared" si="237"/>
        <v>47</v>
      </c>
      <c r="AJ391" s="20">
        <f t="shared" si="258"/>
        <v>90</v>
      </c>
      <c r="AK391" s="20">
        <f t="shared" si="214"/>
        <v>14</v>
      </c>
      <c r="AL391" s="20">
        <f t="shared" si="211"/>
        <v>45</v>
      </c>
      <c r="AM391" s="20">
        <v>46</v>
      </c>
      <c r="AN391" s="20">
        <f t="shared" si="215"/>
        <v>0.75</v>
      </c>
      <c r="AO391" s="20">
        <f t="shared" si="252"/>
        <v>19</v>
      </c>
      <c r="AP391" s="20">
        <f t="shared" si="252"/>
        <v>19</v>
      </c>
      <c r="AQ391" s="20">
        <f t="shared" si="218"/>
        <v>5</v>
      </c>
      <c r="AR391" s="20">
        <f t="shared" si="254"/>
        <v>120</v>
      </c>
      <c r="AS391" s="20">
        <f t="shared" si="257"/>
        <v>120</v>
      </c>
      <c r="AT391" s="20">
        <f t="shared" si="250"/>
        <v>55</v>
      </c>
      <c r="AU391" s="20"/>
      <c r="AV391" s="20"/>
      <c r="AW391" s="20">
        <f t="shared" si="232"/>
        <v>5276.7500000000009</v>
      </c>
      <c r="AX391" s="86">
        <f t="shared" si="244"/>
        <v>5428.4449999999988</v>
      </c>
      <c r="AY391" s="17">
        <f>'[1]D4 Gallon Forecast'!$AH155/1000000</f>
        <v>0</v>
      </c>
      <c r="AZ391" s="17">
        <f>'[1]D4 Gallon Forecast'!$AH187/1000000</f>
        <v>425.79036206342181</v>
      </c>
      <c r="BA391" s="17">
        <f t="shared" si="247"/>
        <v>425.79036206342181</v>
      </c>
      <c r="BB391" s="17">
        <f>'[1]D4 Gallon Forecast'!$AH171/1000000</f>
        <v>0</v>
      </c>
      <c r="BC391" s="87">
        <f>'[1]D4 Gallon Forecast'!$AH347/1000000</f>
        <v>468.18163319149016</v>
      </c>
      <c r="BD391" s="88">
        <f>'[1]D4 Gallon Forecast'!$AH363/1000000</f>
        <v>0</v>
      </c>
      <c r="BE391" s="88">
        <f t="shared" si="248"/>
        <v>468.18163319149016</v>
      </c>
      <c r="BF391" s="76">
        <f t="shared" si="223"/>
        <v>893.97199525491192</v>
      </c>
      <c r="BG391" s="22">
        <f t="shared" si="224"/>
        <v>2.0036417934788751</v>
      </c>
      <c r="BI391" s="21">
        <f t="shared" si="233"/>
        <v>4702.9000000000005</v>
      </c>
      <c r="BJ391" s="21">
        <f t="shared" si="216"/>
        <v>725.54499999999825</v>
      </c>
      <c r="BK391" s="21">
        <f>'RD Feedstock Breakdown'!ES382</f>
        <v>14295.428086510345</v>
      </c>
      <c r="BL391" s="89">
        <f t="shared" si="222"/>
        <v>15.99091264870559</v>
      </c>
      <c r="BM391" s="89">
        <f t="shared" si="220"/>
        <v>33.573864887954016</v>
      </c>
    </row>
    <row r="392" spans="1:65" ht="13.5" x14ac:dyDescent="0.25">
      <c r="A392" s="15">
        <v>52079</v>
      </c>
      <c r="B392" s="20">
        <f t="shared" si="221"/>
        <v>690</v>
      </c>
      <c r="C392" s="74">
        <v>47</v>
      </c>
      <c r="D392" s="20">
        <f t="shared" si="213"/>
        <v>3</v>
      </c>
      <c r="E392" s="20">
        <f t="shared" si="226"/>
        <v>85</v>
      </c>
      <c r="F392" s="20">
        <f t="shared" si="246"/>
        <v>340</v>
      </c>
      <c r="G392" s="20">
        <f t="shared" si="212"/>
        <v>37.5</v>
      </c>
      <c r="H392" s="20">
        <f t="shared" si="239"/>
        <v>190</v>
      </c>
      <c r="I392" s="20">
        <f t="shared" si="225"/>
        <v>250</v>
      </c>
      <c r="J392" s="20">
        <f t="shared" si="217"/>
        <v>153.30000000000001</v>
      </c>
      <c r="K392" s="20">
        <f t="shared" si="228"/>
        <v>125</v>
      </c>
      <c r="L392" s="20">
        <v>125</v>
      </c>
      <c r="M392" s="20">
        <v>730</v>
      </c>
      <c r="N392" s="20">
        <f t="shared" si="255"/>
        <v>180</v>
      </c>
      <c r="O392" s="74">
        <v>375</v>
      </c>
      <c r="P392" s="20">
        <f t="shared" si="234"/>
        <v>50</v>
      </c>
      <c r="Q392" s="20">
        <f t="shared" si="235"/>
        <v>21</v>
      </c>
      <c r="R392" s="20">
        <v>100</v>
      </c>
      <c r="S392" s="20">
        <f t="shared" si="240"/>
        <v>60</v>
      </c>
      <c r="T392" s="20">
        <f t="shared" si="229"/>
        <v>36</v>
      </c>
      <c r="U392" s="20"/>
      <c r="V392" s="20">
        <f t="shared" si="253"/>
        <v>0</v>
      </c>
      <c r="W392" s="20">
        <f t="shared" si="236"/>
        <v>20</v>
      </c>
      <c r="X392" s="20">
        <f t="shared" si="219"/>
        <v>0</v>
      </c>
      <c r="Y392" s="20">
        <f t="shared" si="231"/>
        <v>3.5</v>
      </c>
      <c r="Z392" s="20">
        <f t="shared" si="256"/>
        <v>230</v>
      </c>
      <c r="AA392" s="20">
        <f t="shared" si="230"/>
        <v>306</v>
      </c>
      <c r="AB392" s="20">
        <f t="shared" si="242"/>
        <v>60</v>
      </c>
      <c r="AC392" s="20">
        <f t="shared" si="249"/>
        <v>1.6</v>
      </c>
      <c r="AD392" s="20">
        <f t="shared" si="238"/>
        <v>180</v>
      </c>
      <c r="AE392" s="20">
        <f t="shared" si="241"/>
        <v>1.1000000000000001</v>
      </c>
      <c r="AF392" s="20">
        <f t="shared" si="245"/>
        <v>275</v>
      </c>
      <c r="AG392" s="20">
        <f t="shared" si="251"/>
        <v>18</v>
      </c>
      <c r="AH392" s="20">
        <f t="shared" si="243"/>
        <v>3</v>
      </c>
      <c r="AI392" s="20">
        <f t="shared" si="237"/>
        <v>47</v>
      </c>
      <c r="AJ392" s="20">
        <f t="shared" si="258"/>
        <v>90</v>
      </c>
      <c r="AK392" s="20">
        <f t="shared" si="214"/>
        <v>14</v>
      </c>
      <c r="AL392" s="20">
        <f t="shared" si="211"/>
        <v>45</v>
      </c>
      <c r="AM392" s="20">
        <v>46</v>
      </c>
      <c r="AN392" s="20">
        <f t="shared" si="215"/>
        <v>0.75</v>
      </c>
      <c r="AO392" s="20">
        <f t="shared" si="252"/>
        <v>19</v>
      </c>
      <c r="AP392" s="20">
        <f t="shared" si="252"/>
        <v>19</v>
      </c>
      <c r="AQ392" s="20">
        <f t="shared" si="218"/>
        <v>5</v>
      </c>
      <c r="AR392" s="20">
        <f t="shared" si="254"/>
        <v>120</v>
      </c>
      <c r="AS392" s="20">
        <f t="shared" si="257"/>
        <v>120</v>
      </c>
      <c r="AT392" s="20">
        <f t="shared" si="250"/>
        <v>55</v>
      </c>
      <c r="AU392" s="20"/>
      <c r="AV392" s="20"/>
      <c r="AW392" s="20">
        <f t="shared" si="232"/>
        <v>5276.7500000000009</v>
      </c>
      <c r="AX392" s="86">
        <f t="shared" si="244"/>
        <v>5428.4449999999988</v>
      </c>
      <c r="AY392" s="17">
        <f>'[1]D4 Gallon Forecast'!$AH156/1000000</f>
        <v>0</v>
      </c>
      <c r="AZ392" s="17">
        <f>'[1]D4 Gallon Forecast'!$AH188/1000000</f>
        <v>431.88364957905713</v>
      </c>
      <c r="BA392" s="17">
        <f t="shared" si="247"/>
        <v>431.88364957905713</v>
      </c>
      <c r="BB392" s="17">
        <f>'[1]D4 Gallon Forecast'!$AH172/1000000</f>
        <v>0</v>
      </c>
      <c r="BC392" s="87">
        <f>'[1]D4 Gallon Forecast'!$AH348/1000000</f>
        <v>509.77433443475007</v>
      </c>
      <c r="BD392" s="88">
        <f>'[1]D4 Gallon Forecast'!$AH364/1000000</f>
        <v>0</v>
      </c>
      <c r="BE392" s="88">
        <f t="shared" si="248"/>
        <v>509.77433443475007</v>
      </c>
      <c r="BF392" s="76">
        <f t="shared" si="223"/>
        <v>941.65798401380721</v>
      </c>
      <c r="BG392" s="22">
        <f t="shared" si="224"/>
        <v>2.0424381862877068</v>
      </c>
      <c r="BI392" s="21">
        <f t="shared" si="233"/>
        <v>4702.9000000000005</v>
      </c>
      <c r="BJ392" s="21">
        <f t="shared" si="216"/>
        <v>725.54499999999825</v>
      </c>
      <c r="BK392" s="21">
        <f>'RD Feedstock Breakdown'!ES383</f>
        <v>15349.537125243154</v>
      </c>
      <c r="BL392" s="89">
        <f t="shared" si="222"/>
        <v>16.300543706766987</v>
      </c>
      <c r="BM392" s="89">
        <f t="shared" si="220"/>
        <v>35.540908159417114</v>
      </c>
    </row>
    <row r="393" spans="1:65" ht="13.5" x14ac:dyDescent="0.25">
      <c r="A393" s="15">
        <v>52110</v>
      </c>
      <c r="B393" s="20">
        <f t="shared" si="221"/>
        <v>690</v>
      </c>
      <c r="C393" s="74">
        <v>47</v>
      </c>
      <c r="D393" s="20">
        <f t="shared" si="213"/>
        <v>3</v>
      </c>
      <c r="E393" s="20">
        <f t="shared" si="226"/>
        <v>85</v>
      </c>
      <c r="F393" s="20">
        <f t="shared" si="246"/>
        <v>340</v>
      </c>
      <c r="G393" s="20">
        <f t="shared" si="212"/>
        <v>37.5</v>
      </c>
      <c r="H393" s="20">
        <f t="shared" si="239"/>
        <v>190</v>
      </c>
      <c r="I393" s="20">
        <f t="shared" si="225"/>
        <v>250</v>
      </c>
      <c r="J393" s="20">
        <f t="shared" si="217"/>
        <v>153.30000000000001</v>
      </c>
      <c r="K393" s="20">
        <f t="shared" si="228"/>
        <v>125</v>
      </c>
      <c r="L393" s="20">
        <v>125</v>
      </c>
      <c r="M393" s="20">
        <v>730</v>
      </c>
      <c r="N393" s="20">
        <f t="shared" si="255"/>
        <v>180</v>
      </c>
      <c r="O393" s="74">
        <v>375</v>
      </c>
      <c r="P393" s="20">
        <f t="shared" si="234"/>
        <v>50</v>
      </c>
      <c r="Q393" s="20">
        <f t="shared" si="235"/>
        <v>21</v>
      </c>
      <c r="R393" s="20">
        <v>100</v>
      </c>
      <c r="S393" s="20">
        <f t="shared" si="240"/>
        <v>60</v>
      </c>
      <c r="T393" s="20">
        <f t="shared" si="229"/>
        <v>36</v>
      </c>
      <c r="U393" s="20"/>
      <c r="V393" s="20">
        <f t="shared" si="253"/>
        <v>0</v>
      </c>
      <c r="W393" s="20">
        <f t="shared" si="236"/>
        <v>20</v>
      </c>
      <c r="X393" s="20">
        <f t="shared" si="219"/>
        <v>0</v>
      </c>
      <c r="Y393" s="20">
        <f t="shared" si="231"/>
        <v>3.5</v>
      </c>
      <c r="Z393" s="20">
        <f t="shared" si="256"/>
        <v>230</v>
      </c>
      <c r="AA393" s="20">
        <f t="shared" si="230"/>
        <v>306</v>
      </c>
      <c r="AB393" s="20">
        <f t="shared" si="242"/>
        <v>60</v>
      </c>
      <c r="AC393" s="20">
        <f t="shared" si="249"/>
        <v>1.6</v>
      </c>
      <c r="AD393" s="20">
        <f t="shared" si="238"/>
        <v>180</v>
      </c>
      <c r="AE393" s="20">
        <f t="shared" si="241"/>
        <v>1.1000000000000001</v>
      </c>
      <c r="AF393" s="20">
        <f t="shared" si="245"/>
        <v>275</v>
      </c>
      <c r="AG393" s="20">
        <f t="shared" si="251"/>
        <v>18</v>
      </c>
      <c r="AH393" s="20">
        <f t="shared" si="243"/>
        <v>3</v>
      </c>
      <c r="AI393" s="20">
        <f t="shared" si="237"/>
        <v>47</v>
      </c>
      <c r="AJ393" s="20">
        <f t="shared" si="258"/>
        <v>90</v>
      </c>
      <c r="AK393" s="20">
        <f t="shared" si="214"/>
        <v>14</v>
      </c>
      <c r="AL393" s="20">
        <f t="shared" ref="AL393:AL456" si="259">90*$AL$12</f>
        <v>45</v>
      </c>
      <c r="AM393" s="20">
        <v>46</v>
      </c>
      <c r="AN393" s="20">
        <f t="shared" si="215"/>
        <v>0.75</v>
      </c>
      <c r="AO393" s="20">
        <f t="shared" si="252"/>
        <v>19</v>
      </c>
      <c r="AP393" s="20">
        <f t="shared" si="252"/>
        <v>19</v>
      </c>
      <c r="AQ393" s="20">
        <f t="shared" si="218"/>
        <v>5</v>
      </c>
      <c r="AR393" s="20">
        <f t="shared" si="254"/>
        <v>120</v>
      </c>
      <c r="AS393" s="20">
        <f t="shared" si="257"/>
        <v>120</v>
      </c>
      <c r="AT393" s="20">
        <f t="shared" si="250"/>
        <v>55</v>
      </c>
      <c r="AU393" s="20"/>
      <c r="AV393" s="20"/>
      <c r="AW393" s="20">
        <f t="shared" si="232"/>
        <v>5276.7500000000009</v>
      </c>
      <c r="AX393" s="86">
        <f t="shared" si="244"/>
        <v>5428.4449999999988</v>
      </c>
      <c r="AY393" s="17">
        <f>'[1]D4 Gallon Forecast'!$AH157/1000000</f>
        <v>0</v>
      </c>
      <c r="AZ393" s="17">
        <f>'[1]D4 Gallon Forecast'!$AH189/1000000</f>
        <v>439.75506888544157</v>
      </c>
      <c r="BA393" s="17">
        <f t="shared" si="247"/>
        <v>439.75506888544157</v>
      </c>
      <c r="BB393" s="17">
        <f>'[1]D4 Gallon Forecast'!$AH173/1000000</f>
        <v>0</v>
      </c>
      <c r="BC393" s="87">
        <f>'[1]D4 Gallon Forecast'!$AH349/1000000</f>
        <v>620.01397122608716</v>
      </c>
      <c r="BD393" s="88">
        <f>'[1]D4 Gallon Forecast'!$AH365/1000000</f>
        <v>0</v>
      </c>
      <c r="BE393" s="88">
        <f t="shared" si="248"/>
        <v>620.01397122608716</v>
      </c>
      <c r="BF393" s="76">
        <f t="shared" si="223"/>
        <v>1059.7690401115287</v>
      </c>
      <c r="BG393" s="22">
        <f t="shared" si="224"/>
        <v>2.2986188116231352</v>
      </c>
      <c r="BI393" s="21">
        <f t="shared" si="233"/>
        <v>4702.9000000000005</v>
      </c>
      <c r="BJ393" s="21">
        <f t="shared" si="216"/>
        <v>725.54499999999825</v>
      </c>
      <c r="BK393" s="21">
        <f>'RD Feedstock Breakdown'!ES384</f>
        <v>19441.570902713611</v>
      </c>
      <c r="BL393" s="89">
        <f t="shared" si="222"/>
        <v>18.345101778655096</v>
      </c>
      <c r="BM393" s="89">
        <f t="shared" si="220"/>
        <v>44.20999842477822</v>
      </c>
    </row>
    <row r="394" spans="1:65" ht="13.5" x14ac:dyDescent="0.25">
      <c r="A394" s="15">
        <v>52140</v>
      </c>
      <c r="B394" s="20">
        <f t="shared" si="221"/>
        <v>690</v>
      </c>
      <c r="C394" s="74">
        <v>47</v>
      </c>
      <c r="D394" s="20">
        <f t="shared" si="213"/>
        <v>3</v>
      </c>
      <c r="E394" s="20">
        <f t="shared" si="226"/>
        <v>85</v>
      </c>
      <c r="F394" s="20">
        <f t="shared" si="246"/>
        <v>340</v>
      </c>
      <c r="G394" s="20">
        <f t="shared" ref="G394:G457" si="260">750*$G$12</f>
        <v>37.5</v>
      </c>
      <c r="H394" s="20">
        <f t="shared" si="239"/>
        <v>190</v>
      </c>
      <c r="I394" s="20">
        <f t="shared" si="225"/>
        <v>250</v>
      </c>
      <c r="J394" s="20">
        <f t="shared" si="217"/>
        <v>153.30000000000001</v>
      </c>
      <c r="K394" s="20">
        <f t="shared" si="228"/>
        <v>125</v>
      </c>
      <c r="L394" s="20">
        <v>125</v>
      </c>
      <c r="M394" s="20">
        <v>730</v>
      </c>
      <c r="N394" s="20">
        <f t="shared" si="255"/>
        <v>180</v>
      </c>
      <c r="O394" s="74">
        <v>375</v>
      </c>
      <c r="P394" s="20">
        <f t="shared" si="234"/>
        <v>50</v>
      </c>
      <c r="Q394" s="20">
        <f t="shared" si="235"/>
        <v>21</v>
      </c>
      <c r="R394" s="20">
        <v>100</v>
      </c>
      <c r="S394" s="20">
        <f t="shared" si="240"/>
        <v>60</v>
      </c>
      <c r="T394" s="20">
        <f t="shared" si="229"/>
        <v>36</v>
      </c>
      <c r="U394" s="20"/>
      <c r="V394" s="20">
        <f t="shared" si="253"/>
        <v>0</v>
      </c>
      <c r="W394" s="20">
        <f t="shared" si="236"/>
        <v>20</v>
      </c>
      <c r="X394" s="20">
        <f t="shared" si="219"/>
        <v>0</v>
      </c>
      <c r="Y394" s="20">
        <f t="shared" si="231"/>
        <v>3.5</v>
      </c>
      <c r="Z394" s="20">
        <f t="shared" si="256"/>
        <v>230</v>
      </c>
      <c r="AA394" s="20">
        <f t="shared" si="230"/>
        <v>306</v>
      </c>
      <c r="AB394" s="20">
        <f t="shared" si="242"/>
        <v>60</v>
      </c>
      <c r="AC394" s="20">
        <f t="shared" si="249"/>
        <v>1.6</v>
      </c>
      <c r="AD394" s="20">
        <f t="shared" si="238"/>
        <v>180</v>
      </c>
      <c r="AE394" s="20">
        <f t="shared" si="241"/>
        <v>1.1000000000000001</v>
      </c>
      <c r="AF394" s="20">
        <f t="shared" si="245"/>
        <v>275</v>
      </c>
      <c r="AG394" s="20">
        <f t="shared" si="251"/>
        <v>18</v>
      </c>
      <c r="AH394" s="20">
        <f t="shared" si="243"/>
        <v>3</v>
      </c>
      <c r="AI394" s="20">
        <f t="shared" si="237"/>
        <v>47</v>
      </c>
      <c r="AJ394" s="20">
        <f t="shared" si="258"/>
        <v>90</v>
      </c>
      <c r="AK394" s="20">
        <f t="shared" si="214"/>
        <v>14</v>
      </c>
      <c r="AL394" s="20">
        <f t="shared" si="259"/>
        <v>45</v>
      </c>
      <c r="AM394" s="20">
        <v>46</v>
      </c>
      <c r="AN394" s="20">
        <f t="shared" si="215"/>
        <v>0.75</v>
      </c>
      <c r="AO394" s="20">
        <f t="shared" si="252"/>
        <v>19</v>
      </c>
      <c r="AP394" s="20">
        <f t="shared" si="252"/>
        <v>19</v>
      </c>
      <c r="AQ394" s="20">
        <f t="shared" si="218"/>
        <v>5</v>
      </c>
      <c r="AR394" s="20">
        <f t="shared" si="254"/>
        <v>120</v>
      </c>
      <c r="AS394" s="20">
        <f t="shared" si="257"/>
        <v>120</v>
      </c>
      <c r="AT394" s="20">
        <f t="shared" si="250"/>
        <v>55</v>
      </c>
      <c r="AU394" s="20"/>
      <c r="AV394" s="20"/>
      <c r="AW394" s="20">
        <f t="shared" si="232"/>
        <v>5276.7500000000009</v>
      </c>
      <c r="AX394" s="86">
        <f t="shared" si="244"/>
        <v>5428.4449999999988</v>
      </c>
      <c r="AY394" s="17">
        <f>'[1]D4 Gallon Forecast'!$AH158/1000000</f>
        <v>0</v>
      </c>
      <c r="AZ394" s="17">
        <f>'[1]D4 Gallon Forecast'!$AH190/1000000</f>
        <v>483.2325361282941</v>
      </c>
      <c r="BA394" s="17">
        <f t="shared" si="247"/>
        <v>483.2325361282941</v>
      </c>
      <c r="BB394" s="17">
        <f>'[1]D4 Gallon Forecast'!$AH174/1000000</f>
        <v>0</v>
      </c>
      <c r="BC394" s="87">
        <f>'[1]D4 Gallon Forecast'!$AH350/1000000</f>
        <v>605.37603966827749</v>
      </c>
      <c r="BD394" s="88">
        <f>'[1]D4 Gallon Forecast'!$AH366/1000000</f>
        <v>0</v>
      </c>
      <c r="BE394" s="88">
        <f t="shared" si="248"/>
        <v>605.37603966827749</v>
      </c>
      <c r="BF394" s="76">
        <f t="shared" si="223"/>
        <v>1088.6085757965716</v>
      </c>
      <c r="BG394" s="22">
        <f t="shared" si="224"/>
        <v>2.4398769209583269</v>
      </c>
      <c r="BI394" s="21">
        <f t="shared" si="233"/>
        <v>4702.9000000000005</v>
      </c>
      <c r="BJ394" s="21">
        <f t="shared" si="216"/>
        <v>725.54499999999825</v>
      </c>
      <c r="BK394" s="21">
        <f>'RD Feedstock Breakdown'!ES385</f>
        <v>21197.900008491033</v>
      </c>
      <c r="BL394" s="89">
        <f t="shared" si="222"/>
        <v>19.472471997549547</v>
      </c>
      <c r="BM394" s="89">
        <f t="shared" si="220"/>
        <v>43.866872413705131</v>
      </c>
    </row>
    <row r="395" spans="1:65" ht="13.5" x14ac:dyDescent="0.25">
      <c r="A395" s="15">
        <v>52171</v>
      </c>
      <c r="B395" s="20">
        <f t="shared" si="221"/>
        <v>690</v>
      </c>
      <c r="C395" s="74">
        <v>47</v>
      </c>
      <c r="D395" s="20">
        <f t="shared" si="213"/>
        <v>3</v>
      </c>
      <c r="E395" s="20">
        <f t="shared" si="226"/>
        <v>85</v>
      </c>
      <c r="F395" s="20">
        <f t="shared" si="246"/>
        <v>340</v>
      </c>
      <c r="G395" s="20">
        <f t="shared" si="260"/>
        <v>37.5</v>
      </c>
      <c r="H395" s="20">
        <f t="shared" si="239"/>
        <v>190</v>
      </c>
      <c r="I395" s="20">
        <f t="shared" si="225"/>
        <v>250</v>
      </c>
      <c r="J395" s="20">
        <f t="shared" si="217"/>
        <v>153.30000000000001</v>
      </c>
      <c r="K395" s="20">
        <f t="shared" si="228"/>
        <v>125</v>
      </c>
      <c r="L395" s="20">
        <v>125</v>
      </c>
      <c r="M395" s="20">
        <v>730</v>
      </c>
      <c r="N395" s="20">
        <f t="shared" si="255"/>
        <v>180</v>
      </c>
      <c r="O395" s="74">
        <v>375</v>
      </c>
      <c r="P395" s="20">
        <f t="shared" si="234"/>
        <v>50</v>
      </c>
      <c r="Q395" s="20">
        <f t="shared" si="235"/>
        <v>21</v>
      </c>
      <c r="R395" s="20">
        <v>100</v>
      </c>
      <c r="S395" s="20">
        <f t="shared" si="240"/>
        <v>60</v>
      </c>
      <c r="T395" s="20">
        <f t="shared" si="229"/>
        <v>36</v>
      </c>
      <c r="U395" s="20"/>
      <c r="V395" s="20">
        <f t="shared" si="253"/>
        <v>0</v>
      </c>
      <c r="W395" s="20">
        <f t="shared" si="236"/>
        <v>20</v>
      </c>
      <c r="X395" s="20">
        <f t="shared" si="219"/>
        <v>0</v>
      </c>
      <c r="Y395" s="20">
        <f t="shared" si="231"/>
        <v>3.5</v>
      </c>
      <c r="Z395" s="20">
        <f t="shared" si="256"/>
        <v>230</v>
      </c>
      <c r="AA395" s="20">
        <f t="shared" si="230"/>
        <v>306</v>
      </c>
      <c r="AB395" s="20">
        <f t="shared" si="242"/>
        <v>60</v>
      </c>
      <c r="AC395" s="20">
        <f t="shared" si="249"/>
        <v>1.6</v>
      </c>
      <c r="AD395" s="20">
        <f t="shared" si="238"/>
        <v>180</v>
      </c>
      <c r="AE395" s="20">
        <f t="shared" si="241"/>
        <v>1.1000000000000001</v>
      </c>
      <c r="AF395" s="20">
        <f t="shared" si="245"/>
        <v>275</v>
      </c>
      <c r="AG395" s="20">
        <f t="shared" si="251"/>
        <v>18</v>
      </c>
      <c r="AH395" s="20">
        <f t="shared" si="243"/>
        <v>3</v>
      </c>
      <c r="AI395" s="20">
        <f t="shared" si="237"/>
        <v>47</v>
      </c>
      <c r="AJ395" s="20">
        <f t="shared" si="258"/>
        <v>90</v>
      </c>
      <c r="AK395" s="20">
        <f t="shared" si="214"/>
        <v>14</v>
      </c>
      <c r="AL395" s="20">
        <f t="shared" si="259"/>
        <v>45</v>
      </c>
      <c r="AM395" s="20">
        <v>46</v>
      </c>
      <c r="AN395" s="20">
        <f t="shared" si="215"/>
        <v>0.75</v>
      </c>
      <c r="AO395" s="20">
        <f t="shared" si="252"/>
        <v>19</v>
      </c>
      <c r="AP395" s="20">
        <f t="shared" si="252"/>
        <v>19</v>
      </c>
      <c r="AQ395" s="20">
        <f t="shared" si="218"/>
        <v>5</v>
      </c>
      <c r="AR395" s="20">
        <f t="shared" si="254"/>
        <v>120</v>
      </c>
      <c r="AS395" s="20">
        <f t="shared" si="257"/>
        <v>120</v>
      </c>
      <c r="AT395" s="20">
        <f t="shared" si="250"/>
        <v>55</v>
      </c>
      <c r="AU395" s="20"/>
      <c r="AV395" s="20"/>
      <c r="AW395" s="20">
        <f t="shared" si="232"/>
        <v>5276.7500000000009</v>
      </c>
      <c r="AX395" s="86">
        <f t="shared" si="244"/>
        <v>5428.4449999999988</v>
      </c>
      <c r="AY395" s="17">
        <f>'[1]D4 Gallon Forecast'!$AH159/1000000</f>
        <v>0</v>
      </c>
      <c r="AZ395" s="17">
        <f>'[1]D4 Gallon Forecast'!$AH191/1000000</f>
        <v>587.11683015260337</v>
      </c>
      <c r="BA395" s="17">
        <f t="shared" si="247"/>
        <v>587.11683015260337</v>
      </c>
      <c r="BB395" s="17">
        <f>'[1]D4 Gallon Forecast'!$AH175/1000000</f>
        <v>0</v>
      </c>
      <c r="BC395" s="87">
        <f>'[1]D4 Gallon Forecast'!$AH351/1000000</f>
        <v>523.83375870202167</v>
      </c>
      <c r="BD395" s="88">
        <f>'[1]D4 Gallon Forecast'!$AH367/1000000</f>
        <v>0</v>
      </c>
      <c r="BE395" s="88">
        <f t="shared" si="248"/>
        <v>523.83375870202167</v>
      </c>
      <c r="BF395" s="76">
        <f t="shared" si="223"/>
        <v>1110.950588854625</v>
      </c>
      <c r="BG395" s="22">
        <f t="shared" si="224"/>
        <v>2.409630613530942</v>
      </c>
      <c r="BI395" s="21">
        <f t="shared" si="233"/>
        <v>4702.9000000000005</v>
      </c>
      <c r="BJ395" s="21">
        <f t="shared" si="216"/>
        <v>725.54499999999825</v>
      </c>
      <c r="BK395" s="21">
        <f>'RD Feedstock Breakdown'!ES386</f>
        <v>21364.778006255608</v>
      </c>
      <c r="BL395" s="89">
        <f t="shared" si="222"/>
        <v>19.23107852013689</v>
      </c>
      <c r="BM395" s="89">
        <f t="shared" si="220"/>
        <v>36.389312840346406</v>
      </c>
    </row>
    <row r="396" spans="1:65" ht="13.5" x14ac:dyDescent="0.25">
      <c r="A396" s="15">
        <v>52201</v>
      </c>
      <c r="B396" s="20">
        <f t="shared" si="221"/>
        <v>690</v>
      </c>
      <c r="C396" s="74">
        <v>47</v>
      </c>
      <c r="D396" s="20">
        <f t="shared" ref="D396:D459" si="261">3*$D$12</f>
        <v>3</v>
      </c>
      <c r="E396" s="20">
        <f t="shared" si="226"/>
        <v>85</v>
      </c>
      <c r="F396" s="20">
        <f t="shared" si="246"/>
        <v>340</v>
      </c>
      <c r="G396" s="20">
        <f t="shared" si="260"/>
        <v>37.5</v>
      </c>
      <c r="H396" s="20">
        <f t="shared" si="239"/>
        <v>190</v>
      </c>
      <c r="I396" s="20">
        <f t="shared" si="225"/>
        <v>250</v>
      </c>
      <c r="J396" s="20">
        <f t="shared" si="217"/>
        <v>153.30000000000001</v>
      </c>
      <c r="K396" s="20">
        <f t="shared" si="228"/>
        <v>125</v>
      </c>
      <c r="L396" s="20">
        <v>125</v>
      </c>
      <c r="M396" s="20">
        <v>730</v>
      </c>
      <c r="N396" s="20">
        <f t="shared" si="255"/>
        <v>180</v>
      </c>
      <c r="O396" s="74">
        <v>375</v>
      </c>
      <c r="P396" s="20">
        <f t="shared" si="234"/>
        <v>50</v>
      </c>
      <c r="Q396" s="20">
        <f t="shared" si="235"/>
        <v>21</v>
      </c>
      <c r="R396" s="20">
        <v>100</v>
      </c>
      <c r="S396" s="20">
        <f t="shared" si="240"/>
        <v>60</v>
      </c>
      <c r="T396" s="20">
        <f t="shared" si="229"/>
        <v>36</v>
      </c>
      <c r="U396" s="20"/>
      <c r="V396" s="20">
        <f t="shared" si="253"/>
        <v>0</v>
      </c>
      <c r="W396" s="20">
        <f t="shared" si="236"/>
        <v>20</v>
      </c>
      <c r="X396" s="20">
        <f t="shared" si="219"/>
        <v>0</v>
      </c>
      <c r="Y396" s="20">
        <f t="shared" si="231"/>
        <v>3.5</v>
      </c>
      <c r="Z396" s="20">
        <f t="shared" si="256"/>
        <v>230</v>
      </c>
      <c r="AA396" s="20">
        <f t="shared" si="230"/>
        <v>306</v>
      </c>
      <c r="AB396" s="20">
        <f t="shared" si="242"/>
        <v>60</v>
      </c>
      <c r="AC396" s="20">
        <f t="shared" si="249"/>
        <v>1.6</v>
      </c>
      <c r="AD396" s="20">
        <f t="shared" si="238"/>
        <v>180</v>
      </c>
      <c r="AE396" s="20">
        <f t="shared" si="241"/>
        <v>1.1000000000000001</v>
      </c>
      <c r="AF396" s="20">
        <f t="shared" si="245"/>
        <v>275</v>
      </c>
      <c r="AG396" s="20">
        <f t="shared" si="251"/>
        <v>18</v>
      </c>
      <c r="AH396" s="20">
        <f t="shared" si="243"/>
        <v>3</v>
      </c>
      <c r="AI396" s="20">
        <f t="shared" si="237"/>
        <v>47</v>
      </c>
      <c r="AJ396" s="20">
        <f t="shared" si="258"/>
        <v>90</v>
      </c>
      <c r="AK396" s="20">
        <f t="shared" si="214"/>
        <v>14</v>
      </c>
      <c r="AL396" s="20">
        <f t="shared" si="259"/>
        <v>45</v>
      </c>
      <c r="AM396" s="20">
        <v>46</v>
      </c>
      <c r="AN396" s="20">
        <f t="shared" si="215"/>
        <v>0.75</v>
      </c>
      <c r="AO396" s="20">
        <f t="shared" si="252"/>
        <v>19</v>
      </c>
      <c r="AP396" s="20">
        <f t="shared" si="252"/>
        <v>19</v>
      </c>
      <c r="AQ396" s="20">
        <f t="shared" si="218"/>
        <v>5</v>
      </c>
      <c r="AR396" s="20">
        <f t="shared" si="254"/>
        <v>120</v>
      </c>
      <c r="AS396" s="20">
        <f t="shared" si="257"/>
        <v>120</v>
      </c>
      <c r="AT396" s="20">
        <f t="shared" si="250"/>
        <v>55</v>
      </c>
      <c r="AU396" s="20"/>
      <c r="AV396" s="20"/>
      <c r="AW396" s="20">
        <f t="shared" si="232"/>
        <v>5276.7500000000009</v>
      </c>
      <c r="AX396" s="86">
        <f t="shared" si="244"/>
        <v>5428.4449999999988</v>
      </c>
      <c r="AY396" s="17">
        <f>'[1]D4 Gallon Forecast'!$AH160/1000000</f>
        <v>0</v>
      </c>
      <c r="AZ396" s="17">
        <f>'[1]D4 Gallon Forecast'!$AH192/1000000</f>
        <v>666.18430449644188</v>
      </c>
      <c r="BA396" s="17">
        <f t="shared" si="247"/>
        <v>666.18430449644188</v>
      </c>
      <c r="BB396" s="17">
        <f>'[1]D4 Gallon Forecast'!$AH176/1000000</f>
        <v>0</v>
      </c>
      <c r="BC396" s="87">
        <f>'[1]D4 Gallon Forecast'!$AH352/1000000</f>
        <v>470.68731942735002</v>
      </c>
      <c r="BD396" s="88">
        <f>'[1]D4 Gallon Forecast'!$AH368/1000000</f>
        <v>0</v>
      </c>
      <c r="BE396" s="88">
        <f t="shared" si="248"/>
        <v>470.68731942735002</v>
      </c>
      <c r="BF396" s="76">
        <f t="shared" si="223"/>
        <v>1136.871623923792</v>
      </c>
      <c r="BG396" s="22">
        <f t="shared" si="224"/>
        <v>2.5480479384193457</v>
      </c>
      <c r="BI396" s="21">
        <f t="shared" si="233"/>
        <v>4702.9000000000005</v>
      </c>
      <c r="BJ396" s="21">
        <f t="shared" si="216"/>
        <v>725.54499999999825</v>
      </c>
      <c r="BK396" s="21">
        <f>'RD Feedstock Breakdown'!ES387</f>
        <v>23119.167429049354</v>
      </c>
      <c r="BL396" s="89">
        <f t="shared" si="222"/>
        <v>20.335776654584794</v>
      </c>
      <c r="BM396" s="89">
        <f t="shared" si="220"/>
        <v>34.70386088805374</v>
      </c>
    </row>
    <row r="397" spans="1:65" ht="13.5" x14ac:dyDescent="0.25">
      <c r="A397" s="15">
        <v>52232</v>
      </c>
      <c r="B397" s="20">
        <f t="shared" si="221"/>
        <v>690</v>
      </c>
      <c r="C397" s="74">
        <v>47</v>
      </c>
      <c r="D397" s="20">
        <f t="shared" si="261"/>
        <v>3</v>
      </c>
      <c r="E397" s="20">
        <f t="shared" si="226"/>
        <v>85</v>
      </c>
      <c r="F397" s="20">
        <f t="shared" si="246"/>
        <v>340</v>
      </c>
      <c r="G397" s="20">
        <f t="shared" si="260"/>
        <v>37.5</v>
      </c>
      <c r="H397" s="20">
        <f t="shared" si="239"/>
        <v>190</v>
      </c>
      <c r="I397" s="20">
        <f t="shared" si="225"/>
        <v>250</v>
      </c>
      <c r="J397" s="20">
        <f t="shared" si="217"/>
        <v>153.30000000000001</v>
      </c>
      <c r="K397" s="20">
        <f t="shared" si="228"/>
        <v>125</v>
      </c>
      <c r="L397" s="20">
        <v>125</v>
      </c>
      <c r="M397" s="20">
        <v>730</v>
      </c>
      <c r="N397" s="20">
        <f t="shared" si="255"/>
        <v>180</v>
      </c>
      <c r="O397" s="74">
        <v>375</v>
      </c>
      <c r="P397" s="20">
        <f t="shared" si="234"/>
        <v>50</v>
      </c>
      <c r="Q397" s="20">
        <f t="shared" si="235"/>
        <v>21</v>
      </c>
      <c r="R397" s="20">
        <v>100</v>
      </c>
      <c r="S397" s="20">
        <f t="shared" si="240"/>
        <v>60</v>
      </c>
      <c r="T397" s="20">
        <f t="shared" si="229"/>
        <v>36</v>
      </c>
      <c r="U397" s="20"/>
      <c r="V397" s="20">
        <f t="shared" si="253"/>
        <v>0</v>
      </c>
      <c r="W397" s="20">
        <f t="shared" si="236"/>
        <v>20</v>
      </c>
      <c r="X397" s="20">
        <f t="shared" si="219"/>
        <v>0</v>
      </c>
      <c r="Y397" s="20">
        <f t="shared" si="231"/>
        <v>3.5</v>
      </c>
      <c r="Z397" s="20">
        <f t="shared" si="256"/>
        <v>230</v>
      </c>
      <c r="AA397" s="20">
        <f t="shared" si="230"/>
        <v>306</v>
      </c>
      <c r="AB397" s="20">
        <f t="shared" si="242"/>
        <v>60</v>
      </c>
      <c r="AC397" s="20">
        <f t="shared" si="249"/>
        <v>1.6</v>
      </c>
      <c r="AD397" s="20">
        <f t="shared" si="238"/>
        <v>180</v>
      </c>
      <c r="AE397" s="20">
        <f t="shared" si="241"/>
        <v>1.1000000000000001</v>
      </c>
      <c r="AF397" s="20">
        <f t="shared" si="245"/>
        <v>275</v>
      </c>
      <c r="AG397" s="20">
        <f t="shared" si="251"/>
        <v>18</v>
      </c>
      <c r="AH397" s="20">
        <f t="shared" si="243"/>
        <v>3</v>
      </c>
      <c r="AI397" s="20">
        <f t="shared" si="237"/>
        <v>47</v>
      </c>
      <c r="AJ397" s="20">
        <f t="shared" si="258"/>
        <v>90</v>
      </c>
      <c r="AK397" s="20">
        <f t="shared" si="214"/>
        <v>14</v>
      </c>
      <c r="AL397" s="20">
        <f t="shared" si="259"/>
        <v>45</v>
      </c>
      <c r="AM397" s="20">
        <v>46</v>
      </c>
      <c r="AN397" s="20">
        <f t="shared" si="215"/>
        <v>0.75</v>
      </c>
      <c r="AO397" s="20">
        <f t="shared" ref="AO397:AP460" si="262">$AO$12*$AO$5</f>
        <v>19</v>
      </c>
      <c r="AP397" s="20">
        <f t="shared" si="262"/>
        <v>19</v>
      </c>
      <c r="AQ397" s="20">
        <f t="shared" si="218"/>
        <v>5</v>
      </c>
      <c r="AR397" s="20">
        <f t="shared" si="254"/>
        <v>120</v>
      </c>
      <c r="AS397" s="20">
        <f t="shared" si="257"/>
        <v>120</v>
      </c>
      <c r="AT397" s="20">
        <f t="shared" si="250"/>
        <v>55</v>
      </c>
      <c r="AU397" s="20"/>
      <c r="AV397" s="20"/>
      <c r="AW397" s="20">
        <f t="shared" si="232"/>
        <v>5276.7500000000009</v>
      </c>
      <c r="AX397" s="86">
        <f t="shared" si="244"/>
        <v>5428.4449999999988</v>
      </c>
      <c r="AY397" s="17">
        <f>'[1]D4 Gallon Forecast'!$AI149/1000000</f>
        <v>0</v>
      </c>
      <c r="AZ397" s="17">
        <f>'[1]D4 Gallon Forecast'!$AI181/1000000</f>
        <v>378.16724438818864</v>
      </c>
      <c r="BA397" s="17">
        <f t="shared" si="247"/>
        <v>378.16724438818864</v>
      </c>
      <c r="BB397" s="17">
        <f>'[1]D4 Gallon Forecast'!$AI165/1000000</f>
        <v>0</v>
      </c>
      <c r="BC397" s="87">
        <f>'[1]D4 Gallon Forecast'!$AI341/1000000</f>
        <v>288.35473498635713</v>
      </c>
      <c r="BD397" s="88">
        <f>'[1]D4 Gallon Forecast'!$AI357/1000000</f>
        <v>0</v>
      </c>
      <c r="BE397" s="88">
        <f t="shared" si="248"/>
        <v>288.35473498635713</v>
      </c>
      <c r="BF397" s="76">
        <f t="shared" si="223"/>
        <v>666.52197937454571</v>
      </c>
      <c r="BG397" s="22">
        <f t="shared" si="224"/>
        <v>1.4456734459702503</v>
      </c>
      <c r="BI397" s="21">
        <f t="shared" si="233"/>
        <v>4702.9000000000005</v>
      </c>
      <c r="BJ397" s="21">
        <f t="shared" si="216"/>
        <v>725.54499999999825</v>
      </c>
      <c r="BK397" s="21">
        <f>'RD Feedstock Breakdown'!ES388</f>
        <v>7690.203783153881</v>
      </c>
      <c r="BL397" s="89">
        <f t="shared" si="222"/>
        <v>11.537809736402473</v>
      </c>
      <c r="BM397" s="89">
        <f t="shared" si="220"/>
        <v>20.335457121875653</v>
      </c>
    </row>
    <row r="398" spans="1:65" ht="13.5" x14ac:dyDescent="0.25">
      <c r="A398" s="15">
        <v>52263</v>
      </c>
      <c r="B398" s="20">
        <f t="shared" si="221"/>
        <v>690</v>
      </c>
      <c r="C398" s="74">
        <v>47</v>
      </c>
      <c r="D398" s="20">
        <f t="shared" si="261"/>
        <v>3</v>
      </c>
      <c r="E398" s="20">
        <f t="shared" si="226"/>
        <v>85</v>
      </c>
      <c r="F398" s="20">
        <f t="shared" si="246"/>
        <v>340</v>
      </c>
      <c r="G398" s="20">
        <f t="shared" si="260"/>
        <v>37.5</v>
      </c>
      <c r="H398" s="20">
        <f t="shared" si="239"/>
        <v>190</v>
      </c>
      <c r="I398" s="20">
        <f t="shared" si="225"/>
        <v>250</v>
      </c>
      <c r="J398" s="20">
        <f t="shared" si="217"/>
        <v>153.30000000000001</v>
      </c>
      <c r="K398" s="20">
        <f t="shared" si="228"/>
        <v>125</v>
      </c>
      <c r="L398" s="20">
        <v>125</v>
      </c>
      <c r="M398" s="20">
        <v>730</v>
      </c>
      <c r="N398" s="20">
        <f t="shared" si="255"/>
        <v>180</v>
      </c>
      <c r="O398" s="74">
        <v>375</v>
      </c>
      <c r="P398" s="20">
        <f t="shared" si="234"/>
        <v>50</v>
      </c>
      <c r="Q398" s="20">
        <f t="shared" si="235"/>
        <v>21</v>
      </c>
      <c r="R398" s="20">
        <v>100</v>
      </c>
      <c r="S398" s="20">
        <f t="shared" si="240"/>
        <v>60</v>
      </c>
      <c r="T398" s="20">
        <f t="shared" si="229"/>
        <v>36</v>
      </c>
      <c r="U398" s="20"/>
      <c r="V398" s="20">
        <f t="shared" si="253"/>
        <v>0</v>
      </c>
      <c r="W398" s="20">
        <f t="shared" si="236"/>
        <v>20</v>
      </c>
      <c r="X398" s="20">
        <f t="shared" si="219"/>
        <v>0</v>
      </c>
      <c r="Y398" s="20">
        <f t="shared" si="231"/>
        <v>3.5</v>
      </c>
      <c r="Z398" s="20">
        <f t="shared" si="256"/>
        <v>230</v>
      </c>
      <c r="AA398" s="20">
        <f t="shared" si="230"/>
        <v>306</v>
      </c>
      <c r="AB398" s="20">
        <f t="shared" si="242"/>
        <v>60</v>
      </c>
      <c r="AC398" s="20">
        <f t="shared" si="249"/>
        <v>1.6</v>
      </c>
      <c r="AD398" s="20">
        <f t="shared" si="238"/>
        <v>180</v>
      </c>
      <c r="AE398" s="20">
        <f t="shared" si="241"/>
        <v>1.1000000000000001</v>
      </c>
      <c r="AF398" s="20">
        <f t="shared" si="245"/>
        <v>275</v>
      </c>
      <c r="AG398" s="20">
        <f t="shared" si="251"/>
        <v>18</v>
      </c>
      <c r="AH398" s="20">
        <f t="shared" si="243"/>
        <v>3</v>
      </c>
      <c r="AI398" s="20">
        <f t="shared" si="237"/>
        <v>47</v>
      </c>
      <c r="AJ398" s="20">
        <f t="shared" si="258"/>
        <v>90</v>
      </c>
      <c r="AK398" s="20">
        <f t="shared" si="214"/>
        <v>14</v>
      </c>
      <c r="AL398" s="20">
        <f t="shared" si="259"/>
        <v>45</v>
      </c>
      <c r="AM398" s="20">
        <v>46</v>
      </c>
      <c r="AN398" s="20">
        <f t="shared" si="215"/>
        <v>0.75</v>
      </c>
      <c r="AO398" s="20">
        <f t="shared" si="262"/>
        <v>19</v>
      </c>
      <c r="AP398" s="20">
        <f t="shared" si="262"/>
        <v>19</v>
      </c>
      <c r="AQ398" s="20">
        <f t="shared" si="218"/>
        <v>5</v>
      </c>
      <c r="AR398" s="20">
        <f t="shared" si="254"/>
        <v>120</v>
      </c>
      <c r="AS398" s="20">
        <f t="shared" si="257"/>
        <v>120</v>
      </c>
      <c r="AT398" s="20">
        <f t="shared" si="250"/>
        <v>55</v>
      </c>
      <c r="AU398" s="20"/>
      <c r="AV398" s="20"/>
      <c r="AW398" s="20">
        <f t="shared" si="232"/>
        <v>5276.7500000000009</v>
      </c>
      <c r="AX398" s="86">
        <f t="shared" si="244"/>
        <v>5428.4449999999988</v>
      </c>
      <c r="AY398" s="17">
        <f>'[1]D4 Gallon Forecast'!$AI150/1000000</f>
        <v>0</v>
      </c>
      <c r="AZ398" s="17">
        <f>'[1]D4 Gallon Forecast'!$AI182/1000000</f>
        <v>417.00559814328915</v>
      </c>
      <c r="BA398" s="17">
        <f t="shared" si="247"/>
        <v>417.00559814328915</v>
      </c>
      <c r="BB398" s="17">
        <f>'[1]D4 Gallon Forecast'!$AI166/1000000</f>
        <v>0</v>
      </c>
      <c r="BC398" s="87">
        <f>'[1]D4 Gallon Forecast'!$AI342/1000000</f>
        <v>547.31418860587985</v>
      </c>
      <c r="BD398" s="88">
        <f>'[1]D4 Gallon Forecast'!$AI358/1000000</f>
        <v>0</v>
      </c>
      <c r="BE398" s="88">
        <f t="shared" si="248"/>
        <v>547.31418860587985</v>
      </c>
      <c r="BF398" s="76">
        <f t="shared" si="223"/>
        <v>964.319786749169</v>
      </c>
      <c r="BG398" s="22">
        <f t="shared" si="224"/>
        <v>2.0915912036916815</v>
      </c>
      <c r="BI398" s="21">
        <f t="shared" si="233"/>
        <v>4702.9000000000005</v>
      </c>
      <c r="BJ398" s="21">
        <f t="shared" si="216"/>
        <v>725.54499999999825</v>
      </c>
      <c r="BK398" s="21">
        <f>'RD Feedstock Breakdown'!ES389</f>
        <v>16097.226456234301</v>
      </c>
      <c r="BL398" s="89">
        <f t="shared" si="222"/>
        <v>16.69283019743883</v>
      </c>
      <c r="BM398" s="89">
        <f t="shared" si="220"/>
        <v>38.601943302216917</v>
      </c>
    </row>
    <row r="399" spans="1:65" ht="13.5" x14ac:dyDescent="0.25">
      <c r="A399" s="15">
        <v>52291</v>
      </c>
      <c r="B399" s="20">
        <f t="shared" si="221"/>
        <v>690</v>
      </c>
      <c r="C399" s="74">
        <v>47</v>
      </c>
      <c r="D399" s="20">
        <f t="shared" si="261"/>
        <v>3</v>
      </c>
      <c r="E399" s="20">
        <f t="shared" si="226"/>
        <v>85</v>
      </c>
      <c r="F399" s="20">
        <f t="shared" si="246"/>
        <v>340</v>
      </c>
      <c r="G399" s="20">
        <f t="shared" si="260"/>
        <v>37.5</v>
      </c>
      <c r="H399" s="20">
        <f t="shared" si="239"/>
        <v>190</v>
      </c>
      <c r="I399" s="20">
        <f t="shared" si="225"/>
        <v>250</v>
      </c>
      <c r="J399" s="20">
        <f t="shared" si="217"/>
        <v>153.30000000000001</v>
      </c>
      <c r="K399" s="20">
        <f t="shared" si="228"/>
        <v>125</v>
      </c>
      <c r="L399" s="20">
        <v>125</v>
      </c>
      <c r="M399" s="20">
        <v>730</v>
      </c>
      <c r="N399" s="20">
        <f t="shared" si="255"/>
        <v>180</v>
      </c>
      <c r="O399" s="74">
        <v>375</v>
      </c>
      <c r="P399" s="20">
        <f t="shared" si="234"/>
        <v>50</v>
      </c>
      <c r="Q399" s="20">
        <f t="shared" si="235"/>
        <v>21</v>
      </c>
      <c r="R399" s="20">
        <v>100</v>
      </c>
      <c r="S399" s="20">
        <f t="shared" si="240"/>
        <v>60</v>
      </c>
      <c r="T399" s="20">
        <f t="shared" si="229"/>
        <v>36</v>
      </c>
      <c r="U399" s="20"/>
      <c r="V399" s="20">
        <f t="shared" si="253"/>
        <v>0</v>
      </c>
      <c r="W399" s="20">
        <f t="shared" si="236"/>
        <v>20</v>
      </c>
      <c r="X399" s="20">
        <f t="shared" si="219"/>
        <v>0</v>
      </c>
      <c r="Y399" s="20">
        <f t="shared" si="231"/>
        <v>3.5</v>
      </c>
      <c r="Z399" s="20">
        <f t="shared" si="256"/>
        <v>230</v>
      </c>
      <c r="AA399" s="20">
        <f t="shared" si="230"/>
        <v>306</v>
      </c>
      <c r="AB399" s="20">
        <f t="shared" si="242"/>
        <v>60</v>
      </c>
      <c r="AC399" s="20">
        <f t="shared" si="249"/>
        <v>1.6</v>
      </c>
      <c r="AD399" s="20">
        <f t="shared" si="238"/>
        <v>180</v>
      </c>
      <c r="AE399" s="20">
        <f t="shared" si="241"/>
        <v>1.1000000000000001</v>
      </c>
      <c r="AF399" s="20">
        <f t="shared" si="245"/>
        <v>275</v>
      </c>
      <c r="AG399" s="20">
        <f t="shared" si="251"/>
        <v>18</v>
      </c>
      <c r="AH399" s="20">
        <f t="shared" si="243"/>
        <v>3</v>
      </c>
      <c r="AI399" s="20">
        <f t="shared" si="237"/>
        <v>47</v>
      </c>
      <c r="AJ399" s="20">
        <f t="shared" si="258"/>
        <v>90</v>
      </c>
      <c r="AK399" s="20">
        <f t="shared" ref="AK399:AK462" si="263">$AK$12*$AK$5</f>
        <v>14</v>
      </c>
      <c r="AL399" s="20">
        <f t="shared" si="259"/>
        <v>45</v>
      </c>
      <c r="AM399" s="20">
        <v>46</v>
      </c>
      <c r="AN399" s="20">
        <f t="shared" ref="AN399:AN462" si="264">$AN$5*$AN$12</f>
        <v>0.75</v>
      </c>
      <c r="AO399" s="20">
        <f t="shared" si="262"/>
        <v>19</v>
      </c>
      <c r="AP399" s="20">
        <f t="shared" si="262"/>
        <v>19</v>
      </c>
      <c r="AQ399" s="20">
        <f t="shared" si="218"/>
        <v>5</v>
      </c>
      <c r="AR399" s="20">
        <f t="shared" si="254"/>
        <v>120</v>
      </c>
      <c r="AS399" s="20">
        <f t="shared" si="257"/>
        <v>120</v>
      </c>
      <c r="AT399" s="20">
        <f t="shared" si="250"/>
        <v>55</v>
      </c>
      <c r="AU399" s="20"/>
      <c r="AV399" s="20"/>
      <c r="AW399" s="20">
        <f t="shared" si="232"/>
        <v>5276.7500000000009</v>
      </c>
      <c r="AX399" s="86">
        <f t="shared" si="244"/>
        <v>5428.4449999999988</v>
      </c>
      <c r="AY399" s="17">
        <f>'[1]D4 Gallon Forecast'!$AI151/1000000</f>
        <v>0</v>
      </c>
      <c r="AZ399" s="17">
        <f>'[1]D4 Gallon Forecast'!$AI183/1000000</f>
        <v>439.21481093042365</v>
      </c>
      <c r="BA399" s="17">
        <f t="shared" si="247"/>
        <v>439.21481093042365</v>
      </c>
      <c r="BB399" s="17">
        <f>'[1]D4 Gallon Forecast'!$AI167/1000000</f>
        <v>0</v>
      </c>
      <c r="BC399" s="87">
        <f>'[1]D4 Gallon Forecast'!$AI343/1000000</f>
        <v>218.44569756765975</v>
      </c>
      <c r="BD399" s="88">
        <f>'[1]D4 Gallon Forecast'!$AI359/1000000</f>
        <v>0</v>
      </c>
      <c r="BE399" s="88">
        <f t="shared" si="248"/>
        <v>218.44569756765975</v>
      </c>
      <c r="BF399" s="76">
        <f t="shared" si="223"/>
        <v>657.66050849808335</v>
      </c>
      <c r="BG399" s="22">
        <f t="shared" si="224"/>
        <v>1.5792873439407764</v>
      </c>
      <c r="BI399" s="21">
        <f t="shared" si="233"/>
        <v>4702.9000000000005</v>
      </c>
      <c r="BJ399" s="21">
        <f t="shared" si="216"/>
        <v>725.54499999999825</v>
      </c>
      <c r="BK399" s="21">
        <f>'RD Feedstock Breakdown'!ES390</f>
        <v>8289.266223425062</v>
      </c>
      <c r="BL399" s="89">
        <f t="shared" si="222"/>
        <v>12.604172086226491</v>
      </c>
      <c r="BM399" s="89">
        <f t="shared" si="220"/>
        <v>18.872920532586893</v>
      </c>
    </row>
    <row r="400" spans="1:65" ht="13.5" x14ac:dyDescent="0.25">
      <c r="A400" s="15">
        <v>52322</v>
      </c>
      <c r="B400" s="20">
        <f t="shared" si="221"/>
        <v>690</v>
      </c>
      <c r="C400" s="74">
        <v>47</v>
      </c>
      <c r="D400" s="20">
        <f t="shared" si="261"/>
        <v>3</v>
      </c>
      <c r="E400" s="20">
        <f t="shared" si="226"/>
        <v>85</v>
      </c>
      <c r="F400" s="20">
        <f t="shared" si="246"/>
        <v>340</v>
      </c>
      <c r="G400" s="20">
        <f t="shared" si="260"/>
        <v>37.5</v>
      </c>
      <c r="H400" s="20">
        <f t="shared" si="239"/>
        <v>190</v>
      </c>
      <c r="I400" s="20">
        <f t="shared" si="225"/>
        <v>250</v>
      </c>
      <c r="J400" s="20">
        <f t="shared" si="217"/>
        <v>153.30000000000001</v>
      </c>
      <c r="K400" s="20">
        <f t="shared" si="228"/>
        <v>125</v>
      </c>
      <c r="L400" s="20">
        <v>125</v>
      </c>
      <c r="M400" s="20">
        <v>730</v>
      </c>
      <c r="N400" s="20">
        <f t="shared" si="255"/>
        <v>180</v>
      </c>
      <c r="O400" s="74">
        <v>375</v>
      </c>
      <c r="P400" s="20">
        <f t="shared" si="234"/>
        <v>50</v>
      </c>
      <c r="Q400" s="20">
        <f t="shared" si="235"/>
        <v>21</v>
      </c>
      <c r="R400" s="20">
        <v>100</v>
      </c>
      <c r="S400" s="20">
        <f t="shared" si="240"/>
        <v>60</v>
      </c>
      <c r="T400" s="20">
        <f t="shared" si="229"/>
        <v>36</v>
      </c>
      <c r="U400" s="20"/>
      <c r="V400" s="20">
        <f t="shared" si="253"/>
        <v>0</v>
      </c>
      <c r="W400" s="20">
        <f t="shared" si="236"/>
        <v>20</v>
      </c>
      <c r="X400" s="20">
        <f t="shared" si="219"/>
        <v>0</v>
      </c>
      <c r="Y400" s="20">
        <f t="shared" si="231"/>
        <v>3.5</v>
      </c>
      <c r="Z400" s="20">
        <f t="shared" si="256"/>
        <v>230</v>
      </c>
      <c r="AA400" s="20">
        <f t="shared" si="230"/>
        <v>306</v>
      </c>
      <c r="AB400" s="20">
        <f t="shared" si="242"/>
        <v>60</v>
      </c>
      <c r="AC400" s="20">
        <f t="shared" si="249"/>
        <v>1.6</v>
      </c>
      <c r="AD400" s="20">
        <f t="shared" si="238"/>
        <v>180</v>
      </c>
      <c r="AE400" s="20">
        <f t="shared" si="241"/>
        <v>1.1000000000000001</v>
      </c>
      <c r="AF400" s="20">
        <f t="shared" si="245"/>
        <v>275</v>
      </c>
      <c r="AG400" s="20">
        <f t="shared" si="251"/>
        <v>18</v>
      </c>
      <c r="AH400" s="20">
        <f t="shared" si="243"/>
        <v>3</v>
      </c>
      <c r="AI400" s="20">
        <f t="shared" si="237"/>
        <v>47</v>
      </c>
      <c r="AJ400" s="20">
        <f t="shared" si="258"/>
        <v>90</v>
      </c>
      <c r="AK400" s="20">
        <f t="shared" si="263"/>
        <v>14</v>
      </c>
      <c r="AL400" s="20">
        <f t="shared" si="259"/>
        <v>45</v>
      </c>
      <c r="AM400" s="20">
        <v>46</v>
      </c>
      <c r="AN400" s="20">
        <f t="shared" si="264"/>
        <v>0.75</v>
      </c>
      <c r="AO400" s="20">
        <f t="shared" si="262"/>
        <v>19</v>
      </c>
      <c r="AP400" s="20">
        <f t="shared" si="262"/>
        <v>19</v>
      </c>
      <c r="AQ400" s="20">
        <f t="shared" si="218"/>
        <v>5</v>
      </c>
      <c r="AR400" s="20">
        <f t="shared" si="254"/>
        <v>120</v>
      </c>
      <c r="AS400" s="20">
        <f t="shared" si="257"/>
        <v>120</v>
      </c>
      <c r="AT400" s="20">
        <f t="shared" si="250"/>
        <v>55</v>
      </c>
      <c r="AU400" s="20"/>
      <c r="AV400" s="20"/>
      <c r="AW400" s="20">
        <f t="shared" si="232"/>
        <v>5276.7500000000009</v>
      </c>
      <c r="AX400" s="86">
        <f t="shared" si="244"/>
        <v>5428.4449999999988</v>
      </c>
      <c r="AY400" s="17">
        <f>'[1]D4 Gallon Forecast'!$AI152/1000000</f>
        <v>0</v>
      </c>
      <c r="AZ400" s="17">
        <f>'[1]D4 Gallon Forecast'!$AI184/1000000</f>
        <v>426.45594690041918</v>
      </c>
      <c r="BA400" s="17">
        <f t="shared" si="247"/>
        <v>426.45594690041918</v>
      </c>
      <c r="BB400" s="17">
        <f>'[1]D4 Gallon Forecast'!$AI168/1000000</f>
        <v>0</v>
      </c>
      <c r="BC400" s="87">
        <f>'[1]D4 Gallon Forecast'!$AI344/1000000</f>
        <v>350.63808208908694</v>
      </c>
      <c r="BD400" s="88">
        <f>'[1]D4 Gallon Forecast'!$AI360/1000000</f>
        <v>0</v>
      </c>
      <c r="BE400" s="88">
        <f t="shared" si="248"/>
        <v>350.63808208908694</v>
      </c>
      <c r="BF400" s="76">
        <f t="shared" si="223"/>
        <v>777.09402898950611</v>
      </c>
      <c r="BG400" s="22">
        <f t="shared" si="224"/>
        <v>1.6855021102025312</v>
      </c>
      <c r="BI400" s="21">
        <f t="shared" si="233"/>
        <v>4702.9000000000005</v>
      </c>
      <c r="BJ400" s="21">
        <f t="shared" si="216"/>
        <v>725.54499999999825</v>
      </c>
      <c r="BK400" s="21">
        <f>'RD Feedstock Breakdown'!ES391</f>
        <v>10453.363233073638</v>
      </c>
      <c r="BL400" s="89">
        <f t="shared" si="222"/>
        <v>13.451864051338374</v>
      </c>
      <c r="BM400" s="89">
        <f t="shared" si="220"/>
        <v>24.512176015016578</v>
      </c>
    </row>
    <row r="401" spans="1:65" ht="13.5" x14ac:dyDescent="0.25">
      <c r="A401" s="15">
        <v>52352</v>
      </c>
      <c r="B401" s="20">
        <f t="shared" si="221"/>
        <v>690</v>
      </c>
      <c r="C401" s="74">
        <v>47</v>
      </c>
      <c r="D401" s="20">
        <f t="shared" si="261"/>
        <v>3</v>
      </c>
      <c r="E401" s="20">
        <f t="shared" si="226"/>
        <v>85</v>
      </c>
      <c r="F401" s="20">
        <f t="shared" si="246"/>
        <v>340</v>
      </c>
      <c r="G401" s="20">
        <f t="shared" si="260"/>
        <v>37.5</v>
      </c>
      <c r="H401" s="20">
        <f t="shared" si="239"/>
        <v>190</v>
      </c>
      <c r="I401" s="20">
        <f t="shared" si="225"/>
        <v>250</v>
      </c>
      <c r="J401" s="20">
        <f t="shared" si="217"/>
        <v>153.30000000000001</v>
      </c>
      <c r="K401" s="20">
        <f t="shared" si="228"/>
        <v>125</v>
      </c>
      <c r="L401" s="20">
        <v>125</v>
      </c>
      <c r="M401" s="20">
        <v>730</v>
      </c>
      <c r="N401" s="20">
        <f t="shared" si="255"/>
        <v>180</v>
      </c>
      <c r="O401" s="74">
        <v>375</v>
      </c>
      <c r="P401" s="20">
        <f t="shared" si="234"/>
        <v>50</v>
      </c>
      <c r="Q401" s="20">
        <f t="shared" si="235"/>
        <v>21</v>
      </c>
      <c r="R401" s="20">
        <v>100</v>
      </c>
      <c r="S401" s="20">
        <f t="shared" si="240"/>
        <v>60</v>
      </c>
      <c r="T401" s="20">
        <f t="shared" si="229"/>
        <v>36</v>
      </c>
      <c r="U401" s="20"/>
      <c r="V401" s="20">
        <f t="shared" si="253"/>
        <v>0</v>
      </c>
      <c r="W401" s="20">
        <f t="shared" si="236"/>
        <v>20</v>
      </c>
      <c r="X401" s="20">
        <f t="shared" si="219"/>
        <v>0</v>
      </c>
      <c r="Y401" s="20">
        <f t="shared" si="231"/>
        <v>3.5</v>
      </c>
      <c r="Z401" s="20">
        <f t="shared" si="256"/>
        <v>230</v>
      </c>
      <c r="AA401" s="20">
        <f t="shared" si="230"/>
        <v>306</v>
      </c>
      <c r="AB401" s="20">
        <f t="shared" si="242"/>
        <v>60</v>
      </c>
      <c r="AC401" s="20">
        <f t="shared" si="249"/>
        <v>1.6</v>
      </c>
      <c r="AD401" s="20">
        <f t="shared" si="238"/>
        <v>180</v>
      </c>
      <c r="AE401" s="20">
        <f t="shared" si="241"/>
        <v>1.1000000000000001</v>
      </c>
      <c r="AF401" s="20">
        <f t="shared" si="245"/>
        <v>275</v>
      </c>
      <c r="AG401" s="20">
        <f t="shared" si="251"/>
        <v>18</v>
      </c>
      <c r="AH401" s="20">
        <f t="shared" si="243"/>
        <v>3</v>
      </c>
      <c r="AI401" s="20">
        <f t="shared" si="237"/>
        <v>47</v>
      </c>
      <c r="AJ401" s="20">
        <f t="shared" si="258"/>
        <v>90</v>
      </c>
      <c r="AK401" s="20">
        <f t="shared" si="263"/>
        <v>14</v>
      </c>
      <c r="AL401" s="20">
        <f t="shared" si="259"/>
        <v>45</v>
      </c>
      <c r="AM401" s="20">
        <v>46</v>
      </c>
      <c r="AN401" s="20">
        <f t="shared" si="264"/>
        <v>0.75</v>
      </c>
      <c r="AO401" s="20">
        <f t="shared" si="262"/>
        <v>19</v>
      </c>
      <c r="AP401" s="20">
        <f t="shared" si="262"/>
        <v>19</v>
      </c>
      <c r="AQ401" s="20">
        <f t="shared" si="218"/>
        <v>5</v>
      </c>
      <c r="AR401" s="20">
        <f t="shared" si="254"/>
        <v>120</v>
      </c>
      <c r="AS401" s="20">
        <f t="shared" si="257"/>
        <v>120</v>
      </c>
      <c r="AT401" s="20">
        <f t="shared" si="250"/>
        <v>55</v>
      </c>
      <c r="AU401" s="20"/>
      <c r="AV401" s="20"/>
      <c r="AW401" s="20">
        <f t="shared" si="232"/>
        <v>5276.7500000000009</v>
      </c>
      <c r="AX401" s="86">
        <f t="shared" si="244"/>
        <v>5428.4449999999988</v>
      </c>
      <c r="AY401" s="17">
        <f>'[1]D4 Gallon Forecast'!$AI153/1000000</f>
        <v>0</v>
      </c>
      <c r="AZ401" s="17">
        <f>'[1]D4 Gallon Forecast'!$AI185/1000000</f>
        <v>476.3917430638416</v>
      </c>
      <c r="BA401" s="17">
        <f t="shared" si="247"/>
        <v>476.3917430638416</v>
      </c>
      <c r="BB401" s="17">
        <f>'[1]D4 Gallon Forecast'!$AI169/1000000</f>
        <v>0</v>
      </c>
      <c r="BC401" s="87">
        <f>'[1]D4 Gallon Forecast'!$AI345/1000000</f>
        <v>461.55358961231804</v>
      </c>
      <c r="BD401" s="88">
        <f>'[1]D4 Gallon Forecast'!$AI361/1000000</f>
        <v>0</v>
      </c>
      <c r="BE401" s="88">
        <f t="shared" si="248"/>
        <v>461.55358961231804</v>
      </c>
      <c r="BF401" s="76">
        <f t="shared" si="223"/>
        <v>937.94533267615964</v>
      </c>
      <c r="BG401" s="22">
        <f t="shared" si="224"/>
        <v>2.102198366977396</v>
      </c>
      <c r="BI401" s="21">
        <f t="shared" si="233"/>
        <v>4702.9000000000005</v>
      </c>
      <c r="BJ401" s="21">
        <f t="shared" ref="BJ401:BJ464" si="265">AX401-BI401</f>
        <v>725.54499999999825</v>
      </c>
      <c r="BK401" s="21">
        <f>'RD Feedstock Breakdown'!ES392</f>
        <v>15736.363900118067</v>
      </c>
      <c r="BL401" s="89">
        <f t="shared" si="222"/>
        <v>16.777485160269244</v>
      </c>
      <c r="BM401" s="89">
        <f t="shared" si="220"/>
        <v>33.032402700584221</v>
      </c>
    </row>
    <row r="402" spans="1:65" ht="13.5" x14ac:dyDescent="0.25">
      <c r="A402" s="15">
        <v>52383</v>
      </c>
      <c r="B402" s="20">
        <f t="shared" si="221"/>
        <v>690</v>
      </c>
      <c r="C402" s="74">
        <v>47</v>
      </c>
      <c r="D402" s="20">
        <f t="shared" si="261"/>
        <v>3</v>
      </c>
      <c r="E402" s="20">
        <f t="shared" si="226"/>
        <v>85</v>
      </c>
      <c r="F402" s="20">
        <f t="shared" si="246"/>
        <v>340</v>
      </c>
      <c r="G402" s="20">
        <f t="shared" si="260"/>
        <v>37.5</v>
      </c>
      <c r="H402" s="20">
        <f t="shared" si="239"/>
        <v>190</v>
      </c>
      <c r="I402" s="20">
        <f t="shared" si="225"/>
        <v>250</v>
      </c>
      <c r="J402" s="20">
        <f t="shared" ref="J402:J465" si="266">100+(53.3*$J$12)</f>
        <v>153.30000000000001</v>
      </c>
      <c r="K402" s="20">
        <f t="shared" si="228"/>
        <v>125</v>
      </c>
      <c r="L402" s="20">
        <v>125</v>
      </c>
      <c r="M402" s="20">
        <v>730</v>
      </c>
      <c r="N402" s="20">
        <f t="shared" si="255"/>
        <v>180</v>
      </c>
      <c r="O402" s="74">
        <v>375</v>
      </c>
      <c r="P402" s="20">
        <f t="shared" si="234"/>
        <v>50</v>
      </c>
      <c r="Q402" s="20">
        <f t="shared" si="235"/>
        <v>21</v>
      </c>
      <c r="R402" s="20">
        <v>100</v>
      </c>
      <c r="S402" s="20">
        <f t="shared" si="240"/>
        <v>60</v>
      </c>
      <c r="T402" s="20">
        <f t="shared" si="229"/>
        <v>36</v>
      </c>
      <c r="U402" s="20"/>
      <c r="V402" s="20">
        <f t="shared" si="253"/>
        <v>0</v>
      </c>
      <c r="W402" s="20">
        <f t="shared" si="236"/>
        <v>20</v>
      </c>
      <c r="X402" s="20">
        <f t="shared" si="219"/>
        <v>0</v>
      </c>
      <c r="Y402" s="20">
        <f t="shared" si="231"/>
        <v>3.5</v>
      </c>
      <c r="Z402" s="20">
        <f t="shared" si="256"/>
        <v>230</v>
      </c>
      <c r="AA402" s="20">
        <f t="shared" si="230"/>
        <v>306</v>
      </c>
      <c r="AB402" s="20">
        <f t="shared" si="242"/>
        <v>60</v>
      </c>
      <c r="AC402" s="20">
        <f t="shared" si="249"/>
        <v>1.6</v>
      </c>
      <c r="AD402" s="20">
        <f t="shared" si="238"/>
        <v>180</v>
      </c>
      <c r="AE402" s="20">
        <f t="shared" si="241"/>
        <v>1.1000000000000001</v>
      </c>
      <c r="AF402" s="20">
        <f t="shared" si="245"/>
        <v>275</v>
      </c>
      <c r="AG402" s="20">
        <f t="shared" si="251"/>
        <v>18</v>
      </c>
      <c r="AH402" s="20">
        <f t="shared" si="243"/>
        <v>3</v>
      </c>
      <c r="AI402" s="20">
        <f t="shared" si="237"/>
        <v>47</v>
      </c>
      <c r="AJ402" s="20">
        <f t="shared" si="258"/>
        <v>90</v>
      </c>
      <c r="AK402" s="20">
        <f t="shared" si="263"/>
        <v>14</v>
      </c>
      <c r="AL402" s="20">
        <f t="shared" si="259"/>
        <v>45</v>
      </c>
      <c r="AM402" s="20">
        <v>46</v>
      </c>
      <c r="AN402" s="20">
        <f t="shared" si="264"/>
        <v>0.75</v>
      </c>
      <c r="AO402" s="20">
        <f t="shared" si="262"/>
        <v>19</v>
      </c>
      <c r="AP402" s="20">
        <f t="shared" si="262"/>
        <v>19</v>
      </c>
      <c r="AQ402" s="20">
        <f t="shared" si="218"/>
        <v>5</v>
      </c>
      <c r="AR402" s="20">
        <f t="shared" si="254"/>
        <v>120</v>
      </c>
      <c r="AS402" s="20">
        <f t="shared" si="257"/>
        <v>120</v>
      </c>
      <c r="AT402" s="20">
        <f t="shared" si="250"/>
        <v>55</v>
      </c>
      <c r="AU402" s="20"/>
      <c r="AV402" s="20"/>
      <c r="AW402" s="20">
        <f t="shared" si="232"/>
        <v>5276.7500000000009</v>
      </c>
      <c r="AX402" s="86">
        <f t="shared" si="244"/>
        <v>5428.4449999999988</v>
      </c>
      <c r="AY402" s="17">
        <f>'[1]D4 Gallon Forecast'!$AI154/1000000</f>
        <v>0</v>
      </c>
      <c r="AZ402" s="17">
        <f>'[1]D4 Gallon Forecast'!$AI186/1000000</f>
        <v>472.50599956073052</v>
      </c>
      <c r="BA402" s="17">
        <f t="shared" si="247"/>
        <v>472.50599956073052</v>
      </c>
      <c r="BB402" s="17">
        <f>'[1]D4 Gallon Forecast'!$AI170/1000000</f>
        <v>0</v>
      </c>
      <c r="BC402" s="87">
        <f>'[1]D4 Gallon Forecast'!$AI346/1000000</f>
        <v>440.29129120100424</v>
      </c>
      <c r="BD402" s="88">
        <f>'[1]D4 Gallon Forecast'!$AI362/1000000</f>
        <v>0</v>
      </c>
      <c r="BE402" s="88">
        <f t="shared" si="248"/>
        <v>440.29129120100424</v>
      </c>
      <c r="BF402" s="76">
        <f t="shared" si="223"/>
        <v>912.79729076173476</v>
      </c>
      <c r="BG402" s="22">
        <f t="shared" si="224"/>
        <v>1.9798398937213217</v>
      </c>
      <c r="BI402" s="21">
        <f t="shared" si="233"/>
        <v>4702.9000000000005</v>
      </c>
      <c r="BJ402" s="21">
        <f t="shared" si="265"/>
        <v>725.54499999999825</v>
      </c>
      <c r="BK402" s="21">
        <f>'RD Feedstock Breakdown'!ES393</f>
        <v>14423.06571919405</v>
      </c>
      <c r="BL402" s="89">
        <f t="shared" si="222"/>
        <v>15.800951498396666</v>
      </c>
      <c r="BM402" s="89">
        <f t="shared" si="220"/>
        <v>30.524619227274538</v>
      </c>
    </row>
    <row r="403" spans="1:65" ht="13.5" x14ac:dyDescent="0.25">
      <c r="A403" s="15">
        <v>52413</v>
      </c>
      <c r="B403" s="20">
        <f t="shared" si="221"/>
        <v>690</v>
      </c>
      <c r="C403" s="74">
        <v>47</v>
      </c>
      <c r="D403" s="20">
        <f t="shared" si="261"/>
        <v>3</v>
      </c>
      <c r="E403" s="20">
        <f t="shared" si="226"/>
        <v>85</v>
      </c>
      <c r="F403" s="20">
        <f t="shared" si="246"/>
        <v>340</v>
      </c>
      <c r="G403" s="20">
        <f t="shared" si="260"/>
        <v>37.5</v>
      </c>
      <c r="H403" s="20">
        <f t="shared" si="239"/>
        <v>190</v>
      </c>
      <c r="I403" s="20">
        <f t="shared" si="225"/>
        <v>250</v>
      </c>
      <c r="J403" s="20">
        <f t="shared" si="266"/>
        <v>153.30000000000001</v>
      </c>
      <c r="K403" s="20">
        <f t="shared" si="228"/>
        <v>125</v>
      </c>
      <c r="L403" s="20">
        <v>125</v>
      </c>
      <c r="M403" s="20">
        <v>730</v>
      </c>
      <c r="N403" s="20">
        <f t="shared" si="255"/>
        <v>180</v>
      </c>
      <c r="O403" s="74">
        <v>375</v>
      </c>
      <c r="P403" s="20">
        <f t="shared" si="234"/>
        <v>50</v>
      </c>
      <c r="Q403" s="20">
        <f t="shared" si="235"/>
        <v>21</v>
      </c>
      <c r="R403" s="20">
        <v>100</v>
      </c>
      <c r="S403" s="20">
        <f t="shared" si="240"/>
        <v>60</v>
      </c>
      <c r="T403" s="20">
        <f t="shared" si="229"/>
        <v>36</v>
      </c>
      <c r="U403" s="20"/>
      <c r="V403" s="20">
        <f t="shared" si="253"/>
        <v>0</v>
      </c>
      <c r="W403" s="20">
        <f t="shared" si="236"/>
        <v>20</v>
      </c>
      <c r="X403" s="20">
        <f t="shared" si="219"/>
        <v>0</v>
      </c>
      <c r="Y403" s="20">
        <f t="shared" si="231"/>
        <v>3.5</v>
      </c>
      <c r="Z403" s="20">
        <f t="shared" si="256"/>
        <v>230</v>
      </c>
      <c r="AA403" s="20">
        <f t="shared" si="230"/>
        <v>306</v>
      </c>
      <c r="AB403" s="20">
        <f t="shared" si="242"/>
        <v>60</v>
      </c>
      <c r="AC403" s="20">
        <f t="shared" si="249"/>
        <v>1.6</v>
      </c>
      <c r="AD403" s="20">
        <f t="shared" si="238"/>
        <v>180</v>
      </c>
      <c r="AE403" s="20">
        <f t="shared" si="241"/>
        <v>1.1000000000000001</v>
      </c>
      <c r="AF403" s="20">
        <f t="shared" si="245"/>
        <v>275</v>
      </c>
      <c r="AG403" s="20">
        <f t="shared" si="251"/>
        <v>18</v>
      </c>
      <c r="AH403" s="20">
        <f t="shared" si="243"/>
        <v>3</v>
      </c>
      <c r="AI403" s="20">
        <f t="shared" si="237"/>
        <v>47</v>
      </c>
      <c r="AJ403" s="20">
        <f t="shared" si="258"/>
        <v>90</v>
      </c>
      <c r="AK403" s="20">
        <f t="shared" si="263"/>
        <v>14</v>
      </c>
      <c r="AL403" s="20">
        <f t="shared" si="259"/>
        <v>45</v>
      </c>
      <c r="AM403" s="20">
        <v>46</v>
      </c>
      <c r="AN403" s="20">
        <f t="shared" si="264"/>
        <v>0.75</v>
      </c>
      <c r="AO403" s="20">
        <f t="shared" si="262"/>
        <v>19</v>
      </c>
      <c r="AP403" s="20">
        <f t="shared" si="262"/>
        <v>19</v>
      </c>
      <c r="AQ403" s="20">
        <f t="shared" si="218"/>
        <v>5</v>
      </c>
      <c r="AR403" s="20">
        <f t="shared" si="254"/>
        <v>120</v>
      </c>
      <c r="AS403" s="20">
        <f t="shared" si="257"/>
        <v>120</v>
      </c>
      <c r="AT403" s="20">
        <f t="shared" si="250"/>
        <v>55</v>
      </c>
      <c r="AU403" s="20"/>
      <c r="AV403" s="20"/>
      <c r="AW403" s="20">
        <f t="shared" si="232"/>
        <v>5276.7500000000009</v>
      </c>
      <c r="AX403" s="86">
        <f t="shared" si="244"/>
        <v>5428.4449999999988</v>
      </c>
      <c r="AY403" s="17">
        <f>'[1]D4 Gallon Forecast'!$AI155/1000000</f>
        <v>0</v>
      </c>
      <c r="AZ403" s="17">
        <f>'[1]D4 Gallon Forecast'!$AI187/1000000</f>
        <v>462.79447027611707</v>
      </c>
      <c r="BA403" s="17">
        <f t="shared" si="247"/>
        <v>462.79447027611707</v>
      </c>
      <c r="BB403" s="17">
        <f>'[1]D4 Gallon Forecast'!$AI171/1000000</f>
        <v>0</v>
      </c>
      <c r="BC403" s="87">
        <f>'[1]D4 Gallon Forecast'!$AI347/1000000</f>
        <v>478.9400129773976</v>
      </c>
      <c r="BD403" s="88">
        <f>'[1]D4 Gallon Forecast'!$AI363/1000000</f>
        <v>0</v>
      </c>
      <c r="BE403" s="88">
        <f t="shared" si="248"/>
        <v>478.9400129773976</v>
      </c>
      <c r="BF403" s="76">
        <f t="shared" si="223"/>
        <v>941.73448325351467</v>
      </c>
      <c r="BG403" s="22">
        <f t="shared" si="224"/>
        <v>2.1106909154004687</v>
      </c>
      <c r="BI403" s="21">
        <f t="shared" si="233"/>
        <v>4702.9000000000005</v>
      </c>
      <c r="BJ403" s="21">
        <f t="shared" si="265"/>
        <v>725.54499999999825</v>
      </c>
      <c r="BK403" s="21">
        <f>'RD Feedstock Breakdown'!ES394</f>
        <v>15863.76555777869</v>
      </c>
      <c r="BL403" s="89">
        <f t="shared" si="222"/>
        <v>16.845263542832559</v>
      </c>
      <c r="BM403" s="89">
        <f t="shared" si="220"/>
        <v>34.278208960262404</v>
      </c>
    </row>
    <row r="404" spans="1:65" ht="13.5" x14ac:dyDescent="0.25">
      <c r="A404" s="15">
        <v>52444</v>
      </c>
      <c r="B404" s="20">
        <f t="shared" si="221"/>
        <v>690</v>
      </c>
      <c r="C404" s="74">
        <v>47</v>
      </c>
      <c r="D404" s="20">
        <f t="shared" si="261"/>
        <v>3</v>
      </c>
      <c r="E404" s="20">
        <f t="shared" si="226"/>
        <v>85</v>
      </c>
      <c r="F404" s="20">
        <f t="shared" si="246"/>
        <v>340</v>
      </c>
      <c r="G404" s="20">
        <f t="shared" si="260"/>
        <v>37.5</v>
      </c>
      <c r="H404" s="20">
        <f t="shared" si="239"/>
        <v>190</v>
      </c>
      <c r="I404" s="20">
        <f t="shared" si="225"/>
        <v>250</v>
      </c>
      <c r="J404" s="20">
        <f t="shared" si="266"/>
        <v>153.30000000000001</v>
      </c>
      <c r="K404" s="20">
        <f t="shared" si="228"/>
        <v>125</v>
      </c>
      <c r="L404" s="20">
        <v>125</v>
      </c>
      <c r="M404" s="20">
        <v>730</v>
      </c>
      <c r="N404" s="20">
        <f t="shared" si="255"/>
        <v>180</v>
      </c>
      <c r="O404" s="74">
        <v>375</v>
      </c>
      <c r="P404" s="20">
        <f t="shared" si="234"/>
        <v>50</v>
      </c>
      <c r="Q404" s="20">
        <f t="shared" si="235"/>
        <v>21</v>
      </c>
      <c r="R404" s="20">
        <v>100</v>
      </c>
      <c r="S404" s="20">
        <f t="shared" si="240"/>
        <v>60</v>
      </c>
      <c r="T404" s="20">
        <f t="shared" si="229"/>
        <v>36</v>
      </c>
      <c r="U404" s="20"/>
      <c r="V404" s="20">
        <f t="shared" si="253"/>
        <v>0</v>
      </c>
      <c r="W404" s="20">
        <f t="shared" si="236"/>
        <v>20</v>
      </c>
      <c r="X404" s="20">
        <f t="shared" si="219"/>
        <v>0</v>
      </c>
      <c r="Y404" s="20">
        <f t="shared" si="231"/>
        <v>3.5</v>
      </c>
      <c r="Z404" s="20">
        <f t="shared" si="256"/>
        <v>230</v>
      </c>
      <c r="AA404" s="20">
        <f t="shared" si="230"/>
        <v>306</v>
      </c>
      <c r="AB404" s="20">
        <f t="shared" si="242"/>
        <v>60</v>
      </c>
      <c r="AC404" s="20">
        <f t="shared" si="249"/>
        <v>1.6</v>
      </c>
      <c r="AD404" s="20">
        <f t="shared" si="238"/>
        <v>180</v>
      </c>
      <c r="AE404" s="20">
        <f t="shared" si="241"/>
        <v>1.1000000000000001</v>
      </c>
      <c r="AF404" s="20">
        <f t="shared" si="245"/>
        <v>275</v>
      </c>
      <c r="AG404" s="20">
        <f t="shared" si="251"/>
        <v>18</v>
      </c>
      <c r="AH404" s="20">
        <f t="shared" si="243"/>
        <v>3</v>
      </c>
      <c r="AI404" s="20">
        <f t="shared" si="237"/>
        <v>47</v>
      </c>
      <c r="AJ404" s="20">
        <f t="shared" si="258"/>
        <v>90</v>
      </c>
      <c r="AK404" s="20">
        <f t="shared" si="263"/>
        <v>14</v>
      </c>
      <c r="AL404" s="20">
        <f t="shared" si="259"/>
        <v>45</v>
      </c>
      <c r="AM404" s="20">
        <v>46</v>
      </c>
      <c r="AN404" s="20">
        <f t="shared" si="264"/>
        <v>0.75</v>
      </c>
      <c r="AO404" s="20">
        <f t="shared" si="262"/>
        <v>19</v>
      </c>
      <c r="AP404" s="20">
        <f t="shared" si="262"/>
        <v>19</v>
      </c>
      <c r="AQ404" s="20">
        <f t="shared" ref="AQ404:AQ467" si="267">$AQ$5*$AQ$12</f>
        <v>5</v>
      </c>
      <c r="AR404" s="20">
        <f t="shared" si="254"/>
        <v>120</v>
      </c>
      <c r="AS404" s="20">
        <f t="shared" si="257"/>
        <v>120</v>
      </c>
      <c r="AT404" s="20">
        <f t="shared" si="250"/>
        <v>55</v>
      </c>
      <c r="AU404" s="20"/>
      <c r="AV404" s="20"/>
      <c r="AW404" s="20">
        <f t="shared" si="232"/>
        <v>5276.7500000000009</v>
      </c>
      <c r="AX404" s="86">
        <f t="shared" si="244"/>
        <v>5428.4449999999988</v>
      </c>
      <c r="AY404" s="17">
        <f>'[1]D4 Gallon Forecast'!$AI156/1000000</f>
        <v>0</v>
      </c>
      <c r="AZ404" s="17">
        <f>'[1]D4 Gallon Forecast'!$AI188/1000000</f>
        <v>469.41730634589766</v>
      </c>
      <c r="BA404" s="17">
        <f t="shared" si="247"/>
        <v>469.41730634589766</v>
      </c>
      <c r="BB404" s="17">
        <f>'[1]D4 Gallon Forecast'!$AI172/1000000</f>
        <v>0</v>
      </c>
      <c r="BC404" s="87">
        <f>'[1]D4 Gallon Forecast'!$AI348/1000000</f>
        <v>521.48553456446302</v>
      </c>
      <c r="BD404" s="88">
        <f>'[1]D4 Gallon Forecast'!$AI364/1000000</f>
        <v>0</v>
      </c>
      <c r="BE404" s="88">
        <f t="shared" si="248"/>
        <v>521.48553456446302</v>
      </c>
      <c r="BF404" s="76">
        <f t="shared" si="223"/>
        <v>990.90284091036074</v>
      </c>
      <c r="BG404" s="22">
        <f t="shared" si="224"/>
        <v>2.149249340561656</v>
      </c>
      <c r="BI404" s="21">
        <f t="shared" si="233"/>
        <v>4702.9000000000005</v>
      </c>
      <c r="BJ404" s="21">
        <f t="shared" si="265"/>
        <v>725.54499999999825</v>
      </c>
      <c r="BK404" s="21">
        <f>'RD Feedstock Breakdown'!ES395</f>
        <v>16996.951871200283</v>
      </c>
      <c r="BL404" s="89">
        <f t="shared" si="222"/>
        <v>17.152995399210752</v>
      </c>
      <c r="BM404" s="89">
        <f t="shared" si="220"/>
        <v>36.208617878855549</v>
      </c>
    </row>
    <row r="405" spans="1:65" ht="13.5" x14ac:dyDescent="0.25">
      <c r="A405" s="15">
        <v>52475</v>
      </c>
      <c r="B405" s="20">
        <f t="shared" si="221"/>
        <v>690</v>
      </c>
      <c r="C405" s="74">
        <v>47</v>
      </c>
      <c r="D405" s="20">
        <f t="shared" si="261"/>
        <v>3</v>
      </c>
      <c r="E405" s="20">
        <f t="shared" si="226"/>
        <v>85</v>
      </c>
      <c r="F405" s="20">
        <f t="shared" si="246"/>
        <v>340</v>
      </c>
      <c r="G405" s="20">
        <f t="shared" si="260"/>
        <v>37.5</v>
      </c>
      <c r="H405" s="20">
        <f t="shared" si="239"/>
        <v>190</v>
      </c>
      <c r="I405" s="20">
        <f t="shared" si="225"/>
        <v>250</v>
      </c>
      <c r="J405" s="20">
        <f t="shared" si="266"/>
        <v>153.30000000000001</v>
      </c>
      <c r="K405" s="20">
        <f t="shared" si="228"/>
        <v>125</v>
      </c>
      <c r="L405" s="20">
        <v>125</v>
      </c>
      <c r="M405" s="20">
        <v>730</v>
      </c>
      <c r="N405" s="20">
        <f t="shared" si="255"/>
        <v>180</v>
      </c>
      <c r="O405" s="74">
        <v>375</v>
      </c>
      <c r="P405" s="20">
        <f t="shared" si="234"/>
        <v>50</v>
      </c>
      <c r="Q405" s="20">
        <f t="shared" si="235"/>
        <v>21</v>
      </c>
      <c r="R405" s="20">
        <v>100</v>
      </c>
      <c r="S405" s="20">
        <f t="shared" si="240"/>
        <v>60</v>
      </c>
      <c r="T405" s="20">
        <f t="shared" si="229"/>
        <v>36</v>
      </c>
      <c r="U405" s="20"/>
      <c r="V405" s="20">
        <f t="shared" si="253"/>
        <v>0</v>
      </c>
      <c r="W405" s="20">
        <f t="shared" si="236"/>
        <v>20</v>
      </c>
      <c r="X405" s="20">
        <f t="shared" ref="X405:X468" si="268">16.1*$X$12</f>
        <v>0</v>
      </c>
      <c r="Y405" s="20">
        <f t="shared" si="231"/>
        <v>3.5</v>
      </c>
      <c r="Z405" s="20">
        <f t="shared" si="256"/>
        <v>230</v>
      </c>
      <c r="AA405" s="20">
        <f t="shared" si="230"/>
        <v>306</v>
      </c>
      <c r="AB405" s="20">
        <f t="shared" si="242"/>
        <v>60</v>
      </c>
      <c r="AC405" s="20">
        <f t="shared" si="249"/>
        <v>1.6</v>
      </c>
      <c r="AD405" s="20">
        <f t="shared" si="238"/>
        <v>180</v>
      </c>
      <c r="AE405" s="20">
        <f t="shared" si="241"/>
        <v>1.1000000000000001</v>
      </c>
      <c r="AF405" s="20">
        <f t="shared" si="245"/>
        <v>275</v>
      </c>
      <c r="AG405" s="20">
        <f t="shared" si="251"/>
        <v>18</v>
      </c>
      <c r="AH405" s="20">
        <f t="shared" si="243"/>
        <v>3</v>
      </c>
      <c r="AI405" s="20">
        <f t="shared" si="237"/>
        <v>47</v>
      </c>
      <c r="AJ405" s="20">
        <f t="shared" si="258"/>
        <v>90</v>
      </c>
      <c r="AK405" s="20">
        <f t="shared" si="263"/>
        <v>14</v>
      </c>
      <c r="AL405" s="20">
        <f t="shared" si="259"/>
        <v>45</v>
      </c>
      <c r="AM405" s="20">
        <v>46</v>
      </c>
      <c r="AN405" s="20">
        <f t="shared" si="264"/>
        <v>0.75</v>
      </c>
      <c r="AO405" s="20">
        <f t="shared" si="262"/>
        <v>19</v>
      </c>
      <c r="AP405" s="20">
        <f t="shared" si="262"/>
        <v>19</v>
      </c>
      <c r="AQ405" s="20">
        <f t="shared" si="267"/>
        <v>5</v>
      </c>
      <c r="AR405" s="20">
        <f t="shared" si="254"/>
        <v>120</v>
      </c>
      <c r="AS405" s="20">
        <f t="shared" si="257"/>
        <v>120</v>
      </c>
      <c r="AT405" s="20">
        <f t="shared" si="250"/>
        <v>55</v>
      </c>
      <c r="AU405" s="20"/>
      <c r="AV405" s="20"/>
      <c r="AW405" s="20">
        <f t="shared" si="232"/>
        <v>5276.7500000000009</v>
      </c>
      <c r="AX405" s="86">
        <f t="shared" si="244"/>
        <v>5428.4449999999988</v>
      </c>
      <c r="AY405" s="17">
        <f>'[1]D4 Gallon Forecast'!$AI157/1000000</f>
        <v>0</v>
      </c>
      <c r="AZ405" s="17">
        <f>'[1]D4 Gallon Forecast'!$AI189/1000000</f>
        <v>477.9728060771875</v>
      </c>
      <c r="BA405" s="17">
        <f t="shared" si="247"/>
        <v>477.9728060771875</v>
      </c>
      <c r="BB405" s="17">
        <f>'[1]D4 Gallon Forecast'!$AI173/1000000</f>
        <v>0</v>
      </c>
      <c r="BC405" s="87">
        <f>'[1]D4 Gallon Forecast'!$AI349/1000000</f>
        <v>634.25525749864266</v>
      </c>
      <c r="BD405" s="88">
        <f>'[1]D4 Gallon Forecast'!$AI365/1000000</f>
        <v>0</v>
      </c>
      <c r="BE405" s="88">
        <f t="shared" si="248"/>
        <v>634.25525749864266</v>
      </c>
      <c r="BF405" s="76">
        <f t="shared" si="223"/>
        <v>1112.2280635758302</v>
      </c>
      <c r="BG405" s="22">
        <f t="shared" si="224"/>
        <v>2.4124014318077491</v>
      </c>
      <c r="BI405" s="21">
        <f t="shared" si="233"/>
        <v>4702.9000000000005</v>
      </c>
      <c r="BJ405" s="21">
        <f t="shared" si="265"/>
        <v>725.54499999999825</v>
      </c>
      <c r="BK405" s="21">
        <f>'RD Feedstock Breakdown'!ES396</f>
        <v>21413.94068927726</v>
      </c>
      <c r="BL405" s="89">
        <f t="shared" si="222"/>
        <v>19.253192209906224</v>
      </c>
      <c r="BM405" s="89">
        <f t="shared" ref="BM405:BM468" si="269">BK405/BA405</f>
        <v>44.801587908369704</v>
      </c>
    </row>
    <row r="406" spans="1:65" ht="13.5" x14ac:dyDescent="0.25">
      <c r="A406" s="15">
        <v>52505</v>
      </c>
      <c r="B406" s="20">
        <f t="shared" ref="B406:B469" si="270">690*$B$12</f>
        <v>690</v>
      </c>
      <c r="C406" s="74">
        <v>47</v>
      </c>
      <c r="D406" s="20">
        <f t="shared" si="261"/>
        <v>3</v>
      </c>
      <c r="E406" s="20">
        <f t="shared" si="226"/>
        <v>85</v>
      </c>
      <c r="F406" s="20">
        <f t="shared" si="246"/>
        <v>340</v>
      </c>
      <c r="G406" s="20">
        <f t="shared" si="260"/>
        <v>37.5</v>
      </c>
      <c r="H406" s="20">
        <f t="shared" si="239"/>
        <v>190</v>
      </c>
      <c r="I406" s="20">
        <f t="shared" si="225"/>
        <v>250</v>
      </c>
      <c r="J406" s="20">
        <f t="shared" si="266"/>
        <v>153.30000000000001</v>
      </c>
      <c r="K406" s="20">
        <f t="shared" si="228"/>
        <v>125</v>
      </c>
      <c r="L406" s="20">
        <v>125</v>
      </c>
      <c r="M406" s="20">
        <v>730</v>
      </c>
      <c r="N406" s="20">
        <f t="shared" si="255"/>
        <v>180</v>
      </c>
      <c r="O406" s="74">
        <v>375</v>
      </c>
      <c r="P406" s="20">
        <f t="shared" si="234"/>
        <v>50</v>
      </c>
      <c r="Q406" s="20">
        <f t="shared" si="235"/>
        <v>21</v>
      </c>
      <c r="R406" s="20">
        <v>100</v>
      </c>
      <c r="S406" s="20">
        <f t="shared" si="240"/>
        <v>60</v>
      </c>
      <c r="T406" s="20">
        <f t="shared" si="229"/>
        <v>36</v>
      </c>
      <c r="U406" s="20"/>
      <c r="V406" s="20">
        <f t="shared" si="253"/>
        <v>0</v>
      </c>
      <c r="W406" s="20">
        <f t="shared" si="236"/>
        <v>20</v>
      </c>
      <c r="X406" s="20">
        <f t="shared" si="268"/>
        <v>0</v>
      </c>
      <c r="Y406" s="20">
        <f t="shared" si="231"/>
        <v>3.5</v>
      </c>
      <c r="Z406" s="20">
        <f t="shared" si="256"/>
        <v>230</v>
      </c>
      <c r="AA406" s="20">
        <f t="shared" si="230"/>
        <v>306</v>
      </c>
      <c r="AB406" s="20">
        <f t="shared" si="242"/>
        <v>60</v>
      </c>
      <c r="AC406" s="20">
        <f t="shared" si="249"/>
        <v>1.6</v>
      </c>
      <c r="AD406" s="20">
        <f t="shared" si="238"/>
        <v>180</v>
      </c>
      <c r="AE406" s="20">
        <f t="shared" si="241"/>
        <v>1.1000000000000001</v>
      </c>
      <c r="AF406" s="20">
        <f t="shared" si="245"/>
        <v>275</v>
      </c>
      <c r="AG406" s="20">
        <f t="shared" si="251"/>
        <v>18</v>
      </c>
      <c r="AH406" s="20">
        <f t="shared" si="243"/>
        <v>3</v>
      </c>
      <c r="AI406" s="20">
        <f t="shared" si="237"/>
        <v>47</v>
      </c>
      <c r="AJ406" s="20">
        <f t="shared" si="258"/>
        <v>90</v>
      </c>
      <c r="AK406" s="20">
        <f t="shared" si="263"/>
        <v>14</v>
      </c>
      <c r="AL406" s="20">
        <f t="shared" si="259"/>
        <v>45</v>
      </c>
      <c r="AM406" s="20">
        <v>46</v>
      </c>
      <c r="AN406" s="20">
        <f t="shared" si="264"/>
        <v>0.75</v>
      </c>
      <c r="AO406" s="20">
        <f t="shared" si="262"/>
        <v>19</v>
      </c>
      <c r="AP406" s="20">
        <f t="shared" si="262"/>
        <v>19</v>
      </c>
      <c r="AQ406" s="20">
        <f t="shared" si="267"/>
        <v>5</v>
      </c>
      <c r="AR406" s="20">
        <f t="shared" si="254"/>
        <v>120</v>
      </c>
      <c r="AS406" s="20">
        <f t="shared" si="257"/>
        <v>120</v>
      </c>
      <c r="AT406" s="20">
        <f t="shared" si="250"/>
        <v>55</v>
      </c>
      <c r="AU406" s="20"/>
      <c r="AV406" s="20"/>
      <c r="AW406" s="20">
        <f t="shared" si="232"/>
        <v>5276.7500000000009</v>
      </c>
      <c r="AX406" s="86">
        <f t="shared" si="244"/>
        <v>5428.4449999999988</v>
      </c>
      <c r="AY406" s="17">
        <f>'[1]D4 Gallon Forecast'!$AI158/1000000</f>
        <v>0</v>
      </c>
      <c r="AZ406" s="17">
        <f>'[1]D4 Gallon Forecast'!$AI190/1000000</f>
        <v>525.22876397180539</v>
      </c>
      <c r="BA406" s="17">
        <f t="shared" si="247"/>
        <v>525.22876397180539</v>
      </c>
      <c r="BB406" s="17">
        <f>'[1]D4 Gallon Forecast'!$AI174/1000000</f>
        <v>0</v>
      </c>
      <c r="BC406" s="87">
        <f>'[1]D4 Gallon Forecast'!$AI350/1000000</f>
        <v>619.28982824733794</v>
      </c>
      <c r="BD406" s="88">
        <f>'[1]D4 Gallon Forecast'!$AI366/1000000</f>
        <v>0</v>
      </c>
      <c r="BE406" s="88">
        <f t="shared" si="248"/>
        <v>619.28982824733794</v>
      </c>
      <c r="BF406" s="76">
        <f t="shared" si="223"/>
        <v>1144.5185922191433</v>
      </c>
      <c r="BG406" s="22">
        <f t="shared" si="224"/>
        <v>2.5651869375728986</v>
      </c>
      <c r="BI406" s="21">
        <f t="shared" si="233"/>
        <v>4702.9000000000005</v>
      </c>
      <c r="BJ406" s="21">
        <f t="shared" si="265"/>
        <v>725.54499999999825</v>
      </c>
      <c r="BK406" s="21">
        <f>'RD Feedstock Breakdown'!ES397</f>
        <v>23431.227498650522</v>
      </c>
      <c r="BL406" s="89">
        <f t="shared" ref="BL406:BL469" si="271">BK406/BF406</f>
        <v>20.472561702312735</v>
      </c>
      <c r="BM406" s="89">
        <f t="shared" si="269"/>
        <v>44.611470479001269</v>
      </c>
    </row>
    <row r="407" spans="1:65" ht="13.5" x14ac:dyDescent="0.25">
      <c r="A407" s="15">
        <v>52536</v>
      </c>
      <c r="B407" s="20">
        <f t="shared" si="270"/>
        <v>690</v>
      </c>
      <c r="C407" s="74">
        <v>47</v>
      </c>
      <c r="D407" s="20">
        <f t="shared" si="261"/>
        <v>3</v>
      </c>
      <c r="E407" s="20">
        <f t="shared" si="226"/>
        <v>85</v>
      </c>
      <c r="F407" s="20">
        <f t="shared" si="246"/>
        <v>340</v>
      </c>
      <c r="G407" s="20">
        <f t="shared" si="260"/>
        <v>37.5</v>
      </c>
      <c r="H407" s="20">
        <f t="shared" si="239"/>
        <v>190</v>
      </c>
      <c r="I407" s="20">
        <f t="shared" si="225"/>
        <v>250</v>
      </c>
      <c r="J407" s="20">
        <f t="shared" si="266"/>
        <v>153.30000000000001</v>
      </c>
      <c r="K407" s="20">
        <f t="shared" si="228"/>
        <v>125</v>
      </c>
      <c r="L407" s="20">
        <v>125</v>
      </c>
      <c r="M407" s="20">
        <v>730</v>
      </c>
      <c r="N407" s="20">
        <f t="shared" si="255"/>
        <v>180</v>
      </c>
      <c r="O407" s="74">
        <v>375</v>
      </c>
      <c r="P407" s="20">
        <f t="shared" si="234"/>
        <v>50</v>
      </c>
      <c r="Q407" s="20">
        <f t="shared" si="235"/>
        <v>21</v>
      </c>
      <c r="R407" s="20">
        <v>100</v>
      </c>
      <c r="S407" s="20">
        <f t="shared" si="240"/>
        <v>60</v>
      </c>
      <c r="T407" s="20">
        <f t="shared" si="229"/>
        <v>36</v>
      </c>
      <c r="U407" s="20"/>
      <c r="V407" s="20">
        <f t="shared" si="253"/>
        <v>0</v>
      </c>
      <c r="W407" s="20">
        <f t="shared" si="236"/>
        <v>20</v>
      </c>
      <c r="X407" s="20">
        <f t="shared" si="268"/>
        <v>0</v>
      </c>
      <c r="Y407" s="20">
        <f t="shared" si="231"/>
        <v>3.5</v>
      </c>
      <c r="Z407" s="20">
        <f t="shared" si="256"/>
        <v>230</v>
      </c>
      <c r="AA407" s="20">
        <f t="shared" si="230"/>
        <v>306</v>
      </c>
      <c r="AB407" s="20">
        <f t="shared" si="242"/>
        <v>60</v>
      </c>
      <c r="AC407" s="20">
        <f t="shared" si="249"/>
        <v>1.6</v>
      </c>
      <c r="AD407" s="20">
        <f t="shared" si="238"/>
        <v>180</v>
      </c>
      <c r="AE407" s="20">
        <f t="shared" si="241"/>
        <v>1.1000000000000001</v>
      </c>
      <c r="AF407" s="20">
        <f t="shared" si="245"/>
        <v>275</v>
      </c>
      <c r="AG407" s="20">
        <f t="shared" si="251"/>
        <v>18</v>
      </c>
      <c r="AH407" s="20">
        <f t="shared" si="243"/>
        <v>3</v>
      </c>
      <c r="AI407" s="20">
        <f t="shared" si="237"/>
        <v>47</v>
      </c>
      <c r="AJ407" s="20">
        <f t="shared" si="258"/>
        <v>90</v>
      </c>
      <c r="AK407" s="20">
        <f t="shared" si="263"/>
        <v>14</v>
      </c>
      <c r="AL407" s="20">
        <f t="shared" si="259"/>
        <v>45</v>
      </c>
      <c r="AM407" s="20">
        <v>46</v>
      </c>
      <c r="AN407" s="20">
        <f t="shared" si="264"/>
        <v>0.75</v>
      </c>
      <c r="AO407" s="20">
        <f t="shared" si="262"/>
        <v>19</v>
      </c>
      <c r="AP407" s="20">
        <f t="shared" si="262"/>
        <v>19</v>
      </c>
      <c r="AQ407" s="20">
        <f t="shared" si="267"/>
        <v>5</v>
      </c>
      <c r="AR407" s="20">
        <f t="shared" si="254"/>
        <v>120</v>
      </c>
      <c r="AS407" s="20">
        <f t="shared" si="257"/>
        <v>120</v>
      </c>
      <c r="AT407" s="20">
        <f t="shared" si="250"/>
        <v>55</v>
      </c>
      <c r="AU407" s="20"/>
      <c r="AV407" s="20"/>
      <c r="AW407" s="20">
        <f t="shared" si="232"/>
        <v>5276.7500000000009</v>
      </c>
      <c r="AX407" s="86">
        <f t="shared" si="244"/>
        <v>5428.4449999999988</v>
      </c>
      <c r="AY407" s="17">
        <f>'[1]D4 Gallon Forecast'!$AI159/1000000</f>
        <v>0</v>
      </c>
      <c r="AZ407" s="17">
        <f>'[1]D4 Gallon Forecast'!$AI191/1000000</f>
        <v>638.14131697089715</v>
      </c>
      <c r="BA407" s="17">
        <f t="shared" si="247"/>
        <v>638.14131697089715</v>
      </c>
      <c r="BB407" s="17">
        <f>'[1]D4 Gallon Forecast'!$AI175/1000000</f>
        <v>0</v>
      </c>
      <c r="BC407" s="87">
        <f>'[1]D4 Gallon Forecast'!$AI351/1000000</f>
        <v>535.87739832850616</v>
      </c>
      <c r="BD407" s="88">
        <f>'[1]D4 Gallon Forecast'!$AI367/1000000</f>
        <v>0</v>
      </c>
      <c r="BE407" s="88">
        <f t="shared" si="248"/>
        <v>535.87739832850616</v>
      </c>
      <c r="BF407" s="76">
        <f t="shared" si="223"/>
        <v>1174.0187152994033</v>
      </c>
      <c r="BG407" s="22">
        <f t="shared" si="224"/>
        <v>2.5464241754984984</v>
      </c>
      <c r="BI407" s="21">
        <f t="shared" si="233"/>
        <v>4702.9000000000005</v>
      </c>
      <c r="BJ407" s="21">
        <f t="shared" si="265"/>
        <v>725.54499999999825</v>
      </c>
      <c r="BK407" s="21">
        <f>'RD Feedstock Breakdown'!ES398</f>
        <v>23859.368123496195</v>
      </c>
      <c r="BL407" s="89">
        <f t="shared" si="271"/>
        <v>20.32281752630449</v>
      </c>
      <c r="BM407" s="89">
        <f t="shared" si="269"/>
        <v>37.388847092288053</v>
      </c>
    </row>
    <row r="408" spans="1:65" ht="13.5" x14ac:dyDescent="0.25">
      <c r="A408" s="15">
        <v>52566</v>
      </c>
      <c r="B408" s="20">
        <f t="shared" si="270"/>
        <v>690</v>
      </c>
      <c r="C408" s="74">
        <v>47</v>
      </c>
      <c r="D408" s="20">
        <f t="shared" si="261"/>
        <v>3</v>
      </c>
      <c r="E408" s="20">
        <f t="shared" si="226"/>
        <v>85</v>
      </c>
      <c r="F408" s="20">
        <f t="shared" si="246"/>
        <v>340</v>
      </c>
      <c r="G408" s="20">
        <f t="shared" si="260"/>
        <v>37.5</v>
      </c>
      <c r="H408" s="20">
        <f t="shared" si="239"/>
        <v>190</v>
      </c>
      <c r="I408" s="20">
        <f t="shared" si="225"/>
        <v>250</v>
      </c>
      <c r="J408" s="20">
        <f t="shared" si="266"/>
        <v>153.30000000000001</v>
      </c>
      <c r="K408" s="20">
        <f t="shared" si="228"/>
        <v>125</v>
      </c>
      <c r="L408" s="20">
        <v>125</v>
      </c>
      <c r="M408" s="20">
        <v>730</v>
      </c>
      <c r="N408" s="20">
        <f t="shared" si="255"/>
        <v>180</v>
      </c>
      <c r="O408" s="74">
        <v>375</v>
      </c>
      <c r="P408" s="20">
        <f t="shared" si="234"/>
        <v>50</v>
      </c>
      <c r="Q408" s="20">
        <f t="shared" si="235"/>
        <v>21</v>
      </c>
      <c r="R408" s="20">
        <v>100</v>
      </c>
      <c r="S408" s="20">
        <f t="shared" si="240"/>
        <v>60</v>
      </c>
      <c r="T408" s="20">
        <f t="shared" si="229"/>
        <v>36</v>
      </c>
      <c r="U408" s="20"/>
      <c r="V408" s="20">
        <f t="shared" si="253"/>
        <v>0</v>
      </c>
      <c r="W408" s="20">
        <f t="shared" si="236"/>
        <v>20</v>
      </c>
      <c r="X408" s="20">
        <f t="shared" si="268"/>
        <v>0</v>
      </c>
      <c r="Y408" s="20">
        <f t="shared" si="231"/>
        <v>3.5</v>
      </c>
      <c r="Z408" s="20">
        <f t="shared" si="256"/>
        <v>230</v>
      </c>
      <c r="AA408" s="20">
        <f t="shared" si="230"/>
        <v>306</v>
      </c>
      <c r="AB408" s="20">
        <f t="shared" si="242"/>
        <v>60</v>
      </c>
      <c r="AC408" s="20">
        <f t="shared" si="249"/>
        <v>1.6</v>
      </c>
      <c r="AD408" s="20">
        <f t="shared" si="238"/>
        <v>180</v>
      </c>
      <c r="AE408" s="20">
        <f t="shared" si="241"/>
        <v>1.1000000000000001</v>
      </c>
      <c r="AF408" s="20">
        <f t="shared" si="245"/>
        <v>275</v>
      </c>
      <c r="AG408" s="20">
        <f t="shared" si="251"/>
        <v>18</v>
      </c>
      <c r="AH408" s="20">
        <f t="shared" si="243"/>
        <v>3</v>
      </c>
      <c r="AI408" s="20">
        <f t="shared" si="237"/>
        <v>47</v>
      </c>
      <c r="AJ408" s="20">
        <f t="shared" si="258"/>
        <v>90</v>
      </c>
      <c r="AK408" s="20">
        <f t="shared" si="263"/>
        <v>14</v>
      </c>
      <c r="AL408" s="20">
        <f t="shared" si="259"/>
        <v>45</v>
      </c>
      <c r="AM408" s="20">
        <v>46</v>
      </c>
      <c r="AN408" s="20">
        <f t="shared" si="264"/>
        <v>0.75</v>
      </c>
      <c r="AO408" s="20">
        <f t="shared" si="262"/>
        <v>19</v>
      </c>
      <c r="AP408" s="20">
        <f t="shared" si="262"/>
        <v>19</v>
      </c>
      <c r="AQ408" s="20">
        <f t="shared" si="267"/>
        <v>5</v>
      </c>
      <c r="AR408" s="20">
        <f t="shared" si="254"/>
        <v>120</v>
      </c>
      <c r="AS408" s="20">
        <f t="shared" si="257"/>
        <v>120</v>
      </c>
      <c r="AT408" s="20">
        <f t="shared" si="250"/>
        <v>55</v>
      </c>
      <c r="AU408" s="20"/>
      <c r="AV408" s="20"/>
      <c r="AW408" s="20">
        <f t="shared" si="232"/>
        <v>5276.7500000000009</v>
      </c>
      <c r="AX408" s="86">
        <f t="shared" si="244"/>
        <v>5428.4449999999988</v>
      </c>
      <c r="AY408" s="17">
        <f>'[1]D4 Gallon Forecast'!$AI160/1000000</f>
        <v>0</v>
      </c>
      <c r="AZ408" s="17">
        <f>'[1]D4 Gallon Forecast'!$AI192/1000000</f>
        <v>724.08029813453584</v>
      </c>
      <c r="BA408" s="17">
        <f t="shared" si="247"/>
        <v>724.08029813453584</v>
      </c>
      <c r="BB408" s="17">
        <f>'[1]D4 Gallon Forecast'!$AI176/1000000</f>
        <v>0</v>
      </c>
      <c r="BC408" s="87">
        <f>'[1]D4 Gallon Forecast'!$AI352/1000000</f>
        <v>481.5110010893402</v>
      </c>
      <c r="BD408" s="88">
        <f>'[1]D4 Gallon Forecast'!$AI368/1000000</f>
        <v>0</v>
      </c>
      <c r="BE408" s="88">
        <f t="shared" si="248"/>
        <v>481.5110010893402</v>
      </c>
      <c r="BF408" s="76">
        <f t="shared" ref="BF408:BF471" si="272">BA408+BE408</f>
        <v>1205.5912992238759</v>
      </c>
      <c r="BG408" s="22">
        <f t="shared" ref="BG408:BG471" si="273">(BF408/(A408-A407)*365)/AX408</f>
        <v>2.7020679907211904</v>
      </c>
      <c r="BI408" s="21">
        <f t="shared" si="233"/>
        <v>4702.9000000000005</v>
      </c>
      <c r="BJ408" s="21">
        <f t="shared" si="265"/>
        <v>725.54499999999825</v>
      </c>
      <c r="BK408" s="21">
        <f>'RD Feedstock Breakdown'!ES399</f>
        <v>25998.575124719271</v>
      </c>
      <c r="BL408" s="89">
        <f t="shared" si="271"/>
        <v>21.564998968934486</v>
      </c>
      <c r="BM408" s="89">
        <f t="shared" si="269"/>
        <v>35.905651889300096</v>
      </c>
    </row>
    <row r="409" spans="1:65" ht="13.5" x14ac:dyDescent="0.25">
      <c r="A409" s="15">
        <v>52597</v>
      </c>
      <c r="B409" s="20">
        <f t="shared" si="270"/>
        <v>690</v>
      </c>
      <c r="C409" s="74">
        <v>47</v>
      </c>
      <c r="D409" s="20">
        <f t="shared" si="261"/>
        <v>3</v>
      </c>
      <c r="E409" s="20">
        <f t="shared" si="226"/>
        <v>85</v>
      </c>
      <c r="F409" s="20">
        <f t="shared" si="246"/>
        <v>340</v>
      </c>
      <c r="G409" s="20">
        <f t="shared" si="260"/>
        <v>37.5</v>
      </c>
      <c r="H409" s="20">
        <f t="shared" si="239"/>
        <v>190</v>
      </c>
      <c r="I409" s="20">
        <f t="shared" si="225"/>
        <v>250</v>
      </c>
      <c r="J409" s="20">
        <f t="shared" si="266"/>
        <v>153.30000000000001</v>
      </c>
      <c r="K409" s="20">
        <f t="shared" si="228"/>
        <v>125</v>
      </c>
      <c r="L409" s="20">
        <v>125</v>
      </c>
      <c r="M409" s="20">
        <v>730</v>
      </c>
      <c r="N409" s="20">
        <f t="shared" si="255"/>
        <v>180</v>
      </c>
      <c r="O409" s="74">
        <v>375</v>
      </c>
      <c r="P409" s="20">
        <f t="shared" si="234"/>
        <v>50</v>
      </c>
      <c r="Q409" s="20">
        <f t="shared" si="235"/>
        <v>21</v>
      </c>
      <c r="R409" s="20">
        <v>100</v>
      </c>
      <c r="S409" s="20">
        <f t="shared" si="240"/>
        <v>60</v>
      </c>
      <c r="T409" s="20">
        <f t="shared" si="229"/>
        <v>36</v>
      </c>
      <c r="U409" s="20"/>
      <c r="V409" s="20">
        <f t="shared" si="253"/>
        <v>0</v>
      </c>
      <c r="W409" s="20">
        <f t="shared" si="236"/>
        <v>20</v>
      </c>
      <c r="X409" s="20">
        <f t="shared" si="268"/>
        <v>0</v>
      </c>
      <c r="Y409" s="20">
        <f t="shared" si="231"/>
        <v>3.5</v>
      </c>
      <c r="Z409" s="20">
        <f t="shared" si="256"/>
        <v>230</v>
      </c>
      <c r="AA409" s="20">
        <f t="shared" si="230"/>
        <v>306</v>
      </c>
      <c r="AB409" s="20">
        <f t="shared" si="242"/>
        <v>60</v>
      </c>
      <c r="AC409" s="20">
        <f t="shared" si="249"/>
        <v>1.6</v>
      </c>
      <c r="AD409" s="20">
        <f t="shared" si="238"/>
        <v>180</v>
      </c>
      <c r="AE409" s="20">
        <f t="shared" si="241"/>
        <v>1.1000000000000001</v>
      </c>
      <c r="AF409" s="20">
        <f t="shared" si="245"/>
        <v>275</v>
      </c>
      <c r="AG409" s="20">
        <f t="shared" si="251"/>
        <v>18</v>
      </c>
      <c r="AH409" s="20">
        <f t="shared" si="243"/>
        <v>3</v>
      </c>
      <c r="AI409" s="20">
        <f t="shared" si="237"/>
        <v>47</v>
      </c>
      <c r="AJ409" s="20">
        <f t="shared" si="258"/>
        <v>90</v>
      </c>
      <c r="AK409" s="20">
        <f t="shared" si="263"/>
        <v>14</v>
      </c>
      <c r="AL409" s="20">
        <f t="shared" si="259"/>
        <v>45</v>
      </c>
      <c r="AM409" s="20">
        <v>46</v>
      </c>
      <c r="AN409" s="20">
        <f t="shared" si="264"/>
        <v>0.75</v>
      </c>
      <c r="AO409" s="20">
        <f t="shared" si="262"/>
        <v>19</v>
      </c>
      <c r="AP409" s="20">
        <f t="shared" si="262"/>
        <v>19</v>
      </c>
      <c r="AQ409" s="20">
        <f t="shared" si="267"/>
        <v>5</v>
      </c>
      <c r="AR409" s="20">
        <f t="shared" si="254"/>
        <v>120</v>
      </c>
      <c r="AS409" s="20">
        <f t="shared" si="257"/>
        <v>120</v>
      </c>
      <c r="AT409" s="20">
        <f t="shared" si="250"/>
        <v>55</v>
      </c>
      <c r="AU409" s="20"/>
      <c r="AV409" s="20"/>
      <c r="AW409" s="20">
        <f t="shared" si="232"/>
        <v>5276.7500000000009</v>
      </c>
      <c r="AX409" s="86">
        <f t="shared" si="244"/>
        <v>5428.4449999999988</v>
      </c>
      <c r="AY409" s="17">
        <f>'[1]D4 Gallon Forecast'!$AJ149/1000000</f>
        <v>0</v>
      </c>
      <c r="AZ409" s="17">
        <f>'[1]D4 Gallon Forecast'!$AJ181/1000000</f>
        <v>385.63494727047311</v>
      </c>
      <c r="BA409" s="17">
        <f t="shared" si="247"/>
        <v>385.63494727047311</v>
      </c>
      <c r="BB409" s="17">
        <f>'[1]D4 Gallon Forecast'!$AJ165/1000000</f>
        <v>0</v>
      </c>
      <c r="BC409" s="87">
        <f>'[1]D4 Gallon Forecast'!$AJ341/1000000</f>
        <v>291.64918110102968</v>
      </c>
      <c r="BD409" s="88">
        <f>'[1]D4 Gallon Forecast'!$AJ357/1000000</f>
        <v>0</v>
      </c>
      <c r="BE409" s="88">
        <f t="shared" si="248"/>
        <v>291.64918110102968</v>
      </c>
      <c r="BF409" s="76">
        <f t="shared" si="272"/>
        <v>677.28412837150279</v>
      </c>
      <c r="BG409" s="22">
        <f t="shared" si="273"/>
        <v>1.4690163416405118</v>
      </c>
      <c r="BI409" s="21">
        <f t="shared" si="233"/>
        <v>4702.9000000000005</v>
      </c>
      <c r="BJ409" s="21">
        <f t="shared" si="265"/>
        <v>725.54499999999825</v>
      </c>
      <c r="BK409" s="21">
        <f>'RD Feedstock Breakdown'!ES400</f>
        <v>7940.5520035910586</v>
      </c>
      <c r="BL409" s="89">
        <f t="shared" si="271"/>
        <v>11.724107610027323</v>
      </c>
      <c r="BM409" s="89">
        <f t="shared" si="269"/>
        <v>20.590851684460503</v>
      </c>
    </row>
    <row r="410" spans="1:65" ht="13.5" x14ac:dyDescent="0.25">
      <c r="A410" s="15">
        <v>52628</v>
      </c>
      <c r="B410" s="20">
        <f t="shared" si="270"/>
        <v>690</v>
      </c>
      <c r="C410" s="74">
        <v>47</v>
      </c>
      <c r="D410" s="20">
        <f t="shared" si="261"/>
        <v>3</v>
      </c>
      <c r="E410" s="20">
        <f t="shared" si="226"/>
        <v>85</v>
      </c>
      <c r="F410" s="20">
        <f t="shared" si="246"/>
        <v>340</v>
      </c>
      <c r="G410" s="20">
        <f t="shared" si="260"/>
        <v>37.5</v>
      </c>
      <c r="H410" s="20">
        <f t="shared" si="239"/>
        <v>190</v>
      </c>
      <c r="I410" s="20">
        <f t="shared" ref="I410:I473" si="274">$I$12*$I$5*2</f>
        <v>250</v>
      </c>
      <c r="J410" s="20">
        <f t="shared" si="266"/>
        <v>153.30000000000001</v>
      </c>
      <c r="K410" s="20">
        <f t="shared" si="228"/>
        <v>125</v>
      </c>
      <c r="L410" s="20">
        <v>125</v>
      </c>
      <c r="M410" s="20">
        <v>730</v>
      </c>
      <c r="N410" s="20">
        <f t="shared" si="255"/>
        <v>180</v>
      </c>
      <c r="O410" s="74">
        <v>375</v>
      </c>
      <c r="P410" s="20">
        <f t="shared" si="234"/>
        <v>50</v>
      </c>
      <c r="Q410" s="20">
        <f t="shared" si="235"/>
        <v>21</v>
      </c>
      <c r="R410" s="20">
        <v>100</v>
      </c>
      <c r="S410" s="20">
        <f t="shared" si="240"/>
        <v>60</v>
      </c>
      <c r="T410" s="20">
        <f t="shared" si="229"/>
        <v>36</v>
      </c>
      <c r="U410" s="20"/>
      <c r="V410" s="20">
        <f t="shared" si="253"/>
        <v>0</v>
      </c>
      <c r="W410" s="20">
        <f t="shared" si="236"/>
        <v>20</v>
      </c>
      <c r="X410" s="20">
        <f t="shared" si="268"/>
        <v>0</v>
      </c>
      <c r="Y410" s="20">
        <f t="shared" si="231"/>
        <v>3.5</v>
      </c>
      <c r="Z410" s="20">
        <f t="shared" si="256"/>
        <v>230</v>
      </c>
      <c r="AA410" s="20">
        <f t="shared" si="230"/>
        <v>306</v>
      </c>
      <c r="AB410" s="20">
        <f t="shared" si="242"/>
        <v>60</v>
      </c>
      <c r="AC410" s="20">
        <f t="shared" si="249"/>
        <v>1.6</v>
      </c>
      <c r="AD410" s="20">
        <f t="shared" si="238"/>
        <v>180</v>
      </c>
      <c r="AE410" s="20">
        <f t="shared" si="241"/>
        <v>1.1000000000000001</v>
      </c>
      <c r="AF410" s="20">
        <f t="shared" si="245"/>
        <v>275</v>
      </c>
      <c r="AG410" s="20">
        <f t="shared" si="251"/>
        <v>18</v>
      </c>
      <c r="AH410" s="20">
        <f t="shared" si="243"/>
        <v>3</v>
      </c>
      <c r="AI410" s="20">
        <f t="shared" si="237"/>
        <v>47</v>
      </c>
      <c r="AJ410" s="20">
        <f t="shared" si="258"/>
        <v>90</v>
      </c>
      <c r="AK410" s="20">
        <f t="shared" si="263"/>
        <v>14</v>
      </c>
      <c r="AL410" s="20">
        <f t="shared" si="259"/>
        <v>45</v>
      </c>
      <c r="AM410" s="20">
        <v>46</v>
      </c>
      <c r="AN410" s="20">
        <f t="shared" si="264"/>
        <v>0.75</v>
      </c>
      <c r="AO410" s="20">
        <f t="shared" si="262"/>
        <v>19</v>
      </c>
      <c r="AP410" s="20">
        <f t="shared" si="262"/>
        <v>19</v>
      </c>
      <c r="AQ410" s="20">
        <f t="shared" si="267"/>
        <v>5</v>
      </c>
      <c r="AR410" s="20">
        <f t="shared" si="254"/>
        <v>120</v>
      </c>
      <c r="AS410" s="20">
        <f t="shared" si="257"/>
        <v>120</v>
      </c>
      <c r="AT410" s="20">
        <f t="shared" si="250"/>
        <v>55</v>
      </c>
      <c r="AU410" s="20"/>
      <c r="AV410" s="20"/>
      <c r="AW410" s="20">
        <f t="shared" si="232"/>
        <v>5276.7500000000009</v>
      </c>
      <c r="AX410" s="86">
        <f t="shared" si="244"/>
        <v>5428.4449999999988</v>
      </c>
      <c r="AY410" s="17">
        <f>'[1]D4 Gallon Forecast'!$AJ150/1000000</f>
        <v>0</v>
      </c>
      <c r="AZ410" s="17">
        <f>'[1]D4 Gallon Forecast'!$AJ182/1000000</f>
        <v>425.24024552059291</v>
      </c>
      <c r="BA410" s="17">
        <f t="shared" si="247"/>
        <v>425.24024552059291</v>
      </c>
      <c r="BB410" s="17">
        <f>'[1]D4 Gallon Forecast'!$AJ166/1000000</f>
        <v>0</v>
      </c>
      <c r="BC410" s="87">
        <f>'[1]D4 Gallon Forecast'!$AJ342/1000000</f>
        <v>553.56640873780202</v>
      </c>
      <c r="BD410" s="88">
        <f>'[1]D4 Gallon Forecast'!$AJ358/1000000</f>
        <v>0</v>
      </c>
      <c r="BE410" s="88">
        <f t="shared" si="248"/>
        <v>553.56640873780202</v>
      </c>
      <c r="BF410" s="76">
        <f t="shared" si="272"/>
        <v>978.80665425839493</v>
      </c>
      <c r="BG410" s="22">
        <f t="shared" si="273"/>
        <v>2.1230129426912416</v>
      </c>
      <c r="BI410" s="21">
        <f t="shared" si="233"/>
        <v>4702.9000000000005</v>
      </c>
      <c r="BJ410" s="21">
        <f t="shared" si="265"/>
        <v>725.54499999999825</v>
      </c>
      <c r="BK410" s="21">
        <f>'RD Feedstock Breakdown'!ES401</f>
        <v>16584.513032145191</v>
      </c>
      <c r="BL410" s="89">
        <f t="shared" si="271"/>
        <v>16.943604704762304</v>
      </c>
      <c r="BM410" s="89">
        <f t="shared" si="269"/>
        <v>39.000337354809609</v>
      </c>
    </row>
    <row r="411" spans="1:65" ht="13.5" x14ac:dyDescent="0.25">
      <c r="A411" s="15">
        <v>52657</v>
      </c>
      <c r="B411" s="20">
        <f t="shared" si="270"/>
        <v>690</v>
      </c>
      <c r="C411" s="74">
        <v>47</v>
      </c>
      <c r="D411" s="20">
        <f t="shared" si="261"/>
        <v>3</v>
      </c>
      <c r="E411" s="20">
        <f t="shared" ref="E411:E474" si="275">$E$5*$E$12</f>
        <v>85</v>
      </c>
      <c r="F411" s="20">
        <f t="shared" si="246"/>
        <v>340</v>
      </c>
      <c r="G411" s="20">
        <f t="shared" si="260"/>
        <v>37.5</v>
      </c>
      <c r="H411" s="20">
        <f t="shared" si="239"/>
        <v>190</v>
      </c>
      <c r="I411" s="20">
        <f t="shared" si="274"/>
        <v>250</v>
      </c>
      <c r="J411" s="20">
        <f t="shared" si="266"/>
        <v>153.30000000000001</v>
      </c>
      <c r="K411" s="20">
        <f t="shared" si="228"/>
        <v>125</v>
      </c>
      <c r="L411" s="20">
        <v>125</v>
      </c>
      <c r="M411" s="20">
        <v>730</v>
      </c>
      <c r="N411" s="20">
        <f t="shared" si="255"/>
        <v>180</v>
      </c>
      <c r="O411" s="74">
        <v>375</v>
      </c>
      <c r="P411" s="20">
        <f t="shared" si="234"/>
        <v>50</v>
      </c>
      <c r="Q411" s="20">
        <f t="shared" si="235"/>
        <v>21</v>
      </c>
      <c r="R411" s="20">
        <v>100</v>
      </c>
      <c r="S411" s="20">
        <f t="shared" si="240"/>
        <v>60</v>
      </c>
      <c r="T411" s="20">
        <f t="shared" si="229"/>
        <v>36</v>
      </c>
      <c r="U411" s="20"/>
      <c r="V411" s="20">
        <f t="shared" si="253"/>
        <v>0</v>
      </c>
      <c r="W411" s="20">
        <f t="shared" si="236"/>
        <v>20</v>
      </c>
      <c r="X411" s="20">
        <f t="shared" si="268"/>
        <v>0</v>
      </c>
      <c r="Y411" s="20">
        <f t="shared" si="231"/>
        <v>3.5</v>
      </c>
      <c r="Z411" s="20">
        <f t="shared" si="256"/>
        <v>230</v>
      </c>
      <c r="AA411" s="20">
        <f t="shared" si="230"/>
        <v>306</v>
      </c>
      <c r="AB411" s="20">
        <f t="shared" si="242"/>
        <v>60</v>
      </c>
      <c r="AC411" s="20">
        <f t="shared" si="249"/>
        <v>1.6</v>
      </c>
      <c r="AD411" s="20">
        <f t="shared" si="238"/>
        <v>180</v>
      </c>
      <c r="AE411" s="20">
        <f t="shared" si="241"/>
        <v>1.1000000000000001</v>
      </c>
      <c r="AF411" s="20">
        <f t="shared" si="245"/>
        <v>275</v>
      </c>
      <c r="AG411" s="20">
        <f t="shared" si="251"/>
        <v>18</v>
      </c>
      <c r="AH411" s="20">
        <f t="shared" si="243"/>
        <v>3</v>
      </c>
      <c r="AI411" s="20">
        <f t="shared" si="237"/>
        <v>47</v>
      </c>
      <c r="AJ411" s="20">
        <f t="shared" si="258"/>
        <v>90</v>
      </c>
      <c r="AK411" s="20">
        <f t="shared" si="263"/>
        <v>14</v>
      </c>
      <c r="AL411" s="20">
        <f t="shared" si="259"/>
        <v>45</v>
      </c>
      <c r="AM411" s="20">
        <v>46</v>
      </c>
      <c r="AN411" s="20">
        <f t="shared" si="264"/>
        <v>0.75</v>
      </c>
      <c r="AO411" s="20">
        <f t="shared" si="262"/>
        <v>19</v>
      </c>
      <c r="AP411" s="20">
        <f t="shared" si="262"/>
        <v>19</v>
      </c>
      <c r="AQ411" s="20">
        <f t="shared" si="267"/>
        <v>5</v>
      </c>
      <c r="AR411" s="20">
        <f t="shared" si="254"/>
        <v>120</v>
      </c>
      <c r="AS411" s="20">
        <f t="shared" si="257"/>
        <v>120</v>
      </c>
      <c r="AT411" s="20">
        <f t="shared" si="250"/>
        <v>55</v>
      </c>
      <c r="AU411" s="20"/>
      <c r="AV411" s="20"/>
      <c r="AW411" s="20">
        <f t="shared" si="232"/>
        <v>5276.7500000000009</v>
      </c>
      <c r="AX411" s="86">
        <f t="shared" si="244"/>
        <v>5428.4449999999988</v>
      </c>
      <c r="AY411" s="17">
        <f>'[1]D4 Gallon Forecast'!$AJ151/1000000</f>
        <v>0</v>
      </c>
      <c r="AZ411" s="17">
        <f>'[1]D4 Gallon Forecast'!$AJ183/1000000</f>
        <v>447.88802564745589</v>
      </c>
      <c r="BA411" s="17">
        <f t="shared" si="247"/>
        <v>447.88802564745589</v>
      </c>
      <c r="BB411" s="17">
        <f>'[1]D4 Gallon Forecast'!$AJ167/1000000</f>
        <v>0</v>
      </c>
      <c r="BC411" s="87">
        <f>'[1]D4 Gallon Forecast'!$AJ343/1000000</f>
        <v>220.94220227381268</v>
      </c>
      <c r="BD411" s="88">
        <f>'[1]D4 Gallon Forecast'!$AJ359/1000000</f>
        <v>0</v>
      </c>
      <c r="BE411" s="88">
        <f t="shared" si="248"/>
        <v>220.94220227381268</v>
      </c>
      <c r="BF411" s="76">
        <f t="shared" si="272"/>
        <v>668.8302279212686</v>
      </c>
      <c r="BG411" s="22">
        <f t="shared" si="273"/>
        <v>1.550726889060299</v>
      </c>
      <c r="BI411" s="21">
        <f t="shared" si="233"/>
        <v>4702.9000000000005</v>
      </c>
      <c r="BJ411" s="21">
        <f t="shared" si="265"/>
        <v>725.54499999999825</v>
      </c>
      <c r="BK411" s="21">
        <f>'RD Feedstock Breakdown'!ES402</f>
        <v>8277.5989185627386</v>
      </c>
      <c r="BL411" s="89">
        <f t="shared" si="271"/>
        <v>12.376233269673836</v>
      </c>
      <c r="BM411" s="89">
        <f t="shared" si="269"/>
        <v>18.481402592973648</v>
      </c>
    </row>
    <row r="412" spans="1:65" ht="13.5" x14ac:dyDescent="0.25">
      <c r="A412" s="15">
        <v>52688</v>
      </c>
      <c r="B412" s="20">
        <f t="shared" si="270"/>
        <v>690</v>
      </c>
      <c r="C412" s="74">
        <v>47</v>
      </c>
      <c r="D412" s="20">
        <f t="shared" si="261"/>
        <v>3</v>
      </c>
      <c r="E412" s="20">
        <f t="shared" si="275"/>
        <v>85</v>
      </c>
      <c r="F412" s="20">
        <f t="shared" si="246"/>
        <v>340</v>
      </c>
      <c r="G412" s="20">
        <f t="shared" si="260"/>
        <v>37.5</v>
      </c>
      <c r="H412" s="20">
        <f t="shared" si="239"/>
        <v>190</v>
      </c>
      <c r="I412" s="20">
        <f t="shared" si="274"/>
        <v>250</v>
      </c>
      <c r="J412" s="20">
        <f t="shared" si="266"/>
        <v>153.30000000000001</v>
      </c>
      <c r="K412" s="20">
        <f t="shared" si="228"/>
        <v>125</v>
      </c>
      <c r="L412" s="20">
        <v>125</v>
      </c>
      <c r="M412" s="20">
        <v>730</v>
      </c>
      <c r="N412" s="20">
        <f t="shared" si="255"/>
        <v>180</v>
      </c>
      <c r="O412" s="74">
        <v>375</v>
      </c>
      <c r="P412" s="20">
        <f t="shared" si="234"/>
        <v>50</v>
      </c>
      <c r="Q412" s="20">
        <f t="shared" si="235"/>
        <v>21</v>
      </c>
      <c r="R412" s="20">
        <v>100</v>
      </c>
      <c r="S412" s="20">
        <f t="shared" si="240"/>
        <v>60</v>
      </c>
      <c r="T412" s="20">
        <f t="shared" si="229"/>
        <v>36</v>
      </c>
      <c r="U412" s="20"/>
      <c r="V412" s="20">
        <f t="shared" si="253"/>
        <v>0</v>
      </c>
      <c r="W412" s="20">
        <f t="shared" si="236"/>
        <v>20</v>
      </c>
      <c r="X412" s="20">
        <f t="shared" si="268"/>
        <v>0</v>
      </c>
      <c r="Y412" s="20">
        <f t="shared" si="231"/>
        <v>3.5</v>
      </c>
      <c r="Z412" s="20">
        <f t="shared" si="256"/>
        <v>230</v>
      </c>
      <c r="AA412" s="20">
        <f t="shared" si="230"/>
        <v>306</v>
      </c>
      <c r="AB412" s="20">
        <f t="shared" si="242"/>
        <v>60</v>
      </c>
      <c r="AC412" s="20">
        <f t="shared" si="249"/>
        <v>1.6</v>
      </c>
      <c r="AD412" s="20">
        <f t="shared" si="238"/>
        <v>180</v>
      </c>
      <c r="AE412" s="20">
        <f t="shared" si="241"/>
        <v>1.1000000000000001</v>
      </c>
      <c r="AF412" s="20">
        <f t="shared" si="245"/>
        <v>275</v>
      </c>
      <c r="AG412" s="20">
        <f t="shared" si="251"/>
        <v>18</v>
      </c>
      <c r="AH412" s="20">
        <f t="shared" si="243"/>
        <v>3</v>
      </c>
      <c r="AI412" s="20">
        <f t="shared" si="237"/>
        <v>47</v>
      </c>
      <c r="AJ412" s="20">
        <f t="shared" si="258"/>
        <v>90</v>
      </c>
      <c r="AK412" s="20">
        <f t="shared" si="263"/>
        <v>14</v>
      </c>
      <c r="AL412" s="20">
        <f t="shared" si="259"/>
        <v>45</v>
      </c>
      <c r="AM412" s="20">
        <v>46</v>
      </c>
      <c r="AN412" s="20">
        <f t="shared" si="264"/>
        <v>0.75</v>
      </c>
      <c r="AO412" s="20">
        <f t="shared" si="262"/>
        <v>19</v>
      </c>
      <c r="AP412" s="20">
        <f t="shared" si="262"/>
        <v>19</v>
      </c>
      <c r="AQ412" s="20">
        <f t="shared" si="267"/>
        <v>5</v>
      </c>
      <c r="AR412" s="20">
        <f t="shared" si="254"/>
        <v>120</v>
      </c>
      <c r="AS412" s="20">
        <f t="shared" si="257"/>
        <v>120</v>
      </c>
      <c r="AT412" s="20">
        <f t="shared" si="250"/>
        <v>55</v>
      </c>
      <c r="AU412" s="20"/>
      <c r="AV412" s="20"/>
      <c r="AW412" s="20">
        <f t="shared" si="232"/>
        <v>5276.7500000000009</v>
      </c>
      <c r="AX412" s="86">
        <f t="shared" si="244"/>
        <v>5428.4449999999988</v>
      </c>
      <c r="AY412" s="17">
        <f>'[1]D4 Gallon Forecast'!$AJ152/1000000</f>
        <v>0</v>
      </c>
      <c r="AZ412" s="17">
        <f>'[1]D4 Gallon Forecast'!$AJ184/1000000</f>
        <v>434.87721117196605</v>
      </c>
      <c r="BA412" s="17">
        <f t="shared" si="247"/>
        <v>434.87721117196605</v>
      </c>
      <c r="BB412" s="17">
        <f>'[1]D4 Gallon Forecast'!$AJ168/1000000</f>
        <v>0</v>
      </c>
      <c r="BC412" s="87">
        <f>'[1]D4 Gallon Forecast'!$AJ344/1000000</f>
        <v>354.6425056569517</v>
      </c>
      <c r="BD412" s="88">
        <f>'[1]D4 Gallon Forecast'!$AJ360/1000000</f>
        <v>0</v>
      </c>
      <c r="BE412" s="88">
        <f t="shared" si="248"/>
        <v>354.6425056569517</v>
      </c>
      <c r="BF412" s="76">
        <f t="shared" si="272"/>
        <v>789.51971682891781</v>
      </c>
      <c r="BG412" s="22">
        <f t="shared" si="273"/>
        <v>1.7124531898566633</v>
      </c>
      <c r="BI412" s="21">
        <f t="shared" si="233"/>
        <v>4702.9000000000005</v>
      </c>
      <c r="BJ412" s="21">
        <f t="shared" si="265"/>
        <v>725.54499999999825</v>
      </c>
      <c r="BK412" s="21">
        <f>'RD Feedstock Breakdown'!ES403</f>
        <v>10790.333257497829</v>
      </c>
      <c r="BL412" s="89">
        <f t="shared" si="271"/>
        <v>13.666958566705436</v>
      </c>
      <c r="BM412" s="89">
        <f t="shared" si="269"/>
        <v>24.812367675966684</v>
      </c>
    </row>
    <row r="413" spans="1:65" ht="13.5" x14ac:dyDescent="0.25">
      <c r="A413" s="15">
        <v>52718</v>
      </c>
      <c r="B413" s="20">
        <f t="shared" si="270"/>
        <v>690</v>
      </c>
      <c r="C413" s="74">
        <v>47</v>
      </c>
      <c r="D413" s="20">
        <f t="shared" si="261"/>
        <v>3</v>
      </c>
      <c r="E413" s="20">
        <f t="shared" si="275"/>
        <v>85</v>
      </c>
      <c r="F413" s="20">
        <f t="shared" si="246"/>
        <v>340</v>
      </c>
      <c r="G413" s="20">
        <f t="shared" si="260"/>
        <v>37.5</v>
      </c>
      <c r="H413" s="20">
        <f t="shared" si="239"/>
        <v>190</v>
      </c>
      <c r="I413" s="20">
        <f t="shared" si="274"/>
        <v>250</v>
      </c>
      <c r="J413" s="20">
        <f t="shared" si="266"/>
        <v>153.30000000000001</v>
      </c>
      <c r="K413" s="20">
        <f t="shared" ref="K413:K476" si="276">125*$K$12</f>
        <v>125</v>
      </c>
      <c r="L413" s="20">
        <v>125</v>
      </c>
      <c r="M413" s="20">
        <v>730</v>
      </c>
      <c r="N413" s="20">
        <f t="shared" si="255"/>
        <v>180</v>
      </c>
      <c r="O413" s="74">
        <v>375</v>
      </c>
      <c r="P413" s="20">
        <f t="shared" si="234"/>
        <v>50</v>
      </c>
      <c r="Q413" s="20">
        <f t="shared" si="235"/>
        <v>21</v>
      </c>
      <c r="R413" s="20">
        <v>100</v>
      </c>
      <c r="S413" s="20">
        <f t="shared" si="240"/>
        <v>60</v>
      </c>
      <c r="T413" s="20">
        <f t="shared" si="229"/>
        <v>36</v>
      </c>
      <c r="U413" s="20"/>
      <c r="V413" s="20">
        <f t="shared" si="253"/>
        <v>0</v>
      </c>
      <c r="W413" s="20">
        <f t="shared" si="236"/>
        <v>20</v>
      </c>
      <c r="X413" s="20">
        <f t="shared" si="268"/>
        <v>0</v>
      </c>
      <c r="Y413" s="20">
        <f t="shared" si="231"/>
        <v>3.5</v>
      </c>
      <c r="Z413" s="20">
        <f t="shared" si="256"/>
        <v>230</v>
      </c>
      <c r="AA413" s="20">
        <f t="shared" si="230"/>
        <v>306</v>
      </c>
      <c r="AB413" s="20">
        <f t="shared" si="242"/>
        <v>60</v>
      </c>
      <c r="AC413" s="20">
        <f t="shared" si="249"/>
        <v>1.6</v>
      </c>
      <c r="AD413" s="20">
        <f t="shared" si="238"/>
        <v>180</v>
      </c>
      <c r="AE413" s="20">
        <f t="shared" si="241"/>
        <v>1.1000000000000001</v>
      </c>
      <c r="AF413" s="20">
        <f t="shared" si="245"/>
        <v>275</v>
      </c>
      <c r="AG413" s="20">
        <f t="shared" si="251"/>
        <v>18</v>
      </c>
      <c r="AH413" s="20">
        <f t="shared" si="243"/>
        <v>3</v>
      </c>
      <c r="AI413" s="20">
        <f t="shared" si="237"/>
        <v>47</v>
      </c>
      <c r="AJ413" s="20">
        <f t="shared" si="258"/>
        <v>90</v>
      </c>
      <c r="AK413" s="20">
        <f t="shared" si="263"/>
        <v>14</v>
      </c>
      <c r="AL413" s="20">
        <f t="shared" si="259"/>
        <v>45</v>
      </c>
      <c r="AM413" s="20">
        <v>46</v>
      </c>
      <c r="AN413" s="20">
        <f t="shared" si="264"/>
        <v>0.75</v>
      </c>
      <c r="AO413" s="20">
        <f t="shared" si="262"/>
        <v>19</v>
      </c>
      <c r="AP413" s="20">
        <f t="shared" si="262"/>
        <v>19</v>
      </c>
      <c r="AQ413" s="20">
        <f t="shared" si="267"/>
        <v>5</v>
      </c>
      <c r="AR413" s="20">
        <f t="shared" si="254"/>
        <v>120</v>
      </c>
      <c r="AS413" s="20">
        <f t="shared" si="257"/>
        <v>120</v>
      </c>
      <c r="AT413" s="20">
        <f t="shared" si="250"/>
        <v>55</v>
      </c>
      <c r="AU413" s="20"/>
      <c r="AV413" s="20"/>
      <c r="AW413" s="20">
        <f t="shared" si="232"/>
        <v>5276.7500000000009</v>
      </c>
      <c r="AX413" s="86">
        <f t="shared" si="244"/>
        <v>5428.4449999999988</v>
      </c>
      <c r="AY413" s="17">
        <f>'[1]D4 Gallon Forecast'!$AJ153/1000000</f>
        <v>0</v>
      </c>
      <c r="AZ413" s="17">
        <f>'[1]D4 Gallon Forecast'!$AJ185/1000000</f>
        <v>485.79909403240543</v>
      </c>
      <c r="BA413" s="17">
        <f t="shared" si="247"/>
        <v>485.79909403240543</v>
      </c>
      <c r="BB413" s="17">
        <f>'[1]D4 Gallon Forecast'!$AJ169/1000000</f>
        <v>0</v>
      </c>
      <c r="BC413" s="87">
        <f>'[1]D4 Gallon Forecast'!$AJ345/1000000</f>
        <v>466.82514441902299</v>
      </c>
      <c r="BD413" s="88">
        <f>'[1]D4 Gallon Forecast'!$AJ361/1000000</f>
        <v>0</v>
      </c>
      <c r="BE413" s="88">
        <f t="shared" si="248"/>
        <v>466.82514441902299</v>
      </c>
      <c r="BF413" s="76">
        <f t="shared" si="272"/>
        <v>952.62423845142848</v>
      </c>
      <c r="BG413" s="22">
        <f t="shared" si="273"/>
        <v>2.1350979088534037</v>
      </c>
      <c r="BI413" s="21">
        <f t="shared" si="233"/>
        <v>4702.9000000000005</v>
      </c>
      <c r="BJ413" s="21">
        <f t="shared" si="265"/>
        <v>725.54499999999825</v>
      </c>
      <c r="BK413" s="21">
        <f>'RD Feedstock Breakdown'!ES404</f>
        <v>16232.768369533302</v>
      </c>
      <c r="BL413" s="89">
        <f t="shared" si="271"/>
        <v>17.040053899868266</v>
      </c>
      <c r="BM413" s="89">
        <f t="shared" si="269"/>
        <v>33.414571103441553</v>
      </c>
    </row>
    <row r="414" spans="1:65" ht="13.5" x14ac:dyDescent="0.25">
      <c r="A414" s="15">
        <v>52749</v>
      </c>
      <c r="B414" s="20">
        <f t="shared" si="270"/>
        <v>690</v>
      </c>
      <c r="C414" s="74">
        <v>47</v>
      </c>
      <c r="D414" s="20">
        <f t="shared" si="261"/>
        <v>3</v>
      </c>
      <c r="E414" s="20">
        <f t="shared" si="275"/>
        <v>85</v>
      </c>
      <c r="F414" s="20">
        <f t="shared" si="246"/>
        <v>340</v>
      </c>
      <c r="G414" s="20">
        <f t="shared" si="260"/>
        <v>37.5</v>
      </c>
      <c r="H414" s="20">
        <f t="shared" si="239"/>
        <v>190</v>
      </c>
      <c r="I414" s="20">
        <f t="shared" si="274"/>
        <v>250</v>
      </c>
      <c r="J414" s="20">
        <f t="shared" si="266"/>
        <v>153.30000000000001</v>
      </c>
      <c r="K414" s="20">
        <f t="shared" si="276"/>
        <v>125</v>
      </c>
      <c r="L414" s="20">
        <v>125</v>
      </c>
      <c r="M414" s="20">
        <v>730</v>
      </c>
      <c r="N414" s="20">
        <f t="shared" si="255"/>
        <v>180</v>
      </c>
      <c r="O414" s="74">
        <v>375</v>
      </c>
      <c r="P414" s="20">
        <f t="shared" si="234"/>
        <v>50</v>
      </c>
      <c r="Q414" s="20">
        <f t="shared" si="235"/>
        <v>21</v>
      </c>
      <c r="R414" s="20">
        <v>100</v>
      </c>
      <c r="S414" s="20">
        <f t="shared" si="240"/>
        <v>60</v>
      </c>
      <c r="T414" s="20">
        <f t="shared" si="229"/>
        <v>36</v>
      </c>
      <c r="U414" s="20"/>
      <c r="V414" s="20">
        <f t="shared" si="253"/>
        <v>0</v>
      </c>
      <c r="W414" s="20">
        <f t="shared" si="236"/>
        <v>20</v>
      </c>
      <c r="X414" s="20">
        <f t="shared" si="268"/>
        <v>0</v>
      </c>
      <c r="Y414" s="20">
        <f t="shared" si="231"/>
        <v>3.5</v>
      </c>
      <c r="Z414" s="20">
        <f t="shared" si="256"/>
        <v>230</v>
      </c>
      <c r="AA414" s="20">
        <f t="shared" si="230"/>
        <v>306</v>
      </c>
      <c r="AB414" s="20">
        <f t="shared" si="242"/>
        <v>60</v>
      </c>
      <c r="AC414" s="20">
        <f t="shared" si="249"/>
        <v>1.6</v>
      </c>
      <c r="AD414" s="20">
        <f t="shared" si="238"/>
        <v>180</v>
      </c>
      <c r="AE414" s="20">
        <f t="shared" si="241"/>
        <v>1.1000000000000001</v>
      </c>
      <c r="AF414" s="20">
        <f t="shared" si="245"/>
        <v>275</v>
      </c>
      <c r="AG414" s="20">
        <f t="shared" si="251"/>
        <v>18</v>
      </c>
      <c r="AH414" s="20">
        <f t="shared" si="243"/>
        <v>3</v>
      </c>
      <c r="AI414" s="20">
        <f t="shared" si="237"/>
        <v>47</v>
      </c>
      <c r="AJ414" s="20">
        <f t="shared" si="258"/>
        <v>90</v>
      </c>
      <c r="AK414" s="20">
        <f t="shared" si="263"/>
        <v>14</v>
      </c>
      <c r="AL414" s="20">
        <f t="shared" si="259"/>
        <v>45</v>
      </c>
      <c r="AM414" s="20">
        <v>46</v>
      </c>
      <c r="AN414" s="20">
        <f t="shared" si="264"/>
        <v>0.75</v>
      </c>
      <c r="AO414" s="20">
        <f t="shared" si="262"/>
        <v>19</v>
      </c>
      <c r="AP414" s="20">
        <f t="shared" si="262"/>
        <v>19</v>
      </c>
      <c r="AQ414" s="20">
        <f t="shared" si="267"/>
        <v>5</v>
      </c>
      <c r="AR414" s="20">
        <f t="shared" si="254"/>
        <v>120</v>
      </c>
      <c r="AS414" s="20">
        <f t="shared" si="257"/>
        <v>120</v>
      </c>
      <c r="AT414" s="20">
        <f t="shared" si="250"/>
        <v>55</v>
      </c>
      <c r="AU414" s="20"/>
      <c r="AV414" s="20"/>
      <c r="AW414" s="20">
        <f t="shared" si="232"/>
        <v>5276.7500000000009</v>
      </c>
      <c r="AX414" s="86">
        <f t="shared" si="244"/>
        <v>5428.4449999999988</v>
      </c>
      <c r="AY414" s="17">
        <f>'[1]D4 Gallon Forecast'!$AJ154/1000000</f>
        <v>0</v>
      </c>
      <c r="AZ414" s="17">
        <f>'[1]D4 Gallon Forecast'!$AJ186/1000000</f>
        <v>481.83661839982358</v>
      </c>
      <c r="BA414" s="17">
        <f t="shared" si="247"/>
        <v>481.83661839982358</v>
      </c>
      <c r="BB414" s="17">
        <f>'[1]D4 Gallon Forecast'!$AJ170/1000000</f>
        <v>0</v>
      </c>
      <c r="BC414" s="87">
        <f>'[1]D4 Gallon Forecast'!$AJ346/1000000</f>
        <v>445.32014093675434</v>
      </c>
      <c r="BD414" s="88">
        <f>'[1]D4 Gallon Forecast'!$AJ362/1000000</f>
        <v>0</v>
      </c>
      <c r="BE414" s="88">
        <f t="shared" si="248"/>
        <v>445.32014093675434</v>
      </c>
      <c r="BF414" s="76">
        <f t="shared" si="272"/>
        <v>927.15675933657792</v>
      </c>
      <c r="BG414" s="22">
        <f t="shared" si="273"/>
        <v>2.0109853068648986</v>
      </c>
      <c r="BI414" s="21">
        <f t="shared" si="233"/>
        <v>4702.9000000000005</v>
      </c>
      <c r="BJ414" s="21">
        <f t="shared" si="265"/>
        <v>725.54499999999825</v>
      </c>
      <c r="BK414" s="21">
        <f>'RD Feedstock Breakdown'!ES405</f>
        <v>14880.421573391433</v>
      </c>
      <c r="BL414" s="89">
        <f t="shared" si="271"/>
        <v>16.049520670095788</v>
      </c>
      <c r="BM414" s="89">
        <f t="shared" si="269"/>
        <v>30.88271211683583</v>
      </c>
    </row>
    <row r="415" spans="1:65" ht="13.5" x14ac:dyDescent="0.25">
      <c r="A415" s="15">
        <v>52779</v>
      </c>
      <c r="B415" s="20">
        <f t="shared" si="270"/>
        <v>690</v>
      </c>
      <c r="C415" s="74">
        <v>47</v>
      </c>
      <c r="D415" s="20">
        <f t="shared" si="261"/>
        <v>3</v>
      </c>
      <c r="E415" s="20">
        <f t="shared" si="275"/>
        <v>85</v>
      </c>
      <c r="F415" s="20">
        <f t="shared" si="246"/>
        <v>340</v>
      </c>
      <c r="G415" s="20">
        <f t="shared" si="260"/>
        <v>37.5</v>
      </c>
      <c r="H415" s="20">
        <f t="shared" si="239"/>
        <v>190</v>
      </c>
      <c r="I415" s="20">
        <f t="shared" si="274"/>
        <v>250</v>
      </c>
      <c r="J415" s="20">
        <f t="shared" si="266"/>
        <v>153.30000000000001</v>
      </c>
      <c r="K415" s="20">
        <f t="shared" si="276"/>
        <v>125</v>
      </c>
      <c r="L415" s="20">
        <v>125</v>
      </c>
      <c r="M415" s="20">
        <v>730</v>
      </c>
      <c r="N415" s="20">
        <f t="shared" si="255"/>
        <v>180</v>
      </c>
      <c r="O415" s="74">
        <v>375</v>
      </c>
      <c r="P415" s="20">
        <f t="shared" si="234"/>
        <v>50</v>
      </c>
      <c r="Q415" s="20">
        <f t="shared" si="235"/>
        <v>21</v>
      </c>
      <c r="R415" s="20">
        <v>100</v>
      </c>
      <c r="S415" s="20">
        <f t="shared" si="240"/>
        <v>60</v>
      </c>
      <c r="T415" s="20">
        <f t="shared" si="229"/>
        <v>36</v>
      </c>
      <c r="U415" s="20"/>
      <c r="V415" s="20">
        <f t="shared" si="253"/>
        <v>0</v>
      </c>
      <c r="W415" s="20">
        <f t="shared" si="236"/>
        <v>20</v>
      </c>
      <c r="X415" s="20">
        <f t="shared" si="268"/>
        <v>0</v>
      </c>
      <c r="Y415" s="20">
        <f t="shared" si="231"/>
        <v>3.5</v>
      </c>
      <c r="Z415" s="20">
        <f t="shared" si="256"/>
        <v>230</v>
      </c>
      <c r="AA415" s="20">
        <f t="shared" si="230"/>
        <v>306</v>
      </c>
      <c r="AB415" s="20">
        <f t="shared" si="242"/>
        <v>60</v>
      </c>
      <c r="AC415" s="20">
        <f t="shared" si="249"/>
        <v>1.6</v>
      </c>
      <c r="AD415" s="20">
        <f t="shared" si="238"/>
        <v>180</v>
      </c>
      <c r="AE415" s="20">
        <f t="shared" si="241"/>
        <v>1.1000000000000001</v>
      </c>
      <c r="AF415" s="20">
        <f t="shared" si="245"/>
        <v>275</v>
      </c>
      <c r="AG415" s="20">
        <f t="shared" si="251"/>
        <v>18</v>
      </c>
      <c r="AH415" s="20">
        <f t="shared" si="243"/>
        <v>3</v>
      </c>
      <c r="AI415" s="20">
        <f t="shared" si="237"/>
        <v>47</v>
      </c>
      <c r="AJ415" s="20">
        <f t="shared" si="258"/>
        <v>90</v>
      </c>
      <c r="AK415" s="20">
        <f t="shared" si="263"/>
        <v>14</v>
      </c>
      <c r="AL415" s="20">
        <f t="shared" si="259"/>
        <v>45</v>
      </c>
      <c r="AM415" s="20">
        <v>46</v>
      </c>
      <c r="AN415" s="20">
        <f t="shared" si="264"/>
        <v>0.75</v>
      </c>
      <c r="AO415" s="20">
        <f t="shared" si="262"/>
        <v>19</v>
      </c>
      <c r="AP415" s="20">
        <f t="shared" si="262"/>
        <v>19</v>
      </c>
      <c r="AQ415" s="20">
        <f t="shared" si="267"/>
        <v>5</v>
      </c>
      <c r="AR415" s="20">
        <f t="shared" si="254"/>
        <v>120</v>
      </c>
      <c r="AS415" s="20">
        <f t="shared" si="257"/>
        <v>120</v>
      </c>
      <c r="AT415" s="20">
        <f t="shared" si="250"/>
        <v>55</v>
      </c>
      <c r="AU415" s="20"/>
      <c r="AV415" s="20"/>
      <c r="AW415" s="20">
        <f t="shared" si="232"/>
        <v>5276.7500000000009</v>
      </c>
      <c r="AX415" s="86">
        <f t="shared" si="244"/>
        <v>5428.4449999999988</v>
      </c>
      <c r="AY415" s="17">
        <f>'[1]D4 Gallon Forecast'!$AJ155/1000000</f>
        <v>0</v>
      </c>
      <c r="AZ415" s="17">
        <f>'[1]D4 Gallon Forecast'!$AJ187/1000000</f>
        <v>471.93331466539655</v>
      </c>
      <c r="BA415" s="17">
        <f t="shared" si="247"/>
        <v>471.93331466539655</v>
      </c>
      <c r="BB415" s="17">
        <f>'[1]D4 Gallon Forecast'!$AJ171/1000000</f>
        <v>0</v>
      </c>
      <c r="BC415" s="87">
        <f>'[1]D4 Gallon Forecast'!$AJ347/1000000</f>
        <v>484.4108719821719</v>
      </c>
      <c r="BD415" s="88">
        <f>'[1]D4 Gallon Forecast'!$AJ363/1000000</f>
        <v>0</v>
      </c>
      <c r="BE415" s="88">
        <f t="shared" si="248"/>
        <v>484.4108719821719</v>
      </c>
      <c r="BF415" s="76">
        <f t="shared" si="272"/>
        <v>956.34418664756845</v>
      </c>
      <c r="BG415" s="22">
        <f t="shared" si="273"/>
        <v>2.1434353553449319</v>
      </c>
      <c r="BI415" s="21">
        <f t="shared" si="233"/>
        <v>4702.9000000000005</v>
      </c>
      <c r="BJ415" s="21">
        <f t="shared" si="265"/>
        <v>725.54499999999825</v>
      </c>
      <c r="BK415" s="21">
        <f>'RD Feedstock Breakdown'!ES406</f>
        <v>16359.792132376304</v>
      </c>
      <c r="BL415" s="89">
        <f t="shared" si="271"/>
        <v>17.10659442572134</v>
      </c>
      <c r="BM415" s="89">
        <f t="shared" si="269"/>
        <v>34.66547417610365</v>
      </c>
    </row>
    <row r="416" spans="1:65" ht="13.5" x14ac:dyDescent="0.25">
      <c r="A416" s="15">
        <v>52810</v>
      </c>
      <c r="B416" s="20">
        <f t="shared" si="270"/>
        <v>690</v>
      </c>
      <c r="C416" s="74">
        <v>47</v>
      </c>
      <c r="D416" s="20">
        <f t="shared" si="261"/>
        <v>3</v>
      </c>
      <c r="E416" s="20">
        <f t="shared" si="275"/>
        <v>85</v>
      </c>
      <c r="F416" s="20">
        <f t="shared" si="246"/>
        <v>340</v>
      </c>
      <c r="G416" s="20">
        <f t="shared" si="260"/>
        <v>37.5</v>
      </c>
      <c r="H416" s="20">
        <f t="shared" si="239"/>
        <v>190</v>
      </c>
      <c r="I416" s="20">
        <f t="shared" si="274"/>
        <v>250</v>
      </c>
      <c r="J416" s="20">
        <f t="shared" si="266"/>
        <v>153.30000000000001</v>
      </c>
      <c r="K416" s="20">
        <f t="shared" si="276"/>
        <v>125</v>
      </c>
      <c r="L416" s="20">
        <v>125</v>
      </c>
      <c r="M416" s="20">
        <v>730</v>
      </c>
      <c r="N416" s="20">
        <f t="shared" si="255"/>
        <v>180</v>
      </c>
      <c r="O416" s="74">
        <v>375</v>
      </c>
      <c r="P416" s="20">
        <f t="shared" si="234"/>
        <v>50</v>
      </c>
      <c r="Q416" s="20">
        <f t="shared" si="235"/>
        <v>21</v>
      </c>
      <c r="R416" s="20">
        <v>100</v>
      </c>
      <c r="S416" s="20">
        <f t="shared" si="240"/>
        <v>60</v>
      </c>
      <c r="T416" s="20">
        <f t="shared" si="229"/>
        <v>36</v>
      </c>
      <c r="U416" s="20"/>
      <c r="V416" s="20">
        <f t="shared" si="253"/>
        <v>0</v>
      </c>
      <c r="W416" s="20">
        <f t="shared" si="236"/>
        <v>20</v>
      </c>
      <c r="X416" s="20">
        <f t="shared" si="268"/>
        <v>0</v>
      </c>
      <c r="Y416" s="20">
        <f t="shared" si="231"/>
        <v>3.5</v>
      </c>
      <c r="Z416" s="20">
        <f t="shared" si="256"/>
        <v>230</v>
      </c>
      <c r="AA416" s="20">
        <f t="shared" si="230"/>
        <v>306</v>
      </c>
      <c r="AB416" s="20">
        <f t="shared" si="242"/>
        <v>60</v>
      </c>
      <c r="AC416" s="20">
        <f t="shared" si="249"/>
        <v>1.6</v>
      </c>
      <c r="AD416" s="20">
        <f t="shared" si="238"/>
        <v>180</v>
      </c>
      <c r="AE416" s="20">
        <f t="shared" si="241"/>
        <v>1.1000000000000001</v>
      </c>
      <c r="AF416" s="20">
        <f t="shared" si="245"/>
        <v>275</v>
      </c>
      <c r="AG416" s="20">
        <f t="shared" si="251"/>
        <v>18</v>
      </c>
      <c r="AH416" s="20">
        <f t="shared" si="243"/>
        <v>3</v>
      </c>
      <c r="AI416" s="20">
        <f t="shared" si="237"/>
        <v>47</v>
      </c>
      <c r="AJ416" s="20">
        <f t="shared" si="258"/>
        <v>90</v>
      </c>
      <c r="AK416" s="20">
        <f t="shared" si="263"/>
        <v>14</v>
      </c>
      <c r="AL416" s="20">
        <f t="shared" si="259"/>
        <v>45</v>
      </c>
      <c r="AM416" s="20">
        <v>46</v>
      </c>
      <c r="AN416" s="20">
        <f t="shared" si="264"/>
        <v>0.75</v>
      </c>
      <c r="AO416" s="20">
        <f t="shared" si="262"/>
        <v>19</v>
      </c>
      <c r="AP416" s="20">
        <f t="shared" si="262"/>
        <v>19</v>
      </c>
      <c r="AQ416" s="20">
        <f t="shared" si="267"/>
        <v>5</v>
      </c>
      <c r="AR416" s="20">
        <f t="shared" si="254"/>
        <v>120</v>
      </c>
      <c r="AS416" s="20">
        <f t="shared" si="257"/>
        <v>120</v>
      </c>
      <c r="AT416" s="20">
        <f t="shared" si="250"/>
        <v>55</v>
      </c>
      <c r="AU416" s="20"/>
      <c r="AV416" s="20"/>
      <c r="AW416" s="20">
        <f t="shared" si="232"/>
        <v>5276.7500000000009</v>
      </c>
      <c r="AX416" s="86">
        <f t="shared" si="244"/>
        <v>5428.4449999999988</v>
      </c>
      <c r="AY416" s="17">
        <f>'[1]D4 Gallon Forecast'!$AJ156/1000000</f>
        <v>0</v>
      </c>
      <c r="AZ416" s="17">
        <f>'[1]D4 Gallon Forecast'!$AJ188/1000000</f>
        <v>478.68693247987107</v>
      </c>
      <c r="BA416" s="17">
        <f t="shared" si="247"/>
        <v>478.68693247987107</v>
      </c>
      <c r="BB416" s="17">
        <f>'[1]D4 Gallon Forecast'!$AJ172/1000000</f>
        <v>0</v>
      </c>
      <c r="BC416" s="87">
        <f>'[1]D4 Gallon Forecast'!$AJ348/1000000</f>
        <v>527.44205193918287</v>
      </c>
      <c r="BD416" s="88">
        <f>'[1]D4 Gallon Forecast'!$AJ364/1000000</f>
        <v>0</v>
      </c>
      <c r="BE416" s="88">
        <f t="shared" si="248"/>
        <v>527.44205193918287</v>
      </c>
      <c r="BF416" s="76">
        <f t="shared" si="272"/>
        <v>1006.1289844190539</v>
      </c>
      <c r="BG416" s="22">
        <f t="shared" si="273"/>
        <v>2.1822745550875227</v>
      </c>
      <c r="BI416" s="21">
        <f t="shared" si="233"/>
        <v>4702.9000000000005</v>
      </c>
      <c r="BJ416" s="21">
        <f t="shared" si="265"/>
        <v>725.54499999999825</v>
      </c>
      <c r="BK416" s="21">
        <f>'RD Feedstock Breakdown'!ES407</f>
        <v>17523.312991191069</v>
      </c>
      <c r="BL416" s="89">
        <f t="shared" si="271"/>
        <v>17.416567122662862</v>
      </c>
      <c r="BM416" s="89">
        <f t="shared" si="269"/>
        <v>36.607042729180684</v>
      </c>
    </row>
    <row r="417" spans="1:65" ht="13.5" x14ac:dyDescent="0.25">
      <c r="A417" s="15">
        <v>52841</v>
      </c>
      <c r="B417" s="20">
        <f t="shared" si="270"/>
        <v>690</v>
      </c>
      <c r="C417" s="74">
        <v>47</v>
      </c>
      <c r="D417" s="20">
        <f t="shared" si="261"/>
        <v>3</v>
      </c>
      <c r="E417" s="20">
        <f t="shared" si="275"/>
        <v>85</v>
      </c>
      <c r="F417" s="20">
        <f t="shared" si="246"/>
        <v>340</v>
      </c>
      <c r="G417" s="20">
        <f t="shared" si="260"/>
        <v>37.5</v>
      </c>
      <c r="H417" s="20">
        <f t="shared" si="239"/>
        <v>190</v>
      </c>
      <c r="I417" s="20">
        <f t="shared" si="274"/>
        <v>250</v>
      </c>
      <c r="J417" s="20">
        <f t="shared" si="266"/>
        <v>153.30000000000001</v>
      </c>
      <c r="K417" s="20">
        <f t="shared" si="276"/>
        <v>125</v>
      </c>
      <c r="L417" s="20">
        <v>125</v>
      </c>
      <c r="M417" s="20">
        <v>730</v>
      </c>
      <c r="N417" s="20">
        <f t="shared" si="255"/>
        <v>180</v>
      </c>
      <c r="O417" s="74">
        <v>375</v>
      </c>
      <c r="P417" s="20">
        <f t="shared" si="234"/>
        <v>50</v>
      </c>
      <c r="Q417" s="20">
        <f t="shared" si="235"/>
        <v>21</v>
      </c>
      <c r="R417" s="20">
        <v>100</v>
      </c>
      <c r="S417" s="20">
        <f t="shared" si="240"/>
        <v>60</v>
      </c>
      <c r="T417" s="20">
        <f t="shared" si="229"/>
        <v>36</v>
      </c>
      <c r="U417" s="20"/>
      <c r="V417" s="20">
        <f t="shared" si="253"/>
        <v>0</v>
      </c>
      <c r="W417" s="20">
        <f t="shared" si="236"/>
        <v>20</v>
      </c>
      <c r="X417" s="20">
        <f t="shared" si="268"/>
        <v>0</v>
      </c>
      <c r="Y417" s="20">
        <f t="shared" si="231"/>
        <v>3.5</v>
      </c>
      <c r="Z417" s="20">
        <f t="shared" si="256"/>
        <v>230</v>
      </c>
      <c r="AA417" s="20">
        <f t="shared" si="230"/>
        <v>306</v>
      </c>
      <c r="AB417" s="20">
        <f t="shared" si="242"/>
        <v>60</v>
      </c>
      <c r="AC417" s="20">
        <f t="shared" si="249"/>
        <v>1.6</v>
      </c>
      <c r="AD417" s="20">
        <f t="shared" si="238"/>
        <v>180</v>
      </c>
      <c r="AE417" s="20">
        <f t="shared" si="241"/>
        <v>1.1000000000000001</v>
      </c>
      <c r="AF417" s="20">
        <f t="shared" si="245"/>
        <v>275</v>
      </c>
      <c r="AG417" s="20">
        <f t="shared" si="251"/>
        <v>18</v>
      </c>
      <c r="AH417" s="20">
        <f t="shared" si="243"/>
        <v>3</v>
      </c>
      <c r="AI417" s="20">
        <f t="shared" si="237"/>
        <v>47</v>
      </c>
      <c r="AJ417" s="20">
        <f t="shared" si="258"/>
        <v>90</v>
      </c>
      <c r="AK417" s="20">
        <f t="shared" si="263"/>
        <v>14</v>
      </c>
      <c r="AL417" s="20">
        <f t="shared" si="259"/>
        <v>45</v>
      </c>
      <c r="AM417" s="20">
        <v>46</v>
      </c>
      <c r="AN417" s="20">
        <f t="shared" si="264"/>
        <v>0.75</v>
      </c>
      <c r="AO417" s="20">
        <f t="shared" si="262"/>
        <v>19</v>
      </c>
      <c r="AP417" s="20">
        <f t="shared" si="262"/>
        <v>19</v>
      </c>
      <c r="AQ417" s="20">
        <f t="shared" si="267"/>
        <v>5</v>
      </c>
      <c r="AR417" s="20">
        <f t="shared" si="254"/>
        <v>120</v>
      </c>
      <c r="AS417" s="20">
        <f t="shared" si="257"/>
        <v>120</v>
      </c>
      <c r="AT417" s="20">
        <f t="shared" si="250"/>
        <v>55</v>
      </c>
      <c r="AU417" s="20"/>
      <c r="AV417" s="20"/>
      <c r="AW417" s="20">
        <f t="shared" si="232"/>
        <v>5276.7500000000009</v>
      </c>
      <c r="AX417" s="86">
        <f t="shared" si="244"/>
        <v>5428.4449999999988</v>
      </c>
      <c r="AY417" s="17">
        <f>'[1]D4 Gallon Forecast'!$AJ157/1000000</f>
        <v>0</v>
      </c>
      <c r="AZ417" s="17">
        <f>'[1]D4 Gallon Forecast'!$AJ189/1000000</f>
        <v>487.41137844051002</v>
      </c>
      <c r="BA417" s="17">
        <f t="shared" si="247"/>
        <v>487.41137844051002</v>
      </c>
      <c r="BB417" s="17">
        <f>'[1]D4 Gallon Forecast'!$AJ173/1000000</f>
        <v>0</v>
      </c>
      <c r="BC417" s="87">
        <f>'[1]D4 Gallon Forecast'!$AJ349/1000000</f>
        <v>641.49594918487639</v>
      </c>
      <c r="BD417" s="88">
        <f>'[1]D4 Gallon Forecast'!$AJ365/1000000</f>
        <v>0</v>
      </c>
      <c r="BE417" s="88">
        <f t="shared" si="248"/>
        <v>641.49594918487639</v>
      </c>
      <c r="BF417" s="76">
        <f t="shared" si="272"/>
        <v>1128.9073276253864</v>
      </c>
      <c r="BG417" s="22">
        <f t="shared" si="273"/>
        <v>2.4485784370392896</v>
      </c>
      <c r="BI417" s="21">
        <f t="shared" si="233"/>
        <v>4702.9000000000005</v>
      </c>
      <c r="BJ417" s="21">
        <f t="shared" si="265"/>
        <v>725.54499999999825</v>
      </c>
      <c r="BK417" s="21">
        <f>'RD Feedstock Breakdown'!ES408</f>
        <v>22061.01457855304</v>
      </c>
      <c r="BL417" s="89">
        <f t="shared" si="271"/>
        <v>19.54191813508514</v>
      </c>
      <c r="BM417" s="89">
        <f t="shared" si="269"/>
        <v>45.26159124380321</v>
      </c>
    </row>
    <row r="418" spans="1:65" ht="13.5" x14ac:dyDescent="0.25">
      <c r="A418" s="15">
        <v>52871</v>
      </c>
      <c r="B418" s="20">
        <f t="shared" si="270"/>
        <v>690</v>
      </c>
      <c r="C418" s="74">
        <v>47</v>
      </c>
      <c r="D418" s="20">
        <f t="shared" si="261"/>
        <v>3</v>
      </c>
      <c r="E418" s="20">
        <f t="shared" si="275"/>
        <v>85</v>
      </c>
      <c r="F418" s="20">
        <f t="shared" si="246"/>
        <v>340</v>
      </c>
      <c r="G418" s="20">
        <f t="shared" si="260"/>
        <v>37.5</v>
      </c>
      <c r="H418" s="20">
        <f t="shared" si="239"/>
        <v>190</v>
      </c>
      <c r="I418" s="20">
        <f t="shared" si="274"/>
        <v>250</v>
      </c>
      <c r="J418" s="20">
        <f t="shared" si="266"/>
        <v>153.30000000000001</v>
      </c>
      <c r="K418" s="20">
        <f t="shared" si="276"/>
        <v>125</v>
      </c>
      <c r="L418" s="20">
        <v>125</v>
      </c>
      <c r="M418" s="20">
        <v>730</v>
      </c>
      <c r="N418" s="20">
        <f t="shared" si="255"/>
        <v>180</v>
      </c>
      <c r="O418" s="74">
        <v>375</v>
      </c>
      <c r="P418" s="20">
        <f t="shared" si="234"/>
        <v>50</v>
      </c>
      <c r="Q418" s="20">
        <f t="shared" si="235"/>
        <v>21</v>
      </c>
      <c r="R418" s="20">
        <v>100</v>
      </c>
      <c r="S418" s="20">
        <f t="shared" si="240"/>
        <v>60</v>
      </c>
      <c r="T418" s="20">
        <f t="shared" ref="T418:T481" si="277">36*$T$12</f>
        <v>36</v>
      </c>
      <c r="U418" s="20"/>
      <c r="V418" s="20">
        <f t="shared" si="253"/>
        <v>0</v>
      </c>
      <c r="W418" s="20">
        <f t="shared" si="236"/>
        <v>20</v>
      </c>
      <c r="X418" s="20">
        <f t="shared" si="268"/>
        <v>0</v>
      </c>
      <c r="Y418" s="20">
        <f t="shared" si="231"/>
        <v>3.5</v>
      </c>
      <c r="Z418" s="20">
        <f t="shared" si="256"/>
        <v>230</v>
      </c>
      <c r="AA418" s="20">
        <f t="shared" ref="AA418:AA481" si="278">$AA$12*$AA$5</f>
        <v>306</v>
      </c>
      <c r="AB418" s="20">
        <f t="shared" si="242"/>
        <v>60</v>
      </c>
      <c r="AC418" s="20">
        <f t="shared" si="249"/>
        <v>1.6</v>
      </c>
      <c r="AD418" s="20">
        <f t="shared" si="238"/>
        <v>180</v>
      </c>
      <c r="AE418" s="20">
        <f t="shared" si="241"/>
        <v>1.1000000000000001</v>
      </c>
      <c r="AF418" s="20">
        <f t="shared" si="245"/>
        <v>275</v>
      </c>
      <c r="AG418" s="20">
        <f t="shared" si="251"/>
        <v>18</v>
      </c>
      <c r="AH418" s="20">
        <f t="shared" si="243"/>
        <v>3</v>
      </c>
      <c r="AI418" s="20">
        <f t="shared" si="237"/>
        <v>47</v>
      </c>
      <c r="AJ418" s="20">
        <f t="shared" si="258"/>
        <v>90</v>
      </c>
      <c r="AK418" s="20">
        <f t="shared" si="263"/>
        <v>14</v>
      </c>
      <c r="AL418" s="20">
        <f t="shared" si="259"/>
        <v>45</v>
      </c>
      <c r="AM418" s="20">
        <v>46</v>
      </c>
      <c r="AN418" s="20">
        <f t="shared" si="264"/>
        <v>0.75</v>
      </c>
      <c r="AO418" s="20">
        <f t="shared" si="262"/>
        <v>19</v>
      </c>
      <c r="AP418" s="20">
        <f t="shared" si="262"/>
        <v>19</v>
      </c>
      <c r="AQ418" s="20">
        <f t="shared" si="267"/>
        <v>5</v>
      </c>
      <c r="AR418" s="20">
        <f t="shared" si="254"/>
        <v>120</v>
      </c>
      <c r="AS418" s="20">
        <f t="shared" si="257"/>
        <v>120</v>
      </c>
      <c r="AT418" s="20">
        <f t="shared" si="250"/>
        <v>55</v>
      </c>
      <c r="AU418" s="20"/>
      <c r="AV418" s="20"/>
      <c r="AW418" s="20">
        <f t="shared" si="232"/>
        <v>5276.7500000000009</v>
      </c>
      <c r="AX418" s="86">
        <f t="shared" si="244"/>
        <v>5428.4449999999988</v>
      </c>
      <c r="AY418" s="17">
        <f>'[1]D4 Gallon Forecast'!$AJ158/1000000</f>
        <v>0</v>
      </c>
      <c r="AZ418" s="17">
        <f>'[1]D4 Gallon Forecast'!$AJ190/1000000</f>
        <v>535.60050402273578</v>
      </c>
      <c r="BA418" s="17">
        <f t="shared" si="247"/>
        <v>535.60050402273578</v>
      </c>
      <c r="BB418" s="17">
        <f>'[1]D4 Gallon Forecast'!$AJ174/1000000</f>
        <v>0</v>
      </c>
      <c r="BC418" s="87">
        <f>'[1]D4 Gallon Forecast'!$AJ350/1000000</f>
        <v>626.36298064901257</v>
      </c>
      <c r="BD418" s="88">
        <f>'[1]D4 Gallon Forecast'!$AJ366/1000000</f>
        <v>0</v>
      </c>
      <c r="BE418" s="88">
        <f t="shared" si="248"/>
        <v>626.36298064901257</v>
      </c>
      <c r="BF418" s="76">
        <f t="shared" si="272"/>
        <v>1161.9634846717483</v>
      </c>
      <c r="BG418" s="22">
        <f t="shared" si="273"/>
        <v>2.6042858308115138</v>
      </c>
      <c r="BI418" s="21">
        <f t="shared" si="233"/>
        <v>4702.9000000000005</v>
      </c>
      <c r="BJ418" s="21">
        <f t="shared" si="265"/>
        <v>725.54499999999825</v>
      </c>
      <c r="BK418" s="21">
        <f>'RD Feedstock Breakdown'!ES409</f>
        <v>24150.954369444113</v>
      </c>
      <c r="BL418" s="89">
        <f t="shared" si="271"/>
        <v>20.784606993279738</v>
      </c>
      <c r="BM418" s="89">
        <f t="shared" si="269"/>
        <v>45.091358555590389</v>
      </c>
    </row>
    <row r="419" spans="1:65" ht="13.5" x14ac:dyDescent="0.25">
      <c r="A419" s="15">
        <v>52902</v>
      </c>
      <c r="B419" s="20">
        <f t="shared" si="270"/>
        <v>690</v>
      </c>
      <c r="C419" s="74">
        <v>47</v>
      </c>
      <c r="D419" s="20">
        <f t="shared" si="261"/>
        <v>3</v>
      </c>
      <c r="E419" s="20">
        <f t="shared" si="275"/>
        <v>85</v>
      </c>
      <c r="F419" s="20">
        <f t="shared" si="246"/>
        <v>340</v>
      </c>
      <c r="G419" s="20">
        <f t="shared" si="260"/>
        <v>37.5</v>
      </c>
      <c r="H419" s="20">
        <f t="shared" si="239"/>
        <v>190</v>
      </c>
      <c r="I419" s="20">
        <f t="shared" si="274"/>
        <v>250</v>
      </c>
      <c r="J419" s="20">
        <f t="shared" si="266"/>
        <v>153.30000000000001</v>
      </c>
      <c r="K419" s="20">
        <f t="shared" si="276"/>
        <v>125</v>
      </c>
      <c r="L419" s="20">
        <v>125</v>
      </c>
      <c r="M419" s="20">
        <v>730</v>
      </c>
      <c r="N419" s="20">
        <f t="shared" si="255"/>
        <v>180</v>
      </c>
      <c r="O419" s="74">
        <v>375</v>
      </c>
      <c r="P419" s="20">
        <f t="shared" si="234"/>
        <v>50</v>
      </c>
      <c r="Q419" s="20">
        <f t="shared" si="235"/>
        <v>21</v>
      </c>
      <c r="R419" s="20">
        <v>100</v>
      </c>
      <c r="S419" s="20">
        <f t="shared" si="240"/>
        <v>60</v>
      </c>
      <c r="T419" s="20">
        <f t="shared" si="277"/>
        <v>36</v>
      </c>
      <c r="U419" s="20"/>
      <c r="V419" s="20">
        <f t="shared" si="253"/>
        <v>0</v>
      </c>
      <c r="W419" s="20">
        <f t="shared" si="236"/>
        <v>20</v>
      </c>
      <c r="X419" s="20">
        <f t="shared" si="268"/>
        <v>0</v>
      </c>
      <c r="Y419" s="20">
        <f t="shared" ref="Y419:Y482" si="279">$Y$5*$Y$12</f>
        <v>3.5</v>
      </c>
      <c r="Z419" s="20">
        <f t="shared" si="256"/>
        <v>230</v>
      </c>
      <c r="AA419" s="20">
        <f t="shared" si="278"/>
        <v>306</v>
      </c>
      <c r="AB419" s="20">
        <f t="shared" si="242"/>
        <v>60</v>
      </c>
      <c r="AC419" s="20">
        <f t="shared" si="249"/>
        <v>1.6</v>
      </c>
      <c r="AD419" s="20">
        <f t="shared" si="238"/>
        <v>180</v>
      </c>
      <c r="AE419" s="20">
        <f t="shared" si="241"/>
        <v>1.1000000000000001</v>
      </c>
      <c r="AF419" s="20">
        <f t="shared" si="245"/>
        <v>275</v>
      </c>
      <c r="AG419" s="20">
        <f t="shared" si="251"/>
        <v>18</v>
      </c>
      <c r="AH419" s="20">
        <f t="shared" si="243"/>
        <v>3</v>
      </c>
      <c r="AI419" s="20">
        <f t="shared" si="237"/>
        <v>47</v>
      </c>
      <c r="AJ419" s="20">
        <f t="shared" si="258"/>
        <v>90</v>
      </c>
      <c r="AK419" s="20">
        <f t="shared" si="263"/>
        <v>14</v>
      </c>
      <c r="AL419" s="20">
        <f t="shared" si="259"/>
        <v>45</v>
      </c>
      <c r="AM419" s="20">
        <v>46</v>
      </c>
      <c r="AN419" s="20">
        <f t="shared" si="264"/>
        <v>0.75</v>
      </c>
      <c r="AO419" s="20">
        <f t="shared" si="262"/>
        <v>19</v>
      </c>
      <c r="AP419" s="20">
        <f t="shared" si="262"/>
        <v>19</v>
      </c>
      <c r="AQ419" s="20">
        <f t="shared" si="267"/>
        <v>5</v>
      </c>
      <c r="AR419" s="20">
        <f t="shared" si="254"/>
        <v>120</v>
      </c>
      <c r="AS419" s="20">
        <f t="shared" si="257"/>
        <v>120</v>
      </c>
      <c r="AT419" s="20">
        <f t="shared" si="250"/>
        <v>55</v>
      </c>
      <c r="AU419" s="20"/>
      <c r="AV419" s="20"/>
      <c r="AW419" s="20">
        <f t="shared" ref="AW419:AW482" si="280">SUM(B419:AT419)</f>
        <v>5276.7500000000009</v>
      </c>
      <c r="AX419" s="86">
        <f t="shared" si="244"/>
        <v>5428.4449999999988</v>
      </c>
      <c r="AY419" s="17">
        <f>'[1]D4 Gallon Forecast'!$AJ159/1000000</f>
        <v>0</v>
      </c>
      <c r="AZ419" s="17">
        <f>'[1]D4 Gallon Forecast'!$AJ191/1000000</f>
        <v>650.7427514493329</v>
      </c>
      <c r="BA419" s="17">
        <f t="shared" si="247"/>
        <v>650.7427514493329</v>
      </c>
      <c r="BB419" s="17">
        <f>'[1]D4 Gallon Forecast'!$AJ175/1000000</f>
        <v>0</v>
      </c>
      <c r="BC419" s="87">
        <f>'[1]D4 Gallon Forecast'!$AJ351/1000000</f>
        <v>541.99669855620823</v>
      </c>
      <c r="BD419" s="88">
        <f>'[1]D4 Gallon Forecast'!$AJ367/1000000</f>
        <v>0</v>
      </c>
      <c r="BE419" s="88">
        <f t="shared" si="248"/>
        <v>541.99669855620823</v>
      </c>
      <c r="BF419" s="76">
        <f t="shared" si="272"/>
        <v>1192.7394500055411</v>
      </c>
      <c r="BG419" s="22">
        <f t="shared" si="273"/>
        <v>2.587029091602111</v>
      </c>
      <c r="BI419" s="21">
        <f t="shared" ref="BI419:BI482" si="281">SUMIF($B$7:$AN$7,"Yes",B419:AN419)</f>
        <v>4702.9000000000005</v>
      </c>
      <c r="BJ419" s="21">
        <f t="shared" si="265"/>
        <v>725.54499999999825</v>
      </c>
      <c r="BK419" s="21">
        <f>'RD Feedstock Breakdown'!ES410</f>
        <v>24626.351004394033</v>
      </c>
      <c r="BL419" s="89">
        <f t="shared" si="271"/>
        <v>20.646882271127719</v>
      </c>
      <c r="BM419" s="89">
        <f t="shared" si="269"/>
        <v>37.843450348922481</v>
      </c>
    </row>
    <row r="420" spans="1:65" ht="13.5" x14ac:dyDescent="0.25">
      <c r="A420" s="15">
        <v>52932</v>
      </c>
      <c r="B420" s="20">
        <f t="shared" si="270"/>
        <v>690</v>
      </c>
      <c r="C420" s="74">
        <v>47</v>
      </c>
      <c r="D420" s="20">
        <f t="shared" si="261"/>
        <v>3</v>
      </c>
      <c r="E420" s="20">
        <f t="shared" si="275"/>
        <v>85</v>
      </c>
      <c r="F420" s="20">
        <f t="shared" si="246"/>
        <v>340</v>
      </c>
      <c r="G420" s="20">
        <f t="shared" si="260"/>
        <v>37.5</v>
      </c>
      <c r="H420" s="20">
        <f t="shared" si="239"/>
        <v>190</v>
      </c>
      <c r="I420" s="20">
        <f t="shared" si="274"/>
        <v>250</v>
      </c>
      <c r="J420" s="20">
        <f t="shared" si="266"/>
        <v>153.30000000000001</v>
      </c>
      <c r="K420" s="20">
        <f t="shared" si="276"/>
        <v>125</v>
      </c>
      <c r="L420" s="20">
        <v>125</v>
      </c>
      <c r="M420" s="20">
        <v>730</v>
      </c>
      <c r="N420" s="20">
        <f t="shared" si="255"/>
        <v>180</v>
      </c>
      <c r="O420" s="74">
        <v>375</v>
      </c>
      <c r="P420" s="20">
        <f t="shared" si="234"/>
        <v>50</v>
      </c>
      <c r="Q420" s="20">
        <f t="shared" si="235"/>
        <v>21</v>
      </c>
      <c r="R420" s="20">
        <v>100</v>
      </c>
      <c r="S420" s="20">
        <f t="shared" si="240"/>
        <v>60</v>
      </c>
      <c r="T420" s="20">
        <f t="shared" si="277"/>
        <v>36</v>
      </c>
      <c r="U420" s="20"/>
      <c r="V420" s="20">
        <f t="shared" si="253"/>
        <v>0</v>
      </c>
      <c r="W420" s="20">
        <f t="shared" si="236"/>
        <v>20</v>
      </c>
      <c r="X420" s="20">
        <f t="shared" si="268"/>
        <v>0</v>
      </c>
      <c r="Y420" s="20">
        <f t="shared" si="279"/>
        <v>3.5</v>
      </c>
      <c r="Z420" s="20">
        <f t="shared" si="256"/>
        <v>230</v>
      </c>
      <c r="AA420" s="20">
        <f t="shared" si="278"/>
        <v>306</v>
      </c>
      <c r="AB420" s="20">
        <f t="shared" si="242"/>
        <v>60</v>
      </c>
      <c r="AC420" s="20">
        <f t="shared" si="249"/>
        <v>1.6</v>
      </c>
      <c r="AD420" s="20">
        <f t="shared" si="238"/>
        <v>180</v>
      </c>
      <c r="AE420" s="20">
        <f t="shared" si="241"/>
        <v>1.1000000000000001</v>
      </c>
      <c r="AF420" s="20">
        <f t="shared" si="245"/>
        <v>275</v>
      </c>
      <c r="AG420" s="20">
        <f t="shared" si="251"/>
        <v>18</v>
      </c>
      <c r="AH420" s="20">
        <f t="shared" si="243"/>
        <v>3</v>
      </c>
      <c r="AI420" s="20">
        <f t="shared" si="237"/>
        <v>47</v>
      </c>
      <c r="AJ420" s="20">
        <f t="shared" si="258"/>
        <v>90</v>
      </c>
      <c r="AK420" s="20">
        <f t="shared" si="263"/>
        <v>14</v>
      </c>
      <c r="AL420" s="20">
        <f t="shared" si="259"/>
        <v>45</v>
      </c>
      <c r="AM420" s="20">
        <v>46</v>
      </c>
      <c r="AN420" s="20">
        <f t="shared" si="264"/>
        <v>0.75</v>
      </c>
      <c r="AO420" s="20">
        <f t="shared" si="262"/>
        <v>19</v>
      </c>
      <c r="AP420" s="20">
        <f t="shared" si="262"/>
        <v>19</v>
      </c>
      <c r="AQ420" s="20">
        <f t="shared" si="267"/>
        <v>5</v>
      </c>
      <c r="AR420" s="20">
        <f t="shared" si="254"/>
        <v>120</v>
      </c>
      <c r="AS420" s="20">
        <f t="shared" si="257"/>
        <v>120</v>
      </c>
      <c r="AT420" s="20">
        <f t="shared" si="250"/>
        <v>55</v>
      </c>
      <c r="AU420" s="20"/>
      <c r="AV420" s="20"/>
      <c r="AW420" s="20">
        <f t="shared" si="280"/>
        <v>5276.7500000000009</v>
      </c>
      <c r="AX420" s="86">
        <f t="shared" si="244"/>
        <v>5428.4449999999988</v>
      </c>
      <c r="AY420" s="17">
        <f>'[1]D4 Gallon Forecast'!$AJ160/1000000</f>
        <v>0</v>
      </c>
      <c r="AZ420" s="17">
        <f>'[1]D4 Gallon Forecast'!$AJ192/1000000</f>
        <v>738.37877747039795</v>
      </c>
      <c r="BA420" s="17">
        <f t="shared" si="247"/>
        <v>738.37877747039795</v>
      </c>
      <c r="BB420" s="17">
        <f>'[1]D4 Gallon Forecast'!$AJ176/1000000</f>
        <v>0</v>
      </c>
      <c r="BC420" s="87">
        <f>'[1]D4 Gallon Forecast'!$AJ352/1000000</f>
        <v>487.00777977843001</v>
      </c>
      <c r="BD420" s="88">
        <f>'[1]D4 Gallon Forecast'!$AJ368/1000000</f>
        <v>0</v>
      </c>
      <c r="BE420" s="88">
        <f t="shared" si="248"/>
        <v>487.00777977843001</v>
      </c>
      <c r="BF420" s="76">
        <f t="shared" si="272"/>
        <v>1225.386557248828</v>
      </c>
      <c r="BG420" s="22">
        <f t="shared" si="273"/>
        <v>2.7464347119406654</v>
      </c>
      <c r="BI420" s="21">
        <f t="shared" si="281"/>
        <v>4702.9000000000005</v>
      </c>
      <c r="BJ420" s="21">
        <f t="shared" si="265"/>
        <v>725.54499999999825</v>
      </c>
      <c r="BK420" s="21">
        <f>'RD Feedstock Breakdown'!ES411</f>
        <v>26859.353814458831</v>
      </c>
      <c r="BL420" s="89">
        <f t="shared" si="271"/>
        <v>21.919086394061647</v>
      </c>
      <c r="BM420" s="89">
        <f t="shared" si="269"/>
        <v>36.376118374468909</v>
      </c>
    </row>
    <row r="421" spans="1:65" ht="13.5" x14ac:dyDescent="0.25">
      <c r="A421" s="15">
        <v>52963</v>
      </c>
      <c r="B421" s="20">
        <f t="shared" si="270"/>
        <v>690</v>
      </c>
      <c r="C421" s="74">
        <v>47</v>
      </c>
      <c r="D421" s="20">
        <f t="shared" si="261"/>
        <v>3</v>
      </c>
      <c r="E421" s="20">
        <f t="shared" si="275"/>
        <v>85</v>
      </c>
      <c r="F421" s="20">
        <f t="shared" si="246"/>
        <v>340</v>
      </c>
      <c r="G421" s="20">
        <f t="shared" si="260"/>
        <v>37.5</v>
      </c>
      <c r="H421" s="20">
        <f t="shared" si="239"/>
        <v>190</v>
      </c>
      <c r="I421" s="20">
        <f t="shared" si="274"/>
        <v>250</v>
      </c>
      <c r="J421" s="20">
        <f t="shared" si="266"/>
        <v>153.30000000000001</v>
      </c>
      <c r="K421" s="20">
        <f t="shared" si="276"/>
        <v>125</v>
      </c>
      <c r="L421" s="20">
        <v>125</v>
      </c>
      <c r="M421" s="20">
        <v>730</v>
      </c>
      <c r="N421" s="20">
        <f t="shared" si="255"/>
        <v>180</v>
      </c>
      <c r="O421" s="74">
        <v>375</v>
      </c>
      <c r="P421" s="20">
        <f t="shared" si="234"/>
        <v>50</v>
      </c>
      <c r="Q421" s="20">
        <f t="shared" si="235"/>
        <v>21</v>
      </c>
      <c r="R421" s="20">
        <v>100</v>
      </c>
      <c r="S421" s="20">
        <f t="shared" si="240"/>
        <v>60</v>
      </c>
      <c r="T421" s="20">
        <f t="shared" si="277"/>
        <v>36</v>
      </c>
      <c r="U421" s="20"/>
      <c r="V421" s="20">
        <f t="shared" si="253"/>
        <v>0</v>
      </c>
      <c r="W421" s="20">
        <f t="shared" si="236"/>
        <v>20</v>
      </c>
      <c r="X421" s="20">
        <f t="shared" si="268"/>
        <v>0</v>
      </c>
      <c r="Y421" s="20">
        <f t="shared" si="279"/>
        <v>3.5</v>
      </c>
      <c r="Z421" s="20">
        <f t="shared" si="256"/>
        <v>230</v>
      </c>
      <c r="AA421" s="20">
        <f t="shared" si="278"/>
        <v>306</v>
      </c>
      <c r="AB421" s="20">
        <f t="shared" si="242"/>
        <v>60</v>
      </c>
      <c r="AC421" s="20">
        <f t="shared" si="249"/>
        <v>1.6</v>
      </c>
      <c r="AD421" s="20">
        <f t="shared" si="238"/>
        <v>180</v>
      </c>
      <c r="AE421" s="20">
        <f t="shared" si="241"/>
        <v>1.1000000000000001</v>
      </c>
      <c r="AF421" s="20">
        <f t="shared" si="245"/>
        <v>275</v>
      </c>
      <c r="AG421" s="20">
        <f t="shared" si="251"/>
        <v>18</v>
      </c>
      <c r="AH421" s="20">
        <f t="shared" si="243"/>
        <v>3</v>
      </c>
      <c r="AI421" s="20">
        <f t="shared" si="237"/>
        <v>47</v>
      </c>
      <c r="AJ421" s="20">
        <f t="shared" si="258"/>
        <v>90</v>
      </c>
      <c r="AK421" s="20">
        <f t="shared" si="263"/>
        <v>14</v>
      </c>
      <c r="AL421" s="20">
        <f t="shared" si="259"/>
        <v>45</v>
      </c>
      <c r="AM421" s="20">
        <v>46</v>
      </c>
      <c r="AN421" s="20">
        <f t="shared" si="264"/>
        <v>0.75</v>
      </c>
      <c r="AO421" s="20">
        <f t="shared" si="262"/>
        <v>19</v>
      </c>
      <c r="AP421" s="20">
        <f t="shared" si="262"/>
        <v>19</v>
      </c>
      <c r="AQ421" s="20">
        <f t="shared" si="267"/>
        <v>5</v>
      </c>
      <c r="AR421" s="20">
        <f t="shared" si="254"/>
        <v>120</v>
      </c>
      <c r="AS421" s="20">
        <f t="shared" si="257"/>
        <v>120</v>
      </c>
      <c r="AT421" s="20">
        <f t="shared" si="250"/>
        <v>55</v>
      </c>
      <c r="AU421" s="20"/>
      <c r="AV421" s="20"/>
      <c r="AW421" s="20">
        <f t="shared" si="280"/>
        <v>5276.7500000000009</v>
      </c>
      <c r="AX421" s="86">
        <f t="shared" si="244"/>
        <v>5428.4449999999988</v>
      </c>
      <c r="AY421" s="17">
        <f>'[1]D4 Gallon Forecast'!$AK149/1000000</f>
        <v>0</v>
      </c>
      <c r="AZ421" s="17">
        <f>'[1]D4 Gallon Forecast'!$AK181/1000000</f>
        <v>383.39036926658918</v>
      </c>
      <c r="BA421" s="17">
        <f t="shared" si="247"/>
        <v>383.39036926658918</v>
      </c>
      <c r="BB421" s="17">
        <f>'[1]D4 Gallon Forecast'!$AK165/1000000</f>
        <v>0</v>
      </c>
      <c r="BC421" s="87">
        <f>'[1]D4 Gallon Forecast'!$AK341/1000000</f>
        <v>300.31280489545679</v>
      </c>
      <c r="BD421" s="88">
        <f>'[1]D4 Gallon Forecast'!$AK357/1000000</f>
        <v>0</v>
      </c>
      <c r="BE421" s="88">
        <f t="shared" si="248"/>
        <v>300.31280489545679</v>
      </c>
      <c r="BF421" s="76">
        <f t="shared" si="272"/>
        <v>683.70317416204603</v>
      </c>
      <c r="BG421" s="22">
        <f t="shared" si="273"/>
        <v>1.4829391293879819</v>
      </c>
      <c r="BI421" s="21">
        <f t="shared" si="281"/>
        <v>4702.9000000000005</v>
      </c>
      <c r="BJ421" s="21">
        <f t="shared" si="265"/>
        <v>725.54499999999825</v>
      </c>
      <c r="BK421" s="21">
        <f>'RD Feedstock Breakdown'!ES412</f>
        <v>8091.7804340401581</v>
      </c>
      <c r="BL421" s="89">
        <f t="shared" si="271"/>
        <v>11.835224319321805</v>
      </c>
      <c r="BM421" s="89">
        <f t="shared" si="269"/>
        <v>21.105852109742397</v>
      </c>
    </row>
    <row r="422" spans="1:65" ht="13.5" x14ac:dyDescent="0.25">
      <c r="A422" s="15">
        <v>52994</v>
      </c>
      <c r="B422" s="20">
        <f t="shared" si="270"/>
        <v>690</v>
      </c>
      <c r="C422" s="74">
        <v>47</v>
      </c>
      <c r="D422" s="20">
        <f t="shared" si="261"/>
        <v>3</v>
      </c>
      <c r="E422" s="20">
        <f t="shared" si="275"/>
        <v>85</v>
      </c>
      <c r="F422" s="20">
        <f t="shared" si="246"/>
        <v>340</v>
      </c>
      <c r="G422" s="20">
        <f t="shared" si="260"/>
        <v>37.5</v>
      </c>
      <c r="H422" s="20">
        <f t="shared" si="239"/>
        <v>190</v>
      </c>
      <c r="I422" s="20">
        <f t="shared" si="274"/>
        <v>250</v>
      </c>
      <c r="J422" s="20">
        <f t="shared" si="266"/>
        <v>153.30000000000001</v>
      </c>
      <c r="K422" s="20">
        <f t="shared" si="276"/>
        <v>125</v>
      </c>
      <c r="L422" s="20">
        <v>125</v>
      </c>
      <c r="M422" s="20">
        <v>730</v>
      </c>
      <c r="N422" s="20">
        <f t="shared" si="255"/>
        <v>180</v>
      </c>
      <c r="O422" s="74">
        <v>375</v>
      </c>
      <c r="P422" s="20">
        <f t="shared" ref="P422:P485" si="282">100*$P$12</f>
        <v>50</v>
      </c>
      <c r="Q422" s="20">
        <f t="shared" ref="Q422:Q485" si="283">$Q$5*$Q$12</f>
        <v>21</v>
      </c>
      <c r="R422" s="20">
        <v>100</v>
      </c>
      <c r="S422" s="20">
        <f t="shared" si="240"/>
        <v>60</v>
      </c>
      <c r="T422" s="20">
        <f t="shared" si="277"/>
        <v>36</v>
      </c>
      <c r="U422" s="20"/>
      <c r="V422" s="20">
        <f t="shared" si="253"/>
        <v>0</v>
      </c>
      <c r="W422" s="20">
        <f t="shared" si="236"/>
        <v>20</v>
      </c>
      <c r="X422" s="20">
        <f t="shared" si="268"/>
        <v>0</v>
      </c>
      <c r="Y422" s="20">
        <f t="shared" si="279"/>
        <v>3.5</v>
      </c>
      <c r="Z422" s="20">
        <f t="shared" si="256"/>
        <v>230</v>
      </c>
      <c r="AA422" s="20">
        <f t="shared" si="278"/>
        <v>306</v>
      </c>
      <c r="AB422" s="20">
        <f t="shared" si="242"/>
        <v>60</v>
      </c>
      <c r="AC422" s="20">
        <f t="shared" si="249"/>
        <v>1.6</v>
      </c>
      <c r="AD422" s="20">
        <f t="shared" si="238"/>
        <v>180</v>
      </c>
      <c r="AE422" s="20">
        <f t="shared" si="241"/>
        <v>1.1000000000000001</v>
      </c>
      <c r="AF422" s="20">
        <f t="shared" si="245"/>
        <v>275</v>
      </c>
      <c r="AG422" s="20">
        <f t="shared" si="251"/>
        <v>18</v>
      </c>
      <c r="AH422" s="20">
        <f t="shared" si="243"/>
        <v>3</v>
      </c>
      <c r="AI422" s="20">
        <f t="shared" si="237"/>
        <v>47</v>
      </c>
      <c r="AJ422" s="20">
        <f t="shared" si="258"/>
        <v>90</v>
      </c>
      <c r="AK422" s="20">
        <f t="shared" si="263"/>
        <v>14</v>
      </c>
      <c r="AL422" s="20">
        <f t="shared" si="259"/>
        <v>45</v>
      </c>
      <c r="AM422" s="20">
        <v>46</v>
      </c>
      <c r="AN422" s="20">
        <f t="shared" si="264"/>
        <v>0.75</v>
      </c>
      <c r="AO422" s="20">
        <f t="shared" si="262"/>
        <v>19</v>
      </c>
      <c r="AP422" s="20">
        <f t="shared" si="262"/>
        <v>19</v>
      </c>
      <c r="AQ422" s="20">
        <f t="shared" si="267"/>
        <v>5</v>
      </c>
      <c r="AR422" s="20">
        <f t="shared" si="254"/>
        <v>120</v>
      </c>
      <c r="AS422" s="20">
        <f t="shared" si="257"/>
        <v>120</v>
      </c>
      <c r="AT422" s="20">
        <f t="shared" si="250"/>
        <v>55</v>
      </c>
      <c r="AU422" s="20"/>
      <c r="AV422" s="20"/>
      <c r="AW422" s="20">
        <f t="shared" si="280"/>
        <v>5276.7500000000009</v>
      </c>
      <c r="AX422" s="86">
        <f t="shared" si="244"/>
        <v>5428.4449999999988</v>
      </c>
      <c r="AY422" s="17">
        <f>'[1]D4 Gallon Forecast'!$AK150/1000000</f>
        <v>0</v>
      </c>
      <c r="AZ422" s="17">
        <f>'[1]D4 Gallon Forecast'!$AK182/1000000</f>
        <v>422.76514592648823</v>
      </c>
      <c r="BA422" s="17">
        <f t="shared" si="247"/>
        <v>422.76514592648823</v>
      </c>
      <c r="BB422" s="17">
        <f>'[1]D4 Gallon Forecast'!$AK166/1000000</f>
        <v>0</v>
      </c>
      <c r="BC422" s="87">
        <f>'[1]D4 Gallon Forecast'!$AK342/1000000</f>
        <v>570.01234769929874</v>
      </c>
      <c r="BD422" s="88">
        <f>'[1]D4 Gallon Forecast'!$AK358/1000000</f>
        <v>0</v>
      </c>
      <c r="BE422" s="88">
        <f t="shared" si="248"/>
        <v>570.01234769929874</v>
      </c>
      <c r="BF422" s="76">
        <f t="shared" si="272"/>
        <v>992.77749362578697</v>
      </c>
      <c r="BG422" s="22">
        <f t="shared" si="273"/>
        <v>2.1533154265047645</v>
      </c>
      <c r="BI422" s="21">
        <f t="shared" si="281"/>
        <v>4702.9000000000005</v>
      </c>
      <c r="BJ422" s="21">
        <f t="shared" si="265"/>
        <v>725.54499999999825</v>
      </c>
      <c r="BK422" s="21">
        <f>'RD Feedstock Breakdown'!ES413</f>
        <v>17061.324524590709</v>
      </c>
      <c r="BL422" s="89">
        <f t="shared" si="271"/>
        <v>17.18544652163693</v>
      </c>
      <c r="BM422" s="89">
        <f t="shared" si="269"/>
        <v>40.356506890370255</v>
      </c>
    </row>
    <row r="423" spans="1:65" ht="13.5" x14ac:dyDescent="0.25">
      <c r="A423" s="15">
        <v>53022</v>
      </c>
      <c r="B423" s="20">
        <f t="shared" si="270"/>
        <v>690</v>
      </c>
      <c r="C423" s="74">
        <v>47</v>
      </c>
      <c r="D423" s="20">
        <f t="shared" si="261"/>
        <v>3</v>
      </c>
      <c r="E423" s="20">
        <f t="shared" si="275"/>
        <v>85</v>
      </c>
      <c r="F423" s="20">
        <f t="shared" si="246"/>
        <v>340</v>
      </c>
      <c r="G423" s="20">
        <f t="shared" si="260"/>
        <v>37.5</v>
      </c>
      <c r="H423" s="20">
        <f t="shared" si="239"/>
        <v>190</v>
      </c>
      <c r="I423" s="20">
        <f t="shared" si="274"/>
        <v>250</v>
      </c>
      <c r="J423" s="20">
        <f t="shared" si="266"/>
        <v>153.30000000000001</v>
      </c>
      <c r="K423" s="20">
        <f t="shared" si="276"/>
        <v>125</v>
      </c>
      <c r="L423" s="20">
        <v>125</v>
      </c>
      <c r="M423" s="20">
        <v>730</v>
      </c>
      <c r="N423" s="20">
        <f t="shared" si="255"/>
        <v>180</v>
      </c>
      <c r="O423" s="74">
        <v>375</v>
      </c>
      <c r="P423" s="20">
        <f t="shared" si="282"/>
        <v>50</v>
      </c>
      <c r="Q423" s="20">
        <f t="shared" si="283"/>
        <v>21</v>
      </c>
      <c r="R423" s="20">
        <v>100</v>
      </c>
      <c r="S423" s="20">
        <f t="shared" si="240"/>
        <v>60</v>
      </c>
      <c r="T423" s="20">
        <f t="shared" si="277"/>
        <v>36</v>
      </c>
      <c r="U423" s="20"/>
      <c r="V423" s="20">
        <f t="shared" si="253"/>
        <v>0</v>
      </c>
      <c r="W423" s="20">
        <f t="shared" ref="W423:W486" si="284">$W$5*$W$12</f>
        <v>20</v>
      </c>
      <c r="X423" s="20">
        <f t="shared" si="268"/>
        <v>0</v>
      </c>
      <c r="Y423" s="20">
        <f t="shared" si="279"/>
        <v>3.5</v>
      </c>
      <c r="Z423" s="20">
        <f t="shared" si="256"/>
        <v>230</v>
      </c>
      <c r="AA423" s="20">
        <f t="shared" si="278"/>
        <v>306</v>
      </c>
      <c r="AB423" s="20">
        <f t="shared" si="242"/>
        <v>60</v>
      </c>
      <c r="AC423" s="20">
        <f t="shared" si="249"/>
        <v>1.6</v>
      </c>
      <c r="AD423" s="20">
        <f t="shared" si="238"/>
        <v>180</v>
      </c>
      <c r="AE423" s="20">
        <f t="shared" si="241"/>
        <v>1.1000000000000001</v>
      </c>
      <c r="AF423" s="20">
        <f t="shared" si="245"/>
        <v>275</v>
      </c>
      <c r="AG423" s="20">
        <f t="shared" si="251"/>
        <v>18</v>
      </c>
      <c r="AH423" s="20">
        <f t="shared" si="243"/>
        <v>3</v>
      </c>
      <c r="AI423" s="20">
        <f t="shared" ref="AI423:AI486" si="285">$AI$5*$AI$12</f>
        <v>47</v>
      </c>
      <c r="AJ423" s="20">
        <f t="shared" si="258"/>
        <v>90</v>
      </c>
      <c r="AK423" s="20">
        <f t="shared" si="263"/>
        <v>14</v>
      </c>
      <c r="AL423" s="20">
        <f t="shared" si="259"/>
        <v>45</v>
      </c>
      <c r="AM423" s="20">
        <v>46</v>
      </c>
      <c r="AN423" s="20">
        <f t="shared" si="264"/>
        <v>0.75</v>
      </c>
      <c r="AO423" s="20">
        <f t="shared" si="262"/>
        <v>19</v>
      </c>
      <c r="AP423" s="20">
        <f t="shared" si="262"/>
        <v>19</v>
      </c>
      <c r="AQ423" s="20">
        <f t="shared" si="267"/>
        <v>5</v>
      </c>
      <c r="AR423" s="20">
        <f t="shared" si="254"/>
        <v>120</v>
      </c>
      <c r="AS423" s="20">
        <f t="shared" si="257"/>
        <v>120</v>
      </c>
      <c r="AT423" s="20">
        <f t="shared" si="250"/>
        <v>55</v>
      </c>
      <c r="AU423" s="20"/>
      <c r="AV423" s="20"/>
      <c r="AW423" s="20">
        <f t="shared" si="280"/>
        <v>5276.7500000000009</v>
      </c>
      <c r="AX423" s="86">
        <f t="shared" si="244"/>
        <v>5428.4449999999988</v>
      </c>
      <c r="AY423" s="17">
        <f>'[1]D4 Gallon Forecast'!$AK151/1000000</f>
        <v>0</v>
      </c>
      <c r="AZ423" s="17">
        <f>'[1]D4 Gallon Forecast'!$AK183/1000000</f>
        <v>445.28110524854759</v>
      </c>
      <c r="BA423" s="17">
        <f t="shared" si="247"/>
        <v>445.28110524854759</v>
      </c>
      <c r="BB423" s="17">
        <f>'[1]D4 Gallon Forecast'!$AK167/1000000</f>
        <v>0</v>
      </c>
      <c r="BC423" s="87">
        <f>'[1]D4 Gallon Forecast'!$AK343/1000000</f>
        <v>227.5082933043544</v>
      </c>
      <c r="BD423" s="88">
        <f>'[1]D4 Gallon Forecast'!$AK359/1000000</f>
        <v>0</v>
      </c>
      <c r="BE423" s="88">
        <f t="shared" si="248"/>
        <v>227.5082933043544</v>
      </c>
      <c r="BF423" s="76">
        <f t="shared" si="272"/>
        <v>672.78939855290196</v>
      </c>
      <c r="BG423" s="22">
        <f t="shared" si="273"/>
        <v>1.6156174326152679</v>
      </c>
      <c r="BI423" s="21">
        <f t="shared" si="281"/>
        <v>4702.9000000000005</v>
      </c>
      <c r="BJ423" s="21">
        <f t="shared" si="265"/>
        <v>725.54499999999825</v>
      </c>
      <c r="BK423" s="21">
        <f>'RD Feedstock Breakdown'!ES414</f>
        <v>8675.0270773328084</v>
      </c>
      <c r="BL423" s="89">
        <f t="shared" si="271"/>
        <v>12.894119758711811</v>
      </c>
      <c r="BM423" s="89">
        <f t="shared" si="269"/>
        <v>19.482136059850486</v>
      </c>
    </row>
    <row r="424" spans="1:65" ht="13.5" x14ac:dyDescent="0.25">
      <c r="A424" s="15">
        <v>53053</v>
      </c>
      <c r="B424" s="20">
        <f t="shared" si="270"/>
        <v>690</v>
      </c>
      <c r="C424" s="74">
        <v>47</v>
      </c>
      <c r="D424" s="20">
        <f t="shared" si="261"/>
        <v>3</v>
      </c>
      <c r="E424" s="20">
        <f t="shared" si="275"/>
        <v>85</v>
      </c>
      <c r="F424" s="20">
        <f t="shared" si="246"/>
        <v>340</v>
      </c>
      <c r="G424" s="20">
        <f t="shared" si="260"/>
        <v>37.5</v>
      </c>
      <c r="H424" s="20">
        <f t="shared" si="239"/>
        <v>190</v>
      </c>
      <c r="I424" s="20">
        <f t="shared" si="274"/>
        <v>250</v>
      </c>
      <c r="J424" s="20">
        <f t="shared" si="266"/>
        <v>153.30000000000001</v>
      </c>
      <c r="K424" s="20">
        <f t="shared" si="276"/>
        <v>125</v>
      </c>
      <c r="L424" s="20">
        <v>125</v>
      </c>
      <c r="M424" s="20">
        <v>730</v>
      </c>
      <c r="N424" s="20">
        <f t="shared" si="255"/>
        <v>180</v>
      </c>
      <c r="O424" s="74">
        <v>375</v>
      </c>
      <c r="P424" s="20">
        <f t="shared" si="282"/>
        <v>50</v>
      </c>
      <c r="Q424" s="20">
        <f t="shared" si="283"/>
        <v>21</v>
      </c>
      <c r="R424" s="20">
        <v>100</v>
      </c>
      <c r="S424" s="20">
        <f t="shared" si="240"/>
        <v>60</v>
      </c>
      <c r="T424" s="20">
        <f t="shared" si="277"/>
        <v>36</v>
      </c>
      <c r="U424" s="20"/>
      <c r="V424" s="20">
        <f t="shared" si="253"/>
        <v>0</v>
      </c>
      <c r="W424" s="20">
        <f t="shared" si="284"/>
        <v>20</v>
      </c>
      <c r="X424" s="20">
        <f t="shared" si="268"/>
        <v>0</v>
      </c>
      <c r="Y424" s="20">
        <f t="shared" si="279"/>
        <v>3.5</v>
      </c>
      <c r="Z424" s="20">
        <f t="shared" si="256"/>
        <v>230</v>
      </c>
      <c r="AA424" s="20">
        <f t="shared" si="278"/>
        <v>306</v>
      </c>
      <c r="AB424" s="20">
        <f t="shared" si="242"/>
        <v>60</v>
      </c>
      <c r="AC424" s="20">
        <f t="shared" si="249"/>
        <v>1.6</v>
      </c>
      <c r="AD424" s="20">
        <f t="shared" si="238"/>
        <v>180</v>
      </c>
      <c r="AE424" s="20">
        <f t="shared" si="241"/>
        <v>1.1000000000000001</v>
      </c>
      <c r="AF424" s="20">
        <f t="shared" si="245"/>
        <v>275</v>
      </c>
      <c r="AG424" s="20">
        <f t="shared" si="251"/>
        <v>18</v>
      </c>
      <c r="AH424" s="20">
        <f t="shared" si="243"/>
        <v>3</v>
      </c>
      <c r="AI424" s="20">
        <f t="shared" si="285"/>
        <v>47</v>
      </c>
      <c r="AJ424" s="20">
        <f t="shared" si="258"/>
        <v>90</v>
      </c>
      <c r="AK424" s="20">
        <f t="shared" si="263"/>
        <v>14</v>
      </c>
      <c r="AL424" s="20">
        <f t="shared" si="259"/>
        <v>45</v>
      </c>
      <c r="AM424" s="20">
        <v>46</v>
      </c>
      <c r="AN424" s="20">
        <f t="shared" si="264"/>
        <v>0.75</v>
      </c>
      <c r="AO424" s="20">
        <f t="shared" si="262"/>
        <v>19</v>
      </c>
      <c r="AP424" s="20">
        <f t="shared" si="262"/>
        <v>19</v>
      </c>
      <c r="AQ424" s="20">
        <f t="shared" si="267"/>
        <v>5</v>
      </c>
      <c r="AR424" s="20">
        <f t="shared" si="254"/>
        <v>120</v>
      </c>
      <c r="AS424" s="20">
        <f t="shared" si="257"/>
        <v>120</v>
      </c>
      <c r="AT424" s="20">
        <f t="shared" si="250"/>
        <v>55</v>
      </c>
      <c r="AU424" s="20"/>
      <c r="AV424" s="20"/>
      <c r="AW424" s="20">
        <f t="shared" si="280"/>
        <v>5276.7500000000009</v>
      </c>
      <c r="AX424" s="86">
        <f t="shared" si="244"/>
        <v>5428.4449999999988</v>
      </c>
      <c r="AY424" s="17">
        <f>'[1]D4 Gallon Forecast'!$AK152/1000000</f>
        <v>0</v>
      </c>
      <c r="AZ424" s="17">
        <f>'[1]D4 Gallon Forecast'!$AK184/1000000</f>
        <v>432.34601987435167</v>
      </c>
      <c r="BA424" s="17">
        <f t="shared" si="247"/>
        <v>432.34601987435167</v>
      </c>
      <c r="BB424" s="17">
        <f>'[1]D4 Gallon Forecast'!$AK168/1000000</f>
        <v>0</v>
      </c>
      <c r="BC424" s="87">
        <f>'[1]D4 Gallon Forecast'!$AK344/1000000</f>
        <v>365.17971984240518</v>
      </c>
      <c r="BD424" s="88">
        <f>'[1]D4 Gallon Forecast'!$AK360/1000000</f>
        <v>0</v>
      </c>
      <c r="BE424" s="88">
        <f t="shared" si="248"/>
        <v>365.17971984240518</v>
      </c>
      <c r="BF424" s="76">
        <f t="shared" si="272"/>
        <v>797.52573971675679</v>
      </c>
      <c r="BG424" s="22">
        <f t="shared" si="273"/>
        <v>1.7298181006247069</v>
      </c>
      <c r="BI424" s="21">
        <f t="shared" si="281"/>
        <v>4702.9000000000005</v>
      </c>
      <c r="BJ424" s="21">
        <f t="shared" si="265"/>
        <v>725.54499999999825</v>
      </c>
      <c r="BK424" s="21">
        <f>'RD Feedstock Breakdown'!ES415</f>
        <v>11010.278762631402</v>
      </c>
      <c r="BL424" s="89">
        <f t="shared" si="271"/>
        <v>13.805546597833606</v>
      </c>
      <c r="BM424" s="89">
        <f t="shared" si="269"/>
        <v>25.46635855658208</v>
      </c>
    </row>
    <row r="425" spans="1:65" ht="13.5" x14ac:dyDescent="0.25">
      <c r="A425" s="15">
        <v>53083</v>
      </c>
      <c r="B425" s="20">
        <f t="shared" si="270"/>
        <v>690</v>
      </c>
      <c r="C425" s="74">
        <v>47</v>
      </c>
      <c r="D425" s="20">
        <f t="shared" si="261"/>
        <v>3</v>
      </c>
      <c r="E425" s="20">
        <f t="shared" si="275"/>
        <v>85</v>
      </c>
      <c r="F425" s="20">
        <f t="shared" si="246"/>
        <v>340</v>
      </c>
      <c r="G425" s="20">
        <f t="shared" si="260"/>
        <v>37.5</v>
      </c>
      <c r="H425" s="20">
        <f t="shared" si="239"/>
        <v>190</v>
      </c>
      <c r="I425" s="20">
        <f t="shared" si="274"/>
        <v>250</v>
      </c>
      <c r="J425" s="20">
        <f t="shared" si="266"/>
        <v>153.30000000000001</v>
      </c>
      <c r="K425" s="20">
        <f t="shared" si="276"/>
        <v>125</v>
      </c>
      <c r="L425" s="20">
        <v>125</v>
      </c>
      <c r="M425" s="20">
        <v>730</v>
      </c>
      <c r="N425" s="20">
        <f t="shared" si="255"/>
        <v>180</v>
      </c>
      <c r="O425" s="74">
        <v>375</v>
      </c>
      <c r="P425" s="20">
        <f t="shared" si="282"/>
        <v>50</v>
      </c>
      <c r="Q425" s="20">
        <f t="shared" si="283"/>
        <v>21</v>
      </c>
      <c r="R425" s="20">
        <v>100</v>
      </c>
      <c r="S425" s="20">
        <f t="shared" si="240"/>
        <v>60</v>
      </c>
      <c r="T425" s="20">
        <f t="shared" si="277"/>
        <v>36</v>
      </c>
      <c r="U425" s="20"/>
      <c r="V425" s="20">
        <f t="shared" si="253"/>
        <v>0</v>
      </c>
      <c r="W425" s="20">
        <f t="shared" si="284"/>
        <v>20</v>
      </c>
      <c r="X425" s="20">
        <f t="shared" si="268"/>
        <v>0</v>
      </c>
      <c r="Y425" s="20">
        <f t="shared" si="279"/>
        <v>3.5</v>
      </c>
      <c r="Z425" s="20">
        <f t="shared" si="256"/>
        <v>230</v>
      </c>
      <c r="AA425" s="20">
        <f t="shared" si="278"/>
        <v>306</v>
      </c>
      <c r="AB425" s="20">
        <f t="shared" si="242"/>
        <v>60</v>
      </c>
      <c r="AC425" s="20">
        <f t="shared" si="249"/>
        <v>1.6</v>
      </c>
      <c r="AD425" s="20">
        <f t="shared" ref="AD425:AD488" si="286">150*$AD$12+(50*$AD$12)</f>
        <v>180</v>
      </c>
      <c r="AE425" s="20">
        <f t="shared" si="241"/>
        <v>1.1000000000000001</v>
      </c>
      <c r="AF425" s="20">
        <f t="shared" si="245"/>
        <v>275</v>
      </c>
      <c r="AG425" s="20">
        <f t="shared" si="251"/>
        <v>18</v>
      </c>
      <c r="AH425" s="20">
        <f t="shared" si="243"/>
        <v>3</v>
      </c>
      <c r="AI425" s="20">
        <f t="shared" si="285"/>
        <v>47</v>
      </c>
      <c r="AJ425" s="20">
        <f t="shared" si="258"/>
        <v>90</v>
      </c>
      <c r="AK425" s="20">
        <f t="shared" si="263"/>
        <v>14</v>
      </c>
      <c r="AL425" s="20">
        <f t="shared" si="259"/>
        <v>45</v>
      </c>
      <c r="AM425" s="20">
        <v>46</v>
      </c>
      <c r="AN425" s="20">
        <f t="shared" si="264"/>
        <v>0.75</v>
      </c>
      <c r="AO425" s="20">
        <f t="shared" si="262"/>
        <v>19</v>
      </c>
      <c r="AP425" s="20">
        <f t="shared" si="262"/>
        <v>19</v>
      </c>
      <c r="AQ425" s="20">
        <f t="shared" si="267"/>
        <v>5</v>
      </c>
      <c r="AR425" s="20">
        <f t="shared" si="254"/>
        <v>120</v>
      </c>
      <c r="AS425" s="20">
        <f t="shared" si="257"/>
        <v>120</v>
      </c>
      <c r="AT425" s="20">
        <f t="shared" si="250"/>
        <v>55</v>
      </c>
      <c r="AU425" s="20"/>
      <c r="AV425" s="20"/>
      <c r="AW425" s="20">
        <f t="shared" si="280"/>
        <v>5276.7500000000009</v>
      </c>
      <c r="AX425" s="86">
        <f t="shared" si="244"/>
        <v>5428.4449999999988</v>
      </c>
      <c r="AY425" s="17">
        <f>'[1]D4 Gallon Forecast'!$AK153/1000000</f>
        <v>0</v>
      </c>
      <c r="AZ425" s="17">
        <f>'[1]D4 Gallon Forecast'!$AK185/1000000</f>
        <v>482.97151326336501</v>
      </c>
      <c r="BA425" s="17">
        <f t="shared" si="247"/>
        <v>482.97151326336501</v>
      </c>
      <c r="BB425" s="17">
        <f>'[1]D4 Gallon Forecast'!$AK169/1000000</f>
        <v>0</v>
      </c>
      <c r="BC425" s="87">
        <f>'[1]D4 Gallon Forecast'!$AK345/1000000</f>
        <v>480.69618774489999</v>
      </c>
      <c r="BD425" s="88">
        <f>'[1]D4 Gallon Forecast'!$AK361/1000000</f>
        <v>0</v>
      </c>
      <c r="BE425" s="88">
        <f t="shared" si="248"/>
        <v>480.69618774489999</v>
      </c>
      <c r="BF425" s="76">
        <f t="shared" si="272"/>
        <v>963.667701008265</v>
      </c>
      <c r="BG425" s="22">
        <f t="shared" si="273"/>
        <v>2.1598494035770024</v>
      </c>
      <c r="BI425" s="21">
        <f t="shared" si="281"/>
        <v>4702.9000000000005</v>
      </c>
      <c r="BJ425" s="21">
        <f t="shared" si="265"/>
        <v>725.54499999999825</v>
      </c>
      <c r="BK425" s="21">
        <f>'RD Feedstock Breakdown'!ES416</f>
        <v>16611.312287287245</v>
      </c>
      <c r="BL425" s="89">
        <f t="shared" si="271"/>
        <v>17.237593695323795</v>
      </c>
      <c r="BM425" s="89">
        <f t="shared" si="269"/>
        <v>34.393979419297708</v>
      </c>
    </row>
    <row r="426" spans="1:65" ht="13.5" x14ac:dyDescent="0.25">
      <c r="A426" s="15">
        <v>53114</v>
      </c>
      <c r="B426" s="20">
        <f t="shared" si="270"/>
        <v>690</v>
      </c>
      <c r="C426" s="74">
        <v>47</v>
      </c>
      <c r="D426" s="20">
        <f t="shared" si="261"/>
        <v>3</v>
      </c>
      <c r="E426" s="20">
        <f t="shared" si="275"/>
        <v>85</v>
      </c>
      <c r="F426" s="20">
        <f t="shared" si="246"/>
        <v>340</v>
      </c>
      <c r="G426" s="20">
        <f t="shared" si="260"/>
        <v>37.5</v>
      </c>
      <c r="H426" s="20">
        <f t="shared" ref="H426:H489" si="287">50+((200*$H$12)*1)</f>
        <v>190</v>
      </c>
      <c r="I426" s="20">
        <f t="shared" si="274"/>
        <v>250</v>
      </c>
      <c r="J426" s="20">
        <f t="shared" si="266"/>
        <v>153.30000000000001</v>
      </c>
      <c r="K426" s="20">
        <f t="shared" si="276"/>
        <v>125</v>
      </c>
      <c r="L426" s="20">
        <v>125</v>
      </c>
      <c r="M426" s="20">
        <v>730</v>
      </c>
      <c r="N426" s="20">
        <f t="shared" si="255"/>
        <v>180</v>
      </c>
      <c r="O426" s="74">
        <v>375</v>
      </c>
      <c r="P426" s="20">
        <f t="shared" si="282"/>
        <v>50</v>
      </c>
      <c r="Q426" s="20">
        <f t="shared" si="283"/>
        <v>21</v>
      </c>
      <c r="R426" s="20">
        <v>100</v>
      </c>
      <c r="S426" s="20">
        <f t="shared" si="240"/>
        <v>60</v>
      </c>
      <c r="T426" s="20">
        <f t="shared" si="277"/>
        <v>36</v>
      </c>
      <c r="U426" s="20"/>
      <c r="V426" s="20">
        <f t="shared" si="253"/>
        <v>0</v>
      </c>
      <c r="W426" s="20">
        <f t="shared" si="284"/>
        <v>20</v>
      </c>
      <c r="X426" s="20">
        <f t="shared" si="268"/>
        <v>0</v>
      </c>
      <c r="Y426" s="20">
        <f t="shared" si="279"/>
        <v>3.5</v>
      </c>
      <c r="Z426" s="20">
        <f t="shared" si="256"/>
        <v>230</v>
      </c>
      <c r="AA426" s="20">
        <f t="shared" si="278"/>
        <v>306</v>
      </c>
      <c r="AB426" s="20">
        <f t="shared" si="242"/>
        <v>60</v>
      </c>
      <c r="AC426" s="20">
        <f t="shared" si="249"/>
        <v>1.6</v>
      </c>
      <c r="AD426" s="20">
        <f t="shared" si="286"/>
        <v>180</v>
      </c>
      <c r="AE426" s="20">
        <f t="shared" si="241"/>
        <v>1.1000000000000001</v>
      </c>
      <c r="AF426" s="20">
        <f t="shared" si="245"/>
        <v>275</v>
      </c>
      <c r="AG426" s="20">
        <f t="shared" si="251"/>
        <v>18</v>
      </c>
      <c r="AH426" s="20">
        <f t="shared" si="243"/>
        <v>3</v>
      </c>
      <c r="AI426" s="20">
        <f t="shared" si="285"/>
        <v>47</v>
      </c>
      <c r="AJ426" s="20">
        <f t="shared" si="258"/>
        <v>90</v>
      </c>
      <c r="AK426" s="20">
        <f t="shared" si="263"/>
        <v>14</v>
      </c>
      <c r="AL426" s="20">
        <f t="shared" si="259"/>
        <v>45</v>
      </c>
      <c r="AM426" s="20">
        <v>46</v>
      </c>
      <c r="AN426" s="20">
        <f t="shared" si="264"/>
        <v>0.75</v>
      </c>
      <c r="AO426" s="20">
        <f t="shared" si="262"/>
        <v>19</v>
      </c>
      <c r="AP426" s="20">
        <f t="shared" si="262"/>
        <v>19</v>
      </c>
      <c r="AQ426" s="20">
        <f t="shared" si="267"/>
        <v>5</v>
      </c>
      <c r="AR426" s="20">
        <f t="shared" si="254"/>
        <v>120</v>
      </c>
      <c r="AS426" s="20">
        <f t="shared" si="257"/>
        <v>120</v>
      </c>
      <c r="AT426" s="20">
        <f t="shared" si="250"/>
        <v>55</v>
      </c>
      <c r="AU426" s="20"/>
      <c r="AV426" s="20"/>
      <c r="AW426" s="20">
        <f t="shared" si="280"/>
        <v>5276.7500000000009</v>
      </c>
      <c r="AX426" s="86">
        <f t="shared" si="244"/>
        <v>5428.4449999999988</v>
      </c>
      <c r="AY426" s="17">
        <f>'[1]D4 Gallon Forecast'!$AK154/1000000</f>
        <v>0</v>
      </c>
      <c r="AZ426" s="17">
        <f>'[1]D4 Gallon Forecast'!$AK186/1000000</f>
        <v>479.03210111532678</v>
      </c>
      <c r="BA426" s="17">
        <f t="shared" si="247"/>
        <v>479.03210111532678</v>
      </c>
      <c r="BB426" s="17">
        <f>'[1]D4 Gallon Forecast'!$AK170/1000000</f>
        <v>0</v>
      </c>
      <c r="BC426" s="87">
        <f>'[1]D4 Gallon Forecast'!$AK346/1000000</f>
        <v>458.55133662133386</v>
      </c>
      <c r="BD426" s="88">
        <f>'[1]D4 Gallon Forecast'!$AK362/1000000</f>
        <v>0</v>
      </c>
      <c r="BE426" s="88">
        <f t="shared" si="248"/>
        <v>458.55133662133386</v>
      </c>
      <c r="BF426" s="76">
        <f t="shared" si="272"/>
        <v>937.5834377366607</v>
      </c>
      <c r="BG426" s="22">
        <f t="shared" si="273"/>
        <v>2.0336005732163791</v>
      </c>
      <c r="BI426" s="21">
        <f t="shared" si="281"/>
        <v>4702.9000000000005</v>
      </c>
      <c r="BJ426" s="21">
        <f t="shared" si="265"/>
        <v>725.54499999999825</v>
      </c>
      <c r="BK426" s="21">
        <f>'RD Feedstock Breakdown'!ES417</f>
        <v>15216.989873082106</v>
      </c>
      <c r="BL426" s="89">
        <f t="shared" si="271"/>
        <v>16.230011389510175</v>
      </c>
      <c r="BM426" s="89">
        <f t="shared" si="269"/>
        <v>31.766117213548956</v>
      </c>
    </row>
    <row r="427" spans="1:65" ht="13.5" x14ac:dyDescent="0.25">
      <c r="A427" s="15">
        <v>53144</v>
      </c>
      <c r="B427" s="20">
        <f t="shared" si="270"/>
        <v>690</v>
      </c>
      <c r="C427" s="74">
        <v>47</v>
      </c>
      <c r="D427" s="20">
        <f t="shared" si="261"/>
        <v>3</v>
      </c>
      <c r="E427" s="20">
        <f t="shared" si="275"/>
        <v>85</v>
      </c>
      <c r="F427" s="20">
        <f t="shared" si="246"/>
        <v>340</v>
      </c>
      <c r="G427" s="20">
        <f t="shared" si="260"/>
        <v>37.5</v>
      </c>
      <c r="H427" s="20">
        <f t="shared" si="287"/>
        <v>190</v>
      </c>
      <c r="I427" s="20">
        <f t="shared" si="274"/>
        <v>250</v>
      </c>
      <c r="J427" s="20">
        <f t="shared" si="266"/>
        <v>153.30000000000001</v>
      </c>
      <c r="K427" s="20">
        <f t="shared" si="276"/>
        <v>125</v>
      </c>
      <c r="L427" s="20">
        <v>125</v>
      </c>
      <c r="M427" s="20">
        <v>730</v>
      </c>
      <c r="N427" s="20">
        <f t="shared" si="255"/>
        <v>180</v>
      </c>
      <c r="O427" s="74">
        <v>375</v>
      </c>
      <c r="P427" s="20">
        <f t="shared" si="282"/>
        <v>50</v>
      </c>
      <c r="Q427" s="20">
        <f t="shared" si="283"/>
        <v>21</v>
      </c>
      <c r="R427" s="20">
        <v>100</v>
      </c>
      <c r="S427" s="20">
        <f t="shared" si="240"/>
        <v>60</v>
      </c>
      <c r="T427" s="20">
        <f t="shared" si="277"/>
        <v>36</v>
      </c>
      <c r="U427" s="20"/>
      <c r="V427" s="20">
        <f t="shared" si="253"/>
        <v>0</v>
      </c>
      <c r="W427" s="20">
        <f t="shared" si="284"/>
        <v>20</v>
      </c>
      <c r="X427" s="20">
        <f t="shared" si="268"/>
        <v>0</v>
      </c>
      <c r="Y427" s="20">
        <f t="shared" si="279"/>
        <v>3.5</v>
      </c>
      <c r="Z427" s="20">
        <f t="shared" si="256"/>
        <v>230</v>
      </c>
      <c r="AA427" s="20">
        <f t="shared" si="278"/>
        <v>306</v>
      </c>
      <c r="AB427" s="20">
        <f t="shared" si="242"/>
        <v>60</v>
      </c>
      <c r="AC427" s="20">
        <f t="shared" si="249"/>
        <v>1.6</v>
      </c>
      <c r="AD427" s="20">
        <f t="shared" si="286"/>
        <v>180</v>
      </c>
      <c r="AE427" s="20">
        <f t="shared" si="241"/>
        <v>1.1000000000000001</v>
      </c>
      <c r="AF427" s="20">
        <f t="shared" si="245"/>
        <v>275</v>
      </c>
      <c r="AG427" s="20">
        <f t="shared" si="251"/>
        <v>18</v>
      </c>
      <c r="AH427" s="20">
        <f t="shared" si="243"/>
        <v>3</v>
      </c>
      <c r="AI427" s="20">
        <f t="shared" si="285"/>
        <v>47</v>
      </c>
      <c r="AJ427" s="20">
        <f t="shared" si="258"/>
        <v>90</v>
      </c>
      <c r="AK427" s="20">
        <f t="shared" si="263"/>
        <v>14</v>
      </c>
      <c r="AL427" s="20">
        <f t="shared" si="259"/>
        <v>45</v>
      </c>
      <c r="AM427" s="20">
        <v>46</v>
      </c>
      <c r="AN427" s="20">
        <f t="shared" si="264"/>
        <v>0.75</v>
      </c>
      <c r="AO427" s="20">
        <f t="shared" si="262"/>
        <v>19</v>
      </c>
      <c r="AP427" s="20">
        <f t="shared" si="262"/>
        <v>19</v>
      </c>
      <c r="AQ427" s="20">
        <f t="shared" si="267"/>
        <v>5</v>
      </c>
      <c r="AR427" s="20">
        <f t="shared" si="254"/>
        <v>120</v>
      </c>
      <c r="AS427" s="20">
        <f t="shared" si="257"/>
        <v>120</v>
      </c>
      <c r="AT427" s="20">
        <f t="shared" si="250"/>
        <v>55</v>
      </c>
      <c r="AU427" s="20"/>
      <c r="AV427" s="20"/>
      <c r="AW427" s="20">
        <f t="shared" si="280"/>
        <v>5276.7500000000009</v>
      </c>
      <c r="AX427" s="86">
        <f t="shared" si="244"/>
        <v>5428.4449999999988</v>
      </c>
      <c r="AY427" s="17">
        <f>'[1]D4 Gallon Forecast'!$AK155/1000000</f>
        <v>0</v>
      </c>
      <c r="AZ427" s="17">
        <f>'[1]D4 Gallon Forecast'!$AK187/1000000</f>
        <v>469.18643929817256</v>
      </c>
      <c r="BA427" s="17">
        <f t="shared" si="247"/>
        <v>469.18643929817256</v>
      </c>
      <c r="BB427" s="17">
        <f>'[1]D4 Gallon Forecast'!$AK171/1000000</f>
        <v>0</v>
      </c>
      <c r="BC427" s="87">
        <f>'[1]D4 Gallon Forecast'!$AK347/1000000</f>
        <v>498.80464153052043</v>
      </c>
      <c r="BD427" s="88">
        <f>'[1]D4 Gallon Forecast'!$AK363/1000000</f>
        <v>0</v>
      </c>
      <c r="BE427" s="88">
        <f t="shared" si="248"/>
        <v>498.80464153052043</v>
      </c>
      <c r="BF427" s="76">
        <f t="shared" si="272"/>
        <v>967.99108082869293</v>
      </c>
      <c r="BG427" s="22">
        <f t="shared" si="273"/>
        <v>2.1695393094613835</v>
      </c>
      <c r="BI427" s="21">
        <f t="shared" si="281"/>
        <v>4702.9000000000005</v>
      </c>
      <c r="BJ427" s="21">
        <f t="shared" si="265"/>
        <v>725.54499999999825</v>
      </c>
      <c r="BK427" s="21">
        <f>'RD Feedstock Breakdown'!ES418</f>
        <v>16760.695962747555</v>
      </c>
      <c r="BL427" s="89">
        <f t="shared" si="271"/>
        <v>17.314928096650227</v>
      </c>
      <c r="BM427" s="89">
        <f t="shared" si="269"/>
        <v>35.722890857243996</v>
      </c>
    </row>
    <row r="428" spans="1:65" ht="13.5" x14ac:dyDescent="0.25">
      <c r="A428" s="15">
        <v>53175</v>
      </c>
      <c r="B428" s="20">
        <f t="shared" si="270"/>
        <v>690</v>
      </c>
      <c r="C428" s="74">
        <v>47</v>
      </c>
      <c r="D428" s="20">
        <f t="shared" si="261"/>
        <v>3</v>
      </c>
      <c r="E428" s="20">
        <f t="shared" si="275"/>
        <v>85</v>
      </c>
      <c r="F428" s="20">
        <f t="shared" si="246"/>
        <v>340</v>
      </c>
      <c r="G428" s="20">
        <f t="shared" si="260"/>
        <v>37.5</v>
      </c>
      <c r="H428" s="20">
        <f t="shared" si="287"/>
        <v>190</v>
      </c>
      <c r="I428" s="20">
        <f t="shared" si="274"/>
        <v>250</v>
      </c>
      <c r="J428" s="20">
        <f t="shared" si="266"/>
        <v>153.30000000000001</v>
      </c>
      <c r="K428" s="20">
        <f t="shared" si="276"/>
        <v>125</v>
      </c>
      <c r="L428" s="20">
        <v>125</v>
      </c>
      <c r="M428" s="20">
        <v>730</v>
      </c>
      <c r="N428" s="20">
        <f t="shared" si="255"/>
        <v>180</v>
      </c>
      <c r="O428" s="74">
        <v>375</v>
      </c>
      <c r="P428" s="20">
        <f t="shared" si="282"/>
        <v>50</v>
      </c>
      <c r="Q428" s="20">
        <f t="shared" si="283"/>
        <v>21</v>
      </c>
      <c r="R428" s="20">
        <v>100</v>
      </c>
      <c r="S428" s="20">
        <f t="shared" si="240"/>
        <v>60</v>
      </c>
      <c r="T428" s="20">
        <f t="shared" si="277"/>
        <v>36</v>
      </c>
      <c r="U428" s="20"/>
      <c r="V428" s="20">
        <f t="shared" si="253"/>
        <v>0</v>
      </c>
      <c r="W428" s="20">
        <f t="shared" si="284"/>
        <v>20</v>
      </c>
      <c r="X428" s="20">
        <f t="shared" si="268"/>
        <v>0</v>
      </c>
      <c r="Y428" s="20">
        <f t="shared" si="279"/>
        <v>3.5</v>
      </c>
      <c r="Z428" s="20">
        <f t="shared" si="256"/>
        <v>230</v>
      </c>
      <c r="AA428" s="20">
        <f t="shared" si="278"/>
        <v>306</v>
      </c>
      <c r="AB428" s="20">
        <f t="shared" si="242"/>
        <v>60</v>
      </c>
      <c r="AC428" s="20">
        <f t="shared" si="249"/>
        <v>1.6</v>
      </c>
      <c r="AD428" s="20">
        <f t="shared" si="286"/>
        <v>180</v>
      </c>
      <c r="AE428" s="20">
        <f t="shared" si="241"/>
        <v>1.1000000000000001</v>
      </c>
      <c r="AF428" s="20">
        <f t="shared" si="245"/>
        <v>275</v>
      </c>
      <c r="AG428" s="20">
        <f t="shared" si="251"/>
        <v>18</v>
      </c>
      <c r="AH428" s="20">
        <f t="shared" si="243"/>
        <v>3</v>
      </c>
      <c r="AI428" s="20">
        <f t="shared" si="285"/>
        <v>47</v>
      </c>
      <c r="AJ428" s="20">
        <f t="shared" si="258"/>
        <v>90</v>
      </c>
      <c r="AK428" s="20">
        <f t="shared" si="263"/>
        <v>14</v>
      </c>
      <c r="AL428" s="20">
        <f t="shared" si="259"/>
        <v>45</v>
      </c>
      <c r="AM428" s="20">
        <v>46</v>
      </c>
      <c r="AN428" s="20">
        <f t="shared" si="264"/>
        <v>0.75</v>
      </c>
      <c r="AO428" s="20">
        <f t="shared" si="262"/>
        <v>19</v>
      </c>
      <c r="AP428" s="20">
        <f t="shared" si="262"/>
        <v>19</v>
      </c>
      <c r="AQ428" s="20">
        <f t="shared" si="267"/>
        <v>5</v>
      </c>
      <c r="AR428" s="20">
        <f t="shared" si="254"/>
        <v>120</v>
      </c>
      <c r="AS428" s="20">
        <f t="shared" si="257"/>
        <v>120</v>
      </c>
      <c r="AT428" s="20">
        <f t="shared" si="250"/>
        <v>55</v>
      </c>
      <c r="AU428" s="20"/>
      <c r="AV428" s="20"/>
      <c r="AW428" s="20">
        <f t="shared" si="280"/>
        <v>5276.7500000000009</v>
      </c>
      <c r="AX428" s="86">
        <f t="shared" si="244"/>
        <v>5428.4449999999988</v>
      </c>
      <c r="AY428" s="17">
        <f>'[1]D4 Gallon Forecast'!$AK156/1000000</f>
        <v>0</v>
      </c>
      <c r="AZ428" s="17">
        <f>'[1]D4 Gallon Forecast'!$AK188/1000000</f>
        <v>475.90074785890772</v>
      </c>
      <c r="BA428" s="17">
        <f t="shared" si="247"/>
        <v>475.90074785890772</v>
      </c>
      <c r="BB428" s="17">
        <f>'[1]D4 Gallon Forecast'!$AK172/1000000</f>
        <v>0</v>
      </c>
      <c r="BC428" s="87">
        <f>'[1]D4 Gallon Forecast'!$AK348/1000000</f>
        <v>543.11510644728867</v>
      </c>
      <c r="BD428" s="88">
        <f>'[1]D4 Gallon Forecast'!$AK364/1000000</f>
        <v>0</v>
      </c>
      <c r="BE428" s="88">
        <f t="shared" si="248"/>
        <v>543.11510644728867</v>
      </c>
      <c r="BF428" s="76">
        <f t="shared" si="272"/>
        <v>1019.0158543061964</v>
      </c>
      <c r="BG428" s="22">
        <f t="shared" si="273"/>
        <v>2.2102259297968732</v>
      </c>
      <c r="BI428" s="21">
        <f t="shared" si="281"/>
        <v>4702.9000000000005</v>
      </c>
      <c r="BJ428" s="21">
        <f t="shared" si="265"/>
        <v>725.54499999999825</v>
      </c>
      <c r="BK428" s="21">
        <f>'RD Feedstock Breakdown'!ES419</f>
        <v>17975.077834478801</v>
      </c>
      <c r="BL428" s="89">
        <f t="shared" si="271"/>
        <v>17.639644916729239</v>
      </c>
      <c r="BM428" s="89">
        <f t="shared" si="269"/>
        <v>37.770644226446869</v>
      </c>
    </row>
    <row r="429" spans="1:65" ht="13.5" x14ac:dyDescent="0.25">
      <c r="A429" s="15">
        <v>53206</v>
      </c>
      <c r="B429" s="20">
        <f t="shared" si="270"/>
        <v>690</v>
      </c>
      <c r="C429" s="74">
        <v>47</v>
      </c>
      <c r="D429" s="20">
        <f t="shared" si="261"/>
        <v>3</v>
      </c>
      <c r="E429" s="20">
        <f t="shared" si="275"/>
        <v>85</v>
      </c>
      <c r="F429" s="20">
        <f t="shared" si="246"/>
        <v>340</v>
      </c>
      <c r="G429" s="20">
        <f t="shared" si="260"/>
        <v>37.5</v>
      </c>
      <c r="H429" s="20">
        <f t="shared" si="287"/>
        <v>190</v>
      </c>
      <c r="I429" s="20">
        <f t="shared" si="274"/>
        <v>250</v>
      </c>
      <c r="J429" s="20">
        <f t="shared" si="266"/>
        <v>153.30000000000001</v>
      </c>
      <c r="K429" s="20">
        <f t="shared" si="276"/>
        <v>125</v>
      </c>
      <c r="L429" s="20">
        <v>125</v>
      </c>
      <c r="M429" s="20">
        <v>730</v>
      </c>
      <c r="N429" s="20">
        <f t="shared" si="255"/>
        <v>180</v>
      </c>
      <c r="O429" s="74">
        <v>375</v>
      </c>
      <c r="P429" s="20">
        <f t="shared" si="282"/>
        <v>50</v>
      </c>
      <c r="Q429" s="20">
        <f t="shared" si="283"/>
        <v>21</v>
      </c>
      <c r="R429" s="20">
        <v>100</v>
      </c>
      <c r="S429" s="20">
        <f t="shared" si="240"/>
        <v>60</v>
      </c>
      <c r="T429" s="20">
        <f t="shared" si="277"/>
        <v>36</v>
      </c>
      <c r="U429" s="20"/>
      <c r="V429" s="20">
        <f t="shared" si="253"/>
        <v>0</v>
      </c>
      <c r="W429" s="20">
        <f t="shared" si="284"/>
        <v>20</v>
      </c>
      <c r="X429" s="20">
        <f t="shared" si="268"/>
        <v>0</v>
      </c>
      <c r="Y429" s="20">
        <f t="shared" si="279"/>
        <v>3.5</v>
      </c>
      <c r="Z429" s="20">
        <f t="shared" si="256"/>
        <v>230</v>
      </c>
      <c r="AA429" s="20">
        <f t="shared" si="278"/>
        <v>306</v>
      </c>
      <c r="AB429" s="20">
        <f t="shared" si="242"/>
        <v>60</v>
      </c>
      <c r="AC429" s="20">
        <f t="shared" si="249"/>
        <v>1.6</v>
      </c>
      <c r="AD429" s="20">
        <f t="shared" si="286"/>
        <v>180</v>
      </c>
      <c r="AE429" s="20">
        <f t="shared" si="241"/>
        <v>1.1000000000000001</v>
      </c>
      <c r="AF429" s="20">
        <f t="shared" si="245"/>
        <v>275</v>
      </c>
      <c r="AG429" s="20">
        <f t="shared" si="251"/>
        <v>18</v>
      </c>
      <c r="AH429" s="20">
        <f t="shared" si="243"/>
        <v>3</v>
      </c>
      <c r="AI429" s="20">
        <f t="shared" si="285"/>
        <v>47</v>
      </c>
      <c r="AJ429" s="20">
        <f t="shared" si="258"/>
        <v>90</v>
      </c>
      <c r="AK429" s="20">
        <f t="shared" si="263"/>
        <v>14</v>
      </c>
      <c r="AL429" s="20">
        <f t="shared" si="259"/>
        <v>45</v>
      </c>
      <c r="AM429" s="20">
        <v>46</v>
      </c>
      <c r="AN429" s="20">
        <f t="shared" si="264"/>
        <v>0.75</v>
      </c>
      <c r="AO429" s="20">
        <f t="shared" si="262"/>
        <v>19</v>
      </c>
      <c r="AP429" s="20">
        <f t="shared" si="262"/>
        <v>19</v>
      </c>
      <c r="AQ429" s="20">
        <f t="shared" si="267"/>
        <v>5</v>
      </c>
      <c r="AR429" s="20">
        <f t="shared" si="254"/>
        <v>120</v>
      </c>
      <c r="AS429" s="20">
        <f t="shared" si="257"/>
        <v>120</v>
      </c>
      <c r="AT429" s="20">
        <f t="shared" si="250"/>
        <v>55</v>
      </c>
      <c r="AU429" s="20"/>
      <c r="AV429" s="20"/>
      <c r="AW429" s="20">
        <f t="shared" si="280"/>
        <v>5276.7500000000009</v>
      </c>
      <c r="AX429" s="86">
        <f t="shared" si="244"/>
        <v>5428.4449999999988</v>
      </c>
      <c r="AY429" s="17">
        <f>'[1]D4 Gallon Forecast'!$AK157/1000000</f>
        <v>0</v>
      </c>
      <c r="AZ429" s="17">
        <f>'[1]D4 Gallon Forecast'!$AK189/1000000</f>
        <v>484.574413412745</v>
      </c>
      <c r="BA429" s="17">
        <f t="shared" si="247"/>
        <v>484.574413412745</v>
      </c>
      <c r="BB429" s="17">
        <f>'[1]D4 Gallon Forecast'!$AK173/1000000</f>
        <v>0</v>
      </c>
      <c r="BC429" s="87">
        <f>'[1]D4 Gallon Forecast'!$AK349/1000000</f>
        <v>660.55718206234701</v>
      </c>
      <c r="BD429" s="88">
        <f>'[1]D4 Gallon Forecast'!$AK365/1000000</f>
        <v>0</v>
      </c>
      <c r="BE429" s="88">
        <f t="shared" si="248"/>
        <v>660.55718206234701</v>
      </c>
      <c r="BF429" s="76">
        <f t="shared" si="272"/>
        <v>1145.1315954750921</v>
      </c>
      <c r="BG429" s="22">
        <f t="shared" si="273"/>
        <v>2.483768564201545</v>
      </c>
      <c r="BI429" s="21">
        <f t="shared" si="281"/>
        <v>4702.9000000000005</v>
      </c>
      <c r="BJ429" s="21">
        <f t="shared" si="265"/>
        <v>725.54499999999825</v>
      </c>
      <c r="BK429" s="21">
        <f>'RD Feedstock Breakdown'!ES420</f>
        <v>22699.677787981331</v>
      </c>
      <c r="BL429" s="89">
        <f t="shared" si="271"/>
        <v>19.822767861508257</v>
      </c>
      <c r="BM429" s="89">
        <f t="shared" si="269"/>
        <v>46.844565374619712</v>
      </c>
    </row>
    <row r="430" spans="1:65" ht="13.5" x14ac:dyDescent="0.25">
      <c r="A430" s="15">
        <v>53236</v>
      </c>
      <c r="B430" s="20">
        <f t="shared" si="270"/>
        <v>690</v>
      </c>
      <c r="C430" s="74">
        <v>47</v>
      </c>
      <c r="D430" s="20">
        <f t="shared" si="261"/>
        <v>3</v>
      </c>
      <c r="E430" s="20">
        <f t="shared" si="275"/>
        <v>85</v>
      </c>
      <c r="F430" s="20">
        <f t="shared" si="246"/>
        <v>340</v>
      </c>
      <c r="G430" s="20">
        <f t="shared" si="260"/>
        <v>37.5</v>
      </c>
      <c r="H430" s="20">
        <f t="shared" si="287"/>
        <v>190</v>
      </c>
      <c r="I430" s="20">
        <f t="shared" si="274"/>
        <v>250</v>
      </c>
      <c r="J430" s="20">
        <f t="shared" si="266"/>
        <v>153.30000000000001</v>
      </c>
      <c r="K430" s="20">
        <f t="shared" si="276"/>
        <v>125</v>
      </c>
      <c r="L430" s="20">
        <v>125</v>
      </c>
      <c r="M430" s="20">
        <v>730</v>
      </c>
      <c r="N430" s="20">
        <f t="shared" si="255"/>
        <v>180</v>
      </c>
      <c r="O430" s="74">
        <v>375</v>
      </c>
      <c r="P430" s="20">
        <f t="shared" si="282"/>
        <v>50</v>
      </c>
      <c r="Q430" s="20">
        <f t="shared" si="283"/>
        <v>21</v>
      </c>
      <c r="R430" s="20">
        <v>100</v>
      </c>
      <c r="S430" s="20">
        <f t="shared" ref="S430:S493" si="288">150*$S$12</f>
        <v>60</v>
      </c>
      <c r="T430" s="20">
        <f t="shared" si="277"/>
        <v>36</v>
      </c>
      <c r="U430" s="20"/>
      <c r="V430" s="20">
        <f t="shared" si="253"/>
        <v>0</v>
      </c>
      <c r="W430" s="20">
        <f t="shared" si="284"/>
        <v>20</v>
      </c>
      <c r="X430" s="20">
        <f t="shared" si="268"/>
        <v>0</v>
      </c>
      <c r="Y430" s="20">
        <f t="shared" si="279"/>
        <v>3.5</v>
      </c>
      <c r="Z430" s="20">
        <f t="shared" si="256"/>
        <v>230</v>
      </c>
      <c r="AA430" s="20">
        <f t="shared" si="278"/>
        <v>306</v>
      </c>
      <c r="AB430" s="20">
        <f t="shared" si="242"/>
        <v>60</v>
      </c>
      <c r="AC430" s="20">
        <f t="shared" si="249"/>
        <v>1.6</v>
      </c>
      <c r="AD430" s="20">
        <f t="shared" si="286"/>
        <v>180</v>
      </c>
      <c r="AE430" s="20">
        <f t="shared" si="241"/>
        <v>1.1000000000000001</v>
      </c>
      <c r="AF430" s="20">
        <f t="shared" si="245"/>
        <v>275</v>
      </c>
      <c r="AG430" s="20">
        <f t="shared" si="251"/>
        <v>18</v>
      </c>
      <c r="AH430" s="20">
        <f t="shared" si="243"/>
        <v>3</v>
      </c>
      <c r="AI430" s="20">
        <f t="shared" si="285"/>
        <v>47</v>
      </c>
      <c r="AJ430" s="20">
        <f t="shared" si="258"/>
        <v>90</v>
      </c>
      <c r="AK430" s="20">
        <f t="shared" si="263"/>
        <v>14</v>
      </c>
      <c r="AL430" s="20">
        <f t="shared" si="259"/>
        <v>45</v>
      </c>
      <c r="AM430" s="20">
        <v>46</v>
      </c>
      <c r="AN430" s="20">
        <f t="shared" si="264"/>
        <v>0.75</v>
      </c>
      <c r="AO430" s="20">
        <f t="shared" si="262"/>
        <v>19</v>
      </c>
      <c r="AP430" s="20">
        <f t="shared" si="262"/>
        <v>19</v>
      </c>
      <c r="AQ430" s="20">
        <f t="shared" si="267"/>
        <v>5</v>
      </c>
      <c r="AR430" s="20">
        <f t="shared" si="254"/>
        <v>120</v>
      </c>
      <c r="AS430" s="20">
        <f t="shared" si="257"/>
        <v>120</v>
      </c>
      <c r="AT430" s="20">
        <f t="shared" si="250"/>
        <v>55</v>
      </c>
      <c r="AU430" s="20"/>
      <c r="AV430" s="20"/>
      <c r="AW430" s="20">
        <f t="shared" si="280"/>
        <v>5276.7500000000009</v>
      </c>
      <c r="AX430" s="86">
        <f t="shared" si="244"/>
        <v>5428.4449999999988</v>
      </c>
      <c r="AY430" s="17">
        <f>'[1]D4 Gallon Forecast'!$AK158/1000000</f>
        <v>0</v>
      </c>
      <c r="AZ430" s="17">
        <f>'[1]D4 Gallon Forecast'!$AK190/1000000</f>
        <v>532.48305546495385</v>
      </c>
      <c r="BA430" s="17">
        <f t="shared" si="247"/>
        <v>532.48305546495385</v>
      </c>
      <c r="BB430" s="17">
        <f>'[1]D4 Gallon Forecast'!$AK174/1000000</f>
        <v>0</v>
      </c>
      <c r="BC430" s="87">
        <f>'[1]D4 Gallon Forecast'!$AK350/1000000</f>
        <v>644.97298462789979</v>
      </c>
      <c r="BD430" s="88">
        <f>'[1]D4 Gallon Forecast'!$AK366/1000000</f>
        <v>0</v>
      </c>
      <c r="BE430" s="88">
        <f t="shared" si="248"/>
        <v>644.97298462789979</v>
      </c>
      <c r="BF430" s="76">
        <f t="shared" si="272"/>
        <v>1177.4560400928535</v>
      </c>
      <c r="BG430" s="22">
        <f t="shared" si="273"/>
        <v>2.6390089895841355</v>
      </c>
      <c r="BI430" s="21">
        <f t="shared" si="281"/>
        <v>4702.9000000000005</v>
      </c>
      <c r="BJ430" s="21">
        <f t="shared" si="265"/>
        <v>725.54499999999825</v>
      </c>
      <c r="BK430" s="21">
        <f>'RD Feedstock Breakdown'!ES421</f>
        <v>24799.261062631816</v>
      </c>
      <c r="BL430" s="89">
        <f t="shared" si="271"/>
        <v>21.061729880527992</v>
      </c>
      <c r="BM430" s="89">
        <f t="shared" si="269"/>
        <v>46.572864259460019</v>
      </c>
    </row>
    <row r="431" spans="1:65" ht="13.5" x14ac:dyDescent="0.25">
      <c r="A431" s="15">
        <v>53267</v>
      </c>
      <c r="B431" s="20">
        <f t="shared" si="270"/>
        <v>690</v>
      </c>
      <c r="C431" s="74">
        <v>47</v>
      </c>
      <c r="D431" s="20">
        <f t="shared" si="261"/>
        <v>3</v>
      </c>
      <c r="E431" s="20">
        <f t="shared" si="275"/>
        <v>85</v>
      </c>
      <c r="F431" s="20">
        <f t="shared" si="246"/>
        <v>340</v>
      </c>
      <c r="G431" s="20">
        <f t="shared" si="260"/>
        <v>37.5</v>
      </c>
      <c r="H431" s="20">
        <f t="shared" si="287"/>
        <v>190</v>
      </c>
      <c r="I431" s="20">
        <f t="shared" si="274"/>
        <v>250</v>
      </c>
      <c r="J431" s="20">
        <f t="shared" si="266"/>
        <v>153.30000000000001</v>
      </c>
      <c r="K431" s="20">
        <f t="shared" si="276"/>
        <v>125</v>
      </c>
      <c r="L431" s="20">
        <v>125</v>
      </c>
      <c r="M431" s="20">
        <v>730</v>
      </c>
      <c r="N431" s="20">
        <f t="shared" si="255"/>
        <v>180</v>
      </c>
      <c r="O431" s="74">
        <v>375</v>
      </c>
      <c r="P431" s="20">
        <f t="shared" si="282"/>
        <v>50</v>
      </c>
      <c r="Q431" s="20">
        <f t="shared" si="283"/>
        <v>21</v>
      </c>
      <c r="R431" s="20">
        <v>100</v>
      </c>
      <c r="S431" s="20">
        <f t="shared" si="288"/>
        <v>60</v>
      </c>
      <c r="T431" s="20">
        <f t="shared" si="277"/>
        <v>36</v>
      </c>
      <c r="U431" s="20"/>
      <c r="V431" s="20">
        <f t="shared" si="253"/>
        <v>0</v>
      </c>
      <c r="W431" s="20">
        <f t="shared" si="284"/>
        <v>20</v>
      </c>
      <c r="X431" s="20">
        <f t="shared" si="268"/>
        <v>0</v>
      </c>
      <c r="Y431" s="20">
        <f t="shared" si="279"/>
        <v>3.5</v>
      </c>
      <c r="Z431" s="20">
        <f t="shared" si="256"/>
        <v>230</v>
      </c>
      <c r="AA431" s="20">
        <f t="shared" si="278"/>
        <v>306</v>
      </c>
      <c r="AB431" s="20">
        <f t="shared" si="242"/>
        <v>60</v>
      </c>
      <c r="AC431" s="20">
        <f t="shared" si="249"/>
        <v>1.6</v>
      </c>
      <c r="AD431" s="20">
        <f t="shared" si="286"/>
        <v>180</v>
      </c>
      <c r="AE431" s="20">
        <f t="shared" ref="AE431:AE494" si="289">55*$AE$12+(55*$AE$12)</f>
        <v>1.1000000000000001</v>
      </c>
      <c r="AF431" s="20">
        <f t="shared" si="245"/>
        <v>275</v>
      </c>
      <c r="AG431" s="20">
        <f t="shared" si="251"/>
        <v>18</v>
      </c>
      <c r="AH431" s="20">
        <f t="shared" si="243"/>
        <v>3</v>
      </c>
      <c r="AI431" s="20">
        <f t="shared" si="285"/>
        <v>47</v>
      </c>
      <c r="AJ431" s="20">
        <f t="shared" si="258"/>
        <v>90</v>
      </c>
      <c r="AK431" s="20">
        <f t="shared" si="263"/>
        <v>14</v>
      </c>
      <c r="AL431" s="20">
        <f t="shared" si="259"/>
        <v>45</v>
      </c>
      <c r="AM431" s="20">
        <v>46</v>
      </c>
      <c r="AN431" s="20">
        <f t="shared" si="264"/>
        <v>0.75</v>
      </c>
      <c r="AO431" s="20">
        <f t="shared" si="262"/>
        <v>19</v>
      </c>
      <c r="AP431" s="20">
        <f t="shared" si="262"/>
        <v>19</v>
      </c>
      <c r="AQ431" s="20">
        <f t="shared" si="267"/>
        <v>5</v>
      </c>
      <c r="AR431" s="20">
        <f t="shared" si="254"/>
        <v>120</v>
      </c>
      <c r="AS431" s="20">
        <f t="shared" si="257"/>
        <v>120</v>
      </c>
      <c r="AT431" s="20">
        <f t="shared" si="250"/>
        <v>55</v>
      </c>
      <c r="AU431" s="20"/>
      <c r="AV431" s="20"/>
      <c r="AW431" s="20">
        <f t="shared" si="280"/>
        <v>5276.7500000000009</v>
      </c>
      <c r="AX431" s="86">
        <f t="shared" si="244"/>
        <v>5428.4449999999988</v>
      </c>
      <c r="AY431" s="17">
        <f>'[1]D4 Gallon Forecast'!$AK159/1000000</f>
        <v>0</v>
      </c>
      <c r="AZ431" s="17">
        <f>'[1]D4 Gallon Forecast'!$AK191/1000000</f>
        <v>646.95512048790533</v>
      </c>
      <c r="BA431" s="17">
        <f t="shared" si="247"/>
        <v>646.95512048790533</v>
      </c>
      <c r="BB431" s="17">
        <f>'[1]D4 Gallon Forecast'!$AK175/1000000</f>
        <v>0</v>
      </c>
      <c r="BC431" s="87">
        <f>'[1]D4 Gallon Forecast'!$AK351/1000000</f>
        <v>558.09638004823455</v>
      </c>
      <c r="BD431" s="88">
        <f>'[1]D4 Gallon Forecast'!$AK367/1000000</f>
        <v>0</v>
      </c>
      <c r="BE431" s="88">
        <f t="shared" si="248"/>
        <v>558.09638004823455</v>
      </c>
      <c r="BF431" s="76">
        <f t="shared" si="272"/>
        <v>1205.0515005361399</v>
      </c>
      <c r="BG431" s="22">
        <f t="shared" si="273"/>
        <v>2.6137336941033409</v>
      </c>
      <c r="BI431" s="21">
        <f t="shared" si="281"/>
        <v>4702.9000000000005</v>
      </c>
      <c r="BJ431" s="21">
        <f t="shared" si="265"/>
        <v>725.54499999999825</v>
      </c>
      <c r="BK431" s="21">
        <f>'RD Feedstock Breakdown'!ES422</f>
        <v>25137.385955354806</v>
      </c>
      <c r="BL431" s="89">
        <f t="shared" si="271"/>
        <v>20.86000967109781</v>
      </c>
      <c r="BM431" s="89">
        <f t="shared" si="269"/>
        <v>38.854914598090339</v>
      </c>
    </row>
    <row r="432" spans="1:65" ht="13.5" x14ac:dyDescent="0.25">
      <c r="A432" s="15">
        <v>53297</v>
      </c>
      <c r="B432" s="20">
        <f t="shared" si="270"/>
        <v>690</v>
      </c>
      <c r="C432" s="74">
        <v>47</v>
      </c>
      <c r="D432" s="20">
        <f t="shared" si="261"/>
        <v>3</v>
      </c>
      <c r="E432" s="20">
        <f t="shared" si="275"/>
        <v>85</v>
      </c>
      <c r="F432" s="20">
        <f t="shared" si="246"/>
        <v>340</v>
      </c>
      <c r="G432" s="20">
        <f t="shared" si="260"/>
        <v>37.5</v>
      </c>
      <c r="H432" s="20">
        <f t="shared" si="287"/>
        <v>190</v>
      </c>
      <c r="I432" s="20">
        <f t="shared" si="274"/>
        <v>250</v>
      </c>
      <c r="J432" s="20">
        <f t="shared" si="266"/>
        <v>153.30000000000001</v>
      </c>
      <c r="K432" s="20">
        <f t="shared" si="276"/>
        <v>125</v>
      </c>
      <c r="L432" s="20">
        <v>125</v>
      </c>
      <c r="M432" s="20">
        <v>730</v>
      </c>
      <c r="N432" s="20">
        <f t="shared" si="255"/>
        <v>180</v>
      </c>
      <c r="O432" s="74">
        <v>375</v>
      </c>
      <c r="P432" s="20">
        <f t="shared" si="282"/>
        <v>50</v>
      </c>
      <c r="Q432" s="20">
        <f t="shared" si="283"/>
        <v>21</v>
      </c>
      <c r="R432" s="20">
        <v>100</v>
      </c>
      <c r="S432" s="20">
        <f t="shared" si="288"/>
        <v>60</v>
      </c>
      <c r="T432" s="20">
        <f t="shared" si="277"/>
        <v>36</v>
      </c>
      <c r="U432" s="20"/>
      <c r="V432" s="20">
        <f t="shared" si="253"/>
        <v>0</v>
      </c>
      <c r="W432" s="20">
        <f t="shared" si="284"/>
        <v>20</v>
      </c>
      <c r="X432" s="20">
        <f t="shared" si="268"/>
        <v>0</v>
      </c>
      <c r="Y432" s="20">
        <f t="shared" si="279"/>
        <v>3.5</v>
      </c>
      <c r="Z432" s="20">
        <f t="shared" si="256"/>
        <v>230</v>
      </c>
      <c r="AA432" s="20">
        <f t="shared" si="278"/>
        <v>306</v>
      </c>
      <c r="AB432" s="20">
        <f t="shared" ref="AB432:AB495" si="290">$AB$5*$AB$12</f>
        <v>60</v>
      </c>
      <c r="AC432" s="20">
        <f t="shared" si="249"/>
        <v>1.6</v>
      </c>
      <c r="AD432" s="20">
        <f t="shared" si="286"/>
        <v>180</v>
      </c>
      <c r="AE432" s="20">
        <f t="shared" si="289"/>
        <v>1.1000000000000001</v>
      </c>
      <c r="AF432" s="20">
        <f t="shared" si="245"/>
        <v>275</v>
      </c>
      <c r="AG432" s="20">
        <f t="shared" si="251"/>
        <v>18</v>
      </c>
      <c r="AH432" s="20">
        <f t="shared" si="243"/>
        <v>3</v>
      </c>
      <c r="AI432" s="20">
        <f t="shared" si="285"/>
        <v>47</v>
      </c>
      <c r="AJ432" s="20">
        <f t="shared" si="258"/>
        <v>90</v>
      </c>
      <c r="AK432" s="20">
        <f t="shared" si="263"/>
        <v>14</v>
      </c>
      <c r="AL432" s="20">
        <f t="shared" si="259"/>
        <v>45</v>
      </c>
      <c r="AM432" s="20">
        <v>46</v>
      </c>
      <c r="AN432" s="20">
        <f t="shared" si="264"/>
        <v>0.75</v>
      </c>
      <c r="AO432" s="20">
        <f t="shared" si="262"/>
        <v>19</v>
      </c>
      <c r="AP432" s="20">
        <f t="shared" si="262"/>
        <v>19</v>
      </c>
      <c r="AQ432" s="20">
        <f t="shared" si="267"/>
        <v>5</v>
      </c>
      <c r="AR432" s="20">
        <f t="shared" si="254"/>
        <v>120</v>
      </c>
      <c r="AS432" s="20">
        <f t="shared" si="257"/>
        <v>120</v>
      </c>
      <c r="AT432" s="20">
        <f t="shared" si="250"/>
        <v>55</v>
      </c>
      <c r="AU432" s="20"/>
      <c r="AV432" s="20"/>
      <c r="AW432" s="20">
        <f t="shared" si="280"/>
        <v>5276.7500000000009</v>
      </c>
      <c r="AX432" s="86">
        <f t="shared" si="244"/>
        <v>5428.4449999999988</v>
      </c>
      <c r="AY432" s="17">
        <f>'[1]D4 Gallon Forecast'!$AK160/1000000</f>
        <v>0</v>
      </c>
      <c r="AZ432" s="17">
        <f>'[1]D4 Gallon Forecast'!$AK192/1000000</f>
        <v>734.08106333900071</v>
      </c>
      <c r="BA432" s="17">
        <f t="shared" si="247"/>
        <v>734.08106333900071</v>
      </c>
      <c r="BB432" s="17">
        <f>'[1]D4 Gallon Forecast'!$AK176/1000000</f>
        <v>0</v>
      </c>
      <c r="BC432" s="87">
        <f>'[1]D4 Gallon Forecast'!$AK352/1000000</f>
        <v>501.47354198431492</v>
      </c>
      <c r="BD432" s="88">
        <f>'[1]D4 Gallon Forecast'!$AK368/1000000</f>
        <v>0</v>
      </c>
      <c r="BE432" s="88">
        <f t="shared" si="248"/>
        <v>501.47354198431492</v>
      </c>
      <c r="BF432" s="76">
        <f t="shared" si="272"/>
        <v>1235.5546053233156</v>
      </c>
      <c r="BG432" s="22">
        <f t="shared" si="273"/>
        <v>2.7692241574582921</v>
      </c>
      <c r="BI432" s="21">
        <f t="shared" si="281"/>
        <v>4702.9000000000005</v>
      </c>
      <c r="BJ432" s="21">
        <f t="shared" si="265"/>
        <v>725.54499999999825</v>
      </c>
      <c r="BK432" s="21">
        <f>'RD Feedstock Breakdown'!ES423</f>
        <v>27306.951835890261</v>
      </c>
      <c r="BL432" s="89">
        <f t="shared" si="271"/>
        <v>22.100967224143584</v>
      </c>
      <c r="BM432" s="89">
        <f t="shared" si="269"/>
        <v>37.198823399262423</v>
      </c>
    </row>
    <row r="433" spans="1:65" ht="13.5" x14ac:dyDescent="0.25">
      <c r="A433" s="15">
        <v>53328</v>
      </c>
      <c r="B433" s="20">
        <f t="shared" si="270"/>
        <v>690</v>
      </c>
      <c r="C433" s="74">
        <v>47</v>
      </c>
      <c r="D433" s="20">
        <f t="shared" si="261"/>
        <v>3</v>
      </c>
      <c r="E433" s="20">
        <f t="shared" si="275"/>
        <v>85</v>
      </c>
      <c r="F433" s="20">
        <f t="shared" si="246"/>
        <v>340</v>
      </c>
      <c r="G433" s="20">
        <f t="shared" si="260"/>
        <v>37.5</v>
      </c>
      <c r="H433" s="20">
        <f t="shared" si="287"/>
        <v>190</v>
      </c>
      <c r="I433" s="20">
        <f t="shared" si="274"/>
        <v>250</v>
      </c>
      <c r="J433" s="20">
        <f t="shared" si="266"/>
        <v>153.30000000000001</v>
      </c>
      <c r="K433" s="20">
        <f t="shared" si="276"/>
        <v>125</v>
      </c>
      <c r="L433" s="20">
        <v>125</v>
      </c>
      <c r="M433" s="20">
        <v>730</v>
      </c>
      <c r="N433" s="20">
        <f t="shared" si="255"/>
        <v>180</v>
      </c>
      <c r="O433" s="74">
        <v>375</v>
      </c>
      <c r="P433" s="20">
        <f t="shared" si="282"/>
        <v>50</v>
      </c>
      <c r="Q433" s="20">
        <f t="shared" si="283"/>
        <v>21</v>
      </c>
      <c r="R433" s="20">
        <v>100</v>
      </c>
      <c r="S433" s="20">
        <f t="shared" si="288"/>
        <v>60</v>
      </c>
      <c r="T433" s="20">
        <f t="shared" si="277"/>
        <v>36</v>
      </c>
      <c r="U433" s="20"/>
      <c r="V433" s="20">
        <f t="shared" si="253"/>
        <v>0</v>
      </c>
      <c r="W433" s="20">
        <f t="shared" si="284"/>
        <v>20</v>
      </c>
      <c r="X433" s="20">
        <f t="shared" si="268"/>
        <v>0</v>
      </c>
      <c r="Y433" s="20">
        <f t="shared" si="279"/>
        <v>3.5</v>
      </c>
      <c r="Z433" s="20">
        <f t="shared" si="256"/>
        <v>230</v>
      </c>
      <c r="AA433" s="20">
        <f t="shared" si="278"/>
        <v>306</v>
      </c>
      <c r="AB433" s="20">
        <f t="shared" si="290"/>
        <v>60</v>
      </c>
      <c r="AC433" s="20">
        <f t="shared" si="249"/>
        <v>1.6</v>
      </c>
      <c r="AD433" s="20">
        <f t="shared" si="286"/>
        <v>180</v>
      </c>
      <c r="AE433" s="20">
        <f t="shared" si="289"/>
        <v>1.1000000000000001</v>
      </c>
      <c r="AF433" s="20">
        <f t="shared" si="245"/>
        <v>275</v>
      </c>
      <c r="AG433" s="20">
        <f t="shared" si="251"/>
        <v>18</v>
      </c>
      <c r="AH433" s="20">
        <f t="shared" ref="AH433:AH496" si="291">60*$AH$12</f>
        <v>3</v>
      </c>
      <c r="AI433" s="20">
        <f t="shared" si="285"/>
        <v>47</v>
      </c>
      <c r="AJ433" s="20">
        <f t="shared" si="258"/>
        <v>90</v>
      </c>
      <c r="AK433" s="20">
        <f t="shared" si="263"/>
        <v>14</v>
      </c>
      <c r="AL433" s="20">
        <f t="shared" si="259"/>
        <v>45</v>
      </c>
      <c r="AM433" s="20">
        <v>46</v>
      </c>
      <c r="AN433" s="20">
        <f t="shared" si="264"/>
        <v>0.75</v>
      </c>
      <c r="AO433" s="20">
        <f t="shared" si="262"/>
        <v>19</v>
      </c>
      <c r="AP433" s="20">
        <f t="shared" si="262"/>
        <v>19</v>
      </c>
      <c r="AQ433" s="20">
        <f t="shared" si="267"/>
        <v>5</v>
      </c>
      <c r="AR433" s="20">
        <f t="shared" si="254"/>
        <v>120</v>
      </c>
      <c r="AS433" s="20">
        <f t="shared" si="257"/>
        <v>120</v>
      </c>
      <c r="AT433" s="20">
        <f t="shared" si="250"/>
        <v>55</v>
      </c>
      <c r="AU433" s="20"/>
      <c r="AV433" s="20"/>
      <c r="AW433" s="20">
        <f t="shared" si="280"/>
        <v>5276.7500000000009</v>
      </c>
      <c r="AX433" s="86">
        <f t="shared" si="244"/>
        <v>5428.4449999999988</v>
      </c>
      <c r="AY433" s="17">
        <f>'[1]D4 Gallon Forecast'!$AL149/1000000</f>
        <v>0</v>
      </c>
      <c r="AZ433" s="17">
        <f>'[1]D4 Gallon Forecast'!$AL181/1000000</f>
        <v>364.78085608891365</v>
      </c>
      <c r="BA433" s="17">
        <f t="shared" si="247"/>
        <v>364.78085608891365</v>
      </c>
      <c r="BB433" s="17">
        <f>'[1]D4 Gallon Forecast'!$AL165/1000000</f>
        <v>0</v>
      </c>
      <c r="BC433" s="87">
        <f>'[1]D4 Gallon Forecast'!$AL341/1000000</f>
        <v>316.75472474837255</v>
      </c>
      <c r="BD433" s="88">
        <f>'[1]D4 Gallon Forecast'!$AL357/1000000</f>
        <v>0</v>
      </c>
      <c r="BE433" s="88">
        <f t="shared" si="248"/>
        <v>316.75472474837255</v>
      </c>
      <c r="BF433" s="76">
        <f t="shared" si="272"/>
        <v>681.53558083728626</v>
      </c>
      <c r="BG433" s="22">
        <f t="shared" si="273"/>
        <v>1.4782376608569545</v>
      </c>
      <c r="BI433" s="21">
        <f t="shared" si="281"/>
        <v>4702.9000000000005</v>
      </c>
      <c r="BJ433" s="21">
        <f t="shared" si="265"/>
        <v>725.54499999999825</v>
      </c>
      <c r="BK433" s="21">
        <f>'RD Feedstock Breakdown'!ES424</f>
        <v>8040.5538601491689</v>
      </c>
      <c r="BL433" s="89">
        <f t="shared" si="271"/>
        <v>11.797702256822916</v>
      </c>
      <c r="BM433" s="89">
        <f t="shared" si="269"/>
        <v>22.042148665250462</v>
      </c>
    </row>
    <row r="434" spans="1:65" ht="13.5" x14ac:dyDescent="0.25">
      <c r="A434" s="15">
        <v>53359</v>
      </c>
      <c r="B434" s="20">
        <f t="shared" si="270"/>
        <v>690</v>
      </c>
      <c r="C434" s="74">
        <v>47</v>
      </c>
      <c r="D434" s="20">
        <f t="shared" si="261"/>
        <v>3</v>
      </c>
      <c r="E434" s="20">
        <f t="shared" si="275"/>
        <v>85</v>
      </c>
      <c r="F434" s="20">
        <f t="shared" si="246"/>
        <v>340</v>
      </c>
      <c r="G434" s="20">
        <f t="shared" si="260"/>
        <v>37.5</v>
      </c>
      <c r="H434" s="20">
        <f t="shared" si="287"/>
        <v>190</v>
      </c>
      <c r="I434" s="20">
        <f t="shared" si="274"/>
        <v>250</v>
      </c>
      <c r="J434" s="20">
        <f t="shared" si="266"/>
        <v>153.30000000000001</v>
      </c>
      <c r="K434" s="20">
        <f t="shared" si="276"/>
        <v>125</v>
      </c>
      <c r="L434" s="20">
        <v>125</v>
      </c>
      <c r="M434" s="20">
        <v>730</v>
      </c>
      <c r="N434" s="20">
        <f t="shared" si="255"/>
        <v>180</v>
      </c>
      <c r="O434" s="74">
        <v>375</v>
      </c>
      <c r="P434" s="20">
        <f t="shared" si="282"/>
        <v>50</v>
      </c>
      <c r="Q434" s="20">
        <f t="shared" si="283"/>
        <v>21</v>
      </c>
      <c r="R434" s="20">
        <v>100</v>
      </c>
      <c r="S434" s="20">
        <f t="shared" si="288"/>
        <v>60</v>
      </c>
      <c r="T434" s="20">
        <f t="shared" si="277"/>
        <v>36</v>
      </c>
      <c r="U434" s="20"/>
      <c r="V434" s="20">
        <f t="shared" si="253"/>
        <v>0</v>
      </c>
      <c r="W434" s="20">
        <f t="shared" si="284"/>
        <v>20</v>
      </c>
      <c r="X434" s="20">
        <f t="shared" si="268"/>
        <v>0</v>
      </c>
      <c r="Y434" s="20">
        <f t="shared" si="279"/>
        <v>3.5</v>
      </c>
      <c r="Z434" s="20">
        <f t="shared" si="256"/>
        <v>230</v>
      </c>
      <c r="AA434" s="20">
        <f t="shared" si="278"/>
        <v>306</v>
      </c>
      <c r="AB434" s="20">
        <f t="shared" si="290"/>
        <v>60</v>
      </c>
      <c r="AC434" s="20">
        <f t="shared" si="249"/>
        <v>1.6</v>
      </c>
      <c r="AD434" s="20">
        <f t="shared" si="286"/>
        <v>180</v>
      </c>
      <c r="AE434" s="20">
        <f t="shared" si="289"/>
        <v>1.1000000000000001</v>
      </c>
      <c r="AF434" s="20">
        <f t="shared" si="245"/>
        <v>275</v>
      </c>
      <c r="AG434" s="20">
        <f t="shared" si="251"/>
        <v>18</v>
      </c>
      <c r="AH434" s="20">
        <f t="shared" si="291"/>
        <v>3</v>
      </c>
      <c r="AI434" s="20">
        <f t="shared" si="285"/>
        <v>47</v>
      </c>
      <c r="AJ434" s="20">
        <f t="shared" si="258"/>
        <v>90</v>
      </c>
      <c r="AK434" s="20">
        <f t="shared" si="263"/>
        <v>14</v>
      </c>
      <c r="AL434" s="20">
        <f t="shared" si="259"/>
        <v>45</v>
      </c>
      <c r="AM434" s="20">
        <v>46</v>
      </c>
      <c r="AN434" s="20">
        <f t="shared" si="264"/>
        <v>0.75</v>
      </c>
      <c r="AO434" s="20">
        <f t="shared" si="262"/>
        <v>19</v>
      </c>
      <c r="AP434" s="20">
        <f t="shared" si="262"/>
        <v>19</v>
      </c>
      <c r="AQ434" s="20">
        <f t="shared" si="267"/>
        <v>5</v>
      </c>
      <c r="AR434" s="20">
        <f t="shared" si="254"/>
        <v>120</v>
      </c>
      <c r="AS434" s="20">
        <f t="shared" si="257"/>
        <v>120</v>
      </c>
      <c r="AT434" s="20">
        <f t="shared" si="250"/>
        <v>55</v>
      </c>
      <c r="AU434" s="20"/>
      <c r="AV434" s="20"/>
      <c r="AW434" s="20">
        <f t="shared" si="280"/>
        <v>5276.7500000000009</v>
      </c>
      <c r="AX434" s="86">
        <f t="shared" ref="AX434:AX497" si="292">AX433+AW434-AW433</f>
        <v>5428.4449999999988</v>
      </c>
      <c r="AY434" s="17">
        <f>'[1]D4 Gallon Forecast'!$AL150/1000000</f>
        <v>0</v>
      </c>
      <c r="AZ434" s="17">
        <f>'[1]D4 Gallon Forecast'!$AL182/1000000</f>
        <v>402.24440731421942</v>
      </c>
      <c r="BA434" s="17">
        <f t="shared" si="247"/>
        <v>402.24440731421942</v>
      </c>
      <c r="BB434" s="17">
        <f>'[1]D4 Gallon Forecast'!$AL166/1000000</f>
        <v>0</v>
      </c>
      <c r="BC434" s="87">
        <f>'[1]D4 Gallon Forecast'!$AL342/1000000</f>
        <v>601.22023923310144</v>
      </c>
      <c r="BD434" s="88">
        <f>'[1]D4 Gallon Forecast'!$AL358/1000000</f>
        <v>0</v>
      </c>
      <c r="BE434" s="88">
        <f t="shared" si="248"/>
        <v>601.22023923310144</v>
      </c>
      <c r="BF434" s="76">
        <f t="shared" si="272"/>
        <v>1003.4646465473209</v>
      </c>
      <c r="BG434" s="22">
        <f t="shared" si="273"/>
        <v>2.1764956571194891</v>
      </c>
      <c r="BI434" s="21">
        <f t="shared" si="281"/>
        <v>4702.9000000000005</v>
      </c>
      <c r="BJ434" s="21">
        <f t="shared" si="265"/>
        <v>725.54499999999825</v>
      </c>
      <c r="BK434" s="21">
        <f>'RD Feedstock Breakdown'!ES425</f>
        <v>17430.628634210076</v>
      </c>
      <c r="BL434" s="89">
        <f t="shared" si="271"/>
        <v>17.370446177834619</v>
      </c>
      <c r="BM434" s="89">
        <f t="shared" si="269"/>
        <v>43.33342693461956</v>
      </c>
    </row>
    <row r="435" spans="1:65" ht="13.5" x14ac:dyDescent="0.25">
      <c r="A435" s="15">
        <v>53387</v>
      </c>
      <c r="B435" s="20">
        <f t="shared" si="270"/>
        <v>690</v>
      </c>
      <c r="C435" s="74">
        <v>47</v>
      </c>
      <c r="D435" s="20">
        <f t="shared" si="261"/>
        <v>3</v>
      </c>
      <c r="E435" s="20">
        <f t="shared" si="275"/>
        <v>85</v>
      </c>
      <c r="F435" s="20">
        <f t="shared" si="246"/>
        <v>340</v>
      </c>
      <c r="G435" s="20">
        <f t="shared" si="260"/>
        <v>37.5</v>
      </c>
      <c r="H435" s="20">
        <f t="shared" si="287"/>
        <v>190</v>
      </c>
      <c r="I435" s="20">
        <f t="shared" si="274"/>
        <v>250</v>
      </c>
      <c r="J435" s="20">
        <f t="shared" si="266"/>
        <v>153.30000000000001</v>
      </c>
      <c r="K435" s="20">
        <f t="shared" si="276"/>
        <v>125</v>
      </c>
      <c r="L435" s="20">
        <v>125</v>
      </c>
      <c r="M435" s="20">
        <v>730</v>
      </c>
      <c r="N435" s="20">
        <f t="shared" si="255"/>
        <v>180</v>
      </c>
      <c r="O435" s="74">
        <v>375</v>
      </c>
      <c r="P435" s="20">
        <f t="shared" si="282"/>
        <v>50</v>
      </c>
      <c r="Q435" s="20">
        <f t="shared" si="283"/>
        <v>21</v>
      </c>
      <c r="R435" s="20">
        <v>100</v>
      </c>
      <c r="S435" s="20">
        <f t="shared" si="288"/>
        <v>60</v>
      </c>
      <c r="T435" s="20">
        <f t="shared" si="277"/>
        <v>36</v>
      </c>
      <c r="U435" s="20"/>
      <c r="V435" s="20">
        <f t="shared" si="253"/>
        <v>0</v>
      </c>
      <c r="W435" s="20">
        <f t="shared" si="284"/>
        <v>20</v>
      </c>
      <c r="X435" s="20">
        <f t="shared" si="268"/>
        <v>0</v>
      </c>
      <c r="Y435" s="20">
        <f t="shared" si="279"/>
        <v>3.5</v>
      </c>
      <c r="Z435" s="20">
        <f t="shared" si="256"/>
        <v>230</v>
      </c>
      <c r="AA435" s="20">
        <f t="shared" si="278"/>
        <v>306</v>
      </c>
      <c r="AB435" s="20">
        <f t="shared" si="290"/>
        <v>60</v>
      </c>
      <c r="AC435" s="20">
        <f t="shared" si="249"/>
        <v>1.6</v>
      </c>
      <c r="AD435" s="20">
        <f t="shared" si="286"/>
        <v>180</v>
      </c>
      <c r="AE435" s="20">
        <f t="shared" si="289"/>
        <v>1.1000000000000001</v>
      </c>
      <c r="AF435" s="20">
        <f t="shared" ref="AF435:AF498" si="293">90*$AF$12+(185*$AF$12)</f>
        <v>275</v>
      </c>
      <c r="AG435" s="20">
        <f t="shared" si="251"/>
        <v>18</v>
      </c>
      <c r="AH435" s="20">
        <f t="shared" si="291"/>
        <v>3</v>
      </c>
      <c r="AI435" s="20">
        <f t="shared" si="285"/>
        <v>47</v>
      </c>
      <c r="AJ435" s="20">
        <f t="shared" si="258"/>
        <v>90</v>
      </c>
      <c r="AK435" s="20">
        <f t="shared" si="263"/>
        <v>14</v>
      </c>
      <c r="AL435" s="20">
        <f t="shared" si="259"/>
        <v>45</v>
      </c>
      <c r="AM435" s="20">
        <v>46</v>
      </c>
      <c r="AN435" s="20">
        <f t="shared" si="264"/>
        <v>0.75</v>
      </c>
      <c r="AO435" s="20">
        <f t="shared" si="262"/>
        <v>19</v>
      </c>
      <c r="AP435" s="20">
        <f t="shared" si="262"/>
        <v>19</v>
      </c>
      <c r="AQ435" s="20">
        <f t="shared" si="267"/>
        <v>5</v>
      </c>
      <c r="AR435" s="20">
        <f t="shared" si="254"/>
        <v>120</v>
      </c>
      <c r="AS435" s="20">
        <f t="shared" si="257"/>
        <v>120</v>
      </c>
      <c r="AT435" s="20">
        <f t="shared" si="250"/>
        <v>55</v>
      </c>
      <c r="AU435" s="20"/>
      <c r="AV435" s="20"/>
      <c r="AW435" s="20">
        <f t="shared" si="280"/>
        <v>5276.7500000000009</v>
      </c>
      <c r="AX435" s="86">
        <f t="shared" si="292"/>
        <v>5428.4449999999988</v>
      </c>
      <c r="AY435" s="17">
        <f>'[1]D4 Gallon Forecast'!$AL151/1000000</f>
        <v>0</v>
      </c>
      <c r="AZ435" s="17">
        <f>'[1]D4 Gallon Forecast'!$AL183/1000000</f>
        <v>423.66745696691652</v>
      </c>
      <c r="BA435" s="17">
        <f t="shared" si="247"/>
        <v>423.66745696691652</v>
      </c>
      <c r="BB435" s="17">
        <f>'[1]D4 Gallon Forecast'!$AL167/1000000</f>
        <v>0</v>
      </c>
      <c r="BC435" s="87">
        <f>'[1]D4 Gallon Forecast'!$AL343/1000000</f>
        <v>239.96556885772125</v>
      </c>
      <c r="BD435" s="88">
        <f>'[1]D4 Gallon Forecast'!$AL359/1000000</f>
        <v>0</v>
      </c>
      <c r="BE435" s="88">
        <f t="shared" si="248"/>
        <v>239.96556885772125</v>
      </c>
      <c r="BF435" s="76">
        <f t="shared" si="272"/>
        <v>663.6330258246378</v>
      </c>
      <c r="BG435" s="22">
        <f t="shared" si="273"/>
        <v>1.5936295781230225</v>
      </c>
      <c r="BI435" s="21">
        <f t="shared" si="281"/>
        <v>4702.9000000000005</v>
      </c>
      <c r="BJ435" s="21">
        <f t="shared" si="265"/>
        <v>725.54499999999825</v>
      </c>
      <c r="BK435" s="21">
        <f>'RD Feedstock Breakdown'!ES426</f>
        <v>8440.5071356605622</v>
      </c>
      <c r="BL435" s="89">
        <f t="shared" si="271"/>
        <v>12.7186363655912</v>
      </c>
      <c r="BM435" s="89">
        <f t="shared" si="269"/>
        <v>19.922481646542106</v>
      </c>
    </row>
    <row r="436" spans="1:65" ht="13.5" x14ac:dyDescent="0.25">
      <c r="A436" s="15">
        <v>53418</v>
      </c>
      <c r="B436" s="20">
        <f t="shared" si="270"/>
        <v>690</v>
      </c>
      <c r="C436" s="74">
        <v>47</v>
      </c>
      <c r="D436" s="20">
        <f t="shared" si="261"/>
        <v>3</v>
      </c>
      <c r="E436" s="20">
        <f t="shared" si="275"/>
        <v>85</v>
      </c>
      <c r="F436" s="20">
        <f t="shared" si="246"/>
        <v>340</v>
      </c>
      <c r="G436" s="20">
        <f t="shared" si="260"/>
        <v>37.5</v>
      </c>
      <c r="H436" s="20">
        <f t="shared" si="287"/>
        <v>190</v>
      </c>
      <c r="I436" s="20">
        <f t="shared" si="274"/>
        <v>250</v>
      </c>
      <c r="J436" s="20">
        <f t="shared" si="266"/>
        <v>153.30000000000001</v>
      </c>
      <c r="K436" s="20">
        <f t="shared" si="276"/>
        <v>125</v>
      </c>
      <c r="L436" s="20">
        <v>125</v>
      </c>
      <c r="M436" s="20">
        <v>730</v>
      </c>
      <c r="N436" s="20">
        <f t="shared" si="255"/>
        <v>180</v>
      </c>
      <c r="O436" s="74">
        <v>375</v>
      </c>
      <c r="P436" s="20">
        <f t="shared" si="282"/>
        <v>50</v>
      </c>
      <c r="Q436" s="20">
        <f t="shared" si="283"/>
        <v>21</v>
      </c>
      <c r="R436" s="20">
        <v>100</v>
      </c>
      <c r="S436" s="20">
        <f t="shared" si="288"/>
        <v>60</v>
      </c>
      <c r="T436" s="20">
        <f t="shared" si="277"/>
        <v>36</v>
      </c>
      <c r="U436" s="20"/>
      <c r="V436" s="20">
        <f t="shared" si="253"/>
        <v>0</v>
      </c>
      <c r="W436" s="20">
        <f t="shared" si="284"/>
        <v>20</v>
      </c>
      <c r="X436" s="20">
        <f t="shared" si="268"/>
        <v>0</v>
      </c>
      <c r="Y436" s="20">
        <f t="shared" si="279"/>
        <v>3.5</v>
      </c>
      <c r="Z436" s="20">
        <f t="shared" si="256"/>
        <v>230</v>
      </c>
      <c r="AA436" s="20">
        <f t="shared" si="278"/>
        <v>306</v>
      </c>
      <c r="AB436" s="20">
        <f t="shared" si="290"/>
        <v>60</v>
      </c>
      <c r="AC436" s="20">
        <f t="shared" si="249"/>
        <v>1.6</v>
      </c>
      <c r="AD436" s="20">
        <f t="shared" si="286"/>
        <v>180</v>
      </c>
      <c r="AE436" s="20">
        <f t="shared" si="289"/>
        <v>1.1000000000000001</v>
      </c>
      <c r="AF436" s="20">
        <f t="shared" si="293"/>
        <v>275</v>
      </c>
      <c r="AG436" s="20">
        <f t="shared" si="251"/>
        <v>18</v>
      </c>
      <c r="AH436" s="20">
        <f t="shared" si="291"/>
        <v>3</v>
      </c>
      <c r="AI436" s="20">
        <f t="shared" si="285"/>
        <v>47</v>
      </c>
      <c r="AJ436" s="20">
        <f t="shared" si="258"/>
        <v>90</v>
      </c>
      <c r="AK436" s="20">
        <f t="shared" si="263"/>
        <v>14</v>
      </c>
      <c r="AL436" s="20">
        <f t="shared" si="259"/>
        <v>45</v>
      </c>
      <c r="AM436" s="20">
        <v>46</v>
      </c>
      <c r="AN436" s="20">
        <f t="shared" si="264"/>
        <v>0.75</v>
      </c>
      <c r="AO436" s="20">
        <f t="shared" si="262"/>
        <v>19</v>
      </c>
      <c r="AP436" s="20">
        <f t="shared" si="262"/>
        <v>19</v>
      </c>
      <c r="AQ436" s="20">
        <f t="shared" si="267"/>
        <v>5</v>
      </c>
      <c r="AR436" s="20">
        <f t="shared" si="254"/>
        <v>120</v>
      </c>
      <c r="AS436" s="20">
        <f t="shared" si="257"/>
        <v>120</v>
      </c>
      <c r="AT436" s="20">
        <f t="shared" si="250"/>
        <v>55</v>
      </c>
      <c r="AU436" s="20"/>
      <c r="AV436" s="20"/>
      <c r="AW436" s="20">
        <f t="shared" si="280"/>
        <v>5276.7500000000009</v>
      </c>
      <c r="AX436" s="86">
        <f t="shared" si="292"/>
        <v>5428.4449999999988</v>
      </c>
      <c r="AY436" s="17">
        <f>'[1]D4 Gallon Forecast'!$AL152/1000000</f>
        <v>0</v>
      </c>
      <c r="AZ436" s="17">
        <f>'[1]D4 Gallon Forecast'!$AL184/1000000</f>
        <v>411.36023202172908</v>
      </c>
      <c r="BA436" s="17">
        <f t="shared" si="247"/>
        <v>411.36023202172908</v>
      </c>
      <c r="BB436" s="17">
        <f>'[1]D4 Gallon Forecast'!$AL168/1000000</f>
        <v>0</v>
      </c>
      <c r="BC436" s="87">
        <f>'[1]D4 Gallon Forecast'!$AL344/1000000</f>
        <v>385.17508277066054</v>
      </c>
      <c r="BD436" s="88">
        <f>'[1]D4 Gallon Forecast'!$AL360/1000000</f>
        <v>0</v>
      </c>
      <c r="BE436" s="88">
        <f t="shared" si="248"/>
        <v>385.17508277066054</v>
      </c>
      <c r="BF436" s="76">
        <f t="shared" si="272"/>
        <v>796.53531479238961</v>
      </c>
      <c r="BG436" s="22">
        <f t="shared" si="273"/>
        <v>1.7276698878760013</v>
      </c>
      <c r="BI436" s="21">
        <f t="shared" si="281"/>
        <v>4702.9000000000005</v>
      </c>
      <c r="BJ436" s="21">
        <f t="shared" si="265"/>
        <v>725.54499999999825</v>
      </c>
      <c r="BK436" s="21">
        <f>'RD Feedstock Breakdown'!ES427</f>
        <v>10982.949028301809</v>
      </c>
      <c r="BL436" s="89">
        <f t="shared" si="271"/>
        <v>13.788401875395097</v>
      </c>
      <c r="BM436" s="89">
        <f t="shared" si="269"/>
        <v>26.699102570813562</v>
      </c>
    </row>
    <row r="437" spans="1:65" ht="13.5" x14ac:dyDescent="0.25">
      <c r="A437" s="15">
        <v>53448</v>
      </c>
      <c r="B437" s="20">
        <f t="shared" si="270"/>
        <v>690</v>
      </c>
      <c r="C437" s="74">
        <v>47</v>
      </c>
      <c r="D437" s="20">
        <f t="shared" si="261"/>
        <v>3</v>
      </c>
      <c r="E437" s="20">
        <f t="shared" si="275"/>
        <v>85</v>
      </c>
      <c r="F437" s="20">
        <f t="shared" ref="F437:F500" si="294">90+(250*$F$12)</f>
        <v>340</v>
      </c>
      <c r="G437" s="20">
        <f t="shared" si="260"/>
        <v>37.5</v>
      </c>
      <c r="H437" s="20">
        <f t="shared" si="287"/>
        <v>190</v>
      </c>
      <c r="I437" s="20">
        <f t="shared" si="274"/>
        <v>250</v>
      </c>
      <c r="J437" s="20">
        <f t="shared" si="266"/>
        <v>153.30000000000001</v>
      </c>
      <c r="K437" s="20">
        <f t="shared" si="276"/>
        <v>125</v>
      </c>
      <c r="L437" s="20">
        <v>125</v>
      </c>
      <c r="M437" s="20">
        <v>730</v>
      </c>
      <c r="N437" s="20">
        <f t="shared" si="255"/>
        <v>180</v>
      </c>
      <c r="O437" s="74">
        <v>375</v>
      </c>
      <c r="P437" s="20">
        <f t="shared" si="282"/>
        <v>50</v>
      </c>
      <c r="Q437" s="20">
        <f t="shared" si="283"/>
        <v>21</v>
      </c>
      <c r="R437" s="20">
        <v>100</v>
      </c>
      <c r="S437" s="20">
        <f t="shared" si="288"/>
        <v>60</v>
      </c>
      <c r="T437" s="20">
        <f t="shared" si="277"/>
        <v>36</v>
      </c>
      <c r="U437" s="20"/>
      <c r="V437" s="20">
        <f t="shared" si="253"/>
        <v>0</v>
      </c>
      <c r="W437" s="20">
        <f t="shared" si="284"/>
        <v>20</v>
      </c>
      <c r="X437" s="20">
        <f t="shared" si="268"/>
        <v>0</v>
      </c>
      <c r="Y437" s="20">
        <f t="shared" si="279"/>
        <v>3.5</v>
      </c>
      <c r="Z437" s="20">
        <f t="shared" si="256"/>
        <v>230</v>
      </c>
      <c r="AA437" s="20">
        <f t="shared" si="278"/>
        <v>306</v>
      </c>
      <c r="AB437" s="20">
        <f t="shared" si="290"/>
        <v>60</v>
      </c>
      <c r="AC437" s="20">
        <f t="shared" si="249"/>
        <v>1.6</v>
      </c>
      <c r="AD437" s="20">
        <f t="shared" si="286"/>
        <v>180</v>
      </c>
      <c r="AE437" s="20">
        <f t="shared" si="289"/>
        <v>1.1000000000000001</v>
      </c>
      <c r="AF437" s="20">
        <f t="shared" si="293"/>
        <v>275</v>
      </c>
      <c r="AG437" s="20">
        <f t="shared" si="251"/>
        <v>18</v>
      </c>
      <c r="AH437" s="20">
        <f t="shared" si="291"/>
        <v>3</v>
      </c>
      <c r="AI437" s="20">
        <f t="shared" si="285"/>
        <v>47</v>
      </c>
      <c r="AJ437" s="20">
        <f t="shared" si="258"/>
        <v>90</v>
      </c>
      <c r="AK437" s="20">
        <f t="shared" si="263"/>
        <v>14</v>
      </c>
      <c r="AL437" s="20">
        <f t="shared" si="259"/>
        <v>45</v>
      </c>
      <c r="AM437" s="20">
        <v>46</v>
      </c>
      <c r="AN437" s="20">
        <f t="shared" si="264"/>
        <v>0.75</v>
      </c>
      <c r="AO437" s="20">
        <f t="shared" si="262"/>
        <v>19</v>
      </c>
      <c r="AP437" s="20">
        <f t="shared" si="262"/>
        <v>19</v>
      </c>
      <c r="AQ437" s="20">
        <f t="shared" si="267"/>
        <v>5</v>
      </c>
      <c r="AR437" s="20">
        <f t="shared" si="254"/>
        <v>120</v>
      </c>
      <c r="AS437" s="20">
        <f t="shared" si="257"/>
        <v>120</v>
      </c>
      <c r="AT437" s="20">
        <f t="shared" si="250"/>
        <v>55</v>
      </c>
      <c r="AU437" s="20"/>
      <c r="AV437" s="20"/>
      <c r="AW437" s="20">
        <f t="shared" si="280"/>
        <v>5276.7500000000009</v>
      </c>
      <c r="AX437" s="86">
        <f t="shared" si="292"/>
        <v>5428.4449999999988</v>
      </c>
      <c r="AY437" s="17">
        <f>'[1]D4 Gallon Forecast'!$AL153/1000000</f>
        <v>0</v>
      </c>
      <c r="AZ437" s="17">
        <f>'[1]D4 Gallon Forecast'!$AL185/1000000</f>
        <v>459.5283976793458</v>
      </c>
      <c r="BA437" s="17">
        <f t="shared" si="247"/>
        <v>459.5283976793458</v>
      </c>
      <c r="BB437" s="17">
        <f>'[1]D4 Gallon Forecast'!$AL169/1000000</f>
        <v>0</v>
      </c>
      <c r="BC437" s="87">
        <f>'[1]D4 Gallon Forecast'!$AL345/1000000</f>
        <v>507.0163443326083</v>
      </c>
      <c r="BD437" s="88">
        <f>'[1]D4 Gallon Forecast'!$AL361/1000000</f>
        <v>0</v>
      </c>
      <c r="BE437" s="88">
        <f t="shared" si="248"/>
        <v>507.0163443326083</v>
      </c>
      <c r="BF437" s="76">
        <f t="shared" si="272"/>
        <v>966.5447420119541</v>
      </c>
      <c r="BG437" s="22">
        <f t="shared" si="273"/>
        <v>2.1662976588099871</v>
      </c>
      <c r="BI437" s="21">
        <f t="shared" si="281"/>
        <v>4702.9000000000005</v>
      </c>
      <c r="BJ437" s="21">
        <f t="shared" si="265"/>
        <v>725.54499999999825</v>
      </c>
      <c r="BK437" s="21">
        <f>'RD Feedstock Breakdown'!ES428</f>
        <v>16710.64687627961</v>
      </c>
      <c r="BL437" s="89">
        <f t="shared" si="271"/>
        <v>17.289056729536206</v>
      </c>
      <c r="BM437" s="89">
        <f t="shared" si="269"/>
        <v>36.364775192718618</v>
      </c>
    </row>
    <row r="438" spans="1:65" ht="13.5" x14ac:dyDescent="0.25">
      <c r="A438" s="15">
        <v>53479</v>
      </c>
      <c r="B438" s="20">
        <f t="shared" si="270"/>
        <v>690</v>
      </c>
      <c r="C438" s="74">
        <v>47</v>
      </c>
      <c r="D438" s="20">
        <f t="shared" si="261"/>
        <v>3</v>
      </c>
      <c r="E438" s="20">
        <f t="shared" si="275"/>
        <v>85</v>
      </c>
      <c r="F438" s="20">
        <f t="shared" si="294"/>
        <v>340</v>
      </c>
      <c r="G438" s="20">
        <f t="shared" si="260"/>
        <v>37.5</v>
      </c>
      <c r="H438" s="20">
        <f t="shared" si="287"/>
        <v>190</v>
      </c>
      <c r="I438" s="20">
        <f t="shared" si="274"/>
        <v>250</v>
      </c>
      <c r="J438" s="20">
        <f t="shared" si="266"/>
        <v>153.30000000000001</v>
      </c>
      <c r="K438" s="20">
        <f t="shared" si="276"/>
        <v>125</v>
      </c>
      <c r="L438" s="20">
        <v>125</v>
      </c>
      <c r="M438" s="20">
        <v>730</v>
      </c>
      <c r="N438" s="20">
        <f t="shared" si="255"/>
        <v>180</v>
      </c>
      <c r="O438" s="74">
        <v>375</v>
      </c>
      <c r="P438" s="20">
        <f t="shared" si="282"/>
        <v>50</v>
      </c>
      <c r="Q438" s="20">
        <f t="shared" si="283"/>
        <v>21</v>
      </c>
      <c r="R438" s="20">
        <v>100</v>
      </c>
      <c r="S438" s="20">
        <f t="shared" si="288"/>
        <v>60</v>
      </c>
      <c r="T438" s="20">
        <f t="shared" si="277"/>
        <v>36</v>
      </c>
      <c r="U438" s="20"/>
      <c r="V438" s="20">
        <f t="shared" si="253"/>
        <v>0</v>
      </c>
      <c r="W438" s="20">
        <f t="shared" si="284"/>
        <v>20</v>
      </c>
      <c r="X438" s="20">
        <f t="shared" si="268"/>
        <v>0</v>
      </c>
      <c r="Y438" s="20">
        <f t="shared" si="279"/>
        <v>3.5</v>
      </c>
      <c r="Z438" s="20">
        <f t="shared" si="256"/>
        <v>230</v>
      </c>
      <c r="AA438" s="20">
        <f t="shared" si="278"/>
        <v>306</v>
      </c>
      <c r="AB438" s="20">
        <f t="shared" si="290"/>
        <v>60</v>
      </c>
      <c r="AC438" s="20">
        <f t="shared" si="249"/>
        <v>1.6</v>
      </c>
      <c r="AD438" s="20">
        <f t="shared" si="286"/>
        <v>180</v>
      </c>
      <c r="AE438" s="20">
        <f t="shared" si="289"/>
        <v>1.1000000000000001</v>
      </c>
      <c r="AF438" s="20">
        <f t="shared" si="293"/>
        <v>275</v>
      </c>
      <c r="AG438" s="20">
        <f t="shared" si="251"/>
        <v>18</v>
      </c>
      <c r="AH438" s="20">
        <f t="shared" si="291"/>
        <v>3</v>
      </c>
      <c r="AI438" s="20">
        <f t="shared" si="285"/>
        <v>47</v>
      </c>
      <c r="AJ438" s="20">
        <f t="shared" si="258"/>
        <v>90</v>
      </c>
      <c r="AK438" s="20">
        <f t="shared" si="263"/>
        <v>14</v>
      </c>
      <c r="AL438" s="20">
        <f t="shared" si="259"/>
        <v>45</v>
      </c>
      <c r="AM438" s="20">
        <v>46</v>
      </c>
      <c r="AN438" s="20">
        <f t="shared" si="264"/>
        <v>0.75</v>
      </c>
      <c r="AO438" s="20">
        <f t="shared" si="262"/>
        <v>19</v>
      </c>
      <c r="AP438" s="20">
        <f t="shared" si="262"/>
        <v>19</v>
      </c>
      <c r="AQ438" s="20">
        <f t="shared" si="267"/>
        <v>5</v>
      </c>
      <c r="AR438" s="20">
        <f t="shared" si="254"/>
        <v>120</v>
      </c>
      <c r="AS438" s="20">
        <f t="shared" si="257"/>
        <v>120</v>
      </c>
      <c r="AT438" s="20">
        <f t="shared" si="250"/>
        <v>55</v>
      </c>
      <c r="AU438" s="20"/>
      <c r="AV438" s="20"/>
      <c r="AW438" s="20">
        <f t="shared" si="280"/>
        <v>5276.7500000000009</v>
      </c>
      <c r="AX438" s="86">
        <f t="shared" si="292"/>
        <v>5428.4449999999988</v>
      </c>
      <c r="AY438" s="17">
        <f>'[1]D4 Gallon Forecast'!$AL154/1000000</f>
        <v>0</v>
      </c>
      <c r="AZ438" s="17">
        <f>'[1]D4 Gallon Forecast'!$AL186/1000000</f>
        <v>455.78020197323707</v>
      </c>
      <c r="BA438" s="17">
        <f t="shared" ref="BA438:BA501" si="295">SUM(AY438:AZ438)</f>
        <v>455.78020197323707</v>
      </c>
      <c r="BB438" s="17">
        <f>'[1]D4 Gallon Forecast'!$AL170/1000000</f>
        <v>0</v>
      </c>
      <c r="BC438" s="87">
        <f>'[1]D4 Gallon Forecast'!$AL346/1000000</f>
        <v>483.65870541625719</v>
      </c>
      <c r="BD438" s="88">
        <f>'[1]D4 Gallon Forecast'!$AL362/1000000</f>
        <v>0</v>
      </c>
      <c r="BE438" s="88">
        <f t="shared" si="248"/>
        <v>483.65870541625719</v>
      </c>
      <c r="BF438" s="76">
        <f t="shared" si="272"/>
        <v>939.43890738949426</v>
      </c>
      <c r="BG438" s="22">
        <f t="shared" si="273"/>
        <v>2.0376250514630265</v>
      </c>
      <c r="BI438" s="21">
        <f t="shared" si="281"/>
        <v>4702.9000000000005</v>
      </c>
      <c r="BJ438" s="21">
        <f t="shared" si="265"/>
        <v>725.54499999999825</v>
      </c>
      <c r="BK438" s="21">
        <f>'RD Feedstock Breakdown'!ES429</f>
        <v>15277.278056209894</v>
      </c>
      <c r="BL438" s="89">
        <f t="shared" si="271"/>
        <v>16.262130444077815</v>
      </c>
      <c r="BM438" s="89">
        <f t="shared" si="269"/>
        <v>33.518959336252522</v>
      </c>
    </row>
    <row r="439" spans="1:65" ht="13.5" x14ac:dyDescent="0.25">
      <c r="A439" s="15">
        <v>53509</v>
      </c>
      <c r="B439" s="20">
        <f t="shared" si="270"/>
        <v>690</v>
      </c>
      <c r="C439" s="74">
        <v>47</v>
      </c>
      <c r="D439" s="20">
        <f t="shared" si="261"/>
        <v>3</v>
      </c>
      <c r="E439" s="20">
        <f t="shared" si="275"/>
        <v>85</v>
      </c>
      <c r="F439" s="20">
        <f t="shared" si="294"/>
        <v>340</v>
      </c>
      <c r="G439" s="20">
        <f t="shared" si="260"/>
        <v>37.5</v>
      </c>
      <c r="H439" s="20">
        <f t="shared" si="287"/>
        <v>190</v>
      </c>
      <c r="I439" s="20">
        <f t="shared" si="274"/>
        <v>250</v>
      </c>
      <c r="J439" s="20">
        <f t="shared" si="266"/>
        <v>153.30000000000001</v>
      </c>
      <c r="K439" s="20">
        <f t="shared" si="276"/>
        <v>125</v>
      </c>
      <c r="L439" s="20">
        <v>125</v>
      </c>
      <c r="M439" s="20">
        <v>730</v>
      </c>
      <c r="N439" s="20">
        <f t="shared" si="255"/>
        <v>180</v>
      </c>
      <c r="O439" s="74">
        <v>375</v>
      </c>
      <c r="P439" s="20">
        <f t="shared" si="282"/>
        <v>50</v>
      </c>
      <c r="Q439" s="20">
        <f t="shared" si="283"/>
        <v>21</v>
      </c>
      <c r="R439" s="20">
        <v>100</v>
      </c>
      <c r="S439" s="20">
        <f t="shared" si="288"/>
        <v>60</v>
      </c>
      <c r="T439" s="20">
        <f t="shared" si="277"/>
        <v>36</v>
      </c>
      <c r="U439" s="20"/>
      <c r="V439" s="20">
        <f t="shared" si="253"/>
        <v>0</v>
      </c>
      <c r="W439" s="20">
        <f t="shared" si="284"/>
        <v>20</v>
      </c>
      <c r="X439" s="20">
        <f t="shared" si="268"/>
        <v>0</v>
      </c>
      <c r="Y439" s="20">
        <f t="shared" si="279"/>
        <v>3.5</v>
      </c>
      <c r="Z439" s="20">
        <f t="shared" si="256"/>
        <v>230</v>
      </c>
      <c r="AA439" s="20">
        <f t="shared" si="278"/>
        <v>306</v>
      </c>
      <c r="AB439" s="20">
        <f t="shared" si="290"/>
        <v>60</v>
      </c>
      <c r="AC439" s="20">
        <f t="shared" si="249"/>
        <v>1.6</v>
      </c>
      <c r="AD439" s="20">
        <f t="shared" si="286"/>
        <v>180</v>
      </c>
      <c r="AE439" s="20">
        <f t="shared" si="289"/>
        <v>1.1000000000000001</v>
      </c>
      <c r="AF439" s="20">
        <f t="shared" si="293"/>
        <v>275</v>
      </c>
      <c r="AG439" s="20">
        <f t="shared" si="251"/>
        <v>18</v>
      </c>
      <c r="AH439" s="20">
        <f t="shared" si="291"/>
        <v>3</v>
      </c>
      <c r="AI439" s="20">
        <f t="shared" si="285"/>
        <v>47</v>
      </c>
      <c r="AJ439" s="20">
        <f t="shared" si="258"/>
        <v>90</v>
      </c>
      <c r="AK439" s="20">
        <f t="shared" si="263"/>
        <v>14</v>
      </c>
      <c r="AL439" s="20">
        <f t="shared" si="259"/>
        <v>45</v>
      </c>
      <c r="AM439" s="20">
        <v>46</v>
      </c>
      <c r="AN439" s="20">
        <f t="shared" si="264"/>
        <v>0.75</v>
      </c>
      <c r="AO439" s="20">
        <f t="shared" si="262"/>
        <v>19</v>
      </c>
      <c r="AP439" s="20">
        <f t="shared" si="262"/>
        <v>19</v>
      </c>
      <c r="AQ439" s="20">
        <f t="shared" si="267"/>
        <v>5</v>
      </c>
      <c r="AR439" s="20">
        <f t="shared" si="254"/>
        <v>120</v>
      </c>
      <c r="AS439" s="20">
        <f t="shared" si="257"/>
        <v>120</v>
      </c>
      <c r="AT439" s="20">
        <f t="shared" si="250"/>
        <v>55</v>
      </c>
      <c r="AU439" s="20"/>
      <c r="AV439" s="20"/>
      <c r="AW439" s="20">
        <f t="shared" si="280"/>
        <v>5276.7500000000009</v>
      </c>
      <c r="AX439" s="86">
        <f t="shared" si="292"/>
        <v>5428.4449999999988</v>
      </c>
      <c r="AY439" s="17">
        <f>'[1]D4 Gallon Forecast'!$AL155/1000000</f>
        <v>0</v>
      </c>
      <c r="AZ439" s="17">
        <f>'[1]D4 Gallon Forecast'!$AL187/1000000</f>
        <v>446.41244202325743</v>
      </c>
      <c r="BA439" s="17">
        <f t="shared" si="295"/>
        <v>446.41244202325743</v>
      </c>
      <c r="BB439" s="17">
        <f>'[1]D4 Gallon Forecast'!$AL171/1000000</f>
        <v>0</v>
      </c>
      <c r="BC439" s="87">
        <f>'[1]D4 Gallon Forecast'!$AL347/1000000</f>
        <v>526.11591704737737</v>
      </c>
      <c r="BD439" s="88">
        <f>'[1]D4 Gallon Forecast'!$AL363/1000000</f>
        <v>0</v>
      </c>
      <c r="BE439" s="88">
        <f t="shared" ref="BE439:BE502" si="296">BD439+BC439+BB439</f>
        <v>526.11591704737737</v>
      </c>
      <c r="BF439" s="76">
        <f t="shared" si="272"/>
        <v>972.52835907063479</v>
      </c>
      <c r="BG439" s="22">
        <f t="shared" si="273"/>
        <v>2.1797086216573485</v>
      </c>
      <c r="BI439" s="21">
        <f t="shared" si="281"/>
        <v>4702.9000000000005</v>
      </c>
      <c r="BJ439" s="21">
        <f t="shared" si="265"/>
        <v>725.54499999999825</v>
      </c>
      <c r="BK439" s="21">
        <f>'RD Feedstock Breakdown'!ES430</f>
        <v>16918.189503575741</v>
      </c>
      <c r="BL439" s="89">
        <f t="shared" si="271"/>
        <v>17.396088603259919</v>
      </c>
      <c r="BM439" s="89">
        <f t="shared" si="269"/>
        <v>37.898113741852939</v>
      </c>
    </row>
    <row r="440" spans="1:65" ht="13.5" x14ac:dyDescent="0.25">
      <c r="A440" s="15">
        <v>53540</v>
      </c>
      <c r="B440" s="20">
        <f t="shared" si="270"/>
        <v>690</v>
      </c>
      <c r="C440" s="74">
        <v>47</v>
      </c>
      <c r="D440" s="20">
        <f t="shared" si="261"/>
        <v>3</v>
      </c>
      <c r="E440" s="20">
        <f t="shared" si="275"/>
        <v>85</v>
      </c>
      <c r="F440" s="20">
        <f t="shared" si="294"/>
        <v>340</v>
      </c>
      <c r="G440" s="20">
        <f t="shared" si="260"/>
        <v>37.5</v>
      </c>
      <c r="H440" s="20">
        <f t="shared" si="287"/>
        <v>190</v>
      </c>
      <c r="I440" s="20">
        <f t="shared" si="274"/>
        <v>250</v>
      </c>
      <c r="J440" s="20">
        <f t="shared" si="266"/>
        <v>153.30000000000001</v>
      </c>
      <c r="K440" s="20">
        <f t="shared" si="276"/>
        <v>125</v>
      </c>
      <c r="L440" s="20">
        <v>125</v>
      </c>
      <c r="M440" s="20">
        <v>730</v>
      </c>
      <c r="N440" s="20">
        <f t="shared" si="255"/>
        <v>180</v>
      </c>
      <c r="O440" s="74">
        <v>375</v>
      </c>
      <c r="P440" s="20">
        <f t="shared" si="282"/>
        <v>50</v>
      </c>
      <c r="Q440" s="20">
        <f t="shared" si="283"/>
        <v>21</v>
      </c>
      <c r="R440" s="20">
        <v>100</v>
      </c>
      <c r="S440" s="20">
        <f t="shared" si="288"/>
        <v>60</v>
      </c>
      <c r="T440" s="20">
        <f t="shared" si="277"/>
        <v>36</v>
      </c>
      <c r="U440" s="20"/>
      <c r="V440" s="20">
        <f t="shared" si="253"/>
        <v>0</v>
      </c>
      <c r="W440" s="20">
        <f t="shared" si="284"/>
        <v>20</v>
      </c>
      <c r="X440" s="20">
        <f t="shared" si="268"/>
        <v>0</v>
      </c>
      <c r="Y440" s="20">
        <f t="shared" si="279"/>
        <v>3.5</v>
      </c>
      <c r="Z440" s="20">
        <f t="shared" si="256"/>
        <v>230</v>
      </c>
      <c r="AA440" s="20">
        <f t="shared" si="278"/>
        <v>306</v>
      </c>
      <c r="AB440" s="20">
        <f t="shared" si="290"/>
        <v>60</v>
      </c>
      <c r="AC440" s="20">
        <f t="shared" si="249"/>
        <v>1.6</v>
      </c>
      <c r="AD440" s="20">
        <f t="shared" si="286"/>
        <v>180</v>
      </c>
      <c r="AE440" s="20">
        <f t="shared" si="289"/>
        <v>1.1000000000000001</v>
      </c>
      <c r="AF440" s="20">
        <f t="shared" si="293"/>
        <v>275</v>
      </c>
      <c r="AG440" s="20">
        <f t="shared" si="251"/>
        <v>18</v>
      </c>
      <c r="AH440" s="20">
        <f t="shared" si="291"/>
        <v>3</v>
      </c>
      <c r="AI440" s="20">
        <f t="shared" si="285"/>
        <v>47</v>
      </c>
      <c r="AJ440" s="20">
        <f t="shared" si="258"/>
        <v>90</v>
      </c>
      <c r="AK440" s="20">
        <f t="shared" si="263"/>
        <v>14</v>
      </c>
      <c r="AL440" s="20">
        <f t="shared" si="259"/>
        <v>45</v>
      </c>
      <c r="AM440" s="20">
        <v>46</v>
      </c>
      <c r="AN440" s="20">
        <f t="shared" si="264"/>
        <v>0.75</v>
      </c>
      <c r="AO440" s="20">
        <f t="shared" si="262"/>
        <v>19</v>
      </c>
      <c r="AP440" s="20">
        <f t="shared" si="262"/>
        <v>19</v>
      </c>
      <c r="AQ440" s="20">
        <f t="shared" si="267"/>
        <v>5</v>
      </c>
      <c r="AR440" s="20">
        <f t="shared" si="254"/>
        <v>120</v>
      </c>
      <c r="AS440" s="20">
        <f t="shared" si="257"/>
        <v>120</v>
      </c>
      <c r="AT440" s="20">
        <f t="shared" si="250"/>
        <v>55</v>
      </c>
      <c r="AU440" s="20"/>
      <c r="AV440" s="20"/>
      <c r="AW440" s="20">
        <f t="shared" si="280"/>
        <v>5276.7500000000009</v>
      </c>
      <c r="AX440" s="86">
        <f t="shared" si="292"/>
        <v>5428.4449999999988</v>
      </c>
      <c r="AY440" s="17">
        <f>'[1]D4 Gallon Forecast'!$AL156/1000000</f>
        <v>0</v>
      </c>
      <c r="AZ440" s="17">
        <f>'[1]D4 Gallon Forecast'!$AL188/1000000</f>
        <v>452.80084251833364</v>
      </c>
      <c r="BA440" s="17">
        <f t="shared" si="295"/>
        <v>452.80084251833364</v>
      </c>
      <c r="BB440" s="17">
        <f>'[1]D4 Gallon Forecast'!$AL172/1000000</f>
        <v>0</v>
      </c>
      <c r="BC440" s="87">
        <f>'[1]D4 Gallon Forecast'!$AL348/1000000</f>
        <v>572.85329173189973</v>
      </c>
      <c r="BD440" s="88">
        <f>'[1]D4 Gallon Forecast'!$AL364/1000000</f>
        <v>0</v>
      </c>
      <c r="BE440" s="88">
        <f t="shared" si="296"/>
        <v>572.85329173189973</v>
      </c>
      <c r="BF440" s="76">
        <f t="shared" si="272"/>
        <v>1025.6541342502333</v>
      </c>
      <c r="BG440" s="22">
        <f t="shared" si="273"/>
        <v>2.2246242322369763</v>
      </c>
      <c r="BI440" s="21">
        <f t="shared" si="281"/>
        <v>4702.9000000000005</v>
      </c>
      <c r="BJ440" s="21">
        <f t="shared" si="265"/>
        <v>725.54499999999825</v>
      </c>
      <c r="BK440" s="21">
        <f>'RD Feedstock Breakdown'!ES431</f>
        <v>18210.034453024389</v>
      </c>
      <c r="BL440" s="89">
        <f t="shared" si="271"/>
        <v>17.754556672592329</v>
      </c>
      <c r="BM440" s="89">
        <f t="shared" si="269"/>
        <v>40.216432354113998</v>
      </c>
    </row>
    <row r="441" spans="1:65" ht="13.5" x14ac:dyDescent="0.25">
      <c r="A441" s="15">
        <v>53571</v>
      </c>
      <c r="B441" s="20">
        <f t="shared" si="270"/>
        <v>690</v>
      </c>
      <c r="C441" s="74">
        <v>47</v>
      </c>
      <c r="D441" s="20">
        <f t="shared" si="261"/>
        <v>3</v>
      </c>
      <c r="E441" s="20">
        <f t="shared" si="275"/>
        <v>85</v>
      </c>
      <c r="F441" s="20">
        <f t="shared" si="294"/>
        <v>340</v>
      </c>
      <c r="G441" s="20">
        <f t="shared" si="260"/>
        <v>37.5</v>
      </c>
      <c r="H441" s="20">
        <f t="shared" si="287"/>
        <v>190</v>
      </c>
      <c r="I441" s="20">
        <f t="shared" si="274"/>
        <v>250</v>
      </c>
      <c r="J441" s="20">
        <f t="shared" si="266"/>
        <v>153.30000000000001</v>
      </c>
      <c r="K441" s="20">
        <f t="shared" si="276"/>
        <v>125</v>
      </c>
      <c r="L441" s="20">
        <v>125</v>
      </c>
      <c r="M441" s="20">
        <v>730</v>
      </c>
      <c r="N441" s="20">
        <f t="shared" si="255"/>
        <v>180</v>
      </c>
      <c r="O441" s="74">
        <v>375</v>
      </c>
      <c r="P441" s="20">
        <f t="shared" si="282"/>
        <v>50</v>
      </c>
      <c r="Q441" s="20">
        <f t="shared" si="283"/>
        <v>21</v>
      </c>
      <c r="R441" s="20">
        <v>100</v>
      </c>
      <c r="S441" s="20">
        <f t="shared" si="288"/>
        <v>60</v>
      </c>
      <c r="T441" s="20">
        <f t="shared" si="277"/>
        <v>36</v>
      </c>
      <c r="U441" s="20"/>
      <c r="V441" s="20">
        <f t="shared" si="253"/>
        <v>0</v>
      </c>
      <c r="W441" s="20">
        <f t="shared" si="284"/>
        <v>20</v>
      </c>
      <c r="X441" s="20">
        <f t="shared" si="268"/>
        <v>0</v>
      </c>
      <c r="Y441" s="20">
        <f t="shared" si="279"/>
        <v>3.5</v>
      </c>
      <c r="Z441" s="20">
        <f t="shared" si="256"/>
        <v>230</v>
      </c>
      <c r="AA441" s="20">
        <f t="shared" si="278"/>
        <v>306</v>
      </c>
      <c r="AB441" s="20">
        <f t="shared" si="290"/>
        <v>60</v>
      </c>
      <c r="AC441" s="20">
        <f t="shared" si="249"/>
        <v>1.6</v>
      </c>
      <c r="AD441" s="20">
        <f t="shared" si="286"/>
        <v>180</v>
      </c>
      <c r="AE441" s="20">
        <f t="shared" si="289"/>
        <v>1.1000000000000001</v>
      </c>
      <c r="AF441" s="20">
        <f t="shared" si="293"/>
        <v>275</v>
      </c>
      <c r="AG441" s="20">
        <f t="shared" si="251"/>
        <v>18</v>
      </c>
      <c r="AH441" s="20">
        <f t="shared" si="291"/>
        <v>3</v>
      </c>
      <c r="AI441" s="20">
        <f t="shared" si="285"/>
        <v>47</v>
      </c>
      <c r="AJ441" s="20">
        <f t="shared" si="258"/>
        <v>90</v>
      </c>
      <c r="AK441" s="20">
        <f t="shared" si="263"/>
        <v>14</v>
      </c>
      <c r="AL441" s="20">
        <f t="shared" si="259"/>
        <v>45</v>
      </c>
      <c r="AM441" s="20">
        <v>46</v>
      </c>
      <c r="AN441" s="20">
        <f t="shared" si="264"/>
        <v>0.75</v>
      </c>
      <c r="AO441" s="20">
        <f t="shared" si="262"/>
        <v>19</v>
      </c>
      <c r="AP441" s="20">
        <f t="shared" si="262"/>
        <v>19</v>
      </c>
      <c r="AQ441" s="20">
        <f t="shared" si="267"/>
        <v>5</v>
      </c>
      <c r="AR441" s="20">
        <f t="shared" si="254"/>
        <v>120</v>
      </c>
      <c r="AS441" s="20">
        <f t="shared" si="257"/>
        <v>120</v>
      </c>
      <c r="AT441" s="20">
        <f t="shared" si="250"/>
        <v>55</v>
      </c>
      <c r="AU441" s="20"/>
      <c r="AV441" s="20"/>
      <c r="AW441" s="20">
        <f t="shared" si="280"/>
        <v>5276.7500000000009</v>
      </c>
      <c r="AX441" s="86">
        <f t="shared" si="292"/>
        <v>5428.4449999999988</v>
      </c>
      <c r="AY441" s="17">
        <f>'[1]D4 Gallon Forecast'!$AL157/1000000</f>
        <v>0</v>
      </c>
      <c r="AZ441" s="17">
        <f>'[1]D4 Gallon Forecast'!$AL189/1000000</f>
        <v>461.05349412304207</v>
      </c>
      <c r="BA441" s="17">
        <f t="shared" si="295"/>
        <v>461.05349412304207</v>
      </c>
      <c r="BB441" s="17">
        <f>'[1]D4 Gallon Forecast'!$AL173/1000000</f>
        <v>0</v>
      </c>
      <c r="BC441" s="87">
        <f>'[1]D4 Gallon Forecast'!$AL349/1000000</f>
        <v>696.73018344995</v>
      </c>
      <c r="BD441" s="88">
        <f>'[1]D4 Gallon Forecast'!$AL365/1000000</f>
        <v>0</v>
      </c>
      <c r="BE441" s="88">
        <f t="shared" si="296"/>
        <v>696.73018344995</v>
      </c>
      <c r="BF441" s="76">
        <f t="shared" si="272"/>
        <v>1157.783677572992</v>
      </c>
      <c r="BG441" s="22">
        <f t="shared" si="273"/>
        <v>2.51121068867932</v>
      </c>
      <c r="BI441" s="21">
        <f t="shared" si="281"/>
        <v>4702.9000000000005</v>
      </c>
      <c r="BJ441" s="21">
        <f t="shared" si="265"/>
        <v>725.54499999999825</v>
      </c>
      <c r="BK441" s="21">
        <f>'RD Feedstock Breakdown'!ES432</f>
        <v>23204.04733763184</v>
      </c>
      <c r="BL441" s="89">
        <f t="shared" si="271"/>
        <v>20.041781368237462</v>
      </c>
      <c r="BM441" s="89">
        <f t="shared" si="269"/>
        <v>50.328319020263926</v>
      </c>
    </row>
    <row r="442" spans="1:65" ht="13.5" x14ac:dyDescent="0.25">
      <c r="A442" s="15">
        <v>53601</v>
      </c>
      <c r="B442" s="20">
        <f t="shared" si="270"/>
        <v>690</v>
      </c>
      <c r="C442" s="74">
        <v>47</v>
      </c>
      <c r="D442" s="20">
        <f t="shared" si="261"/>
        <v>3</v>
      </c>
      <c r="E442" s="20">
        <f t="shared" si="275"/>
        <v>85</v>
      </c>
      <c r="F442" s="20">
        <f t="shared" si="294"/>
        <v>340</v>
      </c>
      <c r="G442" s="20">
        <f t="shared" si="260"/>
        <v>37.5</v>
      </c>
      <c r="H442" s="20">
        <f t="shared" si="287"/>
        <v>190</v>
      </c>
      <c r="I442" s="20">
        <f t="shared" si="274"/>
        <v>250</v>
      </c>
      <c r="J442" s="20">
        <f t="shared" si="266"/>
        <v>153.30000000000001</v>
      </c>
      <c r="K442" s="20">
        <f t="shared" si="276"/>
        <v>125</v>
      </c>
      <c r="L442" s="20">
        <v>125</v>
      </c>
      <c r="M442" s="20">
        <v>730</v>
      </c>
      <c r="N442" s="20">
        <f t="shared" si="255"/>
        <v>180</v>
      </c>
      <c r="O442" s="74">
        <v>375</v>
      </c>
      <c r="P442" s="20">
        <f t="shared" si="282"/>
        <v>50</v>
      </c>
      <c r="Q442" s="20">
        <f t="shared" si="283"/>
        <v>21</v>
      </c>
      <c r="R442" s="20">
        <v>100</v>
      </c>
      <c r="S442" s="20">
        <f t="shared" si="288"/>
        <v>60</v>
      </c>
      <c r="T442" s="20">
        <f t="shared" si="277"/>
        <v>36</v>
      </c>
      <c r="U442" s="20"/>
      <c r="V442" s="20">
        <f t="shared" si="253"/>
        <v>0</v>
      </c>
      <c r="W442" s="20">
        <f t="shared" si="284"/>
        <v>20</v>
      </c>
      <c r="X442" s="20">
        <f t="shared" si="268"/>
        <v>0</v>
      </c>
      <c r="Y442" s="20">
        <f t="shared" si="279"/>
        <v>3.5</v>
      </c>
      <c r="Z442" s="20">
        <f t="shared" si="256"/>
        <v>230</v>
      </c>
      <c r="AA442" s="20">
        <f t="shared" si="278"/>
        <v>306</v>
      </c>
      <c r="AB442" s="20">
        <f t="shared" si="290"/>
        <v>60</v>
      </c>
      <c r="AC442" s="20">
        <f t="shared" ref="AC442:AC504" si="297">32*$AC$12</f>
        <v>1.6</v>
      </c>
      <c r="AD442" s="20">
        <f t="shared" si="286"/>
        <v>180</v>
      </c>
      <c r="AE442" s="20">
        <f t="shared" si="289"/>
        <v>1.1000000000000001</v>
      </c>
      <c r="AF442" s="20">
        <f t="shared" si="293"/>
        <v>275</v>
      </c>
      <c r="AG442" s="20">
        <f t="shared" si="251"/>
        <v>18</v>
      </c>
      <c r="AH442" s="20">
        <f t="shared" si="291"/>
        <v>3</v>
      </c>
      <c r="AI442" s="20">
        <f t="shared" si="285"/>
        <v>47</v>
      </c>
      <c r="AJ442" s="20">
        <f t="shared" si="258"/>
        <v>90</v>
      </c>
      <c r="AK442" s="20">
        <f t="shared" si="263"/>
        <v>14</v>
      </c>
      <c r="AL442" s="20">
        <f t="shared" si="259"/>
        <v>45</v>
      </c>
      <c r="AM442" s="20">
        <v>46</v>
      </c>
      <c r="AN442" s="20">
        <f t="shared" si="264"/>
        <v>0.75</v>
      </c>
      <c r="AO442" s="20">
        <f t="shared" si="262"/>
        <v>19</v>
      </c>
      <c r="AP442" s="20">
        <f t="shared" si="262"/>
        <v>19</v>
      </c>
      <c r="AQ442" s="20">
        <f t="shared" si="267"/>
        <v>5</v>
      </c>
      <c r="AR442" s="20">
        <f t="shared" si="254"/>
        <v>120</v>
      </c>
      <c r="AS442" s="20">
        <f t="shared" si="257"/>
        <v>120</v>
      </c>
      <c r="AT442" s="20">
        <f t="shared" ref="AT442:AT504" si="298">$AT$5*$AT$12</f>
        <v>55</v>
      </c>
      <c r="AU442" s="20"/>
      <c r="AV442" s="20"/>
      <c r="AW442" s="20">
        <f t="shared" si="280"/>
        <v>5276.7500000000009</v>
      </c>
      <c r="AX442" s="86">
        <f t="shared" si="292"/>
        <v>5428.4449999999988</v>
      </c>
      <c r="AY442" s="17">
        <f>'[1]D4 Gallon Forecast'!$AL158/1000000</f>
        <v>0</v>
      </c>
      <c r="AZ442" s="17">
        <f>'[1]D4 Gallon Forecast'!$AL190/1000000</f>
        <v>506.63668259825937</v>
      </c>
      <c r="BA442" s="17">
        <f t="shared" si="295"/>
        <v>506.63668259825937</v>
      </c>
      <c r="BB442" s="17">
        <f>'[1]D4 Gallon Forecast'!$AL174/1000000</f>
        <v>0</v>
      </c>
      <c r="BC442" s="87">
        <f>'[1]D4 Gallon Forecast'!$AL350/1000000</f>
        <v>680.28755054873238</v>
      </c>
      <c r="BD442" s="88">
        <f>'[1]D4 Gallon Forecast'!$AL366/1000000</f>
        <v>0</v>
      </c>
      <c r="BE442" s="88">
        <f t="shared" si="296"/>
        <v>680.28755054873238</v>
      </c>
      <c r="BF442" s="76">
        <f t="shared" si="272"/>
        <v>1186.9242331469918</v>
      </c>
      <c r="BG442" s="22">
        <f t="shared" si="273"/>
        <v>2.6602298638539037</v>
      </c>
      <c r="BI442" s="21">
        <f t="shared" si="281"/>
        <v>4702.9000000000005</v>
      </c>
      <c r="BJ442" s="21">
        <f t="shared" si="265"/>
        <v>725.54499999999825</v>
      </c>
      <c r="BK442" s="21">
        <f>'RD Feedstock Breakdown'!ES433</f>
        <v>25199.697665596213</v>
      </c>
      <c r="BL442" s="89">
        <f t="shared" si="271"/>
        <v>21.231092062870889</v>
      </c>
      <c r="BM442" s="89">
        <f t="shared" si="269"/>
        <v>49.739188912182392</v>
      </c>
    </row>
    <row r="443" spans="1:65" ht="13.5" x14ac:dyDescent="0.25">
      <c r="A443" s="15">
        <v>53632</v>
      </c>
      <c r="B443" s="20">
        <f t="shared" si="270"/>
        <v>690</v>
      </c>
      <c r="C443" s="74">
        <v>47</v>
      </c>
      <c r="D443" s="20">
        <f t="shared" si="261"/>
        <v>3</v>
      </c>
      <c r="E443" s="20">
        <f t="shared" si="275"/>
        <v>85</v>
      </c>
      <c r="F443" s="20">
        <f t="shared" si="294"/>
        <v>340</v>
      </c>
      <c r="G443" s="20">
        <f t="shared" si="260"/>
        <v>37.5</v>
      </c>
      <c r="H443" s="20">
        <f t="shared" si="287"/>
        <v>190</v>
      </c>
      <c r="I443" s="20">
        <f t="shared" si="274"/>
        <v>250</v>
      </c>
      <c r="J443" s="20">
        <f t="shared" si="266"/>
        <v>153.30000000000001</v>
      </c>
      <c r="K443" s="20">
        <f t="shared" si="276"/>
        <v>125</v>
      </c>
      <c r="L443" s="20">
        <v>125</v>
      </c>
      <c r="M443" s="20">
        <v>730</v>
      </c>
      <c r="N443" s="20">
        <f t="shared" si="255"/>
        <v>180</v>
      </c>
      <c r="O443" s="74">
        <v>375</v>
      </c>
      <c r="P443" s="20">
        <f t="shared" si="282"/>
        <v>50</v>
      </c>
      <c r="Q443" s="20">
        <f t="shared" si="283"/>
        <v>21</v>
      </c>
      <c r="R443" s="20">
        <v>100</v>
      </c>
      <c r="S443" s="20">
        <f t="shared" si="288"/>
        <v>60</v>
      </c>
      <c r="T443" s="20">
        <f t="shared" si="277"/>
        <v>36</v>
      </c>
      <c r="U443" s="20"/>
      <c r="V443" s="20">
        <f t="shared" si="253"/>
        <v>0</v>
      </c>
      <c r="W443" s="20">
        <f t="shared" si="284"/>
        <v>20</v>
      </c>
      <c r="X443" s="20">
        <f t="shared" si="268"/>
        <v>0</v>
      </c>
      <c r="Y443" s="20">
        <f t="shared" si="279"/>
        <v>3.5</v>
      </c>
      <c r="Z443" s="20">
        <f t="shared" si="256"/>
        <v>230</v>
      </c>
      <c r="AA443" s="20">
        <f t="shared" si="278"/>
        <v>306</v>
      </c>
      <c r="AB443" s="20">
        <f t="shared" si="290"/>
        <v>60</v>
      </c>
      <c r="AC443" s="20">
        <f t="shared" si="297"/>
        <v>1.6</v>
      </c>
      <c r="AD443" s="20">
        <f t="shared" si="286"/>
        <v>180</v>
      </c>
      <c r="AE443" s="20">
        <f t="shared" si="289"/>
        <v>1.1000000000000001</v>
      </c>
      <c r="AF443" s="20">
        <f t="shared" si="293"/>
        <v>275</v>
      </c>
      <c r="AG443" s="20">
        <f t="shared" ref="AG443:AG504" si="299">$AG$5*$AG$12</f>
        <v>18</v>
      </c>
      <c r="AH443" s="20">
        <f t="shared" si="291"/>
        <v>3</v>
      </c>
      <c r="AI443" s="20">
        <f t="shared" si="285"/>
        <v>47</v>
      </c>
      <c r="AJ443" s="20">
        <f t="shared" si="258"/>
        <v>90</v>
      </c>
      <c r="AK443" s="20">
        <f t="shared" si="263"/>
        <v>14</v>
      </c>
      <c r="AL443" s="20">
        <f t="shared" si="259"/>
        <v>45</v>
      </c>
      <c r="AM443" s="20">
        <v>46</v>
      </c>
      <c r="AN443" s="20">
        <f t="shared" si="264"/>
        <v>0.75</v>
      </c>
      <c r="AO443" s="20">
        <f t="shared" si="262"/>
        <v>19</v>
      </c>
      <c r="AP443" s="20">
        <f t="shared" si="262"/>
        <v>19</v>
      </c>
      <c r="AQ443" s="20">
        <f t="shared" si="267"/>
        <v>5</v>
      </c>
      <c r="AR443" s="20">
        <f t="shared" si="254"/>
        <v>120</v>
      </c>
      <c r="AS443" s="20">
        <f t="shared" si="257"/>
        <v>120</v>
      </c>
      <c r="AT443" s="20">
        <f t="shared" si="298"/>
        <v>55</v>
      </c>
      <c r="AU443" s="20"/>
      <c r="AV443" s="20"/>
      <c r="AW443" s="20">
        <f t="shared" si="280"/>
        <v>5276.7500000000009</v>
      </c>
      <c r="AX443" s="86">
        <f t="shared" si="292"/>
        <v>5428.4449999999988</v>
      </c>
      <c r="AY443" s="17">
        <f>'[1]D4 Gallon Forecast'!$AL159/1000000</f>
        <v>0</v>
      </c>
      <c r="AZ443" s="17">
        <f>'[1]D4 Gallon Forecast'!$AL191/1000000</f>
        <v>615.55234982594163</v>
      </c>
      <c r="BA443" s="17">
        <f t="shared" si="295"/>
        <v>615.55234982594163</v>
      </c>
      <c r="BB443" s="17">
        <f>'[1]D4 Gallon Forecast'!$AL175/1000000</f>
        <v>0</v>
      </c>
      <c r="BC443" s="87">
        <f>'[1]D4 Gallon Forecast'!$AL351/1000000</f>
        <v>588.65315876595787</v>
      </c>
      <c r="BD443" s="88">
        <f>'[1]D4 Gallon Forecast'!$AL367/1000000</f>
        <v>0</v>
      </c>
      <c r="BE443" s="88">
        <f t="shared" si="296"/>
        <v>588.65315876595787</v>
      </c>
      <c r="BF443" s="76">
        <f t="shared" si="272"/>
        <v>1204.2055085918996</v>
      </c>
      <c r="BG443" s="22">
        <f t="shared" si="273"/>
        <v>2.6118987537305709</v>
      </c>
      <c r="BI443" s="21">
        <f t="shared" si="281"/>
        <v>4702.9000000000005</v>
      </c>
      <c r="BJ443" s="21">
        <f t="shared" si="265"/>
        <v>725.54499999999825</v>
      </c>
      <c r="BK443" s="21">
        <f>'RD Feedstock Breakdown'!ES434</f>
        <v>25102.10354422325</v>
      </c>
      <c r="BL443" s="89">
        <f t="shared" si="271"/>
        <v>20.845365151647261</v>
      </c>
      <c r="BM443" s="89">
        <f t="shared" si="269"/>
        <v>40.779802970976093</v>
      </c>
    </row>
    <row r="444" spans="1:65" ht="13.5" x14ac:dyDescent="0.25">
      <c r="A444" s="15">
        <v>53662</v>
      </c>
      <c r="B444" s="20">
        <f t="shared" si="270"/>
        <v>690</v>
      </c>
      <c r="C444" s="74">
        <v>47</v>
      </c>
      <c r="D444" s="20">
        <f t="shared" si="261"/>
        <v>3</v>
      </c>
      <c r="E444" s="20">
        <f t="shared" si="275"/>
        <v>85</v>
      </c>
      <c r="F444" s="20">
        <f t="shared" si="294"/>
        <v>340</v>
      </c>
      <c r="G444" s="20">
        <f t="shared" si="260"/>
        <v>37.5</v>
      </c>
      <c r="H444" s="20">
        <f t="shared" si="287"/>
        <v>190</v>
      </c>
      <c r="I444" s="20">
        <f t="shared" si="274"/>
        <v>250</v>
      </c>
      <c r="J444" s="20">
        <f t="shared" si="266"/>
        <v>153.30000000000001</v>
      </c>
      <c r="K444" s="20">
        <f t="shared" si="276"/>
        <v>125</v>
      </c>
      <c r="L444" s="20">
        <v>125</v>
      </c>
      <c r="M444" s="20">
        <v>730</v>
      </c>
      <c r="N444" s="20">
        <f t="shared" si="255"/>
        <v>180</v>
      </c>
      <c r="O444" s="74">
        <v>375</v>
      </c>
      <c r="P444" s="20">
        <f t="shared" si="282"/>
        <v>50</v>
      </c>
      <c r="Q444" s="20">
        <f t="shared" si="283"/>
        <v>21</v>
      </c>
      <c r="R444" s="20">
        <v>100</v>
      </c>
      <c r="S444" s="20">
        <f t="shared" si="288"/>
        <v>60</v>
      </c>
      <c r="T444" s="20">
        <f t="shared" si="277"/>
        <v>36</v>
      </c>
      <c r="U444" s="20"/>
      <c r="V444" s="20">
        <f t="shared" si="253"/>
        <v>0</v>
      </c>
      <c r="W444" s="20">
        <f t="shared" si="284"/>
        <v>20</v>
      </c>
      <c r="X444" s="20">
        <f t="shared" si="268"/>
        <v>0</v>
      </c>
      <c r="Y444" s="20">
        <f t="shared" si="279"/>
        <v>3.5</v>
      </c>
      <c r="Z444" s="20">
        <f t="shared" si="256"/>
        <v>230</v>
      </c>
      <c r="AA444" s="20">
        <f t="shared" si="278"/>
        <v>306</v>
      </c>
      <c r="AB444" s="20">
        <f t="shared" si="290"/>
        <v>60</v>
      </c>
      <c r="AC444" s="20">
        <f t="shared" si="297"/>
        <v>1.6</v>
      </c>
      <c r="AD444" s="20">
        <f t="shared" si="286"/>
        <v>180</v>
      </c>
      <c r="AE444" s="20">
        <f t="shared" si="289"/>
        <v>1.1000000000000001</v>
      </c>
      <c r="AF444" s="20">
        <f t="shared" si="293"/>
        <v>275</v>
      </c>
      <c r="AG444" s="20">
        <f t="shared" si="299"/>
        <v>18</v>
      </c>
      <c r="AH444" s="20">
        <f t="shared" si="291"/>
        <v>3</v>
      </c>
      <c r="AI444" s="20">
        <f t="shared" si="285"/>
        <v>47</v>
      </c>
      <c r="AJ444" s="20">
        <f t="shared" si="258"/>
        <v>90</v>
      </c>
      <c r="AK444" s="20">
        <f t="shared" si="263"/>
        <v>14</v>
      </c>
      <c r="AL444" s="20">
        <f t="shared" si="259"/>
        <v>45</v>
      </c>
      <c r="AM444" s="20">
        <v>46</v>
      </c>
      <c r="AN444" s="20">
        <f t="shared" si="264"/>
        <v>0.75</v>
      </c>
      <c r="AO444" s="20">
        <f t="shared" si="262"/>
        <v>19</v>
      </c>
      <c r="AP444" s="20">
        <f t="shared" si="262"/>
        <v>19</v>
      </c>
      <c r="AQ444" s="20">
        <f t="shared" si="267"/>
        <v>5</v>
      </c>
      <c r="AR444" s="20">
        <f t="shared" si="254"/>
        <v>120</v>
      </c>
      <c r="AS444" s="20">
        <f t="shared" si="257"/>
        <v>120</v>
      </c>
      <c r="AT444" s="20">
        <f t="shared" si="298"/>
        <v>55</v>
      </c>
      <c r="AU444" s="20"/>
      <c r="AV444" s="20"/>
      <c r="AW444" s="20">
        <f t="shared" si="280"/>
        <v>5276.7500000000009</v>
      </c>
      <c r="AX444" s="86">
        <f t="shared" si="292"/>
        <v>5428.4449999999988</v>
      </c>
      <c r="AY444" s="17">
        <f>'[1]D4 Gallon Forecast'!$AL160/1000000</f>
        <v>0</v>
      </c>
      <c r="AZ444" s="17">
        <f>'[1]D4 Gallon Forecast'!$AL192/1000000</f>
        <v>698.44925743886381</v>
      </c>
      <c r="BA444" s="17">
        <f t="shared" si="295"/>
        <v>698.44925743886381</v>
      </c>
      <c r="BB444" s="17">
        <f>'[1]D4 Gallon Forecast'!$AL176/1000000</f>
        <v>0</v>
      </c>
      <c r="BC444" s="87">
        <f>'[1]D4 Gallon Forecast'!$AL352/1000000</f>
        <v>528.93030144974705</v>
      </c>
      <c r="BD444" s="88">
        <f>'[1]D4 Gallon Forecast'!$AL368/1000000</f>
        <v>0</v>
      </c>
      <c r="BE444" s="88">
        <f t="shared" si="296"/>
        <v>528.93030144974705</v>
      </c>
      <c r="BF444" s="76">
        <f t="shared" si="272"/>
        <v>1227.379558888611</v>
      </c>
      <c r="BG444" s="22">
        <f t="shared" si="273"/>
        <v>2.750901587190826</v>
      </c>
      <c r="BI444" s="21">
        <f t="shared" si="281"/>
        <v>4702.9000000000005</v>
      </c>
      <c r="BJ444" s="21">
        <f t="shared" si="265"/>
        <v>725.54499999999825</v>
      </c>
      <c r="BK444" s="21">
        <f>'RD Feedstock Breakdown'!ES435</f>
        <v>26946.794414803324</v>
      </c>
      <c r="BL444" s="89">
        <f t="shared" si="271"/>
        <v>21.954736185441753</v>
      </c>
      <c r="BM444" s="89">
        <f t="shared" si="269"/>
        <v>38.580890634223366</v>
      </c>
    </row>
    <row r="445" spans="1:65" ht="13.5" x14ac:dyDescent="0.25">
      <c r="A445" s="15">
        <v>53693</v>
      </c>
      <c r="B445" s="20">
        <f t="shared" si="270"/>
        <v>690</v>
      </c>
      <c r="C445" s="74">
        <v>47</v>
      </c>
      <c r="D445" s="20">
        <f t="shared" si="261"/>
        <v>3</v>
      </c>
      <c r="E445" s="20">
        <f t="shared" si="275"/>
        <v>85</v>
      </c>
      <c r="F445" s="20">
        <f t="shared" si="294"/>
        <v>340</v>
      </c>
      <c r="G445" s="20">
        <f t="shared" si="260"/>
        <v>37.5</v>
      </c>
      <c r="H445" s="20">
        <f t="shared" si="287"/>
        <v>190</v>
      </c>
      <c r="I445" s="20">
        <f t="shared" si="274"/>
        <v>250</v>
      </c>
      <c r="J445" s="20">
        <f t="shared" si="266"/>
        <v>153.30000000000001</v>
      </c>
      <c r="K445" s="20">
        <f t="shared" si="276"/>
        <v>125</v>
      </c>
      <c r="L445" s="20">
        <v>125</v>
      </c>
      <c r="M445" s="20">
        <v>730</v>
      </c>
      <c r="N445" s="20">
        <f t="shared" si="255"/>
        <v>180</v>
      </c>
      <c r="O445" s="74">
        <v>375</v>
      </c>
      <c r="P445" s="20">
        <f t="shared" si="282"/>
        <v>50</v>
      </c>
      <c r="Q445" s="20">
        <f t="shared" si="283"/>
        <v>21</v>
      </c>
      <c r="R445" s="20">
        <v>100</v>
      </c>
      <c r="S445" s="20">
        <f t="shared" si="288"/>
        <v>60</v>
      </c>
      <c r="T445" s="20">
        <f t="shared" si="277"/>
        <v>36</v>
      </c>
      <c r="U445" s="20"/>
      <c r="V445" s="20">
        <f t="shared" si="253"/>
        <v>0</v>
      </c>
      <c r="W445" s="20">
        <f t="shared" si="284"/>
        <v>20</v>
      </c>
      <c r="X445" s="20">
        <f t="shared" si="268"/>
        <v>0</v>
      </c>
      <c r="Y445" s="20">
        <f t="shared" si="279"/>
        <v>3.5</v>
      </c>
      <c r="Z445" s="20">
        <f t="shared" si="256"/>
        <v>230</v>
      </c>
      <c r="AA445" s="20">
        <f t="shared" si="278"/>
        <v>306</v>
      </c>
      <c r="AB445" s="20">
        <f t="shared" si="290"/>
        <v>60</v>
      </c>
      <c r="AC445" s="20">
        <f t="shared" si="297"/>
        <v>1.6</v>
      </c>
      <c r="AD445" s="20">
        <f t="shared" si="286"/>
        <v>180</v>
      </c>
      <c r="AE445" s="20">
        <f t="shared" si="289"/>
        <v>1.1000000000000001</v>
      </c>
      <c r="AF445" s="20">
        <f t="shared" si="293"/>
        <v>275</v>
      </c>
      <c r="AG445" s="20">
        <f t="shared" si="299"/>
        <v>18</v>
      </c>
      <c r="AH445" s="20">
        <f t="shared" si="291"/>
        <v>3</v>
      </c>
      <c r="AI445" s="20">
        <f t="shared" si="285"/>
        <v>47</v>
      </c>
      <c r="AJ445" s="20">
        <f t="shared" si="258"/>
        <v>90</v>
      </c>
      <c r="AK445" s="20">
        <f t="shared" si="263"/>
        <v>14</v>
      </c>
      <c r="AL445" s="20">
        <f t="shared" si="259"/>
        <v>45</v>
      </c>
      <c r="AM445" s="20">
        <v>46</v>
      </c>
      <c r="AN445" s="20">
        <f t="shared" si="264"/>
        <v>0.75</v>
      </c>
      <c r="AO445" s="20">
        <f t="shared" si="262"/>
        <v>19</v>
      </c>
      <c r="AP445" s="20">
        <f t="shared" si="262"/>
        <v>19</v>
      </c>
      <c r="AQ445" s="20">
        <f t="shared" si="267"/>
        <v>5</v>
      </c>
      <c r="AR445" s="20">
        <f t="shared" si="254"/>
        <v>120</v>
      </c>
      <c r="AS445" s="20">
        <f t="shared" si="257"/>
        <v>120</v>
      </c>
      <c r="AT445" s="20">
        <f t="shared" si="298"/>
        <v>55</v>
      </c>
      <c r="AU445" s="20"/>
      <c r="AV445" s="20"/>
      <c r="AW445" s="20">
        <f t="shared" si="280"/>
        <v>5276.7500000000009</v>
      </c>
      <c r="AX445" s="86">
        <f t="shared" si="292"/>
        <v>5428.4449999999988</v>
      </c>
      <c r="AY445" s="17">
        <f>'[1]D4 Gallon Forecast'!$AM149/1000000</f>
        <v>0</v>
      </c>
      <c r="AZ445" s="17">
        <f>'[1]D4 Gallon Forecast'!$AM181/1000000</f>
        <v>380.53704197759515</v>
      </c>
      <c r="BA445" s="17">
        <f t="shared" si="295"/>
        <v>380.53704197759515</v>
      </c>
      <c r="BB445" s="17">
        <f>'[1]D4 Gallon Forecast'!$AM165/1000000</f>
        <v>0</v>
      </c>
      <c r="BC445" s="87">
        <f>'[1]D4 Gallon Forecast'!$AM341/1000000</f>
        <v>328.19330339483992</v>
      </c>
      <c r="BD445" s="88">
        <f>'[1]D4 Gallon Forecast'!$AM357/1000000</f>
        <v>0</v>
      </c>
      <c r="BE445" s="88">
        <f t="shared" si="296"/>
        <v>328.19330339483992</v>
      </c>
      <c r="BF445" s="76">
        <f t="shared" si="272"/>
        <v>708.73034537243507</v>
      </c>
      <c r="BG445" s="22">
        <f t="shared" si="273"/>
        <v>1.5372225858473807</v>
      </c>
      <c r="BI445" s="21">
        <f t="shared" si="281"/>
        <v>4702.9000000000005</v>
      </c>
      <c r="BJ445" s="21">
        <f t="shared" si="265"/>
        <v>725.54499999999825</v>
      </c>
      <c r="BK445" s="21">
        <f>'RD Feedstock Breakdown'!ES436</f>
        <v>8695.0273795445592</v>
      </c>
      <c r="BL445" s="89">
        <f t="shared" si="271"/>
        <v>12.268456453597109</v>
      </c>
      <c r="BM445" s="89">
        <f t="shared" si="269"/>
        <v>22.849358723024118</v>
      </c>
    </row>
    <row r="446" spans="1:65" ht="13.5" x14ac:dyDescent="0.25">
      <c r="A446" s="15">
        <v>53724</v>
      </c>
      <c r="B446" s="20">
        <f t="shared" si="270"/>
        <v>690</v>
      </c>
      <c r="C446" s="74">
        <v>47</v>
      </c>
      <c r="D446" s="20">
        <f t="shared" si="261"/>
        <v>3</v>
      </c>
      <c r="E446" s="20">
        <f t="shared" si="275"/>
        <v>85</v>
      </c>
      <c r="F446" s="20">
        <f t="shared" si="294"/>
        <v>340</v>
      </c>
      <c r="G446" s="20">
        <f t="shared" si="260"/>
        <v>37.5</v>
      </c>
      <c r="H446" s="20">
        <f t="shared" si="287"/>
        <v>190</v>
      </c>
      <c r="I446" s="20">
        <f t="shared" si="274"/>
        <v>250</v>
      </c>
      <c r="J446" s="20">
        <f t="shared" si="266"/>
        <v>153.30000000000001</v>
      </c>
      <c r="K446" s="20">
        <f t="shared" si="276"/>
        <v>125</v>
      </c>
      <c r="L446" s="20">
        <v>125</v>
      </c>
      <c r="M446" s="20">
        <v>730</v>
      </c>
      <c r="N446" s="20">
        <f t="shared" si="255"/>
        <v>180</v>
      </c>
      <c r="O446" s="74">
        <v>375</v>
      </c>
      <c r="P446" s="20">
        <f t="shared" si="282"/>
        <v>50</v>
      </c>
      <c r="Q446" s="20">
        <f t="shared" si="283"/>
        <v>21</v>
      </c>
      <c r="R446" s="20">
        <v>100</v>
      </c>
      <c r="S446" s="20">
        <f t="shared" si="288"/>
        <v>60</v>
      </c>
      <c r="T446" s="20">
        <f t="shared" si="277"/>
        <v>36</v>
      </c>
      <c r="U446" s="20"/>
      <c r="V446" s="20">
        <f t="shared" si="253"/>
        <v>0</v>
      </c>
      <c r="W446" s="20">
        <f t="shared" si="284"/>
        <v>20</v>
      </c>
      <c r="X446" s="20">
        <f t="shared" si="268"/>
        <v>0</v>
      </c>
      <c r="Y446" s="20">
        <f t="shared" si="279"/>
        <v>3.5</v>
      </c>
      <c r="Z446" s="20">
        <f t="shared" si="256"/>
        <v>230</v>
      </c>
      <c r="AA446" s="20">
        <f t="shared" si="278"/>
        <v>306</v>
      </c>
      <c r="AB446" s="20">
        <f t="shared" si="290"/>
        <v>60</v>
      </c>
      <c r="AC446" s="20">
        <f t="shared" si="297"/>
        <v>1.6</v>
      </c>
      <c r="AD446" s="20">
        <f t="shared" si="286"/>
        <v>180</v>
      </c>
      <c r="AE446" s="20">
        <f t="shared" si="289"/>
        <v>1.1000000000000001</v>
      </c>
      <c r="AF446" s="20">
        <f t="shared" si="293"/>
        <v>275</v>
      </c>
      <c r="AG446" s="20">
        <f t="shared" si="299"/>
        <v>18</v>
      </c>
      <c r="AH446" s="20">
        <f t="shared" si="291"/>
        <v>3</v>
      </c>
      <c r="AI446" s="20">
        <f t="shared" si="285"/>
        <v>47</v>
      </c>
      <c r="AJ446" s="20">
        <f t="shared" si="258"/>
        <v>90</v>
      </c>
      <c r="AK446" s="20">
        <f t="shared" si="263"/>
        <v>14</v>
      </c>
      <c r="AL446" s="20">
        <f t="shared" si="259"/>
        <v>45</v>
      </c>
      <c r="AM446" s="20">
        <v>46</v>
      </c>
      <c r="AN446" s="20">
        <f t="shared" si="264"/>
        <v>0.75</v>
      </c>
      <c r="AO446" s="20">
        <f t="shared" si="262"/>
        <v>19</v>
      </c>
      <c r="AP446" s="20">
        <f t="shared" si="262"/>
        <v>19</v>
      </c>
      <c r="AQ446" s="20">
        <f t="shared" si="267"/>
        <v>5</v>
      </c>
      <c r="AR446" s="20">
        <f t="shared" si="254"/>
        <v>120</v>
      </c>
      <c r="AS446" s="20">
        <f t="shared" si="257"/>
        <v>120</v>
      </c>
      <c r="AT446" s="20">
        <f t="shared" si="298"/>
        <v>55</v>
      </c>
      <c r="AU446" s="20"/>
      <c r="AV446" s="20"/>
      <c r="AW446" s="20">
        <f t="shared" si="280"/>
        <v>5276.7500000000009</v>
      </c>
      <c r="AX446" s="86">
        <f t="shared" si="292"/>
        <v>5428.4449999999988</v>
      </c>
      <c r="AY446" s="17">
        <f>'[1]D4 Gallon Forecast'!$AM150/1000000</f>
        <v>0</v>
      </c>
      <c r="AZ446" s="17">
        <f>'[1]D4 Gallon Forecast'!$AM182/1000000</f>
        <v>419.61877756565758</v>
      </c>
      <c r="BA446" s="17">
        <f t="shared" si="295"/>
        <v>419.61877756565758</v>
      </c>
      <c r="BB446" s="17">
        <f>'[1]D4 Gallon Forecast'!$AM166/1000000</f>
        <v>0</v>
      </c>
      <c r="BC446" s="87">
        <f>'[1]D4 Gallon Forecast'!$AM342/1000000</f>
        <v>622.93086645601022</v>
      </c>
      <c r="BD446" s="88">
        <f>'[1]D4 Gallon Forecast'!$AM358/1000000</f>
        <v>0</v>
      </c>
      <c r="BE446" s="88">
        <f t="shared" si="296"/>
        <v>622.93086645601022</v>
      </c>
      <c r="BF446" s="76">
        <f t="shared" si="272"/>
        <v>1042.5496440216677</v>
      </c>
      <c r="BG446" s="22">
        <f t="shared" si="273"/>
        <v>2.2612702703100407</v>
      </c>
      <c r="BI446" s="21">
        <f t="shared" si="281"/>
        <v>4702.9000000000005</v>
      </c>
      <c r="BJ446" s="21">
        <f t="shared" si="265"/>
        <v>725.54499999999825</v>
      </c>
      <c r="BK446" s="21">
        <f>'RD Feedstock Breakdown'!ES437</f>
        <v>18814.920441435122</v>
      </c>
      <c r="BL446" s="89">
        <f t="shared" si="271"/>
        <v>18.047025913179521</v>
      </c>
      <c r="BM446" s="89">
        <f t="shared" si="269"/>
        <v>44.838127956490602</v>
      </c>
    </row>
    <row r="447" spans="1:65" ht="13.5" x14ac:dyDescent="0.25">
      <c r="A447" s="15">
        <v>53752</v>
      </c>
      <c r="B447" s="20">
        <f t="shared" si="270"/>
        <v>690</v>
      </c>
      <c r="C447" s="74">
        <v>47</v>
      </c>
      <c r="D447" s="20">
        <f t="shared" si="261"/>
        <v>3</v>
      </c>
      <c r="E447" s="20">
        <f t="shared" si="275"/>
        <v>85</v>
      </c>
      <c r="F447" s="20">
        <f t="shared" si="294"/>
        <v>340</v>
      </c>
      <c r="G447" s="20">
        <f t="shared" si="260"/>
        <v>37.5</v>
      </c>
      <c r="H447" s="20">
        <f t="shared" si="287"/>
        <v>190</v>
      </c>
      <c r="I447" s="20">
        <f t="shared" si="274"/>
        <v>250</v>
      </c>
      <c r="J447" s="20">
        <f t="shared" si="266"/>
        <v>153.30000000000001</v>
      </c>
      <c r="K447" s="20">
        <f t="shared" si="276"/>
        <v>125</v>
      </c>
      <c r="L447" s="20">
        <v>125</v>
      </c>
      <c r="M447" s="20">
        <v>730</v>
      </c>
      <c r="N447" s="20">
        <f t="shared" si="255"/>
        <v>180</v>
      </c>
      <c r="O447" s="74">
        <v>375</v>
      </c>
      <c r="P447" s="20">
        <f t="shared" si="282"/>
        <v>50</v>
      </c>
      <c r="Q447" s="20">
        <f t="shared" si="283"/>
        <v>21</v>
      </c>
      <c r="R447" s="20">
        <v>100</v>
      </c>
      <c r="S447" s="20">
        <f t="shared" si="288"/>
        <v>60</v>
      </c>
      <c r="T447" s="20">
        <f t="shared" si="277"/>
        <v>36</v>
      </c>
      <c r="U447" s="20"/>
      <c r="V447" s="20">
        <f t="shared" si="253"/>
        <v>0</v>
      </c>
      <c r="W447" s="20">
        <f t="shared" si="284"/>
        <v>20</v>
      </c>
      <c r="X447" s="20">
        <f t="shared" si="268"/>
        <v>0</v>
      </c>
      <c r="Y447" s="20">
        <f t="shared" si="279"/>
        <v>3.5</v>
      </c>
      <c r="Z447" s="20">
        <f t="shared" si="256"/>
        <v>230</v>
      </c>
      <c r="AA447" s="20">
        <f t="shared" si="278"/>
        <v>306</v>
      </c>
      <c r="AB447" s="20">
        <f t="shared" si="290"/>
        <v>60</v>
      </c>
      <c r="AC447" s="20">
        <f t="shared" si="297"/>
        <v>1.6</v>
      </c>
      <c r="AD447" s="20">
        <f t="shared" si="286"/>
        <v>180</v>
      </c>
      <c r="AE447" s="20">
        <f t="shared" si="289"/>
        <v>1.1000000000000001</v>
      </c>
      <c r="AF447" s="20">
        <f t="shared" si="293"/>
        <v>275</v>
      </c>
      <c r="AG447" s="20">
        <f t="shared" si="299"/>
        <v>18</v>
      </c>
      <c r="AH447" s="20">
        <f t="shared" si="291"/>
        <v>3</v>
      </c>
      <c r="AI447" s="20">
        <f t="shared" si="285"/>
        <v>47</v>
      </c>
      <c r="AJ447" s="20">
        <f t="shared" si="258"/>
        <v>90</v>
      </c>
      <c r="AK447" s="20">
        <f t="shared" si="263"/>
        <v>14</v>
      </c>
      <c r="AL447" s="20">
        <f t="shared" si="259"/>
        <v>45</v>
      </c>
      <c r="AM447" s="20">
        <v>46</v>
      </c>
      <c r="AN447" s="20">
        <f t="shared" si="264"/>
        <v>0.75</v>
      </c>
      <c r="AO447" s="20">
        <f t="shared" si="262"/>
        <v>19</v>
      </c>
      <c r="AP447" s="20">
        <f t="shared" si="262"/>
        <v>19</v>
      </c>
      <c r="AQ447" s="20">
        <f t="shared" si="267"/>
        <v>5</v>
      </c>
      <c r="AR447" s="20">
        <f t="shared" si="254"/>
        <v>120</v>
      </c>
      <c r="AS447" s="20">
        <f t="shared" si="257"/>
        <v>120</v>
      </c>
      <c r="AT447" s="20">
        <f t="shared" si="298"/>
        <v>55</v>
      </c>
      <c r="AU447" s="20"/>
      <c r="AV447" s="20"/>
      <c r="AW447" s="20">
        <f t="shared" si="280"/>
        <v>5276.7500000000009</v>
      </c>
      <c r="AX447" s="86">
        <f t="shared" si="292"/>
        <v>5428.4449999999988</v>
      </c>
      <c r="AY447" s="17">
        <f>'[1]D4 Gallon Forecast'!$AM151/1000000</f>
        <v>0</v>
      </c>
      <c r="AZ447" s="17">
        <f>'[1]D4 Gallon Forecast'!$AM183/1000000</f>
        <v>441.96716512190966</v>
      </c>
      <c r="BA447" s="17">
        <f t="shared" si="295"/>
        <v>441.96716512190966</v>
      </c>
      <c r="BB447" s="17">
        <f>'[1]D4 Gallon Forecast'!$AM167/1000000</f>
        <v>0</v>
      </c>
      <c r="BC447" s="87">
        <f>'[1]D4 Gallon Forecast'!$AM343/1000000</f>
        <v>248.62903141110516</v>
      </c>
      <c r="BD447" s="88">
        <f>'[1]D4 Gallon Forecast'!$AM359/1000000</f>
        <v>0</v>
      </c>
      <c r="BE447" s="88">
        <f t="shared" si="296"/>
        <v>248.62903141110516</v>
      </c>
      <c r="BF447" s="76">
        <f t="shared" si="272"/>
        <v>690.59619653301479</v>
      </c>
      <c r="BG447" s="22">
        <f t="shared" si="273"/>
        <v>1.6583781736400338</v>
      </c>
      <c r="BI447" s="21">
        <f t="shared" si="281"/>
        <v>4702.9000000000005</v>
      </c>
      <c r="BJ447" s="21">
        <f t="shared" si="265"/>
        <v>725.54499999999825</v>
      </c>
      <c r="BK447" s="21">
        <f>'RD Feedstock Breakdown'!ES438</f>
        <v>9140.3099785363665</v>
      </c>
      <c r="BL447" s="89">
        <f t="shared" si="271"/>
        <v>13.235389978142463</v>
      </c>
      <c r="BM447" s="89">
        <f t="shared" si="269"/>
        <v>20.680970668975277</v>
      </c>
    </row>
    <row r="448" spans="1:65" ht="13.5" x14ac:dyDescent="0.25">
      <c r="A448" s="15">
        <v>53783</v>
      </c>
      <c r="B448" s="20">
        <f t="shared" si="270"/>
        <v>690</v>
      </c>
      <c r="C448" s="74">
        <v>47</v>
      </c>
      <c r="D448" s="20">
        <f t="shared" si="261"/>
        <v>3</v>
      </c>
      <c r="E448" s="20">
        <f t="shared" si="275"/>
        <v>85</v>
      </c>
      <c r="F448" s="20">
        <f t="shared" si="294"/>
        <v>340</v>
      </c>
      <c r="G448" s="20">
        <f t="shared" si="260"/>
        <v>37.5</v>
      </c>
      <c r="H448" s="20">
        <f t="shared" si="287"/>
        <v>190</v>
      </c>
      <c r="I448" s="20">
        <f t="shared" si="274"/>
        <v>250</v>
      </c>
      <c r="J448" s="20">
        <f t="shared" si="266"/>
        <v>153.30000000000001</v>
      </c>
      <c r="K448" s="20">
        <f t="shared" si="276"/>
        <v>125</v>
      </c>
      <c r="L448" s="20">
        <v>125</v>
      </c>
      <c r="M448" s="20">
        <v>730</v>
      </c>
      <c r="N448" s="20">
        <f t="shared" si="255"/>
        <v>180</v>
      </c>
      <c r="O448" s="74">
        <v>375</v>
      </c>
      <c r="P448" s="20">
        <f t="shared" si="282"/>
        <v>50</v>
      </c>
      <c r="Q448" s="20">
        <f t="shared" si="283"/>
        <v>21</v>
      </c>
      <c r="R448" s="20">
        <v>100</v>
      </c>
      <c r="S448" s="20">
        <f t="shared" si="288"/>
        <v>60</v>
      </c>
      <c r="T448" s="20">
        <f t="shared" si="277"/>
        <v>36</v>
      </c>
      <c r="U448" s="20"/>
      <c r="V448" s="20">
        <f t="shared" si="253"/>
        <v>0</v>
      </c>
      <c r="W448" s="20">
        <f t="shared" si="284"/>
        <v>20</v>
      </c>
      <c r="X448" s="20">
        <f t="shared" si="268"/>
        <v>0</v>
      </c>
      <c r="Y448" s="20">
        <f t="shared" si="279"/>
        <v>3.5</v>
      </c>
      <c r="Z448" s="20">
        <f t="shared" si="256"/>
        <v>230</v>
      </c>
      <c r="AA448" s="20">
        <f t="shared" si="278"/>
        <v>306</v>
      </c>
      <c r="AB448" s="20">
        <f t="shared" si="290"/>
        <v>60</v>
      </c>
      <c r="AC448" s="20">
        <f t="shared" si="297"/>
        <v>1.6</v>
      </c>
      <c r="AD448" s="20">
        <f t="shared" si="286"/>
        <v>180</v>
      </c>
      <c r="AE448" s="20">
        <f t="shared" si="289"/>
        <v>1.1000000000000001</v>
      </c>
      <c r="AF448" s="20">
        <f t="shared" si="293"/>
        <v>275</v>
      </c>
      <c r="AG448" s="20">
        <f t="shared" si="299"/>
        <v>18</v>
      </c>
      <c r="AH448" s="20">
        <f t="shared" si="291"/>
        <v>3</v>
      </c>
      <c r="AI448" s="20">
        <f t="shared" si="285"/>
        <v>47</v>
      </c>
      <c r="AJ448" s="20">
        <f t="shared" si="258"/>
        <v>90</v>
      </c>
      <c r="AK448" s="20">
        <f t="shared" si="263"/>
        <v>14</v>
      </c>
      <c r="AL448" s="20">
        <f t="shared" si="259"/>
        <v>45</v>
      </c>
      <c r="AM448" s="20">
        <v>46</v>
      </c>
      <c r="AN448" s="20">
        <f t="shared" si="264"/>
        <v>0.75</v>
      </c>
      <c r="AO448" s="20">
        <f t="shared" si="262"/>
        <v>19</v>
      </c>
      <c r="AP448" s="20">
        <f t="shared" si="262"/>
        <v>19</v>
      </c>
      <c r="AQ448" s="20">
        <f t="shared" si="267"/>
        <v>5</v>
      </c>
      <c r="AR448" s="20">
        <f t="shared" si="254"/>
        <v>120</v>
      </c>
      <c r="AS448" s="20">
        <f t="shared" si="257"/>
        <v>120</v>
      </c>
      <c r="AT448" s="20">
        <f t="shared" si="298"/>
        <v>55</v>
      </c>
      <c r="AU448" s="20"/>
      <c r="AV448" s="20"/>
      <c r="AW448" s="20">
        <f t="shared" si="280"/>
        <v>5276.7500000000009</v>
      </c>
      <c r="AX448" s="86">
        <f t="shared" si="292"/>
        <v>5428.4449999999988</v>
      </c>
      <c r="AY448" s="17">
        <f>'[1]D4 Gallon Forecast'!$AM152/1000000</f>
        <v>0</v>
      </c>
      <c r="AZ448" s="17">
        <f>'[1]D4 Gallon Forecast'!$AM184/1000000</f>
        <v>429.12834724695807</v>
      </c>
      <c r="BA448" s="17">
        <f t="shared" si="295"/>
        <v>429.12834724695807</v>
      </c>
      <c r="BB448" s="17">
        <f>'[1]D4 Gallon Forecast'!$AM168/1000000</f>
        <v>0</v>
      </c>
      <c r="BC448" s="87">
        <f>'[1]D4 Gallon Forecast'!$AM344/1000000</f>
        <v>399.08300098258508</v>
      </c>
      <c r="BD448" s="88">
        <f>'[1]D4 Gallon Forecast'!$AM360/1000000</f>
        <v>0</v>
      </c>
      <c r="BE448" s="88">
        <f t="shared" si="296"/>
        <v>399.08300098258508</v>
      </c>
      <c r="BF448" s="76">
        <f t="shared" si="272"/>
        <v>828.21134822954309</v>
      </c>
      <c r="BG448" s="22">
        <f t="shared" si="273"/>
        <v>1.7963745995446703</v>
      </c>
      <c r="BI448" s="21">
        <f t="shared" si="281"/>
        <v>4702.9000000000005</v>
      </c>
      <c r="BJ448" s="21">
        <f t="shared" si="265"/>
        <v>725.54499999999825</v>
      </c>
      <c r="BK448" s="21">
        <f>'RD Feedstock Breakdown'!ES439</f>
        <v>11873.841612746186</v>
      </c>
      <c r="BL448" s="89">
        <f t="shared" si="271"/>
        <v>14.336728949837196</v>
      </c>
      <c r="BM448" s="89">
        <f t="shared" si="269"/>
        <v>27.669674326858058</v>
      </c>
    </row>
    <row r="449" spans="1:65" ht="13.5" x14ac:dyDescent="0.25">
      <c r="A449" s="15">
        <v>53813</v>
      </c>
      <c r="B449" s="20">
        <f t="shared" si="270"/>
        <v>690</v>
      </c>
      <c r="C449" s="74">
        <v>47</v>
      </c>
      <c r="D449" s="20">
        <f t="shared" si="261"/>
        <v>3</v>
      </c>
      <c r="E449" s="20">
        <f t="shared" si="275"/>
        <v>85</v>
      </c>
      <c r="F449" s="20">
        <f t="shared" si="294"/>
        <v>340</v>
      </c>
      <c r="G449" s="20">
        <f t="shared" si="260"/>
        <v>37.5</v>
      </c>
      <c r="H449" s="20">
        <f t="shared" si="287"/>
        <v>190</v>
      </c>
      <c r="I449" s="20">
        <f t="shared" si="274"/>
        <v>250</v>
      </c>
      <c r="J449" s="20">
        <f t="shared" si="266"/>
        <v>153.30000000000001</v>
      </c>
      <c r="K449" s="20">
        <f t="shared" si="276"/>
        <v>125</v>
      </c>
      <c r="L449" s="20">
        <v>125</v>
      </c>
      <c r="M449" s="20">
        <v>730</v>
      </c>
      <c r="N449" s="20">
        <f t="shared" si="255"/>
        <v>180</v>
      </c>
      <c r="O449" s="74">
        <v>375</v>
      </c>
      <c r="P449" s="20">
        <f t="shared" si="282"/>
        <v>50</v>
      </c>
      <c r="Q449" s="20">
        <f t="shared" si="283"/>
        <v>21</v>
      </c>
      <c r="R449" s="20">
        <v>100</v>
      </c>
      <c r="S449" s="20">
        <f t="shared" si="288"/>
        <v>60</v>
      </c>
      <c r="T449" s="20">
        <f t="shared" si="277"/>
        <v>36</v>
      </c>
      <c r="U449" s="20"/>
      <c r="V449" s="20">
        <f t="shared" ref="V449:V492" si="300">$V$5*$V$12</f>
        <v>0</v>
      </c>
      <c r="W449" s="20">
        <f t="shared" si="284"/>
        <v>20</v>
      </c>
      <c r="X449" s="20">
        <f t="shared" si="268"/>
        <v>0</v>
      </c>
      <c r="Y449" s="20">
        <f t="shared" si="279"/>
        <v>3.5</v>
      </c>
      <c r="Z449" s="20">
        <f t="shared" si="256"/>
        <v>230</v>
      </c>
      <c r="AA449" s="20">
        <f t="shared" si="278"/>
        <v>306</v>
      </c>
      <c r="AB449" s="20">
        <f t="shared" si="290"/>
        <v>60</v>
      </c>
      <c r="AC449" s="20">
        <f t="shared" si="297"/>
        <v>1.6</v>
      </c>
      <c r="AD449" s="20">
        <f t="shared" si="286"/>
        <v>180</v>
      </c>
      <c r="AE449" s="20">
        <f t="shared" si="289"/>
        <v>1.1000000000000001</v>
      </c>
      <c r="AF449" s="20">
        <f t="shared" si="293"/>
        <v>275</v>
      </c>
      <c r="AG449" s="20">
        <f t="shared" si="299"/>
        <v>18</v>
      </c>
      <c r="AH449" s="20">
        <f t="shared" si="291"/>
        <v>3</v>
      </c>
      <c r="AI449" s="20">
        <f t="shared" si="285"/>
        <v>47</v>
      </c>
      <c r="AJ449" s="20">
        <f t="shared" si="258"/>
        <v>90</v>
      </c>
      <c r="AK449" s="20">
        <f t="shared" si="263"/>
        <v>14</v>
      </c>
      <c r="AL449" s="20">
        <f t="shared" si="259"/>
        <v>45</v>
      </c>
      <c r="AM449" s="20">
        <v>46</v>
      </c>
      <c r="AN449" s="20">
        <f t="shared" si="264"/>
        <v>0.75</v>
      </c>
      <c r="AO449" s="20">
        <f t="shared" si="262"/>
        <v>19</v>
      </c>
      <c r="AP449" s="20">
        <f t="shared" si="262"/>
        <v>19</v>
      </c>
      <c r="AQ449" s="20">
        <f t="shared" si="267"/>
        <v>5</v>
      </c>
      <c r="AR449" s="20">
        <f t="shared" ref="AR449:AR492" si="301">$AR$5*$AR$12</f>
        <v>120</v>
      </c>
      <c r="AS449" s="20">
        <f t="shared" si="257"/>
        <v>120</v>
      </c>
      <c r="AT449" s="20">
        <f t="shared" si="298"/>
        <v>55</v>
      </c>
      <c r="AU449" s="20"/>
      <c r="AV449" s="20"/>
      <c r="AW449" s="20">
        <f t="shared" si="280"/>
        <v>5276.7500000000009</v>
      </c>
      <c r="AX449" s="86">
        <f t="shared" si="292"/>
        <v>5428.4449999999988</v>
      </c>
      <c r="AY449" s="17">
        <f>'[1]D4 Gallon Forecast'!$AM153/1000000</f>
        <v>0</v>
      </c>
      <c r="AZ449" s="17">
        <f>'[1]D4 Gallon Forecast'!$AM185/1000000</f>
        <v>479.37706773454988</v>
      </c>
      <c r="BA449" s="17">
        <f t="shared" si="295"/>
        <v>479.37706773454988</v>
      </c>
      <c r="BB449" s="17">
        <f>'[1]D4 Gallon Forecast'!$AM169/1000000</f>
        <v>0</v>
      </c>
      <c r="BC449" s="87">
        <f>'[1]D4 Gallon Forecast'!$AM345/1000000</f>
        <v>525.32349907992682</v>
      </c>
      <c r="BD449" s="88">
        <f>'[1]D4 Gallon Forecast'!$AM361/1000000</f>
        <v>0</v>
      </c>
      <c r="BE449" s="88">
        <f t="shared" si="296"/>
        <v>525.32349907992682</v>
      </c>
      <c r="BF449" s="76">
        <f t="shared" si="272"/>
        <v>1004.7005668144767</v>
      </c>
      <c r="BG449" s="22">
        <f t="shared" si="273"/>
        <v>2.2518155560649142</v>
      </c>
      <c r="BI449" s="21">
        <f t="shared" si="281"/>
        <v>4702.9000000000005</v>
      </c>
      <c r="BJ449" s="21">
        <f t="shared" si="265"/>
        <v>725.54499999999825</v>
      </c>
      <c r="BK449" s="21">
        <f>'RD Feedstock Breakdown'!ES440</f>
        <v>18056.045117194433</v>
      </c>
      <c r="BL449" s="89">
        <f t="shared" si="271"/>
        <v>17.971568558424611</v>
      </c>
      <c r="BM449" s="89">
        <f t="shared" si="269"/>
        <v>37.665642210471326</v>
      </c>
    </row>
    <row r="450" spans="1:65" ht="13.5" x14ac:dyDescent="0.25">
      <c r="A450" s="15">
        <v>53844</v>
      </c>
      <c r="B450" s="20">
        <f t="shared" si="270"/>
        <v>690</v>
      </c>
      <c r="C450" s="74">
        <v>47</v>
      </c>
      <c r="D450" s="20">
        <f t="shared" si="261"/>
        <v>3</v>
      </c>
      <c r="E450" s="20">
        <f t="shared" si="275"/>
        <v>85</v>
      </c>
      <c r="F450" s="20">
        <f t="shared" si="294"/>
        <v>340</v>
      </c>
      <c r="G450" s="20">
        <f t="shared" si="260"/>
        <v>37.5</v>
      </c>
      <c r="H450" s="20">
        <f t="shared" si="287"/>
        <v>190</v>
      </c>
      <c r="I450" s="20">
        <f t="shared" si="274"/>
        <v>250</v>
      </c>
      <c r="J450" s="20">
        <f t="shared" si="266"/>
        <v>153.30000000000001</v>
      </c>
      <c r="K450" s="20">
        <f t="shared" si="276"/>
        <v>125</v>
      </c>
      <c r="L450" s="20">
        <v>125</v>
      </c>
      <c r="M450" s="20">
        <v>730</v>
      </c>
      <c r="N450" s="20">
        <f t="shared" ref="N450:N504" si="302">180*$N$12</f>
        <v>180</v>
      </c>
      <c r="O450" s="74">
        <v>375</v>
      </c>
      <c r="P450" s="20">
        <f t="shared" si="282"/>
        <v>50</v>
      </c>
      <c r="Q450" s="20">
        <f t="shared" si="283"/>
        <v>21</v>
      </c>
      <c r="R450" s="20">
        <v>100</v>
      </c>
      <c r="S450" s="20">
        <f t="shared" si="288"/>
        <v>60</v>
      </c>
      <c r="T450" s="20">
        <f t="shared" si="277"/>
        <v>36</v>
      </c>
      <c r="U450" s="20"/>
      <c r="V450" s="20">
        <f t="shared" si="300"/>
        <v>0</v>
      </c>
      <c r="W450" s="20">
        <f t="shared" si="284"/>
        <v>20</v>
      </c>
      <c r="X450" s="20">
        <f t="shared" si="268"/>
        <v>0</v>
      </c>
      <c r="Y450" s="20">
        <f t="shared" si="279"/>
        <v>3.5</v>
      </c>
      <c r="Z450" s="20">
        <f t="shared" ref="Z450:Z504" si="303">920*$Z$12</f>
        <v>230</v>
      </c>
      <c r="AA450" s="20">
        <f t="shared" si="278"/>
        <v>306</v>
      </c>
      <c r="AB450" s="20">
        <f t="shared" si="290"/>
        <v>60</v>
      </c>
      <c r="AC450" s="20">
        <f t="shared" si="297"/>
        <v>1.6</v>
      </c>
      <c r="AD450" s="20">
        <f t="shared" si="286"/>
        <v>180</v>
      </c>
      <c r="AE450" s="20">
        <f t="shared" si="289"/>
        <v>1.1000000000000001</v>
      </c>
      <c r="AF450" s="20">
        <f t="shared" si="293"/>
        <v>275</v>
      </c>
      <c r="AG450" s="20">
        <f t="shared" si="299"/>
        <v>18</v>
      </c>
      <c r="AH450" s="20">
        <f t="shared" si="291"/>
        <v>3</v>
      </c>
      <c r="AI450" s="20">
        <f t="shared" si="285"/>
        <v>47</v>
      </c>
      <c r="AJ450" s="20">
        <f t="shared" si="258"/>
        <v>90</v>
      </c>
      <c r="AK450" s="20">
        <f t="shared" si="263"/>
        <v>14</v>
      </c>
      <c r="AL450" s="20">
        <f t="shared" si="259"/>
        <v>45</v>
      </c>
      <c r="AM450" s="20">
        <v>46</v>
      </c>
      <c r="AN450" s="20">
        <f t="shared" si="264"/>
        <v>0.75</v>
      </c>
      <c r="AO450" s="20">
        <f t="shared" si="262"/>
        <v>19</v>
      </c>
      <c r="AP450" s="20">
        <f t="shared" si="262"/>
        <v>19</v>
      </c>
      <c r="AQ450" s="20">
        <f t="shared" si="267"/>
        <v>5</v>
      </c>
      <c r="AR450" s="20">
        <f t="shared" si="301"/>
        <v>120</v>
      </c>
      <c r="AS450" s="20">
        <f t="shared" si="257"/>
        <v>120</v>
      </c>
      <c r="AT450" s="20">
        <f t="shared" si="298"/>
        <v>55</v>
      </c>
      <c r="AU450" s="20"/>
      <c r="AV450" s="20"/>
      <c r="AW450" s="20">
        <f t="shared" si="280"/>
        <v>5276.7500000000009</v>
      </c>
      <c r="AX450" s="86">
        <f t="shared" si="292"/>
        <v>5428.4449999999988</v>
      </c>
      <c r="AY450" s="17">
        <f>'[1]D4 Gallon Forecast'!$AM154/1000000</f>
        <v>0</v>
      </c>
      <c r="AZ450" s="17">
        <f>'[1]D4 Gallon Forecast'!$AM186/1000000</f>
        <v>475.46697409079763</v>
      </c>
      <c r="BA450" s="17">
        <f t="shared" si="295"/>
        <v>475.46697409079763</v>
      </c>
      <c r="BB450" s="17">
        <f>'[1]D4 Gallon Forecast'!$AM170/1000000</f>
        <v>0</v>
      </c>
      <c r="BC450" s="87">
        <f>'[1]D4 Gallon Forecast'!$AM346/1000000</f>
        <v>501.12283616229831</v>
      </c>
      <c r="BD450" s="88">
        <f>'[1]D4 Gallon Forecast'!$AM362/1000000</f>
        <v>0</v>
      </c>
      <c r="BE450" s="88">
        <f t="shared" si="296"/>
        <v>501.12283616229831</v>
      </c>
      <c r="BF450" s="76">
        <f t="shared" si="272"/>
        <v>976.58981025309595</v>
      </c>
      <c r="BG450" s="22">
        <f t="shared" si="273"/>
        <v>2.1182046503745702</v>
      </c>
      <c r="BI450" s="21">
        <f t="shared" si="281"/>
        <v>4702.9000000000005</v>
      </c>
      <c r="BJ450" s="21">
        <f t="shared" si="265"/>
        <v>725.54499999999825</v>
      </c>
      <c r="BK450" s="21">
        <f>'RD Feedstock Breakdown'!ES441</f>
        <v>16509.475445644595</v>
      </c>
      <c r="BL450" s="89">
        <f t="shared" si="271"/>
        <v>16.90523008976097</v>
      </c>
      <c r="BM450" s="89">
        <f t="shared" si="269"/>
        <v>34.722654454001805</v>
      </c>
    </row>
    <row r="451" spans="1:65" ht="13.5" x14ac:dyDescent="0.25">
      <c r="A451" s="15">
        <v>53874</v>
      </c>
      <c r="B451" s="20">
        <f t="shared" si="270"/>
        <v>690</v>
      </c>
      <c r="C451" s="74">
        <v>47</v>
      </c>
      <c r="D451" s="20">
        <f t="shared" si="261"/>
        <v>3</v>
      </c>
      <c r="E451" s="20">
        <f t="shared" si="275"/>
        <v>85</v>
      </c>
      <c r="F451" s="20">
        <f t="shared" si="294"/>
        <v>340</v>
      </c>
      <c r="G451" s="20">
        <f t="shared" si="260"/>
        <v>37.5</v>
      </c>
      <c r="H451" s="20">
        <f t="shared" si="287"/>
        <v>190</v>
      </c>
      <c r="I451" s="20">
        <f t="shared" si="274"/>
        <v>250</v>
      </c>
      <c r="J451" s="20">
        <f t="shared" si="266"/>
        <v>153.30000000000001</v>
      </c>
      <c r="K451" s="20">
        <f t="shared" si="276"/>
        <v>125</v>
      </c>
      <c r="L451" s="20">
        <v>125</v>
      </c>
      <c r="M451" s="20">
        <v>730</v>
      </c>
      <c r="N451" s="20">
        <f t="shared" si="302"/>
        <v>180</v>
      </c>
      <c r="O451" s="74">
        <v>375</v>
      </c>
      <c r="P451" s="20">
        <f t="shared" si="282"/>
        <v>50</v>
      </c>
      <c r="Q451" s="20">
        <f t="shared" si="283"/>
        <v>21</v>
      </c>
      <c r="R451" s="20">
        <v>100</v>
      </c>
      <c r="S451" s="20">
        <f t="shared" si="288"/>
        <v>60</v>
      </c>
      <c r="T451" s="20">
        <f t="shared" si="277"/>
        <v>36</v>
      </c>
      <c r="U451" s="20"/>
      <c r="V451" s="20">
        <f t="shared" si="300"/>
        <v>0</v>
      </c>
      <c r="W451" s="20">
        <f t="shared" si="284"/>
        <v>20</v>
      </c>
      <c r="X451" s="20">
        <f t="shared" si="268"/>
        <v>0</v>
      </c>
      <c r="Y451" s="20">
        <f t="shared" si="279"/>
        <v>3.5</v>
      </c>
      <c r="Z451" s="20">
        <f t="shared" si="303"/>
        <v>230</v>
      </c>
      <c r="AA451" s="20">
        <f t="shared" si="278"/>
        <v>306</v>
      </c>
      <c r="AB451" s="20">
        <f t="shared" si="290"/>
        <v>60</v>
      </c>
      <c r="AC451" s="20">
        <f t="shared" si="297"/>
        <v>1.6</v>
      </c>
      <c r="AD451" s="20">
        <f t="shared" si="286"/>
        <v>180</v>
      </c>
      <c r="AE451" s="20">
        <f t="shared" si="289"/>
        <v>1.1000000000000001</v>
      </c>
      <c r="AF451" s="20">
        <f t="shared" si="293"/>
        <v>275</v>
      </c>
      <c r="AG451" s="20">
        <f t="shared" si="299"/>
        <v>18</v>
      </c>
      <c r="AH451" s="20">
        <f t="shared" si="291"/>
        <v>3</v>
      </c>
      <c r="AI451" s="20">
        <f t="shared" si="285"/>
        <v>47</v>
      </c>
      <c r="AJ451" s="20">
        <f t="shared" si="258"/>
        <v>90</v>
      </c>
      <c r="AK451" s="20">
        <f t="shared" si="263"/>
        <v>14</v>
      </c>
      <c r="AL451" s="20">
        <f t="shared" si="259"/>
        <v>45</v>
      </c>
      <c r="AM451" s="20">
        <v>46</v>
      </c>
      <c r="AN451" s="20">
        <f t="shared" si="264"/>
        <v>0.75</v>
      </c>
      <c r="AO451" s="20">
        <f t="shared" si="262"/>
        <v>19</v>
      </c>
      <c r="AP451" s="20">
        <f t="shared" si="262"/>
        <v>19</v>
      </c>
      <c r="AQ451" s="20">
        <f t="shared" si="267"/>
        <v>5</v>
      </c>
      <c r="AR451" s="20">
        <f t="shared" si="301"/>
        <v>120</v>
      </c>
      <c r="AS451" s="20">
        <f t="shared" ref="AS451:AS504" si="304">$AS$5*$AS$12</f>
        <v>120</v>
      </c>
      <c r="AT451" s="20">
        <f t="shared" si="298"/>
        <v>55</v>
      </c>
      <c r="AU451" s="20"/>
      <c r="AV451" s="20"/>
      <c r="AW451" s="20">
        <f t="shared" si="280"/>
        <v>5276.7500000000009</v>
      </c>
      <c r="AX451" s="86">
        <f t="shared" si="292"/>
        <v>5428.4449999999988</v>
      </c>
      <c r="AY451" s="17">
        <f>'[1]D4 Gallon Forecast'!$AM155/1000000</f>
        <v>0</v>
      </c>
      <c r="AZ451" s="17">
        <f>'[1]D4 Gallon Forecast'!$AM187/1000000</f>
        <v>465.69458718556893</v>
      </c>
      <c r="BA451" s="17">
        <f t="shared" si="295"/>
        <v>465.69458718556893</v>
      </c>
      <c r="BB451" s="17">
        <f>'[1]D4 Gallon Forecast'!$AM171/1000000</f>
        <v>0</v>
      </c>
      <c r="BC451" s="87">
        <f>'[1]D4 Gallon Forecast'!$AM347/1000000</f>
        <v>545.11240017848991</v>
      </c>
      <c r="BD451" s="88">
        <f>'[1]D4 Gallon Forecast'!$AM363/1000000</f>
        <v>0</v>
      </c>
      <c r="BE451" s="88">
        <f t="shared" si="296"/>
        <v>545.11240017848991</v>
      </c>
      <c r="BF451" s="76">
        <f t="shared" si="272"/>
        <v>1010.8069873640588</v>
      </c>
      <c r="BG451" s="22">
        <f t="shared" si="273"/>
        <v>2.2655017559533261</v>
      </c>
      <c r="BI451" s="21">
        <f t="shared" si="281"/>
        <v>4702.9000000000005</v>
      </c>
      <c r="BJ451" s="21">
        <f t="shared" si="265"/>
        <v>725.54499999999825</v>
      </c>
      <c r="BK451" s="21">
        <f>'RD Feedstock Breakdown'!ES442</f>
        <v>18276.196023577897</v>
      </c>
      <c r="BL451" s="89">
        <f t="shared" si="271"/>
        <v>18.080797078023583</v>
      </c>
      <c r="BM451" s="89">
        <f t="shared" si="269"/>
        <v>39.245025659478493</v>
      </c>
    </row>
    <row r="452" spans="1:65" ht="13.5" x14ac:dyDescent="0.25">
      <c r="A452" s="15">
        <v>53905</v>
      </c>
      <c r="B452" s="20">
        <f t="shared" si="270"/>
        <v>690</v>
      </c>
      <c r="C452" s="74">
        <v>47</v>
      </c>
      <c r="D452" s="20">
        <f t="shared" si="261"/>
        <v>3</v>
      </c>
      <c r="E452" s="20">
        <f t="shared" si="275"/>
        <v>85</v>
      </c>
      <c r="F452" s="20">
        <f t="shared" si="294"/>
        <v>340</v>
      </c>
      <c r="G452" s="20">
        <f t="shared" si="260"/>
        <v>37.5</v>
      </c>
      <c r="H452" s="20">
        <f t="shared" si="287"/>
        <v>190</v>
      </c>
      <c r="I452" s="20">
        <f t="shared" si="274"/>
        <v>250</v>
      </c>
      <c r="J452" s="20">
        <f t="shared" si="266"/>
        <v>153.30000000000001</v>
      </c>
      <c r="K452" s="20">
        <f t="shared" si="276"/>
        <v>125</v>
      </c>
      <c r="L452" s="20">
        <v>125</v>
      </c>
      <c r="M452" s="20">
        <v>730</v>
      </c>
      <c r="N452" s="20">
        <f t="shared" si="302"/>
        <v>180</v>
      </c>
      <c r="O452" s="74">
        <v>375</v>
      </c>
      <c r="P452" s="20">
        <f t="shared" si="282"/>
        <v>50</v>
      </c>
      <c r="Q452" s="20">
        <f t="shared" si="283"/>
        <v>21</v>
      </c>
      <c r="R452" s="20">
        <v>100</v>
      </c>
      <c r="S452" s="20">
        <f t="shared" si="288"/>
        <v>60</v>
      </c>
      <c r="T452" s="20">
        <f t="shared" si="277"/>
        <v>36</v>
      </c>
      <c r="U452" s="20"/>
      <c r="V452" s="20">
        <f t="shared" si="300"/>
        <v>0</v>
      </c>
      <c r="W452" s="20">
        <f t="shared" si="284"/>
        <v>20</v>
      </c>
      <c r="X452" s="20">
        <f t="shared" si="268"/>
        <v>0</v>
      </c>
      <c r="Y452" s="20">
        <f t="shared" si="279"/>
        <v>3.5</v>
      </c>
      <c r="Z452" s="20">
        <f t="shared" si="303"/>
        <v>230</v>
      </c>
      <c r="AA452" s="20">
        <f t="shared" si="278"/>
        <v>306</v>
      </c>
      <c r="AB452" s="20">
        <f t="shared" si="290"/>
        <v>60</v>
      </c>
      <c r="AC452" s="20">
        <f t="shared" si="297"/>
        <v>1.6</v>
      </c>
      <c r="AD452" s="20">
        <f t="shared" si="286"/>
        <v>180</v>
      </c>
      <c r="AE452" s="20">
        <f t="shared" si="289"/>
        <v>1.1000000000000001</v>
      </c>
      <c r="AF452" s="20">
        <f t="shared" si="293"/>
        <v>275</v>
      </c>
      <c r="AG452" s="20">
        <f t="shared" si="299"/>
        <v>18</v>
      </c>
      <c r="AH452" s="20">
        <f t="shared" si="291"/>
        <v>3</v>
      </c>
      <c r="AI452" s="20">
        <f t="shared" si="285"/>
        <v>47</v>
      </c>
      <c r="AJ452" s="20">
        <f t="shared" si="258"/>
        <v>90</v>
      </c>
      <c r="AK452" s="20">
        <f t="shared" si="263"/>
        <v>14</v>
      </c>
      <c r="AL452" s="20">
        <f t="shared" si="259"/>
        <v>45</v>
      </c>
      <c r="AM452" s="20">
        <v>46</v>
      </c>
      <c r="AN452" s="20">
        <f t="shared" si="264"/>
        <v>0.75</v>
      </c>
      <c r="AO452" s="20">
        <f t="shared" si="262"/>
        <v>19</v>
      </c>
      <c r="AP452" s="20">
        <f t="shared" si="262"/>
        <v>19</v>
      </c>
      <c r="AQ452" s="20">
        <f t="shared" si="267"/>
        <v>5</v>
      </c>
      <c r="AR452" s="20">
        <f t="shared" si="301"/>
        <v>120</v>
      </c>
      <c r="AS452" s="20">
        <f t="shared" si="304"/>
        <v>120</v>
      </c>
      <c r="AT452" s="20">
        <f t="shared" si="298"/>
        <v>55</v>
      </c>
      <c r="AU452" s="20"/>
      <c r="AV452" s="20"/>
      <c r="AW452" s="20">
        <f t="shared" si="280"/>
        <v>5276.7500000000009</v>
      </c>
      <c r="AX452" s="86">
        <f t="shared" si="292"/>
        <v>5428.4449999999988</v>
      </c>
      <c r="AY452" s="17">
        <f>'[1]D4 Gallon Forecast'!$AM156/1000000</f>
        <v>0</v>
      </c>
      <c r="AZ452" s="17">
        <f>'[1]D4 Gallon Forecast'!$AM188/1000000</f>
        <v>472.35892547741156</v>
      </c>
      <c r="BA452" s="17">
        <f t="shared" si="295"/>
        <v>472.35892547741156</v>
      </c>
      <c r="BB452" s="17">
        <f>'[1]D4 Gallon Forecast'!$AM172/1000000</f>
        <v>0</v>
      </c>
      <c r="BC452" s="87">
        <f>'[1]D4 Gallon Forecast'!$AM348/1000000</f>
        <v>593.53706820316677</v>
      </c>
      <c r="BD452" s="88">
        <f>'[1]D4 Gallon Forecast'!$AM364/1000000</f>
        <v>0</v>
      </c>
      <c r="BE452" s="88">
        <f t="shared" si="296"/>
        <v>593.53706820316677</v>
      </c>
      <c r="BF452" s="76">
        <f t="shared" si="272"/>
        <v>1065.8959936805784</v>
      </c>
      <c r="BG452" s="22">
        <f t="shared" si="273"/>
        <v>2.3119080569197115</v>
      </c>
      <c r="BI452" s="21">
        <f t="shared" si="281"/>
        <v>4702.9000000000005</v>
      </c>
      <c r="BJ452" s="21">
        <f t="shared" si="265"/>
        <v>725.54499999999825</v>
      </c>
      <c r="BK452" s="21">
        <f>'RD Feedstock Breakdown'!ES443</f>
        <v>19667.019903832854</v>
      </c>
      <c r="BL452" s="89">
        <f t="shared" si="271"/>
        <v>18.451162233870402</v>
      </c>
      <c r="BM452" s="89">
        <f t="shared" si="269"/>
        <v>41.635753752203293</v>
      </c>
    </row>
    <row r="453" spans="1:65" ht="13.5" x14ac:dyDescent="0.25">
      <c r="A453" s="15">
        <v>53936</v>
      </c>
      <c r="B453" s="20">
        <f t="shared" si="270"/>
        <v>690</v>
      </c>
      <c r="C453" s="74">
        <v>47</v>
      </c>
      <c r="D453" s="20">
        <f t="shared" si="261"/>
        <v>3</v>
      </c>
      <c r="E453" s="20">
        <f t="shared" si="275"/>
        <v>85</v>
      </c>
      <c r="F453" s="20">
        <f t="shared" si="294"/>
        <v>340</v>
      </c>
      <c r="G453" s="20">
        <f t="shared" si="260"/>
        <v>37.5</v>
      </c>
      <c r="H453" s="20">
        <f t="shared" si="287"/>
        <v>190</v>
      </c>
      <c r="I453" s="20">
        <f t="shared" si="274"/>
        <v>250</v>
      </c>
      <c r="J453" s="20">
        <f t="shared" si="266"/>
        <v>153.30000000000001</v>
      </c>
      <c r="K453" s="20">
        <f t="shared" si="276"/>
        <v>125</v>
      </c>
      <c r="L453" s="20">
        <v>125</v>
      </c>
      <c r="M453" s="20">
        <v>730</v>
      </c>
      <c r="N453" s="20">
        <f t="shared" si="302"/>
        <v>180</v>
      </c>
      <c r="O453" s="74">
        <v>375</v>
      </c>
      <c r="P453" s="20">
        <f t="shared" si="282"/>
        <v>50</v>
      </c>
      <c r="Q453" s="20">
        <f t="shared" si="283"/>
        <v>21</v>
      </c>
      <c r="R453" s="20">
        <v>100</v>
      </c>
      <c r="S453" s="20">
        <f t="shared" si="288"/>
        <v>60</v>
      </c>
      <c r="T453" s="20">
        <f t="shared" si="277"/>
        <v>36</v>
      </c>
      <c r="U453" s="20"/>
      <c r="V453" s="20">
        <f t="shared" si="300"/>
        <v>0</v>
      </c>
      <c r="W453" s="20">
        <f t="shared" si="284"/>
        <v>20</v>
      </c>
      <c r="X453" s="20">
        <f t="shared" si="268"/>
        <v>0</v>
      </c>
      <c r="Y453" s="20">
        <f t="shared" si="279"/>
        <v>3.5</v>
      </c>
      <c r="Z453" s="20">
        <f t="shared" si="303"/>
        <v>230</v>
      </c>
      <c r="AA453" s="20">
        <f t="shared" si="278"/>
        <v>306</v>
      </c>
      <c r="AB453" s="20">
        <f t="shared" si="290"/>
        <v>60</v>
      </c>
      <c r="AC453" s="20">
        <f t="shared" si="297"/>
        <v>1.6</v>
      </c>
      <c r="AD453" s="20">
        <f t="shared" si="286"/>
        <v>180</v>
      </c>
      <c r="AE453" s="20">
        <f t="shared" si="289"/>
        <v>1.1000000000000001</v>
      </c>
      <c r="AF453" s="20">
        <f t="shared" si="293"/>
        <v>275</v>
      </c>
      <c r="AG453" s="20">
        <f t="shared" si="299"/>
        <v>18</v>
      </c>
      <c r="AH453" s="20">
        <f t="shared" si="291"/>
        <v>3</v>
      </c>
      <c r="AI453" s="20">
        <f t="shared" si="285"/>
        <v>47</v>
      </c>
      <c r="AJ453" s="20">
        <f t="shared" ref="AJ453:AJ504" si="305">$AJ$12*$AJ$5</f>
        <v>90</v>
      </c>
      <c r="AK453" s="20">
        <f t="shared" si="263"/>
        <v>14</v>
      </c>
      <c r="AL453" s="20">
        <f t="shared" si="259"/>
        <v>45</v>
      </c>
      <c r="AM453" s="20">
        <v>46</v>
      </c>
      <c r="AN453" s="20">
        <f t="shared" si="264"/>
        <v>0.75</v>
      </c>
      <c r="AO453" s="20">
        <f t="shared" si="262"/>
        <v>19</v>
      </c>
      <c r="AP453" s="20">
        <f t="shared" si="262"/>
        <v>19</v>
      </c>
      <c r="AQ453" s="20">
        <f t="shared" si="267"/>
        <v>5</v>
      </c>
      <c r="AR453" s="20">
        <f t="shared" si="301"/>
        <v>120</v>
      </c>
      <c r="AS453" s="20">
        <f t="shared" si="304"/>
        <v>120</v>
      </c>
      <c r="AT453" s="20">
        <f t="shared" si="298"/>
        <v>55</v>
      </c>
      <c r="AU453" s="20"/>
      <c r="AV453" s="20"/>
      <c r="AW453" s="20">
        <f t="shared" si="280"/>
        <v>5276.7500000000009</v>
      </c>
      <c r="AX453" s="86">
        <f t="shared" si="292"/>
        <v>5428.4449999999988</v>
      </c>
      <c r="AY453" s="17">
        <f>'[1]D4 Gallon Forecast'!$AM157/1000000</f>
        <v>0</v>
      </c>
      <c r="AZ453" s="17">
        <f>'[1]D4 Gallon Forecast'!$AM189/1000000</f>
        <v>480.9680385317489</v>
      </c>
      <c r="BA453" s="17">
        <f t="shared" si="295"/>
        <v>480.9680385317489</v>
      </c>
      <c r="BB453" s="17">
        <f>'[1]D4 Gallon Forecast'!$AM173/1000000</f>
        <v>0</v>
      </c>
      <c r="BC453" s="87">
        <f>'[1]D4 Gallon Forecast'!$AM349/1000000</f>
        <v>721.88607901795353</v>
      </c>
      <c r="BD453" s="88">
        <f>'[1]D4 Gallon Forecast'!$AM365/1000000</f>
        <v>0</v>
      </c>
      <c r="BE453" s="88">
        <f t="shared" si="296"/>
        <v>721.88607901795353</v>
      </c>
      <c r="BF453" s="76">
        <f t="shared" si="272"/>
        <v>1202.8541175497026</v>
      </c>
      <c r="BG453" s="22">
        <f t="shared" si="273"/>
        <v>2.608967612364971</v>
      </c>
      <c r="BI453" s="21">
        <f t="shared" si="281"/>
        <v>4702.9000000000005</v>
      </c>
      <c r="BJ453" s="21">
        <f t="shared" si="265"/>
        <v>725.54499999999825</v>
      </c>
      <c r="BK453" s="21">
        <f>'RD Feedstock Breakdown'!ES444</f>
        <v>25045.794678131464</v>
      </c>
      <c r="BL453" s="89">
        <f t="shared" si="271"/>
        <v>20.821971935509094</v>
      </c>
      <c r="BM453" s="89">
        <f t="shared" si="269"/>
        <v>52.073719398463062</v>
      </c>
    </row>
    <row r="454" spans="1:65" ht="13.5" x14ac:dyDescent="0.25">
      <c r="A454" s="15">
        <v>53966</v>
      </c>
      <c r="B454" s="20">
        <f t="shared" si="270"/>
        <v>690</v>
      </c>
      <c r="C454" s="74">
        <v>47</v>
      </c>
      <c r="D454" s="20">
        <f t="shared" si="261"/>
        <v>3</v>
      </c>
      <c r="E454" s="20">
        <f t="shared" si="275"/>
        <v>85</v>
      </c>
      <c r="F454" s="20">
        <f t="shared" si="294"/>
        <v>340</v>
      </c>
      <c r="G454" s="20">
        <f t="shared" si="260"/>
        <v>37.5</v>
      </c>
      <c r="H454" s="20">
        <f t="shared" si="287"/>
        <v>190</v>
      </c>
      <c r="I454" s="20">
        <f t="shared" si="274"/>
        <v>250</v>
      </c>
      <c r="J454" s="20">
        <f t="shared" si="266"/>
        <v>153.30000000000001</v>
      </c>
      <c r="K454" s="20">
        <f t="shared" si="276"/>
        <v>125</v>
      </c>
      <c r="L454" s="20">
        <v>125</v>
      </c>
      <c r="M454" s="20">
        <v>730</v>
      </c>
      <c r="N454" s="20">
        <f t="shared" si="302"/>
        <v>180</v>
      </c>
      <c r="O454" s="74">
        <v>375</v>
      </c>
      <c r="P454" s="20">
        <f t="shared" si="282"/>
        <v>50</v>
      </c>
      <c r="Q454" s="20">
        <f t="shared" si="283"/>
        <v>21</v>
      </c>
      <c r="R454" s="20">
        <v>100</v>
      </c>
      <c r="S454" s="20">
        <f t="shared" si="288"/>
        <v>60</v>
      </c>
      <c r="T454" s="20">
        <f t="shared" si="277"/>
        <v>36</v>
      </c>
      <c r="U454" s="20"/>
      <c r="V454" s="20">
        <f t="shared" si="300"/>
        <v>0</v>
      </c>
      <c r="W454" s="20">
        <f t="shared" si="284"/>
        <v>20</v>
      </c>
      <c r="X454" s="20">
        <f t="shared" si="268"/>
        <v>0</v>
      </c>
      <c r="Y454" s="20">
        <f t="shared" si="279"/>
        <v>3.5</v>
      </c>
      <c r="Z454" s="20">
        <f t="shared" si="303"/>
        <v>230</v>
      </c>
      <c r="AA454" s="20">
        <f t="shared" si="278"/>
        <v>306</v>
      </c>
      <c r="AB454" s="20">
        <f t="shared" si="290"/>
        <v>60</v>
      </c>
      <c r="AC454" s="20">
        <f t="shared" si="297"/>
        <v>1.6</v>
      </c>
      <c r="AD454" s="20">
        <f t="shared" si="286"/>
        <v>180</v>
      </c>
      <c r="AE454" s="20">
        <f t="shared" si="289"/>
        <v>1.1000000000000001</v>
      </c>
      <c r="AF454" s="20">
        <f t="shared" si="293"/>
        <v>275</v>
      </c>
      <c r="AG454" s="20">
        <f t="shared" si="299"/>
        <v>18</v>
      </c>
      <c r="AH454" s="20">
        <f t="shared" si="291"/>
        <v>3</v>
      </c>
      <c r="AI454" s="20">
        <f t="shared" si="285"/>
        <v>47</v>
      </c>
      <c r="AJ454" s="20">
        <f t="shared" si="305"/>
        <v>90</v>
      </c>
      <c r="AK454" s="20">
        <f t="shared" si="263"/>
        <v>14</v>
      </c>
      <c r="AL454" s="20">
        <f t="shared" si="259"/>
        <v>45</v>
      </c>
      <c r="AM454" s="20">
        <v>46</v>
      </c>
      <c r="AN454" s="20">
        <f t="shared" si="264"/>
        <v>0.75</v>
      </c>
      <c r="AO454" s="20">
        <f t="shared" si="262"/>
        <v>19</v>
      </c>
      <c r="AP454" s="20">
        <f t="shared" si="262"/>
        <v>19</v>
      </c>
      <c r="AQ454" s="20">
        <f t="shared" si="267"/>
        <v>5</v>
      </c>
      <c r="AR454" s="20">
        <f t="shared" si="301"/>
        <v>120</v>
      </c>
      <c r="AS454" s="20">
        <f t="shared" si="304"/>
        <v>120</v>
      </c>
      <c r="AT454" s="20">
        <f t="shared" si="298"/>
        <v>55</v>
      </c>
      <c r="AU454" s="20"/>
      <c r="AV454" s="20"/>
      <c r="AW454" s="20">
        <f t="shared" si="280"/>
        <v>5276.7500000000009</v>
      </c>
      <c r="AX454" s="86">
        <f t="shared" si="292"/>
        <v>5428.4449999999988</v>
      </c>
      <c r="AY454" s="17">
        <f>'[1]D4 Gallon Forecast'!$AM158/1000000</f>
        <v>0</v>
      </c>
      <c r="AZ454" s="17">
        <f>'[1]D4 Gallon Forecast'!$AM190/1000000</f>
        <v>528.52012745507329</v>
      </c>
      <c r="BA454" s="17">
        <f t="shared" si="295"/>
        <v>528.52012745507329</v>
      </c>
      <c r="BB454" s="17">
        <f>'[1]D4 Gallon Forecast'!$AM174/1000000</f>
        <v>0</v>
      </c>
      <c r="BC454" s="87">
        <f>'[1]D4 Gallon Forecast'!$AM350/1000000</f>
        <v>704.85153819353809</v>
      </c>
      <c r="BD454" s="88">
        <f>'[1]D4 Gallon Forecast'!$AM366/1000000</f>
        <v>0</v>
      </c>
      <c r="BE454" s="88">
        <f t="shared" si="296"/>
        <v>704.85153819353809</v>
      </c>
      <c r="BF454" s="76">
        <f t="shared" si="272"/>
        <v>1233.3716656486113</v>
      </c>
      <c r="BG454" s="22">
        <f t="shared" si="273"/>
        <v>2.7643315778382402</v>
      </c>
      <c r="BI454" s="21">
        <f t="shared" si="281"/>
        <v>4702.9000000000005</v>
      </c>
      <c r="BJ454" s="21">
        <f t="shared" si="265"/>
        <v>725.54499999999825</v>
      </c>
      <c r="BK454" s="21">
        <f>'RD Feedstock Breakdown'!ES445</f>
        <v>27210.546917396892</v>
      </c>
      <c r="BL454" s="89">
        <f t="shared" si="271"/>
        <v>22.061919918589407</v>
      </c>
      <c r="BM454" s="89">
        <f t="shared" si="269"/>
        <v>51.484409966411199</v>
      </c>
    </row>
    <row r="455" spans="1:65" ht="13.5" x14ac:dyDescent="0.25">
      <c r="A455" s="15">
        <v>53997</v>
      </c>
      <c r="B455" s="20">
        <f t="shared" si="270"/>
        <v>690</v>
      </c>
      <c r="C455" s="74">
        <v>47</v>
      </c>
      <c r="D455" s="20">
        <f t="shared" si="261"/>
        <v>3</v>
      </c>
      <c r="E455" s="20">
        <f t="shared" si="275"/>
        <v>85</v>
      </c>
      <c r="F455" s="20">
        <f t="shared" si="294"/>
        <v>340</v>
      </c>
      <c r="G455" s="20">
        <f t="shared" si="260"/>
        <v>37.5</v>
      </c>
      <c r="H455" s="20">
        <f t="shared" si="287"/>
        <v>190</v>
      </c>
      <c r="I455" s="20">
        <f t="shared" si="274"/>
        <v>250</v>
      </c>
      <c r="J455" s="20">
        <f t="shared" si="266"/>
        <v>153.30000000000001</v>
      </c>
      <c r="K455" s="20">
        <f t="shared" si="276"/>
        <v>125</v>
      </c>
      <c r="L455" s="20">
        <v>125</v>
      </c>
      <c r="M455" s="20">
        <v>730</v>
      </c>
      <c r="N455" s="20">
        <f t="shared" si="302"/>
        <v>180</v>
      </c>
      <c r="O455" s="74">
        <v>375</v>
      </c>
      <c r="P455" s="20">
        <f t="shared" si="282"/>
        <v>50</v>
      </c>
      <c r="Q455" s="20">
        <f t="shared" si="283"/>
        <v>21</v>
      </c>
      <c r="R455" s="20">
        <v>100</v>
      </c>
      <c r="S455" s="20">
        <f t="shared" si="288"/>
        <v>60</v>
      </c>
      <c r="T455" s="20">
        <f t="shared" si="277"/>
        <v>36</v>
      </c>
      <c r="U455" s="20"/>
      <c r="V455" s="20">
        <f t="shared" si="300"/>
        <v>0</v>
      </c>
      <c r="W455" s="20">
        <f t="shared" si="284"/>
        <v>20</v>
      </c>
      <c r="X455" s="20">
        <f t="shared" si="268"/>
        <v>0</v>
      </c>
      <c r="Y455" s="20">
        <f t="shared" si="279"/>
        <v>3.5</v>
      </c>
      <c r="Z455" s="20">
        <f t="shared" si="303"/>
        <v>230</v>
      </c>
      <c r="AA455" s="20">
        <f t="shared" si="278"/>
        <v>306</v>
      </c>
      <c r="AB455" s="20">
        <f t="shared" si="290"/>
        <v>60</v>
      </c>
      <c r="AC455" s="20">
        <f t="shared" si="297"/>
        <v>1.6</v>
      </c>
      <c r="AD455" s="20">
        <f t="shared" si="286"/>
        <v>180</v>
      </c>
      <c r="AE455" s="20">
        <f t="shared" si="289"/>
        <v>1.1000000000000001</v>
      </c>
      <c r="AF455" s="20">
        <f t="shared" si="293"/>
        <v>275</v>
      </c>
      <c r="AG455" s="20">
        <f t="shared" si="299"/>
        <v>18</v>
      </c>
      <c r="AH455" s="20">
        <f t="shared" si="291"/>
        <v>3</v>
      </c>
      <c r="AI455" s="20">
        <f t="shared" si="285"/>
        <v>47</v>
      </c>
      <c r="AJ455" s="20">
        <f t="shared" si="305"/>
        <v>90</v>
      </c>
      <c r="AK455" s="20">
        <f t="shared" si="263"/>
        <v>14</v>
      </c>
      <c r="AL455" s="20">
        <f t="shared" si="259"/>
        <v>45</v>
      </c>
      <c r="AM455" s="20">
        <v>46</v>
      </c>
      <c r="AN455" s="20">
        <f t="shared" si="264"/>
        <v>0.75</v>
      </c>
      <c r="AO455" s="20">
        <f t="shared" si="262"/>
        <v>19</v>
      </c>
      <c r="AP455" s="20">
        <f t="shared" si="262"/>
        <v>19</v>
      </c>
      <c r="AQ455" s="20">
        <f t="shared" si="267"/>
        <v>5</v>
      </c>
      <c r="AR455" s="20">
        <f t="shared" si="301"/>
        <v>120</v>
      </c>
      <c r="AS455" s="20">
        <f t="shared" si="304"/>
        <v>120</v>
      </c>
      <c r="AT455" s="20">
        <f t="shared" si="298"/>
        <v>55</v>
      </c>
      <c r="AU455" s="20"/>
      <c r="AV455" s="20"/>
      <c r="AW455" s="20">
        <f t="shared" si="280"/>
        <v>5276.7500000000009</v>
      </c>
      <c r="AX455" s="86">
        <f t="shared" si="292"/>
        <v>5428.4449999999988</v>
      </c>
      <c r="AY455" s="17">
        <f>'[1]D4 Gallon Forecast'!$AM159/1000000</f>
        <v>0</v>
      </c>
      <c r="AZ455" s="17">
        <f>'[1]D4 Gallon Forecast'!$AM191/1000000</f>
        <v>642.14025071542312</v>
      </c>
      <c r="BA455" s="17">
        <f t="shared" si="295"/>
        <v>642.14025071542312</v>
      </c>
      <c r="BB455" s="17">
        <f>'[1]D4 Gallon Forecast'!$AM175/1000000</f>
        <v>0</v>
      </c>
      <c r="BC455" s="87">
        <f>'[1]D4 Gallon Forecast'!$AM351/1000000</f>
        <v>609.91118505111206</v>
      </c>
      <c r="BD455" s="88">
        <f>'[1]D4 Gallon Forecast'!$AM367/1000000</f>
        <v>0</v>
      </c>
      <c r="BE455" s="88">
        <f t="shared" si="296"/>
        <v>609.91118505111206</v>
      </c>
      <c r="BF455" s="76">
        <f t="shared" si="272"/>
        <v>1252.0514357665352</v>
      </c>
      <c r="BG455" s="22">
        <f t="shared" si="273"/>
        <v>2.7156756561503608</v>
      </c>
      <c r="BI455" s="21">
        <f t="shared" si="281"/>
        <v>4702.9000000000005</v>
      </c>
      <c r="BJ455" s="21">
        <f t="shared" si="265"/>
        <v>725.54499999999825</v>
      </c>
      <c r="BK455" s="21">
        <f>'RD Feedstock Breakdown'!ES446</f>
        <v>27136.462888427897</v>
      </c>
      <c r="BL455" s="89">
        <f t="shared" si="271"/>
        <v>21.673600710991813</v>
      </c>
      <c r="BM455" s="89">
        <f t="shared" si="269"/>
        <v>42.259401833469468</v>
      </c>
    </row>
    <row r="456" spans="1:65" ht="13.5" x14ac:dyDescent="0.25">
      <c r="A456" s="15">
        <v>54027</v>
      </c>
      <c r="B456" s="20">
        <f t="shared" si="270"/>
        <v>690</v>
      </c>
      <c r="C456" s="74">
        <v>47</v>
      </c>
      <c r="D456" s="20">
        <f t="shared" si="261"/>
        <v>3</v>
      </c>
      <c r="E456" s="20">
        <f t="shared" si="275"/>
        <v>85</v>
      </c>
      <c r="F456" s="20">
        <f t="shared" si="294"/>
        <v>340</v>
      </c>
      <c r="G456" s="20">
        <f t="shared" si="260"/>
        <v>37.5</v>
      </c>
      <c r="H456" s="20">
        <f t="shared" si="287"/>
        <v>190</v>
      </c>
      <c r="I456" s="20">
        <f t="shared" si="274"/>
        <v>250</v>
      </c>
      <c r="J456" s="20">
        <f t="shared" si="266"/>
        <v>153.30000000000001</v>
      </c>
      <c r="K456" s="20">
        <f t="shared" si="276"/>
        <v>125</v>
      </c>
      <c r="L456" s="20">
        <v>125</v>
      </c>
      <c r="M456" s="20">
        <v>730</v>
      </c>
      <c r="N456" s="20">
        <f t="shared" si="302"/>
        <v>180</v>
      </c>
      <c r="O456" s="74">
        <v>375</v>
      </c>
      <c r="P456" s="20">
        <f t="shared" si="282"/>
        <v>50</v>
      </c>
      <c r="Q456" s="20">
        <f t="shared" si="283"/>
        <v>21</v>
      </c>
      <c r="R456" s="20">
        <v>100</v>
      </c>
      <c r="S456" s="20">
        <f t="shared" si="288"/>
        <v>60</v>
      </c>
      <c r="T456" s="20">
        <f t="shared" si="277"/>
        <v>36</v>
      </c>
      <c r="U456" s="20"/>
      <c r="V456" s="20">
        <f t="shared" si="300"/>
        <v>0</v>
      </c>
      <c r="W456" s="20">
        <f t="shared" si="284"/>
        <v>20</v>
      </c>
      <c r="X456" s="20">
        <f t="shared" si="268"/>
        <v>0</v>
      </c>
      <c r="Y456" s="20">
        <f t="shared" si="279"/>
        <v>3.5</v>
      </c>
      <c r="Z456" s="20">
        <f t="shared" si="303"/>
        <v>230</v>
      </c>
      <c r="AA456" s="20">
        <f t="shared" si="278"/>
        <v>306</v>
      </c>
      <c r="AB456" s="20">
        <f t="shared" si="290"/>
        <v>60</v>
      </c>
      <c r="AC456" s="20">
        <f t="shared" si="297"/>
        <v>1.6</v>
      </c>
      <c r="AD456" s="20">
        <f t="shared" si="286"/>
        <v>180</v>
      </c>
      <c r="AE456" s="20">
        <f t="shared" si="289"/>
        <v>1.1000000000000001</v>
      </c>
      <c r="AF456" s="20">
        <f t="shared" si="293"/>
        <v>275</v>
      </c>
      <c r="AG456" s="20">
        <f t="shared" si="299"/>
        <v>18</v>
      </c>
      <c r="AH456" s="20">
        <f t="shared" si="291"/>
        <v>3</v>
      </c>
      <c r="AI456" s="20">
        <f t="shared" si="285"/>
        <v>47</v>
      </c>
      <c r="AJ456" s="20">
        <f t="shared" si="305"/>
        <v>90</v>
      </c>
      <c r="AK456" s="20">
        <f t="shared" si="263"/>
        <v>14</v>
      </c>
      <c r="AL456" s="20">
        <f t="shared" si="259"/>
        <v>45</v>
      </c>
      <c r="AM456" s="20">
        <v>46</v>
      </c>
      <c r="AN456" s="20">
        <f t="shared" si="264"/>
        <v>0.75</v>
      </c>
      <c r="AO456" s="20">
        <f t="shared" si="262"/>
        <v>19</v>
      </c>
      <c r="AP456" s="20">
        <f t="shared" si="262"/>
        <v>19</v>
      </c>
      <c r="AQ456" s="20">
        <f t="shared" si="267"/>
        <v>5</v>
      </c>
      <c r="AR456" s="20">
        <f t="shared" si="301"/>
        <v>120</v>
      </c>
      <c r="AS456" s="20">
        <f t="shared" si="304"/>
        <v>120</v>
      </c>
      <c r="AT456" s="20">
        <f t="shared" si="298"/>
        <v>55</v>
      </c>
      <c r="AU456" s="20"/>
      <c r="AV456" s="20"/>
      <c r="AW456" s="20">
        <f t="shared" si="280"/>
        <v>5276.7500000000009</v>
      </c>
      <c r="AX456" s="86">
        <f t="shared" si="292"/>
        <v>5428.4449999999988</v>
      </c>
      <c r="AY456" s="17">
        <f>'[1]D4 Gallon Forecast'!$AM160/1000000</f>
        <v>0</v>
      </c>
      <c r="AZ456" s="17">
        <f>'[1]D4 Gallon Forecast'!$AM192/1000000</f>
        <v>728.61777135708337</v>
      </c>
      <c r="BA456" s="17">
        <f t="shared" si="295"/>
        <v>728.61777135708337</v>
      </c>
      <c r="BB456" s="17">
        <f>'[1]D4 Gallon Forecast'!$AM176/1000000</f>
        <v>0</v>
      </c>
      <c r="BC456" s="87">
        <f>'[1]D4 Gallon Forecast'!$AM352/1000000</f>
        <v>548.03204534381575</v>
      </c>
      <c r="BD456" s="88">
        <f>'[1]D4 Gallon Forecast'!$AM368/1000000</f>
        <v>0</v>
      </c>
      <c r="BE456" s="88">
        <f t="shared" si="296"/>
        <v>548.03204534381575</v>
      </c>
      <c r="BF456" s="76">
        <f t="shared" si="272"/>
        <v>1276.649816700899</v>
      </c>
      <c r="BG456" s="22">
        <f t="shared" si="273"/>
        <v>2.8613300438451419</v>
      </c>
      <c r="BI456" s="21">
        <f t="shared" si="281"/>
        <v>4702.9000000000005</v>
      </c>
      <c r="BJ456" s="21">
        <f t="shared" si="265"/>
        <v>725.54499999999825</v>
      </c>
      <c r="BK456" s="21">
        <f>'RD Feedstock Breakdown'!ES447</f>
        <v>29153.648357096004</v>
      </c>
      <c r="BL456" s="89">
        <f t="shared" si="271"/>
        <v>22.836057292856129</v>
      </c>
      <c r="BM456" s="89">
        <f t="shared" si="269"/>
        <v>40.012266380486473</v>
      </c>
    </row>
    <row r="457" spans="1:65" ht="13.5" x14ac:dyDescent="0.25">
      <c r="A457" s="15">
        <v>54058</v>
      </c>
      <c r="B457" s="20">
        <f t="shared" si="270"/>
        <v>690</v>
      </c>
      <c r="C457" s="74">
        <v>47</v>
      </c>
      <c r="D457" s="20">
        <f t="shared" si="261"/>
        <v>3</v>
      </c>
      <c r="E457" s="20">
        <f t="shared" si="275"/>
        <v>85</v>
      </c>
      <c r="F457" s="20">
        <f t="shared" si="294"/>
        <v>340</v>
      </c>
      <c r="G457" s="20">
        <f t="shared" si="260"/>
        <v>37.5</v>
      </c>
      <c r="H457" s="20">
        <f t="shared" si="287"/>
        <v>190</v>
      </c>
      <c r="I457" s="20">
        <f t="shared" si="274"/>
        <v>250</v>
      </c>
      <c r="J457" s="20">
        <f t="shared" si="266"/>
        <v>153.30000000000001</v>
      </c>
      <c r="K457" s="20">
        <f t="shared" si="276"/>
        <v>125</v>
      </c>
      <c r="L457" s="20">
        <v>125</v>
      </c>
      <c r="M457" s="20">
        <v>730</v>
      </c>
      <c r="N457" s="20">
        <f t="shared" si="302"/>
        <v>180</v>
      </c>
      <c r="O457" s="74">
        <v>375</v>
      </c>
      <c r="P457" s="20">
        <f t="shared" si="282"/>
        <v>50</v>
      </c>
      <c r="Q457" s="20">
        <f t="shared" si="283"/>
        <v>21</v>
      </c>
      <c r="R457" s="20">
        <v>100</v>
      </c>
      <c r="S457" s="20">
        <f t="shared" si="288"/>
        <v>60</v>
      </c>
      <c r="T457" s="20">
        <f t="shared" si="277"/>
        <v>36</v>
      </c>
      <c r="U457" s="20"/>
      <c r="V457" s="20">
        <f t="shared" si="300"/>
        <v>0</v>
      </c>
      <c r="W457" s="20">
        <f t="shared" si="284"/>
        <v>20</v>
      </c>
      <c r="X457" s="20">
        <f t="shared" si="268"/>
        <v>0</v>
      </c>
      <c r="Y457" s="20">
        <f t="shared" si="279"/>
        <v>3.5</v>
      </c>
      <c r="Z457" s="20">
        <f t="shared" si="303"/>
        <v>230</v>
      </c>
      <c r="AA457" s="20">
        <f t="shared" si="278"/>
        <v>306</v>
      </c>
      <c r="AB457" s="20">
        <f t="shared" si="290"/>
        <v>60</v>
      </c>
      <c r="AC457" s="20">
        <f t="shared" si="297"/>
        <v>1.6</v>
      </c>
      <c r="AD457" s="20">
        <f t="shared" si="286"/>
        <v>180</v>
      </c>
      <c r="AE457" s="20">
        <f t="shared" si="289"/>
        <v>1.1000000000000001</v>
      </c>
      <c r="AF457" s="20">
        <f t="shared" si="293"/>
        <v>275</v>
      </c>
      <c r="AG457" s="20">
        <f t="shared" si="299"/>
        <v>18</v>
      </c>
      <c r="AH457" s="20">
        <f t="shared" si="291"/>
        <v>3</v>
      </c>
      <c r="AI457" s="20">
        <f t="shared" si="285"/>
        <v>47</v>
      </c>
      <c r="AJ457" s="20">
        <f t="shared" si="305"/>
        <v>90</v>
      </c>
      <c r="AK457" s="20">
        <f t="shared" si="263"/>
        <v>14</v>
      </c>
      <c r="AL457" s="20">
        <f t="shared" ref="AL457:AL504" si="306">90*$AL$12</f>
        <v>45</v>
      </c>
      <c r="AM457" s="20">
        <v>46</v>
      </c>
      <c r="AN457" s="20">
        <f t="shared" si="264"/>
        <v>0.75</v>
      </c>
      <c r="AO457" s="20">
        <f t="shared" si="262"/>
        <v>19</v>
      </c>
      <c r="AP457" s="20">
        <f t="shared" si="262"/>
        <v>19</v>
      </c>
      <c r="AQ457" s="20">
        <f t="shared" si="267"/>
        <v>5</v>
      </c>
      <c r="AR457" s="20">
        <f t="shared" si="301"/>
        <v>120</v>
      </c>
      <c r="AS457" s="20">
        <f t="shared" si="304"/>
        <v>120</v>
      </c>
      <c r="AT457" s="20">
        <f t="shared" si="298"/>
        <v>55</v>
      </c>
      <c r="AU457" s="20"/>
      <c r="AV457" s="20"/>
      <c r="AW457" s="20">
        <f t="shared" si="280"/>
        <v>5276.7500000000009</v>
      </c>
      <c r="AX457" s="86">
        <f t="shared" si="292"/>
        <v>5428.4449999999988</v>
      </c>
      <c r="AY457" s="17">
        <f>'[1]D4 Gallon Forecast'!$AN149/1000000</f>
        <v>0</v>
      </c>
      <c r="AZ457" s="17">
        <f>'[1]D4 Gallon Forecast'!$AN181/1000000</f>
        <v>394.16275334874734</v>
      </c>
      <c r="BA457" s="17">
        <f t="shared" si="295"/>
        <v>394.16275334874734</v>
      </c>
      <c r="BB457" s="17">
        <f>'[1]D4 Gallon Forecast'!$AN165/1000000</f>
        <v>0</v>
      </c>
      <c r="BC457" s="87">
        <f>'[1]D4 Gallon Forecast'!$AN341/1000000</f>
        <v>328.56901011343734</v>
      </c>
      <c r="BD457" s="88">
        <f>'[1]D4 Gallon Forecast'!$AN357/1000000</f>
        <v>0</v>
      </c>
      <c r="BE457" s="88">
        <f t="shared" si="296"/>
        <v>328.56901011343734</v>
      </c>
      <c r="BF457" s="76">
        <f t="shared" si="272"/>
        <v>722.73176346218474</v>
      </c>
      <c r="BG457" s="22">
        <f t="shared" si="273"/>
        <v>1.5675913943257944</v>
      </c>
      <c r="BI457" s="21">
        <f t="shared" si="281"/>
        <v>4702.9000000000005</v>
      </c>
      <c r="BJ457" s="21">
        <f t="shared" si="265"/>
        <v>725.54499999999825</v>
      </c>
      <c r="BK457" s="21">
        <f>'RD Feedstock Breakdown'!ES448</f>
        <v>9041.9724955796828</v>
      </c>
      <c r="BL457" s="89">
        <f t="shared" si="271"/>
        <v>12.510827602573999</v>
      </c>
      <c r="BM457" s="89">
        <f t="shared" si="269"/>
        <v>22.939692852154209</v>
      </c>
    </row>
    <row r="458" spans="1:65" ht="13.5" x14ac:dyDescent="0.25">
      <c r="A458" s="15">
        <v>54089</v>
      </c>
      <c r="B458" s="20">
        <f t="shared" si="270"/>
        <v>690</v>
      </c>
      <c r="C458" s="74">
        <v>47</v>
      </c>
      <c r="D458" s="20">
        <f t="shared" si="261"/>
        <v>3</v>
      </c>
      <c r="E458" s="20">
        <f t="shared" si="275"/>
        <v>85</v>
      </c>
      <c r="F458" s="20">
        <f t="shared" si="294"/>
        <v>340</v>
      </c>
      <c r="G458" s="20">
        <f t="shared" ref="G458:G504" si="307">750*$G$12</f>
        <v>37.5</v>
      </c>
      <c r="H458" s="20">
        <f t="shared" si="287"/>
        <v>190</v>
      </c>
      <c r="I458" s="20">
        <f t="shared" si="274"/>
        <v>250</v>
      </c>
      <c r="J458" s="20">
        <f t="shared" si="266"/>
        <v>153.30000000000001</v>
      </c>
      <c r="K458" s="20">
        <f t="shared" si="276"/>
        <v>125</v>
      </c>
      <c r="L458" s="20">
        <v>125</v>
      </c>
      <c r="M458" s="20">
        <v>730</v>
      </c>
      <c r="N458" s="20">
        <f t="shared" si="302"/>
        <v>180</v>
      </c>
      <c r="O458" s="74">
        <v>375</v>
      </c>
      <c r="P458" s="20">
        <f t="shared" si="282"/>
        <v>50</v>
      </c>
      <c r="Q458" s="20">
        <f t="shared" si="283"/>
        <v>21</v>
      </c>
      <c r="R458" s="20">
        <v>100</v>
      </c>
      <c r="S458" s="20">
        <f t="shared" si="288"/>
        <v>60</v>
      </c>
      <c r="T458" s="20">
        <f t="shared" si="277"/>
        <v>36</v>
      </c>
      <c r="U458" s="20"/>
      <c r="V458" s="20">
        <f t="shared" si="300"/>
        <v>0</v>
      </c>
      <c r="W458" s="20">
        <f t="shared" si="284"/>
        <v>20</v>
      </c>
      <c r="X458" s="20">
        <f t="shared" si="268"/>
        <v>0</v>
      </c>
      <c r="Y458" s="20">
        <f t="shared" si="279"/>
        <v>3.5</v>
      </c>
      <c r="Z458" s="20">
        <f t="shared" si="303"/>
        <v>230</v>
      </c>
      <c r="AA458" s="20">
        <f t="shared" si="278"/>
        <v>306</v>
      </c>
      <c r="AB458" s="20">
        <f t="shared" si="290"/>
        <v>60</v>
      </c>
      <c r="AC458" s="20">
        <f t="shared" si="297"/>
        <v>1.6</v>
      </c>
      <c r="AD458" s="20">
        <f t="shared" si="286"/>
        <v>180</v>
      </c>
      <c r="AE458" s="20">
        <f t="shared" si="289"/>
        <v>1.1000000000000001</v>
      </c>
      <c r="AF458" s="20">
        <f t="shared" si="293"/>
        <v>275</v>
      </c>
      <c r="AG458" s="20">
        <f t="shared" si="299"/>
        <v>18</v>
      </c>
      <c r="AH458" s="20">
        <f t="shared" si="291"/>
        <v>3</v>
      </c>
      <c r="AI458" s="20">
        <f t="shared" si="285"/>
        <v>47</v>
      </c>
      <c r="AJ458" s="20">
        <f t="shared" si="305"/>
        <v>90</v>
      </c>
      <c r="AK458" s="20">
        <f t="shared" si="263"/>
        <v>14</v>
      </c>
      <c r="AL458" s="20">
        <f t="shared" si="306"/>
        <v>45</v>
      </c>
      <c r="AM458" s="20">
        <v>46</v>
      </c>
      <c r="AN458" s="20">
        <f t="shared" si="264"/>
        <v>0.75</v>
      </c>
      <c r="AO458" s="20">
        <f t="shared" si="262"/>
        <v>19</v>
      </c>
      <c r="AP458" s="20">
        <f t="shared" si="262"/>
        <v>19</v>
      </c>
      <c r="AQ458" s="20">
        <f t="shared" si="267"/>
        <v>5</v>
      </c>
      <c r="AR458" s="20">
        <f t="shared" si="301"/>
        <v>120</v>
      </c>
      <c r="AS458" s="20">
        <f t="shared" si="304"/>
        <v>120</v>
      </c>
      <c r="AT458" s="20">
        <f t="shared" si="298"/>
        <v>55</v>
      </c>
      <c r="AU458" s="20"/>
      <c r="AV458" s="20"/>
      <c r="AW458" s="20">
        <f t="shared" si="280"/>
        <v>5276.7500000000009</v>
      </c>
      <c r="AX458" s="86">
        <f t="shared" si="292"/>
        <v>5428.4449999999988</v>
      </c>
      <c r="AY458" s="17">
        <f>'[1]D4 Gallon Forecast'!$AN150/1000000</f>
        <v>0</v>
      </c>
      <c r="AZ458" s="17">
        <f>'[1]D4 Gallon Forecast'!$AN182/1000000</f>
        <v>434.6438703117193</v>
      </c>
      <c r="BA458" s="17">
        <f t="shared" si="295"/>
        <v>434.6438703117193</v>
      </c>
      <c r="BB458" s="17">
        <f>'[1]D4 Gallon Forecast'!$AN166/1000000</f>
        <v>0</v>
      </c>
      <c r="BC458" s="87">
        <f>'[1]D4 Gallon Forecast'!$AN342/1000000</f>
        <v>623.64370416930512</v>
      </c>
      <c r="BD458" s="88">
        <f>'[1]D4 Gallon Forecast'!$AN358/1000000</f>
        <v>0</v>
      </c>
      <c r="BE458" s="88">
        <f t="shared" si="296"/>
        <v>623.64370416930512</v>
      </c>
      <c r="BF458" s="76">
        <f t="shared" si="272"/>
        <v>1058.2875744810244</v>
      </c>
      <c r="BG458" s="22">
        <f t="shared" si="273"/>
        <v>2.295405540959282</v>
      </c>
      <c r="BI458" s="21">
        <f t="shared" si="281"/>
        <v>4702.9000000000005</v>
      </c>
      <c r="BJ458" s="21">
        <f t="shared" si="265"/>
        <v>725.54499999999825</v>
      </c>
      <c r="BK458" s="21">
        <f>'RD Feedstock Breakdown'!ES449</f>
        <v>19387.25361915867</v>
      </c>
      <c r="BL458" s="89">
        <f t="shared" si="271"/>
        <v>18.31945691006154</v>
      </c>
      <c r="BM458" s="89">
        <f t="shared" si="269"/>
        <v>44.604916676391767</v>
      </c>
    </row>
    <row r="459" spans="1:65" ht="13.5" x14ac:dyDescent="0.25">
      <c r="A459" s="15">
        <v>54118</v>
      </c>
      <c r="B459" s="20">
        <f t="shared" si="270"/>
        <v>690</v>
      </c>
      <c r="C459" s="74">
        <v>47</v>
      </c>
      <c r="D459" s="20">
        <f t="shared" si="261"/>
        <v>3</v>
      </c>
      <c r="E459" s="20">
        <f t="shared" si="275"/>
        <v>85</v>
      </c>
      <c r="F459" s="20">
        <f t="shared" si="294"/>
        <v>340</v>
      </c>
      <c r="G459" s="20">
        <f t="shared" si="307"/>
        <v>37.5</v>
      </c>
      <c r="H459" s="20">
        <f t="shared" si="287"/>
        <v>190</v>
      </c>
      <c r="I459" s="20">
        <f t="shared" si="274"/>
        <v>250</v>
      </c>
      <c r="J459" s="20">
        <f t="shared" si="266"/>
        <v>153.30000000000001</v>
      </c>
      <c r="K459" s="20">
        <f t="shared" si="276"/>
        <v>125</v>
      </c>
      <c r="L459" s="20">
        <v>125</v>
      </c>
      <c r="M459" s="20">
        <v>730</v>
      </c>
      <c r="N459" s="20">
        <f t="shared" si="302"/>
        <v>180</v>
      </c>
      <c r="O459" s="74">
        <v>375</v>
      </c>
      <c r="P459" s="20">
        <f t="shared" si="282"/>
        <v>50</v>
      </c>
      <c r="Q459" s="20">
        <f t="shared" si="283"/>
        <v>21</v>
      </c>
      <c r="R459" s="20">
        <v>100</v>
      </c>
      <c r="S459" s="20">
        <f t="shared" si="288"/>
        <v>60</v>
      </c>
      <c r="T459" s="20">
        <f t="shared" si="277"/>
        <v>36</v>
      </c>
      <c r="U459" s="20"/>
      <c r="V459" s="20">
        <f t="shared" si="300"/>
        <v>0</v>
      </c>
      <c r="W459" s="20">
        <f t="shared" si="284"/>
        <v>20</v>
      </c>
      <c r="X459" s="20">
        <f t="shared" si="268"/>
        <v>0</v>
      </c>
      <c r="Y459" s="20">
        <f t="shared" si="279"/>
        <v>3.5</v>
      </c>
      <c r="Z459" s="20">
        <f t="shared" si="303"/>
        <v>230</v>
      </c>
      <c r="AA459" s="20">
        <f t="shared" si="278"/>
        <v>306</v>
      </c>
      <c r="AB459" s="20">
        <f t="shared" si="290"/>
        <v>60</v>
      </c>
      <c r="AC459" s="20">
        <f t="shared" si="297"/>
        <v>1.6</v>
      </c>
      <c r="AD459" s="20">
        <f t="shared" si="286"/>
        <v>180</v>
      </c>
      <c r="AE459" s="20">
        <f t="shared" si="289"/>
        <v>1.1000000000000001</v>
      </c>
      <c r="AF459" s="20">
        <f t="shared" si="293"/>
        <v>275</v>
      </c>
      <c r="AG459" s="20">
        <f t="shared" si="299"/>
        <v>18</v>
      </c>
      <c r="AH459" s="20">
        <f t="shared" si="291"/>
        <v>3</v>
      </c>
      <c r="AI459" s="20">
        <f t="shared" si="285"/>
        <v>47</v>
      </c>
      <c r="AJ459" s="20">
        <f t="shared" si="305"/>
        <v>90</v>
      </c>
      <c r="AK459" s="20">
        <f t="shared" si="263"/>
        <v>14</v>
      </c>
      <c r="AL459" s="20">
        <f t="shared" si="306"/>
        <v>45</v>
      </c>
      <c r="AM459" s="20">
        <v>46</v>
      </c>
      <c r="AN459" s="20">
        <f t="shared" si="264"/>
        <v>0.75</v>
      </c>
      <c r="AO459" s="20">
        <f t="shared" si="262"/>
        <v>19</v>
      </c>
      <c r="AP459" s="20">
        <f t="shared" si="262"/>
        <v>19</v>
      </c>
      <c r="AQ459" s="20">
        <f t="shared" si="267"/>
        <v>5</v>
      </c>
      <c r="AR459" s="20">
        <f t="shared" si="301"/>
        <v>120</v>
      </c>
      <c r="AS459" s="20">
        <f t="shared" si="304"/>
        <v>120</v>
      </c>
      <c r="AT459" s="20">
        <f t="shared" si="298"/>
        <v>55</v>
      </c>
      <c r="AU459" s="20"/>
      <c r="AV459" s="20"/>
      <c r="AW459" s="20">
        <f t="shared" si="280"/>
        <v>5276.7500000000009</v>
      </c>
      <c r="AX459" s="86">
        <f t="shared" si="292"/>
        <v>5428.4449999999988</v>
      </c>
      <c r="AY459" s="17">
        <f>'[1]D4 Gallon Forecast'!$AN151/1000000</f>
        <v>0</v>
      </c>
      <c r="AZ459" s="17">
        <f>'[1]D4 Gallon Forecast'!$AN183/1000000</f>
        <v>457.79247609868469</v>
      </c>
      <c r="BA459" s="17">
        <f t="shared" si="295"/>
        <v>457.79247609868469</v>
      </c>
      <c r="BB459" s="17">
        <f>'[1]D4 Gallon Forecast'!$AN167/1000000</f>
        <v>0</v>
      </c>
      <c r="BC459" s="87">
        <f>'[1]D4 Gallon Forecast'!$AN343/1000000</f>
        <v>248.91315845657553</v>
      </c>
      <c r="BD459" s="88">
        <f>'[1]D4 Gallon Forecast'!$AN359/1000000</f>
        <v>0</v>
      </c>
      <c r="BE459" s="88">
        <f t="shared" si="296"/>
        <v>248.91315845657553</v>
      </c>
      <c r="BF459" s="76">
        <f t="shared" si="272"/>
        <v>706.70563455526019</v>
      </c>
      <c r="BG459" s="22">
        <f t="shared" si="273"/>
        <v>1.6385435113501896</v>
      </c>
      <c r="BI459" s="21">
        <f t="shared" si="281"/>
        <v>4702.9000000000005</v>
      </c>
      <c r="BJ459" s="21">
        <f t="shared" si="265"/>
        <v>725.54499999999825</v>
      </c>
      <c r="BK459" s="21">
        <f>'RD Feedstock Breakdown'!ES450</f>
        <v>9241.6539272853388</v>
      </c>
      <c r="BL459" s="89">
        <f t="shared" si="271"/>
        <v>13.077091048101297</v>
      </c>
      <c r="BM459" s="89">
        <f t="shared" si="269"/>
        <v>20.187430789695085</v>
      </c>
    </row>
    <row r="460" spans="1:65" ht="13.5" x14ac:dyDescent="0.25">
      <c r="A460" s="15">
        <v>54149</v>
      </c>
      <c r="B460" s="20">
        <f t="shared" si="270"/>
        <v>690</v>
      </c>
      <c r="C460" s="74">
        <v>47</v>
      </c>
      <c r="D460" s="20">
        <f t="shared" ref="D460:D504" si="308">3*$D$12</f>
        <v>3</v>
      </c>
      <c r="E460" s="20">
        <f t="shared" si="275"/>
        <v>85</v>
      </c>
      <c r="F460" s="20">
        <f t="shared" si="294"/>
        <v>340</v>
      </c>
      <c r="G460" s="20">
        <f t="shared" si="307"/>
        <v>37.5</v>
      </c>
      <c r="H460" s="20">
        <f t="shared" si="287"/>
        <v>190</v>
      </c>
      <c r="I460" s="20">
        <f t="shared" si="274"/>
        <v>250</v>
      </c>
      <c r="J460" s="20">
        <f t="shared" si="266"/>
        <v>153.30000000000001</v>
      </c>
      <c r="K460" s="20">
        <f t="shared" si="276"/>
        <v>125</v>
      </c>
      <c r="L460" s="20">
        <v>125</v>
      </c>
      <c r="M460" s="20">
        <v>730</v>
      </c>
      <c r="N460" s="20">
        <f t="shared" si="302"/>
        <v>180</v>
      </c>
      <c r="O460" s="74">
        <v>375</v>
      </c>
      <c r="P460" s="20">
        <f t="shared" si="282"/>
        <v>50</v>
      </c>
      <c r="Q460" s="20">
        <f t="shared" si="283"/>
        <v>21</v>
      </c>
      <c r="R460" s="20">
        <v>100</v>
      </c>
      <c r="S460" s="20">
        <f t="shared" si="288"/>
        <v>60</v>
      </c>
      <c r="T460" s="20">
        <f t="shared" si="277"/>
        <v>36</v>
      </c>
      <c r="U460" s="20"/>
      <c r="V460" s="20">
        <f t="shared" si="300"/>
        <v>0</v>
      </c>
      <c r="W460" s="20">
        <f t="shared" si="284"/>
        <v>20</v>
      </c>
      <c r="X460" s="20">
        <f t="shared" si="268"/>
        <v>0</v>
      </c>
      <c r="Y460" s="20">
        <f t="shared" si="279"/>
        <v>3.5</v>
      </c>
      <c r="Z460" s="20">
        <f t="shared" si="303"/>
        <v>230</v>
      </c>
      <c r="AA460" s="20">
        <f t="shared" si="278"/>
        <v>306</v>
      </c>
      <c r="AB460" s="20">
        <f t="shared" si="290"/>
        <v>60</v>
      </c>
      <c r="AC460" s="20">
        <f t="shared" si="297"/>
        <v>1.6</v>
      </c>
      <c r="AD460" s="20">
        <f t="shared" si="286"/>
        <v>180</v>
      </c>
      <c r="AE460" s="20">
        <f t="shared" si="289"/>
        <v>1.1000000000000001</v>
      </c>
      <c r="AF460" s="20">
        <f t="shared" si="293"/>
        <v>275</v>
      </c>
      <c r="AG460" s="20">
        <f t="shared" si="299"/>
        <v>18</v>
      </c>
      <c r="AH460" s="20">
        <f t="shared" si="291"/>
        <v>3</v>
      </c>
      <c r="AI460" s="20">
        <f t="shared" si="285"/>
        <v>47</v>
      </c>
      <c r="AJ460" s="20">
        <f t="shared" si="305"/>
        <v>90</v>
      </c>
      <c r="AK460" s="20">
        <f t="shared" si="263"/>
        <v>14</v>
      </c>
      <c r="AL460" s="20">
        <f t="shared" si="306"/>
        <v>45</v>
      </c>
      <c r="AM460" s="20">
        <v>46</v>
      </c>
      <c r="AN460" s="20">
        <f t="shared" si="264"/>
        <v>0.75</v>
      </c>
      <c r="AO460" s="20">
        <f t="shared" si="262"/>
        <v>19</v>
      </c>
      <c r="AP460" s="20">
        <f t="shared" si="262"/>
        <v>19</v>
      </c>
      <c r="AQ460" s="20">
        <f t="shared" si="267"/>
        <v>5</v>
      </c>
      <c r="AR460" s="20">
        <f t="shared" si="301"/>
        <v>120</v>
      </c>
      <c r="AS460" s="20">
        <f t="shared" si="304"/>
        <v>120</v>
      </c>
      <c r="AT460" s="20">
        <f t="shared" si="298"/>
        <v>55</v>
      </c>
      <c r="AU460" s="20"/>
      <c r="AV460" s="20"/>
      <c r="AW460" s="20">
        <f t="shared" si="280"/>
        <v>5276.7500000000009</v>
      </c>
      <c r="AX460" s="86">
        <f t="shared" si="292"/>
        <v>5428.4449999999988</v>
      </c>
      <c r="AY460" s="17">
        <f>'[1]D4 Gallon Forecast'!$AN152/1000000</f>
        <v>0</v>
      </c>
      <c r="AZ460" s="17">
        <f>'[1]D4 Gallon Forecast'!$AN184/1000000</f>
        <v>444.49394469413352</v>
      </c>
      <c r="BA460" s="17">
        <f t="shared" si="295"/>
        <v>444.49394469413352</v>
      </c>
      <c r="BB460" s="17">
        <f>'[1]D4 Gallon Forecast'!$AN168/1000000</f>
        <v>0</v>
      </c>
      <c r="BC460" s="87">
        <f>'[1]D4 Gallon Forecast'!$AN344/1000000</f>
        <v>399.53915294475968</v>
      </c>
      <c r="BD460" s="88">
        <f>'[1]D4 Gallon Forecast'!$AN360/1000000</f>
        <v>0</v>
      </c>
      <c r="BE460" s="88">
        <f t="shared" si="296"/>
        <v>399.53915294475968</v>
      </c>
      <c r="BF460" s="76">
        <f t="shared" si="272"/>
        <v>844.0330976388932</v>
      </c>
      <c r="BG460" s="22">
        <f t="shared" si="273"/>
        <v>1.8306916718959176</v>
      </c>
      <c r="BI460" s="21">
        <f t="shared" si="281"/>
        <v>4702.9000000000005</v>
      </c>
      <c r="BJ460" s="21">
        <f t="shared" si="265"/>
        <v>725.54499999999825</v>
      </c>
      <c r="BK460" s="21">
        <f>'RD Feedstock Breakdown'!ES451</f>
        <v>12331.839169795227</v>
      </c>
      <c r="BL460" s="89">
        <f t="shared" si="271"/>
        <v>14.61061089226529</v>
      </c>
      <c r="BM460" s="89">
        <f t="shared" si="269"/>
        <v>27.74354817877451</v>
      </c>
    </row>
    <row r="461" spans="1:65" ht="13.5" x14ac:dyDescent="0.25">
      <c r="A461" s="15">
        <v>54179</v>
      </c>
      <c r="B461" s="20">
        <f t="shared" si="270"/>
        <v>690</v>
      </c>
      <c r="C461" s="74">
        <v>47</v>
      </c>
      <c r="D461" s="20">
        <f t="shared" si="308"/>
        <v>3</v>
      </c>
      <c r="E461" s="20">
        <f t="shared" si="275"/>
        <v>85</v>
      </c>
      <c r="F461" s="20">
        <f t="shared" si="294"/>
        <v>340</v>
      </c>
      <c r="G461" s="20">
        <f t="shared" si="307"/>
        <v>37.5</v>
      </c>
      <c r="H461" s="20">
        <f t="shared" si="287"/>
        <v>190</v>
      </c>
      <c r="I461" s="20">
        <f t="shared" si="274"/>
        <v>250</v>
      </c>
      <c r="J461" s="20">
        <f t="shared" si="266"/>
        <v>153.30000000000001</v>
      </c>
      <c r="K461" s="20">
        <f t="shared" si="276"/>
        <v>125</v>
      </c>
      <c r="L461" s="20">
        <v>125</v>
      </c>
      <c r="M461" s="20">
        <v>730</v>
      </c>
      <c r="N461" s="20">
        <f t="shared" si="302"/>
        <v>180</v>
      </c>
      <c r="O461" s="74">
        <v>375</v>
      </c>
      <c r="P461" s="20">
        <f t="shared" si="282"/>
        <v>50</v>
      </c>
      <c r="Q461" s="20">
        <f t="shared" si="283"/>
        <v>21</v>
      </c>
      <c r="R461" s="20">
        <v>100</v>
      </c>
      <c r="S461" s="20">
        <f t="shared" si="288"/>
        <v>60</v>
      </c>
      <c r="T461" s="20">
        <f t="shared" si="277"/>
        <v>36</v>
      </c>
      <c r="U461" s="20"/>
      <c r="V461" s="20">
        <f t="shared" si="300"/>
        <v>0</v>
      </c>
      <c r="W461" s="20">
        <f t="shared" si="284"/>
        <v>20</v>
      </c>
      <c r="X461" s="20">
        <f t="shared" si="268"/>
        <v>0</v>
      </c>
      <c r="Y461" s="20">
        <f t="shared" si="279"/>
        <v>3.5</v>
      </c>
      <c r="Z461" s="20">
        <f t="shared" si="303"/>
        <v>230</v>
      </c>
      <c r="AA461" s="20">
        <f t="shared" si="278"/>
        <v>306</v>
      </c>
      <c r="AB461" s="20">
        <f t="shared" si="290"/>
        <v>60</v>
      </c>
      <c r="AC461" s="20">
        <f t="shared" si="297"/>
        <v>1.6</v>
      </c>
      <c r="AD461" s="20">
        <f t="shared" si="286"/>
        <v>180</v>
      </c>
      <c r="AE461" s="20">
        <f t="shared" si="289"/>
        <v>1.1000000000000001</v>
      </c>
      <c r="AF461" s="20">
        <f t="shared" si="293"/>
        <v>275</v>
      </c>
      <c r="AG461" s="20">
        <f t="shared" si="299"/>
        <v>18</v>
      </c>
      <c r="AH461" s="20">
        <f t="shared" si="291"/>
        <v>3</v>
      </c>
      <c r="AI461" s="20">
        <f t="shared" si="285"/>
        <v>47</v>
      </c>
      <c r="AJ461" s="20">
        <f t="shared" si="305"/>
        <v>90</v>
      </c>
      <c r="AK461" s="20">
        <f t="shared" si="263"/>
        <v>14</v>
      </c>
      <c r="AL461" s="20">
        <f t="shared" si="306"/>
        <v>45</v>
      </c>
      <c r="AM461" s="20">
        <v>46</v>
      </c>
      <c r="AN461" s="20">
        <f t="shared" si="264"/>
        <v>0.75</v>
      </c>
      <c r="AO461" s="20">
        <f t="shared" ref="AO461:AP492" si="309">$AO$12*$AO$5</f>
        <v>19</v>
      </c>
      <c r="AP461" s="20">
        <f t="shared" si="309"/>
        <v>19</v>
      </c>
      <c r="AQ461" s="20">
        <f t="shared" si="267"/>
        <v>5</v>
      </c>
      <c r="AR461" s="20">
        <f t="shared" si="301"/>
        <v>120</v>
      </c>
      <c r="AS461" s="20">
        <f t="shared" si="304"/>
        <v>120</v>
      </c>
      <c r="AT461" s="20">
        <f t="shared" si="298"/>
        <v>55</v>
      </c>
      <c r="AU461" s="20"/>
      <c r="AV461" s="20"/>
      <c r="AW461" s="20">
        <f t="shared" si="280"/>
        <v>5276.7500000000009</v>
      </c>
      <c r="AX461" s="86">
        <f t="shared" si="292"/>
        <v>5428.4449999999988</v>
      </c>
      <c r="AY461" s="17">
        <f>'[1]D4 Gallon Forecast'!$AN153/1000000</f>
        <v>0</v>
      </c>
      <c r="AZ461" s="17">
        <f>'[1]D4 Gallon Forecast'!$AN185/1000000</f>
        <v>496.54189754705686</v>
      </c>
      <c r="BA461" s="17">
        <f t="shared" si="295"/>
        <v>496.54189754705686</v>
      </c>
      <c r="BB461" s="17">
        <f>'[1]D4 Gallon Forecast'!$AN169/1000000</f>
        <v>0</v>
      </c>
      <c r="BC461" s="87">
        <f>'[1]D4 Gallon Forecast'!$AN345/1000000</f>
        <v>525.92393099888682</v>
      </c>
      <c r="BD461" s="88">
        <f>'[1]D4 Gallon Forecast'!$AN361/1000000</f>
        <v>0</v>
      </c>
      <c r="BE461" s="88">
        <f t="shared" si="296"/>
        <v>525.92393099888682</v>
      </c>
      <c r="BF461" s="76">
        <f t="shared" si="272"/>
        <v>1022.4658285459436</v>
      </c>
      <c r="BG461" s="22">
        <f t="shared" si="273"/>
        <v>2.2916324866468485</v>
      </c>
      <c r="BI461" s="21">
        <f t="shared" si="281"/>
        <v>4702.9000000000005</v>
      </c>
      <c r="BJ461" s="21">
        <f t="shared" si="265"/>
        <v>725.54499999999825</v>
      </c>
      <c r="BK461" s="21">
        <f>'RD Feedstock Breakdown'!ES452</f>
        <v>18700.229727424834</v>
      </c>
      <c r="BL461" s="89">
        <f t="shared" si="271"/>
        <v>18.289344450775996</v>
      </c>
      <c r="BM461" s="89">
        <f t="shared" si="269"/>
        <v>37.660930164815809</v>
      </c>
    </row>
    <row r="462" spans="1:65" ht="13.5" x14ac:dyDescent="0.25">
      <c r="A462" s="15">
        <v>54210</v>
      </c>
      <c r="B462" s="20">
        <f t="shared" si="270"/>
        <v>690</v>
      </c>
      <c r="C462" s="74">
        <v>47</v>
      </c>
      <c r="D462" s="20">
        <f t="shared" si="308"/>
        <v>3</v>
      </c>
      <c r="E462" s="20">
        <f t="shared" si="275"/>
        <v>85</v>
      </c>
      <c r="F462" s="20">
        <f t="shared" si="294"/>
        <v>340</v>
      </c>
      <c r="G462" s="20">
        <f t="shared" si="307"/>
        <v>37.5</v>
      </c>
      <c r="H462" s="20">
        <f t="shared" si="287"/>
        <v>190</v>
      </c>
      <c r="I462" s="20">
        <f t="shared" si="274"/>
        <v>250</v>
      </c>
      <c r="J462" s="20">
        <f t="shared" si="266"/>
        <v>153.30000000000001</v>
      </c>
      <c r="K462" s="20">
        <f t="shared" si="276"/>
        <v>125</v>
      </c>
      <c r="L462" s="20">
        <v>125</v>
      </c>
      <c r="M462" s="20">
        <v>730</v>
      </c>
      <c r="N462" s="20">
        <f t="shared" si="302"/>
        <v>180</v>
      </c>
      <c r="O462" s="74">
        <v>375</v>
      </c>
      <c r="P462" s="20">
        <f t="shared" si="282"/>
        <v>50</v>
      </c>
      <c r="Q462" s="20">
        <f t="shared" si="283"/>
        <v>21</v>
      </c>
      <c r="R462" s="20">
        <v>100</v>
      </c>
      <c r="S462" s="20">
        <f t="shared" si="288"/>
        <v>60</v>
      </c>
      <c r="T462" s="20">
        <f t="shared" si="277"/>
        <v>36</v>
      </c>
      <c r="U462" s="20"/>
      <c r="V462" s="20">
        <f t="shared" si="300"/>
        <v>0</v>
      </c>
      <c r="W462" s="20">
        <f t="shared" si="284"/>
        <v>20</v>
      </c>
      <c r="X462" s="20">
        <f t="shared" si="268"/>
        <v>0</v>
      </c>
      <c r="Y462" s="20">
        <f t="shared" si="279"/>
        <v>3.5</v>
      </c>
      <c r="Z462" s="20">
        <f t="shared" si="303"/>
        <v>230</v>
      </c>
      <c r="AA462" s="20">
        <f t="shared" si="278"/>
        <v>306</v>
      </c>
      <c r="AB462" s="20">
        <f t="shared" si="290"/>
        <v>60</v>
      </c>
      <c r="AC462" s="20">
        <f t="shared" si="297"/>
        <v>1.6</v>
      </c>
      <c r="AD462" s="20">
        <f t="shared" si="286"/>
        <v>180</v>
      </c>
      <c r="AE462" s="20">
        <f t="shared" si="289"/>
        <v>1.1000000000000001</v>
      </c>
      <c r="AF462" s="20">
        <f t="shared" si="293"/>
        <v>275</v>
      </c>
      <c r="AG462" s="20">
        <f t="shared" si="299"/>
        <v>18</v>
      </c>
      <c r="AH462" s="20">
        <f t="shared" si="291"/>
        <v>3</v>
      </c>
      <c r="AI462" s="20">
        <f t="shared" si="285"/>
        <v>47</v>
      </c>
      <c r="AJ462" s="20">
        <f t="shared" si="305"/>
        <v>90</v>
      </c>
      <c r="AK462" s="20">
        <f t="shared" si="263"/>
        <v>14</v>
      </c>
      <c r="AL462" s="20">
        <f t="shared" si="306"/>
        <v>45</v>
      </c>
      <c r="AM462" s="20">
        <v>46</v>
      </c>
      <c r="AN462" s="20">
        <f t="shared" si="264"/>
        <v>0.75</v>
      </c>
      <c r="AO462" s="20">
        <f t="shared" si="309"/>
        <v>19</v>
      </c>
      <c r="AP462" s="20">
        <f t="shared" si="309"/>
        <v>19</v>
      </c>
      <c r="AQ462" s="20">
        <f t="shared" si="267"/>
        <v>5</v>
      </c>
      <c r="AR462" s="20">
        <f t="shared" si="301"/>
        <v>120</v>
      </c>
      <c r="AS462" s="20">
        <f t="shared" si="304"/>
        <v>120</v>
      </c>
      <c r="AT462" s="20">
        <f t="shared" si="298"/>
        <v>55</v>
      </c>
      <c r="AU462" s="20"/>
      <c r="AV462" s="20"/>
      <c r="AW462" s="20">
        <f t="shared" si="280"/>
        <v>5276.7500000000009</v>
      </c>
      <c r="AX462" s="86">
        <f t="shared" si="292"/>
        <v>5428.4449999999988</v>
      </c>
      <c r="AY462" s="17">
        <f>'[1]D4 Gallon Forecast'!$AN154/1000000</f>
        <v>0</v>
      </c>
      <c r="AZ462" s="17">
        <f>'[1]D4 Gallon Forecast'!$AN186/1000000</f>
        <v>492.4917970142327</v>
      </c>
      <c r="BA462" s="17">
        <f t="shared" si="295"/>
        <v>492.4917970142327</v>
      </c>
      <c r="BB462" s="17">
        <f>'[1]D4 Gallon Forecast'!$AN170/1000000</f>
        <v>0</v>
      </c>
      <c r="BC462" s="87">
        <f>'[1]D4 Gallon Forecast'!$AN346/1000000</f>
        <v>501.69580533177401</v>
      </c>
      <c r="BD462" s="88">
        <f>'[1]D4 Gallon Forecast'!$AN362/1000000</f>
        <v>0</v>
      </c>
      <c r="BE462" s="88">
        <f t="shared" si="296"/>
        <v>501.69580533177401</v>
      </c>
      <c r="BF462" s="76">
        <f t="shared" si="272"/>
        <v>994.18760234600677</v>
      </c>
      <c r="BG462" s="22">
        <f t="shared" si="273"/>
        <v>2.1563739253927769</v>
      </c>
      <c r="BI462" s="21">
        <f t="shared" si="281"/>
        <v>4702.9000000000005</v>
      </c>
      <c r="BJ462" s="21">
        <f t="shared" si="265"/>
        <v>725.54499999999825</v>
      </c>
      <c r="BK462" s="21">
        <f>'RD Feedstock Breakdown'!ES453</f>
        <v>17109.825640848627</v>
      </c>
      <c r="BL462" s="89">
        <f t="shared" si="271"/>
        <v>17.209856168467791</v>
      </c>
      <c r="BM462" s="89">
        <f t="shared" si="269"/>
        <v>34.741341367669854</v>
      </c>
    </row>
    <row r="463" spans="1:65" ht="13.5" x14ac:dyDescent="0.25">
      <c r="A463" s="15">
        <v>54240</v>
      </c>
      <c r="B463" s="20">
        <f t="shared" si="270"/>
        <v>690</v>
      </c>
      <c r="C463" s="74">
        <v>47</v>
      </c>
      <c r="D463" s="20">
        <f t="shared" si="308"/>
        <v>3</v>
      </c>
      <c r="E463" s="20">
        <f t="shared" si="275"/>
        <v>85</v>
      </c>
      <c r="F463" s="20">
        <f t="shared" si="294"/>
        <v>340</v>
      </c>
      <c r="G463" s="20">
        <f t="shared" si="307"/>
        <v>37.5</v>
      </c>
      <c r="H463" s="20">
        <f t="shared" si="287"/>
        <v>190</v>
      </c>
      <c r="I463" s="20">
        <f t="shared" si="274"/>
        <v>250</v>
      </c>
      <c r="J463" s="20">
        <f t="shared" si="266"/>
        <v>153.30000000000001</v>
      </c>
      <c r="K463" s="20">
        <f t="shared" si="276"/>
        <v>125</v>
      </c>
      <c r="L463" s="20">
        <v>125</v>
      </c>
      <c r="M463" s="20">
        <v>730</v>
      </c>
      <c r="N463" s="20">
        <f t="shared" si="302"/>
        <v>180</v>
      </c>
      <c r="O463" s="74">
        <v>375</v>
      </c>
      <c r="P463" s="20">
        <f t="shared" si="282"/>
        <v>50</v>
      </c>
      <c r="Q463" s="20">
        <f t="shared" si="283"/>
        <v>21</v>
      </c>
      <c r="R463" s="20">
        <v>100</v>
      </c>
      <c r="S463" s="20">
        <f t="shared" si="288"/>
        <v>60</v>
      </c>
      <c r="T463" s="20">
        <f t="shared" si="277"/>
        <v>36</v>
      </c>
      <c r="U463" s="20"/>
      <c r="V463" s="20">
        <f t="shared" si="300"/>
        <v>0</v>
      </c>
      <c r="W463" s="20">
        <f t="shared" si="284"/>
        <v>20</v>
      </c>
      <c r="X463" s="20">
        <f t="shared" si="268"/>
        <v>0</v>
      </c>
      <c r="Y463" s="20">
        <f t="shared" si="279"/>
        <v>3.5</v>
      </c>
      <c r="Z463" s="20">
        <f t="shared" si="303"/>
        <v>230</v>
      </c>
      <c r="AA463" s="20">
        <f t="shared" si="278"/>
        <v>306</v>
      </c>
      <c r="AB463" s="20">
        <f t="shared" si="290"/>
        <v>60</v>
      </c>
      <c r="AC463" s="20">
        <f t="shared" si="297"/>
        <v>1.6</v>
      </c>
      <c r="AD463" s="20">
        <f t="shared" si="286"/>
        <v>180</v>
      </c>
      <c r="AE463" s="20">
        <f t="shared" si="289"/>
        <v>1.1000000000000001</v>
      </c>
      <c r="AF463" s="20">
        <f t="shared" si="293"/>
        <v>275</v>
      </c>
      <c r="AG463" s="20">
        <f t="shared" si="299"/>
        <v>18</v>
      </c>
      <c r="AH463" s="20">
        <f t="shared" si="291"/>
        <v>3</v>
      </c>
      <c r="AI463" s="20">
        <f t="shared" si="285"/>
        <v>47</v>
      </c>
      <c r="AJ463" s="20">
        <f t="shared" si="305"/>
        <v>90</v>
      </c>
      <c r="AK463" s="20">
        <f t="shared" ref="AK463:AK504" si="310">$AK$12*$AK$5</f>
        <v>14</v>
      </c>
      <c r="AL463" s="20">
        <f t="shared" si="306"/>
        <v>45</v>
      </c>
      <c r="AM463" s="20">
        <v>46</v>
      </c>
      <c r="AN463" s="20">
        <f t="shared" ref="AN463:AN504" si="311">$AN$5*$AN$12</f>
        <v>0.75</v>
      </c>
      <c r="AO463" s="20">
        <f t="shared" si="309"/>
        <v>19</v>
      </c>
      <c r="AP463" s="20">
        <f t="shared" si="309"/>
        <v>19</v>
      </c>
      <c r="AQ463" s="20">
        <f t="shared" si="267"/>
        <v>5</v>
      </c>
      <c r="AR463" s="20">
        <f t="shared" si="301"/>
        <v>120</v>
      </c>
      <c r="AS463" s="20">
        <f t="shared" si="304"/>
        <v>120</v>
      </c>
      <c r="AT463" s="20">
        <f t="shared" si="298"/>
        <v>55</v>
      </c>
      <c r="AU463" s="20"/>
      <c r="AV463" s="20"/>
      <c r="AW463" s="20">
        <f t="shared" si="280"/>
        <v>5276.7500000000009</v>
      </c>
      <c r="AX463" s="86">
        <f t="shared" si="292"/>
        <v>5428.4449999999988</v>
      </c>
      <c r="AY463" s="17">
        <f>'[1]D4 Gallon Forecast'!$AN155/1000000</f>
        <v>0</v>
      </c>
      <c r="AZ463" s="17">
        <f>'[1]D4 Gallon Forecast'!$AN187/1000000</f>
        <v>482.36949483482755</v>
      </c>
      <c r="BA463" s="17">
        <f t="shared" si="295"/>
        <v>482.36949483482755</v>
      </c>
      <c r="BB463" s="17">
        <f>'[1]D4 Gallon Forecast'!$AN171/1000000</f>
        <v>0</v>
      </c>
      <c r="BC463" s="87">
        <f>'[1]D4 Gallon Forecast'!$AN347/1000000</f>
        <v>545.73569752009905</v>
      </c>
      <c r="BD463" s="88">
        <f>'[1]D4 Gallon Forecast'!$AN363/1000000</f>
        <v>0</v>
      </c>
      <c r="BE463" s="88">
        <f t="shared" si="296"/>
        <v>545.73569752009905</v>
      </c>
      <c r="BF463" s="76">
        <f t="shared" si="272"/>
        <v>1028.1051923549267</v>
      </c>
      <c r="BG463" s="22">
        <f t="shared" si="273"/>
        <v>2.3042718814783263</v>
      </c>
      <c r="BI463" s="21">
        <f t="shared" si="281"/>
        <v>4702.9000000000005</v>
      </c>
      <c r="BJ463" s="21">
        <f t="shared" si="265"/>
        <v>725.54499999999825</v>
      </c>
      <c r="BK463" s="21">
        <f>'RD Feedstock Breakdown'!ES454</f>
        <v>18907.079127252517</v>
      </c>
      <c r="BL463" s="89">
        <f t="shared" si="271"/>
        <v>18.390218498892025</v>
      </c>
      <c r="BM463" s="89">
        <f t="shared" si="269"/>
        <v>39.19625790956507</v>
      </c>
    </row>
    <row r="464" spans="1:65" ht="13.5" x14ac:dyDescent="0.25">
      <c r="A464" s="15">
        <v>54271</v>
      </c>
      <c r="B464" s="20">
        <f t="shared" si="270"/>
        <v>690</v>
      </c>
      <c r="C464" s="74">
        <v>47</v>
      </c>
      <c r="D464" s="20">
        <f t="shared" si="308"/>
        <v>3</v>
      </c>
      <c r="E464" s="20">
        <f t="shared" si="275"/>
        <v>85</v>
      </c>
      <c r="F464" s="20">
        <f t="shared" si="294"/>
        <v>340</v>
      </c>
      <c r="G464" s="20">
        <f t="shared" si="307"/>
        <v>37.5</v>
      </c>
      <c r="H464" s="20">
        <f t="shared" si="287"/>
        <v>190</v>
      </c>
      <c r="I464" s="20">
        <f t="shared" si="274"/>
        <v>250</v>
      </c>
      <c r="J464" s="20">
        <f t="shared" si="266"/>
        <v>153.30000000000001</v>
      </c>
      <c r="K464" s="20">
        <f t="shared" si="276"/>
        <v>125</v>
      </c>
      <c r="L464" s="20">
        <v>125</v>
      </c>
      <c r="M464" s="20">
        <v>730</v>
      </c>
      <c r="N464" s="20">
        <f t="shared" si="302"/>
        <v>180</v>
      </c>
      <c r="O464" s="74">
        <v>375</v>
      </c>
      <c r="P464" s="20">
        <f t="shared" si="282"/>
        <v>50</v>
      </c>
      <c r="Q464" s="20">
        <f t="shared" si="283"/>
        <v>21</v>
      </c>
      <c r="R464" s="20">
        <v>100</v>
      </c>
      <c r="S464" s="20">
        <f t="shared" si="288"/>
        <v>60</v>
      </c>
      <c r="T464" s="20">
        <f t="shared" si="277"/>
        <v>36</v>
      </c>
      <c r="U464" s="20"/>
      <c r="V464" s="20">
        <f t="shared" si="300"/>
        <v>0</v>
      </c>
      <c r="W464" s="20">
        <f t="shared" si="284"/>
        <v>20</v>
      </c>
      <c r="X464" s="20">
        <f t="shared" si="268"/>
        <v>0</v>
      </c>
      <c r="Y464" s="20">
        <f t="shared" si="279"/>
        <v>3.5</v>
      </c>
      <c r="Z464" s="20">
        <f t="shared" si="303"/>
        <v>230</v>
      </c>
      <c r="AA464" s="20">
        <f t="shared" si="278"/>
        <v>306</v>
      </c>
      <c r="AB464" s="20">
        <f t="shared" si="290"/>
        <v>60</v>
      </c>
      <c r="AC464" s="20">
        <f t="shared" si="297"/>
        <v>1.6</v>
      </c>
      <c r="AD464" s="20">
        <f t="shared" si="286"/>
        <v>180</v>
      </c>
      <c r="AE464" s="20">
        <f t="shared" si="289"/>
        <v>1.1000000000000001</v>
      </c>
      <c r="AF464" s="20">
        <f t="shared" si="293"/>
        <v>275</v>
      </c>
      <c r="AG464" s="20">
        <f t="shared" si="299"/>
        <v>18</v>
      </c>
      <c r="AH464" s="20">
        <f t="shared" si="291"/>
        <v>3</v>
      </c>
      <c r="AI464" s="20">
        <f t="shared" si="285"/>
        <v>47</v>
      </c>
      <c r="AJ464" s="20">
        <f t="shared" si="305"/>
        <v>90</v>
      </c>
      <c r="AK464" s="20">
        <f t="shared" si="310"/>
        <v>14</v>
      </c>
      <c r="AL464" s="20">
        <f t="shared" si="306"/>
        <v>45</v>
      </c>
      <c r="AM464" s="20">
        <v>46</v>
      </c>
      <c r="AN464" s="20">
        <f t="shared" si="311"/>
        <v>0.75</v>
      </c>
      <c r="AO464" s="20">
        <f t="shared" si="309"/>
        <v>19</v>
      </c>
      <c r="AP464" s="20">
        <f t="shared" si="309"/>
        <v>19</v>
      </c>
      <c r="AQ464" s="20">
        <f t="shared" si="267"/>
        <v>5</v>
      </c>
      <c r="AR464" s="20">
        <f t="shared" si="301"/>
        <v>120</v>
      </c>
      <c r="AS464" s="20">
        <f t="shared" si="304"/>
        <v>120</v>
      </c>
      <c r="AT464" s="20">
        <f t="shared" si="298"/>
        <v>55</v>
      </c>
      <c r="AU464" s="20"/>
      <c r="AV464" s="20"/>
      <c r="AW464" s="20">
        <f t="shared" si="280"/>
        <v>5276.7500000000009</v>
      </c>
      <c r="AX464" s="86">
        <f t="shared" si="292"/>
        <v>5428.4449999999988</v>
      </c>
      <c r="AY464" s="17">
        <f>'[1]D4 Gallon Forecast'!$AN156/1000000</f>
        <v>0</v>
      </c>
      <c r="AZ464" s="17">
        <f>'[1]D4 Gallon Forecast'!$AN188/1000000</f>
        <v>489.27245996197757</v>
      </c>
      <c r="BA464" s="17">
        <f t="shared" si="295"/>
        <v>489.27245996197757</v>
      </c>
      <c r="BB464" s="17">
        <f>'[1]D4 Gallon Forecast'!$AN172/1000000</f>
        <v>0</v>
      </c>
      <c r="BC464" s="87">
        <f>'[1]D4 Gallon Forecast'!$AN348/1000000</f>
        <v>594.21527847558991</v>
      </c>
      <c r="BD464" s="88">
        <f>'[1]D4 Gallon Forecast'!$AN364/1000000</f>
        <v>0</v>
      </c>
      <c r="BE464" s="88">
        <f t="shared" si="296"/>
        <v>594.21527847558991</v>
      </c>
      <c r="BF464" s="76">
        <f t="shared" si="272"/>
        <v>1083.4877384375675</v>
      </c>
      <c r="BG464" s="22">
        <f t="shared" si="273"/>
        <v>2.3500642153817783</v>
      </c>
      <c r="BI464" s="21">
        <f t="shared" si="281"/>
        <v>4702.9000000000005</v>
      </c>
      <c r="BJ464" s="21">
        <f t="shared" si="265"/>
        <v>725.54499999999825</v>
      </c>
      <c r="BK464" s="21">
        <f>'RD Feedstock Breakdown'!ES455</f>
        <v>20321.553239488694</v>
      </c>
      <c r="BL464" s="89">
        <f t="shared" si="271"/>
        <v>18.755683630341018</v>
      </c>
      <c r="BM464" s="89">
        <f t="shared" si="269"/>
        <v>41.53422663737895</v>
      </c>
    </row>
    <row r="465" spans="1:65" ht="13.5" x14ac:dyDescent="0.25">
      <c r="A465" s="15">
        <v>54302</v>
      </c>
      <c r="B465" s="20">
        <f t="shared" si="270"/>
        <v>690</v>
      </c>
      <c r="C465" s="74">
        <v>47</v>
      </c>
      <c r="D465" s="20">
        <f t="shared" si="308"/>
        <v>3</v>
      </c>
      <c r="E465" s="20">
        <f t="shared" si="275"/>
        <v>85</v>
      </c>
      <c r="F465" s="20">
        <f t="shared" si="294"/>
        <v>340</v>
      </c>
      <c r="G465" s="20">
        <f t="shared" si="307"/>
        <v>37.5</v>
      </c>
      <c r="H465" s="20">
        <f t="shared" si="287"/>
        <v>190</v>
      </c>
      <c r="I465" s="20">
        <f t="shared" si="274"/>
        <v>250</v>
      </c>
      <c r="J465" s="20">
        <f t="shared" si="266"/>
        <v>153.30000000000001</v>
      </c>
      <c r="K465" s="20">
        <f t="shared" si="276"/>
        <v>125</v>
      </c>
      <c r="L465" s="20">
        <v>125</v>
      </c>
      <c r="M465" s="20">
        <v>730</v>
      </c>
      <c r="N465" s="20">
        <f t="shared" si="302"/>
        <v>180</v>
      </c>
      <c r="O465" s="74">
        <v>375</v>
      </c>
      <c r="P465" s="20">
        <f t="shared" si="282"/>
        <v>50</v>
      </c>
      <c r="Q465" s="20">
        <f t="shared" si="283"/>
        <v>21</v>
      </c>
      <c r="R465" s="20">
        <v>100</v>
      </c>
      <c r="S465" s="20">
        <f t="shared" si="288"/>
        <v>60</v>
      </c>
      <c r="T465" s="20">
        <f t="shared" si="277"/>
        <v>36</v>
      </c>
      <c r="U465" s="20"/>
      <c r="V465" s="20">
        <f t="shared" si="300"/>
        <v>0</v>
      </c>
      <c r="W465" s="20">
        <f t="shared" si="284"/>
        <v>20</v>
      </c>
      <c r="X465" s="20">
        <f t="shared" si="268"/>
        <v>0</v>
      </c>
      <c r="Y465" s="20">
        <f t="shared" si="279"/>
        <v>3.5</v>
      </c>
      <c r="Z465" s="20">
        <f t="shared" si="303"/>
        <v>230</v>
      </c>
      <c r="AA465" s="20">
        <f t="shared" si="278"/>
        <v>306</v>
      </c>
      <c r="AB465" s="20">
        <f t="shared" si="290"/>
        <v>60</v>
      </c>
      <c r="AC465" s="20">
        <f t="shared" si="297"/>
        <v>1.6</v>
      </c>
      <c r="AD465" s="20">
        <f t="shared" si="286"/>
        <v>180</v>
      </c>
      <c r="AE465" s="20">
        <f t="shared" si="289"/>
        <v>1.1000000000000001</v>
      </c>
      <c r="AF465" s="20">
        <f t="shared" si="293"/>
        <v>275</v>
      </c>
      <c r="AG465" s="20">
        <f t="shared" si="299"/>
        <v>18</v>
      </c>
      <c r="AH465" s="20">
        <f t="shared" si="291"/>
        <v>3</v>
      </c>
      <c r="AI465" s="20">
        <f t="shared" si="285"/>
        <v>47</v>
      </c>
      <c r="AJ465" s="20">
        <f t="shared" si="305"/>
        <v>90</v>
      </c>
      <c r="AK465" s="20">
        <f t="shared" si="310"/>
        <v>14</v>
      </c>
      <c r="AL465" s="20">
        <f t="shared" si="306"/>
        <v>45</v>
      </c>
      <c r="AM465" s="20">
        <v>46</v>
      </c>
      <c r="AN465" s="20">
        <f t="shared" si="311"/>
        <v>0.75</v>
      </c>
      <c r="AO465" s="20">
        <f t="shared" si="309"/>
        <v>19</v>
      </c>
      <c r="AP465" s="20">
        <f t="shared" si="309"/>
        <v>19</v>
      </c>
      <c r="AQ465" s="20">
        <f t="shared" si="267"/>
        <v>5</v>
      </c>
      <c r="AR465" s="20">
        <f t="shared" si="301"/>
        <v>120</v>
      </c>
      <c r="AS465" s="20">
        <f t="shared" si="304"/>
        <v>120</v>
      </c>
      <c r="AT465" s="20">
        <f t="shared" si="298"/>
        <v>55</v>
      </c>
      <c r="AU465" s="20"/>
      <c r="AV465" s="20"/>
      <c r="AW465" s="20">
        <f t="shared" si="280"/>
        <v>5276.7500000000009</v>
      </c>
      <c r="AX465" s="86">
        <f t="shared" si="292"/>
        <v>5428.4449999999988</v>
      </c>
      <c r="AY465" s="17">
        <f>'[1]D4 Gallon Forecast'!$AN157/1000000</f>
        <v>0</v>
      </c>
      <c r="AZ465" s="17">
        <f>'[1]D4 Gallon Forecast'!$AN189/1000000</f>
        <v>498.18983548934619</v>
      </c>
      <c r="BA465" s="17">
        <f t="shared" si="295"/>
        <v>498.18983548934619</v>
      </c>
      <c r="BB465" s="17">
        <f>'[1]D4 Gallon Forecast'!$AN173/1000000</f>
        <v>0</v>
      </c>
      <c r="BC465" s="87">
        <f>'[1]D4 Gallon Forecast'!$AN349/1000000</f>
        <v>722.71012116820077</v>
      </c>
      <c r="BD465" s="88">
        <f>'[1]D4 Gallon Forecast'!$AN365/1000000</f>
        <v>0</v>
      </c>
      <c r="BE465" s="88">
        <f t="shared" si="296"/>
        <v>722.71012116820077</v>
      </c>
      <c r="BF465" s="76">
        <f t="shared" si="272"/>
        <v>1220.8999566575469</v>
      </c>
      <c r="BG465" s="22">
        <f t="shared" si="273"/>
        <v>2.6481086928030733</v>
      </c>
      <c r="BI465" s="21">
        <f t="shared" si="281"/>
        <v>4702.9000000000005</v>
      </c>
      <c r="BJ465" s="21">
        <f t="shared" ref="BJ465:BJ504" si="312">AX465-BI465</f>
        <v>725.54499999999825</v>
      </c>
      <c r="BK465" s="21">
        <f>'RD Feedstock Breakdown'!ES456</f>
        <v>25802.931784063712</v>
      </c>
      <c r="BL465" s="89">
        <f t="shared" si="271"/>
        <v>21.134353919304164</v>
      </c>
      <c r="BM465" s="89">
        <f t="shared" si="269"/>
        <v>51.793372618128231</v>
      </c>
    </row>
    <row r="466" spans="1:65" ht="13.5" x14ac:dyDescent="0.25">
      <c r="A466" s="15">
        <v>54332</v>
      </c>
      <c r="B466" s="20">
        <f t="shared" si="270"/>
        <v>690</v>
      </c>
      <c r="C466" s="74">
        <v>47</v>
      </c>
      <c r="D466" s="20">
        <f t="shared" si="308"/>
        <v>3</v>
      </c>
      <c r="E466" s="20">
        <f t="shared" si="275"/>
        <v>85</v>
      </c>
      <c r="F466" s="20">
        <f t="shared" si="294"/>
        <v>340</v>
      </c>
      <c r="G466" s="20">
        <f t="shared" si="307"/>
        <v>37.5</v>
      </c>
      <c r="H466" s="20">
        <f t="shared" si="287"/>
        <v>190</v>
      </c>
      <c r="I466" s="20">
        <f t="shared" si="274"/>
        <v>250</v>
      </c>
      <c r="J466" s="20">
        <f t="shared" ref="J466:J504" si="313">100+(53.3*$J$12)</f>
        <v>153.30000000000001</v>
      </c>
      <c r="K466" s="20">
        <f t="shared" si="276"/>
        <v>125</v>
      </c>
      <c r="L466" s="20">
        <v>125</v>
      </c>
      <c r="M466" s="20">
        <v>730</v>
      </c>
      <c r="N466" s="20">
        <f t="shared" si="302"/>
        <v>180</v>
      </c>
      <c r="O466" s="74">
        <v>375</v>
      </c>
      <c r="P466" s="20">
        <f t="shared" si="282"/>
        <v>50</v>
      </c>
      <c r="Q466" s="20">
        <f t="shared" si="283"/>
        <v>21</v>
      </c>
      <c r="R466" s="20">
        <v>100</v>
      </c>
      <c r="S466" s="20">
        <f t="shared" si="288"/>
        <v>60</v>
      </c>
      <c r="T466" s="20">
        <f t="shared" si="277"/>
        <v>36</v>
      </c>
      <c r="U466" s="20"/>
      <c r="V466" s="20">
        <f t="shared" si="300"/>
        <v>0</v>
      </c>
      <c r="W466" s="20">
        <f t="shared" si="284"/>
        <v>20</v>
      </c>
      <c r="X466" s="20">
        <f t="shared" si="268"/>
        <v>0</v>
      </c>
      <c r="Y466" s="20">
        <f t="shared" si="279"/>
        <v>3.5</v>
      </c>
      <c r="Z466" s="20">
        <f t="shared" si="303"/>
        <v>230</v>
      </c>
      <c r="AA466" s="20">
        <f t="shared" si="278"/>
        <v>306</v>
      </c>
      <c r="AB466" s="20">
        <f t="shared" si="290"/>
        <v>60</v>
      </c>
      <c r="AC466" s="20">
        <f t="shared" si="297"/>
        <v>1.6</v>
      </c>
      <c r="AD466" s="20">
        <f t="shared" si="286"/>
        <v>180</v>
      </c>
      <c r="AE466" s="20">
        <f t="shared" si="289"/>
        <v>1.1000000000000001</v>
      </c>
      <c r="AF466" s="20">
        <f t="shared" si="293"/>
        <v>275</v>
      </c>
      <c r="AG466" s="20">
        <f t="shared" si="299"/>
        <v>18</v>
      </c>
      <c r="AH466" s="20">
        <f t="shared" si="291"/>
        <v>3</v>
      </c>
      <c r="AI466" s="20">
        <f t="shared" si="285"/>
        <v>47</v>
      </c>
      <c r="AJ466" s="20">
        <f t="shared" si="305"/>
        <v>90</v>
      </c>
      <c r="AK466" s="20">
        <f t="shared" si="310"/>
        <v>14</v>
      </c>
      <c r="AL466" s="20">
        <f t="shared" si="306"/>
        <v>45</v>
      </c>
      <c r="AM466" s="20">
        <v>46</v>
      </c>
      <c r="AN466" s="20">
        <f t="shared" si="311"/>
        <v>0.75</v>
      </c>
      <c r="AO466" s="20">
        <f t="shared" si="309"/>
        <v>19</v>
      </c>
      <c r="AP466" s="20">
        <f t="shared" si="309"/>
        <v>19</v>
      </c>
      <c r="AQ466" s="20">
        <f t="shared" si="267"/>
        <v>5</v>
      </c>
      <c r="AR466" s="20">
        <f t="shared" si="301"/>
        <v>120</v>
      </c>
      <c r="AS466" s="20">
        <f t="shared" si="304"/>
        <v>120</v>
      </c>
      <c r="AT466" s="20">
        <f t="shared" si="298"/>
        <v>55</v>
      </c>
      <c r="AU466" s="20"/>
      <c r="AV466" s="20"/>
      <c r="AW466" s="20">
        <f t="shared" si="280"/>
        <v>5276.7500000000009</v>
      </c>
      <c r="AX466" s="86">
        <f t="shared" si="292"/>
        <v>5428.4449999999988</v>
      </c>
      <c r="AY466" s="17">
        <f>'[1]D4 Gallon Forecast'!$AN158/1000000</f>
        <v>0</v>
      </c>
      <c r="AZ466" s="17">
        <f>'[1]D4 Gallon Forecast'!$AN190/1000000</f>
        <v>547.44459975643576</v>
      </c>
      <c r="BA466" s="17">
        <f t="shared" si="295"/>
        <v>547.44459975643576</v>
      </c>
      <c r="BB466" s="17">
        <f>'[1]D4 Gallon Forecast'!$AN174/1000000</f>
        <v>0</v>
      </c>
      <c r="BC466" s="87">
        <f>'[1]D4 Gallon Forecast'!$AN350/1000000</f>
        <v>705.65770653742334</v>
      </c>
      <c r="BD466" s="88">
        <f>'[1]D4 Gallon Forecast'!$AN366/1000000</f>
        <v>0</v>
      </c>
      <c r="BE466" s="88">
        <f t="shared" si="296"/>
        <v>705.65770653742334</v>
      </c>
      <c r="BF466" s="76">
        <f t="shared" si="272"/>
        <v>1253.1023062938591</v>
      </c>
      <c r="BG466" s="22">
        <f t="shared" si="273"/>
        <v>2.8085534733995874</v>
      </c>
      <c r="BI466" s="21">
        <f t="shared" si="281"/>
        <v>4702.9000000000005</v>
      </c>
      <c r="BJ466" s="21">
        <f t="shared" si="312"/>
        <v>725.54499999999825</v>
      </c>
      <c r="BK466" s="21">
        <f>'RD Feedstock Breakdown'!ES457</f>
        <v>28088.102111340846</v>
      </c>
      <c r="BL466" s="89">
        <f t="shared" si="271"/>
        <v>22.4148515011623</v>
      </c>
      <c r="BM466" s="89">
        <f t="shared" si="269"/>
        <v>51.307661311916412</v>
      </c>
    </row>
    <row r="467" spans="1:65" ht="13.5" x14ac:dyDescent="0.25">
      <c r="A467" s="15">
        <v>54363</v>
      </c>
      <c r="B467" s="20">
        <f t="shared" si="270"/>
        <v>690</v>
      </c>
      <c r="C467" s="74">
        <v>47</v>
      </c>
      <c r="D467" s="20">
        <f t="shared" si="308"/>
        <v>3</v>
      </c>
      <c r="E467" s="20">
        <f t="shared" si="275"/>
        <v>85</v>
      </c>
      <c r="F467" s="20">
        <f t="shared" si="294"/>
        <v>340</v>
      </c>
      <c r="G467" s="20">
        <f t="shared" si="307"/>
        <v>37.5</v>
      </c>
      <c r="H467" s="20">
        <f t="shared" si="287"/>
        <v>190</v>
      </c>
      <c r="I467" s="20">
        <f t="shared" si="274"/>
        <v>250</v>
      </c>
      <c r="J467" s="20">
        <f t="shared" si="313"/>
        <v>153.30000000000001</v>
      </c>
      <c r="K467" s="20">
        <f t="shared" si="276"/>
        <v>125</v>
      </c>
      <c r="L467" s="20">
        <v>125</v>
      </c>
      <c r="M467" s="20">
        <v>730</v>
      </c>
      <c r="N467" s="20">
        <f t="shared" si="302"/>
        <v>180</v>
      </c>
      <c r="O467" s="74">
        <v>375</v>
      </c>
      <c r="P467" s="20">
        <f t="shared" si="282"/>
        <v>50</v>
      </c>
      <c r="Q467" s="20">
        <f t="shared" si="283"/>
        <v>21</v>
      </c>
      <c r="R467" s="20">
        <v>100</v>
      </c>
      <c r="S467" s="20">
        <f t="shared" si="288"/>
        <v>60</v>
      </c>
      <c r="T467" s="20">
        <f t="shared" si="277"/>
        <v>36</v>
      </c>
      <c r="U467" s="20"/>
      <c r="V467" s="20">
        <f t="shared" si="300"/>
        <v>0</v>
      </c>
      <c r="W467" s="20">
        <f t="shared" si="284"/>
        <v>20</v>
      </c>
      <c r="X467" s="20">
        <f t="shared" si="268"/>
        <v>0</v>
      </c>
      <c r="Y467" s="20">
        <f t="shared" si="279"/>
        <v>3.5</v>
      </c>
      <c r="Z467" s="20">
        <f t="shared" si="303"/>
        <v>230</v>
      </c>
      <c r="AA467" s="20">
        <f t="shared" si="278"/>
        <v>306</v>
      </c>
      <c r="AB467" s="20">
        <f t="shared" si="290"/>
        <v>60</v>
      </c>
      <c r="AC467" s="20">
        <f t="shared" si="297"/>
        <v>1.6</v>
      </c>
      <c r="AD467" s="20">
        <f t="shared" si="286"/>
        <v>180</v>
      </c>
      <c r="AE467" s="20">
        <f t="shared" si="289"/>
        <v>1.1000000000000001</v>
      </c>
      <c r="AF467" s="20">
        <f t="shared" si="293"/>
        <v>275</v>
      </c>
      <c r="AG467" s="20">
        <f t="shared" si="299"/>
        <v>18</v>
      </c>
      <c r="AH467" s="20">
        <f t="shared" si="291"/>
        <v>3</v>
      </c>
      <c r="AI467" s="20">
        <f t="shared" si="285"/>
        <v>47</v>
      </c>
      <c r="AJ467" s="20">
        <f t="shared" si="305"/>
        <v>90</v>
      </c>
      <c r="AK467" s="20">
        <f t="shared" si="310"/>
        <v>14</v>
      </c>
      <c r="AL467" s="20">
        <f t="shared" si="306"/>
        <v>45</v>
      </c>
      <c r="AM467" s="20">
        <v>46</v>
      </c>
      <c r="AN467" s="20">
        <f t="shared" si="311"/>
        <v>0.75</v>
      </c>
      <c r="AO467" s="20">
        <f t="shared" si="309"/>
        <v>19</v>
      </c>
      <c r="AP467" s="20">
        <f t="shared" si="309"/>
        <v>19</v>
      </c>
      <c r="AQ467" s="20">
        <f t="shared" si="267"/>
        <v>5</v>
      </c>
      <c r="AR467" s="20">
        <f t="shared" si="301"/>
        <v>120</v>
      </c>
      <c r="AS467" s="20">
        <f t="shared" si="304"/>
        <v>120</v>
      </c>
      <c r="AT467" s="20">
        <f t="shared" si="298"/>
        <v>55</v>
      </c>
      <c r="AU467" s="20"/>
      <c r="AV467" s="20"/>
      <c r="AW467" s="20">
        <f t="shared" si="280"/>
        <v>5276.7500000000009</v>
      </c>
      <c r="AX467" s="86">
        <f t="shared" si="292"/>
        <v>5428.4449999999988</v>
      </c>
      <c r="AY467" s="17">
        <f>'[1]D4 Gallon Forecast'!$AN159/1000000</f>
        <v>0</v>
      </c>
      <c r="AZ467" s="17">
        <f>'[1]D4 Gallon Forecast'!$AN191/1000000</f>
        <v>665.13306547683806</v>
      </c>
      <c r="BA467" s="17">
        <f t="shared" si="295"/>
        <v>665.13306547683806</v>
      </c>
      <c r="BB467" s="17">
        <f>'[1]D4 Gallon Forecast'!$AN175/1000000</f>
        <v>0</v>
      </c>
      <c r="BC467" s="87">
        <f>'[1]D4 Gallon Forecast'!$AN351/1000000</f>
        <v>610.60894557455765</v>
      </c>
      <c r="BD467" s="88">
        <f>'[1]D4 Gallon Forecast'!$AN367/1000000</f>
        <v>0</v>
      </c>
      <c r="BE467" s="88">
        <f t="shared" si="296"/>
        <v>610.60894557455765</v>
      </c>
      <c r="BF467" s="76">
        <f t="shared" si="272"/>
        <v>1275.7420110513958</v>
      </c>
      <c r="BG467" s="22">
        <f t="shared" si="273"/>
        <v>2.7670600615696999</v>
      </c>
      <c r="BI467" s="21">
        <f t="shared" si="281"/>
        <v>4702.9000000000005</v>
      </c>
      <c r="BJ467" s="21">
        <f t="shared" si="312"/>
        <v>725.54499999999825</v>
      </c>
      <c r="BK467" s="21">
        <f>'RD Feedstock Breakdown'!ES458</f>
        <v>28173.09841425201</v>
      </c>
      <c r="BL467" s="89">
        <f t="shared" si="271"/>
        <v>22.083695739574576</v>
      </c>
      <c r="BM467" s="89">
        <f t="shared" si="269"/>
        <v>42.357085937465072</v>
      </c>
    </row>
    <row r="468" spans="1:65" ht="13.5" x14ac:dyDescent="0.25">
      <c r="A468" s="15">
        <v>54393</v>
      </c>
      <c r="B468" s="20">
        <f t="shared" si="270"/>
        <v>690</v>
      </c>
      <c r="C468" s="74">
        <v>47</v>
      </c>
      <c r="D468" s="20">
        <f t="shared" si="308"/>
        <v>3</v>
      </c>
      <c r="E468" s="20">
        <f t="shared" si="275"/>
        <v>85</v>
      </c>
      <c r="F468" s="20">
        <f t="shared" si="294"/>
        <v>340</v>
      </c>
      <c r="G468" s="20">
        <f t="shared" si="307"/>
        <v>37.5</v>
      </c>
      <c r="H468" s="20">
        <f t="shared" si="287"/>
        <v>190</v>
      </c>
      <c r="I468" s="20">
        <f t="shared" si="274"/>
        <v>250</v>
      </c>
      <c r="J468" s="20">
        <f t="shared" si="313"/>
        <v>153.30000000000001</v>
      </c>
      <c r="K468" s="20">
        <f t="shared" si="276"/>
        <v>125</v>
      </c>
      <c r="L468" s="20">
        <v>125</v>
      </c>
      <c r="M468" s="20">
        <v>730</v>
      </c>
      <c r="N468" s="20">
        <f t="shared" si="302"/>
        <v>180</v>
      </c>
      <c r="O468" s="74">
        <v>375</v>
      </c>
      <c r="P468" s="20">
        <f t="shared" si="282"/>
        <v>50</v>
      </c>
      <c r="Q468" s="20">
        <f t="shared" si="283"/>
        <v>21</v>
      </c>
      <c r="R468" s="20">
        <v>100</v>
      </c>
      <c r="S468" s="20">
        <f t="shared" si="288"/>
        <v>60</v>
      </c>
      <c r="T468" s="20">
        <f t="shared" si="277"/>
        <v>36</v>
      </c>
      <c r="U468" s="20"/>
      <c r="V468" s="20">
        <f t="shared" si="300"/>
        <v>0</v>
      </c>
      <c r="W468" s="20">
        <f t="shared" si="284"/>
        <v>20</v>
      </c>
      <c r="X468" s="20">
        <f t="shared" si="268"/>
        <v>0</v>
      </c>
      <c r="Y468" s="20">
        <f t="shared" si="279"/>
        <v>3.5</v>
      </c>
      <c r="Z468" s="20">
        <f t="shared" si="303"/>
        <v>230</v>
      </c>
      <c r="AA468" s="20">
        <f t="shared" si="278"/>
        <v>306</v>
      </c>
      <c r="AB468" s="20">
        <f t="shared" si="290"/>
        <v>60</v>
      </c>
      <c r="AC468" s="20">
        <f t="shared" si="297"/>
        <v>1.6</v>
      </c>
      <c r="AD468" s="20">
        <f t="shared" si="286"/>
        <v>180</v>
      </c>
      <c r="AE468" s="20">
        <f t="shared" si="289"/>
        <v>1.1000000000000001</v>
      </c>
      <c r="AF468" s="20">
        <f t="shared" si="293"/>
        <v>275</v>
      </c>
      <c r="AG468" s="20">
        <f t="shared" si="299"/>
        <v>18</v>
      </c>
      <c r="AH468" s="20">
        <f t="shared" si="291"/>
        <v>3</v>
      </c>
      <c r="AI468" s="20">
        <f t="shared" si="285"/>
        <v>47</v>
      </c>
      <c r="AJ468" s="20">
        <f t="shared" si="305"/>
        <v>90</v>
      </c>
      <c r="AK468" s="20">
        <f t="shared" si="310"/>
        <v>14</v>
      </c>
      <c r="AL468" s="20">
        <f t="shared" si="306"/>
        <v>45</v>
      </c>
      <c r="AM468" s="20">
        <v>46</v>
      </c>
      <c r="AN468" s="20">
        <f t="shared" si="311"/>
        <v>0.75</v>
      </c>
      <c r="AO468" s="20">
        <f t="shared" si="309"/>
        <v>19</v>
      </c>
      <c r="AP468" s="20">
        <f t="shared" si="309"/>
        <v>19</v>
      </c>
      <c r="AQ468" s="20">
        <f t="shared" ref="AQ468:AQ504" si="314">$AQ$5*$AQ$12</f>
        <v>5</v>
      </c>
      <c r="AR468" s="20">
        <f t="shared" si="301"/>
        <v>120</v>
      </c>
      <c r="AS468" s="20">
        <f t="shared" si="304"/>
        <v>120</v>
      </c>
      <c r="AT468" s="20">
        <f t="shared" si="298"/>
        <v>55</v>
      </c>
      <c r="AU468" s="20"/>
      <c r="AV468" s="20"/>
      <c r="AW468" s="20">
        <f t="shared" si="280"/>
        <v>5276.7500000000009</v>
      </c>
      <c r="AX468" s="86">
        <f t="shared" si="292"/>
        <v>5428.4449999999988</v>
      </c>
      <c r="AY468" s="17">
        <f>'[1]D4 Gallon Forecast'!$AN160/1000000</f>
        <v>0</v>
      </c>
      <c r="AZ468" s="17">
        <f>'[1]D4 Gallon Forecast'!$AN192/1000000</f>
        <v>754.70704613782402</v>
      </c>
      <c r="BA468" s="17">
        <f t="shared" si="295"/>
        <v>754.70704613782402</v>
      </c>
      <c r="BB468" s="17">
        <f>'[1]D4 Gallon Forecast'!$AN176/1000000</f>
        <v>0</v>
      </c>
      <c r="BC468" s="87">
        <f>'[1]D4 Gallon Forecast'!$AN352/1000000</f>
        <v>548.65909350410561</v>
      </c>
      <c r="BD468" s="88">
        <f>'[1]D4 Gallon Forecast'!$AN368/1000000</f>
        <v>0</v>
      </c>
      <c r="BE468" s="88">
        <f t="shared" si="296"/>
        <v>548.65909350410561</v>
      </c>
      <c r="BF468" s="76">
        <f t="shared" si="272"/>
        <v>1303.3661396419297</v>
      </c>
      <c r="BG468" s="22">
        <f t="shared" si="273"/>
        <v>2.9212088112974306</v>
      </c>
      <c r="BI468" s="21">
        <f t="shared" si="281"/>
        <v>4702.9000000000005</v>
      </c>
      <c r="BJ468" s="21">
        <f t="shared" si="312"/>
        <v>725.54499999999825</v>
      </c>
      <c r="BK468" s="21">
        <f>'RD Feedstock Breakdown'!ES459</f>
        <v>30386.606726844366</v>
      </c>
      <c r="BL468" s="89">
        <f t="shared" si="271"/>
        <v>23.313945178284587</v>
      </c>
      <c r="BM468" s="89">
        <f t="shared" si="269"/>
        <v>40.262783927016876</v>
      </c>
    </row>
    <row r="469" spans="1:65" ht="13.5" x14ac:dyDescent="0.25">
      <c r="A469" s="15">
        <v>54424</v>
      </c>
      <c r="B469" s="20">
        <f t="shared" si="270"/>
        <v>690</v>
      </c>
      <c r="C469" s="74">
        <v>47</v>
      </c>
      <c r="D469" s="20">
        <f t="shared" si="308"/>
        <v>3</v>
      </c>
      <c r="E469" s="20">
        <f t="shared" si="275"/>
        <v>85</v>
      </c>
      <c r="F469" s="20">
        <f t="shared" si="294"/>
        <v>340</v>
      </c>
      <c r="G469" s="20">
        <f t="shared" si="307"/>
        <v>37.5</v>
      </c>
      <c r="H469" s="20">
        <f t="shared" si="287"/>
        <v>190</v>
      </c>
      <c r="I469" s="20">
        <f t="shared" si="274"/>
        <v>250</v>
      </c>
      <c r="J469" s="20">
        <f t="shared" si="313"/>
        <v>153.30000000000001</v>
      </c>
      <c r="K469" s="20">
        <f t="shared" si="276"/>
        <v>125</v>
      </c>
      <c r="L469" s="20">
        <v>125</v>
      </c>
      <c r="M469" s="20">
        <v>730</v>
      </c>
      <c r="N469" s="20">
        <f t="shared" si="302"/>
        <v>180</v>
      </c>
      <c r="O469" s="74">
        <v>375</v>
      </c>
      <c r="P469" s="20">
        <f t="shared" si="282"/>
        <v>50</v>
      </c>
      <c r="Q469" s="20">
        <f t="shared" si="283"/>
        <v>21</v>
      </c>
      <c r="R469" s="20">
        <v>100</v>
      </c>
      <c r="S469" s="20">
        <f t="shared" si="288"/>
        <v>60</v>
      </c>
      <c r="T469" s="20">
        <f t="shared" si="277"/>
        <v>36</v>
      </c>
      <c r="U469" s="20"/>
      <c r="V469" s="20">
        <f t="shared" si="300"/>
        <v>0</v>
      </c>
      <c r="W469" s="20">
        <f t="shared" si="284"/>
        <v>20</v>
      </c>
      <c r="X469" s="20">
        <f t="shared" ref="X469:X504" si="315">16.1*$X$12</f>
        <v>0</v>
      </c>
      <c r="Y469" s="20">
        <f t="shared" si="279"/>
        <v>3.5</v>
      </c>
      <c r="Z469" s="20">
        <f t="shared" si="303"/>
        <v>230</v>
      </c>
      <c r="AA469" s="20">
        <f t="shared" si="278"/>
        <v>306</v>
      </c>
      <c r="AB469" s="20">
        <f t="shared" si="290"/>
        <v>60</v>
      </c>
      <c r="AC469" s="20">
        <f t="shared" si="297"/>
        <v>1.6</v>
      </c>
      <c r="AD469" s="20">
        <f t="shared" si="286"/>
        <v>180</v>
      </c>
      <c r="AE469" s="20">
        <f t="shared" si="289"/>
        <v>1.1000000000000001</v>
      </c>
      <c r="AF469" s="20">
        <f t="shared" si="293"/>
        <v>275</v>
      </c>
      <c r="AG469" s="20">
        <f t="shared" si="299"/>
        <v>18</v>
      </c>
      <c r="AH469" s="20">
        <f t="shared" si="291"/>
        <v>3</v>
      </c>
      <c r="AI469" s="20">
        <f t="shared" si="285"/>
        <v>47</v>
      </c>
      <c r="AJ469" s="20">
        <f t="shared" si="305"/>
        <v>90</v>
      </c>
      <c r="AK469" s="20">
        <f t="shared" si="310"/>
        <v>14</v>
      </c>
      <c r="AL469" s="20">
        <f t="shared" si="306"/>
        <v>45</v>
      </c>
      <c r="AM469" s="20">
        <v>46</v>
      </c>
      <c r="AN469" s="20">
        <f t="shared" si="311"/>
        <v>0.75</v>
      </c>
      <c r="AO469" s="20">
        <f t="shared" si="309"/>
        <v>19</v>
      </c>
      <c r="AP469" s="20">
        <f t="shared" si="309"/>
        <v>19</v>
      </c>
      <c r="AQ469" s="20">
        <f t="shared" si="314"/>
        <v>5</v>
      </c>
      <c r="AR469" s="20">
        <f t="shared" si="301"/>
        <v>120</v>
      </c>
      <c r="AS469" s="20">
        <f t="shared" si="304"/>
        <v>120</v>
      </c>
      <c r="AT469" s="20">
        <f t="shared" si="298"/>
        <v>55</v>
      </c>
      <c r="AU469" s="20"/>
      <c r="AV469" s="20"/>
      <c r="AW469" s="20">
        <f t="shared" si="280"/>
        <v>5276.7500000000009</v>
      </c>
      <c r="AX469" s="86">
        <f t="shared" si="292"/>
        <v>5428.4449999999988</v>
      </c>
      <c r="AY469" s="17">
        <f>'[1]D4 Gallon Forecast'!$AO149/1000000</f>
        <v>0</v>
      </c>
      <c r="AZ469" s="17">
        <f>'[1]D4 Gallon Forecast'!$AO181/1000000</f>
        <v>408.41651360872498</v>
      </c>
      <c r="BA469" s="17">
        <f t="shared" si="295"/>
        <v>408.41651360872498</v>
      </c>
      <c r="BB469" s="17">
        <f>'[1]D4 Gallon Forecast'!$AO165/1000000</f>
        <v>0</v>
      </c>
      <c r="BC469" s="87">
        <f>'[1]D4 Gallon Forecast'!$AO341/1000000</f>
        <v>328.01965905087326</v>
      </c>
      <c r="BD469" s="88">
        <f>'[1]D4 Gallon Forecast'!$AO357/1000000</f>
        <v>0</v>
      </c>
      <c r="BE469" s="88">
        <f t="shared" si="296"/>
        <v>328.01965905087326</v>
      </c>
      <c r="BF469" s="76">
        <f t="shared" si="272"/>
        <v>736.43617265959824</v>
      </c>
      <c r="BG469" s="22">
        <f t="shared" si="273"/>
        <v>1.5973159961881402</v>
      </c>
      <c r="BI469" s="21">
        <f t="shared" si="281"/>
        <v>4702.9000000000005</v>
      </c>
      <c r="BJ469" s="21">
        <f t="shared" si="312"/>
        <v>725.54499999999825</v>
      </c>
      <c r="BK469" s="21">
        <f>'RD Feedstock Breakdown'!ES460</f>
        <v>9388.1305913551714</v>
      </c>
      <c r="BL469" s="89">
        <f t="shared" si="271"/>
        <v>12.74805738758114</v>
      </c>
      <c r="BM469" s="89">
        <f t="shared" ref="BM469:BM504" si="316">BK469/BA469</f>
        <v>22.986657685318953</v>
      </c>
    </row>
    <row r="470" spans="1:65" ht="13.5" x14ac:dyDescent="0.25">
      <c r="A470" s="15">
        <v>54455</v>
      </c>
      <c r="B470" s="20">
        <f t="shared" ref="B470:B504" si="317">690*$B$12</f>
        <v>690</v>
      </c>
      <c r="C470" s="74">
        <v>47</v>
      </c>
      <c r="D470" s="20">
        <f t="shared" si="308"/>
        <v>3</v>
      </c>
      <c r="E470" s="20">
        <f t="shared" si="275"/>
        <v>85</v>
      </c>
      <c r="F470" s="20">
        <f t="shared" si="294"/>
        <v>340</v>
      </c>
      <c r="G470" s="20">
        <f t="shared" si="307"/>
        <v>37.5</v>
      </c>
      <c r="H470" s="20">
        <f t="shared" si="287"/>
        <v>190</v>
      </c>
      <c r="I470" s="20">
        <f t="shared" si="274"/>
        <v>250</v>
      </c>
      <c r="J470" s="20">
        <f t="shared" si="313"/>
        <v>153.30000000000001</v>
      </c>
      <c r="K470" s="20">
        <f t="shared" si="276"/>
        <v>125</v>
      </c>
      <c r="L470" s="20">
        <v>125</v>
      </c>
      <c r="M470" s="20">
        <v>730</v>
      </c>
      <c r="N470" s="20">
        <f t="shared" si="302"/>
        <v>180</v>
      </c>
      <c r="O470" s="74">
        <v>375</v>
      </c>
      <c r="P470" s="20">
        <f t="shared" si="282"/>
        <v>50</v>
      </c>
      <c r="Q470" s="20">
        <f t="shared" si="283"/>
        <v>21</v>
      </c>
      <c r="R470" s="20">
        <v>100</v>
      </c>
      <c r="S470" s="20">
        <f t="shared" si="288"/>
        <v>60</v>
      </c>
      <c r="T470" s="20">
        <f t="shared" si="277"/>
        <v>36</v>
      </c>
      <c r="U470" s="20"/>
      <c r="V470" s="20">
        <f t="shared" si="300"/>
        <v>0</v>
      </c>
      <c r="W470" s="20">
        <f t="shared" si="284"/>
        <v>20</v>
      </c>
      <c r="X470" s="20">
        <f t="shared" si="315"/>
        <v>0</v>
      </c>
      <c r="Y470" s="20">
        <f t="shared" si="279"/>
        <v>3.5</v>
      </c>
      <c r="Z470" s="20">
        <f t="shared" si="303"/>
        <v>230</v>
      </c>
      <c r="AA470" s="20">
        <f t="shared" si="278"/>
        <v>306</v>
      </c>
      <c r="AB470" s="20">
        <f t="shared" si="290"/>
        <v>60</v>
      </c>
      <c r="AC470" s="20">
        <f t="shared" si="297"/>
        <v>1.6</v>
      </c>
      <c r="AD470" s="20">
        <f t="shared" si="286"/>
        <v>180</v>
      </c>
      <c r="AE470" s="20">
        <f t="shared" si="289"/>
        <v>1.1000000000000001</v>
      </c>
      <c r="AF470" s="20">
        <f t="shared" si="293"/>
        <v>275</v>
      </c>
      <c r="AG470" s="20">
        <f t="shared" si="299"/>
        <v>18</v>
      </c>
      <c r="AH470" s="20">
        <f t="shared" si="291"/>
        <v>3</v>
      </c>
      <c r="AI470" s="20">
        <f t="shared" si="285"/>
        <v>47</v>
      </c>
      <c r="AJ470" s="20">
        <f t="shared" si="305"/>
        <v>90</v>
      </c>
      <c r="AK470" s="20">
        <f t="shared" si="310"/>
        <v>14</v>
      </c>
      <c r="AL470" s="20">
        <f t="shared" si="306"/>
        <v>45</v>
      </c>
      <c r="AM470" s="20">
        <v>46</v>
      </c>
      <c r="AN470" s="20">
        <f t="shared" si="311"/>
        <v>0.75</v>
      </c>
      <c r="AO470" s="20">
        <f t="shared" si="309"/>
        <v>19</v>
      </c>
      <c r="AP470" s="20">
        <f t="shared" si="309"/>
        <v>19</v>
      </c>
      <c r="AQ470" s="20">
        <f t="shared" si="314"/>
        <v>5</v>
      </c>
      <c r="AR470" s="20">
        <f t="shared" si="301"/>
        <v>120</v>
      </c>
      <c r="AS470" s="20">
        <f t="shared" si="304"/>
        <v>120</v>
      </c>
      <c r="AT470" s="20">
        <f t="shared" si="298"/>
        <v>55</v>
      </c>
      <c r="AU470" s="20"/>
      <c r="AV470" s="20"/>
      <c r="AW470" s="20">
        <f t="shared" si="280"/>
        <v>5276.7500000000009</v>
      </c>
      <c r="AX470" s="86">
        <f t="shared" si="292"/>
        <v>5428.4449999999988</v>
      </c>
      <c r="AY470" s="17">
        <f>'[1]D4 Gallon Forecast'!$AO150/1000000</f>
        <v>0</v>
      </c>
      <c r="AZ470" s="17">
        <f>'[1]D4 Gallon Forecast'!$AO182/1000000</f>
        <v>450.36151352700961</v>
      </c>
      <c r="BA470" s="17">
        <f t="shared" si="295"/>
        <v>450.36151352700961</v>
      </c>
      <c r="BB470" s="17">
        <f>'[1]D4 Gallon Forecast'!$AO166/1000000</f>
        <v>0</v>
      </c>
      <c r="BC470" s="87">
        <f>'[1]D4 Gallon Forecast'!$AO342/1000000</f>
        <v>622.60108824775307</v>
      </c>
      <c r="BD470" s="88">
        <f>'[1]D4 Gallon Forecast'!$AO358/1000000</f>
        <v>0</v>
      </c>
      <c r="BE470" s="88">
        <f t="shared" si="296"/>
        <v>622.60108824775307</v>
      </c>
      <c r="BF470" s="76">
        <f t="shared" si="272"/>
        <v>1072.9626017747628</v>
      </c>
      <c r="BG470" s="22">
        <f t="shared" si="273"/>
        <v>2.3272353949385223</v>
      </c>
      <c r="BI470" s="21">
        <f t="shared" si="281"/>
        <v>4702.9000000000005</v>
      </c>
      <c r="BJ470" s="21">
        <f t="shared" si="312"/>
        <v>725.54499999999825</v>
      </c>
      <c r="BK470" s="21">
        <f>'RD Feedstock Breakdown'!ES461</f>
        <v>19928.658600760456</v>
      </c>
      <c r="BL470" s="89">
        <f t="shared" ref="BL470:BL504" si="318">BK470/BF470</f>
        <v>18.573488551974616</v>
      </c>
      <c r="BM470" s="89">
        <f t="shared" si="316"/>
        <v>44.250358883220315</v>
      </c>
    </row>
    <row r="471" spans="1:65" ht="13.5" x14ac:dyDescent="0.25">
      <c r="A471" s="15">
        <v>54483</v>
      </c>
      <c r="B471" s="20">
        <f t="shared" si="317"/>
        <v>690</v>
      </c>
      <c r="C471" s="74">
        <v>47</v>
      </c>
      <c r="D471" s="20">
        <f t="shared" si="308"/>
        <v>3</v>
      </c>
      <c r="E471" s="20">
        <f t="shared" si="275"/>
        <v>85</v>
      </c>
      <c r="F471" s="20">
        <f t="shared" si="294"/>
        <v>340</v>
      </c>
      <c r="G471" s="20">
        <f t="shared" si="307"/>
        <v>37.5</v>
      </c>
      <c r="H471" s="20">
        <f t="shared" si="287"/>
        <v>190</v>
      </c>
      <c r="I471" s="20">
        <f t="shared" si="274"/>
        <v>250</v>
      </c>
      <c r="J471" s="20">
        <f t="shared" si="313"/>
        <v>153.30000000000001</v>
      </c>
      <c r="K471" s="20">
        <f t="shared" si="276"/>
        <v>125</v>
      </c>
      <c r="L471" s="20">
        <v>125</v>
      </c>
      <c r="M471" s="20">
        <v>730</v>
      </c>
      <c r="N471" s="20">
        <f t="shared" si="302"/>
        <v>180</v>
      </c>
      <c r="O471" s="74">
        <v>375</v>
      </c>
      <c r="P471" s="20">
        <f t="shared" si="282"/>
        <v>50</v>
      </c>
      <c r="Q471" s="20">
        <f t="shared" si="283"/>
        <v>21</v>
      </c>
      <c r="R471" s="20">
        <v>100</v>
      </c>
      <c r="S471" s="20">
        <f t="shared" si="288"/>
        <v>60</v>
      </c>
      <c r="T471" s="20">
        <f t="shared" si="277"/>
        <v>36</v>
      </c>
      <c r="U471" s="20"/>
      <c r="V471" s="20">
        <f t="shared" si="300"/>
        <v>0</v>
      </c>
      <c r="W471" s="20">
        <f t="shared" si="284"/>
        <v>20</v>
      </c>
      <c r="X471" s="20">
        <f t="shared" si="315"/>
        <v>0</v>
      </c>
      <c r="Y471" s="20">
        <f t="shared" si="279"/>
        <v>3.5</v>
      </c>
      <c r="Z471" s="20">
        <f t="shared" si="303"/>
        <v>230</v>
      </c>
      <c r="AA471" s="20">
        <f t="shared" si="278"/>
        <v>306</v>
      </c>
      <c r="AB471" s="20">
        <f t="shared" si="290"/>
        <v>60</v>
      </c>
      <c r="AC471" s="20">
        <f t="shared" si="297"/>
        <v>1.6</v>
      </c>
      <c r="AD471" s="20">
        <f t="shared" si="286"/>
        <v>180</v>
      </c>
      <c r="AE471" s="20">
        <f t="shared" si="289"/>
        <v>1.1000000000000001</v>
      </c>
      <c r="AF471" s="20">
        <f t="shared" si="293"/>
        <v>275</v>
      </c>
      <c r="AG471" s="20">
        <f t="shared" si="299"/>
        <v>18</v>
      </c>
      <c r="AH471" s="20">
        <f t="shared" si="291"/>
        <v>3</v>
      </c>
      <c r="AI471" s="20">
        <f t="shared" si="285"/>
        <v>47</v>
      </c>
      <c r="AJ471" s="20">
        <f t="shared" si="305"/>
        <v>90</v>
      </c>
      <c r="AK471" s="20">
        <f t="shared" si="310"/>
        <v>14</v>
      </c>
      <c r="AL471" s="20">
        <f t="shared" si="306"/>
        <v>45</v>
      </c>
      <c r="AM471" s="20">
        <v>46</v>
      </c>
      <c r="AN471" s="20">
        <f t="shared" si="311"/>
        <v>0.75</v>
      </c>
      <c r="AO471" s="20">
        <f t="shared" si="309"/>
        <v>19</v>
      </c>
      <c r="AP471" s="20">
        <f t="shared" si="309"/>
        <v>19</v>
      </c>
      <c r="AQ471" s="20">
        <f t="shared" si="314"/>
        <v>5</v>
      </c>
      <c r="AR471" s="20">
        <f t="shared" si="301"/>
        <v>120</v>
      </c>
      <c r="AS471" s="20">
        <f t="shared" si="304"/>
        <v>120</v>
      </c>
      <c r="AT471" s="20">
        <f t="shared" si="298"/>
        <v>55</v>
      </c>
      <c r="AU471" s="20"/>
      <c r="AV471" s="20"/>
      <c r="AW471" s="20">
        <f t="shared" si="280"/>
        <v>5276.7500000000009</v>
      </c>
      <c r="AX471" s="86">
        <f t="shared" si="292"/>
        <v>5428.4449999999988</v>
      </c>
      <c r="AY471" s="17">
        <f>'[1]D4 Gallon Forecast'!$AO151/1000000</f>
        <v>0</v>
      </c>
      <c r="AZ471" s="17">
        <f>'[1]D4 Gallon Forecast'!$AO183/1000000</f>
        <v>474.34722194337581</v>
      </c>
      <c r="BA471" s="17">
        <f t="shared" si="295"/>
        <v>474.34722194337581</v>
      </c>
      <c r="BB471" s="17">
        <f>'[1]D4 Gallon Forecast'!$AO167/1000000</f>
        <v>0</v>
      </c>
      <c r="BC471" s="87">
        <f>'[1]D4 Gallon Forecast'!$AO343/1000000</f>
        <v>248.49749897531805</v>
      </c>
      <c r="BD471" s="88">
        <f>'[1]D4 Gallon Forecast'!$AO359/1000000</f>
        <v>0</v>
      </c>
      <c r="BE471" s="88">
        <f t="shared" si="296"/>
        <v>248.49749897531805</v>
      </c>
      <c r="BF471" s="76">
        <f t="shared" si="272"/>
        <v>722.84472091869384</v>
      </c>
      <c r="BG471" s="22">
        <f t="shared" si="273"/>
        <v>1.735818867987605</v>
      </c>
      <c r="BI471" s="21">
        <f t="shared" si="281"/>
        <v>4702.9000000000005</v>
      </c>
      <c r="BJ471" s="21">
        <f t="shared" si="312"/>
        <v>725.54499999999825</v>
      </c>
      <c r="BK471" s="21">
        <f>'RD Feedstock Breakdown'!ES462</f>
        <v>10013.884716728197</v>
      </c>
      <c r="BL471" s="89">
        <f t="shared" si="318"/>
        <v>13.853438265414912</v>
      </c>
      <c r="BM471" s="89">
        <f t="shared" si="316"/>
        <v>21.110874594567736</v>
      </c>
    </row>
    <row r="472" spans="1:65" ht="13.5" x14ac:dyDescent="0.25">
      <c r="A472" s="15">
        <v>54514</v>
      </c>
      <c r="B472" s="20">
        <f t="shared" si="317"/>
        <v>690</v>
      </c>
      <c r="C472" s="74">
        <v>47</v>
      </c>
      <c r="D472" s="20">
        <f t="shared" si="308"/>
        <v>3</v>
      </c>
      <c r="E472" s="20">
        <f t="shared" si="275"/>
        <v>85</v>
      </c>
      <c r="F472" s="20">
        <f t="shared" si="294"/>
        <v>340</v>
      </c>
      <c r="G472" s="20">
        <f t="shared" si="307"/>
        <v>37.5</v>
      </c>
      <c r="H472" s="20">
        <f t="shared" si="287"/>
        <v>190</v>
      </c>
      <c r="I472" s="20">
        <f t="shared" si="274"/>
        <v>250</v>
      </c>
      <c r="J472" s="20">
        <f t="shared" si="313"/>
        <v>153.30000000000001</v>
      </c>
      <c r="K472" s="20">
        <f t="shared" si="276"/>
        <v>125</v>
      </c>
      <c r="L472" s="20">
        <v>125</v>
      </c>
      <c r="M472" s="20">
        <v>730</v>
      </c>
      <c r="N472" s="20">
        <f t="shared" si="302"/>
        <v>180</v>
      </c>
      <c r="O472" s="74">
        <v>375</v>
      </c>
      <c r="P472" s="20">
        <f t="shared" si="282"/>
        <v>50</v>
      </c>
      <c r="Q472" s="20">
        <f t="shared" si="283"/>
        <v>21</v>
      </c>
      <c r="R472" s="20">
        <v>100</v>
      </c>
      <c r="S472" s="20">
        <f t="shared" si="288"/>
        <v>60</v>
      </c>
      <c r="T472" s="20">
        <f t="shared" si="277"/>
        <v>36</v>
      </c>
      <c r="U472" s="20"/>
      <c r="V472" s="20">
        <f t="shared" si="300"/>
        <v>0</v>
      </c>
      <c r="W472" s="20">
        <f t="shared" si="284"/>
        <v>20</v>
      </c>
      <c r="X472" s="20">
        <f t="shared" si="315"/>
        <v>0</v>
      </c>
      <c r="Y472" s="20">
        <f t="shared" si="279"/>
        <v>3.5</v>
      </c>
      <c r="Z472" s="20">
        <f t="shared" si="303"/>
        <v>230</v>
      </c>
      <c r="AA472" s="20">
        <f t="shared" si="278"/>
        <v>306</v>
      </c>
      <c r="AB472" s="20">
        <f t="shared" si="290"/>
        <v>60</v>
      </c>
      <c r="AC472" s="20">
        <f t="shared" si="297"/>
        <v>1.6</v>
      </c>
      <c r="AD472" s="20">
        <f t="shared" si="286"/>
        <v>180</v>
      </c>
      <c r="AE472" s="20">
        <f t="shared" si="289"/>
        <v>1.1000000000000001</v>
      </c>
      <c r="AF472" s="20">
        <f t="shared" si="293"/>
        <v>275</v>
      </c>
      <c r="AG472" s="20">
        <f t="shared" si="299"/>
        <v>18</v>
      </c>
      <c r="AH472" s="20">
        <f t="shared" si="291"/>
        <v>3</v>
      </c>
      <c r="AI472" s="20">
        <f t="shared" si="285"/>
        <v>47</v>
      </c>
      <c r="AJ472" s="20">
        <f t="shared" si="305"/>
        <v>90</v>
      </c>
      <c r="AK472" s="20">
        <f t="shared" si="310"/>
        <v>14</v>
      </c>
      <c r="AL472" s="20">
        <f t="shared" si="306"/>
        <v>45</v>
      </c>
      <c r="AM472" s="20">
        <v>46</v>
      </c>
      <c r="AN472" s="20">
        <f t="shared" si="311"/>
        <v>0.75</v>
      </c>
      <c r="AO472" s="20">
        <f t="shared" si="309"/>
        <v>19</v>
      </c>
      <c r="AP472" s="20">
        <f t="shared" si="309"/>
        <v>19</v>
      </c>
      <c r="AQ472" s="20">
        <f t="shared" si="314"/>
        <v>5</v>
      </c>
      <c r="AR472" s="20">
        <f t="shared" si="301"/>
        <v>120</v>
      </c>
      <c r="AS472" s="20">
        <f t="shared" si="304"/>
        <v>120</v>
      </c>
      <c r="AT472" s="20">
        <f t="shared" si="298"/>
        <v>55</v>
      </c>
      <c r="AU472" s="20"/>
      <c r="AV472" s="20"/>
      <c r="AW472" s="20">
        <f t="shared" si="280"/>
        <v>5276.7500000000009</v>
      </c>
      <c r="AX472" s="86">
        <f t="shared" si="292"/>
        <v>5428.4449999999988</v>
      </c>
      <c r="AY472" s="17">
        <f>'[1]D4 Gallon Forecast'!$AO152/1000000</f>
        <v>0</v>
      </c>
      <c r="AZ472" s="17">
        <f>'[1]D4 Gallon Forecast'!$AO184/1000000</f>
        <v>460.56778746810119</v>
      </c>
      <c r="BA472" s="17">
        <f t="shared" si="295"/>
        <v>460.56778746810119</v>
      </c>
      <c r="BB472" s="17">
        <f>'[1]D4 Gallon Forecast'!$AO168/1000000</f>
        <v>0</v>
      </c>
      <c r="BC472" s="87">
        <f>'[1]D4 Gallon Forecast'!$AO344/1000000</f>
        <v>398.87127024936541</v>
      </c>
      <c r="BD472" s="88">
        <f>'[1]D4 Gallon Forecast'!$AO360/1000000</f>
        <v>0</v>
      </c>
      <c r="BE472" s="88">
        <f t="shared" si="296"/>
        <v>398.87127024936541</v>
      </c>
      <c r="BF472" s="76">
        <f t="shared" ref="BF472:BF504" si="319">BA472+BE472</f>
        <v>859.43905771746654</v>
      </c>
      <c r="BG472" s="22">
        <f t="shared" ref="BG472:BG504" si="320">(BF472/(A472-A471)*365)/AX472</f>
        <v>1.8641069051282424</v>
      </c>
      <c r="BI472" s="21">
        <f t="shared" si="281"/>
        <v>4702.9000000000005</v>
      </c>
      <c r="BJ472" s="21">
        <f t="shared" si="312"/>
        <v>725.54499999999825</v>
      </c>
      <c r="BK472" s="21">
        <f>'RD Feedstock Breakdown'!ES463</f>
        <v>12786.128675784181</v>
      </c>
      <c r="BL472" s="89">
        <f t="shared" si="318"/>
        <v>14.877295325327784</v>
      </c>
      <c r="BM472" s="89">
        <f t="shared" si="316"/>
        <v>27.761665109220747</v>
      </c>
    </row>
    <row r="473" spans="1:65" ht="13.5" x14ac:dyDescent="0.25">
      <c r="A473" s="15">
        <v>54544</v>
      </c>
      <c r="B473" s="20">
        <f t="shared" si="317"/>
        <v>690</v>
      </c>
      <c r="C473" s="74">
        <v>47</v>
      </c>
      <c r="D473" s="20">
        <f t="shared" si="308"/>
        <v>3</v>
      </c>
      <c r="E473" s="20">
        <f t="shared" si="275"/>
        <v>85</v>
      </c>
      <c r="F473" s="20">
        <f t="shared" si="294"/>
        <v>340</v>
      </c>
      <c r="G473" s="20">
        <f t="shared" si="307"/>
        <v>37.5</v>
      </c>
      <c r="H473" s="20">
        <f t="shared" si="287"/>
        <v>190</v>
      </c>
      <c r="I473" s="20">
        <f t="shared" si="274"/>
        <v>250</v>
      </c>
      <c r="J473" s="20">
        <f t="shared" si="313"/>
        <v>153.30000000000001</v>
      </c>
      <c r="K473" s="20">
        <f t="shared" si="276"/>
        <v>125</v>
      </c>
      <c r="L473" s="20">
        <v>125</v>
      </c>
      <c r="M473" s="20">
        <v>730</v>
      </c>
      <c r="N473" s="20">
        <f t="shared" si="302"/>
        <v>180</v>
      </c>
      <c r="O473" s="74">
        <v>375</v>
      </c>
      <c r="P473" s="20">
        <f t="shared" si="282"/>
        <v>50</v>
      </c>
      <c r="Q473" s="20">
        <f t="shared" si="283"/>
        <v>21</v>
      </c>
      <c r="R473" s="20">
        <v>100</v>
      </c>
      <c r="S473" s="20">
        <f t="shared" si="288"/>
        <v>60</v>
      </c>
      <c r="T473" s="20">
        <f t="shared" si="277"/>
        <v>36</v>
      </c>
      <c r="U473" s="20"/>
      <c r="V473" s="20">
        <f t="shared" si="300"/>
        <v>0</v>
      </c>
      <c r="W473" s="20">
        <f t="shared" si="284"/>
        <v>20</v>
      </c>
      <c r="X473" s="20">
        <f t="shared" si="315"/>
        <v>0</v>
      </c>
      <c r="Y473" s="20">
        <f t="shared" si="279"/>
        <v>3.5</v>
      </c>
      <c r="Z473" s="20">
        <f t="shared" si="303"/>
        <v>230</v>
      </c>
      <c r="AA473" s="20">
        <f t="shared" si="278"/>
        <v>306</v>
      </c>
      <c r="AB473" s="20">
        <f t="shared" si="290"/>
        <v>60</v>
      </c>
      <c r="AC473" s="20">
        <f t="shared" si="297"/>
        <v>1.6</v>
      </c>
      <c r="AD473" s="20">
        <f t="shared" si="286"/>
        <v>180</v>
      </c>
      <c r="AE473" s="20">
        <f t="shared" si="289"/>
        <v>1.1000000000000001</v>
      </c>
      <c r="AF473" s="20">
        <f t="shared" si="293"/>
        <v>275</v>
      </c>
      <c r="AG473" s="20">
        <f t="shared" si="299"/>
        <v>18</v>
      </c>
      <c r="AH473" s="20">
        <f t="shared" si="291"/>
        <v>3</v>
      </c>
      <c r="AI473" s="20">
        <f t="shared" si="285"/>
        <v>47</v>
      </c>
      <c r="AJ473" s="20">
        <f t="shared" si="305"/>
        <v>90</v>
      </c>
      <c r="AK473" s="20">
        <f t="shared" si="310"/>
        <v>14</v>
      </c>
      <c r="AL473" s="20">
        <f t="shared" si="306"/>
        <v>45</v>
      </c>
      <c r="AM473" s="20">
        <v>46</v>
      </c>
      <c r="AN473" s="20">
        <f t="shared" si="311"/>
        <v>0.75</v>
      </c>
      <c r="AO473" s="20">
        <f t="shared" si="309"/>
        <v>19</v>
      </c>
      <c r="AP473" s="20">
        <f t="shared" si="309"/>
        <v>19</v>
      </c>
      <c r="AQ473" s="20">
        <f t="shared" si="314"/>
        <v>5</v>
      </c>
      <c r="AR473" s="20">
        <f t="shared" si="301"/>
        <v>120</v>
      </c>
      <c r="AS473" s="20">
        <f t="shared" si="304"/>
        <v>120</v>
      </c>
      <c r="AT473" s="20">
        <f t="shared" si="298"/>
        <v>55</v>
      </c>
      <c r="AU473" s="20"/>
      <c r="AV473" s="20"/>
      <c r="AW473" s="20">
        <f t="shared" si="280"/>
        <v>5276.7500000000009</v>
      </c>
      <c r="AX473" s="86">
        <f t="shared" si="292"/>
        <v>5428.4449999999988</v>
      </c>
      <c r="AY473" s="17">
        <f>'[1]D4 Gallon Forecast'!$AO153/1000000</f>
        <v>0</v>
      </c>
      <c r="AZ473" s="17">
        <f>'[1]D4 Gallon Forecast'!$AO185/1000000</f>
        <v>514.49790456836979</v>
      </c>
      <c r="BA473" s="17">
        <f t="shared" si="295"/>
        <v>514.49790456836979</v>
      </c>
      <c r="BB473" s="17">
        <f>'[1]D4 Gallon Forecast'!$AO169/1000000</f>
        <v>0</v>
      </c>
      <c r="BC473" s="87">
        <f>'[1]D4 Gallon Forecast'!$AO345/1000000</f>
        <v>525.04489908814821</v>
      </c>
      <c r="BD473" s="88">
        <f>'[1]D4 Gallon Forecast'!$AO361/1000000</f>
        <v>0</v>
      </c>
      <c r="BE473" s="88">
        <f t="shared" si="296"/>
        <v>525.04489908814821</v>
      </c>
      <c r="BF473" s="76">
        <f t="shared" si="319"/>
        <v>1039.5428036565181</v>
      </c>
      <c r="BG473" s="22">
        <f t="shared" si="320"/>
        <v>2.3299067740063633</v>
      </c>
      <c r="BI473" s="21">
        <f t="shared" si="281"/>
        <v>4702.9000000000005</v>
      </c>
      <c r="BJ473" s="21">
        <f t="shared" si="312"/>
        <v>725.54499999999825</v>
      </c>
      <c r="BK473" s="21">
        <f>'RD Feedstock Breakdown'!ES464</f>
        <v>19330.099491474244</v>
      </c>
      <c r="BL473" s="89">
        <f t="shared" si="318"/>
        <v>18.594808624985898</v>
      </c>
      <c r="BM473" s="89">
        <f t="shared" si="316"/>
        <v>37.570803145818324</v>
      </c>
    </row>
    <row r="474" spans="1:65" ht="13.5" x14ac:dyDescent="0.25">
      <c r="A474" s="15">
        <v>54575</v>
      </c>
      <c r="B474" s="20">
        <f t="shared" si="317"/>
        <v>690</v>
      </c>
      <c r="C474" s="74">
        <v>47</v>
      </c>
      <c r="D474" s="20">
        <f t="shared" si="308"/>
        <v>3</v>
      </c>
      <c r="E474" s="20">
        <f t="shared" si="275"/>
        <v>85</v>
      </c>
      <c r="F474" s="20">
        <f t="shared" si="294"/>
        <v>340</v>
      </c>
      <c r="G474" s="20">
        <f t="shared" si="307"/>
        <v>37.5</v>
      </c>
      <c r="H474" s="20">
        <f t="shared" si="287"/>
        <v>190</v>
      </c>
      <c r="I474" s="20">
        <f t="shared" ref="I474:I504" si="321">$I$12*$I$5*2</f>
        <v>250</v>
      </c>
      <c r="J474" s="20">
        <f t="shared" si="313"/>
        <v>153.30000000000001</v>
      </c>
      <c r="K474" s="20">
        <f t="shared" si="276"/>
        <v>125</v>
      </c>
      <c r="L474" s="20">
        <v>125</v>
      </c>
      <c r="M474" s="20">
        <v>730</v>
      </c>
      <c r="N474" s="20">
        <f t="shared" si="302"/>
        <v>180</v>
      </c>
      <c r="O474" s="74">
        <v>375</v>
      </c>
      <c r="P474" s="20">
        <f t="shared" si="282"/>
        <v>50</v>
      </c>
      <c r="Q474" s="20">
        <f t="shared" si="283"/>
        <v>21</v>
      </c>
      <c r="R474" s="20">
        <v>100</v>
      </c>
      <c r="S474" s="20">
        <f t="shared" si="288"/>
        <v>60</v>
      </c>
      <c r="T474" s="20">
        <f t="shared" si="277"/>
        <v>36</v>
      </c>
      <c r="U474" s="20"/>
      <c r="V474" s="20">
        <f t="shared" si="300"/>
        <v>0</v>
      </c>
      <c r="W474" s="20">
        <f t="shared" si="284"/>
        <v>20</v>
      </c>
      <c r="X474" s="20">
        <f t="shared" si="315"/>
        <v>0</v>
      </c>
      <c r="Y474" s="20">
        <f t="shared" si="279"/>
        <v>3.5</v>
      </c>
      <c r="Z474" s="20">
        <f t="shared" si="303"/>
        <v>230</v>
      </c>
      <c r="AA474" s="20">
        <f t="shared" si="278"/>
        <v>306</v>
      </c>
      <c r="AB474" s="20">
        <f t="shared" si="290"/>
        <v>60</v>
      </c>
      <c r="AC474" s="20">
        <f t="shared" si="297"/>
        <v>1.6</v>
      </c>
      <c r="AD474" s="20">
        <f t="shared" si="286"/>
        <v>180</v>
      </c>
      <c r="AE474" s="20">
        <f t="shared" si="289"/>
        <v>1.1000000000000001</v>
      </c>
      <c r="AF474" s="20">
        <f t="shared" si="293"/>
        <v>275</v>
      </c>
      <c r="AG474" s="20">
        <f t="shared" si="299"/>
        <v>18</v>
      </c>
      <c r="AH474" s="20">
        <f t="shared" si="291"/>
        <v>3</v>
      </c>
      <c r="AI474" s="20">
        <f t="shared" si="285"/>
        <v>47</v>
      </c>
      <c r="AJ474" s="20">
        <f t="shared" si="305"/>
        <v>90</v>
      </c>
      <c r="AK474" s="20">
        <f t="shared" si="310"/>
        <v>14</v>
      </c>
      <c r="AL474" s="20">
        <f t="shared" si="306"/>
        <v>45</v>
      </c>
      <c r="AM474" s="20">
        <v>46</v>
      </c>
      <c r="AN474" s="20">
        <f t="shared" si="311"/>
        <v>0.75</v>
      </c>
      <c r="AO474" s="20">
        <f t="shared" si="309"/>
        <v>19</v>
      </c>
      <c r="AP474" s="20">
        <f t="shared" si="309"/>
        <v>19</v>
      </c>
      <c r="AQ474" s="20">
        <f t="shared" si="314"/>
        <v>5</v>
      </c>
      <c r="AR474" s="20">
        <f t="shared" si="301"/>
        <v>120</v>
      </c>
      <c r="AS474" s="20">
        <f t="shared" si="304"/>
        <v>120</v>
      </c>
      <c r="AT474" s="20">
        <f t="shared" si="298"/>
        <v>55</v>
      </c>
      <c r="AU474" s="20"/>
      <c r="AV474" s="20"/>
      <c r="AW474" s="20">
        <f t="shared" si="280"/>
        <v>5276.7500000000009</v>
      </c>
      <c r="AX474" s="86">
        <f t="shared" si="292"/>
        <v>5428.4449999999988</v>
      </c>
      <c r="AY474" s="17">
        <f>'[1]D4 Gallon Forecast'!$AO154/1000000</f>
        <v>0</v>
      </c>
      <c r="AZ474" s="17">
        <f>'[1]D4 Gallon Forecast'!$AO186/1000000</f>
        <v>510.30134381947187</v>
      </c>
      <c r="BA474" s="17">
        <f t="shared" si="295"/>
        <v>510.30134381947187</v>
      </c>
      <c r="BB474" s="17">
        <f>'[1]D4 Gallon Forecast'!$AO170/1000000</f>
        <v>0</v>
      </c>
      <c r="BC474" s="87">
        <f>'[1]D4 Gallon Forecast'!$AO346/1000000</f>
        <v>500.85717806973378</v>
      </c>
      <c r="BD474" s="88">
        <f>'[1]D4 Gallon Forecast'!$AO362/1000000</f>
        <v>0</v>
      </c>
      <c r="BE474" s="88">
        <f t="shared" si="296"/>
        <v>500.85717806973378</v>
      </c>
      <c r="BF474" s="76">
        <f t="shared" si="319"/>
        <v>1011.1585218892056</v>
      </c>
      <c r="BG474" s="22">
        <f t="shared" si="320"/>
        <v>2.1931835258208419</v>
      </c>
      <c r="BI474" s="21">
        <f t="shared" si="281"/>
        <v>4702.9000000000005</v>
      </c>
      <c r="BJ474" s="21">
        <f t="shared" si="312"/>
        <v>725.54499999999825</v>
      </c>
      <c r="BK474" s="21">
        <f>'RD Feedstock Breakdown'!ES465</f>
        <v>17698.945435046662</v>
      </c>
      <c r="BL474" s="89">
        <f t="shared" si="318"/>
        <v>17.503630787760859</v>
      </c>
      <c r="BM474" s="89">
        <f t="shared" si="316"/>
        <v>34.683321236379065</v>
      </c>
    </row>
    <row r="475" spans="1:65" ht="13.5" x14ac:dyDescent="0.25">
      <c r="A475" s="15">
        <v>54605</v>
      </c>
      <c r="B475" s="20">
        <f t="shared" si="317"/>
        <v>690</v>
      </c>
      <c r="C475" s="74">
        <v>47</v>
      </c>
      <c r="D475" s="20">
        <f t="shared" si="308"/>
        <v>3</v>
      </c>
      <c r="E475" s="20">
        <f t="shared" ref="E475:E504" si="322">$E$5*$E$12</f>
        <v>85</v>
      </c>
      <c r="F475" s="20">
        <f t="shared" si="294"/>
        <v>340</v>
      </c>
      <c r="G475" s="20">
        <f t="shared" si="307"/>
        <v>37.5</v>
      </c>
      <c r="H475" s="20">
        <f t="shared" si="287"/>
        <v>190</v>
      </c>
      <c r="I475" s="20">
        <f t="shared" si="321"/>
        <v>250</v>
      </c>
      <c r="J475" s="20">
        <f t="shared" si="313"/>
        <v>153.30000000000001</v>
      </c>
      <c r="K475" s="20">
        <f t="shared" si="276"/>
        <v>125</v>
      </c>
      <c r="L475" s="20">
        <v>125</v>
      </c>
      <c r="M475" s="20">
        <v>730</v>
      </c>
      <c r="N475" s="20">
        <f t="shared" si="302"/>
        <v>180</v>
      </c>
      <c r="O475" s="74">
        <v>375</v>
      </c>
      <c r="P475" s="20">
        <f t="shared" si="282"/>
        <v>50</v>
      </c>
      <c r="Q475" s="20">
        <f t="shared" si="283"/>
        <v>21</v>
      </c>
      <c r="R475" s="20">
        <v>100</v>
      </c>
      <c r="S475" s="20">
        <f t="shared" si="288"/>
        <v>60</v>
      </c>
      <c r="T475" s="20">
        <f t="shared" si="277"/>
        <v>36</v>
      </c>
      <c r="U475" s="20"/>
      <c r="V475" s="20">
        <f t="shared" si="300"/>
        <v>0</v>
      </c>
      <c r="W475" s="20">
        <f t="shared" si="284"/>
        <v>20</v>
      </c>
      <c r="X475" s="20">
        <f t="shared" si="315"/>
        <v>0</v>
      </c>
      <c r="Y475" s="20">
        <f t="shared" si="279"/>
        <v>3.5</v>
      </c>
      <c r="Z475" s="20">
        <f t="shared" si="303"/>
        <v>230</v>
      </c>
      <c r="AA475" s="20">
        <f t="shared" si="278"/>
        <v>306</v>
      </c>
      <c r="AB475" s="20">
        <f t="shared" si="290"/>
        <v>60</v>
      </c>
      <c r="AC475" s="20">
        <f t="shared" si="297"/>
        <v>1.6</v>
      </c>
      <c r="AD475" s="20">
        <f t="shared" si="286"/>
        <v>180</v>
      </c>
      <c r="AE475" s="20">
        <f t="shared" si="289"/>
        <v>1.1000000000000001</v>
      </c>
      <c r="AF475" s="20">
        <f t="shared" si="293"/>
        <v>275</v>
      </c>
      <c r="AG475" s="20">
        <f t="shared" si="299"/>
        <v>18</v>
      </c>
      <c r="AH475" s="20">
        <f t="shared" si="291"/>
        <v>3</v>
      </c>
      <c r="AI475" s="20">
        <f t="shared" si="285"/>
        <v>47</v>
      </c>
      <c r="AJ475" s="20">
        <f t="shared" si="305"/>
        <v>90</v>
      </c>
      <c r="AK475" s="20">
        <f t="shared" si="310"/>
        <v>14</v>
      </c>
      <c r="AL475" s="20">
        <f t="shared" si="306"/>
        <v>45</v>
      </c>
      <c r="AM475" s="20">
        <v>46</v>
      </c>
      <c r="AN475" s="20">
        <f t="shared" si="311"/>
        <v>0.75</v>
      </c>
      <c r="AO475" s="20">
        <f t="shared" si="309"/>
        <v>19</v>
      </c>
      <c r="AP475" s="20">
        <f t="shared" si="309"/>
        <v>19</v>
      </c>
      <c r="AQ475" s="20">
        <f t="shared" si="314"/>
        <v>5</v>
      </c>
      <c r="AR475" s="20">
        <f t="shared" si="301"/>
        <v>120</v>
      </c>
      <c r="AS475" s="20">
        <f t="shared" si="304"/>
        <v>120</v>
      </c>
      <c r="AT475" s="20">
        <f t="shared" si="298"/>
        <v>55</v>
      </c>
      <c r="AU475" s="20"/>
      <c r="AV475" s="20"/>
      <c r="AW475" s="20">
        <f t="shared" si="280"/>
        <v>5276.7500000000009</v>
      </c>
      <c r="AX475" s="86">
        <f t="shared" si="292"/>
        <v>5428.4449999999988</v>
      </c>
      <c r="AY475" s="17">
        <f>'[1]D4 Gallon Forecast'!$AO155/1000000</f>
        <v>0</v>
      </c>
      <c r="AZ475" s="17">
        <f>'[1]D4 Gallon Forecast'!$AO187/1000000</f>
        <v>499.81299774749067</v>
      </c>
      <c r="BA475" s="17">
        <f t="shared" si="295"/>
        <v>499.81299774749067</v>
      </c>
      <c r="BB475" s="17">
        <f>'[1]D4 Gallon Forecast'!$AO171/1000000</f>
        <v>0</v>
      </c>
      <c r="BC475" s="87">
        <f>'[1]D4 Gallon Forecast'!$AO347/1000000</f>
        <v>544.8236540488781</v>
      </c>
      <c r="BD475" s="88">
        <f>'[1]D4 Gallon Forecast'!$AO363/1000000</f>
        <v>0</v>
      </c>
      <c r="BE475" s="88">
        <f t="shared" si="296"/>
        <v>544.8236540488781</v>
      </c>
      <c r="BF475" s="76">
        <f t="shared" si="319"/>
        <v>1044.6366517963688</v>
      </c>
      <c r="BG475" s="22">
        <f t="shared" si="320"/>
        <v>2.3413235153325047</v>
      </c>
      <c r="BI475" s="21">
        <f t="shared" si="281"/>
        <v>4702.9000000000005</v>
      </c>
      <c r="BJ475" s="21">
        <f t="shared" si="312"/>
        <v>725.54499999999825</v>
      </c>
      <c r="BK475" s="21">
        <f>'RD Feedstock Breakdown'!ES466</f>
        <v>19520.00188592311</v>
      </c>
      <c r="BL475" s="89">
        <f t="shared" si="318"/>
        <v>18.68592476853679</v>
      </c>
      <c r="BM475" s="89">
        <f t="shared" si="316"/>
        <v>39.054610372067124</v>
      </c>
    </row>
    <row r="476" spans="1:65" ht="13.5" x14ac:dyDescent="0.25">
      <c r="A476" s="15">
        <v>54636</v>
      </c>
      <c r="B476" s="20">
        <f t="shared" si="317"/>
        <v>690</v>
      </c>
      <c r="C476" s="74">
        <v>47</v>
      </c>
      <c r="D476" s="20">
        <f t="shared" si="308"/>
        <v>3</v>
      </c>
      <c r="E476" s="20">
        <f t="shared" si="322"/>
        <v>85</v>
      </c>
      <c r="F476" s="20">
        <f t="shared" si="294"/>
        <v>340</v>
      </c>
      <c r="G476" s="20">
        <f t="shared" si="307"/>
        <v>37.5</v>
      </c>
      <c r="H476" s="20">
        <f t="shared" si="287"/>
        <v>190</v>
      </c>
      <c r="I476" s="20">
        <f t="shared" si="321"/>
        <v>250</v>
      </c>
      <c r="J476" s="20">
        <f t="shared" si="313"/>
        <v>153.30000000000001</v>
      </c>
      <c r="K476" s="20">
        <f t="shared" si="276"/>
        <v>125</v>
      </c>
      <c r="L476" s="20">
        <v>125</v>
      </c>
      <c r="M476" s="20">
        <v>730</v>
      </c>
      <c r="N476" s="20">
        <f t="shared" si="302"/>
        <v>180</v>
      </c>
      <c r="O476" s="74">
        <v>375</v>
      </c>
      <c r="P476" s="20">
        <f t="shared" si="282"/>
        <v>50</v>
      </c>
      <c r="Q476" s="20">
        <f t="shared" si="283"/>
        <v>21</v>
      </c>
      <c r="R476" s="20">
        <v>100</v>
      </c>
      <c r="S476" s="20">
        <f t="shared" si="288"/>
        <v>60</v>
      </c>
      <c r="T476" s="20">
        <f t="shared" si="277"/>
        <v>36</v>
      </c>
      <c r="U476" s="20"/>
      <c r="V476" s="20">
        <f t="shared" si="300"/>
        <v>0</v>
      </c>
      <c r="W476" s="20">
        <f t="shared" si="284"/>
        <v>20</v>
      </c>
      <c r="X476" s="20">
        <f t="shared" si="315"/>
        <v>0</v>
      </c>
      <c r="Y476" s="20">
        <f t="shared" si="279"/>
        <v>3.5</v>
      </c>
      <c r="Z476" s="20">
        <f t="shared" si="303"/>
        <v>230</v>
      </c>
      <c r="AA476" s="20">
        <f t="shared" si="278"/>
        <v>306</v>
      </c>
      <c r="AB476" s="20">
        <f t="shared" si="290"/>
        <v>60</v>
      </c>
      <c r="AC476" s="20">
        <f t="shared" si="297"/>
        <v>1.6</v>
      </c>
      <c r="AD476" s="20">
        <f t="shared" si="286"/>
        <v>180</v>
      </c>
      <c r="AE476" s="20">
        <f t="shared" si="289"/>
        <v>1.1000000000000001</v>
      </c>
      <c r="AF476" s="20">
        <f t="shared" si="293"/>
        <v>275</v>
      </c>
      <c r="AG476" s="20">
        <f t="shared" si="299"/>
        <v>18</v>
      </c>
      <c r="AH476" s="20">
        <f t="shared" si="291"/>
        <v>3</v>
      </c>
      <c r="AI476" s="20">
        <f t="shared" si="285"/>
        <v>47</v>
      </c>
      <c r="AJ476" s="20">
        <f t="shared" si="305"/>
        <v>90</v>
      </c>
      <c r="AK476" s="20">
        <f t="shared" si="310"/>
        <v>14</v>
      </c>
      <c r="AL476" s="20">
        <f t="shared" si="306"/>
        <v>45</v>
      </c>
      <c r="AM476" s="20">
        <v>46</v>
      </c>
      <c r="AN476" s="20">
        <f t="shared" si="311"/>
        <v>0.75</v>
      </c>
      <c r="AO476" s="20">
        <f t="shared" si="309"/>
        <v>19</v>
      </c>
      <c r="AP476" s="20">
        <f t="shared" si="309"/>
        <v>19</v>
      </c>
      <c r="AQ476" s="20">
        <f t="shared" si="314"/>
        <v>5</v>
      </c>
      <c r="AR476" s="20">
        <f t="shared" si="301"/>
        <v>120</v>
      </c>
      <c r="AS476" s="20">
        <f t="shared" si="304"/>
        <v>120</v>
      </c>
      <c r="AT476" s="20">
        <f t="shared" si="298"/>
        <v>55</v>
      </c>
      <c r="AU476" s="20"/>
      <c r="AV476" s="20"/>
      <c r="AW476" s="20">
        <f t="shared" si="280"/>
        <v>5276.7500000000009</v>
      </c>
      <c r="AX476" s="86">
        <f t="shared" si="292"/>
        <v>5428.4449999999988</v>
      </c>
      <c r="AY476" s="17">
        <f>'[1]D4 Gallon Forecast'!$AO156/1000000</f>
        <v>0</v>
      </c>
      <c r="AZ476" s="17">
        <f>'[1]D4 Gallon Forecast'!$AO188/1000000</f>
        <v>506.96558871871008</v>
      </c>
      <c r="BA476" s="17">
        <f t="shared" si="295"/>
        <v>506.96558871871008</v>
      </c>
      <c r="BB476" s="17">
        <f>'[1]D4 Gallon Forecast'!$AO172/1000000</f>
        <v>0</v>
      </c>
      <c r="BC476" s="87">
        <f>'[1]D4 Gallon Forecast'!$AO348/1000000</f>
        <v>593.22229230504502</v>
      </c>
      <c r="BD476" s="88">
        <f>'[1]D4 Gallon Forecast'!$AO364/1000000</f>
        <v>0</v>
      </c>
      <c r="BE476" s="88">
        <f t="shared" si="296"/>
        <v>593.22229230504502</v>
      </c>
      <c r="BF476" s="76">
        <f t="shared" si="319"/>
        <v>1100.1878810237552</v>
      </c>
      <c r="BG476" s="22">
        <f t="shared" si="320"/>
        <v>2.3862865057605944</v>
      </c>
      <c r="BI476" s="21">
        <f t="shared" si="281"/>
        <v>4702.9000000000005</v>
      </c>
      <c r="BJ476" s="21">
        <f t="shared" si="312"/>
        <v>725.54499999999825</v>
      </c>
      <c r="BK476" s="21">
        <f>'RD Feedstock Breakdown'!ES467</f>
        <v>20952.826221184423</v>
      </c>
      <c r="BL476" s="89">
        <f t="shared" si="318"/>
        <v>19.044770972833515</v>
      </c>
      <c r="BM476" s="89">
        <f t="shared" si="316"/>
        <v>41.329878570535683</v>
      </c>
    </row>
    <row r="477" spans="1:65" ht="13.5" x14ac:dyDescent="0.25">
      <c r="A477" s="15">
        <v>54667</v>
      </c>
      <c r="B477" s="20">
        <f t="shared" si="317"/>
        <v>690</v>
      </c>
      <c r="C477" s="74">
        <v>47</v>
      </c>
      <c r="D477" s="20">
        <f t="shared" si="308"/>
        <v>3</v>
      </c>
      <c r="E477" s="20">
        <f t="shared" si="322"/>
        <v>85</v>
      </c>
      <c r="F477" s="20">
        <f t="shared" si="294"/>
        <v>340</v>
      </c>
      <c r="G477" s="20">
        <f t="shared" si="307"/>
        <v>37.5</v>
      </c>
      <c r="H477" s="20">
        <f t="shared" si="287"/>
        <v>190</v>
      </c>
      <c r="I477" s="20">
        <f t="shared" si="321"/>
        <v>250</v>
      </c>
      <c r="J477" s="20">
        <f t="shared" si="313"/>
        <v>153.30000000000001</v>
      </c>
      <c r="K477" s="20">
        <f t="shared" ref="K477:K504" si="323">125*$K$12</f>
        <v>125</v>
      </c>
      <c r="L477" s="20">
        <v>125</v>
      </c>
      <c r="M477" s="20">
        <v>730</v>
      </c>
      <c r="N477" s="20">
        <f t="shared" si="302"/>
        <v>180</v>
      </c>
      <c r="O477" s="74">
        <v>375</v>
      </c>
      <c r="P477" s="20">
        <f t="shared" si="282"/>
        <v>50</v>
      </c>
      <c r="Q477" s="20">
        <f t="shared" si="283"/>
        <v>21</v>
      </c>
      <c r="R477" s="20">
        <v>100</v>
      </c>
      <c r="S477" s="20">
        <f t="shared" si="288"/>
        <v>60</v>
      </c>
      <c r="T477" s="20">
        <f t="shared" si="277"/>
        <v>36</v>
      </c>
      <c r="U477" s="20"/>
      <c r="V477" s="20">
        <f t="shared" si="300"/>
        <v>0</v>
      </c>
      <c r="W477" s="20">
        <f t="shared" si="284"/>
        <v>20</v>
      </c>
      <c r="X477" s="20">
        <f t="shared" si="315"/>
        <v>0</v>
      </c>
      <c r="Y477" s="20">
        <f t="shared" si="279"/>
        <v>3.5</v>
      </c>
      <c r="Z477" s="20">
        <f t="shared" si="303"/>
        <v>230</v>
      </c>
      <c r="AA477" s="20">
        <f t="shared" si="278"/>
        <v>306</v>
      </c>
      <c r="AB477" s="20">
        <f t="shared" si="290"/>
        <v>60</v>
      </c>
      <c r="AC477" s="20">
        <f t="shared" si="297"/>
        <v>1.6</v>
      </c>
      <c r="AD477" s="20">
        <f t="shared" si="286"/>
        <v>180</v>
      </c>
      <c r="AE477" s="20">
        <f t="shared" si="289"/>
        <v>1.1000000000000001</v>
      </c>
      <c r="AF477" s="20">
        <f t="shared" si="293"/>
        <v>275</v>
      </c>
      <c r="AG477" s="20">
        <f t="shared" si="299"/>
        <v>18</v>
      </c>
      <c r="AH477" s="20">
        <f t="shared" si="291"/>
        <v>3</v>
      </c>
      <c r="AI477" s="20">
        <f t="shared" si="285"/>
        <v>47</v>
      </c>
      <c r="AJ477" s="20">
        <f t="shared" si="305"/>
        <v>90</v>
      </c>
      <c r="AK477" s="20">
        <f t="shared" si="310"/>
        <v>14</v>
      </c>
      <c r="AL477" s="20">
        <f t="shared" si="306"/>
        <v>45</v>
      </c>
      <c r="AM477" s="20">
        <v>46</v>
      </c>
      <c r="AN477" s="20">
        <f t="shared" si="311"/>
        <v>0.75</v>
      </c>
      <c r="AO477" s="20">
        <f t="shared" si="309"/>
        <v>19</v>
      </c>
      <c r="AP477" s="20">
        <f t="shared" si="309"/>
        <v>19</v>
      </c>
      <c r="AQ477" s="20">
        <f t="shared" si="314"/>
        <v>5</v>
      </c>
      <c r="AR477" s="20">
        <f t="shared" si="301"/>
        <v>120</v>
      </c>
      <c r="AS477" s="20">
        <f t="shared" si="304"/>
        <v>120</v>
      </c>
      <c r="AT477" s="20">
        <f t="shared" si="298"/>
        <v>55</v>
      </c>
      <c r="AU477" s="20"/>
      <c r="AV477" s="20"/>
      <c r="AW477" s="20">
        <f t="shared" si="280"/>
        <v>5276.7500000000009</v>
      </c>
      <c r="AX477" s="86">
        <f t="shared" si="292"/>
        <v>5428.4449999999988</v>
      </c>
      <c r="AY477" s="17">
        <f>'[1]D4 Gallon Forecast'!$AO157/1000000</f>
        <v>0</v>
      </c>
      <c r="AZ477" s="17">
        <f>'[1]D4 Gallon Forecast'!$AO189/1000000</f>
        <v>516.20543543808094</v>
      </c>
      <c r="BA477" s="17">
        <f t="shared" si="295"/>
        <v>516.20543543808094</v>
      </c>
      <c r="BB477" s="17">
        <f>'[1]D4 Gallon Forecast'!$AO173/1000000</f>
        <v>0</v>
      </c>
      <c r="BC477" s="87">
        <f>'[1]D4 Gallon Forecast'!$AO349/1000000</f>
        <v>721.50195368708557</v>
      </c>
      <c r="BD477" s="88">
        <f>'[1]D4 Gallon Forecast'!$AO365/1000000</f>
        <v>0</v>
      </c>
      <c r="BE477" s="88">
        <f t="shared" si="296"/>
        <v>721.50195368708557</v>
      </c>
      <c r="BF477" s="76">
        <f t="shared" si="319"/>
        <v>1237.7073891251666</v>
      </c>
      <c r="BG477" s="22">
        <f t="shared" si="320"/>
        <v>2.6845636928860066</v>
      </c>
      <c r="BI477" s="21">
        <f t="shared" si="281"/>
        <v>4702.9000000000005</v>
      </c>
      <c r="BJ477" s="21">
        <f t="shared" si="312"/>
        <v>725.54499999999825</v>
      </c>
      <c r="BK477" s="21">
        <f>'RD Feedstock Breakdown'!ES468</f>
        <v>26518.250267950447</v>
      </c>
      <c r="BL477" s="89">
        <f t="shared" si="318"/>
        <v>21.425298500232767</v>
      </c>
      <c r="BM477" s="89">
        <f t="shared" si="316"/>
        <v>51.371505310566072</v>
      </c>
    </row>
    <row r="478" spans="1:65" ht="13.5" x14ac:dyDescent="0.25">
      <c r="A478" s="15">
        <v>54697</v>
      </c>
      <c r="B478" s="20">
        <f t="shared" si="317"/>
        <v>690</v>
      </c>
      <c r="C478" s="74">
        <v>47</v>
      </c>
      <c r="D478" s="20">
        <f t="shared" si="308"/>
        <v>3</v>
      </c>
      <c r="E478" s="20">
        <f t="shared" si="322"/>
        <v>85</v>
      </c>
      <c r="F478" s="20">
        <f t="shared" si="294"/>
        <v>340</v>
      </c>
      <c r="G478" s="20">
        <f t="shared" si="307"/>
        <v>37.5</v>
      </c>
      <c r="H478" s="20">
        <f t="shared" si="287"/>
        <v>190</v>
      </c>
      <c r="I478" s="20">
        <f t="shared" si="321"/>
        <v>250</v>
      </c>
      <c r="J478" s="20">
        <f t="shared" si="313"/>
        <v>153.30000000000001</v>
      </c>
      <c r="K478" s="20">
        <f t="shared" si="323"/>
        <v>125</v>
      </c>
      <c r="L478" s="20">
        <v>125</v>
      </c>
      <c r="M478" s="20">
        <v>730</v>
      </c>
      <c r="N478" s="20">
        <f t="shared" si="302"/>
        <v>180</v>
      </c>
      <c r="O478" s="74">
        <v>375</v>
      </c>
      <c r="P478" s="20">
        <f t="shared" si="282"/>
        <v>50</v>
      </c>
      <c r="Q478" s="20">
        <f t="shared" si="283"/>
        <v>21</v>
      </c>
      <c r="R478" s="20">
        <v>100</v>
      </c>
      <c r="S478" s="20">
        <f t="shared" si="288"/>
        <v>60</v>
      </c>
      <c r="T478" s="20">
        <f t="shared" si="277"/>
        <v>36</v>
      </c>
      <c r="U478" s="20"/>
      <c r="V478" s="20">
        <f t="shared" si="300"/>
        <v>0</v>
      </c>
      <c r="W478" s="20">
        <f t="shared" si="284"/>
        <v>20</v>
      </c>
      <c r="X478" s="20">
        <f t="shared" si="315"/>
        <v>0</v>
      </c>
      <c r="Y478" s="20">
        <f t="shared" si="279"/>
        <v>3.5</v>
      </c>
      <c r="Z478" s="20">
        <f t="shared" si="303"/>
        <v>230</v>
      </c>
      <c r="AA478" s="20">
        <f t="shared" si="278"/>
        <v>306</v>
      </c>
      <c r="AB478" s="20">
        <f t="shared" si="290"/>
        <v>60</v>
      </c>
      <c r="AC478" s="20">
        <f t="shared" si="297"/>
        <v>1.6</v>
      </c>
      <c r="AD478" s="20">
        <f t="shared" si="286"/>
        <v>180</v>
      </c>
      <c r="AE478" s="20">
        <f t="shared" si="289"/>
        <v>1.1000000000000001</v>
      </c>
      <c r="AF478" s="20">
        <f t="shared" si="293"/>
        <v>275</v>
      </c>
      <c r="AG478" s="20">
        <f t="shared" si="299"/>
        <v>18</v>
      </c>
      <c r="AH478" s="20">
        <f t="shared" si="291"/>
        <v>3</v>
      </c>
      <c r="AI478" s="20">
        <f t="shared" si="285"/>
        <v>47</v>
      </c>
      <c r="AJ478" s="20">
        <f t="shared" si="305"/>
        <v>90</v>
      </c>
      <c r="AK478" s="20">
        <f t="shared" si="310"/>
        <v>14</v>
      </c>
      <c r="AL478" s="20">
        <f t="shared" si="306"/>
        <v>45</v>
      </c>
      <c r="AM478" s="20">
        <v>46</v>
      </c>
      <c r="AN478" s="20">
        <f t="shared" si="311"/>
        <v>0.75</v>
      </c>
      <c r="AO478" s="20">
        <f t="shared" si="309"/>
        <v>19</v>
      </c>
      <c r="AP478" s="20">
        <f t="shared" si="309"/>
        <v>19</v>
      </c>
      <c r="AQ478" s="20">
        <f t="shared" si="314"/>
        <v>5</v>
      </c>
      <c r="AR478" s="20">
        <f t="shared" si="301"/>
        <v>120</v>
      </c>
      <c r="AS478" s="20">
        <f t="shared" si="304"/>
        <v>120</v>
      </c>
      <c r="AT478" s="20">
        <f t="shared" si="298"/>
        <v>55</v>
      </c>
      <c r="AU478" s="20"/>
      <c r="AV478" s="20"/>
      <c r="AW478" s="20">
        <f t="shared" si="280"/>
        <v>5276.7500000000009</v>
      </c>
      <c r="AX478" s="86">
        <f t="shared" si="292"/>
        <v>5428.4449999999988</v>
      </c>
      <c r="AY478" s="17">
        <f>'[1]D4 Gallon Forecast'!$AO158/1000000</f>
        <v>0</v>
      </c>
      <c r="AZ478" s="17">
        <f>'[1]D4 Gallon Forecast'!$AO190/1000000</f>
        <v>567.24135633542073</v>
      </c>
      <c r="BA478" s="17">
        <f t="shared" si="295"/>
        <v>567.24135633542073</v>
      </c>
      <c r="BB478" s="17">
        <f>'[1]D4 Gallon Forecast'!$AO174/1000000</f>
        <v>0</v>
      </c>
      <c r="BC478" s="87">
        <f>'[1]D4 Gallon Forecast'!$AO350/1000000</f>
        <v>704.47807010873134</v>
      </c>
      <c r="BD478" s="88">
        <f>'[1]D4 Gallon Forecast'!$AO366/1000000</f>
        <v>0</v>
      </c>
      <c r="BE478" s="88">
        <f t="shared" si="296"/>
        <v>704.47807010873134</v>
      </c>
      <c r="BF478" s="76">
        <f t="shared" si="319"/>
        <v>1271.7194264441521</v>
      </c>
      <c r="BG478" s="22">
        <f t="shared" si="320"/>
        <v>2.8502796574471181</v>
      </c>
      <c r="BI478" s="21">
        <f t="shared" si="281"/>
        <v>4702.9000000000005</v>
      </c>
      <c r="BJ478" s="21">
        <f t="shared" si="312"/>
        <v>725.54499999999825</v>
      </c>
      <c r="BK478" s="21">
        <f>'RD Feedstock Breakdown'!ES469</f>
        <v>28928.901830758503</v>
      </c>
      <c r="BL478" s="89">
        <f t="shared" si="318"/>
        <v>22.747865000101832</v>
      </c>
      <c r="BM478" s="89">
        <f t="shared" si="316"/>
        <v>50.999281888840784</v>
      </c>
    </row>
    <row r="479" spans="1:65" ht="13.5" x14ac:dyDescent="0.25">
      <c r="A479" s="15">
        <v>54728</v>
      </c>
      <c r="B479" s="20">
        <f t="shared" si="317"/>
        <v>690</v>
      </c>
      <c r="C479" s="74">
        <v>47</v>
      </c>
      <c r="D479" s="20">
        <f t="shared" si="308"/>
        <v>3</v>
      </c>
      <c r="E479" s="20">
        <f t="shared" si="322"/>
        <v>85</v>
      </c>
      <c r="F479" s="20">
        <f t="shared" si="294"/>
        <v>340</v>
      </c>
      <c r="G479" s="20">
        <f t="shared" si="307"/>
        <v>37.5</v>
      </c>
      <c r="H479" s="20">
        <f t="shared" si="287"/>
        <v>190</v>
      </c>
      <c r="I479" s="20">
        <f t="shared" si="321"/>
        <v>250</v>
      </c>
      <c r="J479" s="20">
        <f t="shared" si="313"/>
        <v>153.30000000000001</v>
      </c>
      <c r="K479" s="20">
        <f t="shared" si="323"/>
        <v>125</v>
      </c>
      <c r="L479" s="20">
        <v>125</v>
      </c>
      <c r="M479" s="20">
        <v>730</v>
      </c>
      <c r="N479" s="20">
        <f t="shared" si="302"/>
        <v>180</v>
      </c>
      <c r="O479" s="74">
        <v>375</v>
      </c>
      <c r="P479" s="20">
        <f t="shared" si="282"/>
        <v>50</v>
      </c>
      <c r="Q479" s="20">
        <f t="shared" si="283"/>
        <v>21</v>
      </c>
      <c r="R479" s="20">
        <v>100</v>
      </c>
      <c r="S479" s="20">
        <f t="shared" si="288"/>
        <v>60</v>
      </c>
      <c r="T479" s="20">
        <f t="shared" si="277"/>
        <v>36</v>
      </c>
      <c r="U479" s="20"/>
      <c r="V479" s="20">
        <f t="shared" si="300"/>
        <v>0</v>
      </c>
      <c r="W479" s="20">
        <f t="shared" si="284"/>
        <v>20</v>
      </c>
      <c r="X479" s="20">
        <f t="shared" si="315"/>
        <v>0</v>
      </c>
      <c r="Y479" s="20">
        <f t="shared" si="279"/>
        <v>3.5</v>
      </c>
      <c r="Z479" s="20">
        <f t="shared" si="303"/>
        <v>230</v>
      </c>
      <c r="AA479" s="20">
        <f t="shared" si="278"/>
        <v>306</v>
      </c>
      <c r="AB479" s="20">
        <f t="shared" si="290"/>
        <v>60</v>
      </c>
      <c r="AC479" s="20">
        <f t="shared" si="297"/>
        <v>1.6</v>
      </c>
      <c r="AD479" s="20">
        <f t="shared" si="286"/>
        <v>180</v>
      </c>
      <c r="AE479" s="20">
        <f t="shared" si="289"/>
        <v>1.1000000000000001</v>
      </c>
      <c r="AF479" s="20">
        <f t="shared" si="293"/>
        <v>275</v>
      </c>
      <c r="AG479" s="20">
        <f t="shared" si="299"/>
        <v>18</v>
      </c>
      <c r="AH479" s="20">
        <f t="shared" si="291"/>
        <v>3</v>
      </c>
      <c r="AI479" s="20">
        <f t="shared" si="285"/>
        <v>47</v>
      </c>
      <c r="AJ479" s="20">
        <f t="shared" si="305"/>
        <v>90</v>
      </c>
      <c r="AK479" s="20">
        <f t="shared" si="310"/>
        <v>14</v>
      </c>
      <c r="AL479" s="20">
        <f t="shared" si="306"/>
        <v>45</v>
      </c>
      <c r="AM479" s="20">
        <v>46</v>
      </c>
      <c r="AN479" s="20">
        <f t="shared" si="311"/>
        <v>0.75</v>
      </c>
      <c r="AO479" s="20">
        <f t="shared" si="309"/>
        <v>19</v>
      </c>
      <c r="AP479" s="20">
        <f t="shared" si="309"/>
        <v>19</v>
      </c>
      <c r="AQ479" s="20">
        <f t="shared" si="314"/>
        <v>5</v>
      </c>
      <c r="AR479" s="20">
        <f t="shared" si="301"/>
        <v>120</v>
      </c>
      <c r="AS479" s="20">
        <f t="shared" si="304"/>
        <v>120</v>
      </c>
      <c r="AT479" s="20">
        <f t="shared" si="298"/>
        <v>55</v>
      </c>
      <c r="AU479" s="20"/>
      <c r="AV479" s="20"/>
      <c r="AW479" s="20">
        <f t="shared" si="280"/>
        <v>5276.7500000000009</v>
      </c>
      <c r="AX479" s="86">
        <f t="shared" si="292"/>
        <v>5428.4449999999988</v>
      </c>
      <c r="AY479" s="17">
        <f>'[1]D4 Gallon Forecast'!$AO159/1000000</f>
        <v>0</v>
      </c>
      <c r="AZ479" s="17">
        <f>'[1]D4 Gallon Forecast'!$AO191/1000000</f>
        <v>689.18568631872324</v>
      </c>
      <c r="BA479" s="17">
        <f t="shared" si="295"/>
        <v>689.18568631872324</v>
      </c>
      <c r="BB479" s="17">
        <f>'[1]D4 Gallon Forecast'!$AO175/1000000</f>
        <v>0</v>
      </c>
      <c r="BC479" s="87">
        <f>'[1]D4 Gallon Forecast'!$AO351/1000000</f>
        <v>609.58757500664842</v>
      </c>
      <c r="BD479" s="88">
        <f>'[1]D4 Gallon Forecast'!$AO367/1000000</f>
        <v>0</v>
      </c>
      <c r="BE479" s="88">
        <f t="shared" si="296"/>
        <v>609.58757500664842</v>
      </c>
      <c r="BF479" s="76">
        <f t="shared" si="319"/>
        <v>1298.7732613253715</v>
      </c>
      <c r="BG479" s="22">
        <f t="shared" si="320"/>
        <v>2.8170144036302958</v>
      </c>
      <c r="BI479" s="21">
        <f t="shared" si="281"/>
        <v>4702.9000000000005</v>
      </c>
      <c r="BJ479" s="21">
        <f t="shared" si="312"/>
        <v>725.54499999999825</v>
      </c>
      <c r="BK479" s="21">
        <f>'RD Feedstock Breakdown'!ES470</f>
        <v>29199.510801713062</v>
      </c>
      <c r="BL479" s="89">
        <f t="shared" si="318"/>
        <v>22.482377541338938</v>
      </c>
      <c r="BM479" s="89">
        <f t="shared" si="316"/>
        <v>42.368132973976699</v>
      </c>
    </row>
    <row r="480" spans="1:65" ht="13.5" x14ac:dyDescent="0.25">
      <c r="A480" s="15">
        <v>54758</v>
      </c>
      <c r="B480" s="20">
        <f t="shared" si="317"/>
        <v>690</v>
      </c>
      <c r="C480" s="74">
        <v>47</v>
      </c>
      <c r="D480" s="20">
        <f t="shared" si="308"/>
        <v>3</v>
      </c>
      <c r="E480" s="20">
        <f t="shared" si="322"/>
        <v>85</v>
      </c>
      <c r="F480" s="20">
        <f t="shared" si="294"/>
        <v>340</v>
      </c>
      <c r="G480" s="20">
        <f t="shared" si="307"/>
        <v>37.5</v>
      </c>
      <c r="H480" s="20">
        <f t="shared" si="287"/>
        <v>190</v>
      </c>
      <c r="I480" s="20">
        <f t="shared" si="321"/>
        <v>250</v>
      </c>
      <c r="J480" s="20">
        <f t="shared" si="313"/>
        <v>153.30000000000001</v>
      </c>
      <c r="K480" s="20">
        <f t="shared" si="323"/>
        <v>125</v>
      </c>
      <c r="L480" s="20">
        <v>125</v>
      </c>
      <c r="M480" s="20">
        <v>730</v>
      </c>
      <c r="N480" s="20">
        <f t="shared" si="302"/>
        <v>180</v>
      </c>
      <c r="O480" s="74">
        <v>375</v>
      </c>
      <c r="P480" s="20">
        <f t="shared" si="282"/>
        <v>50</v>
      </c>
      <c r="Q480" s="20">
        <f t="shared" si="283"/>
        <v>21</v>
      </c>
      <c r="R480" s="20">
        <v>100</v>
      </c>
      <c r="S480" s="20">
        <f t="shared" si="288"/>
        <v>60</v>
      </c>
      <c r="T480" s="20">
        <f t="shared" si="277"/>
        <v>36</v>
      </c>
      <c r="U480" s="20"/>
      <c r="V480" s="20">
        <f t="shared" si="300"/>
        <v>0</v>
      </c>
      <c r="W480" s="20">
        <f t="shared" si="284"/>
        <v>20</v>
      </c>
      <c r="X480" s="20">
        <f t="shared" si="315"/>
        <v>0</v>
      </c>
      <c r="Y480" s="20">
        <f t="shared" si="279"/>
        <v>3.5</v>
      </c>
      <c r="Z480" s="20">
        <f t="shared" si="303"/>
        <v>230</v>
      </c>
      <c r="AA480" s="20">
        <f t="shared" si="278"/>
        <v>306</v>
      </c>
      <c r="AB480" s="20">
        <f t="shared" si="290"/>
        <v>60</v>
      </c>
      <c r="AC480" s="20">
        <f t="shared" si="297"/>
        <v>1.6</v>
      </c>
      <c r="AD480" s="20">
        <f t="shared" si="286"/>
        <v>180</v>
      </c>
      <c r="AE480" s="20">
        <f t="shared" si="289"/>
        <v>1.1000000000000001</v>
      </c>
      <c r="AF480" s="20">
        <f t="shared" si="293"/>
        <v>275</v>
      </c>
      <c r="AG480" s="20">
        <f t="shared" si="299"/>
        <v>18</v>
      </c>
      <c r="AH480" s="20">
        <f t="shared" si="291"/>
        <v>3</v>
      </c>
      <c r="AI480" s="20">
        <f t="shared" si="285"/>
        <v>47</v>
      </c>
      <c r="AJ480" s="20">
        <f t="shared" si="305"/>
        <v>90</v>
      </c>
      <c r="AK480" s="20">
        <f t="shared" si="310"/>
        <v>14</v>
      </c>
      <c r="AL480" s="20">
        <f t="shared" si="306"/>
        <v>45</v>
      </c>
      <c r="AM480" s="20">
        <v>46</v>
      </c>
      <c r="AN480" s="20">
        <f t="shared" si="311"/>
        <v>0.75</v>
      </c>
      <c r="AO480" s="20">
        <f t="shared" si="309"/>
        <v>19</v>
      </c>
      <c r="AP480" s="20">
        <f t="shared" si="309"/>
        <v>19</v>
      </c>
      <c r="AQ480" s="20">
        <f t="shared" si="314"/>
        <v>5</v>
      </c>
      <c r="AR480" s="20">
        <f t="shared" si="301"/>
        <v>120</v>
      </c>
      <c r="AS480" s="20">
        <f t="shared" si="304"/>
        <v>120</v>
      </c>
      <c r="AT480" s="20">
        <f t="shared" si="298"/>
        <v>55</v>
      </c>
      <c r="AU480" s="20"/>
      <c r="AV480" s="20"/>
      <c r="AW480" s="20">
        <f t="shared" si="280"/>
        <v>5276.7500000000009</v>
      </c>
      <c r="AX480" s="86">
        <f t="shared" si="292"/>
        <v>5428.4449999999988</v>
      </c>
      <c r="AY480" s="17">
        <f>'[1]D4 Gallon Forecast'!$AO160/1000000</f>
        <v>0</v>
      </c>
      <c r="AZ480" s="17">
        <f>'[1]D4 Gallon Forecast'!$AO192/1000000</f>
        <v>781.99885189768122</v>
      </c>
      <c r="BA480" s="17">
        <f t="shared" si="295"/>
        <v>781.99885189768122</v>
      </c>
      <c r="BB480" s="17">
        <f>'[1]D4 Gallon Forecast'!$AO176/1000000</f>
        <v>0</v>
      </c>
      <c r="BC480" s="87">
        <f>'[1]D4 Gallon Forecast'!$AO352/1000000</f>
        <v>547.74103226588534</v>
      </c>
      <c r="BD480" s="88">
        <f>'[1]D4 Gallon Forecast'!$AO368/1000000</f>
        <v>0</v>
      </c>
      <c r="BE480" s="88">
        <f t="shared" si="296"/>
        <v>547.74103226588534</v>
      </c>
      <c r="BF480" s="76">
        <f t="shared" si="319"/>
        <v>1329.7398841635666</v>
      </c>
      <c r="BG480" s="22">
        <f t="shared" si="320"/>
        <v>2.9803197644979482</v>
      </c>
      <c r="BI480" s="21">
        <f t="shared" si="281"/>
        <v>4702.9000000000005</v>
      </c>
      <c r="BJ480" s="21">
        <f t="shared" si="312"/>
        <v>725.54499999999825</v>
      </c>
      <c r="BK480" s="21">
        <f>'RD Feedstock Breakdown'!ES471</f>
        <v>31628.800872890286</v>
      </c>
      <c r="BL480" s="89">
        <f t="shared" si="318"/>
        <v>23.785705196611023</v>
      </c>
      <c r="BM480" s="89">
        <f t="shared" si="316"/>
        <v>40.446096303257335</v>
      </c>
    </row>
    <row r="481" spans="1:65" ht="13.5" x14ac:dyDescent="0.25">
      <c r="A481" s="15">
        <v>54789</v>
      </c>
      <c r="B481" s="20">
        <f t="shared" si="317"/>
        <v>690</v>
      </c>
      <c r="C481" s="74">
        <v>47</v>
      </c>
      <c r="D481" s="20">
        <f t="shared" si="308"/>
        <v>3</v>
      </c>
      <c r="E481" s="20">
        <f t="shared" si="322"/>
        <v>85</v>
      </c>
      <c r="F481" s="20">
        <f t="shared" si="294"/>
        <v>340</v>
      </c>
      <c r="G481" s="20">
        <f t="shared" si="307"/>
        <v>37.5</v>
      </c>
      <c r="H481" s="20">
        <f t="shared" si="287"/>
        <v>190</v>
      </c>
      <c r="I481" s="20">
        <f t="shared" si="321"/>
        <v>250</v>
      </c>
      <c r="J481" s="20">
        <f t="shared" si="313"/>
        <v>153.30000000000001</v>
      </c>
      <c r="K481" s="20">
        <f t="shared" si="323"/>
        <v>125</v>
      </c>
      <c r="L481" s="20">
        <v>125</v>
      </c>
      <c r="M481" s="20">
        <v>730</v>
      </c>
      <c r="N481" s="20">
        <f t="shared" si="302"/>
        <v>180</v>
      </c>
      <c r="O481" s="74">
        <v>375</v>
      </c>
      <c r="P481" s="20">
        <f t="shared" si="282"/>
        <v>50</v>
      </c>
      <c r="Q481" s="20">
        <f t="shared" si="283"/>
        <v>21</v>
      </c>
      <c r="R481" s="20">
        <v>100</v>
      </c>
      <c r="S481" s="20">
        <f t="shared" si="288"/>
        <v>60</v>
      </c>
      <c r="T481" s="20">
        <f t="shared" si="277"/>
        <v>36</v>
      </c>
      <c r="U481" s="20"/>
      <c r="V481" s="20">
        <f t="shared" si="300"/>
        <v>0</v>
      </c>
      <c r="W481" s="20">
        <f t="shared" si="284"/>
        <v>20</v>
      </c>
      <c r="X481" s="20">
        <f t="shared" si="315"/>
        <v>0</v>
      </c>
      <c r="Y481" s="20">
        <f t="shared" si="279"/>
        <v>3.5</v>
      </c>
      <c r="Z481" s="20">
        <f t="shared" si="303"/>
        <v>230</v>
      </c>
      <c r="AA481" s="20">
        <f t="shared" si="278"/>
        <v>306</v>
      </c>
      <c r="AB481" s="20">
        <f t="shared" si="290"/>
        <v>60</v>
      </c>
      <c r="AC481" s="20">
        <f t="shared" si="297"/>
        <v>1.6</v>
      </c>
      <c r="AD481" s="20">
        <f t="shared" si="286"/>
        <v>180</v>
      </c>
      <c r="AE481" s="20">
        <f t="shared" si="289"/>
        <v>1.1000000000000001</v>
      </c>
      <c r="AF481" s="20">
        <f t="shared" si="293"/>
        <v>275</v>
      </c>
      <c r="AG481" s="20">
        <f t="shared" si="299"/>
        <v>18</v>
      </c>
      <c r="AH481" s="20">
        <f t="shared" si="291"/>
        <v>3</v>
      </c>
      <c r="AI481" s="20">
        <f t="shared" si="285"/>
        <v>47</v>
      </c>
      <c r="AJ481" s="20">
        <f t="shared" si="305"/>
        <v>90</v>
      </c>
      <c r="AK481" s="20">
        <f t="shared" si="310"/>
        <v>14</v>
      </c>
      <c r="AL481" s="20">
        <f t="shared" si="306"/>
        <v>45</v>
      </c>
      <c r="AM481" s="20">
        <v>46</v>
      </c>
      <c r="AN481" s="20">
        <f t="shared" si="311"/>
        <v>0.75</v>
      </c>
      <c r="AO481" s="20">
        <f t="shared" si="309"/>
        <v>19</v>
      </c>
      <c r="AP481" s="20">
        <f t="shared" si="309"/>
        <v>19</v>
      </c>
      <c r="AQ481" s="20">
        <f t="shared" si="314"/>
        <v>5</v>
      </c>
      <c r="AR481" s="20">
        <f t="shared" si="301"/>
        <v>120</v>
      </c>
      <c r="AS481" s="20">
        <f t="shared" si="304"/>
        <v>120</v>
      </c>
      <c r="AT481" s="20">
        <f t="shared" si="298"/>
        <v>55</v>
      </c>
      <c r="AU481" s="20"/>
      <c r="AV481" s="20"/>
      <c r="AW481" s="20">
        <f t="shared" si="280"/>
        <v>5276.7500000000009</v>
      </c>
      <c r="AX481" s="86">
        <f t="shared" si="292"/>
        <v>5428.4449999999988</v>
      </c>
      <c r="AY481" s="17">
        <f>'[1]D4 Gallon Forecast'!$AP149/1000000</f>
        <v>0</v>
      </c>
      <c r="AZ481" s="17">
        <f>'[1]D4 Gallon Forecast'!$AP181/1000000</f>
        <v>426.56013473594896</v>
      </c>
      <c r="BA481" s="17">
        <f t="shared" si="295"/>
        <v>426.56013473594896</v>
      </c>
      <c r="BB481" s="17">
        <f>'[1]D4 Gallon Forecast'!$AP165/1000000</f>
        <v>0</v>
      </c>
      <c r="BC481" s="87">
        <f>'[1]D4 Gallon Forecast'!$AP341/1000000</f>
        <v>335.73061499024584</v>
      </c>
      <c r="BD481" s="88">
        <f>'[1]D4 Gallon Forecast'!$AP357/1000000</f>
        <v>0</v>
      </c>
      <c r="BE481" s="88">
        <f t="shared" si="296"/>
        <v>335.73061499024584</v>
      </c>
      <c r="BF481" s="76">
        <f t="shared" si="319"/>
        <v>762.2907497261948</v>
      </c>
      <c r="BG481" s="22">
        <f t="shared" si="320"/>
        <v>1.6533940801502691</v>
      </c>
      <c r="BI481" s="21">
        <f t="shared" si="281"/>
        <v>4702.9000000000005</v>
      </c>
      <c r="BJ481" s="21">
        <f t="shared" si="312"/>
        <v>725.54499999999825</v>
      </c>
      <c r="BK481" s="21">
        <f>'RD Feedstock Breakdown'!ES472</f>
        <v>10058.893198873344</v>
      </c>
      <c r="BL481" s="89">
        <f t="shared" si="318"/>
        <v>13.195612307359589</v>
      </c>
      <c r="BM481" s="89">
        <f t="shared" si="316"/>
        <v>23.58141884285563</v>
      </c>
    </row>
    <row r="482" spans="1:65" ht="13.5" x14ac:dyDescent="0.25">
      <c r="A482" s="15">
        <v>54820</v>
      </c>
      <c r="B482" s="20">
        <f t="shared" si="317"/>
        <v>690</v>
      </c>
      <c r="C482" s="74">
        <v>47</v>
      </c>
      <c r="D482" s="20">
        <f t="shared" si="308"/>
        <v>3</v>
      </c>
      <c r="E482" s="20">
        <f t="shared" si="322"/>
        <v>85</v>
      </c>
      <c r="F482" s="20">
        <f t="shared" si="294"/>
        <v>340</v>
      </c>
      <c r="G482" s="20">
        <f t="shared" si="307"/>
        <v>37.5</v>
      </c>
      <c r="H482" s="20">
        <f t="shared" si="287"/>
        <v>190</v>
      </c>
      <c r="I482" s="20">
        <f t="shared" si="321"/>
        <v>250</v>
      </c>
      <c r="J482" s="20">
        <f t="shared" si="313"/>
        <v>153.30000000000001</v>
      </c>
      <c r="K482" s="20">
        <f t="shared" si="323"/>
        <v>125</v>
      </c>
      <c r="L482" s="20">
        <v>125</v>
      </c>
      <c r="M482" s="20">
        <v>730</v>
      </c>
      <c r="N482" s="20">
        <f t="shared" si="302"/>
        <v>180</v>
      </c>
      <c r="O482" s="74">
        <v>375</v>
      </c>
      <c r="P482" s="20">
        <f t="shared" si="282"/>
        <v>50</v>
      </c>
      <c r="Q482" s="20">
        <f t="shared" si="283"/>
        <v>21</v>
      </c>
      <c r="R482" s="20">
        <v>100</v>
      </c>
      <c r="S482" s="20">
        <f t="shared" si="288"/>
        <v>60</v>
      </c>
      <c r="T482" s="20">
        <f t="shared" ref="T482:T504" si="324">36*$T$12</f>
        <v>36</v>
      </c>
      <c r="U482" s="20"/>
      <c r="V482" s="20">
        <f t="shared" si="300"/>
        <v>0</v>
      </c>
      <c r="W482" s="20">
        <f t="shared" si="284"/>
        <v>20</v>
      </c>
      <c r="X482" s="20">
        <f t="shared" si="315"/>
        <v>0</v>
      </c>
      <c r="Y482" s="20">
        <f t="shared" si="279"/>
        <v>3.5</v>
      </c>
      <c r="Z482" s="20">
        <f t="shared" si="303"/>
        <v>230</v>
      </c>
      <c r="AA482" s="20">
        <f t="shared" ref="AA482:AA504" si="325">$AA$12*$AA$5</f>
        <v>306</v>
      </c>
      <c r="AB482" s="20">
        <f t="shared" si="290"/>
        <v>60</v>
      </c>
      <c r="AC482" s="20">
        <f t="shared" si="297"/>
        <v>1.6</v>
      </c>
      <c r="AD482" s="20">
        <f t="shared" si="286"/>
        <v>180</v>
      </c>
      <c r="AE482" s="20">
        <f t="shared" si="289"/>
        <v>1.1000000000000001</v>
      </c>
      <c r="AF482" s="20">
        <f t="shared" si="293"/>
        <v>275</v>
      </c>
      <c r="AG482" s="20">
        <f t="shared" si="299"/>
        <v>18</v>
      </c>
      <c r="AH482" s="20">
        <f t="shared" si="291"/>
        <v>3</v>
      </c>
      <c r="AI482" s="20">
        <f t="shared" si="285"/>
        <v>47</v>
      </c>
      <c r="AJ482" s="20">
        <f t="shared" si="305"/>
        <v>90</v>
      </c>
      <c r="AK482" s="20">
        <f t="shared" si="310"/>
        <v>14</v>
      </c>
      <c r="AL482" s="20">
        <f t="shared" si="306"/>
        <v>45</v>
      </c>
      <c r="AM482" s="20">
        <v>46</v>
      </c>
      <c r="AN482" s="20">
        <f t="shared" si="311"/>
        <v>0.75</v>
      </c>
      <c r="AO482" s="20">
        <f t="shared" si="309"/>
        <v>19</v>
      </c>
      <c r="AP482" s="20">
        <f t="shared" si="309"/>
        <v>19</v>
      </c>
      <c r="AQ482" s="20">
        <f t="shared" si="314"/>
        <v>5</v>
      </c>
      <c r="AR482" s="20">
        <f t="shared" si="301"/>
        <v>120</v>
      </c>
      <c r="AS482" s="20">
        <f t="shared" si="304"/>
        <v>120</v>
      </c>
      <c r="AT482" s="20">
        <f t="shared" si="298"/>
        <v>55</v>
      </c>
      <c r="AU482" s="20"/>
      <c r="AV482" s="20"/>
      <c r="AW482" s="20">
        <f t="shared" si="280"/>
        <v>5276.7500000000009</v>
      </c>
      <c r="AX482" s="86">
        <f t="shared" si="292"/>
        <v>5428.4449999999988</v>
      </c>
      <c r="AY482" s="17">
        <f>'[1]D4 Gallon Forecast'!$AP150/1000000</f>
        <v>0</v>
      </c>
      <c r="AZ482" s="17">
        <f>'[1]D4 Gallon Forecast'!$AP182/1000000</f>
        <v>470.36851226346482</v>
      </c>
      <c r="BA482" s="17">
        <f t="shared" si="295"/>
        <v>470.36851226346482</v>
      </c>
      <c r="BB482" s="17">
        <f>'[1]D4 Gallon Forecast'!$AP166/1000000</f>
        <v>0</v>
      </c>
      <c r="BC482" s="87">
        <f>'[1]D4 Gallon Forecast'!$AP342/1000000</f>
        <v>637.23722408494905</v>
      </c>
      <c r="BD482" s="88">
        <f>'[1]D4 Gallon Forecast'!$AP358/1000000</f>
        <v>0</v>
      </c>
      <c r="BE482" s="88">
        <f t="shared" si="296"/>
        <v>637.23722408494905</v>
      </c>
      <c r="BF482" s="76">
        <f t="shared" si="319"/>
        <v>1107.6057363484138</v>
      </c>
      <c r="BG482" s="22">
        <f t="shared" si="320"/>
        <v>2.4023756923152093</v>
      </c>
      <c r="BI482" s="21">
        <f t="shared" si="281"/>
        <v>4702.9000000000005</v>
      </c>
      <c r="BJ482" s="21">
        <f t="shared" si="312"/>
        <v>725.54499999999825</v>
      </c>
      <c r="BK482" s="21">
        <f>'RD Feedstock Breakdown'!ES473</f>
        <v>21236.321434103233</v>
      </c>
      <c r="BL482" s="89">
        <f t="shared" si="318"/>
        <v>19.17317754611469</v>
      </c>
      <c r="BM482" s="89">
        <f t="shared" si="316"/>
        <v>45.148263288100914</v>
      </c>
    </row>
    <row r="483" spans="1:65" ht="13.5" x14ac:dyDescent="0.25">
      <c r="A483" s="15">
        <v>54848</v>
      </c>
      <c r="B483" s="20">
        <f t="shared" si="317"/>
        <v>690</v>
      </c>
      <c r="C483" s="74">
        <v>47</v>
      </c>
      <c r="D483" s="20">
        <f t="shared" si="308"/>
        <v>3</v>
      </c>
      <c r="E483" s="20">
        <f t="shared" si="322"/>
        <v>85</v>
      </c>
      <c r="F483" s="20">
        <f t="shared" si="294"/>
        <v>340</v>
      </c>
      <c r="G483" s="20">
        <f t="shared" si="307"/>
        <v>37.5</v>
      </c>
      <c r="H483" s="20">
        <f t="shared" si="287"/>
        <v>190</v>
      </c>
      <c r="I483" s="20">
        <f t="shared" si="321"/>
        <v>250</v>
      </c>
      <c r="J483" s="20">
        <f t="shared" si="313"/>
        <v>153.30000000000001</v>
      </c>
      <c r="K483" s="20">
        <f t="shared" si="323"/>
        <v>125</v>
      </c>
      <c r="L483" s="20">
        <v>125</v>
      </c>
      <c r="M483" s="20">
        <v>730</v>
      </c>
      <c r="N483" s="20">
        <f t="shared" si="302"/>
        <v>180</v>
      </c>
      <c r="O483" s="74">
        <v>375</v>
      </c>
      <c r="P483" s="20">
        <f t="shared" si="282"/>
        <v>50</v>
      </c>
      <c r="Q483" s="20">
        <f t="shared" si="283"/>
        <v>21</v>
      </c>
      <c r="R483" s="20">
        <v>100</v>
      </c>
      <c r="S483" s="20">
        <f t="shared" si="288"/>
        <v>60</v>
      </c>
      <c r="T483" s="20">
        <f t="shared" si="324"/>
        <v>36</v>
      </c>
      <c r="U483" s="20"/>
      <c r="V483" s="20">
        <f t="shared" si="300"/>
        <v>0</v>
      </c>
      <c r="W483" s="20">
        <f t="shared" si="284"/>
        <v>20</v>
      </c>
      <c r="X483" s="20">
        <f t="shared" si="315"/>
        <v>0</v>
      </c>
      <c r="Y483" s="20">
        <f t="shared" ref="Y483:Y504" si="326">$Y$5*$Y$12</f>
        <v>3.5</v>
      </c>
      <c r="Z483" s="20">
        <f t="shared" si="303"/>
        <v>230</v>
      </c>
      <c r="AA483" s="20">
        <f t="shared" si="325"/>
        <v>306</v>
      </c>
      <c r="AB483" s="20">
        <f t="shared" si="290"/>
        <v>60</v>
      </c>
      <c r="AC483" s="20">
        <f t="shared" si="297"/>
        <v>1.6</v>
      </c>
      <c r="AD483" s="20">
        <f t="shared" si="286"/>
        <v>180</v>
      </c>
      <c r="AE483" s="20">
        <f t="shared" si="289"/>
        <v>1.1000000000000001</v>
      </c>
      <c r="AF483" s="20">
        <f t="shared" si="293"/>
        <v>275</v>
      </c>
      <c r="AG483" s="20">
        <f t="shared" si="299"/>
        <v>18</v>
      </c>
      <c r="AH483" s="20">
        <f t="shared" si="291"/>
        <v>3</v>
      </c>
      <c r="AI483" s="20">
        <f t="shared" si="285"/>
        <v>47</v>
      </c>
      <c r="AJ483" s="20">
        <f t="shared" si="305"/>
        <v>90</v>
      </c>
      <c r="AK483" s="20">
        <f t="shared" si="310"/>
        <v>14</v>
      </c>
      <c r="AL483" s="20">
        <f t="shared" si="306"/>
        <v>45</v>
      </c>
      <c r="AM483" s="20">
        <v>46</v>
      </c>
      <c r="AN483" s="20">
        <f t="shared" si="311"/>
        <v>0.75</v>
      </c>
      <c r="AO483" s="20">
        <f t="shared" si="309"/>
        <v>19</v>
      </c>
      <c r="AP483" s="20">
        <f t="shared" si="309"/>
        <v>19</v>
      </c>
      <c r="AQ483" s="20">
        <f t="shared" si="314"/>
        <v>5</v>
      </c>
      <c r="AR483" s="20">
        <f t="shared" si="301"/>
        <v>120</v>
      </c>
      <c r="AS483" s="20">
        <f t="shared" si="304"/>
        <v>120</v>
      </c>
      <c r="AT483" s="20">
        <f t="shared" si="298"/>
        <v>55</v>
      </c>
      <c r="AU483" s="20"/>
      <c r="AV483" s="20"/>
      <c r="AW483" s="20">
        <f t="shared" ref="AW483:AW504" si="327">SUM(B483:AT483)</f>
        <v>5276.7500000000009</v>
      </c>
      <c r="AX483" s="86">
        <f t="shared" si="292"/>
        <v>5428.4449999999988</v>
      </c>
      <c r="AY483" s="17">
        <f>'[1]D4 Gallon Forecast'!$AP151/1000000</f>
        <v>0</v>
      </c>
      <c r="AZ483" s="17">
        <f>'[1]D4 Gallon Forecast'!$AP183/1000000</f>
        <v>495.41976918601006</v>
      </c>
      <c r="BA483" s="17">
        <f t="shared" si="295"/>
        <v>495.41976918601006</v>
      </c>
      <c r="BB483" s="17">
        <f>'[1]D4 Gallon Forecast'!$AP167/1000000</f>
        <v>0</v>
      </c>
      <c r="BC483" s="87">
        <f>'[1]D4 Gallon Forecast'!$AP343/1000000</f>
        <v>254.33953078464967</v>
      </c>
      <c r="BD483" s="88">
        <f>'[1]D4 Gallon Forecast'!$AP359/1000000</f>
        <v>0</v>
      </c>
      <c r="BE483" s="88">
        <f t="shared" si="296"/>
        <v>254.33953078464967</v>
      </c>
      <c r="BF483" s="76">
        <f t="shared" si="319"/>
        <v>749.75929997065975</v>
      </c>
      <c r="BG483" s="22">
        <f t="shared" si="320"/>
        <v>1.8004507768752698</v>
      </c>
      <c r="BI483" s="21">
        <f t="shared" ref="BI483:BI504" si="328">SUMIF($B$7:$AN$7,"Yes",B483:AN483)</f>
        <v>4702.9000000000005</v>
      </c>
      <c r="BJ483" s="21">
        <f t="shared" si="312"/>
        <v>725.54499999999825</v>
      </c>
      <c r="BK483" s="21">
        <f>'RD Feedstock Breakdown'!ES474</f>
        <v>10773.486776693499</v>
      </c>
      <c r="BL483" s="89">
        <f t="shared" si="318"/>
        <v>14.36926061085884</v>
      </c>
      <c r="BM483" s="89">
        <f t="shared" si="316"/>
        <v>21.746178587896623</v>
      </c>
    </row>
    <row r="484" spans="1:65" ht="13.5" x14ac:dyDescent="0.25">
      <c r="A484" s="15">
        <v>54879</v>
      </c>
      <c r="B484" s="20">
        <f t="shared" si="317"/>
        <v>690</v>
      </c>
      <c r="C484" s="74">
        <v>47</v>
      </c>
      <c r="D484" s="20">
        <f t="shared" si="308"/>
        <v>3</v>
      </c>
      <c r="E484" s="20">
        <f t="shared" si="322"/>
        <v>85</v>
      </c>
      <c r="F484" s="20">
        <f t="shared" si="294"/>
        <v>340</v>
      </c>
      <c r="G484" s="20">
        <f t="shared" si="307"/>
        <v>37.5</v>
      </c>
      <c r="H484" s="20">
        <f t="shared" si="287"/>
        <v>190</v>
      </c>
      <c r="I484" s="20">
        <f t="shared" si="321"/>
        <v>250</v>
      </c>
      <c r="J484" s="20">
        <f t="shared" si="313"/>
        <v>153.30000000000001</v>
      </c>
      <c r="K484" s="20">
        <f t="shared" si="323"/>
        <v>125</v>
      </c>
      <c r="L484" s="20">
        <v>125</v>
      </c>
      <c r="M484" s="20">
        <v>730</v>
      </c>
      <c r="N484" s="20">
        <f t="shared" si="302"/>
        <v>180</v>
      </c>
      <c r="O484" s="74">
        <v>375</v>
      </c>
      <c r="P484" s="20">
        <f t="shared" si="282"/>
        <v>50</v>
      </c>
      <c r="Q484" s="20">
        <f t="shared" si="283"/>
        <v>21</v>
      </c>
      <c r="R484" s="20">
        <v>100</v>
      </c>
      <c r="S484" s="20">
        <f t="shared" si="288"/>
        <v>60</v>
      </c>
      <c r="T484" s="20">
        <f t="shared" si="324"/>
        <v>36</v>
      </c>
      <c r="U484" s="20"/>
      <c r="V484" s="20">
        <f t="shared" si="300"/>
        <v>0</v>
      </c>
      <c r="W484" s="20">
        <f t="shared" si="284"/>
        <v>20</v>
      </c>
      <c r="X484" s="20">
        <f t="shared" si="315"/>
        <v>0</v>
      </c>
      <c r="Y484" s="20">
        <f t="shared" si="326"/>
        <v>3.5</v>
      </c>
      <c r="Z484" s="20">
        <f t="shared" si="303"/>
        <v>230</v>
      </c>
      <c r="AA484" s="20">
        <f t="shared" si="325"/>
        <v>306</v>
      </c>
      <c r="AB484" s="20">
        <f t="shared" si="290"/>
        <v>60</v>
      </c>
      <c r="AC484" s="20">
        <f t="shared" si="297"/>
        <v>1.6</v>
      </c>
      <c r="AD484" s="20">
        <f t="shared" si="286"/>
        <v>180</v>
      </c>
      <c r="AE484" s="20">
        <f t="shared" si="289"/>
        <v>1.1000000000000001</v>
      </c>
      <c r="AF484" s="20">
        <f t="shared" si="293"/>
        <v>275</v>
      </c>
      <c r="AG484" s="20">
        <f t="shared" si="299"/>
        <v>18</v>
      </c>
      <c r="AH484" s="20">
        <f t="shared" si="291"/>
        <v>3</v>
      </c>
      <c r="AI484" s="20">
        <f t="shared" si="285"/>
        <v>47</v>
      </c>
      <c r="AJ484" s="20">
        <f t="shared" si="305"/>
        <v>90</v>
      </c>
      <c r="AK484" s="20">
        <f t="shared" si="310"/>
        <v>14</v>
      </c>
      <c r="AL484" s="20">
        <f t="shared" si="306"/>
        <v>45</v>
      </c>
      <c r="AM484" s="20">
        <v>46</v>
      </c>
      <c r="AN484" s="20">
        <f t="shared" si="311"/>
        <v>0.75</v>
      </c>
      <c r="AO484" s="20">
        <f t="shared" si="309"/>
        <v>19</v>
      </c>
      <c r="AP484" s="20">
        <f t="shared" si="309"/>
        <v>19</v>
      </c>
      <c r="AQ484" s="20">
        <f t="shared" si="314"/>
        <v>5</v>
      </c>
      <c r="AR484" s="20">
        <f t="shared" si="301"/>
        <v>120</v>
      </c>
      <c r="AS484" s="20">
        <f t="shared" si="304"/>
        <v>120</v>
      </c>
      <c r="AT484" s="20">
        <f t="shared" si="298"/>
        <v>55</v>
      </c>
      <c r="AU484" s="20"/>
      <c r="AV484" s="20"/>
      <c r="AW484" s="20">
        <f t="shared" si="327"/>
        <v>5276.7500000000009</v>
      </c>
      <c r="AX484" s="86">
        <f t="shared" si="292"/>
        <v>5428.4449999999988</v>
      </c>
      <c r="AY484" s="17">
        <f>'[1]D4 Gallon Forecast'!$AP152/1000000</f>
        <v>0</v>
      </c>
      <c r="AZ484" s="17">
        <f>'[1]D4 Gallon Forecast'!$AP184/1000000</f>
        <v>481.02819286500602</v>
      </c>
      <c r="BA484" s="17">
        <f t="shared" si="295"/>
        <v>481.02819286500602</v>
      </c>
      <c r="BB484" s="17">
        <f>'[1]D4 Gallon Forecast'!$AP168/1000000</f>
        <v>0</v>
      </c>
      <c r="BC484" s="87">
        <f>'[1]D4 Gallon Forecast'!$AP344/1000000</f>
        <v>408.24826688676336</v>
      </c>
      <c r="BD484" s="88">
        <f>'[1]D4 Gallon Forecast'!$AP360/1000000</f>
        <v>0</v>
      </c>
      <c r="BE484" s="88">
        <f t="shared" si="296"/>
        <v>408.24826688676336</v>
      </c>
      <c r="BF484" s="76">
        <f t="shared" si="319"/>
        <v>889.27645975176938</v>
      </c>
      <c r="BG484" s="22">
        <f t="shared" si="320"/>
        <v>1.9288236603929489</v>
      </c>
      <c r="BI484" s="21">
        <f t="shared" si="328"/>
        <v>4702.9000000000005</v>
      </c>
      <c r="BJ484" s="21">
        <f t="shared" si="312"/>
        <v>725.54499999999825</v>
      </c>
      <c r="BK484" s="21">
        <f>'RD Feedstock Breakdown'!ES475</f>
        <v>13689.339362563886</v>
      </c>
      <c r="BL484" s="89">
        <f t="shared" si="318"/>
        <v>15.393794823248887</v>
      </c>
      <c r="BM484" s="89">
        <f t="shared" si="316"/>
        <v>28.45849695634287</v>
      </c>
    </row>
    <row r="485" spans="1:65" ht="13.5" x14ac:dyDescent="0.25">
      <c r="A485" s="15">
        <v>54909</v>
      </c>
      <c r="B485" s="20">
        <f t="shared" si="317"/>
        <v>690</v>
      </c>
      <c r="C485" s="74">
        <v>47</v>
      </c>
      <c r="D485" s="20">
        <f t="shared" si="308"/>
        <v>3</v>
      </c>
      <c r="E485" s="20">
        <f t="shared" si="322"/>
        <v>85</v>
      </c>
      <c r="F485" s="20">
        <f t="shared" si="294"/>
        <v>340</v>
      </c>
      <c r="G485" s="20">
        <f t="shared" si="307"/>
        <v>37.5</v>
      </c>
      <c r="H485" s="20">
        <f t="shared" si="287"/>
        <v>190</v>
      </c>
      <c r="I485" s="20">
        <f t="shared" si="321"/>
        <v>250</v>
      </c>
      <c r="J485" s="20">
        <f t="shared" si="313"/>
        <v>153.30000000000001</v>
      </c>
      <c r="K485" s="20">
        <f t="shared" si="323"/>
        <v>125</v>
      </c>
      <c r="L485" s="20">
        <v>125</v>
      </c>
      <c r="M485" s="20">
        <v>730</v>
      </c>
      <c r="N485" s="20">
        <f t="shared" si="302"/>
        <v>180</v>
      </c>
      <c r="O485" s="74">
        <v>375</v>
      </c>
      <c r="P485" s="20">
        <f t="shared" si="282"/>
        <v>50</v>
      </c>
      <c r="Q485" s="20">
        <f t="shared" si="283"/>
        <v>21</v>
      </c>
      <c r="R485" s="20">
        <v>100</v>
      </c>
      <c r="S485" s="20">
        <f t="shared" si="288"/>
        <v>60</v>
      </c>
      <c r="T485" s="20">
        <f t="shared" si="324"/>
        <v>36</v>
      </c>
      <c r="U485" s="20"/>
      <c r="V485" s="20">
        <f t="shared" si="300"/>
        <v>0</v>
      </c>
      <c r="W485" s="20">
        <f t="shared" si="284"/>
        <v>20</v>
      </c>
      <c r="X485" s="20">
        <f t="shared" si="315"/>
        <v>0</v>
      </c>
      <c r="Y485" s="20">
        <f t="shared" si="326"/>
        <v>3.5</v>
      </c>
      <c r="Z485" s="20">
        <f t="shared" si="303"/>
        <v>230</v>
      </c>
      <c r="AA485" s="20">
        <f t="shared" si="325"/>
        <v>306</v>
      </c>
      <c r="AB485" s="20">
        <f t="shared" si="290"/>
        <v>60</v>
      </c>
      <c r="AC485" s="20">
        <f t="shared" si="297"/>
        <v>1.6</v>
      </c>
      <c r="AD485" s="20">
        <f t="shared" si="286"/>
        <v>180</v>
      </c>
      <c r="AE485" s="20">
        <f t="shared" si="289"/>
        <v>1.1000000000000001</v>
      </c>
      <c r="AF485" s="20">
        <f t="shared" si="293"/>
        <v>275</v>
      </c>
      <c r="AG485" s="20">
        <f t="shared" si="299"/>
        <v>18</v>
      </c>
      <c r="AH485" s="20">
        <f t="shared" si="291"/>
        <v>3</v>
      </c>
      <c r="AI485" s="20">
        <f t="shared" si="285"/>
        <v>47</v>
      </c>
      <c r="AJ485" s="20">
        <f t="shared" si="305"/>
        <v>90</v>
      </c>
      <c r="AK485" s="20">
        <f t="shared" si="310"/>
        <v>14</v>
      </c>
      <c r="AL485" s="20">
        <f t="shared" si="306"/>
        <v>45</v>
      </c>
      <c r="AM485" s="20">
        <v>46</v>
      </c>
      <c r="AN485" s="20">
        <f t="shared" si="311"/>
        <v>0.75</v>
      </c>
      <c r="AO485" s="20">
        <f t="shared" si="309"/>
        <v>19</v>
      </c>
      <c r="AP485" s="20">
        <f t="shared" si="309"/>
        <v>19</v>
      </c>
      <c r="AQ485" s="20">
        <f t="shared" si="314"/>
        <v>5</v>
      </c>
      <c r="AR485" s="20">
        <f t="shared" si="301"/>
        <v>120</v>
      </c>
      <c r="AS485" s="20">
        <f t="shared" si="304"/>
        <v>120</v>
      </c>
      <c r="AT485" s="20">
        <f t="shared" si="298"/>
        <v>55</v>
      </c>
      <c r="AU485" s="20"/>
      <c r="AV485" s="20"/>
      <c r="AW485" s="20">
        <f t="shared" si="327"/>
        <v>5276.7500000000009</v>
      </c>
      <c r="AX485" s="86">
        <f t="shared" si="292"/>
        <v>5428.4449999999988</v>
      </c>
      <c r="AY485" s="17">
        <f>'[1]D4 Gallon Forecast'!$AP153/1000000</f>
        <v>0</v>
      </c>
      <c r="AZ485" s="17">
        <f>'[1]D4 Gallon Forecast'!$AP185/1000000</f>
        <v>537.35411811555798</v>
      </c>
      <c r="BA485" s="17">
        <f t="shared" si="295"/>
        <v>537.35411811555798</v>
      </c>
      <c r="BB485" s="17">
        <f>'[1]D4 Gallon Forecast'!$AP169/1000000</f>
        <v>0</v>
      </c>
      <c r="BC485" s="87">
        <f>'[1]D4 Gallon Forecast'!$AP345/1000000</f>
        <v>537.38814271860781</v>
      </c>
      <c r="BD485" s="88">
        <f>'[1]D4 Gallon Forecast'!$AP361/1000000</f>
        <v>0</v>
      </c>
      <c r="BE485" s="88">
        <f t="shared" si="296"/>
        <v>537.38814271860781</v>
      </c>
      <c r="BF485" s="76">
        <f t="shared" si="319"/>
        <v>1074.7422608341658</v>
      </c>
      <c r="BG485" s="22">
        <f t="shared" si="320"/>
        <v>2.4087986228374834</v>
      </c>
      <c r="BI485" s="21">
        <f t="shared" si="328"/>
        <v>4702.9000000000005</v>
      </c>
      <c r="BJ485" s="21">
        <f t="shared" si="312"/>
        <v>725.54499999999825</v>
      </c>
      <c r="BK485" s="21">
        <f>'RD Feedstock Breakdown'!ES476</f>
        <v>20661.316459935075</v>
      </c>
      <c r="BL485" s="89">
        <f t="shared" si="318"/>
        <v>19.22443846573848</v>
      </c>
      <c r="BM485" s="89">
        <f t="shared" si="316"/>
        <v>38.450094199318784</v>
      </c>
    </row>
    <row r="486" spans="1:65" ht="13.5" x14ac:dyDescent="0.25">
      <c r="A486" s="15">
        <v>54940</v>
      </c>
      <c r="B486" s="20">
        <f t="shared" si="317"/>
        <v>690</v>
      </c>
      <c r="C486" s="74">
        <v>47</v>
      </c>
      <c r="D486" s="20">
        <f t="shared" si="308"/>
        <v>3</v>
      </c>
      <c r="E486" s="20">
        <f t="shared" si="322"/>
        <v>85</v>
      </c>
      <c r="F486" s="20">
        <f t="shared" si="294"/>
        <v>340</v>
      </c>
      <c r="G486" s="20">
        <f t="shared" si="307"/>
        <v>37.5</v>
      </c>
      <c r="H486" s="20">
        <f t="shared" si="287"/>
        <v>190</v>
      </c>
      <c r="I486" s="20">
        <f t="shared" si="321"/>
        <v>250</v>
      </c>
      <c r="J486" s="20">
        <f t="shared" si="313"/>
        <v>153.30000000000001</v>
      </c>
      <c r="K486" s="20">
        <f t="shared" si="323"/>
        <v>125</v>
      </c>
      <c r="L486" s="20">
        <v>125</v>
      </c>
      <c r="M486" s="20">
        <v>730</v>
      </c>
      <c r="N486" s="20">
        <f t="shared" si="302"/>
        <v>180</v>
      </c>
      <c r="O486" s="74">
        <v>375</v>
      </c>
      <c r="P486" s="20">
        <f t="shared" ref="P486:P504" si="329">100*$P$12</f>
        <v>50</v>
      </c>
      <c r="Q486" s="20">
        <f t="shared" ref="Q486:Q504" si="330">$Q$5*$Q$12</f>
        <v>21</v>
      </c>
      <c r="R486" s="20">
        <v>100</v>
      </c>
      <c r="S486" s="20">
        <f t="shared" si="288"/>
        <v>60</v>
      </c>
      <c r="T486" s="20">
        <f t="shared" si="324"/>
        <v>36</v>
      </c>
      <c r="U486" s="20"/>
      <c r="V486" s="20">
        <f t="shared" si="300"/>
        <v>0</v>
      </c>
      <c r="W486" s="20">
        <f t="shared" si="284"/>
        <v>20</v>
      </c>
      <c r="X486" s="20">
        <f t="shared" si="315"/>
        <v>0</v>
      </c>
      <c r="Y486" s="20">
        <f t="shared" si="326"/>
        <v>3.5</v>
      </c>
      <c r="Z486" s="20">
        <f t="shared" si="303"/>
        <v>230</v>
      </c>
      <c r="AA486" s="20">
        <f t="shared" si="325"/>
        <v>306</v>
      </c>
      <c r="AB486" s="20">
        <f t="shared" si="290"/>
        <v>60</v>
      </c>
      <c r="AC486" s="20">
        <f t="shared" si="297"/>
        <v>1.6</v>
      </c>
      <c r="AD486" s="20">
        <f t="shared" si="286"/>
        <v>180</v>
      </c>
      <c r="AE486" s="20">
        <f t="shared" si="289"/>
        <v>1.1000000000000001</v>
      </c>
      <c r="AF486" s="20">
        <f t="shared" si="293"/>
        <v>275</v>
      </c>
      <c r="AG486" s="20">
        <f t="shared" si="299"/>
        <v>18</v>
      </c>
      <c r="AH486" s="20">
        <f t="shared" si="291"/>
        <v>3</v>
      </c>
      <c r="AI486" s="20">
        <f t="shared" si="285"/>
        <v>47</v>
      </c>
      <c r="AJ486" s="20">
        <f t="shared" si="305"/>
        <v>90</v>
      </c>
      <c r="AK486" s="20">
        <f t="shared" si="310"/>
        <v>14</v>
      </c>
      <c r="AL486" s="20">
        <f t="shared" si="306"/>
        <v>45</v>
      </c>
      <c r="AM486" s="20">
        <v>46</v>
      </c>
      <c r="AN486" s="20">
        <f t="shared" si="311"/>
        <v>0.75</v>
      </c>
      <c r="AO486" s="20">
        <f t="shared" si="309"/>
        <v>19</v>
      </c>
      <c r="AP486" s="20">
        <f t="shared" si="309"/>
        <v>19</v>
      </c>
      <c r="AQ486" s="20">
        <f t="shared" si="314"/>
        <v>5</v>
      </c>
      <c r="AR486" s="20">
        <f t="shared" si="301"/>
        <v>120</v>
      </c>
      <c r="AS486" s="20">
        <f t="shared" si="304"/>
        <v>120</v>
      </c>
      <c r="AT486" s="20">
        <f t="shared" si="298"/>
        <v>55</v>
      </c>
      <c r="AU486" s="20"/>
      <c r="AV486" s="20"/>
      <c r="AW486" s="20">
        <f t="shared" si="327"/>
        <v>5276.7500000000009</v>
      </c>
      <c r="AX486" s="86">
        <f t="shared" si="292"/>
        <v>5428.4449999999988</v>
      </c>
      <c r="AY486" s="17">
        <f>'[1]D4 Gallon Forecast'!$AP154/1000000</f>
        <v>0</v>
      </c>
      <c r="AZ486" s="17">
        <f>'[1]D4 Gallon Forecast'!$AP186/1000000</f>
        <v>532.97112805802954</v>
      </c>
      <c r="BA486" s="17">
        <f t="shared" si="295"/>
        <v>532.97112805802954</v>
      </c>
      <c r="BB486" s="17">
        <f>'[1]D4 Gallon Forecast'!$AP170/1000000</f>
        <v>0</v>
      </c>
      <c r="BC486" s="87">
        <f>'[1]D4 Gallon Forecast'!$AP346/1000000</f>
        <v>512.6316569578272</v>
      </c>
      <c r="BD486" s="88">
        <f>'[1]D4 Gallon Forecast'!$AP362/1000000</f>
        <v>0</v>
      </c>
      <c r="BE486" s="88">
        <f t="shared" si="296"/>
        <v>512.6316569578272</v>
      </c>
      <c r="BF486" s="76">
        <f t="shared" si="319"/>
        <v>1045.6027850158566</v>
      </c>
      <c r="BG486" s="22">
        <f t="shared" si="320"/>
        <v>2.2678924748264526</v>
      </c>
      <c r="BI486" s="21">
        <f t="shared" si="328"/>
        <v>4702.9000000000005</v>
      </c>
      <c r="BJ486" s="21">
        <f t="shared" si="312"/>
        <v>725.54499999999825</v>
      </c>
      <c r="BK486" s="21">
        <f>'RD Feedstock Breakdown'!ES477</f>
        <v>18925.282033214331</v>
      </c>
      <c r="BL486" s="89">
        <f t="shared" si="318"/>
        <v>18.099877223382997</v>
      </c>
      <c r="BM486" s="89">
        <f t="shared" si="316"/>
        <v>35.509019226185472</v>
      </c>
    </row>
    <row r="487" spans="1:65" ht="13.5" x14ac:dyDescent="0.25">
      <c r="A487" s="15">
        <v>54970</v>
      </c>
      <c r="B487" s="20">
        <f t="shared" si="317"/>
        <v>690</v>
      </c>
      <c r="C487" s="74">
        <v>47</v>
      </c>
      <c r="D487" s="20">
        <f t="shared" si="308"/>
        <v>3</v>
      </c>
      <c r="E487" s="20">
        <f t="shared" si="322"/>
        <v>85</v>
      </c>
      <c r="F487" s="20">
        <f t="shared" si="294"/>
        <v>340</v>
      </c>
      <c r="G487" s="20">
        <f t="shared" si="307"/>
        <v>37.5</v>
      </c>
      <c r="H487" s="20">
        <f t="shared" si="287"/>
        <v>190</v>
      </c>
      <c r="I487" s="20">
        <f t="shared" si="321"/>
        <v>250</v>
      </c>
      <c r="J487" s="20">
        <f t="shared" si="313"/>
        <v>153.30000000000001</v>
      </c>
      <c r="K487" s="20">
        <f t="shared" si="323"/>
        <v>125</v>
      </c>
      <c r="L487" s="20">
        <v>125</v>
      </c>
      <c r="M487" s="20">
        <v>730</v>
      </c>
      <c r="N487" s="20">
        <f t="shared" si="302"/>
        <v>180</v>
      </c>
      <c r="O487" s="74">
        <v>375</v>
      </c>
      <c r="P487" s="20">
        <f t="shared" si="329"/>
        <v>50</v>
      </c>
      <c r="Q487" s="20">
        <f t="shared" si="330"/>
        <v>21</v>
      </c>
      <c r="R487" s="20">
        <v>100</v>
      </c>
      <c r="S487" s="20">
        <f t="shared" si="288"/>
        <v>60</v>
      </c>
      <c r="T487" s="20">
        <f t="shared" si="324"/>
        <v>36</v>
      </c>
      <c r="U487" s="20"/>
      <c r="V487" s="20">
        <f t="shared" si="300"/>
        <v>0</v>
      </c>
      <c r="W487" s="20">
        <f t="shared" ref="W487:W504" si="331">$W$5*$W$12</f>
        <v>20</v>
      </c>
      <c r="X487" s="20">
        <f t="shared" si="315"/>
        <v>0</v>
      </c>
      <c r="Y487" s="20">
        <f t="shared" si="326"/>
        <v>3.5</v>
      </c>
      <c r="Z487" s="20">
        <f t="shared" si="303"/>
        <v>230</v>
      </c>
      <c r="AA487" s="20">
        <f t="shared" si="325"/>
        <v>306</v>
      </c>
      <c r="AB487" s="20">
        <f t="shared" si="290"/>
        <v>60</v>
      </c>
      <c r="AC487" s="20">
        <f t="shared" si="297"/>
        <v>1.6</v>
      </c>
      <c r="AD487" s="20">
        <f t="shared" si="286"/>
        <v>180</v>
      </c>
      <c r="AE487" s="20">
        <f t="shared" si="289"/>
        <v>1.1000000000000001</v>
      </c>
      <c r="AF487" s="20">
        <f t="shared" si="293"/>
        <v>275</v>
      </c>
      <c r="AG487" s="20">
        <f t="shared" si="299"/>
        <v>18</v>
      </c>
      <c r="AH487" s="20">
        <f t="shared" si="291"/>
        <v>3</v>
      </c>
      <c r="AI487" s="20">
        <f t="shared" ref="AI487:AI504" si="332">$AI$5*$AI$12</f>
        <v>47</v>
      </c>
      <c r="AJ487" s="20">
        <f t="shared" si="305"/>
        <v>90</v>
      </c>
      <c r="AK487" s="20">
        <f t="shared" si="310"/>
        <v>14</v>
      </c>
      <c r="AL487" s="20">
        <f t="shared" si="306"/>
        <v>45</v>
      </c>
      <c r="AM487" s="20">
        <v>46</v>
      </c>
      <c r="AN487" s="20">
        <f t="shared" si="311"/>
        <v>0.75</v>
      </c>
      <c r="AO487" s="20">
        <f t="shared" si="309"/>
        <v>19</v>
      </c>
      <c r="AP487" s="20">
        <f t="shared" si="309"/>
        <v>19</v>
      </c>
      <c r="AQ487" s="20">
        <f t="shared" si="314"/>
        <v>5</v>
      </c>
      <c r="AR487" s="20">
        <f t="shared" si="301"/>
        <v>120</v>
      </c>
      <c r="AS487" s="20">
        <f t="shared" si="304"/>
        <v>120</v>
      </c>
      <c r="AT487" s="20">
        <f t="shared" si="298"/>
        <v>55</v>
      </c>
      <c r="AU487" s="20"/>
      <c r="AV487" s="20"/>
      <c r="AW487" s="20">
        <f t="shared" si="327"/>
        <v>5276.7500000000009</v>
      </c>
      <c r="AX487" s="86">
        <f t="shared" si="292"/>
        <v>5428.4449999999988</v>
      </c>
      <c r="AY487" s="17">
        <f>'[1]D4 Gallon Forecast'!$AP155/1000000</f>
        <v>0</v>
      </c>
      <c r="AZ487" s="17">
        <f>'[1]D4 Gallon Forecast'!$AP187/1000000</f>
        <v>522.01684446628497</v>
      </c>
      <c r="BA487" s="17">
        <f t="shared" si="295"/>
        <v>522.01684446628497</v>
      </c>
      <c r="BB487" s="17">
        <f>'[1]D4 Gallon Forecast'!$AP171/1000000</f>
        <v>0</v>
      </c>
      <c r="BC487" s="87">
        <f>'[1]D4 Gallon Forecast'!$AP347/1000000</f>
        <v>557.63184453683186</v>
      </c>
      <c r="BD487" s="88">
        <f>'[1]D4 Gallon Forecast'!$AP363/1000000</f>
        <v>0</v>
      </c>
      <c r="BE487" s="88">
        <f t="shared" si="296"/>
        <v>557.63184453683186</v>
      </c>
      <c r="BF487" s="76">
        <f t="shared" si="319"/>
        <v>1079.6486890031169</v>
      </c>
      <c r="BG487" s="22">
        <f t="shared" si="320"/>
        <v>2.4197953034809401</v>
      </c>
      <c r="BI487" s="21">
        <f t="shared" si="328"/>
        <v>4702.9000000000005</v>
      </c>
      <c r="BJ487" s="21">
        <f t="shared" si="312"/>
        <v>725.54499999999825</v>
      </c>
      <c r="BK487" s="21">
        <f>'RD Feedstock Breakdown'!ES478</f>
        <v>20850.393718924865</v>
      </c>
      <c r="BL487" s="89">
        <f t="shared" si="318"/>
        <v>19.312202136953339</v>
      </c>
      <c r="BM487" s="89">
        <f t="shared" si="316"/>
        <v>39.941994094544029</v>
      </c>
    </row>
    <row r="488" spans="1:65" ht="13.5" x14ac:dyDescent="0.25">
      <c r="A488" s="15">
        <v>55001</v>
      </c>
      <c r="B488" s="20">
        <f t="shared" si="317"/>
        <v>690</v>
      </c>
      <c r="C488" s="74">
        <v>47</v>
      </c>
      <c r="D488" s="20">
        <f t="shared" si="308"/>
        <v>3</v>
      </c>
      <c r="E488" s="20">
        <f t="shared" si="322"/>
        <v>85</v>
      </c>
      <c r="F488" s="20">
        <f t="shared" si="294"/>
        <v>340</v>
      </c>
      <c r="G488" s="20">
        <f t="shared" si="307"/>
        <v>37.5</v>
      </c>
      <c r="H488" s="20">
        <f t="shared" si="287"/>
        <v>190</v>
      </c>
      <c r="I488" s="20">
        <f t="shared" si="321"/>
        <v>250</v>
      </c>
      <c r="J488" s="20">
        <f t="shared" si="313"/>
        <v>153.30000000000001</v>
      </c>
      <c r="K488" s="20">
        <f t="shared" si="323"/>
        <v>125</v>
      </c>
      <c r="L488" s="20">
        <v>125</v>
      </c>
      <c r="M488" s="20">
        <v>730</v>
      </c>
      <c r="N488" s="20">
        <f t="shared" si="302"/>
        <v>180</v>
      </c>
      <c r="O488" s="74">
        <v>375</v>
      </c>
      <c r="P488" s="20">
        <f t="shared" si="329"/>
        <v>50</v>
      </c>
      <c r="Q488" s="20">
        <f t="shared" si="330"/>
        <v>21</v>
      </c>
      <c r="R488" s="20">
        <v>100</v>
      </c>
      <c r="S488" s="20">
        <f t="shared" si="288"/>
        <v>60</v>
      </c>
      <c r="T488" s="20">
        <f t="shared" si="324"/>
        <v>36</v>
      </c>
      <c r="U488" s="20"/>
      <c r="V488" s="20">
        <f t="shared" si="300"/>
        <v>0</v>
      </c>
      <c r="W488" s="20">
        <f t="shared" si="331"/>
        <v>20</v>
      </c>
      <c r="X488" s="20">
        <f t="shared" si="315"/>
        <v>0</v>
      </c>
      <c r="Y488" s="20">
        <f t="shared" si="326"/>
        <v>3.5</v>
      </c>
      <c r="Z488" s="20">
        <f t="shared" si="303"/>
        <v>230</v>
      </c>
      <c r="AA488" s="20">
        <f t="shared" si="325"/>
        <v>306</v>
      </c>
      <c r="AB488" s="20">
        <f t="shared" si="290"/>
        <v>60</v>
      </c>
      <c r="AC488" s="20">
        <f t="shared" si="297"/>
        <v>1.6</v>
      </c>
      <c r="AD488" s="20">
        <f t="shared" si="286"/>
        <v>180</v>
      </c>
      <c r="AE488" s="20">
        <f t="shared" si="289"/>
        <v>1.1000000000000001</v>
      </c>
      <c r="AF488" s="20">
        <f t="shared" si="293"/>
        <v>275</v>
      </c>
      <c r="AG488" s="20">
        <f t="shared" si="299"/>
        <v>18</v>
      </c>
      <c r="AH488" s="20">
        <f t="shared" si="291"/>
        <v>3</v>
      </c>
      <c r="AI488" s="20">
        <f t="shared" si="332"/>
        <v>47</v>
      </c>
      <c r="AJ488" s="20">
        <f t="shared" si="305"/>
        <v>90</v>
      </c>
      <c r="AK488" s="20">
        <f t="shared" si="310"/>
        <v>14</v>
      </c>
      <c r="AL488" s="20">
        <f t="shared" si="306"/>
        <v>45</v>
      </c>
      <c r="AM488" s="20">
        <v>46</v>
      </c>
      <c r="AN488" s="20">
        <f t="shared" si="311"/>
        <v>0.75</v>
      </c>
      <c r="AO488" s="20">
        <f t="shared" si="309"/>
        <v>19</v>
      </c>
      <c r="AP488" s="20">
        <f t="shared" si="309"/>
        <v>19</v>
      </c>
      <c r="AQ488" s="20">
        <f t="shared" si="314"/>
        <v>5</v>
      </c>
      <c r="AR488" s="20">
        <f t="shared" si="301"/>
        <v>120</v>
      </c>
      <c r="AS488" s="20">
        <f t="shared" si="304"/>
        <v>120</v>
      </c>
      <c r="AT488" s="20">
        <f t="shared" si="298"/>
        <v>55</v>
      </c>
      <c r="AU488" s="20"/>
      <c r="AV488" s="20"/>
      <c r="AW488" s="20">
        <f t="shared" si="327"/>
        <v>5276.7500000000009</v>
      </c>
      <c r="AX488" s="86">
        <f t="shared" si="292"/>
        <v>5428.4449999999988</v>
      </c>
      <c r="AY488" s="17">
        <f>'[1]D4 Gallon Forecast'!$AP156/1000000</f>
        <v>0</v>
      </c>
      <c r="AZ488" s="17">
        <f>'[1]D4 Gallon Forecast'!$AP188/1000000</f>
        <v>529.48718434416128</v>
      </c>
      <c r="BA488" s="17">
        <f t="shared" si="295"/>
        <v>529.48718434416128</v>
      </c>
      <c r="BB488" s="17">
        <f>'[1]D4 Gallon Forecast'!$AP172/1000000</f>
        <v>0</v>
      </c>
      <c r="BC488" s="87">
        <f>'[1]D4 Gallon Forecast'!$AP348/1000000</f>
        <v>607.16844255397359</v>
      </c>
      <c r="BD488" s="88">
        <f>'[1]D4 Gallon Forecast'!$AP364/1000000</f>
        <v>0</v>
      </c>
      <c r="BE488" s="88">
        <f t="shared" si="296"/>
        <v>607.16844255397359</v>
      </c>
      <c r="BF488" s="76">
        <f t="shared" si="319"/>
        <v>1136.6556268981349</v>
      </c>
      <c r="BG488" s="22">
        <f t="shared" si="320"/>
        <v>2.4653843502074562</v>
      </c>
      <c r="BI488" s="21">
        <f t="shared" si="328"/>
        <v>4702.9000000000005</v>
      </c>
      <c r="BJ488" s="21">
        <f t="shared" si="312"/>
        <v>725.54499999999825</v>
      </c>
      <c r="BK488" s="21">
        <f>'RD Feedstock Breakdown'!ES479</f>
        <v>22364.887092620651</v>
      </c>
      <c r="BL488" s="89">
        <f t="shared" si="318"/>
        <v>19.676044848916192</v>
      </c>
      <c r="BM488" s="89">
        <f t="shared" si="316"/>
        <v>42.238769424273173</v>
      </c>
    </row>
    <row r="489" spans="1:65" ht="13.5" x14ac:dyDescent="0.25">
      <c r="A489" s="15">
        <v>55032</v>
      </c>
      <c r="B489" s="20">
        <f t="shared" si="317"/>
        <v>690</v>
      </c>
      <c r="C489" s="74">
        <v>47</v>
      </c>
      <c r="D489" s="20">
        <f t="shared" si="308"/>
        <v>3</v>
      </c>
      <c r="E489" s="20">
        <f t="shared" si="322"/>
        <v>85</v>
      </c>
      <c r="F489" s="20">
        <f t="shared" si="294"/>
        <v>340</v>
      </c>
      <c r="G489" s="20">
        <f t="shared" si="307"/>
        <v>37.5</v>
      </c>
      <c r="H489" s="20">
        <f t="shared" si="287"/>
        <v>190</v>
      </c>
      <c r="I489" s="20">
        <f t="shared" si="321"/>
        <v>250</v>
      </c>
      <c r="J489" s="20">
        <f t="shared" si="313"/>
        <v>153.30000000000001</v>
      </c>
      <c r="K489" s="20">
        <f t="shared" si="323"/>
        <v>125</v>
      </c>
      <c r="L489" s="20">
        <v>125</v>
      </c>
      <c r="M489" s="20">
        <v>730</v>
      </c>
      <c r="N489" s="20">
        <f t="shared" si="302"/>
        <v>180</v>
      </c>
      <c r="O489" s="74">
        <v>375</v>
      </c>
      <c r="P489" s="20">
        <f t="shared" si="329"/>
        <v>50</v>
      </c>
      <c r="Q489" s="20">
        <f t="shared" si="330"/>
        <v>21</v>
      </c>
      <c r="R489" s="20">
        <v>100</v>
      </c>
      <c r="S489" s="20">
        <f t="shared" si="288"/>
        <v>60</v>
      </c>
      <c r="T489" s="20">
        <f t="shared" si="324"/>
        <v>36</v>
      </c>
      <c r="U489" s="20"/>
      <c r="V489" s="20">
        <f t="shared" si="300"/>
        <v>0</v>
      </c>
      <c r="W489" s="20">
        <f t="shared" si="331"/>
        <v>20</v>
      </c>
      <c r="X489" s="20">
        <f t="shared" si="315"/>
        <v>0</v>
      </c>
      <c r="Y489" s="20">
        <f t="shared" si="326"/>
        <v>3.5</v>
      </c>
      <c r="Z489" s="20">
        <f t="shared" si="303"/>
        <v>230</v>
      </c>
      <c r="AA489" s="20">
        <f t="shared" si="325"/>
        <v>306</v>
      </c>
      <c r="AB489" s="20">
        <f t="shared" si="290"/>
        <v>60</v>
      </c>
      <c r="AC489" s="20">
        <f t="shared" si="297"/>
        <v>1.6</v>
      </c>
      <c r="AD489" s="20">
        <f t="shared" ref="AD489:AD504" si="333">150*$AD$12+(50*$AD$12)</f>
        <v>180</v>
      </c>
      <c r="AE489" s="20">
        <f t="shared" si="289"/>
        <v>1.1000000000000001</v>
      </c>
      <c r="AF489" s="20">
        <f t="shared" si="293"/>
        <v>275</v>
      </c>
      <c r="AG489" s="20">
        <f t="shared" si="299"/>
        <v>18</v>
      </c>
      <c r="AH489" s="20">
        <f t="shared" si="291"/>
        <v>3</v>
      </c>
      <c r="AI489" s="20">
        <f t="shared" si="332"/>
        <v>47</v>
      </c>
      <c r="AJ489" s="20">
        <f t="shared" si="305"/>
        <v>90</v>
      </c>
      <c r="AK489" s="20">
        <f t="shared" si="310"/>
        <v>14</v>
      </c>
      <c r="AL489" s="20">
        <f t="shared" si="306"/>
        <v>45</v>
      </c>
      <c r="AM489" s="20">
        <v>46</v>
      </c>
      <c r="AN489" s="20">
        <f t="shared" si="311"/>
        <v>0.75</v>
      </c>
      <c r="AO489" s="20">
        <f t="shared" si="309"/>
        <v>19</v>
      </c>
      <c r="AP489" s="20">
        <f t="shared" si="309"/>
        <v>19</v>
      </c>
      <c r="AQ489" s="20">
        <f t="shared" si="314"/>
        <v>5</v>
      </c>
      <c r="AR489" s="20">
        <f t="shared" si="301"/>
        <v>120</v>
      </c>
      <c r="AS489" s="20">
        <f t="shared" si="304"/>
        <v>120</v>
      </c>
      <c r="AT489" s="20">
        <f t="shared" si="298"/>
        <v>55</v>
      </c>
      <c r="AU489" s="20"/>
      <c r="AV489" s="20"/>
      <c r="AW489" s="20">
        <f t="shared" si="327"/>
        <v>5276.7500000000009</v>
      </c>
      <c r="AX489" s="86">
        <f t="shared" si="292"/>
        <v>5428.4449999999988</v>
      </c>
      <c r="AY489" s="17">
        <f>'[1]D4 Gallon Forecast'!$AP157/1000000</f>
        <v>0</v>
      </c>
      <c r="AZ489" s="17">
        <f>'[1]D4 Gallon Forecast'!$AP189/1000000</f>
        <v>539.13750486310664</v>
      </c>
      <c r="BA489" s="17">
        <f t="shared" si="295"/>
        <v>539.13750486310664</v>
      </c>
      <c r="BB489" s="17">
        <f>'[1]D4 Gallon Forecast'!$AP173/1000000</f>
        <v>0</v>
      </c>
      <c r="BC489" s="87">
        <f>'[1]D4 Gallon Forecast'!$AP349/1000000</f>
        <v>738.46412265584945</v>
      </c>
      <c r="BD489" s="88">
        <f>'[1]D4 Gallon Forecast'!$AP365/1000000</f>
        <v>0</v>
      </c>
      <c r="BE489" s="88">
        <f t="shared" si="296"/>
        <v>738.46412265584945</v>
      </c>
      <c r="BF489" s="76">
        <f t="shared" si="319"/>
        <v>1277.6016275189561</v>
      </c>
      <c r="BG489" s="22">
        <f t="shared" si="320"/>
        <v>2.7710935341783052</v>
      </c>
      <c r="BI489" s="21">
        <f t="shared" si="328"/>
        <v>4702.9000000000005</v>
      </c>
      <c r="BJ489" s="21">
        <f t="shared" si="312"/>
        <v>725.54499999999825</v>
      </c>
      <c r="BK489" s="21">
        <f>'RD Feedstock Breakdown'!ES480</f>
        <v>28255.292685388042</v>
      </c>
      <c r="BL489" s="89">
        <f t="shared" si="318"/>
        <v>22.115886577460401</v>
      </c>
      <c r="BM489" s="89">
        <f t="shared" si="316"/>
        <v>52.408323350760753</v>
      </c>
    </row>
    <row r="490" spans="1:65" ht="13.5" x14ac:dyDescent="0.25">
      <c r="A490" s="15">
        <v>55062</v>
      </c>
      <c r="B490" s="20">
        <f t="shared" si="317"/>
        <v>690</v>
      </c>
      <c r="C490" s="74">
        <v>47</v>
      </c>
      <c r="D490" s="20">
        <f t="shared" si="308"/>
        <v>3</v>
      </c>
      <c r="E490" s="20">
        <f t="shared" si="322"/>
        <v>85</v>
      </c>
      <c r="F490" s="20">
        <f t="shared" si="294"/>
        <v>340</v>
      </c>
      <c r="G490" s="20">
        <f t="shared" si="307"/>
        <v>37.5</v>
      </c>
      <c r="H490" s="20">
        <f t="shared" ref="H490:H504" si="334">50+((200*$H$12)*1)</f>
        <v>190</v>
      </c>
      <c r="I490" s="20">
        <f t="shared" si="321"/>
        <v>250</v>
      </c>
      <c r="J490" s="20">
        <f t="shared" si="313"/>
        <v>153.30000000000001</v>
      </c>
      <c r="K490" s="20">
        <f t="shared" si="323"/>
        <v>125</v>
      </c>
      <c r="L490" s="20">
        <v>125</v>
      </c>
      <c r="M490" s="20">
        <v>730</v>
      </c>
      <c r="N490" s="20">
        <f t="shared" si="302"/>
        <v>180</v>
      </c>
      <c r="O490" s="74">
        <v>375</v>
      </c>
      <c r="P490" s="20">
        <f t="shared" si="329"/>
        <v>50</v>
      </c>
      <c r="Q490" s="20">
        <f t="shared" si="330"/>
        <v>21</v>
      </c>
      <c r="R490" s="20">
        <v>100</v>
      </c>
      <c r="S490" s="20">
        <f t="shared" si="288"/>
        <v>60</v>
      </c>
      <c r="T490" s="20">
        <f t="shared" si="324"/>
        <v>36</v>
      </c>
      <c r="U490" s="20"/>
      <c r="V490" s="20">
        <f t="shared" si="300"/>
        <v>0</v>
      </c>
      <c r="W490" s="20">
        <f t="shared" si="331"/>
        <v>20</v>
      </c>
      <c r="X490" s="20">
        <f t="shared" si="315"/>
        <v>0</v>
      </c>
      <c r="Y490" s="20">
        <f t="shared" si="326"/>
        <v>3.5</v>
      </c>
      <c r="Z490" s="20">
        <f t="shared" si="303"/>
        <v>230</v>
      </c>
      <c r="AA490" s="20">
        <f t="shared" si="325"/>
        <v>306</v>
      </c>
      <c r="AB490" s="20">
        <f t="shared" si="290"/>
        <v>60</v>
      </c>
      <c r="AC490" s="20">
        <f t="shared" si="297"/>
        <v>1.6</v>
      </c>
      <c r="AD490" s="20">
        <f t="shared" si="333"/>
        <v>180</v>
      </c>
      <c r="AE490" s="20">
        <f t="shared" si="289"/>
        <v>1.1000000000000001</v>
      </c>
      <c r="AF490" s="20">
        <f t="shared" si="293"/>
        <v>275</v>
      </c>
      <c r="AG490" s="20">
        <f t="shared" si="299"/>
        <v>18</v>
      </c>
      <c r="AH490" s="20">
        <f t="shared" si="291"/>
        <v>3</v>
      </c>
      <c r="AI490" s="20">
        <f t="shared" si="332"/>
        <v>47</v>
      </c>
      <c r="AJ490" s="20">
        <f t="shared" si="305"/>
        <v>90</v>
      </c>
      <c r="AK490" s="20">
        <f t="shared" si="310"/>
        <v>14</v>
      </c>
      <c r="AL490" s="20">
        <f t="shared" si="306"/>
        <v>45</v>
      </c>
      <c r="AM490" s="20">
        <v>46</v>
      </c>
      <c r="AN490" s="20">
        <f t="shared" si="311"/>
        <v>0.75</v>
      </c>
      <c r="AO490" s="20">
        <f t="shared" si="309"/>
        <v>19</v>
      </c>
      <c r="AP490" s="20">
        <f t="shared" si="309"/>
        <v>19</v>
      </c>
      <c r="AQ490" s="20">
        <f t="shared" si="314"/>
        <v>5</v>
      </c>
      <c r="AR490" s="20">
        <f t="shared" si="301"/>
        <v>120</v>
      </c>
      <c r="AS490" s="20">
        <f t="shared" si="304"/>
        <v>120</v>
      </c>
      <c r="AT490" s="20">
        <f t="shared" si="298"/>
        <v>55</v>
      </c>
      <c r="AU490" s="20"/>
      <c r="AV490" s="20"/>
      <c r="AW490" s="20">
        <f t="shared" si="327"/>
        <v>5276.7500000000009</v>
      </c>
      <c r="AX490" s="86">
        <f t="shared" si="292"/>
        <v>5428.4449999999988</v>
      </c>
      <c r="AY490" s="17">
        <f>'[1]D4 Gallon Forecast'!$AP158/1000000</f>
        <v>0</v>
      </c>
      <c r="AZ490" s="17">
        <f>'[1]D4 Gallon Forecast'!$AP190/1000000</f>
        <v>592.44066124624612</v>
      </c>
      <c r="BA490" s="17">
        <f t="shared" si="295"/>
        <v>592.44066124624612</v>
      </c>
      <c r="BB490" s="17">
        <f>'[1]D4 Gallon Forecast'!$AP174/1000000</f>
        <v>0</v>
      </c>
      <c r="BC490" s="87">
        <f>'[1]D4 Gallon Forecast'!$AP350/1000000</f>
        <v>721.03935158478771</v>
      </c>
      <c r="BD490" s="88">
        <f>'[1]D4 Gallon Forecast'!$AP366/1000000</f>
        <v>0</v>
      </c>
      <c r="BE490" s="88">
        <f t="shared" si="296"/>
        <v>721.03935158478771</v>
      </c>
      <c r="BF490" s="76">
        <f t="shared" si="319"/>
        <v>1313.4800128310339</v>
      </c>
      <c r="BG490" s="22">
        <f t="shared" si="320"/>
        <v>2.9438768357134038</v>
      </c>
      <c r="BI490" s="21">
        <f t="shared" si="328"/>
        <v>4702.9000000000005</v>
      </c>
      <c r="BJ490" s="21">
        <f t="shared" si="312"/>
        <v>725.54499999999825</v>
      </c>
      <c r="BK490" s="21">
        <f>'RD Feedstock Breakdown'!ES481</f>
        <v>30860.02501576233</v>
      </c>
      <c r="BL490" s="89">
        <f t="shared" si="318"/>
        <v>23.49485695579607</v>
      </c>
      <c r="BM490" s="89">
        <f t="shared" si="316"/>
        <v>52.089647173855035</v>
      </c>
    </row>
    <row r="491" spans="1:65" ht="13.5" x14ac:dyDescent="0.25">
      <c r="A491" s="15">
        <v>55093</v>
      </c>
      <c r="B491" s="20">
        <f t="shared" si="317"/>
        <v>690</v>
      </c>
      <c r="C491" s="74">
        <v>47</v>
      </c>
      <c r="D491" s="20">
        <f t="shared" si="308"/>
        <v>3</v>
      </c>
      <c r="E491" s="20">
        <f t="shared" si="322"/>
        <v>85</v>
      </c>
      <c r="F491" s="20">
        <f t="shared" si="294"/>
        <v>340</v>
      </c>
      <c r="G491" s="20">
        <f t="shared" si="307"/>
        <v>37.5</v>
      </c>
      <c r="H491" s="20">
        <f t="shared" si="334"/>
        <v>190</v>
      </c>
      <c r="I491" s="20">
        <f t="shared" si="321"/>
        <v>250</v>
      </c>
      <c r="J491" s="20">
        <f t="shared" si="313"/>
        <v>153.30000000000001</v>
      </c>
      <c r="K491" s="20">
        <f t="shared" si="323"/>
        <v>125</v>
      </c>
      <c r="L491" s="20">
        <v>125</v>
      </c>
      <c r="M491" s="20">
        <v>730</v>
      </c>
      <c r="N491" s="20">
        <f t="shared" si="302"/>
        <v>180</v>
      </c>
      <c r="O491" s="74">
        <v>375</v>
      </c>
      <c r="P491" s="20">
        <f t="shared" si="329"/>
        <v>50</v>
      </c>
      <c r="Q491" s="20">
        <f t="shared" si="330"/>
        <v>21</v>
      </c>
      <c r="R491" s="20">
        <v>100</v>
      </c>
      <c r="S491" s="20">
        <f t="shared" si="288"/>
        <v>60</v>
      </c>
      <c r="T491" s="20">
        <f t="shared" si="324"/>
        <v>36</v>
      </c>
      <c r="U491" s="20"/>
      <c r="V491" s="20">
        <f t="shared" si="300"/>
        <v>0</v>
      </c>
      <c r="W491" s="20">
        <f t="shared" si="331"/>
        <v>20</v>
      </c>
      <c r="X491" s="20">
        <f t="shared" si="315"/>
        <v>0</v>
      </c>
      <c r="Y491" s="20">
        <f t="shared" si="326"/>
        <v>3.5</v>
      </c>
      <c r="Z491" s="20">
        <f t="shared" si="303"/>
        <v>230</v>
      </c>
      <c r="AA491" s="20">
        <f t="shared" si="325"/>
        <v>306</v>
      </c>
      <c r="AB491" s="20">
        <f t="shared" si="290"/>
        <v>60</v>
      </c>
      <c r="AC491" s="20">
        <f t="shared" si="297"/>
        <v>1.6</v>
      </c>
      <c r="AD491" s="20">
        <f t="shared" si="333"/>
        <v>180</v>
      </c>
      <c r="AE491" s="20">
        <f t="shared" si="289"/>
        <v>1.1000000000000001</v>
      </c>
      <c r="AF491" s="20">
        <f t="shared" si="293"/>
        <v>275</v>
      </c>
      <c r="AG491" s="20">
        <f t="shared" si="299"/>
        <v>18</v>
      </c>
      <c r="AH491" s="20">
        <f t="shared" si="291"/>
        <v>3</v>
      </c>
      <c r="AI491" s="20">
        <f t="shared" si="332"/>
        <v>47</v>
      </c>
      <c r="AJ491" s="20">
        <f t="shared" si="305"/>
        <v>90</v>
      </c>
      <c r="AK491" s="20">
        <f t="shared" si="310"/>
        <v>14</v>
      </c>
      <c r="AL491" s="20">
        <f t="shared" si="306"/>
        <v>45</v>
      </c>
      <c r="AM491" s="20">
        <v>46</v>
      </c>
      <c r="AN491" s="20">
        <f t="shared" si="311"/>
        <v>0.75</v>
      </c>
      <c r="AO491" s="20">
        <f t="shared" si="309"/>
        <v>19</v>
      </c>
      <c r="AP491" s="20">
        <f t="shared" si="309"/>
        <v>19</v>
      </c>
      <c r="AQ491" s="20">
        <f t="shared" si="314"/>
        <v>5</v>
      </c>
      <c r="AR491" s="20">
        <f t="shared" si="301"/>
        <v>120</v>
      </c>
      <c r="AS491" s="20">
        <f t="shared" si="304"/>
        <v>120</v>
      </c>
      <c r="AT491" s="20">
        <f t="shared" si="298"/>
        <v>55</v>
      </c>
      <c r="AU491" s="20"/>
      <c r="AV491" s="20"/>
      <c r="AW491" s="20">
        <f t="shared" si="327"/>
        <v>5276.7500000000009</v>
      </c>
      <c r="AX491" s="86">
        <f t="shared" si="292"/>
        <v>5428.4449999999988</v>
      </c>
      <c r="AY491" s="17">
        <f>'[1]D4 Gallon Forecast'!$AP159/1000000</f>
        <v>0</v>
      </c>
      <c r="AZ491" s="17">
        <f>'[1]D4 Gallon Forecast'!$AP191/1000000</f>
        <v>719.80228374370449</v>
      </c>
      <c r="BA491" s="17">
        <f t="shared" si="295"/>
        <v>719.80228374370449</v>
      </c>
      <c r="BB491" s="17">
        <f>'[1]D4 Gallon Forecast'!$AP175/1000000</f>
        <v>0</v>
      </c>
      <c r="BC491" s="87">
        <f>'[1]D4 Gallon Forecast'!$AP351/1000000</f>
        <v>623.91761026345955</v>
      </c>
      <c r="BD491" s="88">
        <f>'[1]D4 Gallon Forecast'!$AP367/1000000</f>
        <v>0</v>
      </c>
      <c r="BE491" s="88">
        <f t="shared" si="296"/>
        <v>623.91761026345955</v>
      </c>
      <c r="BF491" s="76">
        <f t="shared" si="319"/>
        <v>1343.7198940071639</v>
      </c>
      <c r="BG491" s="22">
        <f t="shared" si="320"/>
        <v>2.9145027916573802</v>
      </c>
      <c r="BI491" s="21">
        <f t="shared" si="328"/>
        <v>4702.9000000000005</v>
      </c>
      <c r="BJ491" s="21">
        <f t="shared" si="312"/>
        <v>725.54499999999825</v>
      </c>
      <c r="BK491" s="21">
        <f>'RD Feedstock Breakdown'!ES482</f>
        <v>31255.495742945419</v>
      </c>
      <c r="BL491" s="89">
        <f t="shared" si="318"/>
        <v>23.260424945958849</v>
      </c>
      <c r="BM491" s="89">
        <f t="shared" si="316"/>
        <v>43.422334783914593</v>
      </c>
    </row>
    <row r="492" spans="1:65" ht="13.5" x14ac:dyDescent="0.25">
      <c r="A492" s="15">
        <v>55123</v>
      </c>
      <c r="B492" s="20">
        <f t="shared" si="317"/>
        <v>690</v>
      </c>
      <c r="C492" s="74">
        <v>47</v>
      </c>
      <c r="D492" s="20">
        <f t="shared" si="308"/>
        <v>3</v>
      </c>
      <c r="E492" s="20">
        <f t="shared" si="322"/>
        <v>85</v>
      </c>
      <c r="F492" s="20">
        <f t="shared" si="294"/>
        <v>340</v>
      </c>
      <c r="G492" s="20">
        <f t="shared" si="307"/>
        <v>37.5</v>
      </c>
      <c r="H492" s="20">
        <f t="shared" si="334"/>
        <v>190</v>
      </c>
      <c r="I492" s="20">
        <f t="shared" si="321"/>
        <v>250</v>
      </c>
      <c r="J492" s="20">
        <f t="shared" si="313"/>
        <v>153.30000000000001</v>
      </c>
      <c r="K492" s="20">
        <f t="shared" si="323"/>
        <v>125</v>
      </c>
      <c r="L492" s="20">
        <v>125</v>
      </c>
      <c r="M492" s="20">
        <v>730</v>
      </c>
      <c r="N492" s="20">
        <f t="shared" si="302"/>
        <v>180</v>
      </c>
      <c r="O492" s="74">
        <v>375</v>
      </c>
      <c r="P492" s="20">
        <f t="shared" si="329"/>
        <v>50</v>
      </c>
      <c r="Q492" s="20">
        <f t="shared" si="330"/>
        <v>21</v>
      </c>
      <c r="R492" s="20">
        <v>100</v>
      </c>
      <c r="S492" s="20">
        <f t="shared" si="288"/>
        <v>60</v>
      </c>
      <c r="T492" s="20">
        <f t="shared" si="324"/>
        <v>36</v>
      </c>
      <c r="U492" s="20"/>
      <c r="V492" s="20">
        <f t="shared" si="300"/>
        <v>0</v>
      </c>
      <c r="W492" s="20">
        <f t="shared" si="331"/>
        <v>20</v>
      </c>
      <c r="X492" s="20">
        <f t="shared" si="315"/>
        <v>0</v>
      </c>
      <c r="Y492" s="20">
        <f t="shared" si="326"/>
        <v>3.5</v>
      </c>
      <c r="Z492" s="20">
        <f t="shared" si="303"/>
        <v>230</v>
      </c>
      <c r="AA492" s="20">
        <f t="shared" si="325"/>
        <v>306</v>
      </c>
      <c r="AB492" s="20">
        <f t="shared" si="290"/>
        <v>60</v>
      </c>
      <c r="AC492" s="20">
        <f t="shared" si="297"/>
        <v>1.6</v>
      </c>
      <c r="AD492" s="20">
        <f t="shared" si="333"/>
        <v>180</v>
      </c>
      <c r="AE492" s="20">
        <f t="shared" si="289"/>
        <v>1.1000000000000001</v>
      </c>
      <c r="AF492" s="20">
        <f t="shared" si="293"/>
        <v>275</v>
      </c>
      <c r="AG492" s="20">
        <f t="shared" si="299"/>
        <v>18</v>
      </c>
      <c r="AH492" s="20">
        <f t="shared" si="291"/>
        <v>3</v>
      </c>
      <c r="AI492" s="20">
        <f t="shared" si="332"/>
        <v>47</v>
      </c>
      <c r="AJ492" s="20">
        <f t="shared" si="305"/>
        <v>90</v>
      </c>
      <c r="AK492" s="20">
        <f t="shared" si="310"/>
        <v>14</v>
      </c>
      <c r="AL492" s="20">
        <f t="shared" si="306"/>
        <v>45</v>
      </c>
      <c r="AM492" s="20">
        <v>46</v>
      </c>
      <c r="AN492" s="20">
        <f t="shared" si="311"/>
        <v>0.75</v>
      </c>
      <c r="AO492" s="20">
        <f t="shared" si="309"/>
        <v>19</v>
      </c>
      <c r="AP492" s="20">
        <f t="shared" si="309"/>
        <v>19</v>
      </c>
      <c r="AQ492" s="20">
        <f t="shared" si="314"/>
        <v>5</v>
      </c>
      <c r="AR492" s="20">
        <f t="shared" si="301"/>
        <v>120</v>
      </c>
      <c r="AS492" s="20">
        <f t="shared" si="304"/>
        <v>120</v>
      </c>
      <c r="AT492" s="20">
        <f t="shared" si="298"/>
        <v>55</v>
      </c>
      <c r="AU492" s="20"/>
      <c r="AV492" s="20"/>
      <c r="AW492" s="20">
        <f t="shared" si="327"/>
        <v>5276.7500000000009</v>
      </c>
      <c r="AX492" s="86">
        <f t="shared" si="292"/>
        <v>5428.4449999999988</v>
      </c>
      <c r="AY492" s="17">
        <f>'[1]D4 Gallon Forecast'!$AP160/1000000</f>
        <v>0</v>
      </c>
      <c r="AZ492" s="17">
        <f>'[1]D4 Gallon Forecast'!$AP192/1000000</f>
        <v>816.73861000733473</v>
      </c>
      <c r="BA492" s="17">
        <f t="shared" si="295"/>
        <v>816.73861000733473</v>
      </c>
      <c r="BB492" s="17">
        <f>'[1]D4 Gallon Forecast'!$AP176/1000000</f>
        <v>0</v>
      </c>
      <c r="BC492" s="87">
        <f>'[1]D4 Gallon Forecast'!$AP352/1000000</f>
        <v>560.61717341559699</v>
      </c>
      <c r="BD492" s="88">
        <f>'[1]D4 Gallon Forecast'!$AP368/1000000</f>
        <v>0</v>
      </c>
      <c r="BE492" s="88">
        <f t="shared" si="296"/>
        <v>560.61717341559699</v>
      </c>
      <c r="BF492" s="76">
        <f t="shared" si="319"/>
        <v>1377.3557834229318</v>
      </c>
      <c r="BG492" s="22">
        <f t="shared" si="320"/>
        <v>3.0870403399707174</v>
      </c>
      <c r="BI492" s="21">
        <f t="shared" si="328"/>
        <v>4702.9000000000005</v>
      </c>
      <c r="BJ492" s="21">
        <f t="shared" si="312"/>
        <v>725.54499999999825</v>
      </c>
      <c r="BK492" s="21">
        <f>'RD Feedstock Breakdown'!ES483</f>
        <v>33934.512190057285</v>
      </c>
      <c r="BL492" s="89">
        <f t="shared" si="318"/>
        <v>24.637433986536891</v>
      </c>
      <c r="BM492" s="89">
        <f t="shared" si="316"/>
        <v>41.548803710592956</v>
      </c>
    </row>
    <row r="493" spans="1:65" ht="13.5" x14ac:dyDescent="0.25">
      <c r="A493" s="15">
        <v>55154</v>
      </c>
      <c r="B493" s="20">
        <f t="shared" si="317"/>
        <v>690</v>
      </c>
      <c r="C493" s="74">
        <v>47</v>
      </c>
      <c r="D493" s="20">
        <f t="shared" si="308"/>
        <v>3</v>
      </c>
      <c r="E493" s="20">
        <f t="shared" si="322"/>
        <v>85</v>
      </c>
      <c r="F493" s="20">
        <f t="shared" si="294"/>
        <v>340</v>
      </c>
      <c r="G493" s="20">
        <f t="shared" si="307"/>
        <v>37.5</v>
      </c>
      <c r="H493" s="20">
        <f t="shared" si="334"/>
        <v>190</v>
      </c>
      <c r="I493" s="20">
        <f t="shared" si="321"/>
        <v>250</v>
      </c>
      <c r="J493" s="20">
        <f t="shared" si="313"/>
        <v>153.30000000000001</v>
      </c>
      <c r="K493" s="20">
        <f t="shared" si="323"/>
        <v>125</v>
      </c>
      <c r="L493" s="20">
        <v>125</v>
      </c>
      <c r="M493" s="20">
        <v>730</v>
      </c>
      <c r="N493" s="20">
        <f t="shared" si="302"/>
        <v>180</v>
      </c>
      <c r="O493" s="74">
        <v>375</v>
      </c>
      <c r="P493" s="20">
        <f t="shared" si="329"/>
        <v>50</v>
      </c>
      <c r="Q493" s="20">
        <f t="shared" si="330"/>
        <v>21</v>
      </c>
      <c r="R493" s="20">
        <v>100</v>
      </c>
      <c r="S493" s="20">
        <f t="shared" si="288"/>
        <v>60</v>
      </c>
      <c r="T493" s="20">
        <f t="shared" si="324"/>
        <v>36</v>
      </c>
      <c r="U493" s="20"/>
      <c r="V493" s="20">
        <f t="shared" ref="V493:V504" si="335">$V$5*$V$12</f>
        <v>0</v>
      </c>
      <c r="W493" s="20">
        <f t="shared" si="331"/>
        <v>20</v>
      </c>
      <c r="X493" s="20">
        <f t="shared" si="315"/>
        <v>0</v>
      </c>
      <c r="Y493" s="20">
        <f t="shared" si="326"/>
        <v>3.5</v>
      </c>
      <c r="Z493" s="20">
        <f t="shared" si="303"/>
        <v>230</v>
      </c>
      <c r="AA493" s="20">
        <f t="shared" si="325"/>
        <v>306</v>
      </c>
      <c r="AB493" s="20">
        <f t="shared" si="290"/>
        <v>60</v>
      </c>
      <c r="AC493" s="20">
        <f t="shared" si="297"/>
        <v>1.6</v>
      </c>
      <c r="AD493" s="20">
        <f t="shared" si="333"/>
        <v>180</v>
      </c>
      <c r="AE493" s="20">
        <f t="shared" si="289"/>
        <v>1.1000000000000001</v>
      </c>
      <c r="AF493" s="20">
        <f t="shared" si="293"/>
        <v>275</v>
      </c>
      <c r="AG493" s="20">
        <f t="shared" si="299"/>
        <v>18</v>
      </c>
      <c r="AH493" s="20">
        <f t="shared" si="291"/>
        <v>3</v>
      </c>
      <c r="AI493" s="20">
        <f t="shared" si="332"/>
        <v>47</v>
      </c>
      <c r="AJ493" s="20">
        <f t="shared" si="305"/>
        <v>90</v>
      </c>
      <c r="AK493" s="20">
        <f t="shared" si="310"/>
        <v>14</v>
      </c>
      <c r="AL493" s="20">
        <f t="shared" si="306"/>
        <v>45</v>
      </c>
      <c r="AM493" s="20">
        <v>46</v>
      </c>
      <c r="AN493" s="20">
        <f t="shared" si="311"/>
        <v>0.75</v>
      </c>
      <c r="AO493" s="20">
        <f t="shared" ref="AO493:AP504" si="336">$AO$12*$AO$5</f>
        <v>19</v>
      </c>
      <c r="AP493" s="20">
        <f t="shared" si="336"/>
        <v>19</v>
      </c>
      <c r="AQ493" s="20">
        <f t="shared" si="314"/>
        <v>5</v>
      </c>
      <c r="AR493" s="20">
        <f t="shared" ref="AR493:AR504" si="337">$AR$5*$AR$12</f>
        <v>120</v>
      </c>
      <c r="AS493" s="20">
        <f t="shared" si="304"/>
        <v>120</v>
      </c>
      <c r="AT493" s="20">
        <f t="shared" si="298"/>
        <v>55</v>
      </c>
      <c r="AU493" s="20"/>
      <c r="AV493" s="20"/>
      <c r="AW493" s="20">
        <f t="shared" si="327"/>
        <v>5276.7500000000009</v>
      </c>
      <c r="AX493" s="86">
        <f t="shared" si="292"/>
        <v>5428.4449999999988</v>
      </c>
      <c r="AY493" s="17">
        <f>'[1]D4 Gallon Forecast'!$AQ149/1000000</f>
        <v>9.9999999999999995E-7</v>
      </c>
      <c r="AZ493" s="17">
        <f>'[1]D4 Gallon Forecast'!$AQ181/1000000</f>
        <v>459.07533498651179</v>
      </c>
      <c r="BA493" s="17">
        <f t="shared" si="295"/>
        <v>459.07533598651179</v>
      </c>
      <c r="BB493" s="17">
        <f>'[1]D4 Gallon Forecast'!$AQ165/1000000</f>
        <v>0</v>
      </c>
      <c r="BC493" s="87">
        <f>'[1]D4 Gallon Forecast'!$AQ341/1000000</f>
        <v>376.91895081091923</v>
      </c>
      <c r="BD493" s="88">
        <f>'[1]D4 Gallon Forecast'!$AQ357/1000000</f>
        <v>0</v>
      </c>
      <c r="BE493" s="88">
        <f t="shared" si="296"/>
        <v>376.91895081091923</v>
      </c>
      <c r="BF493" s="76">
        <f t="shared" si="319"/>
        <v>835.99428679743096</v>
      </c>
      <c r="BG493" s="22">
        <f t="shared" si="320"/>
        <v>1.8132556446825538</v>
      </c>
      <c r="BI493" s="21">
        <f t="shared" si="328"/>
        <v>4702.9000000000005</v>
      </c>
      <c r="BJ493" s="21">
        <f t="shared" si="312"/>
        <v>725.54499999999825</v>
      </c>
      <c r="BK493" s="21">
        <f>'RD Feedstock Breakdown'!ES484</f>
        <v>12098.053940907657</v>
      </c>
      <c r="BL493" s="89">
        <f t="shared" si="318"/>
        <v>14.471455286199971</v>
      </c>
      <c r="BM493" s="89">
        <f t="shared" si="316"/>
        <v>26.353090642323494</v>
      </c>
    </row>
    <row r="494" spans="1:65" ht="13.5" x14ac:dyDescent="0.25">
      <c r="A494" s="15">
        <v>55185</v>
      </c>
      <c r="B494" s="20">
        <f t="shared" si="317"/>
        <v>690</v>
      </c>
      <c r="C494" s="74">
        <v>47</v>
      </c>
      <c r="D494" s="20">
        <f t="shared" si="308"/>
        <v>3</v>
      </c>
      <c r="E494" s="20">
        <f t="shared" si="322"/>
        <v>85</v>
      </c>
      <c r="F494" s="20">
        <f t="shared" si="294"/>
        <v>340</v>
      </c>
      <c r="G494" s="20">
        <f t="shared" si="307"/>
        <v>37.5</v>
      </c>
      <c r="H494" s="20">
        <f t="shared" si="334"/>
        <v>190</v>
      </c>
      <c r="I494" s="20">
        <f t="shared" si="321"/>
        <v>250</v>
      </c>
      <c r="J494" s="20">
        <f t="shared" si="313"/>
        <v>153.30000000000001</v>
      </c>
      <c r="K494" s="20">
        <f t="shared" si="323"/>
        <v>125</v>
      </c>
      <c r="L494" s="20">
        <v>125</v>
      </c>
      <c r="M494" s="20">
        <v>730</v>
      </c>
      <c r="N494" s="20">
        <f t="shared" si="302"/>
        <v>180</v>
      </c>
      <c r="O494" s="74">
        <v>375</v>
      </c>
      <c r="P494" s="20">
        <f t="shared" si="329"/>
        <v>50</v>
      </c>
      <c r="Q494" s="20">
        <f t="shared" si="330"/>
        <v>21</v>
      </c>
      <c r="R494" s="20">
        <v>100</v>
      </c>
      <c r="S494" s="20">
        <f t="shared" ref="S494:S504" si="338">150*$S$12</f>
        <v>60</v>
      </c>
      <c r="T494" s="20">
        <f t="shared" si="324"/>
        <v>36</v>
      </c>
      <c r="U494" s="20"/>
      <c r="V494" s="20">
        <f t="shared" si="335"/>
        <v>0</v>
      </c>
      <c r="W494" s="20">
        <f t="shared" si="331"/>
        <v>20</v>
      </c>
      <c r="X494" s="20">
        <f t="shared" si="315"/>
        <v>0</v>
      </c>
      <c r="Y494" s="20">
        <f t="shared" si="326"/>
        <v>3.5</v>
      </c>
      <c r="Z494" s="20">
        <f>920*$Z$12</f>
        <v>230</v>
      </c>
      <c r="AA494" s="20">
        <f t="shared" si="325"/>
        <v>306</v>
      </c>
      <c r="AB494" s="20">
        <f t="shared" si="290"/>
        <v>60</v>
      </c>
      <c r="AC494" s="20">
        <f t="shared" si="297"/>
        <v>1.6</v>
      </c>
      <c r="AD494" s="20">
        <f t="shared" si="333"/>
        <v>180</v>
      </c>
      <c r="AE494" s="20">
        <f t="shared" si="289"/>
        <v>1.1000000000000001</v>
      </c>
      <c r="AF494" s="20">
        <f t="shared" si="293"/>
        <v>275</v>
      </c>
      <c r="AG494" s="20">
        <f t="shared" si="299"/>
        <v>18</v>
      </c>
      <c r="AH494" s="20">
        <f t="shared" si="291"/>
        <v>3</v>
      </c>
      <c r="AI494" s="20">
        <f t="shared" si="332"/>
        <v>47</v>
      </c>
      <c r="AJ494" s="20">
        <f t="shared" si="305"/>
        <v>90</v>
      </c>
      <c r="AK494" s="20">
        <f t="shared" si="310"/>
        <v>14</v>
      </c>
      <c r="AL494" s="20">
        <f t="shared" si="306"/>
        <v>45</v>
      </c>
      <c r="AM494" s="20">
        <v>46</v>
      </c>
      <c r="AN494" s="20">
        <f t="shared" si="311"/>
        <v>0.75</v>
      </c>
      <c r="AO494" s="20">
        <f t="shared" si="336"/>
        <v>19</v>
      </c>
      <c r="AP494" s="20">
        <f t="shared" si="336"/>
        <v>19</v>
      </c>
      <c r="AQ494" s="20">
        <f t="shared" si="314"/>
        <v>5</v>
      </c>
      <c r="AR494" s="20">
        <f t="shared" si="337"/>
        <v>120</v>
      </c>
      <c r="AS494" s="20">
        <f t="shared" si="304"/>
        <v>120</v>
      </c>
      <c r="AT494" s="20">
        <f t="shared" si="298"/>
        <v>55</v>
      </c>
      <c r="AU494" s="20"/>
      <c r="AV494" s="20"/>
      <c r="AW494" s="20">
        <f t="shared" si="327"/>
        <v>5276.7500000000009</v>
      </c>
      <c r="AX494" s="86">
        <f t="shared" si="292"/>
        <v>5428.4449999999988</v>
      </c>
      <c r="AY494" s="17">
        <f>'[1]D4 Gallon Forecast'!$AQ150/1000000</f>
        <v>9.9999999999999995E-7</v>
      </c>
      <c r="AZ494" s="17">
        <f>'[1]D4 Gallon Forecast'!$AQ182/1000000</f>
        <v>506.22307325584001</v>
      </c>
      <c r="BA494" s="17">
        <f t="shared" si="295"/>
        <v>506.22307425584</v>
      </c>
      <c r="BB494" s="17">
        <f>'[1]D4 Gallon Forecast'!$AQ166/1000000</f>
        <v>0</v>
      </c>
      <c r="BC494" s="87">
        <f>'[1]D4 Gallon Forecast'!$AQ342/1000000</f>
        <v>715.41513540490757</v>
      </c>
      <c r="BD494" s="88">
        <f>'[1]D4 Gallon Forecast'!$AQ358/1000000</f>
        <v>0</v>
      </c>
      <c r="BE494" s="88">
        <f t="shared" si="296"/>
        <v>715.41513540490757</v>
      </c>
      <c r="BF494" s="76">
        <f t="shared" si="319"/>
        <v>1221.6382096607476</v>
      </c>
      <c r="BG494" s="22">
        <f t="shared" si="320"/>
        <v>2.6497099494700125</v>
      </c>
      <c r="BI494" s="21">
        <f t="shared" si="328"/>
        <v>4702.9000000000005</v>
      </c>
      <c r="BJ494" s="21">
        <f t="shared" si="312"/>
        <v>725.54499999999825</v>
      </c>
      <c r="BK494" s="21">
        <f>'RD Feedstock Breakdown'!ES485</f>
        <v>25834.146219076832</v>
      </c>
      <c r="BL494" s="89">
        <f t="shared" si="318"/>
        <v>21.147133426885073</v>
      </c>
      <c r="BM494" s="89">
        <f t="shared" si="316"/>
        <v>51.033126565899124</v>
      </c>
    </row>
    <row r="495" spans="1:65" ht="13.5" x14ac:dyDescent="0.25">
      <c r="A495" s="15">
        <v>55213</v>
      </c>
      <c r="B495" s="20">
        <f t="shared" si="317"/>
        <v>690</v>
      </c>
      <c r="C495" s="74">
        <v>47</v>
      </c>
      <c r="D495" s="20">
        <f t="shared" si="308"/>
        <v>3</v>
      </c>
      <c r="E495" s="20">
        <f t="shared" si="322"/>
        <v>85</v>
      </c>
      <c r="F495" s="20">
        <f t="shared" si="294"/>
        <v>340</v>
      </c>
      <c r="G495" s="20">
        <f t="shared" si="307"/>
        <v>37.5</v>
      </c>
      <c r="H495" s="20">
        <f t="shared" si="334"/>
        <v>190</v>
      </c>
      <c r="I495" s="20">
        <f t="shared" si="321"/>
        <v>250</v>
      </c>
      <c r="J495" s="20">
        <f t="shared" si="313"/>
        <v>153.30000000000001</v>
      </c>
      <c r="K495" s="20">
        <f t="shared" si="323"/>
        <v>125</v>
      </c>
      <c r="L495" s="20">
        <v>125</v>
      </c>
      <c r="M495" s="20">
        <v>730</v>
      </c>
      <c r="N495" s="20">
        <f t="shared" si="302"/>
        <v>180</v>
      </c>
      <c r="O495" s="74">
        <v>375</v>
      </c>
      <c r="P495" s="20">
        <f t="shared" si="329"/>
        <v>50</v>
      </c>
      <c r="Q495" s="20">
        <f t="shared" si="330"/>
        <v>21</v>
      </c>
      <c r="R495" s="20">
        <v>100</v>
      </c>
      <c r="S495" s="20">
        <f t="shared" si="338"/>
        <v>60</v>
      </c>
      <c r="T495" s="20">
        <f t="shared" si="324"/>
        <v>36</v>
      </c>
      <c r="U495" s="20"/>
      <c r="V495" s="20">
        <f t="shared" si="335"/>
        <v>0</v>
      </c>
      <c r="W495" s="20">
        <f t="shared" si="331"/>
        <v>20</v>
      </c>
      <c r="X495" s="20">
        <f t="shared" si="315"/>
        <v>0</v>
      </c>
      <c r="Y495" s="20">
        <f t="shared" si="326"/>
        <v>3.5</v>
      </c>
      <c r="Z495" s="20">
        <f t="shared" si="303"/>
        <v>230</v>
      </c>
      <c r="AA495" s="20">
        <f t="shared" si="325"/>
        <v>306</v>
      </c>
      <c r="AB495" s="20">
        <f t="shared" si="290"/>
        <v>60</v>
      </c>
      <c r="AC495" s="20">
        <f t="shared" si="297"/>
        <v>1.6</v>
      </c>
      <c r="AD495" s="20">
        <f t="shared" si="333"/>
        <v>180</v>
      </c>
      <c r="AE495" s="20">
        <f t="shared" ref="AE495:AE504" si="339">55*$AE$12+(55*$AE$12)</f>
        <v>1.1000000000000001</v>
      </c>
      <c r="AF495" s="20">
        <f t="shared" si="293"/>
        <v>275</v>
      </c>
      <c r="AG495" s="20">
        <f t="shared" si="299"/>
        <v>18</v>
      </c>
      <c r="AH495" s="20">
        <f t="shared" si="291"/>
        <v>3</v>
      </c>
      <c r="AI495" s="20">
        <f t="shared" si="332"/>
        <v>47</v>
      </c>
      <c r="AJ495" s="20">
        <f t="shared" si="305"/>
        <v>90</v>
      </c>
      <c r="AK495" s="20">
        <f t="shared" si="310"/>
        <v>14</v>
      </c>
      <c r="AL495" s="20">
        <f t="shared" si="306"/>
        <v>45</v>
      </c>
      <c r="AM495" s="20">
        <v>46</v>
      </c>
      <c r="AN495" s="20">
        <f t="shared" si="311"/>
        <v>0.75</v>
      </c>
      <c r="AO495" s="20">
        <f t="shared" si="336"/>
        <v>19</v>
      </c>
      <c r="AP495" s="20">
        <f t="shared" si="336"/>
        <v>19</v>
      </c>
      <c r="AQ495" s="20">
        <f t="shared" si="314"/>
        <v>5</v>
      </c>
      <c r="AR495" s="20">
        <f t="shared" si="337"/>
        <v>120</v>
      </c>
      <c r="AS495" s="20">
        <f t="shared" si="304"/>
        <v>120</v>
      </c>
      <c r="AT495" s="20">
        <f t="shared" si="298"/>
        <v>55</v>
      </c>
      <c r="AU495" s="20"/>
      <c r="AV495" s="20"/>
      <c r="AW495" s="20">
        <f t="shared" si="327"/>
        <v>5276.7500000000009</v>
      </c>
      <c r="AX495" s="86">
        <f t="shared" si="292"/>
        <v>5428.4449999999988</v>
      </c>
      <c r="AY495" s="17">
        <f>'[1]D4 Gallon Forecast'!$AQ151/1000000</f>
        <v>9.9999999999999995E-7</v>
      </c>
      <c r="AZ495" s="17">
        <f>'[1]D4 Gallon Forecast'!$AQ183/1000000</f>
        <v>533.18390064461983</v>
      </c>
      <c r="BA495" s="17">
        <f t="shared" si="295"/>
        <v>533.18390164461982</v>
      </c>
      <c r="BB495" s="17">
        <f>'[1]D4 Gallon Forecast'!$AQ167/1000000</f>
        <v>0</v>
      </c>
      <c r="BC495" s="87">
        <f>'[1]D4 Gallon Forecast'!$AQ343/1000000</f>
        <v>285.54253346912924</v>
      </c>
      <c r="BD495" s="88">
        <f>'[1]D4 Gallon Forecast'!$AQ359/1000000</f>
        <v>0</v>
      </c>
      <c r="BE495" s="88">
        <f t="shared" si="296"/>
        <v>285.54253346912924</v>
      </c>
      <c r="BF495" s="76">
        <f t="shared" si="319"/>
        <v>818.72643511374906</v>
      </c>
      <c r="BG495" s="22">
        <f t="shared" si="320"/>
        <v>1.9660665045522669</v>
      </c>
      <c r="BI495" s="21">
        <f t="shared" si="328"/>
        <v>4702.9000000000005</v>
      </c>
      <c r="BJ495" s="21">
        <f t="shared" si="312"/>
        <v>725.54499999999825</v>
      </c>
      <c r="BK495" s="21">
        <f>'RD Feedstock Breakdown'!ES486</f>
        <v>12846.658703604711</v>
      </c>
      <c r="BL495" s="89">
        <f t="shared" si="318"/>
        <v>15.691027127785206</v>
      </c>
      <c r="BM495" s="89">
        <f t="shared" si="316"/>
        <v>24.094235898681212</v>
      </c>
    </row>
    <row r="496" spans="1:65" ht="13.5" x14ac:dyDescent="0.25">
      <c r="A496" s="15">
        <v>55244</v>
      </c>
      <c r="B496" s="20">
        <f t="shared" si="317"/>
        <v>690</v>
      </c>
      <c r="C496" s="74">
        <v>47</v>
      </c>
      <c r="D496" s="20">
        <f t="shared" si="308"/>
        <v>3</v>
      </c>
      <c r="E496" s="20">
        <f t="shared" si="322"/>
        <v>85</v>
      </c>
      <c r="F496" s="20">
        <f t="shared" si="294"/>
        <v>340</v>
      </c>
      <c r="G496" s="20">
        <f t="shared" si="307"/>
        <v>37.5</v>
      </c>
      <c r="H496" s="20">
        <f t="shared" si="334"/>
        <v>190</v>
      </c>
      <c r="I496" s="20">
        <f t="shared" si="321"/>
        <v>250</v>
      </c>
      <c r="J496" s="20">
        <f t="shared" si="313"/>
        <v>153.30000000000001</v>
      </c>
      <c r="K496" s="20">
        <f t="shared" si="323"/>
        <v>125</v>
      </c>
      <c r="L496" s="20">
        <v>125</v>
      </c>
      <c r="M496" s="20">
        <v>730</v>
      </c>
      <c r="N496" s="20">
        <f t="shared" si="302"/>
        <v>180</v>
      </c>
      <c r="O496" s="74">
        <v>375</v>
      </c>
      <c r="P496" s="20">
        <f t="shared" si="329"/>
        <v>50</v>
      </c>
      <c r="Q496" s="20">
        <f t="shared" si="330"/>
        <v>21</v>
      </c>
      <c r="R496" s="20">
        <v>100</v>
      </c>
      <c r="S496" s="20">
        <f t="shared" si="338"/>
        <v>60</v>
      </c>
      <c r="T496" s="20">
        <f t="shared" si="324"/>
        <v>36</v>
      </c>
      <c r="U496" s="20"/>
      <c r="V496" s="20">
        <f t="shared" si="335"/>
        <v>0</v>
      </c>
      <c r="W496" s="20">
        <f t="shared" si="331"/>
        <v>20</v>
      </c>
      <c r="X496" s="20">
        <f t="shared" si="315"/>
        <v>0</v>
      </c>
      <c r="Y496" s="20">
        <f t="shared" si="326"/>
        <v>3.5</v>
      </c>
      <c r="Z496" s="20">
        <f t="shared" si="303"/>
        <v>230</v>
      </c>
      <c r="AA496" s="20">
        <f t="shared" si="325"/>
        <v>306</v>
      </c>
      <c r="AB496" s="20">
        <f t="shared" ref="AB496:AB504" si="340">$AB$5*$AB$12</f>
        <v>60</v>
      </c>
      <c r="AC496" s="20">
        <f t="shared" si="297"/>
        <v>1.6</v>
      </c>
      <c r="AD496" s="20">
        <f t="shared" si="333"/>
        <v>180</v>
      </c>
      <c r="AE496" s="20">
        <f t="shared" si="339"/>
        <v>1.1000000000000001</v>
      </c>
      <c r="AF496" s="20">
        <f t="shared" si="293"/>
        <v>275</v>
      </c>
      <c r="AG496" s="20">
        <f t="shared" si="299"/>
        <v>18</v>
      </c>
      <c r="AH496" s="20">
        <f t="shared" si="291"/>
        <v>3</v>
      </c>
      <c r="AI496" s="20">
        <f t="shared" si="332"/>
        <v>47</v>
      </c>
      <c r="AJ496" s="20">
        <f t="shared" si="305"/>
        <v>90</v>
      </c>
      <c r="AK496" s="20">
        <f t="shared" si="310"/>
        <v>14</v>
      </c>
      <c r="AL496" s="20">
        <f t="shared" si="306"/>
        <v>45</v>
      </c>
      <c r="AM496" s="20">
        <v>46</v>
      </c>
      <c r="AN496" s="20">
        <f t="shared" si="311"/>
        <v>0.75</v>
      </c>
      <c r="AO496" s="20">
        <f t="shared" si="336"/>
        <v>19</v>
      </c>
      <c r="AP496" s="20">
        <f t="shared" si="336"/>
        <v>19</v>
      </c>
      <c r="AQ496" s="20">
        <f t="shared" si="314"/>
        <v>5</v>
      </c>
      <c r="AR496" s="20">
        <f t="shared" si="337"/>
        <v>120</v>
      </c>
      <c r="AS496" s="20">
        <f t="shared" si="304"/>
        <v>120</v>
      </c>
      <c r="AT496" s="20">
        <f t="shared" si="298"/>
        <v>55</v>
      </c>
      <c r="AU496" s="20"/>
      <c r="AV496" s="20"/>
      <c r="AW496" s="20">
        <f t="shared" si="327"/>
        <v>5276.7500000000009</v>
      </c>
      <c r="AX496" s="86">
        <f t="shared" si="292"/>
        <v>5428.4449999999988</v>
      </c>
      <c r="AY496" s="17">
        <f>'[1]D4 Gallon Forecast'!$AQ152/1000000</f>
        <v>9.9999999999999995E-7</v>
      </c>
      <c r="AZ496" s="17">
        <f>'[1]D4 Gallon Forecast'!$AQ184/1000000</f>
        <v>517.69530435411411</v>
      </c>
      <c r="BA496" s="17">
        <f t="shared" si="295"/>
        <v>517.69530535411411</v>
      </c>
      <c r="BB496" s="17">
        <f>'[1]D4 Gallon Forecast'!$AQ168/1000000</f>
        <v>0</v>
      </c>
      <c r="BC496" s="87">
        <f>'[1]D4 Gallon Forecast'!$AQ344/1000000</f>
        <v>458.3333802055069</v>
      </c>
      <c r="BD496" s="88">
        <f>'[1]D4 Gallon Forecast'!$AQ360/1000000</f>
        <v>0</v>
      </c>
      <c r="BE496" s="88">
        <f t="shared" si="296"/>
        <v>458.3333802055069</v>
      </c>
      <c r="BF496" s="76">
        <f t="shared" si="319"/>
        <v>976.02868555962095</v>
      </c>
      <c r="BG496" s="22">
        <f t="shared" si="320"/>
        <v>2.1169875816291461</v>
      </c>
      <c r="BI496" s="21">
        <f t="shared" si="328"/>
        <v>4702.9000000000005</v>
      </c>
      <c r="BJ496" s="21">
        <f t="shared" si="312"/>
        <v>725.54499999999825</v>
      </c>
      <c r="BK496" s="21">
        <f>'RD Feedstock Breakdown'!ES487</f>
        <v>16490.509011931128</v>
      </c>
      <c r="BL496" s="89">
        <f t="shared" si="318"/>
        <v>16.895516756739628</v>
      </c>
      <c r="BM496" s="89">
        <f t="shared" si="316"/>
        <v>31.853696259909647</v>
      </c>
    </row>
    <row r="497" spans="1:65" ht="13.5" x14ac:dyDescent="0.25">
      <c r="A497" s="15">
        <v>55274</v>
      </c>
      <c r="B497" s="20">
        <f t="shared" si="317"/>
        <v>690</v>
      </c>
      <c r="C497" s="74">
        <v>47</v>
      </c>
      <c r="D497" s="20">
        <f t="shared" si="308"/>
        <v>3</v>
      </c>
      <c r="E497" s="20">
        <f t="shared" si="322"/>
        <v>85</v>
      </c>
      <c r="F497" s="20">
        <f t="shared" si="294"/>
        <v>340</v>
      </c>
      <c r="G497" s="20">
        <f t="shared" si="307"/>
        <v>37.5</v>
      </c>
      <c r="H497" s="20">
        <f t="shared" si="334"/>
        <v>190</v>
      </c>
      <c r="I497" s="20">
        <f t="shared" si="321"/>
        <v>250</v>
      </c>
      <c r="J497" s="20">
        <f t="shared" si="313"/>
        <v>153.30000000000001</v>
      </c>
      <c r="K497" s="20">
        <f t="shared" si="323"/>
        <v>125</v>
      </c>
      <c r="L497" s="20">
        <v>125</v>
      </c>
      <c r="M497" s="20">
        <v>730</v>
      </c>
      <c r="N497" s="20">
        <f t="shared" si="302"/>
        <v>180</v>
      </c>
      <c r="O497" s="74">
        <v>375</v>
      </c>
      <c r="P497" s="20">
        <f t="shared" si="329"/>
        <v>50</v>
      </c>
      <c r="Q497" s="20">
        <f t="shared" si="330"/>
        <v>21</v>
      </c>
      <c r="R497" s="20">
        <v>100</v>
      </c>
      <c r="S497" s="20">
        <f t="shared" si="338"/>
        <v>60</v>
      </c>
      <c r="T497" s="20">
        <f t="shared" si="324"/>
        <v>36</v>
      </c>
      <c r="U497" s="20"/>
      <c r="V497" s="20">
        <f t="shared" si="335"/>
        <v>0</v>
      </c>
      <c r="W497" s="20">
        <f t="shared" si="331"/>
        <v>20</v>
      </c>
      <c r="X497" s="20">
        <f t="shared" si="315"/>
        <v>0</v>
      </c>
      <c r="Y497" s="20">
        <f t="shared" si="326"/>
        <v>3.5</v>
      </c>
      <c r="Z497" s="20">
        <f t="shared" si="303"/>
        <v>230</v>
      </c>
      <c r="AA497" s="20">
        <f t="shared" si="325"/>
        <v>306</v>
      </c>
      <c r="AB497" s="20">
        <f t="shared" si="340"/>
        <v>60</v>
      </c>
      <c r="AC497" s="20">
        <f t="shared" si="297"/>
        <v>1.6</v>
      </c>
      <c r="AD497" s="20">
        <f t="shared" si="333"/>
        <v>180</v>
      </c>
      <c r="AE497" s="20">
        <f t="shared" si="339"/>
        <v>1.1000000000000001</v>
      </c>
      <c r="AF497" s="20">
        <f t="shared" si="293"/>
        <v>275</v>
      </c>
      <c r="AG497" s="20">
        <f t="shared" si="299"/>
        <v>18</v>
      </c>
      <c r="AH497" s="20">
        <f t="shared" ref="AH497:AH504" si="341">60*$AH$12</f>
        <v>3</v>
      </c>
      <c r="AI497" s="20">
        <f t="shared" si="332"/>
        <v>47</v>
      </c>
      <c r="AJ497" s="20">
        <f t="shared" si="305"/>
        <v>90</v>
      </c>
      <c r="AK497" s="20">
        <f t="shared" si="310"/>
        <v>14</v>
      </c>
      <c r="AL497" s="20">
        <f t="shared" si="306"/>
        <v>45</v>
      </c>
      <c r="AM497" s="20">
        <v>46</v>
      </c>
      <c r="AN497" s="20">
        <f t="shared" si="311"/>
        <v>0.75</v>
      </c>
      <c r="AO497" s="20">
        <f t="shared" si="336"/>
        <v>19</v>
      </c>
      <c r="AP497" s="20">
        <f t="shared" si="336"/>
        <v>19</v>
      </c>
      <c r="AQ497" s="20">
        <f t="shared" si="314"/>
        <v>5</v>
      </c>
      <c r="AR497" s="20">
        <f t="shared" si="337"/>
        <v>120</v>
      </c>
      <c r="AS497" s="20">
        <f t="shared" si="304"/>
        <v>120</v>
      </c>
      <c r="AT497" s="20">
        <f t="shared" si="298"/>
        <v>55</v>
      </c>
      <c r="AU497" s="20"/>
      <c r="AV497" s="20"/>
      <c r="AW497" s="20">
        <f t="shared" si="327"/>
        <v>5276.7500000000009</v>
      </c>
      <c r="AX497" s="86">
        <f t="shared" si="292"/>
        <v>5428.4449999999988</v>
      </c>
      <c r="AY497" s="17">
        <f>'[1]D4 Gallon Forecast'!$AQ153/1000000</f>
        <v>9.9999999999999995E-7</v>
      </c>
      <c r="AZ497" s="17">
        <f>'[1]D4 Gallon Forecast'!$AQ185/1000000</f>
        <v>578.31475961293484</v>
      </c>
      <c r="BA497" s="17">
        <f t="shared" si="295"/>
        <v>578.31476061293483</v>
      </c>
      <c r="BB497" s="17">
        <f>'[1]D4 Gallon Forecast'!$AQ169/1000000</f>
        <v>0</v>
      </c>
      <c r="BC497" s="87">
        <f>'[1]D4 Gallon Forecast'!$AQ345/1000000</f>
        <v>603.31644499528306</v>
      </c>
      <c r="BD497" s="88">
        <f>'[1]D4 Gallon Forecast'!$AQ361/1000000</f>
        <v>0</v>
      </c>
      <c r="BE497" s="88">
        <f t="shared" si="296"/>
        <v>603.31644499528306</v>
      </c>
      <c r="BF497" s="76">
        <f t="shared" si="319"/>
        <v>1181.6312056082179</v>
      </c>
      <c r="BG497" s="22">
        <f t="shared" si="320"/>
        <v>2.6483667056710813</v>
      </c>
      <c r="BI497" s="21">
        <f t="shared" si="328"/>
        <v>4702.9000000000005</v>
      </c>
      <c r="BJ497" s="21">
        <f t="shared" si="312"/>
        <v>725.54499999999825</v>
      </c>
      <c r="BK497" s="21">
        <f>'RD Feedstock Breakdown'!ES488</f>
        <v>24975.445294018056</v>
      </c>
      <c r="BL497" s="89">
        <f t="shared" si="318"/>
        <v>21.136413100365363</v>
      </c>
      <c r="BM497" s="89">
        <f t="shared" si="316"/>
        <v>43.18659490473231</v>
      </c>
    </row>
    <row r="498" spans="1:65" ht="13.5" x14ac:dyDescent="0.25">
      <c r="A498" s="15">
        <v>55305</v>
      </c>
      <c r="B498" s="20">
        <f t="shared" si="317"/>
        <v>690</v>
      </c>
      <c r="C498" s="74">
        <v>47</v>
      </c>
      <c r="D498" s="20">
        <f t="shared" si="308"/>
        <v>3</v>
      </c>
      <c r="E498" s="20">
        <f t="shared" si="322"/>
        <v>85</v>
      </c>
      <c r="F498" s="20">
        <f t="shared" si="294"/>
        <v>340</v>
      </c>
      <c r="G498" s="20">
        <f t="shared" si="307"/>
        <v>37.5</v>
      </c>
      <c r="H498" s="20">
        <f t="shared" si="334"/>
        <v>190</v>
      </c>
      <c r="I498" s="20">
        <f t="shared" si="321"/>
        <v>250</v>
      </c>
      <c r="J498" s="20">
        <f t="shared" si="313"/>
        <v>153.30000000000001</v>
      </c>
      <c r="K498" s="20">
        <f t="shared" si="323"/>
        <v>125</v>
      </c>
      <c r="L498" s="20">
        <v>125</v>
      </c>
      <c r="M498" s="20">
        <v>730</v>
      </c>
      <c r="N498" s="20">
        <f t="shared" si="302"/>
        <v>180</v>
      </c>
      <c r="O498" s="74">
        <v>375</v>
      </c>
      <c r="P498" s="20">
        <f t="shared" si="329"/>
        <v>50</v>
      </c>
      <c r="Q498" s="20">
        <f t="shared" si="330"/>
        <v>21</v>
      </c>
      <c r="R498" s="20">
        <v>100</v>
      </c>
      <c r="S498" s="20">
        <f t="shared" si="338"/>
        <v>60</v>
      </c>
      <c r="T498" s="20">
        <f t="shared" si="324"/>
        <v>36</v>
      </c>
      <c r="U498" s="20"/>
      <c r="V498" s="20">
        <f t="shared" si="335"/>
        <v>0</v>
      </c>
      <c r="W498" s="20">
        <f t="shared" si="331"/>
        <v>20</v>
      </c>
      <c r="X498" s="20">
        <f t="shared" si="315"/>
        <v>0</v>
      </c>
      <c r="Y498" s="20">
        <f t="shared" si="326"/>
        <v>3.5</v>
      </c>
      <c r="Z498" s="20">
        <f t="shared" si="303"/>
        <v>230</v>
      </c>
      <c r="AA498" s="20">
        <f t="shared" si="325"/>
        <v>306</v>
      </c>
      <c r="AB498" s="20">
        <f t="shared" si="340"/>
        <v>60</v>
      </c>
      <c r="AC498" s="20">
        <f t="shared" si="297"/>
        <v>1.6</v>
      </c>
      <c r="AD498" s="20">
        <f t="shared" si="333"/>
        <v>180</v>
      </c>
      <c r="AE498" s="20">
        <f t="shared" si="339"/>
        <v>1.1000000000000001</v>
      </c>
      <c r="AF498" s="20">
        <f t="shared" si="293"/>
        <v>275</v>
      </c>
      <c r="AG498" s="20">
        <f t="shared" si="299"/>
        <v>18</v>
      </c>
      <c r="AH498" s="20">
        <f t="shared" si="341"/>
        <v>3</v>
      </c>
      <c r="AI498" s="20">
        <f t="shared" si="332"/>
        <v>47</v>
      </c>
      <c r="AJ498" s="20">
        <f t="shared" si="305"/>
        <v>90</v>
      </c>
      <c r="AK498" s="20">
        <f t="shared" si="310"/>
        <v>14</v>
      </c>
      <c r="AL498" s="20">
        <f t="shared" si="306"/>
        <v>45</v>
      </c>
      <c r="AM498" s="20">
        <v>46</v>
      </c>
      <c r="AN498" s="20">
        <f t="shared" si="311"/>
        <v>0.75</v>
      </c>
      <c r="AO498" s="20">
        <f t="shared" si="336"/>
        <v>19</v>
      </c>
      <c r="AP498" s="20">
        <f t="shared" si="336"/>
        <v>19</v>
      </c>
      <c r="AQ498" s="20">
        <f t="shared" si="314"/>
        <v>5</v>
      </c>
      <c r="AR498" s="20">
        <f t="shared" si="337"/>
        <v>120</v>
      </c>
      <c r="AS498" s="20">
        <f t="shared" si="304"/>
        <v>120</v>
      </c>
      <c r="AT498" s="20">
        <f t="shared" si="298"/>
        <v>55</v>
      </c>
      <c r="AU498" s="20"/>
      <c r="AV498" s="20"/>
      <c r="AW498" s="20">
        <f t="shared" si="327"/>
        <v>5276.7500000000009</v>
      </c>
      <c r="AX498" s="86">
        <f t="shared" ref="AX498:AX504" si="342">AX497+AW498-AW497</f>
        <v>5428.4449999999988</v>
      </c>
      <c r="AY498" s="17">
        <f>'[1]D4 Gallon Forecast'!$AQ154/1000000</f>
        <v>9.9999999999999995E-7</v>
      </c>
      <c r="AZ498" s="17">
        <f>'[1]D4 Gallon Forecast'!$AQ186/1000000</f>
        <v>573.59766941849364</v>
      </c>
      <c r="BA498" s="17">
        <f t="shared" si="295"/>
        <v>573.59767041849364</v>
      </c>
      <c r="BB498" s="17">
        <f>'[1]D4 Gallon Forecast'!$AQ170/1000000</f>
        <v>0</v>
      </c>
      <c r="BC498" s="87">
        <f>'[1]D4 Gallon Forecast'!$AQ346/1000000</f>
        <v>575.52277705733388</v>
      </c>
      <c r="BD498" s="88">
        <f>'[1]D4 Gallon Forecast'!$AQ362/1000000</f>
        <v>0</v>
      </c>
      <c r="BE498" s="88">
        <f t="shared" si="296"/>
        <v>575.52277705733388</v>
      </c>
      <c r="BF498" s="76">
        <f t="shared" si="319"/>
        <v>1149.1204474758274</v>
      </c>
      <c r="BG498" s="22">
        <f t="shared" si="320"/>
        <v>2.4924203080236755</v>
      </c>
      <c r="BI498" s="21">
        <f t="shared" si="328"/>
        <v>4702.9000000000005</v>
      </c>
      <c r="BJ498" s="21">
        <f t="shared" si="312"/>
        <v>725.54499999999825</v>
      </c>
      <c r="BK498" s="21">
        <f>'RD Feedstock Breakdown'!ES489</f>
        <v>22858.093388348821</v>
      </c>
      <c r="BL498" s="89">
        <f t="shared" si="318"/>
        <v>19.891816770434467</v>
      </c>
      <c r="BM498" s="89">
        <f t="shared" si="316"/>
        <v>39.850394391720044</v>
      </c>
    </row>
    <row r="499" spans="1:65" ht="13.5" x14ac:dyDescent="0.25">
      <c r="A499" s="15">
        <v>55335</v>
      </c>
      <c r="B499" s="20">
        <f t="shared" si="317"/>
        <v>690</v>
      </c>
      <c r="C499" s="74">
        <v>47</v>
      </c>
      <c r="D499" s="20">
        <f t="shared" si="308"/>
        <v>3</v>
      </c>
      <c r="E499" s="20">
        <f t="shared" si="322"/>
        <v>85</v>
      </c>
      <c r="F499" s="20">
        <f t="shared" si="294"/>
        <v>340</v>
      </c>
      <c r="G499" s="20">
        <f t="shared" si="307"/>
        <v>37.5</v>
      </c>
      <c r="H499" s="20">
        <f t="shared" si="334"/>
        <v>190</v>
      </c>
      <c r="I499" s="20">
        <f t="shared" si="321"/>
        <v>250</v>
      </c>
      <c r="J499" s="20">
        <f t="shared" si="313"/>
        <v>153.30000000000001</v>
      </c>
      <c r="K499" s="20">
        <f t="shared" si="323"/>
        <v>125</v>
      </c>
      <c r="L499" s="20">
        <v>125</v>
      </c>
      <c r="M499" s="20">
        <v>730</v>
      </c>
      <c r="N499" s="20">
        <f t="shared" si="302"/>
        <v>180</v>
      </c>
      <c r="O499" s="74">
        <v>375</v>
      </c>
      <c r="P499" s="20">
        <f t="shared" si="329"/>
        <v>50</v>
      </c>
      <c r="Q499" s="20">
        <f t="shared" si="330"/>
        <v>21</v>
      </c>
      <c r="R499" s="20">
        <v>100</v>
      </c>
      <c r="S499" s="20">
        <f t="shared" si="338"/>
        <v>60</v>
      </c>
      <c r="T499" s="20">
        <f t="shared" si="324"/>
        <v>36</v>
      </c>
      <c r="U499" s="20"/>
      <c r="V499" s="20">
        <f t="shared" si="335"/>
        <v>0</v>
      </c>
      <c r="W499" s="20">
        <f t="shared" si="331"/>
        <v>20</v>
      </c>
      <c r="X499" s="20">
        <f t="shared" si="315"/>
        <v>0</v>
      </c>
      <c r="Y499" s="20">
        <f t="shared" si="326"/>
        <v>3.5</v>
      </c>
      <c r="Z499" s="20">
        <f t="shared" si="303"/>
        <v>230</v>
      </c>
      <c r="AA499" s="20">
        <f t="shared" si="325"/>
        <v>306</v>
      </c>
      <c r="AB499" s="20">
        <f t="shared" si="340"/>
        <v>60</v>
      </c>
      <c r="AC499" s="20">
        <f t="shared" si="297"/>
        <v>1.6</v>
      </c>
      <c r="AD499" s="20">
        <f t="shared" si="333"/>
        <v>180</v>
      </c>
      <c r="AE499" s="20">
        <f t="shared" si="339"/>
        <v>1.1000000000000001</v>
      </c>
      <c r="AF499" s="20">
        <f t="shared" ref="AF499:AF504" si="343">90*$AF$12+(185*$AF$12)</f>
        <v>275</v>
      </c>
      <c r="AG499" s="20">
        <f t="shared" si="299"/>
        <v>18</v>
      </c>
      <c r="AH499" s="20">
        <f t="shared" si="341"/>
        <v>3</v>
      </c>
      <c r="AI499" s="20">
        <f t="shared" si="332"/>
        <v>47</v>
      </c>
      <c r="AJ499" s="20">
        <f t="shared" si="305"/>
        <v>90</v>
      </c>
      <c r="AK499" s="20">
        <f t="shared" si="310"/>
        <v>14</v>
      </c>
      <c r="AL499" s="20">
        <f t="shared" si="306"/>
        <v>45</v>
      </c>
      <c r="AM499" s="20">
        <v>46</v>
      </c>
      <c r="AN499" s="20">
        <f t="shared" si="311"/>
        <v>0.75</v>
      </c>
      <c r="AO499" s="20">
        <f t="shared" si="336"/>
        <v>19</v>
      </c>
      <c r="AP499" s="20">
        <f t="shared" si="336"/>
        <v>19</v>
      </c>
      <c r="AQ499" s="20">
        <f t="shared" si="314"/>
        <v>5</v>
      </c>
      <c r="AR499" s="20">
        <f t="shared" si="337"/>
        <v>120</v>
      </c>
      <c r="AS499" s="20">
        <f t="shared" si="304"/>
        <v>120</v>
      </c>
      <c r="AT499" s="20">
        <f t="shared" si="298"/>
        <v>55</v>
      </c>
      <c r="AU499" s="20"/>
      <c r="AV499" s="20"/>
      <c r="AW499" s="20">
        <f t="shared" si="327"/>
        <v>5276.7500000000009</v>
      </c>
      <c r="AX499" s="86">
        <f t="shared" si="342"/>
        <v>5428.4449999999988</v>
      </c>
      <c r="AY499" s="17">
        <f>'[1]D4 Gallon Forecast'!$AQ155/1000000</f>
        <v>9.9999999999999995E-7</v>
      </c>
      <c r="AZ499" s="17">
        <f>'[1]D4 Gallon Forecast'!$AQ187/1000000</f>
        <v>561.80837876541761</v>
      </c>
      <c r="BA499" s="17">
        <f t="shared" si="295"/>
        <v>561.80837976541761</v>
      </c>
      <c r="BB499" s="17">
        <f>'[1]D4 Gallon Forecast'!$AQ171/1000000</f>
        <v>0</v>
      </c>
      <c r="BC499" s="87">
        <f>'[1]D4 Gallon Forecast'!$AQ347/1000000</f>
        <v>626.0436167513858</v>
      </c>
      <c r="BD499" s="88">
        <f>'[1]D4 Gallon Forecast'!$AQ363/1000000</f>
        <v>0</v>
      </c>
      <c r="BE499" s="88">
        <f t="shared" si="296"/>
        <v>626.0436167513858</v>
      </c>
      <c r="BF499" s="76">
        <f t="shared" si="319"/>
        <v>1187.8519965168034</v>
      </c>
      <c r="BG499" s="22">
        <f t="shared" si="320"/>
        <v>2.6623092415884186</v>
      </c>
      <c r="BI499" s="21">
        <f t="shared" si="328"/>
        <v>4702.9000000000005</v>
      </c>
      <c r="BJ499" s="21">
        <f t="shared" si="312"/>
        <v>725.54499999999825</v>
      </c>
      <c r="BK499" s="21">
        <f>'RD Feedstock Breakdown'!ES490</f>
        <v>25239.107921193146</v>
      </c>
      <c r="BL499" s="89">
        <f t="shared" si="318"/>
        <v>21.247687418300444</v>
      </c>
      <c r="BM499" s="89">
        <f t="shared" si="316"/>
        <v>44.924762303708789</v>
      </c>
    </row>
    <row r="500" spans="1:65" ht="13.5" x14ac:dyDescent="0.25">
      <c r="A500" s="15">
        <v>55366</v>
      </c>
      <c r="B500" s="20">
        <f t="shared" si="317"/>
        <v>690</v>
      </c>
      <c r="C500" s="74">
        <v>47</v>
      </c>
      <c r="D500" s="20">
        <f t="shared" si="308"/>
        <v>3</v>
      </c>
      <c r="E500" s="20">
        <f t="shared" si="322"/>
        <v>85</v>
      </c>
      <c r="F500" s="20">
        <f t="shared" si="294"/>
        <v>340</v>
      </c>
      <c r="G500" s="20">
        <f t="shared" si="307"/>
        <v>37.5</v>
      </c>
      <c r="H500" s="20">
        <f t="shared" si="334"/>
        <v>190</v>
      </c>
      <c r="I500" s="20">
        <f t="shared" si="321"/>
        <v>250</v>
      </c>
      <c r="J500" s="20">
        <f t="shared" si="313"/>
        <v>153.30000000000001</v>
      </c>
      <c r="K500" s="20">
        <f t="shared" si="323"/>
        <v>125</v>
      </c>
      <c r="L500" s="20">
        <v>125</v>
      </c>
      <c r="M500" s="20">
        <v>730</v>
      </c>
      <c r="N500" s="20">
        <f t="shared" si="302"/>
        <v>180</v>
      </c>
      <c r="O500" s="74">
        <v>375</v>
      </c>
      <c r="P500" s="20">
        <f t="shared" si="329"/>
        <v>50</v>
      </c>
      <c r="Q500" s="20">
        <f t="shared" si="330"/>
        <v>21</v>
      </c>
      <c r="R500" s="20">
        <v>100</v>
      </c>
      <c r="S500" s="20">
        <f t="shared" si="338"/>
        <v>60</v>
      </c>
      <c r="T500" s="20">
        <f t="shared" si="324"/>
        <v>36</v>
      </c>
      <c r="U500" s="20"/>
      <c r="V500" s="20">
        <f t="shared" si="335"/>
        <v>0</v>
      </c>
      <c r="W500" s="20">
        <f t="shared" si="331"/>
        <v>20</v>
      </c>
      <c r="X500" s="20">
        <f t="shared" si="315"/>
        <v>0</v>
      </c>
      <c r="Y500" s="20">
        <f t="shared" si="326"/>
        <v>3.5</v>
      </c>
      <c r="Z500" s="20">
        <f t="shared" si="303"/>
        <v>230</v>
      </c>
      <c r="AA500" s="20">
        <f t="shared" si="325"/>
        <v>306</v>
      </c>
      <c r="AB500" s="20">
        <f t="shared" si="340"/>
        <v>60</v>
      </c>
      <c r="AC500" s="20">
        <f t="shared" si="297"/>
        <v>1.6</v>
      </c>
      <c r="AD500" s="20">
        <f t="shared" si="333"/>
        <v>180</v>
      </c>
      <c r="AE500" s="20">
        <f t="shared" si="339"/>
        <v>1.1000000000000001</v>
      </c>
      <c r="AF500" s="20">
        <f t="shared" si="343"/>
        <v>275</v>
      </c>
      <c r="AG500" s="20">
        <f t="shared" si="299"/>
        <v>18</v>
      </c>
      <c r="AH500" s="20">
        <f t="shared" si="341"/>
        <v>3</v>
      </c>
      <c r="AI500" s="20">
        <f t="shared" si="332"/>
        <v>47</v>
      </c>
      <c r="AJ500" s="20">
        <f t="shared" si="305"/>
        <v>90</v>
      </c>
      <c r="AK500" s="20">
        <f t="shared" si="310"/>
        <v>14</v>
      </c>
      <c r="AL500" s="20">
        <f t="shared" si="306"/>
        <v>45</v>
      </c>
      <c r="AM500" s="20">
        <v>46</v>
      </c>
      <c r="AN500" s="20">
        <f t="shared" si="311"/>
        <v>0.75</v>
      </c>
      <c r="AO500" s="20">
        <f t="shared" si="336"/>
        <v>19</v>
      </c>
      <c r="AP500" s="20">
        <f t="shared" si="336"/>
        <v>19</v>
      </c>
      <c r="AQ500" s="20">
        <f t="shared" si="314"/>
        <v>5</v>
      </c>
      <c r="AR500" s="20">
        <f t="shared" si="337"/>
        <v>120</v>
      </c>
      <c r="AS500" s="20">
        <f t="shared" si="304"/>
        <v>120</v>
      </c>
      <c r="AT500" s="20">
        <f t="shared" si="298"/>
        <v>55</v>
      </c>
      <c r="AU500" s="20"/>
      <c r="AV500" s="20"/>
      <c r="AW500" s="20">
        <f t="shared" si="327"/>
        <v>5276.7500000000009</v>
      </c>
      <c r="AX500" s="86">
        <f t="shared" si="342"/>
        <v>5428.4449999999988</v>
      </c>
      <c r="AY500" s="17">
        <f>'[1]D4 Gallon Forecast'!$AQ156/1000000</f>
        <v>9.9999999999999995E-7</v>
      </c>
      <c r="AZ500" s="17">
        <f>'[1]D4 Gallon Forecast'!$AQ188/1000000</f>
        <v>569.84815675363041</v>
      </c>
      <c r="BA500" s="17">
        <f t="shared" si="295"/>
        <v>569.8481577536304</v>
      </c>
      <c r="BB500" s="17">
        <f>'[1]D4 Gallon Forecast'!$AQ172/1000000</f>
        <v>0</v>
      </c>
      <c r="BC500" s="87">
        <f>'[1]D4 Gallon Forecast'!$AQ348/1000000</f>
        <v>681.65756317546652</v>
      </c>
      <c r="BD500" s="88">
        <f>'[1]D4 Gallon Forecast'!$AQ364/1000000</f>
        <v>0</v>
      </c>
      <c r="BE500" s="88">
        <f t="shared" si="296"/>
        <v>681.65756317546652</v>
      </c>
      <c r="BF500" s="76">
        <f t="shared" si="319"/>
        <v>1251.5057209290969</v>
      </c>
      <c r="BG500" s="22">
        <f t="shared" si="320"/>
        <v>2.7144920110884274</v>
      </c>
      <c r="BI500" s="21">
        <f t="shared" si="328"/>
        <v>4702.9000000000005</v>
      </c>
      <c r="BJ500" s="21">
        <f t="shared" si="312"/>
        <v>725.54499999999825</v>
      </c>
      <c r="BK500" s="21">
        <f>'RD Feedstock Breakdown'!ES491</f>
        <v>27112.812832589978</v>
      </c>
      <c r="BL500" s="89">
        <f t="shared" si="318"/>
        <v>21.664154129844391</v>
      </c>
      <c r="BM500" s="89">
        <f t="shared" si="316"/>
        <v>47.579012871551654</v>
      </c>
    </row>
    <row r="501" spans="1:65" ht="13.5" x14ac:dyDescent="0.25">
      <c r="A501" s="15">
        <v>55397</v>
      </c>
      <c r="B501" s="20">
        <f t="shared" si="317"/>
        <v>690</v>
      </c>
      <c r="C501" s="74">
        <v>47</v>
      </c>
      <c r="D501" s="20">
        <f t="shared" si="308"/>
        <v>3</v>
      </c>
      <c r="E501" s="20">
        <f t="shared" si="322"/>
        <v>85</v>
      </c>
      <c r="F501" s="20">
        <f>90+(250*$F$12)</f>
        <v>340</v>
      </c>
      <c r="G501" s="20">
        <f t="shared" si="307"/>
        <v>37.5</v>
      </c>
      <c r="H501" s="20">
        <f t="shared" si="334"/>
        <v>190</v>
      </c>
      <c r="I501" s="20">
        <f t="shared" si="321"/>
        <v>250</v>
      </c>
      <c r="J501" s="20">
        <f t="shared" si="313"/>
        <v>153.30000000000001</v>
      </c>
      <c r="K501" s="20">
        <f t="shared" si="323"/>
        <v>125</v>
      </c>
      <c r="L501" s="20">
        <v>125</v>
      </c>
      <c r="M501" s="20">
        <v>730</v>
      </c>
      <c r="N501" s="20">
        <f t="shared" si="302"/>
        <v>180</v>
      </c>
      <c r="O501" s="74">
        <v>375</v>
      </c>
      <c r="P501" s="20">
        <f t="shared" si="329"/>
        <v>50</v>
      </c>
      <c r="Q501" s="20">
        <f t="shared" si="330"/>
        <v>21</v>
      </c>
      <c r="R501" s="20">
        <v>100</v>
      </c>
      <c r="S501" s="20">
        <f t="shared" si="338"/>
        <v>60</v>
      </c>
      <c r="T501" s="20">
        <f t="shared" si="324"/>
        <v>36</v>
      </c>
      <c r="U501" s="20"/>
      <c r="V501" s="20">
        <f t="shared" si="335"/>
        <v>0</v>
      </c>
      <c r="W501" s="20">
        <f t="shared" si="331"/>
        <v>20</v>
      </c>
      <c r="X501" s="20">
        <f t="shared" si="315"/>
        <v>0</v>
      </c>
      <c r="Y501" s="20">
        <f t="shared" si="326"/>
        <v>3.5</v>
      </c>
      <c r="Z501" s="20">
        <f>920*$Z$12</f>
        <v>230</v>
      </c>
      <c r="AA501" s="20">
        <f t="shared" si="325"/>
        <v>306</v>
      </c>
      <c r="AB501" s="20">
        <f t="shared" si="340"/>
        <v>60</v>
      </c>
      <c r="AC501" s="20">
        <f t="shared" si="297"/>
        <v>1.6</v>
      </c>
      <c r="AD501" s="20">
        <f t="shared" si="333"/>
        <v>180</v>
      </c>
      <c r="AE501" s="20">
        <f t="shared" si="339"/>
        <v>1.1000000000000001</v>
      </c>
      <c r="AF501" s="20">
        <f t="shared" si="343"/>
        <v>275</v>
      </c>
      <c r="AG501" s="20">
        <f t="shared" si="299"/>
        <v>18</v>
      </c>
      <c r="AH501" s="20">
        <f t="shared" si="341"/>
        <v>3</v>
      </c>
      <c r="AI501" s="20">
        <f t="shared" si="332"/>
        <v>47</v>
      </c>
      <c r="AJ501" s="20">
        <f t="shared" si="305"/>
        <v>90</v>
      </c>
      <c r="AK501" s="20">
        <f t="shared" si="310"/>
        <v>14</v>
      </c>
      <c r="AL501" s="20">
        <f t="shared" si="306"/>
        <v>45</v>
      </c>
      <c r="AM501" s="20">
        <v>46</v>
      </c>
      <c r="AN501" s="20">
        <f t="shared" si="311"/>
        <v>0.75</v>
      </c>
      <c r="AO501" s="20">
        <f t="shared" si="336"/>
        <v>19</v>
      </c>
      <c r="AP501" s="20">
        <f t="shared" si="336"/>
        <v>19</v>
      </c>
      <c r="AQ501" s="20">
        <f t="shared" si="314"/>
        <v>5</v>
      </c>
      <c r="AR501" s="20">
        <f t="shared" si="337"/>
        <v>120</v>
      </c>
      <c r="AS501" s="20">
        <f t="shared" si="304"/>
        <v>120</v>
      </c>
      <c r="AT501" s="20">
        <f t="shared" si="298"/>
        <v>55</v>
      </c>
      <c r="AU501" s="20"/>
      <c r="AV501" s="20"/>
      <c r="AW501" s="20">
        <f t="shared" si="327"/>
        <v>5276.7500000000009</v>
      </c>
      <c r="AX501" s="86">
        <f t="shared" si="342"/>
        <v>5428.4449999999988</v>
      </c>
      <c r="AY501" s="17">
        <f>'[1]D4 Gallon Forecast'!$AQ157/1000000</f>
        <v>9.9999999999999995E-7</v>
      </c>
      <c r="AZ501" s="17">
        <f>'[1]D4 Gallon Forecast'!$AQ189/1000000</f>
        <v>580.23408774951315</v>
      </c>
      <c r="BA501" s="17">
        <f t="shared" si="295"/>
        <v>580.23408874951315</v>
      </c>
      <c r="BB501" s="17">
        <f>'[1]D4 Gallon Forecast'!$AQ173/1000000</f>
        <v>0</v>
      </c>
      <c r="BC501" s="87">
        <f>'[1]D4 Gallon Forecast'!$AQ349/1000000</f>
        <v>829.06154992710481</v>
      </c>
      <c r="BD501" s="88">
        <f>'[1]D4 Gallon Forecast'!$AQ365/1000000</f>
        <v>0</v>
      </c>
      <c r="BE501" s="88">
        <f t="shared" si="296"/>
        <v>829.06154992710481</v>
      </c>
      <c r="BF501" s="76">
        <f t="shared" si="319"/>
        <v>1409.295638676618</v>
      </c>
      <c r="BG501" s="22">
        <f t="shared" si="320"/>
        <v>3.0567353296710773</v>
      </c>
      <c r="BI501" s="21">
        <f t="shared" si="328"/>
        <v>4702.9000000000005</v>
      </c>
      <c r="BJ501" s="21">
        <f t="shared" si="312"/>
        <v>725.54499999999825</v>
      </c>
      <c r="BK501" s="21">
        <f>'RD Feedstock Breakdown'!ES492</f>
        <v>34380.573231033311</v>
      </c>
      <c r="BL501" s="89">
        <f t="shared" si="318"/>
        <v>24.395572005968862</v>
      </c>
      <c r="BM501" s="89">
        <f t="shared" si="316"/>
        <v>59.252935836859102</v>
      </c>
    </row>
    <row r="502" spans="1:65" ht="13.5" x14ac:dyDescent="0.25">
      <c r="A502" s="15">
        <v>55427</v>
      </c>
      <c r="B502" s="20">
        <f t="shared" si="317"/>
        <v>690</v>
      </c>
      <c r="C502" s="74">
        <v>47</v>
      </c>
      <c r="D502" s="20">
        <f t="shared" si="308"/>
        <v>3</v>
      </c>
      <c r="E502" s="20">
        <f t="shared" si="322"/>
        <v>85</v>
      </c>
      <c r="F502" s="20">
        <f>90+(250*$F$12)</f>
        <v>340</v>
      </c>
      <c r="G502" s="20">
        <f t="shared" si="307"/>
        <v>37.5</v>
      </c>
      <c r="H502" s="20">
        <f t="shared" si="334"/>
        <v>190</v>
      </c>
      <c r="I502" s="20">
        <f t="shared" si="321"/>
        <v>250</v>
      </c>
      <c r="J502" s="20">
        <f t="shared" si="313"/>
        <v>153.30000000000001</v>
      </c>
      <c r="K502" s="20">
        <f t="shared" si="323"/>
        <v>125</v>
      </c>
      <c r="L502" s="20">
        <v>125</v>
      </c>
      <c r="M502" s="20">
        <v>730</v>
      </c>
      <c r="N502" s="20">
        <f t="shared" si="302"/>
        <v>180</v>
      </c>
      <c r="O502" s="74">
        <v>375</v>
      </c>
      <c r="P502" s="20">
        <f t="shared" si="329"/>
        <v>50</v>
      </c>
      <c r="Q502" s="20">
        <f t="shared" si="330"/>
        <v>21</v>
      </c>
      <c r="R502" s="20">
        <v>100</v>
      </c>
      <c r="S502" s="20">
        <f t="shared" si="338"/>
        <v>60</v>
      </c>
      <c r="T502" s="20">
        <f t="shared" si="324"/>
        <v>36</v>
      </c>
      <c r="U502" s="20"/>
      <c r="V502" s="20">
        <f t="shared" si="335"/>
        <v>0</v>
      </c>
      <c r="W502" s="20">
        <f t="shared" si="331"/>
        <v>20</v>
      </c>
      <c r="X502" s="20">
        <f t="shared" si="315"/>
        <v>0</v>
      </c>
      <c r="Y502" s="20">
        <f t="shared" si="326"/>
        <v>3.5</v>
      </c>
      <c r="Z502" s="20">
        <f t="shared" si="303"/>
        <v>230</v>
      </c>
      <c r="AA502" s="20">
        <f t="shared" si="325"/>
        <v>306</v>
      </c>
      <c r="AB502" s="20">
        <f t="shared" si="340"/>
        <v>60</v>
      </c>
      <c r="AC502" s="20">
        <f t="shared" si="297"/>
        <v>1.6</v>
      </c>
      <c r="AD502" s="20">
        <f t="shared" si="333"/>
        <v>180</v>
      </c>
      <c r="AE502" s="20">
        <f t="shared" si="339"/>
        <v>1.1000000000000001</v>
      </c>
      <c r="AF502" s="20">
        <f t="shared" si="343"/>
        <v>275</v>
      </c>
      <c r="AG502" s="20">
        <f t="shared" si="299"/>
        <v>18</v>
      </c>
      <c r="AH502" s="20">
        <f t="shared" si="341"/>
        <v>3</v>
      </c>
      <c r="AI502" s="20">
        <f t="shared" si="332"/>
        <v>47</v>
      </c>
      <c r="AJ502" s="20">
        <f t="shared" si="305"/>
        <v>90</v>
      </c>
      <c r="AK502" s="20">
        <f t="shared" si="310"/>
        <v>14</v>
      </c>
      <c r="AL502" s="20">
        <f t="shared" si="306"/>
        <v>45</v>
      </c>
      <c r="AM502" s="20">
        <v>46</v>
      </c>
      <c r="AN502" s="20">
        <f t="shared" si="311"/>
        <v>0.75</v>
      </c>
      <c r="AO502" s="20">
        <f t="shared" si="336"/>
        <v>19</v>
      </c>
      <c r="AP502" s="20">
        <f t="shared" si="336"/>
        <v>19</v>
      </c>
      <c r="AQ502" s="20">
        <f t="shared" si="314"/>
        <v>5</v>
      </c>
      <c r="AR502" s="20">
        <f t="shared" si="337"/>
        <v>120</v>
      </c>
      <c r="AS502" s="20">
        <f t="shared" si="304"/>
        <v>120</v>
      </c>
      <c r="AT502" s="20">
        <f t="shared" si="298"/>
        <v>55</v>
      </c>
      <c r="AU502" s="20"/>
      <c r="AV502" s="20"/>
      <c r="AW502" s="20">
        <f t="shared" si="327"/>
        <v>5276.7500000000009</v>
      </c>
      <c r="AX502" s="86">
        <f t="shared" si="342"/>
        <v>5428.4449999999988</v>
      </c>
      <c r="AY502" s="17">
        <f>'[1]D4 Gallon Forecast'!$AQ158/1000000</f>
        <v>9.9999999999999995E-7</v>
      </c>
      <c r="AZ502" s="17">
        <f>'[1]D4 Gallon Forecast'!$AQ190/1000000</f>
        <v>637.60035894964733</v>
      </c>
      <c r="BA502" s="17">
        <f>SUM(AY502:AZ502)</f>
        <v>637.60035994964733</v>
      </c>
      <c r="BB502" s="17">
        <f>'[1]D4 Gallon Forecast'!$AQ174/1000000</f>
        <v>0</v>
      </c>
      <c r="BC502" s="87">
        <f>'[1]D4 Gallon Forecast'!$AQ350/1000000</f>
        <v>809.49851953192785</v>
      </c>
      <c r="BD502" s="88">
        <f>'[1]D4 Gallon Forecast'!$AQ366/1000000</f>
        <v>0</v>
      </c>
      <c r="BE502" s="88">
        <f t="shared" si="296"/>
        <v>809.49851953192785</v>
      </c>
      <c r="BF502" s="76">
        <f t="shared" si="319"/>
        <v>1447.0988794815753</v>
      </c>
      <c r="BG502" s="22">
        <f t="shared" si="320"/>
        <v>3.2433541650250062</v>
      </c>
      <c r="BI502" s="21">
        <f t="shared" si="328"/>
        <v>4702.9000000000005</v>
      </c>
      <c r="BJ502" s="21">
        <f t="shared" si="312"/>
        <v>725.54499999999825</v>
      </c>
      <c r="BK502" s="21">
        <f>'RD Feedstock Breakdown'!ES493</f>
        <v>37458.100557136968</v>
      </c>
      <c r="BL502" s="89">
        <f t="shared" si="318"/>
        <v>25.884962726635774</v>
      </c>
      <c r="BM502" s="89">
        <f t="shared" si="316"/>
        <v>58.748556164703409</v>
      </c>
    </row>
    <row r="503" spans="1:65" ht="13.5" x14ac:dyDescent="0.25">
      <c r="A503" s="15">
        <v>55458</v>
      </c>
      <c r="B503" s="20">
        <f t="shared" si="317"/>
        <v>690</v>
      </c>
      <c r="C503" s="74">
        <v>47</v>
      </c>
      <c r="D503" s="20">
        <f t="shared" si="308"/>
        <v>3</v>
      </c>
      <c r="E503" s="20">
        <f t="shared" si="322"/>
        <v>85</v>
      </c>
      <c r="F503" s="20">
        <f>90+(250*$F$12)</f>
        <v>340</v>
      </c>
      <c r="G503" s="20">
        <f t="shared" si="307"/>
        <v>37.5</v>
      </c>
      <c r="H503" s="20">
        <f t="shared" si="334"/>
        <v>190</v>
      </c>
      <c r="I503" s="20">
        <f t="shared" si="321"/>
        <v>250</v>
      </c>
      <c r="J503" s="20">
        <f t="shared" si="313"/>
        <v>153.30000000000001</v>
      </c>
      <c r="K503" s="20">
        <f t="shared" si="323"/>
        <v>125</v>
      </c>
      <c r="L503" s="20">
        <v>125</v>
      </c>
      <c r="M503" s="20">
        <v>730</v>
      </c>
      <c r="N503" s="20">
        <f t="shared" si="302"/>
        <v>180</v>
      </c>
      <c r="O503" s="74">
        <v>375</v>
      </c>
      <c r="P503" s="20">
        <f t="shared" si="329"/>
        <v>50</v>
      </c>
      <c r="Q503" s="20">
        <f t="shared" si="330"/>
        <v>21</v>
      </c>
      <c r="R503" s="20">
        <v>100</v>
      </c>
      <c r="S503" s="20">
        <f t="shared" si="338"/>
        <v>60</v>
      </c>
      <c r="T503" s="20">
        <f t="shared" si="324"/>
        <v>36</v>
      </c>
      <c r="U503" s="20"/>
      <c r="V503" s="20">
        <f t="shared" si="335"/>
        <v>0</v>
      </c>
      <c r="W503" s="20">
        <f t="shared" si="331"/>
        <v>20</v>
      </c>
      <c r="X503" s="20">
        <f t="shared" si="315"/>
        <v>0</v>
      </c>
      <c r="Y503" s="20">
        <f t="shared" si="326"/>
        <v>3.5</v>
      </c>
      <c r="Z503" s="20">
        <f t="shared" si="303"/>
        <v>230</v>
      </c>
      <c r="AA503" s="20">
        <f t="shared" si="325"/>
        <v>306</v>
      </c>
      <c r="AB503" s="20">
        <f t="shared" si="340"/>
        <v>60</v>
      </c>
      <c r="AC503" s="20">
        <f t="shared" si="297"/>
        <v>1.6</v>
      </c>
      <c r="AD503" s="20">
        <f t="shared" si="333"/>
        <v>180</v>
      </c>
      <c r="AE503" s="20">
        <f t="shared" si="339"/>
        <v>1.1000000000000001</v>
      </c>
      <c r="AF503" s="20">
        <f t="shared" si="343"/>
        <v>275</v>
      </c>
      <c r="AG503" s="20">
        <f t="shared" si="299"/>
        <v>18</v>
      </c>
      <c r="AH503" s="20">
        <f t="shared" si="341"/>
        <v>3</v>
      </c>
      <c r="AI503" s="20">
        <f t="shared" si="332"/>
        <v>47</v>
      </c>
      <c r="AJ503" s="20">
        <f t="shared" si="305"/>
        <v>90</v>
      </c>
      <c r="AK503" s="20">
        <f t="shared" si="310"/>
        <v>14</v>
      </c>
      <c r="AL503" s="20">
        <f t="shared" si="306"/>
        <v>45</v>
      </c>
      <c r="AM503" s="20">
        <v>46</v>
      </c>
      <c r="AN503" s="20">
        <f t="shared" si="311"/>
        <v>0.75</v>
      </c>
      <c r="AO503" s="20">
        <f t="shared" si="336"/>
        <v>19</v>
      </c>
      <c r="AP503" s="20">
        <f t="shared" si="336"/>
        <v>19</v>
      </c>
      <c r="AQ503" s="20">
        <f t="shared" si="314"/>
        <v>5</v>
      </c>
      <c r="AR503" s="20">
        <f t="shared" si="337"/>
        <v>120</v>
      </c>
      <c r="AS503" s="20">
        <f t="shared" si="304"/>
        <v>120</v>
      </c>
      <c r="AT503" s="20">
        <f t="shared" si="298"/>
        <v>55</v>
      </c>
      <c r="AU503" s="20"/>
      <c r="AV503" s="20"/>
      <c r="AW503" s="20">
        <f t="shared" si="327"/>
        <v>5276.7500000000009</v>
      </c>
      <c r="AX503" s="86">
        <f t="shared" si="342"/>
        <v>5428.4449999999988</v>
      </c>
      <c r="AY503" s="17">
        <f>'[1]D4 Gallon Forecast'!$AQ159/1000000</f>
        <v>9.9999999999999995E-7</v>
      </c>
      <c r="AZ503" s="17">
        <f>'[1]D4 Gallon Forecast'!$AQ191/1000000</f>
        <v>774.67031638633978</v>
      </c>
      <c r="BA503" s="17">
        <f>SUM(AY503:AZ503)</f>
        <v>774.67031738633978</v>
      </c>
      <c r="BB503" s="17">
        <f>'[1]D4 Gallon Forecast'!$AQ175/1000000</f>
        <v>0</v>
      </c>
      <c r="BC503" s="87">
        <f>'[1]D4 Gallon Forecast'!$AQ351/1000000</f>
        <v>700.4617814759705</v>
      </c>
      <c r="BD503" s="88">
        <f>'[1]D4 Gallon Forecast'!$AQ367/1000000</f>
        <v>0</v>
      </c>
      <c r="BE503" s="88">
        <f>BD503+BC503+BB503</f>
        <v>700.4617814759705</v>
      </c>
      <c r="BF503" s="76">
        <f t="shared" si="319"/>
        <v>1475.1320988623102</v>
      </c>
      <c r="BG503" s="22">
        <f t="shared" si="320"/>
        <v>3.1995333546611104</v>
      </c>
      <c r="BI503" s="21">
        <f t="shared" si="328"/>
        <v>4702.9000000000005</v>
      </c>
      <c r="BJ503" s="21">
        <f t="shared" si="312"/>
        <v>725.54499999999825</v>
      </c>
      <c r="BK503" s="21">
        <f>'RD Feedstock Breakdown'!ES494</f>
        <v>37667.840632500047</v>
      </c>
      <c r="BL503" s="89">
        <f t="shared" si="318"/>
        <v>25.535232174495572</v>
      </c>
      <c r="BM503" s="89">
        <f t="shared" si="316"/>
        <v>48.624349981018476</v>
      </c>
    </row>
    <row r="504" spans="1:65" ht="13.5" x14ac:dyDescent="0.25">
      <c r="A504" s="15">
        <v>55488</v>
      </c>
      <c r="B504" s="20">
        <f t="shared" si="317"/>
        <v>690</v>
      </c>
      <c r="C504" s="74">
        <v>47</v>
      </c>
      <c r="D504" s="20">
        <f t="shared" si="308"/>
        <v>3</v>
      </c>
      <c r="E504" s="20">
        <f t="shared" si="322"/>
        <v>85</v>
      </c>
      <c r="F504" s="20">
        <f>90+(250*$F$12)</f>
        <v>340</v>
      </c>
      <c r="G504" s="20">
        <f t="shared" si="307"/>
        <v>37.5</v>
      </c>
      <c r="H504" s="20">
        <f t="shared" si="334"/>
        <v>190</v>
      </c>
      <c r="I504" s="20">
        <f t="shared" si="321"/>
        <v>250</v>
      </c>
      <c r="J504" s="20">
        <f t="shared" si="313"/>
        <v>153.30000000000001</v>
      </c>
      <c r="K504" s="20">
        <f t="shared" si="323"/>
        <v>125</v>
      </c>
      <c r="L504" s="20">
        <v>125</v>
      </c>
      <c r="M504" s="20">
        <v>730</v>
      </c>
      <c r="N504" s="20">
        <f t="shared" si="302"/>
        <v>180</v>
      </c>
      <c r="O504" s="74">
        <v>375</v>
      </c>
      <c r="P504" s="20">
        <f t="shared" si="329"/>
        <v>50</v>
      </c>
      <c r="Q504" s="20">
        <f t="shared" si="330"/>
        <v>21</v>
      </c>
      <c r="R504" s="20">
        <v>100</v>
      </c>
      <c r="S504" s="20">
        <f t="shared" si="338"/>
        <v>60</v>
      </c>
      <c r="T504" s="20">
        <f t="shared" si="324"/>
        <v>36</v>
      </c>
      <c r="U504" s="20"/>
      <c r="V504" s="20">
        <f t="shared" si="335"/>
        <v>0</v>
      </c>
      <c r="W504" s="20">
        <f t="shared" si="331"/>
        <v>20</v>
      </c>
      <c r="X504" s="20">
        <f t="shared" si="315"/>
        <v>0</v>
      </c>
      <c r="Y504" s="20">
        <f t="shared" si="326"/>
        <v>3.5</v>
      </c>
      <c r="Z504" s="20">
        <f t="shared" si="303"/>
        <v>230</v>
      </c>
      <c r="AA504" s="20">
        <f t="shared" si="325"/>
        <v>306</v>
      </c>
      <c r="AB504" s="20">
        <f t="shared" si="340"/>
        <v>60</v>
      </c>
      <c r="AC504" s="20">
        <f t="shared" si="297"/>
        <v>1.6</v>
      </c>
      <c r="AD504" s="20">
        <f t="shared" si="333"/>
        <v>180</v>
      </c>
      <c r="AE504" s="20">
        <f t="shared" si="339"/>
        <v>1.1000000000000001</v>
      </c>
      <c r="AF504" s="20">
        <f t="shared" si="343"/>
        <v>275</v>
      </c>
      <c r="AG504" s="20">
        <f t="shared" si="299"/>
        <v>18</v>
      </c>
      <c r="AH504" s="20">
        <f t="shared" si="341"/>
        <v>3</v>
      </c>
      <c r="AI504" s="20">
        <f t="shared" si="332"/>
        <v>47</v>
      </c>
      <c r="AJ504" s="20">
        <f t="shared" si="305"/>
        <v>90</v>
      </c>
      <c r="AK504" s="20">
        <f t="shared" si="310"/>
        <v>14</v>
      </c>
      <c r="AL504" s="20">
        <f t="shared" si="306"/>
        <v>45</v>
      </c>
      <c r="AM504" s="20">
        <v>46</v>
      </c>
      <c r="AN504" s="20">
        <f t="shared" si="311"/>
        <v>0.75</v>
      </c>
      <c r="AO504" s="20">
        <f t="shared" si="336"/>
        <v>19</v>
      </c>
      <c r="AP504" s="20">
        <f t="shared" si="336"/>
        <v>19</v>
      </c>
      <c r="AQ504" s="20">
        <f t="shared" si="314"/>
        <v>5</v>
      </c>
      <c r="AR504" s="20">
        <f t="shared" si="337"/>
        <v>120</v>
      </c>
      <c r="AS504" s="20">
        <f t="shared" si="304"/>
        <v>120</v>
      </c>
      <c r="AT504" s="20">
        <f t="shared" si="298"/>
        <v>55</v>
      </c>
      <c r="AU504" s="20"/>
      <c r="AV504" s="20"/>
      <c r="AW504" s="20">
        <f t="shared" si="327"/>
        <v>5276.7500000000009</v>
      </c>
      <c r="AX504" s="86">
        <f t="shared" si="342"/>
        <v>5428.4449999999988</v>
      </c>
      <c r="AY504" s="17">
        <f>'[1]D4 Gallon Forecast'!$AQ160/1000000</f>
        <v>9.9999999999999995E-7</v>
      </c>
      <c r="AZ504" s="17">
        <f>'[1]D4 Gallon Forecast'!$AQ192/1000000</f>
        <v>878.99576273726461</v>
      </c>
      <c r="BA504" s="17">
        <f>SUM(AY504:AZ504)</f>
        <v>878.99576373726461</v>
      </c>
      <c r="BB504" s="17">
        <f>'[1]D4 Gallon Forecast'!$AQ176/1000000</f>
        <v>0</v>
      </c>
      <c r="BC504" s="87">
        <f>'[1]D4 Gallon Forecast'!$AQ352/1000000</f>
        <v>629.39553728380679</v>
      </c>
      <c r="BD504" s="88">
        <f>'[1]D4 Gallon Forecast'!$AQ368/1000000</f>
        <v>0</v>
      </c>
      <c r="BE504" s="88">
        <f>BD504+BC504+BB504</f>
        <v>629.39553728380679</v>
      </c>
      <c r="BF504" s="76">
        <f t="shared" si="319"/>
        <v>1508.3913010210713</v>
      </c>
      <c r="BG504" s="22">
        <f t="shared" si="320"/>
        <v>3.3807276600247467</v>
      </c>
      <c r="BI504" s="21">
        <f t="shared" si="328"/>
        <v>4702.9000000000005</v>
      </c>
      <c r="BJ504" s="21">
        <f t="shared" si="312"/>
        <v>725.54499999999825</v>
      </c>
      <c r="BK504" s="21">
        <f>'RD Feedstock Breakdown'!ES495</f>
        <v>40698.403664393278</v>
      </c>
      <c r="BL504" s="89">
        <f t="shared" si="318"/>
        <v>26.981330134192245</v>
      </c>
      <c r="BM504" s="89">
        <f t="shared" si="316"/>
        <v>46.301023672007361</v>
      </c>
    </row>
  </sheetData>
  <mergeCells count="8">
    <mergeCell ref="CB2:CD2"/>
    <mergeCell ref="B1:AW1"/>
    <mergeCell ref="AY1:BD1"/>
    <mergeCell ref="BF1:BJ1"/>
    <mergeCell ref="BM1:BQ1"/>
    <mergeCell ref="AY2:BA2"/>
    <mergeCell ref="BB2:BF2"/>
    <mergeCell ref="BQ2:BS2"/>
  </mergeCells>
  <pageMargins left="0.7" right="0.7" top="0.75" bottom="0.75" header="0.3" footer="0.3"/>
  <pageSetup scale="10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5015-90A6-4F64-86ED-608A80C0E16A}">
  <dimension ref="A1:HB495"/>
  <sheetViews>
    <sheetView zoomScale="85" zoomScaleNormal="85" workbookViewId="0">
      <pane xSplit="1" ySplit="3" topLeftCell="B163" activePane="bottomRight" state="frozen"/>
      <selection pane="topRight"/>
      <selection pane="bottomLeft"/>
      <selection pane="bottomRight"/>
    </sheetView>
  </sheetViews>
  <sheetFormatPr defaultColWidth="9" defaultRowHeight="15.75" x14ac:dyDescent="0.25"/>
  <cols>
    <col min="1" max="1" width="12.5" style="134" bestFit="1" customWidth="1"/>
    <col min="2" max="4" width="9.1640625" style="104" customWidth="1"/>
    <col min="150" max="150" width="9" style="91"/>
    <col min="151" max="151" width="11.5" customWidth="1"/>
    <col min="190" max="190" width="9" style="92"/>
  </cols>
  <sheetData>
    <row r="1" spans="1:210" ht="108" customHeight="1" x14ac:dyDescent="0.2">
      <c r="A1" s="90" t="s">
        <v>325</v>
      </c>
      <c r="B1" s="179" t="s">
        <v>186</v>
      </c>
      <c r="C1" s="179"/>
      <c r="D1" s="179"/>
      <c r="E1" s="179"/>
      <c r="F1" s="179"/>
      <c r="G1" s="179"/>
      <c r="H1" s="179"/>
      <c r="I1" s="179"/>
      <c r="J1" s="179" t="s">
        <v>187</v>
      </c>
      <c r="K1" s="179"/>
      <c r="L1" s="179"/>
      <c r="M1" s="179"/>
      <c r="N1" s="179"/>
      <c r="O1" s="179"/>
      <c r="P1" s="179"/>
      <c r="Q1" s="179"/>
      <c r="R1" s="179" t="s">
        <v>188</v>
      </c>
      <c r="S1" s="179"/>
      <c r="T1" s="179" t="s">
        <v>189</v>
      </c>
      <c r="U1" s="179"/>
      <c r="V1" s="179"/>
      <c r="W1" s="179"/>
      <c r="X1" s="179"/>
      <c r="Y1" s="179" t="s">
        <v>190</v>
      </c>
      <c r="Z1" s="179"/>
      <c r="AA1" s="179"/>
      <c r="AB1" s="179"/>
      <c r="AC1" s="179" t="s">
        <v>191</v>
      </c>
      <c r="AD1" s="179"/>
      <c r="AE1" s="179"/>
      <c r="AF1" s="179"/>
      <c r="AG1" s="179" t="s">
        <v>192</v>
      </c>
      <c r="AH1" s="179"/>
      <c r="AI1" s="179"/>
      <c r="AJ1" s="179"/>
      <c r="AK1" s="179" t="s">
        <v>326</v>
      </c>
      <c r="AL1" s="179"/>
      <c r="AM1" s="179" t="s">
        <v>195</v>
      </c>
      <c r="AN1" s="179"/>
      <c r="AO1" s="179"/>
      <c r="AP1" s="179" t="s">
        <v>196</v>
      </c>
      <c r="AQ1" s="179"/>
      <c r="AR1" s="179"/>
      <c r="AS1" s="179" t="s">
        <v>197</v>
      </c>
      <c r="AT1" s="179"/>
      <c r="AU1" s="179"/>
      <c r="AV1" s="179" t="s">
        <v>198</v>
      </c>
      <c r="AW1" s="179"/>
      <c r="AX1" s="179"/>
      <c r="AY1" s="179" t="s">
        <v>199</v>
      </c>
      <c r="AZ1" s="179"/>
      <c r="BA1" s="179"/>
      <c r="BB1" s="179" t="s">
        <v>201</v>
      </c>
      <c r="BC1" s="179"/>
      <c r="BD1" s="179"/>
      <c r="BE1" s="179"/>
      <c r="BF1" s="179" t="s">
        <v>202</v>
      </c>
      <c r="BG1" s="179"/>
      <c r="BH1" s="179" t="s">
        <v>204</v>
      </c>
      <c r="BI1" s="179"/>
      <c r="BJ1" s="179" t="s">
        <v>207</v>
      </c>
      <c r="BK1" s="179"/>
      <c r="BL1" s="179"/>
      <c r="BM1" s="179"/>
      <c r="BN1" s="179"/>
      <c r="BO1" s="179" t="s">
        <v>200</v>
      </c>
      <c r="BP1" s="179"/>
      <c r="BQ1" s="179" t="s">
        <v>203</v>
      </c>
      <c r="BR1" s="179"/>
      <c r="BS1" s="179"/>
      <c r="BT1" s="179" t="s">
        <v>209</v>
      </c>
      <c r="BU1" s="179"/>
      <c r="BV1" s="179"/>
      <c r="BW1" s="179" t="s">
        <v>327</v>
      </c>
      <c r="BX1" s="179"/>
      <c r="BY1" s="179"/>
      <c r="BZ1" s="179"/>
      <c r="CA1" s="179"/>
      <c r="CB1" s="179" t="s">
        <v>328</v>
      </c>
      <c r="CC1" s="179"/>
      <c r="CD1" s="179" t="s">
        <v>329</v>
      </c>
      <c r="CE1" s="179"/>
      <c r="CF1" s="179"/>
      <c r="CG1" s="179" t="s">
        <v>214</v>
      </c>
      <c r="CH1" s="179"/>
      <c r="CI1" s="179" t="s">
        <v>330</v>
      </c>
      <c r="CJ1" s="179"/>
      <c r="CK1" s="179"/>
      <c r="CL1" s="179" t="str">
        <f>'Renewable Diesel'!AF2</f>
        <v>Calumet Montana Refining - Great Falls</v>
      </c>
      <c r="CM1" s="179"/>
      <c r="CN1" s="179"/>
      <c r="CO1" s="179"/>
      <c r="CP1" s="179" t="str">
        <f>'Renewable Diesel'!AG2</f>
        <v>Emerald One - Port Arthur TX</v>
      </c>
      <c r="CQ1" s="179"/>
      <c r="CR1" s="179"/>
      <c r="CS1" s="179"/>
      <c r="CT1" s="179" t="s">
        <v>219</v>
      </c>
      <c r="CU1" s="179"/>
      <c r="CV1" s="179" t="s">
        <v>224</v>
      </c>
      <c r="CW1" s="179"/>
      <c r="CX1" s="179" t="s">
        <v>225</v>
      </c>
      <c r="CY1" s="179"/>
      <c r="CZ1" s="179"/>
      <c r="DA1" s="179" t="s">
        <v>225</v>
      </c>
      <c r="DB1" s="179"/>
      <c r="DC1" s="179"/>
      <c r="DD1" s="179" t="s">
        <v>226</v>
      </c>
      <c r="DE1" s="179"/>
      <c r="DF1" s="179" t="s">
        <v>227</v>
      </c>
      <c r="DG1" s="179"/>
      <c r="DH1" s="179" t="s">
        <v>331</v>
      </c>
      <c r="DI1" s="179"/>
      <c r="DJ1" s="179" t="s">
        <v>229</v>
      </c>
      <c r="DK1" s="179"/>
      <c r="DL1" s="179"/>
      <c r="DM1" s="179"/>
      <c r="DN1" s="179"/>
      <c r="DP1" s="180" t="s">
        <v>332</v>
      </c>
      <c r="DQ1" s="180"/>
      <c r="DR1" s="180"/>
      <c r="DS1" s="180"/>
      <c r="DT1" s="180"/>
      <c r="DU1" s="180"/>
      <c r="DV1" s="180"/>
      <c r="DW1" s="180"/>
      <c r="DX1" s="180"/>
      <c r="EA1" s="179" t="s">
        <v>333</v>
      </c>
      <c r="EB1" s="179"/>
      <c r="EC1" s="179"/>
      <c r="ED1" s="179"/>
      <c r="EE1" s="179"/>
      <c r="EF1" s="179"/>
      <c r="EG1" s="179"/>
      <c r="EH1" s="179"/>
      <c r="EI1" s="179"/>
      <c r="EK1" s="179" t="s">
        <v>334</v>
      </c>
      <c r="EL1" s="179"/>
      <c r="EM1" s="179"/>
      <c r="EN1" s="179"/>
      <c r="EO1" s="179"/>
      <c r="EP1" s="179"/>
      <c r="EQ1" s="179"/>
      <c r="ER1" s="179"/>
      <c r="ES1" s="179"/>
      <c r="FB1" s="179" t="s">
        <v>335</v>
      </c>
      <c r="FC1" s="179"/>
      <c r="FD1" s="179"/>
      <c r="FE1" s="179"/>
      <c r="FF1" s="179"/>
      <c r="FG1" s="179"/>
      <c r="FH1" s="179"/>
      <c r="FI1" s="179"/>
      <c r="FJ1" s="179"/>
      <c r="GI1" s="181" t="s">
        <v>336</v>
      </c>
      <c r="GJ1" s="181"/>
      <c r="GK1" s="181"/>
      <c r="GL1" s="181"/>
      <c r="GM1" s="181"/>
      <c r="GN1" s="181"/>
      <c r="GO1" s="181"/>
      <c r="GP1" s="181"/>
      <c r="GQ1" s="181"/>
      <c r="GT1" s="181" t="s">
        <v>337</v>
      </c>
      <c r="GU1" s="181"/>
      <c r="GV1" s="181"/>
      <c r="GW1" s="181"/>
      <c r="GX1" s="181"/>
      <c r="GY1" s="181"/>
      <c r="GZ1" s="181"/>
      <c r="HA1" s="181"/>
      <c r="HB1" s="181"/>
    </row>
    <row r="2" spans="1:210" ht="38.25" x14ac:dyDescent="0.2">
      <c r="A2" s="7" t="s">
        <v>149</v>
      </c>
      <c r="B2" s="8" t="s">
        <v>338</v>
      </c>
      <c r="C2" s="8" t="s">
        <v>339</v>
      </c>
      <c r="D2" s="8" t="s">
        <v>340</v>
      </c>
      <c r="E2" s="8" t="s">
        <v>341</v>
      </c>
      <c r="F2" s="8" t="s">
        <v>342</v>
      </c>
      <c r="G2" s="8" t="s">
        <v>343</v>
      </c>
      <c r="H2" s="8" t="s">
        <v>344</v>
      </c>
      <c r="I2" s="8" t="s">
        <v>177</v>
      </c>
      <c r="J2" s="8" t="s">
        <v>183</v>
      </c>
      <c r="K2" s="8" t="s">
        <v>339</v>
      </c>
      <c r="L2" s="8" t="s">
        <v>340</v>
      </c>
      <c r="M2" s="8" t="s">
        <v>341</v>
      </c>
      <c r="N2" s="8" t="s">
        <v>342</v>
      </c>
      <c r="O2" s="8" t="s">
        <v>343</v>
      </c>
      <c r="P2" s="8" t="s">
        <v>344</v>
      </c>
      <c r="Q2" s="8" t="s">
        <v>177</v>
      </c>
      <c r="R2" s="8" t="s">
        <v>343</v>
      </c>
      <c r="S2" s="8" t="s">
        <v>177</v>
      </c>
      <c r="T2" s="8" t="s">
        <v>339</v>
      </c>
      <c r="U2" s="8" t="s">
        <v>183</v>
      </c>
      <c r="V2" s="8" t="s">
        <v>345</v>
      </c>
      <c r="W2" s="8" t="s">
        <v>342</v>
      </c>
      <c r="X2" s="8" t="s">
        <v>177</v>
      </c>
      <c r="Y2" s="8" t="s">
        <v>338</v>
      </c>
      <c r="Z2" s="8" t="s">
        <v>345</v>
      </c>
      <c r="AA2" s="8" t="s">
        <v>343</v>
      </c>
      <c r="AB2" s="8" t="s">
        <v>177</v>
      </c>
      <c r="AC2" s="8" t="s">
        <v>339</v>
      </c>
      <c r="AD2" s="8" t="s">
        <v>338</v>
      </c>
      <c r="AE2" s="8" t="s">
        <v>345</v>
      </c>
      <c r="AF2" s="8" t="s">
        <v>177</v>
      </c>
      <c r="AG2" s="8" t="s">
        <v>339</v>
      </c>
      <c r="AH2" s="8" t="s">
        <v>183</v>
      </c>
      <c r="AI2" s="8" t="s">
        <v>346</v>
      </c>
      <c r="AJ2" s="8" t="s">
        <v>177</v>
      </c>
      <c r="AK2" s="8" t="s">
        <v>338</v>
      </c>
      <c r="AL2" s="8" t="s">
        <v>177</v>
      </c>
      <c r="AM2" s="8" t="s">
        <v>338</v>
      </c>
      <c r="AN2" s="8" t="s">
        <v>347</v>
      </c>
      <c r="AO2" s="8" t="s">
        <v>177</v>
      </c>
      <c r="AP2" s="8" t="s">
        <v>338</v>
      </c>
      <c r="AQ2" s="8" t="s">
        <v>347</v>
      </c>
      <c r="AR2" s="8" t="s">
        <v>177</v>
      </c>
      <c r="AS2" s="8" t="s">
        <v>338</v>
      </c>
      <c r="AT2" s="8" t="s">
        <v>339</v>
      </c>
      <c r="AU2" s="8" t="s">
        <v>177</v>
      </c>
      <c r="AV2" s="8" t="s">
        <v>338</v>
      </c>
      <c r="AW2" s="8" t="s">
        <v>343</v>
      </c>
      <c r="AX2" s="8" t="s">
        <v>177</v>
      </c>
      <c r="AY2" s="8" t="s">
        <v>338</v>
      </c>
      <c r="AZ2" s="8" t="s">
        <v>344</v>
      </c>
      <c r="BA2" s="8" t="s">
        <v>177</v>
      </c>
      <c r="BB2" s="8" t="s">
        <v>338</v>
      </c>
      <c r="BC2" s="8" t="s">
        <v>344</v>
      </c>
      <c r="BD2" s="8" t="s">
        <v>345</v>
      </c>
      <c r="BE2" s="8" t="s">
        <v>177</v>
      </c>
      <c r="BF2" s="8" t="s">
        <v>338</v>
      </c>
      <c r="BG2" s="8" t="s">
        <v>177</v>
      </c>
      <c r="BH2" s="8" t="s">
        <v>343</v>
      </c>
      <c r="BI2" s="8" t="s">
        <v>177</v>
      </c>
      <c r="BJ2" s="8" t="s">
        <v>338</v>
      </c>
      <c r="BK2" s="8" t="s">
        <v>344</v>
      </c>
      <c r="BL2" s="8" t="s">
        <v>345</v>
      </c>
      <c r="BM2" s="8" t="s">
        <v>343</v>
      </c>
      <c r="BN2" s="8" t="s">
        <v>177</v>
      </c>
      <c r="BO2" s="8" t="s">
        <v>338</v>
      </c>
      <c r="BP2" s="8" t="s">
        <v>177</v>
      </c>
      <c r="BQ2" s="8" t="s">
        <v>338</v>
      </c>
      <c r="BR2" s="8" t="s">
        <v>343</v>
      </c>
      <c r="BS2" s="8" t="s">
        <v>177</v>
      </c>
      <c r="BT2" s="8" t="s">
        <v>338</v>
      </c>
      <c r="BU2" s="8" t="s">
        <v>343</v>
      </c>
      <c r="BV2" s="8" t="s">
        <v>177</v>
      </c>
      <c r="BW2" s="8" t="s">
        <v>338</v>
      </c>
      <c r="BX2" s="8" t="s">
        <v>339</v>
      </c>
      <c r="BY2" s="8" t="s">
        <v>343</v>
      </c>
      <c r="BZ2" s="8" t="s">
        <v>344</v>
      </c>
      <c r="CA2" s="8" t="s">
        <v>177</v>
      </c>
      <c r="CB2" s="8" t="s">
        <v>338</v>
      </c>
      <c r="CC2" s="8" t="s">
        <v>177</v>
      </c>
      <c r="CD2" s="8" t="s">
        <v>345</v>
      </c>
      <c r="CE2" s="8" t="s">
        <v>338</v>
      </c>
      <c r="CF2" s="8" t="s">
        <v>177</v>
      </c>
      <c r="CG2" s="8" t="s">
        <v>338</v>
      </c>
      <c r="CH2" s="8" t="s">
        <v>177</v>
      </c>
      <c r="CI2" s="8" t="s">
        <v>339</v>
      </c>
      <c r="CJ2" s="8" t="s">
        <v>338</v>
      </c>
      <c r="CK2" s="8" t="s">
        <v>177</v>
      </c>
      <c r="CL2" s="8" t="s">
        <v>344</v>
      </c>
      <c r="CM2" s="8" t="s">
        <v>345</v>
      </c>
      <c r="CN2" s="8" t="s">
        <v>338</v>
      </c>
      <c r="CO2" s="8" t="s">
        <v>177</v>
      </c>
      <c r="CP2" s="8" t="s">
        <v>344</v>
      </c>
      <c r="CQ2" s="8" t="s">
        <v>345</v>
      </c>
      <c r="CR2" s="8" t="s">
        <v>338</v>
      </c>
      <c r="CS2" s="8" t="s">
        <v>177</v>
      </c>
      <c r="CT2" s="8" t="s">
        <v>338</v>
      </c>
      <c r="CU2" s="8" t="s">
        <v>177</v>
      </c>
      <c r="CV2" s="8" t="s">
        <v>267</v>
      </c>
      <c r="CW2" s="8" t="s">
        <v>177</v>
      </c>
      <c r="CX2" s="8" t="s">
        <v>267</v>
      </c>
      <c r="CY2" s="8" t="s">
        <v>345</v>
      </c>
      <c r="CZ2" s="8" t="s">
        <v>177</v>
      </c>
      <c r="DA2" s="8" t="s">
        <v>267</v>
      </c>
      <c r="DB2" s="8" t="s">
        <v>345</v>
      </c>
      <c r="DC2" s="8" t="s">
        <v>177</v>
      </c>
      <c r="DD2" s="8" t="s">
        <v>339</v>
      </c>
      <c r="DE2" s="8" t="s">
        <v>177</v>
      </c>
      <c r="DF2" s="8" t="s">
        <v>183</v>
      </c>
      <c r="DG2" s="8" t="s">
        <v>177</v>
      </c>
      <c r="DH2" s="8" t="s">
        <v>183</v>
      </c>
      <c r="DI2" s="8" t="s">
        <v>177</v>
      </c>
      <c r="DJ2" s="8" t="s">
        <v>339</v>
      </c>
      <c r="DK2" s="8" t="s">
        <v>267</v>
      </c>
      <c r="DL2" s="8" t="s">
        <v>345</v>
      </c>
      <c r="DM2" s="8" t="s">
        <v>348</v>
      </c>
      <c r="DN2" s="8" t="s">
        <v>177</v>
      </c>
      <c r="DP2" s="8" t="s">
        <v>341</v>
      </c>
      <c r="DQ2" s="8" t="s">
        <v>344</v>
      </c>
      <c r="DR2" s="8" t="s">
        <v>338</v>
      </c>
      <c r="DS2" s="8" t="s">
        <v>339</v>
      </c>
      <c r="DT2" s="8" t="s">
        <v>345</v>
      </c>
      <c r="DU2" s="8" t="s">
        <v>343</v>
      </c>
      <c r="DV2" s="8" t="s">
        <v>342</v>
      </c>
      <c r="DW2" s="8" t="s">
        <v>340</v>
      </c>
      <c r="DX2" s="8" t="s">
        <v>177</v>
      </c>
      <c r="EA2" s="8" t="s">
        <v>341</v>
      </c>
      <c r="EB2" s="8" t="s">
        <v>344</v>
      </c>
      <c r="EC2" s="8" t="s">
        <v>338</v>
      </c>
      <c r="ED2" s="8" t="s">
        <v>339</v>
      </c>
      <c r="EE2" s="8" t="s">
        <v>345</v>
      </c>
      <c r="EF2" s="8" t="s">
        <v>343</v>
      </c>
      <c r="EG2" s="8" t="s">
        <v>342</v>
      </c>
      <c r="EH2" s="8" t="s">
        <v>340</v>
      </c>
      <c r="EI2" s="8" t="s">
        <v>177</v>
      </c>
      <c r="EK2" s="8" t="s">
        <v>341</v>
      </c>
      <c r="EL2" s="8" t="s">
        <v>344</v>
      </c>
      <c r="EM2" s="8" t="s">
        <v>338</v>
      </c>
      <c r="EN2" s="8" t="s">
        <v>339</v>
      </c>
      <c r="EO2" s="8" t="s">
        <v>345</v>
      </c>
      <c r="EP2" s="8" t="s">
        <v>343</v>
      </c>
      <c r="EQ2" s="8" t="s">
        <v>342</v>
      </c>
      <c r="ER2" s="8" t="s">
        <v>340</v>
      </c>
      <c r="ES2" s="8" t="s">
        <v>177</v>
      </c>
      <c r="EW2" s="8" t="s">
        <v>349</v>
      </c>
      <c r="EX2" s="8" t="s">
        <v>350</v>
      </c>
      <c r="EY2" s="8" t="s">
        <v>351</v>
      </c>
      <c r="EZ2" s="8" t="s">
        <v>352</v>
      </c>
      <c r="FB2" s="8" t="s">
        <v>341</v>
      </c>
      <c r="FC2" s="8" t="s">
        <v>344</v>
      </c>
      <c r="FD2" s="8" t="s">
        <v>338</v>
      </c>
      <c r="FE2" s="8" t="s">
        <v>339</v>
      </c>
      <c r="FF2" s="8" t="s">
        <v>345</v>
      </c>
      <c r="FG2" s="8" t="s">
        <v>343</v>
      </c>
      <c r="FH2" s="8" t="s">
        <v>342</v>
      </c>
      <c r="FI2" s="8" t="s">
        <v>340</v>
      </c>
      <c r="FJ2" s="8" t="s">
        <v>177</v>
      </c>
      <c r="GD2" s="186" t="s">
        <v>353</v>
      </c>
      <c r="GE2" s="186"/>
      <c r="GF2" s="186"/>
      <c r="GG2" s="186"/>
      <c r="GI2" s="8" t="s">
        <v>341</v>
      </c>
      <c r="GJ2" s="8" t="s">
        <v>344</v>
      </c>
      <c r="GK2" s="8" t="s">
        <v>338</v>
      </c>
      <c r="GL2" s="8" t="s">
        <v>339</v>
      </c>
      <c r="GM2" s="8" t="s">
        <v>345</v>
      </c>
      <c r="GN2" s="8" t="s">
        <v>343</v>
      </c>
      <c r="GO2" s="8" t="s">
        <v>342</v>
      </c>
      <c r="GP2" s="8" t="s">
        <v>340</v>
      </c>
      <c r="GQ2" s="8" t="s">
        <v>177</v>
      </c>
      <c r="GT2" s="8" t="s">
        <v>341</v>
      </c>
      <c r="GU2" s="8" t="s">
        <v>344</v>
      </c>
      <c r="GV2" s="8" t="s">
        <v>338</v>
      </c>
      <c r="GW2" s="8" t="s">
        <v>339</v>
      </c>
      <c r="GX2" s="8" t="s">
        <v>345</v>
      </c>
      <c r="GY2" s="8" t="s">
        <v>343</v>
      </c>
      <c r="GZ2" s="8" t="s">
        <v>342</v>
      </c>
      <c r="HA2" s="8" t="s">
        <v>340</v>
      </c>
      <c r="HB2" s="8" t="s">
        <v>177</v>
      </c>
    </row>
    <row r="3" spans="1:210" ht="38.25" x14ac:dyDescent="0.2">
      <c r="A3" s="7" t="s">
        <v>354</v>
      </c>
      <c r="B3" s="93" t="s">
        <v>355</v>
      </c>
      <c r="C3" s="93" t="s">
        <v>355</v>
      </c>
      <c r="D3" s="93" t="s">
        <v>356</v>
      </c>
      <c r="E3" s="94">
        <v>0.184</v>
      </c>
      <c r="F3" s="94">
        <v>0.1</v>
      </c>
      <c r="G3" s="94">
        <v>0.33300000000000002</v>
      </c>
      <c r="H3" s="94">
        <v>0.38300000000000001</v>
      </c>
      <c r="I3" s="94">
        <f>SUM(E3:H3)</f>
        <v>1</v>
      </c>
      <c r="J3" s="93" t="s">
        <v>355</v>
      </c>
      <c r="K3" s="93" t="s">
        <v>355</v>
      </c>
      <c r="L3" s="93" t="s">
        <v>356</v>
      </c>
      <c r="M3" s="94">
        <v>0.23400000000000001</v>
      </c>
      <c r="N3" s="94">
        <v>0.1</v>
      </c>
      <c r="O3" s="94">
        <v>0.33300000000000002</v>
      </c>
      <c r="P3" s="94">
        <v>0.33300000000000002</v>
      </c>
      <c r="Q3" s="94">
        <f>SUM(M3:P3)</f>
        <v>1</v>
      </c>
      <c r="R3" s="94">
        <v>1</v>
      </c>
      <c r="S3" s="93">
        <f>R3</f>
        <v>1</v>
      </c>
      <c r="T3" s="93" t="s">
        <v>355</v>
      </c>
      <c r="U3" s="93" t="s">
        <v>355</v>
      </c>
      <c r="V3" s="93">
        <v>0.66600000000000004</v>
      </c>
      <c r="W3" s="93">
        <v>0.33400000000000002</v>
      </c>
      <c r="X3" s="93">
        <f>SUM(V3:W3)</f>
        <v>1</v>
      </c>
      <c r="Y3" s="93" t="s">
        <v>355</v>
      </c>
      <c r="Z3" s="93">
        <v>0.6</v>
      </c>
      <c r="AA3" s="93">
        <v>0.4</v>
      </c>
      <c r="AB3" s="93">
        <f>SUM(Z3:AA3)</f>
        <v>1</v>
      </c>
      <c r="AC3" s="93">
        <v>0.5</v>
      </c>
      <c r="AD3" s="93">
        <v>0.25</v>
      </c>
      <c r="AE3" s="93">
        <v>0.25</v>
      </c>
      <c r="AF3" s="93">
        <f>SUM(AC3:AE3)</f>
        <v>1</v>
      </c>
      <c r="AG3" s="93" t="s">
        <v>355</v>
      </c>
      <c r="AH3" s="93" t="s">
        <v>355</v>
      </c>
      <c r="AI3" s="93">
        <v>1</v>
      </c>
      <c r="AJ3" s="93">
        <f>AI3</f>
        <v>1</v>
      </c>
      <c r="AK3" s="93">
        <v>1</v>
      </c>
      <c r="AL3" s="93">
        <f>AK3</f>
        <v>1</v>
      </c>
      <c r="AM3" s="93">
        <v>0.75</v>
      </c>
      <c r="AN3" s="93">
        <v>0.25</v>
      </c>
      <c r="AO3" s="93">
        <f>SUM(AM3:AN3)</f>
        <v>1</v>
      </c>
      <c r="AP3" s="93">
        <v>0.75</v>
      </c>
      <c r="AQ3" s="93">
        <v>0.25</v>
      </c>
      <c r="AR3" s="93">
        <f>SUM(AP3:AQ3)</f>
        <v>1</v>
      </c>
      <c r="AS3" s="93">
        <v>1</v>
      </c>
      <c r="AT3" s="93">
        <f>1-AS3</f>
        <v>0</v>
      </c>
      <c r="AU3" s="93">
        <f>SUM(AS3:AT3)</f>
        <v>1</v>
      </c>
      <c r="AV3" s="93">
        <v>0.7</v>
      </c>
      <c r="AW3" s="93">
        <v>0.3</v>
      </c>
      <c r="AX3" s="93">
        <f>SUM(AV3:AW3)</f>
        <v>1</v>
      </c>
      <c r="AY3" s="93">
        <v>0.9</v>
      </c>
      <c r="AZ3" s="93">
        <v>0.1</v>
      </c>
      <c r="BA3" s="93">
        <f>SUM(AY3:AZ3)</f>
        <v>1</v>
      </c>
      <c r="BB3" s="93">
        <v>0.85</v>
      </c>
      <c r="BC3" s="93">
        <v>0.1</v>
      </c>
      <c r="BD3" s="93">
        <v>0.05</v>
      </c>
      <c r="BE3" s="93">
        <f>SUM(BB3:BD3)</f>
        <v>1</v>
      </c>
      <c r="BF3" s="93">
        <v>1</v>
      </c>
      <c r="BG3" s="93">
        <f>BF3</f>
        <v>1</v>
      </c>
      <c r="BH3" s="93">
        <v>1</v>
      </c>
      <c r="BI3" s="93">
        <f>BH3</f>
        <v>1</v>
      </c>
      <c r="BJ3" s="93">
        <v>0.6</v>
      </c>
      <c r="BK3" s="93">
        <v>0.1</v>
      </c>
      <c r="BL3" s="93">
        <v>0.2</v>
      </c>
      <c r="BM3" s="93">
        <v>0.1</v>
      </c>
      <c r="BN3" s="93">
        <f>SUM(BJ3:BM3)</f>
        <v>0.99999999999999989</v>
      </c>
      <c r="BO3" s="93">
        <v>1</v>
      </c>
      <c r="BP3" s="93">
        <f>BO3</f>
        <v>1</v>
      </c>
      <c r="BQ3" s="93">
        <v>0.75</v>
      </c>
      <c r="BR3" s="93">
        <v>0.25</v>
      </c>
      <c r="BS3" s="93">
        <f>SUM(BQ3:BR3)</f>
        <v>1</v>
      </c>
      <c r="BT3" s="93" t="s">
        <v>357</v>
      </c>
      <c r="BU3" s="93">
        <v>1</v>
      </c>
      <c r="BV3" s="93">
        <f>BU3</f>
        <v>1</v>
      </c>
      <c r="BW3" s="93">
        <v>0.5</v>
      </c>
      <c r="BX3" s="93">
        <v>0.05</v>
      </c>
      <c r="BY3" s="93">
        <v>0.35</v>
      </c>
      <c r="BZ3" s="93">
        <v>0.1</v>
      </c>
      <c r="CA3" s="93">
        <f>SUM(BW3:BZ3)</f>
        <v>1</v>
      </c>
      <c r="CB3" s="93">
        <v>1</v>
      </c>
      <c r="CC3" s="93">
        <f>CB3</f>
        <v>1</v>
      </c>
      <c r="CD3" s="93">
        <v>0.7</v>
      </c>
      <c r="CE3" s="93">
        <v>0.3</v>
      </c>
      <c r="CF3" s="93">
        <f>SUM(CD3:CE3)</f>
        <v>1</v>
      </c>
      <c r="CG3" s="93">
        <v>1</v>
      </c>
      <c r="CH3" s="93">
        <f>CG3</f>
        <v>1</v>
      </c>
      <c r="CI3" s="93">
        <v>0.5</v>
      </c>
      <c r="CJ3" s="93">
        <v>0.5</v>
      </c>
      <c r="CK3" s="93">
        <f>SUM(CI3:CJ3)</f>
        <v>1</v>
      </c>
      <c r="CL3" s="93">
        <v>0.5</v>
      </c>
      <c r="CM3" s="93">
        <v>0.25</v>
      </c>
      <c r="CN3" s="93">
        <v>0.25</v>
      </c>
      <c r="CO3" s="93">
        <f>SUM(CL3:CN3)</f>
        <v>1</v>
      </c>
      <c r="CP3" s="93">
        <v>0.5</v>
      </c>
      <c r="CQ3" s="93">
        <v>0.25</v>
      </c>
      <c r="CR3" s="93">
        <v>0.25</v>
      </c>
      <c r="CS3" s="93">
        <f>SUM(CP3:CR3)</f>
        <v>1</v>
      </c>
      <c r="CT3" s="93">
        <v>1</v>
      </c>
      <c r="CU3" s="93">
        <f>CT3</f>
        <v>1</v>
      </c>
      <c r="CV3" s="93">
        <v>1</v>
      </c>
      <c r="CW3" s="93">
        <f>CV3</f>
        <v>1</v>
      </c>
      <c r="CX3" s="93">
        <v>0.5</v>
      </c>
      <c r="CY3" s="93">
        <v>0.5</v>
      </c>
      <c r="CZ3" s="93">
        <f>SUM(CX3:CY3)</f>
        <v>1</v>
      </c>
      <c r="DA3" s="93">
        <v>0.5</v>
      </c>
      <c r="DB3" s="93">
        <v>0.5</v>
      </c>
      <c r="DC3" s="93">
        <f>SUM(DA3:DB3)</f>
        <v>1</v>
      </c>
      <c r="DD3" s="93">
        <v>1</v>
      </c>
      <c r="DE3" s="93">
        <v>1</v>
      </c>
      <c r="DF3" s="93">
        <v>1</v>
      </c>
      <c r="DG3" s="93">
        <v>1</v>
      </c>
      <c r="DH3" s="93">
        <v>1</v>
      </c>
      <c r="DI3" s="93">
        <v>1</v>
      </c>
      <c r="DJ3" s="93" t="s">
        <v>355</v>
      </c>
      <c r="DK3" s="93">
        <v>0.5</v>
      </c>
      <c r="DL3" s="93">
        <v>0.25</v>
      </c>
      <c r="DM3" s="93">
        <v>0.25</v>
      </c>
      <c r="DN3" s="93">
        <f>SUM(DK3:DM3)</f>
        <v>1</v>
      </c>
      <c r="DQ3" s="93"/>
      <c r="DR3" s="93"/>
      <c r="DY3" t="s">
        <v>358</v>
      </c>
      <c r="GD3" s="7" t="str">
        <f>_xlfn.CONCAT("RD"," ",'Renewable Diesel'!BB12)</f>
        <v>RD EV 1.6</v>
      </c>
      <c r="GE3" s="7" t="str">
        <f>'Renewable Diesel'!BC12</f>
        <v>EV 1.6</v>
      </c>
      <c r="GF3" s="7" t="str">
        <f>'Renewable Diesel'!BD12</f>
        <v>EV App Required</v>
      </c>
      <c r="GG3" s="7" t="s">
        <v>177</v>
      </c>
      <c r="GH3" s="95" t="s">
        <v>359</v>
      </c>
    </row>
    <row r="4" spans="1:210" x14ac:dyDescent="0.25">
      <c r="A4" s="96">
        <v>40544</v>
      </c>
      <c r="B4" s="96"/>
      <c r="C4" s="97"/>
      <c r="D4" s="96"/>
      <c r="E4" s="94"/>
      <c r="F4" s="94"/>
      <c r="G4" s="94"/>
      <c r="H4" s="94"/>
      <c r="I4" s="94"/>
      <c r="J4" s="94"/>
      <c r="K4" s="98"/>
      <c r="L4" s="94"/>
      <c r="M4" s="94"/>
      <c r="N4" s="94"/>
      <c r="O4" s="94"/>
      <c r="P4" s="94"/>
      <c r="Q4" s="94"/>
      <c r="R4" s="94"/>
      <c r="S4" s="93"/>
      <c r="T4" s="99"/>
      <c r="U4" s="93"/>
      <c r="V4" s="93"/>
      <c r="W4" s="93"/>
      <c r="X4" s="93"/>
      <c r="Y4" s="93"/>
      <c r="Z4" s="93"/>
      <c r="AA4" s="93"/>
      <c r="AB4" s="93"/>
      <c r="AC4" s="99"/>
      <c r="AD4" s="93"/>
      <c r="AE4" s="93"/>
      <c r="AF4" s="93"/>
      <c r="AG4" s="99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9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1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1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0"/>
      <c r="CW4" s="100"/>
      <c r="CX4" s="100"/>
      <c r="CY4" s="100"/>
      <c r="CZ4" s="100"/>
      <c r="DA4" s="100"/>
      <c r="DB4" s="100"/>
      <c r="DC4" s="100"/>
      <c r="DD4" s="101"/>
      <c r="DE4" s="100"/>
      <c r="DF4" s="100"/>
      <c r="DG4" s="100"/>
      <c r="DH4" s="100"/>
      <c r="DI4" s="100"/>
      <c r="DJ4" s="101"/>
      <c r="DK4" s="100"/>
      <c r="DL4" s="100"/>
      <c r="DM4" s="100"/>
      <c r="DN4" s="100"/>
      <c r="DQ4" s="93"/>
      <c r="DR4" s="93"/>
      <c r="DS4" s="101"/>
      <c r="ED4" s="101"/>
      <c r="EN4" s="101"/>
      <c r="FE4" s="101"/>
      <c r="GD4" s="91">
        <f>'Renewable Diesel'!BB13*0</f>
        <v>0</v>
      </c>
      <c r="GE4" s="91">
        <f>'Renewable Diesel'!BC13</f>
        <v>0</v>
      </c>
      <c r="GF4" s="91">
        <f>'Renewable Diesel'!BD13</f>
        <v>0</v>
      </c>
      <c r="GG4" s="91">
        <f>SUM(GD4:GF4)*GH4</f>
        <v>0</v>
      </c>
      <c r="GH4" s="92">
        <v>0.5</v>
      </c>
      <c r="GI4" s="102"/>
      <c r="GJ4" s="102"/>
      <c r="GK4" s="102"/>
      <c r="GL4" s="102"/>
      <c r="GM4" s="102"/>
      <c r="GN4" s="102"/>
      <c r="GO4" s="102"/>
      <c r="GP4" s="102"/>
      <c r="GQ4" s="102"/>
      <c r="GT4" s="103"/>
      <c r="GU4" s="103"/>
      <c r="GV4" s="103"/>
      <c r="GW4" s="103"/>
      <c r="GX4" s="103"/>
      <c r="GY4" s="103"/>
      <c r="GZ4" s="103"/>
      <c r="HA4" s="103"/>
    </row>
    <row r="5" spans="1:210" x14ac:dyDescent="0.25">
      <c r="A5" s="96">
        <v>40575</v>
      </c>
      <c r="B5" s="96"/>
      <c r="C5" s="97"/>
      <c r="D5" s="96"/>
      <c r="E5" s="94"/>
      <c r="F5" s="94"/>
      <c r="G5" s="94"/>
      <c r="H5" s="94"/>
      <c r="I5" s="94"/>
      <c r="J5" s="94"/>
      <c r="K5" s="98"/>
      <c r="L5" s="94"/>
      <c r="M5" s="94"/>
      <c r="N5" s="94"/>
      <c r="O5" s="94"/>
      <c r="P5" s="94"/>
      <c r="Q5" s="94"/>
      <c r="R5" s="94"/>
      <c r="S5" s="93"/>
      <c r="T5" s="99"/>
      <c r="U5" s="93"/>
      <c r="V5" s="93"/>
      <c r="W5" s="93"/>
      <c r="X5" s="93"/>
      <c r="Y5" s="93"/>
      <c r="Z5" s="93"/>
      <c r="AA5" s="93"/>
      <c r="AB5" s="93"/>
      <c r="AC5" s="99"/>
      <c r="AD5" s="93"/>
      <c r="AE5" s="93"/>
      <c r="AF5" s="93"/>
      <c r="AG5" s="99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9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1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1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1"/>
      <c r="DE5" s="100"/>
      <c r="DF5" s="100"/>
      <c r="DG5" s="100"/>
      <c r="DH5" s="100"/>
      <c r="DI5" s="100"/>
      <c r="DJ5" s="101"/>
      <c r="DK5" s="100"/>
      <c r="DL5" s="100"/>
      <c r="DM5" s="100"/>
      <c r="DN5" s="100"/>
      <c r="DQ5" s="93"/>
      <c r="DR5" s="93"/>
      <c r="DS5" s="101"/>
      <c r="ED5" s="101"/>
      <c r="EN5" s="101"/>
      <c r="FE5" s="101"/>
      <c r="GD5" s="91">
        <f>'Renewable Diesel'!BB14*0</f>
        <v>0</v>
      </c>
      <c r="GE5" s="91">
        <f>'Renewable Diesel'!BC14</f>
        <v>0</v>
      </c>
      <c r="GF5" s="91">
        <f>'Renewable Diesel'!BD14</f>
        <v>0</v>
      </c>
      <c r="GG5" s="91">
        <f t="shared" ref="GG5:GG68" si="0">SUM(GD5:GF5)*GH5</f>
        <v>0</v>
      </c>
      <c r="GH5" s="92">
        <v>0.5</v>
      </c>
      <c r="GI5" s="102"/>
      <c r="GJ5" s="102"/>
      <c r="GK5" s="102"/>
      <c r="GL5" s="102"/>
      <c r="GM5" s="102"/>
      <c r="GN5" s="102"/>
      <c r="GO5" s="102"/>
      <c r="GP5" s="102"/>
      <c r="GQ5" s="102"/>
      <c r="GT5" s="103"/>
      <c r="GU5" s="103"/>
      <c r="GV5" s="103"/>
      <c r="GW5" s="103"/>
      <c r="GX5" s="103"/>
      <c r="GY5" s="103"/>
      <c r="GZ5" s="103"/>
      <c r="HA5" s="103"/>
    </row>
    <row r="6" spans="1:210" x14ac:dyDescent="0.25">
      <c r="A6" s="96">
        <v>40603</v>
      </c>
      <c r="B6" s="96"/>
      <c r="C6" s="97"/>
      <c r="D6" s="96"/>
      <c r="E6" s="94"/>
      <c r="F6" s="94"/>
      <c r="G6" s="94"/>
      <c r="H6" s="94"/>
      <c r="I6" s="94"/>
      <c r="J6" s="94"/>
      <c r="K6" s="98"/>
      <c r="L6" s="94"/>
      <c r="M6" s="94"/>
      <c r="N6" s="94"/>
      <c r="O6" s="94"/>
      <c r="P6" s="94"/>
      <c r="Q6" s="94"/>
      <c r="R6" s="94"/>
      <c r="S6" s="93"/>
      <c r="T6" s="99"/>
      <c r="U6" s="93"/>
      <c r="V6" s="93"/>
      <c r="W6" s="93"/>
      <c r="X6" s="93"/>
      <c r="Y6" s="93"/>
      <c r="Z6" s="93"/>
      <c r="AA6" s="93"/>
      <c r="AB6" s="93"/>
      <c r="AC6" s="99"/>
      <c r="AD6" s="93"/>
      <c r="AE6" s="93"/>
      <c r="AF6" s="93"/>
      <c r="AG6" s="99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9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1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1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00"/>
      <c r="CY6" s="100"/>
      <c r="CZ6" s="100"/>
      <c r="DA6" s="100"/>
      <c r="DB6" s="100"/>
      <c r="DC6" s="100"/>
      <c r="DD6" s="101"/>
      <c r="DE6" s="100"/>
      <c r="DF6" s="100"/>
      <c r="DG6" s="100"/>
      <c r="DH6" s="100"/>
      <c r="DI6" s="100"/>
      <c r="DJ6" s="101"/>
      <c r="DK6" s="100"/>
      <c r="DL6" s="100"/>
      <c r="DM6" s="100"/>
      <c r="DN6" s="100"/>
      <c r="DQ6" s="93"/>
      <c r="DR6" s="93"/>
      <c r="DS6" s="101"/>
      <c r="ED6" s="101"/>
      <c r="EN6" s="101"/>
      <c r="FE6" s="101"/>
      <c r="GD6" s="91">
        <f>'Renewable Diesel'!BB15*0</f>
        <v>0</v>
      </c>
      <c r="GE6" s="91">
        <f>'Renewable Diesel'!BC15</f>
        <v>0</v>
      </c>
      <c r="GF6" s="91">
        <f>'Renewable Diesel'!BD15</f>
        <v>0</v>
      </c>
      <c r="GG6" s="91">
        <f t="shared" si="0"/>
        <v>0</v>
      </c>
      <c r="GH6" s="92">
        <v>0.5</v>
      </c>
      <c r="GI6" s="102"/>
      <c r="GJ6" s="102"/>
      <c r="GK6" s="102"/>
      <c r="GL6" s="102"/>
      <c r="GM6" s="102"/>
      <c r="GN6" s="102"/>
      <c r="GO6" s="102"/>
      <c r="GP6" s="102"/>
      <c r="GQ6" s="102"/>
      <c r="GT6" s="103"/>
      <c r="GU6" s="103"/>
      <c r="GV6" s="103"/>
      <c r="GW6" s="103"/>
      <c r="GX6" s="103"/>
      <c r="GY6" s="103"/>
      <c r="GZ6" s="103"/>
      <c r="HA6" s="103"/>
    </row>
    <row r="7" spans="1:210" x14ac:dyDescent="0.25">
      <c r="A7" s="96">
        <v>40634</v>
      </c>
      <c r="B7" s="96"/>
      <c r="C7" s="97"/>
      <c r="D7" s="96"/>
      <c r="E7" s="94"/>
      <c r="F7" s="94"/>
      <c r="G7" s="94"/>
      <c r="H7" s="94"/>
      <c r="I7" s="94"/>
      <c r="J7" s="94"/>
      <c r="K7" s="98"/>
      <c r="L7" s="94"/>
      <c r="M7" s="94"/>
      <c r="N7" s="94"/>
      <c r="O7" s="94"/>
      <c r="P7" s="94"/>
      <c r="Q7" s="94"/>
      <c r="R7" s="94"/>
      <c r="S7" s="93"/>
      <c r="T7" s="99"/>
      <c r="U7" s="93"/>
      <c r="V7" s="93"/>
      <c r="W7" s="93"/>
      <c r="X7" s="93"/>
      <c r="Y7" s="93"/>
      <c r="Z7" s="93"/>
      <c r="AA7" s="93"/>
      <c r="AB7" s="93"/>
      <c r="AC7" s="99"/>
      <c r="AD7" s="93"/>
      <c r="AE7" s="93"/>
      <c r="AF7" s="93"/>
      <c r="AG7" s="99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9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1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1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  <c r="DC7" s="100"/>
      <c r="DD7" s="101"/>
      <c r="DE7" s="100"/>
      <c r="DF7" s="100"/>
      <c r="DG7" s="100"/>
      <c r="DH7" s="100"/>
      <c r="DI7" s="100"/>
      <c r="DJ7" s="101"/>
      <c r="DK7" s="100"/>
      <c r="DL7" s="100"/>
      <c r="DM7" s="100"/>
      <c r="DN7" s="100"/>
      <c r="DQ7" s="93"/>
      <c r="DR7" s="93"/>
      <c r="DS7" s="101"/>
      <c r="ED7" s="101"/>
      <c r="EN7" s="101"/>
      <c r="FE7" s="101"/>
      <c r="GD7" s="91">
        <f>'Renewable Diesel'!BB16*0</f>
        <v>0</v>
      </c>
      <c r="GE7" s="91">
        <f>'Renewable Diesel'!BC16</f>
        <v>0</v>
      </c>
      <c r="GF7" s="91">
        <f>'Renewable Diesel'!BD16</f>
        <v>0</v>
      </c>
      <c r="GG7" s="91">
        <f t="shared" si="0"/>
        <v>0</v>
      </c>
      <c r="GH7" s="92">
        <v>0.5</v>
      </c>
      <c r="GI7" s="102"/>
      <c r="GJ7" s="102"/>
      <c r="GK7" s="102"/>
      <c r="GL7" s="102"/>
      <c r="GM7" s="102"/>
      <c r="GN7" s="102"/>
      <c r="GO7" s="102"/>
      <c r="GP7" s="102"/>
      <c r="GQ7" s="102"/>
      <c r="GT7" s="103"/>
      <c r="GU7" s="103"/>
      <c r="GV7" s="103"/>
      <c r="GW7" s="103"/>
      <c r="GX7" s="103"/>
      <c r="GY7" s="103"/>
      <c r="GZ7" s="103"/>
      <c r="HA7" s="103"/>
    </row>
    <row r="8" spans="1:210" x14ac:dyDescent="0.25">
      <c r="A8" s="96">
        <v>40664</v>
      </c>
      <c r="C8" s="105"/>
      <c r="E8" s="94"/>
      <c r="F8" s="94"/>
      <c r="G8" s="94"/>
      <c r="H8" s="94"/>
      <c r="I8" s="94"/>
      <c r="J8" s="94"/>
      <c r="K8" s="98"/>
      <c r="L8" s="94"/>
      <c r="M8" s="94"/>
      <c r="N8" s="94"/>
      <c r="O8" s="94"/>
      <c r="P8" s="94"/>
      <c r="Q8" s="94"/>
      <c r="R8" s="94"/>
      <c r="S8" s="93"/>
      <c r="T8" s="99"/>
      <c r="U8" s="93"/>
      <c r="V8" s="93"/>
      <c r="W8" s="93"/>
      <c r="X8" s="93"/>
      <c r="Y8" s="93"/>
      <c r="Z8" s="93"/>
      <c r="AA8" s="93"/>
      <c r="AB8" s="93"/>
      <c r="AC8" s="99"/>
      <c r="AD8" s="93"/>
      <c r="AE8" s="93"/>
      <c r="AF8" s="93"/>
      <c r="AG8" s="99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9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1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1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1"/>
      <c r="DE8" s="100"/>
      <c r="DF8" s="100"/>
      <c r="DG8" s="100"/>
      <c r="DH8" s="100"/>
      <c r="DI8" s="100"/>
      <c r="DJ8" s="101"/>
      <c r="DK8" s="100"/>
      <c r="DL8" s="100"/>
      <c r="DM8" s="100"/>
      <c r="DN8" s="100"/>
      <c r="DQ8" s="93"/>
      <c r="DR8" s="93"/>
      <c r="DS8" s="101"/>
      <c r="ED8" s="101"/>
      <c r="EN8" s="101"/>
      <c r="FE8" s="101"/>
      <c r="GD8" s="91">
        <f>'Renewable Diesel'!BB17*0</f>
        <v>0</v>
      </c>
      <c r="GE8" s="91">
        <f>'Renewable Diesel'!BC17</f>
        <v>0</v>
      </c>
      <c r="GF8" s="91">
        <f>'Renewable Diesel'!BD17</f>
        <v>0</v>
      </c>
      <c r="GG8" s="91">
        <f t="shared" si="0"/>
        <v>0</v>
      </c>
      <c r="GH8" s="92">
        <v>0.5</v>
      </c>
      <c r="GI8" s="102"/>
      <c r="GJ8" s="102"/>
      <c r="GK8" s="102"/>
      <c r="GL8" s="102"/>
      <c r="GM8" s="102"/>
      <c r="GN8" s="102"/>
      <c r="GO8" s="102"/>
      <c r="GP8" s="102"/>
      <c r="GQ8" s="102"/>
      <c r="GT8" s="103"/>
      <c r="GU8" s="103"/>
      <c r="GV8" s="103"/>
      <c r="GW8" s="103"/>
      <c r="GX8" s="103"/>
      <c r="GY8" s="103"/>
      <c r="GZ8" s="103"/>
      <c r="HA8" s="103"/>
    </row>
    <row r="9" spans="1:210" x14ac:dyDescent="0.25">
      <c r="A9" s="96">
        <v>40695</v>
      </c>
      <c r="C9" s="105"/>
      <c r="E9" s="94"/>
      <c r="F9" s="94"/>
      <c r="G9" s="94"/>
      <c r="H9" s="94"/>
      <c r="I9" s="94"/>
      <c r="J9" s="94"/>
      <c r="K9" s="98"/>
      <c r="L9" s="94"/>
      <c r="M9" s="94"/>
      <c r="N9" s="94"/>
      <c r="O9" s="94"/>
      <c r="P9" s="94"/>
      <c r="Q9" s="94"/>
      <c r="R9" s="94"/>
      <c r="S9" s="93"/>
      <c r="T9" s="99"/>
      <c r="U9" s="93"/>
      <c r="V9" s="93"/>
      <c r="W9" s="93"/>
      <c r="X9" s="93"/>
      <c r="Y9" s="93"/>
      <c r="Z9" s="93"/>
      <c r="AA9" s="93"/>
      <c r="AB9" s="93"/>
      <c r="AC9" s="99"/>
      <c r="AD9" s="93"/>
      <c r="AE9" s="93"/>
      <c r="AF9" s="93"/>
      <c r="AG9" s="99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9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1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1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1"/>
      <c r="DE9" s="100"/>
      <c r="DF9" s="100"/>
      <c r="DG9" s="100"/>
      <c r="DH9" s="100"/>
      <c r="DI9" s="100"/>
      <c r="DJ9" s="101"/>
      <c r="DK9" s="100"/>
      <c r="DL9" s="100"/>
      <c r="DM9" s="100"/>
      <c r="DN9" s="100"/>
      <c r="DQ9" s="93"/>
      <c r="DR9" s="93"/>
      <c r="DS9" s="101"/>
      <c r="ED9" s="101"/>
      <c r="EN9" s="101"/>
      <c r="FE9" s="101"/>
      <c r="GD9" s="91">
        <f>'Renewable Diesel'!BB18*0</f>
        <v>0</v>
      </c>
      <c r="GE9" s="91">
        <f>'Renewable Diesel'!BC18</f>
        <v>0</v>
      </c>
      <c r="GF9" s="91">
        <f>'Renewable Diesel'!BD18</f>
        <v>0</v>
      </c>
      <c r="GG9" s="91">
        <f t="shared" si="0"/>
        <v>0</v>
      </c>
      <c r="GH9" s="92">
        <v>0.5</v>
      </c>
      <c r="GI9" s="102"/>
      <c r="GJ9" s="102"/>
      <c r="GK9" s="102"/>
      <c r="GL9" s="102"/>
      <c r="GM9" s="102"/>
      <c r="GN9" s="102"/>
      <c r="GO9" s="102"/>
      <c r="GP9" s="102"/>
      <c r="GQ9" s="102"/>
      <c r="GT9" s="103"/>
      <c r="GU9" s="103"/>
      <c r="GV9" s="103"/>
      <c r="GW9" s="103"/>
      <c r="GX9" s="103"/>
      <c r="GY9" s="103"/>
      <c r="GZ9" s="103"/>
      <c r="HA9" s="103"/>
    </row>
    <row r="10" spans="1:210" x14ac:dyDescent="0.25">
      <c r="A10" s="96">
        <v>40725</v>
      </c>
      <c r="C10" s="105"/>
      <c r="E10" s="94"/>
      <c r="F10" s="94"/>
      <c r="G10" s="94"/>
      <c r="H10" s="94"/>
      <c r="I10" s="94"/>
      <c r="J10" s="94"/>
      <c r="K10" s="98"/>
      <c r="L10" s="94"/>
      <c r="M10" s="94"/>
      <c r="N10" s="94"/>
      <c r="O10" s="94"/>
      <c r="P10" s="94"/>
      <c r="Q10" s="94"/>
      <c r="R10" s="94"/>
      <c r="S10" s="93"/>
      <c r="T10" s="99"/>
      <c r="U10" s="93"/>
      <c r="V10" s="93"/>
      <c r="W10" s="93"/>
      <c r="X10" s="93"/>
      <c r="Y10" s="93"/>
      <c r="Z10" s="93"/>
      <c r="AA10" s="93"/>
      <c r="AB10" s="93"/>
      <c r="AC10" s="99"/>
      <c r="AD10" s="93"/>
      <c r="AE10" s="93"/>
      <c r="AF10" s="93"/>
      <c r="AG10" s="99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9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1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1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1"/>
      <c r="DE10" s="100"/>
      <c r="DF10" s="100"/>
      <c r="DG10" s="100"/>
      <c r="DH10" s="100"/>
      <c r="DI10" s="100"/>
      <c r="DJ10" s="101"/>
      <c r="DK10" s="100"/>
      <c r="DL10" s="100"/>
      <c r="DM10" s="100"/>
      <c r="DN10" s="100"/>
      <c r="DQ10" s="93"/>
      <c r="DR10" s="93"/>
      <c r="DS10" s="101"/>
      <c r="ED10" s="101"/>
      <c r="EN10" s="101"/>
      <c r="FE10" s="101"/>
      <c r="GD10" s="91">
        <f>'Renewable Diesel'!BB19*0</f>
        <v>0</v>
      </c>
      <c r="GE10" s="91">
        <f>'Renewable Diesel'!BC19</f>
        <v>0</v>
      </c>
      <c r="GF10" s="91">
        <f>'Renewable Diesel'!BD19</f>
        <v>0</v>
      </c>
      <c r="GG10" s="91">
        <f t="shared" si="0"/>
        <v>0</v>
      </c>
      <c r="GH10" s="92">
        <v>0.5</v>
      </c>
      <c r="GI10" s="102"/>
      <c r="GJ10" s="102"/>
      <c r="GK10" s="102"/>
      <c r="GL10" s="102"/>
      <c r="GM10" s="102"/>
      <c r="GN10" s="102"/>
      <c r="GO10" s="102"/>
      <c r="GP10" s="102"/>
      <c r="GQ10" s="102"/>
      <c r="GT10" s="103"/>
      <c r="GU10" s="103"/>
      <c r="GV10" s="103"/>
      <c r="GW10" s="103"/>
      <c r="GX10" s="103"/>
      <c r="GY10" s="103"/>
      <c r="GZ10" s="103"/>
      <c r="HA10" s="103"/>
    </row>
    <row r="11" spans="1:210" x14ac:dyDescent="0.25">
      <c r="A11" s="96">
        <v>40756</v>
      </c>
      <c r="C11" s="105"/>
      <c r="E11" s="94"/>
      <c r="F11" s="94"/>
      <c r="G11" s="94"/>
      <c r="H11" s="94"/>
      <c r="I11" s="94"/>
      <c r="J11" s="94"/>
      <c r="K11" s="98"/>
      <c r="L11" s="94"/>
      <c r="M11" s="94"/>
      <c r="N11" s="94"/>
      <c r="O11" s="94"/>
      <c r="P11" s="94"/>
      <c r="Q11" s="94"/>
      <c r="R11" s="94"/>
      <c r="S11" s="93"/>
      <c r="T11" s="99"/>
      <c r="U11" s="93"/>
      <c r="V11" s="93"/>
      <c r="W11" s="93"/>
      <c r="X11" s="93"/>
      <c r="Y11" s="93"/>
      <c r="Z11" s="93"/>
      <c r="AA11" s="93"/>
      <c r="AB11" s="93"/>
      <c r="AC11" s="99"/>
      <c r="AD11" s="93"/>
      <c r="AE11" s="93"/>
      <c r="AF11" s="93"/>
      <c r="AG11" s="99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9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1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1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1"/>
      <c r="DE11" s="100"/>
      <c r="DF11" s="100"/>
      <c r="DG11" s="100"/>
      <c r="DH11" s="100"/>
      <c r="DI11" s="100"/>
      <c r="DJ11" s="101"/>
      <c r="DK11" s="100"/>
      <c r="DL11" s="100"/>
      <c r="DM11" s="100"/>
      <c r="DN11" s="100"/>
      <c r="DQ11" s="93"/>
      <c r="DR11" s="93"/>
      <c r="DS11" s="101"/>
      <c r="ED11" s="101"/>
      <c r="EN11" s="101"/>
      <c r="FE11" s="101"/>
      <c r="GD11" s="91">
        <f>'Renewable Diesel'!BB20*0</f>
        <v>0</v>
      </c>
      <c r="GE11" s="91">
        <f>'Renewable Diesel'!BC20</f>
        <v>0</v>
      </c>
      <c r="GF11" s="91">
        <f>'Renewable Diesel'!BD20</f>
        <v>0</v>
      </c>
      <c r="GG11" s="91">
        <f t="shared" si="0"/>
        <v>0</v>
      </c>
      <c r="GH11" s="92">
        <v>0.5</v>
      </c>
      <c r="GI11" s="102"/>
      <c r="GJ11" s="102"/>
      <c r="GK11" s="102"/>
      <c r="GL11" s="102"/>
      <c r="GM11" s="102"/>
      <c r="GN11" s="102"/>
      <c r="GO11" s="102"/>
      <c r="GP11" s="102"/>
      <c r="GQ11" s="102"/>
      <c r="GT11" s="103"/>
      <c r="GU11" s="103"/>
      <c r="GV11" s="103"/>
      <c r="GW11" s="103"/>
      <c r="GX11" s="103"/>
      <c r="GY11" s="103"/>
      <c r="GZ11" s="103"/>
      <c r="HA11" s="103"/>
    </row>
    <row r="12" spans="1:210" x14ac:dyDescent="0.25">
      <c r="A12" s="96">
        <v>40787</v>
      </c>
      <c r="C12" s="105"/>
      <c r="D12" s="104">
        <v>0</v>
      </c>
      <c r="E12" s="104">
        <f>('Renewable Diesel'!B21*E$3*'Feedstock Conversion Rates'!$B$2)/12</f>
        <v>5.2133333333333329</v>
      </c>
      <c r="F12" s="104">
        <f>('Renewable Diesel'!B21*'RD Feedstock Breakdown'!F$3*'Feedstock Conversion Rates'!B$8)/12</f>
        <v>3.125</v>
      </c>
      <c r="G12" s="104">
        <f>('Renewable Diesel'!B21*'RD Feedstock Breakdown'!G$3*'Feedstock Conversion Rates'!B$7)/12</f>
        <v>10.212</v>
      </c>
      <c r="H12" s="104">
        <f>('Renewable Diesel'!B21*'RD Feedstock Breakdown'!H$3*'Feedstock Conversion Rates'!B$3)/12</f>
        <v>10.226100000000001</v>
      </c>
      <c r="I12" s="106">
        <f>SUM(B12:H12)</f>
        <v>28.776433333333337</v>
      </c>
      <c r="J12" s="106"/>
      <c r="K12" s="107"/>
      <c r="L12" s="106"/>
      <c r="T12" s="108"/>
      <c r="AC12" s="108"/>
      <c r="AG12" s="108"/>
      <c r="AT12" s="108"/>
      <c r="BX12" s="108"/>
      <c r="CI12" s="108"/>
      <c r="DD12" s="108"/>
      <c r="DJ12" s="108"/>
      <c r="DP12" s="104">
        <f t="shared" ref="DP12:DP75" si="1">E12+M12</f>
        <v>5.2133333333333329</v>
      </c>
      <c r="DQ12" s="104">
        <f t="shared" ref="DQ12:DQ75" si="2">H12+P12+AZ12+BC12+BK12+BZ12+CL12+CP12+CV12+CX12+DA12+DK12</f>
        <v>10.226100000000001</v>
      </c>
      <c r="DR12" s="104">
        <f>AD12+AK12+AM12+AP12+AV12+AY12+BB12+BF12+BJ12+Y12+B12+BO12+BQ12+BW12+CB12+CE12+CG12+CJ12+BT12+CN12+CR12+CT12+DF12+DH12+AS12+J12+U12+AH12</f>
        <v>0</v>
      </c>
      <c r="DS12" s="108"/>
      <c r="DT12" s="104">
        <f t="shared" ref="DT12:DT75" si="3">V12+Z12+AE12+AI12+BD12+BL12+AN12+AQ12+CD12+CM12+CQ12+CY12+DB12+DL12</f>
        <v>0</v>
      </c>
      <c r="DU12" s="104">
        <f t="shared" ref="DU12:DU75" si="4">G12+O12+R12+AA12+AW12+BH12+BM12+BR12+BU12+BY12</f>
        <v>10.212</v>
      </c>
      <c r="DV12" s="104">
        <f t="shared" ref="DV12:DV75" si="5">F12+N12+W12+DM12</f>
        <v>3.125</v>
      </c>
      <c r="DW12" s="104">
        <f t="shared" ref="DW12:DW75" si="6">D12+L12</f>
        <v>0</v>
      </c>
      <c r="DX12" s="106">
        <f t="shared" ref="DX12:DX75" si="7">SUM(DP12:DW12)</f>
        <v>28.776433333333333</v>
      </c>
      <c r="DY12" s="109">
        <f t="shared" ref="DY12:DY75" si="8">I12+Q12+S12+X12+AB12+AF12+AJ12+AL12+AO12+AR12+AU12+AX12+BA12+BE12+BG12+BI12+BN12-DX12+BP12+BS12+BV12+CA12+CC12+CF12+CH12+CK12+CO12+CS12+CU12+CW12+CZ12+DN12+DG12+DI12</f>
        <v>3.5527136788005009E-15</v>
      </c>
      <c r="EA12" s="110">
        <f t="shared" ref="EA12:EG27" si="9">DP12/$DX12</f>
        <v>0.18116676493380576</v>
      </c>
      <c r="EB12" s="110">
        <f t="shared" si="9"/>
        <v>0.35536370618086793</v>
      </c>
      <c r="EC12" s="110">
        <f t="shared" si="9"/>
        <v>0</v>
      </c>
      <c r="ED12" s="108"/>
      <c r="EE12" s="110">
        <f t="shared" si="9"/>
        <v>0</v>
      </c>
      <c r="EF12" s="110">
        <f t="shared" si="9"/>
        <v>0.35487372189974897</v>
      </c>
      <c r="EG12" s="110">
        <f t="shared" si="9"/>
        <v>0.10859580698557732</v>
      </c>
      <c r="EH12" s="111">
        <f>DW12/DX12</f>
        <v>0</v>
      </c>
      <c r="EI12" s="110">
        <f>SUM(EA12:EH12)</f>
        <v>1</v>
      </c>
      <c r="EK12" s="112">
        <f>EA12*'Renewable Diesel'!BF21*'Feedstock Conversion Rates'!B$2</f>
        <v>6.1743115433578168</v>
      </c>
      <c r="EL12" s="112">
        <f>EB12*'Renewable Diesel'!BF21*'Feedstock Conversion Rates'!B$3</f>
        <v>11.412917318963133</v>
      </c>
      <c r="EM12" s="112">
        <f>EC12*'Renewable Diesel'!BF21*'Feedstock Conversion Rates'!B$4</f>
        <v>0</v>
      </c>
      <c r="EN12" s="108"/>
      <c r="EO12" s="112">
        <f>EE12*'Renewable Diesel'!BF21*'Feedstock Conversion Rates'!B$6</f>
        <v>0</v>
      </c>
      <c r="EP12" s="112">
        <f>EF12*'Renewable Diesel'!BF21*'Feedstock Conversion Rates'!B$7</f>
        <v>13.09039504791073</v>
      </c>
      <c r="EQ12" s="112">
        <f>EG12*'Renewable Diesel'!BF21*'Feedstock Conversion Rates'!B$8</f>
        <v>4.0820227207043267</v>
      </c>
      <c r="ER12" s="112">
        <f>EH12*'Renewable Diesel'!BF21*'Feedstock Conversion Rates'!B$9</f>
        <v>0</v>
      </c>
      <c r="ES12" s="112">
        <f>SUM(EK12:ER12)</f>
        <v>34.759646630936004</v>
      </c>
      <c r="EW12" s="73">
        <f>EN12+EM12</f>
        <v>0</v>
      </c>
      <c r="EX12" s="73">
        <f>EQ12+EO12+EL12+EK12+ER12+EP12</f>
        <v>34.759646630936011</v>
      </c>
      <c r="EY12" s="92">
        <f t="shared" ref="EY12:EZ75" si="10">EW12/$ES12</f>
        <v>0</v>
      </c>
      <c r="EZ12" s="92">
        <f t="shared" si="10"/>
        <v>1.0000000000000002</v>
      </c>
      <c r="FE12" s="108"/>
      <c r="GD12" s="91">
        <f>'Renewable Diesel'!BB21*0</f>
        <v>0</v>
      </c>
      <c r="GE12" s="91">
        <f>'Renewable Diesel'!BC21</f>
        <v>0</v>
      </c>
      <c r="GF12" s="91">
        <f>'Renewable Diesel'!BD21</f>
        <v>0</v>
      </c>
      <c r="GG12" s="91">
        <f t="shared" si="0"/>
        <v>0</v>
      </c>
      <c r="GH12" s="92">
        <v>0.5</v>
      </c>
      <c r="GI12" s="102">
        <f>$GG12*EA12*'Feedstock Conversion Rates'!$B$2</f>
        <v>0</v>
      </c>
      <c r="GJ12" s="102">
        <f>$GG12*EB12*'Feedstock Conversion Rates'!$B$3</f>
        <v>0</v>
      </c>
      <c r="GK12" s="102">
        <f>$GG12*EC12*'Feedstock Conversion Rates'!$B$4</f>
        <v>0</v>
      </c>
      <c r="GL12" s="102">
        <f>$GG12*ED12*'Feedstock Conversion Rates'!$B$5</f>
        <v>0</v>
      </c>
      <c r="GM12" s="102">
        <f>$GG12*EE12*'Feedstock Conversion Rates'!$B$5</f>
        <v>0</v>
      </c>
      <c r="GN12" s="102">
        <f>$GG12*EF12*'Feedstock Conversion Rates'!$B$7</f>
        <v>0</v>
      </c>
      <c r="GO12" s="102">
        <f>$GG12*EG12*'Feedstock Conversion Rates'!$B$7</f>
        <v>0</v>
      </c>
      <c r="GP12" s="102">
        <f>$GG12*EH12*'Feedstock Conversion Rates'!B9</f>
        <v>0</v>
      </c>
      <c r="GQ12" s="102">
        <f>SUM(GI12:GP12)</f>
        <v>0</v>
      </c>
      <c r="GT12" s="103">
        <f t="shared" ref="GT12:HA43" si="11">(GI12+FB12+EK12)/SUM($ES12,$FJ12,$GQ12)</f>
        <v>0.1776287201338432</v>
      </c>
      <c r="GU12" s="103">
        <f t="shared" si="11"/>
        <v>0.32833812840909793</v>
      </c>
      <c r="GV12" s="103">
        <f t="shared" si="11"/>
        <v>0</v>
      </c>
      <c r="GW12" s="103">
        <f t="shared" si="11"/>
        <v>0</v>
      </c>
      <c r="GX12" s="103">
        <f t="shared" si="11"/>
        <v>0</v>
      </c>
      <c r="GY12" s="103">
        <f t="shared" si="11"/>
        <v>0.37659747197373145</v>
      </c>
      <c r="GZ12" s="103">
        <f t="shared" si="11"/>
        <v>0.11743567948332755</v>
      </c>
      <c r="HA12" s="103">
        <f t="shared" si="11"/>
        <v>0</v>
      </c>
    </row>
    <row r="13" spans="1:210" x14ac:dyDescent="0.25">
      <c r="A13" s="96">
        <v>40817</v>
      </c>
      <c r="C13" s="105"/>
      <c r="D13" s="104">
        <v>0</v>
      </c>
      <c r="E13" s="104">
        <f>('Renewable Diesel'!B22*E$3*'Feedstock Conversion Rates'!$B$2)/12</f>
        <v>5.2133333333333329</v>
      </c>
      <c r="F13" s="104">
        <f>('Renewable Diesel'!B22*'RD Feedstock Breakdown'!F$3*'Feedstock Conversion Rates'!B$8)/12</f>
        <v>3.125</v>
      </c>
      <c r="G13" s="104">
        <f>('Renewable Diesel'!B22*'RD Feedstock Breakdown'!G$3*'Feedstock Conversion Rates'!B$7)/12</f>
        <v>10.212</v>
      </c>
      <c r="H13" s="104">
        <f>('Renewable Diesel'!B22*'RD Feedstock Breakdown'!H$3*'Feedstock Conversion Rates'!B$3)/12</f>
        <v>10.226100000000001</v>
      </c>
      <c r="I13" s="106">
        <f t="shared" ref="I13:I21" si="12">SUM(B13:H13)</f>
        <v>28.776433333333337</v>
      </c>
      <c r="J13" s="106"/>
      <c r="K13" s="107"/>
      <c r="L13" s="106"/>
      <c r="T13" s="108"/>
      <c r="AC13" s="108"/>
      <c r="AG13" s="108"/>
      <c r="AT13" s="108"/>
      <c r="BX13" s="108"/>
      <c r="CI13" s="108"/>
      <c r="DD13" s="108"/>
      <c r="DJ13" s="108"/>
      <c r="DP13" s="104">
        <f t="shared" si="1"/>
        <v>5.2133333333333329</v>
      </c>
      <c r="DQ13" s="104">
        <f t="shared" si="2"/>
        <v>10.226100000000001</v>
      </c>
      <c r="DR13" s="104">
        <f t="shared" ref="DR13:DR76" si="13">AD13+AK13+AM13+AP13+AV13+AY13+BB13+BF13+BJ13+Y13+B13+BO13+BQ13+BW13+CB13+CE13+CG13+CJ13+BT13+CN13+CR13+CT13+DF13+DH13+AS13+J13+U13+AH13</f>
        <v>0</v>
      </c>
      <c r="DS13" s="108"/>
      <c r="DT13" s="104">
        <f t="shared" si="3"/>
        <v>0</v>
      </c>
      <c r="DU13" s="104">
        <f t="shared" si="4"/>
        <v>10.212</v>
      </c>
      <c r="DV13" s="104">
        <f t="shared" si="5"/>
        <v>3.125</v>
      </c>
      <c r="DW13" s="104">
        <f t="shared" si="6"/>
        <v>0</v>
      </c>
      <c r="DX13" s="106">
        <f t="shared" si="7"/>
        <v>28.776433333333333</v>
      </c>
      <c r="DY13" s="109">
        <f t="shared" si="8"/>
        <v>3.5527136788005009E-15</v>
      </c>
      <c r="EA13" s="110">
        <f t="shared" si="9"/>
        <v>0.18116676493380576</v>
      </c>
      <c r="EB13" s="110">
        <f t="shared" si="9"/>
        <v>0.35536370618086793</v>
      </c>
      <c r="EC13" s="110">
        <f t="shared" si="9"/>
        <v>0</v>
      </c>
      <c r="ED13" s="108"/>
      <c r="EE13" s="110">
        <f t="shared" si="9"/>
        <v>0</v>
      </c>
      <c r="EF13" s="110">
        <f t="shared" si="9"/>
        <v>0.35487372189974897</v>
      </c>
      <c r="EG13" s="110">
        <f t="shared" si="9"/>
        <v>0.10859580698557732</v>
      </c>
      <c r="EH13" s="111">
        <f t="shared" ref="EH13:EH76" si="14">DW13/DX13</f>
        <v>0</v>
      </c>
      <c r="EI13" s="110">
        <f t="shared" ref="EI13:EI76" si="15">SUM(EA13:EG13)</f>
        <v>1</v>
      </c>
      <c r="EK13" s="112">
        <f>EA13*'Renewable Diesel'!BF22*'Feedstock Conversion Rates'!B$2</f>
        <v>8.8824043025948303</v>
      </c>
      <c r="EL13" s="112">
        <f>EB13*'Renewable Diesel'!BF22*'Feedstock Conversion Rates'!B$3</f>
        <v>16.418696268764279</v>
      </c>
      <c r="EM13" s="112">
        <f>EC13*'Renewable Diesel'!BF22*'Feedstock Conversion Rates'!B$4</f>
        <v>0</v>
      </c>
      <c r="EN13" s="108"/>
      <c r="EO13" s="112">
        <f>EE13*'Renewable Diesel'!BF22*'Feedstock Conversion Rates'!B$6</f>
        <v>0</v>
      </c>
      <c r="EP13" s="112">
        <f>EF13*'Renewable Diesel'!BF22*'Feedstock Conversion Rates'!B$7</f>
        <v>18.831926520020431</v>
      </c>
      <c r="EQ13" s="112">
        <f>EG13*'Renewable Diesel'!BF22*'Feedstock Conversion Rates'!B$8</f>
        <v>5.8724241436569038</v>
      </c>
      <c r="ER13" s="112">
        <f>EH13*'Renewable Diesel'!BF22*'Feedstock Conversion Rates'!B$9</f>
        <v>0</v>
      </c>
      <c r="ES13" s="112">
        <f t="shared" ref="ES13:ES76" si="16">SUM(EK13:ER13)</f>
        <v>50.005451235036446</v>
      </c>
      <c r="EW13" s="73">
        <f t="shared" ref="EW13:EW76" si="17">EN13+EM13</f>
        <v>0</v>
      </c>
      <c r="EX13" s="73">
        <f t="shared" ref="EX13:EX76" si="18">EQ13+EO13+EL13+EK13+ER13+EP13</f>
        <v>50.005451235036446</v>
      </c>
      <c r="EY13" s="92">
        <f t="shared" si="10"/>
        <v>0</v>
      </c>
      <c r="EZ13" s="92">
        <f t="shared" si="10"/>
        <v>1</v>
      </c>
      <c r="FE13" s="108"/>
      <c r="GD13" s="91">
        <f>'Renewable Diesel'!BB22*0</f>
        <v>0</v>
      </c>
      <c r="GE13" s="91">
        <f>'Renewable Diesel'!BC22</f>
        <v>0</v>
      </c>
      <c r="GF13" s="91">
        <f>'Renewable Diesel'!BD22</f>
        <v>0</v>
      </c>
      <c r="GG13" s="91">
        <f t="shared" si="0"/>
        <v>0</v>
      </c>
      <c r="GH13" s="92">
        <v>0.5</v>
      </c>
      <c r="GI13" s="102">
        <f>$GG13*EA13*'Feedstock Conversion Rates'!$B$2</f>
        <v>0</v>
      </c>
      <c r="GJ13" s="102">
        <f>$GG13*EB13*'Feedstock Conversion Rates'!$B$3</f>
        <v>0</v>
      </c>
      <c r="GK13" s="102">
        <f>$GG13*EC13*'Feedstock Conversion Rates'!$B$4</f>
        <v>0</v>
      </c>
      <c r="GL13" s="102">
        <f>$GG13*ED13*'Feedstock Conversion Rates'!$B$5</f>
        <v>0</v>
      </c>
      <c r="GM13" s="102">
        <f>$GG13*EE13*'Feedstock Conversion Rates'!$B$5</f>
        <v>0</v>
      </c>
      <c r="GN13" s="102">
        <f>$GG13*EF13*'Feedstock Conversion Rates'!$B$7</f>
        <v>0</v>
      </c>
      <c r="GO13" s="102">
        <f>$GG13*EG13*'Feedstock Conversion Rates'!$B$7</f>
        <v>0</v>
      </c>
      <c r="GP13" s="102">
        <f>$GG13*EH13*'Feedstock Conversion Rates'!B10</f>
        <v>0</v>
      </c>
      <c r="GQ13" s="102">
        <f t="shared" ref="GQ13:GQ76" si="19">SUM(GI13:GP13)</f>
        <v>0</v>
      </c>
      <c r="GT13" s="103">
        <f t="shared" si="11"/>
        <v>0.17762872013384315</v>
      </c>
      <c r="GU13" s="103">
        <f t="shared" si="11"/>
        <v>0.32833812840909787</v>
      </c>
      <c r="GV13" s="103">
        <f t="shared" si="11"/>
        <v>0</v>
      </c>
      <c r="GW13" s="103">
        <f t="shared" si="11"/>
        <v>0</v>
      </c>
      <c r="GX13" s="103">
        <f t="shared" si="11"/>
        <v>0</v>
      </c>
      <c r="GY13" s="103">
        <f t="shared" si="11"/>
        <v>0.37659747197373145</v>
      </c>
      <c r="GZ13" s="103">
        <f t="shared" si="11"/>
        <v>0.1174356794833275</v>
      </c>
      <c r="HA13" s="103">
        <f t="shared" si="11"/>
        <v>0</v>
      </c>
    </row>
    <row r="14" spans="1:210" x14ac:dyDescent="0.25">
      <c r="A14" s="96">
        <v>40848</v>
      </c>
      <c r="C14" s="105"/>
      <c r="D14" s="104">
        <v>0</v>
      </c>
      <c r="E14" s="104">
        <f>('Renewable Diesel'!B23*E$3*'Feedstock Conversion Rates'!$B$2)/12</f>
        <v>15.639999999999999</v>
      </c>
      <c r="F14" s="104">
        <f>('Renewable Diesel'!B23*'RD Feedstock Breakdown'!F$3*'Feedstock Conversion Rates'!B$8)/12</f>
        <v>9.375</v>
      </c>
      <c r="G14" s="104">
        <f>('Renewable Diesel'!B23*'RD Feedstock Breakdown'!G$3*'Feedstock Conversion Rates'!B$7)/12</f>
        <v>30.635999999999999</v>
      </c>
      <c r="H14" s="104">
        <f>('Renewable Diesel'!B23*'RD Feedstock Breakdown'!H$3*'Feedstock Conversion Rates'!B$3)/12</f>
        <v>30.678299999999997</v>
      </c>
      <c r="I14" s="106">
        <f t="shared" si="12"/>
        <v>86.329299999999989</v>
      </c>
      <c r="J14" s="106"/>
      <c r="K14" s="107"/>
      <c r="L14" s="106"/>
      <c r="T14" s="108"/>
      <c r="AC14" s="108"/>
      <c r="AG14" s="108"/>
      <c r="AT14" s="108"/>
      <c r="BX14" s="108"/>
      <c r="CI14" s="108"/>
      <c r="DD14" s="108"/>
      <c r="DJ14" s="108"/>
      <c r="DP14" s="104">
        <f t="shared" si="1"/>
        <v>15.639999999999999</v>
      </c>
      <c r="DQ14" s="104">
        <f t="shared" si="2"/>
        <v>30.678299999999997</v>
      </c>
      <c r="DR14" s="104">
        <f t="shared" si="13"/>
        <v>0</v>
      </c>
      <c r="DS14" s="108"/>
      <c r="DT14" s="104">
        <f t="shared" si="3"/>
        <v>0</v>
      </c>
      <c r="DU14" s="104">
        <f t="shared" si="4"/>
        <v>30.635999999999999</v>
      </c>
      <c r="DV14" s="104">
        <f t="shared" si="5"/>
        <v>9.375</v>
      </c>
      <c r="DW14" s="104">
        <f t="shared" si="6"/>
        <v>0</v>
      </c>
      <c r="DX14" s="106">
        <f t="shared" si="7"/>
        <v>86.329299999999989</v>
      </c>
      <c r="DY14" s="109">
        <f t="shared" si="8"/>
        <v>0</v>
      </c>
      <c r="EA14" s="110">
        <f t="shared" si="9"/>
        <v>0.18116676493380579</v>
      </c>
      <c r="EB14" s="110">
        <f t="shared" si="9"/>
        <v>0.35536370618086793</v>
      </c>
      <c r="EC14" s="110">
        <f t="shared" si="9"/>
        <v>0</v>
      </c>
      <c r="ED14" s="108"/>
      <c r="EE14" s="110">
        <f t="shared" si="9"/>
        <v>0</v>
      </c>
      <c r="EF14" s="110">
        <f t="shared" si="9"/>
        <v>0.35487372189974903</v>
      </c>
      <c r="EG14" s="110">
        <f t="shared" si="9"/>
        <v>0.10859580698557733</v>
      </c>
      <c r="EH14" s="111">
        <f t="shared" si="14"/>
        <v>0</v>
      </c>
      <c r="EI14" s="110">
        <f t="shared" si="15"/>
        <v>1</v>
      </c>
      <c r="EK14" s="112">
        <f>EA14*'Renewable Diesel'!BF23*'Feedstock Conversion Rates'!B$2</f>
        <v>5.6983091842514657</v>
      </c>
      <c r="EL14" s="112">
        <f>EB14*'Renewable Diesel'!BF23*'Feedstock Conversion Rates'!B$3</f>
        <v>10.533049898933701</v>
      </c>
      <c r="EM14" s="112">
        <f>EC14*'Renewable Diesel'!BF23*'Feedstock Conversion Rates'!B$4</f>
        <v>0</v>
      </c>
      <c r="EN14" s="108"/>
      <c r="EO14" s="112">
        <f>EE14*'Renewable Diesel'!BF23*'Feedstock Conversion Rates'!B$6</f>
        <v>0</v>
      </c>
      <c r="EP14" s="112">
        <f>EF14*'Renewable Diesel'!BF23*'Feedstock Conversion Rates'!B$7</f>
        <v>12.081204163925806</v>
      </c>
      <c r="EQ14" s="112">
        <f>EG14*'Renewable Diesel'!BF23*'Feedstock Conversion Rates'!B$8</f>
        <v>3.7673232710027191</v>
      </c>
      <c r="ER14" s="112">
        <f>EH14*'Renewable Diesel'!BF23*'Feedstock Conversion Rates'!B$9</f>
        <v>0</v>
      </c>
      <c r="ES14" s="112">
        <f t="shared" si="16"/>
        <v>32.079886518113689</v>
      </c>
      <c r="EW14" s="73">
        <f t="shared" si="17"/>
        <v>0</v>
      </c>
      <c r="EX14" s="73">
        <f t="shared" si="18"/>
        <v>32.079886518113689</v>
      </c>
      <c r="EY14" s="92">
        <f t="shared" si="10"/>
        <v>0</v>
      </c>
      <c r="EZ14" s="92">
        <f t="shared" si="10"/>
        <v>1</v>
      </c>
      <c r="FE14" s="108"/>
      <c r="GD14" s="91">
        <f>'Renewable Diesel'!BB23*0</f>
        <v>0</v>
      </c>
      <c r="GE14" s="91">
        <f>'Renewable Diesel'!BC23</f>
        <v>0</v>
      </c>
      <c r="GF14" s="91">
        <f>'Renewable Diesel'!BD23</f>
        <v>0</v>
      </c>
      <c r="GG14" s="91">
        <f t="shared" si="0"/>
        <v>0</v>
      </c>
      <c r="GH14" s="92">
        <v>0.5</v>
      </c>
      <c r="GI14" s="102">
        <f>$GG14*EA14*'Feedstock Conversion Rates'!$B$2</f>
        <v>0</v>
      </c>
      <c r="GJ14" s="102">
        <f>$GG14*EB14*'Feedstock Conversion Rates'!$B$3</f>
        <v>0</v>
      </c>
      <c r="GK14" s="102">
        <f>$GG14*EC14*'Feedstock Conversion Rates'!$B$4</f>
        <v>0</v>
      </c>
      <c r="GL14" s="102">
        <f>$GG14*ED14*'Feedstock Conversion Rates'!$B$5</f>
        <v>0</v>
      </c>
      <c r="GM14" s="102">
        <f>$GG14*EE14*'Feedstock Conversion Rates'!$B$5</f>
        <v>0</v>
      </c>
      <c r="GN14" s="102">
        <f>$GG14*EF14*'Feedstock Conversion Rates'!$B$7</f>
        <v>0</v>
      </c>
      <c r="GO14" s="102">
        <f>$GG14*EG14*'Feedstock Conversion Rates'!$B$7</f>
        <v>0</v>
      </c>
      <c r="GP14" s="102">
        <f>$GG14*EH14*'Feedstock Conversion Rates'!B11</f>
        <v>0</v>
      </c>
      <c r="GQ14" s="102">
        <f t="shared" si="19"/>
        <v>0</v>
      </c>
      <c r="GT14" s="103">
        <f t="shared" si="11"/>
        <v>0.17762872013384318</v>
      </c>
      <c r="GU14" s="103">
        <f t="shared" si="11"/>
        <v>0.32833812840909787</v>
      </c>
      <c r="GV14" s="103">
        <f t="shared" si="11"/>
        <v>0</v>
      </c>
      <c r="GW14" s="103">
        <f t="shared" si="11"/>
        <v>0</v>
      </c>
      <c r="GX14" s="103">
        <f t="shared" si="11"/>
        <v>0</v>
      </c>
      <c r="GY14" s="103">
        <f t="shared" si="11"/>
        <v>0.37659747197373145</v>
      </c>
      <c r="GZ14" s="103">
        <f t="shared" si="11"/>
        <v>0.11743567948332753</v>
      </c>
      <c r="HA14" s="103">
        <f t="shared" si="11"/>
        <v>0</v>
      </c>
    </row>
    <row r="15" spans="1:210" x14ac:dyDescent="0.25">
      <c r="A15" s="96">
        <v>40878</v>
      </c>
      <c r="C15" s="105"/>
      <c r="D15" s="104">
        <v>0</v>
      </c>
      <c r="E15" s="104">
        <f>('Renewable Diesel'!B24*E$3*'Feedstock Conversion Rates'!$B$2)/12</f>
        <v>15.639999999999999</v>
      </c>
      <c r="F15" s="104">
        <f>('Renewable Diesel'!B24*'RD Feedstock Breakdown'!F$3*'Feedstock Conversion Rates'!B$8)/12</f>
        <v>9.375</v>
      </c>
      <c r="G15" s="104">
        <f>('Renewable Diesel'!B24*'RD Feedstock Breakdown'!G$3*'Feedstock Conversion Rates'!B$7)/12</f>
        <v>30.635999999999999</v>
      </c>
      <c r="H15" s="104">
        <f>('Renewable Diesel'!B24*'RD Feedstock Breakdown'!H$3*'Feedstock Conversion Rates'!B$3)/12</f>
        <v>30.678299999999997</v>
      </c>
      <c r="I15" s="106">
        <f t="shared" si="12"/>
        <v>86.329299999999989</v>
      </c>
      <c r="J15" s="106"/>
      <c r="K15" s="107"/>
      <c r="L15" s="106"/>
      <c r="T15" s="108"/>
      <c r="AC15" s="108"/>
      <c r="AG15" s="108"/>
      <c r="AT15" s="108"/>
      <c r="BX15" s="108"/>
      <c r="CI15" s="108"/>
      <c r="DD15" s="108"/>
      <c r="DJ15" s="108"/>
      <c r="DP15" s="104">
        <f t="shared" si="1"/>
        <v>15.639999999999999</v>
      </c>
      <c r="DQ15" s="104">
        <f t="shared" si="2"/>
        <v>30.678299999999997</v>
      </c>
      <c r="DR15" s="104">
        <f t="shared" si="13"/>
        <v>0</v>
      </c>
      <c r="DS15" s="108"/>
      <c r="DT15" s="104">
        <f t="shared" si="3"/>
        <v>0</v>
      </c>
      <c r="DU15" s="104">
        <f t="shared" si="4"/>
        <v>30.635999999999999</v>
      </c>
      <c r="DV15" s="104">
        <f t="shared" si="5"/>
        <v>9.375</v>
      </c>
      <c r="DW15" s="104">
        <f t="shared" si="6"/>
        <v>0</v>
      </c>
      <c r="DX15" s="106">
        <f t="shared" si="7"/>
        <v>86.329299999999989</v>
      </c>
      <c r="DY15" s="109">
        <f t="shared" si="8"/>
        <v>0</v>
      </c>
      <c r="EA15" s="110">
        <f t="shared" si="9"/>
        <v>0.18116676493380579</v>
      </c>
      <c r="EB15" s="110">
        <f t="shared" si="9"/>
        <v>0.35536370618086793</v>
      </c>
      <c r="EC15" s="110">
        <f t="shared" si="9"/>
        <v>0</v>
      </c>
      <c r="ED15" s="108"/>
      <c r="EE15" s="110">
        <f t="shared" si="9"/>
        <v>0</v>
      </c>
      <c r="EF15" s="110">
        <f t="shared" si="9"/>
        <v>0.35487372189974903</v>
      </c>
      <c r="EG15" s="110">
        <f t="shared" si="9"/>
        <v>0.10859580698557733</v>
      </c>
      <c r="EH15" s="111">
        <f t="shared" si="14"/>
        <v>0</v>
      </c>
      <c r="EI15" s="110">
        <f t="shared" si="15"/>
        <v>1</v>
      </c>
      <c r="EK15" s="112">
        <f>EA15*'Renewable Diesel'!BF24*'Feedstock Conversion Rates'!B$2</f>
        <v>8.526341497961873</v>
      </c>
      <c r="EL15" s="112">
        <f>EB15*'Renewable Diesel'!BF24*'Feedstock Conversion Rates'!B$3</f>
        <v>15.760531334731153</v>
      </c>
      <c r="EM15" s="112">
        <f>EC15*'Renewable Diesel'!BF24*'Feedstock Conversion Rates'!B$4</f>
        <v>0</v>
      </c>
      <c r="EN15" s="108"/>
      <c r="EO15" s="112">
        <f>EE15*'Renewable Diesel'!BF24*'Feedstock Conversion Rates'!B$6</f>
        <v>0</v>
      </c>
      <c r="EP15" s="112">
        <f>EF15*'Renewable Diesel'!BF24*'Feedstock Conversion Rates'!B$7</f>
        <v>18.077024092149479</v>
      </c>
      <c r="EQ15" s="112">
        <f>EG15*'Renewable Diesel'!BF24*'Feedstock Conversion Rates'!B$8</f>
        <v>5.6370203341304759</v>
      </c>
      <c r="ER15" s="112">
        <f>EH15*'Renewable Diesel'!BF24*'Feedstock Conversion Rates'!B$9</f>
        <v>0</v>
      </c>
      <c r="ES15" s="112">
        <f t="shared" si="16"/>
        <v>48.000917258972983</v>
      </c>
      <c r="EW15" s="73">
        <f t="shared" si="17"/>
        <v>0</v>
      </c>
      <c r="EX15" s="73">
        <f t="shared" si="18"/>
        <v>48.000917258972983</v>
      </c>
      <c r="EY15" s="92">
        <f t="shared" si="10"/>
        <v>0</v>
      </c>
      <c r="EZ15" s="92">
        <f t="shared" si="10"/>
        <v>1</v>
      </c>
      <c r="FE15" s="108"/>
      <c r="GD15" s="91">
        <f>'Renewable Diesel'!BB24*0</f>
        <v>0</v>
      </c>
      <c r="GE15" s="91">
        <f>'Renewable Diesel'!BC24</f>
        <v>0</v>
      </c>
      <c r="GF15" s="91">
        <f>'Renewable Diesel'!BD24</f>
        <v>0</v>
      </c>
      <c r="GG15" s="91">
        <f t="shared" si="0"/>
        <v>0</v>
      </c>
      <c r="GH15" s="92">
        <v>0.5</v>
      </c>
      <c r="GI15" s="102">
        <f>$GG15*EA15*'Feedstock Conversion Rates'!$B$2</f>
        <v>0</v>
      </c>
      <c r="GJ15" s="102">
        <f>$GG15*EB15*'Feedstock Conversion Rates'!$B$3</f>
        <v>0</v>
      </c>
      <c r="GK15" s="102">
        <f>$GG15*EC15*'Feedstock Conversion Rates'!$B$4</f>
        <v>0</v>
      </c>
      <c r="GL15" s="102">
        <f>$GG15*ED15*'Feedstock Conversion Rates'!$B$5</f>
        <v>0</v>
      </c>
      <c r="GM15" s="102">
        <f>$GG15*EE15*'Feedstock Conversion Rates'!$B$5</f>
        <v>0</v>
      </c>
      <c r="GN15" s="102">
        <f>$GG15*EF15*'Feedstock Conversion Rates'!$B$7</f>
        <v>0</v>
      </c>
      <c r="GO15" s="102">
        <f>$GG15*EG15*'Feedstock Conversion Rates'!$B$7</f>
        <v>0</v>
      </c>
      <c r="GP15" s="102">
        <f>$GG15*EH15*'Feedstock Conversion Rates'!B12</f>
        <v>0</v>
      </c>
      <c r="GQ15" s="102">
        <f t="shared" si="19"/>
        <v>0</v>
      </c>
      <c r="GT15" s="103">
        <f t="shared" si="11"/>
        <v>0.17762872013384315</v>
      </c>
      <c r="GU15" s="103">
        <f t="shared" si="11"/>
        <v>0.32833812840909787</v>
      </c>
      <c r="GV15" s="103">
        <f t="shared" si="11"/>
        <v>0</v>
      </c>
      <c r="GW15" s="103">
        <f t="shared" si="11"/>
        <v>0</v>
      </c>
      <c r="GX15" s="103">
        <f t="shared" si="11"/>
        <v>0</v>
      </c>
      <c r="GY15" s="103">
        <f t="shared" si="11"/>
        <v>0.37659747197373145</v>
      </c>
      <c r="GZ15" s="103">
        <f t="shared" si="11"/>
        <v>0.11743567948332753</v>
      </c>
      <c r="HA15" s="103">
        <f t="shared" si="11"/>
        <v>0</v>
      </c>
    </row>
    <row r="16" spans="1:210" x14ac:dyDescent="0.25">
      <c r="A16" s="96">
        <v>40909</v>
      </c>
      <c r="C16" s="105"/>
      <c r="D16" s="104">
        <v>0</v>
      </c>
      <c r="E16" s="104">
        <f>('Renewable Diesel'!B25*E$3*'Feedstock Conversion Rates'!$B$2)/12</f>
        <v>20.853333333333332</v>
      </c>
      <c r="F16" s="104">
        <f>('Renewable Diesel'!B25*'RD Feedstock Breakdown'!F$3*'Feedstock Conversion Rates'!B$8)/12</f>
        <v>12.5</v>
      </c>
      <c r="G16" s="104">
        <f>('Renewable Diesel'!B25*'RD Feedstock Breakdown'!G$3*'Feedstock Conversion Rates'!B$7)/12</f>
        <v>40.847999999999999</v>
      </c>
      <c r="H16" s="104">
        <f>('Renewable Diesel'!B25*'RD Feedstock Breakdown'!H$3*'Feedstock Conversion Rates'!B$3)/12</f>
        <v>40.904400000000003</v>
      </c>
      <c r="I16" s="106">
        <f t="shared" si="12"/>
        <v>115.10573333333335</v>
      </c>
      <c r="J16" s="106"/>
      <c r="K16" s="107"/>
      <c r="L16" s="106"/>
      <c r="T16" s="108"/>
      <c r="AC16" s="108"/>
      <c r="AG16" s="108"/>
      <c r="AT16" s="108"/>
      <c r="BX16" s="108"/>
      <c r="CI16" s="108"/>
      <c r="DD16" s="108"/>
      <c r="DJ16" s="108"/>
      <c r="DP16" s="104">
        <f t="shared" si="1"/>
        <v>20.853333333333332</v>
      </c>
      <c r="DQ16" s="104">
        <f t="shared" si="2"/>
        <v>40.904400000000003</v>
      </c>
      <c r="DR16" s="104">
        <f t="shared" si="13"/>
        <v>0</v>
      </c>
      <c r="DS16" s="108"/>
      <c r="DT16" s="104">
        <f t="shared" si="3"/>
        <v>0</v>
      </c>
      <c r="DU16" s="104">
        <f t="shared" si="4"/>
        <v>40.847999999999999</v>
      </c>
      <c r="DV16" s="104">
        <f t="shared" si="5"/>
        <v>12.5</v>
      </c>
      <c r="DW16" s="104">
        <f t="shared" si="6"/>
        <v>0</v>
      </c>
      <c r="DX16" s="106">
        <f t="shared" si="7"/>
        <v>115.10573333333333</v>
      </c>
      <c r="DY16" s="109">
        <f t="shared" si="8"/>
        <v>1.4210854715202004E-14</v>
      </c>
      <c r="EA16" s="110">
        <f t="shared" si="9"/>
        <v>0.18116676493380576</v>
      </c>
      <c r="EB16" s="110">
        <f t="shared" si="9"/>
        <v>0.35536370618086793</v>
      </c>
      <c r="EC16" s="110">
        <f t="shared" si="9"/>
        <v>0</v>
      </c>
      <c r="ED16" s="108"/>
      <c r="EE16" s="110">
        <f t="shared" si="9"/>
        <v>0</v>
      </c>
      <c r="EF16" s="110">
        <f t="shared" si="9"/>
        <v>0.35487372189974897</v>
      </c>
      <c r="EG16" s="110">
        <f t="shared" si="9"/>
        <v>0.10859580698557732</v>
      </c>
      <c r="EH16" s="111">
        <f t="shared" si="14"/>
        <v>0</v>
      </c>
      <c r="EI16" s="110">
        <f t="shared" si="15"/>
        <v>1</v>
      </c>
      <c r="EK16" s="112">
        <f>EA16*'Renewable Diesel'!BF25*'Feedstock Conversion Rates'!B$2</f>
        <v>5.7048261151196629</v>
      </c>
      <c r="EL16" s="112">
        <f>EB16*'Renewable Diesel'!BF25*'Feedstock Conversion Rates'!B$3</f>
        <v>10.545096131562204</v>
      </c>
      <c r="EM16" s="112">
        <f>EC16*'Renewable Diesel'!BF25*'Feedstock Conversion Rates'!B$4</f>
        <v>0</v>
      </c>
      <c r="EN16" s="108"/>
      <c r="EO16" s="112">
        <f>EE16*'Renewable Diesel'!BF25*'Feedstock Conversion Rates'!B$6</f>
        <v>0</v>
      </c>
      <c r="EP16" s="112">
        <f>EF16*'Renewable Diesel'!BF25*'Feedstock Conversion Rates'!B$7</f>
        <v>12.095020959363737</v>
      </c>
      <c r="EQ16" s="112">
        <f>EG16*'Renewable Diesel'!BF25*'Feedstock Conversion Rates'!B$8</f>
        <v>3.7716318096448713</v>
      </c>
      <c r="ER16" s="112">
        <f>EH16*'Renewable Diesel'!BF25*'Feedstock Conversion Rates'!B$9</f>
        <v>0</v>
      </c>
      <c r="ES16" s="112">
        <f t="shared" si="16"/>
        <v>32.116575015690472</v>
      </c>
      <c r="EW16" s="73">
        <f t="shared" si="17"/>
        <v>0</v>
      </c>
      <c r="EX16" s="73">
        <f t="shared" si="18"/>
        <v>32.116575015690472</v>
      </c>
      <c r="EY16" s="92">
        <f t="shared" si="10"/>
        <v>0</v>
      </c>
      <c r="EZ16" s="92">
        <f t="shared" si="10"/>
        <v>1</v>
      </c>
      <c r="FE16" s="108"/>
      <c r="GD16" s="91">
        <f>'Renewable Diesel'!BB25*0</f>
        <v>0</v>
      </c>
      <c r="GE16" s="91">
        <f>'Renewable Diesel'!BC25</f>
        <v>0</v>
      </c>
      <c r="GF16" s="91">
        <f>'Renewable Diesel'!BD25</f>
        <v>0</v>
      </c>
      <c r="GG16" s="91">
        <f t="shared" si="0"/>
        <v>0</v>
      </c>
      <c r="GH16" s="92">
        <v>0.5</v>
      </c>
      <c r="GI16" s="102">
        <f>$GG16*EA16*'Feedstock Conversion Rates'!$B$2</f>
        <v>0</v>
      </c>
      <c r="GJ16" s="102">
        <f>$GG16*EB16*'Feedstock Conversion Rates'!$B$3</f>
        <v>0</v>
      </c>
      <c r="GK16" s="102">
        <f>$GG16*EC16*'Feedstock Conversion Rates'!$B$4</f>
        <v>0</v>
      </c>
      <c r="GL16" s="102">
        <f>$GG16*ED16*'Feedstock Conversion Rates'!$B$5</f>
        <v>0</v>
      </c>
      <c r="GM16" s="102">
        <f>$GG16*EE16*'Feedstock Conversion Rates'!$B$5</f>
        <v>0</v>
      </c>
      <c r="GN16" s="102">
        <f>$GG16*EF16*'Feedstock Conversion Rates'!$B$7</f>
        <v>0</v>
      </c>
      <c r="GO16" s="102">
        <f>$GG16*EG16*'Feedstock Conversion Rates'!$B$7</f>
        <v>0</v>
      </c>
      <c r="GP16" s="102">
        <f>$GG16*EH16*'Feedstock Conversion Rates'!B13</f>
        <v>0</v>
      </c>
      <c r="GQ16" s="102">
        <f t="shared" si="19"/>
        <v>0</v>
      </c>
      <c r="GT16" s="103">
        <f t="shared" si="11"/>
        <v>0.17762872013384318</v>
      </c>
      <c r="GU16" s="103">
        <f t="shared" si="11"/>
        <v>0.32833812840909793</v>
      </c>
      <c r="GV16" s="103">
        <f t="shared" si="11"/>
        <v>0</v>
      </c>
      <c r="GW16" s="103">
        <f t="shared" si="11"/>
        <v>0</v>
      </c>
      <c r="GX16" s="103">
        <f t="shared" si="11"/>
        <v>0</v>
      </c>
      <c r="GY16" s="103">
        <f t="shared" si="11"/>
        <v>0.37659747197373145</v>
      </c>
      <c r="GZ16" s="103">
        <f t="shared" si="11"/>
        <v>0.11743567948332753</v>
      </c>
      <c r="HA16" s="103">
        <f t="shared" si="11"/>
        <v>0</v>
      </c>
    </row>
    <row r="17" spans="1:209" x14ac:dyDescent="0.25">
      <c r="A17" s="96">
        <v>40940</v>
      </c>
      <c r="C17" s="105"/>
      <c r="D17" s="104">
        <v>0</v>
      </c>
      <c r="E17" s="104">
        <f>('Renewable Diesel'!B26*E$3*'Feedstock Conversion Rates'!$B$2)/12</f>
        <v>20.853333333333332</v>
      </c>
      <c r="F17" s="104">
        <f>('Renewable Diesel'!B26*'RD Feedstock Breakdown'!F$3*'Feedstock Conversion Rates'!B$8)/12</f>
        <v>12.5</v>
      </c>
      <c r="G17" s="104">
        <f>('Renewable Diesel'!B26*'RD Feedstock Breakdown'!G$3*'Feedstock Conversion Rates'!B$7)/12</f>
        <v>40.847999999999999</v>
      </c>
      <c r="H17" s="104">
        <f>('Renewable Diesel'!B26*'RD Feedstock Breakdown'!H$3*'Feedstock Conversion Rates'!B$3)/12</f>
        <v>40.904400000000003</v>
      </c>
      <c r="I17" s="106">
        <f t="shared" si="12"/>
        <v>115.10573333333335</v>
      </c>
      <c r="J17" s="106"/>
      <c r="K17" s="107"/>
      <c r="L17" s="106"/>
      <c r="T17" s="108"/>
      <c r="AC17" s="108"/>
      <c r="AG17" s="108"/>
      <c r="AT17" s="108"/>
      <c r="BX17" s="108"/>
      <c r="CI17" s="108"/>
      <c r="DD17" s="108"/>
      <c r="DJ17" s="108"/>
      <c r="DP17" s="104">
        <f t="shared" si="1"/>
        <v>20.853333333333332</v>
      </c>
      <c r="DQ17" s="104">
        <f t="shared" si="2"/>
        <v>40.904400000000003</v>
      </c>
      <c r="DR17" s="104">
        <f t="shared" si="13"/>
        <v>0</v>
      </c>
      <c r="DS17" s="108"/>
      <c r="DT17" s="104">
        <f t="shared" si="3"/>
        <v>0</v>
      </c>
      <c r="DU17" s="104">
        <f t="shared" si="4"/>
        <v>40.847999999999999</v>
      </c>
      <c r="DV17" s="104">
        <f t="shared" si="5"/>
        <v>12.5</v>
      </c>
      <c r="DW17" s="104">
        <f t="shared" si="6"/>
        <v>0</v>
      </c>
      <c r="DX17" s="106">
        <f t="shared" si="7"/>
        <v>115.10573333333333</v>
      </c>
      <c r="DY17" s="109">
        <f t="shared" si="8"/>
        <v>1.4210854715202004E-14</v>
      </c>
      <c r="EA17" s="110">
        <f t="shared" si="9"/>
        <v>0.18116676493380576</v>
      </c>
      <c r="EB17" s="110">
        <f t="shared" si="9"/>
        <v>0.35536370618086793</v>
      </c>
      <c r="EC17" s="110">
        <f t="shared" si="9"/>
        <v>0</v>
      </c>
      <c r="ED17" s="108"/>
      <c r="EE17" s="110">
        <f t="shared" si="9"/>
        <v>0</v>
      </c>
      <c r="EF17" s="110">
        <f t="shared" si="9"/>
        <v>0.35487372189974897</v>
      </c>
      <c r="EG17" s="110">
        <f t="shared" si="9"/>
        <v>0.10859580698557732</v>
      </c>
      <c r="EH17" s="111">
        <f t="shared" si="14"/>
        <v>0</v>
      </c>
      <c r="EI17" s="110">
        <f t="shared" si="15"/>
        <v>1</v>
      </c>
      <c r="EK17" s="112">
        <f>EA17*'Renewable Diesel'!BF26*'Feedstock Conversion Rates'!B$2</f>
        <v>2.2584476280938217</v>
      </c>
      <c r="EL17" s="112">
        <f>EB17*'Renewable Diesel'!BF26*'Feedstock Conversion Rates'!B$3</f>
        <v>4.1746315953835964</v>
      </c>
      <c r="EM17" s="112">
        <f>EC17*'Renewable Diesel'!BF26*'Feedstock Conversion Rates'!B$4</f>
        <v>0</v>
      </c>
      <c r="EN17" s="108"/>
      <c r="EO17" s="112">
        <f>EE17*'Renewable Diesel'!BF26*'Feedstock Conversion Rates'!B$6</f>
        <v>0</v>
      </c>
      <c r="EP17" s="112">
        <f>EF17*'Renewable Diesel'!BF26*'Feedstock Conversion Rates'!B$7</f>
        <v>4.7882215594659057</v>
      </c>
      <c r="EQ17" s="112">
        <f>EG17*'Renewable Diesel'!BF26*'Feedstock Conversion Rates'!B$8</f>
        <v>1.4931275279293936</v>
      </c>
      <c r="ER17" s="112">
        <f>EH17*'Renewable Diesel'!BF26*'Feedstock Conversion Rates'!B$9</f>
        <v>0</v>
      </c>
      <c r="ES17" s="112">
        <f t="shared" si="16"/>
        <v>12.714428310872718</v>
      </c>
      <c r="EW17" s="73">
        <f t="shared" si="17"/>
        <v>0</v>
      </c>
      <c r="EX17" s="73">
        <f t="shared" si="18"/>
        <v>12.714428310872718</v>
      </c>
      <c r="EY17" s="92">
        <f t="shared" si="10"/>
        <v>0</v>
      </c>
      <c r="EZ17" s="92">
        <f t="shared" si="10"/>
        <v>1</v>
      </c>
      <c r="FE17" s="108"/>
      <c r="GD17" s="91">
        <f>'Renewable Diesel'!BB26*0</f>
        <v>0</v>
      </c>
      <c r="GE17" s="91">
        <f>'Renewable Diesel'!BC26</f>
        <v>0</v>
      </c>
      <c r="GF17" s="91">
        <f>'Renewable Diesel'!BD26</f>
        <v>0</v>
      </c>
      <c r="GG17" s="91">
        <f t="shared" si="0"/>
        <v>0</v>
      </c>
      <c r="GH17" s="92">
        <v>0.5</v>
      </c>
      <c r="GI17" s="102">
        <f>$GG17*EA17*'Feedstock Conversion Rates'!$B$2</f>
        <v>0</v>
      </c>
      <c r="GJ17" s="102">
        <f>$GG17*EB17*'Feedstock Conversion Rates'!$B$3</f>
        <v>0</v>
      </c>
      <c r="GK17" s="102">
        <f>$GG17*EC17*'Feedstock Conversion Rates'!$B$4</f>
        <v>0</v>
      </c>
      <c r="GL17" s="102">
        <f>$GG17*ED17*'Feedstock Conversion Rates'!$B$5</f>
        <v>0</v>
      </c>
      <c r="GM17" s="102">
        <f>$GG17*EE17*'Feedstock Conversion Rates'!$B$5</f>
        <v>0</v>
      </c>
      <c r="GN17" s="102">
        <f>$GG17*EF17*'Feedstock Conversion Rates'!$B$7</f>
        <v>0</v>
      </c>
      <c r="GO17" s="102">
        <f>$GG17*EG17*'Feedstock Conversion Rates'!$B$7</f>
        <v>0</v>
      </c>
      <c r="GP17" s="102">
        <f>$GG17*EH17*'Feedstock Conversion Rates'!B14</f>
        <v>0</v>
      </c>
      <c r="GQ17" s="102">
        <f t="shared" si="19"/>
        <v>0</v>
      </c>
      <c r="GT17" s="103">
        <f t="shared" si="11"/>
        <v>0.17762872013384312</v>
      </c>
      <c r="GU17" s="103">
        <f t="shared" si="11"/>
        <v>0.32833812840909793</v>
      </c>
      <c r="GV17" s="103">
        <f t="shared" si="11"/>
        <v>0</v>
      </c>
      <c r="GW17" s="103">
        <f t="shared" si="11"/>
        <v>0</v>
      </c>
      <c r="GX17" s="103">
        <f t="shared" si="11"/>
        <v>0</v>
      </c>
      <c r="GY17" s="103">
        <f t="shared" si="11"/>
        <v>0.37659747197373145</v>
      </c>
      <c r="GZ17" s="103">
        <f t="shared" si="11"/>
        <v>0.1174356794833275</v>
      </c>
      <c r="HA17" s="103">
        <f t="shared" si="11"/>
        <v>0</v>
      </c>
    </row>
    <row r="18" spans="1:209" x14ac:dyDescent="0.25">
      <c r="A18" s="96">
        <v>40969</v>
      </c>
      <c r="C18" s="105"/>
      <c r="D18" s="104">
        <v>0</v>
      </c>
      <c r="E18" s="104">
        <f>('Renewable Diesel'!B27*E$3*'Feedstock Conversion Rates'!$B$2)/12</f>
        <v>20.853333333333332</v>
      </c>
      <c r="F18" s="104">
        <f>('Renewable Diesel'!B27*'RD Feedstock Breakdown'!F$3*'Feedstock Conversion Rates'!B$8)/12</f>
        <v>12.5</v>
      </c>
      <c r="G18" s="104">
        <f>('Renewable Diesel'!B27*'RD Feedstock Breakdown'!G$3*'Feedstock Conversion Rates'!B$7)/12</f>
        <v>40.847999999999999</v>
      </c>
      <c r="H18" s="104">
        <f>('Renewable Diesel'!B27*'RD Feedstock Breakdown'!H$3*'Feedstock Conversion Rates'!B$3)/12</f>
        <v>40.904400000000003</v>
      </c>
      <c r="I18" s="106">
        <f t="shared" si="12"/>
        <v>115.10573333333335</v>
      </c>
      <c r="J18" s="106"/>
      <c r="K18" s="107"/>
      <c r="L18" s="106"/>
      <c r="T18" s="108"/>
      <c r="AC18" s="108"/>
      <c r="AG18" s="108"/>
      <c r="AT18" s="108"/>
      <c r="BX18" s="108"/>
      <c r="CI18" s="108"/>
      <c r="DD18" s="108"/>
      <c r="DJ18" s="108"/>
      <c r="DP18" s="104">
        <f t="shared" si="1"/>
        <v>20.853333333333332</v>
      </c>
      <c r="DQ18" s="104">
        <f t="shared" si="2"/>
        <v>40.904400000000003</v>
      </c>
      <c r="DR18" s="104">
        <f t="shared" si="13"/>
        <v>0</v>
      </c>
      <c r="DS18" s="108"/>
      <c r="DT18" s="104">
        <f t="shared" si="3"/>
        <v>0</v>
      </c>
      <c r="DU18" s="104">
        <f t="shared" si="4"/>
        <v>40.847999999999999</v>
      </c>
      <c r="DV18" s="104">
        <f t="shared" si="5"/>
        <v>12.5</v>
      </c>
      <c r="DW18" s="104">
        <f t="shared" si="6"/>
        <v>0</v>
      </c>
      <c r="DX18" s="106">
        <f t="shared" si="7"/>
        <v>115.10573333333333</v>
      </c>
      <c r="DY18" s="109">
        <f t="shared" si="8"/>
        <v>1.4210854715202004E-14</v>
      </c>
      <c r="EA18" s="110">
        <f t="shared" si="9"/>
        <v>0.18116676493380576</v>
      </c>
      <c r="EB18" s="110">
        <f t="shared" si="9"/>
        <v>0.35536370618086793</v>
      </c>
      <c r="EC18" s="110">
        <f t="shared" si="9"/>
        <v>0</v>
      </c>
      <c r="ED18" s="108"/>
      <c r="EE18" s="110">
        <f t="shared" si="9"/>
        <v>0</v>
      </c>
      <c r="EF18" s="110">
        <f t="shared" si="9"/>
        <v>0.35487372189974897</v>
      </c>
      <c r="EG18" s="110">
        <f t="shared" si="9"/>
        <v>0.10859580698557732</v>
      </c>
      <c r="EH18" s="111">
        <f t="shared" si="14"/>
        <v>0</v>
      </c>
      <c r="EI18" s="110">
        <f t="shared" si="15"/>
        <v>1</v>
      </c>
      <c r="EK18" s="112">
        <f>EA18*'Renewable Diesel'!BF27*'Feedstock Conversion Rates'!B$2</f>
        <v>7.2446281232443672</v>
      </c>
      <c r="EL18" s="112">
        <f>EB18*'Renewable Diesel'!BF27*'Feedstock Conversion Rates'!B$3</f>
        <v>13.391345933324468</v>
      </c>
      <c r="EM18" s="112">
        <f>EC18*'Renewable Diesel'!BF27*'Feedstock Conversion Rates'!B$4</f>
        <v>0</v>
      </c>
      <c r="EN18" s="108"/>
      <c r="EO18" s="112">
        <f>EE18*'Renewable Diesel'!BF27*'Feedstock Conversion Rates'!B$6</f>
        <v>0</v>
      </c>
      <c r="EP18" s="112">
        <f>EF18*'Renewable Diesel'!BF27*'Feedstock Conversion Rates'!B$7</f>
        <v>15.359614337973317</v>
      </c>
      <c r="EQ18" s="112">
        <f>EG18*'Renewable Diesel'!BF27*'Feedstock Conversion Rates'!B$8</f>
        <v>4.7896411437078728</v>
      </c>
      <c r="ER18" s="112">
        <f>EH18*'Renewable Diesel'!BF27*'Feedstock Conversion Rates'!B$9</f>
        <v>0</v>
      </c>
      <c r="ES18" s="112">
        <f t="shared" si="16"/>
        <v>40.785229538250029</v>
      </c>
      <c r="EW18" s="73">
        <f t="shared" si="17"/>
        <v>0</v>
      </c>
      <c r="EX18" s="73">
        <f t="shared" si="18"/>
        <v>40.785229538250029</v>
      </c>
      <c r="EY18" s="92">
        <f t="shared" si="10"/>
        <v>0</v>
      </c>
      <c r="EZ18" s="92">
        <f t="shared" si="10"/>
        <v>1</v>
      </c>
      <c r="FE18" s="108"/>
      <c r="GD18" s="91">
        <f>'Renewable Diesel'!BB27*0</f>
        <v>0</v>
      </c>
      <c r="GE18" s="91">
        <f>'Renewable Diesel'!BC27</f>
        <v>0</v>
      </c>
      <c r="GF18" s="91">
        <f>'Renewable Diesel'!BD27</f>
        <v>0</v>
      </c>
      <c r="GG18" s="91">
        <f t="shared" si="0"/>
        <v>0</v>
      </c>
      <c r="GH18" s="92">
        <v>0.5</v>
      </c>
      <c r="GI18" s="102">
        <f>$GG18*EA18*'Feedstock Conversion Rates'!$B$2</f>
        <v>0</v>
      </c>
      <c r="GJ18" s="102">
        <f>$GG18*EB18*'Feedstock Conversion Rates'!$B$3</f>
        <v>0</v>
      </c>
      <c r="GK18" s="102">
        <f>$GG18*EC18*'Feedstock Conversion Rates'!$B$4</f>
        <v>0</v>
      </c>
      <c r="GL18" s="102">
        <f>$GG18*ED18*'Feedstock Conversion Rates'!$B$5</f>
        <v>0</v>
      </c>
      <c r="GM18" s="102">
        <f>$GG18*EE18*'Feedstock Conversion Rates'!$B$5</f>
        <v>0</v>
      </c>
      <c r="GN18" s="102">
        <f>$GG18*EF18*'Feedstock Conversion Rates'!$B$7</f>
        <v>0</v>
      </c>
      <c r="GO18" s="102">
        <f>$GG18*EG18*'Feedstock Conversion Rates'!$B$7</f>
        <v>0</v>
      </c>
      <c r="GP18" s="102">
        <f>$GG18*EH18*'Feedstock Conversion Rates'!B15</f>
        <v>0</v>
      </c>
      <c r="GQ18" s="102">
        <f t="shared" si="19"/>
        <v>0</v>
      </c>
      <c r="GT18" s="103">
        <f t="shared" si="11"/>
        <v>0.17762872013384315</v>
      </c>
      <c r="GU18" s="103">
        <f t="shared" si="11"/>
        <v>0.32833812840909782</v>
      </c>
      <c r="GV18" s="103">
        <f t="shared" si="11"/>
        <v>0</v>
      </c>
      <c r="GW18" s="103">
        <f t="shared" si="11"/>
        <v>0</v>
      </c>
      <c r="GX18" s="103">
        <f t="shared" si="11"/>
        <v>0</v>
      </c>
      <c r="GY18" s="103">
        <f t="shared" si="11"/>
        <v>0.37659747197373139</v>
      </c>
      <c r="GZ18" s="103">
        <f t="shared" si="11"/>
        <v>0.11743567948332753</v>
      </c>
      <c r="HA18" s="103">
        <f t="shared" si="11"/>
        <v>0</v>
      </c>
    </row>
    <row r="19" spans="1:209" x14ac:dyDescent="0.25">
      <c r="A19" s="96">
        <v>41000</v>
      </c>
      <c r="C19" s="105"/>
      <c r="D19" s="104">
        <v>0</v>
      </c>
      <c r="E19" s="104">
        <f>('Renewable Diesel'!B28*E$3*'Feedstock Conversion Rates'!$B$2)/12</f>
        <v>20.853333333333332</v>
      </c>
      <c r="F19" s="104">
        <f>('Renewable Diesel'!B28*'RD Feedstock Breakdown'!F$3*'Feedstock Conversion Rates'!B$8)/12</f>
        <v>12.5</v>
      </c>
      <c r="G19" s="104">
        <f>('Renewable Diesel'!B28*'RD Feedstock Breakdown'!G$3*'Feedstock Conversion Rates'!B$7)/12</f>
        <v>40.847999999999999</v>
      </c>
      <c r="H19" s="104">
        <f>('Renewable Diesel'!B28*'RD Feedstock Breakdown'!H$3*'Feedstock Conversion Rates'!B$3)/12</f>
        <v>40.904400000000003</v>
      </c>
      <c r="I19" s="106">
        <f t="shared" si="12"/>
        <v>115.10573333333335</v>
      </c>
      <c r="J19" s="106"/>
      <c r="K19" s="107"/>
      <c r="L19" s="106"/>
      <c r="T19" s="108"/>
      <c r="AC19" s="108"/>
      <c r="AG19" s="108"/>
      <c r="AT19" s="108"/>
      <c r="BX19" s="108"/>
      <c r="CI19" s="108"/>
      <c r="DD19" s="108"/>
      <c r="DJ19" s="108"/>
      <c r="DP19" s="104">
        <f t="shared" si="1"/>
        <v>20.853333333333332</v>
      </c>
      <c r="DQ19" s="104">
        <f t="shared" si="2"/>
        <v>40.904400000000003</v>
      </c>
      <c r="DR19" s="104">
        <f t="shared" si="13"/>
        <v>0</v>
      </c>
      <c r="DS19" s="108"/>
      <c r="DT19" s="104">
        <f t="shared" si="3"/>
        <v>0</v>
      </c>
      <c r="DU19" s="104">
        <f t="shared" si="4"/>
        <v>40.847999999999999</v>
      </c>
      <c r="DV19" s="104">
        <f t="shared" si="5"/>
        <v>12.5</v>
      </c>
      <c r="DW19" s="104">
        <f t="shared" si="6"/>
        <v>0</v>
      </c>
      <c r="DX19" s="106">
        <f t="shared" si="7"/>
        <v>115.10573333333333</v>
      </c>
      <c r="DY19" s="109">
        <f t="shared" si="8"/>
        <v>1.4210854715202004E-14</v>
      </c>
      <c r="EA19" s="110">
        <f t="shared" si="9"/>
        <v>0.18116676493380576</v>
      </c>
      <c r="EB19" s="110">
        <f t="shared" si="9"/>
        <v>0.35536370618086793</v>
      </c>
      <c r="EC19" s="110">
        <f t="shared" si="9"/>
        <v>0</v>
      </c>
      <c r="ED19" s="108"/>
      <c r="EE19" s="110">
        <f t="shared" si="9"/>
        <v>0</v>
      </c>
      <c r="EF19" s="110">
        <f t="shared" si="9"/>
        <v>0.35487372189974897</v>
      </c>
      <c r="EG19" s="110">
        <f t="shared" si="9"/>
        <v>0.10859580698557732</v>
      </c>
      <c r="EH19" s="111">
        <f t="shared" si="14"/>
        <v>0</v>
      </c>
      <c r="EI19" s="110">
        <f t="shared" si="15"/>
        <v>1</v>
      </c>
      <c r="EK19" s="112">
        <f>EA19*'Renewable Diesel'!BF28*'Feedstock Conversion Rates'!B$2</f>
        <v>4.9000883273697333</v>
      </c>
      <c r="EL19" s="112">
        <f>EB19*'Renewable Diesel'!BF28*'Feedstock Conversion Rates'!B$3</f>
        <v>9.0575771149820277</v>
      </c>
      <c r="EM19" s="112">
        <f>EC19*'Renewable Diesel'!BF28*'Feedstock Conversion Rates'!B$4</f>
        <v>0</v>
      </c>
      <c r="EN19" s="108"/>
      <c r="EO19" s="112">
        <f>EE19*'Renewable Diesel'!BF28*'Feedstock Conversion Rates'!B$6</f>
        <v>0</v>
      </c>
      <c r="EP19" s="112">
        <f>EF19*'Renewable Diesel'!BF28*'Feedstock Conversion Rates'!B$7</f>
        <v>10.388865466941118</v>
      </c>
      <c r="EQ19" s="112">
        <f>EG19*'Renewable Diesel'!BF28*'Feedstock Conversion Rates'!B$8</f>
        <v>3.2395954990802656</v>
      </c>
      <c r="ER19" s="112">
        <f>EH19*'Renewable Diesel'!BF28*'Feedstock Conversion Rates'!B$9</f>
        <v>0</v>
      </c>
      <c r="ES19" s="112">
        <f t="shared" si="16"/>
        <v>27.586126408373147</v>
      </c>
      <c r="EW19" s="73">
        <f t="shared" si="17"/>
        <v>0</v>
      </c>
      <c r="EX19" s="73">
        <f t="shared" si="18"/>
        <v>27.586126408373147</v>
      </c>
      <c r="EY19" s="92">
        <f t="shared" si="10"/>
        <v>0</v>
      </c>
      <c r="EZ19" s="92">
        <f t="shared" si="10"/>
        <v>1</v>
      </c>
      <c r="FE19" s="108"/>
      <c r="GD19" s="91">
        <f>'Renewable Diesel'!BB28*0</f>
        <v>0</v>
      </c>
      <c r="GE19" s="91">
        <f>'Renewable Diesel'!BC28</f>
        <v>0</v>
      </c>
      <c r="GF19" s="91">
        <f>'Renewable Diesel'!BD28</f>
        <v>0</v>
      </c>
      <c r="GG19" s="91">
        <f t="shared" si="0"/>
        <v>0</v>
      </c>
      <c r="GH19" s="92">
        <v>0.5</v>
      </c>
      <c r="GI19" s="102">
        <f>$GG19*EA19*'Feedstock Conversion Rates'!$B$2</f>
        <v>0</v>
      </c>
      <c r="GJ19" s="102">
        <f>$GG19*EB19*'Feedstock Conversion Rates'!$B$3</f>
        <v>0</v>
      </c>
      <c r="GK19" s="102">
        <f>$GG19*EC19*'Feedstock Conversion Rates'!$B$4</f>
        <v>0</v>
      </c>
      <c r="GL19" s="102">
        <f>$GG19*ED19*'Feedstock Conversion Rates'!$B$5</f>
        <v>0</v>
      </c>
      <c r="GM19" s="102">
        <f>$GG19*EE19*'Feedstock Conversion Rates'!$B$5</f>
        <v>0</v>
      </c>
      <c r="GN19" s="102">
        <f>$GG19*EF19*'Feedstock Conversion Rates'!$B$7</f>
        <v>0</v>
      </c>
      <c r="GO19" s="102">
        <f>$GG19*EG19*'Feedstock Conversion Rates'!$B$7</f>
        <v>0</v>
      </c>
      <c r="GP19" s="102">
        <f>$GG19*EH19*'Feedstock Conversion Rates'!B16</f>
        <v>0</v>
      </c>
      <c r="GQ19" s="102">
        <f t="shared" si="19"/>
        <v>0</v>
      </c>
      <c r="GT19" s="103">
        <f t="shared" si="11"/>
        <v>0.17762872013384315</v>
      </c>
      <c r="GU19" s="103">
        <f t="shared" si="11"/>
        <v>0.32833812840909787</v>
      </c>
      <c r="GV19" s="103">
        <f t="shared" si="11"/>
        <v>0</v>
      </c>
      <c r="GW19" s="103">
        <f t="shared" si="11"/>
        <v>0</v>
      </c>
      <c r="GX19" s="103">
        <f t="shared" si="11"/>
        <v>0</v>
      </c>
      <c r="GY19" s="103">
        <f t="shared" si="11"/>
        <v>0.37659747197373139</v>
      </c>
      <c r="GZ19" s="103">
        <f t="shared" si="11"/>
        <v>0.1174356794833275</v>
      </c>
      <c r="HA19" s="103">
        <f t="shared" si="11"/>
        <v>0</v>
      </c>
    </row>
    <row r="20" spans="1:209" x14ac:dyDescent="0.25">
      <c r="A20" s="96">
        <v>41030</v>
      </c>
      <c r="C20" s="105"/>
      <c r="D20" s="104">
        <v>0</v>
      </c>
      <c r="E20" s="104">
        <f>('Renewable Diesel'!B29*E$3*'Feedstock Conversion Rates'!$B$2)/12</f>
        <v>20.853333333333332</v>
      </c>
      <c r="F20" s="104">
        <f>('Renewable Diesel'!B29*'RD Feedstock Breakdown'!F$3*'Feedstock Conversion Rates'!B$8)/12</f>
        <v>12.5</v>
      </c>
      <c r="G20" s="104">
        <f>('Renewable Diesel'!B29*'RD Feedstock Breakdown'!G$3*'Feedstock Conversion Rates'!B$7)/12</f>
        <v>40.847999999999999</v>
      </c>
      <c r="H20" s="104">
        <f>('Renewable Diesel'!B29*'RD Feedstock Breakdown'!H$3*'Feedstock Conversion Rates'!B$3)/12</f>
        <v>40.904400000000003</v>
      </c>
      <c r="I20" s="106">
        <f t="shared" si="12"/>
        <v>115.10573333333335</v>
      </c>
      <c r="J20" s="106"/>
      <c r="K20" s="107"/>
      <c r="L20" s="106"/>
      <c r="T20" s="108"/>
      <c r="AC20" s="108"/>
      <c r="AG20" s="108"/>
      <c r="AT20" s="108"/>
      <c r="BX20" s="108"/>
      <c r="CI20" s="108"/>
      <c r="DD20" s="108"/>
      <c r="DJ20" s="108"/>
      <c r="DP20" s="104">
        <f t="shared" si="1"/>
        <v>20.853333333333332</v>
      </c>
      <c r="DQ20" s="104">
        <f t="shared" si="2"/>
        <v>40.904400000000003</v>
      </c>
      <c r="DR20" s="104">
        <f t="shared" si="13"/>
        <v>0</v>
      </c>
      <c r="DS20" s="108"/>
      <c r="DT20" s="104">
        <f t="shared" si="3"/>
        <v>0</v>
      </c>
      <c r="DU20" s="104">
        <f t="shared" si="4"/>
        <v>40.847999999999999</v>
      </c>
      <c r="DV20" s="104">
        <f t="shared" si="5"/>
        <v>12.5</v>
      </c>
      <c r="DW20" s="104">
        <f t="shared" si="6"/>
        <v>0</v>
      </c>
      <c r="DX20" s="106">
        <f t="shared" si="7"/>
        <v>115.10573333333333</v>
      </c>
      <c r="DY20" s="109">
        <f t="shared" si="8"/>
        <v>1.4210854715202004E-14</v>
      </c>
      <c r="EA20" s="110">
        <f t="shared" si="9"/>
        <v>0.18116676493380576</v>
      </c>
      <c r="EB20" s="110">
        <f t="shared" si="9"/>
        <v>0.35536370618086793</v>
      </c>
      <c r="EC20" s="110">
        <f t="shared" si="9"/>
        <v>0</v>
      </c>
      <c r="ED20" s="108"/>
      <c r="EE20" s="110">
        <f t="shared" si="9"/>
        <v>0</v>
      </c>
      <c r="EF20" s="110">
        <f t="shared" si="9"/>
        <v>0.35487372189974897</v>
      </c>
      <c r="EG20" s="110">
        <f t="shared" si="9"/>
        <v>0.10859580698557732</v>
      </c>
      <c r="EH20" s="111">
        <f t="shared" si="14"/>
        <v>0</v>
      </c>
      <c r="EI20" s="110">
        <f t="shared" si="15"/>
        <v>1</v>
      </c>
      <c r="EK20" s="112">
        <f>EA20*'Renewable Diesel'!BF29*'Feedstock Conversion Rates'!B$2</f>
        <v>5.1706518324601261</v>
      </c>
      <c r="EL20" s="112">
        <f>EB20*'Renewable Diesel'!BF29*'Feedstock Conversion Rates'!B$3</f>
        <v>9.5577007144216157</v>
      </c>
      <c r="EM20" s="112">
        <f>EC20*'Renewable Diesel'!BF29*'Feedstock Conversion Rates'!B$4</f>
        <v>0</v>
      </c>
      <c r="EN20" s="108"/>
      <c r="EO20" s="112">
        <f>EE20*'Renewable Diesel'!BF29*'Feedstock Conversion Rates'!B$6</f>
        <v>0</v>
      </c>
      <c r="EP20" s="112">
        <f>EF20*'Renewable Diesel'!BF29*'Feedstock Conversion Rates'!B$7</f>
        <v>10.962497545968748</v>
      </c>
      <c r="EQ20" s="112">
        <f>EG20*'Renewable Diesel'!BF29*'Feedstock Conversion Rates'!B$8</f>
        <v>3.4184731548993219</v>
      </c>
      <c r="ER20" s="112">
        <f>EH20*'Renewable Diesel'!BF29*'Feedstock Conversion Rates'!B$9</f>
        <v>0</v>
      </c>
      <c r="ES20" s="112">
        <f t="shared" si="16"/>
        <v>29.10932324774981</v>
      </c>
      <c r="EW20" s="73">
        <f t="shared" si="17"/>
        <v>0</v>
      </c>
      <c r="EX20" s="73">
        <f t="shared" si="18"/>
        <v>29.109323247749813</v>
      </c>
      <c r="EY20" s="92">
        <f t="shared" si="10"/>
        <v>0</v>
      </c>
      <c r="EZ20" s="92">
        <f t="shared" si="10"/>
        <v>1.0000000000000002</v>
      </c>
      <c r="FE20" s="108"/>
      <c r="GD20" s="91">
        <f>'Renewable Diesel'!BB29*0</f>
        <v>0</v>
      </c>
      <c r="GE20" s="91">
        <f>'Renewable Diesel'!BC29</f>
        <v>0</v>
      </c>
      <c r="GF20" s="91">
        <f>'Renewable Diesel'!BD29</f>
        <v>0</v>
      </c>
      <c r="GG20" s="91">
        <f t="shared" si="0"/>
        <v>0</v>
      </c>
      <c r="GH20" s="92">
        <v>0.5</v>
      </c>
      <c r="GI20" s="102">
        <f>$GG20*EA20*'Feedstock Conversion Rates'!$B$2</f>
        <v>0</v>
      </c>
      <c r="GJ20" s="102">
        <f>$GG20*EB20*'Feedstock Conversion Rates'!$B$3</f>
        <v>0</v>
      </c>
      <c r="GK20" s="102">
        <f>$GG20*EC20*'Feedstock Conversion Rates'!$B$4</f>
        <v>0</v>
      </c>
      <c r="GL20" s="102">
        <f>$GG20*ED20*'Feedstock Conversion Rates'!$B$5</f>
        <v>0</v>
      </c>
      <c r="GM20" s="102">
        <f>$GG20*EE20*'Feedstock Conversion Rates'!$B$5</f>
        <v>0</v>
      </c>
      <c r="GN20" s="102">
        <f>$GG20*EF20*'Feedstock Conversion Rates'!$B$7</f>
        <v>0</v>
      </c>
      <c r="GO20" s="102">
        <f>$GG20*EG20*'Feedstock Conversion Rates'!$B$7</f>
        <v>0</v>
      </c>
      <c r="GP20" s="102">
        <f>$GG20*EH20*'Feedstock Conversion Rates'!B17</f>
        <v>0</v>
      </c>
      <c r="GQ20" s="102">
        <f t="shared" si="19"/>
        <v>0</v>
      </c>
      <c r="GT20" s="103">
        <f t="shared" si="11"/>
        <v>0.17762872013384318</v>
      </c>
      <c r="GU20" s="103">
        <f t="shared" si="11"/>
        <v>0.32833812840909787</v>
      </c>
      <c r="GV20" s="103">
        <f t="shared" si="11"/>
        <v>0</v>
      </c>
      <c r="GW20" s="103">
        <f t="shared" si="11"/>
        <v>0</v>
      </c>
      <c r="GX20" s="103">
        <f t="shared" si="11"/>
        <v>0</v>
      </c>
      <c r="GY20" s="103">
        <f t="shared" si="11"/>
        <v>0.37659747197373145</v>
      </c>
      <c r="GZ20" s="103">
        <f t="shared" si="11"/>
        <v>0.11743567948332755</v>
      </c>
      <c r="HA20" s="103">
        <f t="shared" si="11"/>
        <v>0</v>
      </c>
    </row>
    <row r="21" spans="1:209" x14ac:dyDescent="0.25">
      <c r="A21" s="96">
        <v>41061</v>
      </c>
      <c r="C21" s="105"/>
      <c r="D21" s="104">
        <v>0</v>
      </c>
      <c r="E21" s="104">
        <f>('Renewable Diesel'!B30*E$3*'Feedstock Conversion Rates'!$B$2)/12</f>
        <v>20.853333333333332</v>
      </c>
      <c r="F21" s="104">
        <f>('Renewable Diesel'!B30*'RD Feedstock Breakdown'!F$3*'Feedstock Conversion Rates'!B$8)/12</f>
        <v>12.5</v>
      </c>
      <c r="G21" s="104">
        <f>('Renewable Diesel'!B30*'RD Feedstock Breakdown'!G$3*'Feedstock Conversion Rates'!B$7)/12</f>
        <v>40.847999999999999</v>
      </c>
      <c r="H21" s="104">
        <f>('Renewable Diesel'!B30*'RD Feedstock Breakdown'!H$3*'Feedstock Conversion Rates'!B$3)/12</f>
        <v>40.904400000000003</v>
      </c>
      <c r="I21" s="106">
        <f t="shared" si="12"/>
        <v>115.10573333333335</v>
      </c>
      <c r="J21" s="106"/>
      <c r="K21" s="107"/>
      <c r="L21" s="106"/>
      <c r="T21" s="108"/>
      <c r="AC21" s="108"/>
      <c r="AG21" s="108"/>
      <c r="AT21" s="108"/>
      <c r="BX21" s="108"/>
      <c r="CI21" s="108"/>
      <c r="DD21" s="108"/>
      <c r="DJ21" s="108"/>
      <c r="DP21" s="104">
        <f t="shared" si="1"/>
        <v>20.853333333333332</v>
      </c>
      <c r="DQ21" s="104">
        <f t="shared" si="2"/>
        <v>40.904400000000003</v>
      </c>
      <c r="DR21" s="104">
        <f t="shared" si="13"/>
        <v>0</v>
      </c>
      <c r="DS21" s="108"/>
      <c r="DT21" s="104">
        <f t="shared" si="3"/>
        <v>0</v>
      </c>
      <c r="DU21" s="104">
        <f t="shared" si="4"/>
        <v>40.847999999999999</v>
      </c>
      <c r="DV21" s="104">
        <f t="shared" si="5"/>
        <v>12.5</v>
      </c>
      <c r="DW21" s="104">
        <f t="shared" si="6"/>
        <v>0</v>
      </c>
      <c r="DX21" s="106">
        <f t="shared" si="7"/>
        <v>115.10573333333333</v>
      </c>
      <c r="DY21" s="109">
        <f t="shared" si="8"/>
        <v>1.4210854715202004E-14</v>
      </c>
      <c r="EA21" s="110">
        <f t="shared" si="9"/>
        <v>0.18116676493380576</v>
      </c>
      <c r="EB21" s="110">
        <f t="shared" si="9"/>
        <v>0.35536370618086793</v>
      </c>
      <c r="EC21" s="110">
        <f t="shared" si="9"/>
        <v>0</v>
      </c>
      <c r="ED21" s="108"/>
      <c r="EE21" s="110">
        <f t="shared" si="9"/>
        <v>0</v>
      </c>
      <c r="EF21" s="110">
        <f t="shared" si="9"/>
        <v>0.35487372189974897</v>
      </c>
      <c r="EG21" s="110">
        <f t="shared" si="9"/>
        <v>0.10859580698557732</v>
      </c>
      <c r="EH21" s="111">
        <f t="shared" si="14"/>
        <v>0</v>
      </c>
      <c r="EI21" s="110">
        <f t="shared" si="15"/>
        <v>1</v>
      </c>
      <c r="EK21" s="112">
        <f>EA21*'Renewable Diesel'!BF30*'Feedstock Conversion Rates'!B$2</f>
        <v>4.7463244849662853</v>
      </c>
      <c r="EL21" s="112">
        <f>EB21*'Renewable Diesel'!BF30*'Feedstock Conversion Rates'!B$3</f>
        <v>8.7733520628975565</v>
      </c>
      <c r="EM21" s="112">
        <f>EC21*'Renewable Diesel'!BF30*'Feedstock Conversion Rates'!B$4</f>
        <v>0</v>
      </c>
      <c r="EN21" s="108"/>
      <c r="EO21" s="112">
        <f>EE21*'Renewable Diesel'!BF30*'Feedstock Conversion Rates'!B$6</f>
        <v>0</v>
      </c>
      <c r="EP21" s="112">
        <f>EF21*'Renewable Diesel'!BF30*'Feedstock Conversion Rates'!B$7</f>
        <v>10.062864838853088</v>
      </c>
      <c r="EQ21" s="112">
        <f>EG21*'Renewable Diesel'!BF30*'Feedstock Conversion Rates'!B$8</f>
        <v>3.1379376067134794</v>
      </c>
      <c r="ER21" s="112">
        <f>EH21*'Renewable Diesel'!BF30*'Feedstock Conversion Rates'!B$9</f>
        <v>0</v>
      </c>
      <c r="ES21" s="112">
        <f t="shared" si="16"/>
        <v>26.720478993430408</v>
      </c>
      <c r="EW21" s="73">
        <f t="shared" si="17"/>
        <v>0</v>
      </c>
      <c r="EX21" s="73">
        <f t="shared" si="18"/>
        <v>26.720478993430412</v>
      </c>
      <c r="EY21" s="92">
        <f t="shared" si="10"/>
        <v>0</v>
      </c>
      <c r="EZ21" s="92">
        <f t="shared" si="10"/>
        <v>1.0000000000000002</v>
      </c>
      <c r="FE21" s="108"/>
      <c r="GD21" s="91">
        <f>'Renewable Diesel'!BB30*0</f>
        <v>0</v>
      </c>
      <c r="GE21" s="91">
        <f>'Renewable Diesel'!BC30</f>
        <v>0</v>
      </c>
      <c r="GF21" s="91">
        <f>'Renewable Diesel'!BD30</f>
        <v>0</v>
      </c>
      <c r="GG21" s="91">
        <f t="shared" si="0"/>
        <v>0</v>
      </c>
      <c r="GH21" s="92">
        <v>0.5</v>
      </c>
      <c r="GI21" s="102">
        <f>$GG21*EA21*'Feedstock Conversion Rates'!$B$2</f>
        <v>0</v>
      </c>
      <c r="GJ21" s="102">
        <f>$GG21*EB21*'Feedstock Conversion Rates'!$B$3</f>
        <v>0</v>
      </c>
      <c r="GK21" s="102">
        <f>$GG21*EC21*'Feedstock Conversion Rates'!$B$4</f>
        <v>0</v>
      </c>
      <c r="GL21" s="102">
        <f>$GG21*ED21*'Feedstock Conversion Rates'!$B$5</f>
        <v>0</v>
      </c>
      <c r="GM21" s="102">
        <f>$GG21*EE21*'Feedstock Conversion Rates'!$B$5</f>
        <v>0</v>
      </c>
      <c r="GN21" s="102">
        <f>$GG21*EF21*'Feedstock Conversion Rates'!$B$7</f>
        <v>0</v>
      </c>
      <c r="GO21" s="102">
        <f>$GG21*EG21*'Feedstock Conversion Rates'!$B$7</f>
        <v>0</v>
      </c>
      <c r="GP21" s="102">
        <f>$GG21*EH21*'Feedstock Conversion Rates'!B18</f>
        <v>0</v>
      </c>
      <c r="GQ21" s="102">
        <f t="shared" si="19"/>
        <v>0</v>
      </c>
      <c r="GT21" s="103">
        <f t="shared" si="11"/>
        <v>0.17762872013384318</v>
      </c>
      <c r="GU21" s="103">
        <f t="shared" si="11"/>
        <v>0.32833812840909793</v>
      </c>
      <c r="GV21" s="103">
        <f t="shared" si="11"/>
        <v>0</v>
      </c>
      <c r="GW21" s="103">
        <f t="shared" si="11"/>
        <v>0</v>
      </c>
      <c r="GX21" s="103">
        <f t="shared" si="11"/>
        <v>0</v>
      </c>
      <c r="GY21" s="103">
        <f t="shared" si="11"/>
        <v>0.37659747197373145</v>
      </c>
      <c r="GZ21" s="103">
        <f t="shared" si="11"/>
        <v>0.11743567948332752</v>
      </c>
      <c r="HA21" s="103">
        <f t="shared" si="11"/>
        <v>0</v>
      </c>
    </row>
    <row r="22" spans="1:209" x14ac:dyDescent="0.25">
      <c r="A22" s="96">
        <v>41091</v>
      </c>
      <c r="C22" s="105"/>
      <c r="D22" s="104">
        <v>0</v>
      </c>
      <c r="E22" s="104">
        <f>('Renewable Diesel'!B31*E$3*'Feedstock Conversion Rates'!$B$2)/12</f>
        <v>20.853333333333332</v>
      </c>
      <c r="F22" s="104">
        <f>('Renewable Diesel'!B31*'RD Feedstock Breakdown'!F$3*'Feedstock Conversion Rates'!B$8)/12</f>
        <v>12.5</v>
      </c>
      <c r="G22" s="104">
        <f>('Renewable Diesel'!B31*'RD Feedstock Breakdown'!G$3*'Feedstock Conversion Rates'!B$7)/12</f>
        <v>40.847999999999999</v>
      </c>
      <c r="H22" s="104">
        <f>('Renewable Diesel'!B31*'RD Feedstock Breakdown'!H$3*'Feedstock Conversion Rates'!B$3)/12</f>
        <v>40.904400000000003</v>
      </c>
      <c r="I22" s="106">
        <f>SUM(B22:H22)</f>
        <v>115.10573333333335</v>
      </c>
      <c r="J22" s="106"/>
      <c r="K22" s="107"/>
      <c r="L22" s="106"/>
      <c r="T22" s="108"/>
      <c r="AC22" s="108"/>
      <c r="AG22" s="108"/>
      <c r="AT22" s="108"/>
      <c r="BX22" s="108"/>
      <c r="CI22" s="108"/>
      <c r="DD22" s="108"/>
      <c r="DJ22" s="108"/>
      <c r="DP22" s="104">
        <f t="shared" si="1"/>
        <v>20.853333333333332</v>
      </c>
      <c r="DQ22" s="104">
        <f t="shared" si="2"/>
        <v>40.904400000000003</v>
      </c>
      <c r="DR22" s="104">
        <f t="shared" si="13"/>
        <v>0</v>
      </c>
      <c r="DS22" s="108"/>
      <c r="DT22" s="104">
        <f t="shared" si="3"/>
        <v>0</v>
      </c>
      <c r="DU22" s="104">
        <f t="shared" si="4"/>
        <v>40.847999999999999</v>
      </c>
      <c r="DV22" s="104">
        <f t="shared" si="5"/>
        <v>12.5</v>
      </c>
      <c r="DW22" s="104">
        <f t="shared" si="6"/>
        <v>0</v>
      </c>
      <c r="DX22" s="106">
        <f t="shared" si="7"/>
        <v>115.10573333333333</v>
      </c>
      <c r="DY22" s="109">
        <f t="shared" si="8"/>
        <v>1.4210854715202004E-14</v>
      </c>
      <c r="EA22" s="110">
        <f t="shared" si="9"/>
        <v>0.18116676493380576</v>
      </c>
      <c r="EB22" s="110">
        <f t="shared" si="9"/>
        <v>0.35536370618086793</v>
      </c>
      <c r="EC22" s="110">
        <f t="shared" si="9"/>
        <v>0</v>
      </c>
      <c r="ED22" s="108"/>
      <c r="EE22" s="110">
        <f t="shared" si="9"/>
        <v>0</v>
      </c>
      <c r="EF22" s="110">
        <f t="shared" si="9"/>
        <v>0.35487372189974897</v>
      </c>
      <c r="EG22" s="110">
        <f t="shared" si="9"/>
        <v>0.10859580698557732</v>
      </c>
      <c r="EH22" s="111">
        <f t="shared" si="14"/>
        <v>0</v>
      </c>
      <c r="EI22" s="110">
        <f t="shared" si="15"/>
        <v>1</v>
      </c>
      <c r="EK22" s="112">
        <f>EA22*'Renewable Diesel'!BF31*'Feedstock Conversion Rates'!B$2</f>
        <v>8.8148835398873828</v>
      </c>
      <c r="EL22" s="112">
        <f>EB22*'Renewable Diesel'!BF31*'Feedstock Conversion Rates'!B$3</f>
        <v>16.29388739304073</v>
      </c>
      <c r="EM22" s="112">
        <f>EC22*'Renewable Diesel'!BF31*'Feedstock Conversion Rates'!B$4</f>
        <v>0</v>
      </c>
      <c r="EN22" s="108"/>
      <c r="EO22" s="112">
        <f>EE22*'Renewable Diesel'!BF31*'Feedstock Conversion Rates'!B$6</f>
        <v>0</v>
      </c>
      <c r="EP22" s="112">
        <f>EF22*'Renewable Diesel'!BF31*'Feedstock Conversion Rates'!B$7</f>
        <v>18.688773157646359</v>
      </c>
      <c r="EQ22" s="112">
        <f>EG22*'Renewable Diesel'!BF31*'Feedstock Conversion Rates'!B$8</f>
        <v>5.8277841403859982</v>
      </c>
      <c r="ER22" s="112">
        <f>EH22*'Renewable Diesel'!BF31*'Feedstock Conversion Rates'!B$9</f>
        <v>0</v>
      </c>
      <c r="ES22" s="112">
        <f t="shared" si="16"/>
        <v>49.625328230960477</v>
      </c>
      <c r="EW22" s="73">
        <f t="shared" si="17"/>
        <v>0</v>
      </c>
      <c r="EX22" s="73">
        <f t="shared" si="18"/>
        <v>49.62532823096047</v>
      </c>
      <c r="EY22" s="92">
        <f t="shared" si="10"/>
        <v>0</v>
      </c>
      <c r="EZ22" s="92">
        <f t="shared" si="10"/>
        <v>0.99999999999999989</v>
      </c>
      <c r="FE22" s="108"/>
      <c r="GD22" s="91">
        <f>'Renewable Diesel'!BB31*0</f>
        <v>0</v>
      </c>
      <c r="GE22" s="91">
        <f>'Renewable Diesel'!BC31</f>
        <v>0</v>
      </c>
      <c r="GF22" s="91">
        <f>'Renewable Diesel'!BD31</f>
        <v>0</v>
      </c>
      <c r="GG22" s="91">
        <f t="shared" si="0"/>
        <v>0</v>
      </c>
      <c r="GH22" s="92">
        <v>0.5</v>
      </c>
      <c r="GI22" s="102">
        <f>$GG22*EA22*'Feedstock Conversion Rates'!$B$2</f>
        <v>0</v>
      </c>
      <c r="GJ22" s="102">
        <f>$GG22*EB22*'Feedstock Conversion Rates'!$B$3</f>
        <v>0</v>
      </c>
      <c r="GK22" s="102">
        <f>$GG22*EC22*'Feedstock Conversion Rates'!$B$4</f>
        <v>0</v>
      </c>
      <c r="GL22" s="102">
        <f>$GG22*ED22*'Feedstock Conversion Rates'!$B$5</f>
        <v>0</v>
      </c>
      <c r="GM22" s="102">
        <f>$GG22*EE22*'Feedstock Conversion Rates'!$B$5</f>
        <v>0</v>
      </c>
      <c r="GN22" s="102">
        <f>$GG22*EF22*'Feedstock Conversion Rates'!$B$7</f>
        <v>0</v>
      </c>
      <c r="GO22" s="102">
        <f>$GG22*EG22*'Feedstock Conversion Rates'!$B$7</f>
        <v>0</v>
      </c>
      <c r="GP22" s="102">
        <f>$GG22*EH22*'Feedstock Conversion Rates'!B19</f>
        <v>0</v>
      </c>
      <c r="GQ22" s="102">
        <f t="shared" si="19"/>
        <v>0</v>
      </c>
      <c r="GT22" s="103">
        <f t="shared" si="11"/>
        <v>0.17762872013384312</v>
      </c>
      <c r="GU22" s="103">
        <f t="shared" si="11"/>
        <v>0.32833812840909787</v>
      </c>
      <c r="GV22" s="103">
        <f t="shared" si="11"/>
        <v>0</v>
      </c>
      <c r="GW22" s="103">
        <f t="shared" si="11"/>
        <v>0</v>
      </c>
      <c r="GX22" s="103">
        <f t="shared" si="11"/>
        <v>0</v>
      </c>
      <c r="GY22" s="103">
        <f t="shared" si="11"/>
        <v>0.37659747197373139</v>
      </c>
      <c r="GZ22" s="103">
        <f t="shared" si="11"/>
        <v>0.1174356794833275</v>
      </c>
      <c r="HA22" s="103">
        <f t="shared" si="11"/>
        <v>0</v>
      </c>
    </row>
    <row r="23" spans="1:209" x14ac:dyDescent="0.25">
      <c r="A23" s="96">
        <v>41122</v>
      </c>
      <c r="C23" s="105"/>
      <c r="D23" s="104">
        <v>0</v>
      </c>
      <c r="E23" s="104">
        <f>('Renewable Diesel'!B32*E$3*'Feedstock Conversion Rates'!$B$2)/12</f>
        <v>20.853333333333332</v>
      </c>
      <c r="F23" s="104">
        <f>('Renewable Diesel'!B32*'RD Feedstock Breakdown'!F$3*'Feedstock Conversion Rates'!B$8)/12</f>
        <v>12.5</v>
      </c>
      <c r="G23" s="104">
        <f>('Renewable Diesel'!B32*'RD Feedstock Breakdown'!G$3*'Feedstock Conversion Rates'!B$7)/12</f>
        <v>40.847999999999999</v>
      </c>
      <c r="H23" s="104">
        <f>('Renewable Diesel'!B32*'RD Feedstock Breakdown'!H$3*'Feedstock Conversion Rates'!B$3)/12</f>
        <v>40.904400000000003</v>
      </c>
      <c r="I23" s="106">
        <f t="shared" ref="I23:I86" si="20">SUM(B23:H23)</f>
        <v>115.10573333333335</v>
      </c>
      <c r="J23" s="106"/>
      <c r="K23" s="107"/>
      <c r="L23" s="106"/>
      <c r="T23" s="108"/>
      <c r="AC23" s="108"/>
      <c r="AG23" s="108"/>
      <c r="AT23" s="108"/>
      <c r="BX23" s="108"/>
      <c r="CI23" s="108"/>
      <c r="DD23" s="108"/>
      <c r="DJ23" s="108"/>
      <c r="DP23" s="104">
        <f t="shared" si="1"/>
        <v>20.853333333333332</v>
      </c>
      <c r="DQ23" s="104">
        <f t="shared" si="2"/>
        <v>40.904400000000003</v>
      </c>
      <c r="DR23" s="104">
        <f t="shared" si="13"/>
        <v>0</v>
      </c>
      <c r="DS23" s="108"/>
      <c r="DT23" s="104">
        <f t="shared" si="3"/>
        <v>0</v>
      </c>
      <c r="DU23" s="104">
        <f t="shared" si="4"/>
        <v>40.847999999999999</v>
      </c>
      <c r="DV23" s="104">
        <f t="shared" si="5"/>
        <v>12.5</v>
      </c>
      <c r="DW23" s="104">
        <f t="shared" si="6"/>
        <v>0</v>
      </c>
      <c r="DX23" s="106">
        <f t="shared" si="7"/>
        <v>115.10573333333333</v>
      </c>
      <c r="DY23" s="109">
        <f t="shared" si="8"/>
        <v>1.4210854715202004E-14</v>
      </c>
      <c r="EA23" s="110">
        <f t="shared" si="9"/>
        <v>0.18116676493380576</v>
      </c>
      <c r="EB23" s="110">
        <f t="shared" si="9"/>
        <v>0.35536370618086793</v>
      </c>
      <c r="EC23" s="110">
        <f t="shared" si="9"/>
        <v>0</v>
      </c>
      <c r="ED23" s="108"/>
      <c r="EE23" s="110">
        <f t="shared" si="9"/>
        <v>0</v>
      </c>
      <c r="EF23" s="110">
        <f t="shared" si="9"/>
        <v>0.35487372189974897</v>
      </c>
      <c r="EG23" s="110">
        <f t="shared" si="9"/>
        <v>0.10859580698557732</v>
      </c>
      <c r="EH23" s="111">
        <f t="shared" si="14"/>
        <v>0</v>
      </c>
      <c r="EI23" s="110">
        <f t="shared" si="15"/>
        <v>1</v>
      </c>
      <c r="EK23" s="112">
        <f>EA23*'Renewable Diesel'!BF32*'Feedstock Conversion Rates'!B$2</f>
        <v>6.5408812051064924</v>
      </c>
      <c r="EL23" s="112">
        <f>EB23*'Renewable Diesel'!BF32*'Feedstock Conversion Rates'!B$3</f>
        <v>12.090503672000109</v>
      </c>
      <c r="EM23" s="112">
        <f>EC23*'Renewable Diesel'!BF32*'Feedstock Conversion Rates'!B$4</f>
        <v>0</v>
      </c>
      <c r="EN23" s="108"/>
      <c r="EO23" s="112">
        <f>EE23*'Renewable Diesel'!BF32*'Feedstock Conversion Rates'!B$6</f>
        <v>0</v>
      </c>
      <c r="EP23" s="112">
        <f>EF23*'Renewable Diesel'!BF32*'Feedstock Conversion Rates'!B$7</f>
        <v>13.867573467103288</v>
      </c>
      <c r="EQ23" s="112">
        <f>EG23*'Renewable Diesel'!BF32*'Feedstock Conversion Rates'!B$8</f>
        <v>4.3243729288969677</v>
      </c>
      <c r="ER23" s="112">
        <f>EH23*'Renewable Diesel'!BF32*'Feedstock Conversion Rates'!B$9</f>
        <v>0</v>
      </c>
      <c r="ES23" s="112">
        <f t="shared" si="16"/>
        <v>36.823331273106859</v>
      </c>
      <c r="EW23" s="73">
        <f t="shared" si="17"/>
        <v>0</v>
      </c>
      <c r="EX23" s="73">
        <f t="shared" si="18"/>
        <v>36.823331273106859</v>
      </c>
      <c r="EY23" s="92">
        <f t="shared" si="10"/>
        <v>0</v>
      </c>
      <c r="EZ23" s="92">
        <f t="shared" si="10"/>
        <v>1</v>
      </c>
      <c r="FE23" s="108"/>
      <c r="GD23" s="91">
        <f>'Renewable Diesel'!BB32*0</f>
        <v>0</v>
      </c>
      <c r="GE23" s="91">
        <f>'Renewable Diesel'!BC32</f>
        <v>0</v>
      </c>
      <c r="GF23" s="91">
        <f>'Renewable Diesel'!BD32</f>
        <v>0</v>
      </c>
      <c r="GG23" s="91">
        <f t="shared" si="0"/>
        <v>0</v>
      </c>
      <c r="GH23" s="92">
        <v>0.5</v>
      </c>
      <c r="GI23" s="102">
        <f>$GG23*EA23*'Feedstock Conversion Rates'!$B$2</f>
        <v>0</v>
      </c>
      <c r="GJ23" s="102">
        <f>$GG23*EB23*'Feedstock Conversion Rates'!$B$3</f>
        <v>0</v>
      </c>
      <c r="GK23" s="102">
        <f>$GG23*EC23*'Feedstock Conversion Rates'!$B$4</f>
        <v>0</v>
      </c>
      <c r="GL23" s="102">
        <f>$GG23*ED23*'Feedstock Conversion Rates'!$B$5</f>
        <v>0</v>
      </c>
      <c r="GM23" s="102">
        <f>$GG23*EE23*'Feedstock Conversion Rates'!$B$5</f>
        <v>0</v>
      </c>
      <c r="GN23" s="102">
        <f>$GG23*EF23*'Feedstock Conversion Rates'!$B$7</f>
        <v>0</v>
      </c>
      <c r="GO23" s="102">
        <f>$GG23*EG23*'Feedstock Conversion Rates'!$B$7</f>
        <v>0</v>
      </c>
      <c r="GP23" s="102">
        <f>$GG23*EH23*'Feedstock Conversion Rates'!B20</f>
        <v>0</v>
      </c>
      <c r="GQ23" s="102">
        <f t="shared" si="19"/>
        <v>0</v>
      </c>
      <c r="GT23" s="103">
        <f t="shared" si="11"/>
        <v>0.17762872013384315</v>
      </c>
      <c r="GU23" s="103">
        <f t="shared" si="11"/>
        <v>0.32833812840909787</v>
      </c>
      <c r="GV23" s="103">
        <f t="shared" si="11"/>
        <v>0</v>
      </c>
      <c r="GW23" s="103">
        <f t="shared" si="11"/>
        <v>0</v>
      </c>
      <c r="GX23" s="103">
        <f t="shared" si="11"/>
        <v>0</v>
      </c>
      <c r="GY23" s="103">
        <f t="shared" si="11"/>
        <v>0.37659747197373139</v>
      </c>
      <c r="GZ23" s="103">
        <f t="shared" si="11"/>
        <v>0.11743567948332752</v>
      </c>
      <c r="HA23" s="103">
        <f t="shared" si="11"/>
        <v>0</v>
      </c>
    </row>
    <row r="24" spans="1:209" x14ac:dyDescent="0.25">
      <c r="A24" s="96">
        <v>41153</v>
      </c>
      <c r="C24" s="105"/>
      <c r="D24" s="104">
        <v>0</v>
      </c>
      <c r="E24" s="104">
        <f>('Renewable Diesel'!B33*E$3*'Feedstock Conversion Rates'!$B$2)/12</f>
        <v>20.853333333333332</v>
      </c>
      <c r="F24" s="104">
        <f>('Renewable Diesel'!B33*'RD Feedstock Breakdown'!F$3*'Feedstock Conversion Rates'!B$8)/12</f>
        <v>12.5</v>
      </c>
      <c r="G24" s="104">
        <f>('Renewable Diesel'!B33*'RD Feedstock Breakdown'!G$3*'Feedstock Conversion Rates'!B$7)/12</f>
        <v>40.847999999999999</v>
      </c>
      <c r="H24" s="104">
        <f>('Renewable Diesel'!B33*'RD Feedstock Breakdown'!H$3*'Feedstock Conversion Rates'!B$3)/12</f>
        <v>40.904400000000003</v>
      </c>
      <c r="I24" s="106">
        <f t="shared" si="20"/>
        <v>115.10573333333335</v>
      </c>
      <c r="J24" s="106"/>
      <c r="K24" s="107"/>
      <c r="L24" s="106"/>
      <c r="T24" s="108"/>
      <c r="AC24" s="108"/>
      <c r="AG24" s="108"/>
      <c r="AT24" s="108"/>
      <c r="BX24" s="108"/>
      <c r="CI24" s="108"/>
      <c r="DD24" s="108"/>
      <c r="DJ24" s="108"/>
      <c r="DP24" s="104">
        <f t="shared" si="1"/>
        <v>20.853333333333332</v>
      </c>
      <c r="DQ24" s="104">
        <f t="shared" si="2"/>
        <v>40.904400000000003</v>
      </c>
      <c r="DR24" s="104">
        <f t="shared" si="13"/>
        <v>0</v>
      </c>
      <c r="DS24" s="108"/>
      <c r="DT24" s="104">
        <f t="shared" si="3"/>
        <v>0</v>
      </c>
      <c r="DU24" s="104">
        <f t="shared" si="4"/>
        <v>40.847999999999999</v>
      </c>
      <c r="DV24" s="104">
        <f t="shared" si="5"/>
        <v>12.5</v>
      </c>
      <c r="DW24" s="104">
        <f t="shared" si="6"/>
        <v>0</v>
      </c>
      <c r="DX24" s="106">
        <f t="shared" si="7"/>
        <v>115.10573333333333</v>
      </c>
      <c r="DY24" s="109">
        <f t="shared" si="8"/>
        <v>1.4210854715202004E-14</v>
      </c>
      <c r="EA24" s="110">
        <f t="shared" si="9"/>
        <v>0.18116676493380576</v>
      </c>
      <c r="EB24" s="110">
        <f t="shared" si="9"/>
        <v>0.35536370618086793</v>
      </c>
      <c r="EC24" s="110">
        <f t="shared" si="9"/>
        <v>0</v>
      </c>
      <c r="ED24" s="108"/>
      <c r="EE24" s="110">
        <f t="shared" si="9"/>
        <v>0</v>
      </c>
      <c r="EF24" s="110">
        <f t="shared" si="9"/>
        <v>0.35487372189974897</v>
      </c>
      <c r="EG24" s="110">
        <f t="shared" si="9"/>
        <v>0.10859580698557732</v>
      </c>
      <c r="EH24" s="111">
        <f t="shared" si="14"/>
        <v>0</v>
      </c>
      <c r="EI24" s="110">
        <f t="shared" si="15"/>
        <v>1</v>
      </c>
      <c r="EK24" s="112">
        <f>EA24*'Renewable Diesel'!BF33*'Feedstock Conversion Rates'!B$2</f>
        <v>4.1559170348885024</v>
      </c>
      <c r="EL24" s="112">
        <f>EB24*'Renewable Diesel'!BF33*'Feedstock Conversion Rates'!B$3</f>
        <v>7.6820123459235283</v>
      </c>
      <c r="EM24" s="112">
        <f>EC24*'Renewable Diesel'!BF33*'Feedstock Conversion Rates'!B$4</f>
        <v>0</v>
      </c>
      <c r="EN24" s="108"/>
      <c r="EO24" s="112">
        <f>EE24*'Renewable Diesel'!BF33*'Feedstock Conversion Rates'!B$6</f>
        <v>0</v>
      </c>
      <c r="EP24" s="112">
        <f>EF24*'Renewable Diesel'!BF33*'Feedstock Conversion Rates'!B$7</f>
        <v>8.8111193273940582</v>
      </c>
      <c r="EQ24" s="112">
        <f>EG24*'Renewable Diesel'!BF33*'Feedstock Conversion Rates'!B$8</f>
        <v>2.7476015168083139</v>
      </c>
      <c r="ER24" s="112">
        <f>EH24*'Renewable Diesel'!BF33*'Feedstock Conversion Rates'!B$9</f>
        <v>0</v>
      </c>
      <c r="ES24" s="112">
        <f t="shared" si="16"/>
        <v>23.396650225014401</v>
      </c>
      <c r="EW24" s="73">
        <f t="shared" si="17"/>
        <v>0</v>
      </c>
      <c r="EX24" s="73">
        <f t="shared" si="18"/>
        <v>23.396650225014405</v>
      </c>
      <c r="EY24" s="92">
        <f t="shared" si="10"/>
        <v>0</v>
      </c>
      <c r="EZ24" s="92">
        <f t="shared" si="10"/>
        <v>1.0000000000000002</v>
      </c>
      <c r="FE24" s="108"/>
      <c r="GD24" s="91">
        <f>'Renewable Diesel'!BB33*0</f>
        <v>0</v>
      </c>
      <c r="GE24" s="91">
        <f>'Renewable Diesel'!BC33</f>
        <v>0</v>
      </c>
      <c r="GF24" s="91">
        <f>'Renewable Diesel'!BD33</f>
        <v>0</v>
      </c>
      <c r="GG24" s="91">
        <f t="shared" si="0"/>
        <v>0</v>
      </c>
      <c r="GH24" s="92">
        <v>0.5</v>
      </c>
      <c r="GI24" s="102">
        <f>$GG24*EA24*'Feedstock Conversion Rates'!$B$2</f>
        <v>0</v>
      </c>
      <c r="GJ24" s="102">
        <f>$GG24*EB24*'Feedstock Conversion Rates'!$B$3</f>
        <v>0</v>
      </c>
      <c r="GK24" s="102">
        <f>$GG24*EC24*'Feedstock Conversion Rates'!$B$4</f>
        <v>0</v>
      </c>
      <c r="GL24" s="102">
        <f>$GG24*ED24*'Feedstock Conversion Rates'!$B$5</f>
        <v>0</v>
      </c>
      <c r="GM24" s="102">
        <f>$GG24*EE24*'Feedstock Conversion Rates'!$B$5</f>
        <v>0</v>
      </c>
      <c r="GN24" s="102">
        <f>$GG24*EF24*'Feedstock Conversion Rates'!$B$7</f>
        <v>0</v>
      </c>
      <c r="GO24" s="102">
        <f>$GG24*EG24*'Feedstock Conversion Rates'!$B$7</f>
        <v>0</v>
      </c>
      <c r="GP24" s="102">
        <f>$GG24*EH24*'Feedstock Conversion Rates'!B21</f>
        <v>0</v>
      </c>
      <c r="GQ24" s="102">
        <f t="shared" si="19"/>
        <v>0</v>
      </c>
      <c r="GT24" s="103">
        <f t="shared" si="11"/>
        <v>0.1776287201338432</v>
      </c>
      <c r="GU24" s="103">
        <f t="shared" si="11"/>
        <v>0.32833812840909793</v>
      </c>
      <c r="GV24" s="103">
        <f t="shared" si="11"/>
        <v>0</v>
      </c>
      <c r="GW24" s="103">
        <f t="shared" si="11"/>
        <v>0</v>
      </c>
      <c r="GX24" s="103">
        <f t="shared" si="11"/>
        <v>0</v>
      </c>
      <c r="GY24" s="103">
        <f t="shared" si="11"/>
        <v>0.37659747197373145</v>
      </c>
      <c r="GZ24" s="103">
        <f t="shared" si="11"/>
        <v>0.11743567948332752</v>
      </c>
      <c r="HA24" s="103">
        <f t="shared" si="11"/>
        <v>0</v>
      </c>
    </row>
    <row r="25" spans="1:209" x14ac:dyDescent="0.25">
      <c r="A25" s="96">
        <v>41183</v>
      </c>
      <c r="C25" s="105"/>
      <c r="D25" s="104">
        <v>0</v>
      </c>
      <c r="E25" s="104">
        <f>('Renewable Diesel'!B34*E$3*'Feedstock Conversion Rates'!$B$2)/12</f>
        <v>20.853333333333332</v>
      </c>
      <c r="F25" s="104">
        <f>('Renewable Diesel'!B34*'RD Feedstock Breakdown'!F$3*'Feedstock Conversion Rates'!B$8)/12</f>
        <v>12.5</v>
      </c>
      <c r="G25" s="104">
        <f>('Renewable Diesel'!B34*'RD Feedstock Breakdown'!G$3*'Feedstock Conversion Rates'!B$7)/12</f>
        <v>40.847999999999999</v>
      </c>
      <c r="H25" s="104">
        <f>('Renewable Diesel'!B34*'RD Feedstock Breakdown'!H$3*'Feedstock Conversion Rates'!B$3)/12</f>
        <v>40.904400000000003</v>
      </c>
      <c r="I25" s="106">
        <f t="shared" si="20"/>
        <v>115.10573333333335</v>
      </c>
      <c r="J25" s="106"/>
      <c r="K25" s="107"/>
      <c r="L25" s="106"/>
      <c r="T25" s="108"/>
      <c r="AC25" s="108"/>
      <c r="AG25" s="108"/>
      <c r="AT25" s="108"/>
      <c r="BX25" s="108"/>
      <c r="CI25" s="108"/>
      <c r="DD25" s="108"/>
      <c r="DJ25" s="108"/>
      <c r="DP25" s="104">
        <f t="shared" si="1"/>
        <v>20.853333333333332</v>
      </c>
      <c r="DQ25" s="104">
        <f t="shared" si="2"/>
        <v>40.904400000000003</v>
      </c>
      <c r="DR25" s="104">
        <f t="shared" si="13"/>
        <v>0</v>
      </c>
      <c r="DS25" s="108"/>
      <c r="DT25" s="104">
        <f t="shared" si="3"/>
        <v>0</v>
      </c>
      <c r="DU25" s="104">
        <f t="shared" si="4"/>
        <v>40.847999999999999</v>
      </c>
      <c r="DV25" s="104">
        <f t="shared" si="5"/>
        <v>12.5</v>
      </c>
      <c r="DW25" s="104">
        <f t="shared" si="6"/>
        <v>0</v>
      </c>
      <c r="DX25" s="106">
        <f t="shared" si="7"/>
        <v>115.10573333333333</v>
      </c>
      <c r="DY25" s="109">
        <f t="shared" si="8"/>
        <v>1.4210854715202004E-14</v>
      </c>
      <c r="EA25" s="110">
        <f t="shared" si="9"/>
        <v>0.18116676493380576</v>
      </c>
      <c r="EB25" s="110">
        <f t="shared" si="9"/>
        <v>0.35536370618086793</v>
      </c>
      <c r="EC25" s="110">
        <f t="shared" si="9"/>
        <v>0</v>
      </c>
      <c r="ED25" s="108"/>
      <c r="EE25" s="110">
        <f t="shared" si="9"/>
        <v>0</v>
      </c>
      <c r="EF25" s="110">
        <f t="shared" si="9"/>
        <v>0.35487372189974897</v>
      </c>
      <c r="EG25" s="110">
        <f t="shared" si="9"/>
        <v>0.10859580698557732</v>
      </c>
      <c r="EH25" s="111">
        <f t="shared" si="14"/>
        <v>0</v>
      </c>
      <c r="EI25" s="110">
        <f t="shared" si="15"/>
        <v>1</v>
      </c>
      <c r="EK25" s="112">
        <f>EA25*'Renewable Diesel'!BF34*'Feedstock Conversion Rates'!B$2</f>
        <v>4.2107719761425146</v>
      </c>
      <c r="EL25" s="112">
        <f>EB25*'Renewable Diesel'!BF34*'Feedstock Conversion Rates'!B$3</f>
        <v>7.7834090611155435</v>
      </c>
      <c r="EM25" s="112">
        <f>EC25*'Renewable Diesel'!BF34*'Feedstock Conversion Rates'!B$4</f>
        <v>0</v>
      </c>
      <c r="EN25" s="108"/>
      <c r="EO25" s="112">
        <f>EE25*'Renewable Diesel'!BF34*'Feedstock Conversion Rates'!B$6</f>
        <v>0</v>
      </c>
      <c r="EP25" s="112">
        <f>EF25*'Renewable Diesel'!BF34*'Feedstock Conversion Rates'!B$7</f>
        <v>8.9274193952319774</v>
      </c>
      <c r="EQ25" s="112">
        <f>EG25*'Renewable Diesel'!BF34*'Feedstock Conversion Rates'!B$8</f>
        <v>2.7838677652749415</v>
      </c>
      <c r="ER25" s="112">
        <f>EH25*'Renewable Diesel'!BF34*'Feedstock Conversion Rates'!B$9</f>
        <v>0</v>
      </c>
      <c r="ES25" s="112">
        <f t="shared" si="16"/>
        <v>23.705468197764979</v>
      </c>
      <c r="EW25" s="73">
        <f t="shared" si="17"/>
        <v>0</v>
      </c>
      <c r="EX25" s="73">
        <f t="shared" si="18"/>
        <v>23.705468197764979</v>
      </c>
      <c r="EY25" s="92">
        <f t="shared" si="10"/>
        <v>0</v>
      </c>
      <c r="EZ25" s="92">
        <f t="shared" si="10"/>
        <v>1</v>
      </c>
      <c r="FE25" s="108"/>
      <c r="GD25" s="91">
        <f>'Renewable Diesel'!BB34*0</f>
        <v>0</v>
      </c>
      <c r="GE25" s="91">
        <f>'Renewable Diesel'!BC34</f>
        <v>0</v>
      </c>
      <c r="GF25" s="91">
        <f>'Renewable Diesel'!BD34</f>
        <v>0</v>
      </c>
      <c r="GG25" s="91">
        <f t="shared" si="0"/>
        <v>0</v>
      </c>
      <c r="GH25" s="92">
        <v>0.5</v>
      </c>
      <c r="GI25" s="102">
        <f>$GG25*EA25*'Feedstock Conversion Rates'!$B$2</f>
        <v>0</v>
      </c>
      <c r="GJ25" s="102">
        <f>$GG25*EB25*'Feedstock Conversion Rates'!$B$3</f>
        <v>0</v>
      </c>
      <c r="GK25" s="102">
        <f>$GG25*EC25*'Feedstock Conversion Rates'!$B$4</f>
        <v>0</v>
      </c>
      <c r="GL25" s="102">
        <f>$GG25*ED25*'Feedstock Conversion Rates'!$B$5</f>
        <v>0</v>
      </c>
      <c r="GM25" s="102">
        <f>$GG25*EE25*'Feedstock Conversion Rates'!$B$5</f>
        <v>0</v>
      </c>
      <c r="GN25" s="102">
        <f>$GG25*EF25*'Feedstock Conversion Rates'!$B$7</f>
        <v>0</v>
      </c>
      <c r="GO25" s="102">
        <f>$GG25*EG25*'Feedstock Conversion Rates'!$B$7</f>
        <v>0</v>
      </c>
      <c r="GP25" s="102">
        <f>$GG25*EH25*'Feedstock Conversion Rates'!B22</f>
        <v>0</v>
      </c>
      <c r="GQ25" s="102">
        <f t="shared" si="19"/>
        <v>0</v>
      </c>
      <c r="GT25" s="103">
        <f t="shared" si="11"/>
        <v>0.17762872013384315</v>
      </c>
      <c r="GU25" s="103">
        <f t="shared" si="11"/>
        <v>0.32833812840909787</v>
      </c>
      <c r="GV25" s="103">
        <f t="shared" si="11"/>
        <v>0</v>
      </c>
      <c r="GW25" s="103">
        <f t="shared" si="11"/>
        <v>0</v>
      </c>
      <c r="GX25" s="103">
        <f t="shared" si="11"/>
        <v>0</v>
      </c>
      <c r="GY25" s="103">
        <f t="shared" si="11"/>
        <v>0.37659747197373139</v>
      </c>
      <c r="GZ25" s="103">
        <f t="shared" si="11"/>
        <v>0.1174356794833275</v>
      </c>
      <c r="HA25" s="103">
        <f t="shared" si="11"/>
        <v>0</v>
      </c>
    </row>
    <row r="26" spans="1:209" x14ac:dyDescent="0.25">
      <c r="A26" s="96">
        <v>41214</v>
      </c>
      <c r="C26" s="105"/>
      <c r="D26" s="104">
        <v>0</v>
      </c>
      <c r="E26" s="104">
        <f>('Renewable Diesel'!B35*E$3*'Feedstock Conversion Rates'!$B$2)/12</f>
        <v>20.853333333333332</v>
      </c>
      <c r="F26" s="104">
        <f>('Renewable Diesel'!B35*'RD Feedstock Breakdown'!F$3*'Feedstock Conversion Rates'!B$8)/12</f>
        <v>12.5</v>
      </c>
      <c r="G26" s="104">
        <f>('Renewable Diesel'!B35*'RD Feedstock Breakdown'!G$3*'Feedstock Conversion Rates'!B$7)/12</f>
        <v>40.847999999999999</v>
      </c>
      <c r="H26" s="104">
        <f>('Renewable Diesel'!B35*'RD Feedstock Breakdown'!H$3*'Feedstock Conversion Rates'!B$3)/12</f>
        <v>40.904400000000003</v>
      </c>
      <c r="I26" s="106">
        <f t="shared" si="20"/>
        <v>115.10573333333335</v>
      </c>
      <c r="J26" s="106"/>
      <c r="K26" s="107"/>
      <c r="L26" s="106"/>
      <c r="T26" s="108"/>
      <c r="AC26" s="108"/>
      <c r="AG26" s="108"/>
      <c r="AT26" s="108"/>
      <c r="BX26" s="108"/>
      <c r="CI26" s="108"/>
      <c r="DD26" s="108"/>
      <c r="DJ26" s="108"/>
      <c r="DP26" s="104">
        <f t="shared" si="1"/>
        <v>20.853333333333332</v>
      </c>
      <c r="DQ26" s="104">
        <f t="shared" si="2"/>
        <v>40.904400000000003</v>
      </c>
      <c r="DR26" s="104">
        <f t="shared" si="13"/>
        <v>0</v>
      </c>
      <c r="DS26" s="108"/>
      <c r="DT26" s="104">
        <f t="shared" si="3"/>
        <v>0</v>
      </c>
      <c r="DU26" s="104">
        <f t="shared" si="4"/>
        <v>40.847999999999999</v>
      </c>
      <c r="DV26" s="104">
        <f t="shared" si="5"/>
        <v>12.5</v>
      </c>
      <c r="DW26" s="104">
        <f t="shared" si="6"/>
        <v>0</v>
      </c>
      <c r="DX26" s="106">
        <f t="shared" si="7"/>
        <v>115.10573333333333</v>
      </c>
      <c r="DY26" s="109">
        <f t="shared" si="8"/>
        <v>1.4210854715202004E-14</v>
      </c>
      <c r="EA26" s="110">
        <f t="shared" si="9"/>
        <v>0.18116676493380576</v>
      </c>
      <c r="EB26" s="110">
        <f t="shared" si="9"/>
        <v>0.35536370618086793</v>
      </c>
      <c r="EC26" s="110">
        <f t="shared" si="9"/>
        <v>0</v>
      </c>
      <c r="ED26" s="108"/>
      <c r="EE26" s="110">
        <f t="shared" si="9"/>
        <v>0</v>
      </c>
      <c r="EF26" s="110">
        <f t="shared" si="9"/>
        <v>0.35487372189974897</v>
      </c>
      <c r="EG26" s="110">
        <f t="shared" si="9"/>
        <v>0.10859580698557732</v>
      </c>
      <c r="EH26" s="111">
        <f t="shared" si="14"/>
        <v>0</v>
      </c>
      <c r="EI26" s="110">
        <f t="shared" si="15"/>
        <v>1</v>
      </c>
      <c r="EK26" s="112">
        <f>EA26*'Renewable Diesel'!BF35*'Feedstock Conversion Rates'!B$2</f>
        <v>5.6601069108634032</v>
      </c>
      <c r="EL26" s="112">
        <f>EB26*'Renewable Diesel'!BF35*'Feedstock Conversion Rates'!B$3</f>
        <v>10.462434837721991</v>
      </c>
      <c r="EM26" s="112">
        <f>EC26*'Renewable Diesel'!BF35*'Feedstock Conversion Rates'!B$4</f>
        <v>0</v>
      </c>
      <c r="EN26" s="108"/>
      <c r="EO26" s="112">
        <f>EE26*'Renewable Diesel'!BF35*'Feedstock Conversion Rates'!B$6</f>
        <v>0</v>
      </c>
      <c r="EP26" s="112">
        <f>EF26*'Renewable Diesel'!BF35*'Feedstock Conversion Rates'!B$7</f>
        <v>12.000210056831225</v>
      </c>
      <c r="EQ26" s="112">
        <f>EG26*'Renewable Diesel'!BF35*'Feedstock Conversion Rates'!B$8</f>
        <v>3.7420666011930486</v>
      </c>
      <c r="ER26" s="112">
        <f>EH26*'Renewable Diesel'!BF35*'Feedstock Conversion Rates'!B$9</f>
        <v>0</v>
      </c>
      <c r="ES26" s="112">
        <f t="shared" si="16"/>
        <v>31.864818406609668</v>
      </c>
      <c r="EW26" s="73">
        <f t="shared" si="17"/>
        <v>0</v>
      </c>
      <c r="EX26" s="73">
        <f t="shared" si="18"/>
        <v>31.864818406609668</v>
      </c>
      <c r="EY26" s="92">
        <f t="shared" si="10"/>
        <v>0</v>
      </c>
      <c r="EZ26" s="92">
        <f t="shared" si="10"/>
        <v>1</v>
      </c>
      <c r="FE26" s="108"/>
      <c r="GD26" s="91">
        <f>'Renewable Diesel'!BB35*0</f>
        <v>0</v>
      </c>
      <c r="GE26" s="91">
        <f>'Renewable Diesel'!BC35</f>
        <v>0</v>
      </c>
      <c r="GF26" s="91">
        <f>'Renewable Diesel'!BD35</f>
        <v>0</v>
      </c>
      <c r="GG26" s="91">
        <f t="shared" si="0"/>
        <v>0</v>
      </c>
      <c r="GH26" s="92">
        <v>0.5</v>
      </c>
      <c r="GI26" s="102">
        <f>$GG26*EA26*'Feedstock Conversion Rates'!$B$2</f>
        <v>0</v>
      </c>
      <c r="GJ26" s="102">
        <f>$GG26*EB26*'Feedstock Conversion Rates'!$B$3</f>
        <v>0</v>
      </c>
      <c r="GK26" s="102">
        <f>$GG26*EC26*'Feedstock Conversion Rates'!$B$4</f>
        <v>0</v>
      </c>
      <c r="GL26" s="102">
        <f>$GG26*ED26*'Feedstock Conversion Rates'!$B$5</f>
        <v>0</v>
      </c>
      <c r="GM26" s="102">
        <f>$GG26*EE26*'Feedstock Conversion Rates'!$B$5</f>
        <v>0</v>
      </c>
      <c r="GN26" s="102">
        <f>$GG26*EF26*'Feedstock Conversion Rates'!$B$7</f>
        <v>0</v>
      </c>
      <c r="GO26" s="102">
        <f>$GG26*EG26*'Feedstock Conversion Rates'!$B$7</f>
        <v>0</v>
      </c>
      <c r="GP26" s="102">
        <f>$GG26*EH26*'Feedstock Conversion Rates'!B23</f>
        <v>0</v>
      </c>
      <c r="GQ26" s="102">
        <f t="shared" si="19"/>
        <v>0</v>
      </c>
      <c r="GT26" s="103">
        <f t="shared" si="11"/>
        <v>0.17762872013384318</v>
      </c>
      <c r="GU26" s="103">
        <f t="shared" si="11"/>
        <v>0.32833812840909787</v>
      </c>
      <c r="GV26" s="103">
        <f t="shared" si="11"/>
        <v>0</v>
      </c>
      <c r="GW26" s="103">
        <f t="shared" si="11"/>
        <v>0</v>
      </c>
      <c r="GX26" s="103">
        <f t="shared" si="11"/>
        <v>0</v>
      </c>
      <c r="GY26" s="103">
        <f t="shared" si="11"/>
        <v>0.37659747197373139</v>
      </c>
      <c r="GZ26" s="103">
        <f t="shared" si="11"/>
        <v>0.11743567948332753</v>
      </c>
      <c r="HA26" s="103">
        <f t="shared" si="11"/>
        <v>0</v>
      </c>
    </row>
    <row r="27" spans="1:209" x14ac:dyDescent="0.25">
      <c r="A27" s="96">
        <v>41244</v>
      </c>
      <c r="C27" s="105"/>
      <c r="D27" s="104">
        <v>0</v>
      </c>
      <c r="E27" s="104">
        <f>('Renewable Diesel'!B36*E$3*'Feedstock Conversion Rates'!$B$2)/12</f>
        <v>20.853333333333332</v>
      </c>
      <c r="F27" s="104">
        <f>('Renewable Diesel'!B36*'RD Feedstock Breakdown'!F$3*'Feedstock Conversion Rates'!B$8)/12</f>
        <v>12.5</v>
      </c>
      <c r="G27" s="104">
        <f>('Renewable Diesel'!B36*'RD Feedstock Breakdown'!G$3*'Feedstock Conversion Rates'!B$7)/12</f>
        <v>40.847999999999999</v>
      </c>
      <c r="H27" s="104">
        <f>('Renewable Diesel'!B36*'RD Feedstock Breakdown'!H$3*'Feedstock Conversion Rates'!B$3)/12</f>
        <v>40.904400000000003</v>
      </c>
      <c r="I27" s="106">
        <f t="shared" si="20"/>
        <v>115.10573333333335</v>
      </c>
      <c r="J27" s="106"/>
      <c r="K27" s="107"/>
      <c r="L27" s="106"/>
      <c r="T27" s="108"/>
      <c r="AC27" s="108"/>
      <c r="AG27" s="108"/>
      <c r="AT27" s="108"/>
      <c r="BX27" s="108"/>
      <c r="CI27" s="108"/>
      <c r="DD27" s="108"/>
      <c r="DJ27" s="108"/>
      <c r="DP27" s="104">
        <f t="shared" si="1"/>
        <v>20.853333333333332</v>
      </c>
      <c r="DQ27" s="104">
        <f t="shared" si="2"/>
        <v>40.904400000000003</v>
      </c>
      <c r="DR27" s="104">
        <f t="shared" si="13"/>
        <v>0</v>
      </c>
      <c r="DS27" s="108"/>
      <c r="DT27" s="104">
        <f t="shared" si="3"/>
        <v>0</v>
      </c>
      <c r="DU27" s="104">
        <f t="shared" si="4"/>
        <v>40.847999999999999</v>
      </c>
      <c r="DV27" s="104">
        <f t="shared" si="5"/>
        <v>12.5</v>
      </c>
      <c r="DW27" s="104">
        <f t="shared" si="6"/>
        <v>0</v>
      </c>
      <c r="DX27" s="106">
        <f t="shared" si="7"/>
        <v>115.10573333333333</v>
      </c>
      <c r="DY27" s="109">
        <f t="shared" si="8"/>
        <v>1.4210854715202004E-14</v>
      </c>
      <c r="EA27" s="110">
        <f t="shared" si="9"/>
        <v>0.18116676493380576</v>
      </c>
      <c r="EB27" s="110">
        <f t="shared" si="9"/>
        <v>0.35536370618086793</v>
      </c>
      <c r="EC27" s="110">
        <f t="shared" si="9"/>
        <v>0</v>
      </c>
      <c r="ED27" s="108"/>
      <c r="EE27" s="110">
        <f t="shared" si="9"/>
        <v>0</v>
      </c>
      <c r="EF27" s="110">
        <f t="shared" si="9"/>
        <v>0.35487372189974897</v>
      </c>
      <c r="EG27" s="110">
        <f t="shared" si="9"/>
        <v>0.10859580698557732</v>
      </c>
      <c r="EH27" s="111">
        <f t="shared" si="14"/>
        <v>0</v>
      </c>
      <c r="EI27" s="110">
        <f t="shared" si="15"/>
        <v>1</v>
      </c>
      <c r="EK27" s="112">
        <f>EA27*'Renewable Diesel'!BF36*'Feedstock Conversion Rates'!B$2</f>
        <v>2.4902021323003884</v>
      </c>
      <c r="EL27" s="112">
        <f>EB27*'Renewable Diesel'!BF36*'Feedstock Conversion Rates'!B$3</f>
        <v>4.6030186270765894</v>
      </c>
      <c r="EM27" s="112">
        <f>EC27*'Renewable Diesel'!BF36*'Feedstock Conversion Rates'!B$4</f>
        <v>0</v>
      </c>
      <c r="EN27" s="108"/>
      <c r="EO27" s="112">
        <f>EE27*'Renewable Diesel'!BF36*'Feedstock Conversion Rates'!B$6</f>
        <v>0</v>
      </c>
      <c r="EP27" s="112">
        <f>EF27*'Renewable Diesel'!BF36*'Feedstock Conversion Rates'!B$7</f>
        <v>5.279573185131814</v>
      </c>
      <c r="EQ27" s="112">
        <f>EG27*'Renewable Diesel'!BF36*'Feedstock Conversion Rates'!B$8</f>
        <v>1.6463473881767254</v>
      </c>
      <c r="ER27" s="112">
        <f>EH27*'Renewable Diesel'!BF36*'Feedstock Conversion Rates'!B$9</f>
        <v>0</v>
      </c>
      <c r="ES27" s="112">
        <f t="shared" si="16"/>
        <v>14.019141332685518</v>
      </c>
      <c r="EW27" s="73">
        <f t="shared" si="17"/>
        <v>0</v>
      </c>
      <c r="EX27" s="73">
        <f t="shared" si="18"/>
        <v>14.019141332685518</v>
      </c>
      <c r="EY27" s="92">
        <f t="shared" si="10"/>
        <v>0</v>
      </c>
      <c r="EZ27" s="92">
        <f t="shared" si="10"/>
        <v>1</v>
      </c>
      <c r="FE27" s="108"/>
      <c r="GD27" s="91">
        <f>'Renewable Diesel'!BB36*0</f>
        <v>0</v>
      </c>
      <c r="GE27" s="91">
        <f>'Renewable Diesel'!BC36</f>
        <v>0</v>
      </c>
      <c r="GF27" s="91">
        <f>'Renewable Diesel'!BD36</f>
        <v>0</v>
      </c>
      <c r="GG27" s="91">
        <f t="shared" si="0"/>
        <v>0</v>
      </c>
      <c r="GH27" s="92">
        <v>0.5</v>
      </c>
      <c r="GI27" s="102">
        <f>$GG27*EA27*'Feedstock Conversion Rates'!$B$2</f>
        <v>0</v>
      </c>
      <c r="GJ27" s="102">
        <f>$GG27*EB27*'Feedstock Conversion Rates'!$B$3</f>
        <v>0</v>
      </c>
      <c r="GK27" s="102">
        <f>$GG27*EC27*'Feedstock Conversion Rates'!$B$4</f>
        <v>0</v>
      </c>
      <c r="GL27" s="102">
        <f>$GG27*ED27*'Feedstock Conversion Rates'!$B$5</f>
        <v>0</v>
      </c>
      <c r="GM27" s="102">
        <f>$GG27*EE27*'Feedstock Conversion Rates'!$B$5</f>
        <v>0</v>
      </c>
      <c r="GN27" s="102">
        <f>$GG27*EF27*'Feedstock Conversion Rates'!$B$7</f>
        <v>0</v>
      </c>
      <c r="GO27" s="102">
        <f>$GG27*EG27*'Feedstock Conversion Rates'!$B$7</f>
        <v>0</v>
      </c>
      <c r="GP27" s="102">
        <f>$GG27*EH27*'Feedstock Conversion Rates'!B24</f>
        <v>0</v>
      </c>
      <c r="GQ27" s="102">
        <f t="shared" si="19"/>
        <v>0</v>
      </c>
      <c r="GT27" s="103">
        <f t="shared" si="11"/>
        <v>0.17762872013384312</v>
      </c>
      <c r="GU27" s="103">
        <f t="shared" si="11"/>
        <v>0.32833812840909787</v>
      </c>
      <c r="GV27" s="103">
        <f t="shared" si="11"/>
        <v>0</v>
      </c>
      <c r="GW27" s="103">
        <f t="shared" si="11"/>
        <v>0</v>
      </c>
      <c r="GX27" s="103">
        <f t="shared" si="11"/>
        <v>0</v>
      </c>
      <c r="GY27" s="103">
        <f t="shared" si="11"/>
        <v>0.37659747197373139</v>
      </c>
      <c r="GZ27" s="103">
        <f t="shared" si="11"/>
        <v>0.11743567948332752</v>
      </c>
      <c r="HA27" s="103">
        <f t="shared" si="11"/>
        <v>0</v>
      </c>
    </row>
    <row r="28" spans="1:209" x14ac:dyDescent="0.25">
      <c r="A28" s="96">
        <v>41275</v>
      </c>
      <c r="C28" s="105"/>
      <c r="D28" s="104">
        <v>0</v>
      </c>
      <c r="E28" s="104">
        <f>('Renewable Diesel'!B37*E$3*'Feedstock Conversion Rates'!$B$2)/12</f>
        <v>20.853333333333332</v>
      </c>
      <c r="F28" s="104">
        <f>('Renewable Diesel'!B37*'RD Feedstock Breakdown'!F$3*'Feedstock Conversion Rates'!B$8)/12</f>
        <v>12.5</v>
      </c>
      <c r="G28" s="104">
        <f>('Renewable Diesel'!B37*'RD Feedstock Breakdown'!G$3*'Feedstock Conversion Rates'!B$7)/12</f>
        <v>40.847999999999999</v>
      </c>
      <c r="H28" s="104">
        <f>('Renewable Diesel'!B37*'RD Feedstock Breakdown'!H$3*'Feedstock Conversion Rates'!B$3)/12</f>
        <v>40.904400000000003</v>
      </c>
      <c r="I28" s="106">
        <f t="shared" si="20"/>
        <v>115.10573333333335</v>
      </c>
      <c r="J28" s="106"/>
      <c r="K28" s="107"/>
      <c r="L28" s="106"/>
      <c r="T28" s="108"/>
      <c r="AC28" s="108"/>
      <c r="AG28" s="108"/>
      <c r="AT28" s="108"/>
      <c r="BX28" s="108"/>
      <c r="CI28" s="108"/>
      <c r="DD28" s="108"/>
      <c r="DJ28" s="108"/>
      <c r="DP28" s="104">
        <f t="shared" si="1"/>
        <v>20.853333333333332</v>
      </c>
      <c r="DQ28" s="104">
        <f t="shared" si="2"/>
        <v>40.904400000000003</v>
      </c>
      <c r="DR28" s="104">
        <f t="shared" si="13"/>
        <v>0</v>
      </c>
      <c r="DS28" s="108"/>
      <c r="DT28" s="104">
        <f t="shared" si="3"/>
        <v>0</v>
      </c>
      <c r="DU28" s="104">
        <f t="shared" si="4"/>
        <v>40.847999999999999</v>
      </c>
      <c r="DV28" s="104">
        <f t="shared" si="5"/>
        <v>12.5</v>
      </c>
      <c r="DW28" s="104">
        <f t="shared" si="6"/>
        <v>0</v>
      </c>
      <c r="DX28" s="106">
        <f t="shared" si="7"/>
        <v>115.10573333333333</v>
      </c>
      <c r="DY28" s="109">
        <f t="shared" si="8"/>
        <v>1.4210854715202004E-14</v>
      </c>
      <c r="EA28" s="110">
        <f t="shared" ref="EA28:EC91" si="21">DP28/$DX28</f>
        <v>0.18116676493380576</v>
      </c>
      <c r="EB28" s="110">
        <f t="shared" si="21"/>
        <v>0.35536370618086793</v>
      </c>
      <c r="EC28" s="110">
        <f t="shared" si="21"/>
        <v>0</v>
      </c>
      <c r="ED28" s="108"/>
      <c r="EE28" s="110">
        <f t="shared" ref="EE28:EG91" si="22">DT28/$DX28</f>
        <v>0</v>
      </c>
      <c r="EF28" s="110">
        <f t="shared" si="22"/>
        <v>0.35487372189974897</v>
      </c>
      <c r="EG28" s="110">
        <f t="shared" si="22"/>
        <v>0.10859580698557732</v>
      </c>
      <c r="EH28" s="111">
        <f t="shared" si="14"/>
        <v>0</v>
      </c>
      <c r="EI28" s="110">
        <f t="shared" si="15"/>
        <v>1</v>
      </c>
      <c r="EK28" s="112">
        <f>EA28*'Renewable Diesel'!BF37*'Feedstock Conversion Rates'!B$2</f>
        <v>1.3473893162576318</v>
      </c>
      <c r="EL28" s="112">
        <f>EB28*'Renewable Diesel'!BF37*'Feedstock Conversion Rates'!B$3</f>
        <v>2.490584214112995</v>
      </c>
      <c r="EM28" s="112">
        <f>EC28*'Renewable Diesel'!BF37*'Feedstock Conversion Rates'!B$4</f>
        <v>0</v>
      </c>
      <c r="EN28" s="108"/>
      <c r="EO28" s="112">
        <f>EE28*'Renewable Diesel'!BF37*'Feedstock Conversion Rates'!B$6</f>
        <v>0</v>
      </c>
      <c r="EP28" s="112">
        <f>EF28*'Renewable Diesel'!BF37*'Feedstock Conversion Rates'!B$7</f>
        <v>2.8566518403369416</v>
      </c>
      <c r="EQ28" s="112">
        <f>EG28*'Renewable Diesel'!BF37*'Feedstock Conversion Rates'!B$8</f>
        <v>0.89079952703630161</v>
      </c>
      <c r="ER28" s="112">
        <f>EH28*'Renewable Diesel'!BF37*'Feedstock Conversion Rates'!B$9</f>
        <v>0</v>
      </c>
      <c r="ES28" s="112">
        <f t="shared" si="16"/>
        <v>7.5854248977438701</v>
      </c>
      <c r="EW28" s="73">
        <f t="shared" si="17"/>
        <v>0</v>
      </c>
      <c r="EX28" s="73">
        <f t="shared" si="18"/>
        <v>7.5854248977438701</v>
      </c>
      <c r="EY28" s="92">
        <f t="shared" si="10"/>
        <v>0</v>
      </c>
      <c r="EZ28" s="92">
        <f t="shared" si="10"/>
        <v>1</v>
      </c>
      <c r="FE28" s="108"/>
      <c r="GD28" s="91">
        <f>'Renewable Diesel'!BB37*0</f>
        <v>0</v>
      </c>
      <c r="GE28" s="91">
        <f>'Renewable Diesel'!BC37</f>
        <v>0</v>
      </c>
      <c r="GF28" s="91">
        <f>'Renewable Diesel'!BD37</f>
        <v>0</v>
      </c>
      <c r="GG28" s="91">
        <f t="shared" si="0"/>
        <v>0</v>
      </c>
      <c r="GH28" s="92">
        <v>0.5</v>
      </c>
      <c r="GI28" s="102">
        <f>$GG28*EA28*'Feedstock Conversion Rates'!$B$2</f>
        <v>0</v>
      </c>
      <c r="GJ28" s="102">
        <f>$GG28*EB28*'Feedstock Conversion Rates'!$B$3</f>
        <v>0</v>
      </c>
      <c r="GK28" s="102">
        <f>$GG28*EC28*'Feedstock Conversion Rates'!$B$4</f>
        <v>0</v>
      </c>
      <c r="GL28" s="102">
        <f>$GG28*ED28*'Feedstock Conversion Rates'!$B$5</f>
        <v>0</v>
      </c>
      <c r="GM28" s="102">
        <f>$GG28*EE28*'Feedstock Conversion Rates'!$B$5</f>
        <v>0</v>
      </c>
      <c r="GN28" s="102">
        <f>$GG28*EF28*'Feedstock Conversion Rates'!$B$7</f>
        <v>0</v>
      </c>
      <c r="GO28" s="102">
        <f>$GG28*EG28*'Feedstock Conversion Rates'!$B$7</f>
        <v>0</v>
      </c>
      <c r="GP28" s="102">
        <f>$GG28*EH28*'Feedstock Conversion Rates'!B25</f>
        <v>0</v>
      </c>
      <c r="GQ28" s="102">
        <f t="shared" si="19"/>
        <v>0</v>
      </c>
      <c r="GT28" s="103">
        <f t="shared" si="11"/>
        <v>0.17762872013384318</v>
      </c>
      <c r="GU28" s="103">
        <f t="shared" si="11"/>
        <v>0.32833812840909787</v>
      </c>
      <c r="GV28" s="103">
        <f t="shared" si="11"/>
        <v>0</v>
      </c>
      <c r="GW28" s="103">
        <f t="shared" si="11"/>
        <v>0</v>
      </c>
      <c r="GX28" s="103">
        <f t="shared" si="11"/>
        <v>0</v>
      </c>
      <c r="GY28" s="103">
        <f t="shared" si="11"/>
        <v>0.37659747197373145</v>
      </c>
      <c r="GZ28" s="103">
        <f t="shared" si="11"/>
        <v>0.11743567948332753</v>
      </c>
      <c r="HA28" s="103">
        <f t="shared" si="11"/>
        <v>0</v>
      </c>
    </row>
    <row r="29" spans="1:209" x14ac:dyDescent="0.25">
      <c r="A29" s="96">
        <v>41306</v>
      </c>
      <c r="C29" s="105"/>
      <c r="D29" s="104">
        <v>0</v>
      </c>
      <c r="E29" s="104">
        <f>('Renewable Diesel'!B38*E$3*'Feedstock Conversion Rates'!$B$2)/12</f>
        <v>20.853333333333332</v>
      </c>
      <c r="F29" s="104">
        <f>('Renewable Diesel'!B38*'RD Feedstock Breakdown'!F$3*'Feedstock Conversion Rates'!B$8)/12</f>
        <v>12.5</v>
      </c>
      <c r="G29" s="104">
        <f>('Renewable Diesel'!B38*'RD Feedstock Breakdown'!G$3*'Feedstock Conversion Rates'!B$7)/12</f>
        <v>40.847999999999999</v>
      </c>
      <c r="H29" s="104">
        <f>('Renewable Diesel'!B38*'RD Feedstock Breakdown'!H$3*'Feedstock Conversion Rates'!B$3)/12</f>
        <v>40.904400000000003</v>
      </c>
      <c r="I29" s="106">
        <f t="shared" si="20"/>
        <v>115.10573333333335</v>
      </c>
      <c r="J29" s="106"/>
      <c r="K29" s="107"/>
      <c r="L29" s="106"/>
      <c r="T29" s="108"/>
      <c r="AC29" s="108"/>
      <c r="AG29" s="108"/>
      <c r="AT29" s="108"/>
      <c r="BX29" s="108"/>
      <c r="CI29" s="108"/>
      <c r="DD29" s="108"/>
      <c r="DJ29" s="108"/>
      <c r="DP29" s="104">
        <f t="shared" si="1"/>
        <v>20.853333333333332</v>
      </c>
      <c r="DQ29" s="104">
        <f t="shared" si="2"/>
        <v>40.904400000000003</v>
      </c>
      <c r="DR29" s="104">
        <f t="shared" si="13"/>
        <v>0</v>
      </c>
      <c r="DS29" s="108"/>
      <c r="DT29" s="104">
        <f t="shared" si="3"/>
        <v>0</v>
      </c>
      <c r="DU29" s="104">
        <f t="shared" si="4"/>
        <v>40.847999999999999</v>
      </c>
      <c r="DV29" s="104">
        <f t="shared" si="5"/>
        <v>12.5</v>
      </c>
      <c r="DW29" s="104">
        <f t="shared" si="6"/>
        <v>0</v>
      </c>
      <c r="DX29" s="106">
        <f t="shared" si="7"/>
        <v>115.10573333333333</v>
      </c>
      <c r="DY29" s="109">
        <f t="shared" si="8"/>
        <v>1.4210854715202004E-14</v>
      </c>
      <c r="EA29" s="110">
        <f t="shared" si="21"/>
        <v>0.18116676493380576</v>
      </c>
      <c r="EB29" s="110">
        <f t="shared" si="21"/>
        <v>0.35536370618086793</v>
      </c>
      <c r="EC29" s="110">
        <f t="shared" si="21"/>
        <v>0</v>
      </c>
      <c r="ED29" s="108"/>
      <c r="EE29" s="110">
        <f t="shared" si="22"/>
        <v>0</v>
      </c>
      <c r="EF29" s="110">
        <f t="shared" si="22"/>
        <v>0.35487372189974897</v>
      </c>
      <c r="EG29" s="110">
        <f t="shared" si="22"/>
        <v>0.10859580698557732</v>
      </c>
      <c r="EH29" s="111">
        <f t="shared" si="14"/>
        <v>0</v>
      </c>
      <c r="EI29" s="110">
        <f t="shared" si="15"/>
        <v>1</v>
      </c>
      <c r="EK29" s="112">
        <f>EA29*'Renewable Diesel'!BF38*'Feedstock Conversion Rates'!B$2</f>
        <v>1.0926792618496848</v>
      </c>
      <c r="EL29" s="112">
        <f>EB29*'Renewable Diesel'!BF38*'Feedstock Conversion Rates'!B$3</f>
        <v>2.0197649542080152</v>
      </c>
      <c r="EM29" s="112">
        <f>EC29*'Renewable Diesel'!BF38*'Feedstock Conversion Rates'!B$4</f>
        <v>0</v>
      </c>
      <c r="EN29" s="108"/>
      <c r="EO29" s="112">
        <f>EE29*'Renewable Diesel'!BF38*'Feedstock Conversion Rates'!B$6</f>
        <v>0</v>
      </c>
      <c r="EP29" s="112">
        <f>EF29*'Renewable Diesel'!BF38*'Feedstock Conversion Rates'!B$7</f>
        <v>2.316631271005325</v>
      </c>
      <c r="EQ29" s="112">
        <f>EG29*'Renewable Diesel'!BF38*'Feedstock Conversion Rates'!B$8</f>
        <v>0.72240306340083849</v>
      </c>
      <c r="ER29" s="112">
        <f>EH29*'Renewable Diesel'!BF38*'Feedstock Conversion Rates'!B$9</f>
        <v>0</v>
      </c>
      <c r="ES29" s="112">
        <f t="shared" si="16"/>
        <v>6.1514785504638629</v>
      </c>
      <c r="EW29" s="73">
        <f t="shared" si="17"/>
        <v>0</v>
      </c>
      <c r="EX29" s="73">
        <f t="shared" si="18"/>
        <v>6.1514785504638629</v>
      </c>
      <c r="EY29" s="92">
        <f t="shared" si="10"/>
        <v>0</v>
      </c>
      <c r="EZ29" s="92">
        <f t="shared" si="10"/>
        <v>1</v>
      </c>
      <c r="FE29" s="108"/>
      <c r="GD29" s="91">
        <f>'Renewable Diesel'!BB38*0</f>
        <v>0</v>
      </c>
      <c r="GE29" s="91">
        <f>'Renewable Diesel'!BC38</f>
        <v>0</v>
      </c>
      <c r="GF29" s="91">
        <f>'Renewable Diesel'!BD38</f>
        <v>0</v>
      </c>
      <c r="GG29" s="91">
        <f t="shared" si="0"/>
        <v>0</v>
      </c>
      <c r="GH29" s="92">
        <v>0.5</v>
      </c>
      <c r="GI29" s="102">
        <f>$GG29*EA29*'Feedstock Conversion Rates'!$B$2</f>
        <v>0</v>
      </c>
      <c r="GJ29" s="102">
        <f>$GG29*EB29*'Feedstock Conversion Rates'!$B$3</f>
        <v>0</v>
      </c>
      <c r="GK29" s="102">
        <f>$GG29*EC29*'Feedstock Conversion Rates'!$B$4</f>
        <v>0</v>
      </c>
      <c r="GL29" s="102">
        <f>$GG29*ED29*'Feedstock Conversion Rates'!$B$5</f>
        <v>0</v>
      </c>
      <c r="GM29" s="102">
        <f>$GG29*EE29*'Feedstock Conversion Rates'!$B$5</f>
        <v>0</v>
      </c>
      <c r="GN29" s="102">
        <f>$GG29*EF29*'Feedstock Conversion Rates'!$B$7</f>
        <v>0</v>
      </c>
      <c r="GO29" s="102">
        <f>$GG29*EG29*'Feedstock Conversion Rates'!$B$7</f>
        <v>0</v>
      </c>
      <c r="GP29" s="102">
        <f>$GG29*EH29*'Feedstock Conversion Rates'!B26</f>
        <v>0</v>
      </c>
      <c r="GQ29" s="102">
        <f t="shared" si="19"/>
        <v>0</v>
      </c>
      <c r="GT29" s="103">
        <f t="shared" si="11"/>
        <v>0.17762872013384318</v>
      </c>
      <c r="GU29" s="103">
        <f t="shared" si="11"/>
        <v>0.32833812840909787</v>
      </c>
      <c r="GV29" s="103">
        <f t="shared" si="11"/>
        <v>0</v>
      </c>
      <c r="GW29" s="103">
        <f t="shared" si="11"/>
        <v>0</v>
      </c>
      <c r="GX29" s="103">
        <f t="shared" si="11"/>
        <v>0</v>
      </c>
      <c r="GY29" s="103">
        <f t="shared" si="11"/>
        <v>0.3765974719737315</v>
      </c>
      <c r="GZ29" s="103">
        <f t="shared" si="11"/>
        <v>0.11743567948332753</v>
      </c>
      <c r="HA29" s="103">
        <f t="shared" si="11"/>
        <v>0</v>
      </c>
    </row>
    <row r="30" spans="1:209" x14ac:dyDescent="0.25">
      <c r="A30" s="96">
        <v>41334</v>
      </c>
      <c r="C30" s="105"/>
      <c r="D30" s="104">
        <v>0</v>
      </c>
      <c r="E30" s="104">
        <f>('Renewable Diesel'!B39*E$3*'Feedstock Conversion Rates'!$B$2)/12</f>
        <v>20.853333333333332</v>
      </c>
      <c r="F30" s="104">
        <f>('Renewable Diesel'!B39*'RD Feedstock Breakdown'!F$3*'Feedstock Conversion Rates'!B$8)/12</f>
        <v>12.5</v>
      </c>
      <c r="G30" s="104">
        <f>('Renewable Diesel'!B39*'RD Feedstock Breakdown'!G$3*'Feedstock Conversion Rates'!B$7)/12</f>
        <v>40.847999999999999</v>
      </c>
      <c r="H30" s="104">
        <f>('Renewable Diesel'!B39*'RD Feedstock Breakdown'!H$3*'Feedstock Conversion Rates'!B$3)/12</f>
        <v>40.904400000000003</v>
      </c>
      <c r="I30" s="106">
        <f t="shared" si="20"/>
        <v>115.10573333333335</v>
      </c>
      <c r="J30" s="106"/>
      <c r="K30" s="107"/>
      <c r="L30" s="106"/>
      <c r="T30" s="108"/>
      <c r="AC30" s="108"/>
      <c r="AG30" s="108"/>
      <c r="AT30" s="108"/>
      <c r="BX30" s="108"/>
      <c r="CI30" s="108"/>
      <c r="DD30" s="108"/>
      <c r="DJ30" s="108"/>
      <c r="DP30" s="104">
        <f t="shared" si="1"/>
        <v>20.853333333333332</v>
      </c>
      <c r="DQ30" s="104">
        <f t="shared" si="2"/>
        <v>40.904400000000003</v>
      </c>
      <c r="DR30" s="104">
        <f t="shared" si="13"/>
        <v>0</v>
      </c>
      <c r="DS30" s="108"/>
      <c r="DT30" s="104">
        <f t="shared" si="3"/>
        <v>0</v>
      </c>
      <c r="DU30" s="104">
        <f t="shared" si="4"/>
        <v>40.847999999999999</v>
      </c>
      <c r="DV30" s="104">
        <f t="shared" si="5"/>
        <v>12.5</v>
      </c>
      <c r="DW30" s="104">
        <f t="shared" si="6"/>
        <v>0</v>
      </c>
      <c r="DX30" s="106">
        <f t="shared" si="7"/>
        <v>115.10573333333333</v>
      </c>
      <c r="DY30" s="109">
        <f t="shared" si="8"/>
        <v>1.4210854715202004E-14</v>
      </c>
      <c r="EA30" s="110">
        <f t="shared" si="21"/>
        <v>0.18116676493380576</v>
      </c>
      <c r="EB30" s="110">
        <f t="shared" si="21"/>
        <v>0.35536370618086793</v>
      </c>
      <c r="EC30" s="110">
        <f t="shared" si="21"/>
        <v>0</v>
      </c>
      <c r="ED30" s="108"/>
      <c r="EE30" s="110">
        <f t="shared" si="22"/>
        <v>0</v>
      </c>
      <c r="EF30" s="110">
        <f t="shared" si="22"/>
        <v>0.35487372189974897</v>
      </c>
      <c r="EG30" s="110">
        <f t="shared" si="22"/>
        <v>0.10859580698557732</v>
      </c>
      <c r="EH30" s="111">
        <f t="shared" si="14"/>
        <v>0</v>
      </c>
      <c r="EI30" s="110">
        <f t="shared" si="15"/>
        <v>1</v>
      </c>
      <c r="EK30" s="112">
        <f>EA30*'Renewable Diesel'!BF39*'Feedstock Conversion Rates'!B$2</f>
        <v>1.817144230058624</v>
      </c>
      <c r="EL30" s="112">
        <f>EB30*'Renewable Diesel'!BF39*'Feedstock Conversion Rates'!B$3</f>
        <v>3.3589035325890628</v>
      </c>
      <c r="EM30" s="112">
        <f>EC30*'Renewable Diesel'!BF39*'Feedstock Conversion Rates'!B$4</f>
        <v>0</v>
      </c>
      <c r="EN30" s="108"/>
      <c r="EO30" s="112">
        <f>EE30*'Renewable Diesel'!BF39*'Feedstock Conversion Rates'!B$6</f>
        <v>0</v>
      </c>
      <c r="EP30" s="112">
        <f>EF30*'Renewable Diesel'!BF39*'Feedstock Conversion Rates'!B$7</f>
        <v>3.8525972755761946</v>
      </c>
      <c r="EQ30" s="112">
        <f>EG30*'Renewable Diesel'!BF39*'Feedstock Conversion Rates'!B$8</f>
        <v>1.2013686030915922</v>
      </c>
      <c r="ER30" s="112">
        <f>EH30*'Renewable Diesel'!BF39*'Feedstock Conversion Rates'!B$9</f>
        <v>0</v>
      </c>
      <c r="ES30" s="112">
        <f t="shared" si="16"/>
        <v>10.230013641315473</v>
      </c>
      <c r="EW30" s="73">
        <f t="shared" si="17"/>
        <v>0</v>
      </c>
      <c r="EX30" s="73">
        <f t="shared" si="18"/>
        <v>10.230013641315473</v>
      </c>
      <c r="EY30" s="92">
        <f t="shared" si="10"/>
        <v>0</v>
      </c>
      <c r="EZ30" s="92">
        <f t="shared" si="10"/>
        <v>1</v>
      </c>
      <c r="FE30" s="108"/>
      <c r="GD30" s="91">
        <f>'Renewable Diesel'!BB39*0</f>
        <v>0</v>
      </c>
      <c r="GE30" s="91">
        <f>'Renewable Diesel'!BC39</f>
        <v>0</v>
      </c>
      <c r="GF30" s="91">
        <f>'Renewable Diesel'!BD39</f>
        <v>0</v>
      </c>
      <c r="GG30" s="91">
        <f t="shared" si="0"/>
        <v>0</v>
      </c>
      <c r="GH30" s="92">
        <v>0.5</v>
      </c>
      <c r="GI30" s="102">
        <f>$GG30*EA30*'Feedstock Conversion Rates'!$B$2</f>
        <v>0</v>
      </c>
      <c r="GJ30" s="102">
        <f>$GG30*EB30*'Feedstock Conversion Rates'!$B$3</f>
        <v>0</v>
      </c>
      <c r="GK30" s="102">
        <f>$GG30*EC30*'Feedstock Conversion Rates'!$B$4</f>
        <v>0</v>
      </c>
      <c r="GL30" s="102">
        <f>$GG30*ED30*'Feedstock Conversion Rates'!$B$5</f>
        <v>0</v>
      </c>
      <c r="GM30" s="102">
        <f>$GG30*EE30*'Feedstock Conversion Rates'!$B$5</f>
        <v>0</v>
      </c>
      <c r="GN30" s="102">
        <f>$GG30*EF30*'Feedstock Conversion Rates'!$B$7</f>
        <v>0</v>
      </c>
      <c r="GO30" s="102">
        <f>$GG30*EG30*'Feedstock Conversion Rates'!$B$7</f>
        <v>0</v>
      </c>
      <c r="GP30" s="102">
        <f>$GG30*EH30*'Feedstock Conversion Rates'!B27</f>
        <v>0</v>
      </c>
      <c r="GQ30" s="102">
        <f t="shared" si="19"/>
        <v>0</v>
      </c>
      <c r="GT30" s="103">
        <f t="shared" si="11"/>
        <v>0.17762872013384318</v>
      </c>
      <c r="GU30" s="103">
        <f t="shared" si="11"/>
        <v>0.32833812840909787</v>
      </c>
      <c r="GV30" s="103">
        <f t="shared" si="11"/>
        <v>0</v>
      </c>
      <c r="GW30" s="103">
        <f t="shared" si="11"/>
        <v>0</v>
      </c>
      <c r="GX30" s="103">
        <f t="shared" si="11"/>
        <v>0</v>
      </c>
      <c r="GY30" s="103">
        <f t="shared" si="11"/>
        <v>0.3765974719737315</v>
      </c>
      <c r="GZ30" s="103">
        <f t="shared" si="11"/>
        <v>0.11743567948332752</v>
      </c>
      <c r="HA30" s="103">
        <f t="shared" si="11"/>
        <v>0</v>
      </c>
    </row>
    <row r="31" spans="1:209" x14ac:dyDescent="0.25">
      <c r="A31" s="96">
        <v>41365</v>
      </c>
      <c r="C31" s="105"/>
      <c r="D31" s="104">
        <v>0</v>
      </c>
      <c r="E31" s="104">
        <f>('Renewable Diesel'!B40*E$3*'Feedstock Conversion Rates'!$B$2)/12</f>
        <v>20.853333333333332</v>
      </c>
      <c r="F31" s="104">
        <f>('Renewable Diesel'!B40*'RD Feedstock Breakdown'!F$3*'Feedstock Conversion Rates'!B$8)/12</f>
        <v>12.5</v>
      </c>
      <c r="G31" s="104">
        <f>('Renewable Diesel'!B40*'RD Feedstock Breakdown'!G$3*'Feedstock Conversion Rates'!B$7)/12</f>
        <v>40.847999999999999</v>
      </c>
      <c r="H31" s="104">
        <f>('Renewable Diesel'!B40*'RD Feedstock Breakdown'!H$3*'Feedstock Conversion Rates'!B$3)/12</f>
        <v>40.904400000000003</v>
      </c>
      <c r="I31" s="106">
        <f t="shared" si="20"/>
        <v>115.10573333333335</v>
      </c>
      <c r="J31" s="106"/>
      <c r="K31" s="107"/>
      <c r="L31" s="106"/>
      <c r="T31" s="108"/>
      <c r="AC31" s="108"/>
      <c r="AG31" s="108"/>
      <c r="AT31" s="108"/>
      <c r="BX31" s="108"/>
      <c r="CI31" s="108"/>
      <c r="DD31" s="108"/>
      <c r="DJ31" s="108"/>
      <c r="DP31" s="104">
        <f t="shared" si="1"/>
        <v>20.853333333333332</v>
      </c>
      <c r="DQ31" s="104">
        <f t="shared" si="2"/>
        <v>40.904400000000003</v>
      </c>
      <c r="DR31" s="104">
        <f t="shared" si="13"/>
        <v>0</v>
      </c>
      <c r="DS31" s="108"/>
      <c r="DT31" s="104">
        <f t="shared" si="3"/>
        <v>0</v>
      </c>
      <c r="DU31" s="104">
        <f t="shared" si="4"/>
        <v>40.847999999999999</v>
      </c>
      <c r="DV31" s="104">
        <f t="shared" si="5"/>
        <v>12.5</v>
      </c>
      <c r="DW31" s="104">
        <f t="shared" si="6"/>
        <v>0</v>
      </c>
      <c r="DX31" s="106">
        <f t="shared" si="7"/>
        <v>115.10573333333333</v>
      </c>
      <c r="DY31" s="109">
        <f t="shared" si="8"/>
        <v>1.4210854715202004E-14</v>
      </c>
      <c r="EA31" s="110">
        <f t="shared" si="21"/>
        <v>0.18116676493380576</v>
      </c>
      <c r="EB31" s="110">
        <f t="shared" si="21"/>
        <v>0.35536370618086793</v>
      </c>
      <c r="EC31" s="110">
        <f t="shared" si="21"/>
        <v>0</v>
      </c>
      <c r="ED31" s="108"/>
      <c r="EE31" s="110">
        <f t="shared" si="22"/>
        <v>0</v>
      </c>
      <c r="EF31" s="110">
        <f t="shared" si="22"/>
        <v>0.35487372189974897</v>
      </c>
      <c r="EG31" s="110">
        <f t="shared" si="22"/>
        <v>0.10859580698557732</v>
      </c>
      <c r="EH31" s="111">
        <f t="shared" si="14"/>
        <v>0</v>
      </c>
      <c r="EI31" s="110">
        <f t="shared" si="15"/>
        <v>1</v>
      </c>
      <c r="EK31" s="112">
        <f>EA31*'Renewable Diesel'!BF40*'Feedstock Conversion Rates'!B$2</f>
        <v>1.5766091162560103</v>
      </c>
      <c r="EL31" s="112">
        <f>EB31*'Renewable Diesel'!BF40*'Feedstock Conversion Rates'!B$3</f>
        <v>2.9142859672363963</v>
      </c>
      <c r="EM31" s="112">
        <f>EC31*'Renewable Diesel'!BF40*'Feedstock Conversion Rates'!B$4</f>
        <v>0</v>
      </c>
      <c r="EN31" s="108"/>
      <c r="EO31" s="112">
        <f>EE31*'Renewable Diesel'!BF40*'Feedstock Conversion Rates'!B$6</f>
        <v>0</v>
      </c>
      <c r="EP31" s="112">
        <f>EF31*'Renewable Diesel'!BF40*'Feedstock Conversion Rates'!B$7</f>
        <v>3.3426295422573795</v>
      </c>
      <c r="EQ31" s="112">
        <f>EG31*'Renewable Diesel'!BF40*'Feedstock Conversion Rates'!B$8</f>
        <v>1.0423436182370875</v>
      </c>
      <c r="ER31" s="112">
        <f>EH31*'Renewable Diesel'!BF40*'Feedstock Conversion Rates'!B$9</f>
        <v>0</v>
      </c>
      <c r="ES31" s="112">
        <f t="shared" si="16"/>
        <v>8.8758682439868739</v>
      </c>
      <c r="EW31" s="73">
        <f t="shared" si="17"/>
        <v>0</v>
      </c>
      <c r="EX31" s="73">
        <f t="shared" si="18"/>
        <v>8.8758682439868739</v>
      </c>
      <c r="EY31" s="92">
        <f t="shared" si="10"/>
        <v>0</v>
      </c>
      <c r="EZ31" s="92">
        <f t="shared" si="10"/>
        <v>1</v>
      </c>
      <c r="FE31" s="108"/>
      <c r="GD31" s="91">
        <f>'Renewable Diesel'!BB40*0</f>
        <v>0</v>
      </c>
      <c r="GE31" s="91">
        <f>'Renewable Diesel'!BC40</f>
        <v>0</v>
      </c>
      <c r="GF31" s="91">
        <f>'Renewable Diesel'!BD40</f>
        <v>0</v>
      </c>
      <c r="GG31" s="91">
        <f t="shared" si="0"/>
        <v>0</v>
      </c>
      <c r="GH31" s="92">
        <v>0.5</v>
      </c>
      <c r="GI31" s="102">
        <f>$GG31*EA31*'Feedstock Conversion Rates'!$B$2</f>
        <v>0</v>
      </c>
      <c r="GJ31" s="102">
        <f>$GG31*EB31*'Feedstock Conversion Rates'!$B$3</f>
        <v>0</v>
      </c>
      <c r="GK31" s="102">
        <f>$GG31*EC31*'Feedstock Conversion Rates'!$B$4</f>
        <v>0</v>
      </c>
      <c r="GL31" s="102">
        <f>$GG31*ED31*'Feedstock Conversion Rates'!$B$5</f>
        <v>0</v>
      </c>
      <c r="GM31" s="102">
        <f>$GG31*EE31*'Feedstock Conversion Rates'!$B$5</f>
        <v>0</v>
      </c>
      <c r="GN31" s="102">
        <f>$GG31*EF31*'Feedstock Conversion Rates'!$B$7</f>
        <v>0</v>
      </c>
      <c r="GO31" s="102">
        <f>$GG31*EG31*'Feedstock Conversion Rates'!$B$7</f>
        <v>0</v>
      </c>
      <c r="GP31" s="102">
        <f>$GG31*EH31*'Feedstock Conversion Rates'!B28</f>
        <v>0</v>
      </c>
      <c r="GQ31" s="102">
        <f t="shared" si="19"/>
        <v>0</v>
      </c>
      <c r="GT31" s="103">
        <f t="shared" si="11"/>
        <v>0.17762872013384315</v>
      </c>
      <c r="GU31" s="103">
        <f t="shared" si="11"/>
        <v>0.32833812840909787</v>
      </c>
      <c r="GV31" s="103">
        <f t="shared" si="11"/>
        <v>0</v>
      </c>
      <c r="GW31" s="103">
        <f t="shared" si="11"/>
        <v>0</v>
      </c>
      <c r="GX31" s="103">
        <f t="shared" si="11"/>
        <v>0</v>
      </c>
      <c r="GY31" s="103">
        <f t="shared" si="11"/>
        <v>0.37659747197373145</v>
      </c>
      <c r="GZ31" s="103">
        <f t="shared" si="11"/>
        <v>0.11743567948332752</v>
      </c>
      <c r="HA31" s="103">
        <f t="shared" si="11"/>
        <v>0</v>
      </c>
    </row>
    <row r="32" spans="1:209" x14ac:dyDescent="0.25">
      <c r="A32" s="96">
        <v>41395</v>
      </c>
      <c r="C32" s="105"/>
      <c r="D32" s="104">
        <v>0</v>
      </c>
      <c r="E32" s="104">
        <f>('Renewable Diesel'!B41*E$3*'Feedstock Conversion Rates'!$B$2)/12</f>
        <v>20.853333333333332</v>
      </c>
      <c r="F32" s="104">
        <f>('Renewable Diesel'!B41*'RD Feedstock Breakdown'!F$3*'Feedstock Conversion Rates'!B$8)/12</f>
        <v>12.5</v>
      </c>
      <c r="G32" s="104">
        <f>('Renewable Diesel'!B41*'RD Feedstock Breakdown'!G$3*'Feedstock Conversion Rates'!B$7)/12</f>
        <v>40.847999999999999</v>
      </c>
      <c r="H32" s="104">
        <f>('Renewable Diesel'!B41*'RD Feedstock Breakdown'!H$3*'Feedstock Conversion Rates'!B$3)/12</f>
        <v>40.904400000000003</v>
      </c>
      <c r="I32" s="106">
        <f t="shared" si="20"/>
        <v>115.10573333333335</v>
      </c>
      <c r="J32" s="106"/>
      <c r="K32" s="107"/>
      <c r="L32" s="106"/>
      <c r="T32" s="108"/>
      <c r="AC32" s="108"/>
      <c r="AG32" s="108"/>
      <c r="AT32" s="108"/>
      <c r="BX32" s="108"/>
      <c r="CI32" s="108"/>
      <c r="DD32" s="108"/>
      <c r="DJ32" s="108"/>
      <c r="DP32" s="104">
        <f t="shared" si="1"/>
        <v>20.853333333333332</v>
      </c>
      <c r="DQ32" s="104">
        <f t="shared" si="2"/>
        <v>40.904400000000003</v>
      </c>
      <c r="DR32" s="104">
        <f t="shared" si="13"/>
        <v>0</v>
      </c>
      <c r="DS32" s="108"/>
      <c r="DT32" s="104">
        <f t="shared" si="3"/>
        <v>0</v>
      </c>
      <c r="DU32" s="104">
        <f t="shared" si="4"/>
        <v>40.847999999999999</v>
      </c>
      <c r="DV32" s="104">
        <f t="shared" si="5"/>
        <v>12.5</v>
      </c>
      <c r="DW32" s="104">
        <f t="shared" si="6"/>
        <v>0</v>
      </c>
      <c r="DX32" s="106">
        <f t="shared" si="7"/>
        <v>115.10573333333333</v>
      </c>
      <c r="DY32" s="109">
        <f t="shared" si="8"/>
        <v>1.4210854715202004E-14</v>
      </c>
      <c r="EA32" s="110">
        <f t="shared" si="21"/>
        <v>0.18116676493380576</v>
      </c>
      <c r="EB32" s="110">
        <f t="shared" si="21"/>
        <v>0.35536370618086793</v>
      </c>
      <c r="EC32" s="110">
        <f t="shared" si="21"/>
        <v>0</v>
      </c>
      <c r="ED32" s="108"/>
      <c r="EE32" s="110">
        <f t="shared" si="22"/>
        <v>0</v>
      </c>
      <c r="EF32" s="110">
        <f t="shared" si="22"/>
        <v>0.35487372189974897</v>
      </c>
      <c r="EG32" s="110">
        <f t="shared" si="22"/>
        <v>0.10859580698557732</v>
      </c>
      <c r="EH32" s="111">
        <f t="shared" si="14"/>
        <v>0</v>
      </c>
      <c r="EI32" s="110">
        <f t="shared" si="15"/>
        <v>1</v>
      </c>
      <c r="EK32" s="112">
        <f>EA32*'Renewable Diesel'!BF41*'Feedstock Conversion Rates'!B$2</f>
        <v>1.4886983059054109</v>
      </c>
      <c r="EL32" s="112">
        <f>EB32*'Renewable Diesel'!BF41*'Feedstock Conversion Rates'!B$3</f>
        <v>2.7517870711361847</v>
      </c>
      <c r="EM32" s="112">
        <f>EC32*'Renewable Diesel'!BF41*'Feedstock Conversion Rates'!B$4</f>
        <v>0</v>
      </c>
      <c r="EN32" s="108"/>
      <c r="EO32" s="112">
        <f>EE32*'Renewable Diesel'!BF41*'Feedstock Conversion Rates'!B$6</f>
        <v>0</v>
      </c>
      <c r="EP32" s="112">
        <f>EF32*'Renewable Diesel'!BF41*'Feedstock Conversion Rates'!B$7</f>
        <v>3.1562464567279007</v>
      </c>
      <c r="EQ32" s="112">
        <f>EG32*'Renewable Diesel'!BF41*'Feedstock Conversion Rates'!B$8</f>
        <v>0.98422314233840646</v>
      </c>
      <c r="ER32" s="112">
        <f>EH32*'Renewable Diesel'!BF41*'Feedstock Conversion Rates'!B$9</f>
        <v>0</v>
      </c>
      <c r="ES32" s="112">
        <f t="shared" si="16"/>
        <v>8.380954976107903</v>
      </c>
      <c r="EW32" s="73">
        <f t="shared" si="17"/>
        <v>0</v>
      </c>
      <c r="EX32" s="73">
        <f t="shared" si="18"/>
        <v>8.380954976107903</v>
      </c>
      <c r="EY32" s="92">
        <f t="shared" si="10"/>
        <v>0</v>
      </c>
      <c r="EZ32" s="92">
        <f t="shared" si="10"/>
        <v>1</v>
      </c>
      <c r="FE32" s="108"/>
      <c r="GD32" s="91">
        <f>'Renewable Diesel'!BB41*0</f>
        <v>0</v>
      </c>
      <c r="GE32" s="91">
        <f>'Renewable Diesel'!BC41</f>
        <v>0</v>
      </c>
      <c r="GF32" s="91">
        <f>'Renewable Diesel'!BD41</f>
        <v>0</v>
      </c>
      <c r="GG32" s="91">
        <f t="shared" si="0"/>
        <v>0</v>
      </c>
      <c r="GH32" s="92">
        <v>0.5</v>
      </c>
      <c r="GI32" s="102">
        <f>$GG32*EA32*'Feedstock Conversion Rates'!$B$2</f>
        <v>0</v>
      </c>
      <c r="GJ32" s="102">
        <f>$GG32*EB32*'Feedstock Conversion Rates'!$B$3</f>
        <v>0</v>
      </c>
      <c r="GK32" s="102">
        <f>$GG32*EC32*'Feedstock Conversion Rates'!$B$4</f>
        <v>0</v>
      </c>
      <c r="GL32" s="102">
        <f>$GG32*ED32*'Feedstock Conversion Rates'!$B$5</f>
        <v>0</v>
      </c>
      <c r="GM32" s="102">
        <f>$GG32*EE32*'Feedstock Conversion Rates'!$B$5</f>
        <v>0</v>
      </c>
      <c r="GN32" s="102">
        <f>$GG32*EF32*'Feedstock Conversion Rates'!$B$7</f>
        <v>0</v>
      </c>
      <c r="GO32" s="102">
        <f>$GG32*EG32*'Feedstock Conversion Rates'!$B$7</f>
        <v>0</v>
      </c>
      <c r="GP32" s="102">
        <f>$GG32*EH32*'Feedstock Conversion Rates'!B29</f>
        <v>0</v>
      </c>
      <c r="GQ32" s="102">
        <f t="shared" si="19"/>
        <v>0</v>
      </c>
      <c r="GT32" s="103">
        <f t="shared" si="11"/>
        <v>0.17762872013384315</v>
      </c>
      <c r="GU32" s="103">
        <f t="shared" si="11"/>
        <v>0.32833812840909793</v>
      </c>
      <c r="GV32" s="103">
        <f t="shared" si="11"/>
        <v>0</v>
      </c>
      <c r="GW32" s="103">
        <f t="shared" si="11"/>
        <v>0</v>
      </c>
      <c r="GX32" s="103">
        <f t="shared" si="11"/>
        <v>0</v>
      </c>
      <c r="GY32" s="103">
        <f t="shared" si="11"/>
        <v>0.37659747197373139</v>
      </c>
      <c r="GZ32" s="103">
        <f t="shared" si="11"/>
        <v>0.1174356794833275</v>
      </c>
      <c r="HA32" s="103">
        <f t="shared" si="11"/>
        <v>0</v>
      </c>
    </row>
    <row r="33" spans="1:209" x14ac:dyDescent="0.25">
      <c r="A33" s="96">
        <v>41426</v>
      </c>
      <c r="C33" s="105"/>
      <c r="D33" s="104">
        <v>0</v>
      </c>
      <c r="E33" s="104">
        <f>('Renewable Diesel'!B42*E$3*'Feedstock Conversion Rates'!$B$2)/12</f>
        <v>20.853333333333332</v>
      </c>
      <c r="F33" s="104">
        <f>('Renewable Diesel'!B42*'RD Feedstock Breakdown'!F$3*'Feedstock Conversion Rates'!B$8)/12</f>
        <v>12.5</v>
      </c>
      <c r="G33" s="104">
        <f>('Renewable Diesel'!B42*'RD Feedstock Breakdown'!G$3*'Feedstock Conversion Rates'!B$7)/12</f>
        <v>40.847999999999999</v>
      </c>
      <c r="H33" s="104">
        <f>('Renewable Diesel'!B42*'RD Feedstock Breakdown'!H$3*'Feedstock Conversion Rates'!B$3)/12</f>
        <v>40.904400000000003</v>
      </c>
      <c r="I33" s="106">
        <f t="shared" si="20"/>
        <v>115.10573333333335</v>
      </c>
      <c r="J33" s="106"/>
      <c r="K33" s="107"/>
      <c r="L33" s="106"/>
      <c r="T33" s="108"/>
      <c r="AC33" s="108"/>
      <c r="AG33" s="108"/>
      <c r="AT33" s="108"/>
      <c r="BX33" s="108"/>
      <c r="CI33" s="108"/>
      <c r="DD33" s="108"/>
      <c r="DJ33" s="108"/>
      <c r="DP33" s="104">
        <f t="shared" si="1"/>
        <v>20.853333333333332</v>
      </c>
      <c r="DQ33" s="104">
        <f t="shared" si="2"/>
        <v>40.904400000000003</v>
      </c>
      <c r="DR33" s="104">
        <f t="shared" si="13"/>
        <v>0</v>
      </c>
      <c r="DS33" s="108"/>
      <c r="DT33" s="104">
        <f t="shared" si="3"/>
        <v>0</v>
      </c>
      <c r="DU33" s="104">
        <f t="shared" si="4"/>
        <v>40.847999999999999</v>
      </c>
      <c r="DV33" s="104">
        <f t="shared" si="5"/>
        <v>12.5</v>
      </c>
      <c r="DW33" s="104">
        <f t="shared" si="6"/>
        <v>0</v>
      </c>
      <c r="DX33" s="106">
        <f t="shared" si="7"/>
        <v>115.10573333333333</v>
      </c>
      <c r="DY33" s="109">
        <f t="shared" si="8"/>
        <v>1.4210854715202004E-14</v>
      </c>
      <c r="EA33" s="110">
        <f t="shared" si="21"/>
        <v>0.18116676493380576</v>
      </c>
      <c r="EB33" s="110">
        <f t="shared" si="21"/>
        <v>0.35536370618086793</v>
      </c>
      <c r="EC33" s="110">
        <f t="shared" si="21"/>
        <v>0</v>
      </c>
      <c r="ED33" s="108"/>
      <c r="EE33" s="110">
        <f t="shared" si="22"/>
        <v>0</v>
      </c>
      <c r="EF33" s="110">
        <f t="shared" si="22"/>
        <v>0.35487372189974897</v>
      </c>
      <c r="EG33" s="110">
        <f t="shared" si="22"/>
        <v>0.10859580698557732</v>
      </c>
      <c r="EH33" s="111">
        <f t="shared" si="14"/>
        <v>0</v>
      </c>
      <c r="EI33" s="110">
        <f t="shared" si="15"/>
        <v>1</v>
      </c>
      <c r="EK33" s="112">
        <f>EA33*'Renewable Diesel'!BF42*'Feedstock Conversion Rates'!B$2</f>
        <v>2.4633428912315978</v>
      </c>
      <c r="EL33" s="112">
        <f>EB33*'Renewable Diesel'!BF42*'Feedstock Conversion Rates'!B$3</f>
        <v>4.5533706144333035</v>
      </c>
      <c r="EM33" s="112">
        <f>EC33*'Renewable Diesel'!BF42*'Feedstock Conversion Rates'!B$4</f>
        <v>0</v>
      </c>
      <c r="EN33" s="108"/>
      <c r="EO33" s="112">
        <f>EE33*'Renewable Diesel'!BF42*'Feedstock Conversion Rates'!B$6</f>
        <v>0</v>
      </c>
      <c r="EP33" s="112">
        <f>EF33*'Renewable Diesel'!BF42*'Feedstock Conversion Rates'!B$7</f>
        <v>5.2226278765239602</v>
      </c>
      <c r="EQ33" s="112">
        <f>EG33*'Renewable Diesel'!BF42*'Feedstock Conversion Rates'!B$8</f>
        <v>1.6285899375632027</v>
      </c>
      <c r="ER33" s="112">
        <f>EH33*'Renewable Diesel'!BF42*'Feedstock Conversion Rates'!B$9</f>
        <v>0</v>
      </c>
      <c r="ES33" s="112">
        <f t="shared" si="16"/>
        <v>13.867931319752064</v>
      </c>
      <c r="EW33" s="73">
        <f t="shared" si="17"/>
        <v>0</v>
      </c>
      <c r="EX33" s="73">
        <f t="shared" si="18"/>
        <v>13.867931319752065</v>
      </c>
      <c r="EY33" s="92">
        <f t="shared" si="10"/>
        <v>0</v>
      </c>
      <c r="EZ33" s="92">
        <f t="shared" si="10"/>
        <v>1.0000000000000002</v>
      </c>
      <c r="FE33" s="108"/>
      <c r="GD33" s="91">
        <f>'Renewable Diesel'!BB42*0</f>
        <v>0</v>
      </c>
      <c r="GE33" s="91">
        <f>'Renewable Diesel'!BC42</f>
        <v>0</v>
      </c>
      <c r="GF33" s="91">
        <f>'Renewable Diesel'!BD42</f>
        <v>0</v>
      </c>
      <c r="GG33" s="91">
        <f t="shared" si="0"/>
        <v>0</v>
      </c>
      <c r="GH33" s="92">
        <v>0.5</v>
      </c>
      <c r="GI33" s="102">
        <f>$GG33*EA33*'Feedstock Conversion Rates'!$B$2</f>
        <v>0</v>
      </c>
      <c r="GJ33" s="102">
        <f>$GG33*EB33*'Feedstock Conversion Rates'!$B$3</f>
        <v>0</v>
      </c>
      <c r="GK33" s="102">
        <f>$GG33*EC33*'Feedstock Conversion Rates'!$B$4</f>
        <v>0</v>
      </c>
      <c r="GL33" s="102">
        <f>$GG33*ED33*'Feedstock Conversion Rates'!$B$5</f>
        <v>0</v>
      </c>
      <c r="GM33" s="102">
        <f>$GG33*EE33*'Feedstock Conversion Rates'!$B$5</f>
        <v>0</v>
      </c>
      <c r="GN33" s="102">
        <f>$GG33*EF33*'Feedstock Conversion Rates'!$B$7</f>
        <v>0</v>
      </c>
      <c r="GO33" s="102">
        <f>$GG33*EG33*'Feedstock Conversion Rates'!$B$7</f>
        <v>0</v>
      </c>
      <c r="GP33" s="102">
        <f>$GG33*EH33*'Feedstock Conversion Rates'!B30</f>
        <v>0</v>
      </c>
      <c r="GQ33" s="102">
        <f t="shared" si="19"/>
        <v>0</v>
      </c>
      <c r="GT33" s="103">
        <f t="shared" si="11"/>
        <v>0.17762872013384318</v>
      </c>
      <c r="GU33" s="103">
        <f t="shared" si="11"/>
        <v>0.32833812840909787</v>
      </c>
      <c r="GV33" s="103">
        <f t="shared" si="11"/>
        <v>0</v>
      </c>
      <c r="GW33" s="103">
        <f t="shared" si="11"/>
        <v>0</v>
      </c>
      <c r="GX33" s="103">
        <f t="shared" si="11"/>
        <v>0</v>
      </c>
      <c r="GY33" s="103">
        <f t="shared" si="11"/>
        <v>0.37659747197373145</v>
      </c>
      <c r="GZ33" s="103">
        <f t="shared" si="11"/>
        <v>0.11743567948332753</v>
      </c>
      <c r="HA33" s="103">
        <f t="shared" si="11"/>
        <v>0</v>
      </c>
    </row>
    <row r="34" spans="1:209" x14ac:dyDescent="0.25">
      <c r="A34" s="96">
        <v>41456</v>
      </c>
      <c r="C34" s="105"/>
      <c r="D34" s="104">
        <v>0</v>
      </c>
      <c r="E34" s="104">
        <f>('Renewable Diesel'!B43*E$3*'Feedstock Conversion Rates'!$B$2)/12</f>
        <v>20.853333333333332</v>
      </c>
      <c r="F34" s="104">
        <f>('Renewable Diesel'!B43*'RD Feedstock Breakdown'!F$3*'Feedstock Conversion Rates'!B$8)/12</f>
        <v>12.5</v>
      </c>
      <c r="G34" s="104">
        <f>('Renewable Diesel'!B43*'RD Feedstock Breakdown'!G$3*'Feedstock Conversion Rates'!B$7)/12</f>
        <v>40.847999999999999</v>
      </c>
      <c r="H34" s="104">
        <f>('Renewable Diesel'!B43*'RD Feedstock Breakdown'!H$3*'Feedstock Conversion Rates'!B$3)/12</f>
        <v>40.904400000000003</v>
      </c>
      <c r="I34" s="106">
        <f t="shared" si="20"/>
        <v>115.10573333333335</v>
      </c>
      <c r="J34" s="106"/>
      <c r="K34" s="107"/>
      <c r="L34" s="106"/>
      <c r="T34" s="108"/>
      <c r="AC34" s="108"/>
      <c r="AG34" s="108"/>
      <c r="AT34" s="108"/>
      <c r="BX34" s="108"/>
      <c r="CI34" s="108"/>
      <c r="DD34" s="108"/>
      <c r="DJ34" s="108"/>
      <c r="DP34" s="104">
        <f t="shared" si="1"/>
        <v>20.853333333333332</v>
      </c>
      <c r="DQ34" s="104">
        <f t="shared" si="2"/>
        <v>40.904400000000003</v>
      </c>
      <c r="DR34" s="104">
        <f t="shared" si="13"/>
        <v>0</v>
      </c>
      <c r="DS34" s="108"/>
      <c r="DT34" s="104">
        <f t="shared" si="3"/>
        <v>0</v>
      </c>
      <c r="DU34" s="104">
        <f t="shared" si="4"/>
        <v>40.847999999999999</v>
      </c>
      <c r="DV34" s="104">
        <f t="shared" si="5"/>
        <v>12.5</v>
      </c>
      <c r="DW34" s="104">
        <f t="shared" si="6"/>
        <v>0</v>
      </c>
      <c r="DX34" s="106">
        <f t="shared" si="7"/>
        <v>115.10573333333333</v>
      </c>
      <c r="DY34" s="109">
        <f t="shared" si="8"/>
        <v>1.4210854715202004E-14</v>
      </c>
      <c r="EA34" s="110">
        <f t="shared" si="21"/>
        <v>0.18116676493380576</v>
      </c>
      <c r="EB34" s="110">
        <f t="shared" si="21"/>
        <v>0.35536370618086793</v>
      </c>
      <c r="EC34" s="110">
        <f t="shared" si="21"/>
        <v>0</v>
      </c>
      <c r="ED34" s="108"/>
      <c r="EE34" s="110">
        <f t="shared" si="22"/>
        <v>0</v>
      </c>
      <c r="EF34" s="110">
        <f t="shared" si="22"/>
        <v>0.35487372189974897</v>
      </c>
      <c r="EG34" s="110">
        <f t="shared" si="22"/>
        <v>0.10859580698557732</v>
      </c>
      <c r="EH34" s="111">
        <f t="shared" si="14"/>
        <v>0</v>
      </c>
      <c r="EI34" s="110">
        <f t="shared" si="15"/>
        <v>1</v>
      </c>
      <c r="EK34" s="112">
        <f>EA34*'Renewable Diesel'!BF43*'Feedstock Conversion Rates'!B$2</f>
        <v>17.485459870750717</v>
      </c>
      <c r="EL34" s="112">
        <f>EB34*'Renewable Diesel'!BF43*'Feedstock Conversion Rates'!B$3</f>
        <v>32.321029865039442</v>
      </c>
      <c r="EM34" s="112">
        <f>EC34*'Renewable Diesel'!BF43*'Feedstock Conversion Rates'!B$4</f>
        <v>0</v>
      </c>
      <c r="EN34" s="108"/>
      <c r="EO34" s="112">
        <f>EE34*'Renewable Diesel'!BF43*'Feedstock Conversion Rates'!B$6</f>
        <v>0</v>
      </c>
      <c r="EP34" s="112">
        <f>EF34*'Renewable Diesel'!BF43*'Feedstock Conversion Rates'!B$7</f>
        <v>37.071595058845602</v>
      </c>
      <c r="EQ34" s="112">
        <f>EG34*'Renewable Diesel'!BF43*'Feedstock Conversion Rates'!B$8</f>
        <v>11.560162452630509</v>
      </c>
      <c r="ER34" s="112">
        <f>EH34*'Renewable Diesel'!BF43*'Feedstock Conversion Rates'!B$9</f>
        <v>0</v>
      </c>
      <c r="ES34" s="112">
        <f t="shared" si="16"/>
        <v>98.438247247266261</v>
      </c>
      <c r="EW34" s="73">
        <f t="shared" si="17"/>
        <v>0</v>
      </c>
      <c r="EX34" s="73">
        <f t="shared" si="18"/>
        <v>98.438247247266276</v>
      </c>
      <c r="EY34" s="92">
        <f t="shared" si="10"/>
        <v>0</v>
      </c>
      <c r="EZ34" s="92">
        <f t="shared" si="10"/>
        <v>1.0000000000000002</v>
      </c>
      <c r="FE34" s="108"/>
      <c r="GD34" s="91">
        <f>'Renewable Diesel'!BB43*0</f>
        <v>0</v>
      </c>
      <c r="GE34" s="91">
        <f>'Renewable Diesel'!BC43</f>
        <v>0</v>
      </c>
      <c r="GF34" s="91">
        <f>'Renewable Diesel'!BD43</f>
        <v>0</v>
      </c>
      <c r="GG34" s="91">
        <f t="shared" si="0"/>
        <v>0</v>
      </c>
      <c r="GH34" s="92">
        <v>0.5</v>
      </c>
      <c r="GI34" s="102">
        <f>$GG34*EA34*'Feedstock Conversion Rates'!$B$2</f>
        <v>0</v>
      </c>
      <c r="GJ34" s="102">
        <f>$GG34*EB34*'Feedstock Conversion Rates'!$B$3</f>
        <v>0</v>
      </c>
      <c r="GK34" s="102">
        <f>$GG34*EC34*'Feedstock Conversion Rates'!$B$4</f>
        <v>0</v>
      </c>
      <c r="GL34" s="102">
        <f>$GG34*ED34*'Feedstock Conversion Rates'!$B$5</f>
        <v>0</v>
      </c>
      <c r="GM34" s="102">
        <f>$GG34*EE34*'Feedstock Conversion Rates'!$B$5</f>
        <v>0</v>
      </c>
      <c r="GN34" s="102">
        <f>$GG34*EF34*'Feedstock Conversion Rates'!$B$7</f>
        <v>0</v>
      </c>
      <c r="GO34" s="102">
        <f>$GG34*EG34*'Feedstock Conversion Rates'!$B$7</f>
        <v>0</v>
      </c>
      <c r="GP34" s="102">
        <f>$GG34*EH34*'Feedstock Conversion Rates'!B31</f>
        <v>0</v>
      </c>
      <c r="GQ34" s="102">
        <f t="shared" si="19"/>
        <v>0</v>
      </c>
      <c r="GT34" s="103">
        <f t="shared" si="11"/>
        <v>0.17762872013384318</v>
      </c>
      <c r="GU34" s="103">
        <f t="shared" si="11"/>
        <v>0.32833812840909793</v>
      </c>
      <c r="GV34" s="103">
        <f t="shared" si="11"/>
        <v>0</v>
      </c>
      <c r="GW34" s="103">
        <f t="shared" si="11"/>
        <v>0</v>
      </c>
      <c r="GX34" s="103">
        <f t="shared" si="11"/>
        <v>0</v>
      </c>
      <c r="GY34" s="103">
        <f t="shared" si="11"/>
        <v>0.37659747197373145</v>
      </c>
      <c r="GZ34" s="103">
        <f t="shared" si="11"/>
        <v>0.11743567948332753</v>
      </c>
      <c r="HA34" s="103">
        <f t="shared" si="11"/>
        <v>0</v>
      </c>
    </row>
    <row r="35" spans="1:209" x14ac:dyDescent="0.25">
      <c r="A35" s="96">
        <v>41487</v>
      </c>
      <c r="C35" s="105"/>
      <c r="D35" s="104">
        <v>0</v>
      </c>
      <c r="E35" s="104">
        <f>('Renewable Diesel'!B44*E$3*'Feedstock Conversion Rates'!$B$2)/12</f>
        <v>20.853333333333332</v>
      </c>
      <c r="F35" s="104">
        <f>('Renewable Diesel'!B44*'RD Feedstock Breakdown'!F$3*'Feedstock Conversion Rates'!B$8)/12</f>
        <v>12.5</v>
      </c>
      <c r="G35" s="104">
        <f>('Renewable Diesel'!B44*'RD Feedstock Breakdown'!G$3*'Feedstock Conversion Rates'!B$7)/12</f>
        <v>40.847999999999999</v>
      </c>
      <c r="H35" s="104">
        <f>('Renewable Diesel'!B44*'RD Feedstock Breakdown'!H$3*'Feedstock Conversion Rates'!B$3)/12</f>
        <v>40.904400000000003</v>
      </c>
      <c r="I35" s="106">
        <f t="shared" si="20"/>
        <v>115.10573333333335</v>
      </c>
      <c r="J35" s="106"/>
      <c r="K35" s="107"/>
      <c r="L35" s="106"/>
      <c r="T35" s="108"/>
      <c r="AC35" s="108"/>
      <c r="AG35" s="108"/>
      <c r="AT35" s="108"/>
      <c r="BX35" s="108"/>
      <c r="CI35" s="108"/>
      <c r="DD35" s="108"/>
      <c r="DJ35" s="108"/>
      <c r="DP35" s="104">
        <f t="shared" si="1"/>
        <v>20.853333333333332</v>
      </c>
      <c r="DQ35" s="104">
        <f t="shared" si="2"/>
        <v>40.904400000000003</v>
      </c>
      <c r="DR35" s="104">
        <f t="shared" si="13"/>
        <v>0</v>
      </c>
      <c r="DS35" s="108"/>
      <c r="DT35" s="104">
        <f t="shared" si="3"/>
        <v>0</v>
      </c>
      <c r="DU35" s="104">
        <f t="shared" si="4"/>
        <v>40.847999999999999</v>
      </c>
      <c r="DV35" s="104">
        <f t="shared" si="5"/>
        <v>12.5</v>
      </c>
      <c r="DW35" s="104">
        <f t="shared" si="6"/>
        <v>0</v>
      </c>
      <c r="DX35" s="106">
        <f t="shared" si="7"/>
        <v>115.10573333333333</v>
      </c>
      <c r="DY35" s="109">
        <f t="shared" si="8"/>
        <v>1.4210854715202004E-14</v>
      </c>
      <c r="EA35" s="110">
        <f t="shared" si="21"/>
        <v>0.18116676493380576</v>
      </c>
      <c r="EB35" s="110">
        <f t="shared" si="21"/>
        <v>0.35536370618086793</v>
      </c>
      <c r="EC35" s="110">
        <f t="shared" si="21"/>
        <v>0</v>
      </c>
      <c r="ED35" s="108"/>
      <c r="EE35" s="110">
        <f t="shared" si="22"/>
        <v>0</v>
      </c>
      <c r="EF35" s="110">
        <f t="shared" si="22"/>
        <v>0.35487372189974897</v>
      </c>
      <c r="EG35" s="110">
        <f t="shared" si="22"/>
        <v>0.10859580698557732</v>
      </c>
      <c r="EH35" s="111">
        <f t="shared" si="14"/>
        <v>0</v>
      </c>
      <c r="EI35" s="110">
        <f t="shared" si="15"/>
        <v>1</v>
      </c>
      <c r="EK35" s="112">
        <f>EA35*'Renewable Diesel'!BF44*'Feedstock Conversion Rates'!B$2</f>
        <v>13.689587867155181</v>
      </c>
      <c r="EL35" s="112">
        <f>EB35*'Renewable Diesel'!BF44*'Feedstock Conversion Rates'!B$3</f>
        <v>25.304543407207948</v>
      </c>
      <c r="EM35" s="112">
        <f>EC35*'Renewable Diesel'!BF44*'Feedstock Conversion Rates'!B$4</f>
        <v>0</v>
      </c>
      <c r="EN35" s="108"/>
      <c r="EO35" s="112">
        <f>EE35*'Renewable Diesel'!BF44*'Feedstock Conversion Rates'!B$6</f>
        <v>0</v>
      </c>
      <c r="EP35" s="112">
        <f>EF35*'Renewable Diesel'!BF44*'Feedstock Conversion Rates'!B$7</f>
        <v>29.023821031014958</v>
      </c>
      <c r="EQ35" s="112">
        <f>EG35*'Renewable Diesel'!BF44*'Feedstock Conversion Rates'!B$8</f>
        <v>9.050597514944231</v>
      </c>
      <c r="ER35" s="112">
        <f>EH35*'Renewable Diesel'!BF44*'Feedstock Conversion Rates'!B$9</f>
        <v>0</v>
      </c>
      <c r="ES35" s="112">
        <f t="shared" si="16"/>
        <v>77.068549820322318</v>
      </c>
      <c r="EW35" s="73">
        <f t="shared" si="17"/>
        <v>0</v>
      </c>
      <c r="EX35" s="73">
        <f t="shared" si="18"/>
        <v>77.068549820322318</v>
      </c>
      <c r="EY35" s="92">
        <f t="shared" si="10"/>
        <v>0</v>
      </c>
      <c r="EZ35" s="92">
        <f t="shared" si="10"/>
        <v>1</v>
      </c>
      <c r="FE35" s="108"/>
      <c r="GD35" s="91">
        <f>'Renewable Diesel'!BB44*0</f>
        <v>0</v>
      </c>
      <c r="GE35" s="91">
        <f>'Renewable Diesel'!BC44</f>
        <v>0</v>
      </c>
      <c r="GF35" s="91">
        <f>'Renewable Diesel'!BD44</f>
        <v>0</v>
      </c>
      <c r="GG35" s="91">
        <f t="shared" si="0"/>
        <v>0</v>
      </c>
      <c r="GH35" s="92">
        <v>0.5</v>
      </c>
      <c r="GI35" s="102">
        <f>$GG35*EA35*'Feedstock Conversion Rates'!$B$2</f>
        <v>0</v>
      </c>
      <c r="GJ35" s="102">
        <f>$GG35*EB35*'Feedstock Conversion Rates'!$B$3</f>
        <v>0</v>
      </c>
      <c r="GK35" s="102">
        <f>$GG35*EC35*'Feedstock Conversion Rates'!$B$4</f>
        <v>0</v>
      </c>
      <c r="GL35" s="102">
        <f>$GG35*ED35*'Feedstock Conversion Rates'!$B$5</f>
        <v>0</v>
      </c>
      <c r="GM35" s="102">
        <f>$GG35*EE35*'Feedstock Conversion Rates'!$B$5</f>
        <v>0</v>
      </c>
      <c r="GN35" s="102">
        <f>$GG35*EF35*'Feedstock Conversion Rates'!$B$7</f>
        <v>0</v>
      </c>
      <c r="GO35" s="102">
        <f>$GG35*EG35*'Feedstock Conversion Rates'!$B$7</f>
        <v>0</v>
      </c>
      <c r="GP35" s="102">
        <f>$GG35*EH35*'Feedstock Conversion Rates'!B32</f>
        <v>0</v>
      </c>
      <c r="GQ35" s="102">
        <f t="shared" si="19"/>
        <v>0</v>
      </c>
      <c r="GT35" s="103">
        <f t="shared" si="11"/>
        <v>0.17762872013384315</v>
      </c>
      <c r="GU35" s="103">
        <f t="shared" si="11"/>
        <v>0.32833812840909787</v>
      </c>
      <c r="GV35" s="103">
        <f t="shared" si="11"/>
        <v>0</v>
      </c>
      <c r="GW35" s="103">
        <f t="shared" si="11"/>
        <v>0</v>
      </c>
      <c r="GX35" s="103">
        <f t="shared" si="11"/>
        <v>0</v>
      </c>
      <c r="GY35" s="103">
        <f t="shared" si="11"/>
        <v>0.37659747197373145</v>
      </c>
      <c r="GZ35" s="103">
        <f t="shared" si="11"/>
        <v>0.11743567948332753</v>
      </c>
      <c r="HA35" s="103">
        <f t="shared" si="11"/>
        <v>0</v>
      </c>
    </row>
    <row r="36" spans="1:209" x14ac:dyDescent="0.25">
      <c r="A36" s="96">
        <v>41518</v>
      </c>
      <c r="C36" s="105"/>
      <c r="D36" s="104">
        <v>0</v>
      </c>
      <c r="E36" s="104">
        <f>('Renewable Diesel'!B45*E$3*'Feedstock Conversion Rates'!$B$2)/12</f>
        <v>20.853333333333332</v>
      </c>
      <c r="F36" s="104">
        <f>('Renewable Diesel'!B45*'RD Feedstock Breakdown'!F$3*'Feedstock Conversion Rates'!B$8)/12</f>
        <v>12.5</v>
      </c>
      <c r="G36" s="104">
        <f>('Renewable Diesel'!B45*'RD Feedstock Breakdown'!G$3*'Feedstock Conversion Rates'!B$7)/12</f>
        <v>40.847999999999999</v>
      </c>
      <c r="H36" s="104">
        <f>('Renewable Diesel'!B45*'RD Feedstock Breakdown'!H$3*'Feedstock Conversion Rates'!B$3)/12</f>
        <v>40.904400000000003</v>
      </c>
      <c r="I36" s="106">
        <f t="shared" si="20"/>
        <v>115.10573333333335</v>
      </c>
      <c r="J36" s="106"/>
      <c r="K36" s="107"/>
      <c r="L36" s="106"/>
      <c r="T36" s="108"/>
      <c r="AC36" s="108"/>
      <c r="AG36" s="108"/>
      <c r="AT36" s="108"/>
      <c r="BX36" s="108"/>
      <c r="CI36" s="108"/>
      <c r="DD36" s="108"/>
      <c r="DJ36" s="108"/>
      <c r="DP36" s="104">
        <f t="shared" si="1"/>
        <v>20.853333333333332</v>
      </c>
      <c r="DQ36" s="104">
        <f t="shared" si="2"/>
        <v>40.904400000000003</v>
      </c>
      <c r="DR36" s="104">
        <f t="shared" si="13"/>
        <v>0</v>
      </c>
      <c r="DS36" s="108"/>
      <c r="DT36" s="104">
        <f t="shared" si="3"/>
        <v>0</v>
      </c>
      <c r="DU36" s="104">
        <f t="shared" si="4"/>
        <v>40.847999999999999</v>
      </c>
      <c r="DV36" s="104">
        <f t="shared" si="5"/>
        <v>12.5</v>
      </c>
      <c r="DW36" s="104">
        <f t="shared" si="6"/>
        <v>0</v>
      </c>
      <c r="DX36" s="106">
        <f t="shared" si="7"/>
        <v>115.10573333333333</v>
      </c>
      <c r="DY36" s="109">
        <f t="shared" si="8"/>
        <v>1.4210854715202004E-14</v>
      </c>
      <c r="EA36" s="110">
        <f t="shared" si="21"/>
        <v>0.18116676493380576</v>
      </c>
      <c r="EB36" s="110">
        <f t="shared" si="21"/>
        <v>0.35536370618086793</v>
      </c>
      <c r="EC36" s="110">
        <f t="shared" si="21"/>
        <v>0</v>
      </c>
      <c r="ED36" s="108"/>
      <c r="EE36" s="110">
        <f t="shared" si="22"/>
        <v>0</v>
      </c>
      <c r="EF36" s="110">
        <f t="shared" si="22"/>
        <v>0.35487372189974897</v>
      </c>
      <c r="EG36" s="110">
        <f t="shared" si="22"/>
        <v>0.10859580698557732</v>
      </c>
      <c r="EH36" s="111">
        <f t="shared" si="14"/>
        <v>0</v>
      </c>
      <c r="EI36" s="110">
        <f t="shared" si="15"/>
        <v>1</v>
      </c>
      <c r="EK36" s="112">
        <f>EA36*'Renewable Diesel'!BF45*'Feedstock Conversion Rates'!B$2</f>
        <v>15.041891060161495</v>
      </c>
      <c r="EL36" s="112">
        <f>EB36*'Renewable Diesel'!BF45*'Feedstock Conversion Rates'!B$3</f>
        <v>27.804210685668188</v>
      </c>
      <c r="EM36" s="112">
        <f>EC36*'Renewable Diesel'!BF45*'Feedstock Conversion Rates'!B$4</f>
        <v>0</v>
      </c>
      <c r="EN36" s="108"/>
      <c r="EO36" s="112">
        <f>EE36*'Renewable Diesel'!BF45*'Feedstock Conversion Rates'!B$6</f>
        <v>0</v>
      </c>
      <c r="EP36" s="112">
        <f>EF36*'Renewable Diesel'!BF45*'Feedstock Conversion Rates'!B$7</f>
        <v>31.890890970180457</v>
      </c>
      <c r="EQ36" s="112">
        <f>EG36*'Renewable Diesel'!BF45*'Feedstock Conversion Rates'!B$8</f>
        <v>9.9446457534188841</v>
      </c>
      <c r="ER36" s="112">
        <f>EH36*'Renewable Diesel'!BF45*'Feedstock Conversion Rates'!B$9</f>
        <v>0</v>
      </c>
      <c r="ES36" s="112">
        <f t="shared" si="16"/>
        <v>84.681638469429032</v>
      </c>
      <c r="EW36" s="73">
        <f t="shared" si="17"/>
        <v>0</v>
      </c>
      <c r="EX36" s="73">
        <f t="shared" si="18"/>
        <v>84.681638469429032</v>
      </c>
      <c r="EY36" s="92">
        <f t="shared" si="10"/>
        <v>0</v>
      </c>
      <c r="EZ36" s="92">
        <f t="shared" si="10"/>
        <v>1</v>
      </c>
      <c r="FE36" s="108"/>
      <c r="GD36" s="91">
        <f>'Renewable Diesel'!BB45*0</f>
        <v>0</v>
      </c>
      <c r="GE36" s="91">
        <f>'Renewable Diesel'!BC45</f>
        <v>0</v>
      </c>
      <c r="GF36" s="91">
        <f>'Renewable Diesel'!BD45</f>
        <v>0</v>
      </c>
      <c r="GG36" s="91">
        <f t="shared" si="0"/>
        <v>0</v>
      </c>
      <c r="GH36" s="92">
        <v>0.5</v>
      </c>
      <c r="GI36" s="102">
        <f>$GG36*EA36*'Feedstock Conversion Rates'!$B$2</f>
        <v>0</v>
      </c>
      <c r="GJ36" s="102">
        <f>$GG36*EB36*'Feedstock Conversion Rates'!$B$3</f>
        <v>0</v>
      </c>
      <c r="GK36" s="102">
        <f>$GG36*EC36*'Feedstock Conversion Rates'!$B$4</f>
        <v>0</v>
      </c>
      <c r="GL36" s="102">
        <f>$GG36*ED36*'Feedstock Conversion Rates'!$B$5</f>
        <v>0</v>
      </c>
      <c r="GM36" s="102">
        <f>$GG36*EE36*'Feedstock Conversion Rates'!$B$5</f>
        <v>0</v>
      </c>
      <c r="GN36" s="102">
        <f>$GG36*EF36*'Feedstock Conversion Rates'!$B$7</f>
        <v>0</v>
      </c>
      <c r="GO36" s="102">
        <f>$GG36*EG36*'Feedstock Conversion Rates'!$B$7</f>
        <v>0</v>
      </c>
      <c r="GP36" s="102">
        <f>$GG36*EH36*'Feedstock Conversion Rates'!B33</f>
        <v>0</v>
      </c>
      <c r="GQ36" s="102">
        <f t="shared" si="19"/>
        <v>0</v>
      </c>
      <c r="GT36" s="103">
        <f t="shared" si="11"/>
        <v>0.17762872013384315</v>
      </c>
      <c r="GU36" s="103">
        <f t="shared" si="11"/>
        <v>0.32833812840909782</v>
      </c>
      <c r="GV36" s="103">
        <f t="shared" si="11"/>
        <v>0</v>
      </c>
      <c r="GW36" s="103">
        <f t="shared" si="11"/>
        <v>0</v>
      </c>
      <c r="GX36" s="103">
        <f t="shared" si="11"/>
        <v>0</v>
      </c>
      <c r="GY36" s="103">
        <f t="shared" si="11"/>
        <v>0.37659747197373145</v>
      </c>
      <c r="GZ36" s="103">
        <f t="shared" si="11"/>
        <v>0.1174356794833275</v>
      </c>
      <c r="HA36" s="103">
        <f t="shared" si="11"/>
        <v>0</v>
      </c>
    </row>
    <row r="37" spans="1:209" x14ac:dyDescent="0.25">
      <c r="A37" s="96">
        <v>41548</v>
      </c>
      <c r="C37" s="105"/>
      <c r="D37" s="104">
        <v>0</v>
      </c>
      <c r="E37" s="104">
        <f>('Renewable Diesel'!B46*E$3*'Feedstock Conversion Rates'!$B$2)/12</f>
        <v>20.853333333333332</v>
      </c>
      <c r="F37" s="104">
        <f>('Renewable Diesel'!B46*'RD Feedstock Breakdown'!F$3*'Feedstock Conversion Rates'!B$8)/12</f>
        <v>12.5</v>
      </c>
      <c r="G37" s="104">
        <f>('Renewable Diesel'!B46*'RD Feedstock Breakdown'!G$3*'Feedstock Conversion Rates'!B$7)/12</f>
        <v>40.847999999999999</v>
      </c>
      <c r="H37" s="104">
        <f>('Renewable Diesel'!B46*'RD Feedstock Breakdown'!H$3*'Feedstock Conversion Rates'!B$3)/12</f>
        <v>40.904400000000003</v>
      </c>
      <c r="I37" s="106">
        <f t="shared" si="20"/>
        <v>115.10573333333335</v>
      </c>
      <c r="J37" s="106"/>
      <c r="K37" s="107"/>
      <c r="L37" s="106"/>
      <c r="T37" s="108"/>
      <c r="AC37" s="108"/>
      <c r="AG37" s="108"/>
      <c r="AT37" s="108"/>
      <c r="BX37" s="108"/>
      <c r="CI37" s="108"/>
      <c r="DD37" s="108"/>
      <c r="DJ37" s="108"/>
      <c r="DP37" s="104">
        <f t="shared" si="1"/>
        <v>20.853333333333332</v>
      </c>
      <c r="DQ37" s="104">
        <f t="shared" si="2"/>
        <v>40.904400000000003</v>
      </c>
      <c r="DR37" s="104">
        <f t="shared" si="13"/>
        <v>0</v>
      </c>
      <c r="DS37" s="108"/>
      <c r="DT37" s="104">
        <f t="shared" si="3"/>
        <v>0</v>
      </c>
      <c r="DU37" s="104">
        <f t="shared" si="4"/>
        <v>40.847999999999999</v>
      </c>
      <c r="DV37" s="104">
        <f t="shared" si="5"/>
        <v>12.5</v>
      </c>
      <c r="DW37" s="104">
        <f t="shared" si="6"/>
        <v>0</v>
      </c>
      <c r="DX37" s="106">
        <f t="shared" si="7"/>
        <v>115.10573333333333</v>
      </c>
      <c r="DY37" s="109">
        <f t="shared" si="8"/>
        <v>1.4210854715202004E-14</v>
      </c>
      <c r="EA37" s="110">
        <f t="shared" si="21"/>
        <v>0.18116676493380576</v>
      </c>
      <c r="EB37" s="110">
        <f t="shared" si="21"/>
        <v>0.35536370618086793</v>
      </c>
      <c r="EC37" s="110">
        <f t="shared" si="21"/>
        <v>0</v>
      </c>
      <c r="ED37" s="108"/>
      <c r="EE37" s="110">
        <f t="shared" si="22"/>
        <v>0</v>
      </c>
      <c r="EF37" s="110">
        <f t="shared" si="22"/>
        <v>0.35487372189974897</v>
      </c>
      <c r="EG37" s="110">
        <f t="shared" si="22"/>
        <v>0.10859580698557732</v>
      </c>
      <c r="EH37" s="111">
        <f t="shared" si="14"/>
        <v>0</v>
      </c>
      <c r="EI37" s="110">
        <f t="shared" si="15"/>
        <v>1</v>
      </c>
      <c r="EK37" s="112">
        <f>EA37*'Renewable Diesel'!BF46*'Feedstock Conversion Rates'!B$2</f>
        <v>17.020806703633642</v>
      </c>
      <c r="EL37" s="112">
        <f>EB37*'Renewable Diesel'!BF46*'Feedstock Conversion Rates'!B$3</f>
        <v>31.462140879431576</v>
      </c>
      <c r="EM37" s="112">
        <f>EC37*'Renewable Diesel'!BF46*'Feedstock Conversion Rates'!B$4</f>
        <v>0</v>
      </c>
      <c r="EN37" s="108"/>
      <c r="EO37" s="112">
        <f>EE37*'Renewable Diesel'!BF46*'Feedstock Conversion Rates'!B$6</f>
        <v>0</v>
      </c>
      <c r="EP37" s="112">
        <f>EF37*'Renewable Diesel'!BF46*'Feedstock Conversion Rates'!B$7</f>
        <v>36.086466032700365</v>
      </c>
      <c r="EQ37" s="112">
        <f>EG37*'Renewable Diesel'!BF46*'Feedstock Conversion Rates'!B$8</f>
        <v>11.252966294467813</v>
      </c>
      <c r="ER37" s="112">
        <f>EH37*'Renewable Diesel'!BF46*'Feedstock Conversion Rates'!B$9</f>
        <v>0</v>
      </c>
      <c r="ES37" s="112">
        <f t="shared" si="16"/>
        <v>95.822379910233394</v>
      </c>
      <c r="EW37" s="73">
        <f t="shared" si="17"/>
        <v>0</v>
      </c>
      <c r="EX37" s="73">
        <f t="shared" si="18"/>
        <v>95.822379910233394</v>
      </c>
      <c r="EY37" s="92">
        <f t="shared" si="10"/>
        <v>0</v>
      </c>
      <c r="EZ37" s="92">
        <f t="shared" si="10"/>
        <v>1</v>
      </c>
      <c r="FE37" s="108"/>
      <c r="GD37" s="91">
        <f>'Renewable Diesel'!BB46*0</f>
        <v>0</v>
      </c>
      <c r="GE37" s="91">
        <f>'Renewable Diesel'!BC46</f>
        <v>0</v>
      </c>
      <c r="GF37" s="91">
        <f>'Renewable Diesel'!BD46</f>
        <v>0</v>
      </c>
      <c r="GG37" s="91">
        <f t="shared" si="0"/>
        <v>0</v>
      </c>
      <c r="GH37" s="92">
        <v>0.5</v>
      </c>
      <c r="GI37" s="102">
        <f>$GG37*EA37*'Feedstock Conversion Rates'!$B$2</f>
        <v>0</v>
      </c>
      <c r="GJ37" s="102">
        <f>$GG37*EB37*'Feedstock Conversion Rates'!$B$3</f>
        <v>0</v>
      </c>
      <c r="GK37" s="102">
        <f>$GG37*EC37*'Feedstock Conversion Rates'!$B$4</f>
        <v>0</v>
      </c>
      <c r="GL37" s="102">
        <f>$GG37*ED37*'Feedstock Conversion Rates'!$B$5</f>
        <v>0</v>
      </c>
      <c r="GM37" s="102">
        <f>$GG37*EE37*'Feedstock Conversion Rates'!$B$5</f>
        <v>0</v>
      </c>
      <c r="GN37" s="102">
        <f>$GG37*EF37*'Feedstock Conversion Rates'!$B$7</f>
        <v>0</v>
      </c>
      <c r="GO37" s="102">
        <f>$GG37*EG37*'Feedstock Conversion Rates'!$B$7</f>
        <v>0</v>
      </c>
      <c r="GP37" s="102">
        <f>$GG37*EH37*'Feedstock Conversion Rates'!B34</f>
        <v>0</v>
      </c>
      <c r="GQ37" s="102">
        <f t="shared" si="19"/>
        <v>0</v>
      </c>
      <c r="GT37" s="103">
        <f t="shared" si="11"/>
        <v>0.17762872013384315</v>
      </c>
      <c r="GU37" s="103">
        <f t="shared" si="11"/>
        <v>0.32833812840909793</v>
      </c>
      <c r="GV37" s="103">
        <f t="shared" si="11"/>
        <v>0</v>
      </c>
      <c r="GW37" s="103">
        <f t="shared" si="11"/>
        <v>0</v>
      </c>
      <c r="GX37" s="103">
        <f t="shared" si="11"/>
        <v>0</v>
      </c>
      <c r="GY37" s="103">
        <f t="shared" si="11"/>
        <v>0.37659747197373139</v>
      </c>
      <c r="GZ37" s="103">
        <f t="shared" si="11"/>
        <v>0.11743567948332753</v>
      </c>
      <c r="HA37" s="103">
        <f t="shared" si="11"/>
        <v>0</v>
      </c>
    </row>
    <row r="38" spans="1:209" x14ac:dyDescent="0.25">
      <c r="A38" s="96">
        <v>41579</v>
      </c>
      <c r="C38" s="105"/>
      <c r="D38" s="104">
        <v>0</v>
      </c>
      <c r="E38" s="104">
        <f>('Renewable Diesel'!B47*E$3*'Feedstock Conversion Rates'!$B$2)/12</f>
        <v>20.853333333333332</v>
      </c>
      <c r="F38" s="104">
        <f>('Renewable Diesel'!B47*'RD Feedstock Breakdown'!F$3*'Feedstock Conversion Rates'!B$8)/12</f>
        <v>12.5</v>
      </c>
      <c r="G38" s="104">
        <f>('Renewable Diesel'!B47*'RD Feedstock Breakdown'!G$3*'Feedstock Conversion Rates'!B$7)/12</f>
        <v>40.847999999999999</v>
      </c>
      <c r="H38" s="104">
        <f>('Renewable Diesel'!B47*'RD Feedstock Breakdown'!H$3*'Feedstock Conversion Rates'!B$3)/12</f>
        <v>40.904400000000003</v>
      </c>
      <c r="I38" s="106">
        <f t="shared" si="20"/>
        <v>115.10573333333335</v>
      </c>
      <c r="J38" s="106"/>
      <c r="K38" s="107"/>
      <c r="L38" s="106"/>
      <c r="T38" s="108"/>
      <c r="AC38" s="108"/>
      <c r="AG38" s="108"/>
      <c r="AT38" s="108"/>
      <c r="BX38" s="108"/>
      <c r="CI38" s="108"/>
      <c r="DD38" s="108"/>
      <c r="DJ38" s="108"/>
      <c r="DP38" s="104">
        <f t="shared" si="1"/>
        <v>20.853333333333332</v>
      </c>
      <c r="DQ38" s="104">
        <f t="shared" si="2"/>
        <v>40.904400000000003</v>
      </c>
      <c r="DR38" s="104">
        <f t="shared" si="13"/>
        <v>0</v>
      </c>
      <c r="DS38" s="108"/>
      <c r="DT38" s="104">
        <f t="shared" si="3"/>
        <v>0</v>
      </c>
      <c r="DU38" s="104">
        <f t="shared" si="4"/>
        <v>40.847999999999999</v>
      </c>
      <c r="DV38" s="104">
        <f t="shared" si="5"/>
        <v>12.5</v>
      </c>
      <c r="DW38" s="104">
        <f t="shared" si="6"/>
        <v>0</v>
      </c>
      <c r="DX38" s="106">
        <f t="shared" si="7"/>
        <v>115.10573333333333</v>
      </c>
      <c r="DY38" s="109">
        <f t="shared" si="8"/>
        <v>1.4210854715202004E-14</v>
      </c>
      <c r="EA38" s="110">
        <f t="shared" si="21"/>
        <v>0.18116676493380576</v>
      </c>
      <c r="EB38" s="110">
        <f t="shared" si="21"/>
        <v>0.35536370618086793</v>
      </c>
      <c r="EC38" s="110">
        <f t="shared" si="21"/>
        <v>0</v>
      </c>
      <c r="ED38" s="108"/>
      <c r="EE38" s="110">
        <f t="shared" si="22"/>
        <v>0</v>
      </c>
      <c r="EF38" s="110">
        <f t="shared" si="22"/>
        <v>0.35487372189974897</v>
      </c>
      <c r="EG38" s="110">
        <f t="shared" si="22"/>
        <v>0.10859580698557732</v>
      </c>
      <c r="EH38" s="111">
        <f t="shared" si="14"/>
        <v>0</v>
      </c>
      <c r="EI38" s="110">
        <f t="shared" si="15"/>
        <v>1</v>
      </c>
      <c r="EK38" s="112">
        <f>EA38*'Renewable Diesel'!BF47*'Feedstock Conversion Rates'!B$2</f>
        <v>17.337071880346528</v>
      </c>
      <c r="EL38" s="112">
        <f>EB38*'Renewable Diesel'!BF47*'Feedstock Conversion Rates'!B$3</f>
        <v>32.046741816288161</v>
      </c>
      <c r="EM38" s="112">
        <f>EC38*'Renewable Diesel'!BF47*'Feedstock Conversion Rates'!B$4</f>
        <v>0</v>
      </c>
      <c r="EN38" s="108"/>
      <c r="EO38" s="112">
        <f>EE38*'Renewable Diesel'!BF47*'Feedstock Conversion Rates'!B$6</f>
        <v>0</v>
      </c>
      <c r="EP38" s="112">
        <f>EF38*'Renewable Diesel'!BF47*'Feedstock Conversion Rates'!B$7</f>
        <v>36.756991981058562</v>
      </c>
      <c r="EQ38" s="112">
        <f>EG38*'Renewable Diesel'!BF47*'Feedstock Conversion Rates'!B$8</f>
        <v>11.462058697409221</v>
      </c>
      <c r="ER38" s="112">
        <f>EH38*'Renewable Diesel'!BF47*'Feedstock Conversion Rates'!B$9</f>
        <v>0</v>
      </c>
      <c r="ES38" s="112">
        <f t="shared" si="16"/>
        <v>97.60286437510247</v>
      </c>
      <c r="EW38" s="73">
        <f t="shared" si="17"/>
        <v>0</v>
      </c>
      <c r="EX38" s="73">
        <f t="shared" si="18"/>
        <v>97.60286437510247</v>
      </c>
      <c r="EY38" s="92">
        <f t="shared" si="10"/>
        <v>0</v>
      </c>
      <c r="EZ38" s="92">
        <f t="shared" si="10"/>
        <v>1</v>
      </c>
      <c r="FE38" s="108"/>
      <c r="GD38" s="91">
        <f>'Renewable Diesel'!BB47*0</f>
        <v>0</v>
      </c>
      <c r="GE38" s="91">
        <f>'Renewable Diesel'!BC47</f>
        <v>0</v>
      </c>
      <c r="GF38" s="91">
        <f>'Renewable Diesel'!BD47</f>
        <v>0</v>
      </c>
      <c r="GG38" s="91">
        <f t="shared" si="0"/>
        <v>0</v>
      </c>
      <c r="GH38" s="92">
        <v>0.5</v>
      </c>
      <c r="GI38" s="102">
        <f>$GG38*EA38*'Feedstock Conversion Rates'!$B$2</f>
        <v>0</v>
      </c>
      <c r="GJ38" s="102">
        <f>$GG38*EB38*'Feedstock Conversion Rates'!$B$3</f>
        <v>0</v>
      </c>
      <c r="GK38" s="102">
        <f>$GG38*EC38*'Feedstock Conversion Rates'!$B$4</f>
        <v>0</v>
      </c>
      <c r="GL38" s="102">
        <f>$GG38*ED38*'Feedstock Conversion Rates'!$B$5</f>
        <v>0</v>
      </c>
      <c r="GM38" s="102">
        <f>$GG38*EE38*'Feedstock Conversion Rates'!$B$5</f>
        <v>0</v>
      </c>
      <c r="GN38" s="102">
        <f>$GG38*EF38*'Feedstock Conversion Rates'!$B$7</f>
        <v>0</v>
      </c>
      <c r="GO38" s="102">
        <f>$GG38*EG38*'Feedstock Conversion Rates'!$B$7</f>
        <v>0</v>
      </c>
      <c r="GP38" s="102">
        <f>$GG38*EH38*'Feedstock Conversion Rates'!B35</f>
        <v>0</v>
      </c>
      <c r="GQ38" s="102">
        <f t="shared" si="19"/>
        <v>0</v>
      </c>
      <c r="GT38" s="103">
        <f t="shared" si="11"/>
        <v>0.17762872013384318</v>
      </c>
      <c r="GU38" s="103">
        <f t="shared" si="11"/>
        <v>0.32833812840909787</v>
      </c>
      <c r="GV38" s="103">
        <f t="shared" si="11"/>
        <v>0</v>
      </c>
      <c r="GW38" s="103">
        <f t="shared" si="11"/>
        <v>0</v>
      </c>
      <c r="GX38" s="103">
        <f t="shared" si="11"/>
        <v>0</v>
      </c>
      <c r="GY38" s="103">
        <f t="shared" si="11"/>
        <v>0.37659747197373145</v>
      </c>
      <c r="GZ38" s="103">
        <f t="shared" si="11"/>
        <v>0.11743567948332753</v>
      </c>
      <c r="HA38" s="103">
        <f t="shared" si="11"/>
        <v>0</v>
      </c>
    </row>
    <row r="39" spans="1:209" x14ac:dyDescent="0.25">
      <c r="A39" s="96">
        <v>41609</v>
      </c>
      <c r="C39" s="105"/>
      <c r="D39" s="104">
        <v>0</v>
      </c>
      <c r="E39" s="104">
        <f>('Renewable Diesel'!B48*E$3*'Feedstock Conversion Rates'!$B$2)/12</f>
        <v>20.853333333333332</v>
      </c>
      <c r="F39" s="104">
        <f>('Renewable Diesel'!B48*'RD Feedstock Breakdown'!F$3*'Feedstock Conversion Rates'!B$8)/12</f>
        <v>12.5</v>
      </c>
      <c r="G39" s="104">
        <f>('Renewable Diesel'!B48*'RD Feedstock Breakdown'!G$3*'Feedstock Conversion Rates'!B$7)/12</f>
        <v>40.847999999999999</v>
      </c>
      <c r="H39" s="104">
        <f>('Renewable Diesel'!B48*'RD Feedstock Breakdown'!H$3*'Feedstock Conversion Rates'!B$3)/12</f>
        <v>40.904400000000003</v>
      </c>
      <c r="I39" s="106">
        <f t="shared" si="20"/>
        <v>115.10573333333335</v>
      </c>
      <c r="J39" s="106"/>
      <c r="K39" s="107"/>
      <c r="L39" s="106"/>
      <c r="T39" s="108"/>
      <c r="AC39" s="108"/>
      <c r="AG39" s="108"/>
      <c r="AT39" s="108"/>
      <c r="BX39" s="108"/>
      <c r="CI39" s="108"/>
      <c r="DD39" s="108"/>
      <c r="DJ39" s="108"/>
      <c r="DP39" s="104">
        <f t="shared" si="1"/>
        <v>20.853333333333332</v>
      </c>
      <c r="DQ39" s="104">
        <f t="shared" si="2"/>
        <v>40.904400000000003</v>
      </c>
      <c r="DR39" s="104">
        <f t="shared" si="13"/>
        <v>0</v>
      </c>
      <c r="DS39" s="108"/>
      <c r="DT39" s="104">
        <f t="shared" si="3"/>
        <v>0</v>
      </c>
      <c r="DU39" s="104">
        <f t="shared" si="4"/>
        <v>40.847999999999999</v>
      </c>
      <c r="DV39" s="104">
        <f t="shared" si="5"/>
        <v>12.5</v>
      </c>
      <c r="DW39" s="104">
        <f t="shared" si="6"/>
        <v>0</v>
      </c>
      <c r="DX39" s="106">
        <f t="shared" si="7"/>
        <v>115.10573333333333</v>
      </c>
      <c r="DY39" s="109">
        <f t="shared" si="8"/>
        <v>1.4210854715202004E-14</v>
      </c>
      <c r="EA39" s="110">
        <f t="shared" si="21"/>
        <v>0.18116676493380576</v>
      </c>
      <c r="EB39" s="110">
        <f t="shared" si="21"/>
        <v>0.35536370618086793</v>
      </c>
      <c r="EC39" s="110">
        <f t="shared" si="21"/>
        <v>0</v>
      </c>
      <c r="ED39" s="108"/>
      <c r="EE39" s="110">
        <f t="shared" si="22"/>
        <v>0</v>
      </c>
      <c r="EF39" s="110">
        <f t="shared" si="22"/>
        <v>0.35487372189974897</v>
      </c>
      <c r="EG39" s="110">
        <f t="shared" si="22"/>
        <v>0.10859580698557732</v>
      </c>
      <c r="EH39" s="111">
        <f t="shared" si="14"/>
        <v>0</v>
      </c>
      <c r="EI39" s="110">
        <f t="shared" si="15"/>
        <v>1</v>
      </c>
      <c r="EK39" s="112">
        <f>EA39*'Renewable Diesel'!BF48*'Feedstock Conversion Rates'!B$2</f>
        <v>20.524799664076969</v>
      </c>
      <c r="EL39" s="112">
        <f>EB39*'Renewable Diesel'!BF48*'Feedstock Conversion Rates'!B$3</f>
        <v>37.939102993011623</v>
      </c>
      <c r="EM39" s="112">
        <f>EC39*'Renewable Diesel'!BF48*'Feedstock Conversion Rates'!B$4</f>
        <v>0</v>
      </c>
      <c r="EN39" s="108"/>
      <c r="EO39" s="112">
        <f>EE39*'Renewable Diesel'!BF48*'Feedstock Conversion Rates'!B$6</f>
        <v>0</v>
      </c>
      <c r="EP39" s="112">
        <f>EF39*'Renewable Diesel'!BF48*'Feedstock Conversion Rates'!B$7</f>
        <v>43.515416090564848</v>
      </c>
      <c r="EQ39" s="112">
        <f>EG39*'Renewable Diesel'!BF48*'Feedstock Conversion Rates'!B$8</f>
        <v>13.569561234207274</v>
      </c>
      <c r="ER39" s="112">
        <f>EH39*'Renewable Diesel'!BF48*'Feedstock Conversion Rates'!B$9</f>
        <v>0</v>
      </c>
      <c r="ES39" s="112">
        <f t="shared" si="16"/>
        <v>115.54887998186072</v>
      </c>
      <c r="EW39" s="73">
        <f t="shared" si="17"/>
        <v>0</v>
      </c>
      <c r="EX39" s="73">
        <f t="shared" si="18"/>
        <v>115.54887998186072</v>
      </c>
      <c r="EY39" s="92">
        <f t="shared" si="10"/>
        <v>0</v>
      </c>
      <c r="EZ39" s="92">
        <f t="shared" si="10"/>
        <v>1</v>
      </c>
      <c r="FE39" s="108"/>
      <c r="GD39" s="91">
        <f>'Renewable Diesel'!BB48*0</f>
        <v>0</v>
      </c>
      <c r="GE39" s="91">
        <f>'Renewable Diesel'!BC48</f>
        <v>0</v>
      </c>
      <c r="GF39" s="91">
        <f>'Renewable Diesel'!BD48</f>
        <v>0</v>
      </c>
      <c r="GG39" s="91">
        <f t="shared" si="0"/>
        <v>0</v>
      </c>
      <c r="GH39" s="92">
        <v>0.5</v>
      </c>
      <c r="GI39" s="102">
        <f>$GG39*EA39*'Feedstock Conversion Rates'!$B$2</f>
        <v>0</v>
      </c>
      <c r="GJ39" s="102">
        <f>$GG39*EB39*'Feedstock Conversion Rates'!$B$3</f>
        <v>0</v>
      </c>
      <c r="GK39" s="102">
        <f>$GG39*EC39*'Feedstock Conversion Rates'!$B$4</f>
        <v>0</v>
      </c>
      <c r="GL39" s="102">
        <f>$GG39*ED39*'Feedstock Conversion Rates'!$B$5</f>
        <v>0</v>
      </c>
      <c r="GM39" s="102">
        <f>$GG39*EE39*'Feedstock Conversion Rates'!$B$5</f>
        <v>0</v>
      </c>
      <c r="GN39" s="102">
        <f>$GG39*EF39*'Feedstock Conversion Rates'!$B$7</f>
        <v>0</v>
      </c>
      <c r="GO39" s="102">
        <f>$GG39*EG39*'Feedstock Conversion Rates'!$B$7</f>
        <v>0</v>
      </c>
      <c r="GP39" s="102">
        <f>$GG39*EH39*'Feedstock Conversion Rates'!B36</f>
        <v>0</v>
      </c>
      <c r="GQ39" s="102">
        <f t="shared" si="19"/>
        <v>0</v>
      </c>
      <c r="GT39" s="103">
        <f t="shared" si="11"/>
        <v>0.17762872013384315</v>
      </c>
      <c r="GU39" s="103">
        <f t="shared" si="11"/>
        <v>0.32833812840909787</v>
      </c>
      <c r="GV39" s="103">
        <f t="shared" si="11"/>
        <v>0</v>
      </c>
      <c r="GW39" s="103">
        <f t="shared" si="11"/>
        <v>0</v>
      </c>
      <c r="GX39" s="103">
        <f t="shared" si="11"/>
        <v>0</v>
      </c>
      <c r="GY39" s="103">
        <f t="shared" si="11"/>
        <v>0.37659747197373139</v>
      </c>
      <c r="GZ39" s="103">
        <f t="shared" si="11"/>
        <v>0.11743567948332752</v>
      </c>
      <c r="HA39" s="103">
        <f t="shared" si="11"/>
        <v>0</v>
      </c>
    </row>
    <row r="40" spans="1:209" x14ac:dyDescent="0.25">
      <c r="A40" s="96">
        <v>41640</v>
      </c>
      <c r="C40" s="105"/>
      <c r="D40" s="104">
        <v>0</v>
      </c>
      <c r="E40" s="104">
        <f>('Renewable Diesel'!B49*E$3*'Feedstock Conversion Rates'!$B$2)/12</f>
        <v>20.853333333333332</v>
      </c>
      <c r="F40" s="104">
        <f>('Renewable Diesel'!B49*'RD Feedstock Breakdown'!F$3*'Feedstock Conversion Rates'!B$8)/12</f>
        <v>12.5</v>
      </c>
      <c r="G40" s="104">
        <f>('Renewable Diesel'!B49*'RD Feedstock Breakdown'!G$3*'Feedstock Conversion Rates'!B$7)/12</f>
        <v>40.847999999999999</v>
      </c>
      <c r="H40" s="104">
        <f>('Renewable Diesel'!B49*'RD Feedstock Breakdown'!H$3*'Feedstock Conversion Rates'!B$3)/12</f>
        <v>40.904400000000003</v>
      </c>
      <c r="I40" s="106">
        <f t="shared" si="20"/>
        <v>115.10573333333335</v>
      </c>
      <c r="J40" s="106"/>
      <c r="K40" s="107"/>
      <c r="L40" s="106"/>
      <c r="T40" s="108"/>
      <c r="AC40" s="108"/>
      <c r="AG40" s="108"/>
      <c r="AT40" s="108"/>
      <c r="BX40" s="108"/>
      <c r="CI40" s="108"/>
      <c r="DD40" s="108"/>
      <c r="DJ40" s="108"/>
      <c r="DP40" s="104">
        <f t="shared" si="1"/>
        <v>20.853333333333332</v>
      </c>
      <c r="DQ40" s="104">
        <f t="shared" si="2"/>
        <v>40.904400000000003</v>
      </c>
      <c r="DR40" s="104">
        <f t="shared" si="13"/>
        <v>0</v>
      </c>
      <c r="DS40" s="108"/>
      <c r="DT40" s="104">
        <f t="shared" si="3"/>
        <v>0</v>
      </c>
      <c r="DU40" s="104">
        <f t="shared" si="4"/>
        <v>40.847999999999999</v>
      </c>
      <c r="DV40" s="104">
        <f t="shared" si="5"/>
        <v>12.5</v>
      </c>
      <c r="DW40" s="104">
        <f t="shared" si="6"/>
        <v>0</v>
      </c>
      <c r="DX40" s="106">
        <f t="shared" si="7"/>
        <v>115.10573333333333</v>
      </c>
      <c r="DY40" s="109">
        <f t="shared" si="8"/>
        <v>1.4210854715202004E-14</v>
      </c>
      <c r="EA40" s="110">
        <f t="shared" si="21"/>
        <v>0.18116676493380576</v>
      </c>
      <c r="EB40" s="110">
        <f t="shared" si="21"/>
        <v>0.35536370618086793</v>
      </c>
      <c r="EC40" s="110">
        <f t="shared" si="21"/>
        <v>0</v>
      </c>
      <c r="ED40" s="108"/>
      <c r="EE40" s="110">
        <f t="shared" si="22"/>
        <v>0</v>
      </c>
      <c r="EF40" s="110">
        <f t="shared" si="22"/>
        <v>0.35487372189974897</v>
      </c>
      <c r="EG40" s="110">
        <f t="shared" si="22"/>
        <v>0.10859580698557732</v>
      </c>
      <c r="EH40" s="111">
        <f t="shared" si="14"/>
        <v>0</v>
      </c>
      <c r="EI40" s="110">
        <f t="shared" si="15"/>
        <v>1</v>
      </c>
      <c r="EK40" s="112">
        <f>EA40*'Renewable Diesel'!BF49*'Feedstock Conversion Rates'!B$2</f>
        <v>15.544652565699014</v>
      </c>
      <c r="EL40" s="112">
        <f>EB40*'Renewable Diesel'!BF49*'Feedstock Conversion Rates'!B$3</f>
        <v>28.733541098227288</v>
      </c>
      <c r="EM40" s="112">
        <f>EC40*'Renewable Diesel'!BF49*'Feedstock Conversion Rates'!B$4</f>
        <v>0</v>
      </c>
      <c r="EN40" s="108"/>
      <c r="EO40" s="112">
        <f>EE40*'Renewable Diesel'!BF49*'Feedstock Conversion Rates'!B$6</f>
        <v>0</v>
      </c>
      <c r="EP40" s="112">
        <f>EF40*'Renewable Diesel'!BF49*'Feedstock Conversion Rates'!B$7</f>
        <v>32.956814948287544</v>
      </c>
      <c r="EQ40" s="112">
        <f>EG40*'Renewable Diesel'!BF49*'Feedstock Conversion Rates'!B$8</f>
        <v>10.277036478164135</v>
      </c>
      <c r="ER40" s="112">
        <f>EH40*'Renewable Diesel'!BF49*'Feedstock Conversion Rates'!B$9</f>
        <v>0</v>
      </c>
      <c r="ES40" s="112">
        <f t="shared" si="16"/>
        <v>87.512045090377981</v>
      </c>
      <c r="EW40" s="73">
        <f t="shared" si="17"/>
        <v>0</v>
      </c>
      <c r="EX40" s="73">
        <f t="shared" si="18"/>
        <v>87.512045090377981</v>
      </c>
      <c r="EY40" s="92">
        <f t="shared" si="10"/>
        <v>0</v>
      </c>
      <c r="EZ40" s="92">
        <f t="shared" si="10"/>
        <v>1</v>
      </c>
      <c r="FE40" s="108"/>
      <c r="GD40" s="91">
        <f>'Renewable Diesel'!BB49*0</f>
        <v>0</v>
      </c>
      <c r="GE40" s="91">
        <f>'Renewable Diesel'!BC49</f>
        <v>0</v>
      </c>
      <c r="GF40" s="91">
        <f>'Renewable Diesel'!BD49</f>
        <v>0</v>
      </c>
      <c r="GG40" s="91">
        <f t="shared" si="0"/>
        <v>0</v>
      </c>
      <c r="GH40" s="92">
        <v>0.5</v>
      </c>
      <c r="GI40" s="102">
        <f>$GG40*EA40*'Feedstock Conversion Rates'!$B$2</f>
        <v>0</v>
      </c>
      <c r="GJ40" s="102">
        <f>$GG40*EB40*'Feedstock Conversion Rates'!$B$3</f>
        <v>0</v>
      </c>
      <c r="GK40" s="102">
        <f>$GG40*EC40*'Feedstock Conversion Rates'!$B$4</f>
        <v>0</v>
      </c>
      <c r="GL40" s="102">
        <f>$GG40*ED40*'Feedstock Conversion Rates'!$B$5</f>
        <v>0</v>
      </c>
      <c r="GM40" s="102">
        <f>$GG40*EE40*'Feedstock Conversion Rates'!$B$5</f>
        <v>0</v>
      </c>
      <c r="GN40" s="102">
        <f>$GG40*EF40*'Feedstock Conversion Rates'!$B$7</f>
        <v>0</v>
      </c>
      <c r="GO40" s="102">
        <f>$GG40*EG40*'Feedstock Conversion Rates'!$B$7</f>
        <v>0</v>
      </c>
      <c r="GP40" s="102">
        <f>$GG40*EH40*'Feedstock Conversion Rates'!B37</f>
        <v>0</v>
      </c>
      <c r="GQ40" s="102">
        <f t="shared" si="19"/>
        <v>0</v>
      </c>
      <c r="GT40" s="103">
        <f t="shared" si="11"/>
        <v>0.17762872013384315</v>
      </c>
      <c r="GU40" s="103">
        <f t="shared" si="11"/>
        <v>0.32833812840909787</v>
      </c>
      <c r="GV40" s="103">
        <f t="shared" si="11"/>
        <v>0</v>
      </c>
      <c r="GW40" s="103">
        <f t="shared" si="11"/>
        <v>0</v>
      </c>
      <c r="GX40" s="103">
        <f t="shared" si="11"/>
        <v>0</v>
      </c>
      <c r="GY40" s="103">
        <f t="shared" si="11"/>
        <v>0.37659747197373145</v>
      </c>
      <c r="GZ40" s="103">
        <f t="shared" si="11"/>
        <v>0.11743567948332753</v>
      </c>
      <c r="HA40" s="103">
        <f t="shared" si="11"/>
        <v>0</v>
      </c>
    </row>
    <row r="41" spans="1:209" x14ac:dyDescent="0.25">
      <c r="A41" s="96">
        <v>41671</v>
      </c>
      <c r="C41" s="105"/>
      <c r="D41" s="104">
        <v>0</v>
      </c>
      <c r="E41" s="104">
        <f>('Renewable Diesel'!B50*E$3*'Feedstock Conversion Rates'!$B$2)/12</f>
        <v>20.853333333333332</v>
      </c>
      <c r="F41" s="104">
        <f>('Renewable Diesel'!B50*'RD Feedstock Breakdown'!F$3*'Feedstock Conversion Rates'!B$8)/12</f>
        <v>12.5</v>
      </c>
      <c r="G41" s="104">
        <f>('Renewable Diesel'!B50*'RD Feedstock Breakdown'!G$3*'Feedstock Conversion Rates'!B$7)/12</f>
        <v>40.847999999999999</v>
      </c>
      <c r="H41" s="104">
        <f>('Renewable Diesel'!B50*'RD Feedstock Breakdown'!H$3*'Feedstock Conversion Rates'!B$3)/12</f>
        <v>40.904400000000003</v>
      </c>
      <c r="I41" s="106">
        <f t="shared" si="20"/>
        <v>115.10573333333335</v>
      </c>
      <c r="J41" s="106"/>
      <c r="K41" s="107"/>
      <c r="L41" s="106"/>
      <c r="T41" s="108"/>
      <c r="AC41" s="108"/>
      <c r="AG41" s="108"/>
      <c r="AT41" s="108"/>
      <c r="BX41" s="108"/>
      <c r="CI41" s="108"/>
      <c r="DD41" s="108"/>
      <c r="DJ41" s="108"/>
      <c r="DP41" s="104">
        <f t="shared" si="1"/>
        <v>20.853333333333332</v>
      </c>
      <c r="DQ41" s="104">
        <f t="shared" si="2"/>
        <v>40.904400000000003</v>
      </c>
      <c r="DR41" s="104">
        <f t="shared" si="13"/>
        <v>0</v>
      </c>
      <c r="DS41" s="108"/>
      <c r="DT41" s="104">
        <f t="shared" si="3"/>
        <v>0</v>
      </c>
      <c r="DU41" s="104">
        <f t="shared" si="4"/>
        <v>40.847999999999999</v>
      </c>
      <c r="DV41" s="104">
        <f t="shared" si="5"/>
        <v>12.5</v>
      </c>
      <c r="DW41" s="104">
        <f t="shared" si="6"/>
        <v>0</v>
      </c>
      <c r="DX41" s="106">
        <f t="shared" si="7"/>
        <v>115.10573333333333</v>
      </c>
      <c r="DY41" s="109">
        <f t="shared" si="8"/>
        <v>1.4210854715202004E-14</v>
      </c>
      <c r="EA41" s="110">
        <f t="shared" si="21"/>
        <v>0.18116676493380576</v>
      </c>
      <c r="EB41" s="110">
        <f t="shared" si="21"/>
        <v>0.35536370618086793</v>
      </c>
      <c r="EC41" s="110">
        <f t="shared" si="21"/>
        <v>0</v>
      </c>
      <c r="ED41" s="108"/>
      <c r="EE41" s="110">
        <f t="shared" si="22"/>
        <v>0</v>
      </c>
      <c r="EF41" s="110">
        <f t="shared" si="22"/>
        <v>0.35487372189974897</v>
      </c>
      <c r="EG41" s="110">
        <f t="shared" si="22"/>
        <v>0.10859580698557732</v>
      </c>
      <c r="EH41" s="111">
        <f t="shared" si="14"/>
        <v>0</v>
      </c>
      <c r="EI41" s="110">
        <f t="shared" si="15"/>
        <v>1</v>
      </c>
      <c r="EK41" s="112">
        <f>EA41*'Renewable Diesel'!BF50*'Feedstock Conversion Rates'!B$2</f>
        <v>18.124699644732438</v>
      </c>
      <c r="EL41" s="112">
        <f>EB41*'Renewable Diesel'!BF50*'Feedstock Conversion Rates'!B$3</f>
        <v>33.502633779291948</v>
      </c>
      <c r="EM41" s="112">
        <f>EC41*'Renewable Diesel'!BF50*'Feedstock Conversion Rates'!B$4</f>
        <v>0</v>
      </c>
      <c r="EN41" s="108"/>
      <c r="EO41" s="112">
        <f>EE41*'Renewable Diesel'!BF50*'Feedstock Conversion Rates'!B$6</f>
        <v>0</v>
      </c>
      <c r="EP41" s="112">
        <f>EF41*'Renewable Diesel'!BF50*'Feedstock Conversion Rates'!B$7</f>
        <v>38.426871855780128</v>
      </c>
      <c r="EQ41" s="112">
        <f>EG41*'Renewable Diesel'!BF50*'Feedstock Conversion Rates'!B$8</f>
        <v>11.982783057866795</v>
      </c>
      <c r="ER41" s="112">
        <f>EH41*'Renewable Diesel'!BF50*'Feedstock Conversion Rates'!B$9</f>
        <v>0</v>
      </c>
      <c r="ES41" s="112">
        <f t="shared" si="16"/>
        <v>102.0369883376713</v>
      </c>
      <c r="EW41" s="73">
        <f t="shared" si="17"/>
        <v>0</v>
      </c>
      <c r="EX41" s="73">
        <f t="shared" si="18"/>
        <v>102.03698833767132</v>
      </c>
      <c r="EY41" s="92">
        <f t="shared" si="10"/>
        <v>0</v>
      </c>
      <c r="EZ41" s="92">
        <f t="shared" si="10"/>
        <v>1.0000000000000002</v>
      </c>
      <c r="FE41" s="108"/>
      <c r="GD41" s="91">
        <f>'Renewable Diesel'!BB50*0</f>
        <v>0</v>
      </c>
      <c r="GE41" s="91">
        <f>'Renewable Diesel'!BC50</f>
        <v>0</v>
      </c>
      <c r="GF41" s="91">
        <f>'Renewable Diesel'!BD50</f>
        <v>0</v>
      </c>
      <c r="GG41" s="91">
        <f t="shared" si="0"/>
        <v>0</v>
      </c>
      <c r="GH41" s="92">
        <v>0.5</v>
      </c>
      <c r="GI41" s="102">
        <f>$GG41*EA41*'Feedstock Conversion Rates'!$B$2</f>
        <v>0</v>
      </c>
      <c r="GJ41" s="102">
        <f>$GG41*EB41*'Feedstock Conversion Rates'!$B$3</f>
        <v>0</v>
      </c>
      <c r="GK41" s="102">
        <f>$GG41*EC41*'Feedstock Conversion Rates'!$B$4</f>
        <v>0</v>
      </c>
      <c r="GL41" s="102">
        <f>$GG41*ED41*'Feedstock Conversion Rates'!$B$5</f>
        <v>0</v>
      </c>
      <c r="GM41" s="102">
        <f>$GG41*EE41*'Feedstock Conversion Rates'!$B$5</f>
        <v>0</v>
      </c>
      <c r="GN41" s="102">
        <f>$GG41*EF41*'Feedstock Conversion Rates'!$B$7</f>
        <v>0</v>
      </c>
      <c r="GO41" s="102">
        <f>$GG41*EG41*'Feedstock Conversion Rates'!$B$7</f>
        <v>0</v>
      </c>
      <c r="GP41" s="102">
        <f>$GG41*EH41*'Feedstock Conversion Rates'!B38</f>
        <v>0</v>
      </c>
      <c r="GQ41" s="102">
        <f t="shared" si="19"/>
        <v>0</v>
      </c>
      <c r="GT41" s="103">
        <f t="shared" si="11"/>
        <v>0.1776287201338432</v>
      </c>
      <c r="GU41" s="103">
        <f t="shared" si="11"/>
        <v>0.32833812840909793</v>
      </c>
      <c r="GV41" s="103">
        <f t="shared" si="11"/>
        <v>0</v>
      </c>
      <c r="GW41" s="103">
        <f t="shared" si="11"/>
        <v>0</v>
      </c>
      <c r="GX41" s="103">
        <f t="shared" si="11"/>
        <v>0</v>
      </c>
      <c r="GY41" s="103">
        <f t="shared" si="11"/>
        <v>0.37659747197373139</v>
      </c>
      <c r="GZ41" s="103">
        <f t="shared" si="11"/>
        <v>0.11743567948332752</v>
      </c>
      <c r="HA41" s="103">
        <f t="shared" si="11"/>
        <v>0</v>
      </c>
    </row>
    <row r="42" spans="1:209" x14ac:dyDescent="0.25">
      <c r="A42" s="96">
        <v>41699</v>
      </c>
      <c r="C42" s="105"/>
      <c r="D42" s="104">
        <v>0</v>
      </c>
      <c r="E42" s="104">
        <f>('Renewable Diesel'!B51*E$3*'Feedstock Conversion Rates'!$B$2)/12</f>
        <v>20.853333333333332</v>
      </c>
      <c r="F42" s="104">
        <f>('Renewable Diesel'!B51*'RD Feedstock Breakdown'!F$3*'Feedstock Conversion Rates'!B$8)/12</f>
        <v>12.5</v>
      </c>
      <c r="G42" s="104">
        <f>('Renewable Diesel'!B51*'RD Feedstock Breakdown'!G$3*'Feedstock Conversion Rates'!B$7)/12</f>
        <v>40.847999999999999</v>
      </c>
      <c r="H42" s="104">
        <f>('Renewable Diesel'!B51*'RD Feedstock Breakdown'!H$3*'Feedstock Conversion Rates'!B$3)/12</f>
        <v>40.904400000000003</v>
      </c>
      <c r="I42" s="106">
        <f t="shared" si="20"/>
        <v>115.10573333333335</v>
      </c>
      <c r="J42" s="106"/>
      <c r="K42" s="107"/>
      <c r="L42" s="106"/>
      <c r="T42" s="108"/>
      <c r="AC42" s="108"/>
      <c r="AG42" s="108"/>
      <c r="AT42" s="108"/>
      <c r="BX42" s="108"/>
      <c r="CI42" s="108"/>
      <c r="DD42" s="108"/>
      <c r="DJ42" s="108"/>
      <c r="DP42" s="104">
        <f t="shared" si="1"/>
        <v>20.853333333333332</v>
      </c>
      <c r="DQ42" s="104">
        <f t="shared" si="2"/>
        <v>40.904400000000003</v>
      </c>
      <c r="DR42" s="104">
        <f t="shared" si="13"/>
        <v>0</v>
      </c>
      <c r="DS42" s="108"/>
      <c r="DT42" s="104">
        <f t="shared" si="3"/>
        <v>0</v>
      </c>
      <c r="DU42" s="104">
        <f t="shared" si="4"/>
        <v>40.847999999999999</v>
      </c>
      <c r="DV42" s="104">
        <f t="shared" si="5"/>
        <v>12.5</v>
      </c>
      <c r="DW42" s="104">
        <f t="shared" si="6"/>
        <v>0</v>
      </c>
      <c r="DX42" s="106">
        <f t="shared" si="7"/>
        <v>115.10573333333333</v>
      </c>
      <c r="DY42" s="109">
        <f t="shared" si="8"/>
        <v>1.4210854715202004E-14</v>
      </c>
      <c r="EA42" s="110">
        <f t="shared" si="21"/>
        <v>0.18116676493380576</v>
      </c>
      <c r="EB42" s="110">
        <f t="shared" si="21"/>
        <v>0.35536370618086793</v>
      </c>
      <c r="EC42" s="110">
        <f t="shared" si="21"/>
        <v>0</v>
      </c>
      <c r="ED42" s="108"/>
      <c r="EE42" s="110">
        <f t="shared" si="22"/>
        <v>0</v>
      </c>
      <c r="EF42" s="110">
        <f t="shared" si="22"/>
        <v>0.35487372189974897</v>
      </c>
      <c r="EG42" s="110">
        <f t="shared" si="22"/>
        <v>0.10859580698557732</v>
      </c>
      <c r="EH42" s="111">
        <f t="shared" si="14"/>
        <v>0</v>
      </c>
      <c r="EI42" s="110">
        <f t="shared" si="15"/>
        <v>1</v>
      </c>
      <c r="EK42" s="112">
        <f>EA42*'Renewable Diesel'!BF51*'Feedstock Conversion Rates'!B$2</f>
        <v>21.889634705714048</v>
      </c>
      <c r="EL42" s="112">
        <f>EB42*'Renewable Diesel'!BF51*'Feedstock Conversion Rates'!B$3</f>
        <v>40.461934789697473</v>
      </c>
      <c r="EM42" s="112">
        <f>EC42*'Renewable Diesel'!BF51*'Feedstock Conversion Rates'!B$4</f>
        <v>0</v>
      </c>
      <c r="EN42" s="108"/>
      <c r="EO42" s="112">
        <f>EE42*'Renewable Diesel'!BF51*'Feedstock Conversion Rates'!B$6</f>
        <v>0</v>
      </c>
      <c r="EP42" s="112">
        <f>EF42*'Renewable Diesel'!BF51*'Feedstock Conversion Rates'!B$7</f>
        <v>46.409055283339484</v>
      </c>
      <c r="EQ42" s="112">
        <f>EG42*'Renewable Diesel'!BF51*'Feedstock Conversion Rates'!B$8</f>
        <v>14.471894654031134</v>
      </c>
      <c r="ER42" s="112">
        <f>EH42*'Renewable Diesel'!BF51*'Feedstock Conversion Rates'!B$9</f>
        <v>0</v>
      </c>
      <c r="ES42" s="112">
        <f t="shared" si="16"/>
        <v>123.23251943278214</v>
      </c>
      <c r="EW42" s="73">
        <f t="shared" si="17"/>
        <v>0</v>
      </c>
      <c r="EX42" s="73">
        <f t="shared" si="18"/>
        <v>123.23251943278214</v>
      </c>
      <c r="EY42" s="92">
        <f t="shared" si="10"/>
        <v>0</v>
      </c>
      <c r="EZ42" s="92">
        <f t="shared" si="10"/>
        <v>1</v>
      </c>
      <c r="FE42" s="108"/>
      <c r="GD42" s="91">
        <f>'Renewable Diesel'!BB51*0</f>
        <v>0</v>
      </c>
      <c r="GE42" s="91">
        <f>'Renewable Diesel'!BC51</f>
        <v>0</v>
      </c>
      <c r="GF42" s="91">
        <f>'Renewable Diesel'!BD51</f>
        <v>0</v>
      </c>
      <c r="GG42" s="91">
        <f t="shared" si="0"/>
        <v>0</v>
      </c>
      <c r="GH42" s="92">
        <v>0.5</v>
      </c>
      <c r="GI42" s="102">
        <f>$GG42*EA42*'Feedstock Conversion Rates'!$B$2</f>
        <v>0</v>
      </c>
      <c r="GJ42" s="102">
        <f>$GG42*EB42*'Feedstock Conversion Rates'!$B$3</f>
        <v>0</v>
      </c>
      <c r="GK42" s="102">
        <f>$GG42*EC42*'Feedstock Conversion Rates'!$B$4</f>
        <v>0</v>
      </c>
      <c r="GL42" s="102">
        <f>$GG42*ED42*'Feedstock Conversion Rates'!$B$5</f>
        <v>0</v>
      </c>
      <c r="GM42" s="102">
        <f>$GG42*EE42*'Feedstock Conversion Rates'!$B$5</f>
        <v>0</v>
      </c>
      <c r="GN42" s="102">
        <f>$GG42*EF42*'Feedstock Conversion Rates'!$B$7</f>
        <v>0</v>
      </c>
      <c r="GO42" s="102">
        <f>$GG42*EG42*'Feedstock Conversion Rates'!$B$7</f>
        <v>0</v>
      </c>
      <c r="GP42" s="102">
        <f>$GG42*EH42*'Feedstock Conversion Rates'!B39</f>
        <v>0</v>
      </c>
      <c r="GQ42" s="102">
        <f t="shared" si="19"/>
        <v>0</v>
      </c>
      <c r="GT42" s="103">
        <f t="shared" si="11"/>
        <v>0.17762872013384318</v>
      </c>
      <c r="GU42" s="103">
        <f t="shared" si="11"/>
        <v>0.32833812840909787</v>
      </c>
      <c r="GV42" s="103">
        <f t="shared" si="11"/>
        <v>0</v>
      </c>
      <c r="GW42" s="103">
        <f t="shared" si="11"/>
        <v>0</v>
      </c>
      <c r="GX42" s="103">
        <f t="shared" si="11"/>
        <v>0</v>
      </c>
      <c r="GY42" s="103">
        <f t="shared" si="11"/>
        <v>0.37659747197373139</v>
      </c>
      <c r="GZ42" s="103">
        <f t="shared" si="11"/>
        <v>0.11743567948332752</v>
      </c>
      <c r="HA42" s="103">
        <f t="shared" si="11"/>
        <v>0</v>
      </c>
    </row>
    <row r="43" spans="1:209" x14ac:dyDescent="0.25">
      <c r="A43" s="96">
        <v>41730</v>
      </c>
      <c r="C43" s="105"/>
      <c r="D43" s="104">
        <v>0</v>
      </c>
      <c r="E43" s="104">
        <f>('Renewable Diesel'!B52*E$3*'Feedstock Conversion Rates'!$B$2)/12</f>
        <v>20.853333333333332</v>
      </c>
      <c r="F43" s="104">
        <f>('Renewable Diesel'!B52*'RD Feedstock Breakdown'!F$3*'Feedstock Conversion Rates'!B$8)/12</f>
        <v>12.5</v>
      </c>
      <c r="G43" s="104">
        <f>('Renewable Diesel'!B52*'RD Feedstock Breakdown'!G$3*'Feedstock Conversion Rates'!B$7)/12</f>
        <v>40.847999999999999</v>
      </c>
      <c r="H43" s="104">
        <f>('Renewable Diesel'!B52*'RD Feedstock Breakdown'!H$3*'Feedstock Conversion Rates'!B$3)/12</f>
        <v>40.904400000000003</v>
      </c>
      <c r="I43" s="106">
        <f t="shared" si="20"/>
        <v>115.10573333333335</v>
      </c>
      <c r="J43" s="106"/>
      <c r="K43" s="107"/>
      <c r="L43" s="106"/>
      <c r="T43" s="108"/>
      <c r="AC43" s="108"/>
      <c r="AG43" s="108"/>
      <c r="AT43" s="108"/>
      <c r="BX43" s="108"/>
      <c r="CI43" s="108"/>
      <c r="DD43" s="108"/>
      <c r="DJ43" s="108"/>
      <c r="DP43" s="104">
        <f t="shared" si="1"/>
        <v>20.853333333333332</v>
      </c>
      <c r="DQ43" s="104">
        <f t="shared" si="2"/>
        <v>40.904400000000003</v>
      </c>
      <c r="DR43" s="104">
        <f t="shared" si="13"/>
        <v>0</v>
      </c>
      <c r="DS43" s="108"/>
      <c r="DT43" s="104">
        <f t="shared" si="3"/>
        <v>0</v>
      </c>
      <c r="DU43" s="104">
        <f t="shared" si="4"/>
        <v>40.847999999999999</v>
      </c>
      <c r="DV43" s="104">
        <f t="shared" si="5"/>
        <v>12.5</v>
      </c>
      <c r="DW43" s="104">
        <f t="shared" si="6"/>
        <v>0</v>
      </c>
      <c r="DX43" s="106">
        <f t="shared" si="7"/>
        <v>115.10573333333333</v>
      </c>
      <c r="DY43" s="109">
        <f t="shared" si="8"/>
        <v>1.4210854715202004E-14</v>
      </c>
      <c r="EA43" s="110">
        <f t="shared" si="21"/>
        <v>0.18116676493380576</v>
      </c>
      <c r="EB43" s="110">
        <f t="shared" si="21"/>
        <v>0.35536370618086793</v>
      </c>
      <c r="EC43" s="110">
        <f t="shared" si="21"/>
        <v>0</v>
      </c>
      <c r="ED43" s="108"/>
      <c r="EE43" s="110">
        <f t="shared" si="22"/>
        <v>0</v>
      </c>
      <c r="EF43" s="110">
        <f t="shared" si="22"/>
        <v>0.35487372189974897</v>
      </c>
      <c r="EG43" s="110">
        <f t="shared" si="22"/>
        <v>0.10859580698557732</v>
      </c>
      <c r="EH43" s="111">
        <f t="shared" si="14"/>
        <v>0</v>
      </c>
      <c r="EI43" s="110">
        <f t="shared" si="15"/>
        <v>1</v>
      </c>
      <c r="EK43" s="112">
        <f>EA43*'Renewable Diesel'!BF52*'Feedstock Conversion Rates'!B$2</f>
        <v>19.645369717813068</v>
      </c>
      <c r="EL43" s="112">
        <f>EB43*'Renewable Diesel'!BF52*'Feedstock Conversion Rates'!B$3</f>
        <v>36.31351912118263</v>
      </c>
      <c r="EM43" s="112">
        <f>EC43*'Renewable Diesel'!BF52*'Feedstock Conversion Rates'!B$4</f>
        <v>0</v>
      </c>
      <c r="EN43" s="108"/>
      <c r="EO43" s="112">
        <f>EE43*'Renewable Diesel'!BF52*'Feedstock Conversion Rates'!B$6</f>
        <v>0</v>
      </c>
      <c r="EP43" s="112">
        <f>EF43*'Renewable Diesel'!BF52*'Feedstock Conversion Rates'!B$7</f>
        <v>41.650902884077595</v>
      </c>
      <c r="EQ43" s="112">
        <f>EG43*'Renewable Diesel'!BF52*'Feedstock Conversion Rates'!B$8</f>
        <v>12.988143695311152</v>
      </c>
      <c r="ER43" s="112">
        <f>EH43*'Renewable Diesel'!BF52*'Feedstock Conversion Rates'!B$9</f>
        <v>0</v>
      </c>
      <c r="ES43" s="112">
        <f t="shared" si="16"/>
        <v>110.59793541838445</v>
      </c>
      <c r="EW43" s="73">
        <f t="shared" si="17"/>
        <v>0</v>
      </c>
      <c r="EX43" s="73">
        <f t="shared" si="18"/>
        <v>110.59793541838445</v>
      </c>
      <c r="EY43" s="92">
        <f t="shared" si="10"/>
        <v>0</v>
      </c>
      <c r="EZ43" s="92">
        <f t="shared" si="10"/>
        <v>1</v>
      </c>
      <c r="FE43" s="108"/>
      <c r="GD43" s="91">
        <f>'Renewable Diesel'!BB52*0</f>
        <v>0</v>
      </c>
      <c r="GE43" s="91">
        <f>'Renewable Diesel'!BC52</f>
        <v>0</v>
      </c>
      <c r="GF43" s="91">
        <f>'Renewable Diesel'!BD52</f>
        <v>0</v>
      </c>
      <c r="GG43" s="91">
        <f t="shared" si="0"/>
        <v>0</v>
      </c>
      <c r="GH43" s="92">
        <v>0.5</v>
      </c>
      <c r="GI43" s="102">
        <f>$GG43*EA43*'Feedstock Conversion Rates'!$B$2</f>
        <v>0</v>
      </c>
      <c r="GJ43" s="102">
        <f>$GG43*EB43*'Feedstock Conversion Rates'!$B$3</f>
        <v>0</v>
      </c>
      <c r="GK43" s="102">
        <f>$GG43*EC43*'Feedstock Conversion Rates'!$B$4</f>
        <v>0</v>
      </c>
      <c r="GL43" s="102">
        <f>$GG43*ED43*'Feedstock Conversion Rates'!$B$5</f>
        <v>0</v>
      </c>
      <c r="GM43" s="102">
        <f>$GG43*EE43*'Feedstock Conversion Rates'!$B$5</f>
        <v>0</v>
      </c>
      <c r="GN43" s="102">
        <f>$GG43*EF43*'Feedstock Conversion Rates'!$B$7</f>
        <v>0</v>
      </c>
      <c r="GO43" s="102">
        <f>$GG43*EG43*'Feedstock Conversion Rates'!$B$7</f>
        <v>0</v>
      </c>
      <c r="GP43" s="102">
        <f>$GG43*EH43*'Feedstock Conversion Rates'!B40</f>
        <v>0</v>
      </c>
      <c r="GQ43" s="102">
        <f t="shared" si="19"/>
        <v>0</v>
      </c>
      <c r="GT43" s="103">
        <f t="shared" si="11"/>
        <v>0.17762872013384312</v>
      </c>
      <c r="GU43" s="103">
        <f t="shared" si="11"/>
        <v>0.32833812840909787</v>
      </c>
      <c r="GV43" s="103">
        <f t="shared" si="11"/>
        <v>0</v>
      </c>
      <c r="GW43" s="103">
        <f t="shared" si="11"/>
        <v>0</v>
      </c>
      <c r="GX43" s="103">
        <f t="shared" si="11"/>
        <v>0</v>
      </c>
      <c r="GY43" s="103">
        <f t="shared" si="11"/>
        <v>0.37659747197373139</v>
      </c>
      <c r="GZ43" s="103">
        <f t="shared" si="11"/>
        <v>0.1174356794833275</v>
      </c>
      <c r="HA43" s="103">
        <f t="shared" ref="HA43:HA106" si="23">(GP43+FI43+ER43)/SUM($ES43,$FJ43,$GQ43)</f>
        <v>0</v>
      </c>
    </row>
    <row r="44" spans="1:209" x14ac:dyDescent="0.25">
      <c r="A44" s="96">
        <v>41760</v>
      </c>
      <c r="C44" s="105"/>
      <c r="D44" s="104">
        <v>0</v>
      </c>
      <c r="E44" s="104">
        <f>('Renewable Diesel'!B53*E$3*'Feedstock Conversion Rates'!$B$2)/12</f>
        <v>20.853333333333332</v>
      </c>
      <c r="F44" s="104">
        <f>('Renewable Diesel'!B53*'RD Feedstock Breakdown'!F$3*'Feedstock Conversion Rates'!B$8)/12</f>
        <v>12.5</v>
      </c>
      <c r="G44" s="104">
        <f>('Renewable Diesel'!B53*'RD Feedstock Breakdown'!G$3*'Feedstock Conversion Rates'!B$7)/12</f>
        <v>40.847999999999999</v>
      </c>
      <c r="H44" s="104">
        <f>('Renewable Diesel'!B53*'RD Feedstock Breakdown'!H$3*'Feedstock Conversion Rates'!B$3)/12</f>
        <v>40.904400000000003</v>
      </c>
      <c r="I44" s="106">
        <f t="shared" si="20"/>
        <v>115.10573333333335</v>
      </c>
      <c r="J44" s="106"/>
      <c r="K44" s="107"/>
      <c r="L44" s="106"/>
      <c r="T44" s="108"/>
      <c r="AC44" s="108"/>
      <c r="AG44" s="108"/>
      <c r="AT44" s="108"/>
      <c r="BX44" s="108"/>
      <c r="CI44" s="108"/>
      <c r="DD44" s="108"/>
      <c r="DJ44" s="108"/>
      <c r="DP44" s="104">
        <f t="shared" si="1"/>
        <v>20.853333333333332</v>
      </c>
      <c r="DQ44" s="104">
        <f t="shared" si="2"/>
        <v>40.904400000000003</v>
      </c>
      <c r="DR44" s="104">
        <f t="shared" si="13"/>
        <v>0</v>
      </c>
      <c r="DS44" s="108"/>
      <c r="DT44" s="104">
        <f t="shared" si="3"/>
        <v>0</v>
      </c>
      <c r="DU44" s="104">
        <f t="shared" si="4"/>
        <v>40.847999999999999</v>
      </c>
      <c r="DV44" s="104">
        <f t="shared" si="5"/>
        <v>12.5</v>
      </c>
      <c r="DW44" s="104">
        <f t="shared" si="6"/>
        <v>0</v>
      </c>
      <c r="DX44" s="106">
        <f t="shared" si="7"/>
        <v>115.10573333333333</v>
      </c>
      <c r="DY44" s="109">
        <f t="shared" si="8"/>
        <v>1.4210854715202004E-14</v>
      </c>
      <c r="EA44" s="110">
        <f t="shared" si="21"/>
        <v>0.18116676493380576</v>
      </c>
      <c r="EB44" s="110">
        <f t="shared" si="21"/>
        <v>0.35536370618086793</v>
      </c>
      <c r="EC44" s="110">
        <f t="shared" si="21"/>
        <v>0</v>
      </c>
      <c r="ED44" s="108"/>
      <c r="EE44" s="110">
        <f t="shared" si="22"/>
        <v>0</v>
      </c>
      <c r="EF44" s="110">
        <f t="shared" si="22"/>
        <v>0.35487372189974897</v>
      </c>
      <c r="EG44" s="110">
        <f t="shared" si="22"/>
        <v>0.10859580698557732</v>
      </c>
      <c r="EH44" s="111">
        <f t="shared" si="14"/>
        <v>0</v>
      </c>
      <c r="EI44" s="110">
        <f t="shared" si="15"/>
        <v>1</v>
      </c>
      <c r="EK44" s="112">
        <f>EA44*'Renewable Diesel'!BF53*'Feedstock Conversion Rates'!B$2</f>
        <v>23.802788172265959</v>
      </c>
      <c r="EL44" s="112">
        <f>EB44*'Renewable Diesel'!BF53*'Feedstock Conversion Rates'!B$3</f>
        <v>43.998306768810501</v>
      </c>
      <c r="EM44" s="112">
        <f>EC44*'Renewable Diesel'!BF53*'Feedstock Conversion Rates'!B$4</f>
        <v>0</v>
      </c>
      <c r="EN44" s="108"/>
      <c r="EO44" s="112">
        <f>EE44*'Renewable Diesel'!BF53*'Feedstock Conversion Rates'!B$6</f>
        <v>0</v>
      </c>
      <c r="EP44" s="112">
        <f>EF44*'Renewable Diesel'!BF53*'Feedstock Conversion Rates'!B$7</f>
        <v>50.465205428757088</v>
      </c>
      <c r="EQ44" s="112">
        <f>EG44*'Renewable Diesel'!BF53*'Feedstock Conversion Rates'!B$8</f>
        <v>15.736737845667692</v>
      </c>
      <c r="ER44" s="112">
        <f>EH44*'Renewable Diesel'!BF53*'Feedstock Conversion Rates'!B$9</f>
        <v>0</v>
      </c>
      <c r="ES44" s="112">
        <f t="shared" si="16"/>
        <v>134.00303821550125</v>
      </c>
      <c r="EW44" s="73">
        <f t="shared" si="17"/>
        <v>0</v>
      </c>
      <c r="EX44" s="73">
        <f t="shared" si="18"/>
        <v>134.00303821550125</v>
      </c>
      <c r="EY44" s="92">
        <f t="shared" si="10"/>
        <v>0</v>
      </c>
      <c r="EZ44" s="92">
        <f t="shared" si="10"/>
        <v>1</v>
      </c>
      <c r="FE44" s="108"/>
      <c r="GD44" s="91">
        <f>'Renewable Diesel'!BB53*0</f>
        <v>0</v>
      </c>
      <c r="GE44" s="91">
        <f>'Renewable Diesel'!BC53</f>
        <v>0</v>
      </c>
      <c r="GF44" s="91">
        <f>'Renewable Diesel'!BD53</f>
        <v>0</v>
      </c>
      <c r="GG44" s="91">
        <f t="shared" si="0"/>
        <v>0</v>
      </c>
      <c r="GH44" s="92">
        <v>0.5</v>
      </c>
      <c r="GI44" s="102">
        <f>$GG44*EA44*'Feedstock Conversion Rates'!$B$2</f>
        <v>0</v>
      </c>
      <c r="GJ44" s="102">
        <f>$GG44*EB44*'Feedstock Conversion Rates'!$B$3</f>
        <v>0</v>
      </c>
      <c r="GK44" s="102">
        <f>$GG44*EC44*'Feedstock Conversion Rates'!$B$4</f>
        <v>0</v>
      </c>
      <c r="GL44" s="102">
        <f>$GG44*ED44*'Feedstock Conversion Rates'!$B$5</f>
        <v>0</v>
      </c>
      <c r="GM44" s="102">
        <f>$GG44*EE44*'Feedstock Conversion Rates'!$B$5</f>
        <v>0</v>
      </c>
      <c r="GN44" s="102">
        <f>$GG44*EF44*'Feedstock Conversion Rates'!$B$7</f>
        <v>0</v>
      </c>
      <c r="GO44" s="102">
        <f>$GG44*EG44*'Feedstock Conversion Rates'!$B$7</f>
        <v>0</v>
      </c>
      <c r="GP44" s="102">
        <f>$GG44*EH44*'Feedstock Conversion Rates'!B41</f>
        <v>0</v>
      </c>
      <c r="GQ44" s="102">
        <f t="shared" si="19"/>
        <v>0</v>
      </c>
      <c r="GT44" s="103">
        <f t="shared" ref="GT44:GZ80" si="24">(GI44+FB44+EK44)/SUM($ES44,$FJ44,$GQ44)</f>
        <v>0.17762872013384315</v>
      </c>
      <c r="GU44" s="103">
        <f t="shared" si="24"/>
        <v>0.32833812840909787</v>
      </c>
      <c r="GV44" s="103">
        <f t="shared" si="24"/>
        <v>0</v>
      </c>
      <c r="GW44" s="103">
        <f t="shared" si="24"/>
        <v>0</v>
      </c>
      <c r="GX44" s="103">
        <f t="shared" si="24"/>
        <v>0</v>
      </c>
      <c r="GY44" s="103">
        <f t="shared" si="24"/>
        <v>0.37659747197373139</v>
      </c>
      <c r="GZ44" s="103">
        <f t="shared" si="24"/>
        <v>0.1174356794833275</v>
      </c>
      <c r="HA44" s="103">
        <f t="shared" si="23"/>
        <v>0</v>
      </c>
    </row>
    <row r="45" spans="1:209" x14ac:dyDescent="0.25">
      <c r="A45" s="96">
        <v>41791</v>
      </c>
      <c r="C45" s="105"/>
      <c r="D45" s="104">
        <v>0</v>
      </c>
      <c r="E45" s="104">
        <f>('Renewable Diesel'!B54*E$3*'Feedstock Conversion Rates'!$B$2)/12</f>
        <v>20.853333333333332</v>
      </c>
      <c r="F45" s="104">
        <f>('Renewable Diesel'!B54*'RD Feedstock Breakdown'!F$3*'Feedstock Conversion Rates'!B$8)/12</f>
        <v>12.5</v>
      </c>
      <c r="G45" s="104">
        <f>('Renewable Diesel'!B54*'RD Feedstock Breakdown'!G$3*'Feedstock Conversion Rates'!B$7)/12</f>
        <v>40.847999999999999</v>
      </c>
      <c r="H45" s="104">
        <f>('Renewable Diesel'!B54*'RD Feedstock Breakdown'!H$3*'Feedstock Conversion Rates'!B$3)/12</f>
        <v>40.904400000000003</v>
      </c>
      <c r="I45" s="106">
        <f t="shared" si="20"/>
        <v>115.10573333333335</v>
      </c>
      <c r="J45" s="106"/>
      <c r="K45" s="107"/>
      <c r="L45" s="106"/>
      <c r="T45" s="108"/>
      <c r="AC45" s="108"/>
      <c r="AG45" s="108"/>
      <c r="AT45" s="108"/>
      <c r="BX45" s="108"/>
      <c r="CI45" s="108"/>
      <c r="DD45" s="108"/>
      <c r="DJ45" s="108"/>
      <c r="DP45" s="104">
        <f t="shared" si="1"/>
        <v>20.853333333333332</v>
      </c>
      <c r="DQ45" s="104">
        <f t="shared" si="2"/>
        <v>40.904400000000003</v>
      </c>
      <c r="DR45" s="104">
        <f t="shared" si="13"/>
        <v>0</v>
      </c>
      <c r="DS45" s="108"/>
      <c r="DT45" s="104">
        <f t="shared" si="3"/>
        <v>0</v>
      </c>
      <c r="DU45" s="104">
        <f t="shared" si="4"/>
        <v>40.847999999999999</v>
      </c>
      <c r="DV45" s="104">
        <f t="shared" si="5"/>
        <v>12.5</v>
      </c>
      <c r="DW45" s="104">
        <f t="shared" si="6"/>
        <v>0</v>
      </c>
      <c r="DX45" s="106">
        <f t="shared" si="7"/>
        <v>115.10573333333333</v>
      </c>
      <c r="DY45" s="109">
        <f t="shared" si="8"/>
        <v>1.4210854715202004E-14</v>
      </c>
      <c r="EA45" s="110">
        <f t="shared" si="21"/>
        <v>0.18116676493380576</v>
      </c>
      <c r="EB45" s="110">
        <f t="shared" si="21"/>
        <v>0.35536370618086793</v>
      </c>
      <c r="EC45" s="110">
        <f t="shared" si="21"/>
        <v>0</v>
      </c>
      <c r="ED45" s="108"/>
      <c r="EE45" s="110">
        <f t="shared" si="22"/>
        <v>0</v>
      </c>
      <c r="EF45" s="110">
        <f t="shared" si="22"/>
        <v>0.35487372189974897</v>
      </c>
      <c r="EG45" s="110">
        <f t="shared" si="22"/>
        <v>0.10859580698557732</v>
      </c>
      <c r="EH45" s="111">
        <f t="shared" si="14"/>
        <v>0</v>
      </c>
      <c r="EI45" s="110">
        <f t="shared" si="15"/>
        <v>1</v>
      </c>
      <c r="EK45" s="112">
        <f>EA45*'Renewable Diesel'!BF54*'Feedstock Conversion Rates'!B$2</f>
        <v>22.926322567193292</v>
      </c>
      <c r="EL45" s="112">
        <f>EB45*'Renewable Diesel'!BF54*'Feedstock Conversion Rates'!B$3</f>
        <v>42.378202338808038</v>
      </c>
      <c r="EM45" s="112">
        <f>EC45*'Renewable Diesel'!BF54*'Feedstock Conversion Rates'!B$4</f>
        <v>0</v>
      </c>
      <c r="EN45" s="108"/>
      <c r="EO45" s="112">
        <f>EE45*'Renewable Diesel'!BF54*'Feedstock Conversion Rates'!B$6</f>
        <v>0</v>
      </c>
      <c r="EP45" s="112">
        <f>EF45*'Renewable Diesel'!BF54*'Feedstock Conversion Rates'!B$7</f>
        <v>48.606977035884682</v>
      </c>
      <c r="EQ45" s="112">
        <f>EG45*'Renewable Diesel'!BF54*'Feedstock Conversion Rates'!B$8</f>
        <v>15.157280121725764</v>
      </c>
      <c r="ER45" s="112">
        <f>EH45*'Renewable Diesel'!BF54*'Feedstock Conversion Rates'!B$9</f>
        <v>0</v>
      </c>
      <c r="ES45" s="112">
        <f t="shared" si="16"/>
        <v>129.06878206361179</v>
      </c>
      <c r="EW45" s="73">
        <f t="shared" si="17"/>
        <v>0</v>
      </c>
      <c r="EX45" s="73">
        <f t="shared" si="18"/>
        <v>129.06878206361176</v>
      </c>
      <c r="EY45" s="92">
        <f t="shared" si="10"/>
        <v>0</v>
      </c>
      <c r="EZ45" s="92">
        <f t="shared" si="10"/>
        <v>0.99999999999999978</v>
      </c>
      <c r="FE45" s="108"/>
      <c r="GD45" s="91">
        <f>'Renewable Diesel'!BB54*0</f>
        <v>0</v>
      </c>
      <c r="GE45" s="91">
        <f>'Renewable Diesel'!BC54</f>
        <v>0</v>
      </c>
      <c r="GF45" s="91">
        <f>'Renewable Diesel'!BD54</f>
        <v>0</v>
      </c>
      <c r="GG45" s="91">
        <f t="shared" si="0"/>
        <v>0</v>
      </c>
      <c r="GH45" s="92">
        <v>0.5</v>
      </c>
      <c r="GI45" s="102">
        <f>$GG45*EA45*'Feedstock Conversion Rates'!$B$2</f>
        <v>0</v>
      </c>
      <c r="GJ45" s="102">
        <f>$GG45*EB45*'Feedstock Conversion Rates'!$B$3</f>
        <v>0</v>
      </c>
      <c r="GK45" s="102">
        <f>$GG45*EC45*'Feedstock Conversion Rates'!$B$4</f>
        <v>0</v>
      </c>
      <c r="GL45" s="102">
        <f>$GG45*ED45*'Feedstock Conversion Rates'!$B$5</f>
        <v>0</v>
      </c>
      <c r="GM45" s="102">
        <f>$GG45*EE45*'Feedstock Conversion Rates'!$B$5</f>
        <v>0</v>
      </c>
      <c r="GN45" s="102">
        <f>$GG45*EF45*'Feedstock Conversion Rates'!$B$7</f>
        <v>0</v>
      </c>
      <c r="GO45" s="102">
        <f>$GG45*EG45*'Feedstock Conversion Rates'!$B$7</f>
        <v>0</v>
      </c>
      <c r="GP45" s="102">
        <f>$GG45*EH45*'Feedstock Conversion Rates'!B42</f>
        <v>0</v>
      </c>
      <c r="GQ45" s="102">
        <f t="shared" si="19"/>
        <v>0</v>
      </c>
      <c r="GT45" s="103">
        <f t="shared" si="24"/>
        <v>0.17762872013384315</v>
      </c>
      <c r="GU45" s="103">
        <f t="shared" si="24"/>
        <v>0.32833812840909787</v>
      </c>
      <c r="GV45" s="103">
        <f t="shared" si="24"/>
        <v>0</v>
      </c>
      <c r="GW45" s="103">
        <f t="shared" si="24"/>
        <v>0</v>
      </c>
      <c r="GX45" s="103">
        <f t="shared" si="24"/>
        <v>0</v>
      </c>
      <c r="GY45" s="103">
        <f t="shared" si="24"/>
        <v>0.37659747197373133</v>
      </c>
      <c r="GZ45" s="103">
        <f t="shared" si="24"/>
        <v>0.1174356794833275</v>
      </c>
      <c r="HA45" s="103">
        <f t="shared" si="23"/>
        <v>0</v>
      </c>
    </row>
    <row r="46" spans="1:209" x14ac:dyDescent="0.25">
      <c r="A46" s="96">
        <v>41821</v>
      </c>
      <c r="C46" s="105"/>
      <c r="D46" s="104">
        <v>0</v>
      </c>
      <c r="E46" s="104">
        <f>('Renewable Diesel'!B55*E$3*'Feedstock Conversion Rates'!$B$2)/12</f>
        <v>20.853333333333332</v>
      </c>
      <c r="F46" s="104">
        <f>('Renewable Diesel'!B55*'RD Feedstock Breakdown'!F$3*'Feedstock Conversion Rates'!B$8)/12</f>
        <v>12.5</v>
      </c>
      <c r="G46" s="104">
        <f>('Renewable Diesel'!B55*'RD Feedstock Breakdown'!G$3*'Feedstock Conversion Rates'!B$7)/12</f>
        <v>40.847999999999999</v>
      </c>
      <c r="H46" s="104">
        <f>('Renewable Diesel'!B55*'RD Feedstock Breakdown'!H$3*'Feedstock Conversion Rates'!B$3)/12</f>
        <v>40.904400000000003</v>
      </c>
      <c r="I46" s="106">
        <f t="shared" si="20"/>
        <v>115.10573333333335</v>
      </c>
      <c r="J46" s="106"/>
      <c r="K46" s="107"/>
      <c r="L46" s="106"/>
      <c r="T46" s="108"/>
      <c r="AC46" s="108"/>
      <c r="AG46" s="108"/>
      <c r="AT46" s="108"/>
      <c r="BX46" s="108"/>
      <c r="CI46" s="108"/>
      <c r="DD46" s="108"/>
      <c r="DJ46" s="108"/>
      <c r="DP46" s="104">
        <f t="shared" si="1"/>
        <v>20.853333333333332</v>
      </c>
      <c r="DQ46" s="104">
        <f t="shared" si="2"/>
        <v>40.904400000000003</v>
      </c>
      <c r="DR46" s="104">
        <f t="shared" si="13"/>
        <v>0</v>
      </c>
      <c r="DS46" s="108"/>
      <c r="DT46" s="104">
        <f t="shared" si="3"/>
        <v>0</v>
      </c>
      <c r="DU46" s="104">
        <f t="shared" si="4"/>
        <v>40.847999999999999</v>
      </c>
      <c r="DV46" s="104">
        <f t="shared" si="5"/>
        <v>12.5</v>
      </c>
      <c r="DW46" s="104">
        <f t="shared" si="6"/>
        <v>0</v>
      </c>
      <c r="DX46" s="106">
        <f t="shared" si="7"/>
        <v>115.10573333333333</v>
      </c>
      <c r="DY46" s="109">
        <f t="shared" si="8"/>
        <v>1.4210854715202004E-14</v>
      </c>
      <c r="EA46" s="110">
        <f t="shared" si="21"/>
        <v>0.18116676493380576</v>
      </c>
      <c r="EB46" s="110">
        <f t="shared" si="21"/>
        <v>0.35536370618086793</v>
      </c>
      <c r="EC46" s="110">
        <f t="shared" si="21"/>
        <v>0</v>
      </c>
      <c r="ED46" s="108"/>
      <c r="EE46" s="110">
        <f t="shared" si="22"/>
        <v>0</v>
      </c>
      <c r="EF46" s="110">
        <f t="shared" si="22"/>
        <v>0.35487372189974897</v>
      </c>
      <c r="EG46" s="110">
        <f t="shared" si="22"/>
        <v>0.10859580698557732</v>
      </c>
      <c r="EH46" s="111">
        <f t="shared" si="14"/>
        <v>0</v>
      </c>
      <c r="EI46" s="110">
        <f t="shared" si="15"/>
        <v>1</v>
      </c>
      <c r="EK46" s="112">
        <f>EA46*'Renewable Diesel'!BF55*'Feedstock Conversion Rates'!B$2</f>
        <v>19.423424488093847</v>
      </c>
      <c r="EL46" s="112">
        <f>EB46*'Renewable Diesel'!BF55*'Feedstock Conversion Rates'!B$3</f>
        <v>35.903264060624693</v>
      </c>
      <c r="EM46" s="112">
        <f>EC46*'Renewable Diesel'!BF55*'Feedstock Conversion Rates'!B$4</f>
        <v>0</v>
      </c>
      <c r="EN46" s="108"/>
      <c r="EO46" s="112">
        <f>EE46*'Renewable Diesel'!BF55*'Feedstock Conversion Rates'!B$6</f>
        <v>0</v>
      </c>
      <c r="EP46" s="112">
        <f>EF46*'Renewable Diesel'!BF55*'Feedstock Conversion Rates'!B$7</f>
        <v>41.180348278009902</v>
      </c>
      <c r="EQ46" s="112">
        <f>EG46*'Renewable Diesel'!BF55*'Feedstock Conversion Rates'!B$8</f>
        <v>12.841409040912241</v>
      </c>
      <c r="ER46" s="112">
        <f>EH46*'Renewable Diesel'!BF55*'Feedstock Conversion Rates'!B$9</f>
        <v>0</v>
      </c>
      <c r="ES46" s="112">
        <f t="shared" si="16"/>
        <v>109.34844586764068</v>
      </c>
      <c r="EW46" s="73">
        <f t="shared" si="17"/>
        <v>0</v>
      </c>
      <c r="EX46" s="73">
        <f t="shared" si="18"/>
        <v>109.34844586764068</v>
      </c>
      <c r="EY46" s="92">
        <f t="shared" si="10"/>
        <v>0</v>
      </c>
      <c r="EZ46" s="92">
        <f t="shared" si="10"/>
        <v>1</v>
      </c>
      <c r="FE46" s="108"/>
      <c r="GD46" s="91">
        <f>'Renewable Diesel'!BB55*0</f>
        <v>0</v>
      </c>
      <c r="GE46" s="91">
        <f>'Renewable Diesel'!BC55</f>
        <v>0</v>
      </c>
      <c r="GF46" s="91">
        <f>'Renewable Diesel'!BD55</f>
        <v>0</v>
      </c>
      <c r="GG46" s="91">
        <f t="shared" si="0"/>
        <v>0</v>
      </c>
      <c r="GH46" s="92">
        <v>0.5</v>
      </c>
      <c r="GI46" s="102">
        <f>$GG46*EA46*'Feedstock Conversion Rates'!$B$2</f>
        <v>0</v>
      </c>
      <c r="GJ46" s="102">
        <f>$GG46*EB46*'Feedstock Conversion Rates'!$B$3</f>
        <v>0</v>
      </c>
      <c r="GK46" s="102">
        <f>$GG46*EC46*'Feedstock Conversion Rates'!$B$4</f>
        <v>0</v>
      </c>
      <c r="GL46" s="102">
        <f>$GG46*ED46*'Feedstock Conversion Rates'!$B$5</f>
        <v>0</v>
      </c>
      <c r="GM46" s="102">
        <f>$GG46*EE46*'Feedstock Conversion Rates'!$B$5</f>
        <v>0</v>
      </c>
      <c r="GN46" s="102">
        <f>$GG46*EF46*'Feedstock Conversion Rates'!$B$7</f>
        <v>0</v>
      </c>
      <c r="GO46" s="102">
        <f>$GG46*EG46*'Feedstock Conversion Rates'!$B$7</f>
        <v>0</v>
      </c>
      <c r="GP46" s="102">
        <f>$GG46*EH46*'Feedstock Conversion Rates'!B43</f>
        <v>0</v>
      </c>
      <c r="GQ46" s="102">
        <f t="shared" si="19"/>
        <v>0</v>
      </c>
      <c r="GT46" s="103">
        <f t="shared" si="24"/>
        <v>0.17762872013384318</v>
      </c>
      <c r="GU46" s="103">
        <f t="shared" si="24"/>
        <v>0.32833812840909787</v>
      </c>
      <c r="GV46" s="103">
        <f t="shared" si="24"/>
        <v>0</v>
      </c>
      <c r="GW46" s="103">
        <f t="shared" si="24"/>
        <v>0</v>
      </c>
      <c r="GX46" s="103">
        <f t="shared" si="24"/>
        <v>0</v>
      </c>
      <c r="GY46" s="103">
        <f t="shared" si="24"/>
        <v>0.37659747197373145</v>
      </c>
      <c r="GZ46" s="103">
        <f t="shared" si="24"/>
        <v>0.11743567948332753</v>
      </c>
      <c r="HA46" s="103">
        <f t="shared" si="23"/>
        <v>0</v>
      </c>
    </row>
    <row r="47" spans="1:209" x14ac:dyDescent="0.25">
      <c r="A47" s="96">
        <v>41852</v>
      </c>
      <c r="C47" s="105"/>
      <c r="D47" s="104">
        <v>0</v>
      </c>
      <c r="E47" s="104">
        <f>('Renewable Diesel'!B56*E$3*'Feedstock Conversion Rates'!$B$2)/12</f>
        <v>20.853333333333332</v>
      </c>
      <c r="F47" s="104">
        <f>('Renewable Diesel'!B56*'RD Feedstock Breakdown'!F$3*'Feedstock Conversion Rates'!B$8)/12</f>
        <v>12.5</v>
      </c>
      <c r="G47" s="104">
        <f>('Renewable Diesel'!B56*'RD Feedstock Breakdown'!G$3*'Feedstock Conversion Rates'!B$7)/12</f>
        <v>40.847999999999999</v>
      </c>
      <c r="H47" s="104">
        <f>('Renewable Diesel'!B56*'RD Feedstock Breakdown'!H$3*'Feedstock Conversion Rates'!B$3)/12</f>
        <v>40.904400000000003</v>
      </c>
      <c r="I47" s="106">
        <f t="shared" si="20"/>
        <v>115.10573333333335</v>
      </c>
      <c r="J47" s="106"/>
      <c r="K47" s="107"/>
      <c r="L47" s="106"/>
      <c r="T47" s="108"/>
      <c r="AC47" s="108"/>
      <c r="AG47" s="108"/>
      <c r="AT47" s="108"/>
      <c r="BX47" s="108"/>
      <c r="CI47" s="108"/>
      <c r="DD47" s="108"/>
      <c r="DJ47" s="108"/>
      <c r="DP47" s="104">
        <f t="shared" si="1"/>
        <v>20.853333333333332</v>
      </c>
      <c r="DQ47" s="104">
        <f t="shared" si="2"/>
        <v>40.904400000000003</v>
      </c>
      <c r="DR47" s="104">
        <f t="shared" si="13"/>
        <v>0</v>
      </c>
      <c r="DS47" s="108"/>
      <c r="DT47" s="104">
        <f t="shared" si="3"/>
        <v>0</v>
      </c>
      <c r="DU47" s="104">
        <f t="shared" si="4"/>
        <v>40.847999999999999</v>
      </c>
      <c r="DV47" s="104">
        <f t="shared" si="5"/>
        <v>12.5</v>
      </c>
      <c r="DW47" s="104">
        <f t="shared" si="6"/>
        <v>0</v>
      </c>
      <c r="DX47" s="106">
        <f t="shared" si="7"/>
        <v>115.10573333333333</v>
      </c>
      <c r="DY47" s="109">
        <f t="shared" si="8"/>
        <v>1.4210854715202004E-14</v>
      </c>
      <c r="EA47" s="110">
        <f t="shared" si="21"/>
        <v>0.18116676493380576</v>
      </c>
      <c r="EB47" s="110">
        <f t="shared" si="21"/>
        <v>0.35536370618086793</v>
      </c>
      <c r="EC47" s="110">
        <f t="shared" si="21"/>
        <v>0</v>
      </c>
      <c r="ED47" s="108"/>
      <c r="EE47" s="110">
        <f t="shared" si="22"/>
        <v>0</v>
      </c>
      <c r="EF47" s="110">
        <f t="shared" si="22"/>
        <v>0.35487372189974897</v>
      </c>
      <c r="EG47" s="110">
        <f t="shared" si="22"/>
        <v>0.10859580698557732</v>
      </c>
      <c r="EH47" s="111">
        <f t="shared" si="14"/>
        <v>0</v>
      </c>
      <c r="EI47" s="110">
        <f t="shared" si="15"/>
        <v>1</v>
      </c>
      <c r="EK47" s="112">
        <f>EA47*'Renewable Diesel'!BF56*'Feedstock Conversion Rates'!B$2</f>
        <v>2.3938217756891342</v>
      </c>
      <c r="EL47" s="112">
        <f>EB47*'Renewable Diesel'!BF56*'Feedstock Conversion Rates'!B$3</f>
        <v>4.4248641829005795</v>
      </c>
      <c r="EM47" s="112">
        <f>EC47*'Renewable Diesel'!BF56*'Feedstock Conversion Rates'!B$4</f>
        <v>0</v>
      </c>
      <c r="EN47" s="108"/>
      <c r="EO47" s="112">
        <f>EE47*'Renewable Diesel'!BF56*'Feedstock Conversion Rates'!B$6</f>
        <v>0</v>
      </c>
      <c r="EP47" s="112">
        <f>EF47*'Renewable Diesel'!BF56*'Feedstock Conversion Rates'!B$7</f>
        <v>5.0752334892742095</v>
      </c>
      <c r="EQ47" s="112">
        <f>EG47*'Renewable Diesel'!BF56*'Feedstock Conversion Rates'!B$8</f>
        <v>1.5826274409803507</v>
      </c>
      <c r="ER47" s="112">
        <f>EH47*'Renewable Diesel'!BF56*'Feedstock Conversion Rates'!B$9</f>
        <v>0</v>
      </c>
      <c r="ES47" s="112">
        <f t="shared" si="16"/>
        <v>13.476546888844274</v>
      </c>
      <c r="EW47" s="73">
        <f t="shared" si="17"/>
        <v>0</v>
      </c>
      <c r="EX47" s="73">
        <f t="shared" si="18"/>
        <v>13.476546888844274</v>
      </c>
      <c r="EY47" s="92">
        <f t="shared" si="10"/>
        <v>0</v>
      </c>
      <c r="EZ47" s="92">
        <f t="shared" si="10"/>
        <v>1</v>
      </c>
      <c r="FE47" s="108"/>
      <c r="GD47" s="91">
        <f>'Renewable Diesel'!BB56*0</f>
        <v>0</v>
      </c>
      <c r="GE47" s="91">
        <f>'Renewable Diesel'!BC56</f>
        <v>0</v>
      </c>
      <c r="GF47" s="91">
        <f>'Renewable Diesel'!BD56</f>
        <v>0</v>
      </c>
      <c r="GG47" s="91">
        <f t="shared" si="0"/>
        <v>0</v>
      </c>
      <c r="GH47" s="92">
        <v>0.5</v>
      </c>
      <c r="GI47" s="102">
        <f>$GG47*EA47*'Feedstock Conversion Rates'!$B$2</f>
        <v>0</v>
      </c>
      <c r="GJ47" s="102">
        <f>$GG47*EB47*'Feedstock Conversion Rates'!$B$3</f>
        <v>0</v>
      </c>
      <c r="GK47" s="102">
        <f>$GG47*EC47*'Feedstock Conversion Rates'!$B$4</f>
        <v>0</v>
      </c>
      <c r="GL47" s="102">
        <f>$GG47*ED47*'Feedstock Conversion Rates'!$B$5</f>
        <v>0</v>
      </c>
      <c r="GM47" s="102">
        <f>$GG47*EE47*'Feedstock Conversion Rates'!$B$5</f>
        <v>0</v>
      </c>
      <c r="GN47" s="102">
        <f>$GG47*EF47*'Feedstock Conversion Rates'!$B$7</f>
        <v>0</v>
      </c>
      <c r="GO47" s="102">
        <f>$GG47*EG47*'Feedstock Conversion Rates'!$B$7</f>
        <v>0</v>
      </c>
      <c r="GP47" s="102">
        <f>$GG47*EH47*'Feedstock Conversion Rates'!B44</f>
        <v>0</v>
      </c>
      <c r="GQ47" s="102">
        <f t="shared" si="19"/>
        <v>0</v>
      </c>
      <c r="GT47" s="103">
        <f t="shared" si="24"/>
        <v>0.17762872013384315</v>
      </c>
      <c r="GU47" s="103">
        <f t="shared" si="24"/>
        <v>0.32833812840909787</v>
      </c>
      <c r="GV47" s="103">
        <f t="shared" si="24"/>
        <v>0</v>
      </c>
      <c r="GW47" s="103">
        <f t="shared" si="24"/>
        <v>0</v>
      </c>
      <c r="GX47" s="103">
        <f t="shared" si="24"/>
        <v>0</v>
      </c>
      <c r="GY47" s="103">
        <f t="shared" si="24"/>
        <v>0.3765974719737315</v>
      </c>
      <c r="GZ47" s="103">
        <f t="shared" si="24"/>
        <v>0.11743567948332752</v>
      </c>
      <c r="HA47" s="103">
        <f t="shared" si="23"/>
        <v>0</v>
      </c>
    </row>
    <row r="48" spans="1:209" x14ac:dyDescent="0.25">
      <c r="A48" s="96">
        <v>41883</v>
      </c>
      <c r="C48" s="105"/>
      <c r="D48" s="104">
        <v>0</v>
      </c>
      <c r="E48" s="104">
        <f>('Renewable Diesel'!B57*E$3*'Feedstock Conversion Rates'!$B$2)/12</f>
        <v>20.853333333333332</v>
      </c>
      <c r="F48" s="104">
        <f>('Renewable Diesel'!B57*'RD Feedstock Breakdown'!F$3*'Feedstock Conversion Rates'!B$8)/12</f>
        <v>12.5</v>
      </c>
      <c r="G48" s="104">
        <f>('Renewable Diesel'!B57*'RD Feedstock Breakdown'!G$3*'Feedstock Conversion Rates'!B$7)/12</f>
        <v>40.847999999999999</v>
      </c>
      <c r="H48" s="104">
        <f>('Renewable Diesel'!B57*'RD Feedstock Breakdown'!H$3*'Feedstock Conversion Rates'!B$3)/12</f>
        <v>40.904400000000003</v>
      </c>
      <c r="I48" s="106">
        <f t="shared" si="20"/>
        <v>115.10573333333335</v>
      </c>
      <c r="J48" s="106"/>
      <c r="K48" s="107"/>
      <c r="L48" s="106"/>
      <c r="T48" s="108"/>
      <c r="AC48" s="108"/>
      <c r="AG48" s="108"/>
      <c r="AT48" s="108"/>
      <c r="BX48" s="108"/>
      <c r="CI48" s="108"/>
      <c r="DD48" s="108"/>
      <c r="DJ48" s="108"/>
      <c r="DP48" s="104">
        <f t="shared" si="1"/>
        <v>20.853333333333332</v>
      </c>
      <c r="DQ48" s="104">
        <f t="shared" si="2"/>
        <v>40.904400000000003</v>
      </c>
      <c r="DR48" s="104">
        <f t="shared" si="13"/>
        <v>0</v>
      </c>
      <c r="DS48" s="108"/>
      <c r="DT48" s="104">
        <f t="shared" si="3"/>
        <v>0</v>
      </c>
      <c r="DU48" s="104">
        <f t="shared" si="4"/>
        <v>40.847999999999999</v>
      </c>
      <c r="DV48" s="104">
        <f t="shared" si="5"/>
        <v>12.5</v>
      </c>
      <c r="DW48" s="104">
        <f t="shared" si="6"/>
        <v>0</v>
      </c>
      <c r="DX48" s="106">
        <f t="shared" si="7"/>
        <v>115.10573333333333</v>
      </c>
      <c r="DY48" s="109">
        <f t="shared" si="8"/>
        <v>1.4210854715202004E-14</v>
      </c>
      <c r="EA48" s="110">
        <f t="shared" si="21"/>
        <v>0.18116676493380576</v>
      </c>
      <c r="EB48" s="110">
        <f t="shared" si="21"/>
        <v>0.35536370618086793</v>
      </c>
      <c r="EC48" s="110">
        <f t="shared" si="21"/>
        <v>0</v>
      </c>
      <c r="ED48" s="108"/>
      <c r="EE48" s="110">
        <f t="shared" si="22"/>
        <v>0</v>
      </c>
      <c r="EF48" s="110">
        <f t="shared" si="22"/>
        <v>0.35487372189974897</v>
      </c>
      <c r="EG48" s="110">
        <f t="shared" si="22"/>
        <v>0.10859580698557732</v>
      </c>
      <c r="EH48" s="111">
        <f t="shared" si="14"/>
        <v>0</v>
      </c>
      <c r="EI48" s="110">
        <f t="shared" si="15"/>
        <v>1</v>
      </c>
      <c r="EK48" s="112">
        <f>EA48*'Renewable Diesel'!BF57*'Feedstock Conversion Rates'!B$2</f>
        <v>8.1976276281633229</v>
      </c>
      <c r="EL48" s="112">
        <f>EB48*'Renewable Diesel'!BF57*'Feedstock Conversion Rates'!B$3</f>
        <v>15.152919588666423</v>
      </c>
      <c r="EM48" s="112">
        <f>EC48*'Renewable Diesel'!BF57*'Feedstock Conversion Rates'!B$4</f>
        <v>0</v>
      </c>
      <c r="EN48" s="108"/>
      <c r="EO48" s="112">
        <f>EE48*'Renewable Diesel'!BF57*'Feedstock Conversion Rates'!B$6</f>
        <v>0</v>
      </c>
      <c r="EP48" s="112">
        <f>EF48*'Renewable Diesel'!BF57*'Feedstock Conversion Rates'!B$7</f>
        <v>17.380105191447168</v>
      </c>
      <c r="EQ48" s="112">
        <f>EG48*'Renewable Diesel'!BF57*'Feedstock Conversion Rates'!B$8</f>
        <v>5.4196977264671444</v>
      </c>
      <c r="ER48" s="112">
        <f>EH48*'Renewable Diesel'!BF57*'Feedstock Conversion Rates'!B$9</f>
        <v>0</v>
      </c>
      <c r="ES48" s="112">
        <f t="shared" si="16"/>
        <v>46.150350134744052</v>
      </c>
      <c r="EW48" s="73">
        <f t="shared" si="17"/>
        <v>0</v>
      </c>
      <c r="EX48" s="73">
        <f t="shared" si="18"/>
        <v>46.150350134744059</v>
      </c>
      <c r="EY48" s="92">
        <f t="shared" si="10"/>
        <v>0</v>
      </c>
      <c r="EZ48" s="92">
        <f t="shared" si="10"/>
        <v>1.0000000000000002</v>
      </c>
      <c r="FE48" s="108"/>
      <c r="GD48" s="91">
        <f>'Renewable Diesel'!BB57*0</f>
        <v>0</v>
      </c>
      <c r="GE48" s="91">
        <f>'Renewable Diesel'!BC57</f>
        <v>0</v>
      </c>
      <c r="GF48" s="91">
        <f>'Renewable Diesel'!BD57</f>
        <v>0</v>
      </c>
      <c r="GG48" s="91">
        <f t="shared" si="0"/>
        <v>0</v>
      </c>
      <c r="GH48" s="92">
        <v>0.5</v>
      </c>
      <c r="GI48" s="102">
        <f>$GG48*EA48*'Feedstock Conversion Rates'!$B$2</f>
        <v>0</v>
      </c>
      <c r="GJ48" s="102">
        <f>$GG48*EB48*'Feedstock Conversion Rates'!$B$3</f>
        <v>0</v>
      </c>
      <c r="GK48" s="102">
        <f>$GG48*EC48*'Feedstock Conversion Rates'!$B$4</f>
        <v>0</v>
      </c>
      <c r="GL48" s="102">
        <f>$GG48*ED48*'Feedstock Conversion Rates'!$B$5</f>
        <v>0</v>
      </c>
      <c r="GM48" s="102">
        <f>$GG48*EE48*'Feedstock Conversion Rates'!$B$5</f>
        <v>0</v>
      </c>
      <c r="GN48" s="102">
        <f>$GG48*EF48*'Feedstock Conversion Rates'!$B$7</f>
        <v>0</v>
      </c>
      <c r="GO48" s="102">
        <f>$GG48*EG48*'Feedstock Conversion Rates'!$B$7</f>
        <v>0</v>
      </c>
      <c r="GP48" s="102">
        <f>$GG48*EH48*'Feedstock Conversion Rates'!B45</f>
        <v>0</v>
      </c>
      <c r="GQ48" s="102">
        <f t="shared" si="19"/>
        <v>0</v>
      </c>
      <c r="GT48" s="103">
        <f t="shared" si="24"/>
        <v>0.17762872013384318</v>
      </c>
      <c r="GU48" s="103">
        <f t="shared" si="24"/>
        <v>0.32833812840909793</v>
      </c>
      <c r="GV48" s="103">
        <f t="shared" si="24"/>
        <v>0</v>
      </c>
      <c r="GW48" s="103">
        <f t="shared" si="24"/>
        <v>0</v>
      </c>
      <c r="GX48" s="103">
        <f t="shared" si="24"/>
        <v>0</v>
      </c>
      <c r="GY48" s="103">
        <f t="shared" si="24"/>
        <v>0.3765974719737315</v>
      </c>
      <c r="GZ48" s="103">
        <f t="shared" si="24"/>
        <v>0.11743567948332755</v>
      </c>
      <c r="HA48" s="103">
        <f t="shared" si="23"/>
        <v>0</v>
      </c>
    </row>
    <row r="49" spans="1:209" x14ac:dyDescent="0.25">
      <c r="A49" s="96">
        <v>41913</v>
      </c>
      <c r="C49" s="105"/>
      <c r="D49" s="104">
        <v>0</v>
      </c>
      <c r="E49" s="104">
        <f>('Renewable Diesel'!B58*E$3*'Feedstock Conversion Rates'!$B$2)/12</f>
        <v>20.853333333333332</v>
      </c>
      <c r="F49" s="104">
        <f>('Renewable Diesel'!B58*'RD Feedstock Breakdown'!F$3*'Feedstock Conversion Rates'!B$8)/12</f>
        <v>12.5</v>
      </c>
      <c r="G49" s="104">
        <f>('Renewable Diesel'!B58*'RD Feedstock Breakdown'!G$3*'Feedstock Conversion Rates'!B$7)/12</f>
        <v>40.847999999999999</v>
      </c>
      <c r="H49" s="104">
        <f>('Renewable Diesel'!B58*'RD Feedstock Breakdown'!H$3*'Feedstock Conversion Rates'!B$3)/12</f>
        <v>40.904400000000003</v>
      </c>
      <c r="I49" s="106">
        <f t="shared" si="20"/>
        <v>115.10573333333335</v>
      </c>
      <c r="J49" s="106"/>
      <c r="K49" s="107"/>
      <c r="L49" s="106"/>
      <c r="T49" s="108"/>
      <c r="AC49" s="108"/>
      <c r="AG49" s="108"/>
      <c r="AT49" s="108"/>
      <c r="BX49" s="108"/>
      <c r="CI49" s="108"/>
      <c r="DD49" s="108"/>
      <c r="DJ49" s="108"/>
      <c r="DP49" s="104">
        <f t="shared" si="1"/>
        <v>20.853333333333332</v>
      </c>
      <c r="DQ49" s="104">
        <f t="shared" si="2"/>
        <v>40.904400000000003</v>
      </c>
      <c r="DR49" s="104">
        <f t="shared" si="13"/>
        <v>0</v>
      </c>
      <c r="DS49" s="108"/>
      <c r="DT49" s="104">
        <f t="shared" si="3"/>
        <v>0</v>
      </c>
      <c r="DU49" s="104">
        <f t="shared" si="4"/>
        <v>40.847999999999999</v>
      </c>
      <c r="DV49" s="104">
        <f t="shared" si="5"/>
        <v>12.5</v>
      </c>
      <c r="DW49" s="104">
        <f t="shared" si="6"/>
        <v>0</v>
      </c>
      <c r="DX49" s="106">
        <f t="shared" si="7"/>
        <v>115.10573333333333</v>
      </c>
      <c r="DY49" s="109">
        <f t="shared" si="8"/>
        <v>1.4210854715202004E-14</v>
      </c>
      <c r="EA49" s="110">
        <f t="shared" si="21"/>
        <v>0.18116676493380576</v>
      </c>
      <c r="EB49" s="110">
        <f t="shared" si="21"/>
        <v>0.35536370618086793</v>
      </c>
      <c r="EC49" s="110">
        <f t="shared" si="21"/>
        <v>0</v>
      </c>
      <c r="ED49" s="108"/>
      <c r="EE49" s="110">
        <f t="shared" si="22"/>
        <v>0</v>
      </c>
      <c r="EF49" s="110">
        <f t="shared" si="22"/>
        <v>0.35487372189974897</v>
      </c>
      <c r="EG49" s="110">
        <f t="shared" si="22"/>
        <v>0.10859580698557732</v>
      </c>
      <c r="EH49" s="111">
        <f t="shared" si="14"/>
        <v>0</v>
      </c>
      <c r="EI49" s="110">
        <f t="shared" si="15"/>
        <v>1</v>
      </c>
      <c r="EK49" s="112">
        <f>EA49*'Renewable Diesel'!BF58*'Feedstock Conversion Rates'!B$2</f>
        <v>21.372944646371508</v>
      </c>
      <c r="EL49" s="112">
        <f>EB49*'Renewable Diesel'!BF58*'Feedstock Conversion Rates'!B$3</f>
        <v>39.506858116711904</v>
      </c>
      <c r="EM49" s="112">
        <f>EC49*'Renewable Diesel'!BF58*'Feedstock Conversion Rates'!B$4</f>
        <v>0</v>
      </c>
      <c r="EN49" s="108"/>
      <c r="EO49" s="112">
        <f>EE49*'Renewable Diesel'!BF58*'Feedstock Conversion Rates'!B$6</f>
        <v>0</v>
      </c>
      <c r="EP49" s="112">
        <f>EF49*'Renewable Diesel'!BF58*'Feedstock Conversion Rates'!B$7</f>
        <v>45.313600843338243</v>
      </c>
      <c r="EQ49" s="112">
        <f>EG49*'Renewable Diesel'!BF58*'Feedstock Conversion Rates'!B$8</f>
        <v>14.130295344215407</v>
      </c>
      <c r="ER49" s="112">
        <f>EH49*'Renewable Diesel'!BF58*'Feedstock Conversion Rates'!B$9</f>
        <v>0</v>
      </c>
      <c r="ES49" s="112">
        <f t="shared" si="16"/>
        <v>120.32369895063707</v>
      </c>
      <c r="EW49" s="73">
        <f t="shared" si="17"/>
        <v>0</v>
      </c>
      <c r="EX49" s="73">
        <f t="shared" si="18"/>
        <v>120.32369895063707</v>
      </c>
      <c r="EY49" s="92">
        <f t="shared" si="10"/>
        <v>0</v>
      </c>
      <c r="EZ49" s="92">
        <f t="shared" si="10"/>
        <v>1</v>
      </c>
      <c r="FE49" s="108"/>
      <c r="GD49" s="91">
        <f>'Renewable Diesel'!BB58*0</f>
        <v>0</v>
      </c>
      <c r="GE49" s="91">
        <f>'Renewable Diesel'!BC58</f>
        <v>0</v>
      </c>
      <c r="GF49" s="91">
        <f>'Renewable Diesel'!BD58</f>
        <v>0</v>
      </c>
      <c r="GG49" s="91">
        <f t="shared" si="0"/>
        <v>0</v>
      </c>
      <c r="GH49" s="92">
        <v>0.5</v>
      </c>
      <c r="GI49" s="102">
        <f>$GG49*EA49*'Feedstock Conversion Rates'!$B$2</f>
        <v>0</v>
      </c>
      <c r="GJ49" s="102">
        <f>$GG49*EB49*'Feedstock Conversion Rates'!$B$3</f>
        <v>0</v>
      </c>
      <c r="GK49" s="102">
        <f>$GG49*EC49*'Feedstock Conversion Rates'!$B$4</f>
        <v>0</v>
      </c>
      <c r="GL49" s="102">
        <f>$GG49*ED49*'Feedstock Conversion Rates'!$B$5</f>
        <v>0</v>
      </c>
      <c r="GM49" s="102">
        <f>$GG49*EE49*'Feedstock Conversion Rates'!$B$5</f>
        <v>0</v>
      </c>
      <c r="GN49" s="102">
        <f>$GG49*EF49*'Feedstock Conversion Rates'!$B$7</f>
        <v>0</v>
      </c>
      <c r="GO49" s="102">
        <f>$GG49*EG49*'Feedstock Conversion Rates'!$B$7</f>
        <v>0</v>
      </c>
      <c r="GP49" s="102">
        <f>$GG49*EH49*'Feedstock Conversion Rates'!B46</f>
        <v>0</v>
      </c>
      <c r="GQ49" s="102">
        <f t="shared" si="19"/>
        <v>0</v>
      </c>
      <c r="GT49" s="103">
        <f t="shared" si="24"/>
        <v>0.17762872013384315</v>
      </c>
      <c r="GU49" s="103">
        <f t="shared" si="24"/>
        <v>0.32833812840909782</v>
      </c>
      <c r="GV49" s="103">
        <f t="shared" si="24"/>
        <v>0</v>
      </c>
      <c r="GW49" s="103">
        <f t="shared" si="24"/>
        <v>0</v>
      </c>
      <c r="GX49" s="103">
        <f t="shared" si="24"/>
        <v>0</v>
      </c>
      <c r="GY49" s="103">
        <f t="shared" si="24"/>
        <v>0.37659747197373145</v>
      </c>
      <c r="GZ49" s="103">
        <f t="shared" si="24"/>
        <v>0.11743567948332752</v>
      </c>
      <c r="HA49" s="103">
        <f t="shared" si="23"/>
        <v>0</v>
      </c>
    </row>
    <row r="50" spans="1:209" x14ac:dyDescent="0.25">
      <c r="A50" s="96">
        <v>41944</v>
      </c>
      <c r="C50" s="105"/>
      <c r="D50" s="104">
        <v>0</v>
      </c>
      <c r="E50" s="104">
        <f>('Renewable Diesel'!B59*E$3*'Feedstock Conversion Rates'!$B$2)/12</f>
        <v>20.853333333333332</v>
      </c>
      <c r="F50" s="104">
        <f>('Renewable Diesel'!B59*'RD Feedstock Breakdown'!F$3*'Feedstock Conversion Rates'!B$8)/12</f>
        <v>12.5</v>
      </c>
      <c r="G50" s="104">
        <f>('Renewable Diesel'!B59*'RD Feedstock Breakdown'!G$3*'Feedstock Conversion Rates'!B$7)/12</f>
        <v>40.847999999999999</v>
      </c>
      <c r="H50" s="104">
        <f>('Renewable Diesel'!B59*'RD Feedstock Breakdown'!H$3*'Feedstock Conversion Rates'!B$3)/12</f>
        <v>40.904400000000003</v>
      </c>
      <c r="I50" s="106">
        <f t="shared" si="20"/>
        <v>115.10573333333335</v>
      </c>
      <c r="J50" s="106"/>
      <c r="K50" s="107"/>
      <c r="L50" s="106"/>
      <c r="T50" s="108"/>
      <c r="Z50" s="104">
        <f>('Renewable Diesel'!F59*'RD Feedstock Breakdown'!Z$3*'Feedstock Conversion Rates'!B$6)/12</f>
        <v>11.725000000000001</v>
      </c>
      <c r="AA50" s="104">
        <f>('Renewable Diesel'!F59*'RD Feedstock Breakdown'!AA$3*'Feedstock Conversion Rates'!B$7)/12</f>
        <v>7.666666666666667</v>
      </c>
      <c r="AB50" s="106">
        <f>SUM(Y50:AA50)</f>
        <v>19.391666666666669</v>
      </c>
      <c r="AC50" s="108"/>
      <c r="AG50" s="108"/>
      <c r="AT50" s="108"/>
      <c r="BX50" s="108"/>
      <c r="CI50" s="108"/>
      <c r="DD50" s="108"/>
      <c r="DJ50" s="108"/>
      <c r="DP50" s="104">
        <f t="shared" si="1"/>
        <v>20.853333333333332</v>
      </c>
      <c r="DQ50" s="104">
        <f t="shared" si="2"/>
        <v>40.904400000000003</v>
      </c>
      <c r="DR50" s="104">
        <f t="shared" si="13"/>
        <v>0</v>
      </c>
      <c r="DS50" s="108"/>
      <c r="DT50" s="104">
        <f t="shared" si="3"/>
        <v>11.725000000000001</v>
      </c>
      <c r="DU50" s="104">
        <f t="shared" si="4"/>
        <v>48.514666666666663</v>
      </c>
      <c r="DV50" s="104">
        <f t="shared" si="5"/>
        <v>12.5</v>
      </c>
      <c r="DW50" s="104">
        <f t="shared" si="6"/>
        <v>0</v>
      </c>
      <c r="DX50" s="106">
        <f t="shared" si="7"/>
        <v>134.4974</v>
      </c>
      <c r="DY50" s="109">
        <f t="shared" si="8"/>
        <v>2.8421709430404007E-14</v>
      </c>
      <c r="EA50" s="110">
        <f t="shared" si="21"/>
        <v>0.15504636768690944</v>
      </c>
      <c r="EB50" s="110">
        <f t="shared" si="21"/>
        <v>0.30412781213614543</v>
      </c>
      <c r="EC50" s="110">
        <f t="shared" si="21"/>
        <v>0</v>
      </c>
      <c r="ED50" s="108"/>
      <c r="EE50" s="110">
        <f t="shared" si="22"/>
        <v>8.7176406384063945E-2</v>
      </c>
      <c r="EF50" s="110">
        <f t="shared" si="22"/>
        <v>0.36071081423630985</v>
      </c>
      <c r="EG50" s="110">
        <f t="shared" si="22"/>
        <v>9.2938599556571355E-2</v>
      </c>
      <c r="EH50" s="111">
        <f t="shared" si="14"/>
        <v>0</v>
      </c>
      <c r="EI50" s="110">
        <f t="shared" si="15"/>
        <v>1</v>
      </c>
      <c r="EK50" s="112">
        <f>EA50*'Renewable Diesel'!BF59*'Feedstock Conversion Rates'!B$2</f>
        <v>21.011707926349015</v>
      </c>
      <c r="EL50" s="112">
        <f>EB50*'Renewable Diesel'!BF59*'Feedstock Conversion Rates'!B$3</f>
        <v>38.839129449436385</v>
      </c>
      <c r="EM50" s="112">
        <f>EC50*'Renewable Diesel'!BF59*'Feedstock Conversion Rates'!B$4</f>
        <v>0</v>
      </c>
      <c r="EN50" s="108"/>
      <c r="EO50" s="112">
        <f>EE50*'Renewable Diesel'!BF59*'Feedstock Conversion Rates'!B$6</f>
        <v>13.037149147701001</v>
      </c>
      <c r="EP50" s="112">
        <f>EF50*'Renewable Diesel'!BF59*'Feedstock Conversion Rates'!B$7</f>
        <v>52.90878924623771</v>
      </c>
      <c r="EQ50" s="112">
        <f>EG50*'Renewable Diesel'!BF59*'Feedstock Conversion Rates'!B$8</f>
        <v>13.891470903898515</v>
      </c>
      <c r="ER50" s="112">
        <f>EH50*'Renewable Diesel'!BF59*'Feedstock Conversion Rates'!B$9</f>
        <v>0</v>
      </c>
      <c r="ES50" s="112">
        <f t="shared" si="16"/>
        <v>139.68824667362264</v>
      </c>
      <c r="EW50" s="73">
        <f t="shared" si="17"/>
        <v>0</v>
      </c>
      <c r="EX50" s="73">
        <f t="shared" si="18"/>
        <v>139.68824667362261</v>
      </c>
      <c r="EY50" s="92">
        <f t="shared" si="10"/>
        <v>0</v>
      </c>
      <c r="EZ50" s="92">
        <f t="shared" si="10"/>
        <v>0.99999999999999978</v>
      </c>
      <c r="FE50" s="108"/>
      <c r="GD50" s="91">
        <f>'Renewable Diesel'!BB59*0</f>
        <v>0</v>
      </c>
      <c r="GE50" s="91">
        <f>'Renewable Diesel'!BC59</f>
        <v>0</v>
      </c>
      <c r="GF50" s="91">
        <f>'Renewable Diesel'!BD59</f>
        <v>0</v>
      </c>
      <c r="GG50" s="91">
        <f t="shared" si="0"/>
        <v>0</v>
      </c>
      <c r="GH50" s="92">
        <v>0.5</v>
      </c>
      <c r="GI50" s="102">
        <f>$GG50*EA50*'Feedstock Conversion Rates'!$B$2</f>
        <v>0</v>
      </c>
      <c r="GJ50" s="102">
        <f>$GG50*EB50*'Feedstock Conversion Rates'!$B$3</f>
        <v>0</v>
      </c>
      <c r="GK50" s="102">
        <f>$GG50*EC50*'Feedstock Conversion Rates'!$B$4</f>
        <v>0</v>
      </c>
      <c r="GL50" s="102">
        <f>$GG50*ED50*'Feedstock Conversion Rates'!$B$5</f>
        <v>0</v>
      </c>
      <c r="GM50" s="102">
        <f>$GG50*EE50*'Feedstock Conversion Rates'!$B$5</f>
        <v>0</v>
      </c>
      <c r="GN50" s="102">
        <f>$GG50*EF50*'Feedstock Conversion Rates'!$B$7</f>
        <v>0</v>
      </c>
      <c r="GO50" s="102">
        <f>$GG50*EG50*'Feedstock Conversion Rates'!$B$7</f>
        <v>0</v>
      </c>
      <c r="GP50" s="102">
        <f>$GG50*EH50*'Feedstock Conversion Rates'!B47</f>
        <v>0</v>
      </c>
      <c r="GQ50" s="102">
        <f t="shared" si="19"/>
        <v>0</v>
      </c>
      <c r="GT50" s="103">
        <f t="shared" si="24"/>
        <v>0.15041858156786972</v>
      </c>
      <c r="GU50" s="103">
        <f t="shared" si="24"/>
        <v>0.27804149865366151</v>
      </c>
      <c r="GV50" s="103">
        <f t="shared" si="24"/>
        <v>0</v>
      </c>
      <c r="GW50" s="103">
        <f t="shared" si="24"/>
        <v>0</v>
      </c>
      <c r="GX50" s="103">
        <f t="shared" si="24"/>
        <v>9.3330322759093004E-2</v>
      </c>
      <c r="GY50" s="103">
        <f t="shared" si="24"/>
        <v>0.37876335701927372</v>
      </c>
      <c r="GZ50" s="103">
        <f t="shared" si="24"/>
        <v>9.944624000010191E-2</v>
      </c>
      <c r="HA50" s="103">
        <f t="shared" si="23"/>
        <v>0</v>
      </c>
    </row>
    <row r="51" spans="1:209" x14ac:dyDescent="0.25">
      <c r="A51" s="96">
        <v>41974</v>
      </c>
      <c r="C51" s="105"/>
      <c r="D51" s="104">
        <v>0</v>
      </c>
      <c r="E51" s="104">
        <f>('Renewable Diesel'!B60*E$3*'Feedstock Conversion Rates'!$B$2)/12</f>
        <v>20.853333333333332</v>
      </c>
      <c r="F51" s="104">
        <f>('Renewable Diesel'!B60*'RD Feedstock Breakdown'!F$3*'Feedstock Conversion Rates'!B$8)/12</f>
        <v>12.5</v>
      </c>
      <c r="G51" s="104">
        <f>('Renewable Diesel'!B60*'RD Feedstock Breakdown'!G$3*'Feedstock Conversion Rates'!B$7)/12</f>
        <v>40.847999999999999</v>
      </c>
      <c r="H51" s="104">
        <f>('Renewable Diesel'!B60*'RD Feedstock Breakdown'!H$3*'Feedstock Conversion Rates'!B$3)/12</f>
        <v>40.904400000000003</v>
      </c>
      <c r="I51" s="106">
        <f t="shared" si="20"/>
        <v>115.10573333333335</v>
      </c>
      <c r="J51" s="106"/>
      <c r="K51" s="107"/>
      <c r="L51" s="106"/>
      <c r="T51" s="108"/>
      <c r="Z51" s="104">
        <f>('Renewable Diesel'!F60*'RD Feedstock Breakdown'!Z$3*'Feedstock Conversion Rates'!B$6)/12</f>
        <v>23.450000000000003</v>
      </c>
      <c r="AA51" s="104">
        <f>('Renewable Diesel'!F60*'RD Feedstock Breakdown'!AA$3*'Feedstock Conversion Rates'!B$7)/12</f>
        <v>15.333333333333334</v>
      </c>
      <c r="AB51" s="106">
        <f t="shared" ref="AB51:AB114" si="25">SUM(Y51:AA51)</f>
        <v>38.783333333333339</v>
      </c>
      <c r="AC51" s="108"/>
      <c r="AG51" s="108"/>
      <c r="AT51" s="108"/>
      <c r="BX51" s="108"/>
      <c r="CI51" s="108"/>
      <c r="DD51" s="108"/>
      <c r="DJ51" s="108"/>
      <c r="DP51" s="104">
        <f t="shared" si="1"/>
        <v>20.853333333333332</v>
      </c>
      <c r="DQ51" s="104">
        <f t="shared" si="2"/>
        <v>40.904400000000003</v>
      </c>
      <c r="DR51" s="104">
        <f t="shared" si="13"/>
        <v>0</v>
      </c>
      <c r="DS51" s="108"/>
      <c r="DT51" s="104">
        <f t="shared" si="3"/>
        <v>23.450000000000003</v>
      </c>
      <c r="DU51" s="104">
        <f t="shared" si="4"/>
        <v>56.181333333333335</v>
      </c>
      <c r="DV51" s="104">
        <f t="shared" si="5"/>
        <v>12.5</v>
      </c>
      <c r="DW51" s="104">
        <f t="shared" si="6"/>
        <v>0</v>
      </c>
      <c r="DX51" s="106">
        <f t="shared" si="7"/>
        <v>153.88906666666668</v>
      </c>
      <c r="DY51" s="109">
        <f t="shared" si="8"/>
        <v>0</v>
      </c>
      <c r="EA51" s="110">
        <f t="shared" si="21"/>
        <v>0.13550886872621662</v>
      </c>
      <c r="EB51" s="110">
        <f t="shared" si="21"/>
        <v>0.26580445827643806</v>
      </c>
      <c r="EC51" s="110">
        <f t="shared" si="21"/>
        <v>0</v>
      </c>
      <c r="ED51" s="108"/>
      <c r="EE51" s="110">
        <f t="shared" si="22"/>
        <v>0.15238249544260454</v>
      </c>
      <c r="EF51" s="110">
        <f t="shared" si="22"/>
        <v>0.36507683456827772</v>
      </c>
      <c r="EG51" s="110">
        <f t="shared" si="22"/>
        <v>8.1227342986462975E-2</v>
      </c>
      <c r="EH51" s="111">
        <f t="shared" si="14"/>
        <v>0</v>
      </c>
      <c r="EI51" s="110">
        <f t="shared" si="15"/>
        <v>0.99999999999999978</v>
      </c>
      <c r="EK51" s="112">
        <f>EA51*'Renewable Diesel'!BF60*'Feedstock Conversion Rates'!B$2</f>
        <v>25.386776280576132</v>
      </c>
      <c r="EL51" s="112">
        <f>EB51*'Renewable Diesel'!BF60*'Feedstock Conversion Rates'!B$3</f>
        <v>46.926232447230888</v>
      </c>
      <c r="EM51" s="112">
        <f>EC51*'Renewable Diesel'!BF60*'Feedstock Conversion Rates'!B$4</f>
        <v>0</v>
      </c>
      <c r="EN51" s="108"/>
      <c r="EO51" s="112">
        <f>EE51*'Renewable Diesel'!BF60*'Feedstock Conversion Rates'!B$6</f>
        <v>31.503501753338767</v>
      </c>
      <c r="EP51" s="112">
        <f>EF51*'Renewable Diesel'!BF60*'Feedstock Conversion Rates'!B$7</f>
        <v>74.027488260093833</v>
      </c>
      <c r="EQ51" s="112">
        <f>EG51*'Renewable Diesel'!BF60*'Feedstock Conversion Rates'!B$8</f>
        <v>16.783959937076965</v>
      </c>
      <c r="ER51" s="112">
        <f>EH51*'Renewable Diesel'!BF60*'Feedstock Conversion Rates'!B$9</f>
        <v>0</v>
      </c>
      <c r="ES51" s="112">
        <f t="shared" si="16"/>
        <v>194.62795867831656</v>
      </c>
      <c r="EW51" s="73">
        <f t="shared" si="17"/>
        <v>0</v>
      </c>
      <c r="EX51" s="73">
        <f t="shared" si="18"/>
        <v>194.62795867831659</v>
      </c>
      <c r="EY51" s="92">
        <f t="shared" si="10"/>
        <v>0</v>
      </c>
      <c r="EZ51" s="92">
        <f t="shared" si="10"/>
        <v>1.0000000000000002</v>
      </c>
      <c r="FE51" s="108"/>
      <c r="GD51" s="91">
        <f>'Renewable Diesel'!BB60*0</f>
        <v>0</v>
      </c>
      <c r="GE51" s="91">
        <f>'Renewable Diesel'!BC60</f>
        <v>0</v>
      </c>
      <c r="GF51" s="91">
        <f>'Renewable Diesel'!BD60</f>
        <v>0</v>
      </c>
      <c r="GG51" s="91">
        <f t="shared" si="0"/>
        <v>0</v>
      </c>
      <c r="GH51" s="92">
        <v>0.5</v>
      </c>
      <c r="GI51" s="102">
        <f>$GG51*EA51*'Feedstock Conversion Rates'!$B$2</f>
        <v>0</v>
      </c>
      <c r="GJ51" s="102">
        <f>$GG51*EB51*'Feedstock Conversion Rates'!$B$3</f>
        <v>0</v>
      </c>
      <c r="GK51" s="102">
        <f>$GG51*EC51*'Feedstock Conversion Rates'!$B$4</f>
        <v>0</v>
      </c>
      <c r="GL51" s="102">
        <f>$GG51*ED51*'Feedstock Conversion Rates'!$B$5</f>
        <v>0</v>
      </c>
      <c r="GM51" s="102">
        <f>$GG51*EE51*'Feedstock Conversion Rates'!$B$5</f>
        <v>0</v>
      </c>
      <c r="GN51" s="102">
        <f>$GG51*EF51*'Feedstock Conversion Rates'!$B$7</f>
        <v>0</v>
      </c>
      <c r="GO51" s="102">
        <f>$GG51*EG51*'Feedstock Conversion Rates'!$B$7</f>
        <v>0</v>
      </c>
      <c r="GP51" s="102">
        <f>$GG51*EH51*'Feedstock Conversion Rates'!B48</f>
        <v>0</v>
      </c>
      <c r="GQ51" s="102">
        <f t="shared" si="19"/>
        <v>0</v>
      </c>
      <c r="GT51" s="103">
        <f t="shared" si="24"/>
        <v>0.1304374584873271</v>
      </c>
      <c r="GU51" s="103">
        <f t="shared" si="24"/>
        <v>0.24110735562299726</v>
      </c>
      <c r="GV51" s="103">
        <f t="shared" si="24"/>
        <v>0</v>
      </c>
      <c r="GW51" s="103">
        <f t="shared" si="24"/>
        <v>0</v>
      </c>
      <c r="GX51" s="103">
        <f t="shared" si="24"/>
        <v>0.16186524262635943</v>
      </c>
      <c r="GY51" s="103">
        <f t="shared" si="24"/>
        <v>0.3803538235862986</v>
      </c>
      <c r="GZ51" s="103">
        <f t="shared" si="24"/>
        <v>8.6236119677017706E-2</v>
      </c>
      <c r="HA51" s="103">
        <f t="shared" si="23"/>
        <v>0</v>
      </c>
    </row>
    <row r="52" spans="1:209" x14ac:dyDescent="0.25">
      <c r="A52" s="96">
        <v>42005</v>
      </c>
      <c r="C52" s="105"/>
      <c r="D52" s="104">
        <v>0</v>
      </c>
      <c r="E52" s="104">
        <f>('Renewable Diesel'!B61*E$3*'Feedstock Conversion Rates'!$B$2)/12</f>
        <v>20.853333333333332</v>
      </c>
      <c r="F52" s="104">
        <f>('Renewable Diesel'!B61*'RD Feedstock Breakdown'!F$3*'Feedstock Conversion Rates'!B$8)/12</f>
        <v>12.5</v>
      </c>
      <c r="G52" s="104">
        <f>('Renewable Diesel'!B61*'RD Feedstock Breakdown'!G$3*'Feedstock Conversion Rates'!B$7)/12</f>
        <v>40.847999999999999</v>
      </c>
      <c r="H52" s="104">
        <f>('Renewable Diesel'!B61*'RD Feedstock Breakdown'!H$3*'Feedstock Conversion Rates'!B$3)/12</f>
        <v>40.904400000000003</v>
      </c>
      <c r="I52" s="106">
        <f t="shared" si="20"/>
        <v>115.10573333333335</v>
      </c>
      <c r="J52" s="106"/>
      <c r="K52" s="107"/>
      <c r="L52" s="106"/>
      <c r="T52" s="108"/>
      <c r="Z52" s="104">
        <f>('Renewable Diesel'!F61*'RD Feedstock Breakdown'!Z$3*'Feedstock Conversion Rates'!B$6)/12</f>
        <v>44.555000000000007</v>
      </c>
      <c r="AA52" s="104">
        <f>('Renewable Diesel'!F61*'RD Feedstock Breakdown'!AA$3*'Feedstock Conversion Rates'!B$7)/12</f>
        <v>29.133333333333329</v>
      </c>
      <c r="AB52" s="106">
        <f t="shared" si="25"/>
        <v>73.688333333333333</v>
      </c>
      <c r="AC52" s="108"/>
      <c r="AG52" s="108"/>
      <c r="AT52" s="108"/>
      <c r="BX52" s="108"/>
      <c r="CI52" s="108"/>
      <c r="DD52" s="108"/>
      <c r="DJ52" s="108"/>
      <c r="DP52" s="104">
        <f t="shared" si="1"/>
        <v>20.853333333333332</v>
      </c>
      <c r="DQ52" s="104">
        <f t="shared" si="2"/>
        <v>40.904400000000003</v>
      </c>
      <c r="DR52" s="104">
        <f t="shared" si="13"/>
        <v>0</v>
      </c>
      <c r="DS52" s="108"/>
      <c r="DT52" s="104">
        <f t="shared" si="3"/>
        <v>44.555000000000007</v>
      </c>
      <c r="DU52" s="104">
        <f t="shared" si="4"/>
        <v>69.981333333333325</v>
      </c>
      <c r="DV52" s="104">
        <f t="shared" si="5"/>
        <v>12.5</v>
      </c>
      <c r="DW52" s="104">
        <f t="shared" si="6"/>
        <v>0</v>
      </c>
      <c r="DX52" s="106">
        <f t="shared" si="7"/>
        <v>188.79406666666665</v>
      </c>
      <c r="DY52" s="109">
        <f t="shared" si="8"/>
        <v>2.8421709430404007E-14</v>
      </c>
      <c r="EA52" s="110">
        <f t="shared" si="21"/>
        <v>0.11045544863521488</v>
      </c>
      <c r="EB52" s="110">
        <f t="shared" si="21"/>
        <v>0.21666146994026297</v>
      </c>
      <c r="EC52" s="110">
        <f t="shared" si="21"/>
        <v>0</v>
      </c>
      <c r="ED52" s="108"/>
      <c r="EE52" s="110">
        <f t="shared" si="22"/>
        <v>0.23599788270182226</v>
      </c>
      <c r="EF52" s="110">
        <f t="shared" si="22"/>
        <v>0.37067549086111817</v>
      </c>
      <c r="EG52" s="110">
        <f t="shared" si="22"/>
        <v>6.6209707861581812E-2</v>
      </c>
      <c r="EH52" s="111">
        <f t="shared" si="14"/>
        <v>0</v>
      </c>
      <c r="EI52" s="110">
        <f t="shared" si="15"/>
        <v>1.0000000000000002</v>
      </c>
      <c r="EK52" s="112">
        <f>EA52*'Renewable Diesel'!BF61*'Feedstock Conversion Rates'!B$2</f>
        <v>16.278741381773653</v>
      </c>
      <c r="EL52" s="112">
        <f>EB52*'Renewable Diesel'!BF61*'Feedstock Conversion Rates'!B$3</f>
        <v>30.090468895569863</v>
      </c>
      <c r="EM52" s="112">
        <f>EC52*'Renewable Diesel'!BF61*'Feedstock Conversion Rates'!B$4</f>
        <v>0</v>
      </c>
      <c r="EN52" s="108"/>
      <c r="EO52" s="112">
        <f>EE52*'Renewable Diesel'!BF61*'Feedstock Conversion Rates'!B$6</f>
        <v>38.381831895093647</v>
      </c>
      <c r="EP52" s="112">
        <f>EF52*'Renewable Diesel'!BF61*'Feedstock Conversion Rates'!B$7</f>
        <v>59.128444301991131</v>
      </c>
      <c r="EQ52" s="112">
        <f>EG52*'Renewable Diesel'!BF61*'Feedstock Conversion Rates'!B$8</f>
        <v>10.762364632597036</v>
      </c>
      <c r="ER52" s="112">
        <f>EH52*'Renewable Diesel'!BF61*'Feedstock Conversion Rates'!B$9</f>
        <v>0</v>
      </c>
      <c r="ES52" s="112">
        <f t="shared" si="16"/>
        <v>154.64185110702533</v>
      </c>
      <c r="EW52" s="73">
        <f t="shared" si="17"/>
        <v>0</v>
      </c>
      <c r="EX52" s="73">
        <f t="shared" si="18"/>
        <v>154.64185110702533</v>
      </c>
      <c r="EY52" s="92">
        <f t="shared" si="10"/>
        <v>0</v>
      </c>
      <c r="EZ52" s="92">
        <f t="shared" si="10"/>
        <v>1</v>
      </c>
      <c r="FE52" s="108"/>
      <c r="GD52" s="91">
        <f>'Renewable Diesel'!BB61*0</f>
        <v>0</v>
      </c>
      <c r="GE52" s="91">
        <f>'Renewable Diesel'!BC61</f>
        <v>0</v>
      </c>
      <c r="GF52" s="91">
        <f>'Renewable Diesel'!BD61</f>
        <v>0</v>
      </c>
      <c r="GG52" s="91">
        <f t="shared" si="0"/>
        <v>0</v>
      </c>
      <c r="GH52" s="92">
        <v>0.5</v>
      </c>
      <c r="GI52" s="102">
        <f>$GG52*EA52*'Feedstock Conversion Rates'!$B$2</f>
        <v>0</v>
      </c>
      <c r="GJ52" s="102">
        <f>$GG52*EB52*'Feedstock Conversion Rates'!$B$3</f>
        <v>0</v>
      </c>
      <c r="GK52" s="102">
        <f>$GG52*EC52*'Feedstock Conversion Rates'!$B$4</f>
        <v>0</v>
      </c>
      <c r="GL52" s="102">
        <f>$GG52*ED52*'Feedstock Conversion Rates'!$B$5</f>
        <v>0</v>
      </c>
      <c r="GM52" s="102">
        <f>$GG52*EE52*'Feedstock Conversion Rates'!$B$5</f>
        <v>0</v>
      </c>
      <c r="GN52" s="102">
        <f>$GG52*EF52*'Feedstock Conversion Rates'!$B$7</f>
        <v>0</v>
      </c>
      <c r="GO52" s="102">
        <f>$GG52*EG52*'Feedstock Conversion Rates'!$B$7</f>
        <v>0</v>
      </c>
      <c r="GP52" s="102">
        <f>$GG52*EH52*'Feedstock Conversion Rates'!B49</f>
        <v>0</v>
      </c>
      <c r="GQ52" s="102">
        <f t="shared" si="19"/>
        <v>0</v>
      </c>
      <c r="GT52" s="103">
        <f t="shared" si="24"/>
        <v>0.10526737274056153</v>
      </c>
      <c r="GU52" s="103">
        <f t="shared" si="24"/>
        <v>0.19458166518418546</v>
      </c>
      <c r="GV52" s="103">
        <f t="shared" si="24"/>
        <v>0</v>
      </c>
      <c r="GW52" s="103">
        <f t="shared" si="24"/>
        <v>0</v>
      </c>
      <c r="GX52" s="103">
        <f t="shared" si="24"/>
        <v>0.24819821814296669</v>
      </c>
      <c r="GY52" s="103">
        <f t="shared" si="24"/>
        <v>0.38235732357516344</v>
      </c>
      <c r="GZ52" s="103">
        <f t="shared" si="24"/>
        <v>6.9595420357122878E-2</v>
      </c>
      <c r="HA52" s="103">
        <f t="shared" si="23"/>
        <v>0</v>
      </c>
    </row>
    <row r="53" spans="1:209" x14ac:dyDescent="0.25">
      <c r="A53" s="96">
        <v>42036</v>
      </c>
      <c r="C53" s="105"/>
      <c r="D53" s="104">
        <v>0</v>
      </c>
      <c r="E53" s="104">
        <f>('Renewable Diesel'!B62*E$3*'Feedstock Conversion Rates'!$B$2)/12</f>
        <v>20.853333333333332</v>
      </c>
      <c r="F53" s="104">
        <f>('Renewable Diesel'!B62*'RD Feedstock Breakdown'!F$3*'Feedstock Conversion Rates'!B$8)/12</f>
        <v>12.5</v>
      </c>
      <c r="G53" s="104">
        <f>('Renewable Diesel'!B62*'RD Feedstock Breakdown'!G$3*'Feedstock Conversion Rates'!B$7)/12</f>
        <v>40.847999999999999</v>
      </c>
      <c r="H53" s="104">
        <f>('Renewable Diesel'!B62*'RD Feedstock Breakdown'!H$3*'Feedstock Conversion Rates'!B$3)/12</f>
        <v>40.904400000000003</v>
      </c>
      <c r="I53" s="106">
        <f t="shared" si="20"/>
        <v>115.10573333333335</v>
      </c>
      <c r="J53" s="106"/>
      <c r="K53" s="107"/>
      <c r="L53" s="106"/>
      <c r="T53" s="108"/>
      <c r="Z53" s="104">
        <f>('Renewable Diesel'!F62*'RD Feedstock Breakdown'!Z$3*'Feedstock Conversion Rates'!B$6)/12</f>
        <v>44.555000000000007</v>
      </c>
      <c r="AA53" s="104">
        <f>('Renewable Diesel'!F62*'RD Feedstock Breakdown'!AA$3*'Feedstock Conversion Rates'!B$7)/12</f>
        <v>29.133333333333329</v>
      </c>
      <c r="AB53" s="106">
        <f t="shared" si="25"/>
        <v>73.688333333333333</v>
      </c>
      <c r="AC53" s="108"/>
      <c r="AG53" s="108"/>
      <c r="AT53" s="108"/>
      <c r="BX53" s="108"/>
      <c r="CI53" s="108"/>
      <c r="DD53" s="108"/>
      <c r="DJ53" s="108"/>
      <c r="DP53" s="104">
        <f t="shared" si="1"/>
        <v>20.853333333333332</v>
      </c>
      <c r="DQ53" s="104">
        <f t="shared" si="2"/>
        <v>40.904400000000003</v>
      </c>
      <c r="DR53" s="104">
        <f t="shared" si="13"/>
        <v>0</v>
      </c>
      <c r="DS53" s="108"/>
      <c r="DT53" s="104">
        <f t="shared" si="3"/>
        <v>44.555000000000007</v>
      </c>
      <c r="DU53" s="104">
        <f t="shared" si="4"/>
        <v>69.981333333333325</v>
      </c>
      <c r="DV53" s="104">
        <f t="shared" si="5"/>
        <v>12.5</v>
      </c>
      <c r="DW53" s="104">
        <f t="shared" si="6"/>
        <v>0</v>
      </c>
      <c r="DX53" s="106">
        <f t="shared" si="7"/>
        <v>188.79406666666665</v>
      </c>
      <c r="DY53" s="109">
        <f t="shared" si="8"/>
        <v>2.8421709430404007E-14</v>
      </c>
      <c r="EA53" s="110">
        <f t="shared" si="21"/>
        <v>0.11045544863521488</v>
      </c>
      <c r="EB53" s="110">
        <f t="shared" si="21"/>
        <v>0.21666146994026297</v>
      </c>
      <c r="EC53" s="110">
        <f t="shared" si="21"/>
        <v>0</v>
      </c>
      <c r="ED53" s="108"/>
      <c r="EE53" s="110">
        <f t="shared" si="22"/>
        <v>0.23599788270182226</v>
      </c>
      <c r="EF53" s="110">
        <f t="shared" si="22"/>
        <v>0.37067549086111817</v>
      </c>
      <c r="EG53" s="110">
        <f t="shared" si="22"/>
        <v>6.6209707861581812E-2</v>
      </c>
      <c r="EH53" s="111">
        <f t="shared" si="14"/>
        <v>0</v>
      </c>
      <c r="EI53" s="110">
        <f t="shared" si="15"/>
        <v>1.0000000000000002</v>
      </c>
      <c r="EK53" s="112">
        <f>EA53*'Renewable Diesel'!BF62*'Feedstock Conversion Rates'!B$2</f>
        <v>12.290185080110216</v>
      </c>
      <c r="EL53" s="112">
        <f>EB53*'Renewable Diesel'!BF62*'Feedstock Conversion Rates'!B$3</f>
        <v>22.717814799116844</v>
      </c>
      <c r="EM53" s="112">
        <f>EC53*'Renewable Diesel'!BF62*'Feedstock Conversion Rates'!B$4</f>
        <v>0</v>
      </c>
      <c r="EN53" s="108"/>
      <c r="EO53" s="112">
        <f>EE53*'Renewable Diesel'!BF62*'Feedstock Conversion Rates'!B$6</f>
        <v>28.977659061070604</v>
      </c>
      <c r="EP53" s="112">
        <f>EF53*'Renewable Diesel'!BF62*'Feedstock Conversion Rates'!B$7</f>
        <v>44.641014125582331</v>
      </c>
      <c r="EQ53" s="112">
        <f>EG53*'Renewable Diesel'!BF62*'Feedstock Conversion Rates'!B$8</f>
        <v>8.1254103208707829</v>
      </c>
      <c r="ER53" s="112">
        <f>EH53*'Renewable Diesel'!BF62*'Feedstock Conversion Rates'!B$9</f>
        <v>0</v>
      </c>
      <c r="ES53" s="112">
        <f t="shared" si="16"/>
        <v>116.75208338675078</v>
      </c>
      <c r="EW53" s="73">
        <f t="shared" si="17"/>
        <v>0</v>
      </c>
      <c r="EX53" s="73">
        <f t="shared" si="18"/>
        <v>116.75208338675078</v>
      </c>
      <c r="EY53" s="92">
        <f t="shared" si="10"/>
        <v>0</v>
      </c>
      <c r="EZ53" s="92">
        <f t="shared" si="10"/>
        <v>1</v>
      </c>
      <c r="FE53" s="108"/>
      <c r="GD53" s="91">
        <f>'Renewable Diesel'!BB62*0</f>
        <v>0</v>
      </c>
      <c r="GE53" s="91">
        <f>'Renewable Diesel'!BC62</f>
        <v>0</v>
      </c>
      <c r="GF53" s="91">
        <f>'Renewable Diesel'!BD62</f>
        <v>0</v>
      </c>
      <c r="GG53" s="91">
        <f t="shared" si="0"/>
        <v>0</v>
      </c>
      <c r="GH53" s="92">
        <v>0.5</v>
      </c>
      <c r="GI53" s="102">
        <f>$GG53*EA53*'Feedstock Conversion Rates'!$B$2</f>
        <v>0</v>
      </c>
      <c r="GJ53" s="102">
        <f>$GG53*EB53*'Feedstock Conversion Rates'!$B$3</f>
        <v>0</v>
      </c>
      <c r="GK53" s="102">
        <f>$GG53*EC53*'Feedstock Conversion Rates'!$B$4</f>
        <v>0</v>
      </c>
      <c r="GL53" s="102">
        <f>$GG53*ED53*'Feedstock Conversion Rates'!$B$5</f>
        <v>0</v>
      </c>
      <c r="GM53" s="102">
        <f>$GG53*EE53*'Feedstock Conversion Rates'!$B$5</f>
        <v>0</v>
      </c>
      <c r="GN53" s="102">
        <f>$GG53*EF53*'Feedstock Conversion Rates'!$B$7</f>
        <v>0</v>
      </c>
      <c r="GO53" s="102">
        <f>$GG53*EG53*'Feedstock Conversion Rates'!$B$7</f>
        <v>0</v>
      </c>
      <c r="GP53" s="102">
        <f>$GG53*EH53*'Feedstock Conversion Rates'!B50</f>
        <v>0</v>
      </c>
      <c r="GQ53" s="102">
        <f t="shared" si="19"/>
        <v>0</v>
      </c>
      <c r="GT53" s="103">
        <f t="shared" si="24"/>
        <v>0.10526737274056153</v>
      </c>
      <c r="GU53" s="103">
        <f t="shared" si="24"/>
        <v>0.19458166518418549</v>
      </c>
      <c r="GV53" s="103">
        <f t="shared" si="24"/>
        <v>0</v>
      </c>
      <c r="GW53" s="103">
        <f t="shared" si="24"/>
        <v>0</v>
      </c>
      <c r="GX53" s="103">
        <f t="shared" si="24"/>
        <v>0.24819821814296666</v>
      </c>
      <c r="GY53" s="103">
        <f t="shared" si="24"/>
        <v>0.38235732357516344</v>
      </c>
      <c r="GZ53" s="103">
        <f t="shared" si="24"/>
        <v>6.9595420357122878E-2</v>
      </c>
      <c r="HA53" s="103">
        <f t="shared" si="23"/>
        <v>0</v>
      </c>
    </row>
    <row r="54" spans="1:209" x14ac:dyDescent="0.25">
      <c r="A54" s="96">
        <v>42064</v>
      </c>
      <c r="C54" s="105"/>
      <c r="D54" s="104">
        <v>0</v>
      </c>
      <c r="E54" s="104">
        <f>('Renewable Diesel'!B63*E$3*'Feedstock Conversion Rates'!$B$2)/12</f>
        <v>20.853333333333332</v>
      </c>
      <c r="F54" s="104">
        <f>('Renewable Diesel'!B63*'RD Feedstock Breakdown'!F$3*'Feedstock Conversion Rates'!B$8)/12</f>
        <v>12.5</v>
      </c>
      <c r="G54" s="104">
        <f>('Renewable Diesel'!B63*'RD Feedstock Breakdown'!G$3*'Feedstock Conversion Rates'!B$7)/12</f>
        <v>40.847999999999999</v>
      </c>
      <c r="H54" s="104">
        <f>('Renewable Diesel'!B63*'RD Feedstock Breakdown'!H$3*'Feedstock Conversion Rates'!B$3)/12</f>
        <v>40.904400000000003</v>
      </c>
      <c r="I54" s="106">
        <f t="shared" si="20"/>
        <v>115.10573333333335</v>
      </c>
      <c r="J54" s="106"/>
      <c r="K54" s="107"/>
      <c r="L54" s="106"/>
      <c r="T54" s="108"/>
      <c r="Z54" s="104">
        <f>('Renewable Diesel'!F63*'RD Feedstock Breakdown'!Z$3*'Feedstock Conversion Rates'!B$6)/12</f>
        <v>44.555000000000007</v>
      </c>
      <c r="AA54" s="104">
        <f>('Renewable Diesel'!F63*'RD Feedstock Breakdown'!AA$3*'Feedstock Conversion Rates'!B$7)/12</f>
        <v>29.133333333333329</v>
      </c>
      <c r="AB54" s="106">
        <f t="shared" si="25"/>
        <v>73.688333333333333</v>
      </c>
      <c r="AC54" s="108"/>
      <c r="AG54" s="108"/>
      <c r="AT54" s="108"/>
      <c r="BX54" s="108"/>
      <c r="CI54" s="108"/>
      <c r="DD54" s="108"/>
      <c r="DJ54" s="108"/>
      <c r="DP54" s="104">
        <f t="shared" si="1"/>
        <v>20.853333333333332</v>
      </c>
      <c r="DQ54" s="104">
        <f t="shared" si="2"/>
        <v>40.904400000000003</v>
      </c>
      <c r="DR54" s="104">
        <f t="shared" si="13"/>
        <v>0</v>
      </c>
      <c r="DS54" s="108"/>
      <c r="DT54" s="104">
        <f t="shared" si="3"/>
        <v>44.555000000000007</v>
      </c>
      <c r="DU54" s="104">
        <f t="shared" si="4"/>
        <v>69.981333333333325</v>
      </c>
      <c r="DV54" s="104">
        <f t="shared" si="5"/>
        <v>12.5</v>
      </c>
      <c r="DW54" s="104">
        <f t="shared" si="6"/>
        <v>0</v>
      </c>
      <c r="DX54" s="106">
        <f t="shared" si="7"/>
        <v>188.79406666666665</v>
      </c>
      <c r="DY54" s="109">
        <f t="shared" si="8"/>
        <v>2.8421709430404007E-14</v>
      </c>
      <c r="EA54" s="110">
        <f t="shared" si="21"/>
        <v>0.11045544863521488</v>
      </c>
      <c r="EB54" s="110">
        <f t="shared" si="21"/>
        <v>0.21666146994026297</v>
      </c>
      <c r="EC54" s="110">
        <f t="shared" si="21"/>
        <v>0</v>
      </c>
      <c r="ED54" s="108"/>
      <c r="EE54" s="110">
        <f t="shared" si="22"/>
        <v>0.23599788270182226</v>
      </c>
      <c r="EF54" s="110">
        <f t="shared" si="22"/>
        <v>0.37067549086111817</v>
      </c>
      <c r="EG54" s="110">
        <f t="shared" si="22"/>
        <v>6.6209707861581812E-2</v>
      </c>
      <c r="EH54" s="111">
        <f t="shared" si="14"/>
        <v>0</v>
      </c>
      <c r="EI54" s="110">
        <f t="shared" si="15"/>
        <v>1.0000000000000002</v>
      </c>
      <c r="EK54" s="112">
        <f>EA54*'Renewable Diesel'!BF63*'Feedstock Conversion Rates'!B$2</f>
        <v>14.466580793958567</v>
      </c>
      <c r="EL54" s="112">
        <f>EB54*'Renewable Diesel'!BF63*'Feedstock Conversion Rates'!B$3</f>
        <v>26.740777385482971</v>
      </c>
      <c r="EM54" s="112">
        <f>EC54*'Renewable Diesel'!BF63*'Feedstock Conversion Rates'!B$4</f>
        <v>0</v>
      </c>
      <c r="EN54" s="108"/>
      <c r="EO54" s="112">
        <f>EE54*'Renewable Diesel'!BF63*'Feedstock Conversion Rates'!B$6</f>
        <v>34.109140203688796</v>
      </c>
      <c r="EP54" s="112">
        <f>EF54*'Renewable Diesel'!BF63*'Feedstock Conversion Rates'!B$7</f>
        <v>52.546225574512761</v>
      </c>
      <c r="EQ54" s="112">
        <f>EG54*'Renewable Diesel'!BF63*'Feedstock Conversion Rates'!B$8</f>
        <v>9.5642908650068819</v>
      </c>
      <c r="ER54" s="112">
        <f>EH54*'Renewable Diesel'!BF63*'Feedstock Conversion Rates'!B$9</f>
        <v>0</v>
      </c>
      <c r="ES54" s="112">
        <f t="shared" si="16"/>
        <v>137.42701482264999</v>
      </c>
      <c r="EW54" s="73">
        <f t="shared" si="17"/>
        <v>0</v>
      </c>
      <c r="EX54" s="73">
        <f t="shared" si="18"/>
        <v>137.42701482264999</v>
      </c>
      <c r="EY54" s="92">
        <f t="shared" si="10"/>
        <v>0</v>
      </c>
      <c r="EZ54" s="92">
        <f t="shared" si="10"/>
        <v>1</v>
      </c>
      <c r="FE54" s="108"/>
      <c r="GD54" s="91">
        <f>'Renewable Diesel'!BB63*0</f>
        <v>0</v>
      </c>
      <c r="GE54" s="91">
        <f>'Renewable Diesel'!BC63</f>
        <v>0</v>
      </c>
      <c r="GF54" s="91">
        <f>'Renewable Diesel'!BD63</f>
        <v>0</v>
      </c>
      <c r="GG54" s="91">
        <f t="shared" si="0"/>
        <v>0</v>
      </c>
      <c r="GH54" s="92">
        <v>0.5</v>
      </c>
      <c r="GI54" s="102">
        <f>$GG54*EA54*'Feedstock Conversion Rates'!$B$2</f>
        <v>0</v>
      </c>
      <c r="GJ54" s="102">
        <f>$GG54*EB54*'Feedstock Conversion Rates'!$B$3</f>
        <v>0</v>
      </c>
      <c r="GK54" s="102">
        <f>$GG54*EC54*'Feedstock Conversion Rates'!$B$4</f>
        <v>0</v>
      </c>
      <c r="GL54" s="102">
        <f>$GG54*ED54*'Feedstock Conversion Rates'!$B$5</f>
        <v>0</v>
      </c>
      <c r="GM54" s="102">
        <f>$GG54*EE54*'Feedstock Conversion Rates'!$B$5</f>
        <v>0</v>
      </c>
      <c r="GN54" s="102">
        <f>$GG54*EF54*'Feedstock Conversion Rates'!$B$7</f>
        <v>0</v>
      </c>
      <c r="GO54" s="102">
        <f>$GG54*EG54*'Feedstock Conversion Rates'!$B$7</f>
        <v>0</v>
      </c>
      <c r="GP54" s="102">
        <f>$GG54*EH54*'Feedstock Conversion Rates'!B51</f>
        <v>0</v>
      </c>
      <c r="GQ54" s="102">
        <f t="shared" si="19"/>
        <v>0</v>
      </c>
      <c r="GT54" s="103">
        <f t="shared" si="24"/>
        <v>0.1052673727405615</v>
      </c>
      <c r="GU54" s="103">
        <f t="shared" si="24"/>
        <v>0.19458166518418543</v>
      </c>
      <c r="GV54" s="103">
        <f t="shared" si="24"/>
        <v>0</v>
      </c>
      <c r="GW54" s="103">
        <f t="shared" si="24"/>
        <v>0</v>
      </c>
      <c r="GX54" s="103">
        <f t="shared" si="24"/>
        <v>0.24819821814296666</v>
      </c>
      <c r="GY54" s="103">
        <f t="shared" si="24"/>
        <v>0.38235732357516339</v>
      </c>
      <c r="GZ54" s="103">
        <f t="shared" si="24"/>
        <v>6.9595420357122864E-2</v>
      </c>
      <c r="HA54" s="103">
        <f t="shared" si="23"/>
        <v>0</v>
      </c>
    </row>
    <row r="55" spans="1:209" x14ac:dyDescent="0.25">
      <c r="A55" s="96">
        <v>42095</v>
      </c>
      <c r="C55" s="105"/>
      <c r="D55" s="104">
        <v>0</v>
      </c>
      <c r="E55" s="104">
        <f>('Renewable Diesel'!B64*E$3*'Feedstock Conversion Rates'!$B$2)/12</f>
        <v>20.853333333333332</v>
      </c>
      <c r="F55" s="104">
        <f>('Renewable Diesel'!B64*'RD Feedstock Breakdown'!F$3*'Feedstock Conversion Rates'!B$8)/12</f>
        <v>12.5</v>
      </c>
      <c r="G55" s="104">
        <f>('Renewable Diesel'!B64*'RD Feedstock Breakdown'!G$3*'Feedstock Conversion Rates'!B$7)/12</f>
        <v>40.847999999999999</v>
      </c>
      <c r="H55" s="104">
        <f>('Renewable Diesel'!B64*'RD Feedstock Breakdown'!H$3*'Feedstock Conversion Rates'!B$3)/12</f>
        <v>40.904400000000003</v>
      </c>
      <c r="I55" s="106">
        <f t="shared" si="20"/>
        <v>115.10573333333335</v>
      </c>
      <c r="J55" s="106"/>
      <c r="K55" s="107"/>
      <c r="L55" s="106"/>
      <c r="T55" s="108"/>
      <c r="Z55" s="104">
        <f>('Renewable Diesel'!F64*'RD Feedstock Breakdown'!Z$3*'Feedstock Conversion Rates'!B$6)/12</f>
        <v>44.555000000000007</v>
      </c>
      <c r="AA55" s="104">
        <f>('Renewable Diesel'!F64*'RD Feedstock Breakdown'!AA$3*'Feedstock Conversion Rates'!B$7)/12</f>
        <v>29.133333333333329</v>
      </c>
      <c r="AB55" s="106">
        <f t="shared" si="25"/>
        <v>73.688333333333333</v>
      </c>
      <c r="AC55" s="108"/>
      <c r="AG55" s="108"/>
      <c r="AT55" s="108"/>
      <c r="BX55" s="108"/>
      <c r="CI55" s="108"/>
      <c r="DD55" s="108"/>
      <c r="DJ55" s="108"/>
      <c r="DP55" s="104">
        <f t="shared" si="1"/>
        <v>20.853333333333332</v>
      </c>
      <c r="DQ55" s="104">
        <f t="shared" si="2"/>
        <v>40.904400000000003</v>
      </c>
      <c r="DR55" s="104">
        <f t="shared" si="13"/>
        <v>0</v>
      </c>
      <c r="DS55" s="108"/>
      <c r="DT55" s="104">
        <f t="shared" si="3"/>
        <v>44.555000000000007</v>
      </c>
      <c r="DU55" s="104">
        <f t="shared" si="4"/>
        <v>69.981333333333325</v>
      </c>
      <c r="DV55" s="104">
        <f t="shared" si="5"/>
        <v>12.5</v>
      </c>
      <c r="DW55" s="104">
        <f t="shared" si="6"/>
        <v>0</v>
      </c>
      <c r="DX55" s="106">
        <f t="shared" si="7"/>
        <v>188.79406666666665</v>
      </c>
      <c r="DY55" s="109">
        <f t="shared" si="8"/>
        <v>2.8421709430404007E-14</v>
      </c>
      <c r="EA55" s="110">
        <f t="shared" si="21"/>
        <v>0.11045544863521488</v>
      </c>
      <c r="EB55" s="110">
        <f t="shared" si="21"/>
        <v>0.21666146994026297</v>
      </c>
      <c r="EC55" s="110">
        <f t="shared" si="21"/>
        <v>0</v>
      </c>
      <c r="ED55" s="108"/>
      <c r="EE55" s="110">
        <f t="shared" si="22"/>
        <v>0.23599788270182226</v>
      </c>
      <c r="EF55" s="110">
        <f t="shared" si="22"/>
        <v>0.37067549086111817</v>
      </c>
      <c r="EG55" s="110">
        <f t="shared" si="22"/>
        <v>6.6209707861581812E-2</v>
      </c>
      <c r="EH55" s="111">
        <f t="shared" si="14"/>
        <v>0</v>
      </c>
      <c r="EI55" s="110">
        <f t="shared" si="15"/>
        <v>1.0000000000000002</v>
      </c>
      <c r="EK55" s="112">
        <f>EA55*'Renewable Diesel'!BF64*'Feedstock Conversion Rates'!B$2</f>
        <v>14.246981610368405</v>
      </c>
      <c r="EL55" s="112">
        <f>EB55*'Renewable Diesel'!BF64*'Feedstock Conversion Rates'!B$3</f>
        <v>26.33485887812768</v>
      </c>
      <c r="EM55" s="112">
        <f>EC55*'Renewable Diesel'!BF64*'Feedstock Conversion Rates'!B$4</f>
        <v>0</v>
      </c>
      <c r="EN55" s="108"/>
      <c r="EO55" s="112">
        <f>EE55*'Renewable Diesel'!BF64*'Feedstock Conversion Rates'!B$6</f>
        <v>33.591371737983302</v>
      </c>
      <c r="EP55" s="112">
        <f>EF55*'Renewable Diesel'!BF64*'Feedstock Conversion Rates'!B$7</f>
        <v>51.748586629882077</v>
      </c>
      <c r="EQ55" s="112">
        <f>EG55*'Renewable Diesel'!BF64*'Feedstock Conversion Rates'!B$8</f>
        <v>9.4191072521346886</v>
      </c>
      <c r="ER55" s="112">
        <f>EH55*'Renewable Diesel'!BF64*'Feedstock Conversion Rates'!B$9</f>
        <v>0</v>
      </c>
      <c r="ES55" s="112">
        <f t="shared" si="16"/>
        <v>135.34090610849617</v>
      </c>
      <c r="EW55" s="73">
        <f t="shared" si="17"/>
        <v>0</v>
      </c>
      <c r="EX55" s="73">
        <f t="shared" si="18"/>
        <v>135.34090610849614</v>
      </c>
      <c r="EY55" s="92">
        <f t="shared" si="10"/>
        <v>0</v>
      </c>
      <c r="EZ55" s="92">
        <f t="shared" si="10"/>
        <v>0.99999999999999978</v>
      </c>
      <c r="FE55" s="108"/>
      <c r="GD55" s="91">
        <f>'Renewable Diesel'!BB64*0</f>
        <v>0</v>
      </c>
      <c r="GE55" s="91">
        <f>'Renewable Diesel'!BC64</f>
        <v>0</v>
      </c>
      <c r="GF55" s="91">
        <f>'Renewable Diesel'!BD64</f>
        <v>0</v>
      </c>
      <c r="GG55" s="91">
        <f t="shared" si="0"/>
        <v>0</v>
      </c>
      <c r="GH55" s="92">
        <v>0.5</v>
      </c>
      <c r="GI55" s="102">
        <f>$GG55*EA55*'Feedstock Conversion Rates'!$B$2</f>
        <v>0</v>
      </c>
      <c r="GJ55" s="102">
        <f>$GG55*EB55*'Feedstock Conversion Rates'!$B$3</f>
        <v>0</v>
      </c>
      <c r="GK55" s="102">
        <f>$GG55*EC55*'Feedstock Conversion Rates'!$B$4</f>
        <v>0</v>
      </c>
      <c r="GL55" s="102">
        <f>$GG55*ED55*'Feedstock Conversion Rates'!$B$5</f>
        <v>0</v>
      </c>
      <c r="GM55" s="102">
        <f>$GG55*EE55*'Feedstock Conversion Rates'!$B$5</f>
        <v>0</v>
      </c>
      <c r="GN55" s="102">
        <f>$GG55*EF55*'Feedstock Conversion Rates'!$B$7</f>
        <v>0</v>
      </c>
      <c r="GO55" s="102">
        <f>$GG55*EG55*'Feedstock Conversion Rates'!$B$7</f>
        <v>0</v>
      </c>
      <c r="GP55" s="102">
        <f>$GG55*EH55*'Feedstock Conversion Rates'!B52</f>
        <v>0</v>
      </c>
      <c r="GQ55" s="102">
        <f t="shared" si="19"/>
        <v>0</v>
      </c>
      <c r="GT55" s="103">
        <f t="shared" si="24"/>
        <v>0.10526737274056151</v>
      </c>
      <c r="GU55" s="103">
        <f t="shared" si="24"/>
        <v>0.19458166518418543</v>
      </c>
      <c r="GV55" s="103">
        <f t="shared" si="24"/>
        <v>0</v>
      </c>
      <c r="GW55" s="103">
        <f t="shared" si="24"/>
        <v>0</v>
      </c>
      <c r="GX55" s="103">
        <f t="shared" si="24"/>
        <v>0.24819821814296666</v>
      </c>
      <c r="GY55" s="103">
        <f t="shared" si="24"/>
        <v>0.38235732357516339</v>
      </c>
      <c r="GZ55" s="103">
        <f t="shared" si="24"/>
        <v>6.9595420357122864E-2</v>
      </c>
      <c r="HA55" s="103">
        <f t="shared" si="23"/>
        <v>0</v>
      </c>
    </row>
    <row r="56" spans="1:209" x14ac:dyDescent="0.25">
      <c r="A56" s="96">
        <v>42125</v>
      </c>
      <c r="C56" s="105"/>
      <c r="D56" s="104">
        <v>0</v>
      </c>
      <c r="E56" s="104">
        <f>('Renewable Diesel'!B65*E$3*'Feedstock Conversion Rates'!$B$2)/12</f>
        <v>20.853333333333332</v>
      </c>
      <c r="F56" s="104">
        <f>('Renewable Diesel'!B65*'RD Feedstock Breakdown'!F$3*'Feedstock Conversion Rates'!B$8)/12</f>
        <v>12.5</v>
      </c>
      <c r="G56" s="104">
        <f>('Renewable Diesel'!B65*'RD Feedstock Breakdown'!G$3*'Feedstock Conversion Rates'!B$7)/12</f>
        <v>40.847999999999999</v>
      </c>
      <c r="H56" s="104">
        <f>('Renewable Diesel'!B65*'RD Feedstock Breakdown'!H$3*'Feedstock Conversion Rates'!B$3)/12</f>
        <v>40.904400000000003</v>
      </c>
      <c r="I56" s="106">
        <f t="shared" si="20"/>
        <v>115.10573333333335</v>
      </c>
      <c r="J56" s="106"/>
      <c r="K56" s="107"/>
      <c r="L56" s="106"/>
      <c r="T56" s="108"/>
      <c r="Z56" s="104">
        <f>('Renewable Diesel'!F65*'RD Feedstock Breakdown'!Z$3*'Feedstock Conversion Rates'!B$6)/12</f>
        <v>44.555000000000007</v>
      </c>
      <c r="AA56" s="104">
        <f>('Renewable Diesel'!F65*'RD Feedstock Breakdown'!AA$3*'Feedstock Conversion Rates'!B$7)/12</f>
        <v>29.133333333333329</v>
      </c>
      <c r="AB56" s="106">
        <f t="shared" si="25"/>
        <v>73.688333333333333</v>
      </c>
      <c r="AC56" s="108"/>
      <c r="AG56" s="108"/>
      <c r="AT56" s="108"/>
      <c r="BX56" s="108"/>
      <c r="CI56" s="108"/>
      <c r="DD56" s="108"/>
      <c r="DJ56" s="108"/>
      <c r="DP56" s="104">
        <f t="shared" si="1"/>
        <v>20.853333333333332</v>
      </c>
      <c r="DQ56" s="104">
        <f t="shared" si="2"/>
        <v>40.904400000000003</v>
      </c>
      <c r="DR56" s="104">
        <f t="shared" si="13"/>
        <v>0</v>
      </c>
      <c r="DS56" s="108"/>
      <c r="DT56" s="104">
        <f t="shared" si="3"/>
        <v>44.555000000000007</v>
      </c>
      <c r="DU56" s="104">
        <f t="shared" si="4"/>
        <v>69.981333333333325</v>
      </c>
      <c r="DV56" s="104">
        <f t="shared" si="5"/>
        <v>12.5</v>
      </c>
      <c r="DW56" s="104">
        <f t="shared" si="6"/>
        <v>0</v>
      </c>
      <c r="DX56" s="106">
        <f t="shared" si="7"/>
        <v>188.79406666666665</v>
      </c>
      <c r="DY56" s="109">
        <f t="shared" si="8"/>
        <v>2.8421709430404007E-14</v>
      </c>
      <c r="EA56" s="110">
        <f t="shared" si="21"/>
        <v>0.11045544863521488</v>
      </c>
      <c r="EB56" s="110">
        <f t="shared" si="21"/>
        <v>0.21666146994026297</v>
      </c>
      <c r="EC56" s="110">
        <f t="shared" si="21"/>
        <v>0</v>
      </c>
      <c r="ED56" s="108"/>
      <c r="EE56" s="110">
        <f t="shared" si="22"/>
        <v>0.23599788270182226</v>
      </c>
      <c r="EF56" s="110">
        <f t="shared" si="22"/>
        <v>0.37067549086111817</v>
      </c>
      <c r="EG56" s="110">
        <f t="shared" si="22"/>
        <v>6.6209707861581812E-2</v>
      </c>
      <c r="EH56" s="111">
        <f t="shared" si="14"/>
        <v>0</v>
      </c>
      <c r="EI56" s="110">
        <f t="shared" si="15"/>
        <v>1.0000000000000002</v>
      </c>
      <c r="EK56" s="112">
        <f>EA56*'Renewable Diesel'!BF65*'Feedstock Conversion Rates'!B$2</f>
        <v>14.458705541381773</v>
      </c>
      <c r="EL56" s="112">
        <f>EB56*'Renewable Diesel'!BF65*'Feedstock Conversion Rates'!B$3</f>
        <v>26.726220360639999</v>
      </c>
      <c r="EM56" s="112">
        <f>EC56*'Renewable Diesel'!BF65*'Feedstock Conversion Rates'!B$4</f>
        <v>0</v>
      </c>
      <c r="EN56" s="108"/>
      <c r="EO56" s="112">
        <f>EE56*'Renewable Diesel'!BF65*'Feedstock Conversion Rates'!B$6</f>
        <v>34.090572022436625</v>
      </c>
      <c r="EP56" s="112">
        <f>EF56*'Renewable Diesel'!BF65*'Feedstock Conversion Rates'!B$7</f>
        <v>52.517620695153198</v>
      </c>
      <c r="EQ56" s="112">
        <f>EG56*'Renewable Diesel'!BF65*'Feedstock Conversion Rates'!B$8</f>
        <v>9.5590842991049154</v>
      </c>
      <c r="ER56" s="112">
        <f>EH56*'Renewable Diesel'!BF65*'Feedstock Conversion Rates'!B$9</f>
        <v>0</v>
      </c>
      <c r="ES56" s="112">
        <f t="shared" si="16"/>
        <v>137.3522029187165</v>
      </c>
      <c r="EW56" s="73">
        <f t="shared" si="17"/>
        <v>0</v>
      </c>
      <c r="EX56" s="73">
        <f t="shared" si="18"/>
        <v>137.3522029187165</v>
      </c>
      <c r="EY56" s="92">
        <f t="shared" si="10"/>
        <v>0</v>
      </c>
      <c r="EZ56" s="92">
        <f t="shared" si="10"/>
        <v>1</v>
      </c>
      <c r="FE56" s="108"/>
      <c r="GD56" s="91">
        <f>'Renewable Diesel'!BB65*0</f>
        <v>0</v>
      </c>
      <c r="GE56" s="91">
        <f>'Renewable Diesel'!BC65</f>
        <v>0</v>
      </c>
      <c r="GF56" s="91">
        <f>'Renewable Diesel'!BD65</f>
        <v>0</v>
      </c>
      <c r="GG56" s="91">
        <f t="shared" si="0"/>
        <v>0</v>
      </c>
      <c r="GH56" s="92">
        <v>0.5</v>
      </c>
      <c r="GI56" s="102">
        <f>$GG56*EA56*'Feedstock Conversion Rates'!$B$2</f>
        <v>0</v>
      </c>
      <c r="GJ56" s="102">
        <f>$GG56*EB56*'Feedstock Conversion Rates'!$B$3</f>
        <v>0</v>
      </c>
      <c r="GK56" s="102">
        <f>$GG56*EC56*'Feedstock Conversion Rates'!$B$4</f>
        <v>0</v>
      </c>
      <c r="GL56" s="102">
        <f>$GG56*ED56*'Feedstock Conversion Rates'!$B$5</f>
        <v>0</v>
      </c>
      <c r="GM56" s="102">
        <f>$GG56*EE56*'Feedstock Conversion Rates'!$B$5</f>
        <v>0</v>
      </c>
      <c r="GN56" s="102">
        <f>$GG56*EF56*'Feedstock Conversion Rates'!$B$7</f>
        <v>0</v>
      </c>
      <c r="GO56" s="102">
        <f>$GG56*EG56*'Feedstock Conversion Rates'!$B$7</f>
        <v>0</v>
      </c>
      <c r="GP56" s="102">
        <f>$GG56*EH56*'Feedstock Conversion Rates'!B53</f>
        <v>0</v>
      </c>
      <c r="GQ56" s="102">
        <f t="shared" si="19"/>
        <v>0</v>
      </c>
      <c r="GT56" s="103">
        <f t="shared" si="24"/>
        <v>0.10526737274056153</v>
      </c>
      <c r="GU56" s="103">
        <f t="shared" si="24"/>
        <v>0.19458166518418549</v>
      </c>
      <c r="GV56" s="103">
        <f t="shared" si="24"/>
        <v>0</v>
      </c>
      <c r="GW56" s="103">
        <f t="shared" si="24"/>
        <v>0</v>
      </c>
      <c r="GX56" s="103">
        <f t="shared" si="24"/>
        <v>0.24819821814296669</v>
      </c>
      <c r="GY56" s="103">
        <f t="shared" si="24"/>
        <v>0.3823573235751635</v>
      </c>
      <c r="GZ56" s="103">
        <f t="shared" si="24"/>
        <v>6.9595420357122878E-2</v>
      </c>
      <c r="HA56" s="103">
        <f t="shared" si="23"/>
        <v>0</v>
      </c>
    </row>
    <row r="57" spans="1:209" x14ac:dyDescent="0.25">
      <c r="A57" s="96">
        <v>42156</v>
      </c>
      <c r="C57" s="105"/>
      <c r="D57" s="104">
        <v>0</v>
      </c>
      <c r="E57" s="104">
        <f>('Renewable Diesel'!B66*E$3*'Feedstock Conversion Rates'!$B$2)/12</f>
        <v>20.853333333333332</v>
      </c>
      <c r="F57" s="104">
        <f>('Renewable Diesel'!B66*'RD Feedstock Breakdown'!F$3*'Feedstock Conversion Rates'!B$8)/12</f>
        <v>12.5</v>
      </c>
      <c r="G57" s="104">
        <f>('Renewable Diesel'!B66*'RD Feedstock Breakdown'!G$3*'Feedstock Conversion Rates'!B$7)/12</f>
        <v>40.847999999999999</v>
      </c>
      <c r="H57" s="104">
        <f>('Renewable Diesel'!B66*'RD Feedstock Breakdown'!H$3*'Feedstock Conversion Rates'!B$3)/12</f>
        <v>40.904400000000003</v>
      </c>
      <c r="I57" s="106">
        <f t="shared" si="20"/>
        <v>115.10573333333335</v>
      </c>
      <c r="J57" s="106"/>
      <c r="K57" s="107"/>
      <c r="L57" s="106"/>
      <c r="T57" s="108"/>
      <c r="Z57" s="104">
        <f>('Renewable Diesel'!F66*'RD Feedstock Breakdown'!Z$3*'Feedstock Conversion Rates'!B$6)/12</f>
        <v>44.555000000000007</v>
      </c>
      <c r="AA57" s="104">
        <f>('Renewable Diesel'!F66*'RD Feedstock Breakdown'!AA$3*'Feedstock Conversion Rates'!B$7)/12</f>
        <v>29.133333333333329</v>
      </c>
      <c r="AB57" s="106">
        <f t="shared" si="25"/>
        <v>73.688333333333333</v>
      </c>
      <c r="AC57" s="108"/>
      <c r="AG57" s="108"/>
      <c r="AT57" s="108"/>
      <c r="BX57" s="108"/>
      <c r="CI57" s="108"/>
      <c r="DD57" s="108"/>
      <c r="DJ57" s="108"/>
      <c r="DP57" s="104">
        <f t="shared" si="1"/>
        <v>20.853333333333332</v>
      </c>
      <c r="DQ57" s="104">
        <f t="shared" si="2"/>
        <v>40.904400000000003</v>
      </c>
      <c r="DR57" s="104">
        <f t="shared" si="13"/>
        <v>0</v>
      </c>
      <c r="DS57" s="108"/>
      <c r="DT57" s="104">
        <f t="shared" si="3"/>
        <v>44.555000000000007</v>
      </c>
      <c r="DU57" s="104">
        <f t="shared" si="4"/>
        <v>69.981333333333325</v>
      </c>
      <c r="DV57" s="104">
        <f t="shared" si="5"/>
        <v>12.5</v>
      </c>
      <c r="DW57" s="104">
        <f t="shared" si="6"/>
        <v>0</v>
      </c>
      <c r="DX57" s="106">
        <f t="shared" si="7"/>
        <v>188.79406666666665</v>
      </c>
      <c r="DY57" s="109">
        <f t="shared" si="8"/>
        <v>2.8421709430404007E-14</v>
      </c>
      <c r="EA57" s="110">
        <f t="shared" si="21"/>
        <v>0.11045544863521488</v>
      </c>
      <c r="EB57" s="110">
        <f t="shared" si="21"/>
        <v>0.21666146994026297</v>
      </c>
      <c r="EC57" s="110">
        <f t="shared" si="21"/>
        <v>0</v>
      </c>
      <c r="ED57" s="108"/>
      <c r="EE57" s="110">
        <f t="shared" si="22"/>
        <v>0.23599788270182226</v>
      </c>
      <c r="EF57" s="110">
        <f t="shared" si="22"/>
        <v>0.37067549086111817</v>
      </c>
      <c r="EG57" s="110">
        <f t="shared" si="22"/>
        <v>6.6209707861581812E-2</v>
      </c>
      <c r="EH57" s="111">
        <f t="shared" si="14"/>
        <v>0</v>
      </c>
      <c r="EI57" s="110">
        <f t="shared" si="15"/>
        <v>1.0000000000000002</v>
      </c>
      <c r="EK57" s="112">
        <f>EA57*'Renewable Diesel'!BF66*'Feedstock Conversion Rates'!B$2</f>
        <v>13.027718256964997</v>
      </c>
      <c r="EL57" s="112">
        <f>EB57*'Renewable Diesel'!BF66*'Feedstock Conversion Rates'!B$3</f>
        <v>24.081109331361674</v>
      </c>
      <c r="EM57" s="112">
        <f>EC57*'Renewable Diesel'!BF66*'Feedstock Conversion Rates'!B$4</f>
        <v>0</v>
      </c>
      <c r="EN57" s="108"/>
      <c r="EO57" s="112">
        <f>EE57*'Renewable Diesel'!BF66*'Feedstock Conversion Rates'!B$6</f>
        <v>30.716606424826217</v>
      </c>
      <c r="EP57" s="112">
        <f>EF57*'Renewable Diesel'!BF66*'Feedstock Conversion Rates'!B$7</f>
        <v>47.319918369208644</v>
      </c>
      <c r="EQ57" s="112">
        <f>EG57*'Renewable Diesel'!BF66*'Feedstock Conversion Rates'!B$8</f>
        <v>8.6130156456188072</v>
      </c>
      <c r="ER57" s="112">
        <f>EH57*'Renewable Diesel'!BF66*'Feedstock Conversion Rates'!B$9</f>
        <v>0</v>
      </c>
      <c r="ES57" s="112">
        <f t="shared" si="16"/>
        <v>123.75836802798032</v>
      </c>
      <c r="EW57" s="73">
        <f t="shared" si="17"/>
        <v>0</v>
      </c>
      <c r="EX57" s="73">
        <f t="shared" si="18"/>
        <v>123.75836802798034</v>
      </c>
      <c r="EY57" s="92">
        <f t="shared" si="10"/>
        <v>0</v>
      </c>
      <c r="EZ57" s="92">
        <f t="shared" si="10"/>
        <v>1.0000000000000002</v>
      </c>
      <c r="FE57" s="108"/>
      <c r="GD57" s="91">
        <f>'Renewable Diesel'!BB66*0</f>
        <v>0</v>
      </c>
      <c r="GE57" s="91">
        <f>'Renewable Diesel'!BC66</f>
        <v>0</v>
      </c>
      <c r="GF57" s="91">
        <f>'Renewable Diesel'!BD66</f>
        <v>0</v>
      </c>
      <c r="GG57" s="91">
        <f t="shared" si="0"/>
        <v>0</v>
      </c>
      <c r="GH57" s="92">
        <v>0.5</v>
      </c>
      <c r="GI57" s="102">
        <f>$GG57*EA57*'Feedstock Conversion Rates'!$B$2</f>
        <v>0</v>
      </c>
      <c r="GJ57" s="102">
        <f>$GG57*EB57*'Feedstock Conversion Rates'!$B$3</f>
        <v>0</v>
      </c>
      <c r="GK57" s="102">
        <f>$GG57*EC57*'Feedstock Conversion Rates'!$B$4</f>
        <v>0</v>
      </c>
      <c r="GL57" s="102">
        <f>$GG57*ED57*'Feedstock Conversion Rates'!$B$5</f>
        <v>0</v>
      </c>
      <c r="GM57" s="102">
        <f>$GG57*EE57*'Feedstock Conversion Rates'!$B$5</f>
        <v>0</v>
      </c>
      <c r="GN57" s="102">
        <f>$GG57*EF57*'Feedstock Conversion Rates'!$B$7</f>
        <v>0</v>
      </c>
      <c r="GO57" s="102">
        <f>$GG57*EG57*'Feedstock Conversion Rates'!$B$7</f>
        <v>0</v>
      </c>
      <c r="GP57" s="102">
        <f>$GG57*EH57*'Feedstock Conversion Rates'!B54</f>
        <v>0</v>
      </c>
      <c r="GQ57" s="102">
        <f t="shared" si="19"/>
        <v>0</v>
      </c>
      <c r="GT57" s="103">
        <f t="shared" si="24"/>
        <v>0.10526737274056153</v>
      </c>
      <c r="GU57" s="103">
        <f t="shared" si="24"/>
        <v>0.19458166518418549</v>
      </c>
      <c r="GV57" s="103">
        <f t="shared" si="24"/>
        <v>0</v>
      </c>
      <c r="GW57" s="103">
        <f t="shared" si="24"/>
        <v>0</v>
      </c>
      <c r="GX57" s="103">
        <f t="shared" si="24"/>
        <v>0.24819821814296672</v>
      </c>
      <c r="GY57" s="103">
        <f t="shared" si="24"/>
        <v>0.3823573235751635</v>
      </c>
      <c r="GZ57" s="103">
        <f t="shared" si="24"/>
        <v>6.9595420357122878E-2</v>
      </c>
      <c r="HA57" s="103">
        <f t="shared" si="23"/>
        <v>0</v>
      </c>
    </row>
    <row r="58" spans="1:209" x14ac:dyDescent="0.25">
      <c r="A58" s="96">
        <v>42186</v>
      </c>
      <c r="C58" s="105"/>
      <c r="D58" s="104">
        <v>0</v>
      </c>
      <c r="E58" s="104">
        <f>('Renewable Diesel'!B67*E$3*'Feedstock Conversion Rates'!$B$2)/12</f>
        <v>20.853333333333332</v>
      </c>
      <c r="F58" s="104">
        <f>('Renewable Diesel'!B67*'RD Feedstock Breakdown'!F$3*'Feedstock Conversion Rates'!B$8)/12</f>
        <v>12.5</v>
      </c>
      <c r="G58" s="104">
        <f>('Renewable Diesel'!B67*'RD Feedstock Breakdown'!G$3*'Feedstock Conversion Rates'!B$7)/12</f>
        <v>40.847999999999999</v>
      </c>
      <c r="H58" s="104">
        <f>('Renewable Diesel'!B67*'RD Feedstock Breakdown'!H$3*'Feedstock Conversion Rates'!B$3)/12</f>
        <v>40.904400000000003</v>
      </c>
      <c r="I58" s="106">
        <f t="shared" si="20"/>
        <v>115.10573333333335</v>
      </c>
      <c r="J58" s="106"/>
      <c r="K58" s="107"/>
      <c r="L58" s="106"/>
      <c r="T58" s="108"/>
      <c r="Z58" s="104">
        <f>('Renewable Diesel'!F67*'RD Feedstock Breakdown'!Z$3*'Feedstock Conversion Rates'!B$6)/12</f>
        <v>44.555000000000007</v>
      </c>
      <c r="AA58" s="104">
        <f>('Renewable Diesel'!F67*'RD Feedstock Breakdown'!AA$3*'Feedstock Conversion Rates'!B$7)/12</f>
        <v>29.133333333333329</v>
      </c>
      <c r="AB58" s="106">
        <f t="shared" si="25"/>
        <v>73.688333333333333</v>
      </c>
      <c r="AC58" s="108"/>
      <c r="AG58" s="108"/>
      <c r="AT58" s="108"/>
      <c r="BX58" s="108"/>
      <c r="CI58" s="108"/>
      <c r="DD58" s="108"/>
      <c r="DJ58" s="108"/>
      <c r="DP58" s="104">
        <f t="shared" si="1"/>
        <v>20.853333333333332</v>
      </c>
      <c r="DQ58" s="104">
        <f t="shared" si="2"/>
        <v>40.904400000000003</v>
      </c>
      <c r="DR58" s="104">
        <f t="shared" si="13"/>
        <v>0</v>
      </c>
      <c r="DS58" s="108"/>
      <c r="DT58" s="104">
        <f t="shared" si="3"/>
        <v>44.555000000000007</v>
      </c>
      <c r="DU58" s="104">
        <f t="shared" si="4"/>
        <v>69.981333333333325</v>
      </c>
      <c r="DV58" s="104">
        <f t="shared" si="5"/>
        <v>12.5</v>
      </c>
      <c r="DW58" s="104">
        <f t="shared" si="6"/>
        <v>0</v>
      </c>
      <c r="DX58" s="106">
        <f t="shared" si="7"/>
        <v>188.79406666666665</v>
      </c>
      <c r="DY58" s="109">
        <f t="shared" si="8"/>
        <v>2.8421709430404007E-14</v>
      </c>
      <c r="EA58" s="110">
        <f t="shared" si="21"/>
        <v>0.11045544863521488</v>
      </c>
      <c r="EB58" s="110">
        <f t="shared" si="21"/>
        <v>0.21666146994026297</v>
      </c>
      <c r="EC58" s="110">
        <f t="shared" si="21"/>
        <v>0</v>
      </c>
      <c r="ED58" s="108"/>
      <c r="EE58" s="110">
        <f t="shared" si="22"/>
        <v>0.23599788270182226</v>
      </c>
      <c r="EF58" s="110">
        <f t="shared" si="22"/>
        <v>0.37067549086111817</v>
      </c>
      <c r="EG58" s="110">
        <f t="shared" si="22"/>
        <v>6.6209707861581812E-2</v>
      </c>
      <c r="EH58" s="111">
        <f t="shared" si="14"/>
        <v>0</v>
      </c>
      <c r="EI58" s="110">
        <f t="shared" si="15"/>
        <v>1.0000000000000002</v>
      </c>
      <c r="EK58" s="112">
        <f>EA58*'Renewable Diesel'!BF67*'Feedstock Conversion Rates'!B$2</f>
        <v>14.125381814470867</v>
      </c>
      <c r="EL58" s="112">
        <f>EB58*'Renewable Diesel'!BF67*'Feedstock Conversion Rates'!B$3</f>
        <v>26.110087515873637</v>
      </c>
      <c r="EM58" s="112">
        <f>EC58*'Renewable Diesel'!BF67*'Feedstock Conversion Rates'!B$4</f>
        <v>0</v>
      </c>
      <c r="EN58" s="108"/>
      <c r="EO58" s="112">
        <f>EE58*'Renewable Diesel'!BF67*'Feedstock Conversion Rates'!B$6</f>
        <v>33.3046651176642</v>
      </c>
      <c r="EP58" s="112">
        <f>EF58*'Renewable Diesel'!BF67*'Feedstock Conversion Rates'!B$7</f>
        <v>51.306905876423379</v>
      </c>
      <c r="EQ58" s="112">
        <f>EG58*'Renewable Diesel'!BF67*'Feedstock Conversion Rates'!B$8</f>
        <v>9.3387139765117997</v>
      </c>
      <c r="ER58" s="112">
        <f>EH58*'Renewable Diesel'!BF67*'Feedstock Conversion Rates'!B$9</f>
        <v>0</v>
      </c>
      <c r="ES58" s="112">
        <f t="shared" si="16"/>
        <v>134.18575430094387</v>
      </c>
      <c r="EW58" s="73">
        <f t="shared" si="17"/>
        <v>0</v>
      </c>
      <c r="EX58" s="73">
        <f t="shared" si="18"/>
        <v>134.18575430094387</v>
      </c>
      <c r="EY58" s="92">
        <f t="shared" si="10"/>
        <v>0</v>
      </c>
      <c r="EZ58" s="92">
        <f t="shared" si="10"/>
        <v>1</v>
      </c>
      <c r="FE58" s="108"/>
      <c r="GD58" s="91">
        <f>'Renewable Diesel'!BB67*0</f>
        <v>0</v>
      </c>
      <c r="GE58" s="91">
        <f>'Renewable Diesel'!BC67</f>
        <v>0</v>
      </c>
      <c r="GF58" s="91">
        <f>'Renewable Diesel'!BD67</f>
        <v>0</v>
      </c>
      <c r="GG58" s="91">
        <f t="shared" si="0"/>
        <v>0</v>
      </c>
      <c r="GH58" s="92">
        <v>0.5</v>
      </c>
      <c r="GI58" s="102">
        <f>$GG58*EA58*'Feedstock Conversion Rates'!$B$2</f>
        <v>0</v>
      </c>
      <c r="GJ58" s="102">
        <f>$GG58*EB58*'Feedstock Conversion Rates'!$B$3</f>
        <v>0</v>
      </c>
      <c r="GK58" s="102">
        <f>$GG58*EC58*'Feedstock Conversion Rates'!$B$4</f>
        <v>0</v>
      </c>
      <c r="GL58" s="102">
        <f>$GG58*ED58*'Feedstock Conversion Rates'!$B$5</f>
        <v>0</v>
      </c>
      <c r="GM58" s="102">
        <f>$GG58*EE58*'Feedstock Conversion Rates'!$B$5</f>
        <v>0</v>
      </c>
      <c r="GN58" s="102">
        <f>$GG58*EF58*'Feedstock Conversion Rates'!$B$7</f>
        <v>0</v>
      </c>
      <c r="GO58" s="102">
        <f>$GG58*EG58*'Feedstock Conversion Rates'!$B$7</f>
        <v>0</v>
      </c>
      <c r="GP58" s="102">
        <f>$GG58*EH58*'Feedstock Conversion Rates'!B55</f>
        <v>0</v>
      </c>
      <c r="GQ58" s="102">
        <f t="shared" si="19"/>
        <v>0</v>
      </c>
      <c r="GT58" s="103">
        <f t="shared" si="24"/>
        <v>0.10526737274056154</v>
      </c>
      <c r="GU58" s="103">
        <f t="shared" si="24"/>
        <v>0.19458166518418549</v>
      </c>
      <c r="GV58" s="103">
        <f t="shared" si="24"/>
        <v>0</v>
      </c>
      <c r="GW58" s="103">
        <f t="shared" si="24"/>
        <v>0</v>
      </c>
      <c r="GX58" s="103">
        <f t="shared" si="24"/>
        <v>0.24819821814296672</v>
      </c>
      <c r="GY58" s="103">
        <f t="shared" si="24"/>
        <v>0.38235732357516344</v>
      </c>
      <c r="GZ58" s="103">
        <f t="shared" si="24"/>
        <v>6.9595420357122892E-2</v>
      </c>
      <c r="HA58" s="103">
        <f t="shared" si="23"/>
        <v>0</v>
      </c>
    </row>
    <row r="59" spans="1:209" x14ac:dyDescent="0.25">
      <c r="A59" s="96">
        <v>42217</v>
      </c>
      <c r="C59" s="105"/>
      <c r="D59" s="104">
        <v>0</v>
      </c>
      <c r="E59" s="104">
        <f>('Renewable Diesel'!B68*E$3*'Feedstock Conversion Rates'!$B$2)/12</f>
        <v>20.853333333333332</v>
      </c>
      <c r="F59" s="104">
        <f>('Renewable Diesel'!B68*'RD Feedstock Breakdown'!F$3*'Feedstock Conversion Rates'!B$8)/12</f>
        <v>12.5</v>
      </c>
      <c r="G59" s="104">
        <f>('Renewable Diesel'!B68*'RD Feedstock Breakdown'!G$3*'Feedstock Conversion Rates'!B$7)/12</f>
        <v>40.847999999999999</v>
      </c>
      <c r="H59" s="104">
        <f>('Renewable Diesel'!B68*'RD Feedstock Breakdown'!H$3*'Feedstock Conversion Rates'!B$3)/12</f>
        <v>40.904400000000003</v>
      </c>
      <c r="I59" s="106">
        <f t="shared" si="20"/>
        <v>115.10573333333335</v>
      </c>
      <c r="J59" s="106"/>
      <c r="K59" s="107"/>
      <c r="L59" s="106"/>
      <c r="T59" s="108"/>
      <c r="Z59" s="104">
        <f>('Renewable Diesel'!F68*'RD Feedstock Breakdown'!Z$3*'Feedstock Conversion Rates'!B$6)/12</f>
        <v>44.555000000000007</v>
      </c>
      <c r="AA59" s="104">
        <f>('Renewable Diesel'!F68*'RD Feedstock Breakdown'!AA$3*'Feedstock Conversion Rates'!B$7)/12</f>
        <v>29.133333333333329</v>
      </c>
      <c r="AB59" s="106">
        <f t="shared" si="25"/>
        <v>73.688333333333333</v>
      </c>
      <c r="AC59" s="108"/>
      <c r="AG59" s="108"/>
      <c r="AT59" s="108"/>
      <c r="BX59" s="108"/>
      <c r="CI59" s="108"/>
      <c r="DD59" s="108"/>
      <c r="DJ59" s="108"/>
      <c r="DP59" s="104">
        <f t="shared" si="1"/>
        <v>20.853333333333332</v>
      </c>
      <c r="DQ59" s="104">
        <f t="shared" si="2"/>
        <v>40.904400000000003</v>
      </c>
      <c r="DR59" s="104">
        <f t="shared" si="13"/>
        <v>0</v>
      </c>
      <c r="DS59" s="108"/>
      <c r="DT59" s="104">
        <f t="shared" si="3"/>
        <v>44.555000000000007</v>
      </c>
      <c r="DU59" s="104">
        <f t="shared" si="4"/>
        <v>69.981333333333325</v>
      </c>
      <c r="DV59" s="104">
        <f t="shared" si="5"/>
        <v>12.5</v>
      </c>
      <c r="DW59" s="104">
        <f t="shared" si="6"/>
        <v>0</v>
      </c>
      <c r="DX59" s="106">
        <f t="shared" si="7"/>
        <v>188.79406666666665</v>
      </c>
      <c r="DY59" s="109">
        <f t="shared" si="8"/>
        <v>2.8421709430404007E-14</v>
      </c>
      <c r="EA59" s="110">
        <f t="shared" si="21"/>
        <v>0.11045544863521488</v>
      </c>
      <c r="EB59" s="110">
        <f t="shared" si="21"/>
        <v>0.21666146994026297</v>
      </c>
      <c r="EC59" s="110">
        <f t="shared" si="21"/>
        <v>0</v>
      </c>
      <c r="ED59" s="108"/>
      <c r="EE59" s="110">
        <f t="shared" si="22"/>
        <v>0.23599788270182226</v>
      </c>
      <c r="EF59" s="110">
        <f t="shared" si="22"/>
        <v>0.37067549086111817</v>
      </c>
      <c r="EG59" s="110">
        <f t="shared" si="22"/>
        <v>6.6209707861581812E-2</v>
      </c>
      <c r="EH59" s="111">
        <f t="shared" si="14"/>
        <v>0</v>
      </c>
      <c r="EI59" s="110">
        <f t="shared" si="15"/>
        <v>1.0000000000000002</v>
      </c>
      <c r="EK59" s="112">
        <f>EA59*'Renewable Diesel'!BF68*'Feedstock Conversion Rates'!B$2</f>
        <v>13.759508357995713</v>
      </c>
      <c r="EL59" s="112">
        <f>EB59*'Renewable Diesel'!BF68*'Feedstock Conversion Rates'!B$3</f>
        <v>25.433788064731385</v>
      </c>
      <c r="EM59" s="112">
        <f>EC59*'Renewable Diesel'!BF68*'Feedstock Conversion Rates'!B$4</f>
        <v>0</v>
      </c>
      <c r="EN59" s="108"/>
      <c r="EO59" s="112">
        <f>EE59*'Renewable Diesel'!BF68*'Feedstock Conversion Rates'!B$6</f>
        <v>32.442012829507014</v>
      </c>
      <c r="EP59" s="112">
        <f>EF59*'Renewable Diesel'!BF68*'Feedstock Conversion Rates'!B$7</f>
        <v>49.977962330641034</v>
      </c>
      <c r="EQ59" s="112">
        <f>EG59*'Renewable Diesel'!BF68*'Feedstock Conversion Rates'!B$8</f>
        <v>9.0968240505263065</v>
      </c>
      <c r="ER59" s="112">
        <f>EH59*'Renewable Diesel'!BF68*'Feedstock Conversion Rates'!B$9</f>
        <v>0</v>
      </c>
      <c r="ES59" s="112">
        <f t="shared" si="16"/>
        <v>130.71009563340147</v>
      </c>
      <c r="EW59" s="73">
        <f t="shared" si="17"/>
        <v>0</v>
      </c>
      <c r="EX59" s="73">
        <f t="shared" si="18"/>
        <v>130.71009563340147</v>
      </c>
      <c r="EY59" s="92">
        <f t="shared" si="10"/>
        <v>0</v>
      </c>
      <c r="EZ59" s="92">
        <f t="shared" si="10"/>
        <v>1</v>
      </c>
      <c r="FE59" s="108"/>
      <c r="GD59" s="91">
        <f>'Renewable Diesel'!BB68*0</f>
        <v>0</v>
      </c>
      <c r="GE59" s="91">
        <f>'Renewable Diesel'!BC68</f>
        <v>0</v>
      </c>
      <c r="GF59" s="91">
        <f>'Renewable Diesel'!BD68</f>
        <v>0</v>
      </c>
      <c r="GG59" s="91">
        <f t="shared" si="0"/>
        <v>0</v>
      </c>
      <c r="GH59" s="92">
        <v>0.5</v>
      </c>
      <c r="GI59" s="102">
        <f>$GG59*EA59*'Feedstock Conversion Rates'!$B$2</f>
        <v>0</v>
      </c>
      <c r="GJ59" s="102">
        <f>$GG59*EB59*'Feedstock Conversion Rates'!$B$3</f>
        <v>0</v>
      </c>
      <c r="GK59" s="102">
        <f>$GG59*EC59*'Feedstock Conversion Rates'!$B$4</f>
        <v>0</v>
      </c>
      <c r="GL59" s="102">
        <f>$GG59*ED59*'Feedstock Conversion Rates'!$B$5</f>
        <v>0</v>
      </c>
      <c r="GM59" s="102">
        <f>$GG59*EE59*'Feedstock Conversion Rates'!$B$5</f>
        <v>0</v>
      </c>
      <c r="GN59" s="102">
        <f>$GG59*EF59*'Feedstock Conversion Rates'!$B$7</f>
        <v>0</v>
      </c>
      <c r="GO59" s="102">
        <f>$GG59*EG59*'Feedstock Conversion Rates'!$B$7</f>
        <v>0</v>
      </c>
      <c r="GP59" s="102">
        <f>$GG59*EH59*'Feedstock Conversion Rates'!B56</f>
        <v>0</v>
      </c>
      <c r="GQ59" s="102">
        <f t="shared" si="19"/>
        <v>0</v>
      </c>
      <c r="GT59" s="103">
        <f t="shared" si="24"/>
        <v>0.10526737274056151</v>
      </c>
      <c r="GU59" s="103">
        <f t="shared" si="24"/>
        <v>0.19458166518418546</v>
      </c>
      <c r="GV59" s="103">
        <f t="shared" si="24"/>
        <v>0</v>
      </c>
      <c r="GW59" s="103">
        <f t="shared" si="24"/>
        <v>0</v>
      </c>
      <c r="GX59" s="103">
        <f t="shared" si="24"/>
        <v>0.24819821814296669</v>
      </c>
      <c r="GY59" s="103">
        <f t="shared" si="24"/>
        <v>0.38235732357516339</v>
      </c>
      <c r="GZ59" s="103">
        <f t="shared" si="24"/>
        <v>6.9595420357122878E-2</v>
      </c>
      <c r="HA59" s="103">
        <f t="shared" si="23"/>
        <v>0</v>
      </c>
    </row>
    <row r="60" spans="1:209" x14ac:dyDescent="0.25">
      <c r="A60" s="96">
        <v>42248</v>
      </c>
      <c r="C60" s="105"/>
      <c r="D60" s="104">
        <v>0</v>
      </c>
      <c r="E60" s="104">
        <f>('Renewable Diesel'!B69*E$3*'Feedstock Conversion Rates'!$B$2)/12</f>
        <v>20.853333333333332</v>
      </c>
      <c r="F60" s="104">
        <f>('Renewable Diesel'!B69*'RD Feedstock Breakdown'!F$3*'Feedstock Conversion Rates'!B$8)/12</f>
        <v>12.5</v>
      </c>
      <c r="G60" s="104">
        <f>('Renewable Diesel'!B69*'RD Feedstock Breakdown'!G$3*'Feedstock Conversion Rates'!B$7)/12</f>
        <v>40.847999999999999</v>
      </c>
      <c r="H60" s="104">
        <f>('Renewable Diesel'!B69*'RD Feedstock Breakdown'!H$3*'Feedstock Conversion Rates'!B$3)/12</f>
        <v>40.904400000000003</v>
      </c>
      <c r="I60" s="106">
        <f t="shared" si="20"/>
        <v>115.10573333333335</v>
      </c>
      <c r="J60" s="106"/>
      <c r="K60" s="107"/>
      <c r="L60" s="106"/>
      <c r="T60" s="108"/>
      <c r="Z60" s="104">
        <f>('Renewable Diesel'!F69*'RD Feedstock Breakdown'!Z$3*'Feedstock Conversion Rates'!B$6)/12</f>
        <v>44.555000000000007</v>
      </c>
      <c r="AA60" s="104">
        <f>('Renewable Diesel'!F69*'RD Feedstock Breakdown'!AA$3*'Feedstock Conversion Rates'!B$7)/12</f>
        <v>29.133333333333329</v>
      </c>
      <c r="AB60" s="106">
        <f t="shared" si="25"/>
        <v>73.688333333333333</v>
      </c>
      <c r="AC60" s="108"/>
      <c r="AG60" s="108"/>
      <c r="AT60" s="108"/>
      <c r="BX60" s="108"/>
      <c r="CI60" s="108"/>
      <c r="DD60" s="108"/>
      <c r="DJ60" s="108"/>
      <c r="DP60" s="104">
        <f t="shared" si="1"/>
        <v>20.853333333333332</v>
      </c>
      <c r="DQ60" s="104">
        <f t="shared" si="2"/>
        <v>40.904400000000003</v>
      </c>
      <c r="DR60" s="104">
        <f t="shared" si="13"/>
        <v>0</v>
      </c>
      <c r="DS60" s="108"/>
      <c r="DT60" s="104">
        <f t="shared" si="3"/>
        <v>44.555000000000007</v>
      </c>
      <c r="DU60" s="104">
        <f t="shared" si="4"/>
        <v>69.981333333333325</v>
      </c>
      <c r="DV60" s="104">
        <f t="shared" si="5"/>
        <v>12.5</v>
      </c>
      <c r="DW60" s="104">
        <f t="shared" si="6"/>
        <v>0</v>
      </c>
      <c r="DX60" s="106">
        <f t="shared" si="7"/>
        <v>188.79406666666665</v>
      </c>
      <c r="DY60" s="109">
        <f t="shared" si="8"/>
        <v>2.8421709430404007E-14</v>
      </c>
      <c r="EA60" s="110">
        <f t="shared" si="21"/>
        <v>0.11045544863521488</v>
      </c>
      <c r="EB60" s="110">
        <f t="shared" si="21"/>
        <v>0.21666146994026297</v>
      </c>
      <c r="EC60" s="110">
        <f t="shared" si="21"/>
        <v>0</v>
      </c>
      <c r="ED60" s="108"/>
      <c r="EE60" s="110">
        <f t="shared" si="22"/>
        <v>0.23599788270182226</v>
      </c>
      <c r="EF60" s="110">
        <f t="shared" si="22"/>
        <v>0.37067549086111817</v>
      </c>
      <c r="EG60" s="110">
        <f t="shared" si="22"/>
        <v>6.6209707861581812E-2</v>
      </c>
      <c r="EH60" s="111">
        <f t="shared" si="14"/>
        <v>0</v>
      </c>
      <c r="EI60" s="110">
        <f t="shared" si="15"/>
        <v>1.0000000000000002</v>
      </c>
      <c r="EK60" s="112">
        <f>EA60*'Renewable Diesel'!BF69*'Feedstock Conversion Rates'!B$2</f>
        <v>12.652139687723238</v>
      </c>
      <c r="EL60" s="112">
        <f>EB60*'Renewable Diesel'!BF69*'Feedstock Conversion Rates'!B$3</f>
        <v>23.386870447005094</v>
      </c>
      <c r="EM60" s="112">
        <f>EC60*'Renewable Diesel'!BF69*'Feedstock Conversion Rates'!B$4</f>
        <v>0</v>
      </c>
      <c r="EN60" s="108"/>
      <c r="EO60" s="112">
        <f>EE60*'Renewable Diesel'!BF69*'Feedstock Conversion Rates'!B$6</f>
        <v>29.831071531804508</v>
      </c>
      <c r="EP60" s="112">
        <f>EF60*'Renewable Diesel'!BF69*'Feedstock Conversion Rates'!B$7</f>
        <v>45.955723435975209</v>
      </c>
      <c r="EQ60" s="112">
        <f>EG60*'Renewable Diesel'!BF69*'Feedstock Conversion Rates'!B$8</f>
        <v>8.3647093782255162</v>
      </c>
      <c r="ER60" s="112">
        <f>EH60*'Renewable Diesel'!BF69*'Feedstock Conversion Rates'!B$9</f>
        <v>0</v>
      </c>
      <c r="ES60" s="112">
        <f t="shared" si="16"/>
        <v>120.19051448073355</v>
      </c>
      <c r="EW60" s="73">
        <f t="shared" si="17"/>
        <v>0</v>
      </c>
      <c r="EX60" s="73">
        <f t="shared" si="18"/>
        <v>120.19051448073355</v>
      </c>
      <c r="EY60" s="92">
        <f t="shared" si="10"/>
        <v>0</v>
      </c>
      <c r="EZ60" s="92">
        <f t="shared" si="10"/>
        <v>1</v>
      </c>
      <c r="FE60" s="108"/>
      <c r="GD60" s="91">
        <f>'Renewable Diesel'!BB69*0</f>
        <v>0</v>
      </c>
      <c r="GE60" s="91">
        <f>'Renewable Diesel'!BC69</f>
        <v>0</v>
      </c>
      <c r="GF60" s="91">
        <f>'Renewable Diesel'!BD69</f>
        <v>0</v>
      </c>
      <c r="GG60" s="91">
        <f t="shared" si="0"/>
        <v>0</v>
      </c>
      <c r="GH60" s="92">
        <v>0.5</v>
      </c>
      <c r="GI60" s="102">
        <f>$GG60*EA60*'Feedstock Conversion Rates'!$B$2</f>
        <v>0</v>
      </c>
      <c r="GJ60" s="102">
        <f>$GG60*EB60*'Feedstock Conversion Rates'!$B$3</f>
        <v>0</v>
      </c>
      <c r="GK60" s="102">
        <f>$GG60*EC60*'Feedstock Conversion Rates'!$B$4</f>
        <v>0</v>
      </c>
      <c r="GL60" s="102">
        <f>$GG60*ED60*'Feedstock Conversion Rates'!$B$5</f>
        <v>0</v>
      </c>
      <c r="GM60" s="102">
        <f>$GG60*EE60*'Feedstock Conversion Rates'!$B$5</f>
        <v>0</v>
      </c>
      <c r="GN60" s="102">
        <f>$GG60*EF60*'Feedstock Conversion Rates'!$B$7</f>
        <v>0</v>
      </c>
      <c r="GO60" s="102">
        <f>$GG60*EG60*'Feedstock Conversion Rates'!$B$7</f>
        <v>0</v>
      </c>
      <c r="GP60" s="102">
        <f>$GG60*EH60*'Feedstock Conversion Rates'!B57</f>
        <v>0</v>
      </c>
      <c r="GQ60" s="102">
        <f t="shared" si="19"/>
        <v>0</v>
      </c>
      <c r="GT60" s="103">
        <f t="shared" si="24"/>
        <v>0.10526737274056154</v>
      </c>
      <c r="GU60" s="103">
        <f t="shared" si="24"/>
        <v>0.19458166518418549</v>
      </c>
      <c r="GV60" s="103">
        <f t="shared" si="24"/>
        <v>0</v>
      </c>
      <c r="GW60" s="103">
        <f t="shared" si="24"/>
        <v>0</v>
      </c>
      <c r="GX60" s="103">
        <f t="shared" si="24"/>
        <v>0.24819821814296672</v>
      </c>
      <c r="GY60" s="103">
        <f t="shared" si="24"/>
        <v>0.38235732357516344</v>
      </c>
      <c r="GZ60" s="103">
        <f t="shared" si="24"/>
        <v>6.9595420357122878E-2</v>
      </c>
      <c r="HA60" s="103">
        <f t="shared" si="23"/>
        <v>0</v>
      </c>
    </row>
    <row r="61" spans="1:209" x14ac:dyDescent="0.25">
      <c r="A61" s="96">
        <v>42278</v>
      </c>
      <c r="C61" s="105"/>
      <c r="D61" s="104">
        <v>0</v>
      </c>
      <c r="E61" s="104">
        <f>('Renewable Diesel'!B70*E$3*'Feedstock Conversion Rates'!$B$2)/12</f>
        <v>20.853333333333332</v>
      </c>
      <c r="F61" s="104">
        <f>('Renewable Diesel'!B70*'RD Feedstock Breakdown'!F$3*'Feedstock Conversion Rates'!B$8)/12</f>
        <v>12.5</v>
      </c>
      <c r="G61" s="104">
        <f>('Renewable Diesel'!B70*'RD Feedstock Breakdown'!G$3*'Feedstock Conversion Rates'!B$7)/12</f>
        <v>40.847999999999999</v>
      </c>
      <c r="H61" s="104">
        <f>('Renewable Diesel'!B70*'RD Feedstock Breakdown'!H$3*'Feedstock Conversion Rates'!B$3)/12</f>
        <v>40.904400000000003</v>
      </c>
      <c r="I61" s="106">
        <f t="shared" si="20"/>
        <v>115.10573333333335</v>
      </c>
      <c r="J61" s="106"/>
      <c r="K61" s="107"/>
      <c r="L61" s="106"/>
      <c r="T61" s="108"/>
      <c r="Z61" s="104">
        <f>('Renewable Diesel'!F70*'RD Feedstock Breakdown'!Z$3*'Feedstock Conversion Rates'!B$6)/12</f>
        <v>44.555000000000007</v>
      </c>
      <c r="AA61" s="104">
        <f>('Renewable Diesel'!F70*'RD Feedstock Breakdown'!AA$3*'Feedstock Conversion Rates'!B$7)/12</f>
        <v>29.133333333333329</v>
      </c>
      <c r="AB61" s="106">
        <f t="shared" si="25"/>
        <v>73.688333333333333</v>
      </c>
      <c r="AC61" s="108"/>
      <c r="AG61" s="108"/>
      <c r="AT61" s="108"/>
      <c r="BX61" s="108"/>
      <c r="CI61" s="108"/>
      <c r="DD61" s="108"/>
      <c r="DJ61" s="108"/>
      <c r="DP61" s="104">
        <f t="shared" si="1"/>
        <v>20.853333333333332</v>
      </c>
      <c r="DQ61" s="104">
        <f t="shared" si="2"/>
        <v>40.904400000000003</v>
      </c>
      <c r="DR61" s="104">
        <f t="shared" si="13"/>
        <v>0</v>
      </c>
      <c r="DS61" s="108"/>
      <c r="DT61" s="104">
        <f t="shared" si="3"/>
        <v>44.555000000000007</v>
      </c>
      <c r="DU61" s="104">
        <f t="shared" si="4"/>
        <v>69.981333333333325</v>
      </c>
      <c r="DV61" s="104">
        <f t="shared" si="5"/>
        <v>12.5</v>
      </c>
      <c r="DW61" s="104">
        <f t="shared" si="6"/>
        <v>0</v>
      </c>
      <c r="DX61" s="106">
        <f t="shared" si="7"/>
        <v>188.79406666666665</v>
      </c>
      <c r="DY61" s="109">
        <f t="shared" si="8"/>
        <v>2.8421709430404007E-14</v>
      </c>
      <c r="EA61" s="110">
        <f t="shared" si="21"/>
        <v>0.11045544863521488</v>
      </c>
      <c r="EB61" s="110">
        <f t="shared" si="21"/>
        <v>0.21666146994026297</v>
      </c>
      <c r="EC61" s="110">
        <f t="shared" si="21"/>
        <v>0</v>
      </c>
      <c r="ED61" s="108"/>
      <c r="EE61" s="110">
        <f t="shared" si="22"/>
        <v>0.23599788270182226</v>
      </c>
      <c r="EF61" s="110">
        <f t="shared" si="22"/>
        <v>0.37067549086111817</v>
      </c>
      <c r="EG61" s="110">
        <f t="shared" si="22"/>
        <v>6.6209707861581812E-2</v>
      </c>
      <c r="EH61" s="111">
        <f t="shared" si="14"/>
        <v>0</v>
      </c>
      <c r="EI61" s="110">
        <f t="shared" si="15"/>
        <v>1.0000000000000002</v>
      </c>
      <c r="EK61" s="112">
        <f>EA61*'Renewable Diesel'!BF70*'Feedstock Conversion Rates'!B$2</f>
        <v>12.240490621491988</v>
      </c>
      <c r="EL61" s="112">
        <f>EB61*'Renewable Diesel'!BF70*'Feedstock Conversion Rates'!B$3</f>
        <v>22.6259569873693</v>
      </c>
      <c r="EM61" s="112">
        <f>EC61*'Renewable Diesel'!BF70*'Feedstock Conversion Rates'!B$4</f>
        <v>0</v>
      </c>
      <c r="EN61" s="108"/>
      <c r="EO61" s="112">
        <f>EE61*'Renewable Diesel'!BF70*'Feedstock Conversion Rates'!B$6</f>
        <v>28.860490029874004</v>
      </c>
      <c r="EP61" s="112">
        <f>EF61*'Renewable Diesel'!BF70*'Feedstock Conversion Rates'!B$7</f>
        <v>44.460511471254563</v>
      </c>
      <c r="EQ61" s="112">
        <f>EG61*'Renewable Diesel'!BF70*'Feedstock Conversion Rates'!B$8</f>
        <v>8.0925558223978431</v>
      </c>
      <c r="ER61" s="112">
        <f>EH61*'Renewable Diesel'!BF70*'Feedstock Conversion Rates'!B$9</f>
        <v>0</v>
      </c>
      <c r="ES61" s="112">
        <f t="shared" si="16"/>
        <v>116.2800049323877</v>
      </c>
      <c r="EW61" s="73">
        <f t="shared" si="17"/>
        <v>0</v>
      </c>
      <c r="EX61" s="73">
        <f t="shared" si="18"/>
        <v>116.2800049323877</v>
      </c>
      <c r="EY61" s="92">
        <f t="shared" si="10"/>
        <v>0</v>
      </c>
      <c r="EZ61" s="92">
        <f t="shared" si="10"/>
        <v>1</v>
      </c>
      <c r="FE61" s="108"/>
      <c r="GD61" s="91">
        <f>'Renewable Diesel'!BB70*0</f>
        <v>0</v>
      </c>
      <c r="GE61" s="91">
        <f>'Renewable Diesel'!BC70</f>
        <v>0</v>
      </c>
      <c r="GF61" s="91">
        <f>'Renewable Diesel'!BD70</f>
        <v>0</v>
      </c>
      <c r="GG61" s="91">
        <f t="shared" si="0"/>
        <v>0</v>
      </c>
      <c r="GH61" s="92">
        <v>0.5</v>
      </c>
      <c r="GI61" s="102">
        <f>$GG61*EA61*'Feedstock Conversion Rates'!$B$2</f>
        <v>0</v>
      </c>
      <c r="GJ61" s="102">
        <f>$GG61*EB61*'Feedstock Conversion Rates'!$B$3</f>
        <v>0</v>
      </c>
      <c r="GK61" s="102">
        <f>$GG61*EC61*'Feedstock Conversion Rates'!$B$4</f>
        <v>0</v>
      </c>
      <c r="GL61" s="102">
        <f>$GG61*ED61*'Feedstock Conversion Rates'!$B$5</f>
        <v>0</v>
      </c>
      <c r="GM61" s="102">
        <f>$GG61*EE61*'Feedstock Conversion Rates'!$B$5</f>
        <v>0</v>
      </c>
      <c r="GN61" s="102">
        <f>$GG61*EF61*'Feedstock Conversion Rates'!$B$7</f>
        <v>0</v>
      </c>
      <c r="GO61" s="102">
        <f>$GG61*EG61*'Feedstock Conversion Rates'!$B$7</f>
        <v>0</v>
      </c>
      <c r="GP61" s="102">
        <f>$GG61*EH61*'Feedstock Conversion Rates'!B58</f>
        <v>0</v>
      </c>
      <c r="GQ61" s="102">
        <f t="shared" si="19"/>
        <v>0</v>
      </c>
      <c r="GT61" s="103">
        <f t="shared" si="24"/>
        <v>0.10526737274056153</v>
      </c>
      <c r="GU61" s="103">
        <f t="shared" si="24"/>
        <v>0.19458166518418549</v>
      </c>
      <c r="GV61" s="103">
        <f t="shared" si="24"/>
        <v>0</v>
      </c>
      <c r="GW61" s="103">
        <f t="shared" si="24"/>
        <v>0</v>
      </c>
      <c r="GX61" s="103">
        <f t="shared" si="24"/>
        <v>0.24819821814296669</v>
      </c>
      <c r="GY61" s="103">
        <f t="shared" si="24"/>
        <v>0.38235732357516344</v>
      </c>
      <c r="GZ61" s="103">
        <f t="shared" si="24"/>
        <v>6.9595420357122878E-2</v>
      </c>
      <c r="HA61" s="103">
        <f t="shared" si="23"/>
        <v>0</v>
      </c>
    </row>
    <row r="62" spans="1:209" x14ac:dyDescent="0.25">
      <c r="A62" s="96">
        <v>42309</v>
      </c>
      <c r="C62" s="105"/>
      <c r="D62" s="104">
        <v>0</v>
      </c>
      <c r="E62" s="104">
        <f>('Renewable Diesel'!B71*E$3*'Feedstock Conversion Rates'!$B$2)/12</f>
        <v>20.853333333333332</v>
      </c>
      <c r="F62" s="104">
        <f>('Renewable Diesel'!B71*'RD Feedstock Breakdown'!F$3*'Feedstock Conversion Rates'!B$8)/12</f>
        <v>12.5</v>
      </c>
      <c r="G62" s="104">
        <f>('Renewable Diesel'!B71*'RD Feedstock Breakdown'!G$3*'Feedstock Conversion Rates'!B$7)/12</f>
        <v>40.847999999999999</v>
      </c>
      <c r="H62" s="104">
        <f>('Renewable Diesel'!B71*'RD Feedstock Breakdown'!H$3*'Feedstock Conversion Rates'!B$3)/12</f>
        <v>40.904400000000003</v>
      </c>
      <c r="I62" s="106">
        <f t="shared" si="20"/>
        <v>115.10573333333335</v>
      </c>
      <c r="J62" s="106"/>
      <c r="K62" s="107"/>
      <c r="L62" s="106"/>
      <c r="T62" s="108"/>
      <c r="Z62" s="104">
        <f>('Renewable Diesel'!F71*'RD Feedstock Breakdown'!Z$3*'Feedstock Conversion Rates'!B$6)/12</f>
        <v>44.555000000000007</v>
      </c>
      <c r="AA62" s="104">
        <f>('Renewable Diesel'!F71*'RD Feedstock Breakdown'!AA$3*'Feedstock Conversion Rates'!B$7)/12</f>
        <v>29.133333333333329</v>
      </c>
      <c r="AB62" s="106">
        <f t="shared" si="25"/>
        <v>73.688333333333333</v>
      </c>
      <c r="AC62" s="108"/>
      <c r="AG62" s="108"/>
      <c r="AT62" s="108"/>
      <c r="BX62" s="108"/>
      <c r="CI62" s="108"/>
      <c r="DD62" s="108"/>
      <c r="DJ62" s="108"/>
      <c r="DP62" s="104">
        <f t="shared" si="1"/>
        <v>20.853333333333332</v>
      </c>
      <c r="DQ62" s="104">
        <f t="shared" si="2"/>
        <v>40.904400000000003</v>
      </c>
      <c r="DR62" s="104">
        <f t="shared" si="13"/>
        <v>0</v>
      </c>
      <c r="DS62" s="108"/>
      <c r="DT62" s="104">
        <f t="shared" si="3"/>
        <v>44.555000000000007</v>
      </c>
      <c r="DU62" s="104">
        <f t="shared" si="4"/>
        <v>69.981333333333325</v>
      </c>
      <c r="DV62" s="104">
        <f t="shared" si="5"/>
        <v>12.5</v>
      </c>
      <c r="DW62" s="104">
        <f t="shared" si="6"/>
        <v>0</v>
      </c>
      <c r="DX62" s="106">
        <f t="shared" si="7"/>
        <v>188.79406666666665</v>
      </c>
      <c r="DY62" s="109">
        <f t="shared" si="8"/>
        <v>2.8421709430404007E-14</v>
      </c>
      <c r="EA62" s="110">
        <f t="shared" si="21"/>
        <v>0.11045544863521488</v>
      </c>
      <c r="EB62" s="110">
        <f t="shared" si="21"/>
        <v>0.21666146994026297</v>
      </c>
      <c r="EC62" s="110">
        <f t="shared" si="21"/>
        <v>0</v>
      </c>
      <c r="ED62" s="108"/>
      <c r="EE62" s="110">
        <f t="shared" si="22"/>
        <v>0.23599788270182226</v>
      </c>
      <c r="EF62" s="110">
        <f t="shared" si="22"/>
        <v>0.37067549086111817</v>
      </c>
      <c r="EG62" s="110">
        <f t="shared" si="22"/>
        <v>6.6209707861581812E-2</v>
      </c>
      <c r="EH62" s="111">
        <f t="shared" si="14"/>
        <v>0</v>
      </c>
      <c r="EI62" s="110">
        <f t="shared" si="15"/>
        <v>1.0000000000000002</v>
      </c>
      <c r="EK62" s="112">
        <f>EA62*'Renewable Diesel'!BF71*'Feedstock Conversion Rates'!B$2</f>
        <v>11.589664088172265</v>
      </c>
      <c r="EL62" s="112">
        <f>EB62*'Renewable Diesel'!BF71*'Feedstock Conversion Rates'!B$3</f>
        <v>21.422935506900579</v>
      </c>
      <c r="EM62" s="112">
        <f>EC62*'Renewable Diesel'!BF71*'Feedstock Conversion Rates'!B$4</f>
        <v>0</v>
      </c>
      <c r="EN62" s="108"/>
      <c r="EO62" s="112">
        <f>EE62*'Renewable Diesel'!BF71*'Feedstock Conversion Rates'!B$6</f>
        <v>27.325978607343956</v>
      </c>
      <c r="EP62" s="112">
        <f>EF62*'Renewable Diesel'!BF71*'Feedstock Conversion Rates'!B$7</f>
        <v>42.096547358602727</v>
      </c>
      <c r="EQ62" s="112">
        <f>EG62*'Renewable Diesel'!BF71*'Feedstock Conversion Rates'!B$8</f>
        <v>7.6622748627163793</v>
      </c>
      <c r="ER62" s="112">
        <f>EH62*'Renewable Diesel'!BF71*'Feedstock Conversion Rates'!B$9</f>
        <v>0</v>
      </c>
      <c r="ES62" s="112">
        <f t="shared" si="16"/>
        <v>110.09740042373591</v>
      </c>
      <c r="EW62" s="73">
        <f t="shared" si="17"/>
        <v>0</v>
      </c>
      <c r="EX62" s="73">
        <f t="shared" si="18"/>
        <v>110.09740042373591</v>
      </c>
      <c r="EY62" s="92">
        <f t="shared" si="10"/>
        <v>0</v>
      </c>
      <c r="EZ62" s="92">
        <f t="shared" si="10"/>
        <v>1</v>
      </c>
      <c r="FE62" s="108"/>
      <c r="GD62" s="91">
        <f>'Renewable Diesel'!BB71*0</f>
        <v>0</v>
      </c>
      <c r="GE62" s="91">
        <f>'Renewable Diesel'!BC71</f>
        <v>0</v>
      </c>
      <c r="GF62" s="91">
        <f>'Renewable Diesel'!BD71</f>
        <v>0</v>
      </c>
      <c r="GG62" s="91">
        <f t="shared" si="0"/>
        <v>0</v>
      </c>
      <c r="GH62" s="92">
        <v>0.5</v>
      </c>
      <c r="GI62" s="102">
        <f>$GG62*EA62*'Feedstock Conversion Rates'!$B$2</f>
        <v>0</v>
      </c>
      <c r="GJ62" s="102">
        <f>$GG62*EB62*'Feedstock Conversion Rates'!$B$3</f>
        <v>0</v>
      </c>
      <c r="GK62" s="102">
        <f>$GG62*EC62*'Feedstock Conversion Rates'!$B$4</f>
        <v>0</v>
      </c>
      <c r="GL62" s="102">
        <f>$GG62*ED62*'Feedstock Conversion Rates'!$B$5</f>
        <v>0</v>
      </c>
      <c r="GM62" s="102">
        <f>$GG62*EE62*'Feedstock Conversion Rates'!$B$5</f>
        <v>0</v>
      </c>
      <c r="GN62" s="102">
        <f>$GG62*EF62*'Feedstock Conversion Rates'!$B$7</f>
        <v>0</v>
      </c>
      <c r="GO62" s="102">
        <f>$GG62*EG62*'Feedstock Conversion Rates'!$B$7</f>
        <v>0</v>
      </c>
      <c r="GP62" s="102">
        <f>$GG62*EH62*'Feedstock Conversion Rates'!B59</f>
        <v>0</v>
      </c>
      <c r="GQ62" s="102">
        <f t="shared" si="19"/>
        <v>0</v>
      </c>
      <c r="GT62" s="103">
        <f t="shared" si="24"/>
        <v>0.10526737274056154</v>
      </c>
      <c r="GU62" s="103">
        <f t="shared" si="24"/>
        <v>0.19458166518418546</v>
      </c>
      <c r="GV62" s="103">
        <f t="shared" si="24"/>
        <v>0</v>
      </c>
      <c r="GW62" s="103">
        <f t="shared" si="24"/>
        <v>0</v>
      </c>
      <c r="GX62" s="103">
        <f t="shared" si="24"/>
        <v>0.24819821814296666</v>
      </c>
      <c r="GY62" s="103">
        <f t="shared" si="24"/>
        <v>0.38235732357516344</v>
      </c>
      <c r="GZ62" s="103">
        <f t="shared" si="24"/>
        <v>6.9595420357122878E-2</v>
      </c>
      <c r="HA62" s="103">
        <f t="shared" si="23"/>
        <v>0</v>
      </c>
    </row>
    <row r="63" spans="1:209" x14ac:dyDescent="0.25">
      <c r="A63" s="96">
        <v>42339</v>
      </c>
      <c r="C63" s="105"/>
      <c r="D63" s="104">
        <v>0</v>
      </c>
      <c r="E63" s="104">
        <f>('Renewable Diesel'!B72*E$3*'Feedstock Conversion Rates'!$B$2)/12</f>
        <v>20.853333333333332</v>
      </c>
      <c r="F63" s="104">
        <f>('Renewable Diesel'!B72*'RD Feedstock Breakdown'!F$3*'Feedstock Conversion Rates'!B$8)/12</f>
        <v>12.5</v>
      </c>
      <c r="G63" s="104">
        <f>('Renewable Diesel'!B72*'RD Feedstock Breakdown'!G$3*'Feedstock Conversion Rates'!B$7)/12</f>
        <v>40.847999999999999</v>
      </c>
      <c r="H63" s="104">
        <f>('Renewable Diesel'!B72*'RD Feedstock Breakdown'!H$3*'Feedstock Conversion Rates'!B$3)/12</f>
        <v>40.904400000000003</v>
      </c>
      <c r="I63" s="106">
        <f t="shared" si="20"/>
        <v>115.10573333333335</v>
      </c>
      <c r="J63" s="106"/>
      <c r="K63" s="107"/>
      <c r="L63" s="106"/>
      <c r="T63" s="108"/>
      <c r="Z63" s="104">
        <f>('Renewable Diesel'!F72*'RD Feedstock Breakdown'!Z$3*'Feedstock Conversion Rates'!B$6)/12</f>
        <v>44.555000000000007</v>
      </c>
      <c r="AA63" s="104">
        <f>('Renewable Diesel'!F72*'RD Feedstock Breakdown'!AA$3*'Feedstock Conversion Rates'!B$7)/12</f>
        <v>29.133333333333329</v>
      </c>
      <c r="AB63" s="106">
        <f t="shared" si="25"/>
        <v>73.688333333333333</v>
      </c>
      <c r="AC63" s="108"/>
      <c r="AG63" s="108"/>
      <c r="AT63" s="108"/>
      <c r="BX63" s="108"/>
      <c r="CI63" s="108"/>
      <c r="DD63" s="108"/>
      <c r="DJ63" s="108"/>
      <c r="DP63" s="104">
        <f t="shared" si="1"/>
        <v>20.853333333333332</v>
      </c>
      <c r="DQ63" s="104">
        <f t="shared" si="2"/>
        <v>40.904400000000003</v>
      </c>
      <c r="DR63" s="104">
        <f t="shared" si="13"/>
        <v>0</v>
      </c>
      <c r="DS63" s="108"/>
      <c r="DT63" s="104">
        <f t="shared" si="3"/>
        <v>44.555000000000007</v>
      </c>
      <c r="DU63" s="104">
        <f t="shared" si="4"/>
        <v>69.981333333333325</v>
      </c>
      <c r="DV63" s="104">
        <f t="shared" si="5"/>
        <v>12.5</v>
      </c>
      <c r="DW63" s="104">
        <f t="shared" si="6"/>
        <v>0</v>
      </c>
      <c r="DX63" s="106">
        <f t="shared" si="7"/>
        <v>188.79406666666665</v>
      </c>
      <c r="DY63" s="109">
        <f t="shared" si="8"/>
        <v>2.8421709430404007E-14</v>
      </c>
      <c r="EA63" s="110">
        <f t="shared" si="21"/>
        <v>0.11045544863521488</v>
      </c>
      <c r="EB63" s="110">
        <f t="shared" si="21"/>
        <v>0.21666146994026297</v>
      </c>
      <c r="EC63" s="110">
        <f t="shared" si="21"/>
        <v>0</v>
      </c>
      <c r="ED63" s="108"/>
      <c r="EE63" s="110">
        <f t="shared" si="22"/>
        <v>0.23599788270182226</v>
      </c>
      <c r="EF63" s="110">
        <f t="shared" si="22"/>
        <v>0.37067549086111817</v>
      </c>
      <c r="EG63" s="110">
        <f t="shared" si="22"/>
        <v>6.6209707861581812E-2</v>
      </c>
      <c r="EH63" s="111">
        <f t="shared" si="14"/>
        <v>0</v>
      </c>
      <c r="EI63" s="110">
        <f t="shared" si="15"/>
        <v>1.0000000000000002</v>
      </c>
      <c r="EK63" s="112">
        <f>EA63*'Renewable Diesel'!BF72*'Feedstock Conversion Rates'!B$2</f>
        <v>12.225688376364936</v>
      </c>
      <c r="EL63" s="112">
        <f>EB63*'Renewable Diesel'!BF72*'Feedstock Conversion Rates'!B$3</f>
        <v>22.598595750641326</v>
      </c>
      <c r="EM63" s="112">
        <f>EC63*'Renewable Diesel'!BF72*'Feedstock Conversion Rates'!B$4</f>
        <v>0</v>
      </c>
      <c r="EN63" s="108"/>
      <c r="EO63" s="112">
        <f>EE63*'Renewable Diesel'!BF72*'Feedstock Conversion Rates'!B$6</f>
        <v>28.825589464110816</v>
      </c>
      <c r="EP63" s="112">
        <f>EF63*'Renewable Diesel'!BF72*'Feedstock Conversion Rates'!B$7</f>
        <v>44.40674602919654</v>
      </c>
      <c r="EQ63" s="112">
        <f>EG63*'Renewable Diesel'!BF72*'Feedstock Conversion Rates'!B$8</f>
        <v>8.0827696137652278</v>
      </c>
      <c r="ER63" s="112">
        <f>EH63*'Renewable Diesel'!BF72*'Feedstock Conversion Rates'!B$9</f>
        <v>0</v>
      </c>
      <c r="ES63" s="112">
        <f t="shared" si="16"/>
        <v>116.13938923407885</v>
      </c>
      <c r="EW63" s="73">
        <f t="shared" si="17"/>
        <v>0</v>
      </c>
      <c r="EX63" s="73">
        <f t="shared" si="18"/>
        <v>116.13938923407883</v>
      </c>
      <c r="EY63" s="92">
        <f t="shared" si="10"/>
        <v>0</v>
      </c>
      <c r="EZ63" s="92">
        <f t="shared" si="10"/>
        <v>0.99999999999999989</v>
      </c>
      <c r="FE63" s="108"/>
      <c r="GD63" s="91">
        <f>'Renewable Diesel'!BB72*0</f>
        <v>0</v>
      </c>
      <c r="GE63" s="91">
        <f>'Renewable Diesel'!BC72</f>
        <v>0</v>
      </c>
      <c r="GF63" s="91">
        <f>'Renewable Diesel'!BD72</f>
        <v>0</v>
      </c>
      <c r="GG63" s="91">
        <f t="shared" si="0"/>
        <v>0</v>
      </c>
      <c r="GH63" s="92">
        <v>0.5</v>
      </c>
      <c r="GI63" s="102">
        <f>$GG63*EA63*'Feedstock Conversion Rates'!$B$2</f>
        <v>0</v>
      </c>
      <c r="GJ63" s="102">
        <f>$GG63*EB63*'Feedstock Conversion Rates'!$B$3</f>
        <v>0</v>
      </c>
      <c r="GK63" s="102">
        <f>$GG63*EC63*'Feedstock Conversion Rates'!$B$4</f>
        <v>0</v>
      </c>
      <c r="GL63" s="102">
        <f>$GG63*ED63*'Feedstock Conversion Rates'!$B$5</f>
        <v>0</v>
      </c>
      <c r="GM63" s="102">
        <f>$GG63*EE63*'Feedstock Conversion Rates'!$B$5</f>
        <v>0</v>
      </c>
      <c r="GN63" s="102">
        <f>$GG63*EF63*'Feedstock Conversion Rates'!$B$7</f>
        <v>0</v>
      </c>
      <c r="GO63" s="102">
        <f>$GG63*EG63*'Feedstock Conversion Rates'!$B$7</f>
        <v>0</v>
      </c>
      <c r="GP63" s="102">
        <f>$GG63*EH63*'Feedstock Conversion Rates'!B60</f>
        <v>0</v>
      </c>
      <c r="GQ63" s="102">
        <f t="shared" si="19"/>
        <v>0</v>
      </c>
      <c r="GT63" s="103">
        <f t="shared" si="24"/>
        <v>0.10526737274056151</v>
      </c>
      <c r="GU63" s="103">
        <f t="shared" si="24"/>
        <v>0.19458166518418549</v>
      </c>
      <c r="GV63" s="103">
        <f t="shared" si="24"/>
        <v>0</v>
      </c>
      <c r="GW63" s="103">
        <f t="shared" si="24"/>
        <v>0</v>
      </c>
      <c r="GX63" s="103">
        <f t="shared" si="24"/>
        <v>0.24819821814296666</v>
      </c>
      <c r="GY63" s="103">
        <f t="shared" si="24"/>
        <v>0.38235732357516344</v>
      </c>
      <c r="GZ63" s="103">
        <f t="shared" si="24"/>
        <v>6.9595420357122864E-2</v>
      </c>
      <c r="HA63" s="103">
        <f t="shared" si="23"/>
        <v>0</v>
      </c>
    </row>
    <row r="64" spans="1:209" x14ac:dyDescent="0.25">
      <c r="A64" s="96">
        <v>42370</v>
      </c>
      <c r="C64" s="105"/>
      <c r="D64" s="104">
        <v>0</v>
      </c>
      <c r="E64" s="104">
        <f>('Renewable Diesel'!B73*E$3*'Feedstock Conversion Rates'!$B$2)/12</f>
        <v>20.853333333333332</v>
      </c>
      <c r="F64" s="104">
        <f>('Renewable Diesel'!B73*'RD Feedstock Breakdown'!F$3*'Feedstock Conversion Rates'!B$8)/12</f>
        <v>12.5</v>
      </c>
      <c r="G64" s="104">
        <f>('Renewable Diesel'!B73*'RD Feedstock Breakdown'!G$3*'Feedstock Conversion Rates'!B$7)/12</f>
        <v>40.847999999999999</v>
      </c>
      <c r="H64" s="104">
        <f>('Renewable Diesel'!B73*'RD Feedstock Breakdown'!H$3*'Feedstock Conversion Rates'!B$3)/12</f>
        <v>40.904400000000003</v>
      </c>
      <c r="I64" s="106">
        <f t="shared" si="20"/>
        <v>115.10573333333335</v>
      </c>
      <c r="J64" s="106"/>
      <c r="K64" s="107"/>
      <c r="L64" s="106"/>
      <c r="R64" s="104">
        <f>('Renewable Diesel'!D73*'RD Feedstock Breakdown'!R$3*'Feedstock Conversion Rates'!B$7)/12</f>
        <v>0.76666666666666661</v>
      </c>
      <c r="S64" s="106">
        <f>R64</f>
        <v>0.76666666666666661</v>
      </c>
      <c r="T64" s="107"/>
      <c r="U64" s="106"/>
      <c r="Z64" s="104">
        <f>('Renewable Diesel'!F73*'RD Feedstock Breakdown'!Z$3*'Feedstock Conversion Rates'!B$6)/12</f>
        <v>44.555000000000007</v>
      </c>
      <c r="AA64" s="104">
        <f>('Renewable Diesel'!F73*'RD Feedstock Breakdown'!AA$3*'Feedstock Conversion Rates'!B$7)/12</f>
        <v>29.133333333333329</v>
      </c>
      <c r="AB64" s="106">
        <f t="shared" si="25"/>
        <v>73.688333333333333</v>
      </c>
      <c r="AC64" s="108"/>
      <c r="AG64" s="108"/>
      <c r="AI64" s="104">
        <f>('Renewable Diesel'!H73*'RD Feedstock Breakdown'!AI$3*'Feedstock Conversion Rates'!B$6)/12</f>
        <v>7.8166666666666673</v>
      </c>
      <c r="AJ64" s="106">
        <f t="shared" ref="AJ64:AJ127" si="26">AI64+AG64</f>
        <v>7.8166666666666673</v>
      </c>
      <c r="AT64" s="108"/>
      <c r="BX64" s="108"/>
      <c r="CI64" s="108"/>
      <c r="DD64" s="108"/>
      <c r="DJ64" s="108"/>
      <c r="DP64" s="104">
        <f t="shared" si="1"/>
        <v>20.853333333333332</v>
      </c>
      <c r="DQ64" s="104">
        <f t="shared" si="2"/>
        <v>40.904400000000003</v>
      </c>
      <c r="DR64" s="104">
        <f t="shared" si="13"/>
        <v>0</v>
      </c>
      <c r="DS64" s="108"/>
      <c r="DT64" s="104">
        <f t="shared" si="3"/>
        <v>52.371666666666677</v>
      </c>
      <c r="DU64" s="104">
        <f t="shared" si="4"/>
        <v>70.74799999999999</v>
      </c>
      <c r="DV64" s="104">
        <f t="shared" si="5"/>
        <v>12.5</v>
      </c>
      <c r="DW64" s="104">
        <f t="shared" si="6"/>
        <v>0</v>
      </c>
      <c r="DX64" s="106">
        <f t="shared" si="7"/>
        <v>197.37739999999999</v>
      </c>
      <c r="DY64" s="109">
        <f t="shared" si="8"/>
        <v>2.8421709430404007E-14</v>
      </c>
      <c r="EA64" s="110">
        <f t="shared" si="21"/>
        <v>0.10565208242348584</v>
      </c>
      <c r="EB64" s="110">
        <f t="shared" si="21"/>
        <v>0.20723953198289169</v>
      </c>
      <c r="EC64" s="110">
        <f t="shared" si="21"/>
        <v>0</v>
      </c>
      <c r="ED64" s="108"/>
      <c r="EE64" s="110">
        <f t="shared" si="22"/>
        <v>0.2653377066810419</v>
      </c>
      <c r="EF64" s="110">
        <f t="shared" si="22"/>
        <v>0.35844022669262027</v>
      </c>
      <c r="EG64" s="110">
        <f t="shared" si="22"/>
        <v>6.3330452219960337E-2</v>
      </c>
      <c r="EH64" s="111">
        <f t="shared" si="14"/>
        <v>0</v>
      </c>
      <c r="EI64" s="110">
        <f t="shared" si="15"/>
        <v>1</v>
      </c>
      <c r="EK64" s="112">
        <f>EA64*'Renewable Diesel'!BF73*'Feedstock Conversion Rates'!B$2</f>
        <v>10.347996065878531</v>
      </c>
      <c r="EL64" s="112">
        <f>EB64*'Renewable Diesel'!BF73*'Feedstock Conversion Rates'!B$3</f>
        <v>19.127772009476526</v>
      </c>
      <c r="EM64" s="112">
        <f>EC64*'Renewable Diesel'!BF73*'Feedstock Conversion Rates'!B$4</f>
        <v>0</v>
      </c>
      <c r="EN64" s="108"/>
      <c r="EO64" s="112">
        <f>EE64*'Renewable Diesel'!BF73*'Feedstock Conversion Rates'!B$6</f>
        <v>28.678806735619354</v>
      </c>
      <c r="EP64" s="112">
        <f>EF64*'Renewable Diesel'!BF73*'Feedstock Conversion Rates'!B$7</f>
        <v>37.998271228483091</v>
      </c>
      <c r="EQ64" s="112">
        <f>EG64*'Renewable Diesel'!BF73*'Feedstock Conversion Rates'!B$8</f>
        <v>6.8413708569851455</v>
      </c>
      <c r="ER64" s="112">
        <f>EH64*'Renewable Diesel'!BF73*'Feedstock Conversion Rates'!B$9</f>
        <v>0</v>
      </c>
      <c r="ES64" s="112">
        <f t="shared" si="16"/>
        <v>102.99421689644265</v>
      </c>
      <c r="EW64" s="73">
        <f t="shared" si="17"/>
        <v>0</v>
      </c>
      <c r="EX64" s="73">
        <f t="shared" si="18"/>
        <v>102.99421689644265</v>
      </c>
      <c r="EY64" s="92">
        <f t="shared" si="10"/>
        <v>0</v>
      </c>
      <c r="EZ64" s="92">
        <f t="shared" si="10"/>
        <v>1</v>
      </c>
      <c r="FE64" s="108"/>
      <c r="GD64" s="91">
        <f>'Renewable Diesel'!BB73*0</f>
        <v>0</v>
      </c>
      <c r="GE64" s="91">
        <f>'Renewable Diesel'!BC73</f>
        <v>0</v>
      </c>
      <c r="GF64" s="91">
        <f>'Renewable Diesel'!BD73</f>
        <v>0</v>
      </c>
      <c r="GG64" s="91">
        <f t="shared" si="0"/>
        <v>0</v>
      </c>
      <c r="GH64" s="92">
        <v>0.5</v>
      </c>
      <c r="GI64" s="102">
        <f>$GG64*EA64*'Feedstock Conversion Rates'!$B$2</f>
        <v>0</v>
      </c>
      <c r="GJ64" s="102">
        <f>$GG64*EB64*'Feedstock Conversion Rates'!$B$3</f>
        <v>0</v>
      </c>
      <c r="GK64" s="102">
        <f>$GG64*EC64*'Feedstock Conversion Rates'!$B$4</f>
        <v>0</v>
      </c>
      <c r="GL64" s="102">
        <f>$GG64*ED64*'Feedstock Conversion Rates'!$B$5</f>
        <v>0</v>
      </c>
      <c r="GM64" s="102">
        <f>$GG64*EE64*'Feedstock Conversion Rates'!$B$5</f>
        <v>0</v>
      </c>
      <c r="GN64" s="102">
        <f>$GG64*EF64*'Feedstock Conversion Rates'!$B$7</f>
        <v>0</v>
      </c>
      <c r="GO64" s="102">
        <f>$GG64*EG64*'Feedstock Conversion Rates'!$B$7</f>
        <v>0</v>
      </c>
      <c r="GP64" s="102">
        <f>$GG64*EH64*'Feedstock Conversion Rates'!B61</f>
        <v>0</v>
      </c>
      <c r="GQ64" s="102">
        <f t="shared" si="19"/>
        <v>0</v>
      </c>
      <c r="GT64" s="103">
        <f t="shared" si="24"/>
        <v>0.1004716223657791</v>
      </c>
      <c r="GU64" s="103">
        <f t="shared" si="24"/>
        <v>0.18571695174602745</v>
      </c>
      <c r="GV64" s="103">
        <f t="shared" si="24"/>
        <v>0</v>
      </c>
      <c r="GW64" s="103">
        <f t="shared" si="24"/>
        <v>0</v>
      </c>
      <c r="GX64" s="103">
        <f t="shared" si="24"/>
        <v>0.2784506509181478</v>
      </c>
      <c r="GY64" s="103">
        <f t="shared" si="24"/>
        <v>0.36893596915921134</v>
      </c>
      <c r="GZ64" s="103">
        <f t="shared" si="24"/>
        <v>6.6424805810834237E-2</v>
      </c>
      <c r="HA64" s="103">
        <f t="shared" si="23"/>
        <v>0</v>
      </c>
    </row>
    <row r="65" spans="1:209" x14ac:dyDescent="0.25">
      <c r="A65" s="96">
        <v>42401</v>
      </c>
      <c r="C65" s="105"/>
      <c r="D65" s="104">
        <v>0</v>
      </c>
      <c r="E65" s="104">
        <f>('Renewable Diesel'!B74*E$3*'Feedstock Conversion Rates'!$B$2)/12</f>
        <v>20.853333333333332</v>
      </c>
      <c r="F65" s="104">
        <f>('Renewable Diesel'!B74*'RD Feedstock Breakdown'!F$3*'Feedstock Conversion Rates'!B$8)/12</f>
        <v>12.5</v>
      </c>
      <c r="G65" s="104">
        <f>('Renewable Diesel'!B74*'RD Feedstock Breakdown'!G$3*'Feedstock Conversion Rates'!B$7)/12</f>
        <v>40.847999999999999</v>
      </c>
      <c r="H65" s="104">
        <f>('Renewable Diesel'!B74*'RD Feedstock Breakdown'!H$3*'Feedstock Conversion Rates'!B$3)/12</f>
        <v>40.904400000000003</v>
      </c>
      <c r="I65" s="106">
        <f t="shared" si="20"/>
        <v>115.10573333333335</v>
      </c>
      <c r="J65" s="106"/>
      <c r="K65" s="107"/>
      <c r="L65" s="106"/>
      <c r="R65" s="104">
        <f>('Renewable Diesel'!D74*'RD Feedstock Breakdown'!R$3*'Feedstock Conversion Rates'!B$7)/12</f>
        <v>1.5333333333333332</v>
      </c>
      <c r="S65" s="106">
        <f t="shared" ref="S65:S128" si="27">R65</f>
        <v>1.5333333333333332</v>
      </c>
      <c r="T65" s="107"/>
      <c r="U65" s="106"/>
      <c r="Z65" s="104">
        <f>('Renewable Diesel'!F74*'RD Feedstock Breakdown'!Z$3*'Feedstock Conversion Rates'!B$6)/12</f>
        <v>44.555000000000007</v>
      </c>
      <c r="AA65" s="104">
        <f>('Renewable Diesel'!F74*'RD Feedstock Breakdown'!AA$3*'Feedstock Conversion Rates'!B$7)/12</f>
        <v>29.133333333333329</v>
      </c>
      <c r="AB65" s="106">
        <f t="shared" si="25"/>
        <v>73.688333333333333</v>
      </c>
      <c r="AC65" s="108"/>
      <c r="AG65" s="108"/>
      <c r="AI65" s="104">
        <f>('Renewable Diesel'!H74*'RD Feedstock Breakdown'!AI$3*'Feedstock Conversion Rates'!B$6)/12</f>
        <v>15.633333333333335</v>
      </c>
      <c r="AJ65" s="106">
        <f t="shared" si="26"/>
        <v>15.633333333333335</v>
      </c>
      <c r="AT65" s="108"/>
      <c r="BX65" s="108"/>
      <c r="CI65" s="108"/>
      <c r="DD65" s="108"/>
      <c r="DJ65" s="108"/>
      <c r="DP65" s="104">
        <f t="shared" si="1"/>
        <v>20.853333333333332</v>
      </c>
      <c r="DQ65" s="104">
        <f t="shared" si="2"/>
        <v>40.904400000000003</v>
      </c>
      <c r="DR65" s="104">
        <f t="shared" si="13"/>
        <v>0</v>
      </c>
      <c r="DS65" s="108"/>
      <c r="DT65" s="104">
        <f t="shared" si="3"/>
        <v>60.18833333333334</v>
      </c>
      <c r="DU65" s="104">
        <f t="shared" si="4"/>
        <v>71.514666666666656</v>
      </c>
      <c r="DV65" s="104">
        <f t="shared" si="5"/>
        <v>12.5</v>
      </c>
      <c r="DW65" s="104">
        <f t="shared" si="6"/>
        <v>0</v>
      </c>
      <c r="DX65" s="106">
        <f t="shared" si="7"/>
        <v>205.96073333333334</v>
      </c>
      <c r="DY65" s="109">
        <f t="shared" si="8"/>
        <v>0</v>
      </c>
      <c r="EA65" s="110">
        <f t="shared" si="21"/>
        <v>0.10124907304337298</v>
      </c>
      <c r="EB65" s="110">
        <f t="shared" si="21"/>
        <v>0.19860290521397123</v>
      </c>
      <c r="EC65" s="110">
        <f t="shared" si="21"/>
        <v>0</v>
      </c>
      <c r="ED65" s="108"/>
      <c r="EE65" s="110">
        <f t="shared" si="22"/>
        <v>0.29223207918920469</v>
      </c>
      <c r="EF65" s="110">
        <f t="shared" si="22"/>
        <v>0.34722476226050852</v>
      </c>
      <c r="EG65" s="110">
        <f t="shared" si="22"/>
        <v>6.069118029294257E-2</v>
      </c>
      <c r="EH65" s="111">
        <f t="shared" si="14"/>
        <v>0</v>
      </c>
      <c r="EI65" s="110">
        <f t="shared" si="15"/>
        <v>1</v>
      </c>
      <c r="EK65" s="112">
        <f>EA65*'Renewable Diesel'!BF74*'Feedstock Conversion Rates'!B$2</f>
        <v>6.0695702336788457</v>
      </c>
      <c r="EL65" s="112">
        <f>EB65*'Renewable Diesel'!BF74*'Feedstock Conversion Rates'!B$3</f>
        <v>11.219308055994862</v>
      </c>
      <c r="EM65" s="112">
        <f>EC65*'Renewable Diesel'!BF74*'Feedstock Conversion Rates'!B$4</f>
        <v>0</v>
      </c>
      <c r="EN65" s="108"/>
      <c r="EO65" s="112">
        <f>EE65*'Renewable Diesel'!BF74*'Feedstock Conversion Rates'!B$6</f>
        <v>19.332084556775225</v>
      </c>
      <c r="EP65" s="112">
        <f>EF65*'Renewable Diesel'!BF74*'Feedstock Conversion Rates'!B$7</f>
        <v>22.529236612705784</v>
      </c>
      <c r="EQ65" s="112">
        <f>EG65*'Renewable Diesel'!BF74*'Feedstock Conversion Rates'!B$8</f>
        <v>4.0127750964301931</v>
      </c>
      <c r="ER65" s="112">
        <f>EH65*'Renewable Diesel'!BF74*'Feedstock Conversion Rates'!B$9</f>
        <v>0</v>
      </c>
      <c r="ES65" s="112">
        <f t="shared" si="16"/>
        <v>63.16297455558491</v>
      </c>
      <c r="EW65" s="73">
        <f t="shared" si="17"/>
        <v>0</v>
      </c>
      <c r="EX65" s="73">
        <f t="shared" si="18"/>
        <v>63.16297455558491</v>
      </c>
      <c r="EY65" s="92">
        <f t="shared" si="10"/>
        <v>0</v>
      </c>
      <c r="EZ65" s="92">
        <f t="shared" si="10"/>
        <v>1</v>
      </c>
      <c r="FE65" s="108"/>
      <c r="GD65" s="91">
        <f>'Renewable Diesel'!BB74*0</f>
        <v>0</v>
      </c>
      <c r="GE65" s="91">
        <f>'Renewable Diesel'!BC74</f>
        <v>0</v>
      </c>
      <c r="GF65" s="91">
        <f>'Renewable Diesel'!BD74</f>
        <v>0</v>
      </c>
      <c r="GG65" s="91">
        <f t="shared" si="0"/>
        <v>0</v>
      </c>
      <c r="GH65" s="92">
        <v>0.5</v>
      </c>
      <c r="GI65" s="102">
        <f>$GG65*EA65*'Feedstock Conversion Rates'!$B$2</f>
        <v>0</v>
      </c>
      <c r="GJ65" s="102">
        <f>$GG65*EB65*'Feedstock Conversion Rates'!$B$3</f>
        <v>0</v>
      </c>
      <c r="GK65" s="102">
        <f>$GG65*EC65*'Feedstock Conversion Rates'!$B$4</f>
        <v>0</v>
      </c>
      <c r="GL65" s="102">
        <f>$GG65*ED65*'Feedstock Conversion Rates'!$B$5</f>
        <v>0</v>
      </c>
      <c r="GM65" s="102">
        <f>$GG65*EE65*'Feedstock Conversion Rates'!$B$5</f>
        <v>0</v>
      </c>
      <c r="GN65" s="102">
        <f>$GG65*EF65*'Feedstock Conversion Rates'!$B$7</f>
        <v>0</v>
      </c>
      <c r="GO65" s="102">
        <f>$GG65*EG65*'Feedstock Conversion Rates'!$B$7</f>
        <v>0</v>
      </c>
      <c r="GP65" s="102">
        <f>$GG65*EH65*'Feedstock Conversion Rates'!B62</f>
        <v>0</v>
      </c>
      <c r="GQ65" s="102">
        <f t="shared" si="19"/>
        <v>0</v>
      </c>
      <c r="GT65" s="103">
        <f t="shared" si="24"/>
        <v>9.6093799831062116E-2</v>
      </c>
      <c r="GU65" s="103">
        <f t="shared" si="24"/>
        <v>0.17762475777833431</v>
      </c>
      <c r="GV65" s="103">
        <f t="shared" si="24"/>
        <v>0</v>
      </c>
      <c r="GW65" s="103">
        <f t="shared" si="24"/>
        <v>0</v>
      </c>
      <c r="GX65" s="103">
        <f t="shared" si="24"/>
        <v>0.3060667217273394</v>
      </c>
      <c r="GY65" s="103">
        <f t="shared" si="24"/>
        <v>0.35668422475701367</v>
      </c>
      <c r="GZ65" s="103">
        <f t="shared" si="24"/>
        <v>6.3530495906250525E-2</v>
      </c>
      <c r="HA65" s="103">
        <f t="shared" si="23"/>
        <v>0</v>
      </c>
    </row>
    <row r="66" spans="1:209" x14ac:dyDescent="0.25">
      <c r="A66" s="96">
        <v>42430</v>
      </c>
      <c r="C66" s="105"/>
      <c r="D66" s="104">
        <v>0</v>
      </c>
      <c r="E66" s="104">
        <f>('Renewable Diesel'!B75*E$3*'Feedstock Conversion Rates'!$B$2)/12</f>
        <v>20.853333333333332</v>
      </c>
      <c r="F66" s="104">
        <f>('Renewable Diesel'!B75*'RD Feedstock Breakdown'!F$3*'Feedstock Conversion Rates'!B$8)/12</f>
        <v>12.5</v>
      </c>
      <c r="G66" s="104">
        <f>('Renewable Diesel'!B75*'RD Feedstock Breakdown'!G$3*'Feedstock Conversion Rates'!B$7)/12</f>
        <v>40.847999999999999</v>
      </c>
      <c r="H66" s="104">
        <f>('Renewable Diesel'!B75*'RD Feedstock Breakdown'!H$3*'Feedstock Conversion Rates'!B$3)/12</f>
        <v>40.904400000000003</v>
      </c>
      <c r="I66" s="106">
        <f t="shared" si="20"/>
        <v>115.10573333333335</v>
      </c>
      <c r="J66" s="106"/>
      <c r="K66" s="107"/>
      <c r="L66" s="106"/>
      <c r="R66" s="104">
        <f>('Renewable Diesel'!D75*'RD Feedstock Breakdown'!R$3*'Feedstock Conversion Rates'!B$7)/12</f>
        <v>2.2999999999999998</v>
      </c>
      <c r="S66" s="106">
        <f t="shared" si="27"/>
        <v>2.2999999999999998</v>
      </c>
      <c r="T66" s="107"/>
      <c r="U66" s="106"/>
      <c r="Z66" s="104">
        <f>('Renewable Diesel'!F75*'RD Feedstock Breakdown'!Z$3*'Feedstock Conversion Rates'!B$6)/12</f>
        <v>44.555000000000007</v>
      </c>
      <c r="AA66" s="104">
        <f>('Renewable Diesel'!F75*'RD Feedstock Breakdown'!AA$3*'Feedstock Conversion Rates'!B$7)/12</f>
        <v>29.133333333333329</v>
      </c>
      <c r="AB66" s="106">
        <f t="shared" si="25"/>
        <v>73.688333333333333</v>
      </c>
      <c r="AC66" s="108"/>
      <c r="AG66" s="108"/>
      <c r="AI66" s="104">
        <f>('Renewable Diesel'!H75*'RD Feedstock Breakdown'!AI$3*'Feedstock Conversion Rates'!B$6)/12</f>
        <v>39.083333333333336</v>
      </c>
      <c r="AJ66" s="106">
        <f t="shared" si="26"/>
        <v>39.083333333333336</v>
      </c>
      <c r="AT66" s="108"/>
      <c r="BX66" s="108"/>
      <c r="CI66" s="108"/>
      <c r="DD66" s="108"/>
      <c r="DJ66" s="108"/>
      <c r="DP66" s="104">
        <f t="shared" si="1"/>
        <v>20.853333333333332</v>
      </c>
      <c r="DQ66" s="104">
        <f t="shared" si="2"/>
        <v>40.904400000000003</v>
      </c>
      <c r="DR66" s="104">
        <f t="shared" si="13"/>
        <v>0</v>
      </c>
      <c r="DS66" s="108"/>
      <c r="DT66" s="104">
        <f t="shared" si="3"/>
        <v>83.63833333333335</v>
      </c>
      <c r="DU66" s="104">
        <f t="shared" si="4"/>
        <v>72.281333333333322</v>
      </c>
      <c r="DV66" s="104">
        <f t="shared" si="5"/>
        <v>12.5</v>
      </c>
      <c r="DW66" s="104">
        <f t="shared" si="6"/>
        <v>0</v>
      </c>
      <c r="DX66" s="106">
        <f t="shared" si="7"/>
        <v>230.17740000000001</v>
      </c>
      <c r="DY66" s="109">
        <f t="shared" si="8"/>
        <v>0</v>
      </c>
      <c r="EA66" s="110">
        <f t="shared" si="21"/>
        <v>9.0596788969435446E-2</v>
      </c>
      <c r="EB66" s="110">
        <f t="shared" si="21"/>
        <v>0.17770815032231663</v>
      </c>
      <c r="EC66" s="110">
        <f t="shared" si="21"/>
        <v>0</v>
      </c>
      <c r="ED66" s="108"/>
      <c r="EE66" s="110">
        <f t="shared" si="22"/>
        <v>0.36336466279197416</v>
      </c>
      <c r="EF66" s="110">
        <f t="shared" si="22"/>
        <v>0.31402445823670488</v>
      </c>
      <c r="EG66" s="110">
        <f t="shared" si="22"/>
        <v>5.4305939679568885E-2</v>
      </c>
      <c r="EH66" s="111">
        <f t="shared" si="14"/>
        <v>0</v>
      </c>
      <c r="EI66" s="110">
        <f t="shared" si="15"/>
        <v>1</v>
      </c>
      <c r="EK66" s="112">
        <f>EA66*'Renewable Diesel'!BF75*'Feedstock Conversion Rates'!B$2</f>
        <v>13.454215936751391</v>
      </c>
      <c r="EL66" s="112">
        <f>EB66*'Renewable Diesel'!BF75*'Feedstock Conversion Rates'!B$3</f>
        <v>24.869469737530061</v>
      </c>
      <c r="EM66" s="112">
        <f>EC66*'Renewable Diesel'!BF75*'Feedstock Conversion Rates'!B$4</f>
        <v>0</v>
      </c>
      <c r="EN66" s="108"/>
      <c r="EO66" s="112">
        <f>EE66*'Renewable Diesel'!BF75*'Feedstock Conversion Rates'!B$6</f>
        <v>59.54868713480213</v>
      </c>
      <c r="EP66" s="112">
        <f>EF66*'Renewable Diesel'!BF75*'Feedstock Conversion Rates'!B$7</f>
        <v>50.475190321607577</v>
      </c>
      <c r="EQ66" s="112">
        <f>EG66*'Renewable Diesel'!BF75*'Feedstock Conversion Rates'!B$8</f>
        <v>8.8949860656389355</v>
      </c>
      <c r="ER66" s="112">
        <f>EH66*'Renewable Diesel'!BF75*'Feedstock Conversion Rates'!B$9</f>
        <v>0</v>
      </c>
      <c r="ES66" s="112">
        <f t="shared" si="16"/>
        <v>157.24254919633009</v>
      </c>
      <c r="EW66" s="73">
        <f t="shared" si="17"/>
        <v>0</v>
      </c>
      <c r="EX66" s="73">
        <f t="shared" si="18"/>
        <v>157.24254919633009</v>
      </c>
      <c r="EY66" s="92">
        <f t="shared" si="10"/>
        <v>0</v>
      </c>
      <c r="EZ66" s="92">
        <f t="shared" si="10"/>
        <v>1</v>
      </c>
      <c r="FE66" s="108"/>
      <c r="GD66" s="91">
        <f>'Renewable Diesel'!BB75*0</f>
        <v>0</v>
      </c>
      <c r="GE66" s="91">
        <f>'Renewable Diesel'!BC75</f>
        <v>0</v>
      </c>
      <c r="GF66" s="91">
        <f>'Renewable Diesel'!BD75</f>
        <v>0</v>
      </c>
      <c r="GG66" s="91">
        <f t="shared" si="0"/>
        <v>0</v>
      </c>
      <c r="GH66" s="92">
        <v>0.5</v>
      </c>
      <c r="GI66" s="102">
        <f>$GG66*EA66*'Feedstock Conversion Rates'!$B$2</f>
        <v>0</v>
      </c>
      <c r="GJ66" s="102">
        <f>$GG66*EB66*'Feedstock Conversion Rates'!$B$3</f>
        <v>0</v>
      </c>
      <c r="GK66" s="102">
        <f>$GG66*EC66*'Feedstock Conversion Rates'!$B$4</f>
        <v>0</v>
      </c>
      <c r="GL66" s="102">
        <f>$GG66*ED66*'Feedstock Conversion Rates'!$B$5</f>
        <v>0</v>
      </c>
      <c r="GM66" s="102">
        <f>$GG66*EE66*'Feedstock Conversion Rates'!$B$5</f>
        <v>0</v>
      </c>
      <c r="GN66" s="102">
        <f>$GG66*EF66*'Feedstock Conversion Rates'!$B$7</f>
        <v>0</v>
      </c>
      <c r="GO66" s="102">
        <f>$GG66*EG66*'Feedstock Conversion Rates'!$B$7</f>
        <v>0</v>
      </c>
      <c r="GP66" s="102">
        <f>$GG66*EH66*'Feedstock Conversion Rates'!B63</f>
        <v>0</v>
      </c>
      <c r="GQ66" s="102">
        <f t="shared" si="19"/>
        <v>0</v>
      </c>
      <c r="GT66" s="103">
        <f t="shared" si="24"/>
        <v>8.5563455982596098E-2</v>
      </c>
      <c r="GU66" s="103">
        <f t="shared" si="24"/>
        <v>0.15815992468093676</v>
      </c>
      <c r="GV66" s="103">
        <f t="shared" si="24"/>
        <v>0</v>
      </c>
      <c r="GW66" s="103">
        <f t="shared" si="24"/>
        <v>0</v>
      </c>
      <c r="GX66" s="103">
        <f t="shared" si="24"/>
        <v>0.37870593830459182</v>
      </c>
      <c r="GY66" s="103">
        <f t="shared" si="24"/>
        <v>0.32100211157595265</v>
      </c>
      <c r="GZ66" s="103">
        <f t="shared" si="24"/>
        <v>5.6568569455922667E-2</v>
      </c>
      <c r="HA66" s="103">
        <f t="shared" si="23"/>
        <v>0</v>
      </c>
    </row>
    <row r="67" spans="1:209" x14ac:dyDescent="0.25">
      <c r="A67" s="96">
        <v>42461</v>
      </c>
      <c r="C67" s="105"/>
      <c r="D67" s="104">
        <v>0</v>
      </c>
      <c r="E67" s="104">
        <f>('Renewable Diesel'!B76*E$3*'Feedstock Conversion Rates'!$B$2)/12</f>
        <v>20.853333333333332</v>
      </c>
      <c r="F67" s="104">
        <f>('Renewable Diesel'!B76*'RD Feedstock Breakdown'!F$3*'Feedstock Conversion Rates'!B$8)/12</f>
        <v>12.5</v>
      </c>
      <c r="G67" s="104">
        <f>('Renewable Diesel'!B76*'RD Feedstock Breakdown'!G$3*'Feedstock Conversion Rates'!B$7)/12</f>
        <v>40.847999999999999</v>
      </c>
      <c r="H67" s="104">
        <f>('Renewable Diesel'!B76*'RD Feedstock Breakdown'!H$3*'Feedstock Conversion Rates'!B$3)/12</f>
        <v>40.904400000000003</v>
      </c>
      <c r="I67" s="106">
        <f t="shared" si="20"/>
        <v>115.10573333333335</v>
      </c>
      <c r="J67" s="106"/>
      <c r="K67" s="107"/>
      <c r="L67" s="106"/>
      <c r="R67" s="104">
        <f>('Renewable Diesel'!D76*'RD Feedstock Breakdown'!R$3*'Feedstock Conversion Rates'!B$7)/12</f>
        <v>2.2999999999999998</v>
      </c>
      <c r="S67" s="106">
        <f t="shared" si="27"/>
        <v>2.2999999999999998</v>
      </c>
      <c r="T67" s="107"/>
      <c r="U67" s="106"/>
      <c r="Z67" s="104">
        <f>('Renewable Diesel'!F76*'RD Feedstock Breakdown'!Z$3*'Feedstock Conversion Rates'!B$6)/12</f>
        <v>44.555000000000007</v>
      </c>
      <c r="AA67" s="104">
        <f>('Renewable Diesel'!F76*'RD Feedstock Breakdown'!AA$3*'Feedstock Conversion Rates'!B$7)/12</f>
        <v>29.133333333333329</v>
      </c>
      <c r="AB67" s="106">
        <f t="shared" si="25"/>
        <v>73.688333333333333</v>
      </c>
      <c r="AC67" s="108"/>
      <c r="AG67" s="108"/>
      <c r="AI67" s="104">
        <f>('Renewable Diesel'!H76*'RD Feedstock Breakdown'!AI$3*'Feedstock Conversion Rates'!B$6)/12</f>
        <v>39.083333333333336</v>
      </c>
      <c r="AJ67" s="106">
        <f t="shared" si="26"/>
        <v>39.083333333333336</v>
      </c>
      <c r="AK67" s="104">
        <f>('Renewable Diesel'!J76*'RD Feedstock Breakdown'!AK$3*'Feedstock Conversion Rates'!B$4)/12</f>
        <v>15.625</v>
      </c>
      <c r="AL67" s="106">
        <f>AK67</f>
        <v>15.625</v>
      </c>
      <c r="AT67" s="108"/>
      <c r="BX67" s="108"/>
      <c r="CI67" s="108"/>
      <c r="DD67" s="108"/>
      <c r="DJ67" s="108"/>
      <c r="DP67" s="104">
        <f t="shared" si="1"/>
        <v>20.853333333333332</v>
      </c>
      <c r="DQ67" s="104">
        <f t="shared" si="2"/>
        <v>40.904400000000003</v>
      </c>
      <c r="DR67" s="104">
        <f t="shared" si="13"/>
        <v>15.625</v>
      </c>
      <c r="DS67" s="108"/>
      <c r="DT67" s="104">
        <f t="shared" si="3"/>
        <v>83.63833333333335</v>
      </c>
      <c r="DU67" s="104">
        <f t="shared" si="4"/>
        <v>72.281333333333322</v>
      </c>
      <c r="DV67" s="104">
        <f t="shared" si="5"/>
        <v>12.5</v>
      </c>
      <c r="DW67" s="104">
        <f t="shared" si="6"/>
        <v>0</v>
      </c>
      <c r="DX67" s="106">
        <f t="shared" si="7"/>
        <v>245.80240000000001</v>
      </c>
      <c r="DY67" s="109">
        <f t="shared" si="8"/>
        <v>0</v>
      </c>
      <c r="EA67" s="110">
        <f t="shared" si="21"/>
        <v>8.4837793826802871E-2</v>
      </c>
      <c r="EB67" s="110">
        <f t="shared" si="21"/>
        <v>0.16641171933227666</v>
      </c>
      <c r="EC67" s="110">
        <f t="shared" si="21"/>
        <v>6.3567320742189654E-2</v>
      </c>
      <c r="ED67" s="108"/>
      <c r="EE67" s="110">
        <f t="shared" si="22"/>
        <v>0.34026654472589912</v>
      </c>
      <c r="EF67" s="110">
        <f t="shared" si="22"/>
        <v>0.29406276477907994</v>
      </c>
      <c r="EG67" s="110">
        <f t="shared" si="22"/>
        <v>5.0853856593751731E-2</v>
      </c>
      <c r="EH67" s="111">
        <f t="shared" si="14"/>
        <v>0</v>
      </c>
      <c r="EI67" s="110">
        <f t="shared" si="15"/>
        <v>1</v>
      </c>
      <c r="EK67" s="112">
        <f>EA67*'Renewable Diesel'!BF76*'Feedstock Conversion Rates'!B$2</f>
        <v>15.044108625898959</v>
      </c>
      <c r="EL67" s="112">
        <f>EB67*'Renewable Diesel'!BF76*'Feedstock Conversion Rates'!B$3</f>
        <v>27.808309749059038</v>
      </c>
      <c r="EM67" s="112">
        <f>EC67*'Renewable Diesel'!BF76*'Feedstock Conversion Rates'!B$4</f>
        <v>9.9461118527016019</v>
      </c>
      <c r="EN67" s="108"/>
      <c r="EO67" s="112">
        <f>EE67*'Renewable Diesel'!BF76*'Feedstock Conversion Rates'!B$6</f>
        <v>66.585590865872902</v>
      </c>
      <c r="EP67" s="112">
        <f>EF67*'Renewable Diesel'!BF76*'Feedstock Conversion Rates'!B$7</f>
        <v>56.439873544540376</v>
      </c>
      <c r="EQ67" s="112">
        <f>EG67*'Renewable Diesel'!BF76*'Feedstock Conversion Rates'!B$8</f>
        <v>9.9461118527016037</v>
      </c>
      <c r="ER67" s="112">
        <f>EH67*'Renewable Diesel'!BF76*'Feedstock Conversion Rates'!B$9</f>
        <v>0</v>
      </c>
      <c r="ES67" s="112">
        <f t="shared" si="16"/>
        <v>185.77010649077445</v>
      </c>
      <c r="EW67" s="73">
        <f t="shared" si="17"/>
        <v>9.9461118527016019</v>
      </c>
      <c r="EX67" s="73">
        <f t="shared" si="18"/>
        <v>175.82399463807286</v>
      </c>
      <c r="EY67" s="92">
        <f t="shared" si="10"/>
        <v>5.353989423048286E-2</v>
      </c>
      <c r="EZ67" s="92">
        <f t="shared" si="10"/>
        <v>0.94646010576951722</v>
      </c>
      <c r="FE67" s="108"/>
      <c r="GD67" s="91">
        <f>'Renewable Diesel'!BB76*0</f>
        <v>0</v>
      </c>
      <c r="GE67" s="91">
        <f>'Renewable Diesel'!BC76</f>
        <v>0</v>
      </c>
      <c r="GF67" s="91">
        <f>'Renewable Diesel'!BD76</f>
        <v>0</v>
      </c>
      <c r="GG67" s="91">
        <f t="shared" si="0"/>
        <v>0</v>
      </c>
      <c r="GH67" s="92">
        <v>0.5</v>
      </c>
      <c r="GI67" s="102">
        <f>$GG67*EA67*'Feedstock Conversion Rates'!$B$2</f>
        <v>0</v>
      </c>
      <c r="GJ67" s="102">
        <f>$GG67*EB67*'Feedstock Conversion Rates'!$B$3</f>
        <v>0</v>
      </c>
      <c r="GK67" s="102">
        <f>$GG67*EC67*'Feedstock Conversion Rates'!$B$4</f>
        <v>0</v>
      </c>
      <c r="GL67" s="102">
        <f>$GG67*ED67*'Feedstock Conversion Rates'!$B$5</f>
        <v>0</v>
      </c>
      <c r="GM67" s="102">
        <f>$GG67*EE67*'Feedstock Conversion Rates'!$B$5</f>
        <v>0</v>
      </c>
      <c r="GN67" s="102">
        <f>$GG67*EF67*'Feedstock Conversion Rates'!$B$7</f>
        <v>0</v>
      </c>
      <c r="GO67" s="102">
        <f>$GG67*EG67*'Feedstock Conversion Rates'!$B$7</f>
        <v>0</v>
      </c>
      <c r="GP67" s="102">
        <f>$GG67*EH67*'Feedstock Conversion Rates'!B64</f>
        <v>0</v>
      </c>
      <c r="GQ67" s="102">
        <f t="shared" si="19"/>
        <v>0</v>
      </c>
      <c r="GT67" s="103">
        <f t="shared" si="24"/>
        <v>8.0982397599293335E-2</v>
      </c>
      <c r="GU67" s="103">
        <f t="shared" si="24"/>
        <v>0.14969205904201832</v>
      </c>
      <c r="GV67" s="103">
        <f t="shared" si="24"/>
        <v>5.353989423048286E-2</v>
      </c>
      <c r="GW67" s="103">
        <f t="shared" si="24"/>
        <v>0</v>
      </c>
      <c r="GX67" s="103">
        <f t="shared" si="24"/>
        <v>0.35843006242330822</v>
      </c>
      <c r="GY67" s="103">
        <f t="shared" si="24"/>
        <v>0.30381569247441459</v>
      </c>
      <c r="GZ67" s="103">
        <f t="shared" si="24"/>
        <v>5.3539894230482873E-2</v>
      </c>
      <c r="HA67" s="103">
        <f t="shared" si="23"/>
        <v>0</v>
      </c>
    </row>
    <row r="68" spans="1:209" x14ac:dyDescent="0.25">
      <c r="A68" s="96">
        <v>42491</v>
      </c>
      <c r="C68" s="105"/>
      <c r="D68" s="104">
        <v>0</v>
      </c>
      <c r="E68" s="104">
        <f>('Renewable Diesel'!B77*E$3*'Feedstock Conversion Rates'!$B$2)/12</f>
        <v>20.853333333333332</v>
      </c>
      <c r="F68" s="104">
        <f>('Renewable Diesel'!B77*'RD Feedstock Breakdown'!F$3*'Feedstock Conversion Rates'!B$8)/12</f>
        <v>12.5</v>
      </c>
      <c r="G68" s="104">
        <f>('Renewable Diesel'!B77*'RD Feedstock Breakdown'!G$3*'Feedstock Conversion Rates'!B$7)/12</f>
        <v>40.847999999999999</v>
      </c>
      <c r="H68" s="104">
        <f>('Renewable Diesel'!B77*'RD Feedstock Breakdown'!H$3*'Feedstock Conversion Rates'!B$3)/12</f>
        <v>40.904400000000003</v>
      </c>
      <c r="I68" s="106">
        <f t="shared" si="20"/>
        <v>115.10573333333335</v>
      </c>
      <c r="J68" s="106"/>
      <c r="K68" s="107"/>
      <c r="L68" s="106"/>
      <c r="R68" s="104">
        <f>('Renewable Diesel'!D77*'RD Feedstock Breakdown'!R$3*'Feedstock Conversion Rates'!B$7)/12</f>
        <v>2.2999999999999998</v>
      </c>
      <c r="S68" s="106">
        <f t="shared" si="27"/>
        <v>2.2999999999999998</v>
      </c>
      <c r="T68" s="107"/>
      <c r="U68" s="106"/>
      <c r="Z68" s="104">
        <f>('Renewable Diesel'!F77*'RD Feedstock Breakdown'!Z$3*'Feedstock Conversion Rates'!B$6)/12</f>
        <v>44.555000000000007</v>
      </c>
      <c r="AA68" s="104">
        <f>('Renewable Diesel'!F77*'RD Feedstock Breakdown'!AA$3*'Feedstock Conversion Rates'!B$7)/12</f>
        <v>29.133333333333329</v>
      </c>
      <c r="AB68" s="106">
        <f t="shared" si="25"/>
        <v>73.688333333333333</v>
      </c>
      <c r="AC68" s="108"/>
      <c r="AG68" s="108"/>
      <c r="AI68" s="104">
        <f>('Renewable Diesel'!H77*'RD Feedstock Breakdown'!AI$3*'Feedstock Conversion Rates'!B$6)/12</f>
        <v>39.083333333333336</v>
      </c>
      <c r="AJ68" s="106">
        <f t="shared" si="26"/>
        <v>39.083333333333336</v>
      </c>
      <c r="AK68" s="104">
        <f>('Renewable Diesel'!J77*'RD Feedstock Breakdown'!AK$3*'Feedstock Conversion Rates'!B$4)/12</f>
        <v>31.25</v>
      </c>
      <c r="AL68" s="106">
        <f t="shared" ref="AL68:AL131" si="28">AK68</f>
        <v>31.25</v>
      </c>
      <c r="AT68" s="108"/>
      <c r="BX68" s="108"/>
      <c r="CI68" s="108"/>
      <c r="DD68" s="108"/>
      <c r="DJ68" s="108"/>
      <c r="DP68" s="104">
        <f t="shared" si="1"/>
        <v>20.853333333333332</v>
      </c>
      <c r="DQ68" s="104">
        <f t="shared" si="2"/>
        <v>40.904400000000003</v>
      </c>
      <c r="DR68" s="104">
        <f t="shared" si="13"/>
        <v>31.25</v>
      </c>
      <c r="DS68" s="108"/>
      <c r="DT68" s="104">
        <f t="shared" si="3"/>
        <v>83.63833333333335</v>
      </c>
      <c r="DU68" s="104">
        <f t="shared" si="4"/>
        <v>72.281333333333322</v>
      </c>
      <c r="DV68" s="104">
        <f t="shared" si="5"/>
        <v>12.5</v>
      </c>
      <c r="DW68" s="104">
        <f t="shared" si="6"/>
        <v>0</v>
      </c>
      <c r="DX68" s="106">
        <f t="shared" si="7"/>
        <v>261.42740000000003</v>
      </c>
      <c r="DY68" s="109">
        <f t="shared" si="8"/>
        <v>0</v>
      </c>
      <c r="EA68" s="110">
        <f t="shared" si="21"/>
        <v>7.976720624285491E-2</v>
      </c>
      <c r="EB68" s="110">
        <f t="shared" si="21"/>
        <v>0.15646561913556115</v>
      </c>
      <c r="EC68" s="110">
        <f t="shared" si="21"/>
        <v>0.11953605475172073</v>
      </c>
      <c r="ED68" s="108"/>
      <c r="EE68" s="110">
        <f t="shared" si="22"/>
        <v>0.31992948456563214</v>
      </c>
      <c r="EF68" s="110">
        <f t="shared" si="22"/>
        <v>0.27648721340354265</v>
      </c>
      <c r="EG68" s="110">
        <f t="shared" si="22"/>
        <v>4.7814421900688291E-2</v>
      </c>
      <c r="EH68" s="111">
        <f t="shared" si="14"/>
        <v>0</v>
      </c>
      <c r="EI68" s="110">
        <f t="shared" si="15"/>
        <v>0.99999999999999989</v>
      </c>
      <c r="EK68" s="112">
        <f>EA68*'Renewable Diesel'!BF77*'Feedstock Conversion Rates'!B$2</f>
        <v>14.661797360592907</v>
      </c>
      <c r="EL68" s="112">
        <f>EB68*'Renewable Diesel'!BF77*'Feedstock Conversion Rates'!B$3</f>
        <v>27.101625800507701</v>
      </c>
      <c r="EM68" s="112">
        <f>EC68*'Renewable Diesel'!BF77*'Feedstock Conversion Rates'!B$4</f>
        <v>19.386708795635037</v>
      </c>
      <c r="EN68" s="108"/>
      <c r="EO68" s="112">
        <f>EE68*'Renewable Diesel'!BF77*'Feedstock Conversion Rates'!B$6</f>
        <v>64.89347190235658</v>
      </c>
      <c r="EP68" s="112">
        <f>EF68*'Renewable Diesel'!BF77*'Feedstock Conversion Rates'!B$7</f>
        <v>55.005584547757913</v>
      </c>
      <c r="EQ68" s="112">
        <f>EG68*'Renewable Diesel'!BF77*'Feedstock Conversion Rates'!B$8</f>
        <v>9.6933543978175187</v>
      </c>
      <c r="ER68" s="112">
        <f>EH68*'Renewable Diesel'!BF77*'Feedstock Conversion Rates'!B$9</f>
        <v>0</v>
      </c>
      <c r="ES68" s="112">
        <f t="shared" si="16"/>
        <v>190.74254280466766</v>
      </c>
      <c r="EW68" s="73">
        <f t="shared" si="17"/>
        <v>19.386708795635037</v>
      </c>
      <c r="EX68" s="73">
        <f t="shared" si="18"/>
        <v>171.35583400903261</v>
      </c>
      <c r="EY68" s="92">
        <f t="shared" si="10"/>
        <v>0.10163809557413861</v>
      </c>
      <c r="EZ68" s="92">
        <f t="shared" si="10"/>
        <v>0.89836190442586128</v>
      </c>
      <c r="FE68" s="108"/>
      <c r="GD68" s="91">
        <f>'Renewable Diesel'!BB77*0</f>
        <v>0</v>
      </c>
      <c r="GE68" s="91">
        <f>'Renewable Diesel'!BC77</f>
        <v>0</v>
      </c>
      <c r="GF68" s="91">
        <f>'Renewable Diesel'!BD77</f>
        <v>0</v>
      </c>
      <c r="GG68" s="91">
        <f t="shared" si="0"/>
        <v>0</v>
      </c>
      <c r="GH68" s="92">
        <v>0.5</v>
      </c>
      <c r="GI68" s="102">
        <f>$GG68*EA68*'Feedstock Conversion Rates'!$B$2</f>
        <v>0</v>
      </c>
      <c r="GJ68" s="102">
        <f>$GG68*EB68*'Feedstock Conversion Rates'!$B$3</f>
        <v>0</v>
      </c>
      <c r="GK68" s="102">
        <f>$GG68*EC68*'Feedstock Conversion Rates'!$B$4</f>
        <v>0</v>
      </c>
      <c r="GL68" s="102">
        <f>$GG68*ED68*'Feedstock Conversion Rates'!$B$5</f>
        <v>0</v>
      </c>
      <c r="GM68" s="102">
        <f>$GG68*EE68*'Feedstock Conversion Rates'!$B$5</f>
        <v>0</v>
      </c>
      <c r="GN68" s="102">
        <f>$GG68*EF68*'Feedstock Conversion Rates'!$B$7</f>
        <v>0</v>
      </c>
      <c r="GO68" s="102">
        <f>$GG68*EG68*'Feedstock Conversion Rates'!$B$7</f>
        <v>0</v>
      </c>
      <c r="GP68" s="102">
        <f>$GG68*EH68*'Feedstock Conversion Rates'!B65</f>
        <v>0</v>
      </c>
      <c r="GQ68" s="102">
        <f t="shared" si="19"/>
        <v>0</v>
      </c>
      <c r="GT68" s="103">
        <f t="shared" si="24"/>
        <v>7.6866949265783399E-2</v>
      </c>
      <c r="GU68" s="103">
        <f t="shared" si="24"/>
        <v>0.14208485114021713</v>
      </c>
      <c r="GV68" s="103">
        <f t="shared" si="24"/>
        <v>0.10163809557413861</v>
      </c>
      <c r="GW68" s="103">
        <f t="shared" si="24"/>
        <v>0</v>
      </c>
      <c r="GX68" s="103">
        <f t="shared" si="24"/>
        <v>0.34021498795269584</v>
      </c>
      <c r="GY68" s="103">
        <f t="shared" si="24"/>
        <v>0.28837606828009565</v>
      </c>
      <c r="GZ68" s="103">
        <f t="shared" si="24"/>
        <v>5.0819047787069305E-2</v>
      </c>
      <c r="HA68" s="103">
        <f t="shared" si="23"/>
        <v>0</v>
      </c>
    </row>
    <row r="69" spans="1:209" x14ac:dyDescent="0.25">
      <c r="A69" s="96">
        <v>42522</v>
      </c>
      <c r="C69" s="105"/>
      <c r="D69" s="104">
        <v>0</v>
      </c>
      <c r="E69" s="104">
        <f>('Renewable Diesel'!B78*E$3*'Feedstock Conversion Rates'!$B$2)/12</f>
        <v>20.853333333333332</v>
      </c>
      <c r="F69" s="104">
        <f>('Renewable Diesel'!B78*'RD Feedstock Breakdown'!F$3*'Feedstock Conversion Rates'!B$8)/12</f>
        <v>12.5</v>
      </c>
      <c r="G69" s="104">
        <f>('Renewable Diesel'!B78*'RD Feedstock Breakdown'!G$3*'Feedstock Conversion Rates'!B$7)/12</f>
        <v>40.847999999999999</v>
      </c>
      <c r="H69" s="104">
        <f>('Renewable Diesel'!B78*'RD Feedstock Breakdown'!H$3*'Feedstock Conversion Rates'!B$3)/12</f>
        <v>40.904400000000003</v>
      </c>
      <c r="I69" s="106">
        <f t="shared" si="20"/>
        <v>115.10573333333335</v>
      </c>
      <c r="J69" s="106"/>
      <c r="K69" s="107"/>
      <c r="L69" s="106"/>
      <c r="R69" s="104">
        <f>('Renewable Diesel'!D78*'RD Feedstock Breakdown'!R$3*'Feedstock Conversion Rates'!B$7)/12</f>
        <v>2.2999999999999998</v>
      </c>
      <c r="S69" s="106">
        <f t="shared" si="27"/>
        <v>2.2999999999999998</v>
      </c>
      <c r="T69" s="107"/>
      <c r="U69" s="106"/>
      <c r="Z69" s="104">
        <f>('Renewable Diesel'!F78*'RD Feedstock Breakdown'!Z$3*'Feedstock Conversion Rates'!B$6)/12</f>
        <v>44.555000000000007</v>
      </c>
      <c r="AA69" s="104">
        <f>('Renewable Diesel'!F78*'RD Feedstock Breakdown'!AA$3*'Feedstock Conversion Rates'!B$7)/12</f>
        <v>29.133333333333329</v>
      </c>
      <c r="AB69" s="106">
        <f t="shared" si="25"/>
        <v>73.688333333333333</v>
      </c>
      <c r="AC69" s="108"/>
      <c r="AG69" s="108"/>
      <c r="AI69" s="104">
        <f>('Renewable Diesel'!H78*'RD Feedstock Breakdown'!AI$3*'Feedstock Conversion Rates'!B$6)/12</f>
        <v>39.083333333333336</v>
      </c>
      <c r="AJ69" s="106">
        <f t="shared" si="26"/>
        <v>39.083333333333336</v>
      </c>
      <c r="AK69" s="104">
        <f>('Renewable Diesel'!J78*'RD Feedstock Breakdown'!AK$3*'Feedstock Conversion Rates'!B$4)/12</f>
        <v>62.5</v>
      </c>
      <c r="AL69" s="106">
        <f t="shared" si="28"/>
        <v>62.5</v>
      </c>
      <c r="AT69" s="108"/>
      <c r="BX69" s="108"/>
      <c r="CI69" s="108"/>
      <c r="DD69" s="108"/>
      <c r="DJ69" s="108"/>
      <c r="DP69" s="104">
        <f t="shared" si="1"/>
        <v>20.853333333333332</v>
      </c>
      <c r="DQ69" s="104">
        <f t="shared" si="2"/>
        <v>40.904400000000003</v>
      </c>
      <c r="DR69" s="104">
        <f t="shared" si="13"/>
        <v>62.5</v>
      </c>
      <c r="DS69" s="108"/>
      <c r="DT69" s="104">
        <f t="shared" si="3"/>
        <v>83.63833333333335</v>
      </c>
      <c r="DU69" s="104">
        <f t="shared" si="4"/>
        <v>72.281333333333322</v>
      </c>
      <c r="DV69" s="104">
        <f t="shared" si="5"/>
        <v>12.5</v>
      </c>
      <c r="DW69" s="104">
        <f t="shared" si="6"/>
        <v>0</v>
      </c>
      <c r="DX69" s="106">
        <f t="shared" si="7"/>
        <v>292.67740000000003</v>
      </c>
      <c r="DY69" s="109">
        <f t="shared" si="8"/>
        <v>0</v>
      </c>
      <c r="EA69" s="110">
        <f t="shared" si="21"/>
        <v>7.1250234330813816E-2</v>
      </c>
      <c r="EB69" s="110">
        <f t="shared" si="21"/>
        <v>0.13975933912218708</v>
      </c>
      <c r="EC69" s="110">
        <f t="shared" si="21"/>
        <v>0.21354569912128504</v>
      </c>
      <c r="ED69" s="108"/>
      <c r="EE69" s="110">
        <f t="shared" si="22"/>
        <v>0.28576970184009198</v>
      </c>
      <c r="EF69" s="110">
        <f t="shared" si="22"/>
        <v>0.24696588576136494</v>
      </c>
      <c r="EG69" s="110">
        <f t="shared" si="22"/>
        <v>4.270913982425701E-2</v>
      </c>
      <c r="EH69" s="111">
        <f t="shared" si="14"/>
        <v>0</v>
      </c>
      <c r="EI69" s="110">
        <f t="shared" si="15"/>
        <v>0.99999999999999989</v>
      </c>
      <c r="EK69" s="112">
        <f>EA69*'Renewable Diesel'!BF78*'Feedstock Conversion Rates'!B$2</f>
        <v>13.349963567805368</v>
      </c>
      <c r="EL69" s="112">
        <f>EB69*'Renewable Diesel'!BF78*'Feedstock Conversion Rates'!B$3</f>
        <v>24.676764257942303</v>
      </c>
      <c r="EM69" s="112">
        <f>EC69*'Renewable Diesel'!BF78*'Feedstock Conversion Rates'!B$4</f>
        <v>35.304246779047503</v>
      </c>
      <c r="EN69" s="108"/>
      <c r="EO69" s="112">
        <f>EE69*'Renewable Diesel'!BF78*'Feedstock Conversion Rates'!B$6</f>
        <v>59.087263612940056</v>
      </c>
      <c r="EP69" s="112">
        <f>EF69*'Renewable Diesel'!BF78*'Feedstock Conversion Rates'!B$7</f>
        <v>50.084074392684897</v>
      </c>
      <c r="EQ69" s="112">
        <f>EG69*'Renewable Diesel'!BF78*'Feedstock Conversion Rates'!B$8</f>
        <v>8.8260616947618775</v>
      </c>
      <c r="ER69" s="112">
        <f>EH69*'Renewable Diesel'!BF78*'Feedstock Conversion Rates'!B$9</f>
        <v>0</v>
      </c>
      <c r="ES69" s="112">
        <f t="shared" si="16"/>
        <v>191.328374305182</v>
      </c>
      <c r="EW69" s="73">
        <f t="shared" si="17"/>
        <v>35.304246779047503</v>
      </c>
      <c r="EX69" s="73">
        <f t="shared" si="18"/>
        <v>156.02412752613449</v>
      </c>
      <c r="EY69" s="92">
        <f t="shared" si="10"/>
        <v>0.184521751712241</v>
      </c>
      <c r="EZ69" s="92">
        <f t="shared" si="10"/>
        <v>0.81547824828775894</v>
      </c>
      <c r="FE69" s="108"/>
      <c r="GD69" s="91">
        <f>'Renewable Diesel'!BB78*0</f>
        <v>0</v>
      </c>
      <c r="GE69" s="91">
        <f>'Renewable Diesel'!BC78</f>
        <v>0</v>
      </c>
      <c r="GF69" s="91">
        <f>'Renewable Diesel'!BD78</f>
        <v>0</v>
      </c>
      <c r="GG69" s="91">
        <f t="shared" ref="GG69:GG84" si="29">SUM(GD69:GF69)*GH69</f>
        <v>0</v>
      </c>
      <c r="GH69" s="92">
        <v>0.5</v>
      </c>
      <c r="GI69" s="102">
        <f>$GG69*EA69*'Feedstock Conversion Rates'!$B$2</f>
        <v>0</v>
      </c>
      <c r="GJ69" s="102">
        <f>$GG69*EB69*'Feedstock Conversion Rates'!$B$3</f>
        <v>0</v>
      </c>
      <c r="GK69" s="102">
        <f>$GG69*EC69*'Feedstock Conversion Rates'!$B$4</f>
        <v>0</v>
      </c>
      <c r="GL69" s="102">
        <f>$GG69*ED69*'Feedstock Conversion Rates'!$B$5</f>
        <v>0</v>
      </c>
      <c r="GM69" s="102">
        <f>$GG69*EE69*'Feedstock Conversion Rates'!$B$5</f>
        <v>0</v>
      </c>
      <c r="GN69" s="102">
        <f>$GG69*EF69*'Feedstock Conversion Rates'!$B$7</f>
        <v>0</v>
      </c>
      <c r="GO69" s="102">
        <f>$GG69*EG69*'Feedstock Conversion Rates'!$B$7</f>
        <v>0</v>
      </c>
      <c r="GP69" s="102">
        <f>$GG69*EH69*'Feedstock Conversion Rates'!B66</f>
        <v>0</v>
      </c>
      <c r="GQ69" s="102">
        <f t="shared" si="19"/>
        <v>0</v>
      </c>
      <c r="GT69" s="103">
        <f t="shared" si="24"/>
        <v>6.9775137202134227E-2</v>
      </c>
      <c r="GU69" s="103">
        <f t="shared" si="24"/>
        <v>0.12897597832813421</v>
      </c>
      <c r="GV69" s="103">
        <f t="shared" si="24"/>
        <v>0.184521751712241</v>
      </c>
      <c r="GW69" s="103">
        <f t="shared" si="24"/>
        <v>0</v>
      </c>
      <c r="GX69" s="103">
        <f t="shared" si="24"/>
        <v>0.30882645518480067</v>
      </c>
      <c r="GY69" s="103">
        <f t="shared" si="24"/>
        <v>0.2617702396446297</v>
      </c>
      <c r="GZ69" s="103">
        <f t="shared" si="24"/>
        <v>4.6130437928060257E-2</v>
      </c>
      <c r="HA69" s="103">
        <f t="shared" si="23"/>
        <v>0</v>
      </c>
    </row>
    <row r="70" spans="1:209" x14ac:dyDescent="0.25">
      <c r="A70" s="96">
        <v>42552</v>
      </c>
      <c r="C70" s="105"/>
      <c r="D70" s="104">
        <v>0</v>
      </c>
      <c r="E70" s="104">
        <f>('Renewable Diesel'!B79*E$3*'Feedstock Conversion Rates'!$B$2)/12</f>
        <v>20.853333333333332</v>
      </c>
      <c r="F70" s="104">
        <f>('Renewable Diesel'!B79*'RD Feedstock Breakdown'!F$3*'Feedstock Conversion Rates'!B$8)/12</f>
        <v>12.5</v>
      </c>
      <c r="G70" s="104">
        <f>('Renewable Diesel'!B79*'RD Feedstock Breakdown'!G$3*'Feedstock Conversion Rates'!B$7)/12</f>
        <v>40.847999999999999</v>
      </c>
      <c r="H70" s="104">
        <f>('Renewable Diesel'!B79*'RD Feedstock Breakdown'!H$3*'Feedstock Conversion Rates'!B$3)/12</f>
        <v>40.904400000000003</v>
      </c>
      <c r="I70" s="106">
        <f t="shared" si="20"/>
        <v>115.10573333333335</v>
      </c>
      <c r="J70" s="106"/>
      <c r="K70" s="107"/>
      <c r="L70" s="106"/>
      <c r="R70" s="104">
        <f>('Renewable Diesel'!D79*'RD Feedstock Breakdown'!R$3*'Feedstock Conversion Rates'!B$7)/12</f>
        <v>2.2999999999999998</v>
      </c>
      <c r="S70" s="106">
        <f t="shared" si="27"/>
        <v>2.2999999999999998</v>
      </c>
      <c r="T70" s="107"/>
      <c r="U70" s="106"/>
      <c r="Z70" s="104">
        <f>('Renewable Diesel'!F79*'RD Feedstock Breakdown'!Z$3*'Feedstock Conversion Rates'!B$6)/12</f>
        <v>44.555000000000007</v>
      </c>
      <c r="AA70" s="104">
        <f>('Renewable Diesel'!F79*'RD Feedstock Breakdown'!AA$3*'Feedstock Conversion Rates'!B$7)/12</f>
        <v>29.133333333333329</v>
      </c>
      <c r="AB70" s="106">
        <f t="shared" si="25"/>
        <v>73.688333333333333</v>
      </c>
      <c r="AC70" s="108"/>
      <c r="AG70" s="108"/>
      <c r="AI70" s="104">
        <f>('Renewable Diesel'!H79*'RD Feedstock Breakdown'!AI$3*'Feedstock Conversion Rates'!B$6)/12</f>
        <v>39.083333333333336</v>
      </c>
      <c r="AJ70" s="106">
        <f t="shared" si="26"/>
        <v>39.083333333333336</v>
      </c>
      <c r="AK70" s="104">
        <f>('Renewable Diesel'!J79*'RD Feedstock Breakdown'!AK$3*'Feedstock Conversion Rates'!B$4)/12</f>
        <v>62.5</v>
      </c>
      <c r="AL70" s="106">
        <f t="shared" si="28"/>
        <v>62.5</v>
      </c>
      <c r="AT70" s="108"/>
      <c r="BX70" s="108"/>
      <c r="CI70" s="108"/>
      <c r="DD70" s="108"/>
      <c r="DJ70" s="108"/>
      <c r="DP70" s="104">
        <f t="shared" si="1"/>
        <v>20.853333333333332</v>
      </c>
      <c r="DQ70" s="104">
        <f t="shared" si="2"/>
        <v>40.904400000000003</v>
      </c>
      <c r="DR70" s="104">
        <f t="shared" si="13"/>
        <v>62.5</v>
      </c>
      <c r="DS70" s="108"/>
      <c r="DT70" s="104">
        <f t="shared" si="3"/>
        <v>83.63833333333335</v>
      </c>
      <c r="DU70" s="104">
        <f t="shared" si="4"/>
        <v>72.281333333333322</v>
      </c>
      <c r="DV70" s="104">
        <f t="shared" si="5"/>
        <v>12.5</v>
      </c>
      <c r="DW70" s="104">
        <f t="shared" si="6"/>
        <v>0</v>
      </c>
      <c r="DX70" s="106">
        <f t="shared" si="7"/>
        <v>292.67740000000003</v>
      </c>
      <c r="DY70" s="109">
        <f t="shared" si="8"/>
        <v>0</v>
      </c>
      <c r="EA70" s="110">
        <f t="shared" si="21"/>
        <v>7.1250234330813816E-2</v>
      </c>
      <c r="EB70" s="110">
        <f t="shared" si="21"/>
        <v>0.13975933912218708</v>
      </c>
      <c r="EC70" s="110">
        <f t="shared" si="21"/>
        <v>0.21354569912128504</v>
      </c>
      <c r="ED70" s="108"/>
      <c r="EE70" s="110">
        <f t="shared" si="22"/>
        <v>0.28576970184009198</v>
      </c>
      <c r="EF70" s="110">
        <f t="shared" si="22"/>
        <v>0.24696588576136494</v>
      </c>
      <c r="EG70" s="110">
        <f t="shared" si="22"/>
        <v>4.270913982425701E-2</v>
      </c>
      <c r="EH70" s="111">
        <f t="shared" si="14"/>
        <v>0</v>
      </c>
      <c r="EI70" s="110">
        <f t="shared" si="15"/>
        <v>0.99999999999999989</v>
      </c>
      <c r="EK70" s="112">
        <f>EA70*'Renewable Diesel'!BF79*'Feedstock Conversion Rates'!B$2</f>
        <v>11.564335367655078</v>
      </c>
      <c r="EL70" s="112">
        <f>EB70*'Renewable Diesel'!BF79*'Feedstock Conversion Rates'!B$3</f>
        <v>21.376116587734</v>
      </c>
      <c r="EM70" s="112">
        <f>EC70*'Renewable Diesel'!BF79*'Feedstock Conversion Rates'!B$4</f>
        <v>30.582117140749503</v>
      </c>
      <c r="EN70" s="108"/>
      <c r="EO70" s="112">
        <f>EE70*'Renewable Diesel'!BF79*'Feedstock Conversion Rates'!B$6</f>
        <v>51.184029747087301</v>
      </c>
      <c r="EP70" s="112">
        <f>EF70*'Renewable Diesel'!BF79*'Feedstock Conversion Rates'!B$7</f>
        <v>43.385064679304456</v>
      </c>
      <c r="EQ70" s="112">
        <f>EG70*'Renewable Diesel'!BF79*'Feedstock Conversion Rates'!B$8</f>
        <v>7.6455292851873766</v>
      </c>
      <c r="ER70" s="112">
        <f>EH70*'Renewable Diesel'!BF79*'Feedstock Conversion Rates'!B$9</f>
        <v>0</v>
      </c>
      <c r="ES70" s="112">
        <f t="shared" si="16"/>
        <v>165.73719280771772</v>
      </c>
      <c r="EW70" s="73">
        <f t="shared" si="17"/>
        <v>30.582117140749503</v>
      </c>
      <c r="EX70" s="73">
        <f t="shared" si="18"/>
        <v>135.1550756669682</v>
      </c>
      <c r="EY70" s="92">
        <f t="shared" si="10"/>
        <v>0.184521751712241</v>
      </c>
      <c r="EZ70" s="92">
        <f t="shared" si="10"/>
        <v>0.81547824828775894</v>
      </c>
      <c r="FE70" s="108"/>
      <c r="GD70" s="91">
        <f>'Renewable Diesel'!BB79*0</f>
        <v>0</v>
      </c>
      <c r="GE70" s="91">
        <f>'Renewable Diesel'!BC79</f>
        <v>0</v>
      </c>
      <c r="GF70" s="91">
        <f>'Renewable Diesel'!BD79</f>
        <v>0</v>
      </c>
      <c r="GG70" s="91">
        <f t="shared" si="29"/>
        <v>0</v>
      </c>
      <c r="GH70" s="92">
        <v>0.5</v>
      </c>
      <c r="GI70" s="102">
        <f>$GG70*EA70*'Feedstock Conversion Rates'!$B$2</f>
        <v>0</v>
      </c>
      <c r="GJ70" s="102">
        <f>$GG70*EB70*'Feedstock Conversion Rates'!$B$3</f>
        <v>0</v>
      </c>
      <c r="GK70" s="102">
        <f>$GG70*EC70*'Feedstock Conversion Rates'!$B$4</f>
        <v>0</v>
      </c>
      <c r="GL70" s="102">
        <f>$GG70*ED70*'Feedstock Conversion Rates'!$B$5</f>
        <v>0</v>
      </c>
      <c r="GM70" s="102">
        <f>$GG70*EE70*'Feedstock Conversion Rates'!$B$5</f>
        <v>0</v>
      </c>
      <c r="GN70" s="102">
        <f>$GG70*EF70*'Feedstock Conversion Rates'!$B$7</f>
        <v>0</v>
      </c>
      <c r="GO70" s="102">
        <f>$GG70*EG70*'Feedstock Conversion Rates'!$B$7</f>
        <v>0</v>
      </c>
      <c r="GP70" s="102">
        <f>$GG70*EH70*'Feedstock Conversion Rates'!B67</f>
        <v>0</v>
      </c>
      <c r="GQ70" s="102">
        <f t="shared" si="19"/>
        <v>0</v>
      </c>
      <c r="GT70" s="103">
        <f t="shared" si="24"/>
        <v>6.9775137202134227E-2</v>
      </c>
      <c r="GU70" s="103">
        <f t="shared" si="24"/>
        <v>0.12897597832813421</v>
      </c>
      <c r="GV70" s="103">
        <f t="shared" si="24"/>
        <v>0.184521751712241</v>
      </c>
      <c r="GW70" s="103">
        <f t="shared" si="24"/>
        <v>0</v>
      </c>
      <c r="GX70" s="103">
        <f t="shared" si="24"/>
        <v>0.30882645518480067</v>
      </c>
      <c r="GY70" s="103">
        <f t="shared" si="24"/>
        <v>0.26177023964462964</v>
      </c>
      <c r="GZ70" s="103">
        <f t="shared" si="24"/>
        <v>4.6130437928060257E-2</v>
      </c>
      <c r="HA70" s="103">
        <f t="shared" si="23"/>
        <v>0</v>
      </c>
    </row>
    <row r="71" spans="1:209" x14ac:dyDescent="0.25">
      <c r="A71" s="96">
        <v>42583</v>
      </c>
      <c r="C71" s="105"/>
      <c r="D71" s="104">
        <v>0</v>
      </c>
      <c r="E71" s="104">
        <f>('Renewable Diesel'!B80*E$3*'Feedstock Conversion Rates'!$B$2)/12</f>
        <v>20.853333333333332</v>
      </c>
      <c r="F71" s="104">
        <f>('Renewable Diesel'!B80*'RD Feedstock Breakdown'!F$3*'Feedstock Conversion Rates'!B$8)/12</f>
        <v>12.5</v>
      </c>
      <c r="G71" s="104">
        <f>('Renewable Diesel'!B80*'RD Feedstock Breakdown'!G$3*'Feedstock Conversion Rates'!B$7)/12</f>
        <v>40.847999999999999</v>
      </c>
      <c r="H71" s="104">
        <f>('Renewable Diesel'!B80*'RD Feedstock Breakdown'!H$3*'Feedstock Conversion Rates'!B$3)/12</f>
        <v>40.904400000000003</v>
      </c>
      <c r="I71" s="106">
        <f t="shared" si="20"/>
        <v>115.10573333333335</v>
      </c>
      <c r="J71" s="106"/>
      <c r="K71" s="107"/>
      <c r="L71" s="106"/>
      <c r="R71" s="104">
        <f>('Renewable Diesel'!D80*'RD Feedstock Breakdown'!R$3*'Feedstock Conversion Rates'!B$7)/12</f>
        <v>2.2999999999999998</v>
      </c>
      <c r="S71" s="106">
        <f t="shared" si="27"/>
        <v>2.2999999999999998</v>
      </c>
      <c r="T71" s="107"/>
      <c r="U71" s="106"/>
      <c r="Z71" s="104">
        <f>('Renewable Diesel'!F80*'RD Feedstock Breakdown'!Z$3*'Feedstock Conversion Rates'!B$6)/12</f>
        <v>44.555000000000007</v>
      </c>
      <c r="AA71" s="104">
        <f>('Renewable Diesel'!F80*'RD Feedstock Breakdown'!AA$3*'Feedstock Conversion Rates'!B$7)/12</f>
        <v>29.133333333333329</v>
      </c>
      <c r="AB71" s="106">
        <f t="shared" si="25"/>
        <v>73.688333333333333</v>
      </c>
      <c r="AC71" s="108"/>
      <c r="AG71" s="108"/>
      <c r="AI71" s="104">
        <f>('Renewable Diesel'!H80*'RD Feedstock Breakdown'!AI$3*'Feedstock Conversion Rates'!B$6)/12</f>
        <v>39.083333333333336</v>
      </c>
      <c r="AJ71" s="106">
        <f t="shared" si="26"/>
        <v>39.083333333333336</v>
      </c>
      <c r="AK71" s="104">
        <f>('Renewable Diesel'!J80*'RD Feedstock Breakdown'!AK$3*'Feedstock Conversion Rates'!B$4)/12</f>
        <v>62.5</v>
      </c>
      <c r="AL71" s="106">
        <f t="shared" si="28"/>
        <v>62.5</v>
      </c>
      <c r="AT71" s="108"/>
      <c r="BX71" s="108"/>
      <c r="CI71" s="108"/>
      <c r="DD71" s="108"/>
      <c r="DJ71" s="108"/>
      <c r="DP71" s="104">
        <f t="shared" si="1"/>
        <v>20.853333333333332</v>
      </c>
      <c r="DQ71" s="104">
        <f t="shared" si="2"/>
        <v>40.904400000000003</v>
      </c>
      <c r="DR71" s="104">
        <f t="shared" si="13"/>
        <v>62.5</v>
      </c>
      <c r="DS71" s="108"/>
      <c r="DT71" s="104">
        <f t="shared" si="3"/>
        <v>83.63833333333335</v>
      </c>
      <c r="DU71" s="104">
        <f t="shared" si="4"/>
        <v>72.281333333333322</v>
      </c>
      <c r="DV71" s="104">
        <f t="shared" si="5"/>
        <v>12.5</v>
      </c>
      <c r="DW71" s="104">
        <f t="shared" si="6"/>
        <v>0</v>
      </c>
      <c r="DX71" s="106">
        <f t="shared" si="7"/>
        <v>292.67740000000003</v>
      </c>
      <c r="DY71" s="109">
        <f t="shared" si="8"/>
        <v>0</v>
      </c>
      <c r="EA71" s="110">
        <f t="shared" si="21"/>
        <v>7.1250234330813816E-2</v>
      </c>
      <c r="EB71" s="110">
        <f t="shared" si="21"/>
        <v>0.13975933912218708</v>
      </c>
      <c r="EC71" s="110">
        <f t="shared" si="21"/>
        <v>0.21354569912128504</v>
      </c>
      <c r="ED71" s="108"/>
      <c r="EE71" s="110">
        <f t="shared" si="22"/>
        <v>0.28576970184009198</v>
      </c>
      <c r="EF71" s="110">
        <f t="shared" si="22"/>
        <v>0.24696588576136494</v>
      </c>
      <c r="EG71" s="110">
        <f t="shared" si="22"/>
        <v>4.270913982425701E-2</v>
      </c>
      <c r="EH71" s="111">
        <f t="shared" si="14"/>
        <v>0</v>
      </c>
      <c r="EI71" s="110">
        <f t="shared" si="15"/>
        <v>0.99999999999999989</v>
      </c>
      <c r="EK71" s="112">
        <f>EA71*'Renewable Diesel'!BF80*'Feedstock Conversion Rates'!B$2</f>
        <v>14.73196681424667</v>
      </c>
      <c r="EL71" s="112">
        <f>EB71*'Renewable Diesel'!BF80*'Feedstock Conversion Rates'!B$3</f>
        <v>27.231330653792725</v>
      </c>
      <c r="EM71" s="112">
        <f>EC71*'Renewable Diesel'!BF80*'Feedstock Conversion Rates'!B$4</f>
        <v>38.958982120758208</v>
      </c>
      <c r="EN71" s="108"/>
      <c r="EO71" s="112">
        <f>EE71*'Renewable Diesel'!BF80*'Feedstock Conversion Rates'!B$6</f>
        <v>65.204043611751729</v>
      </c>
      <c r="EP71" s="112">
        <f>EF71*'Renewable Diesel'!BF80*'Feedstock Conversion Rates'!B$7</f>
        <v>55.268834115372051</v>
      </c>
      <c r="EQ71" s="112">
        <f>EG71*'Renewable Diesel'!BF80*'Feedstock Conversion Rates'!B$8</f>
        <v>9.7397455301895537</v>
      </c>
      <c r="ER71" s="112">
        <f>EH71*'Renewable Diesel'!BF80*'Feedstock Conversion Rates'!B$9</f>
        <v>0</v>
      </c>
      <c r="ES71" s="112">
        <f t="shared" si="16"/>
        <v>211.13490284611095</v>
      </c>
      <c r="EW71" s="73">
        <f t="shared" si="17"/>
        <v>38.958982120758208</v>
      </c>
      <c r="EX71" s="73">
        <f t="shared" si="18"/>
        <v>172.17592072535274</v>
      </c>
      <c r="EY71" s="92">
        <f t="shared" si="10"/>
        <v>0.184521751712241</v>
      </c>
      <c r="EZ71" s="92">
        <f t="shared" si="10"/>
        <v>0.81547824828775906</v>
      </c>
      <c r="FE71" s="108"/>
      <c r="GD71" s="91">
        <f>'Renewable Diesel'!BB80*0</f>
        <v>0</v>
      </c>
      <c r="GE71" s="91">
        <f>'Renewable Diesel'!BC80</f>
        <v>0</v>
      </c>
      <c r="GF71" s="91">
        <f>'Renewable Diesel'!BD80</f>
        <v>0</v>
      </c>
      <c r="GG71" s="91">
        <f t="shared" si="29"/>
        <v>0</v>
      </c>
      <c r="GH71" s="92">
        <v>0.5</v>
      </c>
      <c r="GI71" s="102">
        <f>$GG71*EA71*'Feedstock Conversion Rates'!$B$2</f>
        <v>0</v>
      </c>
      <c r="GJ71" s="102">
        <f>$GG71*EB71*'Feedstock Conversion Rates'!$B$3</f>
        <v>0</v>
      </c>
      <c r="GK71" s="102">
        <f>$GG71*EC71*'Feedstock Conversion Rates'!$B$4</f>
        <v>0</v>
      </c>
      <c r="GL71" s="102">
        <f>$GG71*ED71*'Feedstock Conversion Rates'!$B$5</f>
        <v>0</v>
      </c>
      <c r="GM71" s="102">
        <f>$GG71*EE71*'Feedstock Conversion Rates'!$B$5</f>
        <v>0</v>
      </c>
      <c r="GN71" s="102">
        <f>$GG71*EF71*'Feedstock Conversion Rates'!$B$7</f>
        <v>0</v>
      </c>
      <c r="GO71" s="102">
        <f>$GG71*EG71*'Feedstock Conversion Rates'!$B$7</f>
        <v>0</v>
      </c>
      <c r="GP71" s="102">
        <f>$GG71*EH71*'Feedstock Conversion Rates'!B68</f>
        <v>0</v>
      </c>
      <c r="GQ71" s="102">
        <f t="shared" si="19"/>
        <v>0</v>
      </c>
      <c r="GT71" s="103">
        <f t="shared" si="24"/>
        <v>6.9775137202134213E-2</v>
      </c>
      <c r="GU71" s="103">
        <f t="shared" si="24"/>
        <v>0.12897597832813421</v>
      </c>
      <c r="GV71" s="103">
        <f t="shared" si="24"/>
        <v>0.184521751712241</v>
      </c>
      <c r="GW71" s="103">
        <f t="shared" si="24"/>
        <v>0</v>
      </c>
      <c r="GX71" s="103">
        <f t="shared" si="24"/>
        <v>0.30882645518480067</v>
      </c>
      <c r="GY71" s="103">
        <f t="shared" si="24"/>
        <v>0.26177023964462959</v>
      </c>
      <c r="GZ71" s="103">
        <f t="shared" si="24"/>
        <v>4.6130437928060257E-2</v>
      </c>
      <c r="HA71" s="103">
        <f t="shared" si="23"/>
        <v>0</v>
      </c>
    </row>
    <row r="72" spans="1:209" x14ac:dyDescent="0.25">
      <c r="A72" s="96">
        <v>42614</v>
      </c>
      <c r="C72" s="105"/>
      <c r="D72" s="104">
        <v>0</v>
      </c>
      <c r="E72" s="104">
        <f>('Renewable Diesel'!B81*E$3*'Feedstock Conversion Rates'!$B$2)/12</f>
        <v>20.853333333333332</v>
      </c>
      <c r="F72" s="104">
        <f>('Renewable Diesel'!B81*'RD Feedstock Breakdown'!F$3*'Feedstock Conversion Rates'!B$8)/12</f>
        <v>12.5</v>
      </c>
      <c r="G72" s="104">
        <f>('Renewable Diesel'!B81*'RD Feedstock Breakdown'!G$3*'Feedstock Conversion Rates'!B$7)/12</f>
        <v>40.847999999999999</v>
      </c>
      <c r="H72" s="104">
        <f>('Renewable Diesel'!B81*'RD Feedstock Breakdown'!H$3*'Feedstock Conversion Rates'!B$3)/12</f>
        <v>40.904400000000003</v>
      </c>
      <c r="I72" s="106">
        <f t="shared" si="20"/>
        <v>115.10573333333335</v>
      </c>
      <c r="J72" s="106"/>
      <c r="K72" s="107"/>
      <c r="L72" s="106"/>
      <c r="R72" s="104">
        <f>('Renewable Diesel'!D81*'RD Feedstock Breakdown'!R$3*'Feedstock Conversion Rates'!B$7)/12</f>
        <v>2.2999999999999998</v>
      </c>
      <c r="S72" s="106">
        <f t="shared" si="27"/>
        <v>2.2999999999999998</v>
      </c>
      <c r="T72" s="107"/>
      <c r="U72" s="106"/>
      <c r="Z72" s="104">
        <f>('Renewable Diesel'!F81*'RD Feedstock Breakdown'!Z$3*'Feedstock Conversion Rates'!B$6)/12</f>
        <v>44.555000000000007</v>
      </c>
      <c r="AA72" s="104">
        <f>('Renewable Diesel'!F81*'RD Feedstock Breakdown'!AA$3*'Feedstock Conversion Rates'!B$7)/12</f>
        <v>29.133333333333329</v>
      </c>
      <c r="AB72" s="106">
        <f t="shared" si="25"/>
        <v>73.688333333333333</v>
      </c>
      <c r="AC72" s="108"/>
      <c r="AG72" s="108"/>
      <c r="AI72" s="104">
        <f>('Renewable Diesel'!H81*'RD Feedstock Breakdown'!AI$3*'Feedstock Conversion Rates'!B$6)/12</f>
        <v>39.083333333333336</v>
      </c>
      <c r="AJ72" s="106">
        <f t="shared" si="26"/>
        <v>39.083333333333336</v>
      </c>
      <c r="AK72" s="104">
        <f>('Renewable Diesel'!J81*'RD Feedstock Breakdown'!AK$3*'Feedstock Conversion Rates'!B$4)/12</f>
        <v>62.5</v>
      </c>
      <c r="AL72" s="106">
        <f t="shared" si="28"/>
        <v>62.5</v>
      </c>
      <c r="AT72" s="108"/>
      <c r="BX72" s="108"/>
      <c r="CI72" s="108"/>
      <c r="DD72" s="108"/>
      <c r="DJ72" s="108"/>
      <c r="DP72" s="104">
        <f t="shared" si="1"/>
        <v>20.853333333333332</v>
      </c>
      <c r="DQ72" s="104">
        <f t="shared" si="2"/>
        <v>40.904400000000003</v>
      </c>
      <c r="DR72" s="104">
        <f t="shared" si="13"/>
        <v>62.5</v>
      </c>
      <c r="DS72" s="108"/>
      <c r="DT72" s="104">
        <f t="shared" si="3"/>
        <v>83.63833333333335</v>
      </c>
      <c r="DU72" s="104">
        <f t="shared" si="4"/>
        <v>72.281333333333322</v>
      </c>
      <c r="DV72" s="104">
        <f t="shared" si="5"/>
        <v>12.5</v>
      </c>
      <c r="DW72" s="104">
        <f t="shared" si="6"/>
        <v>0</v>
      </c>
      <c r="DX72" s="106">
        <f t="shared" si="7"/>
        <v>292.67740000000003</v>
      </c>
      <c r="DY72" s="109">
        <f t="shared" si="8"/>
        <v>0</v>
      </c>
      <c r="EA72" s="110">
        <f t="shared" si="21"/>
        <v>7.1250234330813816E-2</v>
      </c>
      <c r="EB72" s="110">
        <f t="shared" si="21"/>
        <v>0.13975933912218708</v>
      </c>
      <c r="EC72" s="110">
        <f t="shared" si="21"/>
        <v>0.21354569912128504</v>
      </c>
      <c r="ED72" s="108"/>
      <c r="EE72" s="110">
        <f t="shared" si="22"/>
        <v>0.28576970184009198</v>
      </c>
      <c r="EF72" s="110">
        <f t="shared" si="22"/>
        <v>0.24696588576136494</v>
      </c>
      <c r="EG72" s="110">
        <f t="shared" si="22"/>
        <v>4.270913982425701E-2</v>
      </c>
      <c r="EH72" s="111">
        <f t="shared" si="14"/>
        <v>0</v>
      </c>
      <c r="EI72" s="110">
        <f t="shared" si="15"/>
        <v>0.99999999999999989</v>
      </c>
      <c r="EK72" s="112">
        <f>EA72*'Renewable Diesel'!BF81*'Feedstock Conversion Rates'!B$2</f>
        <v>11.562221123826664</v>
      </c>
      <c r="EL72" s="112">
        <f>EB72*'Renewable Diesel'!BF81*'Feedstock Conversion Rates'!B$3</f>
        <v>21.372208509912468</v>
      </c>
      <c r="EM72" s="112">
        <f>EC72*'Renewable Diesel'!BF81*'Feedstock Conversion Rates'!B$4</f>
        <v>30.576525980482259</v>
      </c>
      <c r="EN72" s="108"/>
      <c r="EO72" s="112">
        <f>EE72*'Renewable Diesel'!BF81*'Feedstock Conversion Rates'!B$6</f>
        <v>51.17467205245412</v>
      </c>
      <c r="EP72" s="112">
        <f>EF72*'Renewable Diesel'!BF81*'Feedstock Conversion Rates'!B$7</f>
        <v>43.377132826558281</v>
      </c>
      <c r="EQ72" s="112">
        <f>EG72*'Renewable Diesel'!BF81*'Feedstock Conversion Rates'!B$8</f>
        <v>7.6441314951205657</v>
      </c>
      <c r="ER72" s="112">
        <f>EH72*'Renewable Diesel'!BF81*'Feedstock Conversion Rates'!B$9</f>
        <v>0</v>
      </c>
      <c r="ES72" s="112">
        <f t="shared" si="16"/>
        <v>165.70689198835436</v>
      </c>
      <c r="EW72" s="73">
        <f t="shared" si="17"/>
        <v>30.576525980482259</v>
      </c>
      <c r="EX72" s="73">
        <f t="shared" si="18"/>
        <v>135.13036600787211</v>
      </c>
      <c r="EY72" s="92">
        <f t="shared" si="10"/>
        <v>0.184521751712241</v>
      </c>
      <c r="EZ72" s="92">
        <f t="shared" si="10"/>
        <v>0.81547824828775906</v>
      </c>
      <c r="FE72" s="108"/>
      <c r="GD72" s="91">
        <f>'Renewable Diesel'!BB81*0</f>
        <v>0</v>
      </c>
      <c r="GE72" s="91">
        <f>'Renewable Diesel'!BC81</f>
        <v>0.23079</v>
      </c>
      <c r="GF72" s="91">
        <f>'Renewable Diesel'!BD81</f>
        <v>0</v>
      </c>
      <c r="GG72" s="91">
        <f t="shared" si="29"/>
        <v>0.115395</v>
      </c>
      <c r="GH72" s="92">
        <v>0.5</v>
      </c>
      <c r="GI72" s="102">
        <f>$GG72*EA72*'Feedstock Conversion Rates'!$B$2</f>
        <v>6.9886326720136213E-2</v>
      </c>
      <c r="GJ72" s="102">
        <f>$GG72*EB72*'Feedstock Conversion Rates'!$B$3</f>
        <v>0.12918150679341825</v>
      </c>
      <c r="GK72" s="102">
        <f>$GG72*EC72*'Feedstock Conversion Rates'!$B$4</f>
        <v>0.18481579462575515</v>
      </c>
      <c r="GL72" s="102">
        <f>$GG72*ED72*'Feedstock Conversion Rates'!$B$5</f>
        <v>0</v>
      </c>
      <c r="GM72" s="102">
        <f>$GG72*EE72*'Feedstock Conversion Rates'!$B$5</f>
        <v>0.24897178031597247</v>
      </c>
      <c r="GN72" s="102">
        <f>$GG72*EF72*'Feedstock Conversion Rates'!$B$7</f>
        <v>0.26218738116438089</v>
      </c>
      <c r="GO72" s="102">
        <f>$GG72*EG72*'Feedstock Conversion Rates'!$B$7</f>
        <v>4.5341474948185259E-2</v>
      </c>
      <c r="GP72" s="102">
        <f>$GG72*EH72*'Feedstock Conversion Rates'!B69</f>
        <v>0</v>
      </c>
      <c r="GQ72" s="102">
        <f t="shared" si="19"/>
        <v>0.94038426456784829</v>
      </c>
      <c r="GT72" s="103">
        <f t="shared" si="24"/>
        <v>6.9800765497616865E-2</v>
      </c>
      <c r="GU72" s="103">
        <f t="shared" si="24"/>
        <v>0.12902335099718651</v>
      </c>
      <c r="GV72" s="103">
        <f t="shared" si="24"/>
        <v>0.18458952625436989</v>
      </c>
      <c r="GW72" s="103">
        <f t="shared" si="24"/>
        <v>0</v>
      </c>
      <c r="GX72" s="103">
        <f t="shared" si="24"/>
        <v>0.30857776369968337</v>
      </c>
      <c r="GY72" s="103">
        <f t="shared" si="24"/>
        <v>0.26186638743192442</v>
      </c>
      <c r="GZ72" s="103">
        <f t="shared" si="24"/>
        <v>4.6142206119218911E-2</v>
      </c>
      <c r="HA72" s="103">
        <f t="shared" si="23"/>
        <v>0</v>
      </c>
    </row>
    <row r="73" spans="1:209" x14ac:dyDescent="0.25">
      <c r="A73" s="96">
        <v>42644</v>
      </c>
      <c r="C73" s="105"/>
      <c r="D73" s="104">
        <v>0</v>
      </c>
      <c r="E73" s="104">
        <f>('Renewable Diesel'!B82*E$3*'Feedstock Conversion Rates'!$B$2)/12</f>
        <v>20.853333333333332</v>
      </c>
      <c r="F73" s="104">
        <f>('Renewable Diesel'!B82*'RD Feedstock Breakdown'!F$3*'Feedstock Conversion Rates'!B$8)/12</f>
        <v>12.5</v>
      </c>
      <c r="G73" s="104">
        <f>('Renewable Diesel'!B82*'RD Feedstock Breakdown'!G$3*'Feedstock Conversion Rates'!B$7)/12</f>
        <v>40.847999999999999</v>
      </c>
      <c r="H73" s="104">
        <f>('Renewable Diesel'!B82*'RD Feedstock Breakdown'!H$3*'Feedstock Conversion Rates'!B$3)/12</f>
        <v>40.904400000000003</v>
      </c>
      <c r="I73" s="106">
        <f t="shared" si="20"/>
        <v>115.10573333333335</v>
      </c>
      <c r="J73" s="106"/>
      <c r="K73" s="107"/>
      <c r="L73" s="106"/>
      <c r="R73" s="104">
        <f>('Renewable Diesel'!D82*'RD Feedstock Breakdown'!R$3*'Feedstock Conversion Rates'!B$7)/12</f>
        <v>2.2999999999999998</v>
      </c>
      <c r="S73" s="106">
        <f t="shared" si="27"/>
        <v>2.2999999999999998</v>
      </c>
      <c r="T73" s="107"/>
      <c r="U73" s="106"/>
      <c r="Z73" s="104">
        <f>('Renewable Diesel'!F82*'RD Feedstock Breakdown'!Z$3*'Feedstock Conversion Rates'!B$6)/12</f>
        <v>44.555000000000007</v>
      </c>
      <c r="AA73" s="104">
        <f>('Renewable Diesel'!F82*'RD Feedstock Breakdown'!AA$3*'Feedstock Conversion Rates'!B$7)/12</f>
        <v>29.133333333333329</v>
      </c>
      <c r="AB73" s="106">
        <f t="shared" si="25"/>
        <v>73.688333333333333</v>
      </c>
      <c r="AC73" s="108"/>
      <c r="AG73" s="108"/>
      <c r="AI73" s="104">
        <f>('Renewable Diesel'!H82*'RD Feedstock Breakdown'!AI$3*'Feedstock Conversion Rates'!B$6)/12</f>
        <v>39.083333333333336</v>
      </c>
      <c r="AJ73" s="106">
        <f t="shared" si="26"/>
        <v>39.083333333333336</v>
      </c>
      <c r="AK73" s="104">
        <f>('Renewable Diesel'!J82*'RD Feedstock Breakdown'!AK$3*'Feedstock Conversion Rates'!B$4)/12</f>
        <v>62.5</v>
      </c>
      <c r="AL73" s="106">
        <f t="shared" si="28"/>
        <v>62.5</v>
      </c>
      <c r="AT73" s="108"/>
      <c r="BX73" s="108"/>
      <c r="CI73" s="108"/>
      <c r="DD73" s="108"/>
      <c r="DJ73" s="108"/>
      <c r="DP73" s="104">
        <f t="shared" si="1"/>
        <v>20.853333333333332</v>
      </c>
      <c r="DQ73" s="104">
        <f t="shared" si="2"/>
        <v>40.904400000000003</v>
      </c>
      <c r="DR73" s="104">
        <f t="shared" si="13"/>
        <v>62.5</v>
      </c>
      <c r="DS73" s="108"/>
      <c r="DT73" s="104">
        <f t="shared" si="3"/>
        <v>83.63833333333335</v>
      </c>
      <c r="DU73" s="104">
        <f t="shared" si="4"/>
        <v>72.281333333333322</v>
      </c>
      <c r="DV73" s="104">
        <f t="shared" si="5"/>
        <v>12.5</v>
      </c>
      <c r="DW73" s="104">
        <f t="shared" si="6"/>
        <v>0</v>
      </c>
      <c r="DX73" s="106">
        <f t="shared" si="7"/>
        <v>292.67740000000003</v>
      </c>
      <c r="DY73" s="109">
        <f t="shared" si="8"/>
        <v>0</v>
      </c>
      <c r="EA73" s="110">
        <f t="shared" si="21"/>
        <v>7.1250234330813816E-2</v>
      </c>
      <c r="EB73" s="110">
        <f t="shared" si="21"/>
        <v>0.13975933912218708</v>
      </c>
      <c r="EC73" s="110">
        <f t="shared" si="21"/>
        <v>0.21354569912128504</v>
      </c>
      <c r="ED73" s="108"/>
      <c r="EE73" s="110">
        <f t="shared" si="22"/>
        <v>0.28576970184009198</v>
      </c>
      <c r="EF73" s="110">
        <f t="shared" si="22"/>
        <v>0.24696588576136494</v>
      </c>
      <c r="EG73" s="110">
        <f t="shared" si="22"/>
        <v>4.270913982425701E-2</v>
      </c>
      <c r="EH73" s="111">
        <f t="shared" si="14"/>
        <v>0</v>
      </c>
      <c r="EI73" s="110">
        <f t="shared" si="15"/>
        <v>0.99999999999999989</v>
      </c>
      <c r="EK73" s="112">
        <f>EA73*'Renewable Diesel'!BF82*'Feedstock Conversion Rates'!B$2</f>
        <v>12.287952426892769</v>
      </c>
      <c r="EL73" s="112">
        <f>EB73*'Renewable Diesel'!BF82*'Feedstock Conversion Rates'!B$3</f>
        <v>22.713687847246391</v>
      </c>
      <c r="EM73" s="112">
        <f>EC73*'Renewable Diesel'!BF82*'Feedstock Conversion Rates'!B$4</f>
        <v>32.495736987208439</v>
      </c>
      <c r="EN73" s="108"/>
      <c r="EO73" s="112">
        <f>EE73*'Renewable Diesel'!BF82*'Feedstock Conversion Rates'!B$6</f>
        <v>54.386776459977902</v>
      </c>
      <c r="EP73" s="112">
        <f>EF73*'Renewable Diesel'!BF82*'Feedstock Conversion Rates'!B$7</f>
        <v>46.099805468116521</v>
      </c>
      <c r="EQ73" s="112">
        <f>EG73*'Renewable Diesel'!BF82*'Feedstock Conversion Rates'!B$8</f>
        <v>8.1239342468021096</v>
      </c>
      <c r="ER73" s="112">
        <f>EH73*'Renewable Diesel'!BF82*'Feedstock Conversion Rates'!B$9</f>
        <v>0</v>
      </c>
      <c r="ES73" s="112">
        <f t="shared" si="16"/>
        <v>176.10789343624415</v>
      </c>
      <c r="EW73" s="73">
        <f t="shared" si="17"/>
        <v>32.495736987208439</v>
      </c>
      <c r="EX73" s="73">
        <f t="shared" si="18"/>
        <v>143.61215644903569</v>
      </c>
      <c r="EY73" s="92">
        <f t="shared" si="10"/>
        <v>0.184521751712241</v>
      </c>
      <c r="EZ73" s="92">
        <f t="shared" si="10"/>
        <v>0.81547824828775894</v>
      </c>
      <c r="FE73" s="108"/>
      <c r="GD73" s="91">
        <f>'Renewable Diesel'!BB82*0</f>
        <v>0</v>
      </c>
      <c r="GE73" s="91">
        <f>'Renewable Diesel'!BC82</f>
        <v>0.181093</v>
      </c>
      <c r="GF73" s="91">
        <f>'Renewable Diesel'!BD82</f>
        <v>0</v>
      </c>
      <c r="GG73" s="91">
        <f t="shared" si="29"/>
        <v>9.0546500000000002E-2</v>
      </c>
      <c r="GH73" s="92">
        <v>0.5</v>
      </c>
      <c r="GI73" s="102">
        <f>$GG73*EA73*'Feedstock Conversion Rates'!$B$2</f>
        <v>5.4837404414097783E-2</v>
      </c>
      <c r="GJ73" s="102">
        <f>$GG73*EB73*'Feedstock Conversion Rates'!$B$3</f>
        <v>0.10136429918861517</v>
      </c>
      <c r="GK73" s="102">
        <f>$GG73*EC73*'Feedstock Conversion Rates'!$B$4</f>
        <v>0.14501861734114077</v>
      </c>
      <c r="GL73" s="102">
        <f>$GG73*ED73*'Feedstock Conversion Rates'!$B$5</f>
        <v>0</v>
      </c>
      <c r="GM73" s="102">
        <f>$GG73*EE73*'Feedstock Conversion Rates'!$B$5</f>
        <v>0.19535961962286236</v>
      </c>
      <c r="GN73" s="102">
        <f>$GG73*EF73*'Feedstock Conversion Rates'!$B$7</f>
        <v>0.20572944849084115</v>
      </c>
      <c r="GO73" s="102">
        <f>$GG73*EG73*'Feedstock Conversion Rates'!$B$7</f>
        <v>3.5577900787693205E-2</v>
      </c>
      <c r="GP73" s="102">
        <f>$GG73*EH73*'Feedstock Conversion Rates'!B70</f>
        <v>0</v>
      </c>
      <c r="GQ73" s="102">
        <f t="shared" si="19"/>
        <v>0.73788728984525043</v>
      </c>
      <c r="GT73" s="103">
        <f t="shared" si="24"/>
        <v>6.9794087145478509E-2</v>
      </c>
      <c r="GU73" s="103">
        <f t="shared" si="24"/>
        <v>0.12901100638511973</v>
      </c>
      <c r="GV73" s="103">
        <f t="shared" si="24"/>
        <v>0.18457186521801033</v>
      </c>
      <c r="GW73" s="103">
        <f t="shared" si="24"/>
        <v>0</v>
      </c>
      <c r="GX73" s="103">
        <f t="shared" si="24"/>
        <v>0.30864256899711529</v>
      </c>
      <c r="GY73" s="103">
        <f t="shared" si="24"/>
        <v>0.2618413327504176</v>
      </c>
      <c r="GZ73" s="103">
        <f t="shared" si="24"/>
        <v>4.6139139503858465E-2</v>
      </c>
      <c r="HA73" s="103">
        <f t="shared" si="23"/>
        <v>0</v>
      </c>
    </row>
    <row r="74" spans="1:209" x14ac:dyDescent="0.25">
      <c r="A74" s="96">
        <v>42675</v>
      </c>
      <c r="C74" s="105"/>
      <c r="D74" s="104">
        <v>0</v>
      </c>
      <c r="E74" s="104">
        <f>('Renewable Diesel'!B83*E$3*'Feedstock Conversion Rates'!$B$2)/12</f>
        <v>20.853333333333332</v>
      </c>
      <c r="F74" s="104">
        <f>('Renewable Diesel'!B83*'RD Feedstock Breakdown'!F$3*'Feedstock Conversion Rates'!B$8)/12</f>
        <v>12.5</v>
      </c>
      <c r="G74" s="104">
        <f>('Renewable Diesel'!B83*'RD Feedstock Breakdown'!G$3*'Feedstock Conversion Rates'!B$7)/12</f>
        <v>40.847999999999999</v>
      </c>
      <c r="H74" s="104">
        <f>('Renewable Diesel'!B83*'RD Feedstock Breakdown'!H$3*'Feedstock Conversion Rates'!B$3)/12</f>
        <v>40.904400000000003</v>
      </c>
      <c r="I74" s="106">
        <f t="shared" si="20"/>
        <v>115.10573333333335</v>
      </c>
      <c r="J74" s="106"/>
      <c r="K74" s="107"/>
      <c r="L74" s="106"/>
      <c r="R74" s="104">
        <f>('Renewable Diesel'!D83*'RD Feedstock Breakdown'!R$3*'Feedstock Conversion Rates'!B$7)/12</f>
        <v>2.2999999999999998</v>
      </c>
      <c r="S74" s="106">
        <f t="shared" si="27"/>
        <v>2.2999999999999998</v>
      </c>
      <c r="T74" s="107"/>
      <c r="U74" s="106"/>
      <c r="Z74" s="104">
        <f>('Renewable Diesel'!F83*'RD Feedstock Breakdown'!Z$3*'Feedstock Conversion Rates'!B$6)/12</f>
        <v>44.555000000000007</v>
      </c>
      <c r="AA74" s="104">
        <f>('Renewable Diesel'!F83*'RD Feedstock Breakdown'!AA$3*'Feedstock Conversion Rates'!B$7)/12</f>
        <v>29.133333333333329</v>
      </c>
      <c r="AB74" s="106">
        <f t="shared" si="25"/>
        <v>73.688333333333333</v>
      </c>
      <c r="AC74" s="108"/>
      <c r="AG74" s="108"/>
      <c r="AI74" s="104">
        <f>('Renewable Diesel'!H83*'RD Feedstock Breakdown'!AI$3*'Feedstock Conversion Rates'!B$6)/12</f>
        <v>39.083333333333336</v>
      </c>
      <c r="AJ74" s="106">
        <f t="shared" si="26"/>
        <v>39.083333333333336</v>
      </c>
      <c r="AK74" s="104">
        <f>('Renewable Diesel'!J83*'RD Feedstock Breakdown'!AK$3*'Feedstock Conversion Rates'!B$4)/12</f>
        <v>62.5</v>
      </c>
      <c r="AL74" s="106">
        <f t="shared" si="28"/>
        <v>62.5</v>
      </c>
      <c r="AT74" s="108"/>
      <c r="BX74" s="108"/>
      <c r="CI74" s="108"/>
      <c r="DD74" s="108"/>
      <c r="DJ74" s="108"/>
      <c r="DP74" s="104">
        <f t="shared" si="1"/>
        <v>20.853333333333332</v>
      </c>
      <c r="DQ74" s="104">
        <f t="shared" si="2"/>
        <v>40.904400000000003</v>
      </c>
      <c r="DR74" s="104">
        <f t="shared" si="13"/>
        <v>62.5</v>
      </c>
      <c r="DS74" s="108"/>
      <c r="DT74" s="104">
        <f t="shared" si="3"/>
        <v>83.63833333333335</v>
      </c>
      <c r="DU74" s="104">
        <f t="shared" si="4"/>
        <v>72.281333333333322</v>
      </c>
      <c r="DV74" s="104">
        <f t="shared" si="5"/>
        <v>12.5</v>
      </c>
      <c r="DW74" s="104">
        <f t="shared" si="6"/>
        <v>0</v>
      </c>
      <c r="DX74" s="106">
        <f t="shared" si="7"/>
        <v>292.67740000000003</v>
      </c>
      <c r="DY74" s="109">
        <f t="shared" si="8"/>
        <v>0</v>
      </c>
      <c r="EA74" s="110">
        <f t="shared" si="21"/>
        <v>7.1250234330813816E-2</v>
      </c>
      <c r="EB74" s="110">
        <f t="shared" si="21"/>
        <v>0.13975933912218708</v>
      </c>
      <c r="EC74" s="110">
        <f t="shared" si="21"/>
        <v>0.21354569912128504</v>
      </c>
      <c r="ED74" s="108"/>
      <c r="EE74" s="110">
        <f t="shared" si="22"/>
        <v>0.28576970184009198</v>
      </c>
      <c r="EF74" s="110">
        <f t="shared" si="22"/>
        <v>0.24696588576136494</v>
      </c>
      <c r="EG74" s="110">
        <f t="shared" si="22"/>
        <v>4.270913982425701E-2</v>
      </c>
      <c r="EH74" s="111">
        <f t="shared" si="14"/>
        <v>0</v>
      </c>
      <c r="EI74" s="110">
        <f t="shared" si="15"/>
        <v>0.99999999999999989</v>
      </c>
      <c r="EK74" s="112">
        <f>EA74*'Renewable Diesel'!BF83*'Feedstock Conversion Rates'!B$2</f>
        <v>16.455310517678047</v>
      </c>
      <c r="EL74" s="112">
        <f>EB74*'Renewable Diesel'!BF83*'Feedstock Conversion Rates'!B$3</f>
        <v>30.416848433597153</v>
      </c>
      <c r="EM74" s="112">
        <f>EC74*'Renewable Diesel'!BF83*'Feedstock Conversion Rates'!B$4</f>
        <v>43.516399156545731</v>
      </c>
      <c r="EN74" s="108"/>
      <c r="EO74" s="112">
        <f>EE74*'Renewable Diesel'!BF83*'Feedstock Conversion Rates'!B$6</f>
        <v>72.8316047794778</v>
      </c>
      <c r="EP74" s="112">
        <f>EF74*'Renewable Diesel'!BF83*'Feedstock Conversion Rates'!B$7</f>
        <v>61.734175672930419</v>
      </c>
      <c r="EQ74" s="112">
        <f>EG74*'Renewable Diesel'!BF83*'Feedstock Conversion Rates'!B$8</f>
        <v>10.879099789136434</v>
      </c>
      <c r="ER74" s="112">
        <f>EH74*'Renewable Diesel'!BF83*'Feedstock Conversion Rates'!B$9</f>
        <v>0</v>
      </c>
      <c r="ES74" s="112">
        <f t="shared" si="16"/>
        <v>235.83343834936557</v>
      </c>
      <c r="EW74" s="73">
        <f t="shared" si="17"/>
        <v>43.516399156545731</v>
      </c>
      <c r="EX74" s="73">
        <f t="shared" si="18"/>
        <v>192.31703919281983</v>
      </c>
      <c r="EY74" s="92">
        <f t="shared" si="10"/>
        <v>0.184521751712241</v>
      </c>
      <c r="EZ74" s="92">
        <f t="shared" si="10"/>
        <v>0.81547824828775894</v>
      </c>
      <c r="FE74" s="108"/>
      <c r="GD74" s="91">
        <f>'Renewable Diesel'!BB83*0</f>
        <v>0</v>
      </c>
      <c r="GE74" s="91">
        <f>'Renewable Diesel'!BC83</f>
        <v>0.192991</v>
      </c>
      <c r="GF74" s="91">
        <f>'Renewable Diesel'!BD83</f>
        <v>0</v>
      </c>
      <c r="GG74" s="91">
        <f t="shared" si="29"/>
        <v>9.6495499999999998E-2</v>
      </c>
      <c r="GH74" s="92">
        <v>0.5</v>
      </c>
      <c r="GI74" s="102">
        <f>$GG74*EA74*'Feedstock Conversion Rates'!$B$2</f>
        <v>5.8440279388386876E-2</v>
      </c>
      <c r="GJ74" s="102">
        <f>$GG74*EB74*'Feedstock Conversion Rates'!$B$3</f>
        <v>0.10802403993920266</v>
      </c>
      <c r="GK74" s="102">
        <f>$GG74*EC74*'Feedstock Conversion Rates'!$B$4</f>
        <v>0.15454649257168471</v>
      </c>
      <c r="GL74" s="102">
        <f>$GG74*ED74*'Feedstock Conversion Rates'!$B$5</f>
        <v>0</v>
      </c>
      <c r="GM74" s="102">
        <f>$GG74*EE74*'Feedstock Conversion Rates'!$B$5</f>
        <v>0.20819495149252498</v>
      </c>
      <c r="GN74" s="102">
        <f>$GG74*EF74*'Feedstock Conversion Rates'!$B$7</f>
        <v>0.21924608899126924</v>
      </c>
      <c r="GO74" s="102">
        <f>$GG74*EG74*'Feedstock Conversion Rates'!$B$7</f>
        <v>3.7915406177586645E-2</v>
      </c>
      <c r="GP74" s="102">
        <f>$GG74*EH74*'Feedstock Conversion Rates'!B71</f>
        <v>0</v>
      </c>
      <c r="GQ74" s="102">
        <f t="shared" si="19"/>
        <v>0.78636725856065515</v>
      </c>
      <c r="GT74" s="103">
        <f t="shared" si="24"/>
        <v>6.9790230596458822E-2</v>
      </c>
      <c r="GU74" s="103">
        <f t="shared" si="24"/>
        <v>0.12900387774012204</v>
      </c>
      <c r="GV74" s="103">
        <f t="shared" si="24"/>
        <v>0.18456166649667188</v>
      </c>
      <c r="GW74" s="103">
        <f t="shared" si="24"/>
        <v>0</v>
      </c>
      <c r="GX74" s="103">
        <f t="shared" si="24"/>
        <v>0.30867999212202746</v>
      </c>
      <c r="GY74" s="103">
        <f t="shared" si="24"/>
        <v>0.26182686441969755</v>
      </c>
      <c r="GZ74" s="103">
        <f t="shared" si="24"/>
        <v>4.6137368625022344E-2</v>
      </c>
      <c r="HA74" s="103">
        <f t="shared" si="23"/>
        <v>0</v>
      </c>
    </row>
    <row r="75" spans="1:209" x14ac:dyDescent="0.25">
      <c r="A75" s="96">
        <v>42705</v>
      </c>
      <c r="C75" s="105"/>
      <c r="D75" s="104">
        <v>0</v>
      </c>
      <c r="E75" s="104">
        <f>('Renewable Diesel'!B84*E$3*'Feedstock Conversion Rates'!$B$2)/12</f>
        <v>20.853333333333332</v>
      </c>
      <c r="F75" s="104">
        <f>('Renewable Diesel'!B84*'RD Feedstock Breakdown'!F$3*'Feedstock Conversion Rates'!B$8)/12</f>
        <v>12.5</v>
      </c>
      <c r="G75" s="104">
        <f>('Renewable Diesel'!B84*'RD Feedstock Breakdown'!G$3*'Feedstock Conversion Rates'!B$7)/12</f>
        <v>40.847999999999999</v>
      </c>
      <c r="H75" s="104">
        <f>('Renewable Diesel'!B84*'RD Feedstock Breakdown'!H$3*'Feedstock Conversion Rates'!B$3)/12</f>
        <v>40.904400000000003</v>
      </c>
      <c r="I75" s="106">
        <f t="shared" si="20"/>
        <v>115.10573333333335</v>
      </c>
      <c r="J75" s="106"/>
      <c r="K75" s="107"/>
      <c r="L75" s="106"/>
      <c r="R75" s="104">
        <f>('Renewable Diesel'!D84*'RD Feedstock Breakdown'!R$3*'Feedstock Conversion Rates'!B$7)/12</f>
        <v>2.2999999999999998</v>
      </c>
      <c r="S75" s="106">
        <f t="shared" si="27"/>
        <v>2.2999999999999998</v>
      </c>
      <c r="T75" s="107"/>
      <c r="U75" s="106"/>
      <c r="Z75" s="104">
        <f>('Renewable Diesel'!F84*'RD Feedstock Breakdown'!Z$3*'Feedstock Conversion Rates'!B$6)/12</f>
        <v>44.555000000000007</v>
      </c>
      <c r="AA75" s="104">
        <f>('Renewable Diesel'!F84*'RD Feedstock Breakdown'!AA$3*'Feedstock Conversion Rates'!B$7)/12</f>
        <v>29.133333333333329</v>
      </c>
      <c r="AB75" s="106">
        <f t="shared" si="25"/>
        <v>73.688333333333333</v>
      </c>
      <c r="AC75" s="108"/>
      <c r="AG75" s="108"/>
      <c r="AI75" s="104">
        <f>('Renewable Diesel'!H84*'RD Feedstock Breakdown'!AI$3*'Feedstock Conversion Rates'!B$6)/12</f>
        <v>39.083333333333336</v>
      </c>
      <c r="AJ75" s="106">
        <f t="shared" si="26"/>
        <v>39.083333333333336</v>
      </c>
      <c r="AK75" s="104">
        <f>('Renewable Diesel'!J84*'RD Feedstock Breakdown'!AK$3*'Feedstock Conversion Rates'!B$4)/12</f>
        <v>62.5</v>
      </c>
      <c r="AL75" s="106">
        <f t="shared" si="28"/>
        <v>62.5</v>
      </c>
      <c r="AT75" s="108"/>
      <c r="BX75" s="108"/>
      <c r="CI75" s="108"/>
      <c r="DD75" s="108"/>
      <c r="DJ75" s="108"/>
      <c r="DP75" s="104">
        <f t="shared" si="1"/>
        <v>20.853333333333332</v>
      </c>
      <c r="DQ75" s="104">
        <f t="shared" si="2"/>
        <v>40.904400000000003</v>
      </c>
      <c r="DR75" s="104">
        <f t="shared" si="13"/>
        <v>62.5</v>
      </c>
      <c r="DS75" s="108"/>
      <c r="DT75" s="104">
        <f t="shared" si="3"/>
        <v>83.63833333333335</v>
      </c>
      <c r="DU75" s="104">
        <f t="shared" si="4"/>
        <v>72.281333333333322</v>
      </c>
      <c r="DV75" s="104">
        <f t="shared" si="5"/>
        <v>12.5</v>
      </c>
      <c r="DW75" s="104">
        <f t="shared" si="6"/>
        <v>0</v>
      </c>
      <c r="DX75" s="106">
        <f t="shared" si="7"/>
        <v>292.67740000000003</v>
      </c>
      <c r="DY75" s="109">
        <f t="shared" si="8"/>
        <v>0</v>
      </c>
      <c r="EA75" s="110">
        <f t="shared" si="21"/>
        <v>7.1250234330813816E-2</v>
      </c>
      <c r="EB75" s="110">
        <f t="shared" si="21"/>
        <v>0.13975933912218708</v>
      </c>
      <c r="EC75" s="110">
        <f t="shared" si="21"/>
        <v>0.21354569912128504</v>
      </c>
      <c r="ED75" s="108"/>
      <c r="EE75" s="110">
        <f t="shared" si="22"/>
        <v>0.28576970184009198</v>
      </c>
      <c r="EF75" s="110">
        <f t="shared" si="22"/>
        <v>0.24696588576136494</v>
      </c>
      <c r="EG75" s="110">
        <f t="shared" si="22"/>
        <v>4.270913982425701E-2</v>
      </c>
      <c r="EH75" s="111">
        <f t="shared" si="14"/>
        <v>0</v>
      </c>
      <c r="EI75" s="110">
        <f t="shared" si="15"/>
        <v>0.99999999999999989</v>
      </c>
      <c r="EK75" s="112">
        <f>EA75*'Renewable Diesel'!BF84*'Feedstock Conversion Rates'!B$2</f>
        <v>16.3864234754944</v>
      </c>
      <c r="EL75" s="112">
        <f>EB75*'Renewable Diesel'!BF84*'Feedstock Conversion Rates'!B$3</f>
        <v>30.289514056109237</v>
      </c>
      <c r="EM75" s="112">
        <f>EC75*'Renewable Diesel'!BF84*'Feedstock Conversion Rates'!B$4</f>
        <v>43.334225989946603</v>
      </c>
      <c r="EN75" s="108"/>
      <c r="EO75" s="112">
        <f>EE75*'Renewable Diesel'!BF84*'Feedstock Conversion Rates'!B$6</f>
        <v>72.526709054455978</v>
      </c>
      <c r="EP75" s="112">
        <f>EF75*'Renewable Diesel'!BF84*'Feedstock Conversion Rates'!B$7</f>
        <v>61.475737233911893</v>
      </c>
      <c r="EQ75" s="112">
        <f>EG75*'Renewable Diesel'!BF84*'Feedstock Conversion Rates'!B$8</f>
        <v>10.833556497486649</v>
      </c>
      <c r="ER75" s="112">
        <f>EH75*'Renewable Diesel'!BF84*'Feedstock Conversion Rates'!B$9</f>
        <v>0</v>
      </c>
      <c r="ES75" s="112">
        <f t="shared" si="16"/>
        <v>234.84616630740476</v>
      </c>
      <c r="EW75" s="73">
        <f t="shared" si="17"/>
        <v>43.334225989946603</v>
      </c>
      <c r="EX75" s="73">
        <f t="shared" si="18"/>
        <v>191.51194031745817</v>
      </c>
      <c r="EY75" s="92">
        <f t="shared" si="10"/>
        <v>0.18452175171224103</v>
      </c>
      <c r="EZ75" s="92">
        <f t="shared" si="10"/>
        <v>0.81547824828775906</v>
      </c>
      <c r="FE75" s="108"/>
      <c r="GD75" s="91">
        <f>'Renewable Diesel'!BB84*0</f>
        <v>0</v>
      </c>
      <c r="GE75" s="91">
        <f>'Renewable Diesel'!BC84</f>
        <v>0.17877199999999999</v>
      </c>
      <c r="GF75" s="91">
        <f>'Renewable Diesel'!BD84</f>
        <v>0</v>
      </c>
      <c r="GG75" s="91">
        <f t="shared" si="29"/>
        <v>8.9385999999999993E-2</v>
      </c>
      <c r="GH75" s="92">
        <v>0.5</v>
      </c>
      <c r="GI75" s="102">
        <f>$GG75*EA75*'Feedstock Conversion Rates'!$B$2</f>
        <v>5.4134574290100046E-2</v>
      </c>
      <c r="GJ75" s="102">
        <f>$GG75*EB75*'Feedstock Conversion Rates'!$B$3</f>
        <v>0.10006515157707425</v>
      </c>
      <c r="GK75" s="102">
        <f>$GG75*EC75*'Feedstock Conversion Rates'!$B$4</f>
        <v>0.1431599689624139</v>
      </c>
      <c r="GL75" s="102">
        <f>$GG75*ED75*'Feedstock Conversion Rates'!$B$5</f>
        <v>0</v>
      </c>
      <c r="GM75" s="102">
        <f>$GG75*EE75*'Feedstock Conversion Rates'!$B$5</f>
        <v>0.19285576979352237</v>
      </c>
      <c r="GN75" s="102">
        <f>$GG75*EF75*'Feedstock Conversion Rates'!$B$7</f>
        <v>0.20309269251492135</v>
      </c>
      <c r="GO75" s="102">
        <f>$GG75*EG75*'Feedstock Conversion Rates'!$B$7</f>
        <v>3.5121912385445535E-2</v>
      </c>
      <c r="GP75" s="102">
        <f>$GG75*EH75*'Feedstock Conversion Rates'!B72</f>
        <v>0</v>
      </c>
      <c r="GQ75" s="102">
        <f t="shared" si="19"/>
        <v>0.72843006952347744</v>
      </c>
      <c r="GT75" s="103">
        <f t="shared" si="24"/>
        <v>6.9789180593475303E-2</v>
      </c>
      <c r="GU75" s="103">
        <f t="shared" si="24"/>
        <v>0.12900193686021152</v>
      </c>
      <c r="GV75" s="103">
        <f t="shared" si="24"/>
        <v>0.18455888974269347</v>
      </c>
      <c r="GW75" s="103">
        <f t="shared" si="24"/>
        <v>0</v>
      </c>
      <c r="GX75" s="103">
        <f t="shared" si="24"/>
        <v>0.30869018112587765</v>
      </c>
      <c r="GY75" s="103">
        <f t="shared" si="24"/>
        <v>0.26182292520089201</v>
      </c>
      <c r="GZ75" s="103">
        <f t="shared" si="24"/>
        <v>4.6136886476849985E-2</v>
      </c>
      <c r="HA75" s="103">
        <f t="shared" si="23"/>
        <v>0</v>
      </c>
    </row>
    <row r="76" spans="1:209" x14ac:dyDescent="0.25">
      <c r="A76" s="96">
        <v>42736</v>
      </c>
      <c r="C76" s="105"/>
      <c r="D76" s="104">
        <v>0</v>
      </c>
      <c r="E76" s="104">
        <f>('Renewable Diesel'!B85*E$3*'Feedstock Conversion Rates'!$B$2)/12</f>
        <v>20.853333333333332</v>
      </c>
      <c r="F76" s="104">
        <f>('Renewable Diesel'!B85*'RD Feedstock Breakdown'!F$3*'Feedstock Conversion Rates'!B$8)/12</f>
        <v>12.5</v>
      </c>
      <c r="G76" s="104">
        <f>('Renewable Diesel'!B85*'RD Feedstock Breakdown'!G$3*'Feedstock Conversion Rates'!B$7)/12</f>
        <v>40.847999999999999</v>
      </c>
      <c r="H76" s="104">
        <f>('Renewable Diesel'!B85*'RD Feedstock Breakdown'!H$3*'Feedstock Conversion Rates'!B$3)/12</f>
        <v>40.904400000000003</v>
      </c>
      <c r="I76" s="106">
        <f t="shared" si="20"/>
        <v>115.10573333333335</v>
      </c>
      <c r="J76" s="106"/>
      <c r="K76" s="107"/>
      <c r="L76" s="106"/>
      <c r="R76" s="104">
        <f>('Renewable Diesel'!D85*'RD Feedstock Breakdown'!R$3*'Feedstock Conversion Rates'!B$7)/12</f>
        <v>2.2999999999999998</v>
      </c>
      <c r="S76" s="106">
        <f t="shared" si="27"/>
        <v>2.2999999999999998</v>
      </c>
      <c r="T76" s="107"/>
      <c r="U76" s="106"/>
      <c r="Z76" s="104">
        <f>('Renewable Diesel'!F85*'RD Feedstock Breakdown'!Z$3*'Feedstock Conversion Rates'!B$6)/12</f>
        <v>44.555000000000007</v>
      </c>
      <c r="AA76" s="104">
        <f>('Renewable Diesel'!F85*'RD Feedstock Breakdown'!AA$3*'Feedstock Conversion Rates'!B$7)/12</f>
        <v>29.133333333333329</v>
      </c>
      <c r="AB76" s="106">
        <f t="shared" si="25"/>
        <v>73.688333333333333</v>
      </c>
      <c r="AC76" s="108"/>
      <c r="AG76" s="108"/>
      <c r="AI76" s="104">
        <f>('Renewable Diesel'!H85*'RD Feedstock Breakdown'!AI$3*'Feedstock Conversion Rates'!B$6)/12</f>
        <v>39.083333333333336</v>
      </c>
      <c r="AJ76" s="106">
        <f t="shared" si="26"/>
        <v>39.083333333333336</v>
      </c>
      <c r="AK76" s="104">
        <f>('Renewable Diesel'!J85*'RD Feedstock Breakdown'!AK$3*'Feedstock Conversion Rates'!B$4)/12</f>
        <v>62.5</v>
      </c>
      <c r="AL76" s="106">
        <f t="shared" si="28"/>
        <v>62.5</v>
      </c>
      <c r="AT76" s="108"/>
      <c r="BX76" s="108"/>
      <c r="CI76" s="108"/>
      <c r="DD76" s="108"/>
      <c r="DJ76" s="108"/>
      <c r="DP76" s="104">
        <f t="shared" ref="DP76:DP139" si="30">E76+M76</f>
        <v>20.853333333333332</v>
      </c>
      <c r="DQ76" s="104">
        <f t="shared" ref="DQ76:DQ139" si="31">H76+P76+AZ76+BC76+BK76+BZ76+CL76+CP76+CV76+CX76+DA76+DK76</f>
        <v>40.904400000000003</v>
      </c>
      <c r="DR76" s="104">
        <f t="shared" si="13"/>
        <v>62.5</v>
      </c>
      <c r="DS76" s="108"/>
      <c r="DT76" s="104">
        <f t="shared" ref="DT76:DT139" si="32">V76+Z76+AE76+AI76+BD76+BL76+AN76+AQ76+CD76+CM76+CQ76+CY76+DB76+DL76</f>
        <v>83.63833333333335</v>
      </c>
      <c r="DU76" s="104">
        <f t="shared" ref="DU76:DU139" si="33">G76+O76+R76+AA76+AW76+BH76+BM76+BR76+BU76+BY76</f>
        <v>72.281333333333322</v>
      </c>
      <c r="DV76" s="104">
        <f t="shared" ref="DV76:DV139" si="34">F76+N76+W76+DM76</f>
        <v>12.5</v>
      </c>
      <c r="DW76" s="104">
        <f t="shared" ref="DW76:DW139" si="35">D76+L76</f>
        <v>0</v>
      </c>
      <c r="DX76" s="106">
        <f t="shared" ref="DX76:DX139" si="36">SUM(DP76:DW76)</f>
        <v>292.67740000000003</v>
      </c>
      <c r="DY76" s="109">
        <f t="shared" ref="DY76:DY139" si="37">I76+Q76+S76+X76+AB76+AF76+AJ76+AL76+AO76+AR76+AU76+AX76+BA76+BE76+BG76+BI76+BN76-DX76+BP76+BS76+BV76+CA76+CC76+CF76+CH76+CK76+CO76+CS76+CU76+CW76+CZ76+DN76+DG76+DI76</f>
        <v>0</v>
      </c>
      <c r="EA76" s="110">
        <f t="shared" si="21"/>
        <v>7.1250234330813816E-2</v>
      </c>
      <c r="EB76" s="110">
        <f t="shared" si="21"/>
        <v>0.13975933912218708</v>
      </c>
      <c r="EC76" s="110">
        <f t="shared" si="21"/>
        <v>0.21354569912128504</v>
      </c>
      <c r="ED76" s="108"/>
      <c r="EE76" s="110">
        <f t="shared" si="22"/>
        <v>0.28576970184009198</v>
      </c>
      <c r="EF76" s="110">
        <f t="shared" si="22"/>
        <v>0.24696588576136494</v>
      </c>
      <c r="EG76" s="110">
        <f t="shared" si="22"/>
        <v>4.270913982425701E-2</v>
      </c>
      <c r="EH76" s="111">
        <f t="shared" si="14"/>
        <v>0</v>
      </c>
      <c r="EI76" s="110">
        <f t="shared" si="15"/>
        <v>0.99999999999999989</v>
      </c>
      <c r="EK76" s="112">
        <f>EA76*'Renewable Diesel'!BF85*'Feedstock Conversion Rates'!B$2</f>
        <v>11.095852608138969</v>
      </c>
      <c r="EL76" s="112">
        <f>EB76*'Renewable Diesel'!BF85*'Feedstock Conversion Rates'!B$3</f>
        <v>20.510148785142476</v>
      </c>
      <c r="EM76" s="112">
        <f>EC76*'Renewable Diesel'!BF85*'Feedstock Conversion Rates'!B$4</f>
        <v>29.343205074084977</v>
      </c>
      <c r="EN76" s="108"/>
      <c r="EO76" s="112">
        <f>EE76*'Renewable Diesel'!BF85*'Feedstock Conversion Rates'!B$6</f>
        <v>49.110513653275483</v>
      </c>
      <c r="EP76" s="112">
        <f>EF76*'Renewable Diesel'!BF85*'Feedstock Conversion Rates'!B$7</f>
        <v>41.627492438741982</v>
      </c>
      <c r="EQ76" s="112">
        <f>EG76*'Renewable Diesel'!BF85*'Feedstock Conversion Rates'!B$8</f>
        <v>7.3358012685212444</v>
      </c>
      <c r="ER76" s="112">
        <f>EH76*'Renewable Diesel'!BF85*'Feedstock Conversion Rates'!B$9</f>
        <v>0</v>
      </c>
      <c r="ES76" s="112">
        <f t="shared" si="16"/>
        <v>159.02301382790515</v>
      </c>
      <c r="EW76" s="73">
        <f t="shared" si="17"/>
        <v>29.343205074084977</v>
      </c>
      <c r="EX76" s="73">
        <f t="shared" si="18"/>
        <v>129.67980875382017</v>
      </c>
      <c r="EY76" s="92">
        <f t="shared" ref="EY76:EZ135" si="38">EW76/$ES76</f>
        <v>0.18452175171224097</v>
      </c>
      <c r="EZ76" s="92">
        <f t="shared" si="38"/>
        <v>0.81547824828775906</v>
      </c>
      <c r="FE76" s="108"/>
      <c r="GD76" s="91">
        <f>'Renewable Diesel'!BB85*0</f>
        <v>0</v>
      </c>
      <c r="GE76" s="91">
        <f>'Renewable Diesel'!BC85</f>
        <v>0.21033099999999999</v>
      </c>
      <c r="GF76" s="91">
        <f>'Renewable Diesel'!BD85</f>
        <v>0</v>
      </c>
      <c r="GG76" s="91">
        <f t="shared" si="29"/>
        <v>0.1051655</v>
      </c>
      <c r="GH76" s="92">
        <v>0.5</v>
      </c>
      <c r="GI76" s="102">
        <f>$GG76*EA76*'Feedstock Conversion Rates'!$B$2</f>
        <v>6.3691065407396205E-2</v>
      </c>
      <c r="GJ76" s="102">
        <f>$GG76*EB76*'Feedstock Conversion Rates'!$B$3</f>
        <v>0.11772986483541945</v>
      </c>
      <c r="GK76" s="102">
        <f>$GG76*EC76*'Feedstock Conversion Rates'!$B$4</f>
        <v>0.16843230165704626</v>
      </c>
      <c r="GL76" s="102">
        <f>$GG76*ED76*'Feedstock Conversion Rates'!$B$5</f>
        <v>0</v>
      </c>
      <c r="GM76" s="102">
        <f>$GG76*EE76*'Feedstock Conversion Rates'!$B$5</f>
        <v>0.22690100752042464</v>
      </c>
      <c r="GN76" s="102">
        <f>$GG76*EF76*'Feedstock Conversion Rates'!$B$7</f>
        <v>0.23894507590313876</v>
      </c>
      <c r="GO76" s="102">
        <f>$GG76*EG76*'Feedstock Conversion Rates'!$B$7</f>
        <v>4.1322058006528682E-2</v>
      </c>
      <c r="GP76" s="102">
        <f>$GG76*EH76*'Feedstock Conversion Rates'!B73</f>
        <v>0</v>
      </c>
      <c r="GQ76" s="102">
        <f t="shared" si="19"/>
        <v>0.85702137332995387</v>
      </c>
      <c r="GT76" s="103">
        <f t="shared" si="24"/>
        <v>6.9799482214901051E-2</v>
      </c>
      <c r="GU76" s="103">
        <f t="shared" si="24"/>
        <v>0.12902097891093373</v>
      </c>
      <c r="GV76" s="103">
        <f t="shared" si="24"/>
        <v>0.18458613258745418</v>
      </c>
      <c r="GW76" s="103">
        <f t="shared" si="24"/>
        <v>0</v>
      </c>
      <c r="GX76" s="103">
        <f t="shared" si="24"/>
        <v>0.30859021640004469</v>
      </c>
      <c r="GY76" s="103">
        <f t="shared" si="24"/>
        <v>0.26186157303474056</v>
      </c>
      <c r="GZ76" s="103">
        <f t="shared" si="24"/>
        <v>4.6141616851925631E-2</v>
      </c>
      <c r="HA76" s="103">
        <f t="shared" si="23"/>
        <v>0</v>
      </c>
    </row>
    <row r="77" spans="1:209" x14ac:dyDescent="0.25">
      <c r="A77" s="96">
        <v>42767</v>
      </c>
      <c r="C77" s="105"/>
      <c r="D77" s="104">
        <v>0</v>
      </c>
      <c r="E77" s="104">
        <f>('Renewable Diesel'!B86*E$3*'Feedstock Conversion Rates'!$B$2)/12</f>
        <v>20.853333333333332</v>
      </c>
      <c r="F77" s="104">
        <f>('Renewable Diesel'!B86*'RD Feedstock Breakdown'!F$3*'Feedstock Conversion Rates'!B$8)/12</f>
        <v>12.5</v>
      </c>
      <c r="G77" s="104">
        <f>('Renewable Diesel'!B86*'RD Feedstock Breakdown'!G$3*'Feedstock Conversion Rates'!B$7)/12</f>
        <v>40.847999999999999</v>
      </c>
      <c r="H77" s="104">
        <f>('Renewable Diesel'!B86*'RD Feedstock Breakdown'!H$3*'Feedstock Conversion Rates'!B$3)/12</f>
        <v>40.904400000000003</v>
      </c>
      <c r="I77" s="106">
        <f t="shared" si="20"/>
        <v>115.10573333333335</v>
      </c>
      <c r="J77" s="106"/>
      <c r="K77" s="107"/>
      <c r="L77" s="106"/>
      <c r="R77" s="104">
        <f>('Renewable Diesel'!D86*'RD Feedstock Breakdown'!R$3*'Feedstock Conversion Rates'!B$7)/12</f>
        <v>2.2999999999999998</v>
      </c>
      <c r="S77" s="106">
        <f t="shared" si="27"/>
        <v>2.2999999999999998</v>
      </c>
      <c r="T77" s="107"/>
      <c r="U77" s="106"/>
      <c r="Z77" s="104">
        <f>('Renewable Diesel'!F86*'RD Feedstock Breakdown'!Z$3*'Feedstock Conversion Rates'!B$6)/12</f>
        <v>44.555000000000007</v>
      </c>
      <c r="AA77" s="104">
        <f>('Renewable Diesel'!F86*'RD Feedstock Breakdown'!AA$3*'Feedstock Conversion Rates'!B$7)/12</f>
        <v>29.133333333333329</v>
      </c>
      <c r="AB77" s="106">
        <f t="shared" si="25"/>
        <v>73.688333333333333</v>
      </c>
      <c r="AC77" s="108"/>
      <c r="AG77" s="108"/>
      <c r="AI77" s="104">
        <f>('Renewable Diesel'!H86*'RD Feedstock Breakdown'!AI$3*'Feedstock Conversion Rates'!B$6)/12</f>
        <v>39.083333333333336</v>
      </c>
      <c r="AJ77" s="106">
        <f t="shared" si="26"/>
        <v>39.083333333333336</v>
      </c>
      <c r="AK77" s="104">
        <f>('Renewable Diesel'!J86*'RD Feedstock Breakdown'!AK$3*'Feedstock Conversion Rates'!B$4)/12</f>
        <v>62.5</v>
      </c>
      <c r="AL77" s="106">
        <f t="shared" si="28"/>
        <v>62.5</v>
      </c>
      <c r="AT77" s="108"/>
      <c r="BX77" s="108"/>
      <c r="CI77" s="108"/>
      <c r="DD77" s="108"/>
      <c r="DJ77" s="108"/>
      <c r="DP77" s="104">
        <f t="shared" si="30"/>
        <v>20.853333333333332</v>
      </c>
      <c r="DQ77" s="104">
        <f t="shared" si="31"/>
        <v>40.904400000000003</v>
      </c>
      <c r="DR77" s="104">
        <f t="shared" ref="DR77:DR140" si="39">AD77+AK77+AM77+AP77+AV77+AY77+BB77+BF77+BJ77+Y77+B77+BO77+BQ77+BW77+CB77+CE77+CG77+CJ77+BT77+CN77+CR77+CT77+DF77+DH77+AS77+J77+U77+AH77</f>
        <v>62.5</v>
      </c>
      <c r="DS77" s="108"/>
      <c r="DT77" s="104">
        <f t="shared" si="32"/>
        <v>83.63833333333335</v>
      </c>
      <c r="DU77" s="104">
        <f t="shared" si="33"/>
        <v>72.281333333333322</v>
      </c>
      <c r="DV77" s="104">
        <f t="shared" si="34"/>
        <v>12.5</v>
      </c>
      <c r="DW77" s="104">
        <f t="shared" si="35"/>
        <v>0</v>
      </c>
      <c r="DX77" s="106">
        <f t="shared" si="36"/>
        <v>292.67740000000003</v>
      </c>
      <c r="DY77" s="109">
        <f t="shared" si="37"/>
        <v>0</v>
      </c>
      <c r="EA77" s="110">
        <f t="shared" si="21"/>
        <v>7.1250234330813816E-2</v>
      </c>
      <c r="EB77" s="110">
        <f t="shared" si="21"/>
        <v>0.13975933912218708</v>
      </c>
      <c r="EC77" s="110">
        <f t="shared" si="21"/>
        <v>0.21354569912128504</v>
      </c>
      <c r="ED77" s="108"/>
      <c r="EE77" s="110">
        <f t="shared" si="22"/>
        <v>0.28576970184009198</v>
      </c>
      <c r="EF77" s="110">
        <f t="shared" si="22"/>
        <v>0.24696588576136494</v>
      </c>
      <c r="EG77" s="110">
        <f t="shared" si="22"/>
        <v>4.270913982425701E-2</v>
      </c>
      <c r="EH77" s="111">
        <f t="shared" ref="EH77:EH140" si="40">DW77/DX77</f>
        <v>0</v>
      </c>
      <c r="EI77" s="110">
        <f t="shared" ref="EI77:EI140" si="41">SUM(EA77:EG77)</f>
        <v>0.99999999999999989</v>
      </c>
      <c r="EK77" s="112">
        <f>EA77*'Renewable Diesel'!BF86*'Feedstock Conversion Rates'!B$2</f>
        <v>12.642915857436659</v>
      </c>
      <c r="EL77" s="112">
        <f>EB77*'Renewable Diesel'!BF86*'Feedstock Conversion Rates'!B$3</f>
        <v>23.369820641259857</v>
      </c>
      <c r="EM77" s="112">
        <f>EC77*'Renewable Diesel'!BF86*'Feedstock Conversion Rates'!B$4</f>
        <v>33.434444908455518</v>
      </c>
      <c r="EN77" s="108"/>
      <c r="EO77" s="112">
        <f>EE77*'Renewable Diesel'!BF86*'Feedstock Conversion Rates'!B$6</f>
        <v>55.957853241346854</v>
      </c>
      <c r="EP77" s="112">
        <f>EF77*'Renewable Diesel'!BF86*'Feedstock Conversion Rates'!B$7</f>
        <v>47.431495608823447</v>
      </c>
      <c r="EQ77" s="112">
        <f>EG77*'Renewable Diesel'!BF86*'Feedstock Conversion Rates'!B$8</f>
        <v>8.3586112271138795</v>
      </c>
      <c r="ER77" s="112">
        <f>EH77*'Renewable Diesel'!BF86*'Feedstock Conversion Rates'!B$9</f>
        <v>0</v>
      </c>
      <c r="ES77" s="112">
        <f t="shared" ref="ES77:ES140" si="42">SUM(EK77:ER77)</f>
        <v>181.19514148443619</v>
      </c>
      <c r="EW77" s="73">
        <f t="shared" ref="EW77:EW99" si="43">EN77+EM77</f>
        <v>33.434444908455518</v>
      </c>
      <c r="EX77" s="73">
        <f t="shared" ref="EX77:EX99" si="44">EQ77+EO77+EL77+EK77+ER77+EP77</f>
        <v>147.76069657598069</v>
      </c>
      <c r="EY77" s="92">
        <f t="shared" si="38"/>
        <v>0.18452175171224103</v>
      </c>
      <c r="EZ77" s="92">
        <f t="shared" si="38"/>
        <v>0.81547824828775906</v>
      </c>
      <c r="FE77" s="108"/>
      <c r="GD77" s="91">
        <f>'Renewable Diesel'!BB86*0</f>
        <v>0</v>
      </c>
      <c r="GE77" s="91">
        <f>'Renewable Diesel'!BC86</f>
        <v>0.19062200000000001</v>
      </c>
      <c r="GF77" s="91">
        <f>'Renewable Diesel'!BD86</f>
        <v>0</v>
      </c>
      <c r="GG77" s="91">
        <f t="shared" si="29"/>
        <v>9.5311000000000007E-2</v>
      </c>
      <c r="GH77" s="92">
        <v>0.5</v>
      </c>
      <c r="GI77" s="102">
        <f>$GG77*EA77*'Feedstock Conversion Rates'!$B$2</f>
        <v>5.7722914216585673E-2</v>
      </c>
      <c r="GJ77" s="102">
        <f>$GG77*EB77*'Feedstock Conversion Rates'!$B$3</f>
        <v>0.10669802499230893</v>
      </c>
      <c r="GK77" s="102">
        <f>$GG77*EC77*'Feedstock Conversion Rates'!$B$4</f>
        <v>0.15264940596711601</v>
      </c>
      <c r="GL77" s="102">
        <f>$GG77*ED77*'Feedstock Conversion Rates'!$B$5</f>
        <v>0</v>
      </c>
      <c r="GM77" s="102">
        <f>$GG77*EE77*'Feedstock Conversion Rates'!$B$5</f>
        <v>0.2056393201932116</v>
      </c>
      <c r="GN77" s="102">
        <f>$GG77*EF77*'Feedstock Conversion Rates'!$B$7</f>
        <v>0.21655480294777338</v>
      </c>
      <c r="GO77" s="102">
        <f>$GG77*EG77*'Feedstock Conversion Rates'!$B$7</f>
        <v>3.7449987597265789E-2</v>
      </c>
      <c r="GP77" s="102">
        <f>$GG77*EH77*'Feedstock Conversion Rates'!B74</f>
        <v>0</v>
      </c>
      <c r="GQ77" s="102">
        <f t="shared" ref="GQ77:GQ140" si="45">SUM(GI77:GP77)</f>
        <v>0.77671445591426147</v>
      </c>
      <c r="GT77" s="103">
        <f t="shared" si="24"/>
        <v>6.9794522378320178E-2</v>
      </c>
      <c r="GU77" s="103">
        <f t="shared" si="24"/>
        <v>0.12901181089205169</v>
      </c>
      <c r="GV77" s="103">
        <f t="shared" si="24"/>
        <v>0.18457301620000147</v>
      </c>
      <c r="GW77" s="103">
        <f t="shared" si="24"/>
        <v>0</v>
      </c>
      <c r="GX77" s="103">
        <f t="shared" si="24"/>
        <v>0.3086383455909259</v>
      </c>
      <c r="GY77" s="103">
        <f t="shared" si="24"/>
        <v>0.26184296558139208</v>
      </c>
      <c r="GZ77" s="103">
        <f t="shared" si="24"/>
        <v>4.613933935730883E-2</v>
      </c>
      <c r="HA77" s="103">
        <f t="shared" si="23"/>
        <v>0</v>
      </c>
    </row>
    <row r="78" spans="1:209" x14ac:dyDescent="0.25">
      <c r="A78" s="96">
        <v>42795</v>
      </c>
      <c r="C78" s="105"/>
      <c r="D78" s="104">
        <v>0</v>
      </c>
      <c r="E78" s="104">
        <f>('Renewable Diesel'!B87*E$3*'Feedstock Conversion Rates'!$B$2)/12</f>
        <v>20.853333333333332</v>
      </c>
      <c r="F78" s="104">
        <f>('Renewable Diesel'!B87*'RD Feedstock Breakdown'!F$3*'Feedstock Conversion Rates'!B$8)/12</f>
        <v>12.5</v>
      </c>
      <c r="G78" s="104">
        <f>('Renewable Diesel'!B87*'RD Feedstock Breakdown'!G$3*'Feedstock Conversion Rates'!B$7)/12</f>
        <v>40.847999999999999</v>
      </c>
      <c r="H78" s="104">
        <f>('Renewable Diesel'!B87*'RD Feedstock Breakdown'!H$3*'Feedstock Conversion Rates'!B$3)/12</f>
        <v>40.904400000000003</v>
      </c>
      <c r="I78" s="106">
        <f t="shared" si="20"/>
        <v>115.10573333333335</v>
      </c>
      <c r="J78" s="106"/>
      <c r="K78" s="107"/>
      <c r="L78" s="106"/>
      <c r="R78" s="104">
        <f>('Renewable Diesel'!D87*'RD Feedstock Breakdown'!R$3*'Feedstock Conversion Rates'!B$7)/12</f>
        <v>2.2999999999999998</v>
      </c>
      <c r="S78" s="106">
        <f t="shared" si="27"/>
        <v>2.2999999999999998</v>
      </c>
      <c r="T78" s="107"/>
      <c r="U78" s="106"/>
      <c r="Z78" s="104">
        <f>('Renewable Diesel'!F87*'RD Feedstock Breakdown'!Z$3*'Feedstock Conversion Rates'!B$6)/12</f>
        <v>44.555000000000007</v>
      </c>
      <c r="AA78" s="104">
        <f>('Renewable Diesel'!F87*'RD Feedstock Breakdown'!AA$3*'Feedstock Conversion Rates'!B$7)/12</f>
        <v>29.133333333333329</v>
      </c>
      <c r="AB78" s="106">
        <f t="shared" si="25"/>
        <v>73.688333333333333</v>
      </c>
      <c r="AC78" s="108"/>
      <c r="AG78" s="108"/>
      <c r="AI78" s="104">
        <f>('Renewable Diesel'!H87*'RD Feedstock Breakdown'!AI$3*'Feedstock Conversion Rates'!B$6)/12</f>
        <v>39.083333333333336</v>
      </c>
      <c r="AJ78" s="106">
        <f t="shared" si="26"/>
        <v>39.083333333333336</v>
      </c>
      <c r="AK78" s="104">
        <f>('Renewable Diesel'!J87*'RD Feedstock Breakdown'!AK$3*'Feedstock Conversion Rates'!B$4)/12</f>
        <v>62.5</v>
      </c>
      <c r="AL78" s="106">
        <f t="shared" si="28"/>
        <v>62.5</v>
      </c>
      <c r="AT78" s="108"/>
      <c r="BX78" s="108"/>
      <c r="CI78" s="108"/>
      <c r="DD78" s="108"/>
      <c r="DJ78" s="108"/>
      <c r="DP78" s="104">
        <f t="shared" si="30"/>
        <v>20.853333333333332</v>
      </c>
      <c r="DQ78" s="104">
        <f t="shared" si="31"/>
        <v>40.904400000000003</v>
      </c>
      <c r="DR78" s="104">
        <f t="shared" si="39"/>
        <v>62.5</v>
      </c>
      <c r="DS78" s="108"/>
      <c r="DT78" s="104">
        <f t="shared" si="32"/>
        <v>83.63833333333335</v>
      </c>
      <c r="DU78" s="104">
        <f t="shared" si="33"/>
        <v>72.281333333333322</v>
      </c>
      <c r="DV78" s="104">
        <f t="shared" si="34"/>
        <v>12.5</v>
      </c>
      <c r="DW78" s="104">
        <f t="shared" si="35"/>
        <v>0</v>
      </c>
      <c r="DX78" s="106">
        <f t="shared" si="36"/>
        <v>292.67740000000003</v>
      </c>
      <c r="DY78" s="109">
        <f t="shared" si="37"/>
        <v>0</v>
      </c>
      <c r="EA78" s="110">
        <f t="shared" si="21"/>
        <v>7.1250234330813816E-2</v>
      </c>
      <c r="EB78" s="110">
        <f t="shared" si="21"/>
        <v>0.13975933912218708</v>
      </c>
      <c r="EC78" s="110">
        <f t="shared" si="21"/>
        <v>0.21354569912128504</v>
      </c>
      <c r="ED78" s="108"/>
      <c r="EE78" s="110">
        <f t="shared" si="22"/>
        <v>0.28576970184009198</v>
      </c>
      <c r="EF78" s="110">
        <f t="shared" si="22"/>
        <v>0.24696588576136494</v>
      </c>
      <c r="EG78" s="110">
        <f t="shared" si="22"/>
        <v>4.270913982425701E-2</v>
      </c>
      <c r="EH78" s="111">
        <f t="shared" si="40"/>
        <v>0</v>
      </c>
      <c r="EI78" s="110">
        <f t="shared" si="41"/>
        <v>0.99999999999999989</v>
      </c>
      <c r="EK78" s="112">
        <f>EA78*'Renewable Diesel'!BF87*'Feedstock Conversion Rates'!B$2</f>
        <v>9.437768846837276</v>
      </c>
      <c r="EL78" s="112">
        <f>EB78*'Renewable Diesel'!BF87*'Feedstock Conversion Rates'!B$3</f>
        <v>17.445260863183119</v>
      </c>
      <c r="EM78" s="112">
        <f>EC78*'Renewable Diesel'!BF87*'Feedstock Conversion Rates'!B$4</f>
        <v>24.9583692659563</v>
      </c>
      <c r="EN78" s="108"/>
      <c r="EO78" s="112">
        <f>EE78*'Renewable Diesel'!BF87*'Feedstock Conversion Rates'!B$6</f>
        <v>41.771794577469485</v>
      </c>
      <c r="EP78" s="112">
        <f>EF78*'Renewable Diesel'!BF87*'Feedstock Conversion Rates'!B$7</f>
        <v>35.406981796255749</v>
      </c>
      <c r="EQ78" s="112">
        <f>EG78*'Renewable Diesel'!BF87*'Feedstock Conversion Rates'!B$8</f>
        <v>6.2395923164890759</v>
      </c>
      <c r="ER78" s="112">
        <f>EH78*'Renewable Diesel'!BF87*'Feedstock Conversion Rates'!B$9</f>
        <v>0</v>
      </c>
      <c r="ES78" s="112">
        <f t="shared" si="42"/>
        <v>135.25976766619101</v>
      </c>
      <c r="EW78" s="73">
        <f t="shared" si="43"/>
        <v>24.9583692659563</v>
      </c>
      <c r="EX78" s="73">
        <f t="shared" si="44"/>
        <v>110.3013984002347</v>
      </c>
      <c r="EY78" s="92">
        <f t="shared" si="38"/>
        <v>0.184521751712241</v>
      </c>
      <c r="EZ78" s="92">
        <f t="shared" si="38"/>
        <v>0.81547824828775894</v>
      </c>
      <c r="FE78" s="108"/>
      <c r="GD78" s="91">
        <f>'Renewable Diesel'!BB87*0</f>
        <v>0</v>
      </c>
      <c r="GE78" s="91">
        <f>'Renewable Diesel'!BC87</f>
        <v>0.18482499999999999</v>
      </c>
      <c r="GF78" s="91">
        <f>'Renewable Diesel'!BD87</f>
        <v>0</v>
      </c>
      <c r="GG78" s="91">
        <f t="shared" si="29"/>
        <v>9.2412499999999995E-2</v>
      </c>
      <c r="GH78" s="92">
        <v>0.5</v>
      </c>
      <c r="GI78" s="102">
        <f>$GG78*EA78*'Feedstock Conversion Rates'!$B$2</f>
        <v>5.5967504380818815E-2</v>
      </c>
      <c r="GJ78" s="102">
        <f>$GG78*EB78*'Feedstock Conversion Rates'!$B$3</f>
        <v>0.10345323451229918</v>
      </c>
      <c r="GK78" s="102">
        <f>$GG78*EC78*'Feedstock Conversion Rates'!$B$4</f>
        <v>0.14800718940034313</v>
      </c>
      <c r="GL78" s="102">
        <f>$GG78*ED78*'Feedstock Conversion Rates'!$B$5</f>
        <v>0</v>
      </c>
      <c r="GM78" s="102">
        <f>$GG78*EE78*'Feedstock Conversion Rates'!$B$5</f>
        <v>0.19938562891329611</v>
      </c>
      <c r="GN78" s="102">
        <f>$GG78*EF78*'Feedstock Conversion Rates'!$B$7</f>
        <v>0.20996916124488363</v>
      </c>
      <c r="GO78" s="102">
        <f>$GG78*EG78*'Feedstock Conversion Rates'!$B$7</f>
        <v>3.6311097132884183E-2</v>
      </c>
      <c r="GP78" s="102">
        <f>$GG78*EH78*'Feedstock Conversion Rates'!B75</f>
        <v>0</v>
      </c>
      <c r="GQ78" s="102">
        <f t="shared" si="45"/>
        <v>0.75309381558452504</v>
      </c>
      <c r="GT78" s="103">
        <f t="shared" si="24"/>
        <v>6.9800283942192981E-2</v>
      </c>
      <c r="GU78" s="103">
        <f t="shared" si="24"/>
        <v>0.12902246086519387</v>
      </c>
      <c r="GV78" s="103">
        <f t="shared" si="24"/>
        <v>0.18458825277137975</v>
      </c>
      <c r="GW78" s="103">
        <f t="shared" si="24"/>
        <v>0</v>
      </c>
      <c r="GX78" s="103">
        <f t="shared" si="24"/>
        <v>0.30858243661027995</v>
      </c>
      <c r="GY78" s="103">
        <f t="shared" si="24"/>
        <v>0.26186458081593245</v>
      </c>
      <c r="GZ78" s="103">
        <f t="shared" si="24"/>
        <v>4.6141984995021028E-2</v>
      </c>
      <c r="HA78" s="103">
        <f t="shared" si="23"/>
        <v>0</v>
      </c>
    </row>
    <row r="79" spans="1:209" x14ac:dyDescent="0.25">
      <c r="A79" s="96">
        <v>42826</v>
      </c>
      <c r="C79" s="105"/>
      <c r="D79" s="104">
        <v>0</v>
      </c>
      <c r="E79" s="104">
        <f>('Renewable Diesel'!B88*E$3*'Feedstock Conversion Rates'!$B$2)/12</f>
        <v>20.853333333333332</v>
      </c>
      <c r="F79" s="104">
        <f>('Renewable Diesel'!B88*'RD Feedstock Breakdown'!F$3*'Feedstock Conversion Rates'!B$8)/12</f>
        <v>12.5</v>
      </c>
      <c r="G79" s="104">
        <f>('Renewable Diesel'!B88*'RD Feedstock Breakdown'!G$3*'Feedstock Conversion Rates'!B$7)/12</f>
        <v>40.847999999999999</v>
      </c>
      <c r="H79" s="104">
        <f>('Renewable Diesel'!B88*'RD Feedstock Breakdown'!H$3*'Feedstock Conversion Rates'!B$3)/12</f>
        <v>40.904400000000003</v>
      </c>
      <c r="I79" s="106">
        <f t="shared" si="20"/>
        <v>115.10573333333335</v>
      </c>
      <c r="J79" s="106"/>
      <c r="K79" s="107"/>
      <c r="L79" s="106"/>
      <c r="R79" s="104">
        <f>('Renewable Diesel'!D88*'RD Feedstock Breakdown'!R$3*'Feedstock Conversion Rates'!B$7)/12</f>
        <v>2.2999999999999998</v>
      </c>
      <c r="S79" s="106">
        <f t="shared" si="27"/>
        <v>2.2999999999999998</v>
      </c>
      <c r="T79" s="107"/>
      <c r="U79" s="106"/>
      <c r="Z79" s="104">
        <f>('Renewable Diesel'!F88*'RD Feedstock Breakdown'!Z$3*'Feedstock Conversion Rates'!B$6)/12</f>
        <v>44.555000000000007</v>
      </c>
      <c r="AA79" s="104">
        <f>('Renewable Diesel'!F88*'RD Feedstock Breakdown'!AA$3*'Feedstock Conversion Rates'!B$7)/12</f>
        <v>29.133333333333329</v>
      </c>
      <c r="AB79" s="106">
        <f t="shared" si="25"/>
        <v>73.688333333333333</v>
      </c>
      <c r="AC79" s="108"/>
      <c r="AG79" s="108"/>
      <c r="AI79" s="104">
        <f>('Renewable Diesel'!H88*'RD Feedstock Breakdown'!AI$3*'Feedstock Conversion Rates'!B$6)/12</f>
        <v>39.083333333333336</v>
      </c>
      <c r="AJ79" s="106">
        <f t="shared" si="26"/>
        <v>39.083333333333336</v>
      </c>
      <c r="AK79" s="104">
        <f>('Renewable Diesel'!J88*'RD Feedstock Breakdown'!AK$3*'Feedstock Conversion Rates'!B$4)/12</f>
        <v>62.5</v>
      </c>
      <c r="AL79" s="106">
        <f t="shared" si="28"/>
        <v>62.5</v>
      </c>
      <c r="AT79" s="108"/>
      <c r="BX79" s="108"/>
      <c r="CI79" s="108"/>
      <c r="DD79" s="108"/>
      <c r="DJ79" s="108"/>
      <c r="DP79" s="104">
        <f t="shared" si="30"/>
        <v>20.853333333333332</v>
      </c>
      <c r="DQ79" s="104">
        <f t="shared" si="31"/>
        <v>40.904400000000003</v>
      </c>
      <c r="DR79" s="104">
        <f t="shared" si="39"/>
        <v>62.5</v>
      </c>
      <c r="DS79" s="108"/>
      <c r="DT79" s="104">
        <f t="shared" si="32"/>
        <v>83.63833333333335</v>
      </c>
      <c r="DU79" s="104">
        <f t="shared" si="33"/>
        <v>72.281333333333322</v>
      </c>
      <c r="DV79" s="104">
        <f t="shared" si="34"/>
        <v>12.5</v>
      </c>
      <c r="DW79" s="104">
        <f t="shared" si="35"/>
        <v>0</v>
      </c>
      <c r="DX79" s="106">
        <f t="shared" si="36"/>
        <v>292.67740000000003</v>
      </c>
      <c r="DY79" s="109">
        <f t="shared" si="37"/>
        <v>0</v>
      </c>
      <c r="EA79" s="110">
        <f t="shared" si="21"/>
        <v>7.1250234330813816E-2</v>
      </c>
      <c r="EB79" s="110">
        <f t="shared" si="21"/>
        <v>0.13975933912218708</v>
      </c>
      <c r="EC79" s="110">
        <f t="shared" si="21"/>
        <v>0.21354569912128504</v>
      </c>
      <c r="ED79" s="108"/>
      <c r="EE79" s="110">
        <f t="shared" si="22"/>
        <v>0.28576970184009198</v>
      </c>
      <c r="EF79" s="110">
        <f t="shared" si="22"/>
        <v>0.24696588576136494</v>
      </c>
      <c r="EG79" s="110">
        <f t="shared" si="22"/>
        <v>4.270913982425701E-2</v>
      </c>
      <c r="EH79" s="111">
        <f t="shared" si="40"/>
        <v>0</v>
      </c>
      <c r="EI79" s="110">
        <f t="shared" si="41"/>
        <v>0.99999999999999989</v>
      </c>
      <c r="EK79" s="112">
        <f>EA79*'Renewable Diesel'!BF88*'Feedstock Conversion Rates'!B$2</f>
        <v>12.15380604820643</v>
      </c>
      <c r="EL79" s="112">
        <f>EB79*'Renewable Diesel'!BF88*'Feedstock Conversion Rates'!B$3</f>
        <v>22.465724731385723</v>
      </c>
      <c r="EM79" s="112">
        <f>EC79*'Renewable Diesel'!BF88*'Feedstock Conversion Rates'!B$4</f>
        <v>32.140984194543208</v>
      </c>
      <c r="EN79" s="108"/>
      <c r="EO79" s="112">
        <f>EE79*'Renewable Diesel'!BF88*'Feedstock Conversion Rates'!B$6</f>
        <v>53.793041323555798</v>
      </c>
      <c r="EP79" s="112">
        <f>EF79*'Renewable Diesel'!BF88*'Feedstock Conversion Rates'!B$7</f>
        <v>45.596538386112023</v>
      </c>
      <c r="EQ79" s="112">
        <f>EG79*'Renewable Diesel'!BF88*'Feedstock Conversion Rates'!B$8</f>
        <v>8.0352460486358002</v>
      </c>
      <c r="ER79" s="112">
        <f>EH79*'Renewable Diesel'!BF88*'Feedstock Conversion Rates'!B$9</f>
        <v>0</v>
      </c>
      <c r="ES79" s="112">
        <f t="shared" si="42"/>
        <v>174.18534073243899</v>
      </c>
      <c r="EW79" s="73">
        <f t="shared" si="43"/>
        <v>32.140984194543208</v>
      </c>
      <c r="EX79" s="73">
        <f t="shared" si="44"/>
        <v>142.04435653789577</v>
      </c>
      <c r="EY79" s="92">
        <f t="shared" si="38"/>
        <v>0.184521751712241</v>
      </c>
      <c r="EZ79" s="92">
        <f t="shared" si="38"/>
        <v>0.81547824828775894</v>
      </c>
      <c r="FE79" s="108"/>
      <c r="FO79" t="s">
        <v>181</v>
      </c>
      <c r="GD79" s="91">
        <f>'Renewable Diesel'!BB88*0</f>
        <v>0</v>
      </c>
      <c r="GE79" s="91">
        <f>'Renewable Diesel'!BC88</f>
        <v>0</v>
      </c>
      <c r="GF79" s="91">
        <f>'Renewable Diesel'!BD88</f>
        <v>0</v>
      </c>
      <c r="GG79" s="91">
        <f t="shared" si="29"/>
        <v>0</v>
      </c>
      <c r="GH79" s="92">
        <v>0.5</v>
      </c>
      <c r="GI79" s="102">
        <f>$GG79*EA79*'Feedstock Conversion Rates'!$B$2</f>
        <v>0</v>
      </c>
      <c r="GJ79" s="102">
        <f>$GG79*EB79*'Feedstock Conversion Rates'!$B$3</f>
        <v>0</v>
      </c>
      <c r="GK79" s="102">
        <f>$GG79*EC79*'Feedstock Conversion Rates'!$B$4</f>
        <v>0</v>
      </c>
      <c r="GL79" s="102">
        <f>$GG79*ED79*'Feedstock Conversion Rates'!$B$5</f>
        <v>0</v>
      </c>
      <c r="GM79" s="102">
        <f>$GG79*EE79*'Feedstock Conversion Rates'!$B$5</f>
        <v>0</v>
      </c>
      <c r="GN79" s="102">
        <f>$GG79*EF79*'Feedstock Conversion Rates'!$B$7</f>
        <v>0</v>
      </c>
      <c r="GO79" s="102">
        <f>$GG79*EG79*'Feedstock Conversion Rates'!$B$7</f>
        <v>0</v>
      </c>
      <c r="GP79" s="102">
        <f>$GG79*EH79*'Feedstock Conversion Rates'!B76</f>
        <v>0</v>
      </c>
      <c r="GQ79" s="102">
        <f t="shared" si="45"/>
        <v>0</v>
      </c>
      <c r="GT79" s="103">
        <f t="shared" si="24"/>
        <v>6.9775137202134227E-2</v>
      </c>
      <c r="GU79" s="103">
        <f t="shared" si="24"/>
        <v>0.12897597832813421</v>
      </c>
      <c r="GV79" s="103">
        <f t="shared" si="24"/>
        <v>0.184521751712241</v>
      </c>
      <c r="GW79" s="103">
        <f t="shared" si="24"/>
        <v>0</v>
      </c>
      <c r="GX79" s="103">
        <f t="shared" si="24"/>
        <v>0.30882645518480062</v>
      </c>
      <c r="GY79" s="103">
        <f t="shared" si="24"/>
        <v>0.26177023964462964</v>
      </c>
      <c r="GZ79" s="103">
        <f t="shared" si="24"/>
        <v>4.6130437928060243E-2</v>
      </c>
      <c r="HA79" s="103">
        <f t="shared" si="23"/>
        <v>0</v>
      </c>
    </row>
    <row r="80" spans="1:209" x14ac:dyDescent="0.25">
      <c r="A80" s="96">
        <v>42856</v>
      </c>
      <c r="C80" s="105"/>
      <c r="D80" s="104">
        <v>0</v>
      </c>
      <c r="E80" s="104">
        <f>('Renewable Diesel'!B89*E$3*'Feedstock Conversion Rates'!$B$2)/12</f>
        <v>20.853333333333332</v>
      </c>
      <c r="F80" s="104">
        <f>('Renewable Diesel'!B89*'RD Feedstock Breakdown'!F$3*'Feedstock Conversion Rates'!B$8)/12</f>
        <v>12.5</v>
      </c>
      <c r="G80" s="104">
        <f>('Renewable Diesel'!B89*'RD Feedstock Breakdown'!G$3*'Feedstock Conversion Rates'!B$7)/12</f>
        <v>40.847999999999999</v>
      </c>
      <c r="H80" s="104">
        <f>('Renewable Diesel'!B89*'RD Feedstock Breakdown'!H$3*'Feedstock Conversion Rates'!B$3)/12</f>
        <v>40.904400000000003</v>
      </c>
      <c r="I80" s="106">
        <f t="shared" si="20"/>
        <v>115.10573333333335</v>
      </c>
      <c r="J80" s="106"/>
      <c r="K80" s="107"/>
      <c r="L80" s="106"/>
      <c r="R80" s="104">
        <f>('Renewable Diesel'!D89*'RD Feedstock Breakdown'!R$3*'Feedstock Conversion Rates'!B$7)/12</f>
        <v>2.2999999999999998</v>
      </c>
      <c r="S80" s="106">
        <f t="shared" si="27"/>
        <v>2.2999999999999998</v>
      </c>
      <c r="T80" s="107"/>
      <c r="U80" s="106"/>
      <c r="Z80" s="104">
        <f>('Renewable Diesel'!F89*'RD Feedstock Breakdown'!Z$3*'Feedstock Conversion Rates'!B$6)/12</f>
        <v>44.555000000000007</v>
      </c>
      <c r="AA80" s="104">
        <f>('Renewable Diesel'!F89*'RD Feedstock Breakdown'!AA$3*'Feedstock Conversion Rates'!B$7)/12</f>
        <v>29.133333333333329</v>
      </c>
      <c r="AB80" s="106">
        <f t="shared" si="25"/>
        <v>73.688333333333333</v>
      </c>
      <c r="AC80" s="108"/>
      <c r="AG80" s="108"/>
      <c r="AI80" s="104">
        <f>('Renewable Diesel'!H89*'RD Feedstock Breakdown'!AI$3*'Feedstock Conversion Rates'!B$6)/12</f>
        <v>39.083333333333336</v>
      </c>
      <c r="AJ80" s="106">
        <f t="shared" si="26"/>
        <v>39.083333333333336</v>
      </c>
      <c r="AK80" s="104">
        <f>('Renewable Diesel'!J89*'RD Feedstock Breakdown'!AK$3*'Feedstock Conversion Rates'!B$4)/12</f>
        <v>62.5</v>
      </c>
      <c r="AL80" s="106">
        <f t="shared" si="28"/>
        <v>62.5</v>
      </c>
      <c r="AT80" s="108"/>
      <c r="BX80" s="108"/>
      <c r="CI80" s="108"/>
      <c r="DD80" s="108"/>
      <c r="DJ80" s="108"/>
      <c r="DP80" s="104">
        <f t="shared" si="30"/>
        <v>20.853333333333332</v>
      </c>
      <c r="DQ80" s="104">
        <f t="shared" si="31"/>
        <v>40.904400000000003</v>
      </c>
      <c r="DR80" s="104">
        <f t="shared" si="39"/>
        <v>62.5</v>
      </c>
      <c r="DS80" s="108"/>
      <c r="DT80" s="104">
        <f t="shared" si="32"/>
        <v>83.63833333333335</v>
      </c>
      <c r="DU80" s="104">
        <f t="shared" si="33"/>
        <v>72.281333333333322</v>
      </c>
      <c r="DV80" s="104">
        <f t="shared" si="34"/>
        <v>12.5</v>
      </c>
      <c r="DW80" s="104">
        <f t="shared" si="35"/>
        <v>0</v>
      </c>
      <c r="DX80" s="106">
        <f t="shared" si="36"/>
        <v>292.67740000000003</v>
      </c>
      <c r="DY80" s="109">
        <f t="shared" si="37"/>
        <v>0</v>
      </c>
      <c r="EA80" s="110">
        <f t="shared" si="21"/>
        <v>7.1250234330813816E-2</v>
      </c>
      <c r="EB80" s="110">
        <f t="shared" si="21"/>
        <v>0.13975933912218708</v>
      </c>
      <c r="EC80" s="110">
        <f t="shared" si="21"/>
        <v>0.21354569912128504</v>
      </c>
      <c r="ED80" s="108"/>
      <c r="EE80" s="110">
        <f t="shared" si="22"/>
        <v>0.28576970184009198</v>
      </c>
      <c r="EF80" s="110">
        <f t="shared" si="22"/>
        <v>0.24696588576136494</v>
      </c>
      <c r="EG80" s="110">
        <f t="shared" si="22"/>
        <v>4.270913982425701E-2</v>
      </c>
      <c r="EH80" s="111">
        <f t="shared" si="40"/>
        <v>0</v>
      </c>
      <c r="EI80" s="110">
        <f t="shared" si="41"/>
        <v>0.99999999999999989</v>
      </c>
      <c r="EK80" s="112">
        <f>EA80*'Renewable Diesel'!BF89*'Feedstock Conversion Rates'!B$2</f>
        <v>14.631883320087802</v>
      </c>
      <c r="EL80" s="112">
        <f>EB80*'Renewable Diesel'!BF89*'Feedstock Conversion Rates'!B$3</f>
        <v>27.046331138331457</v>
      </c>
      <c r="EM80" s="112">
        <f>EC80*'Renewable Diesel'!BF89*'Feedstock Conversion Rates'!B$4</f>
        <v>38.694309310353304</v>
      </c>
      <c r="EN80" s="108"/>
      <c r="EO80" s="112">
        <f>EE80*'Renewable Diesel'!BF89*'Feedstock Conversion Rates'!B$6</f>
        <v>64.761071631144176</v>
      </c>
      <c r="EP80" s="112">
        <f>EF80*'Renewable Diesel'!BF89*'Feedstock Conversion Rates'!B$7</f>
        <v>54.893358246732163</v>
      </c>
      <c r="EQ80" s="112">
        <f>EG80*'Renewable Diesel'!BF89*'Feedstock Conversion Rates'!B$8</f>
        <v>9.6735773275883279</v>
      </c>
      <c r="ER80" s="112">
        <f>EH80*'Renewable Diesel'!BF89*'Feedstock Conversion Rates'!B$9</f>
        <v>0</v>
      </c>
      <c r="ES80" s="112">
        <f t="shared" si="42"/>
        <v>209.70053097423724</v>
      </c>
      <c r="EW80" s="73">
        <f t="shared" si="43"/>
        <v>38.694309310353304</v>
      </c>
      <c r="EX80" s="73">
        <f t="shared" si="44"/>
        <v>171.00622166388393</v>
      </c>
      <c r="EY80" s="92">
        <f t="shared" si="38"/>
        <v>0.184521751712241</v>
      </c>
      <c r="EZ80" s="92">
        <f t="shared" si="38"/>
        <v>0.81547824828775906</v>
      </c>
      <c r="FE80" s="108"/>
      <c r="FO80" s="100">
        <v>0.9</v>
      </c>
      <c r="GD80" s="91">
        <f>'Renewable Diesel'!BB89*0</f>
        <v>0</v>
      </c>
      <c r="GE80" s="91">
        <f>'Renewable Diesel'!BC89</f>
        <v>0.13448499999999999</v>
      </c>
      <c r="GF80" s="91">
        <f>'Renewable Diesel'!BD89</f>
        <v>0</v>
      </c>
      <c r="GG80" s="91">
        <f t="shared" si="29"/>
        <v>6.7242499999999997E-2</v>
      </c>
      <c r="GH80" s="92">
        <v>0.5</v>
      </c>
      <c r="GI80" s="102">
        <f>$GG80*EA80*'Feedstock Conversion Rates'!$B$2</f>
        <v>4.0723872996912859E-2</v>
      </c>
      <c r="GJ80" s="102">
        <f>$GG80*EB80*'Feedstock Conversion Rates'!$B$3</f>
        <v>7.5276116560998543E-2</v>
      </c>
      <c r="GK80" s="102">
        <f>$GG80*EC80*'Feedstock Conversion Rates'!$B$4</f>
        <v>0.10769510004872256</v>
      </c>
      <c r="GL80" s="102">
        <f>$GG80*ED80*'Feedstock Conversion Rates'!$B$5</f>
        <v>0</v>
      </c>
      <c r="GM80" s="102">
        <f>$GG80*EE80*'Feedstock Conversion Rates'!$B$5</f>
        <v>0.14507981227866701</v>
      </c>
      <c r="GN80" s="102">
        <f>$GG80*EF80*'Feedstock Conversion Rates'!$B$7</f>
        <v>0.15278075287443896</v>
      </c>
      <c r="GO80" s="102">
        <f>$GG80*EG80*'Feedstock Conversion Rates'!$B$7</f>
        <v>2.6421197878619938E-2</v>
      </c>
      <c r="GP80" s="102">
        <f>$GG80*EH80*'Feedstock Conversion Rates'!B77</f>
        <v>0</v>
      </c>
      <c r="GQ80" s="102">
        <f t="shared" si="45"/>
        <v>0.54797685263835993</v>
      </c>
      <c r="GT80" s="103">
        <f t="shared" si="24"/>
        <v>6.9786974208475919E-2</v>
      </c>
      <c r="GU80" s="103">
        <f t="shared" si="24"/>
        <v>0.12899785846387615</v>
      </c>
      <c r="GV80" s="103">
        <f t="shared" si="24"/>
        <v>0.18455305491324897</v>
      </c>
      <c r="GW80" s="103">
        <f t="shared" ref="GW80:HA136" si="46">(GL80+FE80+EN80)/SUM($ES80,$FJ80,$GQ80)</f>
        <v>0</v>
      </c>
      <c r="GX80" s="103">
        <f t="shared" si="46"/>
        <v>0.30871159141290244</v>
      </c>
      <c r="GY80" s="103">
        <f t="shared" si="46"/>
        <v>0.26181464766890572</v>
      </c>
      <c r="GZ80" s="103">
        <f t="shared" si="46"/>
        <v>4.6135873332590747E-2</v>
      </c>
      <c r="HA80" s="103">
        <f t="shared" si="23"/>
        <v>0</v>
      </c>
    </row>
    <row r="81" spans="1:209" x14ac:dyDescent="0.25">
      <c r="A81" s="96">
        <v>42887</v>
      </c>
      <c r="C81" s="105"/>
      <c r="D81" s="104">
        <v>0</v>
      </c>
      <c r="E81" s="104">
        <f>('Renewable Diesel'!B90*E$3*'Feedstock Conversion Rates'!$B$2)/12</f>
        <v>20.853333333333332</v>
      </c>
      <c r="F81" s="104">
        <f>('Renewable Diesel'!B90*'RD Feedstock Breakdown'!F$3*'Feedstock Conversion Rates'!B$8)/12</f>
        <v>12.5</v>
      </c>
      <c r="G81" s="104">
        <f>('Renewable Diesel'!B90*'RD Feedstock Breakdown'!G$3*'Feedstock Conversion Rates'!B$7)/12</f>
        <v>40.847999999999999</v>
      </c>
      <c r="H81" s="104">
        <f>('Renewable Diesel'!B90*'RD Feedstock Breakdown'!H$3*'Feedstock Conversion Rates'!B$3)/12</f>
        <v>40.904400000000003</v>
      </c>
      <c r="I81" s="106">
        <f t="shared" si="20"/>
        <v>115.10573333333335</v>
      </c>
      <c r="J81" s="106"/>
      <c r="K81" s="107"/>
      <c r="L81" s="106"/>
      <c r="R81" s="104">
        <f>('Renewable Diesel'!D90*'RD Feedstock Breakdown'!R$3*'Feedstock Conversion Rates'!B$7)/12</f>
        <v>2.2999999999999998</v>
      </c>
      <c r="S81" s="106">
        <f t="shared" si="27"/>
        <v>2.2999999999999998</v>
      </c>
      <c r="T81" s="107"/>
      <c r="U81" s="106"/>
      <c r="Z81" s="104">
        <f>('Renewable Diesel'!F90*'RD Feedstock Breakdown'!Z$3*'Feedstock Conversion Rates'!B$6)/12</f>
        <v>44.555000000000007</v>
      </c>
      <c r="AA81" s="104">
        <f>('Renewable Diesel'!F90*'RD Feedstock Breakdown'!AA$3*'Feedstock Conversion Rates'!B$7)/12</f>
        <v>29.133333333333329</v>
      </c>
      <c r="AB81" s="106">
        <f t="shared" si="25"/>
        <v>73.688333333333333</v>
      </c>
      <c r="AC81" s="108"/>
      <c r="AG81" s="108"/>
      <c r="AI81" s="104">
        <f>('Renewable Diesel'!H90*'RD Feedstock Breakdown'!AI$3*'Feedstock Conversion Rates'!B$6)/12</f>
        <v>39.083333333333336</v>
      </c>
      <c r="AJ81" s="106">
        <f t="shared" si="26"/>
        <v>39.083333333333336</v>
      </c>
      <c r="AK81" s="104">
        <f>('Renewable Diesel'!J90*'RD Feedstock Breakdown'!AK$3*'Feedstock Conversion Rates'!B$4)/12</f>
        <v>62.5</v>
      </c>
      <c r="AL81" s="106">
        <f t="shared" si="28"/>
        <v>62.5</v>
      </c>
      <c r="AT81" s="108"/>
      <c r="BX81" s="108"/>
      <c r="CI81" s="108"/>
      <c r="DD81" s="108"/>
      <c r="DJ81" s="108"/>
      <c r="DP81" s="104">
        <f t="shared" si="30"/>
        <v>20.853333333333332</v>
      </c>
      <c r="DQ81" s="104">
        <f t="shared" si="31"/>
        <v>40.904400000000003</v>
      </c>
      <c r="DR81" s="104">
        <f t="shared" si="39"/>
        <v>62.5</v>
      </c>
      <c r="DS81" s="108"/>
      <c r="DT81" s="104">
        <f t="shared" si="32"/>
        <v>83.63833333333335</v>
      </c>
      <c r="DU81" s="104">
        <f t="shared" si="33"/>
        <v>72.281333333333322</v>
      </c>
      <c r="DV81" s="104">
        <f t="shared" si="34"/>
        <v>12.5</v>
      </c>
      <c r="DW81" s="104">
        <f t="shared" si="35"/>
        <v>0</v>
      </c>
      <c r="DX81" s="106">
        <f t="shared" si="36"/>
        <v>292.67740000000003</v>
      </c>
      <c r="DY81" s="109">
        <f t="shared" si="37"/>
        <v>0</v>
      </c>
      <c r="EA81" s="110">
        <f t="shared" si="21"/>
        <v>7.1250234330813816E-2</v>
      </c>
      <c r="EB81" s="110">
        <f t="shared" si="21"/>
        <v>0.13975933912218708</v>
      </c>
      <c r="EC81" s="110">
        <f t="shared" si="21"/>
        <v>0.21354569912128504</v>
      </c>
      <c r="ED81" s="108"/>
      <c r="EE81" s="110">
        <f t="shared" si="22"/>
        <v>0.28576970184009198</v>
      </c>
      <c r="EF81" s="110">
        <f t="shared" si="22"/>
        <v>0.24696588576136494</v>
      </c>
      <c r="EG81" s="110">
        <f t="shared" si="22"/>
        <v>4.270913982425701E-2</v>
      </c>
      <c r="EH81" s="111">
        <f t="shared" si="40"/>
        <v>0</v>
      </c>
      <c r="EI81" s="110">
        <f t="shared" si="41"/>
        <v>0.99999999999999989</v>
      </c>
      <c r="EK81" s="112">
        <f>EA81*'Renewable Diesel'!BF90*'Feedstock Conversion Rates'!B$2</f>
        <v>10.600011860521741</v>
      </c>
      <c r="EL81" s="112">
        <f>EB81*'Renewable Diesel'!BF90*'Feedstock Conversion Rates'!B$3</f>
        <v>19.593611060055363</v>
      </c>
      <c r="EM81" s="112">
        <f>EC81*'Renewable Diesel'!BF90*'Feedstock Conversion Rates'!B$4</f>
        <v>28.031944258422406</v>
      </c>
      <c r="EN81" s="108"/>
      <c r="EO81" s="112">
        <f>EE81*'Renewable Diesel'!BF90*'Feedstock Conversion Rates'!B$6</f>
        <v>46.915910438390988</v>
      </c>
      <c r="EP81" s="112">
        <f>EF81*'Renewable Diesel'!BF90*'Feedstock Conversion Rates'!B$7</f>
        <v>39.767283250570522</v>
      </c>
      <c r="EQ81" s="112">
        <f>EG81*'Renewable Diesel'!BF90*'Feedstock Conversion Rates'!B$8</f>
        <v>7.0079860646056016</v>
      </c>
      <c r="ER81" s="112">
        <f>EH81*'Renewable Diesel'!BF90*'Feedstock Conversion Rates'!B$9</f>
        <v>0</v>
      </c>
      <c r="ES81" s="112">
        <f t="shared" si="42"/>
        <v>151.91674693256664</v>
      </c>
      <c r="EW81" s="73">
        <f t="shared" si="43"/>
        <v>28.031944258422406</v>
      </c>
      <c r="EX81" s="73">
        <f t="shared" si="44"/>
        <v>123.88480267414423</v>
      </c>
      <c r="EY81" s="92">
        <f t="shared" si="38"/>
        <v>0.18452175171224097</v>
      </c>
      <c r="EZ81" s="92">
        <f t="shared" si="38"/>
        <v>0.81547824828775894</v>
      </c>
      <c r="FE81" s="108"/>
      <c r="FR81" s="183" t="s">
        <v>360</v>
      </c>
      <c r="FS81" s="183"/>
      <c r="FT81" s="183"/>
      <c r="FY81" t="s">
        <v>361</v>
      </c>
      <c r="GD81" s="91">
        <f>'Renewable Diesel'!BB90*0</f>
        <v>0</v>
      </c>
      <c r="GE81" s="91">
        <f>'Renewable Diesel'!BC90</f>
        <v>0.127471</v>
      </c>
      <c r="GF81" s="91">
        <f>'Renewable Diesel'!BD90</f>
        <v>0</v>
      </c>
      <c r="GG81" s="91">
        <f t="shared" si="29"/>
        <v>6.37355E-2</v>
      </c>
      <c r="GH81" s="92">
        <v>0.5</v>
      </c>
      <c r="GI81" s="102">
        <f>$GG81*EA81*'Feedstock Conversion Rates'!$B$2</f>
        <v>3.8599939136628458E-2</v>
      </c>
      <c r="GJ81" s="102">
        <f>$GG81*EB81*'Feedstock Conversion Rates'!$B$3</f>
        <v>7.135012718256345E-2</v>
      </c>
      <c r="GK81" s="102">
        <f>$GG81*EC81*'Feedstock Conversion Rates'!$B$4</f>
        <v>0.10207831429758497</v>
      </c>
      <c r="GL81" s="102">
        <f>$GG81*ED81*'Feedstock Conversion Rates'!$B$5</f>
        <v>0</v>
      </c>
      <c r="GM81" s="102">
        <f>$GG81*EE81*'Feedstock Conversion Rates'!$B$5</f>
        <v>0.13751324497880033</v>
      </c>
      <c r="GN81" s="102">
        <f>$GG81*EF81*'Feedstock Conversion Rates'!$B$7</f>
        <v>0.14481254674987995</v>
      </c>
      <c r="GO81" s="102">
        <f>$GG81*EG81*'Feedstock Conversion Rates'!$B$7</f>
        <v>2.504321310767418E-2</v>
      </c>
      <c r="GP81" s="102">
        <f>$GG81*EH81*'Feedstock Conversion Rates'!B78</f>
        <v>0</v>
      </c>
      <c r="GQ81" s="102">
        <f t="shared" si="45"/>
        <v>0.51939738545313141</v>
      </c>
      <c r="GT81" s="103">
        <f t="shared" ref="GT81:GX144" si="47">(GI81+FB81+EK81)/SUM($ES81,$FJ81,$GQ81)</f>
        <v>6.979061197889902E-2</v>
      </c>
      <c r="GU81" s="103">
        <f t="shared" si="47"/>
        <v>0.1290045827071821</v>
      </c>
      <c r="GV81" s="103">
        <f t="shared" si="47"/>
        <v>0.18456267507019475</v>
      </c>
      <c r="GW81" s="103">
        <f t="shared" si="46"/>
        <v>0</v>
      </c>
      <c r="GX81" s="103">
        <f t="shared" si="46"/>
        <v>0.30867629126858936</v>
      </c>
      <c r="GY81" s="103">
        <f t="shared" si="46"/>
        <v>0.26182829522408957</v>
      </c>
      <c r="GZ81" s="103">
        <f t="shared" si="46"/>
        <v>4.6137543751045194E-2</v>
      </c>
      <c r="HA81" s="103">
        <f t="shared" si="23"/>
        <v>0</v>
      </c>
    </row>
    <row r="82" spans="1:209" ht="15.75" customHeight="1" x14ac:dyDescent="0.25">
      <c r="A82" s="96">
        <v>42917</v>
      </c>
      <c r="C82" s="105"/>
      <c r="D82" s="104">
        <v>0</v>
      </c>
      <c r="E82" s="104">
        <f>('Renewable Diesel'!B91*E$3*'Feedstock Conversion Rates'!$B$2)/12</f>
        <v>20.853333333333332</v>
      </c>
      <c r="F82" s="104">
        <f>('Renewable Diesel'!B91*'RD Feedstock Breakdown'!F$3*'Feedstock Conversion Rates'!B$8)/12</f>
        <v>12.5</v>
      </c>
      <c r="G82" s="104">
        <f>('Renewable Diesel'!B91*'RD Feedstock Breakdown'!G$3*'Feedstock Conversion Rates'!B$7)/12</f>
        <v>40.847999999999999</v>
      </c>
      <c r="H82" s="104">
        <f>('Renewable Diesel'!B91*'RD Feedstock Breakdown'!H$3*'Feedstock Conversion Rates'!B$3)/12</f>
        <v>40.904400000000003</v>
      </c>
      <c r="I82" s="106">
        <f t="shared" si="20"/>
        <v>115.10573333333335</v>
      </c>
      <c r="J82" s="106"/>
      <c r="K82" s="107"/>
      <c r="L82" s="106"/>
      <c r="R82" s="104">
        <f>('Renewable Diesel'!D91*'RD Feedstock Breakdown'!R$3*'Feedstock Conversion Rates'!B$7)/12</f>
        <v>2.2999999999999998</v>
      </c>
      <c r="S82" s="106">
        <f t="shared" si="27"/>
        <v>2.2999999999999998</v>
      </c>
      <c r="T82" s="107"/>
      <c r="U82" s="106"/>
      <c r="Z82" s="104">
        <f>('Renewable Diesel'!F91*'RD Feedstock Breakdown'!Z$3*'Feedstock Conversion Rates'!B$6)/12</f>
        <v>44.555000000000007</v>
      </c>
      <c r="AA82" s="104">
        <f>('Renewable Diesel'!F91*'RD Feedstock Breakdown'!AA$3*'Feedstock Conversion Rates'!B$7)/12</f>
        <v>29.133333333333329</v>
      </c>
      <c r="AB82" s="106">
        <f t="shared" si="25"/>
        <v>73.688333333333333</v>
      </c>
      <c r="AC82" s="108"/>
      <c r="AG82" s="108"/>
      <c r="AI82" s="104">
        <f>('Renewable Diesel'!H91*'RD Feedstock Breakdown'!AI$3*'Feedstock Conversion Rates'!B$6)/12</f>
        <v>39.083333333333336</v>
      </c>
      <c r="AJ82" s="106">
        <f t="shared" si="26"/>
        <v>39.083333333333336</v>
      </c>
      <c r="AK82" s="104">
        <f>('Renewable Diesel'!J91*'RD Feedstock Breakdown'!AK$3*'Feedstock Conversion Rates'!B$4)/12</f>
        <v>62.5</v>
      </c>
      <c r="AL82" s="106">
        <f t="shared" si="28"/>
        <v>62.5</v>
      </c>
      <c r="AT82" s="108"/>
      <c r="BX82" s="108"/>
      <c r="CI82" s="108"/>
      <c r="DD82" s="108"/>
      <c r="DJ82" s="108"/>
      <c r="DP82" s="104">
        <f t="shared" si="30"/>
        <v>20.853333333333332</v>
      </c>
      <c r="DQ82" s="104">
        <f t="shared" si="31"/>
        <v>40.904400000000003</v>
      </c>
      <c r="DR82" s="104">
        <f t="shared" si="39"/>
        <v>62.5</v>
      </c>
      <c r="DS82" s="108"/>
      <c r="DT82" s="104">
        <f t="shared" si="32"/>
        <v>83.63833333333335</v>
      </c>
      <c r="DU82" s="104">
        <f t="shared" si="33"/>
        <v>72.281333333333322</v>
      </c>
      <c r="DV82" s="104">
        <f t="shared" si="34"/>
        <v>12.5</v>
      </c>
      <c r="DW82" s="104">
        <f t="shared" si="35"/>
        <v>0</v>
      </c>
      <c r="DX82" s="106">
        <f t="shared" si="36"/>
        <v>292.67740000000003</v>
      </c>
      <c r="DY82" s="109">
        <f t="shared" si="37"/>
        <v>0</v>
      </c>
      <c r="EA82" s="110">
        <f t="shared" si="21"/>
        <v>7.1250234330813816E-2</v>
      </c>
      <c r="EB82" s="110">
        <f t="shared" si="21"/>
        <v>0.13975933912218708</v>
      </c>
      <c r="EC82" s="110">
        <f t="shared" si="21"/>
        <v>0.21354569912128504</v>
      </c>
      <c r="ED82" s="108"/>
      <c r="EE82" s="110">
        <f t="shared" si="22"/>
        <v>0.28576970184009198</v>
      </c>
      <c r="EF82" s="110">
        <f t="shared" si="22"/>
        <v>0.24696588576136494</v>
      </c>
      <c r="EG82" s="110">
        <f t="shared" si="22"/>
        <v>4.270913982425701E-2</v>
      </c>
      <c r="EH82" s="111">
        <f t="shared" si="40"/>
        <v>0</v>
      </c>
      <c r="EI82" s="110">
        <f t="shared" si="41"/>
        <v>0.99999999999999989</v>
      </c>
      <c r="EK82" s="112">
        <f>EA82*'Renewable Diesel'!BF91*'Feedstock Conversion Rates'!B$2</f>
        <v>11.661999381981659</v>
      </c>
      <c r="EL82" s="112">
        <f>EB82*'Renewable Diesel'!BF91*'Feedstock Conversion Rates'!B$3</f>
        <v>21.55664381133132</v>
      </c>
      <c r="EM82" s="112">
        <f>EC82*'Renewable Diesel'!BF91*'Feedstock Conversion Rates'!B$4</f>
        <v>30.840391588144477</v>
      </c>
      <c r="EN82" s="108"/>
      <c r="EO82" s="112">
        <f>EE82*'Renewable Diesel'!BF91*'Feedstock Conversion Rates'!B$6</f>
        <v>51.616293051080817</v>
      </c>
      <c r="EP82" s="112">
        <f>EF82*'Renewable Diesel'!BF91*'Feedstock Conversion Rates'!B$7</f>
        <v>43.751463563779076</v>
      </c>
      <c r="EQ82" s="112">
        <f>EG82*'Renewable Diesel'!BF91*'Feedstock Conversion Rates'!B$8</f>
        <v>7.7100978970361203</v>
      </c>
      <c r="ER82" s="112">
        <f>EH82*'Renewable Diesel'!BF91*'Feedstock Conversion Rates'!B$9</f>
        <v>0</v>
      </c>
      <c r="ES82" s="112">
        <f t="shared" si="42"/>
        <v>167.13688929335348</v>
      </c>
      <c r="EW82" s="73">
        <f t="shared" si="43"/>
        <v>30.840391588144477</v>
      </c>
      <c r="EX82" s="73">
        <f t="shared" si="44"/>
        <v>136.29649770520899</v>
      </c>
      <c r="EY82" s="92">
        <f t="shared" si="38"/>
        <v>0.18452175171224097</v>
      </c>
      <c r="EZ82" s="92">
        <f t="shared" si="38"/>
        <v>0.81547824828775894</v>
      </c>
      <c r="FE82" s="108"/>
      <c r="FR82" s="182" t="s">
        <v>362</v>
      </c>
      <c r="FS82" s="182" t="s">
        <v>363</v>
      </c>
      <c r="FT82" s="184" t="s">
        <v>364</v>
      </c>
      <c r="FY82" s="185" t="s">
        <v>365</v>
      </c>
      <c r="FZ82" s="185" t="s">
        <v>366</v>
      </c>
      <c r="GA82" s="182" t="s">
        <v>367</v>
      </c>
      <c r="GD82" s="91">
        <f>'Renewable Diesel'!BB91*0</f>
        <v>0</v>
      </c>
      <c r="GE82" s="91">
        <f>'Renewable Diesel'!BC91</f>
        <v>0.120661</v>
      </c>
      <c r="GF82" s="91">
        <f>'Renewable Diesel'!BD91</f>
        <v>0</v>
      </c>
      <c r="GG82" s="91">
        <f t="shared" si="29"/>
        <v>6.0330500000000002E-2</v>
      </c>
      <c r="GH82" s="92">
        <v>0.5</v>
      </c>
      <c r="GI82" s="102">
        <f>$GG82*EA82*'Feedstock Conversion Rates'!$B$2</f>
        <v>3.6537779229508884E-2</v>
      </c>
      <c r="GJ82" s="102">
        <f>$GG82*EB82*'Feedstock Conversion Rates'!$B$3</f>
        <v>6.7538323979377979E-2</v>
      </c>
      <c r="GK82" s="102">
        <f>$GG82*EC82*'Feedstock Conversion Rates'!$B$4</f>
        <v>9.6624891006275165E-2</v>
      </c>
      <c r="GL82" s="102">
        <f>$GG82*ED82*'Feedstock Conversion Rates'!$B$5</f>
        <v>0</v>
      </c>
      <c r="GM82" s="102">
        <f>$GG82*EE82*'Feedstock Conversion Rates'!$B$5</f>
        <v>0.13016674892632069</v>
      </c>
      <c r="GN82" s="102">
        <f>$GG82*EF82*'Feedstock Conversion Rates'!$B$7</f>
        <v>0.13707609341251945</v>
      </c>
      <c r="GO82" s="102">
        <f>$GG82*EG82*'Feedstock Conversion Rates'!$B$7</f>
        <v>2.3705306593539505E-2</v>
      </c>
      <c r="GP82" s="102">
        <f>$GG82*EH82*'Feedstock Conversion Rates'!B79</f>
        <v>0</v>
      </c>
      <c r="GQ82" s="102">
        <f t="shared" si="45"/>
        <v>0.49164914314754171</v>
      </c>
      <c r="GT82" s="103">
        <f t="shared" si="47"/>
        <v>6.9788457683431171E-2</v>
      </c>
      <c r="GU82" s="103">
        <f t="shared" si="47"/>
        <v>0.12900060059583532</v>
      </c>
      <c r="GV82" s="103">
        <f t="shared" si="47"/>
        <v>0.1845569779925626</v>
      </c>
      <c r="GW82" s="103">
        <f t="shared" si="46"/>
        <v>0</v>
      </c>
      <c r="GX82" s="103">
        <f t="shared" si="46"/>
        <v>0.30869719608996704</v>
      </c>
      <c r="GY82" s="103">
        <f t="shared" si="46"/>
        <v>0.26182021311255965</v>
      </c>
      <c r="GZ82" s="103">
        <f t="shared" si="46"/>
        <v>4.6136554525644115E-2</v>
      </c>
      <c r="HA82" s="103">
        <f t="shared" si="23"/>
        <v>0</v>
      </c>
    </row>
    <row r="83" spans="1:209" x14ac:dyDescent="0.25">
      <c r="A83" s="96">
        <v>42948</v>
      </c>
      <c r="C83" s="105"/>
      <c r="D83" s="104">
        <v>0</v>
      </c>
      <c r="E83" s="104">
        <f>('Renewable Diesel'!B92*E$3*'Feedstock Conversion Rates'!$B$2)/12</f>
        <v>20.853333333333332</v>
      </c>
      <c r="F83" s="104">
        <f>('Renewable Diesel'!B92*'RD Feedstock Breakdown'!F$3*'Feedstock Conversion Rates'!B$8)/12</f>
        <v>12.5</v>
      </c>
      <c r="G83" s="104">
        <f>('Renewable Diesel'!B92*'RD Feedstock Breakdown'!G$3*'Feedstock Conversion Rates'!B$7)/12</f>
        <v>40.847999999999999</v>
      </c>
      <c r="H83" s="104">
        <f>('Renewable Diesel'!B92*'RD Feedstock Breakdown'!H$3*'Feedstock Conversion Rates'!B$3)/12</f>
        <v>40.904400000000003</v>
      </c>
      <c r="I83" s="106">
        <f t="shared" si="20"/>
        <v>115.10573333333335</v>
      </c>
      <c r="J83" s="106"/>
      <c r="K83" s="107"/>
      <c r="L83" s="106"/>
      <c r="R83" s="104">
        <f>('Renewable Diesel'!D92*'RD Feedstock Breakdown'!R$3*'Feedstock Conversion Rates'!B$7)/12</f>
        <v>2.2999999999999998</v>
      </c>
      <c r="S83" s="106">
        <f t="shared" si="27"/>
        <v>2.2999999999999998</v>
      </c>
      <c r="T83" s="107"/>
      <c r="U83" s="106"/>
      <c r="Z83" s="104">
        <f>('Renewable Diesel'!F92*'RD Feedstock Breakdown'!Z$3*'Feedstock Conversion Rates'!B$6)/12</f>
        <v>44.555000000000007</v>
      </c>
      <c r="AA83" s="104">
        <f>('Renewable Diesel'!F92*'RD Feedstock Breakdown'!AA$3*'Feedstock Conversion Rates'!B$7)/12</f>
        <v>29.133333333333329</v>
      </c>
      <c r="AB83" s="106">
        <f t="shared" si="25"/>
        <v>73.688333333333333</v>
      </c>
      <c r="AC83" s="108"/>
      <c r="AG83" s="108"/>
      <c r="AI83" s="104">
        <f>('Renewable Diesel'!H92*'RD Feedstock Breakdown'!AI$3*'Feedstock Conversion Rates'!B$6)/12</f>
        <v>39.083333333333336</v>
      </c>
      <c r="AJ83" s="106">
        <f t="shared" si="26"/>
        <v>39.083333333333336</v>
      </c>
      <c r="AK83" s="104">
        <f>('Renewable Diesel'!J92*'RD Feedstock Breakdown'!AK$3*'Feedstock Conversion Rates'!B$4)/12</f>
        <v>62.5</v>
      </c>
      <c r="AL83" s="106">
        <f t="shared" si="28"/>
        <v>62.5</v>
      </c>
      <c r="AT83" s="108"/>
      <c r="BX83" s="108"/>
      <c r="CI83" s="108"/>
      <c r="DD83" s="108"/>
      <c r="DJ83" s="108"/>
      <c r="DP83" s="104">
        <f t="shared" si="30"/>
        <v>20.853333333333332</v>
      </c>
      <c r="DQ83" s="104">
        <f t="shared" si="31"/>
        <v>40.904400000000003</v>
      </c>
      <c r="DR83" s="104">
        <f t="shared" si="39"/>
        <v>62.5</v>
      </c>
      <c r="DS83" s="108"/>
      <c r="DT83" s="104">
        <f t="shared" si="32"/>
        <v>83.63833333333335</v>
      </c>
      <c r="DU83" s="104">
        <f t="shared" si="33"/>
        <v>72.281333333333322</v>
      </c>
      <c r="DV83" s="104">
        <f t="shared" si="34"/>
        <v>12.5</v>
      </c>
      <c r="DW83" s="104">
        <f t="shared" si="35"/>
        <v>0</v>
      </c>
      <c r="DX83" s="106">
        <f t="shared" si="36"/>
        <v>292.67740000000003</v>
      </c>
      <c r="DY83" s="109">
        <f t="shared" si="37"/>
        <v>0</v>
      </c>
      <c r="EA83" s="110">
        <f t="shared" si="21"/>
        <v>7.1250234330813816E-2</v>
      </c>
      <c r="EB83" s="110">
        <f t="shared" si="21"/>
        <v>0.13975933912218708</v>
      </c>
      <c r="EC83" s="110">
        <f t="shared" si="21"/>
        <v>0.21354569912128504</v>
      </c>
      <c r="ED83" s="108"/>
      <c r="EE83" s="110">
        <f t="shared" si="22"/>
        <v>0.28576970184009198</v>
      </c>
      <c r="EF83" s="110">
        <f t="shared" si="22"/>
        <v>0.24696588576136494</v>
      </c>
      <c r="EG83" s="110">
        <f t="shared" si="22"/>
        <v>4.270913982425701E-2</v>
      </c>
      <c r="EH83" s="111">
        <f t="shared" si="40"/>
        <v>0</v>
      </c>
      <c r="EI83" s="110">
        <f t="shared" si="41"/>
        <v>0.99999999999999989</v>
      </c>
      <c r="EK83" s="112">
        <f>EA83*'Renewable Diesel'!BF92*'Feedstock Conversion Rates'!B$2</f>
        <v>14.781136458457897</v>
      </c>
      <c r="EL83" s="112">
        <f>EB83*'Renewable Diesel'!BF92*'Feedstock Conversion Rates'!B$3</f>
        <v>27.32221837140219</v>
      </c>
      <c r="EM83" s="112">
        <f>EC83*'Renewable Diesel'!BF92*'Feedstock Conversion Rates'!B$4</f>
        <v>39.089012232410148</v>
      </c>
      <c r="EN83" s="108"/>
      <c r="EO83" s="112">
        <f>EE83*'Renewable Diesel'!BF92*'Feedstock Conversion Rates'!B$6</f>
        <v>65.4216696535388</v>
      </c>
      <c r="EP83" s="112">
        <f>EF83*'Renewable Diesel'!BF92*'Feedstock Conversion Rates'!B$7</f>
        <v>55.453300245637443</v>
      </c>
      <c r="EQ83" s="112">
        <f>EG83*'Renewable Diesel'!BF92*'Feedstock Conversion Rates'!B$8</f>
        <v>9.7722530581025389</v>
      </c>
      <c r="ER83" s="112">
        <f>EH83*'Renewable Diesel'!BF92*'Feedstock Conversion Rates'!B$9</f>
        <v>0</v>
      </c>
      <c r="ES83" s="112">
        <f t="shared" si="42"/>
        <v>211.83959001954904</v>
      </c>
      <c r="EW83" s="73">
        <f t="shared" si="43"/>
        <v>39.089012232410148</v>
      </c>
      <c r="EX83" s="73">
        <f t="shared" si="44"/>
        <v>172.75057778713887</v>
      </c>
      <c r="EY83" s="92">
        <f t="shared" si="38"/>
        <v>0.18452175171224097</v>
      </c>
      <c r="EZ83" s="92">
        <f t="shared" si="38"/>
        <v>0.81547824828775894</v>
      </c>
      <c r="FE83" s="108"/>
      <c r="FR83" s="182"/>
      <c r="FS83" s="182"/>
      <c r="FT83" s="184"/>
      <c r="FY83" s="185"/>
      <c r="FZ83" s="185"/>
      <c r="GA83" s="182"/>
      <c r="GD83" s="91">
        <f>'Renewable Diesel'!BB92*0</f>
        <v>0</v>
      </c>
      <c r="GE83" s="91">
        <f>'Renewable Diesel'!BC92</f>
        <v>0.174175</v>
      </c>
      <c r="GF83" s="91">
        <f>'Renewable Diesel'!BD92</f>
        <v>0</v>
      </c>
      <c r="GG83" s="91">
        <f t="shared" si="29"/>
        <v>8.7087499999999998E-2</v>
      </c>
      <c r="GH83" s="92">
        <v>0.5</v>
      </c>
      <c r="GI83" s="102">
        <f>$GG83*EA83*'Feedstock Conversion Rates'!$B$2</f>
        <v>5.2742540649420362E-2</v>
      </c>
      <c r="GJ83" s="102">
        <f>$GG83*EB83*'Feedstock Conversion Rates'!$B$3</f>
        <v>9.7492044480885762E-2</v>
      </c>
      <c r="GK83" s="102">
        <f>$GG83*EC83*'Feedstock Conversion Rates'!$B$4</f>
        <v>0.13947870804168683</v>
      </c>
      <c r="GL83" s="102">
        <f>$GG83*ED83*'Feedstock Conversion Rates'!$B$5</f>
        <v>0</v>
      </c>
      <c r="GM83" s="102">
        <f>$GG83*EE83*'Feedstock Conversion Rates'!$B$5</f>
        <v>0.18789661526294252</v>
      </c>
      <c r="GN83" s="102">
        <f>$GG83*EF83*'Feedstock Conversion Rates'!$B$7</f>
        <v>0.19787030250143439</v>
      </c>
      <c r="GO83" s="102">
        <f>$GG83*EG83*'Feedstock Conversion Rates'!$B$7</f>
        <v>3.4218776372893833E-2</v>
      </c>
      <c r="GP83" s="102">
        <f>$GG83*EH83*'Feedstock Conversion Rates'!B80</f>
        <v>0</v>
      </c>
      <c r="GQ83" s="102">
        <f t="shared" si="45"/>
        <v>0.70969898730926362</v>
      </c>
      <c r="GT83" s="103">
        <f t="shared" si="47"/>
        <v>6.9790301667998877E-2</v>
      </c>
      <c r="GU83" s="103">
        <f t="shared" si="47"/>
        <v>0.12900400911243853</v>
      </c>
      <c r="GV83" s="103">
        <f t="shared" si="47"/>
        <v>0.18456185444678697</v>
      </c>
      <c r="GW83" s="103">
        <f t="shared" si="46"/>
        <v>0</v>
      </c>
      <c r="GX83" s="103">
        <f t="shared" si="46"/>
        <v>0.30867930245903918</v>
      </c>
      <c r="GY83" s="103">
        <f t="shared" si="46"/>
        <v>0.26182713105355621</v>
      </c>
      <c r="GZ83" s="103">
        <f t="shared" si="46"/>
        <v>4.6137401260180219E-2</v>
      </c>
      <c r="HA83" s="103">
        <f t="shared" si="23"/>
        <v>0</v>
      </c>
    </row>
    <row r="84" spans="1:209" x14ac:dyDescent="0.25">
      <c r="A84" s="96">
        <v>42979</v>
      </c>
      <c r="C84" s="105"/>
      <c r="D84" s="104">
        <v>0</v>
      </c>
      <c r="E84" s="104">
        <f>('Renewable Diesel'!B93*E$3*'Feedstock Conversion Rates'!$B$2)/12</f>
        <v>20.853333333333332</v>
      </c>
      <c r="F84" s="104">
        <f>('Renewable Diesel'!B93*'RD Feedstock Breakdown'!F$3*'Feedstock Conversion Rates'!B$8)/12</f>
        <v>12.5</v>
      </c>
      <c r="G84" s="104">
        <f>('Renewable Diesel'!B93*'RD Feedstock Breakdown'!G$3*'Feedstock Conversion Rates'!B$7)/12</f>
        <v>40.847999999999999</v>
      </c>
      <c r="H84" s="104">
        <f>('Renewable Diesel'!B93*'RD Feedstock Breakdown'!H$3*'Feedstock Conversion Rates'!B$3)/12</f>
        <v>40.904400000000003</v>
      </c>
      <c r="I84" s="106">
        <f t="shared" si="20"/>
        <v>115.10573333333335</v>
      </c>
      <c r="J84" s="106"/>
      <c r="K84" s="107"/>
      <c r="L84" s="106"/>
      <c r="R84" s="104">
        <f>('Renewable Diesel'!D93*'RD Feedstock Breakdown'!R$3*'Feedstock Conversion Rates'!B$7)/12</f>
        <v>2.2999999999999998</v>
      </c>
      <c r="S84" s="106">
        <f t="shared" si="27"/>
        <v>2.2999999999999998</v>
      </c>
      <c r="T84" s="107"/>
      <c r="U84" s="106"/>
      <c r="Z84" s="104">
        <f>('Renewable Diesel'!F93*'RD Feedstock Breakdown'!Z$3*'Feedstock Conversion Rates'!B$6)/12</f>
        <v>44.555000000000007</v>
      </c>
      <c r="AA84" s="104">
        <f>('Renewable Diesel'!F93*'RD Feedstock Breakdown'!AA$3*'Feedstock Conversion Rates'!B$7)/12</f>
        <v>29.133333333333329</v>
      </c>
      <c r="AB84" s="106">
        <f t="shared" si="25"/>
        <v>73.688333333333333</v>
      </c>
      <c r="AC84" s="108"/>
      <c r="AG84" s="108"/>
      <c r="AI84" s="104">
        <f>('Renewable Diesel'!H93*'RD Feedstock Breakdown'!AI$3*'Feedstock Conversion Rates'!B$6)/12</f>
        <v>39.083333333333336</v>
      </c>
      <c r="AJ84" s="106">
        <f t="shared" si="26"/>
        <v>39.083333333333336</v>
      </c>
      <c r="AK84" s="104">
        <f>('Renewable Diesel'!J93*'RD Feedstock Breakdown'!AK$3*'Feedstock Conversion Rates'!B$4)/12</f>
        <v>62.5</v>
      </c>
      <c r="AL84" s="106">
        <f t="shared" si="28"/>
        <v>62.5</v>
      </c>
      <c r="AT84" s="108"/>
      <c r="BX84" s="108"/>
      <c r="CI84" s="108"/>
      <c r="DD84" s="108"/>
      <c r="DJ84" s="108"/>
      <c r="DP84" s="104">
        <f t="shared" si="30"/>
        <v>20.853333333333332</v>
      </c>
      <c r="DQ84" s="104">
        <f t="shared" si="31"/>
        <v>40.904400000000003</v>
      </c>
      <c r="DR84" s="104">
        <f t="shared" si="39"/>
        <v>62.5</v>
      </c>
      <c r="DS84" s="108"/>
      <c r="DT84" s="104">
        <f t="shared" si="32"/>
        <v>83.63833333333335</v>
      </c>
      <c r="DU84" s="104">
        <f t="shared" si="33"/>
        <v>72.281333333333322</v>
      </c>
      <c r="DV84" s="104">
        <f t="shared" si="34"/>
        <v>12.5</v>
      </c>
      <c r="DW84" s="104">
        <f t="shared" si="35"/>
        <v>0</v>
      </c>
      <c r="DX84" s="106">
        <f t="shared" si="36"/>
        <v>292.67740000000003</v>
      </c>
      <c r="DY84" s="109">
        <f t="shared" si="37"/>
        <v>0</v>
      </c>
      <c r="EA84" s="110">
        <f t="shared" si="21"/>
        <v>7.1250234330813816E-2</v>
      </c>
      <c r="EB84" s="110">
        <f t="shared" si="21"/>
        <v>0.13975933912218708</v>
      </c>
      <c r="EC84" s="110">
        <f t="shared" si="21"/>
        <v>0.21354569912128504</v>
      </c>
      <c r="ED84" s="108"/>
      <c r="EE84" s="110">
        <f t="shared" si="22"/>
        <v>0.28576970184009198</v>
      </c>
      <c r="EF84" s="110">
        <f t="shared" si="22"/>
        <v>0.24696588576136494</v>
      </c>
      <c r="EG84" s="110">
        <f t="shared" si="22"/>
        <v>4.270913982425701E-2</v>
      </c>
      <c r="EH84" s="111">
        <f t="shared" si="40"/>
        <v>0</v>
      </c>
      <c r="EI84" s="110">
        <f t="shared" si="41"/>
        <v>0.99999999999999989</v>
      </c>
      <c r="EK84" s="112">
        <f>EA84*'Renewable Diesel'!BF93*'Feedstock Conversion Rates'!B$2</f>
        <v>13.155361685915388</v>
      </c>
      <c r="EL84" s="112">
        <f>EB84*'Renewable Diesel'!BF93*'Feedstock Conversion Rates'!B$3</f>
        <v>24.317052058042989</v>
      </c>
      <c r="EM84" s="112">
        <f>EC84*'Renewable Diesel'!BF93*'Feedstock Conversion Rates'!B$4</f>
        <v>34.78961819395689</v>
      </c>
      <c r="EN84" s="108"/>
      <c r="EO84" s="112">
        <f>EE84*'Renewable Diesel'!BF93*'Feedstock Conversion Rates'!B$6</f>
        <v>58.225950948197124</v>
      </c>
      <c r="EP84" s="112">
        <f>EF84*'Renewable Diesel'!BF93*'Feedstock Conversion Rates'!B$7</f>
        <v>49.354000855028303</v>
      </c>
      <c r="EQ84" s="112">
        <f>EG84*'Renewable Diesel'!BF93*'Feedstock Conversion Rates'!B$8</f>
        <v>8.6974045484892226</v>
      </c>
      <c r="ER84" s="112">
        <f>EH84*'Renewable Diesel'!BF93*'Feedstock Conversion Rates'!B$9</f>
        <v>0</v>
      </c>
      <c r="ES84" s="112">
        <f t="shared" si="42"/>
        <v>188.5393882896299</v>
      </c>
      <c r="EW84" s="73">
        <f t="shared" si="43"/>
        <v>34.78961819395689</v>
      </c>
      <c r="EX84" s="73">
        <f t="shared" si="44"/>
        <v>153.749770095673</v>
      </c>
      <c r="EY84" s="92">
        <f t="shared" si="38"/>
        <v>0.18452175171224103</v>
      </c>
      <c r="EZ84" s="92">
        <f t="shared" si="38"/>
        <v>0.81547824828775894</v>
      </c>
      <c r="FE84" s="108"/>
      <c r="FR84" s="182"/>
      <c r="FS84" s="182"/>
      <c r="FT84" s="184"/>
      <c r="FY84" s="185"/>
      <c r="FZ84" s="185"/>
      <c r="GA84" s="182"/>
      <c r="GD84" s="91">
        <f>'Renewable Diesel'!BB93*0</f>
        <v>0</v>
      </c>
      <c r="GE84" s="91">
        <f>'Renewable Diesel'!BC93</f>
        <v>0.13795199999999999</v>
      </c>
      <c r="GF84" s="91">
        <f>'Renewable Diesel'!BD93</f>
        <v>0</v>
      </c>
      <c r="GG84" s="91">
        <f t="shared" si="29"/>
        <v>6.8975999999999996E-2</v>
      </c>
      <c r="GH84" s="92">
        <v>0.5</v>
      </c>
      <c r="GI84" s="102">
        <f>$GG84*EA84*'Feedstock Conversion Rates'!$B$2</f>
        <v>4.1773727387218816E-2</v>
      </c>
      <c r="GJ84" s="102">
        <f>$GG84*EB84*'Feedstock Conversion Rates'!$B$3</f>
        <v>7.7216721804088714E-2</v>
      </c>
      <c r="GK84" s="102">
        <f>$GG84*EC84*'Feedstock Conversion Rates'!$B$4</f>
        <v>0.11047146106942317</v>
      </c>
      <c r="GL84" s="102">
        <f>$GG84*ED84*'Feedstock Conversion Rates'!$B$5</f>
        <v>0</v>
      </c>
      <c r="GM84" s="102">
        <f>$GG84*EE84*'Feedstock Conversion Rates'!$B$5</f>
        <v>0.14881994470362248</v>
      </c>
      <c r="GN84" s="102">
        <f>$GG84*EF84*'Feedstock Conversion Rates'!$B$7</f>
        <v>0.15671941421373833</v>
      </c>
      <c r="GO84" s="102">
        <f>$GG84*EG84*'Feedstock Conversion Rates'!$B$7</f>
        <v>2.7102331782365149E-2</v>
      </c>
      <c r="GP84" s="102">
        <f>$GG84*EH84*'Feedstock Conversion Rates'!B81</f>
        <v>0</v>
      </c>
      <c r="GQ84" s="102">
        <f t="shared" si="45"/>
        <v>0.56210360096045664</v>
      </c>
      <c r="GT84" s="103">
        <f t="shared" si="47"/>
        <v>6.9788637209367746E-2</v>
      </c>
      <c r="GU84" s="103">
        <f t="shared" si="47"/>
        <v>0.1290009324408769</v>
      </c>
      <c r="GV84" s="103">
        <f t="shared" si="47"/>
        <v>0.18455745275250751</v>
      </c>
      <c r="GW84" s="103">
        <f t="shared" si="46"/>
        <v>0</v>
      </c>
      <c r="GX84" s="103">
        <f t="shared" si="46"/>
        <v>0.30869545400876586</v>
      </c>
      <c r="GY84" s="103">
        <f t="shared" si="46"/>
        <v>0.26182088662678438</v>
      </c>
      <c r="GZ84" s="103">
        <f t="shared" si="46"/>
        <v>4.6136636961697688E-2</v>
      </c>
      <c r="HA84" s="103">
        <f t="shared" si="23"/>
        <v>0</v>
      </c>
    </row>
    <row r="85" spans="1:209" s="117" customFormat="1" x14ac:dyDescent="0.25">
      <c r="A85" s="114">
        <v>43009</v>
      </c>
      <c r="B85" s="115"/>
      <c r="C85" s="115"/>
      <c r="D85" s="115">
        <v>0</v>
      </c>
      <c r="E85" s="115">
        <f>('Renewable Diesel'!B94*E$3*'Feedstock Conversion Rates'!$B$2)/12</f>
        <v>20.853333333333332</v>
      </c>
      <c r="F85" s="115">
        <f>('Renewable Diesel'!B94*'RD Feedstock Breakdown'!F$3*'Feedstock Conversion Rates'!B$8)/12</f>
        <v>12.5</v>
      </c>
      <c r="G85" s="115">
        <f>('Renewable Diesel'!B94*'RD Feedstock Breakdown'!G$3*'Feedstock Conversion Rates'!B$7)/12</f>
        <v>40.847999999999999</v>
      </c>
      <c r="H85" s="115">
        <f>('Renewable Diesel'!B94*'RD Feedstock Breakdown'!H$3*'Feedstock Conversion Rates'!B$3)/12</f>
        <v>40.904400000000003</v>
      </c>
      <c r="I85" s="116">
        <f t="shared" si="20"/>
        <v>115.10573333333335</v>
      </c>
      <c r="J85" s="116"/>
      <c r="K85" s="116"/>
      <c r="L85" s="116"/>
      <c r="R85" s="115">
        <f>('Renewable Diesel'!D94*'RD Feedstock Breakdown'!R$3*'Feedstock Conversion Rates'!B$7)/12</f>
        <v>2.2999999999999998</v>
      </c>
      <c r="S85" s="116">
        <f t="shared" si="27"/>
        <v>2.2999999999999998</v>
      </c>
      <c r="T85" s="116"/>
      <c r="U85" s="116"/>
      <c r="Z85" s="115">
        <f>('Renewable Diesel'!F94*'RD Feedstock Breakdown'!Z$3*'Feedstock Conversion Rates'!B$6)/12</f>
        <v>44.555000000000007</v>
      </c>
      <c r="AA85" s="115">
        <f>('Renewable Diesel'!F94*'RD Feedstock Breakdown'!AA$3*'Feedstock Conversion Rates'!B$7)/12</f>
        <v>29.133333333333329</v>
      </c>
      <c r="AB85" s="116">
        <f t="shared" si="25"/>
        <v>73.688333333333333</v>
      </c>
      <c r="AI85" s="115">
        <f>('Renewable Diesel'!H94*'RD Feedstock Breakdown'!AI$3*'Feedstock Conversion Rates'!B$6)/12</f>
        <v>39.083333333333336</v>
      </c>
      <c r="AJ85" s="116">
        <f t="shared" si="26"/>
        <v>39.083333333333336</v>
      </c>
      <c r="AK85" s="115">
        <f>('Renewable Diesel'!J94*'RD Feedstock Breakdown'!AK$3*'Feedstock Conversion Rates'!B$4)/12</f>
        <v>62.5</v>
      </c>
      <c r="AL85" s="116">
        <f t="shared" si="28"/>
        <v>62.5</v>
      </c>
      <c r="DP85" s="115">
        <f t="shared" si="30"/>
        <v>20.853333333333332</v>
      </c>
      <c r="DQ85" s="115">
        <f t="shared" si="31"/>
        <v>40.904400000000003</v>
      </c>
      <c r="DR85" s="115">
        <f t="shared" si="39"/>
        <v>62.5</v>
      </c>
      <c r="DT85" s="115">
        <f t="shared" si="32"/>
        <v>83.63833333333335</v>
      </c>
      <c r="DU85" s="115">
        <f t="shared" si="33"/>
        <v>72.281333333333322</v>
      </c>
      <c r="DV85" s="115">
        <f t="shared" si="34"/>
        <v>12.5</v>
      </c>
      <c r="DW85" s="115">
        <f t="shared" si="35"/>
        <v>0</v>
      </c>
      <c r="DX85" s="116">
        <f t="shared" si="36"/>
        <v>292.67740000000003</v>
      </c>
      <c r="DY85" s="118">
        <f t="shared" si="37"/>
        <v>0</v>
      </c>
      <c r="EA85" s="119">
        <f t="shared" si="21"/>
        <v>7.1250234330813816E-2</v>
      </c>
      <c r="EB85" s="119">
        <f t="shared" si="21"/>
        <v>0.13975933912218708</v>
      </c>
      <c r="EC85" s="119">
        <f t="shared" si="21"/>
        <v>0.21354569912128504</v>
      </c>
      <c r="EE85" s="119">
        <f t="shared" si="22"/>
        <v>0.28576970184009198</v>
      </c>
      <c r="EF85" s="119">
        <f t="shared" si="22"/>
        <v>0.24696588576136494</v>
      </c>
      <c r="EG85" s="119">
        <f t="shared" si="22"/>
        <v>4.270913982425701E-2</v>
      </c>
      <c r="EH85" s="120">
        <f t="shared" si="40"/>
        <v>0</v>
      </c>
      <c r="EI85" s="119">
        <f t="shared" si="41"/>
        <v>0.99999999999999989</v>
      </c>
      <c r="EK85" s="121">
        <f>EA85*'Renewable Diesel'!BF94*'Feedstock Conversion Rates'!B$2</f>
        <v>15.250869837712099</v>
      </c>
      <c r="EL85" s="121">
        <f>EB85*'Renewable Diesel'!BF94*'Feedstock Conversion Rates'!B$3</f>
        <v>28.190497884306364</v>
      </c>
      <c r="EM85" s="121">
        <f>EC85*'Renewable Diesel'!BF94*'Feedstock Conversion Rates'!B$4</f>
        <v>40.331231588089814</v>
      </c>
      <c r="EO85" s="121">
        <f>EE85*'Renewable Diesel'!BF94*'Feedstock Conversion Rates'!B$6</f>
        <v>67.500721020744351</v>
      </c>
      <c r="EP85" s="121">
        <f>EF85*'Renewable Diesel'!BF94*'Feedstock Conversion Rates'!B$7</f>
        <v>57.215564344097608</v>
      </c>
      <c r="EQ85" s="121">
        <f>EG85*'Renewable Diesel'!BF94*'Feedstock Conversion Rates'!B$8</f>
        <v>10.082807897022454</v>
      </c>
      <c r="ER85" s="121">
        <f>EH85*'Renewable Diesel'!BF94*'Feedstock Conversion Rates'!B$9</f>
        <v>0</v>
      </c>
      <c r="ES85" s="121">
        <f t="shared" si="42"/>
        <v>218.5716925719727</v>
      </c>
      <c r="ET85" s="122"/>
      <c r="EW85" s="123">
        <f t="shared" si="43"/>
        <v>40.331231588089814</v>
      </c>
      <c r="EX85" s="123">
        <f t="shared" si="44"/>
        <v>178.24046098388288</v>
      </c>
      <c r="EY85" s="124">
        <f t="shared" si="38"/>
        <v>0.18452175171224097</v>
      </c>
      <c r="EZ85" s="124">
        <f t="shared" si="38"/>
        <v>0.81547824828775894</v>
      </c>
      <c r="FR85" s="125">
        <f>('Renewable Diesel'!AX94-'Renewable Diesel'!BI94)/12*$FO$80</f>
        <v>23.006250000000001</v>
      </c>
      <c r="FS85" s="126">
        <f t="shared" ref="FS85:FS144" si="48">EC85</f>
        <v>0.21354569912128504</v>
      </c>
      <c r="FT85" s="125">
        <f>FR85*FS85*7.5</f>
        <v>36.846643053067979</v>
      </c>
      <c r="FY85" s="125">
        <f>'Renewable Diesel'!BF94*('Renewable Diesel'!BI94/'Renewable Diesel'!AX94)</f>
        <v>6.2491976470588231</v>
      </c>
      <c r="FZ85" s="125">
        <f>('Renewable Diesel'!BJ94*'Renewable Diesel'!BG94)/12</f>
        <v>19.195709274509802</v>
      </c>
      <c r="GA85" s="125">
        <f>FZ85*FS85*7.5</f>
        <v>30.743708678655985</v>
      </c>
      <c r="GD85" s="122">
        <f>'Renewable Diesel'!BB94*0</f>
        <v>0</v>
      </c>
      <c r="GE85" s="122">
        <f>'Renewable Diesel'!BC94</f>
        <v>0.160272</v>
      </c>
      <c r="GF85" s="122">
        <f>'Renewable Diesel'!BD94</f>
        <v>0</v>
      </c>
      <c r="GG85" s="91">
        <f t="shared" ref="GG85:GG148" si="49">GF85+GE85</f>
        <v>0.160272</v>
      </c>
      <c r="GH85" s="124">
        <v>1</v>
      </c>
      <c r="GI85" s="127">
        <f>$GG85*EA85*'Feedstock Conversion Rates'!$B$2</f>
        <v>9.7065049231679634E-2</v>
      </c>
      <c r="GJ85" s="127">
        <f>$GG85*EB85*'Feedstock Conversion Rates'!$B$3</f>
        <v>0.17942006548632725</v>
      </c>
      <c r="GK85" s="127">
        <f>$GG85*EC85*'Feedstock Conversion Rates'!$B$4</f>
        <v>0.25669047217174951</v>
      </c>
      <c r="GL85" s="127">
        <f>$GG85*ED85*'Feedstock Conversion Rates'!$B$5</f>
        <v>0</v>
      </c>
      <c r="GM85" s="127">
        <f>$GG85*EE85*'Feedstock Conversion Rates'!$B$5</f>
        <v>0.34579665648252994</v>
      </c>
      <c r="GN85" s="127">
        <f>$GG85*EF85*'Feedstock Conversion Rates'!$B$7</f>
        <v>0.36415179127325842</v>
      </c>
      <c r="GO85" s="127">
        <f>$GG85*EG85*'Feedstock Conversion Rates'!$B$7</f>
        <v>6.2974729172802529E-2</v>
      </c>
      <c r="GP85" s="127">
        <f>$GG85*EH85*'Feedstock Conversion Rates'!B82</f>
        <v>0</v>
      </c>
      <c r="GQ85" s="127">
        <f t="shared" si="45"/>
        <v>1.306098763818347</v>
      </c>
      <c r="GR85" s="128">
        <f>GQ85/GG85</f>
        <v>8.1492635258706887</v>
      </c>
      <c r="GT85" s="129">
        <f t="shared" si="47"/>
        <v>6.9802115046284294E-2</v>
      </c>
      <c r="GU85" s="129">
        <f t="shared" si="47"/>
        <v>0.12902584557285718</v>
      </c>
      <c r="GV85" s="129">
        <f t="shared" si="47"/>
        <v>0.18459309516292555</v>
      </c>
      <c r="GW85" s="129">
        <f t="shared" si="46"/>
        <v>0</v>
      </c>
      <c r="GX85" s="129">
        <f t="shared" si="46"/>
        <v>0.30856466796873372</v>
      </c>
      <c r="GY85" s="129">
        <f t="shared" si="46"/>
        <v>0.26187145043419496</v>
      </c>
      <c r="GZ85" s="129">
        <f t="shared" si="46"/>
        <v>4.614282581500425E-2</v>
      </c>
      <c r="HA85" s="129">
        <f t="shared" si="23"/>
        <v>0</v>
      </c>
    </row>
    <row r="86" spans="1:209" x14ac:dyDescent="0.25">
      <c r="A86" s="96">
        <v>43040</v>
      </c>
      <c r="C86" s="105"/>
      <c r="D86" s="104">
        <v>0</v>
      </c>
      <c r="E86" s="104">
        <f>('Renewable Diesel'!B95*E$3*'Feedstock Conversion Rates'!$B$2)/12</f>
        <v>20.853333333333332</v>
      </c>
      <c r="F86" s="104">
        <f>('Renewable Diesel'!B95*'RD Feedstock Breakdown'!F$3*'Feedstock Conversion Rates'!B$8)/12</f>
        <v>12.5</v>
      </c>
      <c r="G86" s="104">
        <f>('Renewable Diesel'!B95*'RD Feedstock Breakdown'!G$3*'Feedstock Conversion Rates'!B$7)/12</f>
        <v>40.847999999999999</v>
      </c>
      <c r="H86" s="104">
        <f>('Renewable Diesel'!B95*'RD Feedstock Breakdown'!H$3*'Feedstock Conversion Rates'!B$3)/12</f>
        <v>40.904400000000003</v>
      </c>
      <c r="I86" s="106">
        <f t="shared" si="20"/>
        <v>115.10573333333335</v>
      </c>
      <c r="J86" s="106"/>
      <c r="K86" s="107"/>
      <c r="L86" s="106"/>
      <c r="R86" s="104">
        <f>('Renewable Diesel'!D95*'RD Feedstock Breakdown'!R$3*'Feedstock Conversion Rates'!B$7)/12</f>
        <v>2.2999999999999998</v>
      </c>
      <c r="S86" s="106">
        <f t="shared" si="27"/>
        <v>2.2999999999999998</v>
      </c>
      <c r="T86" s="107"/>
      <c r="U86" s="106"/>
      <c r="Z86" s="104">
        <f>('Renewable Diesel'!F95*'RD Feedstock Breakdown'!Z$3*'Feedstock Conversion Rates'!B$6)/12</f>
        <v>44.555000000000007</v>
      </c>
      <c r="AA86" s="104">
        <f>('Renewable Diesel'!F95*'RD Feedstock Breakdown'!AA$3*'Feedstock Conversion Rates'!B$7)/12</f>
        <v>29.133333333333329</v>
      </c>
      <c r="AB86" s="106">
        <f t="shared" si="25"/>
        <v>73.688333333333333</v>
      </c>
      <c r="AC86" s="108"/>
      <c r="AG86" s="108"/>
      <c r="AI86" s="104">
        <f>('Renewable Diesel'!H95*'RD Feedstock Breakdown'!AI$3*'Feedstock Conversion Rates'!B$6)/12</f>
        <v>39.083333333333336</v>
      </c>
      <c r="AJ86" s="106">
        <f t="shared" si="26"/>
        <v>39.083333333333336</v>
      </c>
      <c r="AK86" s="104">
        <f>('Renewable Diesel'!J95*'RD Feedstock Breakdown'!AK$3*'Feedstock Conversion Rates'!B$4)/12</f>
        <v>62.5</v>
      </c>
      <c r="AL86" s="106">
        <f t="shared" si="28"/>
        <v>62.5</v>
      </c>
      <c r="AT86" s="108"/>
      <c r="BX86" s="108"/>
      <c r="CI86" s="108"/>
      <c r="DD86" s="108"/>
      <c r="DJ86" s="108"/>
      <c r="DP86" s="104">
        <f t="shared" si="30"/>
        <v>20.853333333333332</v>
      </c>
      <c r="DQ86" s="104">
        <f t="shared" si="31"/>
        <v>40.904400000000003</v>
      </c>
      <c r="DR86" s="104">
        <f t="shared" si="39"/>
        <v>62.5</v>
      </c>
      <c r="DS86" s="108"/>
      <c r="DT86" s="104">
        <f t="shared" si="32"/>
        <v>83.63833333333335</v>
      </c>
      <c r="DU86" s="104">
        <f t="shared" si="33"/>
        <v>72.281333333333322</v>
      </c>
      <c r="DV86" s="104">
        <f t="shared" si="34"/>
        <v>12.5</v>
      </c>
      <c r="DW86" s="104">
        <f t="shared" si="35"/>
        <v>0</v>
      </c>
      <c r="DX86" s="106">
        <f t="shared" si="36"/>
        <v>292.67740000000003</v>
      </c>
      <c r="DY86" s="109">
        <f t="shared" si="37"/>
        <v>0</v>
      </c>
      <c r="EA86" s="110">
        <f t="shared" si="21"/>
        <v>7.1250234330813816E-2</v>
      </c>
      <c r="EB86" s="110">
        <f t="shared" si="21"/>
        <v>0.13975933912218708</v>
      </c>
      <c r="EC86" s="110">
        <f t="shared" si="21"/>
        <v>0.21354569912128504</v>
      </c>
      <c r="ED86" s="108"/>
      <c r="EE86" s="110">
        <f t="shared" si="22"/>
        <v>0.28576970184009198</v>
      </c>
      <c r="EF86" s="110">
        <f t="shared" si="22"/>
        <v>0.24696588576136494</v>
      </c>
      <c r="EG86" s="110">
        <f t="shared" si="22"/>
        <v>4.270913982425701E-2</v>
      </c>
      <c r="EH86" s="111">
        <f t="shared" si="40"/>
        <v>0</v>
      </c>
      <c r="EI86" s="110">
        <f t="shared" si="41"/>
        <v>0.99999999999999989</v>
      </c>
      <c r="EK86" s="112">
        <f>EA86*'Renewable Diesel'!BF95*'Feedstock Conversion Rates'!B$2</f>
        <v>13.716398179201171</v>
      </c>
      <c r="EL86" s="112">
        <f>EB86*'Renewable Diesel'!BF95*'Feedstock Conversion Rates'!B$3</f>
        <v>25.354100976910701</v>
      </c>
      <c r="EM86" s="112">
        <f>EC86*'Renewable Diesel'!BF95*'Feedstock Conversion Rates'!B$4</f>
        <v>36.273290468447513</v>
      </c>
      <c r="EN86" s="108"/>
      <c r="EO86" s="112">
        <f>EE86*'Renewable Diesel'!BF95*'Feedstock Conversion Rates'!B$6</f>
        <v>60.709112119902564</v>
      </c>
      <c r="EP86" s="112">
        <f>EF86*'Renewable Diesel'!BF95*'Feedstock Conversion Rates'!B$7</f>
        <v>51.458800117140107</v>
      </c>
      <c r="EQ86" s="112">
        <f>EG86*'Renewable Diesel'!BF95*'Feedstock Conversion Rates'!B$8</f>
        <v>9.0683226171118783</v>
      </c>
      <c r="ER86" s="112">
        <f>EH86*'Renewable Diesel'!BF95*'Feedstock Conversion Rates'!B$9</f>
        <v>0</v>
      </c>
      <c r="ES86" s="112">
        <f t="shared" si="42"/>
        <v>196.58002447871391</v>
      </c>
      <c r="EW86" s="73">
        <f t="shared" si="43"/>
        <v>36.273290468447513</v>
      </c>
      <c r="EX86" s="73">
        <f t="shared" si="44"/>
        <v>160.30673401026641</v>
      </c>
      <c r="EY86" s="92">
        <f t="shared" si="38"/>
        <v>0.18452175171224103</v>
      </c>
      <c r="EZ86" s="92">
        <f t="shared" si="38"/>
        <v>0.81547824828775906</v>
      </c>
      <c r="FE86" s="108"/>
      <c r="FR86" s="3">
        <f>('Renewable Diesel'!AX95-'Renewable Diesel'!BI95)/12*$FO$80</f>
        <v>23.006250000000001</v>
      </c>
      <c r="FS86" s="100">
        <f t="shared" si="48"/>
        <v>0.21354569912128504</v>
      </c>
      <c r="FT86" s="3">
        <f t="shared" ref="FT86:FT144" si="50">FR86*FS86*7.5</f>
        <v>36.846643053067979</v>
      </c>
      <c r="FY86" s="3">
        <f>'Renewable Diesel'!BF95*('Renewable Diesel'!BI95/'Renewable Diesel'!AX95)</f>
        <v>5.620432417279412</v>
      </c>
      <c r="FZ86" s="3">
        <f>('Renewable Diesel'!BJ95*'Renewable Diesel'!BG95)/12</f>
        <v>16.707412453475847</v>
      </c>
      <c r="GA86" s="3">
        <f t="shared" ref="GA86:GA149" si="51">FZ86*FS86*7.5</f>
        <v>26.75847054663873</v>
      </c>
      <c r="GD86" s="91">
        <f>'Renewable Diesel'!BB95*0</f>
        <v>0</v>
      </c>
      <c r="GE86" s="91">
        <f>'Renewable Diesel'!BC95</f>
        <v>6.8957000000000004E-2</v>
      </c>
      <c r="GF86" s="91">
        <f>'Renewable Diesel'!BD95</f>
        <v>0</v>
      </c>
      <c r="GG86" s="91">
        <f t="shared" si="49"/>
        <v>6.8957000000000004E-2</v>
      </c>
      <c r="GH86" s="124">
        <v>1</v>
      </c>
      <c r="GI86" s="102">
        <f>$GG86*EA86*'Feedstock Conversion Rates'!$B$2</f>
        <v>4.1762220474374397E-2</v>
      </c>
      <c r="GJ86" s="102">
        <f>$GG86*EB86*'Feedstock Conversion Rates'!$B$3</f>
        <v>7.7195451830267728E-2</v>
      </c>
      <c r="GK86" s="102">
        <f>$GG86*EC86*'Feedstock Conversion Rates'!$B$4</f>
        <v>0.1104410308072984</v>
      </c>
      <c r="GL86" s="102">
        <f>$GG86*ED86*'Feedstock Conversion Rates'!$B$5</f>
        <v>0</v>
      </c>
      <c r="GM86" s="102">
        <f>$GG86*EE86*'Feedstock Conversion Rates'!$B$6</f>
        <v>0.18484060407340416</v>
      </c>
      <c r="GN86" s="102">
        <f>$GG86*EF86*'Feedstock Conversion Rates'!$B$7</f>
        <v>0.15667624457690726</v>
      </c>
      <c r="GO86" s="102">
        <f>$GG86*EG86*'Feedstock Conversion Rates'!$B$8</f>
        <v>2.7610257701824605E-2</v>
      </c>
      <c r="GP86" s="102">
        <f>$GG86*EH86*'Feedstock Conversion Rates'!B$9</f>
        <v>0</v>
      </c>
      <c r="GQ86" s="102">
        <f t="shared" si="45"/>
        <v>0.59852580946407652</v>
      </c>
      <c r="GR86" s="85">
        <f>GQ86/GG86</f>
        <v>8.6796961797073031</v>
      </c>
      <c r="GT86" s="103">
        <f t="shared" si="47"/>
        <v>6.9775137202134255E-2</v>
      </c>
      <c r="GU86" s="103">
        <f t="shared" si="47"/>
        <v>0.12897597832813423</v>
      </c>
      <c r="GV86" s="103">
        <f t="shared" si="47"/>
        <v>0.18452175171224106</v>
      </c>
      <c r="GW86" s="103">
        <f t="shared" si="46"/>
        <v>0</v>
      </c>
      <c r="GX86" s="103">
        <f t="shared" si="46"/>
        <v>0.30882645518480073</v>
      </c>
      <c r="GY86" s="103">
        <f t="shared" si="46"/>
        <v>0.2617702396446297</v>
      </c>
      <c r="GZ86" s="103">
        <f t="shared" si="46"/>
        <v>4.6130437928060264E-2</v>
      </c>
      <c r="HA86" s="103">
        <f t="shared" si="23"/>
        <v>0</v>
      </c>
    </row>
    <row r="87" spans="1:209" x14ac:dyDescent="0.25">
      <c r="A87" s="96">
        <v>43070</v>
      </c>
      <c r="C87" s="105"/>
      <c r="D87" s="104">
        <v>0</v>
      </c>
      <c r="E87" s="104">
        <f>('Renewable Diesel'!B96*E$3*'Feedstock Conversion Rates'!$B$2)/12</f>
        <v>20.853333333333332</v>
      </c>
      <c r="F87" s="104">
        <f>('Renewable Diesel'!B96*'RD Feedstock Breakdown'!F$3*'Feedstock Conversion Rates'!B$8)/12</f>
        <v>12.5</v>
      </c>
      <c r="G87" s="104">
        <f>('Renewable Diesel'!B96*'RD Feedstock Breakdown'!G$3*'Feedstock Conversion Rates'!B$7)/12</f>
        <v>40.847999999999999</v>
      </c>
      <c r="H87" s="104">
        <f>('Renewable Diesel'!B96*'RD Feedstock Breakdown'!H$3*'Feedstock Conversion Rates'!B$3)/12</f>
        <v>40.904400000000003</v>
      </c>
      <c r="I87" s="106">
        <f t="shared" ref="I87:I150" si="52">SUM(B87:H87)</f>
        <v>115.10573333333335</v>
      </c>
      <c r="J87" s="106"/>
      <c r="K87" s="107"/>
      <c r="L87" s="106"/>
      <c r="R87" s="104">
        <f>('Renewable Diesel'!D96*'RD Feedstock Breakdown'!R$3*'Feedstock Conversion Rates'!B$7)/12</f>
        <v>2.2999999999999998</v>
      </c>
      <c r="S87" s="106">
        <f t="shared" si="27"/>
        <v>2.2999999999999998</v>
      </c>
      <c r="T87" s="107"/>
      <c r="U87" s="106"/>
      <c r="Z87" s="104">
        <f>('Renewable Diesel'!F96*'RD Feedstock Breakdown'!Z$3*'Feedstock Conversion Rates'!B$6)/12</f>
        <v>44.555000000000007</v>
      </c>
      <c r="AA87" s="104">
        <f>('Renewable Diesel'!F96*'RD Feedstock Breakdown'!AA$3*'Feedstock Conversion Rates'!B$7)/12</f>
        <v>29.133333333333329</v>
      </c>
      <c r="AB87" s="106">
        <f t="shared" si="25"/>
        <v>73.688333333333333</v>
      </c>
      <c r="AC87" s="108"/>
      <c r="AG87" s="108"/>
      <c r="AI87" s="104">
        <f>('Renewable Diesel'!H96*'RD Feedstock Breakdown'!AI$3*'Feedstock Conversion Rates'!B$6)/12</f>
        <v>39.083333333333336</v>
      </c>
      <c r="AJ87" s="106">
        <f t="shared" si="26"/>
        <v>39.083333333333336</v>
      </c>
      <c r="AK87" s="104">
        <f>('Renewable Diesel'!J96*'RD Feedstock Breakdown'!AK$3*'Feedstock Conversion Rates'!B$4)/12</f>
        <v>62.5</v>
      </c>
      <c r="AL87" s="106">
        <f t="shared" si="28"/>
        <v>62.5</v>
      </c>
      <c r="AT87" s="108"/>
      <c r="BX87" s="108"/>
      <c r="CI87" s="108"/>
      <c r="DD87" s="108"/>
      <c r="DJ87" s="108"/>
      <c r="DP87" s="104">
        <f t="shared" si="30"/>
        <v>20.853333333333332</v>
      </c>
      <c r="DQ87" s="104">
        <f t="shared" si="31"/>
        <v>40.904400000000003</v>
      </c>
      <c r="DR87" s="104">
        <f t="shared" si="39"/>
        <v>62.5</v>
      </c>
      <c r="DS87" s="108"/>
      <c r="DT87" s="104">
        <f t="shared" si="32"/>
        <v>83.63833333333335</v>
      </c>
      <c r="DU87" s="104">
        <f t="shared" si="33"/>
        <v>72.281333333333322</v>
      </c>
      <c r="DV87" s="104">
        <f t="shared" si="34"/>
        <v>12.5</v>
      </c>
      <c r="DW87" s="104">
        <f t="shared" si="35"/>
        <v>0</v>
      </c>
      <c r="DX87" s="106">
        <f t="shared" si="36"/>
        <v>292.67740000000003</v>
      </c>
      <c r="DY87" s="109">
        <f t="shared" si="37"/>
        <v>0</v>
      </c>
      <c r="EA87" s="110">
        <f t="shared" si="21"/>
        <v>7.1250234330813816E-2</v>
      </c>
      <c r="EB87" s="110">
        <f t="shared" si="21"/>
        <v>0.13975933912218708</v>
      </c>
      <c r="EC87" s="110">
        <f t="shared" si="21"/>
        <v>0.21354569912128504</v>
      </c>
      <c r="ED87" s="108"/>
      <c r="EE87" s="110">
        <f t="shared" si="22"/>
        <v>0.28576970184009198</v>
      </c>
      <c r="EF87" s="110">
        <f t="shared" si="22"/>
        <v>0.24696588576136494</v>
      </c>
      <c r="EG87" s="110">
        <f t="shared" si="22"/>
        <v>4.270913982425701E-2</v>
      </c>
      <c r="EH87" s="111">
        <f t="shared" si="40"/>
        <v>0</v>
      </c>
      <c r="EI87" s="110">
        <f t="shared" si="41"/>
        <v>0.99999999999999989</v>
      </c>
      <c r="EK87" s="112">
        <f>EA87*'Renewable Diesel'!BF96*'Feedstock Conversion Rates'!B$2</f>
        <v>15.249892355747313</v>
      </c>
      <c r="EL87" s="112">
        <f>EB87*'Renewable Diesel'!BF96*'Feedstock Conversion Rates'!B$3</f>
        <v>28.188691056003883</v>
      </c>
      <c r="EM87" s="112">
        <f>EC87*'Renewable Diesel'!BF96*'Feedstock Conversion Rates'!B$4</f>
        <v>40.328646617401951</v>
      </c>
      <c r="EN87" s="108"/>
      <c r="EO87" s="112">
        <f>EE87*'Renewable Diesel'!BF96*'Feedstock Conversion Rates'!B$6</f>
        <v>67.496394661781878</v>
      </c>
      <c r="EP87" s="112">
        <f>EF87*'Renewable Diesel'!BF96*'Feedstock Conversion Rates'!B$7</f>
        <v>57.211897197053112</v>
      </c>
      <c r="EQ87" s="112">
        <f>EG87*'Renewable Diesel'!BF96*'Feedstock Conversion Rates'!B$8</f>
        <v>10.082161654350489</v>
      </c>
      <c r="ER87" s="112">
        <f>EH87*'Renewable Diesel'!BF96*'Feedstock Conversion Rates'!B$9</f>
        <v>0</v>
      </c>
      <c r="ES87" s="112">
        <f t="shared" si="42"/>
        <v>218.55768354233865</v>
      </c>
      <c r="EW87" s="73">
        <f t="shared" si="43"/>
        <v>40.328646617401951</v>
      </c>
      <c r="EX87" s="73">
        <f t="shared" si="44"/>
        <v>178.22903692493665</v>
      </c>
      <c r="EY87" s="92">
        <f t="shared" si="38"/>
        <v>0.184521751712241</v>
      </c>
      <c r="EZ87" s="92">
        <f t="shared" si="38"/>
        <v>0.81547824828775883</v>
      </c>
      <c r="FE87" s="108"/>
      <c r="FR87" s="3">
        <f>('Renewable Diesel'!AX96-'Renewable Diesel'!BI96)/12*$FO$80</f>
        <v>23.006250000000001</v>
      </c>
      <c r="FS87" s="100">
        <f t="shared" si="48"/>
        <v>0.21354569912128504</v>
      </c>
      <c r="FT87" s="3">
        <f t="shared" si="50"/>
        <v>36.846643053067979</v>
      </c>
      <c r="FY87" s="3">
        <f>'Renewable Diesel'!BF96*('Renewable Diesel'!BI96/'Renewable Diesel'!AX96)</f>
        <v>6.2487971139705882</v>
      </c>
      <c r="FZ87" s="3">
        <f>('Renewable Diesel'!BJ96*'Renewable Diesel'!BG96)/12</f>
        <v>19.194478953890929</v>
      </c>
      <c r="GA87" s="3">
        <f t="shared" si="51"/>
        <v>30.741738206080729</v>
      </c>
      <c r="GD87" s="91">
        <f>'Renewable Diesel'!BB96*0</f>
        <v>0</v>
      </c>
      <c r="GE87" s="91">
        <f>'Renewable Diesel'!BC96</f>
        <v>0.201266</v>
      </c>
      <c r="GF87" s="91">
        <f>'Renewable Diesel'!BD96</f>
        <v>0</v>
      </c>
      <c r="GG87" s="91">
        <f t="shared" si="49"/>
        <v>0.201266</v>
      </c>
      <c r="GH87" s="124">
        <v>1</v>
      </c>
      <c r="GI87" s="102">
        <f>$GG87*EA87*'Feedstock Conversion Rates'!$B$2</f>
        <v>0.12189212213401737</v>
      </c>
      <c r="GJ87" s="102">
        <f>$GG87*EB87*'Feedstock Conversion Rates'!$B$3</f>
        <v>0.22531171321360649</v>
      </c>
      <c r="GK87" s="102">
        <f>$GG87*EC87*'Feedstock Conversion Rates'!$B$4</f>
        <v>0.32234616509508418</v>
      </c>
      <c r="GL87" s="102">
        <f>$GG87*ED87*'Feedstock Conversion Rates'!$B$5</f>
        <v>0</v>
      </c>
      <c r="GM87" s="102">
        <f>$GG87*EE87*'Feedstock Conversion Rates'!$B$6</f>
        <v>0.53949749872293984</v>
      </c>
      <c r="GN87" s="102">
        <f>$GG87*EF87*'Feedstock Conversion Rates'!$B$7</f>
        <v>0.45729369086555122</v>
      </c>
      <c r="GO87" s="102">
        <f>$GG87*EG87*'Feedstock Conversion Rates'!$B$8</f>
        <v>8.0586541273771045E-2</v>
      </c>
      <c r="GP87" s="102">
        <f>$GG87*EH87*'Feedstock Conversion Rates'!B$9</f>
        <v>0</v>
      </c>
      <c r="GQ87" s="102">
        <f t="shared" si="45"/>
        <v>1.74692773130497</v>
      </c>
      <c r="GR87" s="85">
        <f t="shared" ref="GR87:GR150" si="53">GQ87/GG87</f>
        <v>8.6796961797073031</v>
      </c>
      <c r="GT87" s="103">
        <f t="shared" si="47"/>
        <v>6.9775137202134227E-2</v>
      </c>
      <c r="GU87" s="103">
        <f t="shared" si="47"/>
        <v>0.12897597832813421</v>
      </c>
      <c r="GV87" s="103">
        <f t="shared" si="47"/>
        <v>0.184521751712241</v>
      </c>
      <c r="GW87" s="103">
        <f t="shared" si="46"/>
        <v>0</v>
      </c>
      <c r="GX87" s="103">
        <f t="shared" si="46"/>
        <v>0.30882645518480062</v>
      </c>
      <c r="GY87" s="103">
        <f t="shared" si="46"/>
        <v>0.26177023964462959</v>
      </c>
      <c r="GZ87" s="103">
        <f t="shared" si="46"/>
        <v>4.6130437928060257E-2</v>
      </c>
      <c r="HA87" s="103">
        <f t="shared" si="23"/>
        <v>0</v>
      </c>
    </row>
    <row r="88" spans="1:209" x14ac:dyDescent="0.25">
      <c r="A88" s="96">
        <v>43101</v>
      </c>
      <c r="B88" s="104">
        <v>20</v>
      </c>
      <c r="C88" s="105"/>
      <c r="D88" s="104">
        <v>0</v>
      </c>
      <c r="E88" s="104">
        <f>('Renewable Diesel'!B97*E$3*'Feedstock Conversion Rates'!$B$2)/12</f>
        <v>20.853333333333332</v>
      </c>
      <c r="F88" s="104">
        <f>('Renewable Diesel'!B97*'RD Feedstock Breakdown'!F$3*'Feedstock Conversion Rates'!B$8)/12</f>
        <v>12.5</v>
      </c>
      <c r="G88" s="104">
        <f>('Renewable Diesel'!B97*'RD Feedstock Breakdown'!G$3*'Feedstock Conversion Rates'!B$7)/12</f>
        <v>40.847999999999999</v>
      </c>
      <c r="H88" s="104">
        <f>('Renewable Diesel'!B97*'RD Feedstock Breakdown'!H$3*'Feedstock Conversion Rates'!B$3)/12-20</f>
        <v>20.904400000000003</v>
      </c>
      <c r="I88" s="106">
        <f t="shared" si="52"/>
        <v>115.10573333333335</v>
      </c>
      <c r="J88" s="106"/>
      <c r="K88" s="107"/>
      <c r="L88" s="106"/>
      <c r="R88" s="104">
        <f>('Renewable Diesel'!D97*'RD Feedstock Breakdown'!R$3*'Feedstock Conversion Rates'!B$7)/12</f>
        <v>2.2999999999999998</v>
      </c>
      <c r="S88" s="106">
        <f t="shared" si="27"/>
        <v>2.2999999999999998</v>
      </c>
      <c r="T88" s="107"/>
      <c r="U88" s="106"/>
      <c r="Z88" s="104">
        <f>('Renewable Diesel'!F97*'RD Feedstock Breakdown'!Z$3*'Feedstock Conversion Rates'!B$6)/12</f>
        <v>44.555000000000007</v>
      </c>
      <c r="AA88" s="104">
        <f>('Renewable Diesel'!F97*'RD Feedstock Breakdown'!AA$3*'Feedstock Conversion Rates'!B$7)/12</f>
        <v>29.133333333333329</v>
      </c>
      <c r="AB88" s="106">
        <f t="shared" si="25"/>
        <v>73.688333333333333</v>
      </c>
      <c r="AC88" s="108"/>
      <c r="AG88" s="108"/>
      <c r="AI88" s="104">
        <f>('Renewable Diesel'!H97*'RD Feedstock Breakdown'!AI$3*'Feedstock Conversion Rates'!B$6)/12</f>
        <v>39.083333333333336</v>
      </c>
      <c r="AJ88" s="106">
        <f t="shared" si="26"/>
        <v>39.083333333333336</v>
      </c>
      <c r="AK88" s="104">
        <f>('Renewable Diesel'!J97*'RD Feedstock Breakdown'!AK$3*'Feedstock Conversion Rates'!B$4)/12</f>
        <v>62.5</v>
      </c>
      <c r="AL88" s="106">
        <f t="shared" si="28"/>
        <v>62.5</v>
      </c>
      <c r="AT88" s="108"/>
      <c r="BJ88" s="104"/>
      <c r="BK88" s="104"/>
      <c r="BL88" s="104"/>
      <c r="BM88" s="104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7"/>
      <c r="BY88" s="106"/>
      <c r="BZ88" s="106"/>
      <c r="CA88" s="106"/>
      <c r="CB88" s="106"/>
      <c r="CC88" s="106"/>
      <c r="CD88" s="106"/>
      <c r="CE88" s="106"/>
      <c r="CF88" s="106"/>
      <c r="CG88" s="106"/>
      <c r="CH88" s="106"/>
      <c r="CI88" s="107"/>
      <c r="CJ88" s="106"/>
      <c r="CK88" s="106"/>
      <c r="CL88" s="106"/>
      <c r="CM88" s="106"/>
      <c r="CN88" s="106"/>
      <c r="CO88" s="106"/>
      <c r="CP88" s="106"/>
      <c r="CQ88" s="106"/>
      <c r="CR88" s="106"/>
      <c r="CS88" s="106"/>
      <c r="CT88" s="106"/>
      <c r="CU88" s="106"/>
      <c r="CV88" s="106"/>
      <c r="CW88" s="106"/>
      <c r="CX88" s="106"/>
      <c r="CY88" s="106"/>
      <c r="CZ88" s="106"/>
      <c r="DA88" s="106"/>
      <c r="DB88" s="106"/>
      <c r="DC88" s="106"/>
      <c r="DD88" s="107"/>
      <c r="DE88" s="106"/>
      <c r="DF88" s="106"/>
      <c r="DG88" s="106"/>
      <c r="DH88" s="106"/>
      <c r="DI88" s="106"/>
      <c r="DJ88" s="107"/>
      <c r="DK88" s="106"/>
      <c r="DL88" s="106"/>
      <c r="DM88" s="106"/>
      <c r="DN88" s="106"/>
      <c r="DP88" s="104">
        <f t="shared" si="30"/>
        <v>20.853333333333332</v>
      </c>
      <c r="DQ88" s="104">
        <f t="shared" si="31"/>
        <v>20.904400000000003</v>
      </c>
      <c r="DR88" s="104">
        <f t="shared" si="39"/>
        <v>82.5</v>
      </c>
      <c r="DS88" s="107"/>
      <c r="DT88" s="104">
        <f t="shared" si="32"/>
        <v>83.63833333333335</v>
      </c>
      <c r="DU88" s="104">
        <f t="shared" si="33"/>
        <v>72.281333333333322</v>
      </c>
      <c r="DV88" s="104">
        <f t="shared" si="34"/>
        <v>12.5</v>
      </c>
      <c r="DW88" s="104">
        <f t="shared" si="35"/>
        <v>0</v>
      </c>
      <c r="DX88" s="106">
        <f t="shared" si="36"/>
        <v>292.67740000000003</v>
      </c>
      <c r="DY88" s="109">
        <f t="shared" si="37"/>
        <v>0</v>
      </c>
      <c r="EA88" s="110">
        <f t="shared" si="21"/>
        <v>7.1250234330813816E-2</v>
      </c>
      <c r="EB88" s="110">
        <f t="shared" si="21"/>
        <v>7.1424715403375874E-2</v>
      </c>
      <c r="EC88" s="110">
        <f t="shared" si="21"/>
        <v>0.28188032284009629</v>
      </c>
      <c r="ED88" s="107"/>
      <c r="EE88" s="110">
        <f t="shared" si="22"/>
        <v>0.28576970184009198</v>
      </c>
      <c r="EF88" s="110">
        <f t="shared" si="22"/>
        <v>0.24696588576136494</v>
      </c>
      <c r="EG88" s="110">
        <f t="shared" si="22"/>
        <v>4.270913982425701E-2</v>
      </c>
      <c r="EH88" s="111">
        <f t="shared" si="40"/>
        <v>0</v>
      </c>
      <c r="EI88" s="110">
        <f t="shared" si="41"/>
        <v>1</v>
      </c>
      <c r="EK88" s="112">
        <f>EA88*'Renewable Diesel'!BF97*'Feedstock Conversion Rates'!B$2</f>
        <v>8.1751122722834051</v>
      </c>
      <c r="EL88" s="112">
        <f>EB88*'Renewable Diesel'!BF97*'Feedstock Conversion Rates'!B$3</f>
        <v>7.722706638601724</v>
      </c>
      <c r="EM88" s="112">
        <f>EC88*'Renewable Diesel'!BF97*'Feedstock Conversion Rates'!B$4</f>
        <v>28.537408145452979</v>
      </c>
      <c r="EN88" s="107"/>
      <c r="EO88" s="112">
        <f>EE88*'Renewable Diesel'!BF97*'Feedstock Conversion Rates'!B$6</f>
        <v>36.183245852647666</v>
      </c>
      <c r="EP88" s="112">
        <f>EF88*'Renewable Diesel'!BF97*'Feedstock Conversion Rates'!B$7</f>
        <v>30.669966186349875</v>
      </c>
      <c r="EQ88" s="112">
        <f>EG88*'Renewable Diesel'!BF97*'Feedstock Conversion Rates'!B$8</f>
        <v>5.4048121487600334</v>
      </c>
      <c r="ER88" s="112">
        <f>EH88*'Renewable Diesel'!BF97*'Feedstock Conversion Rates'!B$9</f>
        <v>0</v>
      </c>
      <c r="ES88" s="112">
        <f t="shared" si="42"/>
        <v>116.69325124409569</v>
      </c>
      <c r="EW88" s="73">
        <f t="shared" si="43"/>
        <v>28.537408145452979</v>
      </c>
      <c r="EX88" s="73">
        <f t="shared" si="44"/>
        <v>88.155843098642706</v>
      </c>
      <c r="EY88" s="92">
        <f t="shared" si="38"/>
        <v>0.24455063031673721</v>
      </c>
      <c r="EZ88" s="92">
        <f t="shared" si="38"/>
        <v>0.75544936968326271</v>
      </c>
      <c r="FE88" s="107"/>
      <c r="FR88" s="3">
        <f>('Renewable Diesel'!AX97-'Renewable Diesel'!BI97)/12*$FO$80</f>
        <v>23.006250000000001</v>
      </c>
      <c r="FS88" s="100">
        <f t="shared" si="48"/>
        <v>0.28188032284009629</v>
      </c>
      <c r="FT88" s="3">
        <f t="shared" si="50"/>
        <v>48.637568830049744</v>
      </c>
      <c r="FY88" s="3">
        <f>'Renewable Diesel'!BF97*('Renewable Diesel'!BI97/'Renewable Diesel'!AX97)</f>
        <v>3.3498346599264708</v>
      </c>
      <c r="FZ88" s="3">
        <f>('Renewable Diesel'!BJ97*'Renewable Diesel'!BG97)/12</f>
        <v>9.9577870809861242</v>
      </c>
      <c r="GA88" s="3">
        <f t="shared" si="51"/>
        <v>21.051781778709817</v>
      </c>
      <c r="GD88" s="91">
        <f>'Renewable Diesel'!BB97*0</f>
        <v>0</v>
      </c>
      <c r="GE88" s="91">
        <f>'Renewable Diesel'!BC97</f>
        <v>0.139714</v>
      </c>
      <c r="GF88" s="91">
        <f>'Renewable Diesel'!BD97</f>
        <v>0</v>
      </c>
      <c r="GG88" s="91">
        <f t="shared" si="49"/>
        <v>0.139714</v>
      </c>
      <c r="GH88" s="124">
        <v>1</v>
      </c>
      <c r="GI88" s="102">
        <f>$GG88*EA88*'Feedstock Conversion Rates'!$B$2</f>
        <v>8.4614569534010226E-2</v>
      </c>
      <c r="GJ88" s="102">
        <f>$GG88*EB88*'Feedstock Conversion Rates'!$B$3</f>
        <v>7.9932051829816719E-2</v>
      </c>
      <c r="GK88" s="102">
        <f>$GG88*EC88*'Feedstock Conversion Rates'!$B$4</f>
        <v>0.29536970568960913</v>
      </c>
      <c r="GL88" s="102">
        <f>$GG88*ED88*'Feedstock Conversion Rates'!$B$5</f>
        <v>0</v>
      </c>
      <c r="GM88" s="102">
        <f>$GG88*EE88*'Feedstock Conversion Rates'!$B$6</f>
        <v>0.37450614379267644</v>
      </c>
      <c r="GN88" s="102">
        <f>$GG88*EF88*'Feedstock Conversion Rates'!$B$7</f>
        <v>0.31744224422202272</v>
      </c>
      <c r="GO88" s="102">
        <f>$GG88*EG88*'Feedstock Conversion Rates'!$B$8</f>
        <v>5.5941232138183535E-2</v>
      </c>
      <c r="GP88" s="102">
        <f>$GG88*EH88*'Feedstock Conversion Rates'!B$9</f>
        <v>0</v>
      </c>
      <c r="GQ88" s="102">
        <f t="shared" si="45"/>
        <v>1.2078059472063187</v>
      </c>
      <c r="GR88" s="85">
        <f t="shared" si="53"/>
        <v>8.6448455216107103</v>
      </c>
      <c r="GT88" s="103">
        <f t="shared" si="47"/>
        <v>7.005642730086363E-2</v>
      </c>
      <c r="GU88" s="103">
        <f t="shared" si="47"/>
        <v>6.6179548142399264E-2</v>
      </c>
      <c r="GV88" s="103">
        <f t="shared" si="47"/>
        <v>0.24455063031673718</v>
      </c>
      <c r="GW88" s="103">
        <f t="shared" si="46"/>
        <v>0</v>
      </c>
      <c r="GX88" s="103">
        <f t="shared" si="46"/>
        <v>0.31007145200677083</v>
      </c>
      <c r="GY88" s="103">
        <f t="shared" si="46"/>
        <v>0.2628255349762712</v>
      </c>
      <c r="GZ88" s="103">
        <f t="shared" si="46"/>
        <v>4.6316407256957792E-2</v>
      </c>
      <c r="HA88" s="103">
        <f t="shared" si="23"/>
        <v>0</v>
      </c>
    </row>
    <row r="89" spans="1:209" x14ac:dyDescent="0.25">
      <c r="A89" s="96">
        <v>43132</v>
      </c>
      <c r="B89" s="104">
        <v>20</v>
      </c>
      <c r="C89" s="105"/>
      <c r="D89" s="104">
        <v>0</v>
      </c>
      <c r="E89" s="104">
        <f>('Renewable Diesel'!B98*E$3*'Feedstock Conversion Rates'!$B$2)/12</f>
        <v>20.853333333333332</v>
      </c>
      <c r="F89" s="104">
        <f>('Renewable Diesel'!B98*'RD Feedstock Breakdown'!F$3*'Feedstock Conversion Rates'!B$8)/12</f>
        <v>12.5</v>
      </c>
      <c r="G89" s="104">
        <f>('Renewable Diesel'!B98*'RD Feedstock Breakdown'!G$3*'Feedstock Conversion Rates'!B$7)/12</f>
        <v>40.847999999999999</v>
      </c>
      <c r="H89" s="104">
        <f>('Renewable Diesel'!B98*'RD Feedstock Breakdown'!H$3*'Feedstock Conversion Rates'!B$3)/12-20</f>
        <v>20.904400000000003</v>
      </c>
      <c r="I89" s="106">
        <f t="shared" si="52"/>
        <v>115.10573333333335</v>
      </c>
      <c r="J89" s="106"/>
      <c r="K89" s="107"/>
      <c r="L89" s="106"/>
      <c r="R89" s="104">
        <f>('Renewable Diesel'!D98*'RD Feedstock Breakdown'!R$3*'Feedstock Conversion Rates'!B$7)/12</f>
        <v>2.2999999999999998</v>
      </c>
      <c r="S89" s="106">
        <f t="shared" si="27"/>
        <v>2.2999999999999998</v>
      </c>
      <c r="T89" s="107"/>
      <c r="U89" s="106"/>
      <c r="Z89" s="104">
        <f>('Renewable Diesel'!F98*'RD Feedstock Breakdown'!Z$3*'Feedstock Conversion Rates'!B$6)/12</f>
        <v>44.555000000000007</v>
      </c>
      <c r="AA89" s="104">
        <f>('Renewable Diesel'!F98*'RD Feedstock Breakdown'!AA$3*'Feedstock Conversion Rates'!B$7)/12</f>
        <v>29.133333333333329</v>
      </c>
      <c r="AB89" s="106">
        <f t="shared" si="25"/>
        <v>73.688333333333333</v>
      </c>
      <c r="AC89" s="108"/>
      <c r="AG89" s="108"/>
      <c r="AI89" s="104">
        <f>('Renewable Diesel'!H98*'RD Feedstock Breakdown'!AI$3*'Feedstock Conversion Rates'!B$6)/12</f>
        <v>39.083333333333336</v>
      </c>
      <c r="AJ89" s="106">
        <f t="shared" si="26"/>
        <v>39.083333333333336</v>
      </c>
      <c r="AK89" s="104">
        <f>('Renewable Diesel'!J98*'RD Feedstock Breakdown'!AK$3*'Feedstock Conversion Rates'!B$4)/12</f>
        <v>62.5</v>
      </c>
      <c r="AL89" s="106">
        <f t="shared" si="28"/>
        <v>62.5</v>
      </c>
      <c r="AT89" s="108"/>
      <c r="BJ89" s="104"/>
      <c r="BK89" s="104"/>
      <c r="BL89" s="104"/>
      <c r="BM89" s="104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7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7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  <c r="CU89" s="106"/>
      <c r="CV89" s="106"/>
      <c r="CW89" s="106"/>
      <c r="CX89" s="106"/>
      <c r="CY89" s="106"/>
      <c r="CZ89" s="106"/>
      <c r="DA89" s="106"/>
      <c r="DB89" s="106"/>
      <c r="DC89" s="106"/>
      <c r="DD89" s="107"/>
      <c r="DE89" s="106"/>
      <c r="DF89" s="106"/>
      <c r="DG89" s="106"/>
      <c r="DH89" s="106"/>
      <c r="DI89" s="106"/>
      <c r="DJ89" s="107"/>
      <c r="DK89" s="106"/>
      <c r="DL89" s="106"/>
      <c r="DM89" s="106"/>
      <c r="DN89" s="106"/>
      <c r="DP89" s="104">
        <f t="shared" si="30"/>
        <v>20.853333333333332</v>
      </c>
      <c r="DQ89" s="104">
        <f t="shared" si="31"/>
        <v>20.904400000000003</v>
      </c>
      <c r="DR89" s="104">
        <f t="shared" si="39"/>
        <v>82.5</v>
      </c>
      <c r="DS89" s="107"/>
      <c r="DT89" s="104">
        <f t="shared" si="32"/>
        <v>83.63833333333335</v>
      </c>
      <c r="DU89" s="104">
        <f t="shared" si="33"/>
        <v>72.281333333333322</v>
      </c>
      <c r="DV89" s="104">
        <f t="shared" si="34"/>
        <v>12.5</v>
      </c>
      <c r="DW89" s="104">
        <f t="shared" si="35"/>
        <v>0</v>
      </c>
      <c r="DX89" s="106">
        <f t="shared" si="36"/>
        <v>292.67740000000003</v>
      </c>
      <c r="DY89" s="109">
        <f t="shared" si="37"/>
        <v>0</v>
      </c>
      <c r="EA89" s="110">
        <f t="shared" si="21"/>
        <v>7.1250234330813816E-2</v>
      </c>
      <c r="EB89" s="110">
        <f t="shared" si="21"/>
        <v>7.1424715403375874E-2</v>
      </c>
      <c r="EC89" s="110">
        <f t="shared" si="21"/>
        <v>0.28188032284009629</v>
      </c>
      <c r="ED89" s="107"/>
      <c r="EE89" s="110">
        <f t="shared" si="22"/>
        <v>0.28576970184009198</v>
      </c>
      <c r="EF89" s="110">
        <f t="shared" si="22"/>
        <v>0.24696588576136494</v>
      </c>
      <c r="EG89" s="110">
        <f t="shared" si="22"/>
        <v>4.270913982425701E-2</v>
      </c>
      <c r="EH89" s="111">
        <f t="shared" si="40"/>
        <v>0</v>
      </c>
      <c r="EI89" s="110">
        <f t="shared" si="41"/>
        <v>1</v>
      </c>
      <c r="EK89" s="112">
        <f>EA89*'Renewable Diesel'!BF98*'Feedstock Conversion Rates'!B$2</f>
        <v>12.356348911213049</v>
      </c>
      <c r="EL89" s="112">
        <f>EB89*'Renewable Diesel'!BF98*'Feedstock Conversion Rates'!B$3</f>
        <v>11.672556239873021</v>
      </c>
      <c r="EM89" s="112">
        <f>EC89*'Renewable Diesel'!BF98*'Feedstock Conversion Rates'!B$4</f>
        <v>43.13312898006474</v>
      </c>
      <c r="EN89" s="107"/>
      <c r="EO89" s="112">
        <f>EE89*'Renewable Diesel'!BF98*'Feedstock Conversion Rates'!B$6</f>
        <v>54.689500963959077</v>
      </c>
      <c r="EP89" s="112">
        <f>EF89*'Renewable Diesel'!BF98*'Feedstock Conversion Rates'!B$7</f>
        <v>46.356403517354352</v>
      </c>
      <c r="EQ89" s="112">
        <f>EG89*'Renewable Diesel'!BF98*'Feedstock Conversion Rates'!B$8</f>
        <v>8.1691532159213516</v>
      </c>
      <c r="ER89" s="112">
        <f>EH89*'Renewable Diesel'!BF98*'Feedstock Conversion Rates'!B$9</f>
        <v>0</v>
      </c>
      <c r="ES89" s="112">
        <f t="shared" si="42"/>
        <v>176.3770918283856</v>
      </c>
      <c r="EW89" s="73">
        <f t="shared" si="43"/>
        <v>43.13312898006474</v>
      </c>
      <c r="EX89" s="73">
        <f t="shared" si="44"/>
        <v>133.24396284832085</v>
      </c>
      <c r="EY89" s="92">
        <f t="shared" si="38"/>
        <v>0.24455063031673721</v>
      </c>
      <c r="EZ89" s="92">
        <f t="shared" si="38"/>
        <v>0.75544936968326271</v>
      </c>
      <c r="FE89" s="107"/>
      <c r="FR89" s="3">
        <f>('Renewable Diesel'!AX98-'Renewable Diesel'!BI98)/12*$FO$80</f>
        <v>23.006250000000001</v>
      </c>
      <c r="FS89" s="100">
        <f t="shared" si="48"/>
        <v>0.28188032284009629</v>
      </c>
      <c r="FT89" s="3">
        <f t="shared" si="50"/>
        <v>48.637568830049744</v>
      </c>
      <c r="FY89" s="3">
        <f>'Renewable Diesel'!BF98*('Renewable Diesel'!BI98/'Renewable Diesel'!AX98)</f>
        <v>5.0631385202205887</v>
      </c>
      <c r="FZ89" s="3">
        <f>('Renewable Diesel'!BJ98*'Renewable Diesel'!BG98)/12</f>
        <v>15.050789207310444</v>
      </c>
      <c r="GA89" s="3">
        <f t="shared" si="51"/>
        <v>31.818909905661791</v>
      </c>
      <c r="GD89" s="91">
        <f>'Renewable Diesel'!BB98*0</f>
        <v>0</v>
      </c>
      <c r="GE89" s="91">
        <f>'Renewable Diesel'!BC98</f>
        <v>0.23799600000000001</v>
      </c>
      <c r="GF89" s="91">
        <f>'Renewable Diesel'!BD98</f>
        <v>0</v>
      </c>
      <c r="GG89" s="91">
        <f t="shared" si="49"/>
        <v>0.23799600000000001</v>
      </c>
      <c r="GH89" s="124">
        <v>1</v>
      </c>
      <c r="GI89" s="102">
        <f>$GG89*EA89*'Feedstock Conversion Rates'!$B$2</f>
        <v>0.14413680154326911</v>
      </c>
      <c r="GJ89" s="102">
        <f>$GG89*EB89*'Feedstock Conversion Rates'!$B$3</f>
        <v>0.13616036050280617</v>
      </c>
      <c r="GK89" s="102">
        <f>$GG89*EC89*'Feedstock Conversion Rates'!$B$4</f>
        <v>0.50314791985988672</v>
      </c>
      <c r="GL89" s="102">
        <f>$GG89*ED89*'Feedstock Conversion Rates'!$B$5</f>
        <v>0</v>
      </c>
      <c r="GM89" s="102">
        <f>$GG89*EE89*'Feedstock Conversion Rates'!$B$6</f>
        <v>0.63795299109668191</v>
      </c>
      <c r="GN89" s="102">
        <f>$GG89*EF89*'Feedstock Conversion Rates'!$B$7</f>
        <v>0.54074741511848867</v>
      </c>
      <c r="GO89" s="102">
        <f>$GG89*EG89*'Feedstock Conversion Rates'!$B$8</f>
        <v>9.5293166640130045E-2</v>
      </c>
      <c r="GP89" s="102">
        <f>$GG89*EH89*'Feedstock Conversion Rates'!B$9</f>
        <v>0</v>
      </c>
      <c r="GQ89" s="102">
        <f t="shared" si="45"/>
        <v>2.0574386547612624</v>
      </c>
      <c r="GR89" s="85">
        <f t="shared" si="53"/>
        <v>8.6448455216107085</v>
      </c>
      <c r="GT89" s="103">
        <f t="shared" si="47"/>
        <v>7.0056427300863658E-2</v>
      </c>
      <c r="GU89" s="103">
        <f t="shared" si="47"/>
        <v>6.6179548142399278E-2</v>
      </c>
      <c r="GV89" s="103">
        <f t="shared" si="47"/>
        <v>0.24455063031673721</v>
      </c>
      <c r="GW89" s="103">
        <f t="shared" si="46"/>
        <v>0</v>
      </c>
      <c r="GX89" s="103">
        <f t="shared" si="46"/>
        <v>0.31007145200677083</v>
      </c>
      <c r="GY89" s="103">
        <f t="shared" si="46"/>
        <v>0.2628255349762712</v>
      </c>
      <c r="GZ89" s="103">
        <f t="shared" si="46"/>
        <v>4.6316407256957806E-2</v>
      </c>
      <c r="HA89" s="103">
        <f t="shared" si="23"/>
        <v>0</v>
      </c>
    </row>
    <row r="90" spans="1:209" x14ac:dyDescent="0.25">
      <c r="A90" s="96">
        <v>43160</v>
      </c>
      <c r="B90" s="104">
        <v>20</v>
      </c>
      <c r="C90" s="105"/>
      <c r="D90" s="104">
        <v>0</v>
      </c>
      <c r="E90" s="104">
        <f>('Renewable Diesel'!B99*E$3*'Feedstock Conversion Rates'!$B$2)/12</f>
        <v>20.853333333333332</v>
      </c>
      <c r="F90" s="104">
        <f>('Renewable Diesel'!B99*'RD Feedstock Breakdown'!F$3*'Feedstock Conversion Rates'!B$8)/12</f>
        <v>12.5</v>
      </c>
      <c r="G90" s="104">
        <f>('Renewable Diesel'!B99*'RD Feedstock Breakdown'!G$3*'Feedstock Conversion Rates'!B$7)/12</f>
        <v>40.847999999999999</v>
      </c>
      <c r="H90" s="104">
        <f>('Renewable Diesel'!B99*'RD Feedstock Breakdown'!H$3*'Feedstock Conversion Rates'!B$3)/12-20</f>
        <v>20.904400000000003</v>
      </c>
      <c r="I90" s="106">
        <f t="shared" si="52"/>
        <v>115.10573333333335</v>
      </c>
      <c r="J90" s="106"/>
      <c r="K90" s="107"/>
      <c r="L90" s="106"/>
      <c r="R90" s="104">
        <f>('Renewable Diesel'!D99*'RD Feedstock Breakdown'!R$3*'Feedstock Conversion Rates'!B$7)/12</f>
        <v>2.2999999999999998</v>
      </c>
      <c r="S90" s="106">
        <f t="shared" si="27"/>
        <v>2.2999999999999998</v>
      </c>
      <c r="T90" s="107"/>
      <c r="U90" s="106"/>
      <c r="Z90" s="104">
        <f>('Renewable Diesel'!F99*'RD Feedstock Breakdown'!Z$3*'Feedstock Conversion Rates'!B$6)/12</f>
        <v>44.555000000000007</v>
      </c>
      <c r="AA90" s="104">
        <f>('Renewable Diesel'!F99*'RD Feedstock Breakdown'!AA$3*'Feedstock Conversion Rates'!B$7)/12</f>
        <v>29.133333333333329</v>
      </c>
      <c r="AB90" s="106">
        <f t="shared" si="25"/>
        <v>73.688333333333333</v>
      </c>
      <c r="AC90" s="108"/>
      <c r="AG90" s="108"/>
      <c r="AI90" s="104">
        <f>('Renewable Diesel'!H99*'RD Feedstock Breakdown'!AI$3*'Feedstock Conversion Rates'!B$6)/12</f>
        <v>39.083333333333336</v>
      </c>
      <c r="AJ90" s="106">
        <f t="shared" si="26"/>
        <v>39.083333333333336</v>
      </c>
      <c r="AK90" s="104">
        <f>('Renewable Diesel'!J99*'RD Feedstock Breakdown'!AK$3*'Feedstock Conversion Rates'!B$4)/12</f>
        <v>62.5</v>
      </c>
      <c r="AL90" s="106">
        <f t="shared" si="28"/>
        <v>62.5</v>
      </c>
      <c r="AT90" s="108"/>
      <c r="BJ90" s="104"/>
      <c r="BK90" s="104"/>
      <c r="BL90" s="104"/>
      <c r="BM90" s="104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7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7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  <c r="CU90" s="106"/>
      <c r="CV90" s="106"/>
      <c r="CW90" s="106"/>
      <c r="CX90" s="106"/>
      <c r="CY90" s="106"/>
      <c r="CZ90" s="106"/>
      <c r="DA90" s="106"/>
      <c r="DB90" s="106"/>
      <c r="DC90" s="106"/>
      <c r="DD90" s="107"/>
      <c r="DE90" s="106"/>
      <c r="DF90" s="106"/>
      <c r="DG90" s="106"/>
      <c r="DH90" s="106"/>
      <c r="DI90" s="106"/>
      <c r="DJ90" s="107"/>
      <c r="DK90" s="106"/>
      <c r="DL90" s="106"/>
      <c r="DM90" s="106"/>
      <c r="DN90" s="106"/>
      <c r="DP90" s="104">
        <f t="shared" si="30"/>
        <v>20.853333333333332</v>
      </c>
      <c r="DQ90" s="104">
        <f t="shared" si="31"/>
        <v>20.904400000000003</v>
      </c>
      <c r="DR90" s="104">
        <f t="shared" si="39"/>
        <v>82.5</v>
      </c>
      <c r="DS90" s="107"/>
      <c r="DT90" s="104">
        <f t="shared" si="32"/>
        <v>83.63833333333335</v>
      </c>
      <c r="DU90" s="104">
        <f t="shared" si="33"/>
        <v>72.281333333333322</v>
      </c>
      <c r="DV90" s="104">
        <f t="shared" si="34"/>
        <v>12.5</v>
      </c>
      <c r="DW90" s="104">
        <f t="shared" si="35"/>
        <v>0</v>
      </c>
      <c r="DX90" s="106">
        <f t="shared" si="36"/>
        <v>292.67740000000003</v>
      </c>
      <c r="DY90" s="109">
        <f t="shared" si="37"/>
        <v>0</v>
      </c>
      <c r="EA90" s="110">
        <f t="shared" si="21"/>
        <v>7.1250234330813816E-2</v>
      </c>
      <c r="EB90" s="110">
        <f t="shared" si="21"/>
        <v>7.1424715403375874E-2</v>
      </c>
      <c r="EC90" s="110">
        <f t="shared" si="21"/>
        <v>0.28188032284009629</v>
      </c>
      <c r="ED90" s="107"/>
      <c r="EE90" s="110">
        <f t="shared" si="22"/>
        <v>0.28576970184009198</v>
      </c>
      <c r="EF90" s="110">
        <f t="shared" si="22"/>
        <v>0.24696588576136494</v>
      </c>
      <c r="EG90" s="110">
        <f t="shared" si="22"/>
        <v>4.270913982425701E-2</v>
      </c>
      <c r="EH90" s="111">
        <f t="shared" si="40"/>
        <v>0</v>
      </c>
      <c r="EI90" s="110">
        <f t="shared" si="41"/>
        <v>1</v>
      </c>
      <c r="EK90" s="112">
        <f>EA90*'Renewable Diesel'!BF99*'Feedstock Conversion Rates'!B$2</f>
        <v>13.868732142078613</v>
      </c>
      <c r="EL90" s="112">
        <f>EB90*'Renewable Diesel'!BF99*'Feedstock Conversion Rates'!B$3</f>
        <v>13.101245122435994</v>
      </c>
      <c r="EM90" s="112">
        <f>EC90*'Renewable Diesel'!BF99*'Feedstock Conversion Rates'!B$4</f>
        <v>48.412505714482904</v>
      </c>
      <c r="EN90" s="107"/>
      <c r="EO90" s="112">
        <f>EE90*'Renewable Diesel'!BF99*'Feedstock Conversion Rates'!B$6</f>
        <v>61.383345946536373</v>
      </c>
      <c r="EP90" s="112">
        <f>EF90*'Renewable Diesel'!BF99*'Feedstock Conversion Rates'!B$7</f>
        <v>52.030300218285369</v>
      </c>
      <c r="EQ90" s="112">
        <f>EG90*'Renewable Diesel'!BF99*'Feedstock Conversion Rates'!B$8</f>
        <v>9.1690351731975213</v>
      </c>
      <c r="ER90" s="112">
        <f>EH90*'Renewable Diesel'!BF99*'Feedstock Conversion Rates'!B$9</f>
        <v>0</v>
      </c>
      <c r="ES90" s="112">
        <f t="shared" si="42"/>
        <v>197.96516431701679</v>
      </c>
      <c r="EW90" s="73">
        <f t="shared" si="43"/>
        <v>48.412505714482904</v>
      </c>
      <c r="EX90" s="73">
        <f t="shared" si="44"/>
        <v>149.55265860253388</v>
      </c>
      <c r="EY90" s="92">
        <f t="shared" si="38"/>
        <v>0.24455063031673718</v>
      </c>
      <c r="EZ90" s="92">
        <f t="shared" si="38"/>
        <v>0.75544936968326282</v>
      </c>
      <c r="FE90" s="107"/>
      <c r="FR90" s="3">
        <f>('Renewable Diesel'!AX99-'Renewable Diesel'!BI99)/12*$FO$80</f>
        <v>23.006250000000001</v>
      </c>
      <c r="FS90" s="100">
        <f t="shared" si="48"/>
        <v>0.28188032284009629</v>
      </c>
      <c r="FT90" s="3">
        <f t="shared" si="50"/>
        <v>48.637568830049744</v>
      </c>
      <c r="FY90" s="3">
        <f>'Renewable Diesel'!BF99*('Renewable Diesel'!BI99/'Renewable Diesel'!AX99)</f>
        <v>5.6828527941176477</v>
      </c>
      <c r="FZ90" s="3">
        <f>('Renewable Diesel'!BJ99*'Renewable Diesel'!BG99)/12</f>
        <v>18.702925030199584</v>
      </c>
      <c r="GA90" s="3">
        <f t="shared" si="51"/>
        <v>39.539899091750819</v>
      </c>
      <c r="GD90" s="91">
        <f>'Renewable Diesel'!BB99*0</f>
        <v>0</v>
      </c>
      <c r="GE90" s="91">
        <f>'Renewable Diesel'!BC99</f>
        <v>0.10378999999999999</v>
      </c>
      <c r="GF90" s="91">
        <f>'Renewable Diesel'!BD99</f>
        <v>0</v>
      </c>
      <c r="GG90" s="91">
        <f t="shared" si="49"/>
        <v>0.10378999999999999</v>
      </c>
      <c r="GH90" s="124">
        <v>1</v>
      </c>
      <c r="GI90" s="102">
        <f>$GG90*EA90*'Feedstock Conversion Rates'!$B$2</f>
        <v>6.2858025480158911E-2</v>
      </c>
      <c r="GJ90" s="102">
        <f>$GG90*EB90*'Feedstock Conversion Rates'!$B$3</f>
        <v>5.9379501405848217E-2</v>
      </c>
      <c r="GK90" s="102">
        <f>$GG90*EC90*'Feedstock Conversion Rates'!$B$4</f>
        <v>0.21942269030680195</v>
      </c>
      <c r="GL90" s="102">
        <f>$GG90*ED90*'Feedstock Conversion Rates'!$B$5</f>
        <v>0</v>
      </c>
      <c r="GM90" s="102">
        <f>$GG90*EE90*'Feedstock Conversion Rates'!$B$6</f>
        <v>0.27821115038036193</v>
      </c>
      <c r="GN90" s="102">
        <f>$GG90*EF90*'Feedstock Conversion Rates'!$B$7</f>
        <v>0.23581982140518298</v>
      </c>
      <c r="GO90" s="102">
        <f>$GG90*EG90*'Feedstock Conversion Rates'!$B$8</f>
        <v>4.1557327709621575E-2</v>
      </c>
      <c r="GP90" s="102">
        <f>$GG90*EH90*'Feedstock Conversion Rates'!B$9</f>
        <v>0</v>
      </c>
      <c r="GQ90" s="102">
        <f t="shared" si="45"/>
        <v>0.89724851668797567</v>
      </c>
      <c r="GR90" s="85">
        <f t="shared" si="53"/>
        <v>8.6448455216107121</v>
      </c>
      <c r="GT90" s="103">
        <f t="shared" si="47"/>
        <v>7.0056427300863658E-2</v>
      </c>
      <c r="GU90" s="103">
        <f t="shared" si="47"/>
        <v>6.6179548142399278E-2</v>
      </c>
      <c r="GV90" s="103">
        <f t="shared" si="47"/>
        <v>0.24455063031673718</v>
      </c>
      <c r="GW90" s="103">
        <f t="shared" si="46"/>
        <v>0</v>
      </c>
      <c r="GX90" s="103">
        <f t="shared" si="46"/>
        <v>0.31007145200677089</v>
      </c>
      <c r="GY90" s="103">
        <f t="shared" si="46"/>
        <v>0.2628255349762712</v>
      </c>
      <c r="GZ90" s="103">
        <f t="shared" si="46"/>
        <v>4.6316407256957813E-2</v>
      </c>
      <c r="HA90" s="103">
        <f t="shared" si="23"/>
        <v>0</v>
      </c>
    </row>
    <row r="91" spans="1:209" x14ac:dyDescent="0.25">
      <c r="A91" s="96">
        <v>43191</v>
      </c>
      <c r="B91" s="104">
        <v>20</v>
      </c>
      <c r="C91" s="105"/>
      <c r="D91" s="104">
        <v>0</v>
      </c>
      <c r="E91" s="104">
        <f>('Renewable Diesel'!B100*E$3*'Feedstock Conversion Rates'!$B$2)/12</f>
        <v>20.853333333333332</v>
      </c>
      <c r="F91" s="104">
        <f>('Renewable Diesel'!B100*'RD Feedstock Breakdown'!F$3*'Feedstock Conversion Rates'!B$8)/12</f>
        <v>12.5</v>
      </c>
      <c r="G91" s="104">
        <f>('Renewable Diesel'!B100*'RD Feedstock Breakdown'!G$3*'Feedstock Conversion Rates'!B$7)/12</f>
        <v>40.847999999999999</v>
      </c>
      <c r="H91" s="104">
        <f>('Renewable Diesel'!B100*'RD Feedstock Breakdown'!H$3*'Feedstock Conversion Rates'!B$3)/12-20</f>
        <v>20.904400000000003</v>
      </c>
      <c r="I91" s="106">
        <f t="shared" si="52"/>
        <v>115.10573333333335</v>
      </c>
      <c r="J91" s="106"/>
      <c r="K91" s="107"/>
      <c r="L91" s="106"/>
      <c r="R91" s="104">
        <f>('Renewable Diesel'!D100*'RD Feedstock Breakdown'!R$3*'Feedstock Conversion Rates'!B$7)/12</f>
        <v>2.2999999999999998</v>
      </c>
      <c r="S91" s="106">
        <f t="shared" si="27"/>
        <v>2.2999999999999998</v>
      </c>
      <c r="T91" s="107"/>
      <c r="U91" s="106"/>
      <c r="Z91" s="104">
        <f>('Renewable Diesel'!F100*'RD Feedstock Breakdown'!Z$3*'Feedstock Conversion Rates'!B$6)/12</f>
        <v>44.555000000000007</v>
      </c>
      <c r="AA91" s="104">
        <f>('Renewable Diesel'!F100*'RD Feedstock Breakdown'!AA$3*'Feedstock Conversion Rates'!B$7)/12</f>
        <v>29.133333333333329</v>
      </c>
      <c r="AB91" s="106">
        <f t="shared" si="25"/>
        <v>73.688333333333333</v>
      </c>
      <c r="AC91" s="108"/>
      <c r="AG91" s="108"/>
      <c r="AI91" s="104">
        <f>('Renewable Diesel'!H100*'RD Feedstock Breakdown'!AI$3*'Feedstock Conversion Rates'!B$6)/12</f>
        <v>39.083333333333336</v>
      </c>
      <c r="AJ91" s="106">
        <f t="shared" si="26"/>
        <v>39.083333333333336</v>
      </c>
      <c r="AK91" s="104">
        <f>('Renewable Diesel'!J100*'RD Feedstock Breakdown'!AK$3*'Feedstock Conversion Rates'!B$4)/12</f>
        <v>62.5</v>
      </c>
      <c r="AL91" s="106">
        <f t="shared" si="28"/>
        <v>62.5</v>
      </c>
      <c r="AT91" s="108"/>
      <c r="BJ91" s="104"/>
      <c r="BK91" s="104"/>
      <c r="BL91" s="104"/>
      <c r="BM91" s="104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7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7"/>
      <c r="CJ91" s="106"/>
      <c r="CK91" s="106"/>
      <c r="CL91" s="106"/>
      <c r="CM91" s="106"/>
      <c r="CN91" s="106"/>
      <c r="CO91" s="106"/>
      <c r="CP91" s="106"/>
      <c r="CQ91" s="106"/>
      <c r="CR91" s="106"/>
      <c r="CS91" s="106"/>
      <c r="CT91" s="106"/>
      <c r="CU91" s="106"/>
      <c r="CV91" s="106"/>
      <c r="CW91" s="106"/>
      <c r="CX91" s="106"/>
      <c r="CY91" s="106"/>
      <c r="CZ91" s="106"/>
      <c r="DA91" s="106"/>
      <c r="DB91" s="106"/>
      <c r="DC91" s="106"/>
      <c r="DD91" s="107"/>
      <c r="DE91" s="106"/>
      <c r="DF91" s="106"/>
      <c r="DG91" s="106"/>
      <c r="DH91" s="106"/>
      <c r="DI91" s="106"/>
      <c r="DJ91" s="107"/>
      <c r="DK91" s="106"/>
      <c r="DL91" s="106"/>
      <c r="DM91" s="106"/>
      <c r="DN91" s="106"/>
      <c r="DP91" s="104">
        <f t="shared" si="30"/>
        <v>20.853333333333332</v>
      </c>
      <c r="DQ91" s="104">
        <f t="shared" si="31"/>
        <v>20.904400000000003</v>
      </c>
      <c r="DR91" s="104">
        <f t="shared" si="39"/>
        <v>82.5</v>
      </c>
      <c r="DS91" s="107"/>
      <c r="DT91" s="104">
        <f t="shared" si="32"/>
        <v>83.63833333333335</v>
      </c>
      <c r="DU91" s="104">
        <f t="shared" si="33"/>
        <v>72.281333333333322</v>
      </c>
      <c r="DV91" s="104">
        <f t="shared" si="34"/>
        <v>12.5</v>
      </c>
      <c r="DW91" s="104">
        <f t="shared" si="35"/>
        <v>0</v>
      </c>
      <c r="DX91" s="106">
        <f t="shared" si="36"/>
        <v>292.67740000000003</v>
      </c>
      <c r="DY91" s="109">
        <f t="shared" si="37"/>
        <v>0</v>
      </c>
      <c r="EA91" s="110">
        <f t="shared" si="21"/>
        <v>7.1250234330813816E-2</v>
      </c>
      <c r="EB91" s="110">
        <f t="shared" si="21"/>
        <v>7.1424715403375874E-2</v>
      </c>
      <c r="EC91" s="110">
        <f t="shared" si="21"/>
        <v>0.28188032284009629</v>
      </c>
      <c r="ED91" s="107"/>
      <c r="EE91" s="110">
        <f t="shared" si="22"/>
        <v>0.28576970184009198</v>
      </c>
      <c r="EF91" s="110">
        <f t="shared" si="22"/>
        <v>0.24696588576136494</v>
      </c>
      <c r="EG91" s="110">
        <f t="shared" si="22"/>
        <v>4.270913982425701E-2</v>
      </c>
      <c r="EH91" s="111">
        <f t="shared" si="40"/>
        <v>0</v>
      </c>
      <c r="EI91" s="110">
        <f t="shared" si="41"/>
        <v>1</v>
      </c>
      <c r="EK91" s="112">
        <f>EA91*'Renewable Diesel'!BF100*'Feedstock Conversion Rates'!B$2</f>
        <v>15.08306573895581</v>
      </c>
      <c r="EL91" s="112">
        <f>EB91*'Renewable Diesel'!BF100*'Feedstock Conversion Rates'!B$3</f>
        <v>14.248378252567463</v>
      </c>
      <c r="EM91" s="112">
        <f>EC91*'Renewable Diesel'!BF100*'Feedstock Conversion Rates'!B$4</f>
        <v>52.651460767896658</v>
      </c>
      <c r="EN91" s="107"/>
      <c r="EO91" s="112">
        <f>EE91*'Renewable Diesel'!BF100*'Feedstock Conversion Rates'!B$6</f>
        <v>66.758015996256063</v>
      </c>
      <c r="EP91" s="112">
        <f>EF91*'Renewable Diesel'!BF100*'Feedstock Conversion Rates'!B$7</f>
        <v>56.586026074362167</v>
      </c>
      <c r="EQ91" s="112">
        <f>EG91*'Renewable Diesel'!BF100*'Feedstock Conversion Rates'!B$8</f>
        <v>9.9718675696773982</v>
      </c>
      <c r="ER91" s="112">
        <f>EH91*'Renewable Diesel'!BF100*'Feedstock Conversion Rates'!B$9</f>
        <v>0</v>
      </c>
      <c r="ES91" s="112">
        <f t="shared" si="42"/>
        <v>215.29881439971555</v>
      </c>
      <c r="EW91" s="73">
        <f t="shared" si="43"/>
        <v>52.651460767896658</v>
      </c>
      <c r="EX91" s="73">
        <f t="shared" si="44"/>
        <v>162.6473536318189</v>
      </c>
      <c r="EY91" s="92">
        <f t="shared" si="38"/>
        <v>0.24455063031673721</v>
      </c>
      <c r="EZ91" s="92">
        <f t="shared" si="38"/>
        <v>0.75544936968326282</v>
      </c>
      <c r="FE91" s="107"/>
      <c r="FR91" s="3">
        <f>('Renewable Diesel'!AX100-'Renewable Diesel'!BI100)/12*$FO$80</f>
        <v>23.006250000000001</v>
      </c>
      <c r="FS91" s="100">
        <f t="shared" si="48"/>
        <v>0.28188032284009629</v>
      </c>
      <c r="FT91" s="3">
        <f t="shared" si="50"/>
        <v>48.637568830049744</v>
      </c>
      <c r="FY91" s="3">
        <f>'Renewable Diesel'!BF100*('Renewable Diesel'!BI100/'Renewable Diesel'!AX100)</f>
        <v>6.1804382261029414</v>
      </c>
      <c r="FZ91" s="3">
        <f>('Renewable Diesel'!BJ100*'Renewable Diesel'!BG100)/12</f>
        <v>18.372097184065662</v>
      </c>
      <c r="GA91" s="3">
        <f t="shared" si="51"/>
        <v>38.840495141205395</v>
      </c>
      <c r="GD91" s="91">
        <f>'Renewable Diesel'!BB100*0</f>
        <v>0</v>
      </c>
      <c r="GE91" s="91">
        <f>'Renewable Diesel'!BC100</f>
        <v>0.18463399999999999</v>
      </c>
      <c r="GF91" s="91">
        <f>'Renewable Diesel'!BD100</f>
        <v>0</v>
      </c>
      <c r="GG91" s="91">
        <f t="shared" si="49"/>
        <v>0.18463399999999999</v>
      </c>
      <c r="GH91" s="124">
        <v>1</v>
      </c>
      <c r="GI91" s="102">
        <f>$GG91*EA91*'Feedstock Conversion Rates'!$B$2</f>
        <v>0.11181933400620157</v>
      </c>
      <c r="GJ91" s="102">
        <f>$GG91*EB91*'Feedstock Conversion Rates'!$B$3</f>
        <v>0.10563132153933308</v>
      </c>
      <c r="GK91" s="102">
        <f>$GG91*EC91*'Feedstock Conversion Rates'!$B$4</f>
        <v>0.39033518645443754</v>
      </c>
      <c r="GL91" s="102">
        <f>$GG91*ED91*'Feedstock Conversion Rates'!$B$5</f>
        <v>0</v>
      </c>
      <c r="GM91" s="102">
        <f>$GG91*EE91*'Feedstock Conversion Rates'!$B$6</f>
        <v>0.49491509335511846</v>
      </c>
      <c r="GN91" s="102">
        <f>$GG91*EF91*'Feedstock Conversion Rates'!$B$7</f>
        <v>0.41950435403530739</v>
      </c>
      <c r="GO91" s="102">
        <f>$GG91*EG91*'Feedstock Conversion Rates'!$B$8</f>
        <v>7.392711864667377E-2</v>
      </c>
      <c r="GP91" s="102">
        <f>$GG91*EH91*'Feedstock Conversion Rates'!B$9</f>
        <v>0</v>
      </c>
      <c r="GQ91" s="102">
        <f t="shared" si="45"/>
        <v>1.5961324080370718</v>
      </c>
      <c r="GR91" s="85">
        <f t="shared" si="53"/>
        <v>8.6448455216107103</v>
      </c>
      <c r="GT91" s="103">
        <f t="shared" si="47"/>
        <v>7.0056427300863644E-2</v>
      </c>
      <c r="GU91" s="103">
        <f t="shared" si="47"/>
        <v>6.6179548142399278E-2</v>
      </c>
      <c r="GV91" s="103">
        <f t="shared" si="47"/>
        <v>0.24455063031673721</v>
      </c>
      <c r="GW91" s="103">
        <f t="shared" si="46"/>
        <v>0</v>
      </c>
      <c r="GX91" s="103">
        <f t="shared" si="46"/>
        <v>0.31007145200677083</v>
      </c>
      <c r="GY91" s="103">
        <f t="shared" si="46"/>
        <v>0.2628255349762712</v>
      </c>
      <c r="GZ91" s="103">
        <f t="shared" si="46"/>
        <v>4.6316407256957813E-2</v>
      </c>
      <c r="HA91" s="103">
        <f t="shared" si="23"/>
        <v>0</v>
      </c>
    </row>
    <row r="92" spans="1:209" x14ac:dyDescent="0.25">
      <c r="A92" s="96">
        <v>43221</v>
      </c>
      <c r="B92" s="104">
        <v>20</v>
      </c>
      <c r="C92" s="105"/>
      <c r="D92" s="104">
        <v>0</v>
      </c>
      <c r="E92" s="104">
        <f>('Renewable Diesel'!B101*E$3*'Feedstock Conversion Rates'!$B$2)/12</f>
        <v>20.853333333333332</v>
      </c>
      <c r="F92" s="104">
        <f>('Renewable Diesel'!B101*'RD Feedstock Breakdown'!F$3*'Feedstock Conversion Rates'!B$8)/12</f>
        <v>12.5</v>
      </c>
      <c r="G92" s="104">
        <f>('Renewable Diesel'!B101*'RD Feedstock Breakdown'!G$3*'Feedstock Conversion Rates'!B$7)/12</f>
        <v>40.847999999999999</v>
      </c>
      <c r="H92" s="104">
        <f>('Renewable Diesel'!B101*'RD Feedstock Breakdown'!H$3*'Feedstock Conversion Rates'!B$3)/12-20</f>
        <v>20.904400000000003</v>
      </c>
      <c r="I92" s="106">
        <f t="shared" si="52"/>
        <v>115.10573333333335</v>
      </c>
      <c r="J92" s="106"/>
      <c r="K92" s="107"/>
      <c r="L92" s="106"/>
      <c r="R92" s="104">
        <f>('Renewable Diesel'!D101*'RD Feedstock Breakdown'!R$3*'Feedstock Conversion Rates'!B$7)/12</f>
        <v>2.2999999999999998</v>
      </c>
      <c r="S92" s="106">
        <f t="shared" si="27"/>
        <v>2.2999999999999998</v>
      </c>
      <c r="T92" s="107"/>
      <c r="U92" s="106"/>
      <c r="Z92" s="104">
        <f>('Renewable Diesel'!F101*'RD Feedstock Breakdown'!Z$3*'Feedstock Conversion Rates'!B$6)/12</f>
        <v>44.555000000000007</v>
      </c>
      <c r="AA92" s="104">
        <f>('Renewable Diesel'!F101*'RD Feedstock Breakdown'!AA$3*'Feedstock Conversion Rates'!B$7)/12</f>
        <v>29.133333333333329</v>
      </c>
      <c r="AB92" s="106">
        <f t="shared" si="25"/>
        <v>73.688333333333333</v>
      </c>
      <c r="AC92" s="108"/>
      <c r="AG92" s="108"/>
      <c r="AI92" s="104">
        <f>('Renewable Diesel'!H101*'RD Feedstock Breakdown'!AI$3*'Feedstock Conversion Rates'!B$6)/12</f>
        <v>39.083333333333336</v>
      </c>
      <c r="AJ92" s="106">
        <f t="shared" si="26"/>
        <v>39.083333333333336</v>
      </c>
      <c r="AK92" s="104">
        <f>('Renewable Diesel'!J101*'RD Feedstock Breakdown'!AK$3*'Feedstock Conversion Rates'!B$4)/12</f>
        <v>62.5</v>
      </c>
      <c r="AL92" s="106">
        <f t="shared" si="28"/>
        <v>62.5</v>
      </c>
      <c r="AT92" s="108"/>
      <c r="BJ92" s="104">
        <f>('Renewable Diesel'!W101*'RD Feedstock Breakdown'!BJ$3*'Feedstock Conversion Rates'!B$4)/12</f>
        <v>3.75</v>
      </c>
      <c r="BK92" s="104">
        <f>('Renewable Diesel'!W101*'RD Feedstock Breakdown'!BK$3*'Feedstock Conversion Rates'!B$3)/12</f>
        <v>0.66749999999999998</v>
      </c>
      <c r="BL92" s="104">
        <f>('Renewable Diesel'!W101*'RD Feedstock Breakdown'!BL$3*'Feedstock Conversion Rates'!B$6)/12</f>
        <v>1.5633333333333335</v>
      </c>
      <c r="BM92" s="104">
        <f>('Renewable Diesel'!W101*'RD Feedstock Breakdown'!BM$3*'Feedstock Conversion Rates'!B$7)/12</f>
        <v>0.76666666666666661</v>
      </c>
      <c r="BN92" s="106">
        <f t="shared" ref="BN92:BN155" si="54">SUM(BJ92:BM92)</f>
        <v>6.7475000000000005</v>
      </c>
      <c r="BO92" s="106"/>
      <c r="BP92" s="106"/>
      <c r="BQ92" s="106"/>
      <c r="BR92" s="106"/>
      <c r="BS92" s="106"/>
      <c r="BT92" s="106"/>
      <c r="BU92" s="106"/>
      <c r="BV92" s="106"/>
      <c r="BW92" s="106"/>
      <c r="BX92" s="107"/>
      <c r="BY92" s="106"/>
      <c r="BZ92" s="106"/>
      <c r="CA92" s="106"/>
      <c r="CB92" s="106"/>
      <c r="CC92" s="106"/>
      <c r="CD92" s="106"/>
      <c r="CE92" s="106"/>
      <c r="CF92" s="106"/>
      <c r="CG92" s="106"/>
      <c r="CH92" s="106"/>
      <c r="CI92" s="107"/>
      <c r="CJ92" s="106"/>
      <c r="CK92" s="106"/>
      <c r="CL92" s="106"/>
      <c r="CM92" s="106"/>
      <c r="CN92" s="106"/>
      <c r="CO92" s="106"/>
      <c r="CP92" s="106"/>
      <c r="CQ92" s="106"/>
      <c r="CR92" s="106"/>
      <c r="CS92" s="106"/>
      <c r="CT92" s="106"/>
      <c r="CU92" s="106"/>
      <c r="CV92" s="106"/>
      <c r="CW92" s="106"/>
      <c r="CX92" s="106"/>
      <c r="CY92" s="106"/>
      <c r="CZ92" s="106"/>
      <c r="DA92" s="106"/>
      <c r="DB92" s="106"/>
      <c r="DC92" s="106"/>
      <c r="DD92" s="107"/>
      <c r="DE92" s="106"/>
      <c r="DF92" s="106"/>
      <c r="DG92" s="106"/>
      <c r="DH92" s="106"/>
      <c r="DI92" s="106"/>
      <c r="DJ92" s="107"/>
      <c r="DK92" s="106"/>
      <c r="DL92" s="106"/>
      <c r="DM92" s="106"/>
      <c r="DN92" s="106"/>
      <c r="DP92" s="104">
        <f t="shared" si="30"/>
        <v>20.853333333333332</v>
      </c>
      <c r="DQ92" s="104">
        <f t="shared" si="31"/>
        <v>21.571900000000003</v>
      </c>
      <c r="DR92" s="104">
        <f t="shared" si="39"/>
        <v>86.25</v>
      </c>
      <c r="DS92" s="107"/>
      <c r="DT92" s="104">
        <f t="shared" si="32"/>
        <v>85.201666666666682</v>
      </c>
      <c r="DU92" s="104">
        <f t="shared" si="33"/>
        <v>73.047999999999988</v>
      </c>
      <c r="DV92" s="104">
        <f t="shared" si="34"/>
        <v>12.5</v>
      </c>
      <c r="DW92" s="104">
        <f t="shared" si="35"/>
        <v>0</v>
      </c>
      <c r="DX92" s="106">
        <f t="shared" si="36"/>
        <v>299.42489999999998</v>
      </c>
      <c r="DY92" s="109">
        <f t="shared" si="37"/>
        <v>5.6843418860808015E-14</v>
      </c>
      <c r="EA92" s="110">
        <f t="shared" ref="EA92:ED155" si="55">DP92/$DX92</f>
        <v>6.9644619847358494E-2</v>
      </c>
      <c r="EB92" s="110">
        <f t="shared" si="55"/>
        <v>7.2044442529662717E-2</v>
      </c>
      <c r="EC92" s="110">
        <f t="shared" si="55"/>
        <v>0.28805219605984672</v>
      </c>
      <c r="ED92" s="107"/>
      <c r="EE92" s="110">
        <f t="shared" ref="EE92:EG155" si="56">DT92/$DX92</f>
        <v>0.28455103989904207</v>
      </c>
      <c r="EF92" s="110">
        <f t="shared" si="56"/>
        <v>0.24396100658295283</v>
      </c>
      <c r="EG92" s="110">
        <f t="shared" si="56"/>
        <v>4.1746695081137208E-2</v>
      </c>
      <c r="EH92" s="111">
        <f t="shared" si="40"/>
        <v>0</v>
      </c>
      <c r="EI92" s="110">
        <f t="shared" si="41"/>
        <v>1</v>
      </c>
      <c r="EK92" s="112">
        <f>EA92*'Renewable Diesel'!BF101*'Feedstock Conversion Rates'!B$2</f>
        <v>12.515748830597143</v>
      </c>
      <c r="EL92" s="112">
        <f>EB92*'Renewable Diesel'!BF101*'Feedstock Conversion Rates'!B$3</f>
        <v>12.200660499541463</v>
      </c>
      <c r="EM92" s="112">
        <f>EC92*'Renewable Diesel'!BF101*'Feedstock Conversion Rates'!B$4</f>
        <v>45.675445829655452</v>
      </c>
      <c r="EN92" s="107"/>
      <c r="EO92" s="112">
        <f>EE92*'Renewable Diesel'!BF101*'Feedstock Conversion Rates'!B$6</f>
        <v>56.430429612878129</v>
      </c>
      <c r="EP92" s="112">
        <f>EF92*'Renewable Diesel'!BF101*'Feedstock Conversion Rates'!B$7</f>
        <v>47.452443974608656</v>
      </c>
      <c r="EQ92" s="112">
        <f>EG92*'Renewable Diesel'!BF101*'Feedstock Conversion Rates'!B$8</f>
        <v>8.2745372879810599</v>
      </c>
      <c r="ER92" s="112">
        <f>EH92*'Renewable Diesel'!BF101*'Feedstock Conversion Rates'!B$9</f>
        <v>0</v>
      </c>
      <c r="ES92" s="112">
        <f t="shared" si="42"/>
        <v>182.54926603526189</v>
      </c>
      <c r="EW92" s="73">
        <f t="shared" si="43"/>
        <v>45.675445829655452</v>
      </c>
      <c r="EX92" s="73">
        <f t="shared" si="44"/>
        <v>136.87382020560645</v>
      </c>
      <c r="EY92" s="92">
        <f t="shared" si="38"/>
        <v>0.2502088714004066</v>
      </c>
      <c r="EZ92" s="92">
        <f t="shared" si="38"/>
        <v>0.74979112859959351</v>
      </c>
      <c r="FE92" s="107"/>
      <c r="FR92" s="3">
        <f>('Renewable Diesel'!AX101-'Renewable Diesel'!BI101)/12*$FO$80</f>
        <v>23.756249999999998</v>
      </c>
      <c r="FS92" s="100">
        <f t="shared" si="48"/>
        <v>0.28805219605984672</v>
      </c>
      <c r="FT92" s="3">
        <f t="shared" si="50"/>
        <v>51.322799869850499</v>
      </c>
      <c r="FY92" s="3">
        <f>'Renewable Diesel'!BF101*('Renewable Diesel'!BI101/'Renewable Diesel'!AX101)</f>
        <v>5.121168803827751</v>
      </c>
      <c r="FZ92" s="3">
        <f>('Renewable Diesel'!BJ101*'Renewable Diesel'!BG101)/12</f>
        <v>16.243553629452418</v>
      </c>
      <c r="GA92" s="3">
        <f t="shared" si="51"/>
        <v>35.092434710847471</v>
      </c>
      <c r="GD92" s="91">
        <f>'Renewable Diesel'!BB101*0</f>
        <v>0</v>
      </c>
      <c r="GE92" s="91">
        <f>'Renewable Diesel'!BC101</f>
        <v>6.4188999999999996E-2</v>
      </c>
      <c r="GF92" s="91">
        <f>'Renewable Diesel'!BD101</f>
        <v>0</v>
      </c>
      <c r="GG92" s="91">
        <f t="shared" si="49"/>
        <v>6.4188999999999996E-2</v>
      </c>
      <c r="GH92" s="124">
        <v>1</v>
      </c>
      <c r="GI92" s="102">
        <f>$GG92*EA92*'Feedstock Conversion Rates'!$B$2</f>
        <v>3.7998557278747798E-2</v>
      </c>
      <c r="GJ92" s="102">
        <f>$GG92*EB92*'Feedstock Conversion Rates'!$B$3</f>
        <v>3.7041930379507523E-2</v>
      </c>
      <c r="GK92" s="102">
        <f>$GG92*EC92*'Feedstock Conversion Rates'!$B$4</f>
        <v>0.13867336809664124</v>
      </c>
      <c r="GL92" s="102">
        <f>$GG92*ED92*'Feedstock Conversion Rates'!$B$5</f>
        <v>0</v>
      </c>
      <c r="GM92" s="102">
        <f>$GG92*EE92*'Feedstock Conversion Rates'!$B$6</f>
        <v>0.17132613804674673</v>
      </c>
      <c r="GN92" s="102">
        <f>$GG92*EF92*'Feedstock Conversion Rates'!$B$7</f>
        <v>0.14406844007428904</v>
      </c>
      <c r="GO92" s="102">
        <f>$GG92*EG92*'Feedstock Conversion Rates'!$B$8</f>
        <v>2.5121986974029214E-2</v>
      </c>
      <c r="GP92" s="102">
        <f>$GG92*EH92*'Feedstock Conversion Rates'!B$9</f>
        <v>0</v>
      </c>
      <c r="GQ92" s="102">
        <f t="shared" si="45"/>
        <v>0.55423042084996166</v>
      </c>
      <c r="GR92" s="85">
        <f t="shared" si="53"/>
        <v>8.6343520050158382</v>
      </c>
      <c r="GT92" s="103">
        <f t="shared" si="47"/>
        <v>6.8560937561806215E-2</v>
      </c>
      <c r="GU92" s="103">
        <f t="shared" si="47"/>
        <v>6.6834892106247851E-2</v>
      </c>
      <c r="GV92" s="103">
        <f t="shared" si="47"/>
        <v>0.2502088714004066</v>
      </c>
      <c r="GW92" s="103">
        <f t="shared" si="46"/>
        <v>0</v>
      </c>
      <c r="GX92" s="103">
        <f t="shared" si="46"/>
        <v>0.3091243850960092</v>
      </c>
      <c r="GY92" s="103">
        <f t="shared" si="46"/>
        <v>0.25994321974125367</v>
      </c>
      <c r="GZ92" s="103">
        <f t="shared" si="46"/>
        <v>4.532769409427656E-2</v>
      </c>
      <c r="HA92" s="103">
        <f t="shared" si="23"/>
        <v>0</v>
      </c>
    </row>
    <row r="93" spans="1:209" x14ac:dyDescent="0.25">
      <c r="A93" s="96">
        <v>43252</v>
      </c>
      <c r="B93" s="104">
        <v>20</v>
      </c>
      <c r="C93" s="105"/>
      <c r="D93" s="104">
        <v>0</v>
      </c>
      <c r="E93" s="104">
        <f>('Renewable Diesel'!B102*E$3*'Feedstock Conversion Rates'!$B$2)/12</f>
        <v>20.853333333333332</v>
      </c>
      <c r="F93" s="104">
        <f>('Renewable Diesel'!B102*'RD Feedstock Breakdown'!F$3*'Feedstock Conversion Rates'!B$8)/12</f>
        <v>12.5</v>
      </c>
      <c r="G93" s="104">
        <f>('Renewable Diesel'!B102*'RD Feedstock Breakdown'!G$3*'Feedstock Conversion Rates'!B$7)/12</f>
        <v>40.847999999999999</v>
      </c>
      <c r="H93" s="104">
        <f>('Renewable Diesel'!B102*'RD Feedstock Breakdown'!H$3*'Feedstock Conversion Rates'!B$3)/12-20</f>
        <v>20.904400000000003</v>
      </c>
      <c r="I93" s="106">
        <f t="shared" si="52"/>
        <v>115.10573333333335</v>
      </c>
      <c r="J93" s="106"/>
      <c r="K93" s="107"/>
      <c r="L93" s="106"/>
      <c r="R93" s="104">
        <f>('Renewable Diesel'!D102*'RD Feedstock Breakdown'!R$3*'Feedstock Conversion Rates'!B$7)/12</f>
        <v>2.2999999999999998</v>
      </c>
      <c r="S93" s="106">
        <f t="shared" si="27"/>
        <v>2.2999999999999998</v>
      </c>
      <c r="T93" s="107"/>
      <c r="U93" s="106"/>
      <c r="Z93" s="104">
        <f>('Renewable Diesel'!F102*'RD Feedstock Breakdown'!Z$3*'Feedstock Conversion Rates'!B$6)/12</f>
        <v>44.555000000000007</v>
      </c>
      <c r="AA93" s="104">
        <f>('Renewable Diesel'!F102*'RD Feedstock Breakdown'!AA$3*'Feedstock Conversion Rates'!B$7)/12</f>
        <v>29.133333333333329</v>
      </c>
      <c r="AB93" s="106">
        <f t="shared" si="25"/>
        <v>73.688333333333333</v>
      </c>
      <c r="AC93" s="108"/>
      <c r="AG93" s="108"/>
      <c r="AI93" s="104">
        <f>('Renewable Diesel'!H102*'RD Feedstock Breakdown'!AI$3*'Feedstock Conversion Rates'!B$6)/12</f>
        <v>39.083333333333336</v>
      </c>
      <c r="AJ93" s="106">
        <f t="shared" si="26"/>
        <v>39.083333333333336</v>
      </c>
      <c r="AK93" s="104">
        <f>('Renewable Diesel'!J102*'RD Feedstock Breakdown'!AK$3*'Feedstock Conversion Rates'!B$4)/12</f>
        <v>62.5</v>
      </c>
      <c r="AL93" s="106">
        <f t="shared" si="28"/>
        <v>62.5</v>
      </c>
      <c r="AT93" s="108"/>
      <c r="BJ93" s="104">
        <f>('Renewable Diesel'!W102*'RD Feedstock Breakdown'!BJ$3*'Feedstock Conversion Rates'!B$4)/12</f>
        <v>7.5</v>
      </c>
      <c r="BK93" s="104">
        <f>('Renewable Diesel'!W102*'RD Feedstock Breakdown'!BK$3*'Feedstock Conversion Rates'!B$3)/12</f>
        <v>1.335</v>
      </c>
      <c r="BL93" s="104">
        <f>('Renewable Diesel'!W102*'RD Feedstock Breakdown'!BL$3*'Feedstock Conversion Rates'!B$6)/12</f>
        <v>3.1266666666666669</v>
      </c>
      <c r="BM93" s="104">
        <f>('Renewable Diesel'!W102*'RD Feedstock Breakdown'!BM$3*'Feedstock Conversion Rates'!B$7)/12</f>
        <v>1.5333333333333332</v>
      </c>
      <c r="BN93" s="106">
        <f t="shared" si="54"/>
        <v>13.495000000000001</v>
      </c>
      <c r="BO93" s="106"/>
      <c r="BP93" s="106"/>
      <c r="BQ93" s="106"/>
      <c r="BR93" s="106"/>
      <c r="BS93" s="106"/>
      <c r="BT93" s="106"/>
      <c r="BU93" s="106"/>
      <c r="BV93" s="106"/>
      <c r="BW93" s="106"/>
      <c r="BX93" s="107"/>
      <c r="BY93" s="106"/>
      <c r="BZ93" s="106"/>
      <c r="CA93" s="106"/>
      <c r="CB93" s="106"/>
      <c r="CC93" s="106"/>
      <c r="CD93" s="106"/>
      <c r="CE93" s="106"/>
      <c r="CF93" s="106"/>
      <c r="CG93" s="106"/>
      <c r="CH93" s="106"/>
      <c r="CI93" s="107"/>
      <c r="CJ93" s="106"/>
      <c r="CK93" s="106"/>
      <c r="CL93" s="106"/>
      <c r="CM93" s="106"/>
      <c r="CN93" s="106"/>
      <c r="CO93" s="106"/>
      <c r="CP93" s="106"/>
      <c r="CQ93" s="106"/>
      <c r="CR93" s="106"/>
      <c r="CS93" s="106"/>
      <c r="CT93" s="106"/>
      <c r="CU93" s="106"/>
      <c r="CV93" s="106"/>
      <c r="CW93" s="106"/>
      <c r="CX93" s="106"/>
      <c r="CY93" s="106"/>
      <c r="CZ93" s="106"/>
      <c r="DA93" s="106"/>
      <c r="DB93" s="106"/>
      <c r="DC93" s="106"/>
      <c r="DD93" s="107"/>
      <c r="DE93" s="106"/>
      <c r="DF93" s="106"/>
      <c r="DG93" s="106"/>
      <c r="DH93" s="106"/>
      <c r="DI93" s="106"/>
      <c r="DJ93" s="107"/>
      <c r="DK93" s="106"/>
      <c r="DL93" s="106"/>
      <c r="DM93" s="106"/>
      <c r="DN93" s="106"/>
      <c r="DP93" s="104">
        <f t="shared" si="30"/>
        <v>20.853333333333332</v>
      </c>
      <c r="DQ93" s="104">
        <f t="shared" si="31"/>
        <v>22.239400000000003</v>
      </c>
      <c r="DR93" s="104">
        <f t="shared" si="39"/>
        <v>90</v>
      </c>
      <c r="DS93" s="107"/>
      <c r="DT93" s="104">
        <f t="shared" si="32"/>
        <v>86.765000000000015</v>
      </c>
      <c r="DU93" s="104">
        <f t="shared" si="33"/>
        <v>73.814666666666653</v>
      </c>
      <c r="DV93" s="104">
        <f t="shared" si="34"/>
        <v>12.5</v>
      </c>
      <c r="DW93" s="104">
        <f t="shared" si="35"/>
        <v>0</v>
      </c>
      <c r="DX93" s="106">
        <f t="shared" si="36"/>
        <v>306.17240000000004</v>
      </c>
      <c r="DY93" s="109">
        <f t="shared" si="37"/>
        <v>0</v>
      </c>
      <c r="EA93" s="110">
        <f t="shared" si="55"/>
        <v>6.8109775189838559E-2</v>
      </c>
      <c r="EB93" s="110">
        <f t="shared" si="55"/>
        <v>7.2636854269032741E-2</v>
      </c>
      <c r="EC93" s="110">
        <f t="shared" si="55"/>
        <v>0.29395203486663068</v>
      </c>
      <c r="ED93" s="107"/>
      <c r="EE93" s="110">
        <f t="shared" si="56"/>
        <v>0.2833860922800357</v>
      </c>
      <c r="EF93" s="110">
        <f t="shared" si="56"/>
        <v>0.24108857188520796</v>
      </c>
      <c r="EG93" s="110">
        <f t="shared" si="56"/>
        <v>4.0826671509254259E-2</v>
      </c>
      <c r="EH93" s="111">
        <f t="shared" si="40"/>
        <v>0</v>
      </c>
      <c r="EI93" s="110">
        <f t="shared" si="41"/>
        <v>0.99999999999999989</v>
      </c>
      <c r="EK93" s="112">
        <f>EA93*'Renewable Diesel'!BF102*'Feedstock Conversion Rates'!B$2</f>
        <v>6.7118682947690012</v>
      </c>
      <c r="EL93" s="112">
        <f>EB93*'Renewable Diesel'!BF102*'Feedstock Conversion Rates'!B$3</f>
        <v>6.7453516771195634</v>
      </c>
      <c r="EM93" s="112">
        <f>EC93*'Renewable Diesel'!BF102*'Feedstock Conversion Rates'!B$4</f>
        <v>25.559525532020519</v>
      </c>
      <c r="EN93" s="107"/>
      <c r="EO93" s="112">
        <f>EE93*'Renewable Diesel'!BF102*'Feedstock Conversion Rates'!B$6</f>
        <v>30.817430434859904</v>
      </c>
      <c r="EP93" s="112">
        <f>EF93*'Renewable Diesel'!BF102*'Feedstock Conversion Rates'!B$7</f>
        <v>25.714584129183852</v>
      </c>
      <c r="EQ93" s="112">
        <f>EG93*'Renewable Diesel'!BF102*'Feedstock Conversion Rates'!B$8</f>
        <v>4.4374176270868952</v>
      </c>
      <c r="ER93" s="112">
        <f>EH93*'Renewable Diesel'!BF102*'Feedstock Conversion Rates'!B$9</f>
        <v>0</v>
      </c>
      <c r="ES93" s="112">
        <f t="shared" si="42"/>
        <v>99.986177695039743</v>
      </c>
      <c r="EW93" s="73">
        <f t="shared" si="43"/>
        <v>25.559525532020519</v>
      </c>
      <c r="EX93" s="73">
        <f t="shared" si="44"/>
        <v>74.426652163019213</v>
      </c>
      <c r="EY93" s="92">
        <f t="shared" si="38"/>
        <v>0.25563058935983823</v>
      </c>
      <c r="EZ93" s="92">
        <f t="shared" si="38"/>
        <v>0.74436941064016171</v>
      </c>
      <c r="FE93" s="107"/>
      <c r="FR93" s="3">
        <f>('Renewable Diesel'!AX102-'Renewable Diesel'!BI102)/12*$FO$80</f>
        <v>24.506250000000001</v>
      </c>
      <c r="FS93" s="100">
        <f t="shared" si="48"/>
        <v>0.29395203486663068</v>
      </c>
      <c r="FT93" s="3">
        <f t="shared" si="50"/>
        <v>54.027465408377765</v>
      </c>
      <c r="FY93" s="3">
        <f>'Renewable Diesel'!BF102*('Renewable Diesel'!BI102/'Renewable Diesel'!AX102)</f>
        <v>2.7426242786214954</v>
      </c>
      <c r="FZ93" s="3">
        <f>('Renewable Diesel'!BJ102*'Renewable Diesel'!BG102)/12</f>
        <v>8.6843397400622422</v>
      </c>
      <c r="GA93" s="3">
        <f t="shared" si="51"/>
        <v>19.145845035483323</v>
      </c>
      <c r="GD93" s="91">
        <f>'Renewable Diesel'!BB102*0</f>
        <v>0</v>
      </c>
      <c r="GE93" s="91">
        <f>'Renewable Diesel'!BC102</f>
        <v>0.14019400000000001</v>
      </c>
      <c r="GF93" s="91">
        <f>'Renewable Diesel'!BD102</f>
        <v>0</v>
      </c>
      <c r="GG93" s="91">
        <f t="shared" si="49"/>
        <v>0.14019400000000001</v>
      </c>
      <c r="GH93" s="124">
        <v>1</v>
      </c>
      <c r="GI93" s="102">
        <f>$GG93*EA93*'Feedstock Conversion Rates'!$B$2</f>
        <v>8.116294549519594E-2</v>
      </c>
      <c r="GJ93" s="102">
        <f>$GG93*EB93*'Feedstock Conversion Rates'!$B$3</f>
        <v>8.156784169061615E-2</v>
      </c>
      <c r="GK93" s="102">
        <f>$GG93*EC93*'Feedstock Conversion Rates'!$B$4</f>
        <v>0.30907733682069316</v>
      </c>
      <c r="GL93" s="102">
        <f>$GG93*ED93*'Feedstock Conversion Rates'!$B$5</f>
        <v>0</v>
      </c>
      <c r="GM93" s="102">
        <f>$GG93*EE93*'Feedstock Conversion Rates'!$B$6</f>
        <v>0.37265829972198677</v>
      </c>
      <c r="GN93" s="102">
        <f>$GG93*EF93*'Feedstock Conversion Rates'!$B$7</f>
        <v>0.3109523754712486</v>
      </c>
      <c r="GO93" s="102">
        <f>$GG93*EG93*'Feedstock Conversion Rates'!$B$8</f>
        <v>5.3659259864703678E-2</v>
      </c>
      <c r="GP93" s="102">
        <f>$GG93*EH93*'Feedstock Conversion Rates'!B$9</f>
        <v>0</v>
      </c>
      <c r="GQ93" s="102">
        <f t="shared" si="45"/>
        <v>1.2090780590644443</v>
      </c>
      <c r="GR93" s="85">
        <f t="shared" si="53"/>
        <v>8.6243210056382171</v>
      </c>
      <c r="GT93" s="103">
        <f t="shared" si="47"/>
        <v>6.7127961579253104E-2</v>
      </c>
      <c r="GU93" s="103">
        <f t="shared" si="47"/>
        <v>6.746284169090902E-2</v>
      </c>
      <c r="GV93" s="103">
        <f t="shared" si="47"/>
        <v>0.25563058935983823</v>
      </c>
      <c r="GW93" s="103">
        <f t="shared" si="46"/>
        <v>0</v>
      </c>
      <c r="GX93" s="103">
        <f t="shared" si="46"/>
        <v>0.30821690702942772</v>
      </c>
      <c r="GY93" s="103">
        <f t="shared" si="46"/>
        <v>0.25718138968782223</v>
      </c>
      <c r="GZ93" s="103">
        <f t="shared" si="46"/>
        <v>4.4380310652749687E-2</v>
      </c>
      <c r="HA93" s="103">
        <f t="shared" si="23"/>
        <v>0</v>
      </c>
    </row>
    <row r="94" spans="1:209" x14ac:dyDescent="0.25">
      <c r="A94" s="96">
        <v>43282</v>
      </c>
      <c r="C94" s="105"/>
      <c r="D94" s="104">
        <v>0</v>
      </c>
      <c r="E94" s="104">
        <f>('Renewable Diesel'!B103*E$3*'Feedstock Conversion Rates'!$B$2)/12</f>
        <v>0</v>
      </c>
      <c r="F94" s="104">
        <f>('Renewable Diesel'!B103*'RD Feedstock Breakdown'!F$3*'Feedstock Conversion Rates'!B$8)/12</f>
        <v>0</v>
      </c>
      <c r="G94" s="104">
        <f>('Renewable Diesel'!B103*'RD Feedstock Breakdown'!G$3*'Feedstock Conversion Rates'!B$7)/12</f>
        <v>0</v>
      </c>
      <c r="H94" s="104">
        <f>('Renewable Diesel'!B103*'RD Feedstock Breakdown'!H$3*'Feedstock Conversion Rates'!B$3)/12</f>
        <v>0</v>
      </c>
      <c r="I94" s="106">
        <f t="shared" si="52"/>
        <v>0</v>
      </c>
      <c r="J94" s="106"/>
      <c r="K94" s="107"/>
      <c r="L94" s="106"/>
      <c r="R94" s="104">
        <f>('Renewable Diesel'!D103*'RD Feedstock Breakdown'!R$3*'Feedstock Conversion Rates'!B$7)/12</f>
        <v>2.2999999999999998</v>
      </c>
      <c r="S94" s="106">
        <f t="shared" si="27"/>
        <v>2.2999999999999998</v>
      </c>
      <c r="T94" s="107"/>
      <c r="U94" s="106"/>
      <c r="Z94" s="104">
        <f>('Renewable Diesel'!F103*'RD Feedstock Breakdown'!Z$3*'Feedstock Conversion Rates'!B$6)/12</f>
        <v>44.555000000000007</v>
      </c>
      <c r="AA94" s="104">
        <f>('Renewable Diesel'!F103*'RD Feedstock Breakdown'!AA$3*'Feedstock Conversion Rates'!B$7)/12</f>
        <v>29.133333333333329</v>
      </c>
      <c r="AB94" s="106">
        <f t="shared" si="25"/>
        <v>73.688333333333333</v>
      </c>
      <c r="AC94" s="108"/>
      <c r="AG94" s="108"/>
      <c r="AI94" s="104">
        <f>('Renewable Diesel'!H103*'RD Feedstock Breakdown'!AI$3*'Feedstock Conversion Rates'!B$6)/12</f>
        <v>39.083333333333336</v>
      </c>
      <c r="AJ94" s="106">
        <f t="shared" si="26"/>
        <v>39.083333333333336</v>
      </c>
      <c r="AK94" s="104">
        <f>('Renewable Diesel'!J103*'RD Feedstock Breakdown'!AK$3*'Feedstock Conversion Rates'!B$4)/12</f>
        <v>62.5</v>
      </c>
      <c r="AL94" s="106">
        <f t="shared" si="28"/>
        <v>62.5</v>
      </c>
      <c r="AT94" s="108"/>
      <c r="BJ94" s="104">
        <f>('Renewable Diesel'!W103*'RD Feedstock Breakdown'!BJ$3*'Feedstock Conversion Rates'!B$4)/12</f>
        <v>7.5</v>
      </c>
      <c r="BK94" s="104">
        <f>('Renewable Diesel'!W103*'RD Feedstock Breakdown'!BK$3*'Feedstock Conversion Rates'!B$3)/12</f>
        <v>1.335</v>
      </c>
      <c r="BL94" s="104">
        <f>('Renewable Diesel'!W103*'RD Feedstock Breakdown'!BL$3*'Feedstock Conversion Rates'!B$6)/12</f>
        <v>3.1266666666666669</v>
      </c>
      <c r="BM94" s="104">
        <f>('Renewable Diesel'!W103*'RD Feedstock Breakdown'!BM$3*'Feedstock Conversion Rates'!B$7)/12</f>
        <v>1.5333333333333332</v>
      </c>
      <c r="BN94" s="106">
        <f t="shared" si="54"/>
        <v>13.495000000000001</v>
      </c>
      <c r="BO94" s="106"/>
      <c r="BP94" s="106"/>
      <c r="BQ94" s="106"/>
      <c r="BR94" s="106"/>
      <c r="BS94" s="106"/>
      <c r="BT94" s="106"/>
      <c r="BU94" s="106"/>
      <c r="BV94" s="106"/>
      <c r="BW94" s="106"/>
      <c r="BX94" s="107"/>
      <c r="BY94" s="106"/>
      <c r="BZ94" s="106"/>
      <c r="CA94" s="106"/>
      <c r="CB94" s="106"/>
      <c r="CC94" s="106"/>
      <c r="CD94" s="106"/>
      <c r="CE94" s="106"/>
      <c r="CF94" s="106"/>
      <c r="CG94" s="106"/>
      <c r="CH94" s="106"/>
      <c r="CI94" s="107"/>
      <c r="CJ94" s="106"/>
      <c r="CK94" s="106"/>
      <c r="CL94" s="106"/>
      <c r="CM94" s="106"/>
      <c r="CN94" s="106"/>
      <c r="CO94" s="106"/>
      <c r="CP94" s="106"/>
      <c r="CQ94" s="106"/>
      <c r="CR94" s="106"/>
      <c r="CS94" s="106"/>
      <c r="CT94" s="106"/>
      <c r="CU94" s="106"/>
      <c r="CV94" s="106"/>
      <c r="CW94" s="106"/>
      <c r="CX94" s="106"/>
      <c r="CY94" s="106"/>
      <c r="CZ94" s="106"/>
      <c r="DA94" s="106"/>
      <c r="DB94" s="106"/>
      <c r="DC94" s="106"/>
      <c r="DD94" s="107"/>
      <c r="DE94" s="106"/>
      <c r="DF94" s="106"/>
      <c r="DG94" s="106"/>
      <c r="DH94" s="106"/>
      <c r="DI94" s="106"/>
      <c r="DJ94" s="107"/>
      <c r="DK94" s="106"/>
      <c r="DL94" s="106"/>
      <c r="DM94" s="106"/>
      <c r="DN94" s="106"/>
      <c r="DP94" s="104">
        <f t="shared" si="30"/>
        <v>0</v>
      </c>
      <c r="DQ94" s="104">
        <f t="shared" si="31"/>
        <v>1.335</v>
      </c>
      <c r="DR94" s="104">
        <f t="shared" si="39"/>
        <v>70</v>
      </c>
      <c r="DS94" s="107"/>
      <c r="DT94" s="104">
        <f t="shared" si="32"/>
        <v>86.765000000000015</v>
      </c>
      <c r="DU94" s="104">
        <f t="shared" si="33"/>
        <v>32.966666666666661</v>
      </c>
      <c r="DV94" s="104">
        <f t="shared" si="34"/>
        <v>0</v>
      </c>
      <c r="DW94" s="104">
        <f t="shared" si="35"/>
        <v>0</v>
      </c>
      <c r="DX94" s="106">
        <f t="shared" si="36"/>
        <v>191.06666666666669</v>
      </c>
      <c r="DY94" s="109">
        <f t="shared" si="37"/>
        <v>-2.8421709430404007E-14</v>
      </c>
      <c r="EA94" s="110">
        <f t="shared" si="55"/>
        <v>0</v>
      </c>
      <c r="EB94" s="110">
        <f t="shared" si="55"/>
        <v>6.9870900209351005E-3</v>
      </c>
      <c r="EC94" s="110">
        <f t="shared" si="55"/>
        <v>0.36636427076064199</v>
      </c>
      <c r="ED94" s="107"/>
      <c r="EE94" s="110">
        <f t="shared" si="56"/>
        <v>0.45410851360781579</v>
      </c>
      <c r="EF94" s="110">
        <f t="shared" si="56"/>
        <v>0.17254012561060708</v>
      </c>
      <c r="EG94" s="110">
        <f t="shared" si="56"/>
        <v>0</v>
      </c>
      <c r="EH94" s="111">
        <f t="shared" si="40"/>
        <v>0</v>
      </c>
      <c r="EI94" s="110">
        <f t="shared" si="41"/>
        <v>0.99999999999999989</v>
      </c>
      <c r="EK94" s="112">
        <f>EA94*'Renewable Diesel'!BF103*'Feedstock Conversion Rates'!B$2</f>
        <v>0</v>
      </c>
      <c r="EL94" s="112">
        <f>EB94*'Renewable Diesel'!BF103*'Feedstock Conversion Rates'!B$3</f>
        <v>0.45589965334307392</v>
      </c>
      <c r="EM94" s="112">
        <f>EC94*'Renewable Diesel'!BF103*'Feedstock Conversion Rates'!B$4</f>
        <v>22.382819042219118</v>
      </c>
      <c r="EN94" s="107"/>
      <c r="EO94" s="112">
        <f>EE94*'Renewable Diesel'!BF103*'Feedstock Conversion Rates'!B$6</f>
        <v>34.697875923006812</v>
      </c>
      <c r="EP94" s="112">
        <f>EF94*'Renewable Diesel'!BF103*'Feedstock Conversion Rates'!B$7</f>
        <v>12.930590088974176</v>
      </c>
      <c r="EQ94" s="112">
        <f>EG94*'Renewable Diesel'!BF103*'Feedstock Conversion Rates'!B$8</f>
        <v>0</v>
      </c>
      <c r="ER94" s="112">
        <f>EH94*'Renewable Diesel'!BF103*'Feedstock Conversion Rates'!B$9</f>
        <v>0</v>
      </c>
      <c r="ES94" s="112">
        <f t="shared" si="42"/>
        <v>70.467184707543183</v>
      </c>
      <c r="EW94" s="73">
        <f t="shared" si="43"/>
        <v>22.382819042219118</v>
      </c>
      <c r="EX94" s="73">
        <f t="shared" si="44"/>
        <v>48.084365665324064</v>
      </c>
      <c r="EY94" s="92">
        <f t="shared" si="38"/>
        <v>0.31763464277895498</v>
      </c>
      <c r="EZ94" s="92">
        <f t="shared" si="38"/>
        <v>0.68236535722104497</v>
      </c>
      <c r="FE94" s="107"/>
      <c r="FR94" s="3">
        <f>('Renewable Diesel'!AX103-'Renewable Diesel'!BI103)/12*$FO$80</f>
        <v>15.506250000000001</v>
      </c>
      <c r="FS94" s="100">
        <f t="shared" si="48"/>
        <v>0.36636427076064199</v>
      </c>
      <c r="FT94" s="3">
        <f t="shared" si="50"/>
        <v>42.607019801116536</v>
      </c>
      <c r="FY94" s="3">
        <f>'Renewable Diesel'!BF103*('Renewable Diesel'!BI103/'Renewable Diesel'!AX103)</f>
        <v>1.8617086054104479</v>
      </c>
      <c r="FZ94" s="3">
        <f>('Renewable Diesel'!BJ103*'Renewable Diesel'!BG103)/12</f>
        <v>6.3714971778477407</v>
      </c>
      <c r="GA94" s="3">
        <f t="shared" si="51"/>
        <v>17.50716687911757</v>
      </c>
      <c r="GD94" s="91">
        <f>'Renewable Diesel'!BB103*0</f>
        <v>0</v>
      </c>
      <c r="GE94" s="91">
        <f>'Renewable Diesel'!BC103</f>
        <v>8.2230999999999999E-2</v>
      </c>
      <c r="GF94" s="91">
        <f>'Renewable Diesel'!BD103</f>
        <v>0</v>
      </c>
      <c r="GG94" s="91">
        <f t="shared" si="49"/>
        <v>8.2230999999999999E-2</v>
      </c>
      <c r="GH94" s="124">
        <v>1</v>
      </c>
      <c r="GI94" s="102">
        <f>$GG94*EA94*'Feedstock Conversion Rates'!$B$2</f>
        <v>0</v>
      </c>
      <c r="GJ94" s="102">
        <f>$GG94*EB94*'Feedstock Conversion Rates'!$B$3</f>
        <v>4.6021887500872294E-3</v>
      </c>
      <c r="GK94" s="102">
        <f>$GG94*EC94*'Feedstock Conversion Rates'!$B$4</f>
        <v>0.22594875261688763</v>
      </c>
      <c r="GL94" s="102">
        <f>$GG94*ED94*'Feedstock Conversion Rates'!$B$5</f>
        <v>0</v>
      </c>
      <c r="GM94" s="102">
        <f>$GG94*EE94*'Feedstock Conversion Rates'!$B$6</f>
        <v>0.35026605757170276</v>
      </c>
      <c r="GN94" s="102">
        <f>$GG94*EF94*'Feedstock Conversion Rates'!$B$7</f>
        <v>0.13053095303558962</v>
      </c>
      <c r="GO94" s="102">
        <f>$GG94*EG94*'Feedstock Conversion Rates'!$B$8</f>
        <v>0</v>
      </c>
      <c r="GP94" s="102">
        <f>$GG94*EH94*'Feedstock Conversion Rates'!B$9</f>
        <v>0</v>
      </c>
      <c r="GQ94" s="102">
        <f t="shared" si="45"/>
        <v>0.71134795197426715</v>
      </c>
      <c r="GR94" s="85">
        <f t="shared" si="53"/>
        <v>8.6506056350314005</v>
      </c>
      <c r="GT94" s="103">
        <f t="shared" si="47"/>
        <v>0</v>
      </c>
      <c r="GU94" s="103">
        <f t="shared" si="47"/>
        <v>6.4696731568768349E-3</v>
      </c>
      <c r="GV94" s="103">
        <f t="shared" si="47"/>
        <v>0.31763464277895498</v>
      </c>
      <c r="GW94" s="103">
        <f t="shared" si="46"/>
        <v>0</v>
      </c>
      <c r="GX94" s="103">
        <f t="shared" si="46"/>
        <v>0.49239764674879327</v>
      </c>
      <c r="GY94" s="103">
        <f t="shared" si="46"/>
        <v>0.18349803731537495</v>
      </c>
      <c r="GZ94" s="103">
        <f t="shared" si="46"/>
        <v>0</v>
      </c>
      <c r="HA94" s="103">
        <f t="shared" si="23"/>
        <v>0</v>
      </c>
    </row>
    <row r="95" spans="1:209" x14ac:dyDescent="0.25">
      <c r="A95" s="96">
        <v>43313</v>
      </c>
      <c r="B95" s="104">
        <v>30</v>
      </c>
      <c r="C95" s="105"/>
      <c r="D95" s="104">
        <v>0</v>
      </c>
      <c r="E95" s="104">
        <f>('Renewable Diesel'!B104*E$3*'Feedstock Conversion Rates'!$B$2)/12</f>
        <v>24.600416666666664</v>
      </c>
      <c r="F95" s="104">
        <f>('Renewable Diesel'!B104*'RD Feedstock Breakdown'!F$3*'Feedstock Conversion Rates'!B$8)/12</f>
        <v>14.74609375</v>
      </c>
      <c r="G95" s="104">
        <f>('Renewable Diesel'!B104*'RD Feedstock Breakdown'!G$3*'Feedstock Conversion Rates'!B$7)/12</f>
        <v>48.187874999999998</v>
      </c>
      <c r="H95" s="104">
        <f>('Renewable Diesel'!B104*'RD Feedstock Breakdown'!H$3*'Feedstock Conversion Rates'!B$3)/12-30</f>
        <v>18.254409375000002</v>
      </c>
      <c r="I95" s="106">
        <f t="shared" si="52"/>
        <v>135.78879479166665</v>
      </c>
      <c r="J95" s="106"/>
      <c r="K95" s="107"/>
      <c r="L95" s="106"/>
      <c r="R95" s="104">
        <f>('Renewable Diesel'!D104*'RD Feedstock Breakdown'!R$3*'Feedstock Conversion Rates'!B$7)/12</f>
        <v>2.2999999999999998</v>
      </c>
      <c r="S95" s="106">
        <f t="shared" si="27"/>
        <v>2.2999999999999998</v>
      </c>
      <c r="T95" s="107"/>
      <c r="U95" s="106"/>
      <c r="Z95" s="104">
        <f>('Renewable Diesel'!F104*'RD Feedstock Breakdown'!Z$3*'Feedstock Conversion Rates'!B$6)/12</f>
        <v>44.555000000000007</v>
      </c>
      <c r="AA95" s="104">
        <f>('Renewable Diesel'!F104*'RD Feedstock Breakdown'!AA$3*'Feedstock Conversion Rates'!B$7)/12</f>
        <v>29.133333333333329</v>
      </c>
      <c r="AB95" s="106">
        <f t="shared" si="25"/>
        <v>73.688333333333333</v>
      </c>
      <c r="AC95" s="108"/>
      <c r="AG95" s="108"/>
      <c r="AI95" s="104">
        <f>('Renewable Diesel'!H104*'RD Feedstock Breakdown'!AI$3*'Feedstock Conversion Rates'!B$6)/12</f>
        <v>39.083333333333336</v>
      </c>
      <c r="AJ95" s="106">
        <f t="shared" si="26"/>
        <v>39.083333333333336</v>
      </c>
      <c r="AK95" s="104">
        <f>('Renewable Diesel'!J104*'RD Feedstock Breakdown'!AK$3*'Feedstock Conversion Rates'!B$4)/12</f>
        <v>62.5</v>
      </c>
      <c r="AL95" s="106">
        <f t="shared" si="28"/>
        <v>62.5</v>
      </c>
      <c r="AT95" s="108"/>
      <c r="BJ95" s="104">
        <f>('Renewable Diesel'!W104*'RD Feedstock Breakdown'!BJ$3*'Feedstock Conversion Rates'!B$4)/12+2-2</f>
        <v>7.5</v>
      </c>
      <c r="BK95" s="104">
        <f>('Renewable Diesel'!W104*'RD Feedstock Breakdown'!BK$3*'Feedstock Conversion Rates'!B$3)/12-2+2</f>
        <v>1.335</v>
      </c>
      <c r="BL95" s="104">
        <f>('Renewable Diesel'!W104*'RD Feedstock Breakdown'!BL$3*'Feedstock Conversion Rates'!B$6)/12</f>
        <v>3.1266666666666669</v>
      </c>
      <c r="BM95" s="104">
        <f>('Renewable Diesel'!W104*'RD Feedstock Breakdown'!BM$3*'Feedstock Conversion Rates'!B$7)/12</f>
        <v>1.5333333333333332</v>
      </c>
      <c r="BN95" s="106">
        <f t="shared" si="54"/>
        <v>13.495000000000001</v>
      </c>
      <c r="BO95" s="106"/>
      <c r="BP95" s="106"/>
      <c r="BQ95" s="106"/>
      <c r="BR95" s="106"/>
      <c r="BS95" s="106"/>
      <c r="BT95" s="106"/>
      <c r="BU95" s="106"/>
      <c r="BV95" s="106"/>
      <c r="BW95" s="106"/>
      <c r="BX95" s="107"/>
      <c r="BY95" s="106"/>
      <c r="BZ95" s="106"/>
      <c r="CA95" s="106"/>
      <c r="CB95" s="106"/>
      <c r="CC95" s="106"/>
      <c r="CD95" s="106"/>
      <c r="CE95" s="106"/>
      <c r="CF95" s="106"/>
      <c r="CG95" s="106"/>
      <c r="CH95" s="106"/>
      <c r="CI95" s="107"/>
      <c r="CJ95" s="106"/>
      <c r="CK95" s="106"/>
      <c r="CL95" s="106"/>
      <c r="CM95" s="106"/>
      <c r="CN95" s="106"/>
      <c r="CO95" s="106"/>
      <c r="CP95" s="106"/>
      <c r="CQ95" s="106"/>
      <c r="CR95" s="106"/>
      <c r="CS95" s="106"/>
      <c r="CT95" s="106"/>
      <c r="CU95" s="106"/>
      <c r="CV95" s="106"/>
      <c r="CW95" s="106"/>
      <c r="CX95" s="106"/>
      <c r="CY95" s="106"/>
      <c r="CZ95" s="106"/>
      <c r="DA95" s="106"/>
      <c r="DB95" s="106"/>
      <c r="DC95" s="106"/>
      <c r="DD95" s="107"/>
      <c r="DE95" s="106"/>
      <c r="DF95" s="106"/>
      <c r="DG95" s="106"/>
      <c r="DH95" s="106"/>
      <c r="DI95" s="106"/>
      <c r="DJ95" s="107"/>
      <c r="DK95" s="106"/>
      <c r="DL95" s="106"/>
      <c r="DM95" s="106"/>
      <c r="DN95" s="106"/>
      <c r="DP95" s="104">
        <f t="shared" si="30"/>
        <v>24.600416666666664</v>
      </c>
      <c r="DQ95" s="104">
        <f t="shared" si="31"/>
        <v>19.589409375000002</v>
      </c>
      <c r="DR95" s="104">
        <f t="shared" si="39"/>
        <v>100</v>
      </c>
      <c r="DS95" s="107"/>
      <c r="DT95" s="104">
        <f t="shared" si="32"/>
        <v>86.765000000000015</v>
      </c>
      <c r="DU95" s="104">
        <f t="shared" si="33"/>
        <v>81.15454166666666</v>
      </c>
      <c r="DV95" s="104">
        <f t="shared" si="34"/>
        <v>14.74609375</v>
      </c>
      <c r="DW95" s="104">
        <f t="shared" si="35"/>
        <v>0</v>
      </c>
      <c r="DX95" s="106">
        <f t="shared" si="36"/>
        <v>326.85546145833337</v>
      </c>
      <c r="DY95" s="109">
        <f t="shared" si="37"/>
        <v>0</v>
      </c>
      <c r="EA95" s="110">
        <f t="shared" si="55"/>
        <v>7.5263899697153011E-2</v>
      </c>
      <c r="EB95" s="110">
        <f t="shared" si="55"/>
        <v>5.9932941880786676E-2</v>
      </c>
      <c r="EC95" s="110">
        <f t="shared" si="55"/>
        <v>0.3059456297711205</v>
      </c>
      <c r="ED95" s="107"/>
      <c r="EE95" s="110">
        <f t="shared" si="56"/>
        <v>0.26545372567091274</v>
      </c>
      <c r="EF95" s="110">
        <f t="shared" si="56"/>
        <v>0.24828877358994969</v>
      </c>
      <c r="EG95" s="110">
        <f t="shared" si="56"/>
        <v>4.5115029390077339E-2</v>
      </c>
      <c r="EH95" s="111">
        <f t="shared" si="40"/>
        <v>0</v>
      </c>
      <c r="EI95" s="110">
        <f t="shared" si="41"/>
        <v>1</v>
      </c>
      <c r="EK95" s="112">
        <f>EA95*'Renewable Diesel'!BF104*'Feedstock Conversion Rates'!B$2</f>
        <v>8.9285023063293796</v>
      </c>
      <c r="EL95" s="112">
        <f>EB95*'Renewable Diesel'!BF104*'Feedstock Conversion Rates'!B$3</f>
        <v>6.6999426407406375</v>
      </c>
      <c r="EM95" s="112">
        <f>EC95*'Renewable Diesel'!BF104*'Feedstock Conversion Rates'!B$4</f>
        <v>32.024214780741367</v>
      </c>
      <c r="EN95" s="107"/>
      <c r="EO95" s="112">
        <f>EE95*'Renewable Diesel'!BF104*'Feedstock Conversion Rates'!B$6</f>
        <v>34.750786316440831</v>
      </c>
      <c r="EP95" s="112">
        <f>EF95*'Renewable Diesel'!BF104*'Feedstock Conversion Rates'!B$7</f>
        <v>31.879968465929078</v>
      </c>
      <c r="EQ95" s="112">
        <f>EG95*'Renewable Diesel'!BF104*'Feedstock Conversion Rates'!B$8</f>
        <v>5.902900917836849</v>
      </c>
      <c r="ER95" s="112">
        <f>EH95*'Renewable Diesel'!BF104*'Feedstock Conversion Rates'!B$9</f>
        <v>0</v>
      </c>
      <c r="ES95" s="112">
        <f t="shared" si="42"/>
        <v>120.18631542801813</v>
      </c>
      <c r="EW95" s="73">
        <f t="shared" si="43"/>
        <v>32.024214780741367</v>
      </c>
      <c r="EX95" s="73">
        <f t="shared" si="44"/>
        <v>88.162100647276773</v>
      </c>
      <c r="EY95" s="92">
        <f t="shared" si="38"/>
        <v>0.26645475124762669</v>
      </c>
      <c r="EZ95" s="92">
        <f t="shared" si="38"/>
        <v>0.73354524875237337</v>
      </c>
      <c r="FE95" s="107"/>
      <c r="FR95" s="3">
        <f>('Renewable Diesel'!AX104-'Renewable Diesel'!BI104)/12*$FO$80</f>
        <v>26.123437500000001</v>
      </c>
      <c r="FS95" s="100">
        <f t="shared" si="48"/>
        <v>0.3059456297711205</v>
      </c>
      <c r="FT95" s="3">
        <f t="shared" si="50"/>
        <v>59.942636532930045</v>
      </c>
      <c r="FY95" s="3">
        <f>'Renewable Diesel'!BF104*('Renewable Diesel'!BI104/'Renewable Diesel'!AX104)</f>
        <v>3.313400343459223</v>
      </c>
      <c r="FZ95" s="3">
        <f>('Renewable Diesel'!BJ104*'Renewable Diesel'!BG104)/12</f>
        <v>10.442714421068235</v>
      </c>
      <c r="GA95" s="3">
        <f t="shared" si="51"/>
        <v>23.961771300552623</v>
      </c>
      <c r="GD95" s="91">
        <f>'Renewable Diesel'!BB104*0</f>
        <v>0</v>
      </c>
      <c r="GE95" s="91">
        <f>'Renewable Diesel'!BC104</f>
        <v>7.0236000000000007E-2</v>
      </c>
      <c r="GF95" s="91">
        <f>'Renewable Diesel'!BD104</f>
        <v>0</v>
      </c>
      <c r="GG95" s="91">
        <f t="shared" si="49"/>
        <v>7.0236000000000007E-2</v>
      </c>
      <c r="GH95" s="124">
        <v>1</v>
      </c>
      <c r="GI95" s="102">
        <f>$GG95*EA95*'Feedstock Conversion Rates'!$B$2</f>
        <v>4.4932999702598536E-2</v>
      </c>
      <c r="GJ95" s="102">
        <f>$GG95*EB95*'Feedstock Conversion Rates'!$B$3</f>
        <v>3.3717695348570852E-2</v>
      </c>
      <c r="GK95" s="102">
        <f>$GG95*EC95*'Feedstock Conversion Rates'!$B$4</f>
        <v>0.16116297939453317</v>
      </c>
      <c r="GL95" s="102">
        <f>$GG95*ED95*'Feedstock Conversion Rates'!$B$5</f>
        <v>0</v>
      </c>
      <c r="GM95" s="102">
        <f>$GG95*EE95*'Feedstock Conversion Rates'!$B$6</f>
        <v>0.17488454587896451</v>
      </c>
      <c r="GN95" s="102">
        <f>$GG95*EF95*'Feedstock Conversion Rates'!$B$7</f>
        <v>0.16043705477714609</v>
      </c>
      <c r="GO95" s="102">
        <f>$GG95*EG95*'Feedstock Conversion Rates'!$B$8</f>
        <v>2.9706555039763802E-2</v>
      </c>
      <c r="GP95" s="102">
        <f>$GG95*EH95*'Feedstock Conversion Rates'!B$9</f>
        <v>0</v>
      </c>
      <c r="GQ95" s="102">
        <f t="shared" si="45"/>
        <v>0.604841830141577</v>
      </c>
      <c r="GR95" s="85">
        <f t="shared" si="53"/>
        <v>8.6115642995269788</v>
      </c>
      <c r="GT95" s="103">
        <f t="shared" si="47"/>
        <v>7.4288842906385877E-2</v>
      </c>
      <c r="GU95" s="103">
        <f t="shared" si="47"/>
        <v>5.5746302038465936E-2</v>
      </c>
      <c r="GV95" s="103">
        <f t="shared" si="47"/>
        <v>0.26645475124762663</v>
      </c>
      <c r="GW95" s="103">
        <f t="shared" si="46"/>
        <v>0</v>
      </c>
      <c r="GX95" s="103">
        <f t="shared" si="46"/>
        <v>0.28914095745995089</v>
      </c>
      <c r="GY95" s="103">
        <f t="shared" si="46"/>
        <v>0.26525456207219028</v>
      </c>
      <c r="GZ95" s="103">
        <f t="shared" si="46"/>
        <v>4.9114584275380402E-2</v>
      </c>
      <c r="HA95" s="103">
        <f t="shared" si="23"/>
        <v>0</v>
      </c>
    </row>
    <row r="96" spans="1:209" x14ac:dyDescent="0.25">
      <c r="A96" s="96">
        <v>43344</v>
      </c>
      <c r="B96" s="104">
        <v>30</v>
      </c>
      <c r="C96" s="105"/>
      <c r="D96" s="104">
        <v>0</v>
      </c>
      <c r="E96" s="104">
        <f>('Renewable Diesel'!B105*E$3*'Feedstock Conversion Rates'!$B$2)/12</f>
        <v>28.347499999999997</v>
      </c>
      <c r="F96" s="104">
        <f>('Renewable Diesel'!B105*'RD Feedstock Breakdown'!F$3*'Feedstock Conversion Rates'!B$8)/12</f>
        <v>16.9921875</v>
      </c>
      <c r="G96" s="104">
        <f>('Renewable Diesel'!B105*'RD Feedstock Breakdown'!G$3*'Feedstock Conversion Rates'!B$7)/12</f>
        <v>55.527750000000005</v>
      </c>
      <c r="H96" s="104">
        <f>('Renewable Diesel'!B105*'RD Feedstock Breakdown'!H$3*'Feedstock Conversion Rates'!B$3)/12-30</f>
        <v>25.604418750000001</v>
      </c>
      <c r="I96" s="106">
        <f t="shared" si="52"/>
        <v>156.47185625</v>
      </c>
      <c r="J96" s="106"/>
      <c r="K96" s="107"/>
      <c r="L96" s="106"/>
      <c r="R96" s="104">
        <f>('Renewable Diesel'!D105*'RD Feedstock Breakdown'!R$3*'Feedstock Conversion Rates'!B$7)/12</f>
        <v>2.2999999999999998</v>
      </c>
      <c r="S96" s="106">
        <f t="shared" si="27"/>
        <v>2.2999999999999998</v>
      </c>
      <c r="T96" s="107"/>
      <c r="U96" s="106"/>
      <c r="Z96" s="104">
        <f>('Renewable Diesel'!F105*'RD Feedstock Breakdown'!Z$3*'Feedstock Conversion Rates'!B$6)/12</f>
        <v>44.555000000000007</v>
      </c>
      <c r="AA96" s="104">
        <f>('Renewable Diesel'!F105*'RD Feedstock Breakdown'!AA$3*'Feedstock Conversion Rates'!B$7)/12</f>
        <v>29.133333333333329</v>
      </c>
      <c r="AB96" s="106">
        <f t="shared" si="25"/>
        <v>73.688333333333333</v>
      </c>
      <c r="AC96" s="108"/>
      <c r="AG96" s="108"/>
      <c r="AI96" s="104">
        <f>('Renewable Diesel'!H105*'RD Feedstock Breakdown'!AI$3*'Feedstock Conversion Rates'!B$6)/12</f>
        <v>39.083333333333336</v>
      </c>
      <c r="AJ96" s="106">
        <f t="shared" si="26"/>
        <v>39.083333333333336</v>
      </c>
      <c r="AK96" s="104">
        <f>('Renewable Diesel'!J105*'RD Feedstock Breakdown'!AK$3*'Feedstock Conversion Rates'!B$4)/12</f>
        <v>62.5</v>
      </c>
      <c r="AL96" s="106">
        <f t="shared" si="28"/>
        <v>62.5</v>
      </c>
      <c r="AT96" s="108"/>
      <c r="BJ96" s="104">
        <f>('Renewable Diesel'!W105*'RD Feedstock Breakdown'!BJ$3*'Feedstock Conversion Rates'!B$4)/12+2-2</f>
        <v>7.5</v>
      </c>
      <c r="BK96" s="104">
        <f>('Renewable Diesel'!W105*'RD Feedstock Breakdown'!BK$3*'Feedstock Conversion Rates'!B$3)/12-2+2</f>
        <v>1.335</v>
      </c>
      <c r="BL96" s="104">
        <f>('Renewable Diesel'!W105*'RD Feedstock Breakdown'!BL$3*'Feedstock Conversion Rates'!B$6)/12</f>
        <v>3.1266666666666669</v>
      </c>
      <c r="BM96" s="104">
        <f>('Renewable Diesel'!W105*'RD Feedstock Breakdown'!BM$3*'Feedstock Conversion Rates'!B$7)/12</f>
        <v>1.5333333333333332</v>
      </c>
      <c r="BN96" s="106">
        <f t="shared" si="54"/>
        <v>13.495000000000001</v>
      </c>
      <c r="BO96" s="106"/>
      <c r="BP96" s="106"/>
      <c r="BQ96" s="106"/>
      <c r="BR96" s="106"/>
      <c r="BS96" s="106"/>
      <c r="BT96" s="106"/>
      <c r="BU96" s="106"/>
      <c r="BV96" s="106"/>
      <c r="BW96" s="106"/>
      <c r="BX96" s="107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7"/>
      <c r="CJ96" s="106"/>
      <c r="CK96" s="106"/>
      <c r="CL96" s="106"/>
      <c r="CM96" s="106"/>
      <c r="CN96" s="106"/>
      <c r="CO96" s="106"/>
      <c r="CP96" s="106"/>
      <c r="CQ96" s="106"/>
      <c r="CR96" s="106"/>
      <c r="CS96" s="106"/>
      <c r="CT96" s="106"/>
      <c r="CU96" s="106"/>
      <c r="CV96" s="106"/>
      <c r="CW96" s="106"/>
      <c r="CX96" s="106"/>
      <c r="CY96" s="106"/>
      <c r="CZ96" s="106"/>
      <c r="DA96" s="106"/>
      <c r="DB96" s="106"/>
      <c r="DC96" s="106"/>
      <c r="DD96" s="107"/>
      <c r="DE96" s="106"/>
      <c r="DF96" s="106"/>
      <c r="DG96" s="106"/>
      <c r="DH96" s="106"/>
      <c r="DI96" s="106"/>
      <c r="DJ96" s="107"/>
      <c r="DK96" s="106"/>
      <c r="DL96" s="106"/>
      <c r="DM96" s="106"/>
      <c r="DN96" s="106"/>
      <c r="DP96" s="104">
        <f t="shared" si="30"/>
        <v>28.347499999999997</v>
      </c>
      <c r="DQ96" s="104">
        <f t="shared" si="31"/>
        <v>26.939418750000002</v>
      </c>
      <c r="DR96" s="104">
        <f t="shared" si="39"/>
        <v>100</v>
      </c>
      <c r="DS96" s="107"/>
      <c r="DT96" s="104">
        <f t="shared" si="32"/>
        <v>86.765000000000015</v>
      </c>
      <c r="DU96" s="104">
        <f t="shared" si="33"/>
        <v>88.494416666666666</v>
      </c>
      <c r="DV96" s="104">
        <f t="shared" si="34"/>
        <v>16.9921875</v>
      </c>
      <c r="DW96" s="104">
        <f t="shared" si="35"/>
        <v>0</v>
      </c>
      <c r="DX96" s="106">
        <f t="shared" si="36"/>
        <v>347.53852291666669</v>
      </c>
      <c r="DY96" s="109">
        <f t="shared" si="37"/>
        <v>0</v>
      </c>
      <c r="EA96" s="110">
        <f t="shared" si="55"/>
        <v>8.1566497325527287E-2</v>
      </c>
      <c r="EB96" s="110">
        <f t="shared" si="55"/>
        <v>7.7514914099061111E-2</v>
      </c>
      <c r="EC96" s="110">
        <f t="shared" si="55"/>
        <v>0.28773788632340519</v>
      </c>
      <c r="ED96" s="107"/>
      <c r="EE96" s="110">
        <f t="shared" si="56"/>
        <v>0.24965577706850259</v>
      </c>
      <c r="EF96" s="110">
        <f t="shared" si="56"/>
        <v>0.25463196403089389</v>
      </c>
      <c r="EG96" s="110">
        <f t="shared" si="56"/>
        <v>4.8892961152609868E-2</v>
      </c>
      <c r="EH96" s="111">
        <f t="shared" si="40"/>
        <v>0</v>
      </c>
      <c r="EI96" s="110">
        <f t="shared" si="41"/>
        <v>1</v>
      </c>
      <c r="EK96" s="112">
        <f>EA96*'Renewable Diesel'!BF105*'Feedstock Conversion Rates'!B$2</f>
        <v>19.946238833301759</v>
      </c>
      <c r="EL96" s="112">
        <f>EB96*'Renewable Diesel'!BF105*'Feedstock Conversion Rates'!B$3</f>
        <v>17.862739401842877</v>
      </c>
      <c r="EM96" s="112">
        <f>EC96*'Renewable Diesel'!BF105*'Feedstock Conversion Rates'!B$4</f>
        <v>62.085272069749145</v>
      </c>
      <c r="EN96" s="107"/>
      <c r="EO96" s="112">
        <f>EE96*'Renewable Diesel'!BF105*'Feedstock Conversion Rates'!B$6</f>
        <v>67.371270080021532</v>
      </c>
      <c r="EP96" s="112">
        <f>EF96*'Renewable Diesel'!BF105*'Feedstock Conversion Rates'!B$7</f>
        <v>67.395519207619245</v>
      </c>
      <c r="EQ96" s="112">
        <f>EG96*'Renewable Diesel'!BF105*'Feedstock Conversion Rates'!B$8</f>
        <v>13.187057299971132</v>
      </c>
      <c r="ER96" s="112">
        <f>EH96*'Renewable Diesel'!BF105*'Feedstock Conversion Rates'!B$9</f>
        <v>0</v>
      </c>
      <c r="ES96" s="112">
        <f>SUM(EK96:ER96)</f>
        <v>247.84809689250571</v>
      </c>
      <c r="EW96" s="73">
        <f t="shared" si="43"/>
        <v>62.085272069749145</v>
      </c>
      <c r="EX96" s="73">
        <f t="shared" si="44"/>
        <v>185.76282482275656</v>
      </c>
      <c r="EY96" s="92">
        <f t="shared" si="38"/>
        <v>0.25049727170863118</v>
      </c>
      <c r="EZ96" s="92">
        <f t="shared" si="38"/>
        <v>0.74950272829136877</v>
      </c>
      <c r="FE96" s="107"/>
      <c r="FR96" s="3">
        <f>('Renewable Diesel'!AX105-'Renewable Diesel'!BI105)/12*$FO$80</f>
        <v>27.740625000000001</v>
      </c>
      <c r="FS96" s="100">
        <f t="shared" si="48"/>
        <v>0.28773788632340519</v>
      </c>
      <c r="FT96" s="3">
        <f t="shared" si="50"/>
        <v>59.865216020926596</v>
      </c>
      <c r="FY96" s="3">
        <f>'Renewable Diesel'!BF105*('Renewable Diesel'!BI105/'Renewable Diesel'!AX105)</f>
        <v>6.8516124163233778</v>
      </c>
      <c r="FZ96" s="3">
        <f>('Renewable Diesel'!BJ105*'Renewable Diesel'!BG105)/12</f>
        <v>21.50532175548916</v>
      </c>
      <c r="GA96" s="3">
        <f t="shared" si="51"/>
        <v>46.409218699718942</v>
      </c>
      <c r="GD96" s="91">
        <f>'Renewable Diesel'!BB105*0</f>
        <v>0</v>
      </c>
      <c r="GE96" s="91">
        <f>'Renewable Diesel'!BC105</f>
        <v>0.15108199999999999</v>
      </c>
      <c r="GF96" s="91">
        <f>'Renewable Diesel'!BD105</f>
        <v>0</v>
      </c>
      <c r="GG96" s="91">
        <f t="shared" si="49"/>
        <v>0.15108199999999999</v>
      </c>
      <c r="GH96" s="124">
        <v>1</v>
      </c>
      <c r="GI96" s="102">
        <f>$GG96*EA96*'Feedstock Conversion Rates'!$B$2</f>
        <v>0.10474745116595016</v>
      </c>
      <c r="GJ96" s="102">
        <f>$GG96*EB96*'Feedstock Conversion Rates'!$B$3</f>
        <v>9.3805977097833948E-2</v>
      </c>
      <c r="GK96" s="102">
        <f>$GG96*EC96*'Feedstock Conversion Rates'!$B$4</f>
        <v>0.32604011506134528</v>
      </c>
      <c r="GL96" s="102">
        <f>$GG96*ED96*'Feedstock Conversion Rates'!$B$5</f>
        <v>0</v>
      </c>
      <c r="GM96" s="102">
        <f>$GG96*EE96*'Feedstock Conversion Rates'!$B$6</f>
        <v>0.3537994747617757</v>
      </c>
      <c r="GN96" s="102">
        <f>$GG96*EF96*'Feedstock Conversion Rates'!$B$7</f>
        <v>0.35392681878538262</v>
      </c>
      <c r="GO96" s="102">
        <f>$GG96*EG96*'Feedstock Conversion Rates'!$B$8</f>
        <v>6.9251684595549409E-2</v>
      </c>
      <c r="GP96" s="102">
        <f>$GG96*EH96*'Feedstock Conversion Rates'!B$9</f>
        <v>0</v>
      </c>
      <c r="GQ96" s="102">
        <f t="shared" si="45"/>
        <v>1.3015715214678369</v>
      </c>
      <c r="GR96" s="85">
        <f t="shared" si="53"/>
        <v>8.6150006054184942</v>
      </c>
      <c r="GT96" s="103">
        <f t="shared" si="47"/>
        <v>8.0477675977284779E-2</v>
      </c>
      <c r="GU96" s="103">
        <f t="shared" si="47"/>
        <v>7.2071319593751529E-2</v>
      </c>
      <c r="GV96" s="103">
        <f t="shared" si="47"/>
        <v>0.25049727170863118</v>
      </c>
      <c r="GW96" s="103">
        <f t="shared" si="46"/>
        <v>0</v>
      </c>
      <c r="GX96" s="103">
        <f t="shared" si="46"/>
        <v>0.27182484321935763</v>
      </c>
      <c r="GY96" s="103">
        <f t="shared" si="46"/>
        <v>0.27192268188708091</v>
      </c>
      <c r="GZ96" s="103">
        <f t="shared" si="46"/>
        <v>5.3206207613893823E-2</v>
      </c>
      <c r="HA96" s="103">
        <f t="shared" si="23"/>
        <v>0</v>
      </c>
    </row>
    <row r="97" spans="1:209" x14ac:dyDescent="0.25">
      <c r="A97" s="96">
        <v>43374</v>
      </c>
      <c r="B97" s="104">
        <v>35</v>
      </c>
      <c r="C97" s="105"/>
      <c r="D97" s="104">
        <v>0</v>
      </c>
      <c r="E97" s="104">
        <f>('Renewable Diesel'!B106*E$3*'Feedstock Conversion Rates'!$B$2)/12</f>
        <v>32.101100000000002</v>
      </c>
      <c r="F97" s="104">
        <f>('Renewable Diesel'!B106*'RD Feedstock Breakdown'!F$3*'Feedstock Conversion Rates'!B$8)/12</f>
        <v>19.242187500000004</v>
      </c>
      <c r="G97" s="104">
        <f>('Renewable Diesel'!B106*'RD Feedstock Breakdown'!G$3*'Feedstock Conversion Rates'!B$7)/12</f>
        <v>62.880390000000006</v>
      </c>
      <c r="H97" s="104">
        <f>('Renewable Diesel'!B106*'RD Feedstock Breakdown'!H$3*'Feedstock Conversion Rates'!B$3)/12-35</f>
        <v>27.96721075</v>
      </c>
      <c r="I97" s="106">
        <f t="shared" si="52"/>
        <v>177.19088825</v>
      </c>
      <c r="J97" s="106"/>
      <c r="K97" s="107"/>
      <c r="L97" s="106"/>
      <c r="R97" s="104">
        <f>('Renewable Diesel'!D106*'RD Feedstock Breakdown'!R$3*'Feedstock Conversion Rates'!B$7)/12</f>
        <v>2.2999999999999998</v>
      </c>
      <c r="S97" s="106">
        <f t="shared" si="27"/>
        <v>2.2999999999999998</v>
      </c>
      <c r="T97" s="107"/>
      <c r="U97" s="106"/>
      <c r="Z97" s="104">
        <f>('Renewable Diesel'!F106*'RD Feedstock Breakdown'!Z$3*'Feedstock Conversion Rates'!B$6)/12</f>
        <v>44.555000000000007</v>
      </c>
      <c r="AA97" s="104">
        <f>('Renewable Diesel'!F106*'RD Feedstock Breakdown'!AA$3*'Feedstock Conversion Rates'!B$7)/12</f>
        <v>29.133333333333329</v>
      </c>
      <c r="AB97" s="106">
        <f t="shared" si="25"/>
        <v>73.688333333333333</v>
      </c>
      <c r="AC97" s="108"/>
      <c r="AG97" s="108"/>
      <c r="AI97" s="104">
        <f>('Renewable Diesel'!H106*'RD Feedstock Breakdown'!AI$3*'Feedstock Conversion Rates'!B$6)/12</f>
        <v>39.083333333333336</v>
      </c>
      <c r="AJ97" s="106">
        <f t="shared" si="26"/>
        <v>39.083333333333336</v>
      </c>
      <c r="AK97" s="104">
        <f>('Renewable Diesel'!J106*'RD Feedstock Breakdown'!AK$3*'Feedstock Conversion Rates'!B$4)/12</f>
        <v>62.5</v>
      </c>
      <c r="AL97" s="106">
        <f t="shared" si="28"/>
        <v>62.5</v>
      </c>
      <c r="AT97" s="108"/>
      <c r="BJ97" s="104">
        <f>('Renewable Diesel'!W106*'RD Feedstock Breakdown'!BJ$3*'Feedstock Conversion Rates'!B$4)/12+2-2</f>
        <v>7.5</v>
      </c>
      <c r="BK97" s="104">
        <f>('Renewable Diesel'!W106*'RD Feedstock Breakdown'!BK$3*'Feedstock Conversion Rates'!B$3)/12-2+2</f>
        <v>1.335</v>
      </c>
      <c r="BL97" s="104">
        <f>('Renewable Diesel'!W106*'RD Feedstock Breakdown'!BL$3*'Feedstock Conversion Rates'!B$6)/12</f>
        <v>3.1266666666666669</v>
      </c>
      <c r="BM97" s="104">
        <f>('Renewable Diesel'!W106*'RD Feedstock Breakdown'!BM$3*'Feedstock Conversion Rates'!B$7)/12</f>
        <v>1.5333333333333332</v>
      </c>
      <c r="BN97" s="106">
        <f t="shared" si="54"/>
        <v>13.495000000000001</v>
      </c>
      <c r="BO97" s="106"/>
      <c r="BP97" s="106"/>
      <c r="BQ97" s="106"/>
      <c r="BR97" s="106"/>
      <c r="BS97" s="106"/>
      <c r="BT97" s="106"/>
      <c r="BU97" s="106"/>
      <c r="BV97" s="106"/>
      <c r="BW97" s="106"/>
      <c r="BX97" s="107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7"/>
      <c r="CJ97" s="106"/>
      <c r="CK97" s="106"/>
      <c r="CL97" s="106"/>
      <c r="CM97" s="106"/>
      <c r="CN97" s="106"/>
      <c r="CO97" s="106"/>
      <c r="CP97" s="106"/>
      <c r="CQ97" s="106"/>
      <c r="CR97" s="106"/>
      <c r="CS97" s="106"/>
      <c r="CT97" s="106"/>
      <c r="CU97" s="106"/>
      <c r="CV97" s="106"/>
      <c r="CW97" s="106"/>
      <c r="CX97" s="106"/>
      <c r="CY97" s="106"/>
      <c r="CZ97" s="106"/>
      <c r="DA97" s="106"/>
      <c r="DB97" s="106"/>
      <c r="DC97" s="106"/>
      <c r="DD97" s="107"/>
      <c r="DE97" s="106"/>
      <c r="DF97" s="106"/>
      <c r="DG97" s="106"/>
      <c r="DH97" s="106"/>
      <c r="DI97" s="106"/>
      <c r="DJ97" s="107"/>
      <c r="DK97" s="106"/>
      <c r="DL97" s="106"/>
      <c r="DM97" s="106"/>
      <c r="DN97" s="106"/>
      <c r="DP97" s="104">
        <f t="shared" si="30"/>
        <v>32.101100000000002</v>
      </c>
      <c r="DQ97" s="104">
        <f t="shared" si="31"/>
        <v>29.30221075</v>
      </c>
      <c r="DR97" s="104">
        <f t="shared" si="39"/>
        <v>105</v>
      </c>
      <c r="DS97" s="107"/>
      <c r="DT97" s="104">
        <f t="shared" si="32"/>
        <v>86.765000000000015</v>
      </c>
      <c r="DU97" s="104">
        <f t="shared" si="33"/>
        <v>95.84705666666666</v>
      </c>
      <c r="DV97" s="104">
        <f t="shared" si="34"/>
        <v>19.242187500000004</v>
      </c>
      <c r="DW97" s="104">
        <f t="shared" si="35"/>
        <v>0</v>
      </c>
      <c r="DX97" s="106">
        <f t="shared" si="36"/>
        <v>368.25755491666666</v>
      </c>
      <c r="DY97" s="109">
        <f t="shared" si="37"/>
        <v>0</v>
      </c>
      <c r="EA97" s="110">
        <f t="shared" si="55"/>
        <v>8.7170241510087121E-2</v>
      </c>
      <c r="EB97" s="110">
        <f t="shared" si="55"/>
        <v>7.9569883519785015E-2</v>
      </c>
      <c r="EC97" s="110">
        <f t="shared" si="55"/>
        <v>0.28512653331378507</v>
      </c>
      <c r="ED97" s="107"/>
      <c r="EE97" s="110">
        <f t="shared" si="56"/>
        <v>0.23560955869495778</v>
      </c>
      <c r="EF97" s="110">
        <f t="shared" si="56"/>
        <v>0.26027179995901506</v>
      </c>
      <c r="EG97" s="110">
        <f t="shared" si="56"/>
        <v>5.2251983002370002E-2</v>
      </c>
      <c r="EH97" s="111">
        <f t="shared" si="40"/>
        <v>0</v>
      </c>
      <c r="EI97" s="110">
        <f t="shared" si="41"/>
        <v>1</v>
      </c>
      <c r="EK97" s="112">
        <f>EA97*'Renewable Diesel'!BF106*'Feedstock Conversion Rates'!B$2</f>
        <v>26.774014316896825</v>
      </c>
      <c r="EL97" s="112">
        <f>EB97*'Renewable Diesel'!BF106*'Feedstock Conversion Rates'!B$3</f>
        <v>23.03072208886811</v>
      </c>
      <c r="EM97" s="112">
        <f>EC97*'Renewable Diesel'!BF106*'Feedstock Conversion Rates'!B$4</f>
        <v>77.272544534597202</v>
      </c>
      <c r="EN97" s="107"/>
      <c r="EO97" s="112">
        <f>EE97*'Renewable Diesel'!BF106*'Feedstock Conversion Rates'!B$6</f>
        <v>79.858667711728003</v>
      </c>
      <c r="EP97" s="112">
        <f>EF97*'Renewable Diesel'!BF106*'Feedstock Conversion Rates'!B$7</f>
        <v>86.524930519393735</v>
      </c>
      <c r="EQ97" s="112">
        <f>EG97*'Renewable Diesel'!BF106*'Feedstock Conversion Rates'!B$8</f>
        <v>17.701104649247856</v>
      </c>
      <c r="ER97" s="112">
        <f>EH97*'Renewable Diesel'!BF106*'Feedstock Conversion Rates'!B$9</f>
        <v>0</v>
      </c>
      <c r="ES97" s="112">
        <f t="shared" si="42"/>
        <v>311.16198382073168</v>
      </c>
      <c r="EW97" s="73">
        <f t="shared" si="43"/>
        <v>77.272544534597202</v>
      </c>
      <c r="EX97" s="73">
        <f t="shared" si="44"/>
        <v>233.88943928613452</v>
      </c>
      <c r="EY97" s="92">
        <f t="shared" si="38"/>
        <v>0.24833542833791636</v>
      </c>
      <c r="EZ97" s="92">
        <f t="shared" si="38"/>
        <v>0.75166457166208378</v>
      </c>
      <c r="FE97" s="107"/>
      <c r="FR97" s="3">
        <f>('Renewable Diesel'!AX106-'Renewable Diesel'!BI106)/12*$FO$80</f>
        <v>29.360624999999995</v>
      </c>
      <c r="FS97" s="100">
        <f t="shared" si="48"/>
        <v>0.28512653331378507</v>
      </c>
      <c r="FT97" s="3">
        <f t="shared" si="50"/>
        <v>62.786199166320372</v>
      </c>
      <c r="FY97" s="3">
        <f>'Renewable Diesel'!BF106*('Renewable Diesel'!BI106/'Renewable Diesel'!AX106)</f>
        <v>8.6297172183064372</v>
      </c>
      <c r="FZ97" s="3">
        <f>('Renewable Diesel'!BJ106*'Renewable Diesel'!BG106)/12</f>
        <v>27.887153584217089</v>
      </c>
      <c r="GA97" s="3">
        <f t="shared" si="51"/>
        <v>59.635255690926861</v>
      </c>
      <c r="GD97" s="91">
        <f>'Renewable Diesel'!BB106*0</f>
        <v>0</v>
      </c>
      <c r="GE97" s="91">
        <f>'Renewable Diesel'!BC106</f>
        <v>0.22908899999999999</v>
      </c>
      <c r="GF97" s="91">
        <f>'Renewable Diesel'!BD106</f>
        <v>0</v>
      </c>
      <c r="GG97" s="91">
        <f t="shared" si="49"/>
        <v>0.22908899999999999</v>
      </c>
      <c r="GH97" s="124">
        <v>1</v>
      </c>
      <c r="GI97" s="102">
        <f>$GG97*EA97*'Feedstock Conversion Rates'!$B$2</f>
        <v>0.16974281938708696</v>
      </c>
      <c r="GJ97" s="102">
        <f>$GG97*EB97*'Feedstock Conversion Rates'!$B$3</f>
        <v>0.14601096621576884</v>
      </c>
      <c r="GK97" s="102">
        <f>$GG97*EC97*'Feedstock Conversion Rates'!$B$4</f>
        <v>0.48989514292741276</v>
      </c>
      <c r="GL97" s="102">
        <f>$GG97*ED97*'Feedstock Conversion Rates'!$B$5</f>
        <v>0</v>
      </c>
      <c r="GM97" s="102">
        <f>$GG97*EE97*'Feedstock Conversion Rates'!$B$6</f>
        <v>0.50629073583973294</v>
      </c>
      <c r="GN97" s="102">
        <f>$GG97*EF97*'Feedstock Conversion Rates'!$B$7</f>
        <v>0.54855373870345925</v>
      </c>
      <c r="GO97" s="102">
        <f>$GG97*EG97*'Feedstock Conversion Rates'!$B$8</f>
        <v>0.11222207375653069</v>
      </c>
      <c r="GP97" s="102">
        <f>$GG97*EH97*'Feedstock Conversion Rates'!B$9</f>
        <v>0</v>
      </c>
      <c r="GQ97" s="102">
        <f t="shared" si="45"/>
        <v>1.9727154768299915</v>
      </c>
      <c r="GR97" s="85">
        <f t="shared" si="53"/>
        <v>8.611131380511468</v>
      </c>
      <c r="GT97" s="103">
        <f t="shared" si="47"/>
        <v>8.6045261661276767E-2</v>
      </c>
      <c r="GU97" s="103">
        <f t="shared" si="47"/>
        <v>7.4015218074122757E-2</v>
      </c>
      <c r="GV97" s="103">
        <f t="shared" si="47"/>
        <v>0.24833542833791636</v>
      </c>
      <c r="GW97" s="103">
        <f t="shared" si="46"/>
        <v>0</v>
      </c>
      <c r="GX97" s="103">
        <f t="shared" si="46"/>
        <v>0.25664660808222833</v>
      </c>
      <c r="GY97" s="103">
        <f t="shared" si="46"/>
        <v>0.27807037819003927</v>
      </c>
      <c r="GZ97" s="103">
        <f t="shared" si="46"/>
        <v>5.6887105654416681E-2</v>
      </c>
      <c r="HA97" s="103">
        <f t="shared" si="23"/>
        <v>0</v>
      </c>
    </row>
    <row r="98" spans="1:209" x14ac:dyDescent="0.25">
      <c r="A98" s="96">
        <v>43405</v>
      </c>
      <c r="B98" s="104">
        <v>35</v>
      </c>
      <c r="C98" s="105"/>
      <c r="D98" s="104">
        <v>0</v>
      </c>
      <c r="E98" s="104">
        <f>('Renewable Diesel'!B107*E$3*'Feedstock Conversion Rates'!$B$2)/12</f>
        <v>37.796666666666667</v>
      </c>
      <c r="F98" s="104">
        <f>('Renewable Diesel'!B107*'RD Feedstock Breakdown'!F$3*'Feedstock Conversion Rates'!B$8)/12</f>
        <v>22.65625</v>
      </c>
      <c r="G98" s="104">
        <f>('Renewable Diesel'!B107*'RD Feedstock Breakdown'!G$3*'Feedstock Conversion Rates'!B$7)/12</f>
        <v>74.036999999999992</v>
      </c>
      <c r="H98" s="104">
        <f>('Renewable Diesel'!B107*'RD Feedstock Breakdown'!H$3*'Feedstock Conversion Rates'!B$3)/12-35</f>
        <v>39.139224999999996</v>
      </c>
      <c r="I98" s="106">
        <f t="shared" si="52"/>
        <v>208.62914166666667</v>
      </c>
      <c r="J98" s="106"/>
      <c r="K98" s="107"/>
      <c r="L98" s="106"/>
      <c r="R98" s="104">
        <f>('Renewable Diesel'!D107*'RD Feedstock Breakdown'!R$3*'Feedstock Conversion Rates'!B$7)/12</f>
        <v>2.2999999999999998</v>
      </c>
      <c r="S98" s="106">
        <f t="shared" si="27"/>
        <v>2.2999999999999998</v>
      </c>
      <c r="T98" s="107"/>
      <c r="U98" s="106"/>
      <c r="Z98" s="104">
        <f>('Renewable Diesel'!F107*'RD Feedstock Breakdown'!Z$3*'Feedstock Conversion Rates'!B$6)/12</f>
        <v>44.555000000000007</v>
      </c>
      <c r="AA98" s="104">
        <f>('Renewable Diesel'!F107*'RD Feedstock Breakdown'!AA$3*'Feedstock Conversion Rates'!B$7)/12</f>
        <v>29.133333333333329</v>
      </c>
      <c r="AB98" s="106">
        <f t="shared" si="25"/>
        <v>73.688333333333333</v>
      </c>
      <c r="AC98" s="108"/>
      <c r="AG98" s="108"/>
      <c r="AI98" s="104">
        <f>('Renewable Diesel'!H107*'RD Feedstock Breakdown'!AI$3*'Feedstock Conversion Rates'!B$6)/12</f>
        <v>39.083333333333336</v>
      </c>
      <c r="AJ98" s="106">
        <f t="shared" si="26"/>
        <v>39.083333333333336</v>
      </c>
      <c r="AK98" s="104">
        <f>('Renewable Diesel'!J107*'RD Feedstock Breakdown'!AK$3*'Feedstock Conversion Rates'!B$4)/12</f>
        <v>62.5</v>
      </c>
      <c r="AL98" s="106">
        <f t="shared" si="28"/>
        <v>62.5</v>
      </c>
      <c r="AT98" s="108"/>
      <c r="BJ98" s="104">
        <f>('Renewable Diesel'!W107*'RD Feedstock Breakdown'!BJ$3*'Feedstock Conversion Rates'!B$4)/12</f>
        <v>7.5</v>
      </c>
      <c r="BK98" s="104">
        <f>('Renewable Diesel'!W107*'RD Feedstock Breakdown'!BK$3*'Feedstock Conversion Rates'!B$3)/12</f>
        <v>1.335</v>
      </c>
      <c r="BL98" s="104">
        <f>('Renewable Diesel'!W107*'RD Feedstock Breakdown'!BL$3*'Feedstock Conversion Rates'!B$6)/12</f>
        <v>3.1266666666666669</v>
      </c>
      <c r="BM98" s="104">
        <f>('Renewable Diesel'!W107*'RD Feedstock Breakdown'!BM$3*'Feedstock Conversion Rates'!B$7)/12</f>
        <v>1.5333333333333332</v>
      </c>
      <c r="BN98" s="106">
        <f t="shared" si="54"/>
        <v>13.495000000000001</v>
      </c>
      <c r="BO98" s="106"/>
      <c r="BP98" s="106"/>
      <c r="BQ98" s="106"/>
      <c r="BR98" s="106"/>
      <c r="BS98" s="106"/>
      <c r="BT98" s="106"/>
      <c r="BU98" s="106"/>
      <c r="BV98" s="106"/>
      <c r="BW98" s="106"/>
      <c r="BX98" s="107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7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  <c r="CU98" s="106"/>
      <c r="CV98" s="106"/>
      <c r="CW98" s="106"/>
      <c r="CX98" s="106"/>
      <c r="CY98" s="106"/>
      <c r="CZ98" s="106"/>
      <c r="DA98" s="106"/>
      <c r="DB98" s="106"/>
      <c r="DC98" s="106"/>
      <c r="DD98" s="107"/>
      <c r="DE98" s="106"/>
      <c r="DF98" s="106"/>
      <c r="DG98" s="106"/>
      <c r="DH98" s="106"/>
      <c r="DI98" s="106"/>
      <c r="DJ98" s="107"/>
      <c r="DK98" s="106"/>
      <c r="DL98" s="106"/>
      <c r="DM98" s="106"/>
      <c r="DN98" s="106"/>
      <c r="DP98" s="104">
        <f t="shared" si="30"/>
        <v>37.796666666666667</v>
      </c>
      <c r="DQ98" s="104">
        <f t="shared" si="31"/>
        <v>40.474224999999997</v>
      </c>
      <c r="DR98" s="104">
        <f t="shared" si="39"/>
        <v>105</v>
      </c>
      <c r="DS98" s="107"/>
      <c r="DT98" s="104">
        <f t="shared" si="32"/>
        <v>86.765000000000015</v>
      </c>
      <c r="DU98" s="104">
        <f t="shared" si="33"/>
        <v>107.00366666666665</v>
      </c>
      <c r="DV98" s="104">
        <f t="shared" si="34"/>
        <v>22.65625</v>
      </c>
      <c r="DW98" s="104">
        <f t="shared" si="35"/>
        <v>0</v>
      </c>
      <c r="DX98" s="106">
        <f t="shared" si="36"/>
        <v>399.69580833333328</v>
      </c>
      <c r="DY98" s="109">
        <f t="shared" si="37"/>
        <v>5.6843418860808015E-14</v>
      </c>
      <c r="EA98" s="110">
        <f t="shared" si="55"/>
        <v>9.4563580299409797E-2</v>
      </c>
      <c r="EB98" s="110">
        <f t="shared" si="55"/>
        <v>0.10126257057528562</v>
      </c>
      <c r="EC98" s="110">
        <f t="shared" si="55"/>
        <v>0.26269977770803499</v>
      </c>
      <c r="ED98" s="107"/>
      <c r="EE98" s="110">
        <f t="shared" si="56"/>
        <v>0.21707758297940627</v>
      </c>
      <c r="EF98" s="110">
        <f t="shared" si="56"/>
        <v>0.26771275664074284</v>
      </c>
      <c r="EG98" s="110">
        <f t="shared" si="56"/>
        <v>5.6683731797120641E-2</v>
      </c>
      <c r="EH98" s="111">
        <f t="shared" si="40"/>
        <v>0</v>
      </c>
      <c r="EI98" s="110">
        <f t="shared" si="41"/>
        <v>1.0000000000000002</v>
      </c>
      <c r="EK98" s="112">
        <f>EA98*'Renewable Diesel'!BF107*'Feedstock Conversion Rates'!B$2</f>
        <v>29.759923597743516</v>
      </c>
      <c r="EL98" s="112">
        <f>EB98*'Renewable Diesel'!BF107*'Feedstock Conversion Rates'!B$3</f>
        <v>30.031044903409331</v>
      </c>
      <c r="EM98" s="112">
        <f>EC98*'Renewable Diesel'!BF107*'Feedstock Conversion Rates'!B$4</f>
        <v>72.947421963415238</v>
      </c>
      <c r="EN98" s="107"/>
      <c r="EO98" s="112">
        <f>EE98*'Renewable Diesel'!BF107*'Feedstock Conversion Rates'!B$6</f>
        <v>75.388793860610406</v>
      </c>
      <c r="EP98" s="112">
        <f>EF98*'Renewable Diesel'!BF107*'Feedstock Conversion Rates'!B$7</f>
        <v>91.189718019665818</v>
      </c>
      <c r="EQ98" s="112">
        <f>EG98*'Renewable Diesel'!BF107*'Feedstock Conversion Rates'!B$8</f>
        <v>19.675178914983647</v>
      </c>
      <c r="ER98" s="112">
        <f>EH98*'Renewable Diesel'!BF107*'Feedstock Conversion Rates'!B$9</f>
        <v>0</v>
      </c>
      <c r="ES98" s="112">
        <f t="shared" si="42"/>
        <v>318.99208125982796</v>
      </c>
      <c r="EW98" s="73">
        <f t="shared" si="43"/>
        <v>72.947421963415238</v>
      </c>
      <c r="EX98" s="73">
        <f t="shared" si="44"/>
        <v>246.0446592964127</v>
      </c>
      <c r="EY98" s="92">
        <f t="shared" si="38"/>
        <v>0.22868098065417972</v>
      </c>
      <c r="EZ98" s="92">
        <f t="shared" si="38"/>
        <v>0.77131901934582026</v>
      </c>
      <c r="FE98" s="107"/>
      <c r="FR98" s="3">
        <f>('Renewable Diesel'!AX107-'Renewable Diesel'!BI107)/12*$FO$80</f>
        <v>31.818749999999998</v>
      </c>
      <c r="FS98" s="100">
        <f t="shared" si="48"/>
        <v>0.26269977770803499</v>
      </c>
      <c r="FT98" s="3">
        <f t="shared" si="50"/>
        <v>62.690839139606531</v>
      </c>
      <c r="FY98" s="3">
        <f>'Renewable Diesel'!BF107*('Renewable Diesel'!BI107/'Renewable Diesel'!AX107)</f>
        <v>8.8745955801971323</v>
      </c>
      <c r="FZ98" s="3">
        <f>('Renewable Diesel'!BJ107*'Renewable Diesel'!BG107)/12</f>
        <v>27.620183274806578</v>
      </c>
      <c r="GA98" s="3">
        <f t="shared" si="51"/>
        <v>54.418620049101548</v>
      </c>
      <c r="GD98" s="91">
        <f>'Renewable Diesel'!BB107*0</f>
        <v>0</v>
      </c>
      <c r="GE98" s="91">
        <f>'Renewable Diesel'!BC107</f>
        <v>0.152783</v>
      </c>
      <c r="GF98" s="91">
        <f>'Renewable Diesel'!BD107</f>
        <v>0</v>
      </c>
      <c r="GG98" s="91">
        <f t="shared" si="49"/>
        <v>0.152783</v>
      </c>
      <c r="GH98" s="124">
        <v>1</v>
      </c>
      <c r="GI98" s="102">
        <f>$GG98*EA98*'Feedstock Conversion Rates'!$B$2</f>
        <v>0.12280551365552017</v>
      </c>
      <c r="GJ98" s="102">
        <f>$GG98*EB98*'Feedstock Conversion Rates'!$B$3</f>
        <v>0.12392430655483294</v>
      </c>
      <c r="GK98" s="102">
        <f>$GG98*EC98*'Feedstock Conversion Rates'!$B$4</f>
        <v>0.30102045103175035</v>
      </c>
      <c r="GL98" s="102">
        <f>$GG98*ED98*'Feedstock Conversion Rates'!$B$5</f>
        <v>0</v>
      </c>
      <c r="GM98" s="102">
        <f>$GG98*EE98*'Feedstock Conversion Rates'!$B$6</f>
        <v>0.31109486970001393</v>
      </c>
      <c r="GN98" s="102">
        <f>$GG98*EF98*'Feedstock Conversion Rates'!$B$7</f>
        <v>0.37629801450015199</v>
      </c>
      <c r="GO98" s="102">
        <f>$GG98*EG98*'Feedstock Conversion Rates'!$B$8</f>
        <v>8.1190411829620154E-2</v>
      </c>
      <c r="GP98" s="102">
        <f>$GG98*EH98*'Feedstock Conversion Rates'!B$9</f>
        <v>0</v>
      </c>
      <c r="GQ98" s="102">
        <f t="shared" si="45"/>
        <v>1.3163335672718894</v>
      </c>
      <c r="GR98" s="85">
        <f t="shared" si="53"/>
        <v>8.6157070307029535</v>
      </c>
      <c r="GT98" s="103">
        <f t="shared" si="47"/>
        <v>9.3293612431410877E-2</v>
      </c>
      <c r="GU98" s="103">
        <f t="shared" si="47"/>
        <v>9.4143543578902214E-2</v>
      </c>
      <c r="GV98" s="103">
        <f t="shared" si="47"/>
        <v>0.22868098065417969</v>
      </c>
      <c r="GW98" s="103">
        <f t="shared" si="46"/>
        <v>0</v>
      </c>
      <c r="GX98" s="103">
        <f t="shared" si="46"/>
        <v>0.23633437407872243</v>
      </c>
      <c r="GY98" s="103">
        <f t="shared" si="46"/>
        <v>0.28586828130504355</v>
      </c>
      <c r="GZ98" s="103">
        <f t="shared" si="46"/>
        <v>6.1679207951741172E-2</v>
      </c>
      <c r="HA98" s="103">
        <f t="shared" si="23"/>
        <v>0</v>
      </c>
    </row>
    <row r="99" spans="1:209" x14ac:dyDescent="0.25">
      <c r="A99" s="96">
        <v>43435</v>
      </c>
      <c r="B99" s="104">
        <v>35</v>
      </c>
      <c r="C99" s="105"/>
      <c r="D99" s="104">
        <v>0</v>
      </c>
      <c r="E99" s="104">
        <f>('Renewable Diesel'!B108*E$3*'Feedstock Conversion Rates'!$B$2)/12</f>
        <v>37.796666666666667</v>
      </c>
      <c r="F99" s="104">
        <f>('Renewable Diesel'!B108*'RD Feedstock Breakdown'!F$3*'Feedstock Conversion Rates'!B$8)/12</f>
        <v>22.65625</v>
      </c>
      <c r="G99" s="104">
        <f>('Renewable Diesel'!B108*'RD Feedstock Breakdown'!G$3*'Feedstock Conversion Rates'!B$7)/12</f>
        <v>74.036999999999992</v>
      </c>
      <c r="H99" s="104">
        <f>('Renewable Diesel'!B108*'RD Feedstock Breakdown'!H$3*'Feedstock Conversion Rates'!B$3)/12-35</f>
        <v>39.139224999999996</v>
      </c>
      <c r="I99" s="106">
        <f t="shared" si="52"/>
        <v>208.62914166666667</v>
      </c>
      <c r="J99" s="106"/>
      <c r="K99" s="107"/>
      <c r="L99" s="106"/>
      <c r="R99" s="104">
        <f>('Renewable Diesel'!D108*'RD Feedstock Breakdown'!R$3*'Feedstock Conversion Rates'!B$7)/12</f>
        <v>2.2999999999999998</v>
      </c>
      <c r="S99" s="106">
        <f t="shared" si="27"/>
        <v>2.2999999999999998</v>
      </c>
      <c r="T99" s="107"/>
      <c r="U99" s="106"/>
      <c r="Z99" s="104">
        <f>('Renewable Diesel'!F108*'RD Feedstock Breakdown'!Z$3*'Feedstock Conversion Rates'!B$6)/12</f>
        <v>44.555000000000007</v>
      </c>
      <c r="AA99" s="104">
        <f>('Renewable Diesel'!F108*'RD Feedstock Breakdown'!AA$3*'Feedstock Conversion Rates'!B$7)/12</f>
        <v>29.133333333333329</v>
      </c>
      <c r="AB99" s="106">
        <f t="shared" si="25"/>
        <v>73.688333333333333</v>
      </c>
      <c r="AC99" s="108"/>
      <c r="AG99" s="108"/>
      <c r="AI99" s="104">
        <f>('Renewable Diesel'!H108*'RD Feedstock Breakdown'!AI$3*'Feedstock Conversion Rates'!B$6)/12</f>
        <v>39.083333333333336</v>
      </c>
      <c r="AJ99" s="106">
        <f t="shared" si="26"/>
        <v>39.083333333333336</v>
      </c>
      <c r="AK99" s="104">
        <f>('Renewable Diesel'!J108*'RD Feedstock Breakdown'!AK$3*'Feedstock Conversion Rates'!B$4)/12</f>
        <v>62.5</v>
      </c>
      <c r="AL99" s="106">
        <f t="shared" si="28"/>
        <v>62.5</v>
      </c>
      <c r="AT99" s="108"/>
      <c r="BJ99" s="104">
        <f>('Renewable Diesel'!W108*'RD Feedstock Breakdown'!BJ$3*'Feedstock Conversion Rates'!B$4)/12</f>
        <v>7.5</v>
      </c>
      <c r="BK99" s="104">
        <f>('Renewable Diesel'!W108*'RD Feedstock Breakdown'!BK$3*'Feedstock Conversion Rates'!B$3)/12</f>
        <v>1.335</v>
      </c>
      <c r="BL99" s="104">
        <f>('Renewable Diesel'!W108*'RD Feedstock Breakdown'!BL$3*'Feedstock Conversion Rates'!B$6)/12</f>
        <v>3.1266666666666669</v>
      </c>
      <c r="BM99" s="104">
        <f>('Renewable Diesel'!W108*'RD Feedstock Breakdown'!BM$3*'Feedstock Conversion Rates'!B$7)/12</f>
        <v>1.5333333333333332</v>
      </c>
      <c r="BN99" s="106">
        <f t="shared" si="54"/>
        <v>13.495000000000001</v>
      </c>
      <c r="BO99" s="106"/>
      <c r="BP99" s="106"/>
      <c r="BQ99" s="106"/>
      <c r="BR99" s="106"/>
      <c r="BS99" s="106"/>
      <c r="BT99" s="106"/>
      <c r="BU99" s="106"/>
      <c r="BV99" s="106"/>
      <c r="BW99" s="106"/>
      <c r="BX99" s="107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7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  <c r="CW99" s="106"/>
      <c r="CX99" s="106"/>
      <c r="CY99" s="106"/>
      <c r="CZ99" s="106"/>
      <c r="DA99" s="106"/>
      <c r="DB99" s="106"/>
      <c r="DC99" s="106"/>
      <c r="DD99" s="107"/>
      <c r="DE99" s="106"/>
      <c r="DF99" s="106"/>
      <c r="DG99" s="106"/>
      <c r="DH99" s="106"/>
      <c r="DI99" s="106"/>
      <c r="DJ99" s="107"/>
      <c r="DK99" s="106"/>
      <c r="DL99" s="106"/>
      <c r="DM99" s="106"/>
      <c r="DN99" s="106"/>
      <c r="DP99" s="104">
        <f t="shared" si="30"/>
        <v>37.796666666666667</v>
      </c>
      <c r="DQ99" s="104">
        <f t="shared" si="31"/>
        <v>40.474224999999997</v>
      </c>
      <c r="DR99" s="104">
        <f t="shared" si="39"/>
        <v>105</v>
      </c>
      <c r="DS99" s="107"/>
      <c r="DT99" s="104">
        <f t="shared" si="32"/>
        <v>86.765000000000015</v>
      </c>
      <c r="DU99" s="104">
        <f t="shared" si="33"/>
        <v>107.00366666666665</v>
      </c>
      <c r="DV99" s="104">
        <f t="shared" si="34"/>
        <v>22.65625</v>
      </c>
      <c r="DW99" s="104">
        <f t="shared" si="35"/>
        <v>0</v>
      </c>
      <c r="DX99" s="106">
        <f t="shared" si="36"/>
        <v>399.69580833333328</v>
      </c>
      <c r="DY99" s="109">
        <f t="shared" si="37"/>
        <v>5.6843418860808015E-14</v>
      </c>
      <c r="EA99" s="110">
        <f t="shared" si="55"/>
        <v>9.4563580299409797E-2</v>
      </c>
      <c r="EB99" s="110">
        <f t="shared" si="55"/>
        <v>0.10126257057528562</v>
      </c>
      <c r="EC99" s="110">
        <f t="shared" si="55"/>
        <v>0.26269977770803499</v>
      </c>
      <c r="ED99" s="107"/>
      <c r="EE99" s="110">
        <f t="shared" si="56"/>
        <v>0.21707758297940627</v>
      </c>
      <c r="EF99" s="110">
        <f t="shared" si="56"/>
        <v>0.26771275664074284</v>
      </c>
      <c r="EG99" s="110">
        <f t="shared" si="56"/>
        <v>5.6683731797120641E-2</v>
      </c>
      <c r="EH99" s="111">
        <f t="shared" si="40"/>
        <v>0</v>
      </c>
      <c r="EI99" s="110">
        <f t="shared" si="41"/>
        <v>1.0000000000000002</v>
      </c>
      <c r="EK99" s="112">
        <f>EA99*'Renewable Diesel'!BF108*'Feedstock Conversion Rates'!B$2</f>
        <v>36.35718709682908</v>
      </c>
      <c r="EL99" s="112">
        <f>EB99*'Renewable Diesel'!BF108*'Feedstock Conversion Rates'!B$3</f>
        <v>36.688411335481895</v>
      </c>
      <c r="EM99" s="112">
        <f>EC99*'Renewable Diesel'!BF108*'Feedstock Conversion Rates'!B$4</f>
        <v>89.11861147238703</v>
      </c>
      <c r="EN99" s="107"/>
      <c r="EO99" s="112">
        <f>EE99*'Renewable Diesel'!BF108*'Feedstock Conversion Rates'!B$6</f>
        <v>92.101193552873127</v>
      </c>
      <c r="EP99" s="112">
        <f>EF99*'Renewable Diesel'!BF108*'Feedstock Conversion Rates'!B$7</f>
        <v>111.40491098570763</v>
      </c>
      <c r="EQ99" s="112">
        <f>EG99*'Renewable Diesel'!BF108*'Feedstock Conversion Rates'!B$8</f>
        <v>24.03682787108653</v>
      </c>
      <c r="ER99" s="112">
        <f>EH99*'Renewable Diesel'!BF108*'Feedstock Conversion Rates'!B$9</f>
        <v>0</v>
      </c>
      <c r="ES99" s="112">
        <f t="shared" si="42"/>
        <v>389.70714231436529</v>
      </c>
      <c r="EW99" s="73">
        <f t="shared" si="43"/>
        <v>89.11861147238703</v>
      </c>
      <c r="EX99" s="73">
        <f t="shared" si="44"/>
        <v>300.58853084197824</v>
      </c>
      <c r="EY99" s="92">
        <f t="shared" si="38"/>
        <v>0.22868098065417972</v>
      </c>
      <c r="EZ99" s="92">
        <f t="shared" si="38"/>
        <v>0.77131901934582026</v>
      </c>
      <c r="FE99" s="107"/>
      <c r="FR99" s="3">
        <f>('Renewable Diesel'!AX108-'Renewable Diesel'!BI108)/12*$FO$80</f>
        <v>31.818749999999998</v>
      </c>
      <c r="FS99" s="100">
        <f t="shared" si="48"/>
        <v>0.26269977770803499</v>
      </c>
      <c r="FT99" s="3">
        <f t="shared" si="50"/>
        <v>62.690839139606531</v>
      </c>
      <c r="FY99" s="3">
        <f>'Renewable Diesel'!BF108*('Renewable Diesel'!BI108/'Renewable Diesel'!AX108)</f>
        <v>10.841940869175627</v>
      </c>
      <c r="FZ99" s="3">
        <f>('Renewable Diesel'!BJ108*'Renewable Diesel'!BG108)/12</f>
        <v>34.867873229863598</v>
      </c>
      <c r="GA99" s="3">
        <f t="shared" si="51"/>
        <v>68.698369099778333</v>
      </c>
      <c r="GD99" s="91">
        <f>'Renewable Diesel'!BB108*0</f>
        <v>0</v>
      </c>
      <c r="GE99" s="91">
        <f>'Renewable Diesel'!BC108</f>
        <v>0.27223999999999998</v>
      </c>
      <c r="GF99" s="91">
        <f>'Renewable Diesel'!BD108</f>
        <v>0</v>
      </c>
      <c r="GG99" s="91">
        <f t="shared" si="49"/>
        <v>0.27223999999999998</v>
      </c>
      <c r="GH99" s="124">
        <v>1</v>
      </c>
      <c r="GI99" s="102">
        <f>$GG99*EA99*'Feedstock Conversion Rates'!$B$2</f>
        <v>0.21882390735604623</v>
      </c>
      <c r="GJ99" s="102">
        <f>$GG99*EB99*'Feedstock Conversion Rates'!$B$3</f>
        <v>0.2208174549294602</v>
      </c>
      <c r="GK99" s="102">
        <f>$GG99*EC99*'Feedstock Conversion Rates'!$B$4</f>
        <v>0.53638040612426585</v>
      </c>
      <c r="GL99" s="102">
        <f>$GG99*ED99*'Feedstock Conversion Rates'!$B$5</f>
        <v>0</v>
      </c>
      <c r="GM99" s="102">
        <f>$GG99*EE99*'Feedstock Conversion Rates'!$B$6</f>
        <v>0.55433174716514122</v>
      </c>
      <c r="GN99" s="102">
        <f>$GG99*EF99*'Feedstock Conversion Rates'!$B$7</f>
        <v>0.67051551198445747</v>
      </c>
      <c r="GO99" s="102">
        <f>$GG99*EG99*'Feedstock Conversion Rates'!$B$8</f>
        <v>0.14467105447920114</v>
      </c>
      <c r="GP99" s="102">
        <f>$GG99*EH99*'Feedstock Conversion Rates'!B$9</f>
        <v>0</v>
      </c>
      <c r="GQ99" s="102">
        <f t="shared" si="45"/>
        <v>2.3455400820385721</v>
      </c>
      <c r="GR99" s="85">
        <f t="shared" si="53"/>
        <v>8.6157070307029535</v>
      </c>
      <c r="GT99" s="103">
        <f t="shared" si="47"/>
        <v>9.3293612431410891E-2</v>
      </c>
      <c r="GU99" s="103">
        <f t="shared" si="47"/>
        <v>9.4143543578902214E-2</v>
      </c>
      <c r="GV99" s="103">
        <f t="shared" si="47"/>
        <v>0.22868098065417974</v>
      </c>
      <c r="GW99" s="103">
        <f t="shared" si="46"/>
        <v>0</v>
      </c>
      <c r="GX99" s="103">
        <f t="shared" si="46"/>
        <v>0.23633437407872243</v>
      </c>
      <c r="GY99" s="103">
        <f t="shared" si="46"/>
        <v>0.2858682813050436</v>
      </c>
      <c r="GZ99" s="103">
        <f t="shared" si="46"/>
        <v>6.1679207951741179E-2</v>
      </c>
      <c r="HA99" s="103">
        <f t="shared" si="23"/>
        <v>0</v>
      </c>
    </row>
    <row r="100" spans="1:209" x14ac:dyDescent="0.25">
      <c r="A100" s="96">
        <v>43466</v>
      </c>
      <c r="B100" s="104">
        <f>45+15</f>
        <v>60</v>
      </c>
      <c r="C100" s="105"/>
      <c r="D100" s="104">
        <v>0</v>
      </c>
      <c r="E100" s="104">
        <f>('Renewable Diesel'!B109*E$3*'Feedstock Conversion Rates'!$B$2)/12-15</f>
        <v>22.796666666666667</v>
      </c>
      <c r="F100" s="104">
        <f>('Renewable Diesel'!B109*'RD Feedstock Breakdown'!F$3*'Feedstock Conversion Rates'!B$8)/12</f>
        <v>22.65625</v>
      </c>
      <c r="G100" s="104">
        <f>('Renewable Diesel'!B109*'RD Feedstock Breakdown'!G$3*'Feedstock Conversion Rates'!B$7)/12</f>
        <v>74.036999999999992</v>
      </c>
      <c r="H100" s="104">
        <f>('Renewable Diesel'!B109*'RD Feedstock Breakdown'!H$3*'Feedstock Conversion Rates'!B$3)/12-45</f>
        <v>29.139224999999996</v>
      </c>
      <c r="I100" s="106">
        <f t="shared" si="52"/>
        <v>208.62914166666667</v>
      </c>
      <c r="J100" s="106"/>
      <c r="K100" s="107"/>
      <c r="L100" s="106"/>
      <c r="R100" s="104">
        <f>('Renewable Diesel'!D109*'RD Feedstock Breakdown'!R$3*'Feedstock Conversion Rates'!B$7)/12</f>
        <v>2.2999999999999998</v>
      </c>
      <c r="S100" s="106">
        <f t="shared" si="27"/>
        <v>2.2999999999999998</v>
      </c>
      <c r="T100" s="107"/>
      <c r="U100" s="106"/>
      <c r="Z100" s="104">
        <f>('Renewable Diesel'!F109*'RD Feedstock Breakdown'!Z$3*'Feedstock Conversion Rates'!B$6)/12</f>
        <v>44.555000000000007</v>
      </c>
      <c r="AA100" s="104">
        <f>('Renewable Diesel'!F109*'RD Feedstock Breakdown'!AA$3*'Feedstock Conversion Rates'!B$7)/12</f>
        <v>29.133333333333329</v>
      </c>
      <c r="AB100" s="106">
        <f t="shared" si="25"/>
        <v>73.688333333333333</v>
      </c>
      <c r="AC100" s="108"/>
      <c r="AG100" s="108"/>
      <c r="AI100" s="104">
        <f>('Renewable Diesel'!H109*'RD Feedstock Breakdown'!AI$3*'Feedstock Conversion Rates'!B$6)/12</f>
        <v>39.083333333333336</v>
      </c>
      <c r="AJ100" s="106">
        <f t="shared" si="26"/>
        <v>39.083333333333336</v>
      </c>
      <c r="AK100" s="104">
        <f>('Renewable Diesel'!J109*'RD Feedstock Breakdown'!AK$3*'Feedstock Conversion Rates'!B$4)/12</f>
        <v>62.5</v>
      </c>
      <c r="AL100" s="106">
        <f t="shared" si="28"/>
        <v>62.5</v>
      </c>
      <c r="AT100" s="108"/>
      <c r="BJ100" s="104">
        <f>('Renewable Diesel'!W109*'RD Feedstock Breakdown'!BJ$3*'Feedstock Conversion Rates'!B$4)/12+0.75-0.25</f>
        <v>8</v>
      </c>
      <c r="BK100" s="104">
        <f>('Renewable Diesel'!W109*'RD Feedstock Breakdown'!BK$3*'Feedstock Conversion Rates'!B$3)/12-0.75+0.25</f>
        <v>0.83499999999999996</v>
      </c>
      <c r="BL100" s="104">
        <f>('Renewable Diesel'!W109*'RD Feedstock Breakdown'!BL$3*'Feedstock Conversion Rates'!B$6)/12</f>
        <v>3.1266666666666669</v>
      </c>
      <c r="BM100" s="104">
        <f>('Renewable Diesel'!W109*'RD Feedstock Breakdown'!BM$3*'Feedstock Conversion Rates'!B$7)/12</f>
        <v>1.5333333333333332</v>
      </c>
      <c r="BN100" s="106">
        <f t="shared" si="54"/>
        <v>13.495000000000001</v>
      </c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7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7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  <c r="CZ100" s="106"/>
      <c r="DA100" s="106"/>
      <c r="DB100" s="106"/>
      <c r="DC100" s="106"/>
      <c r="DD100" s="107"/>
      <c r="DE100" s="106"/>
      <c r="DF100" s="106"/>
      <c r="DG100" s="106"/>
      <c r="DH100" s="106"/>
      <c r="DI100" s="106"/>
      <c r="DJ100" s="107"/>
      <c r="DK100" s="106"/>
      <c r="DL100" s="106"/>
      <c r="DM100" s="106"/>
      <c r="DN100" s="106"/>
      <c r="DP100" s="104">
        <f t="shared" si="30"/>
        <v>22.796666666666667</v>
      </c>
      <c r="DQ100" s="104">
        <f t="shared" si="31"/>
        <v>29.974224999999997</v>
      </c>
      <c r="DR100" s="104">
        <f t="shared" si="39"/>
        <v>130.5</v>
      </c>
      <c r="DS100" s="107"/>
      <c r="DT100" s="104">
        <f t="shared" si="32"/>
        <v>86.765000000000015</v>
      </c>
      <c r="DU100" s="104">
        <f t="shared" si="33"/>
        <v>107.00366666666665</v>
      </c>
      <c r="DV100" s="104">
        <f t="shared" si="34"/>
        <v>22.65625</v>
      </c>
      <c r="DW100" s="104">
        <f t="shared" si="35"/>
        <v>0</v>
      </c>
      <c r="DX100" s="106">
        <f t="shared" si="36"/>
        <v>399.69580833333328</v>
      </c>
      <c r="DY100" s="109">
        <f t="shared" si="37"/>
        <v>5.6843418860808015E-14</v>
      </c>
      <c r="EA100" s="110">
        <f t="shared" si="55"/>
        <v>5.7035040626833372E-2</v>
      </c>
      <c r="EB100" s="110">
        <f t="shared" si="55"/>
        <v>7.499259280448213E-2</v>
      </c>
      <c r="EC100" s="110">
        <f t="shared" si="55"/>
        <v>0.32649829515141487</v>
      </c>
      <c r="ED100" s="107"/>
      <c r="EE100" s="110">
        <f t="shared" si="56"/>
        <v>0.21707758297940627</v>
      </c>
      <c r="EF100" s="110">
        <f t="shared" si="56"/>
        <v>0.26771275664074284</v>
      </c>
      <c r="EG100" s="110">
        <f t="shared" si="56"/>
        <v>5.6683731797120641E-2</v>
      </c>
      <c r="EH100" s="111">
        <f t="shared" si="40"/>
        <v>0</v>
      </c>
      <c r="EI100" s="110">
        <f t="shared" si="41"/>
        <v>1.0000000000000002</v>
      </c>
      <c r="EK100" s="112">
        <f>(EA100*'Renewable Diesel'!BF109*'Feedstock Conversion Rates'!B$2)+FB100</f>
        <v>16.337736352138798</v>
      </c>
      <c r="EL100" s="112">
        <f>(EB100*'Renewable Diesel'!BF109*'Feedstock Conversion Rates'!B$3)+FC100</f>
        <v>20.243336193620998</v>
      </c>
      <c r="EM100" s="112">
        <f>(EC100*'Renewable Diesel'!BF109*'Feedstock Conversion Rates'!B$4)+FD100</f>
        <v>82.522691421978678</v>
      </c>
      <c r="EN100" s="107"/>
      <c r="EO100" s="112">
        <f>(EE100*'Renewable Diesel'!BF109*'Feedstock Conversion Rates'!B$6)+FF100</f>
        <v>68.619732100248754</v>
      </c>
      <c r="EP100" s="112">
        <f>(EF100*'Renewable Diesel'!BF109*'Feedstock Conversion Rates'!B$7)+FG100</f>
        <v>83.001911827589367</v>
      </c>
      <c r="EQ100" s="112">
        <f>(EG100*'Renewable Diesel'!BF109*'Feedstock Conversion Rates'!B$8)+FH100</f>
        <v>17.908570187061347</v>
      </c>
      <c r="ER100" s="112">
        <f>(EH100*'Renewable Diesel'!BF109*'Feedstock Conversion Rates'!B$9)+FI100</f>
        <v>0</v>
      </c>
      <c r="ES100" s="112">
        <f t="shared" si="42"/>
        <v>288.63397808263795</v>
      </c>
      <c r="EW100" s="73">
        <f>EN100+EM100+FD100+FE100</f>
        <v>82.522691421978678</v>
      </c>
      <c r="EX100" s="73">
        <f>EQ100+EO100+EL100+EK100+ER100+EP100+FB100+FC100+FF100+FG100+FH100+FI100</f>
        <v>206.11128666065926</v>
      </c>
      <c r="EY100" s="92">
        <f t="shared" si="38"/>
        <v>0.28590775060568874</v>
      </c>
      <c r="EZ100" s="92">
        <f t="shared" si="38"/>
        <v>0.71409224939431126</v>
      </c>
      <c r="FB100" s="102">
        <f>IF('Renewable Diesel'!$BG109&lt;1,0,(((('Renewable Diesel'!$BG109-1)*'Renewable Diesel'!$BF109)*'RD Feedstock Breakdown'!EA100)*'Feedstock Conversion Rates'!$B$2))</f>
        <v>0</v>
      </c>
      <c r="FC100" s="102">
        <f>IF('Renewable Diesel'!$BG109&lt;1,0,(((('Renewable Diesel'!$BG109-1)*'Renewable Diesel'!$BF109)*'RD Feedstock Breakdown'!EB100)*'Feedstock Conversion Rates'!$B$3))</f>
        <v>0</v>
      </c>
      <c r="FD100" s="102">
        <f>IF('Renewable Diesel'!$BG109&lt;1,0,(((('Renewable Diesel'!$BG109-1)*'Renewable Diesel'!$BF109)*'RD Feedstock Breakdown'!EC100)*'Feedstock Conversion Rates'!$B$4))</f>
        <v>0</v>
      </c>
      <c r="FE100" s="107"/>
      <c r="FF100" s="102">
        <f>IF('Renewable Diesel'!$BG109&lt;1,0,(((('Renewable Diesel'!$BG109-1)*'Renewable Diesel'!$BF109)*'RD Feedstock Breakdown'!EE100)*'Feedstock Conversion Rates'!$B$6))</f>
        <v>0</v>
      </c>
      <c r="FG100" s="102">
        <f>IF('Renewable Diesel'!$BG109&lt;1,0,(((('Renewable Diesel'!$BG109-1)*'Renewable Diesel'!$BF109)*'RD Feedstock Breakdown'!EF100)*'Feedstock Conversion Rates'!$B$7))</f>
        <v>0</v>
      </c>
      <c r="FH100" s="102">
        <f>IF('Renewable Diesel'!$BG109&lt;1,0,(((('Renewable Diesel'!$BG109-1)*'Renewable Diesel'!$BF109)*'RD Feedstock Breakdown'!EG100)*'Feedstock Conversion Rates'!$B$8))</f>
        <v>0</v>
      </c>
      <c r="FI100" s="102">
        <f>IF('Renewable Diesel'!$BG109&lt;1,0,(((('Renewable Diesel'!$BG109-1)*'Renewable Diesel'!$BF109)*'RD Feedstock Breakdown'!EH100)*'Feedstock Conversion Rates'!$B$9))</f>
        <v>0</v>
      </c>
      <c r="FJ100" s="102">
        <f>SUM(FB100:FI100)</f>
        <v>0</v>
      </c>
      <c r="FR100" s="3">
        <f>('Renewable Diesel'!AX109-'Renewable Diesel'!BI109)/12*$FO$80</f>
        <v>31.818749999999998</v>
      </c>
      <c r="FS100" s="100">
        <f t="shared" si="48"/>
        <v>0.32649829515141487</v>
      </c>
      <c r="FT100" s="3">
        <f t="shared" si="50"/>
        <v>77.915757216368107</v>
      </c>
      <c r="FY100" s="3">
        <f>'Renewable Diesel'!BF109*('Renewable Diesel'!BI109/'Renewable Diesel'!AX109)</f>
        <v>8.0777571841397844</v>
      </c>
      <c r="FZ100" s="3">
        <f>('Renewable Diesel'!BJ109*'Renewable Diesel'!BG109)/12</f>
        <v>25.14020293760478</v>
      </c>
      <c r="GA100" s="3">
        <f t="shared" si="51"/>
        <v>61.561750491664142</v>
      </c>
      <c r="GD100" s="91">
        <f>'Renewable Diesel'!BB109*0</f>
        <v>0</v>
      </c>
      <c r="GE100" s="91">
        <f>'Renewable Diesel'!BC109</f>
        <v>0.19463</v>
      </c>
      <c r="GF100" s="91">
        <f>'Renewable Diesel'!BD109</f>
        <v>0</v>
      </c>
      <c r="GG100" s="91">
        <f t="shared" si="49"/>
        <v>0.19463</v>
      </c>
      <c r="GH100" s="124">
        <v>1</v>
      </c>
      <c r="GI100" s="102">
        <f>$GG100*EA100*'Feedstock Conversion Rates'!$B$2</f>
        <v>9.4356204636204921E-2</v>
      </c>
      <c r="GJ100" s="102">
        <f>$GG100*EB100*'Feedstock Conversion Rates'!$B$3</f>
        <v>0.11691242478366622</v>
      </c>
      <c r="GK100" s="102">
        <f>$GG100*EC100*'Feedstock Conversion Rates'!$B$4</f>
        <v>0.47659772388989907</v>
      </c>
      <c r="GL100" s="102">
        <f>$GG100*ED100*'Feedstock Conversion Rates'!$B$5</f>
        <v>0</v>
      </c>
      <c r="GM100" s="102">
        <f>$GG100*EE100*'Feedstock Conversion Rates'!$B$6</f>
        <v>0.39630321756814368</v>
      </c>
      <c r="GN100" s="102">
        <f>$GG100*EF100*'Feedstock Conversion Rates'!$B$7</f>
        <v>0.47936539118988752</v>
      </c>
      <c r="GO100" s="102">
        <f>$GG100*EG100*'Feedstock Conversion Rates'!$B$8</f>
        <v>0.10342832549693992</v>
      </c>
      <c r="GP100" s="102">
        <f>$GG100*EH100*'Feedstock Conversion Rates'!B$9</f>
        <v>0</v>
      </c>
      <c r="GQ100" s="102">
        <f t="shared" si="45"/>
        <v>1.6669632875647415</v>
      </c>
      <c r="GR100" s="85">
        <f t="shared" si="53"/>
        <v>8.5647808023672685</v>
      </c>
      <c r="GT100" s="103">
        <f t="shared" si="47"/>
        <v>5.6603648886622733E-2</v>
      </c>
      <c r="GU100" s="103">
        <f t="shared" si="47"/>
        <v>7.0134972771033866E-2</v>
      </c>
      <c r="GV100" s="103">
        <f t="shared" si="47"/>
        <v>0.28590775060568874</v>
      </c>
      <c r="GW100" s="103">
        <f t="shared" si="46"/>
        <v>0</v>
      </c>
      <c r="GX100" s="103">
        <f t="shared" si="46"/>
        <v>0.23773961941723454</v>
      </c>
      <c r="GY100" s="103">
        <f t="shared" si="46"/>
        <v>0.28756805549700504</v>
      </c>
      <c r="GZ100" s="103">
        <f t="shared" si="46"/>
        <v>6.2045952822415096E-2</v>
      </c>
      <c r="HA100" s="103">
        <f t="shared" si="23"/>
        <v>0</v>
      </c>
    </row>
    <row r="101" spans="1:209" x14ac:dyDescent="0.25">
      <c r="A101" s="96">
        <v>43497</v>
      </c>
      <c r="B101" s="104">
        <f t="shared" ref="B101:B108" si="57">45+15</f>
        <v>60</v>
      </c>
      <c r="C101" s="105"/>
      <c r="D101" s="104">
        <v>0</v>
      </c>
      <c r="E101" s="104">
        <f>('Renewable Diesel'!B110*E$3*'Feedstock Conversion Rates'!$B$2)/12-15</f>
        <v>22.796666666666667</v>
      </c>
      <c r="F101" s="104">
        <f>('Renewable Diesel'!B110*'RD Feedstock Breakdown'!F$3*'Feedstock Conversion Rates'!B$8)/12</f>
        <v>22.65625</v>
      </c>
      <c r="G101" s="104">
        <f>('Renewable Diesel'!B110*'RD Feedstock Breakdown'!G$3*'Feedstock Conversion Rates'!B$7)/12</f>
        <v>74.036999999999992</v>
      </c>
      <c r="H101" s="104">
        <f>('Renewable Diesel'!B110*'RD Feedstock Breakdown'!H$3*'Feedstock Conversion Rates'!B$3)/12-45</f>
        <v>29.139224999999996</v>
      </c>
      <c r="I101" s="106">
        <f t="shared" si="52"/>
        <v>208.62914166666667</v>
      </c>
      <c r="J101" s="106"/>
      <c r="K101" s="107"/>
      <c r="L101" s="106"/>
      <c r="R101" s="104">
        <f>('Renewable Diesel'!D110*'RD Feedstock Breakdown'!R$3*'Feedstock Conversion Rates'!B$7)/12</f>
        <v>2.2999999999999998</v>
      </c>
      <c r="S101" s="106">
        <f t="shared" si="27"/>
        <v>2.2999999999999998</v>
      </c>
      <c r="T101" s="107"/>
      <c r="U101" s="106"/>
      <c r="Z101" s="104">
        <f>('Renewable Diesel'!F110*'RD Feedstock Breakdown'!Z$3*'Feedstock Conversion Rates'!B$6)/12</f>
        <v>44.555000000000007</v>
      </c>
      <c r="AA101" s="104">
        <f>('Renewable Diesel'!F110*'RD Feedstock Breakdown'!AA$3*'Feedstock Conversion Rates'!B$7)/12</f>
        <v>29.133333333333329</v>
      </c>
      <c r="AB101" s="106">
        <f t="shared" si="25"/>
        <v>73.688333333333333</v>
      </c>
      <c r="AC101" s="108"/>
      <c r="AG101" s="108"/>
      <c r="AI101" s="104">
        <f>('Renewable Diesel'!H110*'RD Feedstock Breakdown'!AI$3*'Feedstock Conversion Rates'!B$6)/12</f>
        <v>39.083333333333336</v>
      </c>
      <c r="AJ101" s="106">
        <f t="shared" si="26"/>
        <v>39.083333333333336</v>
      </c>
      <c r="AK101" s="104">
        <f>('Renewable Diesel'!J110*'RD Feedstock Breakdown'!AK$3*'Feedstock Conversion Rates'!B$4)/12</f>
        <v>62.5</v>
      </c>
      <c r="AL101" s="106">
        <f t="shared" si="28"/>
        <v>62.5</v>
      </c>
      <c r="AT101" s="108"/>
      <c r="BJ101" s="104">
        <f>('Renewable Diesel'!W110*'RD Feedstock Breakdown'!BJ$3*'Feedstock Conversion Rates'!B$4)/12+0.75-0.25</f>
        <v>8</v>
      </c>
      <c r="BK101" s="104">
        <f>('Renewable Diesel'!W110*'RD Feedstock Breakdown'!BK$3*'Feedstock Conversion Rates'!B$3)/12-0.75+0.25</f>
        <v>0.83499999999999996</v>
      </c>
      <c r="BL101" s="104">
        <f>('Renewable Diesel'!W110*'RD Feedstock Breakdown'!BL$3*'Feedstock Conversion Rates'!B$6)/12</f>
        <v>3.1266666666666669</v>
      </c>
      <c r="BM101" s="104">
        <f>('Renewable Diesel'!W110*'RD Feedstock Breakdown'!BM$3*'Feedstock Conversion Rates'!B$7)/12</f>
        <v>1.5333333333333332</v>
      </c>
      <c r="BN101" s="106">
        <f t="shared" si="54"/>
        <v>13.495000000000001</v>
      </c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7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7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  <c r="CZ101" s="106"/>
      <c r="DA101" s="106"/>
      <c r="DB101" s="106"/>
      <c r="DC101" s="106"/>
      <c r="DD101" s="107"/>
      <c r="DE101" s="106"/>
      <c r="DF101" s="106"/>
      <c r="DG101" s="106"/>
      <c r="DH101" s="106"/>
      <c r="DI101" s="106"/>
      <c r="DJ101" s="107"/>
      <c r="DK101" s="106"/>
      <c r="DL101" s="106"/>
      <c r="DM101" s="106"/>
      <c r="DN101" s="106"/>
      <c r="DP101" s="104">
        <f t="shared" si="30"/>
        <v>22.796666666666667</v>
      </c>
      <c r="DQ101" s="104">
        <f t="shared" si="31"/>
        <v>29.974224999999997</v>
      </c>
      <c r="DR101" s="104">
        <f t="shared" si="39"/>
        <v>130.5</v>
      </c>
      <c r="DS101" s="107"/>
      <c r="DT101" s="104">
        <f t="shared" si="32"/>
        <v>86.765000000000015</v>
      </c>
      <c r="DU101" s="104">
        <f t="shared" si="33"/>
        <v>107.00366666666665</v>
      </c>
      <c r="DV101" s="104">
        <f t="shared" si="34"/>
        <v>22.65625</v>
      </c>
      <c r="DW101" s="104">
        <f t="shared" si="35"/>
        <v>0</v>
      </c>
      <c r="DX101" s="106">
        <f t="shared" si="36"/>
        <v>399.69580833333328</v>
      </c>
      <c r="DY101" s="109">
        <f t="shared" si="37"/>
        <v>5.6843418860808015E-14</v>
      </c>
      <c r="EA101" s="110">
        <f t="shared" si="55"/>
        <v>5.7035040626833372E-2</v>
      </c>
      <c r="EB101" s="110">
        <f t="shared" si="55"/>
        <v>7.499259280448213E-2</v>
      </c>
      <c r="EC101" s="110">
        <f t="shared" si="55"/>
        <v>0.32649829515141487</v>
      </c>
      <c r="ED101" s="107"/>
      <c r="EE101" s="110">
        <f t="shared" si="56"/>
        <v>0.21707758297940627</v>
      </c>
      <c r="EF101" s="110">
        <f t="shared" si="56"/>
        <v>0.26771275664074284</v>
      </c>
      <c r="EG101" s="110">
        <f t="shared" si="56"/>
        <v>5.6683731797120641E-2</v>
      </c>
      <c r="EH101" s="111">
        <f t="shared" si="40"/>
        <v>0</v>
      </c>
      <c r="EI101" s="110">
        <f t="shared" si="41"/>
        <v>1.0000000000000002</v>
      </c>
      <c r="EK101" s="112">
        <f>(EA101*'Renewable Diesel'!BF110*'Feedstock Conversion Rates'!B$2)+FB101</f>
        <v>18.428726180386725</v>
      </c>
      <c r="EL101" s="112">
        <f>(EB101*'Renewable Diesel'!BF110*'Feedstock Conversion Rates'!B$3)+FC101</f>
        <v>22.834185327082704</v>
      </c>
      <c r="EM101" s="112">
        <f>(EC101*'Renewable Diesel'!BF110*'Feedstock Conversion Rates'!B$4)+FD101</f>
        <v>93.084381526643085</v>
      </c>
      <c r="EN101" s="107"/>
      <c r="EO101" s="112">
        <f>(EE101*'Renewable Diesel'!BF110*'Feedstock Conversion Rates'!B$6)+FF101</f>
        <v>77.402048006572869</v>
      </c>
      <c r="EP101" s="112">
        <f>(EF101*'Renewable Diesel'!BF110*'Feedstock Conversion Rates'!B$7)+FG101</f>
        <v>93.624935092002644</v>
      </c>
      <c r="EQ101" s="112">
        <f>(EG101*'Renewable Diesel'!BF110*'Feedstock Conversion Rates'!B$8)+FH101</f>
        <v>20.200603629913864</v>
      </c>
      <c r="ER101" s="112">
        <f>(EH101*'Renewable Diesel'!BF110*'Feedstock Conversion Rates'!B$9)+FI101</f>
        <v>0</v>
      </c>
      <c r="ES101" s="112">
        <f t="shared" si="42"/>
        <v>325.57487976260188</v>
      </c>
      <c r="EW101" s="73">
        <f t="shared" ref="EW101:EW164" si="58">EN101+EM101+FD101+FE101</f>
        <v>93.084381526643085</v>
      </c>
      <c r="EX101" s="73">
        <f t="shared" ref="EX101:EX164" si="59">EQ101+EO101+EL101+EK101+ER101+EP101+FB101+FC101+FF101+FG101+FH101+FI101</f>
        <v>232.4904982359588</v>
      </c>
      <c r="EY101" s="92">
        <f t="shared" si="38"/>
        <v>0.28590775060568879</v>
      </c>
      <c r="EZ101" s="92">
        <f t="shared" si="38"/>
        <v>0.71409224939431126</v>
      </c>
      <c r="FB101" s="102">
        <f>IF('Renewable Diesel'!$BG110&lt;1,0,(((('Renewable Diesel'!$BG110-1)*'Renewable Diesel'!$BF110)*'RD Feedstock Breakdown'!EA101)*'Feedstock Conversion Rates'!$B$2))</f>
        <v>0</v>
      </c>
      <c r="FC101" s="102">
        <f>IF('Renewable Diesel'!$BG110&lt;1,0,(((('Renewable Diesel'!$BG110-1)*'Renewable Diesel'!$BF110)*'RD Feedstock Breakdown'!EB101)*'Feedstock Conversion Rates'!$B$3))</f>
        <v>0</v>
      </c>
      <c r="FD101" s="102">
        <f>IF('Renewable Diesel'!$BG110&lt;1,0,(((('Renewable Diesel'!$BG110-1)*'Renewable Diesel'!$BF110)*'RD Feedstock Breakdown'!EC101)*'Feedstock Conversion Rates'!$B$4))</f>
        <v>0</v>
      </c>
      <c r="FE101" s="107"/>
      <c r="FF101" s="102">
        <f>IF('Renewable Diesel'!$BG110&lt;1,0,(((('Renewable Diesel'!$BG110-1)*'Renewable Diesel'!$BF110)*'RD Feedstock Breakdown'!EE101)*'Feedstock Conversion Rates'!$B$6))</f>
        <v>0</v>
      </c>
      <c r="FG101" s="102">
        <f>IF('Renewable Diesel'!$BG110&lt;1,0,(((('Renewable Diesel'!$BG110-1)*'Renewable Diesel'!$BF110)*'RD Feedstock Breakdown'!EF101)*'Feedstock Conversion Rates'!$B$7))</f>
        <v>0</v>
      </c>
      <c r="FH101" s="102">
        <f>IF('Renewable Diesel'!$BG110&lt;1,0,(((('Renewable Diesel'!$BG110-1)*'Renewable Diesel'!$BF110)*'RD Feedstock Breakdown'!EG101)*'Feedstock Conversion Rates'!$B$8))</f>
        <v>0</v>
      </c>
      <c r="FI101" s="102">
        <f>IF('Renewable Diesel'!$BG110&lt;1,0,(((('Renewable Diesel'!$BG110-1)*'Renewable Diesel'!$BF110)*'RD Feedstock Breakdown'!EH101)*'Feedstock Conversion Rates'!$B$9))</f>
        <v>0</v>
      </c>
      <c r="FJ101" s="102">
        <f t="shared" ref="FJ101:FJ164" si="60">SUM(FB101:FI101)</f>
        <v>0</v>
      </c>
      <c r="FR101" s="3">
        <f>('Renewable Diesel'!AX110-'Renewable Diesel'!BI110)/12*$FO$80</f>
        <v>31.818749999999998</v>
      </c>
      <c r="FS101" s="100">
        <f t="shared" si="48"/>
        <v>0.32649829515141487</v>
      </c>
      <c r="FT101" s="3">
        <f t="shared" si="50"/>
        <v>77.915757216368107</v>
      </c>
      <c r="FY101" s="3">
        <f>'Renewable Diesel'!BF110*('Renewable Diesel'!BI110/'Renewable Diesel'!AX110)</f>
        <v>9.1115912320788528</v>
      </c>
      <c r="FZ101" s="3">
        <f>('Renewable Diesel'!BJ110*'Renewable Diesel'!BG110)/12</f>
        <v>28.357778952395748</v>
      </c>
      <c r="GA101" s="3">
        <f t="shared" si="51"/>
        <v>69.440748616784148</v>
      </c>
      <c r="GD101" s="91">
        <f>'Renewable Diesel'!BB110*0</f>
        <v>0</v>
      </c>
      <c r="GE101" s="91">
        <f>'Renewable Diesel'!BC110</f>
        <v>0.187609</v>
      </c>
      <c r="GF101" s="91">
        <f>'Renewable Diesel'!BD110</f>
        <v>0</v>
      </c>
      <c r="GG101" s="91">
        <f t="shared" si="49"/>
        <v>0.187609</v>
      </c>
      <c r="GH101" s="124">
        <v>1</v>
      </c>
      <c r="GI101" s="102">
        <f>$GG101*EA101*'Feedstock Conversion Rates'!$B$2</f>
        <v>9.0952438964156446E-2</v>
      </c>
      <c r="GJ101" s="102">
        <f>$GG101*EB101*'Feedstock Conversion Rates'!$B$3</f>
        <v>0.11269497560108326</v>
      </c>
      <c r="GK101" s="102">
        <f>$GG101*EC101*'Feedstock Conversion Rates'!$B$4</f>
        <v>0.45940513991296344</v>
      </c>
      <c r="GL101" s="102">
        <f>$GG101*ED101*'Feedstock Conversion Rates'!$B$5</f>
        <v>0</v>
      </c>
      <c r="GM101" s="102">
        <f>$GG101*EE101*'Feedstock Conversion Rates'!$B$6</f>
        <v>0.3820071435274206</v>
      </c>
      <c r="GN101" s="102">
        <f>$GG101*EF101*'Feedstock Conversion Rates'!$B$7</f>
        <v>0.46207296755764066</v>
      </c>
      <c r="GO101" s="102">
        <f>$GG101*EG101*'Feedstock Conversion Rates'!$B$8</f>
        <v>9.9697295988056309E-2</v>
      </c>
      <c r="GP101" s="102">
        <f>$GG101*EH101*'Feedstock Conversion Rates'!B$9</f>
        <v>0</v>
      </c>
      <c r="GQ101" s="102">
        <f t="shared" si="45"/>
        <v>1.6068299615513206</v>
      </c>
      <c r="GR101" s="85">
        <f t="shared" si="53"/>
        <v>8.5647808023672667</v>
      </c>
      <c r="GT101" s="103">
        <f t="shared" si="47"/>
        <v>5.6603648886622712E-2</v>
      </c>
      <c r="GU101" s="103">
        <f t="shared" si="47"/>
        <v>7.0134972771033852E-2</v>
      </c>
      <c r="GV101" s="103">
        <f t="shared" si="47"/>
        <v>0.28590775060568874</v>
      </c>
      <c r="GW101" s="103">
        <f t="shared" si="46"/>
        <v>0</v>
      </c>
      <c r="GX101" s="103">
        <f t="shared" si="46"/>
        <v>0.23773961941723451</v>
      </c>
      <c r="GY101" s="103">
        <f t="shared" si="46"/>
        <v>0.28756805549700504</v>
      </c>
      <c r="GZ101" s="103">
        <f t="shared" si="46"/>
        <v>6.2045952822415096E-2</v>
      </c>
      <c r="HA101" s="103">
        <f t="shared" si="23"/>
        <v>0</v>
      </c>
    </row>
    <row r="102" spans="1:209" x14ac:dyDescent="0.25">
      <c r="A102" s="96">
        <v>43525</v>
      </c>
      <c r="B102" s="104">
        <f t="shared" si="57"/>
        <v>60</v>
      </c>
      <c r="C102" s="105"/>
      <c r="D102" s="104">
        <v>0</v>
      </c>
      <c r="E102" s="104">
        <f>('Renewable Diesel'!B111*E$3*'Feedstock Conversion Rates'!$B$2)/12-15</f>
        <v>22.796666666666667</v>
      </c>
      <c r="F102" s="104">
        <f>('Renewable Diesel'!B111*'RD Feedstock Breakdown'!F$3*'Feedstock Conversion Rates'!B$8)/12</f>
        <v>22.65625</v>
      </c>
      <c r="G102" s="104">
        <f>('Renewable Diesel'!B111*'RD Feedstock Breakdown'!G$3*'Feedstock Conversion Rates'!B$7)/12</f>
        <v>74.036999999999992</v>
      </c>
      <c r="H102" s="104">
        <f>('Renewable Diesel'!B111*'RD Feedstock Breakdown'!H$3*'Feedstock Conversion Rates'!B$3)/12-45</f>
        <v>29.139224999999996</v>
      </c>
      <c r="I102" s="106">
        <f t="shared" si="52"/>
        <v>208.62914166666667</v>
      </c>
      <c r="J102" s="106"/>
      <c r="K102" s="107"/>
      <c r="L102" s="106"/>
      <c r="R102" s="104">
        <f>('Renewable Diesel'!D111*'RD Feedstock Breakdown'!R$3*'Feedstock Conversion Rates'!B$7)/12</f>
        <v>2.2999999999999998</v>
      </c>
      <c r="S102" s="106">
        <f t="shared" si="27"/>
        <v>2.2999999999999998</v>
      </c>
      <c r="T102" s="107"/>
      <c r="U102" s="106"/>
      <c r="Z102" s="104">
        <f>('Renewable Diesel'!F111*'RD Feedstock Breakdown'!Z$3*'Feedstock Conversion Rates'!B$6)/12</f>
        <v>44.555000000000007</v>
      </c>
      <c r="AA102" s="104">
        <f>('Renewable Diesel'!F111*'RD Feedstock Breakdown'!AA$3*'Feedstock Conversion Rates'!B$7)/12</f>
        <v>29.133333333333329</v>
      </c>
      <c r="AB102" s="106">
        <f t="shared" si="25"/>
        <v>73.688333333333333</v>
      </c>
      <c r="AC102" s="108"/>
      <c r="AG102" s="108"/>
      <c r="AI102" s="104">
        <f>('Renewable Diesel'!H111*'RD Feedstock Breakdown'!AI$3*'Feedstock Conversion Rates'!B$6)/12</f>
        <v>39.083333333333336</v>
      </c>
      <c r="AJ102" s="106">
        <f t="shared" si="26"/>
        <v>39.083333333333336</v>
      </c>
      <c r="AK102" s="104">
        <f>('Renewable Diesel'!J111*'RD Feedstock Breakdown'!AK$3*'Feedstock Conversion Rates'!B$4)/12</f>
        <v>62.5</v>
      </c>
      <c r="AL102" s="106">
        <f t="shared" si="28"/>
        <v>62.5</v>
      </c>
      <c r="AT102" s="108"/>
      <c r="BJ102" s="104">
        <f>('Renewable Diesel'!W111*'RD Feedstock Breakdown'!BJ$3*'Feedstock Conversion Rates'!B$4)/12+0.75-0.25</f>
        <v>8</v>
      </c>
      <c r="BK102" s="104">
        <f>('Renewable Diesel'!W111*'RD Feedstock Breakdown'!BK$3*'Feedstock Conversion Rates'!B$3)/12-0.75+0.25</f>
        <v>0.83499999999999996</v>
      </c>
      <c r="BL102" s="104">
        <f>('Renewable Diesel'!W111*'RD Feedstock Breakdown'!BL$3*'Feedstock Conversion Rates'!B$6)/12</f>
        <v>3.1266666666666669</v>
      </c>
      <c r="BM102" s="104">
        <f>('Renewable Diesel'!W111*'RD Feedstock Breakdown'!BM$3*'Feedstock Conversion Rates'!B$7)/12</f>
        <v>1.5333333333333332</v>
      </c>
      <c r="BN102" s="106">
        <f t="shared" si="54"/>
        <v>13.495000000000001</v>
      </c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7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7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  <c r="CZ102" s="106"/>
      <c r="DA102" s="106"/>
      <c r="DB102" s="106"/>
      <c r="DC102" s="106"/>
      <c r="DD102" s="107"/>
      <c r="DE102" s="106"/>
      <c r="DF102" s="106"/>
      <c r="DG102" s="106"/>
      <c r="DH102" s="106"/>
      <c r="DI102" s="106"/>
      <c r="DJ102" s="107"/>
      <c r="DK102" s="106"/>
      <c r="DL102" s="106"/>
      <c r="DM102" s="106"/>
      <c r="DN102" s="106"/>
      <c r="DP102" s="104">
        <f t="shared" si="30"/>
        <v>22.796666666666667</v>
      </c>
      <c r="DQ102" s="104">
        <f t="shared" si="31"/>
        <v>29.974224999999997</v>
      </c>
      <c r="DR102" s="104">
        <f t="shared" si="39"/>
        <v>130.5</v>
      </c>
      <c r="DS102" s="107"/>
      <c r="DT102" s="104">
        <f t="shared" si="32"/>
        <v>86.765000000000015</v>
      </c>
      <c r="DU102" s="104">
        <f t="shared" si="33"/>
        <v>107.00366666666665</v>
      </c>
      <c r="DV102" s="104">
        <f t="shared" si="34"/>
        <v>22.65625</v>
      </c>
      <c r="DW102" s="104">
        <f t="shared" si="35"/>
        <v>0</v>
      </c>
      <c r="DX102" s="106">
        <f t="shared" si="36"/>
        <v>399.69580833333328</v>
      </c>
      <c r="DY102" s="109">
        <f t="shared" si="37"/>
        <v>5.6843418860808015E-14</v>
      </c>
      <c r="EA102" s="110">
        <f t="shared" si="55"/>
        <v>5.7035040626833372E-2</v>
      </c>
      <c r="EB102" s="110">
        <f t="shared" si="55"/>
        <v>7.499259280448213E-2</v>
      </c>
      <c r="EC102" s="110">
        <f t="shared" si="55"/>
        <v>0.32649829515141487</v>
      </c>
      <c r="ED102" s="107"/>
      <c r="EE102" s="110">
        <f t="shared" si="56"/>
        <v>0.21707758297940627</v>
      </c>
      <c r="EF102" s="110">
        <f t="shared" si="56"/>
        <v>0.26771275664074284</v>
      </c>
      <c r="EG102" s="110">
        <f t="shared" si="56"/>
        <v>5.6683731797120641E-2</v>
      </c>
      <c r="EH102" s="111">
        <f t="shared" si="40"/>
        <v>0</v>
      </c>
      <c r="EI102" s="110">
        <f t="shared" si="41"/>
        <v>1.0000000000000002</v>
      </c>
      <c r="EK102" s="112">
        <f>(EA102*'Renewable Diesel'!BF111*'Feedstock Conversion Rates'!B$2)+FB102</f>
        <v>16.022069931110323</v>
      </c>
      <c r="EL102" s="112">
        <f>(EB102*'Renewable Diesel'!BF111*'Feedstock Conversion Rates'!B$3)+FC102</f>
        <v>19.852208478729214</v>
      </c>
      <c r="EM102" s="112">
        <f>(EC102*'Renewable Diesel'!BF111*'Feedstock Conversion Rates'!B$4)+FD102</f>
        <v>80.928245160064137</v>
      </c>
      <c r="EN102" s="107"/>
      <c r="EO102" s="112">
        <f>(EE102*'Renewable Diesel'!BF111*'Feedstock Conversion Rates'!B$6)+FF102</f>
        <v>67.293909184690293</v>
      </c>
      <c r="EP102" s="112">
        <f>(EF102*'Renewable Diesel'!BF111*'Feedstock Conversion Rates'!B$7)+FG102</f>
        <v>81.39820640105971</v>
      </c>
      <c r="EQ102" s="112">
        <f>(EG102*'Renewable Diesel'!BF111*'Feedstock Conversion Rates'!B$8)+FH102</f>
        <v>17.562553203138918</v>
      </c>
      <c r="ER102" s="112">
        <f>(EH102*'Renewable Diesel'!BF111*'Feedstock Conversion Rates'!B$9)+FI102</f>
        <v>0</v>
      </c>
      <c r="ES102" s="112">
        <f t="shared" si="42"/>
        <v>283.05719235879258</v>
      </c>
      <c r="EW102" s="73">
        <f t="shared" si="58"/>
        <v>80.928245160064137</v>
      </c>
      <c r="EX102" s="73">
        <f t="shared" si="59"/>
        <v>202.12894719872844</v>
      </c>
      <c r="EY102" s="92">
        <f t="shared" si="38"/>
        <v>0.28590775060568874</v>
      </c>
      <c r="EZ102" s="92">
        <f t="shared" si="38"/>
        <v>0.71409224939431126</v>
      </c>
      <c r="FB102" s="102">
        <f>IF('Renewable Diesel'!$BG111&lt;1,0,(((('Renewable Diesel'!$BG111-1)*'Renewable Diesel'!$BF111)*'RD Feedstock Breakdown'!EA102)*'Feedstock Conversion Rates'!$B$2))</f>
        <v>0</v>
      </c>
      <c r="FC102" s="102">
        <f>IF('Renewable Diesel'!$BG111&lt;1,0,(((('Renewable Diesel'!$BG111-1)*'Renewable Diesel'!$BF111)*'RD Feedstock Breakdown'!EB102)*'Feedstock Conversion Rates'!$B$3))</f>
        <v>0</v>
      </c>
      <c r="FD102" s="102">
        <f>IF('Renewable Diesel'!$BG111&lt;1,0,(((('Renewable Diesel'!$BG111-1)*'Renewable Diesel'!$BF111)*'RD Feedstock Breakdown'!EC102)*'Feedstock Conversion Rates'!$B$4))</f>
        <v>0</v>
      </c>
      <c r="FE102" s="107"/>
      <c r="FF102" s="102">
        <f>IF('Renewable Diesel'!$BG111&lt;1,0,(((('Renewable Diesel'!$BG111-1)*'Renewable Diesel'!$BF111)*'RD Feedstock Breakdown'!EE102)*'Feedstock Conversion Rates'!$B$6))</f>
        <v>0</v>
      </c>
      <c r="FG102" s="102">
        <f>IF('Renewable Diesel'!$BG111&lt;1,0,(((('Renewable Diesel'!$BG111-1)*'Renewable Diesel'!$BF111)*'RD Feedstock Breakdown'!EF102)*'Feedstock Conversion Rates'!$B$7))</f>
        <v>0</v>
      </c>
      <c r="FH102" s="102">
        <f>IF('Renewable Diesel'!$BG111&lt;1,0,(((('Renewable Diesel'!$BG111-1)*'Renewable Diesel'!$BF111)*'RD Feedstock Breakdown'!EG102)*'Feedstock Conversion Rates'!$B$8))</f>
        <v>0</v>
      </c>
      <c r="FI102" s="102">
        <f>IF('Renewable Diesel'!$BG111&lt;1,0,(((('Renewable Diesel'!$BG111-1)*'Renewable Diesel'!$BF111)*'RD Feedstock Breakdown'!EH102)*'Feedstock Conversion Rates'!$B$9))</f>
        <v>0</v>
      </c>
      <c r="FJ102" s="102">
        <f t="shared" si="60"/>
        <v>0</v>
      </c>
      <c r="FR102" s="3">
        <f>('Renewable Diesel'!AX111-'Renewable Diesel'!BI111)/12*$FO$80</f>
        <v>31.818749999999998</v>
      </c>
      <c r="FS102" s="100">
        <f t="shared" si="48"/>
        <v>0.32649829515141487</v>
      </c>
      <c r="FT102" s="3">
        <f t="shared" si="50"/>
        <v>77.915757216368107</v>
      </c>
      <c r="FY102" s="3">
        <f>'Renewable Diesel'!BF111*('Renewable Diesel'!BI111/'Renewable Diesel'!AX111)</f>
        <v>7.9216843570788535</v>
      </c>
      <c r="FZ102" s="3">
        <f>('Renewable Diesel'!BJ111*'Renewable Diesel'!BG111)/12</f>
        <v>27.296010787697082</v>
      </c>
      <c r="GA102" s="3">
        <f t="shared" si="51"/>
        <v>66.840757399632949</v>
      </c>
      <c r="GD102" s="91">
        <f>'Renewable Diesel'!BB111*0</f>
        <v>0</v>
      </c>
      <c r="GE102" s="91">
        <f>'Renewable Diesel'!BC111</f>
        <v>0.18393999999999999</v>
      </c>
      <c r="GF102" s="91">
        <f>'Renewable Diesel'!BD111</f>
        <v>0</v>
      </c>
      <c r="GG102" s="91">
        <f t="shared" si="49"/>
        <v>0.18393999999999999</v>
      </c>
      <c r="GH102" s="124">
        <v>1</v>
      </c>
      <c r="GI102" s="102">
        <f>$GG102*EA102*'Feedstock Conversion Rates'!$B$2</f>
        <v>8.9173715669647699E-2</v>
      </c>
      <c r="GJ102" s="102">
        <f>$GG102*EB102*'Feedstock Conversion Rates'!$B$3</f>
        <v>0.11049104153885611</v>
      </c>
      <c r="GK102" s="102">
        <f>$GG102*EC102*'Feedstock Conversion Rates'!$B$4</f>
        <v>0.45042072307613434</v>
      </c>
      <c r="GL102" s="102">
        <f>$GG102*ED102*'Feedstock Conversion Rates'!$B$5</f>
        <v>0</v>
      </c>
      <c r="GM102" s="102">
        <f>$GG102*EE102*'Feedstock Conversion Rates'!$B$6</f>
        <v>0.37453637075211604</v>
      </c>
      <c r="GN102" s="102">
        <f>$GG102*EF102*'Feedstock Conversion Rates'!$B$7</f>
        <v>0.45303637699978372</v>
      </c>
      <c r="GO102" s="102">
        <f>$GG102*EG102*'Feedstock Conversion Rates'!$B$8</f>
        <v>9.7747552750897221E-2</v>
      </c>
      <c r="GP102" s="102">
        <f>$GG102*EH102*'Feedstock Conversion Rates'!B$9</f>
        <v>0</v>
      </c>
      <c r="GQ102" s="102">
        <f t="shared" si="45"/>
        <v>1.5754057807874353</v>
      </c>
      <c r="GR102" s="85">
        <f t="shared" si="53"/>
        <v>8.5647808023672685</v>
      </c>
      <c r="GT102" s="103">
        <f t="shared" si="47"/>
        <v>5.6603648886622726E-2</v>
      </c>
      <c r="GU102" s="103">
        <f t="shared" si="47"/>
        <v>7.0134972771033879E-2</v>
      </c>
      <c r="GV102" s="103">
        <f t="shared" si="47"/>
        <v>0.28590775060568874</v>
      </c>
      <c r="GW102" s="103">
        <f t="shared" si="46"/>
        <v>0</v>
      </c>
      <c r="GX102" s="103">
        <f t="shared" si="46"/>
        <v>0.23773961941723451</v>
      </c>
      <c r="GY102" s="103">
        <f t="shared" si="46"/>
        <v>0.28756805549700509</v>
      </c>
      <c r="GZ102" s="103">
        <f t="shared" si="46"/>
        <v>6.2045952822415089E-2</v>
      </c>
      <c r="HA102" s="103">
        <f t="shared" si="23"/>
        <v>0</v>
      </c>
    </row>
    <row r="103" spans="1:209" x14ac:dyDescent="0.25">
      <c r="A103" s="96">
        <v>43556</v>
      </c>
      <c r="B103" s="104">
        <f t="shared" si="57"/>
        <v>60</v>
      </c>
      <c r="C103" s="105"/>
      <c r="D103" s="104">
        <v>0</v>
      </c>
      <c r="E103" s="104">
        <f>('Renewable Diesel'!B112*E$3*'Feedstock Conversion Rates'!$B$2)/12-15</f>
        <v>22.796666666666667</v>
      </c>
      <c r="F103" s="104">
        <f>('Renewable Diesel'!B112*'RD Feedstock Breakdown'!F$3*'Feedstock Conversion Rates'!B$8)/12</f>
        <v>22.65625</v>
      </c>
      <c r="G103" s="104">
        <f>('Renewable Diesel'!B112*'RD Feedstock Breakdown'!G$3*'Feedstock Conversion Rates'!B$7)/12</f>
        <v>74.036999999999992</v>
      </c>
      <c r="H103" s="104">
        <f>('Renewable Diesel'!B112*'RD Feedstock Breakdown'!H$3*'Feedstock Conversion Rates'!B$3)/12-45</f>
        <v>29.139224999999996</v>
      </c>
      <c r="I103" s="106">
        <f t="shared" si="52"/>
        <v>208.62914166666667</v>
      </c>
      <c r="J103" s="106"/>
      <c r="K103" s="107"/>
      <c r="L103" s="106"/>
      <c r="R103" s="104">
        <f>('Renewable Diesel'!D112*'RD Feedstock Breakdown'!R$3*'Feedstock Conversion Rates'!B$7)/12</f>
        <v>2.2999999999999998</v>
      </c>
      <c r="S103" s="106">
        <f t="shared" si="27"/>
        <v>2.2999999999999998</v>
      </c>
      <c r="T103" s="107"/>
      <c r="U103" s="106"/>
      <c r="Z103" s="104">
        <f>('Renewable Diesel'!F112*'RD Feedstock Breakdown'!Z$3*'Feedstock Conversion Rates'!B$6)/12</f>
        <v>44.555000000000007</v>
      </c>
      <c r="AA103" s="104">
        <f>('Renewable Diesel'!F112*'RD Feedstock Breakdown'!AA$3*'Feedstock Conversion Rates'!B$7)/12</f>
        <v>29.133333333333329</v>
      </c>
      <c r="AB103" s="106">
        <f t="shared" si="25"/>
        <v>73.688333333333333</v>
      </c>
      <c r="AC103" s="108"/>
      <c r="AG103" s="108"/>
      <c r="AI103" s="104">
        <f>('Renewable Diesel'!H112*'RD Feedstock Breakdown'!AI$3*'Feedstock Conversion Rates'!B$6)/12</f>
        <v>39.083333333333336</v>
      </c>
      <c r="AJ103" s="106">
        <f t="shared" si="26"/>
        <v>39.083333333333336</v>
      </c>
      <c r="AK103" s="104">
        <f>('Renewable Diesel'!J112*'RD Feedstock Breakdown'!AK$3*'Feedstock Conversion Rates'!B$4)/12</f>
        <v>62.5</v>
      </c>
      <c r="AL103" s="106">
        <f t="shared" si="28"/>
        <v>62.5</v>
      </c>
      <c r="AT103" s="108"/>
      <c r="BJ103" s="104">
        <f>('Renewable Diesel'!W112*'RD Feedstock Breakdown'!BJ$3*'Feedstock Conversion Rates'!B$4)/12+0.75-0.25</f>
        <v>8</v>
      </c>
      <c r="BK103" s="104">
        <f>('Renewable Diesel'!W112*'RD Feedstock Breakdown'!BK$3*'Feedstock Conversion Rates'!B$3)/12-0.75+0.25</f>
        <v>0.83499999999999996</v>
      </c>
      <c r="BL103" s="104">
        <f>('Renewable Diesel'!W112*'RD Feedstock Breakdown'!BL$3*'Feedstock Conversion Rates'!B$6)/12</f>
        <v>3.1266666666666669</v>
      </c>
      <c r="BM103" s="104">
        <f>('Renewable Diesel'!W112*'RD Feedstock Breakdown'!BM$3*'Feedstock Conversion Rates'!B$7)/12</f>
        <v>1.5333333333333332</v>
      </c>
      <c r="BN103" s="106">
        <f t="shared" si="54"/>
        <v>13.495000000000001</v>
      </c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7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7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06"/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7"/>
      <c r="DE103" s="106"/>
      <c r="DF103" s="106"/>
      <c r="DG103" s="106"/>
      <c r="DH103" s="106"/>
      <c r="DI103" s="106"/>
      <c r="DJ103" s="107"/>
      <c r="DK103" s="106"/>
      <c r="DL103" s="106"/>
      <c r="DM103" s="106"/>
      <c r="DN103" s="106"/>
      <c r="DP103" s="104">
        <f t="shared" si="30"/>
        <v>22.796666666666667</v>
      </c>
      <c r="DQ103" s="104">
        <f t="shared" si="31"/>
        <v>29.974224999999997</v>
      </c>
      <c r="DR103" s="104">
        <f t="shared" si="39"/>
        <v>130.5</v>
      </c>
      <c r="DS103" s="107"/>
      <c r="DT103" s="104">
        <f t="shared" si="32"/>
        <v>86.765000000000015</v>
      </c>
      <c r="DU103" s="104">
        <f t="shared" si="33"/>
        <v>107.00366666666665</v>
      </c>
      <c r="DV103" s="104">
        <f t="shared" si="34"/>
        <v>22.65625</v>
      </c>
      <c r="DW103" s="104">
        <f t="shared" si="35"/>
        <v>0</v>
      </c>
      <c r="DX103" s="106">
        <f t="shared" si="36"/>
        <v>399.69580833333328</v>
      </c>
      <c r="DY103" s="109">
        <f t="shared" si="37"/>
        <v>5.6843418860808015E-14</v>
      </c>
      <c r="EA103" s="110">
        <f t="shared" si="55"/>
        <v>5.7035040626833372E-2</v>
      </c>
      <c r="EB103" s="110">
        <f t="shared" si="55"/>
        <v>7.499259280448213E-2</v>
      </c>
      <c r="EC103" s="110">
        <f t="shared" si="55"/>
        <v>0.32649829515141487</v>
      </c>
      <c r="ED103" s="107"/>
      <c r="EE103" s="110">
        <f t="shared" si="56"/>
        <v>0.21707758297940627</v>
      </c>
      <c r="EF103" s="110">
        <f t="shared" si="56"/>
        <v>0.26771275664074284</v>
      </c>
      <c r="EG103" s="110">
        <f t="shared" si="56"/>
        <v>5.6683731797120641E-2</v>
      </c>
      <c r="EH103" s="111">
        <f t="shared" si="40"/>
        <v>0</v>
      </c>
      <c r="EI103" s="110">
        <f t="shared" si="41"/>
        <v>1.0000000000000002</v>
      </c>
      <c r="EK103" s="112">
        <f>(EA103*'Renewable Diesel'!BF112*'Feedstock Conversion Rates'!B$2)+FB103</f>
        <v>17.359512774079008</v>
      </c>
      <c r="EL103" s="112">
        <f>(EB103*'Renewable Diesel'!BF112*'Feedstock Conversion Rates'!B$3)+FC103</f>
        <v>21.50937226974748</v>
      </c>
      <c r="EM103" s="112">
        <f>(EC103*'Renewable Diesel'!BF112*'Feedstock Conversion Rates'!B$4)+FD103</f>
        <v>87.683733230502369</v>
      </c>
      <c r="EN103" s="107"/>
      <c r="EO103" s="112">
        <f>(EE103*'Renewable Diesel'!BF112*'Feedstock Conversion Rates'!B$6)+FF103</f>
        <v>72.911270586895313</v>
      </c>
      <c r="EP103" s="112">
        <f>(EF103*'Renewable Diesel'!BF112*'Feedstock Conversion Rates'!B$7)+FG103</f>
        <v>88.192924502383136</v>
      </c>
      <c r="EQ103" s="112">
        <f>(EG103*'Renewable Diesel'!BF112*'Feedstock Conversion Rates'!B$8)+FH103</f>
        <v>19.028587940647217</v>
      </c>
      <c r="ER103" s="112">
        <f>(EH103*'Renewable Diesel'!BF112*'Feedstock Conversion Rates'!B$9)+FI103</f>
        <v>0</v>
      </c>
      <c r="ES103" s="112">
        <f t="shared" si="42"/>
        <v>306.68540130425453</v>
      </c>
      <c r="EW103" s="73">
        <f t="shared" si="58"/>
        <v>87.683733230502369</v>
      </c>
      <c r="EX103" s="73">
        <f t="shared" si="59"/>
        <v>219.00166807375214</v>
      </c>
      <c r="EY103" s="92">
        <f t="shared" si="38"/>
        <v>0.28590775060568874</v>
      </c>
      <c r="EZ103" s="92">
        <f t="shared" si="38"/>
        <v>0.71409224939431126</v>
      </c>
      <c r="FB103" s="102">
        <f>IF('Renewable Diesel'!$BG112&lt;1,0,(((('Renewable Diesel'!$BG112-1)*'Renewable Diesel'!$BF112)*'RD Feedstock Breakdown'!EA103)*'Feedstock Conversion Rates'!$B$2))</f>
        <v>0</v>
      </c>
      <c r="FC103" s="102">
        <f>IF('Renewable Diesel'!$BG112&lt;1,0,(((('Renewable Diesel'!$BG112-1)*'Renewable Diesel'!$BF112)*'RD Feedstock Breakdown'!EB103)*'Feedstock Conversion Rates'!$B$3))</f>
        <v>0</v>
      </c>
      <c r="FD103" s="102">
        <f>IF('Renewable Diesel'!$BG112&lt;1,0,(((('Renewable Diesel'!$BG112-1)*'Renewable Diesel'!$BF112)*'RD Feedstock Breakdown'!EC103)*'Feedstock Conversion Rates'!$B$4))</f>
        <v>0</v>
      </c>
      <c r="FE103" s="107"/>
      <c r="FF103" s="102">
        <f>IF('Renewable Diesel'!$BG112&lt;1,0,(((('Renewable Diesel'!$BG112-1)*'Renewable Diesel'!$BF112)*'RD Feedstock Breakdown'!EE103)*'Feedstock Conversion Rates'!$B$6))</f>
        <v>0</v>
      </c>
      <c r="FG103" s="102">
        <f>IF('Renewable Diesel'!$BG112&lt;1,0,(((('Renewable Diesel'!$BG112-1)*'Renewable Diesel'!$BF112)*'RD Feedstock Breakdown'!EF103)*'Feedstock Conversion Rates'!$B$7))</f>
        <v>0</v>
      </c>
      <c r="FH103" s="102">
        <f>IF('Renewable Diesel'!$BG112&lt;1,0,(((('Renewable Diesel'!$BG112-1)*'Renewable Diesel'!$BF112)*'RD Feedstock Breakdown'!EG103)*'Feedstock Conversion Rates'!$B$8))</f>
        <v>0</v>
      </c>
      <c r="FI103" s="102">
        <f>IF('Renewable Diesel'!$BG112&lt;1,0,(((('Renewable Diesel'!$BG112-1)*'Renewable Diesel'!$BF112)*'RD Feedstock Breakdown'!EH103)*'Feedstock Conversion Rates'!$B$9))</f>
        <v>0</v>
      </c>
      <c r="FJ103" s="102">
        <f t="shared" si="60"/>
        <v>0</v>
      </c>
      <c r="FR103" s="3">
        <f>('Renewable Diesel'!AX112-'Renewable Diesel'!BI112)/12*$FO$80</f>
        <v>31.818749999999998</v>
      </c>
      <c r="FS103" s="100">
        <f t="shared" si="48"/>
        <v>0.32649829515141487</v>
      </c>
      <c r="FT103" s="3">
        <f t="shared" si="50"/>
        <v>77.915757216368107</v>
      </c>
      <c r="FY103" s="3">
        <f>'Renewable Diesel'!BF112*('Renewable Diesel'!BI112/'Renewable Diesel'!AX112)</f>
        <v>8.5829472334229386</v>
      </c>
      <c r="FZ103" s="3">
        <f>('Renewable Diesel'!BJ112*'Renewable Diesel'!BG112)/12</f>
        <v>26.712493373119965</v>
      </c>
      <c r="GA103" s="3">
        <f t="shared" si="51"/>
        <v>65.411876591753526</v>
      </c>
      <c r="GD103" s="91">
        <f>'Renewable Diesel'!BB112*0</f>
        <v>0</v>
      </c>
      <c r="GE103" s="91">
        <f>'Renewable Diesel'!BC112</f>
        <v>0.245975</v>
      </c>
      <c r="GF103" s="91">
        <f>'Renewable Diesel'!BD112</f>
        <v>0</v>
      </c>
      <c r="GG103" s="91">
        <f t="shared" si="49"/>
        <v>0.245975</v>
      </c>
      <c r="GH103" s="124">
        <v>1</v>
      </c>
      <c r="GI103" s="102">
        <f>$GG103*EA103*'Feedstock Conversion Rates'!$B$2</f>
        <v>0.11924815000457538</v>
      </c>
      <c r="GJ103" s="102">
        <f>$GG103*EB103*'Feedstock Conversion Rates'!$B$3</f>
        <v>0.14775488715081075</v>
      </c>
      <c r="GK103" s="102">
        <f>$GG103*EC103*'Feedstock Conversion Rates'!$B$4</f>
        <v>0.60232813612401959</v>
      </c>
      <c r="GL103" s="102">
        <f>$GG103*ED103*'Feedstock Conversion Rates'!$B$5</f>
        <v>0</v>
      </c>
      <c r="GM103" s="102">
        <f>$GG103*EE103*'Feedstock Conversion Rates'!$B$6</f>
        <v>0.50085127648011174</v>
      </c>
      <c r="GN103" s="102">
        <f>$GG103*EF103*'Feedstock Conversion Rates'!$B$7</f>
        <v>0.60582593689530173</v>
      </c>
      <c r="GO103" s="102">
        <f>$GG103*EG103*'Feedstock Conversion Rates'!$B$8</f>
        <v>0.13071357120746951</v>
      </c>
      <c r="GP103" s="102">
        <f>$GG103*EH103*'Feedstock Conversion Rates'!B$9</f>
        <v>0</v>
      </c>
      <c r="GQ103" s="102">
        <f t="shared" si="45"/>
        <v>2.1067219578622884</v>
      </c>
      <c r="GR103" s="85">
        <f t="shared" si="53"/>
        <v>8.5647808023672667</v>
      </c>
      <c r="GT103" s="103">
        <f t="shared" si="47"/>
        <v>5.6603648886622719E-2</v>
      </c>
      <c r="GU103" s="103">
        <f t="shared" si="47"/>
        <v>7.0134972771033852E-2</v>
      </c>
      <c r="GV103" s="103">
        <f t="shared" si="47"/>
        <v>0.28590775060568868</v>
      </c>
      <c r="GW103" s="103">
        <f t="shared" si="46"/>
        <v>0</v>
      </c>
      <c r="GX103" s="103">
        <f t="shared" si="46"/>
        <v>0.23773961941723448</v>
      </c>
      <c r="GY103" s="103">
        <f t="shared" si="46"/>
        <v>0.28756805549700504</v>
      </c>
      <c r="GZ103" s="103">
        <f t="shared" si="46"/>
        <v>6.2045952822415089E-2</v>
      </c>
      <c r="HA103" s="103">
        <f t="shared" si="23"/>
        <v>0</v>
      </c>
    </row>
    <row r="104" spans="1:209" x14ac:dyDescent="0.25">
      <c r="A104" s="96">
        <v>43586</v>
      </c>
      <c r="B104" s="104">
        <f t="shared" si="57"/>
        <v>60</v>
      </c>
      <c r="C104" s="105"/>
      <c r="D104" s="104">
        <v>0</v>
      </c>
      <c r="E104" s="104">
        <f>('Renewable Diesel'!B113*E$3*'Feedstock Conversion Rates'!$B$2)/12-15</f>
        <v>22.796666666666667</v>
      </c>
      <c r="F104" s="104">
        <f>('Renewable Diesel'!B113*'RD Feedstock Breakdown'!F$3*'Feedstock Conversion Rates'!B$8)/12</f>
        <v>22.65625</v>
      </c>
      <c r="G104" s="104">
        <f>('Renewable Diesel'!B113*'RD Feedstock Breakdown'!G$3*'Feedstock Conversion Rates'!B$7)/12</f>
        <v>74.036999999999992</v>
      </c>
      <c r="H104" s="104">
        <f>('Renewable Diesel'!B113*'RD Feedstock Breakdown'!H$3*'Feedstock Conversion Rates'!B$3)/12-45</f>
        <v>29.139224999999996</v>
      </c>
      <c r="I104" s="106">
        <f t="shared" si="52"/>
        <v>208.62914166666667</v>
      </c>
      <c r="J104" s="106"/>
      <c r="K104" s="107"/>
      <c r="L104" s="106"/>
      <c r="R104" s="104">
        <f>('Renewable Diesel'!D113*'RD Feedstock Breakdown'!R$3*'Feedstock Conversion Rates'!B$7)/12</f>
        <v>2.2999999999999998</v>
      </c>
      <c r="S104" s="106">
        <f t="shared" si="27"/>
        <v>2.2999999999999998</v>
      </c>
      <c r="T104" s="107"/>
      <c r="U104" s="106"/>
      <c r="Z104" s="104">
        <f>('Renewable Diesel'!F113*'RD Feedstock Breakdown'!Z$3*'Feedstock Conversion Rates'!B$6)/12</f>
        <v>44.555000000000007</v>
      </c>
      <c r="AA104" s="104">
        <f>('Renewable Diesel'!F113*'RD Feedstock Breakdown'!AA$3*'Feedstock Conversion Rates'!B$7)/12</f>
        <v>29.133333333333329</v>
      </c>
      <c r="AB104" s="106">
        <f t="shared" si="25"/>
        <v>73.688333333333333</v>
      </c>
      <c r="AC104" s="108"/>
      <c r="AG104" s="108"/>
      <c r="AI104" s="104">
        <f>('Renewable Diesel'!H113*'RD Feedstock Breakdown'!AI$3*'Feedstock Conversion Rates'!B$6)/12</f>
        <v>39.083333333333336</v>
      </c>
      <c r="AJ104" s="106">
        <f t="shared" si="26"/>
        <v>39.083333333333336</v>
      </c>
      <c r="AK104" s="104">
        <f>('Renewable Diesel'!J113*'RD Feedstock Breakdown'!AK$3*'Feedstock Conversion Rates'!B$4)/12</f>
        <v>62.5</v>
      </c>
      <c r="AL104" s="106">
        <f t="shared" si="28"/>
        <v>62.5</v>
      </c>
      <c r="AT104" s="108"/>
      <c r="BJ104" s="104">
        <f>('Renewable Diesel'!W113*'RD Feedstock Breakdown'!BJ$3*'Feedstock Conversion Rates'!B$4)/12+0.75-0.25</f>
        <v>8</v>
      </c>
      <c r="BK104" s="104">
        <f>('Renewable Diesel'!W113*'RD Feedstock Breakdown'!BK$3*'Feedstock Conversion Rates'!B$3)/12-0.75+0.25</f>
        <v>0.83499999999999996</v>
      </c>
      <c r="BL104" s="104">
        <f>('Renewable Diesel'!W113*'RD Feedstock Breakdown'!BL$3*'Feedstock Conversion Rates'!B$6)/12</f>
        <v>3.1266666666666669</v>
      </c>
      <c r="BM104" s="104">
        <f>('Renewable Diesel'!W113*'RD Feedstock Breakdown'!BM$3*'Feedstock Conversion Rates'!B$7)/12</f>
        <v>1.5333333333333332</v>
      </c>
      <c r="BN104" s="106">
        <f t="shared" si="54"/>
        <v>13.495000000000001</v>
      </c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7"/>
      <c r="BY104" s="106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7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  <c r="CW104" s="106"/>
      <c r="CX104" s="106"/>
      <c r="CY104" s="106"/>
      <c r="CZ104" s="106"/>
      <c r="DA104" s="106"/>
      <c r="DB104" s="106"/>
      <c r="DC104" s="106"/>
      <c r="DD104" s="107"/>
      <c r="DE104" s="106"/>
      <c r="DF104" s="106"/>
      <c r="DG104" s="106"/>
      <c r="DH104" s="106"/>
      <c r="DI104" s="106"/>
      <c r="DJ104" s="107"/>
      <c r="DK104" s="106"/>
      <c r="DL104" s="106"/>
      <c r="DM104" s="106"/>
      <c r="DN104" s="106"/>
      <c r="DP104" s="104">
        <f t="shared" si="30"/>
        <v>22.796666666666667</v>
      </c>
      <c r="DQ104" s="104">
        <f t="shared" si="31"/>
        <v>29.974224999999997</v>
      </c>
      <c r="DR104" s="104">
        <f t="shared" si="39"/>
        <v>130.5</v>
      </c>
      <c r="DS104" s="107"/>
      <c r="DT104" s="104">
        <f t="shared" si="32"/>
        <v>86.765000000000015</v>
      </c>
      <c r="DU104" s="104">
        <f t="shared" si="33"/>
        <v>107.00366666666665</v>
      </c>
      <c r="DV104" s="104">
        <f t="shared" si="34"/>
        <v>22.65625</v>
      </c>
      <c r="DW104" s="104">
        <f t="shared" si="35"/>
        <v>0</v>
      </c>
      <c r="DX104" s="106">
        <f t="shared" si="36"/>
        <v>399.69580833333328</v>
      </c>
      <c r="DY104" s="109">
        <f t="shared" si="37"/>
        <v>5.6843418860808015E-14</v>
      </c>
      <c r="EA104" s="110">
        <f t="shared" si="55"/>
        <v>5.7035040626833372E-2</v>
      </c>
      <c r="EB104" s="110">
        <f t="shared" si="55"/>
        <v>7.499259280448213E-2</v>
      </c>
      <c r="EC104" s="110">
        <f t="shared" si="55"/>
        <v>0.32649829515141487</v>
      </c>
      <c r="ED104" s="107"/>
      <c r="EE104" s="110">
        <f t="shared" si="56"/>
        <v>0.21707758297940627</v>
      </c>
      <c r="EF104" s="110">
        <f t="shared" si="56"/>
        <v>0.26771275664074284</v>
      </c>
      <c r="EG104" s="110">
        <f t="shared" si="56"/>
        <v>5.6683731797120641E-2</v>
      </c>
      <c r="EH104" s="111">
        <f t="shared" si="40"/>
        <v>0</v>
      </c>
      <c r="EI104" s="110">
        <f t="shared" si="41"/>
        <v>1.0000000000000002</v>
      </c>
      <c r="EK104" s="112">
        <f>(EA104*'Renewable Diesel'!BF113*'Feedstock Conversion Rates'!B$2)+FB104</f>
        <v>18.019406026799928</v>
      </c>
      <c r="EL104" s="112">
        <f>(EB104*'Renewable Diesel'!BF113*'Feedstock Conversion Rates'!B$3)+FC104</f>
        <v>22.327015588185713</v>
      </c>
      <c r="EM104" s="112">
        <f>(EC104*'Renewable Diesel'!BF113*'Feedstock Conversion Rates'!B$4)+FD104</f>
        <v>91.016885761061189</v>
      </c>
      <c r="EN104" s="107"/>
      <c r="EO104" s="112">
        <f>(EE104*'Renewable Diesel'!BF113*'Feedstock Conversion Rates'!B$6)+FF104</f>
        <v>75.682872309464642</v>
      </c>
      <c r="EP104" s="112">
        <f>(EF104*'Renewable Diesel'!BF113*'Feedstock Conversion Rates'!B$7)+FG104</f>
        <v>91.545433099499306</v>
      </c>
      <c r="EQ104" s="112">
        <f>(EG104*'Renewable Diesel'!BF113*'Feedstock Conversion Rates'!B$8)+FH104</f>
        <v>19.751928333563626</v>
      </c>
      <c r="ER104" s="112">
        <f>(EH104*'Renewable Diesel'!BF113*'Feedstock Conversion Rates'!B$9)+FI104</f>
        <v>0</v>
      </c>
      <c r="ES104" s="112">
        <f t="shared" si="42"/>
        <v>318.34354111857442</v>
      </c>
      <c r="EW104" s="73">
        <f t="shared" si="58"/>
        <v>91.016885761061189</v>
      </c>
      <c r="EX104" s="73">
        <f t="shared" si="59"/>
        <v>227.32665535751323</v>
      </c>
      <c r="EY104" s="92">
        <f t="shared" si="38"/>
        <v>0.28590775060568874</v>
      </c>
      <c r="EZ104" s="92">
        <f t="shared" si="38"/>
        <v>0.71409224939431126</v>
      </c>
      <c r="FB104" s="102">
        <f>IF('Renewable Diesel'!$BG113&lt;1,0,(((('Renewable Diesel'!$BG113-1)*'Renewable Diesel'!$BF113)*'RD Feedstock Breakdown'!EA104)*'Feedstock Conversion Rates'!$B$2))</f>
        <v>0</v>
      </c>
      <c r="FC104" s="102">
        <f>IF('Renewable Diesel'!$BG113&lt;1,0,(((('Renewable Diesel'!$BG113-1)*'Renewable Diesel'!$BF113)*'RD Feedstock Breakdown'!EB104)*'Feedstock Conversion Rates'!$B$3))</f>
        <v>0</v>
      </c>
      <c r="FD104" s="102">
        <f>IF('Renewable Diesel'!$BG113&lt;1,0,(((('Renewable Diesel'!$BG113-1)*'Renewable Diesel'!$BF113)*'RD Feedstock Breakdown'!EC104)*'Feedstock Conversion Rates'!$B$4))</f>
        <v>0</v>
      </c>
      <c r="FE104" s="107"/>
      <c r="FF104" s="102">
        <f>IF('Renewable Diesel'!$BG113&lt;1,0,(((('Renewable Diesel'!$BG113-1)*'Renewable Diesel'!$BF113)*'RD Feedstock Breakdown'!EE104)*'Feedstock Conversion Rates'!$B$6))</f>
        <v>0</v>
      </c>
      <c r="FG104" s="102">
        <f>IF('Renewable Diesel'!$BG113&lt;1,0,(((('Renewable Diesel'!$BG113-1)*'Renewable Diesel'!$BF113)*'RD Feedstock Breakdown'!EF104)*'Feedstock Conversion Rates'!$B$7))</f>
        <v>0</v>
      </c>
      <c r="FH104" s="102">
        <f>IF('Renewable Diesel'!$BG113&lt;1,0,(((('Renewable Diesel'!$BG113-1)*'Renewable Diesel'!$BF113)*'RD Feedstock Breakdown'!EG104)*'Feedstock Conversion Rates'!$B$8))</f>
        <v>0</v>
      </c>
      <c r="FI104" s="102">
        <f>IF('Renewable Diesel'!$BG113&lt;1,0,(((('Renewable Diesel'!$BG113-1)*'Renewable Diesel'!$BF113)*'RD Feedstock Breakdown'!EH104)*'Feedstock Conversion Rates'!$B$9))</f>
        <v>0</v>
      </c>
      <c r="FJ104" s="102">
        <f t="shared" si="60"/>
        <v>0</v>
      </c>
      <c r="FR104" s="3">
        <f>('Renewable Diesel'!AX113-'Renewable Diesel'!BI113)/12*$FO$80</f>
        <v>31.818749999999998</v>
      </c>
      <c r="FS104" s="100">
        <f t="shared" si="48"/>
        <v>0.32649829515141487</v>
      </c>
      <c r="FT104" s="3">
        <f t="shared" si="50"/>
        <v>77.915757216368107</v>
      </c>
      <c r="FY104" s="3">
        <f>'Renewable Diesel'!BF113*('Renewable Diesel'!BI113/'Renewable Diesel'!AX113)</f>
        <v>8.9092138194444459</v>
      </c>
      <c r="FZ104" s="3">
        <f>('Renewable Diesel'!BJ113*'Renewable Diesel'!BG113)/12</f>
        <v>28.652188919174389</v>
      </c>
      <c r="GA104" s="3">
        <f t="shared" si="51"/>
        <v>70.161681258500238</v>
      </c>
      <c r="GD104" s="91">
        <f>'Renewable Diesel'!BB113*0</f>
        <v>0</v>
      </c>
      <c r="GE104" s="91">
        <f>'Renewable Diesel'!BC113</f>
        <v>0.25428800000000001</v>
      </c>
      <c r="GF104" s="91">
        <f>'Renewable Diesel'!BD113</f>
        <v>0</v>
      </c>
      <c r="GG104" s="91">
        <f t="shared" si="49"/>
        <v>0.25428800000000001</v>
      </c>
      <c r="GH104" s="124">
        <v>1</v>
      </c>
      <c r="GI104" s="102">
        <f>$GG104*EA104*'Feedstock Conversion Rates'!$B$2</f>
        <v>0.12327827449278775</v>
      </c>
      <c r="GJ104" s="102">
        <f>$GG104*EB104*'Feedstock Conversion Rates'!$B$3</f>
        <v>0.15274842867691987</v>
      </c>
      <c r="GK104" s="102">
        <f>$GG104*EC104*'Feedstock Conversion Rates'!$B$4</f>
        <v>0.62268448858097247</v>
      </c>
      <c r="GL104" s="102">
        <f>$GG104*ED104*'Feedstock Conversion Rates'!$B$5</f>
        <v>0</v>
      </c>
      <c r="GM104" s="102">
        <f>$GG104*EE104*'Feedstock Conversion Rates'!$B$6</f>
        <v>0.51777810506585897</v>
      </c>
      <c r="GN104" s="102">
        <f>$GG104*EF104*'Feedstock Conversion Rates'!$B$7</f>
        <v>0.62630050143808325</v>
      </c>
      <c r="GO104" s="102">
        <f>$GG104*EG104*'Feedstock Conversion Rates'!$B$8</f>
        <v>0.13513118241774577</v>
      </c>
      <c r="GP104" s="102">
        <f>$GG104*EH104*'Feedstock Conversion Rates'!B$9</f>
        <v>0</v>
      </c>
      <c r="GQ104" s="102">
        <f t="shared" si="45"/>
        <v>2.1779209806723681</v>
      </c>
      <c r="GR104" s="85">
        <f t="shared" si="53"/>
        <v>8.5647808023672685</v>
      </c>
      <c r="GT104" s="103">
        <f t="shared" si="47"/>
        <v>5.6603648886622712E-2</v>
      </c>
      <c r="GU104" s="103">
        <f t="shared" si="47"/>
        <v>7.0134972771033852E-2</v>
      </c>
      <c r="GV104" s="103">
        <f t="shared" si="47"/>
        <v>0.28590775060568874</v>
      </c>
      <c r="GW104" s="103">
        <f t="shared" si="46"/>
        <v>0</v>
      </c>
      <c r="GX104" s="103">
        <f t="shared" si="46"/>
        <v>0.23773961941723457</v>
      </c>
      <c r="GY104" s="103">
        <f t="shared" si="46"/>
        <v>0.28756805549700504</v>
      </c>
      <c r="GZ104" s="103">
        <f t="shared" si="46"/>
        <v>6.2045952822415089E-2</v>
      </c>
      <c r="HA104" s="103">
        <f t="shared" si="23"/>
        <v>0</v>
      </c>
    </row>
    <row r="105" spans="1:209" x14ac:dyDescent="0.25">
      <c r="A105" s="96">
        <v>43617</v>
      </c>
      <c r="B105" s="104">
        <f t="shared" si="57"/>
        <v>60</v>
      </c>
      <c r="C105" s="105"/>
      <c r="D105" s="104">
        <v>0</v>
      </c>
      <c r="E105" s="104">
        <f>('Renewable Diesel'!B114*E$3*'Feedstock Conversion Rates'!$B$2)/12-15</f>
        <v>22.796666666666667</v>
      </c>
      <c r="F105" s="104">
        <f>('Renewable Diesel'!B114*'RD Feedstock Breakdown'!F$3*'Feedstock Conversion Rates'!B$8)/12</f>
        <v>22.65625</v>
      </c>
      <c r="G105" s="104">
        <f>('Renewable Diesel'!B114*'RD Feedstock Breakdown'!G$3*'Feedstock Conversion Rates'!B$7)/12</f>
        <v>74.036999999999992</v>
      </c>
      <c r="H105" s="104">
        <f>('Renewable Diesel'!B114*'RD Feedstock Breakdown'!H$3*'Feedstock Conversion Rates'!B$3)/12-45</f>
        <v>29.139224999999996</v>
      </c>
      <c r="I105" s="106">
        <f t="shared" si="52"/>
        <v>208.62914166666667</v>
      </c>
      <c r="J105" s="106"/>
      <c r="K105" s="107"/>
      <c r="L105" s="106"/>
      <c r="R105" s="104">
        <f>('Renewable Diesel'!D114*'RD Feedstock Breakdown'!R$3*'Feedstock Conversion Rates'!B$7)/12</f>
        <v>2.2999999999999998</v>
      </c>
      <c r="S105" s="106">
        <f t="shared" si="27"/>
        <v>2.2999999999999998</v>
      </c>
      <c r="T105" s="107"/>
      <c r="U105" s="106"/>
      <c r="Z105" s="104">
        <f>('Renewable Diesel'!F114*'RD Feedstock Breakdown'!Z$3*'Feedstock Conversion Rates'!B$6)/12</f>
        <v>44.555000000000007</v>
      </c>
      <c r="AA105" s="104">
        <f>('Renewable Diesel'!F114*'RD Feedstock Breakdown'!AA$3*'Feedstock Conversion Rates'!B$7)/12</f>
        <v>29.133333333333329</v>
      </c>
      <c r="AB105" s="106">
        <f t="shared" si="25"/>
        <v>73.688333333333333</v>
      </c>
      <c r="AC105" s="108"/>
      <c r="AG105" s="108"/>
      <c r="AI105" s="104">
        <f>('Renewable Diesel'!H114*'RD Feedstock Breakdown'!AI$3*'Feedstock Conversion Rates'!B$6)/12</f>
        <v>39.083333333333336</v>
      </c>
      <c r="AJ105" s="106">
        <f t="shared" si="26"/>
        <v>39.083333333333336</v>
      </c>
      <c r="AK105" s="104">
        <f>('Renewable Diesel'!J114*'RD Feedstock Breakdown'!AK$3*'Feedstock Conversion Rates'!B$4)/12</f>
        <v>62.5</v>
      </c>
      <c r="AL105" s="106">
        <f t="shared" si="28"/>
        <v>62.5</v>
      </c>
      <c r="AT105" s="108"/>
      <c r="BJ105" s="104">
        <f>('Renewable Diesel'!W114*'RD Feedstock Breakdown'!BJ$3*'Feedstock Conversion Rates'!B$4)/12+0.75-0.25</f>
        <v>8</v>
      </c>
      <c r="BK105" s="104">
        <f>('Renewable Diesel'!W114*'RD Feedstock Breakdown'!BK$3*'Feedstock Conversion Rates'!B$3)/12-0.75+0.25</f>
        <v>0.83499999999999996</v>
      </c>
      <c r="BL105" s="104">
        <f>('Renewable Diesel'!W114*'RD Feedstock Breakdown'!BL$3*'Feedstock Conversion Rates'!B$6)/12</f>
        <v>3.1266666666666669</v>
      </c>
      <c r="BM105" s="104">
        <f>('Renewable Diesel'!W114*'RD Feedstock Breakdown'!BM$3*'Feedstock Conversion Rates'!B$7)/12</f>
        <v>1.5333333333333332</v>
      </c>
      <c r="BN105" s="106">
        <f t="shared" si="54"/>
        <v>13.495000000000001</v>
      </c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7"/>
      <c r="BY105" s="106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7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06"/>
      <c r="CZ105" s="106"/>
      <c r="DA105" s="106"/>
      <c r="DB105" s="106"/>
      <c r="DC105" s="106"/>
      <c r="DD105" s="107"/>
      <c r="DE105" s="106"/>
      <c r="DF105" s="106"/>
      <c r="DG105" s="106"/>
      <c r="DH105" s="106"/>
      <c r="DI105" s="106"/>
      <c r="DJ105" s="107"/>
      <c r="DK105" s="106"/>
      <c r="DL105" s="106"/>
      <c r="DM105" s="106"/>
      <c r="DN105" s="106"/>
      <c r="DP105" s="104">
        <f t="shared" si="30"/>
        <v>22.796666666666667</v>
      </c>
      <c r="DQ105" s="104">
        <f t="shared" si="31"/>
        <v>29.974224999999997</v>
      </c>
      <c r="DR105" s="104">
        <f t="shared" si="39"/>
        <v>130.5</v>
      </c>
      <c r="DS105" s="107"/>
      <c r="DT105" s="104">
        <f t="shared" si="32"/>
        <v>86.765000000000015</v>
      </c>
      <c r="DU105" s="104">
        <f t="shared" si="33"/>
        <v>107.00366666666665</v>
      </c>
      <c r="DV105" s="104">
        <f t="shared" si="34"/>
        <v>22.65625</v>
      </c>
      <c r="DW105" s="104">
        <f t="shared" si="35"/>
        <v>0</v>
      </c>
      <c r="DX105" s="106">
        <f t="shared" si="36"/>
        <v>399.69580833333328</v>
      </c>
      <c r="DY105" s="109">
        <f t="shared" si="37"/>
        <v>5.6843418860808015E-14</v>
      </c>
      <c r="EA105" s="110">
        <f t="shared" si="55"/>
        <v>5.7035040626833372E-2</v>
      </c>
      <c r="EB105" s="110">
        <f t="shared" si="55"/>
        <v>7.499259280448213E-2</v>
      </c>
      <c r="EC105" s="110">
        <f t="shared" si="55"/>
        <v>0.32649829515141487</v>
      </c>
      <c r="ED105" s="107"/>
      <c r="EE105" s="110">
        <f t="shared" si="56"/>
        <v>0.21707758297940627</v>
      </c>
      <c r="EF105" s="110">
        <f t="shared" si="56"/>
        <v>0.26771275664074284</v>
      </c>
      <c r="EG105" s="110">
        <f t="shared" si="56"/>
        <v>5.6683731797120641E-2</v>
      </c>
      <c r="EH105" s="111">
        <f t="shared" si="40"/>
        <v>0</v>
      </c>
      <c r="EI105" s="110">
        <f t="shared" si="41"/>
        <v>1.0000000000000002</v>
      </c>
      <c r="EK105" s="112">
        <f>(EA105*'Renewable Diesel'!BF114*'Feedstock Conversion Rates'!B$2)+FB105</f>
        <v>18.18406131259362</v>
      </c>
      <c r="EL105" s="112">
        <f>(EB105*'Renewable Diesel'!BF114*'Feedstock Conversion Rates'!B$3)+FC105</f>
        <v>22.531032364716822</v>
      </c>
      <c r="EM105" s="112">
        <f>(EC105*'Renewable Diesel'!BF114*'Feedstock Conversion Rates'!B$4)+FD105</f>
        <v>91.848567522088729</v>
      </c>
      <c r="EN105" s="107"/>
      <c r="EO105" s="112">
        <f>(EE105*'Renewable Diesel'!BF114*'Feedstock Conversion Rates'!B$6)+FF105</f>
        <v>76.374437000957158</v>
      </c>
      <c r="EP105" s="112">
        <f>(EF105*'Renewable Diesel'!BF114*'Feedstock Conversion Rates'!B$7)+FG105</f>
        <v>92.381944548749473</v>
      </c>
      <c r="EQ105" s="112">
        <f>(EG105*'Renewable Diesel'!BF114*'Feedstock Conversion Rates'!B$8)+FH105</f>
        <v>19.932414826842177</v>
      </c>
      <c r="ER105" s="112">
        <f>(EH105*'Renewable Diesel'!BF114*'Feedstock Conversion Rates'!B$9)+FI105</f>
        <v>0</v>
      </c>
      <c r="ES105" s="112">
        <f t="shared" si="42"/>
        <v>321.25245757594803</v>
      </c>
      <c r="EW105" s="73">
        <f t="shared" si="58"/>
        <v>91.848567522088729</v>
      </c>
      <c r="EX105" s="73">
        <f t="shared" si="59"/>
        <v>229.40389005385924</v>
      </c>
      <c r="EY105" s="92">
        <f t="shared" si="38"/>
        <v>0.28590775060568868</v>
      </c>
      <c r="EZ105" s="92">
        <f t="shared" si="38"/>
        <v>0.71409224939431115</v>
      </c>
      <c r="FB105" s="102">
        <f>IF('Renewable Diesel'!$BG114&lt;1,0,(((('Renewable Diesel'!$BG114-1)*'Renewable Diesel'!$BF114)*'RD Feedstock Breakdown'!EA105)*'Feedstock Conversion Rates'!$B$2))</f>
        <v>0</v>
      </c>
      <c r="FC105" s="102">
        <f>IF('Renewable Diesel'!$BG114&lt;1,0,(((('Renewable Diesel'!$BG114-1)*'Renewable Diesel'!$BF114)*'RD Feedstock Breakdown'!EB105)*'Feedstock Conversion Rates'!$B$3))</f>
        <v>0</v>
      </c>
      <c r="FD105" s="102">
        <f>IF('Renewable Diesel'!$BG114&lt;1,0,(((('Renewable Diesel'!$BG114-1)*'Renewable Diesel'!$BF114)*'RD Feedstock Breakdown'!EC105)*'Feedstock Conversion Rates'!$B$4))</f>
        <v>0</v>
      </c>
      <c r="FE105" s="107"/>
      <c r="FF105" s="102">
        <f>IF('Renewable Diesel'!$BG114&lt;1,0,(((('Renewable Diesel'!$BG114-1)*'Renewable Diesel'!$BF114)*'RD Feedstock Breakdown'!EE105)*'Feedstock Conversion Rates'!$B$6))</f>
        <v>0</v>
      </c>
      <c r="FG105" s="102">
        <f>IF('Renewable Diesel'!$BG114&lt;1,0,(((('Renewable Diesel'!$BG114-1)*'Renewable Diesel'!$BF114)*'RD Feedstock Breakdown'!EF105)*'Feedstock Conversion Rates'!$B$7))</f>
        <v>0</v>
      </c>
      <c r="FH105" s="102">
        <f>IF('Renewable Diesel'!$BG114&lt;1,0,(((('Renewable Diesel'!$BG114-1)*'Renewable Diesel'!$BF114)*'RD Feedstock Breakdown'!EG105)*'Feedstock Conversion Rates'!$B$8))</f>
        <v>0</v>
      </c>
      <c r="FI105" s="102">
        <f>IF('Renewable Diesel'!$BG114&lt;1,0,(((('Renewable Diesel'!$BG114-1)*'Renewable Diesel'!$BF114)*'RD Feedstock Breakdown'!EH105)*'Feedstock Conversion Rates'!$B$9))</f>
        <v>0</v>
      </c>
      <c r="FJ105" s="102">
        <f t="shared" si="60"/>
        <v>0</v>
      </c>
      <c r="FR105" s="3">
        <f>('Renewable Diesel'!AX114-'Renewable Diesel'!BI114)/12*$FO$80</f>
        <v>31.818749999999998</v>
      </c>
      <c r="FS105" s="100">
        <f t="shared" si="48"/>
        <v>0.32649829515141487</v>
      </c>
      <c r="FT105" s="3">
        <f t="shared" si="50"/>
        <v>77.915757216368107</v>
      </c>
      <c r="FY105" s="3">
        <f>'Renewable Diesel'!BF114*('Renewable Diesel'!BI114/'Renewable Diesel'!AX114)</f>
        <v>8.990623225806452</v>
      </c>
      <c r="FZ105" s="3">
        <f>('Renewable Diesel'!BJ114*'Renewable Diesel'!BG114)/12</f>
        <v>27.981293232743667</v>
      </c>
      <c r="GA105" s="3">
        <f t="shared" si="51"/>
        <v>68.518834024669715</v>
      </c>
      <c r="GD105" s="91">
        <f>'Renewable Diesel'!BB114*0</f>
        <v>0</v>
      </c>
      <c r="GE105" s="91">
        <f>'Renewable Diesel'!BC114</f>
        <v>0.22327900000000001</v>
      </c>
      <c r="GF105" s="91">
        <f>'Renewable Diesel'!BD114</f>
        <v>0</v>
      </c>
      <c r="GG105" s="91">
        <f t="shared" si="49"/>
        <v>0.22327900000000001</v>
      </c>
      <c r="GH105" s="124">
        <v>1</v>
      </c>
      <c r="GI105" s="102">
        <f>$GG105*EA105*'Feedstock Conversion Rates'!$B$2</f>
        <v>0.10824517810700919</v>
      </c>
      <c r="GJ105" s="102">
        <f>$GG105*EB105*'Feedstock Conversion Rates'!$B$3</f>
        <v>0.13412161174162363</v>
      </c>
      <c r="GK105" s="102">
        <f>$GG105*EC105*'Feedstock Conversion Rates'!$B$4</f>
        <v>0.5467515963233458</v>
      </c>
      <c r="GL105" s="102">
        <f>$GG105*ED105*'Feedstock Conversion Rates'!$B$5</f>
        <v>0</v>
      </c>
      <c r="GM105" s="102">
        <f>$GG105*EE105*'Feedstock Conversion Rates'!$B$6</f>
        <v>0.45463795979755206</v>
      </c>
      <c r="GN105" s="102">
        <f>$GG105*EF105*'Feedstock Conversion Rates'!$B$7</f>
        <v>0.54992665662789342</v>
      </c>
      <c r="GO105" s="102">
        <f>$GG105*EG105*'Feedstock Conversion Rates'!$B$8</f>
        <v>0.11865269017433719</v>
      </c>
      <c r="GP105" s="102">
        <f>$GG105*EH105*'Feedstock Conversion Rates'!B$9</f>
        <v>0</v>
      </c>
      <c r="GQ105" s="102">
        <f t="shared" si="45"/>
        <v>1.9123356927717614</v>
      </c>
      <c r="GR105" s="85">
        <f t="shared" si="53"/>
        <v>8.5647808023672685</v>
      </c>
      <c r="GT105" s="103">
        <f t="shared" si="47"/>
        <v>5.6603648886622705E-2</v>
      </c>
      <c r="GU105" s="103">
        <f t="shared" si="47"/>
        <v>7.0134972771033852E-2</v>
      </c>
      <c r="GV105" s="103">
        <f t="shared" si="47"/>
        <v>0.28590775060568868</v>
      </c>
      <c r="GW105" s="103">
        <f t="shared" si="46"/>
        <v>0</v>
      </c>
      <c r="GX105" s="103">
        <f t="shared" si="46"/>
        <v>0.23773961941723451</v>
      </c>
      <c r="GY105" s="103">
        <f t="shared" si="46"/>
        <v>0.28756805549700498</v>
      </c>
      <c r="GZ105" s="103">
        <f t="shared" si="46"/>
        <v>6.2045952822415089E-2</v>
      </c>
      <c r="HA105" s="103">
        <f t="shared" si="23"/>
        <v>0</v>
      </c>
    </row>
    <row r="106" spans="1:209" x14ac:dyDescent="0.25">
      <c r="A106" s="96">
        <v>43647</v>
      </c>
      <c r="B106" s="104">
        <f t="shared" si="57"/>
        <v>60</v>
      </c>
      <c r="C106" s="105"/>
      <c r="D106" s="104">
        <v>0</v>
      </c>
      <c r="E106" s="104">
        <f>('Renewable Diesel'!B115*E$3*'Feedstock Conversion Rates'!$B$2)/12-15</f>
        <v>22.796666666666667</v>
      </c>
      <c r="F106" s="104">
        <f>('Renewable Diesel'!B115*'RD Feedstock Breakdown'!F$3*'Feedstock Conversion Rates'!B$8)/12</f>
        <v>22.65625</v>
      </c>
      <c r="G106" s="104">
        <f>('Renewable Diesel'!B115*'RD Feedstock Breakdown'!G$3*'Feedstock Conversion Rates'!B$7)/12</f>
        <v>74.036999999999992</v>
      </c>
      <c r="H106" s="104">
        <f>('Renewable Diesel'!B115*'RD Feedstock Breakdown'!H$3*'Feedstock Conversion Rates'!B$3)/12-45</f>
        <v>29.139224999999996</v>
      </c>
      <c r="I106" s="106">
        <f t="shared" si="52"/>
        <v>208.62914166666667</v>
      </c>
      <c r="J106" s="106"/>
      <c r="K106" s="107"/>
      <c r="L106" s="106"/>
      <c r="R106" s="104">
        <f>('Renewable Diesel'!D115*'RD Feedstock Breakdown'!R$3*'Feedstock Conversion Rates'!B$7)/12</f>
        <v>2.2999999999999998</v>
      </c>
      <c r="S106" s="106">
        <f t="shared" si="27"/>
        <v>2.2999999999999998</v>
      </c>
      <c r="T106" s="107"/>
      <c r="U106" s="106"/>
      <c r="Z106" s="104">
        <f>('Renewable Diesel'!F115*'RD Feedstock Breakdown'!Z$3*'Feedstock Conversion Rates'!B$6)/12</f>
        <v>44.555000000000007</v>
      </c>
      <c r="AA106" s="104">
        <f>('Renewable Diesel'!F115*'RD Feedstock Breakdown'!AA$3*'Feedstock Conversion Rates'!B$7)/12</f>
        <v>29.133333333333329</v>
      </c>
      <c r="AB106" s="106">
        <f t="shared" si="25"/>
        <v>73.688333333333333</v>
      </c>
      <c r="AC106" s="108"/>
      <c r="AG106" s="108"/>
      <c r="AI106" s="104">
        <f>('Renewable Diesel'!H115*'RD Feedstock Breakdown'!AI$3*'Feedstock Conversion Rates'!B$6)/12</f>
        <v>39.083333333333336</v>
      </c>
      <c r="AJ106" s="106">
        <f t="shared" si="26"/>
        <v>39.083333333333336</v>
      </c>
      <c r="AK106" s="104">
        <f>('Renewable Diesel'!J115*'RD Feedstock Breakdown'!AK$3*'Feedstock Conversion Rates'!B$4)/12</f>
        <v>62.5</v>
      </c>
      <c r="AL106" s="106">
        <f t="shared" si="28"/>
        <v>62.5</v>
      </c>
      <c r="AT106" s="108"/>
      <c r="BJ106" s="104">
        <f>('Renewable Diesel'!W115*'RD Feedstock Breakdown'!BJ$3*'Feedstock Conversion Rates'!B$4)/12+0.75-0.25</f>
        <v>8</v>
      </c>
      <c r="BK106" s="104">
        <f>('Renewable Diesel'!W115*'RD Feedstock Breakdown'!BK$3*'Feedstock Conversion Rates'!B$3)/12-0.75+0.25</f>
        <v>0.83499999999999996</v>
      </c>
      <c r="BL106" s="104">
        <f>('Renewable Diesel'!W115*'RD Feedstock Breakdown'!BL$3*'Feedstock Conversion Rates'!B$6)/12</f>
        <v>3.1266666666666669</v>
      </c>
      <c r="BM106" s="104">
        <f>('Renewable Diesel'!W115*'RD Feedstock Breakdown'!BM$3*'Feedstock Conversion Rates'!B$7)/12</f>
        <v>1.5333333333333332</v>
      </c>
      <c r="BN106" s="106">
        <f t="shared" si="54"/>
        <v>13.495000000000001</v>
      </c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7"/>
      <c r="BY106" s="106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7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  <c r="CU106" s="106"/>
      <c r="CV106" s="106"/>
      <c r="CW106" s="106"/>
      <c r="CX106" s="106"/>
      <c r="CY106" s="106"/>
      <c r="CZ106" s="106"/>
      <c r="DA106" s="106"/>
      <c r="DB106" s="106"/>
      <c r="DC106" s="106"/>
      <c r="DD106" s="107"/>
      <c r="DE106" s="106"/>
      <c r="DF106" s="106"/>
      <c r="DG106" s="106"/>
      <c r="DH106" s="106"/>
      <c r="DI106" s="106"/>
      <c r="DJ106" s="107"/>
      <c r="DK106" s="106"/>
      <c r="DL106" s="106"/>
      <c r="DM106" s="106"/>
      <c r="DN106" s="106"/>
      <c r="DP106" s="104">
        <f t="shared" si="30"/>
        <v>22.796666666666667</v>
      </c>
      <c r="DQ106" s="104">
        <f t="shared" si="31"/>
        <v>29.974224999999997</v>
      </c>
      <c r="DR106" s="104">
        <f t="shared" si="39"/>
        <v>130.5</v>
      </c>
      <c r="DS106" s="107"/>
      <c r="DT106" s="104">
        <f t="shared" si="32"/>
        <v>86.765000000000015</v>
      </c>
      <c r="DU106" s="104">
        <f t="shared" si="33"/>
        <v>107.00366666666665</v>
      </c>
      <c r="DV106" s="104">
        <f t="shared" si="34"/>
        <v>22.65625</v>
      </c>
      <c r="DW106" s="104">
        <f t="shared" si="35"/>
        <v>0</v>
      </c>
      <c r="DX106" s="106">
        <f t="shared" si="36"/>
        <v>399.69580833333328</v>
      </c>
      <c r="DY106" s="109">
        <f t="shared" si="37"/>
        <v>5.6843418860808015E-14</v>
      </c>
      <c r="EA106" s="110">
        <f t="shared" si="55"/>
        <v>5.7035040626833372E-2</v>
      </c>
      <c r="EB106" s="110">
        <f t="shared" si="55"/>
        <v>7.499259280448213E-2</v>
      </c>
      <c r="EC106" s="110">
        <f t="shared" si="55"/>
        <v>0.32649829515141487</v>
      </c>
      <c r="ED106" s="107"/>
      <c r="EE106" s="110">
        <f t="shared" si="56"/>
        <v>0.21707758297940627</v>
      </c>
      <c r="EF106" s="110">
        <f t="shared" si="56"/>
        <v>0.26771275664074284</v>
      </c>
      <c r="EG106" s="110">
        <f t="shared" si="56"/>
        <v>5.6683731797120641E-2</v>
      </c>
      <c r="EH106" s="111">
        <f t="shared" si="40"/>
        <v>0</v>
      </c>
      <c r="EI106" s="110">
        <f t="shared" si="41"/>
        <v>1.0000000000000002</v>
      </c>
      <c r="EK106" s="112">
        <f>(EA106*'Renewable Diesel'!BF115*'Feedstock Conversion Rates'!B$2)+FB106</f>
        <v>21.004284544581896</v>
      </c>
      <c r="EL106" s="112">
        <f>(EB106*'Renewable Diesel'!BF115*'Feedstock Conversion Rates'!B$3)+FC106</f>
        <v>26.025441002222177</v>
      </c>
      <c r="EM106" s="112">
        <f>(EC106*'Renewable Diesel'!BF115*'Feedstock Conversion Rates'!B$4)+FD106</f>
        <v>106.09365059224102</v>
      </c>
      <c r="EN106" s="107"/>
      <c r="EO106" s="112">
        <f>(EE106*'Renewable Diesel'!BF115*'Feedstock Conversion Rates'!B$6)+FF106</f>
        <v>88.219588524448284</v>
      </c>
      <c r="EP106" s="112">
        <f>(EF106*'Renewable Diesel'!BF115*'Feedstock Conversion Rates'!B$7)+FG106</f>
        <v>106.70975073867895</v>
      </c>
      <c r="EQ106" s="112">
        <f>(EG106*'Renewable Diesel'!BF115*'Feedstock Conversion Rates'!B$8)+FH106</f>
        <v>23.023795701441198</v>
      </c>
      <c r="ER106" s="112">
        <f>(EH106*'Renewable Diesel'!BF115*'Feedstock Conversion Rates'!B$9)+FI106</f>
        <v>0</v>
      </c>
      <c r="ES106" s="112">
        <f t="shared" si="42"/>
        <v>371.07651110361354</v>
      </c>
      <c r="EW106" s="73">
        <f t="shared" si="58"/>
        <v>106.09365059224102</v>
      </c>
      <c r="EX106" s="73">
        <f t="shared" si="59"/>
        <v>264.98286051137251</v>
      </c>
      <c r="EY106" s="92">
        <f t="shared" si="38"/>
        <v>0.28590775060568874</v>
      </c>
      <c r="EZ106" s="92">
        <f t="shared" si="38"/>
        <v>0.71409224939431126</v>
      </c>
      <c r="FB106" s="102">
        <f>IF('Renewable Diesel'!$BG115&lt;1,0,(((('Renewable Diesel'!$BG115-1)*'Renewable Diesel'!$BF115)*'RD Feedstock Breakdown'!EA106)*'Feedstock Conversion Rates'!$B$2))</f>
        <v>0</v>
      </c>
      <c r="FC106" s="102">
        <f>IF('Renewable Diesel'!$BG115&lt;1,0,(((('Renewable Diesel'!$BG115-1)*'Renewable Diesel'!$BF115)*'RD Feedstock Breakdown'!EB106)*'Feedstock Conversion Rates'!$B$3))</f>
        <v>0</v>
      </c>
      <c r="FD106" s="102">
        <f>IF('Renewable Diesel'!$BG115&lt;1,0,(((('Renewable Diesel'!$BG115-1)*'Renewable Diesel'!$BF115)*'RD Feedstock Breakdown'!EC106)*'Feedstock Conversion Rates'!$B$4))</f>
        <v>0</v>
      </c>
      <c r="FE106" s="107"/>
      <c r="FF106" s="102">
        <f>IF('Renewable Diesel'!$BG115&lt;1,0,(((('Renewable Diesel'!$BG115-1)*'Renewable Diesel'!$BF115)*'RD Feedstock Breakdown'!EE106)*'Feedstock Conversion Rates'!$B$6))</f>
        <v>0</v>
      </c>
      <c r="FG106" s="102">
        <f>IF('Renewable Diesel'!$BG115&lt;1,0,(((('Renewable Diesel'!$BG115-1)*'Renewable Diesel'!$BF115)*'RD Feedstock Breakdown'!EF106)*'Feedstock Conversion Rates'!$B$7))</f>
        <v>0</v>
      </c>
      <c r="FH106" s="102">
        <f>IF('Renewable Diesel'!$BG115&lt;1,0,(((('Renewable Diesel'!$BG115-1)*'Renewable Diesel'!$BF115)*'RD Feedstock Breakdown'!EG106)*'Feedstock Conversion Rates'!$B$8))</f>
        <v>0</v>
      </c>
      <c r="FI106" s="102">
        <f>IF('Renewable Diesel'!$BG115&lt;1,0,(((('Renewable Diesel'!$BG115-1)*'Renewable Diesel'!$BF115)*'RD Feedstock Breakdown'!EH106)*'Feedstock Conversion Rates'!$B$9))</f>
        <v>0</v>
      </c>
      <c r="FJ106" s="102">
        <f t="shared" si="60"/>
        <v>0</v>
      </c>
      <c r="FR106" s="3">
        <f>('Renewable Diesel'!AX115-'Renewable Diesel'!BI115)/12*$FO$80</f>
        <v>31.818749999999998</v>
      </c>
      <c r="FS106" s="100">
        <f t="shared" si="48"/>
        <v>0.32649829515141487</v>
      </c>
      <c r="FT106" s="3">
        <f t="shared" si="50"/>
        <v>77.915757216368107</v>
      </c>
      <c r="FY106" s="3">
        <f>'Renewable Diesel'!BF115*('Renewable Diesel'!BI115/'Renewable Diesel'!AX115)</f>
        <v>10.385007244623656</v>
      </c>
      <c r="FZ106" s="3">
        <f>('Renewable Diesel'!BJ115*'Renewable Diesel'!BG115)/12</f>
        <v>33.398366626978799</v>
      </c>
      <c r="GA106" s="3">
        <f t="shared" si="51"/>
        <v>81.783823234128661</v>
      </c>
      <c r="GD106" s="91">
        <f>'Renewable Diesel'!BB115*0</f>
        <v>0</v>
      </c>
      <c r="GE106" s="91">
        <f>'Renewable Diesel'!BC115</f>
        <v>0.14661299999999999</v>
      </c>
      <c r="GF106" s="91">
        <f>'Renewable Diesel'!BD115</f>
        <v>0</v>
      </c>
      <c r="GG106" s="91">
        <f t="shared" si="49"/>
        <v>0.14661299999999999</v>
      </c>
      <c r="GH106" s="124">
        <v>1</v>
      </c>
      <c r="GI106" s="102">
        <f>$GG106*EA106*'Feedstock Conversion Rates'!$B$2</f>
        <v>7.1077666497086328E-2</v>
      </c>
      <c r="GJ106" s="102">
        <f>$GG106*EB106*'Feedstock Conversion Rates'!$B$3</f>
        <v>8.8069060960836734E-2</v>
      </c>
      <c r="GK106" s="102">
        <f>$GG106*EC106*'Feedstock Conversion Rates'!$B$4</f>
        <v>0.3590167091027579</v>
      </c>
      <c r="GL106" s="102">
        <f>$GG106*ED106*'Feedstock Conversion Rates'!$B$5</f>
        <v>0</v>
      </c>
      <c r="GM106" s="102">
        <f>$GG106*EE106*'Feedstock Conversion Rates'!$B$6</f>
        <v>0.29853159141611391</v>
      </c>
      <c r="GN106" s="102">
        <f>$GG106*EF106*'Feedstock Conversion Rates'!$B$7</f>
        <v>0.36110156758219691</v>
      </c>
      <c r="GO106" s="102">
        <f>$GG106*EG106*'Feedstock Conversion Rates'!$B$8</f>
        <v>7.7911612218480447E-2</v>
      </c>
      <c r="GP106" s="102">
        <f>$GG106*EH106*'Feedstock Conversion Rates'!B$9</f>
        <v>0</v>
      </c>
      <c r="GQ106" s="102">
        <f t="shared" si="45"/>
        <v>1.2557082077774722</v>
      </c>
      <c r="GR106" s="85">
        <f t="shared" si="53"/>
        <v>8.5647808023672685</v>
      </c>
      <c r="GT106" s="103">
        <f t="shared" si="47"/>
        <v>5.6603648886622719E-2</v>
      </c>
      <c r="GU106" s="103">
        <f t="shared" si="47"/>
        <v>7.0134972771033866E-2</v>
      </c>
      <c r="GV106" s="103">
        <f t="shared" si="47"/>
        <v>0.28590775060568874</v>
      </c>
      <c r="GW106" s="103">
        <f t="shared" si="46"/>
        <v>0</v>
      </c>
      <c r="GX106" s="103">
        <f t="shared" si="46"/>
        <v>0.23773961941723451</v>
      </c>
      <c r="GY106" s="103">
        <f t="shared" si="46"/>
        <v>0.28756805549700509</v>
      </c>
      <c r="GZ106" s="103">
        <f t="shared" si="46"/>
        <v>6.2045952822415096E-2</v>
      </c>
      <c r="HA106" s="103">
        <f t="shared" si="23"/>
        <v>0</v>
      </c>
    </row>
    <row r="107" spans="1:209" x14ac:dyDescent="0.25">
      <c r="A107" s="96">
        <v>43678</v>
      </c>
      <c r="B107" s="104">
        <f t="shared" si="57"/>
        <v>60</v>
      </c>
      <c r="C107" s="105"/>
      <c r="D107" s="104">
        <v>0</v>
      </c>
      <c r="E107" s="104">
        <f>('Renewable Diesel'!B116*E$3*'Feedstock Conversion Rates'!$B$2)/12-15</f>
        <v>22.796666666666667</v>
      </c>
      <c r="F107" s="104">
        <f>('Renewable Diesel'!B116*'RD Feedstock Breakdown'!F$3*'Feedstock Conversion Rates'!B$8)/12</f>
        <v>22.65625</v>
      </c>
      <c r="G107" s="104">
        <f>('Renewable Diesel'!B116*'RD Feedstock Breakdown'!G$3*'Feedstock Conversion Rates'!B$7)/12</f>
        <v>74.036999999999992</v>
      </c>
      <c r="H107" s="104">
        <f>('Renewable Diesel'!B116*'RD Feedstock Breakdown'!H$3*'Feedstock Conversion Rates'!B$3)/12-45</f>
        <v>29.139224999999996</v>
      </c>
      <c r="I107" s="106">
        <f t="shared" si="52"/>
        <v>208.62914166666667</v>
      </c>
      <c r="J107" s="106"/>
      <c r="K107" s="107"/>
      <c r="L107" s="106"/>
      <c r="R107" s="104">
        <f>('Renewable Diesel'!D116*'RD Feedstock Breakdown'!R$3*'Feedstock Conversion Rates'!B$7)/12</f>
        <v>2.2999999999999998</v>
      </c>
      <c r="S107" s="106">
        <f t="shared" si="27"/>
        <v>2.2999999999999998</v>
      </c>
      <c r="T107" s="107"/>
      <c r="U107" s="106"/>
      <c r="Z107" s="104">
        <f>('Renewable Diesel'!F116*'RD Feedstock Breakdown'!Z$3*'Feedstock Conversion Rates'!B$6)/12</f>
        <v>44.555000000000007</v>
      </c>
      <c r="AA107" s="104">
        <f>('Renewable Diesel'!F116*'RD Feedstock Breakdown'!AA$3*'Feedstock Conversion Rates'!B$7)/12</f>
        <v>29.133333333333329</v>
      </c>
      <c r="AB107" s="106">
        <f t="shared" si="25"/>
        <v>73.688333333333333</v>
      </c>
      <c r="AC107" s="108"/>
      <c r="AG107" s="108"/>
      <c r="AI107" s="104">
        <f>('Renewable Diesel'!H116*'RD Feedstock Breakdown'!AI$3*'Feedstock Conversion Rates'!B$6)/12</f>
        <v>39.083333333333336</v>
      </c>
      <c r="AJ107" s="106">
        <f t="shared" si="26"/>
        <v>39.083333333333336</v>
      </c>
      <c r="AK107" s="104">
        <f>('Renewable Diesel'!J116*'RD Feedstock Breakdown'!AK$3*'Feedstock Conversion Rates'!B$4)/12</f>
        <v>62.5</v>
      </c>
      <c r="AL107" s="106">
        <f t="shared" si="28"/>
        <v>62.5</v>
      </c>
      <c r="AT107" s="108"/>
      <c r="BJ107" s="104">
        <f>('Renewable Diesel'!W116*'RD Feedstock Breakdown'!BJ$3*'Feedstock Conversion Rates'!B$4)/12+0.75-0.25</f>
        <v>8</v>
      </c>
      <c r="BK107" s="104">
        <f>('Renewable Diesel'!W116*'RD Feedstock Breakdown'!BK$3*'Feedstock Conversion Rates'!B$3)/12-0.75+0.25</f>
        <v>0.83499999999999996</v>
      </c>
      <c r="BL107" s="104">
        <f>('Renewable Diesel'!W116*'RD Feedstock Breakdown'!BL$3*'Feedstock Conversion Rates'!B$6)/12</f>
        <v>3.1266666666666669</v>
      </c>
      <c r="BM107" s="104">
        <f>('Renewable Diesel'!W116*'RD Feedstock Breakdown'!BM$3*'Feedstock Conversion Rates'!B$7)/12</f>
        <v>1.5333333333333332</v>
      </c>
      <c r="BN107" s="106">
        <f t="shared" si="54"/>
        <v>13.495000000000001</v>
      </c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7"/>
      <c r="BY107" s="106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7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06"/>
      <c r="DC107" s="106"/>
      <c r="DD107" s="107"/>
      <c r="DE107" s="106"/>
      <c r="DF107" s="106"/>
      <c r="DG107" s="106"/>
      <c r="DH107" s="106"/>
      <c r="DI107" s="106"/>
      <c r="DJ107" s="107"/>
      <c r="DK107" s="106"/>
      <c r="DL107" s="106"/>
      <c r="DM107" s="106"/>
      <c r="DN107" s="106"/>
      <c r="DP107" s="104">
        <f t="shared" si="30"/>
        <v>22.796666666666667</v>
      </c>
      <c r="DQ107" s="104">
        <f t="shared" si="31"/>
        <v>29.974224999999997</v>
      </c>
      <c r="DR107" s="104">
        <f t="shared" si="39"/>
        <v>130.5</v>
      </c>
      <c r="DS107" s="107"/>
      <c r="DT107" s="104">
        <f t="shared" si="32"/>
        <v>86.765000000000015</v>
      </c>
      <c r="DU107" s="104">
        <f t="shared" si="33"/>
        <v>107.00366666666665</v>
      </c>
      <c r="DV107" s="104">
        <f t="shared" si="34"/>
        <v>22.65625</v>
      </c>
      <c r="DW107" s="104">
        <f t="shared" si="35"/>
        <v>0</v>
      </c>
      <c r="DX107" s="106">
        <f t="shared" si="36"/>
        <v>399.69580833333328</v>
      </c>
      <c r="DY107" s="109">
        <f t="shared" si="37"/>
        <v>5.6843418860808015E-14</v>
      </c>
      <c r="EA107" s="110">
        <f t="shared" si="55"/>
        <v>5.7035040626833372E-2</v>
      </c>
      <c r="EB107" s="110">
        <f t="shared" si="55"/>
        <v>7.499259280448213E-2</v>
      </c>
      <c r="EC107" s="110">
        <f t="shared" si="55"/>
        <v>0.32649829515141487</v>
      </c>
      <c r="ED107" s="107"/>
      <c r="EE107" s="110">
        <f t="shared" si="56"/>
        <v>0.21707758297940627</v>
      </c>
      <c r="EF107" s="110">
        <f t="shared" si="56"/>
        <v>0.26771275664074284</v>
      </c>
      <c r="EG107" s="110">
        <f t="shared" si="56"/>
        <v>5.6683731797120641E-2</v>
      </c>
      <c r="EH107" s="111">
        <f t="shared" si="40"/>
        <v>0</v>
      </c>
      <c r="EI107" s="110">
        <f t="shared" si="41"/>
        <v>1.0000000000000002</v>
      </c>
      <c r="EK107" s="112">
        <f>(EA107*'Renewable Diesel'!BF116*'Feedstock Conversion Rates'!B$2)+FB107</f>
        <v>13.011531063375138</v>
      </c>
      <c r="EL107" s="112">
        <f>(EB107*'Renewable Diesel'!BF116*'Feedstock Conversion Rates'!B$3)+FC107</f>
        <v>16.121988507616241</v>
      </c>
      <c r="EM107" s="112">
        <f>(EC107*'Renewable Diesel'!BF116*'Feedstock Conversion Rates'!B$4)+FD107</f>
        <v>65.721868668166564</v>
      </c>
      <c r="EN107" s="107"/>
      <c r="EO107" s="112">
        <f>(EE107*'Renewable Diesel'!BF116*'Feedstock Conversion Rates'!B$6)+FF107</f>
        <v>54.649417553245236</v>
      </c>
      <c r="EP107" s="112">
        <f>(EF107*'Renewable Diesel'!BF116*'Feedstock Conversion Rates'!B$7)+FG107</f>
        <v>66.103524428757311</v>
      </c>
      <c r="EQ107" s="112">
        <f>(EG107*'Renewable Diesel'!BF116*'Feedstock Conversion Rates'!B$8)+FH107</f>
        <v>14.262558304723646</v>
      </c>
      <c r="ER107" s="112">
        <f>(EH107*'Renewable Diesel'!BF116*'Feedstock Conversion Rates'!B$9)+FI107</f>
        <v>0</v>
      </c>
      <c r="ES107" s="112">
        <f t="shared" si="42"/>
        <v>229.87088852588414</v>
      </c>
      <c r="EW107" s="73">
        <f t="shared" si="58"/>
        <v>65.721868668166564</v>
      </c>
      <c r="EX107" s="73">
        <f t="shared" si="59"/>
        <v>164.14901985771758</v>
      </c>
      <c r="EY107" s="92">
        <f t="shared" si="38"/>
        <v>0.28590775060568874</v>
      </c>
      <c r="EZ107" s="92">
        <f t="shared" si="38"/>
        <v>0.71409224939431126</v>
      </c>
      <c r="FB107" s="102">
        <f>IF('Renewable Diesel'!$BG116&lt;1,0,(((('Renewable Diesel'!$BG116-1)*'Renewable Diesel'!$BF116)*'RD Feedstock Breakdown'!EA107)*'Feedstock Conversion Rates'!$B$2))</f>
        <v>0</v>
      </c>
      <c r="FC107" s="102">
        <f>IF('Renewable Diesel'!$BG116&lt;1,0,(((('Renewable Diesel'!$BG116-1)*'Renewable Diesel'!$BF116)*'RD Feedstock Breakdown'!EB107)*'Feedstock Conversion Rates'!$B$3))</f>
        <v>0</v>
      </c>
      <c r="FD107" s="102">
        <f>IF('Renewable Diesel'!$BG116&lt;1,0,(((('Renewable Diesel'!$BG116-1)*'Renewable Diesel'!$BF116)*'RD Feedstock Breakdown'!EC107)*'Feedstock Conversion Rates'!$B$4))</f>
        <v>0</v>
      </c>
      <c r="FE107" s="107"/>
      <c r="FF107" s="102">
        <f>IF('Renewable Diesel'!$BG116&lt;1,0,(((('Renewable Diesel'!$BG116-1)*'Renewable Diesel'!$BF116)*'RD Feedstock Breakdown'!EE107)*'Feedstock Conversion Rates'!$B$6))</f>
        <v>0</v>
      </c>
      <c r="FG107" s="102">
        <f>IF('Renewable Diesel'!$BG116&lt;1,0,(((('Renewable Diesel'!$BG116-1)*'Renewable Diesel'!$BF116)*'RD Feedstock Breakdown'!EF107)*'Feedstock Conversion Rates'!$B$7))</f>
        <v>0</v>
      </c>
      <c r="FH107" s="102">
        <f>IF('Renewable Diesel'!$BG116&lt;1,0,(((('Renewable Diesel'!$BG116-1)*'Renewable Diesel'!$BF116)*'RD Feedstock Breakdown'!EG107)*'Feedstock Conversion Rates'!$B$8))</f>
        <v>0</v>
      </c>
      <c r="FI107" s="102">
        <f>IF('Renewable Diesel'!$BG116&lt;1,0,(((('Renewable Diesel'!$BG116-1)*'Renewable Diesel'!$BF116)*'RD Feedstock Breakdown'!EH107)*'Feedstock Conversion Rates'!$B$9))</f>
        <v>0</v>
      </c>
      <c r="FJ107" s="102">
        <f t="shared" si="60"/>
        <v>0</v>
      </c>
      <c r="FR107" s="3">
        <f>('Renewable Diesel'!AX116-'Renewable Diesel'!BI116)/12*$FO$80</f>
        <v>31.818749999999998</v>
      </c>
      <c r="FS107" s="100">
        <f t="shared" si="48"/>
        <v>0.32649829515141487</v>
      </c>
      <c r="FT107" s="3">
        <f t="shared" si="50"/>
        <v>77.915757216368107</v>
      </c>
      <c r="FY107" s="3">
        <f>'Renewable Diesel'!BF116*('Renewable Diesel'!BI116/'Renewable Diesel'!AX116)</f>
        <v>6.4332038575268822</v>
      </c>
      <c r="FZ107" s="3">
        <f>('Renewable Diesel'!BJ116*'Renewable Diesel'!BG116)/12</f>
        <v>20.021900489254538</v>
      </c>
      <c r="GA107" s="3">
        <f t="shared" si="51"/>
        <v>49.028372815746643</v>
      </c>
      <c r="GD107" s="91">
        <f>'Renewable Diesel'!BB116*0</f>
        <v>0</v>
      </c>
      <c r="GE107" s="91">
        <f>'Renewable Diesel'!BC116</f>
        <v>0.27175700000000003</v>
      </c>
      <c r="GF107" s="91">
        <f>'Renewable Diesel'!BD116</f>
        <v>0</v>
      </c>
      <c r="GG107" s="91">
        <f t="shared" si="49"/>
        <v>0.27175700000000003</v>
      </c>
      <c r="GH107" s="124">
        <v>1</v>
      </c>
      <c r="GI107" s="102">
        <f>$GG107*EA107*'Feedstock Conversion Rates'!$B$2</f>
        <v>0.13174720805282406</v>
      </c>
      <c r="GJ107" s="102">
        <f>$GG107*EB107*'Feedstock Conversion Rates'!$B$3</f>
        <v>0.16324189396256888</v>
      </c>
      <c r="GK107" s="102">
        <f>$GG107*EC107*'Feedstock Conversion Rates'!$B$4</f>
        <v>0.66546147896597296</v>
      </c>
      <c r="GL107" s="102">
        <f>$GG107*ED107*'Feedstock Conversion Rates'!$B$5</f>
        <v>0</v>
      </c>
      <c r="GM107" s="102">
        <f>$GG107*EE107*'Feedstock Conversion Rates'!$B$6</f>
        <v>0.55334826849234975</v>
      </c>
      <c r="GN107" s="102">
        <f>$GG107*EF107*'Feedstock Conversion Rates'!$B$7</f>
        <v>0.66932590357904886</v>
      </c>
      <c r="GO107" s="102">
        <f>$GG107*EG107*'Feedstock Conversion Rates'!$B$8</f>
        <v>0.14441438345615734</v>
      </c>
      <c r="GP107" s="102">
        <f>$GG107*EH107*'Feedstock Conversion Rates'!B$9</f>
        <v>0</v>
      </c>
      <c r="GQ107" s="102">
        <f t="shared" si="45"/>
        <v>2.3275391365089217</v>
      </c>
      <c r="GR107" s="85">
        <f t="shared" si="53"/>
        <v>8.5647808023672667</v>
      </c>
      <c r="GT107" s="103">
        <f t="shared" si="47"/>
        <v>5.6603648886622719E-2</v>
      </c>
      <c r="GU107" s="103">
        <f t="shared" si="47"/>
        <v>7.0134972771033838E-2</v>
      </c>
      <c r="GV107" s="103">
        <f t="shared" si="47"/>
        <v>0.28590775060568874</v>
      </c>
      <c r="GW107" s="103">
        <f t="shared" si="46"/>
        <v>0</v>
      </c>
      <c r="GX107" s="103">
        <f t="shared" si="46"/>
        <v>0.23773961941723451</v>
      </c>
      <c r="GY107" s="103">
        <f t="shared" si="46"/>
        <v>0.28756805549700504</v>
      </c>
      <c r="GZ107" s="103">
        <f t="shared" si="46"/>
        <v>6.2045952822415089E-2</v>
      </c>
      <c r="HA107" s="103">
        <f t="shared" si="46"/>
        <v>0</v>
      </c>
    </row>
    <row r="108" spans="1:209" x14ac:dyDescent="0.25">
      <c r="A108" s="96">
        <v>43709</v>
      </c>
      <c r="B108" s="104">
        <f t="shared" si="57"/>
        <v>60</v>
      </c>
      <c r="C108" s="105"/>
      <c r="D108" s="104">
        <v>0</v>
      </c>
      <c r="E108" s="104">
        <f>('Renewable Diesel'!B117*E$3*'Feedstock Conversion Rates'!$B$2)/12-15</f>
        <v>22.796666666666667</v>
      </c>
      <c r="F108" s="104">
        <f>('Renewable Diesel'!B117*'RD Feedstock Breakdown'!F$3*'Feedstock Conversion Rates'!B$8)/12</f>
        <v>22.65625</v>
      </c>
      <c r="G108" s="104">
        <f>('Renewable Diesel'!B117*'RD Feedstock Breakdown'!G$3*'Feedstock Conversion Rates'!B$7)/12</f>
        <v>74.036999999999992</v>
      </c>
      <c r="H108" s="104">
        <f>('Renewable Diesel'!B117*'RD Feedstock Breakdown'!H$3*'Feedstock Conversion Rates'!B$3)/12-45</f>
        <v>29.139224999999996</v>
      </c>
      <c r="I108" s="106">
        <f t="shared" si="52"/>
        <v>208.62914166666667</v>
      </c>
      <c r="J108" s="106"/>
      <c r="K108" s="107"/>
      <c r="L108" s="106"/>
      <c r="R108" s="104">
        <f>('Renewable Diesel'!D117*'RD Feedstock Breakdown'!R$3*'Feedstock Conversion Rates'!B$7)/12</f>
        <v>2.2999999999999998</v>
      </c>
      <c r="S108" s="106">
        <f t="shared" si="27"/>
        <v>2.2999999999999998</v>
      </c>
      <c r="T108" s="107"/>
      <c r="U108" s="106"/>
      <c r="Z108" s="104">
        <f>('Renewable Diesel'!F117*'RD Feedstock Breakdown'!Z$3*'Feedstock Conversion Rates'!B$6)/12</f>
        <v>44.555000000000007</v>
      </c>
      <c r="AA108" s="104">
        <f>('Renewable Diesel'!F117*'RD Feedstock Breakdown'!AA$3*'Feedstock Conversion Rates'!B$7)/12</f>
        <v>29.133333333333329</v>
      </c>
      <c r="AB108" s="106">
        <f t="shared" si="25"/>
        <v>73.688333333333333</v>
      </c>
      <c r="AC108" s="108"/>
      <c r="AG108" s="108"/>
      <c r="AI108" s="104">
        <f>('Renewable Diesel'!H117*'RD Feedstock Breakdown'!AI$3*'Feedstock Conversion Rates'!B$6)/12</f>
        <v>39.083333333333336</v>
      </c>
      <c r="AJ108" s="106">
        <f t="shared" si="26"/>
        <v>39.083333333333336</v>
      </c>
      <c r="AK108" s="104">
        <f>('Renewable Diesel'!J117*'RD Feedstock Breakdown'!AK$3*'Feedstock Conversion Rates'!B$4)/12</f>
        <v>62.5</v>
      </c>
      <c r="AL108" s="106">
        <f t="shared" si="28"/>
        <v>62.5</v>
      </c>
      <c r="AT108" s="108"/>
      <c r="BJ108" s="104">
        <f>('Renewable Diesel'!W117*'RD Feedstock Breakdown'!BJ$3*'Feedstock Conversion Rates'!B$4)/12+0.75-0.25</f>
        <v>8</v>
      </c>
      <c r="BK108" s="104">
        <f>('Renewable Diesel'!W117*'RD Feedstock Breakdown'!BK$3*'Feedstock Conversion Rates'!B$3)/12-0.75+0.25</f>
        <v>0.83499999999999996</v>
      </c>
      <c r="BL108" s="104">
        <f>('Renewable Diesel'!W117*'RD Feedstock Breakdown'!BL$3*'Feedstock Conversion Rates'!B$6)/12</f>
        <v>3.1266666666666669</v>
      </c>
      <c r="BM108" s="104">
        <f>('Renewable Diesel'!W117*'RD Feedstock Breakdown'!BM$3*'Feedstock Conversion Rates'!B$7)/12</f>
        <v>1.5333333333333332</v>
      </c>
      <c r="BN108" s="106">
        <f t="shared" si="54"/>
        <v>13.495000000000001</v>
      </c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7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7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  <c r="CU108" s="106"/>
      <c r="CV108" s="106"/>
      <c r="CW108" s="106"/>
      <c r="CX108" s="106"/>
      <c r="CY108" s="106"/>
      <c r="CZ108" s="106"/>
      <c r="DA108" s="106"/>
      <c r="DB108" s="106"/>
      <c r="DC108" s="106"/>
      <c r="DD108" s="107"/>
      <c r="DE108" s="106"/>
      <c r="DF108" s="106"/>
      <c r="DG108" s="106"/>
      <c r="DH108" s="106"/>
      <c r="DI108" s="106"/>
      <c r="DJ108" s="107"/>
      <c r="DK108" s="106"/>
      <c r="DL108" s="106"/>
      <c r="DM108" s="106"/>
      <c r="DN108" s="106"/>
      <c r="DP108" s="104">
        <f t="shared" si="30"/>
        <v>22.796666666666667</v>
      </c>
      <c r="DQ108" s="104">
        <f t="shared" si="31"/>
        <v>29.974224999999997</v>
      </c>
      <c r="DR108" s="104">
        <f t="shared" si="39"/>
        <v>130.5</v>
      </c>
      <c r="DS108" s="107"/>
      <c r="DT108" s="104">
        <f t="shared" si="32"/>
        <v>86.765000000000015</v>
      </c>
      <c r="DU108" s="104">
        <f t="shared" si="33"/>
        <v>107.00366666666665</v>
      </c>
      <c r="DV108" s="104">
        <f t="shared" si="34"/>
        <v>22.65625</v>
      </c>
      <c r="DW108" s="104">
        <f t="shared" si="35"/>
        <v>0</v>
      </c>
      <c r="DX108" s="106">
        <f t="shared" si="36"/>
        <v>399.69580833333328</v>
      </c>
      <c r="DY108" s="109">
        <f t="shared" si="37"/>
        <v>5.6843418860808015E-14</v>
      </c>
      <c r="EA108" s="110">
        <f t="shared" si="55"/>
        <v>5.7035040626833372E-2</v>
      </c>
      <c r="EB108" s="110">
        <f t="shared" si="55"/>
        <v>7.499259280448213E-2</v>
      </c>
      <c r="EC108" s="110">
        <f t="shared" si="55"/>
        <v>0.32649829515141487</v>
      </c>
      <c r="ED108" s="107"/>
      <c r="EE108" s="110">
        <f t="shared" si="56"/>
        <v>0.21707758297940627</v>
      </c>
      <c r="EF108" s="110">
        <f t="shared" si="56"/>
        <v>0.26771275664074284</v>
      </c>
      <c r="EG108" s="110">
        <f t="shared" si="56"/>
        <v>5.6683731797120641E-2</v>
      </c>
      <c r="EH108" s="111">
        <f t="shared" si="40"/>
        <v>0</v>
      </c>
      <c r="EI108" s="110">
        <f t="shared" si="41"/>
        <v>1.0000000000000002</v>
      </c>
      <c r="EK108" s="112">
        <f>(EA108*'Renewable Diesel'!BF117*'Feedstock Conversion Rates'!B$2)+FB108</f>
        <v>18.387751066499593</v>
      </c>
      <c r="EL108" s="112">
        <f>(EB108*'Renewable Diesel'!BF117*'Feedstock Conversion Rates'!B$3)+FC108</f>
        <v>22.783414951792587</v>
      </c>
      <c r="EM108" s="112">
        <f>(EC108*'Renewable Diesel'!BF117*'Feedstock Conversion Rates'!B$4)+FD108</f>
        <v>92.877414257346587</v>
      </c>
      <c r="EN108" s="107"/>
      <c r="EO108" s="112">
        <f>(EE108*'Renewable Diesel'!BF117*'Feedstock Conversion Rates'!B$6)+FF108</f>
        <v>77.229949419772993</v>
      </c>
      <c r="EP108" s="112">
        <f>(EF108*'Renewable Diesel'!BF117*'Feedstock Conversion Rates'!B$7)+FG108</f>
        <v>93.416765935842903</v>
      </c>
      <c r="EQ108" s="112">
        <f>(EG108*'Renewable Diesel'!BF117*'Feedstock Conversion Rates'!B$8)+FH108</f>
        <v>20.155688857931118</v>
      </c>
      <c r="ER108" s="112">
        <f>(EH108*'Renewable Diesel'!BF117*'Feedstock Conversion Rates'!B$9)+FI108</f>
        <v>0</v>
      </c>
      <c r="ES108" s="112">
        <f t="shared" si="42"/>
        <v>324.85098448918581</v>
      </c>
      <c r="EW108" s="73">
        <f t="shared" si="58"/>
        <v>92.877414257346587</v>
      </c>
      <c r="EX108" s="73">
        <f t="shared" si="59"/>
        <v>231.9735702318392</v>
      </c>
      <c r="EY108" s="92">
        <f t="shared" si="38"/>
        <v>0.28590775060568874</v>
      </c>
      <c r="EZ108" s="92">
        <f t="shared" si="38"/>
        <v>0.71409224939431126</v>
      </c>
      <c r="FB108" s="102">
        <f>IF('Renewable Diesel'!$BG117&lt;1,0,(((('Renewable Diesel'!$BG117-1)*'Renewable Diesel'!$BF117)*'RD Feedstock Breakdown'!EA108)*'Feedstock Conversion Rates'!$B$2))</f>
        <v>0</v>
      </c>
      <c r="FC108" s="102">
        <f>IF('Renewable Diesel'!$BG117&lt;1,0,(((('Renewable Diesel'!$BG117-1)*'Renewable Diesel'!$BF117)*'RD Feedstock Breakdown'!EB108)*'Feedstock Conversion Rates'!$B$3))</f>
        <v>0</v>
      </c>
      <c r="FD108" s="102">
        <f>IF('Renewable Diesel'!$BG117&lt;1,0,(((('Renewable Diesel'!$BG117-1)*'Renewable Diesel'!$BF117)*'RD Feedstock Breakdown'!EC108)*'Feedstock Conversion Rates'!$B$4))</f>
        <v>0</v>
      </c>
      <c r="FE108" s="107"/>
      <c r="FF108" s="102">
        <f>IF('Renewable Diesel'!$BG117&lt;1,0,(((('Renewable Diesel'!$BG117-1)*'Renewable Diesel'!$BF117)*'RD Feedstock Breakdown'!EE108)*'Feedstock Conversion Rates'!$B$6))</f>
        <v>0</v>
      </c>
      <c r="FG108" s="102">
        <f>IF('Renewable Diesel'!$BG117&lt;1,0,(((('Renewable Diesel'!$BG117-1)*'Renewable Diesel'!$BF117)*'RD Feedstock Breakdown'!EF108)*'Feedstock Conversion Rates'!$B$7))</f>
        <v>0</v>
      </c>
      <c r="FH108" s="102">
        <f>IF('Renewable Diesel'!$BG117&lt;1,0,(((('Renewable Diesel'!$BG117-1)*'Renewable Diesel'!$BF117)*'RD Feedstock Breakdown'!EG108)*'Feedstock Conversion Rates'!$B$8))</f>
        <v>0</v>
      </c>
      <c r="FI108" s="102">
        <f>IF('Renewable Diesel'!$BG117&lt;1,0,(((('Renewable Diesel'!$BG117-1)*'Renewable Diesel'!$BF117)*'RD Feedstock Breakdown'!EH108)*'Feedstock Conversion Rates'!$B$9))</f>
        <v>0</v>
      </c>
      <c r="FJ108" s="102">
        <f t="shared" si="60"/>
        <v>0</v>
      </c>
      <c r="FR108" s="3">
        <f>('Renewable Diesel'!AX117-'Renewable Diesel'!BI117)/12*$FO$80</f>
        <v>31.818749999999998</v>
      </c>
      <c r="FS108" s="100">
        <f t="shared" si="48"/>
        <v>0.32649829515141487</v>
      </c>
      <c r="FT108" s="3">
        <f t="shared" si="50"/>
        <v>77.915757216368107</v>
      </c>
      <c r="FY108" s="3">
        <f>'Renewable Diesel'!BF117*('Renewable Diesel'!BI117/'Renewable Diesel'!AX117)</f>
        <v>9.0913321818996415</v>
      </c>
      <c r="FZ108" s="3">
        <f>('Renewable Diesel'!BJ117*'Renewable Diesel'!BG117)/12</f>
        <v>28.294727213996321</v>
      </c>
      <c r="GA108" s="3">
        <f t="shared" si="51"/>
        <v>69.286351478581054</v>
      </c>
      <c r="GD108" s="91">
        <f>'Renewable Diesel'!BB117*0</f>
        <v>0</v>
      </c>
      <c r="GE108" s="91">
        <f>'Renewable Diesel'!BC117</f>
        <v>0.27552900000000002</v>
      </c>
      <c r="GF108" s="91">
        <f>'Renewable Diesel'!BD117</f>
        <v>0</v>
      </c>
      <c r="GG108" s="91">
        <f t="shared" si="49"/>
        <v>0.27552900000000002</v>
      </c>
      <c r="GH108" s="124">
        <v>1</v>
      </c>
      <c r="GI108" s="102">
        <f>$GG108*EA108*'Feedstock Conversion Rates'!$B$2</f>
        <v>0.13357586552540157</v>
      </c>
      <c r="GJ108" s="102">
        <f>$GG108*EB108*'Feedstock Conversion Rates'!$B$3</f>
        <v>0.16550769916363753</v>
      </c>
      <c r="GK108" s="102">
        <f>$GG108*EC108*'Feedstock Conversion Rates'!$B$4</f>
        <v>0.67469811573580651</v>
      </c>
      <c r="GL108" s="102">
        <f>$GG108*ED108*'Feedstock Conversion Rates'!$B$5</f>
        <v>0</v>
      </c>
      <c r="GM108" s="102">
        <f>$GG108*EE108*'Feedstock Conversion Rates'!$B$6</f>
        <v>0.56102876860367401</v>
      </c>
      <c r="GN108" s="102">
        <f>$GG108*EF108*'Feedstock Conversion Rates'!$B$7</f>
        <v>0.6786161787450985</v>
      </c>
      <c r="GO108" s="102">
        <f>$GG108*EG108*'Feedstock Conversion Rates'!$B$8</f>
        <v>0.14641886192183301</v>
      </c>
      <c r="GP108" s="102">
        <f>$GG108*EH108*'Feedstock Conversion Rates'!B$9</f>
        <v>0</v>
      </c>
      <c r="GQ108" s="102">
        <f t="shared" si="45"/>
        <v>2.3598454896954513</v>
      </c>
      <c r="GR108" s="85">
        <f t="shared" si="53"/>
        <v>8.5647808023672685</v>
      </c>
      <c r="GT108" s="103">
        <f t="shared" si="47"/>
        <v>5.6603648886622712E-2</v>
      </c>
      <c r="GU108" s="103">
        <f t="shared" si="47"/>
        <v>7.0134972771033852E-2</v>
      </c>
      <c r="GV108" s="103">
        <f t="shared" si="47"/>
        <v>0.28590775060568874</v>
      </c>
      <c r="GW108" s="103">
        <f t="shared" si="46"/>
        <v>0</v>
      </c>
      <c r="GX108" s="103">
        <f t="shared" si="46"/>
        <v>0.23773961941723457</v>
      </c>
      <c r="GY108" s="103">
        <f t="shared" si="46"/>
        <v>0.28756805549700504</v>
      </c>
      <c r="GZ108" s="103">
        <f t="shared" si="46"/>
        <v>6.2045952822415096E-2</v>
      </c>
      <c r="HA108" s="103">
        <f t="shared" si="46"/>
        <v>0</v>
      </c>
    </row>
    <row r="109" spans="1:209" x14ac:dyDescent="0.25">
      <c r="A109" s="96">
        <v>43739</v>
      </c>
      <c r="B109" s="104">
        <f>45+15+20</f>
        <v>80</v>
      </c>
      <c r="C109" s="105"/>
      <c r="D109" s="104">
        <v>0</v>
      </c>
      <c r="E109" s="104">
        <f>('Renewable Diesel'!B118*E$3*'Feedstock Conversion Rates'!$B$2)/12-15</f>
        <v>22.796666666666667</v>
      </c>
      <c r="F109" s="104">
        <f>('Renewable Diesel'!B118*'RD Feedstock Breakdown'!F$3*'Feedstock Conversion Rates'!B$8)/12</f>
        <v>22.65625</v>
      </c>
      <c r="G109" s="104">
        <f>('Renewable Diesel'!B118*'RD Feedstock Breakdown'!G$3*'Feedstock Conversion Rates'!B$7)/12</f>
        <v>74.036999999999992</v>
      </c>
      <c r="H109" s="104">
        <f>('Renewable Diesel'!B118*'RD Feedstock Breakdown'!H$3*'Feedstock Conversion Rates'!B$3)/12-45-20</f>
        <v>9.1392249999999962</v>
      </c>
      <c r="I109" s="106">
        <f t="shared" si="52"/>
        <v>208.62914166666667</v>
      </c>
      <c r="J109" s="106"/>
      <c r="K109" s="107"/>
      <c r="L109" s="106"/>
      <c r="R109" s="104">
        <f>('Renewable Diesel'!D118*'RD Feedstock Breakdown'!R$3*'Feedstock Conversion Rates'!B$7)/12</f>
        <v>2.2999999999999998</v>
      </c>
      <c r="S109" s="106">
        <f t="shared" si="27"/>
        <v>2.2999999999999998</v>
      </c>
      <c r="T109" s="107"/>
      <c r="U109" s="106"/>
      <c r="Z109" s="104">
        <f>('Renewable Diesel'!F118*'RD Feedstock Breakdown'!Z$3*'Feedstock Conversion Rates'!B$6)/12</f>
        <v>44.555000000000007</v>
      </c>
      <c r="AA109" s="104">
        <f>('Renewable Diesel'!F118*'RD Feedstock Breakdown'!AA$3*'Feedstock Conversion Rates'!B$7)/12</f>
        <v>29.133333333333329</v>
      </c>
      <c r="AB109" s="106">
        <f t="shared" si="25"/>
        <v>73.688333333333333</v>
      </c>
      <c r="AC109" s="108"/>
      <c r="AG109" s="108"/>
      <c r="AI109" s="104">
        <f>('Renewable Diesel'!H118*'RD Feedstock Breakdown'!AI$3*'Feedstock Conversion Rates'!B$6)/12</f>
        <v>39.083333333333336</v>
      </c>
      <c r="AJ109" s="106">
        <f t="shared" si="26"/>
        <v>39.083333333333336</v>
      </c>
      <c r="AK109" s="104">
        <f>('Renewable Diesel'!J118*'RD Feedstock Breakdown'!AK$3*'Feedstock Conversion Rates'!B$4)/12</f>
        <v>62.5</v>
      </c>
      <c r="AL109" s="106">
        <f t="shared" si="28"/>
        <v>62.5</v>
      </c>
      <c r="AT109" s="108"/>
      <c r="BJ109" s="104">
        <f>('Renewable Diesel'!W118*'RD Feedstock Breakdown'!BJ$3*'Feedstock Conversion Rates'!B$4)/12+0.75-0.25</f>
        <v>8</v>
      </c>
      <c r="BK109" s="104">
        <f>('Renewable Diesel'!W118*'RD Feedstock Breakdown'!BK$3*'Feedstock Conversion Rates'!B$3)/12-0.75+0.25</f>
        <v>0.83499999999999996</v>
      </c>
      <c r="BL109" s="104">
        <f>('Renewable Diesel'!W118*'RD Feedstock Breakdown'!BL$3*'Feedstock Conversion Rates'!B$6)/12</f>
        <v>3.1266666666666669</v>
      </c>
      <c r="BM109" s="104">
        <f>('Renewable Diesel'!W118*'RD Feedstock Breakdown'!BM$3*'Feedstock Conversion Rates'!B$7)/12</f>
        <v>1.5333333333333332</v>
      </c>
      <c r="BN109" s="106">
        <f t="shared" si="54"/>
        <v>13.495000000000001</v>
      </c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7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7"/>
      <c r="CJ109" s="106"/>
      <c r="CK109" s="106"/>
      <c r="CL109" s="106"/>
      <c r="CM109" s="106"/>
      <c r="CN109" s="106"/>
      <c r="CO109" s="106"/>
      <c r="CP109" s="106"/>
      <c r="CQ109" s="106"/>
      <c r="CR109" s="106"/>
      <c r="CS109" s="106"/>
      <c r="CT109" s="106"/>
      <c r="CU109" s="106"/>
      <c r="CV109" s="106"/>
      <c r="CW109" s="106"/>
      <c r="CX109" s="106"/>
      <c r="CY109" s="106"/>
      <c r="CZ109" s="106"/>
      <c r="DA109" s="106"/>
      <c r="DB109" s="106"/>
      <c r="DC109" s="106"/>
      <c r="DD109" s="107"/>
      <c r="DE109" s="106"/>
      <c r="DF109" s="106"/>
      <c r="DG109" s="106"/>
      <c r="DH109" s="106"/>
      <c r="DI109" s="106"/>
      <c r="DJ109" s="107"/>
      <c r="DK109" s="106"/>
      <c r="DL109" s="106"/>
      <c r="DM109" s="106"/>
      <c r="DN109" s="106"/>
      <c r="DP109" s="104">
        <f t="shared" si="30"/>
        <v>22.796666666666667</v>
      </c>
      <c r="DQ109" s="104">
        <f t="shared" si="31"/>
        <v>9.974224999999997</v>
      </c>
      <c r="DR109" s="104">
        <f t="shared" si="39"/>
        <v>150.5</v>
      </c>
      <c r="DS109" s="107"/>
      <c r="DT109" s="104">
        <f t="shared" si="32"/>
        <v>86.765000000000015</v>
      </c>
      <c r="DU109" s="104">
        <f t="shared" si="33"/>
        <v>107.00366666666665</v>
      </c>
      <c r="DV109" s="104">
        <f t="shared" si="34"/>
        <v>22.65625</v>
      </c>
      <c r="DW109" s="104">
        <f t="shared" si="35"/>
        <v>0</v>
      </c>
      <c r="DX109" s="106">
        <f t="shared" si="36"/>
        <v>399.69580833333328</v>
      </c>
      <c r="DY109" s="109">
        <f t="shared" si="37"/>
        <v>5.6843418860808015E-14</v>
      </c>
      <c r="EA109" s="110">
        <f t="shared" si="55"/>
        <v>5.7035040626833372E-2</v>
      </c>
      <c r="EB109" s="110">
        <f t="shared" si="55"/>
        <v>2.4954539907713565E-2</v>
      </c>
      <c r="EC109" s="110">
        <f t="shared" si="55"/>
        <v>0.37653634804818342</v>
      </c>
      <c r="ED109" s="107"/>
      <c r="EE109" s="110">
        <f t="shared" si="56"/>
        <v>0.21707758297940627</v>
      </c>
      <c r="EF109" s="110">
        <f t="shared" si="56"/>
        <v>0.26771275664074284</v>
      </c>
      <c r="EG109" s="110">
        <f t="shared" si="56"/>
        <v>5.6683731797120641E-2</v>
      </c>
      <c r="EH109" s="111">
        <f t="shared" si="40"/>
        <v>0</v>
      </c>
      <c r="EI109" s="110">
        <f t="shared" si="41"/>
        <v>1.0000000000000002</v>
      </c>
      <c r="EK109" s="112">
        <f>(EA109*'Renewable Diesel'!BF118*'Feedstock Conversion Rates'!B$2)+FB109</f>
        <v>23.160976922762881</v>
      </c>
      <c r="EL109" s="112">
        <f>(EB109*'Renewable Diesel'!BF118*'Feedstock Conversion Rates'!B$3)+FC109</f>
        <v>9.5494481735205383</v>
      </c>
      <c r="EM109" s="112">
        <f>(EC109*'Renewable Diesel'!BF118*'Feedstock Conversion Rates'!B$4)+FD109</f>
        <v>134.91628137017932</v>
      </c>
      <c r="EN109" s="107"/>
      <c r="EO109" s="112">
        <f>(EE109*'Renewable Diesel'!BF118*'Feedstock Conversion Rates'!B$6)+FF109</f>
        <v>97.277860124849866</v>
      </c>
      <c r="EP109" s="112">
        <f>(EF109*'Renewable Diesel'!BF118*'Feedstock Conversion Rates'!B$7)+FG109</f>
        <v>117.66656793505742</v>
      </c>
      <c r="EQ109" s="112">
        <f>(EG109*'Renewable Diesel'!BF118*'Feedstock Conversion Rates'!B$8)+FH109</f>
        <v>25.387848835491077</v>
      </c>
      <c r="ER109" s="112">
        <f>(EH109*'Renewable Diesel'!BF118*'Feedstock Conversion Rates'!B$9)+FI109</f>
        <v>0</v>
      </c>
      <c r="ES109" s="112">
        <f t="shared" si="42"/>
        <v>407.95898336186104</v>
      </c>
      <c r="EW109" s="73">
        <f t="shared" si="58"/>
        <v>137.64287989988517</v>
      </c>
      <c r="EX109" s="73">
        <f t="shared" si="59"/>
        <v>278.56077454924628</v>
      </c>
      <c r="EY109" s="92">
        <f t="shared" si="38"/>
        <v>0.33739391829446602</v>
      </c>
      <c r="EZ109" s="92">
        <f t="shared" si="38"/>
        <v>0.68281564056688981</v>
      </c>
      <c r="FB109" s="102">
        <f>IF('Renewable Diesel'!$BG118&lt;1,0,(((('Renewable Diesel'!$BG118-1)*'Renewable Diesel'!$BF118)*'RD Feedstock Breakdown'!EA109)*'Feedstock Conversion Rates'!$B$2))</f>
        <v>0.46807312640707471</v>
      </c>
      <c r="FC109" s="102">
        <f>IF('Renewable Diesel'!$BG118&lt;1,0,(((('Renewable Diesel'!$BG118-1)*'Renewable Diesel'!$BF118)*'RD Feedstock Breakdown'!EB109)*'Feedstock Conversion Rates'!$B$3))</f>
        <v>0.19299013495622788</v>
      </c>
      <c r="FD109" s="102">
        <f>IF('Renewable Diesel'!$BG118&lt;1,0,(((('Renewable Diesel'!$BG118-1)*'Renewable Diesel'!$BF118)*'RD Feedstock Breakdown'!EC109)*'Feedstock Conversion Rates'!$B$4))</f>
        <v>2.7265985297058508</v>
      </c>
      <c r="FE109" s="107"/>
      <c r="FF109" s="102">
        <f>IF('Renewable Diesel'!$BG118&lt;1,0,(((('Renewable Diesel'!$BG118-1)*'Renewable Diesel'!$BF118)*'RD Feedstock Breakdown'!EE109)*'Feedstock Conversion Rates'!$B$6))</f>
        <v>1.9659426400998687</v>
      </c>
      <c r="FG109" s="102">
        <f>IF('Renewable Diesel'!$BG118&lt;1,0,(((('Renewable Diesel'!$BG118-1)*'Renewable Diesel'!$BF118)*'RD Feedstock Breakdown'!EF109)*'Feedstock Conversion Rates'!$B$7))</f>
        <v>2.3779894306972378</v>
      </c>
      <c r="FH109" s="102">
        <f>IF('Renewable Diesel'!$BG118&lt;1,0,(((('Renewable Diesel'!$BG118-1)*'Renewable Diesel'!$BF118)*'RD Feedstock Breakdown'!EG109)*'Feedstock Conversion Rates'!$B$8))</f>
        <v>0.51307722540405476</v>
      </c>
      <c r="FI109" s="102">
        <f>IF('Renewable Diesel'!$BG118&lt;1,0,(((('Renewable Diesel'!$BG118-1)*'Renewable Diesel'!$BF118)*'RD Feedstock Breakdown'!EH109)*'Feedstock Conversion Rates'!$B$9))</f>
        <v>0</v>
      </c>
      <c r="FJ109" s="102">
        <f t="shared" si="60"/>
        <v>8.2446710872703157</v>
      </c>
      <c r="FR109" s="3">
        <f>('Renewable Diesel'!AX118-'Renewable Diesel'!BI118)/12*$FO$80</f>
        <v>31.818749999999998</v>
      </c>
      <c r="FS109" s="100">
        <f t="shared" si="48"/>
        <v>0.37653634804818342</v>
      </c>
      <c r="FT109" s="3">
        <f t="shared" si="50"/>
        <v>89.856869433436017</v>
      </c>
      <c r="FY109" s="3">
        <f>'Renewable Diesel'!BF118*('Renewable Diesel'!BI118/'Renewable Diesel'!AX118)</f>
        <v>11.219899912634409</v>
      </c>
      <c r="FZ109" s="3">
        <f>('Renewable Diesel'!BJ118*'Renewable Diesel'!BG118)/12</f>
        <v>36.083396185801227</v>
      </c>
      <c r="GA109" s="3">
        <f t="shared" si="51"/>
        <v>101.90032668733009</v>
      </c>
      <c r="GD109" s="91">
        <f>'Renewable Diesel'!BB118*0</f>
        <v>0</v>
      </c>
      <c r="GE109" s="91">
        <f>'Renewable Diesel'!BC118</f>
        <v>0.21657399999999999</v>
      </c>
      <c r="GF109" s="91">
        <f>'Renewable Diesel'!BD118</f>
        <v>0</v>
      </c>
      <c r="GG109" s="91">
        <f t="shared" si="49"/>
        <v>0.21657399999999999</v>
      </c>
      <c r="GH109" s="124">
        <v>1</v>
      </c>
      <c r="GI109" s="102">
        <f>$GG109*EA109*'Feedstock Conversion Rates'!$B$2</f>
        <v>0.10499460855408438</v>
      </c>
      <c r="GJ109" s="102">
        <f>$GG109*EB109*'Feedstock Conversion Rates'!$B$3</f>
        <v>4.3290081253044989E-2</v>
      </c>
      <c r="GK109" s="102">
        <f>$GG109*EC109*'Feedstock Conversion Rates'!$B$4</f>
        <v>0.61160987281640455</v>
      </c>
      <c r="GL109" s="102">
        <f>$GG109*ED109*'Feedstock Conversion Rates'!$B$5</f>
        <v>0</v>
      </c>
      <c r="GM109" s="102">
        <f>$GG109*EE109*'Feedstock Conversion Rates'!$B$6</f>
        <v>0.44098532107898653</v>
      </c>
      <c r="GN109" s="102">
        <f>$GG109*EF109*'Feedstock Conversion Rates'!$B$7</f>
        <v>0.53341252752175261</v>
      </c>
      <c r="GO109" s="102">
        <f>$GG109*EG109*'Feedstock Conversion Rates'!$B$8</f>
        <v>0.11508958622090254</v>
      </c>
      <c r="GP109" s="102">
        <f>$GG109*EH109*'Feedstock Conversion Rates'!B$9</f>
        <v>0</v>
      </c>
      <c r="GQ109" s="102">
        <f t="shared" si="45"/>
        <v>1.8493819974451757</v>
      </c>
      <c r="GR109" s="85">
        <f t="shared" si="53"/>
        <v>8.5392613953899161</v>
      </c>
      <c r="GT109" s="103">
        <f t="shared" si="47"/>
        <v>5.6772807726650831E-2</v>
      </c>
      <c r="GU109" s="103">
        <f t="shared" si="47"/>
        <v>2.3407863444571204E-2</v>
      </c>
      <c r="GV109" s="103">
        <f t="shared" si="47"/>
        <v>0.33071040686094683</v>
      </c>
      <c r="GW109" s="103">
        <f t="shared" si="46"/>
        <v>0</v>
      </c>
      <c r="GX109" s="103">
        <f t="shared" si="46"/>
        <v>0.23845009937816239</v>
      </c>
      <c r="GY109" s="103">
        <f t="shared" si="46"/>
        <v>0.2884274467138937</v>
      </c>
      <c r="GZ109" s="103">
        <f t="shared" si="46"/>
        <v>6.2231375875775159E-2</v>
      </c>
      <c r="HA109" s="103">
        <f t="shared" si="46"/>
        <v>0</v>
      </c>
    </row>
    <row r="110" spans="1:209" x14ac:dyDescent="0.25">
      <c r="A110" s="96">
        <v>43770</v>
      </c>
      <c r="B110" s="104">
        <f>45+15+20</f>
        <v>80</v>
      </c>
      <c r="C110" s="105"/>
      <c r="D110" s="104">
        <v>0</v>
      </c>
      <c r="E110" s="104">
        <f>('Renewable Diesel'!B119*E$3*'Feedstock Conversion Rates'!$B$2)/12-15</f>
        <v>22.796666666666667</v>
      </c>
      <c r="F110" s="104">
        <f>('Renewable Diesel'!B119*'RD Feedstock Breakdown'!F$3*'Feedstock Conversion Rates'!B$8)/12</f>
        <v>22.65625</v>
      </c>
      <c r="G110" s="104">
        <f>('Renewable Diesel'!B119*'RD Feedstock Breakdown'!G$3*'Feedstock Conversion Rates'!B$7)/12</f>
        <v>74.036999999999992</v>
      </c>
      <c r="H110" s="104">
        <f>('Renewable Diesel'!B119*'RD Feedstock Breakdown'!H$3*'Feedstock Conversion Rates'!B$3)/12-45-20</f>
        <v>9.1392249999999962</v>
      </c>
      <c r="I110" s="106">
        <f t="shared" si="52"/>
        <v>208.62914166666667</v>
      </c>
      <c r="J110" s="106"/>
      <c r="K110" s="107"/>
      <c r="L110" s="106"/>
      <c r="R110" s="104">
        <f>('Renewable Diesel'!D119*'RD Feedstock Breakdown'!R$3*'Feedstock Conversion Rates'!B$7)/12</f>
        <v>2.2999999999999998</v>
      </c>
      <c r="S110" s="106">
        <f t="shared" si="27"/>
        <v>2.2999999999999998</v>
      </c>
      <c r="T110" s="107"/>
      <c r="U110" s="106"/>
      <c r="Z110" s="104">
        <f>('Renewable Diesel'!F119*'RD Feedstock Breakdown'!Z$3*'Feedstock Conversion Rates'!B$6)/12</f>
        <v>44.555000000000007</v>
      </c>
      <c r="AA110" s="104">
        <f>('Renewable Diesel'!F119*'RD Feedstock Breakdown'!AA$3*'Feedstock Conversion Rates'!B$7)/12</f>
        <v>29.133333333333329</v>
      </c>
      <c r="AB110" s="106">
        <f t="shared" si="25"/>
        <v>73.688333333333333</v>
      </c>
      <c r="AC110" s="108"/>
      <c r="AG110" s="108"/>
      <c r="AI110" s="104">
        <f>('Renewable Diesel'!H119*'RD Feedstock Breakdown'!AI$3*'Feedstock Conversion Rates'!B$6)/12</f>
        <v>39.083333333333336</v>
      </c>
      <c r="AJ110" s="106">
        <f t="shared" si="26"/>
        <v>39.083333333333336</v>
      </c>
      <c r="AK110" s="104">
        <f>('Renewable Diesel'!J119*'RD Feedstock Breakdown'!AK$3*'Feedstock Conversion Rates'!B$4)/12</f>
        <v>62.5</v>
      </c>
      <c r="AL110" s="106">
        <f t="shared" si="28"/>
        <v>62.5</v>
      </c>
      <c r="AT110" s="108"/>
      <c r="BJ110" s="104">
        <f>('Renewable Diesel'!W119*'RD Feedstock Breakdown'!BJ$3*'Feedstock Conversion Rates'!B$4)/12+0.75-0.25</f>
        <v>8</v>
      </c>
      <c r="BK110" s="104">
        <f>('Renewable Diesel'!W119*'RD Feedstock Breakdown'!BK$3*'Feedstock Conversion Rates'!B$3)/12-0.75+0.25</f>
        <v>0.83499999999999996</v>
      </c>
      <c r="BL110" s="104">
        <f>('Renewable Diesel'!W119*'RD Feedstock Breakdown'!BL$3*'Feedstock Conversion Rates'!B$6)/12</f>
        <v>3.1266666666666669</v>
      </c>
      <c r="BM110" s="104">
        <f>('Renewable Diesel'!W119*'RD Feedstock Breakdown'!BM$3*'Feedstock Conversion Rates'!B$7)/12</f>
        <v>1.5333333333333332</v>
      </c>
      <c r="BN110" s="106">
        <f t="shared" si="54"/>
        <v>13.495000000000001</v>
      </c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7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7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  <c r="CU110" s="106"/>
      <c r="CV110" s="106"/>
      <c r="CW110" s="106"/>
      <c r="CX110" s="106"/>
      <c r="CY110" s="106"/>
      <c r="CZ110" s="106"/>
      <c r="DA110" s="106"/>
      <c r="DB110" s="106"/>
      <c r="DC110" s="106"/>
      <c r="DD110" s="107"/>
      <c r="DE110" s="106"/>
      <c r="DF110" s="106"/>
      <c r="DG110" s="106"/>
      <c r="DH110" s="106"/>
      <c r="DI110" s="106"/>
      <c r="DJ110" s="107"/>
      <c r="DK110" s="106"/>
      <c r="DL110" s="106"/>
      <c r="DM110" s="106"/>
      <c r="DN110" s="106"/>
      <c r="DP110" s="104">
        <f t="shared" si="30"/>
        <v>22.796666666666667</v>
      </c>
      <c r="DQ110" s="104">
        <f t="shared" si="31"/>
        <v>9.974224999999997</v>
      </c>
      <c r="DR110" s="104">
        <f t="shared" si="39"/>
        <v>150.5</v>
      </c>
      <c r="DS110" s="107"/>
      <c r="DT110" s="104">
        <f t="shared" si="32"/>
        <v>86.765000000000015</v>
      </c>
      <c r="DU110" s="104">
        <f t="shared" si="33"/>
        <v>107.00366666666665</v>
      </c>
      <c r="DV110" s="104">
        <f t="shared" si="34"/>
        <v>22.65625</v>
      </c>
      <c r="DW110" s="104">
        <f t="shared" si="35"/>
        <v>0</v>
      </c>
      <c r="DX110" s="106">
        <f t="shared" si="36"/>
        <v>399.69580833333328</v>
      </c>
      <c r="DY110" s="109">
        <f t="shared" si="37"/>
        <v>5.6843418860808015E-14</v>
      </c>
      <c r="EA110" s="110">
        <f t="shared" si="55"/>
        <v>5.7035040626833372E-2</v>
      </c>
      <c r="EB110" s="110">
        <f t="shared" si="55"/>
        <v>2.4954539907713565E-2</v>
      </c>
      <c r="EC110" s="110">
        <f t="shared" si="55"/>
        <v>0.37653634804818342</v>
      </c>
      <c r="ED110" s="107"/>
      <c r="EE110" s="110">
        <f t="shared" si="56"/>
        <v>0.21707758297940627</v>
      </c>
      <c r="EF110" s="110">
        <f t="shared" si="56"/>
        <v>0.26771275664074284</v>
      </c>
      <c r="EG110" s="110">
        <f t="shared" si="56"/>
        <v>5.6683731797120641E-2</v>
      </c>
      <c r="EH110" s="111">
        <f t="shared" si="40"/>
        <v>0</v>
      </c>
      <c r="EI110" s="110">
        <f t="shared" si="41"/>
        <v>1.0000000000000002</v>
      </c>
      <c r="EK110" s="112">
        <f>(EA110*'Renewable Diesel'!BF119*'Feedstock Conversion Rates'!B$2)+FB110</f>
        <v>19.494239609538901</v>
      </c>
      <c r="EL110" s="112">
        <f>(EB110*'Renewable Diesel'!BF119*'Feedstock Conversion Rates'!B$3)+FC110</f>
        <v>8.0376242959995139</v>
      </c>
      <c r="EM110" s="112">
        <f>(EC110*'Renewable Diesel'!BF119*'Feedstock Conversion Rates'!B$4)+FD110</f>
        <v>113.5569680428014</v>
      </c>
      <c r="EN110" s="107"/>
      <c r="EO110" s="112">
        <f>(EE110*'Renewable Diesel'!BF119*'Feedstock Conversion Rates'!B$6)+FF110</f>
        <v>81.877285241507678</v>
      </c>
      <c r="EP110" s="112">
        <f>(EF110*'Renewable Diesel'!BF119*'Feedstock Conversion Rates'!B$7)+FG110</f>
        <v>99.038148391042284</v>
      </c>
      <c r="EQ110" s="112">
        <f>(EG110*'Renewable Diesel'!BF119*'Feedstock Conversion Rates'!B$8)+FH110</f>
        <v>21.368563598170429</v>
      </c>
      <c r="ER110" s="112">
        <f>(EH110*'Renewable Diesel'!BF119*'Feedstock Conversion Rates'!B$9)+FI110</f>
        <v>0</v>
      </c>
      <c r="ES110" s="112">
        <f t="shared" si="42"/>
        <v>343.3728291790602</v>
      </c>
      <c r="EW110" s="73">
        <f t="shared" si="58"/>
        <v>113.5569680428014</v>
      </c>
      <c r="EX110" s="73">
        <f t="shared" si="59"/>
        <v>229.8158611362588</v>
      </c>
      <c r="EY110" s="92">
        <f t="shared" si="38"/>
        <v>0.33071040686094683</v>
      </c>
      <c r="EZ110" s="92">
        <f t="shared" si="38"/>
        <v>0.66928959313905312</v>
      </c>
      <c r="FB110" s="102">
        <f>IF('Renewable Diesel'!$BG119&lt;1,0,(((('Renewable Diesel'!$BG119-1)*'Renewable Diesel'!$BF119)*'RD Feedstock Breakdown'!EA110)*'Feedstock Conversion Rates'!$B$2))</f>
        <v>0</v>
      </c>
      <c r="FC110" s="102">
        <f>IF('Renewable Diesel'!$BG119&lt;1,0,(((('Renewable Diesel'!$BG119-1)*'Renewable Diesel'!$BF119)*'RD Feedstock Breakdown'!EB110)*'Feedstock Conversion Rates'!$B$3))</f>
        <v>0</v>
      </c>
      <c r="FD110" s="102">
        <f>IF('Renewable Diesel'!$BG119&lt;1,0,(((('Renewable Diesel'!$BG119-1)*'Renewable Diesel'!$BF119)*'RD Feedstock Breakdown'!EC110)*'Feedstock Conversion Rates'!$B$4))</f>
        <v>0</v>
      </c>
      <c r="FE110" s="107"/>
      <c r="FF110" s="102">
        <f>IF('Renewable Diesel'!$BG119&lt;1,0,(((('Renewable Diesel'!$BG119-1)*'Renewable Diesel'!$BF119)*'RD Feedstock Breakdown'!EE110)*'Feedstock Conversion Rates'!$B$6))</f>
        <v>0</v>
      </c>
      <c r="FG110" s="102">
        <f>IF('Renewable Diesel'!$BG119&lt;1,0,(((('Renewable Diesel'!$BG119-1)*'Renewable Diesel'!$BF119)*'RD Feedstock Breakdown'!EF110)*'Feedstock Conversion Rates'!$B$7))</f>
        <v>0</v>
      </c>
      <c r="FH110" s="102">
        <f>IF('Renewable Diesel'!$BG119&lt;1,0,(((('Renewable Diesel'!$BG119-1)*'Renewable Diesel'!$BF119)*'RD Feedstock Breakdown'!EG110)*'Feedstock Conversion Rates'!$B$8))</f>
        <v>0</v>
      </c>
      <c r="FI110" s="102">
        <f>IF('Renewable Diesel'!$BG119&lt;1,0,(((('Renewable Diesel'!$BG119-1)*'Renewable Diesel'!$BF119)*'RD Feedstock Breakdown'!EH110)*'Feedstock Conversion Rates'!$B$9))</f>
        <v>0</v>
      </c>
      <c r="FJ110" s="102">
        <f t="shared" si="60"/>
        <v>0</v>
      </c>
      <c r="FR110" s="3">
        <f>('Renewable Diesel'!AX119-'Renewable Diesel'!BI119)/12*$FO$80</f>
        <v>31.818749999999998</v>
      </c>
      <c r="FS110" s="100">
        <f t="shared" si="48"/>
        <v>0.37653634804818342</v>
      </c>
      <c r="FT110" s="3">
        <f t="shared" si="50"/>
        <v>89.856869433436017</v>
      </c>
      <c r="FY110" s="3">
        <f>'Renewable Diesel'!BF119*('Renewable Diesel'!BI119/'Renewable Diesel'!AX119)</f>
        <v>9.6384058758960585</v>
      </c>
      <c r="FZ110" s="3">
        <f>('Renewable Diesel'!BJ119*'Renewable Diesel'!BG119)/12</f>
        <v>29.997371076069729</v>
      </c>
      <c r="GA110" s="3">
        <f t="shared" si="51"/>
        <v>84.713254170221262</v>
      </c>
      <c r="GD110" s="91">
        <f>'Renewable Diesel'!BB119*0</f>
        <v>0</v>
      </c>
      <c r="GE110" s="91">
        <f>'Renewable Diesel'!BC119</f>
        <v>9.1175000000000006E-2</v>
      </c>
      <c r="GF110" s="91">
        <f>'Renewable Diesel'!BD119</f>
        <v>0</v>
      </c>
      <c r="GG110" s="91">
        <f t="shared" si="49"/>
        <v>9.1175000000000006E-2</v>
      </c>
      <c r="GH110" s="124">
        <v>1</v>
      </c>
      <c r="GI110" s="102">
        <f>$GG110*EA110*'Feedstock Conversion Rates'!$B$2</f>
        <v>4.420144354778803E-2</v>
      </c>
      <c r="GJ110" s="102">
        <f>$GG110*EB110*'Feedstock Conversion Rates'!$B$3</f>
        <v>1.8224593710447132E-2</v>
      </c>
      <c r="GK110" s="102">
        <f>$GG110*EC110*'Feedstock Conversion Rates'!$B$4</f>
        <v>0.25748026149969844</v>
      </c>
      <c r="GL110" s="102">
        <f>$GG110*ED110*'Feedstock Conversion Rates'!$B$5</f>
        <v>0</v>
      </c>
      <c r="GM110" s="102">
        <f>$GG110*EE110*'Feedstock Conversion Rates'!$B$6</f>
        <v>0.18564941613202232</v>
      </c>
      <c r="GN110" s="102">
        <f>$GG110*EF110*'Feedstock Conversion Rates'!$B$7</f>
        <v>0.22456013739782152</v>
      </c>
      <c r="GO110" s="102">
        <f>$GG110*EG110*'Feedstock Conversion Rates'!$B$8</f>
        <v>4.8451305436898205E-2</v>
      </c>
      <c r="GP110" s="102">
        <f>$GG110*EH110*'Feedstock Conversion Rates'!B$9</f>
        <v>0</v>
      </c>
      <c r="GQ110" s="102">
        <f t="shared" si="45"/>
        <v>0.77856715772467566</v>
      </c>
      <c r="GR110" s="85">
        <f t="shared" si="53"/>
        <v>8.5392613953899161</v>
      </c>
      <c r="GT110" s="103">
        <f t="shared" si="47"/>
        <v>5.6772807726650817E-2</v>
      </c>
      <c r="GU110" s="103">
        <f t="shared" si="47"/>
        <v>2.34078634445712E-2</v>
      </c>
      <c r="GV110" s="103">
        <f t="shared" si="47"/>
        <v>0.33071040686094683</v>
      </c>
      <c r="GW110" s="103">
        <f t="shared" si="46"/>
        <v>0</v>
      </c>
      <c r="GX110" s="103">
        <f t="shared" si="46"/>
        <v>0.23845009937816236</v>
      </c>
      <c r="GY110" s="103">
        <f t="shared" si="46"/>
        <v>0.28842744671389359</v>
      </c>
      <c r="GZ110" s="103">
        <f t="shared" si="46"/>
        <v>6.2231375875775145E-2</v>
      </c>
      <c r="HA110" s="103">
        <f t="shared" si="46"/>
        <v>0</v>
      </c>
    </row>
    <row r="111" spans="1:209" x14ac:dyDescent="0.25">
      <c r="A111" s="96">
        <v>43800</v>
      </c>
      <c r="B111" s="104">
        <f>45+15+20</f>
        <v>80</v>
      </c>
      <c r="C111" s="105"/>
      <c r="D111" s="104">
        <v>0</v>
      </c>
      <c r="E111" s="104">
        <f>('Renewable Diesel'!B120*E$3*'Feedstock Conversion Rates'!$B$2)/12-15</f>
        <v>22.796666666666667</v>
      </c>
      <c r="F111" s="104">
        <f>('Renewable Diesel'!B120*'RD Feedstock Breakdown'!F$3*'Feedstock Conversion Rates'!B$8)/12</f>
        <v>22.65625</v>
      </c>
      <c r="G111" s="104">
        <f>('Renewable Diesel'!B120*'RD Feedstock Breakdown'!G$3*'Feedstock Conversion Rates'!B$7)/12</f>
        <v>74.036999999999992</v>
      </c>
      <c r="H111" s="104">
        <f>('Renewable Diesel'!B120*'RD Feedstock Breakdown'!H$3*'Feedstock Conversion Rates'!B$3)/12-45-20</f>
        <v>9.1392249999999962</v>
      </c>
      <c r="I111" s="106">
        <f t="shared" si="52"/>
        <v>208.62914166666667</v>
      </c>
      <c r="J111" s="106"/>
      <c r="K111" s="107"/>
      <c r="L111" s="106"/>
      <c r="R111" s="104">
        <f>('Renewable Diesel'!D120*'RD Feedstock Breakdown'!R$3*'Feedstock Conversion Rates'!B$7)/12</f>
        <v>2.2999999999999998</v>
      </c>
      <c r="S111" s="106">
        <f t="shared" si="27"/>
        <v>2.2999999999999998</v>
      </c>
      <c r="T111" s="107"/>
      <c r="U111" s="106"/>
      <c r="Z111" s="104">
        <f>('Renewable Diesel'!F120*'RD Feedstock Breakdown'!Z$3*'Feedstock Conversion Rates'!B$6)/12</f>
        <v>44.555000000000007</v>
      </c>
      <c r="AA111" s="104">
        <f>('Renewable Diesel'!F120*'RD Feedstock Breakdown'!AA$3*'Feedstock Conversion Rates'!B$7)/12</f>
        <v>29.133333333333329</v>
      </c>
      <c r="AB111" s="106">
        <f t="shared" si="25"/>
        <v>73.688333333333333</v>
      </c>
      <c r="AC111" s="108"/>
      <c r="AG111" s="108"/>
      <c r="AI111" s="104">
        <f>('Renewable Diesel'!H120*'RD Feedstock Breakdown'!AI$3*'Feedstock Conversion Rates'!B$6)/12</f>
        <v>39.083333333333336</v>
      </c>
      <c r="AJ111" s="106">
        <f t="shared" si="26"/>
        <v>39.083333333333336</v>
      </c>
      <c r="AK111" s="104">
        <f>('Renewable Diesel'!J120*'RD Feedstock Breakdown'!AK$3*'Feedstock Conversion Rates'!B$4)/12</f>
        <v>62.5</v>
      </c>
      <c r="AL111" s="106">
        <f t="shared" si="28"/>
        <v>62.5</v>
      </c>
      <c r="AT111" s="108"/>
      <c r="BJ111" s="104">
        <f>('Renewable Diesel'!W120*'RD Feedstock Breakdown'!BJ$3*'Feedstock Conversion Rates'!B$4)/12+0.75-0.25</f>
        <v>8</v>
      </c>
      <c r="BK111" s="104">
        <f>('Renewable Diesel'!W120*'RD Feedstock Breakdown'!BK$3*'Feedstock Conversion Rates'!B$3)/12-0.75+0.25</f>
        <v>0.83499999999999996</v>
      </c>
      <c r="BL111" s="104">
        <f>('Renewable Diesel'!W120*'RD Feedstock Breakdown'!BL$3*'Feedstock Conversion Rates'!B$6)/12</f>
        <v>3.1266666666666669</v>
      </c>
      <c r="BM111" s="104">
        <f>('Renewable Diesel'!W120*'RD Feedstock Breakdown'!BM$3*'Feedstock Conversion Rates'!B$7)/12</f>
        <v>1.5333333333333332</v>
      </c>
      <c r="BN111" s="106">
        <f t="shared" si="54"/>
        <v>13.495000000000001</v>
      </c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7"/>
      <c r="BY111" s="106"/>
      <c r="BZ111" s="106"/>
      <c r="CA111" s="106"/>
      <c r="CB111" s="106"/>
      <c r="CC111" s="106"/>
      <c r="CD111" s="106"/>
      <c r="CE111" s="106"/>
      <c r="CF111" s="106"/>
      <c r="CG111" s="106"/>
      <c r="CH111" s="106"/>
      <c r="CI111" s="107"/>
      <c r="CJ111" s="106"/>
      <c r="CK111" s="106"/>
      <c r="CL111" s="106"/>
      <c r="CM111" s="106"/>
      <c r="CN111" s="106"/>
      <c r="CO111" s="106"/>
      <c r="CP111" s="106"/>
      <c r="CQ111" s="106"/>
      <c r="CR111" s="106"/>
      <c r="CS111" s="106"/>
      <c r="CT111" s="106"/>
      <c r="CU111" s="106"/>
      <c r="CV111" s="106"/>
      <c r="CW111" s="106"/>
      <c r="CX111" s="106"/>
      <c r="CY111" s="106"/>
      <c r="CZ111" s="106"/>
      <c r="DA111" s="106"/>
      <c r="DB111" s="106"/>
      <c r="DC111" s="106"/>
      <c r="DD111" s="107"/>
      <c r="DE111" s="106"/>
      <c r="DF111" s="106"/>
      <c r="DG111" s="106"/>
      <c r="DH111" s="106"/>
      <c r="DI111" s="106"/>
      <c r="DJ111" s="107"/>
      <c r="DK111" s="106"/>
      <c r="DL111" s="106"/>
      <c r="DM111" s="106"/>
      <c r="DN111" s="106"/>
      <c r="DP111" s="104">
        <f t="shared" si="30"/>
        <v>22.796666666666667</v>
      </c>
      <c r="DQ111" s="104">
        <f t="shared" si="31"/>
        <v>9.974224999999997</v>
      </c>
      <c r="DR111" s="104">
        <f t="shared" si="39"/>
        <v>150.5</v>
      </c>
      <c r="DS111" s="107"/>
      <c r="DT111" s="104">
        <f t="shared" si="32"/>
        <v>86.765000000000015</v>
      </c>
      <c r="DU111" s="104">
        <f t="shared" si="33"/>
        <v>107.00366666666665</v>
      </c>
      <c r="DV111" s="104">
        <f t="shared" si="34"/>
        <v>22.65625</v>
      </c>
      <c r="DW111" s="104">
        <f t="shared" si="35"/>
        <v>0</v>
      </c>
      <c r="DX111" s="106">
        <f t="shared" si="36"/>
        <v>399.69580833333328</v>
      </c>
      <c r="DY111" s="109">
        <f t="shared" si="37"/>
        <v>5.6843418860808015E-14</v>
      </c>
      <c r="EA111" s="110">
        <f t="shared" si="55"/>
        <v>5.7035040626833372E-2</v>
      </c>
      <c r="EB111" s="110">
        <f t="shared" si="55"/>
        <v>2.4954539907713565E-2</v>
      </c>
      <c r="EC111" s="110">
        <f t="shared" si="55"/>
        <v>0.37653634804818342</v>
      </c>
      <c r="ED111" s="107"/>
      <c r="EE111" s="110">
        <f t="shared" si="56"/>
        <v>0.21707758297940627</v>
      </c>
      <c r="EF111" s="110">
        <f t="shared" si="56"/>
        <v>0.26771275664074284</v>
      </c>
      <c r="EG111" s="110">
        <f t="shared" si="56"/>
        <v>5.6683731797120641E-2</v>
      </c>
      <c r="EH111" s="111">
        <f t="shared" si="40"/>
        <v>0</v>
      </c>
      <c r="EI111" s="110">
        <f t="shared" si="41"/>
        <v>1.0000000000000002</v>
      </c>
      <c r="EK111" s="112">
        <f>(EA111*'Renewable Diesel'!BF120*'Feedstock Conversion Rates'!B$2)+FB111</f>
        <v>26.33229339117192</v>
      </c>
      <c r="EL111" s="112">
        <f>(EB111*'Renewable Diesel'!BF120*'Feedstock Conversion Rates'!B$3)+FC111</f>
        <v>10.857006242331554</v>
      </c>
      <c r="EM111" s="112">
        <f>(EC111*'Renewable Diesel'!BF120*'Feedstock Conversion Rates'!B$4)+FD111</f>
        <v>153.38969146823308</v>
      </c>
      <c r="EN111" s="107"/>
      <c r="EO111" s="112">
        <f>(EE111*'Renewable Diesel'!BF120*'Feedstock Conversion Rates'!B$6)+FF111</f>
        <v>110.5976298761133</v>
      </c>
      <c r="EP111" s="112">
        <f>(EF111*'Renewable Diesel'!BF120*'Feedstock Conversion Rates'!B$7)+FG111</f>
        <v>133.77806124201177</v>
      </c>
      <c r="EQ111" s="112">
        <f>(EG111*'Renewable Diesel'!BF120*'Feedstock Conversion Rates'!B$8)+FH111</f>
        <v>28.864079712019564</v>
      </c>
      <c r="ER111" s="112">
        <f>(EH111*'Renewable Diesel'!BF120*'Feedstock Conversion Rates'!B$9)+FI111</f>
        <v>0</v>
      </c>
      <c r="ES111" s="112">
        <f t="shared" si="42"/>
        <v>463.81876193188123</v>
      </c>
      <c r="EW111" s="73">
        <f t="shared" si="58"/>
        <v>165.82990672125189</v>
      </c>
      <c r="EX111" s="73">
        <f t="shared" si="59"/>
        <v>335.60549803448072</v>
      </c>
      <c r="EY111" s="92">
        <f t="shared" si="38"/>
        <v>0.3575316919706808</v>
      </c>
      <c r="EZ111" s="92">
        <f t="shared" si="38"/>
        <v>0.72357033733743059</v>
      </c>
      <c r="FB111" s="102">
        <f>IF('Renewable Diesel'!$BG120&lt;1,0,(((('Renewable Diesel'!$BG120-1)*'Renewable Diesel'!$BF120)*'RD Feedstock Breakdown'!EA111)*'Feedstock Conversion Rates'!$B$2))</f>
        <v>2.1356024303606143</v>
      </c>
      <c r="FC111" s="102">
        <f>IF('Renewable Diesel'!$BG120&lt;1,0,(((('Renewable Diesel'!$BG120-1)*'Renewable Diesel'!$BF120)*'RD Feedstock Breakdown'!EB111)*'Feedstock Conversion Rates'!$B$3))</f>
        <v>0.88052523846392239</v>
      </c>
      <c r="FD111" s="102">
        <f>IF('Renewable Diesel'!$BG120&lt;1,0,(((('Renewable Diesel'!$BG120-1)*'Renewable Diesel'!$BF120)*'RD Feedstock Breakdown'!EC111)*'Feedstock Conversion Rates'!$B$4))</f>
        <v>12.440215253018808</v>
      </c>
      <c r="FE111" s="107"/>
      <c r="FF111" s="102">
        <f>IF('Renewable Diesel'!$BG120&lt;1,0,(((('Renewable Diesel'!$BG120-1)*'Renewable Diesel'!$BF120)*'RD Feedstock Breakdown'!EE111)*'Feedstock Conversion Rates'!$B$6))</f>
        <v>8.9696922196202014</v>
      </c>
      <c r="FG111" s="102">
        <f>IF('Renewable Diesel'!$BG120&lt;1,0,(((('Renewable Diesel'!$BG120-1)*'Renewable Diesel'!$BF120)*'RD Feedstock Breakdown'!EF111)*'Feedstock Conversion Rates'!$B$7))</f>
        <v>10.849672243631964</v>
      </c>
      <c r="FH111" s="102">
        <f>IF('Renewable Diesel'!$BG120&lt;1,0,(((('Renewable Diesel'!$BG120-1)*'Renewable Diesel'!$BF120)*'RD Feedstock Breakdown'!EG111)*'Feedstock Conversion Rates'!$B$8))</f>
        <v>2.3409354387558756</v>
      </c>
      <c r="FI111" s="102">
        <f>IF('Renewable Diesel'!$BG120&lt;1,0,(((('Renewable Diesel'!$BG120-1)*'Renewable Diesel'!$BF120)*'RD Feedstock Breakdown'!EH111)*'Feedstock Conversion Rates'!$B$9))</f>
        <v>0</v>
      </c>
      <c r="FJ111" s="102">
        <f t="shared" si="60"/>
        <v>37.616642823851386</v>
      </c>
      <c r="FR111" s="3">
        <f>('Renewable Diesel'!AX120-'Renewable Diesel'!BI120)/12*$FO$80</f>
        <v>31.818749999999998</v>
      </c>
      <c r="FS111" s="100">
        <f t="shared" si="48"/>
        <v>0.37653634804818342</v>
      </c>
      <c r="FT111" s="3">
        <f t="shared" si="50"/>
        <v>89.856869433436017</v>
      </c>
      <c r="FY111" s="3">
        <f>'Renewable Diesel'!BF120*('Renewable Diesel'!BI120/'Renewable Diesel'!AX120)</f>
        <v>11.96340729390681</v>
      </c>
      <c r="FZ111" s="3">
        <f>('Renewable Diesel'!BJ120*'Renewable Diesel'!BG120)/12</f>
        <v>38.474529049233375</v>
      </c>
      <c r="GA111" s="3">
        <f t="shared" si="51"/>
        <v>108.65293995804062</v>
      </c>
      <c r="GD111" s="91">
        <f>'Renewable Diesel'!BB120*0</f>
        <v>0</v>
      </c>
      <c r="GE111" s="91">
        <f>'Renewable Diesel'!BC120</f>
        <v>0.13733300000000001</v>
      </c>
      <c r="GF111" s="91">
        <f>'Renewable Diesel'!BD120</f>
        <v>0</v>
      </c>
      <c r="GG111" s="91">
        <f t="shared" si="49"/>
        <v>0.13733300000000001</v>
      </c>
      <c r="GH111" s="124">
        <v>1</v>
      </c>
      <c r="GI111" s="102">
        <f>$GG111*EA111*'Feedstock Conversion Rates'!$B$2</f>
        <v>6.6578742492441723E-2</v>
      </c>
      <c r="GJ111" s="102">
        <f>$GG111*EB111*'Feedstock Conversion Rates'!$B$3</f>
        <v>2.7450925451459676E-2</v>
      </c>
      <c r="GK111" s="102">
        <f>$GG111*EC111*'Feedstock Conversion Rates'!$B$4</f>
        <v>0.38783149714875886</v>
      </c>
      <c r="GL111" s="102">
        <f>$GG111*ED111*'Feedstock Conversion Rates'!$B$5</f>
        <v>0</v>
      </c>
      <c r="GM111" s="102">
        <f>$GG111*EE111*'Feedstock Conversion Rates'!$B$6</f>
        <v>0.27963576929705536</v>
      </c>
      <c r="GN111" s="102">
        <f>$GG111*EF111*'Feedstock Conversion Rates'!$B$7</f>
        <v>0.33824532327123691</v>
      </c>
      <c r="GO111" s="102">
        <f>$GG111*EG111*'Feedstock Conversion Rates'!$B$8</f>
        <v>7.2980127552130958E-2</v>
      </c>
      <c r="GP111" s="102">
        <f>$GG111*EH111*'Feedstock Conversion Rates'!B$9</f>
        <v>0</v>
      </c>
      <c r="GQ111" s="102">
        <f t="shared" si="45"/>
        <v>1.1727223852130835</v>
      </c>
      <c r="GR111" s="85">
        <f t="shared" si="53"/>
        <v>8.5392613953899161</v>
      </c>
      <c r="GT111" s="103">
        <f t="shared" si="47"/>
        <v>5.677280772665081E-2</v>
      </c>
      <c r="GU111" s="103">
        <f t="shared" si="47"/>
        <v>2.3407863444571197E-2</v>
      </c>
      <c r="GV111" s="103">
        <f t="shared" si="47"/>
        <v>0.33071040686094683</v>
      </c>
      <c r="GW111" s="103">
        <f t="shared" si="46"/>
        <v>0</v>
      </c>
      <c r="GX111" s="103">
        <f t="shared" si="46"/>
        <v>0.23845009937816233</v>
      </c>
      <c r="GY111" s="103">
        <f t="shared" si="46"/>
        <v>0.28842744671389359</v>
      </c>
      <c r="GZ111" s="103">
        <f t="shared" si="46"/>
        <v>6.2231375875775131E-2</v>
      </c>
      <c r="HA111" s="103">
        <f t="shared" si="46"/>
        <v>0</v>
      </c>
    </row>
    <row r="112" spans="1:209" x14ac:dyDescent="0.25">
      <c r="A112" s="96">
        <v>43831</v>
      </c>
      <c r="B112" s="104">
        <f>25+35+11.5+4-5+1+2-4+20-5-6-5-5-1-2-2</f>
        <v>63.5</v>
      </c>
      <c r="C112" s="105"/>
      <c r="D112" s="104">
        <v>0</v>
      </c>
      <c r="E112" s="104">
        <f>('Renewable Diesel'!B121*E$3*'Feedstock Conversion Rates'!$B$2)/12-15+2</f>
        <v>24.796666666666667</v>
      </c>
      <c r="F112" s="104">
        <f>('Renewable Diesel'!B121*'RD Feedstock Breakdown'!F$3*'Feedstock Conversion Rates'!B$8)/12+8.5-4-2+4</f>
        <v>29.15625</v>
      </c>
      <c r="G112" s="104">
        <f>('Renewable Diesel'!B121*'RD Feedstock Breakdown'!G$3*'Feedstock Conversion Rates'!B$7)/12+5+3</f>
        <v>82.036999999999992</v>
      </c>
      <c r="H112" s="104">
        <f>('Renewable Diesel'!B121*'RD Feedstock Breakdown'!H$3*'Feedstock Conversion Rates'!B$3)/12-45-20</f>
        <v>9.1392249999999962</v>
      </c>
      <c r="I112" s="106">
        <f t="shared" si="52"/>
        <v>208.62914166666667</v>
      </c>
      <c r="J112" s="106"/>
      <c r="K112" s="107"/>
      <c r="L112" s="106"/>
      <c r="R112" s="104">
        <f>('Renewable Diesel'!D121*'RD Feedstock Breakdown'!R$3*'Feedstock Conversion Rates'!B$7)/12</f>
        <v>2.2999999999999998</v>
      </c>
      <c r="S112" s="106">
        <f t="shared" si="27"/>
        <v>2.2999999999999998</v>
      </c>
      <c r="T112" s="107"/>
      <c r="U112" s="106"/>
      <c r="Y112" s="104"/>
      <c r="Z112" s="104">
        <f>('Renewable Diesel'!F121*'RD Feedstock Breakdown'!Z$3*'Feedstock Conversion Rates'!B$6)/12+17.5-5</f>
        <v>57.055000000000007</v>
      </c>
      <c r="AA112" s="104">
        <f>('Renewable Diesel'!F121*'RD Feedstock Breakdown'!AA$3*'Feedstock Conversion Rates'!B$7)/12-12.5</f>
        <v>16.633333333333329</v>
      </c>
      <c r="AB112" s="106">
        <f t="shared" si="25"/>
        <v>73.688333333333333</v>
      </c>
      <c r="AC112" s="108"/>
      <c r="AG112" s="108"/>
      <c r="AI112" s="104">
        <f>('Renewable Diesel'!H121*'RD Feedstock Breakdown'!AI$3*'Feedstock Conversion Rates'!B$6)/12</f>
        <v>39.083333333333336</v>
      </c>
      <c r="AJ112" s="106">
        <f t="shared" si="26"/>
        <v>39.083333333333336</v>
      </c>
      <c r="AK112" s="104">
        <f>('Renewable Diesel'!J121*'RD Feedstock Breakdown'!AK$3*'Feedstock Conversion Rates'!B$4)/12</f>
        <v>62.5</v>
      </c>
      <c r="AL112" s="106">
        <f t="shared" si="28"/>
        <v>62.5</v>
      </c>
      <c r="AT112" s="108"/>
      <c r="BJ112" s="104">
        <f>('Renewable Diesel'!W121*'RD Feedstock Breakdown'!BJ$3*'Feedstock Conversion Rates'!B$4)/12-2.5</f>
        <v>5</v>
      </c>
      <c r="BK112" s="104">
        <f>('Renewable Diesel'!W121*'RD Feedstock Breakdown'!BK$3*'Feedstock Conversion Rates'!B$3)/12</f>
        <v>1.335</v>
      </c>
      <c r="BL112" s="104">
        <f>('Renewable Diesel'!W121*'RD Feedstock Breakdown'!BL$3*'Feedstock Conversion Rates'!B$6)/12+2.5</f>
        <v>5.6266666666666669</v>
      </c>
      <c r="BM112" s="104">
        <f>('Renewable Diesel'!W121*'RD Feedstock Breakdown'!BM$3*'Feedstock Conversion Rates'!B$7)/12</f>
        <v>1.5333333333333332</v>
      </c>
      <c r="BN112" s="106">
        <f t="shared" si="54"/>
        <v>13.494999999999999</v>
      </c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7"/>
      <c r="BY112" s="106"/>
      <c r="BZ112" s="106"/>
      <c r="CA112" s="106"/>
      <c r="CB112" s="106"/>
      <c r="CC112" s="106"/>
      <c r="CD112" s="106"/>
      <c r="CE112" s="106"/>
      <c r="CF112" s="106"/>
      <c r="CG112" s="106"/>
      <c r="CH112" s="106"/>
      <c r="CI112" s="107"/>
      <c r="CJ112" s="106"/>
      <c r="CK112" s="106"/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7"/>
      <c r="DE112" s="106"/>
      <c r="DF112" s="106"/>
      <c r="DG112" s="106"/>
      <c r="DH112" s="106"/>
      <c r="DI112" s="106"/>
      <c r="DJ112" s="107"/>
      <c r="DK112" s="106"/>
      <c r="DL112" s="106"/>
      <c r="DM112" s="106"/>
      <c r="DN112" s="106"/>
      <c r="DP112" s="104">
        <f t="shared" si="30"/>
        <v>24.796666666666667</v>
      </c>
      <c r="DQ112" s="104">
        <f t="shared" si="31"/>
        <v>10.474224999999997</v>
      </c>
      <c r="DR112" s="104">
        <f t="shared" si="39"/>
        <v>131</v>
      </c>
      <c r="DS112" s="107"/>
      <c r="DT112" s="104">
        <f t="shared" si="32"/>
        <v>101.76500000000001</v>
      </c>
      <c r="DU112" s="104">
        <f t="shared" si="33"/>
        <v>102.50366666666665</v>
      </c>
      <c r="DV112" s="104">
        <f t="shared" si="34"/>
        <v>29.15625</v>
      </c>
      <c r="DW112" s="104">
        <f t="shared" si="35"/>
        <v>0</v>
      </c>
      <c r="DX112" s="106">
        <f t="shared" si="36"/>
        <v>399.69580833333328</v>
      </c>
      <c r="DY112" s="109">
        <f t="shared" si="37"/>
        <v>5.6843418860808015E-14</v>
      </c>
      <c r="EA112" s="110">
        <f t="shared" si="55"/>
        <v>6.2038845916510224E-2</v>
      </c>
      <c r="EB112" s="110">
        <f t="shared" si="55"/>
        <v>2.6205491230132778E-2</v>
      </c>
      <c r="EC112" s="110">
        <f t="shared" si="55"/>
        <v>0.32774924647383408</v>
      </c>
      <c r="ED112" s="107"/>
      <c r="EE112" s="110">
        <f t="shared" si="56"/>
        <v>0.25460612265198268</v>
      </c>
      <c r="EF112" s="110">
        <f t="shared" si="56"/>
        <v>0.25645419473896991</v>
      </c>
      <c r="EG112" s="111">
        <f t="shared" si="56"/>
        <v>7.2946098988570421E-2</v>
      </c>
      <c r="EH112" s="111">
        <f t="shared" si="40"/>
        <v>0</v>
      </c>
      <c r="EI112" s="110">
        <f t="shared" si="41"/>
        <v>1.0000000000000002</v>
      </c>
      <c r="EK112" s="112">
        <f>(EA112*'Renewable Diesel'!BF121*'Feedstock Conversion Rates'!B$2)+FB112</f>
        <v>19.971992887716258</v>
      </c>
      <c r="EL112" s="112">
        <f>(EB112*'Renewable Diesel'!BF121*'Feedstock Conversion Rates'!B$3)+FC112</f>
        <v>7.9499351862920928</v>
      </c>
      <c r="EM112" s="112">
        <f>(EC112*'Renewable Diesel'!BF121*'Feedstock Conversion Rates'!B$4)+FD112</f>
        <v>93.098296002061744</v>
      </c>
      <c r="EN112" s="107"/>
      <c r="EO112" s="112">
        <f>(EE112*'Renewable Diesel'!BF121*'Feedstock Conversion Rates'!B$6)+FF112</f>
        <v>90.45039095069238</v>
      </c>
      <c r="EP112" s="112">
        <f>(EF112*'Renewable Diesel'!BF121*'Feedstock Conversion Rates'!B$7)+FG112</f>
        <v>89.35860930869822</v>
      </c>
      <c r="EQ112" s="112">
        <f>(EG112*'Renewable Diesel'!BF121*'Feedstock Conversion Rates'!B$8)+FH112</f>
        <v>25.900736572615578</v>
      </c>
      <c r="ER112" s="112">
        <f>(EH112*'Renewable Diesel'!BF121*'Feedstock Conversion Rates'!B$9)+FI112</f>
        <v>0</v>
      </c>
      <c r="ES112" s="112">
        <f t="shared" si="42"/>
        <v>326.72996090807629</v>
      </c>
      <c r="EW112" s="73">
        <f t="shared" si="58"/>
        <v>93.098296002061744</v>
      </c>
      <c r="EX112" s="73">
        <f t="shared" si="59"/>
        <v>233.63166490601452</v>
      </c>
      <c r="EY112" s="92">
        <f t="shared" si="38"/>
        <v>0.2849395743913869</v>
      </c>
      <c r="EZ112" s="92">
        <f t="shared" si="38"/>
        <v>0.71506042560861305</v>
      </c>
      <c r="FB112" s="102">
        <f>IF('Renewable Diesel'!$BG121&lt;1,0,(((('Renewable Diesel'!$BG121-1)*'Renewable Diesel'!$BF121)*'RD Feedstock Breakdown'!EA112)*'Feedstock Conversion Rates'!$B$2))</f>
        <v>0</v>
      </c>
      <c r="FC112" s="102">
        <f>IF('Renewable Diesel'!$BG121&lt;1,0,(((('Renewable Diesel'!$BG121-1)*'Renewable Diesel'!$BF121)*'RD Feedstock Breakdown'!EB112)*'Feedstock Conversion Rates'!$B$3))</f>
        <v>0</v>
      </c>
      <c r="FD112" s="102">
        <f>IF('Renewable Diesel'!$BG121&lt;1,0,(((('Renewable Diesel'!$BG121-1)*'Renewable Diesel'!$BF121)*'RD Feedstock Breakdown'!EC112)*'Feedstock Conversion Rates'!$B$4))</f>
        <v>0</v>
      </c>
      <c r="FE112" s="107"/>
      <c r="FF112" s="102">
        <f>IF('Renewable Diesel'!$BG121&lt;1,0,(((('Renewable Diesel'!$BG121-1)*'Renewable Diesel'!$BF121)*'RD Feedstock Breakdown'!EE112)*'Feedstock Conversion Rates'!$B$6))</f>
        <v>0</v>
      </c>
      <c r="FG112" s="102">
        <f>IF('Renewable Diesel'!$BG121&lt;1,0,(((('Renewable Diesel'!$BG121-1)*'Renewable Diesel'!$BF121)*'RD Feedstock Breakdown'!EF112)*'Feedstock Conversion Rates'!$B$7))</f>
        <v>0</v>
      </c>
      <c r="FH112" s="102">
        <f>IF('Renewable Diesel'!$BG121&lt;1,0,(((('Renewable Diesel'!$BG121-1)*'Renewable Diesel'!$BF121)*'RD Feedstock Breakdown'!EG112)*'Feedstock Conversion Rates'!$B$8))</f>
        <v>0</v>
      </c>
      <c r="FI112" s="102">
        <f>IF('Renewable Diesel'!$BG121&lt;1,0,(((('Renewable Diesel'!$BG121-1)*'Renewable Diesel'!$BF121)*'RD Feedstock Breakdown'!EH112)*'Feedstock Conversion Rates'!$B$9))</f>
        <v>0</v>
      </c>
      <c r="FJ112" s="102">
        <f t="shared" si="60"/>
        <v>0</v>
      </c>
      <c r="FR112" s="3">
        <f>('Renewable Diesel'!AX121-'Renewable Diesel'!BI121)/12*$FO$80</f>
        <v>31.818749999999998</v>
      </c>
      <c r="FS112" s="100">
        <f t="shared" si="48"/>
        <v>0.32774924647383408</v>
      </c>
      <c r="FT112" s="3">
        <f t="shared" si="50"/>
        <v>78.214285021794808</v>
      </c>
      <c r="FY112" s="3">
        <f>'Renewable Diesel'!BF121*('Renewable Diesel'!BI121/'Renewable Diesel'!AX121)</f>
        <v>9.0781709901433683</v>
      </c>
      <c r="FZ112" s="3">
        <f>('Renewable Diesel'!BJ121*'Renewable Diesel'!BG121)/12</f>
        <v>28.253765963972231</v>
      </c>
      <c r="GA112" s="3">
        <f t="shared" si="51"/>
        <v>69.451128785549699</v>
      </c>
      <c r="GD112" s="91">
        <f>'Renewable Diesel'!BB121*0</f>
        <v>0</v>
      </c>
      <c r="GE112" s="91">
        <f>'Renewable Diesel'!BC121</f>
        <v>4.1590000000000002E-2</v>
      </c>
      <c r="GF112" s="91">
        <f>'Renewable Diesel'!BD121</f>
        <v>0</v>
      </c>
      <c r="GG112" s="91">
        <f t="shared" si="49"/>
        <v>4.1590000000000002E-2</v>
      </c>
      <c r="GH112" s="124">
        <v>1</v>
      </c>
      <c r="GI112" s="102">
        <f>$GG112*EA112*'Feedstock Conversion Rates'!$B$2</f>
        <v>2.1931662614175115E-2</v>
      </c>
      <c r="GJ112" s="102">
        <f>$GG112*EB112*'Feedstock Conversion Rates'!$B$3</f>
        <v>8.7299899058923894E-3</v>
      </c>
      <c r="GK112" s="102">
        <f>$GG112*EC112*'Feedstock Conversion Rates'!$B$4</f>
        <v>0.10223318370635069</v>
      </c>
      <c r="GL112" s="102">
        <f>$GG112*ED112*'Feedstock Conversion Rates'!$B$5</f>
        <v>0</v>
      </c>
      <c r="GM112" s="102">
        <f>$GG112*EE112*'Feedstock Conversion Rates'!$B$6</f>
        <v>9.9325463853480109E-2</v>
      </c>
      <c r="GN112" s="102">
        <f>$GG112*EF112*'Feedstock Conversion Rates'!$B$7</f>
        <v>9.812655562458257E-2</v>
      </c>
      <c r="GO112" s="102">
        <f>$GG112*EG112*'Feedstock Conversion Rates'!$B$8</f>
        <v>2.8442139908762286E-2</v>
      </c>
      <c r="GP112" s="102">
        <f>$GG112*EH112*'Feedstock Conversion Rates'!B$9</f>
        <v>0</v>
      </c>
      <c r="GQ112" s="102">
        <f t="shared" si="45"/>
        <v>0.35878899561324312</v>
      </c>
      <c r="GR112" s="85">
        <f t="shared" si="53"/>
        <v>8.6268092236894223</v>
      </c>
      <c r="GT112" s="103">
        <f t="shared" si="47"/>
        <v>6.1126909917316313E-2</v>
      </c>
      <c r="GU112" s="103">
        <f t="shared" si="47"/>
        <v>2.4331821802313268E-2</v>
      </c>
      <c r="GV112" s="103">
        <f t="shared" si="47"/>
        <v>0.2849395743913869</v>
      </c>
      <c r="GW112" s="103">
        <f t="shared" si="46"/>
        <v>0</v>
      </c>
      <c r="GX112" s="103">
        <f t="shared" si="46"/>
        <v>0.27683531286602797</v>
      </c>
      <c r="GY112" s="103">
        <f t="shared" si="46"/>
        <v>0.27349377161600064</v>
      </c>
      <c r="GZ112" s="103">
        <f t="shared" si="46"/>
        <v>7.9272609406954908E-2</v>
      </c>
      <c r="HA112" s="103">
        <f t="shared" si="46"/>
        <v>0</v>
      </c>
    </row>
    <row r="113" spans="1:209" x14ac:dyDescent="0.25">
      <c r="A113" s="96">
        <v>43862</v>
      </c>
      <c r="B113" s="104">
        <f>25+35+11.5+4-5+1+2-4+20-5-6-5-5-1-2</f>
        <v>65.5</v>
      </c>
      <c r="C113" s="105"/>
      <c r="D113" s="104">
        <v>0</v>
      </c>
      <c r="E113" s="104">
        <f>('Renewable Diesel'!B122*E$3*'Feedstock Conversion Rates'!$B$2)/12-15</f>
        <v>22.796666666666667</v>
      </c>
      <c r="F113" s="104">
        <f>('Renewable Diesel'!B122*'RD Feedstock Breakdown'!F$3*'Feedstock Conversion Rates'!B$8)/12+8.5-4-2+4</f>
        <v>29.15625</v>
      </c>
      <c r="G113" s="104">
        <f>('Renewable Diesel'!B122*'RD Feedstock Breakdown'!G$3*'Feedstock Conversion Rates'!B$7)/12+5+3</f>
        <v>82.036999999999992</v>
      </c>
      <c r="H113" s="104">
        <f>('Renewable Diesel'!B122*'RD Feedstock Breakdown'!H$3*'Feedstock Conversion Rates'!B$3)/12-45-20</f>
        <v>9.1392249999999962</v>
      </c>
      <c r="I113" s="106">
        <f t="shared" si="52"/>
        <v>208.62914166666667</v>
      </c>
      <c r="J113" s="106"/>
      <c r="K113" s="107"/>
      <c r="L113" s="106"/>
      <c r="R113" s="104">
        <f>('Renewable Diesel'!D122*'RD Feedstock Breakdown'!R$3*'Feedstock Conversion Rates'!B$7)/12</f>
        <v>2.2999999999999998</v>
      </c>
      <c r="S113" s="106">
        <f t="shared" si="27"/>
        <v>2.2999999999999998</v>
      </c>
      <c r="T113" s="107"/>
      <c r="U113" s="106"/>
      <c r="Y113" s="104"/>
      <c r="Z113" s="104">
        <f>('Renewable Diesel'!F122*'RD Feedstock Breakdown'!Z$3*'Feedstock Conversion Rates'!B$6)/12+17.5-5</f>
        <v>57.055000000000007</v>
      </c>
      <c r="AA113" s="104">
        <f>('Renewable Diesel'!F122*'RD Feedstock Breakdown'!AA$3*'Feedstock Conversion Rates'!B$7)/12-12.5</f>
        <v>16.633333333333329</v>
      </c>
      <c r="AB113" s="106">
        <f t="shared" si="25"/>
        <v>73.688333333333333</v>
      </c>
      <c r="AC113" s="108"/>
      <c r="AG113" s="108"/>
      <c r="AI113" s="104">
        <f>('Renewable Diesel'!H122*'RD Feedstock Breakdown'!AI$3*'Feedstock Conversion Rates'!B$6)/12</f>
        <v>39.083333333333336</v>
      </c>
      <c r="AJ113" s="106">
        <f t="shared" si="26"/>
        <v>39.083333333333336</v>
      </c>
      <c r="AK113" s="104">
        <f>('Renewable Diesel'!J122*'RD Feedstock Breakdown'!AK$3*'Feedstock Conversion Rates'!B$4)/12</f>
        <v>62.5</v>
      </c>
      <c r="AL113" s="106">
        <f t="shared" si="28"/>
        <v>62.5</v>
      </c>
      <c r="AT113" s="108"/>
      <c r="BJ113" s="104">
        <f>('Renewable Diesel'!W122*'RD Feedstock Breakdown'!BJ$3*'Feedstock Conversion Rates'!B$4)/12-2.5</f>
        <v>5</v>
      </c>
      <c r="BK113" s="104">
        <f>('Renewable Diesel'!W122*'RD Feedstock Breakdown'!BK$3*'Feedstock Conversion Rates'!B$3)/12</f>
        <v>1.335</v>
      </c>
      <c r="BL113" s="104">
        <f>('Renewable Diesel'!W122*'RD Feedstock Breakdown'!BL$3*'Feedstock Conversion Rates'!B$6)/12+2.5</f>
        <v>5.6266666666666669</v>
      </c>
      <c r="BM113" s="104">
        <f>('Renewable Diesel'!W122*'RD Feedstock Breakdown'!BM$3*'Feedstock Conversion Rates'!B$7)/12</f>
        <v>1.5333333333333332</v>
      </c>
      <c r="BN113" s="106">
        <f t="shared" si="54"/>
        <v>13.494999999999999</v>
      </c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7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7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7"/>
      <c r="DE113" s="106"/>
      <c r="DF113" s="106"/>
      <c r="DG113" s="106"/>
      <c r="DH113" s="106"/>
      <c r="DI113" s="106"/>
      <c r="DJ113" s="107"/>
      <c r="DK113" s="106"/>
      <c r="DL113" s="106"/>
      <c r="DM113" s="106"/>
      <c r="DN113" s="106"/>
      <c r="DP113" s="104">
        <f t="shared" si="30"/>
        <v>22.796666666666667</v>
      </c>
      <c r="DQ113" s="104">
        <f t="shared" si="31"/>
        <v>10.474224999999997</v>
      </c>
      <c r="DR113" s="104">
        <f t="shared" si="39"/>
        <v>133</v>
      </c>
      <c r="DS113" s="107"/>
      <c r="DT113" s="104">
        <f t="shared" si="32"/>
        <v>101.76500000000001</v>
      </c>
      <c r="DU113" s="104">
        <f t="shared" si="33"/>
        <v>102.50366666666665</v>
      </c>
      <c r="DV113" s="104">
        <f t="shared" si="34"/>
        <v>29.15625</v>
      </c>
      <c r="DW113" s="104">
        <f t="shared" si="35"/>
        <v>0</v>
      </c>
      <c r="DX113" s="106">
        <f t="shared" si="36"/>
        <v>399.69580833333328</v>
      </c>
      <c r="DY113" s="109">
        <f t="shared" si="37"/>
        <v>5.6843418860808015E-14</v>
      </c>
      <c r="EA113" s="110">
        <f t="shared" si="55"/>
        <v>5.7035040626833372E-2</v>
      </c>
      <c r="EB113" s="110">
        <f t="shared" si="55"/>
        <v>2.6205491230132778E-2</v>
      </c>
      <c r="EC113" s="110">
        <f t="shared" si="55"/>
        <v>0.33275305176351094</v>
      </c>
      <c r="ED113" s="107"/>
      <c r="EE113" s="110">
        <f t="shared" si="56"/>
        <v>0.25460612265198268</v>
      </c>
      <c r="EF113" s="110">
        <f t="shared" si="56"/>
        <v>0.25645419473896991</v>
      </c>
      <c r="EG113" s="111">
        <f t="shared" si="56"/>
        <v>7.2946098988570421E-2</v>
      </c>
      <c r="EH113" s="111">
        <f t="shared" si="40"/>
        <v>0</v>
      </c>
      <c r="EI113" s="110">
        <f t="shared" si="41"/>
        <v>1.0000000000000002</v>
      </c>
      <c r="EK113" s="112">
        <f>(EA113*'Renewable Diesel'!BF122*'Feedstock Conversion Rates'!B$2)+FB113</f>
        <v>16.457847927105902</v>
      </c>
      <c r="EL113" s="112">
        <f>(EB113*'Renewable Diesel'!BF122*'Feedstock Conversion Rates'!B$3)+FC113</f>
        <v>7.125858353851366</v>
      </c>
      <c r="EM113" s="112">
        <f>(EC113*'Renewable Diesel'!BF122*'Feedstock Conversion Rates'!B$4)+FD113</f>
        <v>84.721897631859491</v>
      </c>
      <c r="EN113" s="107"/>
      <c r="EO113" s="112">
        <f>(EE113*'Renewable Diesel'!BF122*'Feedstock Conversion Rates'!B$6)+FF113</f>
        <v>81.074456440409037</v>
      </c>
      <c r="EP113" s="112">
        <f>(EF113*'Renewable Diesel'!BF122*'Feedstock Conversion Rates'!B$7)+FG113</f>
        <v>80.095847036448063</v>
      </c>
      <c r="EQ113" s="112">
        <f>(EG113*'Renewable Diesel'!BF122*'Feedstock Conversion Rates'!B$8)+FH113</f>
        <v>23.215910035985935</v>
      </c>
      <c r="ER113" s="112">
        <f>(EH113*'Renewable Diesel'!BF122*'Feedstock Conversion Rates'!B$9)+FI113</f>
        <v>0</v>
      </c>
      <c r="ES113" s="112">
        <f t="shared" si="42"/>
        <v>292.69181742565979</v>
      </c>
      <c r="EW113" s="73">
        <f t="shared" si="58"/>
        <v>84.721897631859491</v>
      </c>
      <c r="EX113" s="73">
        <f t="shared" si="59"/>
        <v>207.96991979380033</v>
      </c>
      <c r="EY113" s="92">
        <f t="shared" si="38"/>
        <v>0.28945769094955254</v>
      </c>
      <c r="EZ113" s="92">
        <f t="shared" si="38"/>
        <v>0.71054230905044757</v>
      </c>
      <c r="FB113" s="102">
        <f>IF('Renewable Diesel'!$BG122&lt;1,0,(((('Renewable Diesel'!$BG122-1)*'Renewable Diesel'!$BF122)*'RD Feedstock Breakdown'!EA113)*'Feedstock Conversion Rates'!$B$2))</f>
        <v>0</v>
      </c>
      <c r="FC113" s="102">
        <f>IF('Renewable Diesel'!$BG122&lt;1,0,(((('Renewable Diesel'!$BG122-1)*'Renewable Diesel'!$BF122)*'RD Feedstock Breakdown'!EB113)*'Feedstock Conversion Rates'!$B$3))</f>
        <v>0</v>
      </c>
      <c r="FD113" s="102">
        <f>IF('Renewable Diesel'!$BG122&lt;1,0,(((('Renewable Diesel'!$BG122-1)*'Renewable Diesel'!$BF122)*'RD Feedstock Breakdown'!EC113)*'Feedstock Conversion Rates'!$B$4))</f>
        <v>0</v>
      </c>
      <c r="FE113" s="107"/>
      <c r="FF113" s="102">
        <f>IF('Renewable Diesel'!$BG122&lt;1,0,(((('Renewable Diesel'!$BG122-1)*'Renewable Diesel'!$BF122)*'RD Feedstock Breakdown'!EE113)*'Feedstock Conversion Rates'!$B$6))</f>
        <v>0</v>
      </c>
      <c r="FG113" s="102">
        <f>IF('Renewable Diesel'!$BG122&lt;1,0,(((('Renewable Diesel'!$BG122-1)*'Renewable Diesel'!$BF122)*'RD Feedstock Breakdown'!EF113)*'Feedstock Conversion Rates'!$B$7))</f>
        <v>0</v>
      </c>
      <c r="FH113" s="102">
        <f>IF('Renewable Diesel'!$BG122&lt;1,0,(((('Renewable Diesel'!$BG122-1)*'Renewable Diesel'!$BF122)*'RD Feedstock Breakdown'!EG113)*'Feedstock Conversion Rates'!$B$8))</f>
        <v>0</v>
      </c>
      <c r="FI113" s="102">
        <f>IF('Renewable Diesel'!$BG122&lt;1,0,(((('Renewable Diesel'!$BG122-1)*'Renewable Diesel'!$BF122)*'RD Feedstock Breakdown'!EH113)*'Feedstock Conversion Rates'!$B$9))</f>
        <v>0</v>
      </c>
      <c r="FJ113" s="102">
        <f t="shared" si="60"/>
        <v>0</v>
      </c>
      <c r="FR113" s="3">
        <f>('Renewable Diesel'!AX122-'Renewable Diesel'!BI122)/12*$FO$80</f>
        <v>31.818749999999998</v>
      </c>
      <c r="FS113" s="100">
        <f t="shared" si="48"/>
        <v>0.33275305176351094</v>
      </c>
      <c r="FT113" s="3">
        <f t="shared" si="50"/>
        <v>79.408396243501599</v>
      </c>
      <c r="FY113" s="3">
        <f>'Renewable Diesel'!BF122*('Renewable Diesel'!BI122/'Renewable Diesel'!AX122)</f>
        <v>8.1371431429211469</v>
      </c>
      <c r="FZ113" s="3">
        <f>('Renewable Diesel'!BJ122*'Renewable Diesel'!BG122)/12</f>
        <v>25.325028381273608</v>
      </c>
      <c r="GA113" s="3">
        <f t="shared" si="51"/>
        <v>63.202353598997412</v>
      </c>
      <c r="GD113" s="91">
        <f>'Renewable Diesel'!BB122*0</f>
        <v>0</v>
      </c>
      <c r="GE113" s="91">
        <f>'Renewable Diesel'!BC122</f>
        <v>0</v>
      </c>
      <c r="GF113" s="91">
        <f>'Renewable Diesel'!BD122</f>
        <v>0</v>
      </c>
      <c r="GG113" s="91">
        <f t="shared" si="49"/>
        <v>0</v>
      </c>
      <c r="GH113" s="124">
        <v>1</v>
      </c>
      <c r="GI113" s="102">
        <f>$GG113*EA113*'Feedstock Conversion Rates'!$B$2</f>
        <v>0</v>
      </c>
      <c r="GJ113" s="102">
        <f>$GG113*EB113*'Feedstock Conversion Rates'!$B$3</f>
        <v>0</v>
      </c>
      <c r="GK113" s="102">
        <f>$GG113*EC113*'Feedstock Conversion Rates'!$B$4</f>
        <v>0</v>
      </c>
      <c r="GL113" s="102">
        <f>$GG113*ED113*'Feedstock Conversion Rates'!$B$5</f>
        <v>0</v>
      </c>
      <c r="GM113" s="102">
        <f>$GG113*EE113*'Feedstock Conversion Rates'!$B$6</f>
        <v>0</v>
      </c>
      <c r="GN113" s="102">
        <f>$GG113*EF113*'Feedstock Conversion Rates'!$B$7</f>
        <v>0</v>
      </c>
      <c r="GO113" s="102">
        <f>$GG113*EG113*'Feedstock Conversion Rates'!$B$8</f>
        <v>0</v>
      </c>
      <c r="GP113" s="102">
        <f>$GG113*EH113*'Feedstock Conversion Rates'!B$9</f>
        <v>0</v>
      </c>
      <c r="GQ113" s="102">
        <f t="shared" si="45"/>
        <v>0</v>
      </c>
      <c r="GR113" s="85">
        <v>0</v>
      </c>
      <c r="GT113" s="103">
        <f t="shared" si="47"/>
        <v>5.6229272385744086E-2</v>
      </c>
      <c r="GU113" s="103">
        <f t="shared" si="47"/>
        <v>2.4345943171647594E-2</v>
      </c>
      <c r="GV113" s="103">
        <f t="shared" si="47"/>
        <v>0.28945769094955254</v>
      </c>
      <c r="GW113" s="103">
        <f t="shared" si="46"/>
        <v>0</v>
      </c>
      <c r="GX113" s="103">
        <f t="shared" si="46"/>
        <v>0.27699597875161297</v>
      </c>
      <c r="GY113" s="103">
        <f t="shared" si="46"/>
        <v>0.27365249818366189</v>
      </c>
      <c r="GZ113" s="103">
        <f t="shared" si="46"/>
        <v>7.9318616557780941E-2</v>
      </c>
      <c r="HA113" s="103">
        <f t="shared" si="46"/>
        <v>0</v>
      </c>
    </row>
    <row r="114" spans="1:209" x14ac:dyDescent="0.25">
      <c r="A114" s="96">
        <v>43891</v>
      </c>
      <c r="B114" s="104">
        <f t="shared" ref="B114:B120" si="61">25+35+11.5+4-5+1+2-4+20-5-6-5-5-1-2</f>
        <v>65.5</v>
      </c>
      <c r="C114" s="105"/>
      <c r="D114" s="104">
        <v>0</v>
      </c>
      <c r="E114" s="104">
        <f>('Renewable Diesel'!B123*E$3*'Feedstock Conversion Rates'!$B$2)/12-15</f>
        <v>22.796666666666667</v>
      </c>
      <c r="F114" s="104">
        <f>('Renewable Diesel'!B123*'RD Feedstock Breakdown'!F$3*'Feedstock Conversion Rates'!B$8)/12+8.5-4-2+4</f>
        <v>29.15625</v>
      </c>
      <c r="G114" s="104">
        <f>('Renewable Diesel'!B123*'RD Feedstock Breakdown'!G$3*'Feedstock Conversion Rates'!B$7)/12+5+3</f>
        <v>82.036999999999992</v>
      </c>
      <c r="H114" s="104">
        <f>('Renewable Diesel'!B123*'RD Feedstock Breakdown'!H$3*'Feedstock Conversion Rates'!B$3)/12-45-20</f>
        <v>9.1392249999999962</v>
      </c>
      <c r="I114" s="106">
        <f t="shared" si="52"/>
        <v>208.62914166666667</v>
      </c>
      <c r="J114" s="106"/>
      <c r="K114" s="107"/>
      <c r="L114" s="106"/>
      <c r="R114" s="104">
        <f>('Renewable Diesel'!D123*'RD Feedstock Breakdown'!R$3*'Feedstock Conversion Rates'!B$7)/12</f>
        <v>2.2999999999999998</v>
      </c>
      <c r="S114" s="106">
        <f t="shared" si="27"/>
        <v>2.2999999999999998</v>
      </c>
      <c r="T114" s="107"/>
      <c r="U114" s="106"/>
      <c r="Y114" s="104"/>
      <c r="Z114" s="104">
        <f>('Renewable Diesel'!F123*'RD Feedstock Breakdown'!Z$3*'Feedstock Conversion Rates'!B$6)/12+17.5-5</f>
        <v>57.055000000000007</v>
      </c>
      <c r="AA114" s="104">
        <f>('Renewable Diesel'!F123*'RD Feedstock Breakdown'!AA$3*'Feedstock Conversion Rates'!B$7)/12-12.5</f>
        <v>16.633333333333329</v>
      </c>
      <c r="AB114" s="106">
        <f t="shared" si="25"/>
        <v>73.688333333333333</v>
      </c>
      <c r="AC114" s="108"/>
      <c r="AG114" s="108"/>
      <c r="AI114" s="104">
        <f>('Renewable Diesel'!H123*'RD Feedstock Breakdown'!AI$3*'Feedstock Conversion Rates'!B$6)/12</f>
        <v>39.083333333333336</v>
      </c>
      <c r="AJ114" s="106">
        <f t="shared" si="26"/>
        <v>39.083333333333336</v>
      </c>
      <c r="AK114" s="104">
        <f>('Renewable Diesel'!J123*'RD Feedstock Breakdown'!AK$3*'Feedstock Conversion Rates'!B$4)/12</f>
        <v>62.5</v>
      </c>
      <c r="AL114" s="106">
        <f t="shared" si="28"/>
        <v>62.5</v>
      </c>
      <c r="AT114" s="108"/>
      <c r="BJ114" s="104">
        <f>('Renewable Diesel'!W123*'RD Feedstock Breakdown'!BJ$3*'Feedstock Conversion Rates'!B$4)/12-2.5</f>
        <v>5</v>
      </c>
      <c r="BK114" s="104">
        <f>('Renewable Diesel'!W123*'RD Feedstock Breakdown'!BK$3*'Feedstock Conversion Rates'!B$3)/12</f>
        <v>1.335</v>
      </c>
      <c r="BL114" s="104">
        <f>('Renewable Diesel'!W123*'RD Feedstock Breakdown'!BL$3*'Feedstock Conversion Rates'!B$6)/12+2.5</f>
        <v>5.6266666666666669</v>
      </c>
      <c r="BM114" s="104">
        <f>('Renewable Diesel'!W123*'RD Feedstock Breakdown'!BM$3*'Feedstock Conversion Rates'!B$7)/12</f>
        <v>1.5333333333333332</v>
      </c>
      <c r="BN114" s="106">
        <f t="shared" si="54"/>
        <v>13.494999999999999</v>
      </c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7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7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06"/>
      <c r="CU114" s="106"/>
      <c r="CV114" s="106"/>
      <c r="CW114" s="106"/>
      <c r="CX114" s="106"/>
      <c r="CY114" s="106"/>
      <c r="CZ114" s="106"/>
      <c r="DA114" s="106"/>
      <c r="DB114" s="106"/>
      <c r="DC114" s="106"/>
      <c r="DD114" s="107"/>
      <c r="DE114" s="106"/>
      <c r="DF114" s="106"/>
      <c r="DG114" s="106"/>
      <c r="DH114" s="106"/>
      <c r="DI114" s="106"/>
      <c r="DJ114" s="107"/>
      <c r="DK114" s="106"/>
      <c r="DL114" s="106"/>
      <c r="DM114" s="106"/>
      <c r="DN114" s="106"/>
      <c r="DP114" s="104">
        <f t="shared" si="30"/>
        <v>22.796666666666667</v>
      </c>
      <c r="DQ114" s="104">
        <f t="shared" si="31"/>
        <v>10.474224999999997</v>
      </c>
      <c r="DR114" s="104">
        <f t="shared" si="39"/>
        <v>133</v>
      </c>
      <c r="DS114" s="107"/>
      <c r="DT114" s="104">
        <f t="shared" si="32"/>
        <v>101.76500000000001</v>
      </c>
      <c r="DU114" s="104">
        <f t="shared" si="33"/>
        <v>102.50366666666665</v>
      </c>
      <c r="DV114" s="104">
        <f t="shared" si="34"/>
        <v>29.15625</v>
      </c>
      <c r="DW114" s="104">
        <f t="shared" si="35"/>
        <v>0</v>
      </c>
      <c r="DX114" s="106">
        <f t="shared" si="36"/>
        <v>399.69580833333328</v>
      </c>
      <c r="DY114" s="109">
        <f t="shared" si="37"/>
        <v>5.6843418860808015E-14</v>
      </c>
      <c r="EA114" s="110">
        <f t="shared" si="55"/>
        <v>5.7035040626833372E-2</v>
      </c>
      <c r="EB114" s="110">
        <f t="shared" si="55"/>
        <v>2.6205491230132778E-2</v>
      </c>
      <c r="EC114" s="110">
        <f t="shared" si="55"/>
        <v>0.33275305176351094</v>
      </c>
      <c r="ED114" s="107"/>
      <c r="EE114" s="110">
        <f t="shared" si="56"/>
        <v>0.25460612265198268</v>
      </c>
      <c r="EF114" s="110">
        <f t="shared" si="56"/>
        <v>0.25645419473896991</v>
      </c>
      <c r="EG114" s="111">
        <f t="shared" si="56"/>
        <v>7.2946098988570421E-2</v>
      </c>
      <c r="EH114" s="111">
        <f t="shared" si="40"/>
        <v>0</v>
      </c>
      <c r="EI114" s="110">
        <f t="shared" si="41"/>
        <v>1.0000000000000002</v>
      </c>
      <c r="EK114" s="112">
        <f>(EA114*'Renewable Diesel'!BF123*'Feedstock Conversion Rates'!B$2)+FB114</f>
        <v>20.334809747245913</v>
      </c>
      <c r="EL114" s="112">
        <f>(EB114*'Renewable Diesel'!BF123*'Feedstock Conversion Rates'!B$3)+FC114</f>
        <v>8.8044909974369627</v>
      </c>
      <c r="EM114" s="112">
        <f>(EC114*'Renewable Diesel'!BF123*'Feedstock Conversion Rates'!B$4)+FD114</f>
        <v>104.67976599370976</v>
      </c>
      <c r="EN114" s="107"/>
      <c r="EO114" s="112">
        <f>(EE114*'Renewable Diesel'!BF123*'Feedstock Conversion Rates'!B$6)+FF114</f>
        <v>100.17310005409709</v>
      </c>
      <c r="EP114" s="112">
        <f>(EF114*'Renewable Diesel'!BF123*'Feedstock Conversion Rates'!B$7)+FG114</f>
        <v>98.963960430584265</v>
      </c>
      <c r="EQ114" s="112">
        <f>(EG114*'Renewable Diesel'!BF123*'Feedstock Conversion Rates'!B$8)+FH114</f>
        <v>28.684863038102449</v>
      </c>
      <c r="ER114" s="112">
        <f>(EH114*'Renewable Diesel'!BF123*'Feedstock Conversion Rates'!B$9)+FI114</f>
        <v>0</v>
      </c>
      <c r="ES114" s="112">
        <f t="shared" si="42"/>
        <v>361.64099026117646</v>
      </c>
      <c r="EW114" s="73">
        <f t="shared" si="58"/>
        <v>104.67976599370976</v>
      </c>
      <c r="EX114" s="73">
        <f t="shared" si="59"/>
        <v>256.96122426746672</v>
      </c>
      <c r="EY114" s="92">
        <f t="shared" si="38"/>
        <v>0.28945769094955259</v>
      </c>
      <c r="EZ114" s="92">
        <f t="shared" si="38"/>
        <v>0.71054230905044746</v>
      </c>
      <c r="FB114" s="102">
        <f>IF('Renewable Diesel'!$BG123&lt;1,0,(((('Renewable Diesel'!$BG123-1)*'Renewable Diesel'!$BF123)*'RD Feedstock Breakdown'!EA114)*'Feedstock Conversion Rates'!$B$2))</f>
        <v>0</v>
      </c>
      <c r="FC114" s="102">
        <f>IF('Renewable Diesel'!$BG123&lt;1,0,(((('Renewable Diesel'!$BG123-1)*'Renewable Diesel'!$BF123)*'RD Feedstock Breakdown'!EB114)*'Feedstock Conversion Rates'!$B$3))</f>
        <v>0</v>
      </c>
      <c r="FD114" s="102">
        <f>IF('Renewable Diesel'!$BG123&lt;1,0,(((('Renewable Diesel'!$BG123-1)*'Renewable Diesel'!$BF123)*'RD Feedstock Breakdown'!EC114)*'Feedstock Conversion Rates'!$B$4))</f>
        <v>0</v>
      </c>
      <c r="FE114" s="107"/>
      <c r="FF114" s="102">
        <f>IF('Renewable Diesel'!$BG123&lt;1,0,(((('Renewable Diesel'!$BG123-1)*'Renewable Diesel'!$BF123)*'RD Feedstock Breakdown'!EE114)*'Feedstock Conversion Rates'!$B$6))</f>
        <v>0</v>
      </c>
      <c r="FG114" s="102">
        <f>IF('Renewable Diesel'!$BG123&lt;1,0,(((('Renewable Diesel'!$BG123-1)*'Renewable Diesel'!$BF123)*'RD Feedstock Breakdown'!EF114)*'Feedstock Conversion Rates'!$B$7))</f>
        <v>0</v>
      </c>
      <c r="FH114" s="102">
        <f>IF('Renewable Diesel'!$BG123&lt;1,0,(((('Renewable Diesel'!$BG123-1)*'Renewable Diesel'!$BF123)*'RD Feedstock Breakdown'!EG114)*'Feedstock Conversion Rates'!$B$8))</f>
        <v>0</v>
      </c>
      <c r="FI114" s="102">
        <f>IF('Renewable Diesel'!$BG123&lt;1,0,(((('Renewable Diesel'!$BG123-1)*'Renewable Diesel'!$BF123)*'RD Feedstock Breakdown'!EH114)*'Feedstock Conversion Rates'!$B$9))</f>
        <v>0</v>
      </c>
      <c r="FJ114" s="102">
        <f t="shared" si="60"/>
        <v>0</v>
      </c>
      <c r="FR114" s="3">
        <f>('Renewable Diesel'!AX123-'Renewable Diesel'!BI123)/12*$FO$80</f>
        <v>31.818749999999998</v>
      </c>
      <c r="FS114" s="100">
        <f t="shared" si="48"/>
        <v>0.33275305176351094</v>
      </c>
      <c r="FT114" s="3">
        <f t="shared" si="50"/>
        <v>79.408396243501599</v>
      </c>
      <c r="FY114" s="3">
        <f>'Renewable Diesel'!BF123*('Renewable Diesel'!BI123/'Renewable Diesel'!AX123)</f>
        <v>10.054003319892473</v>
      </c>
      <c r="FZ114" s="3">
        <f>('Renewable Diesel'!BJ123*'Renewable Diesel'!BG123)/12</f>
        <v>33.448812581147266</v>
      </c>
      <c r="GA114" s="3">
        <f t="shared" si="51"/>
        <v>83.47645848181854</v>
      </c>
      <c r="GD114" s="91">
        <f>'Renewable Diesel'!BB123*0</f>
        <v>0</v>
      </c>
      <c r="GE114" s="91">
        <f>'Renewable Diesel'!BC123</f>
        <v>0.28082600000000002</v>
      </c>
      <c r="GF114" s="91">
        <f>'Renewable Diesel'!BD123</f>
        <v>0</v>
      </c>
      <c r="GG114" s="91">
        <f t="shared" si="49"/>
        <v>0.28082600000000002</v>
      </c>
      <c r="GH114" s="124">
        <v>1</v>
      </c>
      <c r="GI114" s="102">
        <f>$GG114*EA114*'Feedstock Conversion Rates'!$B$2</f>
        <v>0.13614383971210442</v>
      </c>
      <c r="GJ114" s="102">
        <f>$GG114*EB114*'Feedstock Conversion Rates'!$B$3</f>
        <v>5.8947058074348073E-2</v>
      </c>
      <c r="GK114" s="102">
        <f>$GG114*EC114*'Feedstock Conversion Rates'!$B$4</f>
        <v>0.70084281385904801</v>
      </c>
      <c r="GL114" s="102">
        <f>$GG114*ED114*'Feedstock Conversion Rates'!$B$5</f>
        <v>0</v>
      </c>
      <c r="GM114" s="102">
        <f>$GG114*EE114*'Feedstock Conversion Rates'!$B$6</f>
        <v>0.6706701782187402</v>
      </c>
      <c r="GN114" s="102">
        <f>$GG114*EF114*'Feedstock Conversion Rates'!$B$7</f>
        <v>0.66257485236424696</v>
      </c>
      <c r="GO114" s="102">
        <f>$GG114*EG114*'Feedstock Conversion Rates'!$B$8</f>
        <v>0.19204838619904013</v>
      </c>
      <c r="GP114" s="102">
        <f>$GG114*EH114*'Feedstock Conversion Rates'!B$9</f>
        <v>0</v>
      </c>
      <c r="GQ114" s="102">
        <f t="shared" si="45"/>
        <v>2.4212271284275277</v>
      </c>
      <c r="GR114" s="85">
        <f t="shared" si="53"/>
        <v>8.621805418399747</v>
      </c>
      <c r="GT114" s="103">
        <f t="shared" si="47"/>
        <v>5.6229272385744086E-2</v>
      </c>
      <c r="GU114" s="103">
        <f t="shared" si="47"/>
        <v>2.4345943171647597E-2</v>
      </c>
      <c r="GV114" s="103">
        <f t="shared" si="47"/>
        <v>0.28945769094955259</v>
      </c>
      <c r="GW114" s="103">
        <f t="shared" si="46"/>
        <v>0</v>
      </c>
      <c r="GX114" s="103">
        <f t="shared" si="46"/>
        <v>0.27699597875161291</v>
      </c>
      <c r="GY114" s="103">
        <f t="shared" si="46"/>
        <v>0.27365249818366189</v>
      </c>
      <c r="GZ114" s="103">
        <f t="shared" si="46"/>
        <v>7.9318616557780955E-2</v>
      </c>
      <c r="HA114" s="103">
        <f t="shared" si="46"/>
        <v>0</v>
      </c>
    </row>
    <row r="115" spans="1:209" x14ac:dyDescent="0.25">
      <c r="A115" s="96">
        <v>43922</v>
      </c>
      <c r="B115" s="104">
        <f t="shared" si="61"/>
        <v>65.5</v>
      </c>
      <c r="C115" s="105"/>
      <c r="D115" s="104">
        <v>0</v>
      </c>
      <c r="E115" s="104">
        <f>('Renewable Diesel'!B124*E$3*'Feedstock Conversion Rates'!$B$2)/12-15</f>
        <v>22.796666666666667</v>
      </c>
      <c r="F115" s="104">
        <f>('Renewable Diesel'!B124*'RD Feedstock Breakdown'!F$3*'Feedstock Conversion Rates'!B$8)/12+8.5-4-2+4</f>
        <v>29.15625</v>
      </c>
      <c r="G115" s="104">
        <f>('Renewable Diesel'!B124*'RD Feedstock Breakdown'!G$3*'Feedstock Conversion Rates'!B$7)/12+5+3</f>
        <v>82.036999999999992</v>
      </c>
      <c r="H115" s="104">
        <f>('Renewable Diesel'!B124*'RD Feedstock Breakdown'!H$3*'Feedstock Conversion Rates'!B$3)/12-45-20</f>
        <v>9.1392249999999962</v>
      </c>
      <c r="I115" s="106">
        <f t="shared" si="52"/>
        <v>208.62914166666667</v>
      </c>
      <c r="J115" s="106"/>
      <c r="K115" s="107"/>
      <c r="L115" s="106"/>
      <c r="R115" s="104">
        <f>('Renewable Diesel'!D124*'RD Feedstock Breakdown'!R$3*'Feedstock Conversion Rates'!B$7)/12</f>
        <v>2.2999999999999998</v>
      </c>
      <c r="S115" s="106">
        <f t="shared" si="27"/>
        <v>2.2999999999999998</v>
      </c>
      <c r="T115" s="107"/>
      <c r="U115" s="106"/>
      <c r="Y115" s="104"/>
      <c r="Z115" s="104">
        <f>('Renewable Diesel'!F124*'RD Feedstock Breakdown'!Z$3*'Feedstock Conversion Rates'!B$6)/12+17.5-5</f>
        <v>57.055000000000007</v>
      </c>
      <c r="AA115" s="104">
        <f>('Renewable Diesel'!F124*'RD Feedstock Breakdown'!AA$3*'Feedstock Conversion Rates'!B$7)/12-12.5</f>
        <v>16.633333333333329</v>
      </c>
      <c r="AB115" s="106">
        <f t="shared" ref="AB115:AB178" si="62">SUM(Y115:AA115)</f>
        <v>73.688333333333333</v>
      </c>
      <c r="AC115" s="108"/>
      <c r="AG115" s="108"/>
      <c r="AI115" s="104">
        <f>('Renewable Diesel'!H124*'RD Feedstock Breakdown'!AI$3*'Feedstock Conversion Rates'!B$6)/12</f>
        <v>39.083333333333336</v>
      </c>
      <c r="AJ115" s="106">
        <f t="shared" si="26"/>
        <v>39.083333333333336</v>
      </c>
      <c r="AK115" s="104">
        <f>('Renewable Diesel'!J124*'RD Feedstock Breakdown'!AK$3*'Feedstock Conversion Rates'!B$4)/12</f>
        <v>62.5</v>
      </c>
      <c r="AL115" s="106">
        <f t="shared" si="28"/>
        <v>62.5</v>
      </c>
      <c r="AT115" s="108"/>
      <c r="BJ115" s="104">
        <f>('Renewable Diesel'!W124*'RD Feedstock Breakdown'!BJ$3*'Feedstock Conversion Rates'!B$4)/12-2.5</f>
        <v>5</v>
      </c>
      <c r="BK115" s="104">
        <f>('Renewable Diesel'!W124*'RD Feedstock Breakdown'!BK$3*'Feedstock Conversion Rates'!B$3)/12</f>
        <v>1.335</v>
      </c>
      <c r="BL115" s="104">
        <f>('Renewable Diesel'!W124*'RD Feedstock Breakdown'!BL$3*'Feedstock Conversion Rates'!B$6)/12+2.5</f>
        <v>5.6266666666666669</v>
      </c>
      <c r="BM115" s="104">
        <f>('Renewable Diesel'!W124*'RD Feedstock Breakdown'!BM$3*'Feedstock Conversion Rates'!B$7)/12</f>
        <v>1.5333333333333332</v>
      </c>
      <c r="BN115" s="106">
        <f t="shared" si="54"/>
        <v>13.494999999999999</v>
      </c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7"/>
      <c r="BY115" s="106"/>
      <c r="BZ115" s="106"/>
      <c r="CA115" s="106"/>
      <c r="CB115" s="106"/>
      <c r="CC115" s="106"/>
      <c r="CD115" s="106"/>
      <c r="CE115" s="106"/>
      <c r="CF115" s="106"/>
      <c r="CG115" s="106"/>
      <c r="CH115" s="106"/>
      <c r="CI115" s="107"/>
      <c r="CJ115" s="106"/>
      <c r="CK115" s="106"/>
      <c r="CL115" s="106"/>
      <c r="CM115" s="106"/>
      <c r="CN115" s="106"/>
      <c r="CO115" s="106"/>
      <c r="CP115" s="106"/>
      <c r="CQ115" s="106"/>
      <c r="CR115" s="106"/>
      <c r="CS115" s="106"/>
      <c r="CT115" s="106"/>
      <c r="CU115" s="106"/>
      <c r="CV115" s="106"/>
      <c r="CW115" s="106"/>
      <c r="CX115" s="106"/>
      <c r="CY115" s="106"/>
      <c r="CZ115" s="106"/>
      <c r="DA115" s="106"/>
      <c r="DB115" s="106"/>
      <c r="DC115" s="106"/>
      <c r="DD115" s="107"/>
      <c r="DE115" s="106"/>
      <c r="DF115" s="106"/>
      <c r="DG115" s="106"/>
      <c r="DH115" s="106"/>
      <c r="DI115" s="106"/>
      <c r="DJ115" s="107"/>
      <c r="DK115" s="106"/>
      <c r="DL115" s="106"/>
      <c r="DM115" s="106"/>
      <c r="DN115" s="106"/>
      <c r="DP115" s="104">
        <f t="shared" si="30"/>
        <v>22.796666666666667</v>
      </c>
      <c r="DQ115" s="104">
        <f t="shared" si="31"/>
        <v>10.474224999999997</v>
      </c>
      <c r="DR115" s="104">
        <f t="shared" si="39"/>
        <v>133</v>
      </c>
      <c r="DS115" s="107"/>
      <c r="DT115" s="104">
        <f t="shared" si="32"/>
        <v>101.76500000000001</v>
      </c>
      <c r="DU115" s="104">
        <f t="shared" si="33"/>
        <v>102.50366666666665</v>
      </c>
      <c r="DV115" s="104">
        <f t="shared" si="34"/>
        <v>29.15625</v>
      </c>
      <c r="DW115" s="104">
        <f t="shared" si="35"/>
        <v>0</v>
      </c>
      <c r="DX115" s="106">
        <f t="shared" si="36"/>
        <v>399.69580833333328</v>
      </c>
      <c r="DY115" s="109">
        <f t="shared" si="37"/>
        <v>5.6843418860808015E-14</v>
      </c>
      <c r="EA115" s="110">
        <f t="shared" si="55"/>
        <v>5.7035040626833372E-2</v>
      </c>
      <c r="EB115" s="110">
        <f t="shared" si="55"/>
        <v>2.6205491230132778E-2</v>
      </c>
      <c r="EC115" s="110">
        <f t="shared" si="55"/>
        <v>0.33275305176351094</v>
      </c>
      <c r="ED115" s="107"/>
      <c r="EE115" s="110">
        <f t="shared" si="56"/>
        <v>0.25460612265198268</v>
      </c>
      <c r="EF115" s="110">
        <f t="shared" si="56"/>
        <v>0.25645419473896991</v>
      </c>
      <c r="EG115" s="111">
        <f t="shared" si="56"/>
        <v>7.2946098988570421E-2</v>
      </c>
      <c r="EH115" s="111">
        <f t="shared" si="40"/>
        <v>0</v>
      </c>
      <c r="EI115" s="110">
        <f t="shared" si="41"/>
        <v>1.0000000000000002</v>
      </c>
      <c r="EK115" s="112">
        <f>(EA115*'Renewable Diesel'!BF124*'Feedstock Conversion Rates'!B$2)+FB115</f>
        <v>17.836228069729785</v>
      </c>
      <c r="EL115" s="112">
        <f>(EB115*'Renewable Diesel'!BF124*'Feedstock Conversion Rates'!B$3)+FC115</f>
        <v>7.7226643091380387</v>
      </c>
      <c r="EM115" s="112">
        <f>(EC115*'Renewable Diesel'!BF124*'Feedstock Conversion Rates'!B$4)+FD115</f>
        <v>91.817538681551952</v>
      </c>
      <c r="EN115" s="107"/>
      <c r="EO115" s="112">
        <f>(EE115*'Renewable Diesel'!BF124*'Feedstock Conversion Rates'!B$6)+FF115</f>
        <v>87.864616449569837</v>
      </c>
      <c r="EP115" s="112">
        <f>(EF115*'Renewable Diesel'!BF124*'Feedstock Conversion Rates'!B$7)+FG115</f>
        <v>86.804046404352533</v>
      </c>
      <c r="EQ115" s="112">
        <f>(EG115*'Renewable Diesel'!BF124*'Feedstock Conversion Rates'!B$8)+FH115</f>
        <v>25.16029240774435</v>
      </c>
      <c r="ER115" s="112">
        <f>(EH115*'Renewable Diesel'!BF124*'Feedstock Conversion Rates'!B$9)+FI115</f>
        <v>0</v>
      </c>
      <c r="ES115" s="112">
        <f t="shared" si="42"/>
        <v>317.2053863220865</v>
      </c>
      <c r="EW115" s="73">
        <f t="shared" si="58"/>
        <v>91.817538681551952</v>
      </c>
      <c r="EX115" s="73">
        <f t="shared" si="59"/>
        <v>225.38784764053455</v>
      </c>
      <c r="EY115" s="92">
        <f t="shared" si="38"/>
        <v>0.28945769094955259</v>
      </c>
      <c r="EZ115" s="92">
        <f t="shared" si="38"/>
        <v>0.71054230905044735</v>
      </c>
      <c r="FB115" s="102">
        <f>IF('Renewable Diesel'!$BG124&lt;1,0,(((('Renewable Diesel'!$BG124-1)*'Renewable Diesel'!$BF124)*'RD Feedstock Breakdown'!EA115)*'Feedstock Conversion Rates'!$B$2))</f>
        <v>0</v>
      </c>
      <c r="FC115" s="102">
        <f>IF('Renewable Diesel'!$BG124&lt;1,0,(((('Renewable Diesel'!$BG124-1)*'Renewable Diesel'!$BF124)*'RD Feedstock Breakdown'!EB115)*'Feedstock Conversion Rates'!$B$3))</f>
        <v>0</v>
      </c>
      <c r="FD115" s="102">
        <f>IF('Renewable Diesel'!$BG124&lt;1,0,(((('Renewable Diesel'!$BG124-1)*'Renewable Diesel'!$BF124)*'RD Feedstock Breakdown'!EC115)*'Feedstock Conversion Rates'!$B$4))</f>
        <v>0</v>
      </c>
      <c r="FE115" s="107"/>
      <c r="FF115" s="102">
        <f>IF('Renewable Diesel'!$BG124&lt;1,0,(((('Renewable Diesel'!$BG124-1)*'Renewable Diesel'!$BF124)*'RD Feedstock Breakdown'!EE115)*'Feedstock Conversion Rates'!$B$6))</f>
        <v>0</v>
      </c>
      <c r="FG115" s="102">
        <f>IF('Renewable Diesel'!$BG124&lt;1,0,(((('Renewable Diesel'!$BG124-1)*'Renewable Diesel'!$BF124)*'RD Feedstock Breakdown'!EF115)*'Feedstock Conversion Rates'!$B$7))</f>
        <v>0</v>
      </c>
      <c r="FH115" s="102">
        <f>IF('Renewable Diesel'!$BG124&lt;1,0,(((('Renewable Diesel'!$BG124-1)*'Renewable Diesel'!$BF124)*'RD Feedstock Breakdown'!EG115)*'Feedstock Conversion Rates'!$B$8))</f>
        <v>0</v>
      </c>
      <c r="FI115" s="102">
        <f>IF('Renewable Diesel'!$BG124&lt;1,0,(((('Renewable Diesel'!$BG124-1)*'Renewable Diesel'!$BF124)*'RD Feedstock Breakdown'!EH115)*'Feedstock Conversion Rates'!$B$9))</f>
        <v>0</v>
      </c>
      <c r="FJ115" s="102">
        <f t="shared" si="60"/>
        <v>0</v>
      </c>
      <c r="FR115" s="3">
        <f>('Renewable Diesel'!AX124-'Renewable Diesel'!BI124)/12*$FO$80</f>
        <v>31.818749999999998</v>
      </c>
      <c r="FS115" s="100">
        <f t="shared" si="48"/>
        <v>0.33275305176351094</v>
      </c>
      <c r="FT115" s="3">
        <f t="shared" si="50"/>
        <v>79.408396243501599</v>
      </c>
      <c r="FY115" s="3">
        <f>'Renewable Diesel'!BF124*('Renewable Diesel'!BI124/'Renewable Diesel'!AX124)</f>
        <v>8.8186463732078852</v>
      </c>
      <c r="FZ115" s="3">
        <f>('Renewable Diesel'!BJ124*'Renewable Diesel'!BG124)/12</f>
        <v>27.446053948330974</v>
      </c>
      <c r="GA115" s="3">
        <f t="shared" si="51"/>
        <v>68.495686576298183</v>
      </c>
      <c r="GD115" s="91">
        <f>'Renewable Diesel'!BB124*0</f>
        <v>0</v>
      </c>
      <c r="GE115" s="91">
        <f>'Renewable Diesel'!BC124</f>
        <v>1.234442</v>
      </c>
      <c r="GF115" s="91">
        <f>'Renewable Diesel'!BD124</f>
        <v>0</v>
      </c>
      <c r="GG115" s="91">
        <f t="shared" si="49"/>
        <v>1.234442</v>
      </c>
      <c r="GH115" s="124">
        <v>1</v>
      </c>
      <c r="GI115" s="102">
        <f>$GG115*EA115*'Feedstock Conversion Rates'!$B$2</f>
        <v>0.59845482178249021</v>
      </c>
      <c r="GJ115" s="102">
        <f>$GG115*EB115*'Feedstock Conversion Rates'!$B$3</f>
        <v>0.25911676363091163</v>
      </c>
      <c r="GK115" s="102">
        <f>$GG115*EC115*'Feedstock Conversion Rates'!$B$4</f>
        <v>3.0807325704378896</v>
      </c>
      <c r="GL115" s="102">
        <f>$GG115*ED115*'Feedstock Conversion Rates'!$B$5</f>
        <v>0</v>
      </c>
      <c r="GM115" s="102">
        <f>$GG115*EE115*'Feedstock Conversion Rates'!$B$6</f>
        <v>2.9481010880071579</v>
      </c>
      <c r="GN115" s="102">
        <f>$GG115*EF115*'Feedstock Conversion Rates'!$B$7</f>
        <v>2.9125160273700641</v>
      </c>
      <c r="GO115" s="102">
        <f>$GG115*EG115*'Feedstock Conversion Rates'!$B$8</f>
        <v>0.8441974530717079</v>
      </c>
      <c r="GP115" s="102">
        <f>$GG115*EH115*'Feedstock Conversion Rates'!B$9</f>
        <v>0</v>
      </c>
      <c r="GQ115" s="102">
        <f t="shared" si="45"/>
        <v>10.643118724300221</v>
      </c>
      <c r="GR115" s="85">
        <f t="shared" si="53"/>
        <v>8.621805418399747</v>
      </c>
      <c r="GT115" s="103">
        <f t="shared" si="47"/>
        <v>5.6229272385744086E-2</v>
      </c>
      <c r="GU115" s="103">
        <f t="shared" si="47"/>
        <v>2.4345943171647594E-2</v>
      </c>
      <c r="GV115" s="103">
        <f t="shared" si="47"/>
        <v>0.28945769094955259</v>
      </c>
      <c r="GW115" s="103">
        <f t="shared" si="46"/>
        <v>0</v>
      </c>
      <c r="GX115" s="103">
        <f t="shared" si="46"/>
        <v>0.27699597875161291</v>
      </c>
      <c r="GY115" s="103">
        <f t="shared" si="46"/>
        <v>0.27365249818366183</v>
      </c>
      <c r="GZ115" s="103">
        <f t="shared" si="46"/>
        <v>7.9318616557780941E-2</v>
      </c>
      <c r="HA115" s="103">
        <f t="shared" si="46"/>
        <v>0</v>
      </c>
    </row>
    <row r="116" spans="1:209" x14ac:dyDescent="0.25">
      <c r="A116" s="96">
        <v>43952</v>
      </c>
      <c r="B116" s="104">
        <f t="shared" si="61"/>
        <v>65.5</v>
      </c>
      <c r="C116" s="105"/>
      <c r="D116" s="104">
        <v>0</v>
      </c>
      <c r="E116" s="104">
        <f>('Renewable Diesel'!B125*E$3*'Feedstock Conversion Rates'!$B$2)/12-15</f>
        <v>22.796666666666667</v>
      </c>
      <c r="F116" s="104">
        <f>('Renewable Diesel'!B125*'RD Feedstock Breakdown'!F$3*'Feedstock Conversion Rates'!B$8)/12+8.5-4-2+4</f>
        <v>29.15625</v>
      </c>
      <c r="G116" s="104">
        <f>('Renewable Diesel'!B125*'RD Feedstock Breakdown'!G$3*'Feedstock Conversion Rates'!B$7)/12+5+3</f>
        <v>82.036999999999992</v>
      </c>
      <c r="H116" s="104">
        <f>('Renewable Diesel'!B125*'RD Feedstock Breakdown'!H$3*'Feedstock Conversion Rates'!B$3)/12-45-20</f>
        <v>9.1392249999999962</v>
      </c>
      <c r="I116" s="106">
        <f t="shared" si="52"/>
        <v>208.62914166666667</v>
      </c>
      <c r="J116" s="106"/>
      <c r="K116" s="107"/>
      <c r="L116" s="106"/>
      <c r="R116" s="104">
        <f>('Renewable Diesel'!D125*'RD Feedstock Breakdown'!R$3*'Feedstock Conversion Rates'!B$7)/12</f>
        <v>2.2999999999999998</v>
      </c>
      <c r="S116" s="106">
        <f t="shared" si="27"/>
        <v>2.2999999999999998</v>
      </c>
      <c r="T116" s="107"/>
      <c r="U116" s="106"/>
      <c r="Y116" s="104"/>
      <c r="Z116" s="104">
        <f>('Renewable Diesel'!F125*'RD Feedstock Breakdown'!Z$3*'Feedstock Conversion Rates'!B$6)/12+17.5-5</f>
        <v>57.055000000000007</v>
      </c>
      <c r="AA116" s="104">
        <f>('Renewable Diesel'!F125*'RD Feedstock Breakdown'!AA$3*'Feedstock Conversion Rates'!B$7)/12-12.5</f>
        <v>16.633333333333329</v>
      </c>
      <c r="AB116" s="106">
        <f t="shared" si="62"/>
        <v>73.688333333333333</v>
      </c>
      <c r="AC116" s="108"/>
      <c r="AG116" s="108"/>
      <c r="AI116" s="104">
        <f>('Renewable Diesel'!H125*'RD Feedstock Breakdown'!AI$3*'Feedstock Conversion Rates'!B$6)/12</f>
        <v>39.083333333333336</v>
      </c>
      <c r="AJ116" s="106">
        <f t="shared" si="26"/>
        <v>39.083333333333336</v>
      </c>
      <c r="AK116" s="104">
        <f>('Renewable Diesel'!J125*'RD Feedstock Breakdown'!AK$3*'Feedstock Conversion Rates'!B$4)/12</f>
        <v>62.5</v>
      </c>
      <c r="AL116" s="106">
        <f t="shared" si="28"/>
        <v>62.5</v>
      </c>
      <c r="AT116" s="108"/>
      <c r="BJ116" s="104">
        <f>('Renewable Diesel'!W125*'RD Feedstock Breakdown'!BJ$3*'Feedstock Conversion Rates'!B$4)/12-2.5</f>
        <v>5</v>
      </c>
      <c r="BK116" s="104">
        <f>('Renewable Diesel'!W125*'RD Feedstock Breakdown'!BK$3*'Feedstock Conversion Rates'!B$3)/12</f>
        <v>1.335</v>
      </c>
      <c r="BL116" s="104">
        <f>('Renewable Diesel'!W125*'RD Feedstock Breakdown'!BL$3*'Feedstock Conversion Rates'!B$6)/12+2.5</f>
        <v>5.6266666666666669</v>
      </c>
      <c r="BM116" s="104">
        <f>('Renewable Diesel'!W125*'RD Feedstock Breakdown'!BM$3*'Feedstock Conversion Rates'!B$7)/12</f>
        <v>1.5333333333333332</v>
      </c>
      <c r="BN116" s="106">
        <f t="shared" si="54"/>
        <v>13.494999999999999</v>
      </c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7"/>
      <c r="BY116" s="106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7"/>
      <c r="CJ116" s="106"/>
      <c r="CK116" s="106"/>
      <c r="CL116" s="106"/>
      <c r="CM116" s="106"/>
      <c r="CN116" s="106"/>
      <c r="CO116" s="106"/>
      <c r="CP116" s="106"/>
      <c r="CQ116" s="106"/>
      <c r="CR116" s="106"/>
      <c r="CS116" s="106"/>
      <c r="CT116" s="106"/>
      <c r="CU116" s="106"/>
      <c r="CV116" s="106"/>
      <c r="CW116" s="106"/>
      <c r="CX116" s="106"/>
      <c r="CY116" s="106"/>
      <c r="CZ116" s="106"/>
      <c r="DA116" s="106"/>
      <c r="DB116" s="106"/>
      <c r="DC116" s="106"/>
      <c r="DD116" s="107"/>
      <c r="DE116" s="106"/>
      <c r="DF116" s="106"/>
      <c r="DG116" s="106"/>
      <c r="DH116" s="106"/>
      <c r="DI116" s="106"/>
      <c r="DJ116" s="107"/>
      <c r="DK116" s="106"/>
      <c r="DL116" s="106"/>
      <c r="DM116" s="106"/>
      <c r="DN116" s="106"/>
      <c r="DP116" s="104">
        <f t="shared" si="30"/>
        <v>22.796666666666667</v>
      </c>
      <c r="DQ116" s="104">
        <f t="shared" si="31"/>
        <v>10.474224999999997</v>
      </c>
      <c r="DR116" s="104">
        <f t="shared" si="39"/>
        <v>133</v>
      </c>
      <c r="DS116" s="107"/>
      <c r="DT116" s="104">
        <f t="shared" si="32"/>
        <v>101.76500000000001</v>
      </c>
      <c r="DU116" s="104">
        <f t="shared" si="33"/>
        <v>102.50366666666665</v>
      </c>
      <c r="DV116" s="104">
        <f t="shared" si="34"/>
        <v>29.15625</v>
      </c>
      <c r="DW116" s="104">
        <f t="shared" si="35"/>
        <v>0</v>
      </c>
      <c r="DX116" s="106">
        <f t="shared" si="36"/>
        <v>399.69580833333328</v>
      </c>
      <c r="DY116" s="109">
        <f t="shared" si="37"/>
        <v>5.6843418860808015E-14</v>
      </c>
      <c r="EA116" s="110">
        <f t="shared" si="55"/>
        <v>5.7035040626833372E-2</v>
      </c>
      <c r="EB116" s="110">
        <f t="shared" si="55"/>
        <v>2.6205491230132778E-2</v>
      </c>
      <c r="EC116" s="110">
        <f t="shared" si="55"/>
        <v>0.33275305176351094</v>
      </c>
      <c r="ED116" s="107"/>
      <c r="EE116" s="110">
        <f t="shared" si="56"/>
        <v>0.25460612265198268</v>
      </c>
      <c r="EF116" s="110">
        <f t="shared" si="56"/>
        <v>0.25645419473896991</v>
      </c>
      <c r="EG116" s="111">
        <f t="shared" si="56"/>
        <v>7.2946098988570421E-2</v>
      </c>
      <c r="EH116" s="111">
        <f t="shared" si="40"/>
        <v>0</v>
      </c>
      <c r="EI116" s="110">
        <f t="shared" si="41"/>
        <v>1.0000000000000002</v>
      </c>
      <c r="EK116" s="112">
        <f>(EA116*'Renewable Diesel'!BF125*'Feedstock Conversion Rates'!B$2)+FB116</f>
        <v>20.441525388150914</v>
      </c>
      <c r="EL116" s="112">
        <f>(EB116*'Renewable Diesel'!BF125*'Feedstock Conversion Rates'!B$3)+FC116</f>
        <v>8.8506963424248113</v>
      </c>
      <c r="EM116" s="112">
        <f>(EC116*'Renewable Diesel'!BF125*'Feedstock Conversion Rates'!B$4)+FD116</f>
        <v>105.22911798945771</v>
      </c>
      <c r="EN116" s="107"/>
      <c r="EO116" s="112">
        <f>(EE116*'Renewable Diesel'!BF125*'Feedstock Conversion Rates'!B$6)+FF116</f>
        <v>100.69880138627509</v>
      </c>
      <c r="EP116" s="112">
        <f>(EF116*'Renewable Diesel'!BF125*'Feedstock Conversion Rates'!B$7)+FG116</f>
        <v>99.483316283681305</v>
      </c>
      <c r="EQ116" s="112">
        <f>(EG116*'Renewable Diesel'!BF125*'Feedstock Conversion Rates'!B$8)+FH116</f>
        <v>28.835399167106448</v>
      </c>
      <c r="ER116" s="112">
        <f>(EH116*'Renewable Diesel'!BF125*'Feedstock Conversion Rates'!B$9)+FI116</f>
        <v>0</v>
      </c>
      <c r="ES116" s="112">
        <f t="shared" si="42"/>
        <v>363.53885655709627</v>
      </c>
      <c r="EW116" s="73">
        <f t="shared" si="58"/>
        <v>105.22911798945771</v>
      </c>
      <c r="EX116" s="73">
        <f t="shared" si="59"/>
        <v>258.30973856763859</v>
      </c>
      <c r="EY116" s="92">
        <f t="shared" si="38"/>
        <v>0.28945769094955259</v>
      </c>
      <c r="EZ116" s="92">
        <f t="shared" si="38"/>
        <v>0.71054230905044746</v>
      </c>
      <c r="FB116" s="102">
        <f>IF('Renewable Diesel'!$BG125&lt;1,0,(((('Renewable Diesel'!$BG125-1)*'Renewable Diesel'!$BF125)*'RD Feedstock Breakdown'!EA116)*'Feedstock Conversion Rates'!$B$2))</f>
        <v>0</v>
      </c>
      <c r="FC116" s="102">
        <f>IF('Renewable Diesel'!$BG125&lt;1,0,(((('Renewable Diesel'!$BG125-1)*'Renewable Diesel'!$BF125)*'RD Feedstock Breakdown'!EB116)*'Feedstock Conversion Rates'!$B$3))</f>
        <v>0</v>
      </c>
      <c r="FD116" s="102">
        <f>IF('Renewable Diesel'!$BG125&lt;1,0,(((('Renewable Diesel'!$BG125-1)*'Renewable Diesel'!$BF125)*'RD Feedstock Breakdown'!EC116)*'Feedstock Conversion Rates'!$B$4))</f>
        <v>0</v>
      </c>
      <c r="FE116" s="107"/>
      <c r="FF116" s="102">
        <f>IF('Renewable Diesel'!$BG125&lt;1,0,(((('Renewable Diesel'!$BG125-1)*'Renewable Diesel'!$BF125)*'RD Feedstock Breakdown'!EE116)*'Feedstock Conversion Rates'!$B$6))</f>
        <v>0</v>
      </c>
      <c r="FG116" s="102">
        <f>IF('Renewable Diesel'!$BG125&lt;1,0,(((('Renewable Diesel'!$BG125-1)*'Renewable Diesel'!$BF125)*'RD Feedstock Breakdown'!EF116)*'Feedstock Conversion Rates'!$B$7))</f>
        <v>0</v>
      </c>
      <c r="FH116" s="102">
        <f>IF('Renewable Diesel'!$BG125&lt;1,0,(((('Renewable Diesel'!$BG125-1)*'Renewable Diesel'!$BF125)*'RD Feedstock Breakdown'!EG116)*'Feedstock Conversion Rates'!$B$8))</f>
        <v>0</v>
      </c>
      <c r="FI116" s="102">
        <f>IF('Renewable Diesel'!$BG125&lt;1,0,(((('Renewable Diesel'!$BG125-1)*'Renewable Diesel'!$BF125)*'RD Feedstock Breakdown'!EH116)*'Feedstock Conversion Rates'!$B$9))</f>
        <v>0</v>
      </c>
      <c r="FJ116" s="102">
        <f t="shared" si="60"/>
        <v>0</v>
      </c>
      <c r="FR116" s="3">
        <f>('Renewable Diesel'!AX125-'Renewable Diesel'!BI125)/12*$FO$80</f>
        <v>31.818749999999998</v>
      </c>
      <c r="FS116" s="100">
        <f t="shared" si="48"/>
        <v>0.33275305176351094</v>
      </c>
      <c r="FT116" s="3">
        <f t="shared" si="50"/>
        <v>79.408396243501599</v>
      </c>
      <c r="FY116" s="3">
        <f>'Renewable Diesel'!BF125*('Renewable Diesel'!BI125/'Renewable Diesel'!AX125)</f>
        <v>10.106766017025089</v>
      </c>
      <c r="FZ116" s="3">
        <f>('Renewable Diesel'!BJ125*'Renewable Diesel'!BG125)/12</f>
        <v>32.503537927182897</v>
      </c>
      <c r="GA116" s="3">
        <f t="shared" si="51"/>
        <v>81.117385787858481</v>
      </c>
      <c r="GD116" s="91">
        <f>'Renewable Diesel'!BB125*0</f>
        <v>0</v>
      </c>
      <c r="GE116" s="91">
        <f>'Renewable Diesel'!BC125</f>
        <v>0</v>
      </c>
      <c r="GF116" s="91">
        <f>'Renewable Diesel'!BD125</f>
        <v>0</v>
      </c>
      <c r="GG116" s="91">
        <f t="shared" si="49"/>
        <v>0</v>
      </c>
      <c r="GH116" s="124">
        <v>1</v>
      </c>
      <c r="GI116" s="102">
        <f>$GG116*EA116*'Feedstock Conversion Rates'!$B$2</f>
        <v>0</v>
      </c>
      <c r="GJ116" s="102">
        <f>$GG116*EB116*'Feedstock Conversion Rates'!$B$3</f>
        <v>0</v>
      </c>
      <c r="GK116" s="102">
        <f>$GG116*EC116*'Feedstock Conversion Rates'!$B$4</f>
        <v>0</v>
      </c>
      <c r="GL116" s="102">
        <f>$GG116*ED116*'Feedstock Conversion Rates'!$B$5</f>
        <v>0</v>
      </c>
      <c r="GM116" s="102">
        <f>$GG116*EE116*'Feedstock Conversion Rates'!$B$6</f>
        <v>0</v>
      </c>
      <c r="GN116" s="102">
        <f>$GG116*EF116*'Feedstock Conversion Rates'!$B$7</f>
        <v>0</v>
      </c>
      <c r="GO116" s="102">
        <f>$GG116*EG116*'Feedstock Conversion Rates'!$B$8</f>
        <v>0</v>
      </c>
      <c r="GP116" s="102">
        <f>$GG116*EH116*'Feedstock Conversion Rates'!B$9</f>
        <v>0</v>
      </c>
      <c r="GQ116" s="102">
        <f t="shared" si="45"/>
        <v>0</v>
      </c>
      <c r="GR116" s="85">
        <v>0</v>
      </c>
      <c r="GT116" s="103">
        <f t="shared" si="47"/>
        <v>5.6229272385744086E-2</v>
      </c>
      <c r="GU116" s="103">
        <f t="shared" si="47"/>
        <v>2.434594317164759E-2</v>
      </c>
      <c r="GV116" s="103">
        <f t="shared" si="47"/>
        <v>0.28945769094955259</v>
      </c>
      <c r="GW116" s="103">
        <f t="shared" si="46"/>
        <v>0</v>
      </c>
      <c r="GX116" s="103">
        <f t="shared" si="46"/>
        <v>0.27699597875161291</v>
      </c>
      <c r="GY116" s="103">
        <f t="shared" si="46"/>
        <v>0.27365249818366189</v>
      </c>
      <c r="GZ116" s="103">
        <f t="shared" si="46"/>
        <v>7.9318616557780941E-2</v>
      </c>
      <c r="HA116" s="103">
        <f t="shared" si="46"/>
        <v>0</v>
      </c>
    </row>
    <row r="117" spans="1:209" x14ac:dyDescent="0.25">
      <c r="A117" s="96">
        <v>43983</v>
      </c>
      <c r="B117" s="104">
        <f t="shared" si="61"/>
        <v>65.5</v>
      </c>
      <c r="C117" s="105"/>
      <c r="D117" s="104">
        <v>0</v>
      </c>
      <c r="E117" s="104">
        <f>('Renewable Diesel'!B126*E$3*'Feedstock Conversion Rates'!$B$2)/12-15</f>
        <v>22.796666666666667</v>
      </c>
      <c r="F117" s="104">
        <f>('Renewable Diesel'!B126*'RD Feedstock Breakdown'!F$3*'Feedstock Conversion Rates'!B$8)/12+8.5-4-2+4</f>
        <v>29.15625</v>
      </c>
      <c r="G117" s="104">
        <f>('Renewable Diesel'!B126*'RD Feedstock Breakdown'!G$3*'Feedstock Conversion Rates'!B$7)/12+5+3</f>
        <v>82.036999999999992</v>
      </c>
      <c r="H117" s="104">
        <f>('Renewable Diesel'!B126*'RD Feedstock Breakdown'!H$3*'Feedstock Conversion Rates'!B$3)/12-45-20</f>
        <v>9.1392249999999962</v>
      </c>
      <c r="I117" s="106">
        <f t="shared" si="52"/>
        <v>208.62914166666667</v>
      </c>
      <c r="J117" s="106"/>
      <c r="K117" s="107"/>
      <c r="L117" s="106"/>
      <c r="R117" s="104">
        <f>('Renewable Diesel'!D126*'RD Feedstock Breakdown'!R$3*'Feedstock Conversion Rates'!B$7)/12</f>
        <v>2.2999999999999998</v>
      </c>
      <c r="S117" s="106">
        <f t="shared" si="27"/>
        <v>2.2999999999999998</v>
      </c>
      <c r="T117" s="107"/>
      <c r="U117" s="106"/>
      <c r="Y117" s="104"/>
      <c r="Z117" s="104">
        <f>('Renewable Diesel'!F126*'RD Feedstock Breakdown'!Z$3*'Feedstock Conversion Rates'!B$6)/12+17.5-5</f>
        <v>57.055000000000007</v>
      </c>
      <c r="AA117" s="104">
        <f>('Renewable Diesel'!F126*'RD Feedstock Breakdown'!AA$3*'Feedstock Conversion Rates'!B$7)/12-12.5</f>
        <v>16.633333333333329</v>
      </c>
      <c r="AB117" s="106">
        <f t="shared" si="62"/>
        <v>73.688333333333333</v>
      </c>
      <c r="AC117" s="108"/>
      <c r="AG117" s="108"/>
      <c r="AI117" s="104">
        <f>('Renewable Diesel'!H126*'RD Feedstock Breakdown'!AI$3*'Feedstock Conversion Rates'!B$6)/12</f>
        <v>39.083333333333336</v>
      </c>
      <c r="AJ117" s="106">
        <f t="shared" si="26"/>
        <v>39.083333333333336</v>
      </c>
      <c r="AK117" s="104">
        <f>('Renewable Diesel'!J126*'RD Feedstock Breakdown'!AK$3*'Feedstock Conversion Rates'!B$4)/12</f>
        <v>62.5</v>
      </c>
      <c r="AL117" s="106">
        <f t="shared" si="28"/>
        <v>62.5</v>
      </c>
      <c r="AT117" s="108"/>
      <c r="BJ117" s="104">
        <f>('Renewable Diesel'!W126*'RD Feedstock Breakdown'!BJ$3*'Feedstock Conversion Rates'!B$4)/12-2.5</f>
        <v>5</v>
      </c>
      <c r="BK117" s="104">
        <f>('Renewable Diesel'!W126*'RD Feedstock Breakdown'!BK$3*'Feedstock Conversion Rates'!B$3)/12</f>
        <v>1.335</v>
      </c>
      <c r="BL117" s="104">
        <f>('Renewable Diesel'!W126*'RD Feedstock Breakdown'!BL$3*'Feedstock Conversion Rates'!B$6)/12+2.5</f>
        <v>5.6266666666666669</v>
      </c>
      <c r="BM117" s="104">
        <f>('Renewable Diesel'!W126*'RD Feedstock Breakdown'!BM$3*'Feedstock Conversion Rates'!B$7)/12</f>
        <v>1.5333333333333332</v>
      </c>
      <c r="BN117" s="106">
        <f t="shared" si="54"/>
        <v>13.494999999999999</v>
      </c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7"/>
      <c r="BY117" s="106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7"/>
      <c r="CJ117" s="106"/>
      <c r="CK117" s="106"/>
      <c r="CL117" s="106"/>
      <c r="CM117" s="106"/>
      <c r="CN117" s="106"/>
      <c r="CO117" s="106"/>
      <c r="CP117" s="106"/>
      <c r="CQ117" s="106"/>
      <c r="CR117" s="106"/>
      <c r="CS117" s="106"/>
      <c r="CT117" s="106"/>
      <c r="CU117" s="106"/>
      <c r="CV117" s="106"/>
      <c r="CW117" s="106"/>
      <c r="CX117" s="106"/>
      <c r="CY117" s="106"/>
      <c r="CZ117" s="106"/>
      <c r="DA117" s="106"/>
      <c r="DB117" s="106"/>
      <c r="DC117" s="106"/>
      <c r="DD117" s="107"/>
      <c r="DE117" s="106"/>
      <c r="DF117" s="106"/>
      <c r="DG117" s="106"/>
      <c r="DH117" s="106"/>
      <c r="DI117" s="106"/>
      <c r="DJ117" s="107"/>
      <c r="DK117" s="106"/>
      <c r="DL117" s="106"/>
      <c r="DM117" s="106"/>
      <c r="DN117" s="106"/>
      <c r="DP117" s="104">
        <f t="shared" si="30"/>
        <v>22.796666666666667</v>
      </c>
      <c r="DQ117" s="104">
        <f t="shared" si="31"/>
        <v>10.474224999999997</v>
      </c>
      <c r="DR117" s="104">
        <f t="shared" si="39"/>
        <v>133</v>
      </c>
      <c r="DS117" s="107"/>
      <c r="DT117" s="104">
        <f t="shared" si="32"/>
        <v>101.76500000000001</v>
      </c>
      <c r="DU117" s="104">
        <f t="shared" si="33"/>
        <v>102.50366666666665</v>
      </c>
      <c r="DV117" s="104">
        <f t="shared" si="34"/>
        <v>29.15625</v>
      </c>
      <c r="DW117" s="104">
        <f t="shared" si="35"/>
        <v>0</v>
      </c>
      <c r="DX117" s="106">
        <f t="shared" si="36"/>
        <v>399.69580833333328</v>
      </c>
      <c r="DY117" s="109">
        <f t="shared" si="37"/>
        <v>5.6843418860808015E-14</v>
      </c>
      <c r="EA117" s="110">
        <f t="shared" si="55"/>
        <v>5.7035040626833372E-2</v>
      </c>
      <c r="EB117" s="110">
        <f t="shared" si="55"/>
        <v>2.6205491230132778E-2</v>
      </c>
      <c r="EC117" s="110">
        <f t="shared" si="55"/>
        <v>0.33275305176351094</v>
      </c>
      <c r="ED117" s="107"/>
      <c r="EE117" s="110">
        <f t="shared" si="56"/>
        <v>0.25460612265198268</v>
      </c>
      <c r="EF117" s="110">
        <f t="shared" si="56"/>
        <v>0.25645419473896991</v>
      </c>
      <c r="EG117" s="111">
        <f t="shared" si="56"/>
        <v>7.2946098988570421E-2</v>
      </c>
      <c r="EH117" s="111">
        <f t="shared" si="40"/>
        <v>0</v>
      </c>
      <c r="EI117" s="110">
        <f t="shared" si="41"/>
        <v>1.0000000000000002</v>
      </c>
      <c r="EK117" s="112">
        <f>(EA117*'Renewable Diesel'!BF126*'Feedstock Conversion Rates'!B$2)+FB117</f>
        <v>25.947027650329339</v>
      </c>
      <c r="EL117" s="112">
        <f>(EB117*'Renewable Diesel'!BF126*'Feedstock Conversion Rates'!B$3)+FC117</f>
        <v>11.234448425981132</v>
      </c>
      <c r="EM117" s="112">
        <f>(EC117*'Renewable Diesel'!BF126*'Feedstock Conversion Rates'!B$4)+FD117</f>
        <v>133.57040544904319</v>
      </c>
      <c r="EN117" s="107"/>
      <c r="EO117" s="112">
        <f>(EE117*'Renewable Diesel'!BF126*'Feedstock Conversion Rates'!B$6)+FF117</f>
        <v>127.8199417270128</v>
      </c>
      <c r="EP117" s="112">
        <f>(EF117*'Renewable Diesel'!BF126*'Feedstock Conversion Rates'!B$7)+FG117</f>
        <v>126.27709084055958</v>
      </c>
      <c r="EQ117" s="112">
        <f>(EG117*'Renewable Diesel'!BF126*'Feedstock Conversion Rates'!B$8)+FH117</f>
        <v>36.601617799564529</v>
      </c>
      <c r="ER117" s="112">
        <f>(EH117*'Renewable Diesel'!BF126*'Feedstock Conversion Rates'!B$9)+FI117</f>
        <v>0</v>
      </c>
      <c r="ES117" s="112">
        <f t="shared" si="42"/>
        <v>461.45053189249057</v>
      </c>
      <c r="EW117" s="73">
        <f t="shared" si="58"/>
        <v>141.45151551372356</v>
      </c>
      <c r="EX117" s="73">
        <f t="shared" si="59"/>
        <v>347.22617361486169</v>
      </c>
      <c r="EY117" s="92">
        <f t="shared" si="38"/>
        <v>0.30653668321413735</v>
      </c>
      <c r="EZ117" s="92">
        <f t="shared" si="38"/>
        <v>0.75246673178775092</v>
      </c>
      <c r="FB117" s="102">
        <f>IF('Renewable Diesel'!$BG126&lt;1,0,(((('Renewable Diesel'!$BG126-1)*'Renewable Diesel'!$BF126)*'RD Feedstock Breakdown'!EA117)*'Feedstock Conversion Rates'!$B$2))</f>
        <v>1.5309632405178488</v>
      </c>
      <c r="FC117" s="102">
        <f>IF('Renewable Diesel'!$BG126&lt;1,0,(((('Renewable Diesel'!$BG126-1)*'Renewable Diesel'!$BF126)*'RD Feedstock Breakdown'!EB117)*'Feedstock Conversion Rates'!$B$3))</f>
        <v>0.66287082279547371</v>
      </c>
      <c r="FD117" s="102">
        <f>IF('Renewable Diesel'!$BG126&lt;1,0,(((('Renewable Diesel'!$BG126-1)*'Renewable Diesel'!$BF126)*'RD Feedstock Breakdown'!EC117)*'Feedstock Conversion Rates'!$B$4))</f>
        <v>7.8811100646803576</v>
      </c>
      <c r="FE117" s="107"/>
      <c r="FF117" s="102">
        <f>IF('Renewable Diesel'!$BG126&lt;1,0,(((('Renewable Diesel'!$BG126-1)*'Renewable Diesel'!$BF126)*'RD Feedstock Breakdown'!EE117)*'Feedstock Conversion Rates'!$B$6))</f>
        <v>7.5418130672360961</v>
      </c>
      <c r="FG117" s="102">
        <f>IF('Renewable Diesel'!$BG126&lt;1,0,(((('Renewable Diesel'!$BG126-1)*'Renewable Diesel'!$BF126)*'RD Feedstock Breakdown'!EF117)*'Feedstock Conversion Rates'!$B$7))</f>
        <v>7.4507795960966661</v>
      </c>
      <c r="FH117" s="102">
        <f>IF('Renewable Diesel'!$BG126&lt;1,0,(((('Renewable Diesel'!$BG126-1)*'Renewable Diesel'!$BF126)*'RD Feedstock Breakdown'!EG117)*'Feedstock Conversion Rates'!$B$8))</f>
        <v>2.1596204447682021</v>
      </c>
      <c r="FI117" s="102">
        <f>IF('Renewable Diesel'!$BG126&lt;1,0,(((('Renewable Diesel'!$BG126-1)*'Renewable Diesel'!$BF126)*'RD Feedstock Breakdown'!EH117)*'Feedstock Conversion Rates'!$B$9))</f>
        <v>0</v>
      </c>
      <c r="FJ117" s="102">
        <f t="shared" si="60"/>
        <v>27.227157236094644</v>
      </c>
      <c r="FR117" s="3">
        <f>('Renewable Diesel'!AX126-'Renewable Diesel'!BI126)/12*$FO$80</f>
        <v>31.818749999999998</v>
      </c>
      <c r="FS117" s="100">
        <f t="shared" si="48"/>
        <v>0.33275305176351094</v>
      </c>
      <c r="FT117" s="3">
        <f t="shared" si="50"/>
        <v>79.408396243501599</v>
      </c>
      <c r="FY117" s="3">
        <f>'Renewable Diesel'!BF126*('Renewable Diesel'!BI126/'Renewable Diesel'!AX126)</f>
        <v>12.071870633960573</v>
      </c>
      <c r="FZ117" s="3">
        <f>('Renewable Diesel'!BJ126*'Renewable Diesel'!BG126)/12</f>
        <v>37.570982966678464</v>
      </c>
      <c r="GA117" s="3">
        <f t="shared" si="51"/>
        <v>93.763944299378608</v>
      </c>
      <c r="GD117" s="91">
        <f>'Renewable Diesel'!BB126*0</f>
        <v>0</v>
      </c>
      <c r="GE117" s="91">
        <f>'Renewable Diesel'!BC126</f>
        <v>0.50851299999999999</v>
      </c>
      <c r="GF117" s="91">
        <f>'Renewable Diesel'!BD126</f>
        <v>0</v>
      </c>
      <c r="GG117" s="91">
        <f t="shared" si="49"/>
        <v>0.50851299999999999</v>
      </c>
      <c r="GH117" s="124">
        <v>1</v>
      </c>
      <c r="GI117" s="102">
        <f>$GG117*EA117*'Feedstock Conversion Rates'!$B$2</f>
        <v>0.2465260067213198</v>
      </c>
      <c r="GJ117" s="102">
        <f>$GG117*EB117*'Feedstock Conversion Rates'!$B$3</f>
        <v>0.10673992202488715</v>
      </c>
      <c r="GK117" s="102">
        <f>$GG117*EC117*'Feedstock Conversion Rates'!$B$4</f>
        <v>1.2690693945856366</v>
      </c>
      <c r="GL117" s="102">
        <f>$GG117*ED117*'Feedstock Conversion Rates'!$B$5</f>
        <v>0</v>
      </c>
      <c r="GM117" s="102">
        <f>$GG117*EE117*'Feedstock Conversion Rates'!$B$6</f>
        <v>1.2144335080674376</v>
      </c>
      <c r="GN117" s="102">
        <f>$GG117*EF117*'Feedstock Conversion Rates'!$B$7</f>
        <v>1.1997746857495397</v>
      </c>
      <c r="GO117" s="102">
        <f>$GG117*EG117*'Feedstock Conversion Rates'!$B$8</f>
        <v>0.34775662157788978</v>
      </c>
      <c r="GP117" s="102">
        <f>$GG117*EH117*'Feedstock Conversion Rates'!B$9</f>
        <v>0</v>
      </c>
      <c r="GQ117" s="102">
        <f t="shared" si="45"/>
        <v>4.3843001387267106</v>
      </c>
      <c r="GR117" s="85">
        <f t="shared" si="53"/>
        <v>8.621805418399747</v>
      </c>
      <c r="GT117" s="103">
        <f t="shared" si="47"/>
        <v>5.6229272385744079E-2</v>
      </c>
      <c r="GU117" s="103">
        <f t="shared" si="47"/>
        <v>2.4345943171647594E-2</v>
      </c>
      <c r="GV117" s="103">
        <f t="shared" si="47"/>
        <v>0.28945769094955259</v>
      </c>
      <c r="GW117" s="103">
        <f t="shared" si="46"/>
        <v>0</v>
      </c>
      <c r="GX117" s="103">
        <f t="shared" si="46"/>
        <v>0.27699597875161291</v>
      </c>
      <c r="GY117" s="103">
        <f t="shared" si="46"/>
        <v>0.27365249818366189</v>
      </c>
      <c r="GZ117" s="103">
        <f t="shared" si="46"/>
        <v>7.9318616557780955E-2</v>
      </c>
      <c r="HA117" s="103">
        <f t="shared" si="46"/>
        <v>0</v>
      </c>
    </row>
    <row r="118" spans="1:209" x14ac:dyDescent="0.25">
      <c r="A118" s="96">
        <v>44013</v>
      </c>
      <c r="B118" s="104">
        <f t="shared" si="61"/>
        <v>65.5</v>
      </c>
      <c r="C118" s="105"/>
      <c r="D118" s="104">
        <v>0</v>
      </c>
      <c r="E118" s="104">
        <f>('Renewable Diesel'!B127*E$3*'Feedstock Conversion Rates'!$B$2)/12-15</f>
        <v>22.796666666666667</v>
      </c>
      <c r="F118" s="104">
        <f>('Renewable Diesel'!B127*'RD Feedstock Breakdown'!F$3*'Feedstock Conversion Rates'!B$8)/12+8.5-4-2+4</f>
        <v>29.15625</v>
      </c>
      <c r="G118" s="104">
        <f>('Renewable Diesel'!B127*'RD Feedstock Breakdown'!G$3*'Feedstock Conversion Rates'!B$7)/12+5+3</f>
        <v>82.036999999999992</v>
      </c>
      <c r="H118" s="104">
        <f>('Renewable Diesel'!B127*'RD Feedstock Breakdown'!H$3*'Feedstock Conversion Rates'!B$3)/12-45-20</f>
        <v>9.1392249999999962</v>
      </c>
      <c r="I118" s="106">
        <f t="shared" si="52"/>
        <v>208.62914166666667</v>
      </c>
      <c r="J118" s="106"/>
      <c r="K118" s="107"/>
      <c r="L118" s="106"/>
      <c r="R118" s="104">
        <f>('Renewable Diesel'!D127*'RD Feedstock Breakdown'!R$3*'Feedstock Conversion Rates'!B$7)/12</f>
        <v>2.2999999999999998</v>
      </c>
      <c r="S118" s="106">
        <f t="shared" si="27"/>
        <v>2.2999999999999998</v>
      </c>
      <c r="T118" s="107"/>
      <c r="U118" s="106"/>
      <c r="Y118" s="104"/>
      <c r="Z118" s="104">
        <f>('Renewable Diesel'!F127*'RD Feedstock Breakdown'!Z$3*'Feedstock Conversion Rates'!B$6)/12+17.5-5</f>
        <v>57.055000000000007</v>
      </c>
      <c r="AA118" s="104">
        <f>('Renewable Diesel'!F127*'RD Feedstock Breakdown'!AA$3*'Feedstock Conversion Rates'!B$7)/12-12.5</f>
        <v>16.633333333333329</v>
      </c>
      <c r="AB118" s="106">
        <f t="shared" si="62"/>
        <v>73.688333333333333</v>
      </c>
      <c r="AC118" s="108"/>
      <c r="AG118" s="108"/>
      <c r="AI118" s="104">
        <f>('Renewable Diesel'!H127*'RD Feedstock Breakdown'!AI$3*'Feedstock Conversion Rates'!B$6)/12</f>
        <v>39.083333333333336</v>
      </c>
      <c r="AJ118" s="106">
        <f t="shared" si="26"/>
        <v>39.083333333333336</v>
      </c>
      <c r="AK118" s="104">
        <f>('Renewable Diesel'!J127*'RD Feedstock Breakdown'!AK$3*'Feedstock Conversion Rates'!B$4)/12</f>
        <v>62.5</v>
      </c>
      <c r="AL118" s="106">
        <f t="shared" si="28"/>
        <v>62.5</v>
      </c>
      <c r="AT118" s="108"/>
      <c r="AV118" s="104">
        <f>'Renewable Diesel'!N127*'RD Feedstock Breakdown'!$AV$3*'Feedstock Conversion Rates'!$B$4/12</f>
        <v>26.25</v>
      </c>
      <c r="AW118" s="104">
        <f>'Renewable Diesel'!N127*'RD Feedstock Breakdown'!$AW$3*'Feedstock Conversion Rates'!$B$7/12</f>
        <v>13.799999999999999</v>
      </c>
      <c r="AX118" s="106">
        <f>SUM(AV118:AW118)</f>
        <v>40.049999999999997</v>
      </c>
      <c r="BJ118" s="104">
        <f>('Renewable Diesel'!W127*'RD Feedstock Breakdown'!BJ$3*'Feedstock Conversion Rates'!B$4)/12-2.5</f>
        <v>5</v>
      </c>
      <c r="BK118" s="104">
        <f>('Renewable Diesel'!W127*'RD Feedstock Breakdown'!BK$3*'Feedstock Conversion Rates'!B$3)/12</f>
        <v>1.335</v>
      </c>
      <c r="BL118" s="104">
        <f>('Renewable Diesel'!W127*'RD Feedstock Breakdown'!BL$3*'Feedstock Conversion Rates'!B$6)/12+2.5</f>
        <v>5.6266666666666669</v>
      </c>
      <c r="BM118" s="104">
        <f>('Renewable Diesel'!W127*'RD Feedstock Breakdown'!BM$3*'Feedstock Conversion Rates'!B$7)/12</f>
        <v>1.5333333333333332</v>
      </c>
      <c r="BN118" s="106">
        <f t="shared" si="54"/>
        <v>13.494999999999999</v>
      </c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7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7"/>
      <c r="CJ118" s="106"/>
      <c r="CK118" s="106"/>
      <c r="CL118" s="106"/>
      <c r="CM118" s="106"/>
      <c r="CN118" s="106"/>
      <c r="CO118" s="106"/>
      <c r="CP118" s="106"/>
      <c r="CQ118" s="106"/>
      <c r="CR118" s="106"/>
      <c r="CS118" s="106"/>
      <c r="CT118" s="106"/>
      <c r="CU118" s="106"/>
      <c r="CV118" s="106"/>
      <c r="CW118" s="106"/>
      <c r="CX118" s="106"/>
      <c r="CY118" s="106"/>
      <c r="CZ118" s="106"/>
      <c r="DA118" s="106"/>
      <c r="DB118" s="106"/>
      <c r="DC118" s="106"/>
      <c r="DD118" s="107"/>
      <c r="DE118" s="106"/>
      <c r="DF118" s="106"/>
      <c r="DG118" s="106"/>
      <c r="DH118" s="106"/>
      <c r="DI118" s="106"/>
      <c r="DJ118" s="107"/>
      <c r="DK118" s="106"/>
      <c r="DL118" s="106"/>
      <c r="DM118" s="106"/>
      <c r="DN118" s="106"/>
      <c r="DP118" s="104">
        <f t="shared" si="30"/>
        <v>22.796666666666667</v>
      </c>
      <c r="DQ118" s="104">
        <f t="shared" si="31"/>
        <v>10.474224999999997</v>
      </c>
      <c r="DR118" s="104">
        <f t="shared" si="39"/>
        <v>159.25</v>
      </c>
      <c r="DS118" s="107"/>
      <c r="DT118" s="104">
        <f t="shared" si="32"/>
        <v>101.76500000000001</v>
      </c>
      <c r="DU118" s="104">
        <f t="shared" si="33"/>
        <v>116.30366666666664</v>
      </c>
      <c r="DV118" s="104">
        <f t="shared" si="34"/>
        <v>29.15625</v>
      </c>
      <c r="DW118" s="104">
        <f t="shared" si="35"/>
        <v>0</v>
      </c>
      <c r="DX118" s="106">
        <f t="shared" si="36"/>
        <v>439.74580833333329</v>
      </c>
      <c r="DY118" s="109">
        <f t="shared" si="37"/>
        <v>5.6843418860808015E-14</v>
      </c>
      <c r="EA118" s="110">
        <f t="shared" si="55"/>
        <v>5.1840554781107738E-2</v>
      </c>
      <c r="EB118" s="110">
        <f t="shared" si="55"/>
        <v>2.3818817147337974E-2</v>
      </c>
      <c r="EC118" s="110">
        <f t="shared" si="55"/>
        <v>0.36214103007273318</v>
      </c>
      <c r="ED118" s="107"/>
      <c r="EE118" s="110">
        <f t="shared" si="56"/>
        <v>0.23141778289074846</v>
      </c>
      <c r="EF118" s="110">
        <f t="shared" si="56"/>
        <v>0.26447930705119282</v>
      </c>
      <c r="EG118" s="111">
        <f t="shared" si="56"/>
        <v>6.6302508056879914E-2</v>
      </c>
      <c r="EH118" s="111">
        <f t="shared" si="40"/>
        <v>0</v>
      </c>
      <c r="EI118" s="110">
        <f t="shared" si="41"/>
        <v>1</v>
      </c>
      <c r="EK118" s="112">
        <f>(EA118*'Renewable Diesel'!BF127*'Feedstock Conversion Rates'!B$2)+FB118</f>
        <v>19.651205010697758</v>
      </c>
      <c r="EL118" s="112">
        <f>(EB118*'Renewable Diesel'!BF127*'Feedstock Conversion Rates'!B$3)+FC118</f>
        <v>8.508506337459572</v>
      </c>
      <c r="EM118" s="112">
        <f>(EC118*'Renewable Diesel'!BF127*'Feedstock Conversion Rates'!B$4)+FD118</f>
        <v>121.12662490036625</v>
      </c>
      <c r="EN118" s="107"/>
      <c r="EO118" s="112">
        <f>(EE118*'Renewable Diesel'!BF127*'Feedstock Conversion Rates'!B$6)+FF118</f>
        <v>96.80553445978569</v>
      </c>
      <c r="EP118" s="112">
        <f>(EF118*'Renewable Diesel'!BF127*'Feedstock Conversion Rates'!B$7)+FG118</f>
        <v>108.5125941042044</v>
      </c>
      <c r="EQ118" s="112">
        <f>(EG118*'Renewable Diesel'!BF127*'Feedstock Conversion Rates'!B$8)+FH118</f>
        <v>27.720550684861088</v>
      </c>
      <c r="ER118" s="112">
        <f>(EH118*'Renewable Diesel'!BF127*'Feedstock Conversion Rates'!B$9)+FI118</f>
        <v>0</v>
      </c>
      <c r="ES118" s="112">
        <f t="shared" si="42"/>
        <v>382.32501549737481</v>
      </c>
      <c r="EW118" s="73">
        <f t="shared" si="58"/>
        <v>121.12662490036625</v>
      </c>
      <c r="EX118" s="73">
        <f t="shared" si="59"/>
        <v>261.19839059700848</v>
      </c>
      <c r="EY118" s="92">
        <f t="shared" si="38"/>
        <v>0.31681585036435567</v>
      </c>
      <c r="EZ118" s="92">
        <f t="shared" si="38"/>
        <v>0.68318414963564411</v>
      </c>
      <c r="FB118" s="102">
        <f>IF('Renewable Diesel'!$BG127&lt;1,0,(((('Renewable Diesel'!$BG127-1)*'Renewable Diesel'!$BF127)*'RD Feedstock Breakdown'!EA118)*'Feedstock Conversion Rates'!$B$2))</f>
        <v>0</v>
      </c>
      <c r="FC118" s="102">
        <f>IF('Renewable Diesel'!$BG127&lt;1,0,(((('Renewable Diesel'!$BG127-1)*'Renewable Diesel'!$BF127)*'RD Feedstock Breakdown'!EB118)*'Feedstock Conversion Rates'!$B$3))</f>
        <v>0</v>
      </c>
      <c r="FD118" s="102">
        <f>IF('Renewable Diesel'!$BG127&lt;1,0,(((('Renewable Diesel'!$BG127-1)*'Renewable Diesel'!$BF127)*'RD Feedstock Breakdown'!EC118)*'Feedstock Conversion Rates'!$B$4))</f>
        <v>0</v>
      </c>
      <c r="FE118" s="107"/>
      <c r="FF118" s="102">
        <f>IF('Renewable Diesel'!$BG127&lt;1,0,(((('Renewable Diesel'!$BG127-1)*'Renewable Diesel'!$BF127)*'RD Feedstock Breakdown'!EE118)*'Feedstock Conversion Rates'!$B$6))</f>
        <v>0</v>
      </c>
      <c r="FG118" s="102">
        <f>IF('Renewable Diesel'!$BG127&lt;1,0,(((('Renewable Diesel'!$BG127-1)*'Renewable Diesel'!$BF127)*'RD Feedstock Breakdown'!EF118)*'Feedstock Conversion Rates'!$B$7))</f>
        <v>0</v>
      </c>
      <c r="FH118" s="102">
        <f>IF('Renewable Diesel'!$BG127&lt;1,0,(((('Renewable Diesel'!$BG127-1)*'Renewable Diesel'!$BF127)*'RD Feedstock Breakdown'!EG118)*'Feedstock Conversion Rates'!$B$8))</f>
        <v>0</v>
      </c>
      <c r="FI118" s="102">
        <f>IF('Renewable Diesel'!$BG127&lt;1,0,(((('Renewable Diesel'!$BG127-1)*'Renewable Diesel'!$BF127)*'RD Feedstock Breakdown'!EH118)*'Feedstock Conversion Rates'!$B$9))</f>
        <v>0</v>
      </c>
      <c r="FJ118" s="102">
        <f t="shared" si="60"/>
        <v>0</v>
      </c>
      <c r="FR118" s="3">
        <f>('Renewable Diesel'!AX127-'Renewable Diesel'!BI127)/12*$FO$80</f>
        <v>35.193750000000001</v>
      </c>
      <c r="FS118" s="100">
        <f t="shared" si="48"/>
        <v>0.36214103007273318</v>
      </c>
      <c r="FT118" s="3">
        <f t="shared" si="50"/>
        <v>95.588256578416917</v>
      </c>
      <c r="FY118" s="3">
        <f>'Renewable Diesel'!BF127*('Renewable Diesel'!BI127/'Renewable Diesel'!AX127)</f>
        <v>10.734186076051781</v>
      </c>
      <c r="FZ118" s="3">
        <f>('Renewable Diesel'!BJ127*'Renewable Diesel'!BG127)/12</f>
        <v>34.332607617336386</v>
      </c>
      <c r="GA118" s="3">
        <f t="shared" si="51"/>
        <v>93.24934415718873</v>
      </c>
      <c r="GD118" s="91">
        <f>'Renewable Diesel'!BB127*0</f>
        <v>0</v>
      </c>
      <c r="GE118" s="91">
        <f>'Renewable Diesel'!BC127</f>
        <v>1.5367249999999999</v>
      </c>
      <c r="GF118" s="91">
        <f>'Renewable Diesel'!BD127</f>
        <v>0</v>
      </c>
      <c r="GG118" s="91">
        <f t="shared" si="49"/>
        <v>1.5367249999999999</v>
      </c>
      <c r="GH118" s="124">
        <v>1</v>
      </c>
      <c r="GI118" s="102">
        <f>$GG118*EA118*'Feedstock Conversion Rates'!$B$2</f>
        <v>0.67714975064098115</v>
      </c>
      <c r="GJ118" s="102">
        <f>$GG118*EB118*'Feedstock Conversion Rates'!$B$3</f>
        <v>0.29318980396375099</v>
      </c>
      <c r="GK118" s="102">
        <f>$GG118*EC118*'Feedstock Conversion Rates'!$B$4</f>
        <v>4.1738338082889062</v>
      </c>
      <c r="GL118" s="102">
        <f>$GG118*ED118*'Feedstock Conversion Rates'!$B$5</f>
        <v>0</v>
      </c>
      <c r="GM118" s="102">
        <f>$GG118*EE118*'Feedstock Conversion Rates'!$B$6</f>
        <v>3.3357671188319276</v>
      </c>
      <c r="GN118" s="102">
        <f>$GG118*EF118*'Feedstock Conversion Rates'!$B$7</f>
        <v>3.7391740607798467</v>
      </c>
      <c r="GO118" s="102">
        <f>$GG118*EG118*'Feedstock Conversion Rates'!$B$8</f>
        <v>0.95520676587851971</v>
      </c>
      <c r="GP118" s="102">
        <f>$GG118*EH118*'Feedstock Conversion Rates'!B$9</f>
        <v>0</v>
      </c>
      <c r="GQ118" s="102">
        <f t="shared" si="45"/>
        <v>13.174321308383933</v>
      </c>
      <c r="GR118" s="85">
        <f t="shared" si="53"/>
        <v>8.5729856079545357</v>
      </c>
      <c r="GT118" s="103">
        <f t="shared" si="47"/>
        <v>5.1399213271810337E-2</v>
      </c>
      <c r="GU118" s="103">
        <f t="shared" si="47"/>
        <v>2.2254641973637728E-2</v>
      </c>
      <c r="GV118" s="103">
        <f t="shared" si="47"/>
        <v>0.31681585036435567</v>
      </c>
      <c r="GW118" s="103">
        <f t="shared" si="46"/>
        <v>0</v>
      </c>
      <c r="GX118" s="103">
        <f t="shared" si="46"/>
        <v>0.25320219848510123</v>
      </c>
      <c r="GY118" s="103">
        <f t="shared" si="46"/>
        <v>0.28382289859594473</v>
      </c>
      <c r="GZ118" s="103">
        <f t="shared" si="46"/>
        <v>7.2505197309150254E-2</v>
      </c>
      <c r="HA118" s="103">
        <f t="shared" si="46"/>
        <v>0</v>
      </c>
    </row>
    <row r="119" spans="1:209" x14ac:dyDescent="0.25">
      <c r="A119" s="96">
        <v>44044</v>
      </c>
      <c r="B119" s="104">
        <f t="shared" si="61"/>
        <v>65.5</v>
      </c>
      <c r="C119" s="105"/>
      <c r="D119" s="104">
        <v>0</v>
      </c>
      <c r="E119" s="104">
        <f>('Renewable Diesel'!B128*E$3*'Feedstock Conversion Rates'!$B$2)/12-15</f>
        <v>22.796666666666667</v>
      </c>
      <c r="F119" s="104">
        <f>('Renewable Diesel'!B128*'RD Feedstock Breakdown'!F$3*'Feedstock Conversion Rates'!B$8)/12+8.5-4-2+4</f>
        <v>29.15625</v>
      </c>
      <c r="G119" s="104">
        <f>('Renewable Diesel'!B128*'RD Feedstock Breakdown'!G$3*'Feedstock Conversion Rates'!B$7)/12+5+3</f>
        <v>82.036999999999992</v>
      </c>
      <c r="H119" s="104">
        <f>('Renewable Diesel'!B128*'RD Feedstock Breakdown'!H$3*'Feedstock Conversion Rates'!B$3)/12-45-20</f>
        <v>9.1392249999999962</v>
      </c>
      <c r="I119" s="106">
        <f t="shared" si="52"/>
        <v>208.62914166666667</v>
      </c>
      <c r="J119" s="106"/>
      <c r="K119" s="107"/>
      <c r="L119" s="106"/>
      <c r="R119" s="104">
        <f>('Renewable Diesel'!D128*'RD Feedstock Breakdown'!R$3*'Feedstock Conversion Rates'!B$7)/12</f>
        <v>2.2999999999999998</v>
      </c>
      <c r="S119" s="106">
        <f t="shared" si="27"/>
        <v>2.2999999999999998</v>
      </c>
      <c r="T119" s="107"/>
      <c r="U119" s="106"/>
      <c r="Y119" s="104"/>
      <c r="Z119" s="104">
        <f>('Renewable Diesel'!F128*'RD Feedstock Breakdown'!Z$3*'Feedstock Conversion Rates'!B$6)/12+17.5-5</f>
        <v>57.055000000000007</v>
      </c>
      <c r="AA119" s="104">
        <f>('Renewable Diesel'!F128*'RD Feedstock Breakdown'!AA$3*'Feedstock Conversion Rates'!B$7)/12-12.5</f>
        <v>16.633333333333329</v>
      </c>
      <c r="AB119" s="106">
        <f t="shared" si="62"/>
        <v>73.688333333333333</v>
      </c>
      <c r="AC119" s="108"/>
      <c r="AG119" s="108"/>
      <c r="AI119" s="104">
        <f>('Renewable Diesel'!H128*'RD Feedstock Breakdown'!AI$3*'Feedstock Conversion Rates'!B$6)/12</f>
        <v>39.083333333333336</v>
      </c>
      <c r="AJ119" s="106">
        <f t="shared" si="26"/>
        <v>39.083333333333336</v>
      </c>
      <c r="AK119" s="104">
        <f>('Renewable Diesel'!J128*'RD Feedstock Breakdown'!AK$3*'Feedstock Conversion Rates'!B$4)/12</f>
        <v>62.5</v>
      </c>
      <c r="AL119" s="106">
        <f t="shared" si="28"/>
        <v>62.5</v>
      </c>
      <c r="AT119" s="108"/>
      <c r="AV119" s="104">
        <f>'Renewable Diesel'!N128*'RD Feedstock Breakdown'!$AV$3*'Feedstock Conversion Rates'!$B$4/12</f>
        <v>52.5</v>
      </c>
      <c r="AW119" s="104">
        <f>'Renewable Diesel'!N128*'RD Feedstock Breakdown'!$AW$3*'Feedstock Conversion Rates'!$B$7/12</f>
        <v>27.599999999999998</v>
      </c>
      <c r="AX119" s="106">
        <f t="shared" ref="AX119:AX182" si="63">SUM(AV119:AW119)</f>
        <v>80.099999999999994</v>
      </c>
      <c r="BJ119" s="104">
        <f>('Renewable Diesel'!W128*'RD Feedstock Breakdown'!BJ$3*'Feedstock Conversion Rates'!B$4)/12-2.5</f>
        <v>5</v>
      </c>
      <c r="BK119" s="104">
        <f>('Renewable Diesel'!W128*'RD Feedstock Breakdown'!BK$3*'Feedstock Conversion Rates'!B$3)/12</f>
        <v>1.335</v>
      </c>
      <c r="BL119" s="104">
        <f>('Renewable Diesel'!W128*'RD Feedstock Breakdown'!BL$3*'Feedstock Conversion Rates'!B$6)/12+2.5</f>
        <v>5.6266666666666669</v>
      </c>
      <c r="BM119" s="104">
        <f>('Renewable Diesel'!W128*'RD Feedstock Breakdown'!BM$3*'Feedstock Conversion Rates'!B$7)/12</f>
        <v>1.5333333333333332</v>
      </c>
      <c r="BN119" s="106">
        <f t="shared" si="54"/>
        <v>13.494999999999999</v>
      </c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7"/>
      <c r="BY119" s="106"/>
      <c r="BZ119" s="106"/>
      <c r="CA119" s="106"/>
      <c r="CB119" s="106"/>
      <c r="CC119" s="106"/>
      <c r="CD119" s="106"/>
      <c r="CE119" s="106"/>
      <c r="CF119" s="106"/>
      <c r="CG119" s="106"/>
      <c r="CH119" s="106"/>
      <c r="CI119" s="107"/>
      <c r="CJ119" s="106"/>
      <c r="CK119" s="106"/>
      <c r="CL119" s="106"/>
      <c r="CM119" s="106"/>
      <c r="CN119" s="106"/>
      <c r="CO119" s="106"/>
      <c r="CP119" s="106"/>
      <c r="CQ119" s="106"/>
      <c r="CR119" s="106"/>
      <c r="CS119" s="106"/>
      <c r="CT119" s="106"/>
      <c r="CU119" s="106"/>
      <c r="CV119" s="106"/>
      <c r="CW119" s="106"/>
      <c r="CX119" s="106"/>
      <c r="CY119" s="106"/>
      <c r="CZ119" s="106"/>
      <c r="DA119" s="106"/>
      <c r="DB119" s="106"/>
      <c r="DC119" s="106"/>
      <c r="DD119" s="107"/>
      <c r="DE119" s="106"/>
      <c r="DF119" s="106"/>
      <c r="DG119" s="106"/>
      <c r="DH119" s="106"/>
      <c r="DI119" s="106"/>
      <c r="DJ119" s="107"/>
      <c r="DK119" s="106"/>
      <c r="DL119" s="106"/>
      <c r="DM119" s="106"/>
      <c r="DN119" s="106"/>
      <c r="DP119" s="104">
        <f t="shared" si="30"/>
        <v>22.796666666666667</v>
      </c>
      <c r="DQ119" s="104">
        <f t="shared" si="31"/>
        <v>10.474224999999997</v>
      </c>
      <c r="DR119" s="104">
        <f t="shared" si="39"/>
        <v>185.5</v>
      </c>
      <c r="DS119" s="107"/>
      <c r="DT119" s="104">
        <f t="shared" si="32"/>
        <v>101.76500000000001</v>
      </c>
      <c r="DU119" s="104">
        <f t="shared" si="33"/>
        <v>130.10366666666664</v>
      </c>
      <c r="DV119" s="104">
        <f t="shared" si="34"/>
        <v>29.15625</v>
      </c>
      <c r="DW119" s="104">
        <f t="shared" si="35"/>
        <v>0</v>
      </c>
      <c r="DX119" s="106">
        <f t="shared" si="36"/>
        <v>479.7958083333333</v>
      </c>
      <c r="DY119" s="109">
        <f t="shared" si="37"/>
        <v>0</v>
      </c>
      <c r="EA119" s="110">
        <f t="shared" si="55"/>
        <v>4.7513267666625621E-2</v>
      </c>
      <c r="EB119" s="110">
        <f t="shared" si="55"/>
        <v>2.1830588800648993E-2</v>
      </c>
      <c r="EC119" s="110">
        <f t="shared" si="55"/>
        <v>0.38662280240498836</v>
      </c>
      <c r="ED119" s="107"/>
      <c r="EE119" s="110">
        <f t="shared" si="56"/>
        <v>0.21210064413338894</v>
      </c>
      <c r="EF119" s="110">
        <f t="shared" si="56"/>
        <v>0.27116465881310581</v>
      </c>
      <c r="EG119" s="111">
        <f t="shared" si="56"/>
        <v>6.0768038181242282E-2</v>
      </c>
      <c r="EH119" s="111">
        <f t="shared" si="40"/>
        <v>0</v>
      </c>
      <c r="EI119" s="110">
        <f t="shared" si="41"/>
        <v>1</v>
      </c>
      <c r="EK119" s="112">
        <f>(EA119*'Renewable Diesel'!BF128*'Feedstock Conversion Rates'!B$2)+FB119</f>
        <v>16.292568265441115</v>
      </c>
      <c r="EL119" s="112">
        <f>(EB119*'Renewable Diesel'!BF128*'Feedstock Conversion Rates'!B$3)+FC119</f>
        <v>7.0542961749436364</v>
      </c>
      <c r="EM119" s="112">
        <f>(EC119*'Renewable Diesel'!BF128*'Feedstock Conversion Rates'!B$4)+FD119</f>
        <v>116.97807006164446</v>
      </c>
      <c r="EN119" s="107"/>
      <c r="EO119" s="112">
        <f>(EE119*'Renewable Diesel'!BF128*'Feedstock Conversion Rates'!B$6)+FF119</f>
        <v>80.260257719563043</v>
      </c>
      <c r="EP119" s="112">
        <f>(EF119*'Renewable Diesel'!BF128*'Feedstock Conversion Rates'!B$7)+FG119</f>
        <v>100.64139276076443</v>
      </c>
      <c r="EQ119" s="112">
        <f>(EG119*'Renewable Diesel'!BF128*'Feedstock Conversion Rates'!B$8)+FH119</f>
        <v>22.982761827727906</v>
      </c>
      <c r="ER119" s="112">
        <f>(EH119*'Renewable Diesel'!BF128*'Feedstock Conversion Rates'!B$9)+FI119</f>
        <v>0</v>
      </c>
      <c r="ES119" s="112">
        <f t="shared" si="42"/>
        <v>344.20934681008464</v>
      </c>
      <c r="EW119" s="73">
        <f t="shared" si="58"/>
        <v>116.97807006164446</v>
      </c>
      <c r="EX119" s="73">
        <f t="shared" si="59"/>
        <v>227.23127674844011</v>
      </c>
      <c r="EY119" s="92">
        <f t="shared" si="38"/>
        <v>0.33984571059944629</v>
      </c>
      <c r="EZ119" s="92">
        <f t="shared" si="38"/>
        <v>0.66015428940055354</v>
      </c>
      <c r="FB119" s="102">
        <f>IF('Renewable Diesel'!$BG128&lt;1,0,(((('Renewable Diesel'!$BG128-1)*'Renewable Diesel'!$BF128)*'RD Feedstock Breakdown'!EA119)*'Feedstock Conversion Rates'!$B$2))</f>
        <v>0</v>
      </c>
      <c r="FC119" s="102">
        <f>IF('Renewable Diesel'!$BG128&lt;1,0,(((('Renewable Diesel'!$BG128-1)*'Renewable Diesel'!$BF128)*'RD Feedstock Breakdown'!EB119)*'Feedstock Conversion Rates'!$B$3))</f>
        <v>0</v>
      </c>
      <c r="FD119" s="102">
        <f>IF('Renewable Diesel'!$BG128&lt;1,0,(((('Renewable Diesel'!$BG128-1)*'Renewable Diesel'!$BF128)*'RD Feedstock Breakdown'!EC119)*'Feedstock Conversion Rates'!$B$4))</f>
        <v>0</v>
      </c>
      <c r="FE119" s="107"/>
      <c r="FF119" s="102">
        <f>IF('Renewable Diesel'!$BG128&lt;1,0,(((('Renewable Diesel'!$BG128-1)*'Renewable Diesel'!$BF128)*'RD Feedstock Breakdown'!EE119)*'Feedstock Conversion Rates'!$B$6))</f>
        <v>0</v>
      </c>
      <c r="FG119" s="102">
        <f>IF('Renewable Diesel'!$BG128&lt;1,0,(((('Renewable Diesel'!$BG128-1)*'Renewable Diesel'!$BF128)*'RD Feedstock Breakdown'!EF119)*'Feedstock Conversion Rates'!$B$7))</f>
        <v>0</v>
      </c>
      <c r="FH119" s="102">
        <f>IF('Renewable Diesel'!$BG128&lt;1,0,(((('Renewable Diesel'!$BG128-1)*'Renewable Diesel'!$BF128)*'RD Feedstock Breakdown'!EG119)*'Feedstock Conversion Rates'!$B$8))</f>
        <v>0</v>
      </c>
      <c r="FI119" s="102">
        <f>IF('Renewable Diesel'!$BG128&lt;1,0,(((('Renewable Diesel'!$BG128-1)*'Renewable Diesel'!$BF128)*'RD Feedstock Breakdown'!EH119)*'Feedstock Conversion Rates'!$B$9))</f>
        <v>0</v>
      </c>
      <c r="FJ119" s="102">
        <f t="shared" si="60"/>
        <v>0</v>
      </c>
      <c r="FR119" s="3">
        <f>('Renewable Diesel'!AX128-'Renewable Diesel'!BI128)/12*$FO$80</f>
        <v>38.568750000000001</v>
      </c>
      <c r="FS119" s="100">
        <f t="shared" si="48"/>
        <v>0.38662280240498836</v>
      </c>
      <c r="FT119" s="3">
        <f t="shared" si="50"/>
        <v>111.83668657693046</v>
      </c>
      <c r="FY119" s="3">
        <f>'Renewable Diesel'!BF128*('Renewable Diesel'!BI128/'Renewable Diesel'!AX128)</f>
        <v>9.7433283591445434</v>
      </c>
      <c r="FZ119" s="3">
        <f>('Renewable Diesel'!BJ128*'Renewable Diesel'!BG128)/12</f>
        <v>30.022735158366242</v>
      </c>
      <c r="GA119" s="3">
        <f t="shared" si="51"/>
        <v>87.05605502092746</v>
      </c>
      <c r="GD119" s="91">
        <f>'Renewable Diesel'!BB128*0</f>
        <v>0</v>
      </c>
      <c r="GE119" s="91">
        <f>'Renewable Diesel'!BC128</f>
        <v>6.3854999999999995E-2</v>
      </c>
      <c r="GF119" s="91">
        <f>'Renewable Diesel'!BD128</f>
        <v>0</v>
      </c>
      <c r="GG119" s="91">
        <f t="shared" si="49"/>
        <v>6.3854999999999995E-2</v>
      </c>
      <c r="GH119" s="124">
        <v>1</v>
      </c>
      <c r="GI119" s="102">
        <f>$GG119*EA119*'Feedstock Conversion Rates'!$B$2</f>
        <v>2.578865750824522E-2</v>
      </c>
      <c r="GJ119" s="102">
        <f>$GG119*EB119*'Feedstock Conversion Rates'!$B$3</f>
        <v>1.1165877905402185E-2</v>
      </c>
      <c r="GK119" s="102">
        <f>$GG119*EC119*'Feedstock Conversion Rates'!$B$4</f>
        <v>0.18515849285677899</v>
      </c>
      <c r="GL119" s="102">
        <f>$GG119*ED119*'Feedstock Conversion Rates'!$B$5</f>
        <v>0</v>
      </c>
      <c r="GM119" s="102">
        <f>$GG119*EE119*'Feedstock Conversion Rates'!$B$6</f>
        <v>0.12703978060007023</v>
      </c>
      <c r="GN119" s="102">
        <f>$GG119*EF119*'Feedstock Conversion Rates'!$B$7</f>
        <v>0.1593000174543</v>
      </c>
      <c r="GO119" s="102">
        <f>$GG119*EG119*'Feedstock Conversion Rates'!$B$8</f>
        <v>3.6378216356842741E-2</v>
      </c>
      <c r="GP119" s="102">
        <f>$GG119*EH119*'Feedstock Conversion Rates'!B$9</f>
        <v>0</v>
      </c>
      <c r="GQ119" s="102">
        <f t="shared" si="45"/>
        <v>0.5448310426816394</v>
      </c>
      <c r="GR119" s="85">
        <f t="shared" si="53"/>
        <v>8.5323160704978385</v>
      </c>
      <c r="GT119" s="103">
        <f t="shared" si="47"/>
        <v>4.7333311592001701E-2</v>
      </c>
      <c r="GU119" s="103">
        <f t="shared" si="47"/>
        <v>2.0494202845792561E-2</v>
      </c>
      <c r="GV119" s="103">
        <f t="shared" si="47"/>
        <v>0.33984571059944629</v>
      </c>
      <c r="GW119" s="103">
        <f t="shared" si="46"/>
        <v>0</v>
      </c>
      <c r="GX119" s="103">
        <f t="shared" si="46"/>
        <v>0.23317280156208581</v>
      </c>
      <c r="GY119" s="103">
        <f t="shared" si="46"/>
        <v>0.29238425305252586</v>
      </c>
      <c r="GZ119" s="103">
        <f t="shared" si="46"/>
        <v>6.6769720348147613E-2</v>
      </c>
      <c r="HA119" s="103">
        <f t="shared" si="46"/>
        <v>0</v>
      </c>
    </row>
    <row r="120" spans="1:209" x14ac:dyDescent="0.25">
      <c r="A120" s="96">
        <v>44075</v>
      </c>
      <c r="B120" s="104">
        <f t="shared" si="61"/>
        <v>65.5</v>
      </c>
      <c r="C120" s="105"/>
      <c r="D120" s="104">
        <v>0</v>
      </c>
      <c r="E120" s="104">
        <f>('Renewable Diesel'!B129*E$3*'Feedstock Conversion Rates'!$B$2)/12-15</f>
        <v>22.796666666666667</v>
      </c>
      <c r="F120" s="104">
        <f>('Renewable Diesel'!B129*'RD Feedstock Breakdown'!F$3*'Feedstock Conversion Rates'!B$8)/12+8.5-4-2+4</f>
        <v>29.15625</v>
      </c>
      <c r="G120" s="104">
        <f>('Renewable Diesel'!B129*'RD Feedstock Breakdown'!G$3*'Feedstock Conversion Rates'!B$7)/12+5+3</f>
        <v>82.036999999999992</v>
      </c>
      <c r="H120" s="104">
        <f>('Renewable Diesel'!B129*'RD Feedstock Breakdown'!H$3*'Feedstock Conversion Rates'!B$3)/12-45-20</f>
        <v>9.1392249999999962</v>
      </c>
      <c r="I120" s="106">
        <f t="shared" si="52"/>
        <v>208.62914166666667</v>
      </c>
      <c r="J120" s="106"/>
      <c r="K120" s="107"/>
      <c r="L120" s="106"/>
      <c r="R120" s="104">
        <f>('Renewable Diesel'!D129*'RD Feedstock Breakdown'!R$3*'Feedstock Conversion Rates'!B$7)/12</f>
        <v>2.2999999999999998</v>
      </c>
      <c r="S120" s="106">
        <f t="shared" si="27"/>
        <v>2.2999999999999998</v>
      </c>
      <c r="T120" s="107"/>
      <c r="U120" s="106"/>
      <c r="Y120" s="104"/>
      <c r="Z120" s="104">
        <f>('Renewable Diesel'!F129*'RD Feedstock Breakdown'!Z$3*'Feedstock Conversion Rates'!B$6)/12+17.5-5</f>
        <v>57.055000000000007</v>
      </c>
      <c r="AA120" s="104">
        <f>('Renewable Diesel'!F129*'RD Feedstock Breakdown'!AA$3*'Feedstock Conversion Rates'!B$7)/12-12.5</f>
        <v>16.633333333333329</v>
      </c>
      <c r="AB120" s="106">
        <f t="shared" si="62"/>
        <v>73.688333333333333</v>
      </c>
      <c r="AC120" s="108"/>
      <c r="AG120" s="108"/>
      <c r="AI120" s="104">
        <f>('Renewable Diesel'!H129*'RD Feedstock Breakdown'!AI$3*'Feedstock Conversion Rates'!B$6)/12</f>
        <v>39.083333333333336</v>
      </c>
      <c r="AJ120" s="106">
        <f t="shared" si="26"/>
        <v>39.083333333333336</v>
      </c>
      <c r="AK120" s="104">
        <f>('Renewable Diesel'!J129*'RD Feedstock Breakdown'!AK$3*'Feedstock Conversion Rates'!B$4)/12</f>
        <v>62.5</v>
      </c>
      <c r="AL120" s="106">
        <f t="shared" si="28"/>
        <v>62.5</v>
      </c>
      <c r="AT120" s="108"/>
      <c r="AV120" s="104">
        <f>'Renewable Diesel'!N129*'RD Feedstock Breakdown'!$AV$3*'Feedstock Conversion Rates'!$B$4/12</f>
        <v>78.749999999999986</v>
      </c>
      <c r="AW120" s="104">
        <f>'Renewable Diesel'!N129*'RD Feedstock Breakdown'!$AW$3*'Feedstock Conversion Rates'!$B$7/12</f>
        <v>41.4</v>
      </c>
      <c r="AX120" s="106">
        <f t="shared" si="63"/>
        <v>120.14999999999998</v>
      </c>
      <c r="BJ120" s="104">
        <f>('Renewable Diesel'!W129*'RD Feedstock Breakdown'!BJ$3*'Feedstock Conversion Rates'!B$4)/12-2.5</f>
        <v>5</v>
      </c>
      <c r="BK120" s="104">
        <f>('Renewable Diesel'!W129*'RD Feedstock Breakdown'!BK$3*'Feedstock Conversion Rates'!B$3)/12</f>
        <v>1.335</v>
      </c>
      <c r="BL120" s="104">
        <f>('Renewable Diesel'!W129*'RD Feedstock Breakdown'!BL$3*'Feedstock Conversion Rates'!B$6)/12+2.5</f>
        <v>5.6266666666666669</v>
      </c>
      <c r="BM120" s="104">
        <f>('Renewable Diesel'!W129*'RD Feedstock Breakdown'!BM$3*'Feedstock Conversion Rates'!B$7)/12</f>
        <v>1.5333333333333332</v>
      </c>
      <c r="BN120" s="106">
        <f t="shared" si="54"/>
        <v>13.494999999999999</v>
      </c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7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7"/>
      <c r="CJ120" s="106"/>
      <c r="CK120" s="106"/>
      <c r="CL120" s="106"/>
      <c r="CM120" s="106"/>
      <c r="CN120" s="106"/>
      <c r="CO120" s="106"/>
      <c r="CP120" s="106"/>
      <c r="CQ120" s="106"/>
      <c r="CR120" s="106"/>
      <c r="CS120" s="106"/>
      <c r="CT120" s="106"/>
      <c r="CU120" s="106"/>
      <c r="CV120" s="106"/>
      <c r="CW120" s="106"/>
      <c r="CX120" s="106"/>
      <c r="CY120" s="106"/>
      <c r="CZ120" s="106"/>
      <c r="DA120" s="106"/>
      <c r="DB120" s="106"/>
      <c r="DC120" s="106"/>
      <c r="DD120" s="107"/>
      <c r="DE120" s="106"/>
      <c r="DF120" s="106"/>
      <c r="DG120" s="106"/>
      <c r="DH120" s="106"/>
      <c r="DI120" s="106"/>
      <c r="DJ120" s="107"/>
      <c r="DK120" s="106"/>
      <c r="DL120" s="106"/>
      <c r="DM120" s="106"/>
      <c r="DN120" s="106"/>
      <c r="DP120" s="104">
        <f t="shared" si="30"/>
        <v>22.796666666666667</v>
      </c>
      <c r="DQ120" s="104">
        <f t="shared" si="31"/>
        <v>10.474224999999997</v>
      </c>
      <c r="DR120" s="104">
        <f t="shared" si="39"/>
        <v>211.75</v>
      </c>
      <c r="DS120" s="107"/>
      <c r="DT120" s="104">
        <f t="shared" si="32"/>
        <v>101.76500000000001</v>
      </c>
      <c r="DU120" s="104">
        <f t="shared" si="33"/>
        <v>143.90366666666665</v>
      </c>
      <c r="DV120" s="104">
        <f t="shared" si="34"/>
        <v>29.15625</v>
      </c>
      <c r="DW120" s="104">
        <f t="shared" si="35"/>
        <v>0</v>
      </c>
      <c r="DX120" s="106">
        <f t="shared" si="36"/>
        <v>519.84580833333325</v>
      </c>
      <c r="DY120" s="109">
        <f t="shared" si="37"/>
        <v>0</v>
      </c>
      <c r="EA120" s="110">
        <f t="shared" si="55"/>
        <v>4.3852746913079055E-2</v>
      </c>
      <c r="EB120" s="110">
        <f t="shared" si="55"/>
        <v>2.0148714930646822E-2</v>
      </c>
      <c r="EC120" s="110">
        <f t="shared" si="55"/>
        <v>0.40733232163376915</v>
      </c>
      <c r="ED120" s="107"/>
      <c r="EE120" s="110">
        <f t="shared" si="56"/>
        <v>0.19575997030016776</v>
      </c>
      <c r="EF120" s="110">
        <f t="shared" si="56"/>
        <v>0.2768199038250076</v>
      </c>
      <c r="EG120" s="111">
        <f t="shared" si="56"/>
        <v>5.6086342397329784E-2</v>
      </c>
      <c r="EH120" s="111">
        <f t="shared" si="40"/>
        <v>0</v>
      </c>
      <c r="EI120" s="110">
        <f t="shared" si="41"/>
        <v>1</v>
      </c>
      <c r="EK120" s="112">
        <f>(EA120*'Renewable Diesel'!BF129*'Feedstock Conversion Rates'!B$2)+FB120</f>
        <v>16.849121823783744</v>
      </c>
      <c r="EL120" s="112">
        <f>(EB120*'Renewable Diesel'!BF129*'Feedstock Conversion Rates'!B$3)+FC120</f>
        <v>7.2952706839224026</v>
      </c>
      <c r="EM120" s="112">
        <f>(EC120*'Renewable Diesel'!BF129*'Feedstock Conversion Rates'!B$4)+FD120</f>
        <v>138.0930042905992</v>
      </c>
      <c r="EN120" s="107"/>
      <c r="EO120" s="112">
        <f>(EE120*'Renewable Diesel'!BF129*'Feedstock Conversion Rates'!B$6)+FF120</f>
        <v>83.001945297577933</v>
      </c>
      <c r="EP120" s="112">
        <f>(EF120*'Renewable Diesel'!BF129*'Feedstock Conversion Rates'!B$7)+FG120</f>
        <v>115.11891372378317</v>
      </c>
      <c r="EQ120" s="112">
        <f>(EG120*'Renewable Diesel'!BF129*'Feedstock Conversion Rates'!B$8)+FH120</f>
        <v>23.767852162619732</v>
      </c>
      <c r="ER120" s="112">
        <f>(EH120*'Renewable Diesel'!BF129*'Feedstock Conversion Rates'!B$9)+FI120</f>
        <v>0</v>
      </c>
      <c r="ES120" s="112">
        <f t="shared" si="42"/>
        <v>384.12610798228616</v>
      </c>
      <c r="EW120" s="73">
        <f t="shared" si="58"/>
        <v>138.0930042905992</v>
      </c>
      <c r="EX120" s="73">
        <f t="shared" si="59"/>
        <v>246.03310369168696</v>
      </c>
      <c r="EY120" s="92">
        <f t="shared" si="38"/>
        <v>0.35949913692658275</v>
      </c>
      <c r="EZ120" s="92">
        <f t="shared" si="38"/>
        <v>0.64050086307341725</v>
      </c>
      <c r="FB120" s="102">
        <f>IF('Renewable Diesel'!$BG129&lt;1,0,(((('Renewable Diesel'!$BG129-1)*'Renewable Diesel'!$BF129)*'RD Feedstock Breakdown'!EA120)*'Feedstock Conversion Rates'!$B$2))</f>
        <v>0</v>
      </c>
      <c r="FC120" s="102">
        <f>IF('Renewable Diesel'!$BG129&lt;1,0,(((('Renewable Diesel'!$BG129-1)*'Renewable Diesel'!$BF129)*'RD Feedstock Breakdown'!EB120)*'Feedstock Conversion Rates'!$B$3))</f>
        <v>0</v>
      </c>
      <c r="FD120" s="102">
        <f>IF('Renewable Diesel'!$BG129&lt;1,0,(((('Renewable Diesel'!$BG129-1)*'Renewable Diesel'!$BF129)*'RD Feedstock Breakdown'!EC120)*'Feedstock Conversion Rates'!$B$4))</f>
        <v>0</v>
      </c>
      <c r="FE120" s="107"/>
      <c r="FF120" s="102">
        <f>IF('Renewable Diesel'!$BG129&lt;1,0,(((('Renewable Diesel'!$BG129-1)*'Renewable Diesel'!$BF129)*'RD Feedstock Breakdown'!EE120)*'Feedstock Conversion Rates'!$B$6))</f>
        <v>0</v>
      </c>
      <c r="FG120" s="102">
        <f>IF('Renewable Diesel'!$BG129&lt;1,0,(((('Renewable Diesel'!$BG129-1)*'Renewable Diesel'!$BF129)*'RD Feedstock Breakdown'!EF120)*'Feedstock Conversion Rates'!$B$7))</f>
        <v>0</v>
      </c>
      <c r="FH120" s="102">
        <f>IF('Renewable Diesel'!$BG129&lt;1,0,(((('Renewable Diesel'!$BG129-1)*'Renewable Diesel'!$BF129)*'RD Feedstock Breakdown'!EG120)*'Feedstock Conversion Rates'!$B$8))</f>
        <v>0</v>
      </c>
      <c r="FI120" s="102">
        <f>IF('Renewable Diesel'!$BG129&lt;1,0,(((('Renewable Diesel'!$BG129-1)*'Renewable Diesel'!$BF129)*'RD Feedstock Breakdown'!EH120)*'Feedstock Conversion Rates'!$B$9))</f>
        <v>0</v>
      </c>
      <c r="FJ120" s="102">
        <f t="shared" si="60"/>
        <v>0</v>
      </c>
      <c r="FR120" s="3">
        <f>('Renewable Diesel'!AX129-'Renewable Diesel'!BI129)/12*$FO$80</f>
        <v>41.943750000000001</v>
      </c>
      <c r="FS120" s="100">
        <f t="shared" si="48"/>
        <v>0.40733232163376915</v>
      </c>
      <c r="FT120" s="3">
        <f t="shared" si="50"/>
        <v>128.13783799144804</v>
      </c>
      <c r="FY120" s="3">
        <f>'Renewable Diesel'!BF129*('Renewable Diesel'!BI129/'Renewable Diesel'!AX129)</f>
        <v>10.948414490176152</v>
      </c>
      <c r="FZ120" s="3">
        <f>('Renewable Diesel'!BJ129*'Renewable Diesel'!BG129)/12</f>
        <v>33.609426172273402</v>
      </c>
      <c r="GA120" s="3">
        <f t="shared" si="51"/>
        <v>102.67654193648166</v>
      </c>
      <c r="GD120" s="91">
        <f>'Renewable Diesel'!BB129*0</f>
        <v>0</v>
      </c>
      <c r="GE120" s="91">
        <f>'Renewable Diesel'!BC129</f>
        <v>0.37116900000000003</v>
      </c>
      <c r="GF120" s="91">
        <f>'Renewable Diesel'!BD129</f>
        <v>0</v>
      </c>
      <c r="GG120" s="91">
        <f t="shared" si="49"/>
        <v>0.37116900000000003</v>
      </c>
      <c r="GH120" s="124">
        <v>1</v>
      </c>
      <c r="GI120" s="102">
        <f>$GG120*EA120*'Feedstock Conversion Rates'!$B$2</f>
        <v>0.13835263186133545</v>
      </c>
      <c r="GJ120" s="102">
        <f>$GG120*EB120*'Feedstock Conversion Rates'!$B$3</f>
        <v>5.9903412760466936E-2</v>
      </c>
      <c r="GK120" s="102">
        <f>$GG120*EC120*'Feedstock Conversion Rates'!$B$4</f>
        <v>1.1339184786636336</v>
      </c>
      <c r="GL120" s="102">
        <f>$GG120*ED120*'Feedstock Conversion Rates'!$B$5</f>
        <v>0</v>
      </c>
      <c r="GM120" s="102">
        <f>$GG120*EE120*'Feedstock Conversion Rates'!$B$6</f>
        <v>0.68155110406529718</v>
      </c>
      <c r="GN120" s="102">
        <f>$GG120*EF120*'Feedstock Conversion Rates'!$B$7</f>
        <v>0.94527209532198309</v>
      </c>
      <c r="GO120" s="102">
        <f>$GG120*EG120*'Feedstock Conversion Rates'!$B$8</f>
        <v>0.19516417144944845</v>
      </c>
      <c r="GP120" s="102">
        <f>$GG120*EH120*'Feedstock Conversion Rates'!B$9</f>
        <v>0</v>
      </c>
      <c r="GQ120" s="102">
        <f t="shared" si="45"/>
        <v>3.154161894122165</v>
      </c>
      <c r="GR120" s="85">
        <f t="shared" si="53"/>
        <v>8.4979130641895324</v>
      </c>
      <c r="GT120" s="103">
        <f t="shared" si="47"/>
        <v>4.38635163652056E-2</v>
      </c>
      <c r="GU120" s="103">
        <f t="shared" si="47"/>
        <v>1.8991863693521245E-2</v>
      </c>
      <c r="GV120" s="103">
        <f t="shared" si="47"/>
        <v>0.35949913692658275</v>
      </c>
      <c r="GW120" s="103">
        <f t="shared" si="46"/>
        <v>0</v>
      </c>
      <c r="GX120" s="103">
        <f t="shared" si="46"/>
        <v>0.2160799372205274</v>
      </c>
      <c r="GY120" s="103">
        <f t="shared" si="46"/>
        <v>0.29969041762996185</v>
      </c>
      <c r="GZ120" s="103">
        <f t="shared" si="46"/>
        <v>6.1875128164201161E-2</v>
      </c>
      <c r="HA120" s="103">
        <f t="shared" si="46"/>
        <v>0</v>
      </c>
    </row>
    <row r="121" spans="1:209" x14ac:dyDescent="0.25">
      <c r="A121" s="96">
        <v>44105</v>
      </c>
      <c r="B121" s="104">
        <f>25+35+11.5+4-5+1+2-4+20-5-6-5-5-20-20-1-2</f>
        <v>25.5</v>
      </c>
      <c r="C121" s="105"/>
      <c r="D121" s="104">
        <v>0</v>
      </c>
      <c r="E121" s="104">
        <f>('Renewable Diesel'!B130*E$3*'Feedstock Conversion Rates'!$B$2)/12-15+20</f>
        <v>42.796666666666667</v>
      </c>
      <c r="F121" s="104">
        <f>('Renewable Diesel'!B130*'RD Feedstock Breakdown'!F$3*'Feedstock Conversion Rates'!B$8)/12+8.5-4-2+4</f>
        <v>29.15625</v>
      </c>
      <c r="G121" s="104">
        <f>('Renewable Diesel'!B130*'RD Feedstock Breakdown'!G$3*'Feedstock Conversion Rates'!B$7)/12+5+3</f>
        <v>82.036999999999992</v>
      </c>
      <c r="H121" s="104">
        <f>('Renewable Diesel'!B130*'RD Feedstock Breakdown'!H$3*'Feedstock Conversion Rates'!B$3)/12-45</f>
        <v>29.139224999999996</v>
      </c>
      <c r="I121" s="106">
        <f t="shared" si="52"/>
        <v>208.62914166666667</v>
      </c>
      <c r="J121" s="106"/>
      <c r="K121" s="107"/>
      <c r="L121" s="106"/>
      <c r="R121" s="104">
        <f>('Renewable Diesel'!D130*'RD Feedstock Breakdown'!R$3*'Feedstock Conversion Rates'!B$7)/12</f>
        <v>2.2999999999999998</v>
      </c>
      <c r="S121" s="106">
        <f t="shared" si="27"/>
        <v>2.2999999999999998</v>
      </c>
      <c r="T121" s="107"/>
      <c r="U121" s="106"/>
      <c r="Y121" s="104"/>
      <c r="Z121" s="104">
        <f>('Renewable Diesel'!F130*'RD Feedstock Breakdown'!Z$3*'Feedstock Conversion Rates'!B$6)/12+17.5-5</f>
        <v>57.055000000000007</v>
      </c>
      <c r="AA121" s="104">
        <f>('Renewable Diesel'!F130*'RD Feedstock Breakdown'!AA$3*'Feedstock Conversion Rates'!B$7)/12-12.5</f>
        <v>16.633333333333329</v>
      </c>
      <c r="AB121" s="106">
        <f t="shared" si="62"/>
        <v>73.688333333333333</v>
      </c>
      <c r="AC121" s="108"/>
      <c r="AG121" s="105"/>
      <c r="AH121" s="104"/>
      <c r="AI121" s="104">
        <f>('Renewable Diesel'!H130*'RD Feedstock Breakdown'!AI$3*'Feedstock Conversion Rates'!B$6)/12</f>
        <v>39.083333333333336</v>
      </c>
      <c r="AJ121" s="106">
        <f t="shared" si="26"/>
        <v>39.083333333333336</v>
      </c>
      <c r="AK121" s="104">
        <f>('Renewable Diesel'!J130*'RD Feedstock Breakdown'!AK$3*'Feedstock Conversion Rates'!B$4)/12</f>
        <v>62.5</v>
      </c>
      <c r="AL121" s="106">
        <f t="shared" si="28"/>
        <v>62.5</v>
      </c>
      <c r="AT121" s="108"/>
      <c r="AV121" s="104">
        <f>'Renewable Diesel'!N130*'RD Feedstock Breakdown'!$AV$3*'Feedstock Conversion Rates'!$B$4/12</f>
        <v>78.749999999999986</v>
      </c>
      <c r="AW121" s="104">
        <f>'Renewable Diesel'!N130*'RD Feedstock Breakdown'!$AW$3*'Feedstock Conversion Rates'!$B$7/12</f>
        <v>41.4</v>
      </c>
      <c r="AX121" s="106">
        <f t="shared" si="63"/>
        <v>120.14999999999998</v>
      </c>
      <c r="BJ121" s="104">
        <f>('Renewable Diesel'!W130*'RD Feedstock Breakdown'!BJ$3*'Feedstock Conversion Rates'!B$4)/12</f>
        <v>7.5</v>
      </c>
      <c r="BK121" s="104">
        <f>('Renewable Diesel'!W130*'RD Feedstock Breakdown'!BK$3*'Feedstock Conversion Rates'!B$3)/12</f>
        <v>1.335</v>
      </c>
      <c r="BL121" s="104">
        <f>('Renewable Diesel'!W130*'RD Feedstock Breakdown'!BL$3*'Feedstock Conversion Rates'!B$6)/12</f>
        <v>3.1266666666666669</v>
      </c>
      <c r="BM121" s="104">
        <f>('Renewable Diesel'!W130*'RD Feedstock Breakdown'!BM$3*'Feedstock Conversion Rates'!B$7)/12</f>
        <v>1.5333333333333332</v>
      </c>
      <c r="BN121" s="106">
        <f t="shared" si="54"/>
        <v>13.495000000000001</v>
      </c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7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7"/>
      <c r="CJ121" s="106"/>
      <c r="CK121" s="106"/>
      <c r="CL121" s="106"/>
      <c r="CM121" s="106"/>
      <c r="CN121" s="106"/>
      <c r="CO121" s="106"/>
      <c r="CP121" s="106"/>
      <c r="CQ121" s="106"/>
      <c r="CR121" s="106"/>
      <c r="CS121" s="106"/>
      <c r="CT121" s="106"/>
      <c r="CU121" s="106"/>
      <c r="CV121" s="106"/>
      <c r="CW121" s="106"/>
      <c r="CX121" s="106"/>
      <c r="CY121" s="106"/>
      <c r="CZ121" s="106"/>
      <c r="DA121" s="106"/>
      <c r="DB121" s="106"/>
      <c r="DC121" s="106"/>
      <c r="DD121" s="107"/>
      <c r="DE121" s="106"/>
      <c r="DF121" s="106"/>
      <c r="DG121" s="106"/>
      <c r="DH121" s="106"/>
      <c r="DI121" s="106"/>
      <c r="DJ121" s="107"/>
      <c r="DK121" s="106"/>
      <c r="DL121" s="106"/>
      <c r="DM121" s="106"/>
      <c r="DN121" s="106"/>
      <c r="DP121" s="104">
        <f t="shared" si="30"/>
        <v>42.796666666666667</v>
      </c>
      <c r="DQ121" s="104">
        <f t="shared" si="31"/>
        <v>30.474224999999997</v>
      </c>
      <c r="DR121" s="104">
        <f t="shared" si="39"/>
        <v>174.25</v>
      </c>
      <c r="DS121" s="107"/>
      <c r="DT121" s="104">
        <f t="shared" si="32"/>
        <v>99.265000000000015</v>
      </c>
      <c r="DU121" s="104">
        <f t="shared" si="33"/>
        <v>143.90366666666665</v>
      </c>
      <c r="DV121" s="104">
        <f t="shared" si="34"/>
        <v>29.15625</v>
      </c>
      <c r="DW121" s="104">
        <f t="shared" si="35"/>
        <v>0</v>
      </c>
      <c r="DX121" s="106">
        <f t="shared" si="36"/>
        <v>519.84580833333325</v>
      </c>
      <c r="DY121" s="109">
        <f t="shared" si="37"/>
        <v>0</v>
      </c>
      <c r="EA121" s="110">
        <f t="shared" si="55"/>
        <v>8.2325693466445679E-2</v>
      </c>
      <c r="EB121" s="110">
        <f t="shared" si="55"/>
        <v>5.8621661484013446E-2</v>
      </c>
      <c r="EC121" s="110">
        <f t="shared" si="55"/>
        <v>0.33519554684620673</v>
      </c>
      <c r="ED121" s="107"/>
      <c r="EE121" s="110">
        <f t="shared" si="56"/>
        <v>0.19095085198099693</v>
      </c>
      <c r="EF121" s="110">
        <f t="shared" si="56"/>
        <v>0.2768199038250076</v>
      </c>
      <c r="EG121" s="111">
        <f t="shared" si="56"/>
        <v>5.6086342397329784E-2</v>
      </c>
      <c r="EH121" s="111">
        <f t="shared" si="40"/>
        <v>0</v>
      </c>
      <c r="EI121" s="110">
        <f t="shared" si="41"/>
        <v>1</v>
      </c>
      <c r="EK121" s="112">
        <f>(EA121*'Renewable Diesel'!BF130*'Feedstock Conversion Rates'!B$2)+FB121</f>
        <v>14.749481696811479</v>
      </c>
      <c r="EL121" s="112">
        <f>(EB121*'Renewable Diesel'!BF130*'Feedstock Conversion Rates'!B$3)+FC121</f>
        <v>9.8972166087740145</v>
      </c>
      <c r="EM121" s="112">
        <f>(EC121*'Renewable Diesel'!BF130*'Feedstock Conversion Rates'!B$4)+FD121</f>
        <v>52.988538302471341</v>
      </c>
      <c r="EN121" s="107"/>
      <c r="EO121" s="112">
        <f>(EE121*'Renewable Diesel'!BF130*'Feedstock Conversion Rates'!B$6)+FF121</f>
        <v>37.752600706340999</v>
      </c>
      <c r="EP121" s="112">
        <f>(EF121*'Renewable Diesel'!BF130*'Feedstock Conversion Rates'!B$7)+FG121</f>
        <v>53.67939058280335</v>
      </c>
      <c r="EQ121" s="112">
        <f>(EG121*'Renewable Diesel'!BF130*'Feedstock Conversion Rates'!B$8)+FH121</f>
        <v>11.082834073754878</v>
      </c>
      <c r="ER121" s="112">
        <f>(EH121*'Renewable Diesel'!BF130*'Feedstock Conversion Rates'!B$9)+FI121</f>
        <v>0</v>
      </c>
      <c r="ES121" s="112">
        <f t="shared" si="42"/>
        <v>180.15006197095605</v>
      </c>
      <c r="EW121" s="73">
        <f t="shared" si="58"/>
        <v>52.988538302471341</v>
      </c>
      <c r="EX121" s="73">
        <f t="shared" si="59"/>
        <v>127.16152366848472</v>
      </c>
      <c r="EY121" s="92">
        <f t="shared" si="38"/>
        <v>0.29413555411939962</v>
      </c>
      <c r="EZ121" s="92">
        <f t="shared" si="38"/>
        <v>0.70586444588060049</v>
      </c>
      <c r="FB121" s="102">
        <f>IF('Renewable Diesel'!$BG130&lt;1,0,(((('Renewable Diesel'!$BG130-1)*'Renewable Diesel'!$BF130)*'RD Feedstock Breakdown'!EA121)*'Feedstock Conversion Rates'!$B$2))</f>
        <v>0</v>
      </c>
      <c r="FC121" s="102">
        <f>IF('Renewable Diesel'!$BG130&lt;1,0,(((('Renewable Diesel'!$BG130-1)*'Renewable Diesel'!$BF130)*'RD Feedstock Breakdown'!EB121)*'Feedstock Conversion Rates'!$B$3))</f>
        <v>0</v>
      </c>
      <c r="FD121" s="102">
        <f>IF('Renewable Diesel'!$BG130&lt;1,0,(((('Renewable Diesel'!$BG130-1)*'Renewable Diesel'!$BF130)*'RD Feedstock Breakdown'!EC121)*'Feedstock Conversion Rates'!$B$4))</f>
        <v>0</v>
      </c>
      <c r="FE121" s="107"/>
      <c r="FF121" s="102">
        <f>IF('Renewable Diesel'!$BG130&lt;1,0,(((('Renewable Diesel'!$BG130-1)*'Renewable Diesel'!$BF130)*'RD Feedstock Breakdown'!EE121)*'Feedstock Conversion Rates'!$B$6))</f>
        <v>0</v>
      </c>
      <c r="FG121" s="102">
        <f>IF('Renewable Diesel'!$BG130&lt;1,0,(((('Renewable Diesel'!$BG130-1)*'Renewable Diesel'!$BF130)*'RD Feedstock Breakdown'!EF121)*'Feedstock Conversion Rates'!$B$7))</f>
        <v>0</v>
      </c>
      <c r="FH121" s="102">
        <f>IF('Renewable Diesel'!$BG130&lt;1,0,(((('Renewable Diesel'!$BG130-1)*'Renewable Diesel'!$BF130)*'RD Feedstock Breakdown'!EG121)*'Feedstock Conversion Rates'!$B$8))</f>
        <v>0</v>
      </c>
      <c r="FI121" s="102">
        <f>IF('Renewable Diesel'!$BG130&lt;1,0,(((('Renewable Diesel'!$BG130-1)*'Renewable Diesel'!$BF130)*'RD Feedstock Breakdown'!EH121)*'Feedstock Conversion Rates'!$B$9))</f>
        <v>0</v>
      </c>
      <c r="FJ121" s="102">
        <f t="shared" si="60"/>
        <v>0</v>
      </c>
      <c r="FR121" s="3">
        <f>('Renewable Diesel'!AX130-'Renewable Diesel'!BI130)/12*$FO$80</f>
        <v>41.943750000000001</v>
      </c>
      <c r="FS121" s="100">
        <f t="shared" si="48"/>
        <v>0.33519554684620673</v>
      </c>
      <c r="FT121" s="3">
        <f t="shared" si="50"/>
        <v>105.44518663522938</v>
      </c>
      <c r="FY121" s="3">
        <f>'Renewable Diesel'!BF130*('Renewable Diesel'!BI130/'Renewable Diesel'!AX130)</f>
        <v>5.1051925237127369</v>
      </c>
      <c r="FZ121" s="3">
        <f>('Renewable Diesel'!BJ130*'Renewable Diesel'!BG130)/12</f>
        <v>16.194309330124586</v>
      </c>
      <c r="GA121" s="3">
        <f t="shared" si="51"/>
        <v>40.711952787808038</v>
      </c>
      <c r="GD121" s="91">
        <f>'Renewable Diesel'!BB130*0</f>
        <v>0</v>
      </c>
      <c r="GE121" s="91">
        <f>'Renewable Diesel'!BC130</f>
        <v>0.188416</v>
      </c>
      <c r="GF121" s="91">
        <f>'Renewable Diesel'!BD130</f>
        <v>0</v>
      </c>
      <c r="GG121" s="91">
        <f t="shared" si="49"/>
        <v>0.188416</v>
      </c>
      <c r="GH121" s="124">
        <v>1</v>
      </c>
      <c r="GI121" s="102">
        <f>$GG121*EA121*'Feedstock Conversion Rates'!$B$2</f>
        <v>0.13184756181147755</v>
      </c>
      <c r="GJ121" s="102">
        <f>$GG121*EB121*'Feedstock Conversion Rates'!$B$3</f>
        <v>8.8472524351076734E-2</v>
      </c>
      <c r="GK121" s="102">
        <f>$GG121*EC121*'Feedstock Conversion Rates'!$B$4</f>
        <v>0.47367153115931165</v>
      </c>
      <c r="GL121" s="102">
        <f>$GG121*ED121*'Feedstock Conversion Rates'!$B$5</f>
        <v>0</v>
      </c>
      <c r="GM121" s="102">
        <f>$GG121*EE121*'Feedstock Conversion Rates'!$B$6</f>
        <v>0.33747547591786725</v>
      </c>
      <c r="GN121" s="102">
        <f>$GG121*EF121*'Feedstock Conversion Rates'!$B$7</f>
        <v>0.47984715079165219</v>
      </c>
      <c r="GO121" s="102">
        <f>$GG121*EG121*'Feedstock Conversion Rates'!$B$8</f>
        <v>9.9070915210643332E-2</v>
      </c>
      <c r="GP121" s="102">
        <f>$GG121*EH121*'Feedstock Conversion Rates'!B$9</f>
        <v>0</v>
      </c>
      <c r="GQ121" s="102">
        <f t="shared" si="45"/>
        <v>1.6103851592420286</v>
      </c>
      <c r="GR121" s="85">
        <f t="shared" si="53"/>
        <v>8.5469660710450732</v>
      </c>
      <c r="GT121" s="103">
        <f t="shared" si="47"/>
        <v>8.1873309037159267E-2</v>
      </c>
      <c r="GU121" s="103">
        <f t="shared" si="47"/>
        <v>5.49387355213325E-2</v>
      </c>
      <c r="GV121" s="103">
        <f t="shared" si="47"/>
        <v>0.29413555411939962</v>
      </c>
      <c r="GW121" s="103">
        <f t="shared" si="46"/>
        <v>0</v>
      </c>
      <c r="GX121" s="103">
        <f t="shared" si="46"/>
        <v>0.20956196347258269</v>
      </c>
      <c r="GY121" s="103">
        <f t="shared" si="46"/>
        <v>0.29797042529720352</v>
      </c>
      <c r="GZ121" s="103">
        <f t="shared" si="46"/>
        <v>6.1520012552322409E-2</v>
      </c>
      <c r="HA121" s="103">
        <f t="shared" si="46"/>
        <v>0</v>
      </c>
    </row>
    <row r="122" spans="1:209" x14ac:dyDescent="0.25">
      <c r="A122" s="96">
        <v>44136</v>
      </c>
      <c r="B122" s="104">
        <f>25+35+11.5+4-5+1+2-4+20-5-6-5-5-20-20-1-2</f>
        <v>25.5</v>
      </c>
      <c r="C122" s="105"/>
      <c r="D122" s="104">
        <v>0</v>
      </c>
      <c r="E122" s="104">
        <f>('Renewable Diesel'!B131*E$3*'Feedstock Conversion Rates'!$B$2)/12-15+20</f>
        <v>42.796666666666667</v>
      </c>
      <c r="F122" s="104">
        <f>('Renewable Diesel'!B131*'RD Feedstock Breakdown'!F$3*'Feedstock Conversion Rates'!B$8)/12+8.5-4-2+4</f>
        <v>29.15625</v>
      </c>
      <c r="G122" s="104">
        <f>('Renewable Diesel'!B131*'RD Feedstock Breakdown'!G$3*'Feedstock Conversion Rates'!B$7)/12+5+3</f>
        <v>82.036999999999992</v>
      </c>
      <c r="H122" s="104">
        <f>('Renewable Diesel'!B131*'RD Feedstock Breakdown'!H$3*'Feedstock Conversion Rates'!B$3)/12-45</f>
        <v>29.139224999999996</v>
      </c>
      <c r="I122" s="106">
        <f t="shared" si="52"/>
        <v>208.62914166666667</v>
      </c>
      <c r="J122" s="106"/>
      <c r="K122" s="107"/>
      <c r="L122" s="106"/>
      <c r="R122" s="104">
        <f>('Renewable Diesel'!D131*'RD Feedstock Breakdown'!R$3*'Feedstock Conversion Rates'!B$7)/12</f>
        <v>2.2999999999999998</v>
      </c>
      <c r="S122" s="106">
        <f t="shared" si="27"/>
        <v>2.2999999999999998</v>
      </c>
      <c r="T122" s="107"/>
      <c r="U122" s="106"/>
      <c r="Y122" s="104"/>
      <c r="Z122" s="104">
        <f>('Renewable Diesel'!F131*'RD Feedstock Breakdown'!Z$3*'Feedstock Conversion Rates'!B$6)/12+17.5-5</f>
        <v>57.055000000000007</v>
      </c>
      <c r="AA122" s="104">
        <f>('Renewable Diesel'!F131*'RD Feedstock Breakdown'!AA$3*'Feedstock Conversion Rates'!B$7)/12-12.5</f>
        <v>16.633333333333329</v>
      </c>
      <c r="AB122" s="106">
        <f t="shared" si="62"/>
        <v>73.688333333333333</v>
      </c>
      <c r="AC122" s="108"/>
      <c r="AG122" s="105"/>
      <c r="AH122" s="104"/>
      <c r="AI122" s="104">
        <f>('Renewable Diesel'!H131*'RD Feedstock Breakdown'!AI$3*'Feedstock Conversion Rates'!B$6)/12</f>
        <v>39.083333333333336</v>
      </c>
      <c r="AJ122" s="106">
        <f t="shared" si="26"/>
        <v>39.083333333333336</v>
      </c>
      <c r="AK122" s="104">
        <f>('Renewable Diesel'!J131*'RD Feedstock Breakdown'!AK$3*'Feedstock Conversion Rates'!B$4)/12</f>
        <v>62.5</v>
      </c>
      <c r="AL122" s="106">
        <f t="shared" si="28"/>
        <v>62.5</v>
      </c>
      <c r="AT122" s="108"/>
      <c r="AV122" s="104">
        <f>'Renewable Diesel'!N131*'RD Feedstock Breakdown'!$AV$3*'Feedstock Conversion Rates'!$B$4/12</f>
        <v>78.749999999999986</v>
      </c>
      <c r="AW122" s="104">
        <f>'Renewable Diesel'!N131*'RD Feedstock Breakdown'!$AW$3*'Feedstock Conversion Rates'!$B$7/12</f>
        <v>41.4</v>
      </c>
      <c r="AX122" s="106">
        <f t="shared" si="63"/>
        <v>120.14999999999998</v>
      </c>
      <c r="BJ122" s="104">
        <f>('Renewable Diesel'!W131*'RD Feedstock Breakdown'!BJ$3*'Feedstock Conversion Rates'!B$4)/12</f>
        <v>7.5</v>
      </c>
      <c r="BK122" s="104">
        <f>('Renewable Diesel'!W131*'RD Feedstock Breakdown'!BK$3*'Feedstock Conversion Rates'!B$3)/12</f>
        <v>1.335</v>
      </c>
      <c r="BL122" s="104">
        <f>('Renewable Diesel'!W131*'RD Feedstock Breakdown'!BL$3*'Feedstock Conversion Rates'!B$6)/12</f>
        <v>3.1266666666666669</v>
      </c>
      <c r="BM122" s="104">
        <f>('Renewable Diesel'!W131*'RD Feedstock Breakdown'!BM$3*'Feedstock Conversion Rates'!B$7)/12</f>
        <v>1.5333333333333332</v>
      </c>
      <c r="BN122" s="106">
        <f t="shared" si="54"/>
        <v>13.495000000000001</v>
      </c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7"/>
      <c r="BY122" s="106"/>
      <c r="BZ122" s="106"/>
      <c r="CA122" s="106"/>
      <c r="CB122" s="106"/>
      <c r="CC122" s="106"/>
      <c r="CD122" s="106"/>
      <c r="CE122" s="106"/>
      <c r="CF122" s="106"/>
      <c r="CG122" s="106"/>
      <c r="CH122" s="106"/>
      <c r="CI122" s="107"/>
      <c r="CJ122" s="106"/>
      <c r="CK122" s="106"/>
      <c r="CL122" s="106"/>
      <c r="CM122" s="106"/>
      <c r="CN122" s="106"/>
      <c r="CO122" s="106"/>
      <c r="CP122" s="106"/>
      <c r="CQ122" s="106"/>
      <c r="CR122" s="106"/>
      <c r="CS122" s="106"/>
      <c r="CT122" s="106"/>
      <c r="CU122" s="106"/>
      <c r="CV122" s="106"/>
      <c r="CW122" s="106"/>
      <c r="CX122" s="106"/>
      <c r="CY122" s="106"/>
      <c r="CZ122" s="106"/>
      <c r="DA122" s="106"/>
      <c r="DB122" s="106"/>
      <c r="DC122" s="106"/>
      <c r="DD122" s="107"/>
      <c r="DE122" s="106"/>
      <c r="DF122" s="106"/>
      <c r="DG122" s="106"/>
      <c r="DH122" s="106"/>
      <c r="DI122" s="106"/>
      <c r="DJ122" s="107"/>
      <c r="DK122" s="106"/>
      <c r="DL122" s="106"/>
      <c r="DM122" s="106"/>
      <c r="DN122" s="106"/>
      <c r="DP122" s="104">
        <f t="shared" si="30"/>
        <v>42.796666666666667</v>
      </c>
      <c r="DQ122" s="104">
        <f t="shared" si="31"/>
        <v>30.474224999999997</v>
      </c>
      <c r="DR122" s="104">
        <f t="shared" si="39"/>
        <v>174.25</v>
      </c>
      <c r="DS122" s="107"/>
      <c r="DT122" s="104">
        <f t="shared" si="32"/>
        <v>99.265000000000015</v>
      </c>
      <c r="DU122" s="104">
        <f t="shared" si="33"/>
        <v>143.90366666666665</v>
      </c>
      <c r="DV122" s="104">
        <f t="shared" si="34"/>
        <v>29.15625</v>
      </c>
      <c r="DW122" s="104">
        <f t="shared" si="35"/>
        <v>0</v>
      </c>
      <c r="DX122" s="106">
        <f t="shared" si="36"/>
        <v>519.84580833333325</v>
      </c>
      <c r="DY122" s="109">
        <f t="shared" si="37"/>
        <v>0</v>
      </c>
      <c r="EA122" s="110">
        <f t="shared" si="55"/>
        <v>8.2325693466445679E-2</v>
      </c>
      <c r="EB122" s="110">
        <f t="shared" si="55"/>
        <v>5.8621661484013446E-2</v>
      </c>
      <c r="EC122" s="110">
        <f t="shared" si="55"/>
        <v>0.33519554684620673</v>
      </c>
      <c r="ED122" s="107"/>
      <c r="EE122" s="110">
        <f t="shared" si="56"/>
        <v>0.19095085198099693</v>
      </c>
      <c r="EF122" s="110">
        <f t="shared" si="56"/>
        <v>0.2768199038250076</v>
      </c>
      <c r="EG122" s="111">
        <f t="shared" si="56"/>
        <v>5.6086342397329784E-2</v>
      </c>
      <c r="EH122" s="111">
        <f t="shared" si="40"/>
        <v>0</v>
      </c>
      <c r="EI122" s="110">
        <f t="shared" si="41"/>
        <v>1</v>
      </c>
      <c r="EK122" s="112">
        <f>(EA122*'Renewable Diesel'!BF131*'Feedstock Conversion Rates'!B$2)+FB122</f>
        <v>30.311455379446894</v>
      </c>
      <c r="EL122" s="112">
        <f>(EB122*'Renewable Diesel'!BF131*'Feedstock Conversion Rates'!B$3)+FC122</f>
        <v>20.339632658578616</v>
      </c>
      <c r="EM122" s="112">
        <f>(EC122*'Renewable Diesel'!BF131*'Feedstock Conversion Rates'!B$4)+FD122</f>
        <v>108.89601054420034</v>
      </c>
      <c r="EN122" s="107"/>
      <c r="EO122" s="112">
        <f>(EE122*'Renewable Diesel'!BF131*'Feedstock Conversion Rates'!B$6)+FF122</f>
        <v>77.58484638926069</v>
      </c>
      <c r="EP122" s="112">
        <f>(EF122*'Renewable Diesel'!BF131*'Feedstock Conversion Rates'!B$7)+FG122</f>
        <v>110.31577148899341</v>
      </c>
      <c r="EQ122" s="112">
        <f>(EG122*'Renewable Diesel'!BF131*'Feedstock Conversion Rates'!B$8)+FH122</f>
        <v>22.77617867596371</v>
      </c>
      <c r="ER122" s="112">
        <f>(EH122*'Renewable Diesel'!BF131*'Feedstock Conversion Rates'!B$9)+FI122</f>
        <v>0</v>
      </c>
      <c r="ES122" s="112">
        <f t="shared" si="42"/>
        <v>370.22389513644362</v>
      </c>
      <c r="EW122" s="73">
        <f t="shared" si="58"/>
        <v>108.89601054420034</v>
      </c>
      <c r="EX122" s="73">
        <f t="shared" si="59"/>
        <v>261.32788459224332</v>
      </c>
      <c r="EY122" s="92">
        <f t="shared" si="38"/>
        <v>0.29413555411939962</v>
      </c>
      <c r="EZ122" s="92">
        <f t="shared" si="38"/>
        <v>0.70586444588060049</v>
      </c>
      <c r="FB122" s="102">
        <f>IF('Renewable Diesel'!$BG131&lt;1,0,(((('Renewable Diesel'!$BG131-1)*'Renewable Diesel'!$BF131)*'RD Feedstock Breakdown'!EA122)*'Feedstock Conversion Rates'!$B$2))</f>
        <v>0</v>
      </c>
      <c r="FC122" s="102">
        <f>IF('Renewable Diesel'!$BG131&lt;1,0,(((('Renewable Diesel'!$BG131-1)*'Renewable Diesel'!$BF131)*'RD Feedstock Breakdown'!EB122)*'Feedstock Conversion Rates'!$B$3))</f>
        <v>0</v>
      </c>
      <c r="FD122" s="102">
        <f>IF('Renewable Diesel'!$BG131&lt;1,0,(((('Renewable Diesel'!$BG131-1)*'Renewable Diesel'!$BF131)*'RD Feedstock Breakdown'!EC122)*'Feedstock Conversion Rates'!$B$4))</f>
        <v>0</v>
      </c>
      <c r="FE122" s="107"/>
      <c r="FF122" s="102">
        <f>IF('Renewable Diesel'!$BG131&lt;1,0,(((('Renewable Diesel'!$BG131-1)*'Renewable Diesel'!$BF131)*'RD Feedstock Breakdown'!EE122)*'Feedstock Conversion Rates'!$B$6))</f>
        <v>0</v>
      </c>
      <c r="FG122" s="102">
        <f>IF('Renewable Diesel'!$BG131&lt;1,0,(((('Renewable Diesel'!$BG131-1)*'Renewable Diesel'!$BF131)*'RD Feedstock Breakdown'!EF122)*'Feedstock Conversion Rates'!$B$7))</f>
        <v>0</v>
      </c>
      <c r="FH122" s="102">
        <f>IF('Renewable Diesel'!$BG131&lt;1,0,(((('Renewable Diesel'!$BG131-1)*'Renewable Diesel'!$BF131)*'RD Feedstock Breakdown'!EG122)*'Feedstock Conversion Rates'!$B$8))</f>
        <v>0</v>
      </c>
      <c r="FI122" s="102">
        <f>IF('Renewable Diesel'!$BG131&lt;1,0,(((('Renewable Diesel'!$BG131-1)*'Renewable Diesel'!$BF131)*'RD Feedstock Breakdown'!EH122)*'Feedstock Conversion Rates'!$B$9))</f>
        <v>0</v>
      </c>
      <c r="FJ122" s="102">
        <f t="shared" si="60"/>
        <v>0</v>
      </c>
      <c r="FR122" s="3">
        <f>('Renewable Diesel'!AX131-'Renewable Diesel'!BI131)/12*$FO$80</f>
        <v>41.943750000000001</v>
      </c>
      <c r="FS122" s="100">
        <f t="shared" si="48"/>
        <v>0.33519554684620673</v>
      </c>
      <c r="FT122" s="3">
        <f t="shared" si="50"/>
        <v>105.44518663522938</v>
      </c>
      <c r="FY122" s="3">
        <f>'Renewable Diesel'!BF131*('Renewable Diesel'!BI131/'Renewable Diesel'!AX131)</f>
        <v>10.49161038787263</v>
      </c>
      <c r="FZ122" s="3">
        <f>('Renewable Diesel'!BJ131*'Renewable Diesel'!BG131)/12</f>
        <v>32.207129632866916</v>
      </c>
      <c r="GA122" s="3">
        <f t="shared" si="51"/>
        <v>80.967648222266206</v>
      </c>
      <c r="GD122" s="91">
        <f>'Renewable Diesel'!BB131*0</f>
        <v>0</v>
      </c>
      <c r="GE122" s="91">
        <f>'Renewable Diesel'!BC131</f>
        <v>0.18820100000000001</v>
      </c>
      <c r="GF122" s="91">
        <f>'Renewable Diesel'!BD131</f>
        <v>0</v>
      </c>
      <c r="GG122" s="91">
        <f t="shared" si="49"/>
        <v>0.18820100000000001</v>
      </c>
      <c r="GH122" s="124">
        <v>1</v>
      </c>
      <c r="GI122" s="102">
        <f>$GG122*EA122*'Feedstock Conversion Rates'!$B$2</f>
        <v>0.13169711160666761</v>
      </c>
      <c r="GJ122" s="102">
        <f>$GG122*EB122*'Feedstock Conversion Rates'!$B$3</f>
        <v>8.8371569056752045E-2</v>
      </c>
      <c r="GK122" s="102">
        <f>$GG122*EC122*'Feedstock Conversion Rates'!$B$4</f>
        <v>0.47313102834002219</v>
      </c>
      <c r="GL122" s="102">
        <f>$GG122*ED122*'Feedstock Conversion Rates'!$B$5</f>
        <v>0</v>
      </c>
      <c r="GM122" s="102">
        <f>$GG122*EE122*'Feedstock Conversion Rates'!$B$6</f>
        <v>0.33709038533467717</v>
      </c>
      <c r="GN122" s="102">
        <f>$GG122*EF122*'Feedstock Conversion Rates'!$B$7</f>
        <v>0.47929960102188635</v>
      </c>
      <c r="GO122" s="102">
        <f>$GG122*EG122*'Feedstock Conversion Rates'!$B$8</f>
        <v>9.8957866176748718E-2</v>
      </c>
      <c r="GP122" s="102">
        <f>$GG122*EH122*'Feedstock Conversion Rates'!B$9</f>
        <v>0</v>
      </c>
      <c r="GQ122" s="102">
        <f t="shared" si="45"/>
        <v>1.6085475615367542</v>
      </c>
      <c r="GR122" s="85">
        <f t="shared" si="53"/>
        <v>8.546966071045075</v>
      </c>
      <c r="GT122" s="103">
        <f t="shared" si="47"/>
        <v>8.1873309037159267E-2</v>
      </c>
      <c r="GU122" s="103">
        <f t="shared" si="47"/>
        <v>5.4938735521332507E-2</v>
      </c>
      <c r="GV122" s="103">
        <f t="shared" si="47"/>
        <v>0.29413555411939962</v>
      </c>
      <c r="GW122" s="103">
        <f t="shared" si="46"/>
        <v>0</v>
      </c>
      <c r="GX122" s="103">
        <f t="shared" si="46"/>
        <v>0.20956196347258271</v>
      </c>
      <c r="GY122" s="103">
        <f t="shared" si="46"/>
        <v>0.29797042529720363</v>
      </c>
      <c r="GZ122" s="103">
        <f t="shared" si="46"/>
        <v>6.1520012552322423E-2</v>
      </c>
      <c r="HA122" s="103">
        <f t="shared" si="46"/>
        <v>0</v>
      </c>
    </row>
    <row r="123" spans="1:209" x14ac:dyDescent="0.25">
      <c r="A123" s="96">
        <v>44166</v>
      </c>
      <c r="B123" s="104">
        <f>25+35+11.5+4-5+1+2-4+20-5-6-5-5-20-20+5-1-2</f>
        <v>30.5</v>
      </c>
      <c r="C123" s="105"/>
      <c r="D123" s="104">
        <v>0</v>
      </c>
      <c r="E123" s="104">
        <f>('Renewable Diesel'!B132*E$3*'Feedstock Conversion Rates'!$B$2)/12-15+20-5</f>
        <v>37.796666666666667</v>
      </c>
      <c r="F123" s="104">
        <f>('Renewable Diesel'!B132*'RD Feedstock Breakdown'!F$3*'Feedstock Conversion Rates'!B$8)/12+8.5-4-2+4</f>
        <v>29.15625</v>
      </c>
      <c r="G123" s="104">
        <f>('Renewable Diesel'!B132*'RD Feedstock Breakdown'!G$3*'Feedstock Conversion Rates'!B$7)/12+5+3</f>
        <v>82.036999999999992</v>
      </c>
      <c r="H123" s="104">
        <f>('Renewable Diesel'!B132*'RD Feedstock Breakdown'!H$3*'Feedstock Conversion Rates'!B$3)/12-45</f>
        <v>29.139224999999996</v>
      </c>
      <c r="I123" s="106">
        <f t="shared" si="52"/>
        <v>208.62914166666667</v>
      </c>
      <c r="J123" s="106"/>
      <c r="K123" s="107"/>
      <c r="L123" s="106"/>
      <c r="R123" s="104">
        <f>('Renewable Diesel'!D132*'RD Feedstock Breakdown'!R$3*'Feedstock Conversion Rates'!B$7)/12</f>
        <v>2.2999999999999998</v>
      </c>
      <c r="S123" s="106">
        <f t="shared" si="27"/>
        <v>2.2999999999999998</v>
      </c>
      <c r="T123" s="107"/>
      <c r="U123" s="106"/>
      <c r="Y123" s="104"/>
      <c r="Z123" s="104">
        <f>('Renewable Diesel'!F132*'RD Feedstock Breakdown'!Z$3*'Feedstock Conversion Rates'!B$6)/12+17.5-5</f>
        <v>57.055000000000007</v>
      </c>
      <c r="AA123" s="104">
        <f>('Renewable Diesel'!F132*'RD Feedstock Breakdown'!AA$3*'Feedstock Conversion Rates'!B$7)/12-12.5</f>
        <v>16.633333333333329</v>
      </c>
      <c r="AB123" s="106">
        <f t="shared" si="62"/>
        <v>73.688333333333333</v>
      </c>
      <c r="AC123" s="108"/>
      <c r="AG123" s="105"/>
      <c r="AH123" s="104"/>
      <c r="AI123" s="104">
        <f>('Renewable Diesel'!H132*'RD Feedstock Breakdown'!AI$3*'Feedstock Conversion Rates'!B$6)/12</f>
        <v>39.083333333333336</v>
      </c>
      <c r="AJ123" s="106">
        <f t="shared" si="26"/>
        <v>39.083333333333336</v>
      </c>
      <c r="AK123" s="104">
        <f>('Renewable Diesel'!J132*'RD Feedstock Breakdown'!AK$3*'Feedstock Conversion Rates'!B$4)/12</f>
        <v>62.5</v>
      </c>
      <c r="AL123" s="106">
        <f t="shared" si="28"/>
        <v>62.5</v>
      </c>
      <c r="AT123" s="108"/>
      <c r="AV123" s="104">
        <f>'Renewable Diesel'!N132*'RD Feedstock Breakdown'!$AV$3*'Feedstock Conversion Rates'!$B$4/12</f>
        <v>78.749999999999986</v>
      </c>
      <c r="AW123" s="104">
        <f>'Renewable Diesel'!N132*'RD Feedstock Breakdown'!$AW$3*'Feedstock Conversion Rates'!$B$7/12</f>
        <v>41.4</v>
      </c>
      <c r="AX123" s="106">
        <f t="shared" si="63"/>
        <v>120.14999999999998</v>
      </c>
      <c r="BJ123" s="104">
        <f>('Renewable Diesel'!W132*'RD Feedstock Breakdown'!BJ$3*'Feedstock Conversion Rates'!B$4)/12</f>
        <v>7.5</v>
      </c>
      <c r="BK123" s="104">
        <f>('Renewable Diesel'!W132*'RD Feedstock Breakdown'!BK$3*'Feedstock Conversion Rates'!B$3)/12</f>
        <v>1.335</v>
      </c>
      <c r="BL123" s="104">
        <f>('Renewable Diesel'!W132*'RD Feedstock Breakdown'!BL$3*'Feedstock Conversion Rates'!B$6)/12</f>
        <v>3.1266666666666669</v>
      </c>
      <c r="BM123" s="104">
        <f>('Renewable Diesel'!W132*'RD Feedstock Breakdown'!BM$3*'Feedstock Conversion Rates'!B$7)/12</f>
        <v>1.5333333333333332</v>
      </c>
      <c r="BN123" s="106">
        <f t="shared" si="54"/>
        <v>13.495000000000001</v>
      </c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7"/>
      <c r="BY123" s="106"/>
      <c r="BZ123" s="106"/>
      <c r="CA123" s="106"/>
      <c r="CB123" s="106"/>
      <c r="CC123" s="106"/>
      <c r="CD123" s="106"/>
      <c r="CE123" s="106"/>
      <c r="CF123" s="106"/>
      <c r="CG123" s="106"/>
      <c r="CH123" s="106"/>
      <c r="CI123" s="107"/>
      <c r="CJ123" s="106"/>
      <c r="CK123" s="106"/>
      <c r="CL123" s="106"/>
      <c r="CM123" s="106"/>
      <c r="CN123" s="106"/>
      <c r="CO123" s="106"/>
      <c r="CP123" s="106"/>
      <c r="CQ123" s="106"/>
      <c r="CR123" s="106"/>
      <c r="CS123" s="106"/>
      <c r="CT123" s="106"/>
      <c r="CU123" s="106"/>
      <c r="CV123" s="106"/>
      <c r="CW123" s="106"/>
      <c r="CX123" s="106"/>
      <c r="CY123" s="106"/>
      <c r="CZ123" s="106"/>
      <c r="DA123" s="106"/>
      <c r="DB123" s="106"/>
      <c r="DC123" s="106"/>
      <c r="DD123" s="107"/>
      <c r="DE123" s="106"/>
      <c r="DF123" s="106"/>
      <c r="DG123" s="106"/>
      <c r="DH123" s="106"/>
      <c r="DI123" s="106"/>
      <c r="DJ123" s="107"/>
      <c r="DK123" s="106"/>
      <c r="DL123" s="106"/>
      <c r="DM123" s="106"/>
      <c r="DN123" s="106"/>
      <c r="DP123" s="104">
        <f t="shared" si="30"/>
        <v>37.796666666666667</v>
      </c>
      <c r="DQ123" s="104">
        <f t="shared" si="31"/>
        <v>30.474224999999997</v>
      </c>
      <c r="DR123" s="104">
        <f t="shared" si="39"/>
        <v>179.25</v>
      </c>
      <c r="DS123" s="107"/>
      <c r="DT123" s="104">
        <f t="shared" si="32"/>
        <v>99.265000000000015</v>
      </c>
      <c r="DU123" s="104">
        <f t="shared" si="33"/>
        <v>143.90366666666665</v>
      </c>
      <c r="DV123" s="104">
        <f t="shared" si="34"/>
        <v>29.15625</v>
      </c>
      <c r="DW123" s="104">
        <f t="shared" si="35"/>
        <v>0</v>
      </c>
      <c r="DX123" s="106">
        <f t="shared" si="36"/>
        <v>519.84580833333325</v>
      </c>
      <c r="DY123" s="109">
        <f t="shared" si="37"/>
        <v>0</v>
      </c>
      <c r="EA123" s="110">
        <f t="shared" si="55"/>
        <v>7.270745682810402E-2</v>
      </c>
      <c r="EB123" s="110">
        <f t="shared" si="55"/>
        <v>5.8621661484013446E-2</v>
      </c>
      <c r="EC123" s="110">
        <f t="shared" si="55"/>
        <v>0.34481378348454839</v>
      </c>
      <c r="ED123" s="107"/>
      <c r="EE123" s="110">
        <f t="shared" si="56"/>
        <v>0.19095085198099693</v>
      </c>
      <c r="EF123" s="110">
        <f t="shared" si="56"/>
        <v>0.2768199038250076</v>
      </c>
      <c r="EG123" s="111">
        <f t="shared" si="56"/>
        <v>5.6086342397329784E-2</v>
      </c>
      <c r="EH123" s="111">
        <f t="shared" si="40"/>
        <v>0</v>
      </c>
      <c r="EI123" s="110">
        <f t="shared" si="41"/>
        <v>1</v>
      </c>
      <c r="EK123" s="112">
        <f>(EA123*'Renewable Diesel'!BF132*'Feedstock Conversion Rates'!B$2)+FB123</f>
        <v>30.838368458826825</v>
      </c>
      <c r="EL123" s="112">
        <f>(EB123*'Renewable Diesel'!BF132*'Feedstock Conversion Rates'!B$3)+FC123</f>
        <v>23.43064006941583</v>
      </c>
      <c r="EM123" s="112">
        <f>(EC123*'Renewable Diesel'!BF132*'Feedstock Conversion Rates'!B$4)+FD123</f>
        <v>129.04446889756431</v>
      </c>
      <c r="EN123" s="107"/>
      <c r="EO123" s="112">
        <f>(EE123*'Renewable Diesel'!BF132*'Feedstock Conversion Rates'!B$6)+FF123</f>
        <v>89.375390455784185</v>
      </c>
      <c r="EP123" s="112">
        <f>(EF123*'Renewable Diesel'!BF132*'Feedstock Conversion Rates'!B$7)+FG123</f>
        <v>127.08042367954739</v>
      </c>
      <c r="EQ123" s="112">
        <f>(EG123*'Renewable Diesel'!BF132*'Feedstock Conversion Rates'!B$8)+FH123</f>
        <v>26.237467198707179</v>
      </c>
      <c r="ER123" s="112">
        <f>(EH123*'Renewable Diesel'!BF132*'Feedstock Conversion Rates'!B$9)+FI123</f>
        <v>0</v>
      </c>
      <c r="ES123" s="112">
        <f t="shared" si="42"/>
        <v>426.0067587598457</v>
      </c>
      <c r="ET123" s="91">
        <f>ES123/'Renewable Diesel'!BF132</f>
        <v>8.5373478344067308</v>
      </c>
      <c r="EW123" s="73">
        <f t="shared" si="58"/>
        <v>129.04446889756431</v>
      </c>
      <c r="EX123" s="73">
        <f t="shared" si="59"/>
        <v>296.96228986228141</v>
      </c>
      <c r="EY123" s="92">
        <f t="shared" si="38"/>
        <v>0.30291648253006009</v>
      </c>
      <c r="EZ123" s="92">
        <f t="shared" si="38"/>
        <v>0.69708351746994002</v>
      </c>
      <c r="FB123" s="102">
        <f>IF('Renewable Diesel'!$BG132&lt;1,0,(((('Renewable Diesel'!$BG132-1)*'Renewable Diesel'!$BF132)*'RD Feedstock Breakdown'!EA123)*'Feedstock Conversion Rates'!$B$2))</f>
        <v>0</v>
      </c>
      <c r="FC123" s="102">
        <f>IF('Renewable Diesel'!$BG132&lt;1,0,(((('Renewable Diesel'!$BG132-1)*'Renewable Diesel'!$BF132)*'RD Feedstock Breakdown'!EB123)*'Feedstock Conversion Rates'!$B$3))</f>
        <v>0</v>
      </c>
      <c r="FD123" s="102">
        <f>IF('Renewable Diesel'!$BG132&lt;1,0,(((('Renewable Diesel'!$BG132-1)*'Renewable Diesel'!$BF132)*'RD Feedstock Breakdown'!EC123)*'Feedstock Conversion Rates'!$B$4))</f>
        <v>0</v>
      </c>
      <c r="FE123" s="107"/>
      <c r="FF123" s="102">
        <f>IF('Renewable Diesel'!$BG132&lt;1,0,(((('Renewable Diesel'!$BG132-1)*'Renewable Diesel'!$BF132)*'RD Feedstock Breakdown'!EE123)*'Feedstock Conversion Rates'!$B$6))</f>
        <v>0</v>
      </c>
      <c r="FG123" s="102">
        <f>IF('Renewable Diesel'!$BG132&lt;1,0,(((('Renewable Diesel'!$BG132-1)*'Renewable Diesel'!$BF132)*'RD Feedstock Breakdown'!EF123)*'Feedstock Conversion Rates'!$B$7))</f>
        <v>0</v>
      </c>
      <c r="FH123" s="102">
        <f>IF('Renewable Diesel'!$BG132&lt;1,0,(((('Renewable Diesel'!$BG132-1)*'Renewable Diesel'!$BF132)*'RD Feedstock Breakdown'!EG123)*'Feedstock Conversion Rates'!$B$8))</f>
        <v>0</v>
      </c>
      <c r="FI123" s="102">
        <f>IF('Renewable Diesel'!$BG132&lt;1,0,(((('Renewable Diesel'!$BG132-1)*'Renewable Diesel'!$BF132)*'RD Feedstock Breakdown'!EH123)*'Feedstock Conversion Rates'!$B$9))</f>
        <v>0</v>
      </c>
      <c r="FJ123" s="102">
        <f t="shared" si="60"/>
        <v>0</v>
      </c>
      <c r="FR123" s="3">
        <f>('Renewable Diesel'!AX132-'Renewable Diesel'!BI132)/12*$FO$80</f>
        <v>41.943750000000001</v>
      </c>
      <c r="FS123" s="100">
        <f t="shared" si="48"/>
        <v>0.34481378348454839</v>
      </c>
      <c r="FT123" s="3">
        <f t="shared" si="50"/>
        <v>108.47087348272521</v>
      </c>
      <c r="FY123" s="3">
        <f>'Renewable Diesel'!BF132*('Renewable Diesel'!BI132/'Renewable Diesel'!AX132)</f>
        <v>12.086017032520324</v>
      </c>
      <c r="FZ123" s="3">
        <f>('Renewable Diesel'!BJ132*'Renewable Diesel'!BG132)/12</f>
        <v>38.338357953139109</v>
      </c>
      <c r="GA123" s="3">
        <f t="shared" si="51"/>
        <v>99.146956938051162</v>
      </c>
      <c r="GD123" s="91">
        <f>'Renewable Diesel'!BB132*0</f>
        <v>0</v>
      </c>
      <c r="GE123" s="91">
        <f>'Renewable Diesel'!BC132</f>
        <v>0.194662</v>
      </c>
      <c r="GF123" s="91">
        <f>'Renewable Diesel'!BD132</f>
        <v>0</v>
      </c>
      <c r="GG123" s="91">
        <f t="shared" si="49"/>
        <v>0.194662</v>
      </c>
      <c r="GH123" s="124">
        <v>1</v>
      </c>
      <c r="GI123" s="102">
        <f>$GG123*EA123*'Feedstock Conversion Rates'!$B$2</f>
        <v>0.12030372116911527</v>
      </c>
      <c r="GJ123" s="102">
        <f>$GG123*EB123*'Feedstock Conversion Rates'!$B$3</f>
        <v>9.1405393041086219E-2</v>
      </c>
      <c r="GK123" s="102">
        <f>$GG123*EC123*'Feedstock Conversion Rates'!$B$4</f>
        <v>0.50341605540501866</v>
      </c>
      <c r="GL123" s="102">
        <f>$GG123*ED123*'Feedstock Conversion Rates'!$B$5</f>
        <v>0</v>
      </c>
      <c r="GM123" s="102">
        <f>$GG123*EE123*'Feedstock Conversion Rates'!$B$6</f>
        <v>0.34866280513928688</v>
      </c>
      <c r="GN123" s="102">
        <f>$GG123*EF123*'Feedstock Conversion Rates'!$B$7</f>
        <v>0.4957541082891293</v>
      </c>
      <c r="GO123" s="102">
        <f>$GG123*EG123*'Feedstock Conversion Rates'!$B$8</f>
        <v>0.10235512109764698</v>
      </c>
      <c r="GP123" s="102">
        <f>$GG123*EH123*'Feedstock Conversion Rates'!B$9</f>
        <v>0</v>
      </c>
      <c r="GQ123" s="102">
        <f t="shared" si="45"/>
        <v>1.6618972041412832</v>
      </c>
      <c r="GR123" s="85">
        <f t="shared" si="53"/>
        <v>8.5373478344067308</v>
      </c>
      <c r="GT123" s="103">
        <f t="shared" si="47"/>
        <v>7.2389387784834294E-2</v>
      </c>
      <c r="GU123" s="103">
        <f t="shared" si="47"/>
        <v>5.5000629890532955E-2</v>
      </c>
      <c r="GV123" s="103">
        <f t="shared" si="47"/>
        <v>0.30291648253006009</v>
      </c>
      <c r="GW123" s="103">
        <f t="shared" si="46"/>
        <v>0</v>
      </c>
      <c r="GX123" s="103">
        <f t="shared" si="46"/>
        <v>0.20979805746736543</v>
      </c>
      <c r="GY123" s="103">
        <f t="shared" si="46"/>
        <v>0.29830612089229058</v>
      </c>
      <c r="GZ123" s="103">
        <f t="shared" si="46"/>
        <v>6.1589321434916772E-2</v>
      </c>
      <c r="HA123" s="103">
        <f t="shared" si="46"/>
        <v>0</v>
      </c>
    </row>
    <row r="124" spans="1:209" x14ac:dyDescent="0.25">
      <c r="A124" s="96">
        <v>44197</v>
      </c>
      <c r="B124" s="104">
        <f>50+40+14-20+15+10-2+5-29-2+3-8-2.5-12.5-30-31+40-30+20-30+25-25+40</f>
        <v>40</v>
      </c>
      <c r="C124" s="105"/>
      <c r="D124" s="104">
        <v>0</v>
      </c>
      <c r="E124" s="104">
        <f>('Renewable Diesel'!B133*E$3*'Feedstock Conversion Rates'!$B$2)/12-11+2.5+21+10-30-25+25</f>
        <v>30.296666666666667</v>
      </c>
      <c r="F124" s="104">
        <f>('Renewable Diesel'!B133*'RD Feedstock Breakdown'!F$3*'Feedstock Conversion Rates'!B$8)/12+18.5-14+2-5-3+8+12.5-40+30</f>
        <v>31.65625</v>
      </c>
      <c r="G124" s="104">
        <f>('Renewable Diesel'!B133*'RD Feedstock Breakdown'!G$3*'Feedstock Conversion Rates'!B$7)/12</f>
        <v>74.036999999999992</v>
      </c>
      <c r="H124" s="104">
        <f>('Renewable Diesel'!B133*'RD Feedstock Breakdown'!H$3*'Feedstock Conversion Rates'!B$3)/12+6.5-50+2+40-40</f>
        <v>32.639224999999996</v>
      </c>
      <c r="I124" s="106">
        <f t="shared" si="52"/>
        <v>208.62914166666667</v>
      </c>
      <c r="J124" s="106"/>
      <c r="K124" s="107"/>
      <c r="L124" s="106"/>
      <c r="R124" s="104">
        <f>('Renewable Diesel'!D133*'RD Feedstock Breakdown'!R$3*'Feedstock Conversion Rates'!B$7)/12</f>
        <v>2.2999999999999998</v>
      </c>
      <c r="S124" s="106">
        <f t="shared" si="27"/>
        <v>2.2999999999999998</v>
      </c>
      <c r="T124" s="107"/>
      <c r="U124" s="106"/>
      <c r="Y124" s="104">
        <f>25+15-40+20</f>
        <v>20</v>
      </c>
      <c r="Z124" s="104">
        <f>('Renewable Diesel'!F133*'RD Feedstock Breakdown'!Z$3*'Feedstock Conversion Rates'!B$6)/12+17.5-10+10-25-5+10</f>
        <v>42.055000000000007</v>
      </c>
      <c r="AA124" s="104">
        <f>('Renewable Diesel'!F133*'RD Feedstock Breakdown'!AA$3*'Feedstock Conversion Rates'!B$7)/12-17.5</f>
        <v>11.633333333333329</v>
      </c>
      <c r="AB124" s="106">
        <f t="shared" si="62"/>
        <v>73.688333333333333</v>
      </c>
      <c r="AC124" s="108"/>
      <c r="AG124" s="105"/>
      <c r="AH124" s="104">
        <v>0</v>
      </c>
      <c r="AI124" s="104">
        <f>('Renewable Diesel'!H133*'RD Feedstock Breakdown'!AI$3*'Feedstock Conversion Rates'!B$6)/12-15-15+30</f>
        <v>39.083333333333336</v>
      </c>
      <c r="AJ124" s="106">
        <f t="shared" si="26"/>
        <v>39.083333333333336</v>
      </c>
      <c r="AK124" s="104">
        <f>('Renewable Diesel'!J133*'RD Feedstock Breakdown'!AK$3*'Feedstock Conversion Rates'!B$4)/12</f>
        <v>62.5</v>
      </c>
      <c r="AL124" s="106">
        <f t="shared" si="28"/>
        <v>62.5</v>
      </c>
      <c r="AT124" s="108"/>
      <c r="AV124" s="104">
        <f>'Renewable Diesel'!N133*'RD Feedstock Breakdown'!$AV$3*'Feedstock Conversion Rates'!$B$4/12</f>
        <v>78.749999999999986</v>
      </c>
      <c r="AW124" s="104">
        <f>'Renewable Diesel'!N133*'RD Feedstock Breakdown'!$AW$3*'Feedstock Conversion Rates'!$B$7/12</f>
        <v>41.4</v>
      </c>
      <c r="AX124" s="106">
        <f t="shared" si="63"/>
        <v>120.14999999999998</v>
      </c>
      <c r="BH124" s="104">
        <f>('Renewable Diesel'!T133*'RD Feedstock Breakdown'!BH$3*'Feedstock Conversion Rates'!B$7)/12</f>
        <v>0</v>
      </c>
      <c r="BI124" s="106">
        <f>BH124</f>
        <v>0</v>
      </c>
      <c r="BJ124" s="104">
        <f>('Renewable Diesel'!W133*'RD Feedstock Breakdown'!BJ$3*'Feedstock Conversion Rates'!B$4)/12</f>
        <v>7.5</v>
      </c>
      <c r="BK124" s="104">
        <f>('Renewable Diesel'!W133*'RD Feedstock Breakdown'!BK$3*'Feedstock Conversion Rates'!B$3)/12</f>
        <v>1.335</v>
      </c>
      <c r="BL124" s="104">
        <f>('Renewable Diesel'!W133*'RD Feedstock Breakdown'!BL$3*'Feedstock Conversion Rates'!B$6)/12</f>
        <v>3.1266666666666669</v>
      </c>
      <c r="BM124" s="104">
        <f>('Renewable Diesel'!W133*'RD Feedstock Breakdown'!BM$3*'Feedstock Conversion Rates'!B$7)/12</f>
        <v>1.5333333333333332</v>
      </c>
      <c r="BN124" s="106">
        <f t="shared" si="54"/>
        <v>13.495000000000001</v>
      </c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7"/>
      <c r="BY124" s="106"/>
      <c r="BZ124" s="106"/>
      <c r="CA124" s="106"/>
      <c r="CB124" s="106"/>
      <c r="CC124" s="106"/>
      <c r="CD124" s="106"/>
      <c r="CE124" s="106"/>
      <c r="CF124" s="106"/>
      <c r="CG124" s="106"/>
      <c r="CH124" s="106"/>
      <c r="CI124" s="107"/>
      <c r="CJ124" s="106"/>
      <c r="CK124" s="106"/>
      <c r="CL124" s="106"/>
      <c r="CM124" s="106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06"/>
      <c r="CZ124" s="106"/>
      <c r="DA124" s="106"/>
      <c r="DB124" s="106"/>
      <c r="DC124" s="106"/>
      <c r="DD124" s="107"/>
      <c r="DE124" s="106"/>
      <c r="DF124" s="106"/>
      <c r="DG124" s="106"/>
      <c r="DH124" s="106"/>
      <c r="DI124" s="106"/>
      <c r="DJ124" s="107"/>
      <c r="DK124" s="106"/>
      <c r="DL124" s="106"/>
      <c r="DM124" s="106"/>
      <c r="DN124" s="106"/>
      <c r="DP124" s="104">
        <f t="shared" si="30"/>
        <v>30.296666666666667</v>
      </c>
      <c r="DQ124" s="104">
        <f t="shared" si="31"/>
        <v>33.974224999999997</v>
      </c>
      <c r="DR124" s="104">
        <f t="shared" si="39"/>
        <v>208.75</v>
      </c>
      <c r="DS124" s="107"/>
      <c r="DT124" s="104">
        <f t="shared" si="32"/>
        <v>84.265000000000015</v>
      </c>
      <c r="DU124" s="104">
        <f t="shared" si="33"/>
        <v>130.90366666666665</v>
      </c>
      <c r="DV124" s="104">
        <f t="shared" si="34"/>
        <v>31.65625</v>
      </c>
      <c r="DW124" s="104">
        <f t="shared" si="35"/>
        <v>0</v>
      </c>
      <c r="DX124" s="106">
        <f t="shared" si="36"/>
        <v>519.84580833333325</v>
      </c>
      <c r="DY124" s="109">
        <f t="shared" si="37"/>
        <v>0</v>
      </c>
      <c r="EA124" s="110">
        <f t="shared" si="55"/>
        <v>5.8280101870591544E-2</v>
      </c>
      <c r="EB124" s="110">
        <f t="shared" si="55"/>
        <v>6.5354427130852599E-2</v>
      </c>
      <c r="EC124" s="110">
        <f t="shared" si="55"/>
        <v>0.40156137965076416</v>
      </c>
      <c r="ED124" s="107"/>
      <c r="EE124" s="110">
        <f t="shared" si="56"/>
        <v>0.16209614206597195</v>
      </c>
      <c r="EF124" s="110">
        <f t="shared" si="56"/>
        <v>0.25181248856531929</v>
      </c>
      <c r="EG124" s="111">
        <f t="shared" si="56"/>
        <v>6.0895460716500607E-2</v>
      </c>
      <c r="EH124" s="111">
        <f t="shared" si="40"/>
        <v>0</v>
      </c>
      <c r="EI124" s="110">
        <f t="shared" si="41"/>
        <v>1.0000000000000002</v>
      </c>
      <c r="EK124" s="112">
        <f>(EA124*'Renewable Diesel'!BF133*'Feedstock Conversion Rates'!B$2)+FB124</f>
        <v>20.786729519783734</v>
      </c>
      <c r="EL124" s="112">
        <f>(EB124*'Renewable Diesel'!BF133*'Feedstock Conversion Rates'!B$3)+FC124</f>
        <v>21.966176319188886</v>
      </c>
      <c r="EM124" s="112">
        <f>(EC124*'Renewable Diesel'!BF133*'Feedstock Conversion Rates'!B$4)+FD124</f>
        <v>126.37470013945003</v>
      </c>
      <c r="EN124" s="107"/>
      <c r="EO124" s="112">
        <f>(EE124*'Renewable Diesel'!BF133*'Feedstock Conversion Rates'!B$6)+FF124</f>
        <v>63.800260807033688</v>
      </c>
      <c r="EP124" s="112">
        <f>(EF124*'Renewable Diesel'!BF133*'Feedstock Conversion Rates'!B$7)+FG124</f>
        <v>97.210243144955868</v>
      </c>
      <c r="EQ124" s="112">
        <f>(EG124*'Renewable Diesel'!BF133*'Feedstock Conversion Rates'!B$8)+FH124</f>
        <v>23.955383840056673</v>
      </c>
      <c r="ER124" s="112">
        <f>(EH124*'Renewable Diesel'!BF133*'Feedstock Conversion Rates'!B$9)+FI124</f>
        <v>0</v>
      </c>
      <c r="ES124" s="112">
        <f t="shared" si="42"/>
        <v>354.09349377046891</v>
      </c>
      <c r="ET124" s="91">
        <f>ES124/'Renewable Diesel'!BF133</f>
        <v>8.4386118261958369</v>
      </c>
      <c r="EW124" s="73">
        <f t="shared" si="58"/>
        <v>126.37470013945003</v>
      </c>
      <c r="EX124" s="73">
        <f t="shared" si="59"/>
        <v>227.71879363101885</v>
      </c>
      <c r="EY124" s="92">
        <f t="shared" si="38"/>
        <v>0.35689641962574115</v>
      </c>
      <c r="EZ124" s="92">
        <f t="shared" si="38"/>
        <v>0.64310358037425874</v>
      </c>
      <c r="FB124" s="102">
        <f>IF('Renewable Diesel'!$BG133&lt;1,0,(((('Renewable Diesel'!$BG133-1)*'Renewable Diesel'!$BF133)*'RD Feedstock Breakdown'!EA124)*'Feedstock Conversion Rates'!$B$2))</f>
        <v>0</v>
      </c>
      <c r="FC124" s="102">
        <f>IF('Renewable Diesel'!$BG133&lt;1,0,(((('Renewable Diesel'!$BG133-1)*'Renewable Diesel'!$BF133)*'RD Feedstock Breakdown'!EB124)*'Feedstock Conversion Rates'!$B$3))</f>
        <v>0</v>
      </c>
      <c r="FD124" s="102">
        <f>IF('Renewable Diesel'!$BG133&lt;1,0,(((('Renewable Diesel'!$BG133-1)*'Renewable Diesel'!$BF133)*'RD Feedstock Breakdown'!EC124)*'Feedstock Conversion Rates'!$B$4))</f>
        <v>0</v>
      </c>
      <c r="FE124" s="107"/>
      <c r="FF124" s="102">
        <f>IF('Renewable Diesel'!$BG133&lt;1,0,(((('Renewable Diesel'!$BG133-1)*'Renewable Diesel'!$BF133)*'RD Feedstock Breakdown'!EE124)*'Feedstock Conversion Rates'!$B$6))</f>
        <v>0</v>
      </c>
      <c r="FG124" s="102">
        <f>IF('Renewable Diesel'!$BG133&lt;1,0,(((('Renewable Diesel'!$BG133-1)*'Renewable Diesel'!$BF133)*'RD Feedstock Breakdown'!EF124)*'Feedstock Conversion Rates'!$B$7))</f>
        <v>0</v>
      </c>
      <c r="FH124" s="102">
        <f>IF('Renewable Diesel'!$BG133&lt;1,0,(((('Renewable Diesel'!$BG133-1)*'Renewable Diesel'!$BF133)*'RD Feedstock Breakdown'!EG124)*'Feedstock Conversion Rates'!$B$8))</f>
        <v>0</v>
      </c>
      <c r="FI124" s="102">
        <f>IF('Renewable Diesel'!$BG133&lt;1,0,(((('Renewable Diesel'!$BG133-1)*'Renewable Diesel'!$BF133)*'RD Feedstock Breakdown'!EH124)*'Feedstock Conversion Rates'!$B$9))</f>
        <v>0</v>
      </c>
      <c r="FJ124" s="102">
        <f t="shared" si="60"/>
        <v>0</v>
      </c>
      <c r="FR124" s="3">
        <f>('Renewable Diesel'!AX133-'Renewable Diesel'!BI133)/12*$FO$80</f>
        <v>45.918750000000003</v>
      </c>
      <c r="FS124" s="100">
        <f t="shared" si="48"/>
        <v>0.40156137965076416</v>
      </c>
      <c r="FT124" s="3">
        <f t="shared" si="50"/>
        <v>138.29397451378895</v>
      </c>
      <c r="FY124" s="3">
        <f>'Renewable Diesel'!BF133*('Renewable Diesel'!BI133/'Renewable Diesel'!AX133)</f>
        <v>9.4823614111883696</v>
      </c>
      <c r="FZ124" s="3">
        <f>('Renewable Diesel'!BJ133*'Renewable Diesel'!BG133)/12</f>
        <v>31.867586397624311</v>
      </c>
      <c r="GA124" s="3">
        <f t="shared" si="51"/>
        <v>95.975939699774585</v>
      </c>
      <c r="GD124" s="91">
        <f>'Renewable Diesel'!BB133*0</f>
        <v>0</v>
      </c>
      <c r="GE124" s="91">
        <f>'Renewable Diesel'!BC133</f>
        <v>0.289825</v>
      </c>
      <c r="GF124" s="91">
        <f>'Renewable Diesel'!BD133</f>
        <v>0</v>
      </c>
      <c r="GG124" s="91">
        <f t="shared" si="49"/>
        <v>0.289825</v>
      </c>
      <c r="GH124" s="124">
        <v>1</v>
      </c>
      <c r="GI124" s="102">
        <f>$GG124*EA124*'Feedstock Conversion Rates'!$B$2</f>
        <v>0.14357375945947565</v>
      </c>
      <c r="GJ124" s="102">
        <f>$GG124*EB124*'Feedstock Conversion Rates'!$B$3</f>
        <v>0.15172018821402683</v>
      </c>
      <c r="GK124" s="102">
        <f>$GG124*EC124*'Feedstock Conversion Rates'!$B$4</f>
        <v>0.8728689514296204</v>
      </c>
      <c r="GL124" s="102">
        <f>$GG124*ED124*'Feedstock Conversion Rates'!$B$5</f>
        <v>0</v>
      </c>
      <c r="GM124" s="102">
        <f>$GG124*EE124*'Feedstock Conversion Rates'!$B$6</f>
        <v>0.44066784483065569</v>
      </c>
      <c r="GN124" s="102">
        <f>$GG124*EF124*'Feedstock Conversion Rates'!$B$7</f>
        <v>0.67143030138568172</v>
      </c>
      <c r="GO124" s="102">
        <f>$GG124*EG124*'Feedstock Conversion Rates'!$B$8</f>
        <v>0.16545962720774804</v>
      </c>
      <c r="GP124" s="102">
        <f>$GG124*EH124*'Feedstock Conversion Rates'!B$9</f>
        <v>0</v>
      </c>
      <c r="GQ124" s="102">
        <f t="shared" si="45"/>
        <v>2.4457206725272083</v>
      </c>
      <c r="GR124" s="85">
        <f t="shared" si="53"/>
        <v>8.4386118261958369</v>
      </c>
      <c r="GT124" s="103">
        <f t="shared" si="47"/>
        <v>5.870407077645471E-2</v>
      </c>
      <c r="GU124" s="103">
        <f t="shared" si="47"/>
        <v>6.2034961685649724E-2</v>
      </c>
      <c r="GV124" s="103">
        <f t="shared" si="47"/>
        <v>0.35689641962574115</v>
      </c>
      <c r="GW124" s="103">
        <f t="shared" si="46"/>
        <v>0</v>
      </c>
      <c r="GX124" s="103">
        <f t="shared" si="46"/>
        <v>0.18017913892648474</v>
      </c>
      <c r="GY124" s="103">
        <f t="shared" si="46"/>
        <v>0.27453270069957753</v>
      </c>
      <c r="GZ124" s="103">
        <f t="shared" si="46"/>
        <v>6.7652708286092017E-2</v>
      </c>
      <c r="HA124" s="103">
        <f t="shared" si="46"/>
        <v>0</v>
      </c>
    </row>
    <row r="125" spans="1:209" x14ac:dyDescent="0.25">
      <c r="A125" s="96">
        <v>44228</v>
      </c>
      <c r="B125" s="104">
        <f>50+40+14-20+15+10-2+5-4-2+3-8-2.5-25-12.5-11-20+40-50-20+25+25-10+25-10+30</f>
        <v>85</v>
      </c>
      <c r="C125" s="105"/>
      <c r="D125" s="104">
        <v>0</v>
      </c>
      <c r="E125" s="104">
        <f>('Renewable Diesel'!B134*E$3*'Feedstock Conversion Rates'!$B$2)/12-15+4+2.5+25-25-25+10</f>
        <v>14.296666666666667</v>
      </c>
      <c r="F125" s="104">
        <f>('Renewable Diesel'!B134*'RD Feedstock Breakdown'!F$3*'Feedstock Conversion Rates'!B$8)/12+18.5-14+2-5-3+8+12.5-40+20+10</f>
        <v>31.65625</v>
      </c>
      <c r="G125" s="104">
        <f>('Renewable Diesel'!B134*'RD Feedstock Breakdown'!G$3*'Feedstock Conversion Rates'!B$7)/12-55+25</f>
        <v>44.036999999999992</v>
      </c>
      <c r="H125" s="104">
        <f>('Renewable Diesel'!B134*'RD Feedstock Breakdown'!H$3*'Feedstock Conversion Rates'!B$3)/12+6.5-50+2+31+25-25-30</f>
        <v>33.639224999999996</v>
      </c>
      <c r="I125" s="106">
        <f t="shared" si="52"/>
        <v>208.62914166666667</v>
      </c>
      <c r="J125" s="106"/>
      <c r="K125" s="107"/>
      <c r="L125" s="106"/>
      <c r="R125" s="104">
        <f>('Renewable Diesel'!D134*'RD Feedstock Breakdown'!R$3*'Feedstock Conversion Rates'!B$7)/12</f>
        <v>2.2999999999999998</v>
      </c>
      <c r="S125" s="106">
        <f t="shared" si="27"/>
        <v>2.2999999999999998</v>
      </c>
      <c r="T125" s="107"/>
      <c r="U125" s="106"/>
      <c r="Y125" s="104">
        <f>30+15-45+35</f>
        <v>35</v>
      </c>
      <c r="Z125" s="104">
        <f>('Renewable Diesel'!F134*'RD Feedstock Breakdown'!Z$3*'Feedstock Conversion Rates'!B$6)/12+17.5-10+10-30-15+10</f>
        <v>27.055000000000007</v>
      </c>
      <c r="AA125" s="104">
        <f>('Renewable Diesel'!F134*'RD Feedstock Breakdown'!AA$3*'Feedstock Conversion Rates'!B$7)/12-17.5</f>
        <v>11.633333333333329</v>
      </c>
      <c r="AB125" s="106">
        <f t="shared" si="62"/>
        <v>73.688333333333333</v>
      </c>
      <c r="AC125" s="108"/>
      <c r="AG125" s="105"/>
      <c r="AH125" s="104">
        <v>0</v>
      </c>
      <c r="AI125" s="104">
        <f>('Renewable Diesel'!H134*'RD Feedstock Breakdown'!AI$3*'Feedstock Conversion Rates'!B$6)/12-20-15+35</f>
        <v>39.083333333333336</v>
      </c>
      <c r="AJ125" s="106">
        <f t="shared" si="26"/>
        <v>39.083333333333336</v>
      </c>
      <c r="AK125" s="104">
        <f>('Renewable Diesel'!J134*'RD Feedstock Breakdown'!AK$3*'Feedstock Conversion Rates'!B$4)/12</f>
        <v>62.5</v>
      </c>
      <c r="AL125" s="106">
        <f t="shared" si="28"/>
        <v>62.5</v>
      </c>
      <c r="AT125" s="108"/>
      <c r="AV125" s="104">
        <f>'Renewable Diesel'!N134*'RD Feedstock Breakdown'!$AV$3*'Feedstock Conversion Rates'!$B$4/12</f>
        <v>78.749999999999986</v>
      </c>
      <c r="AW125" s="104">
        <f>'Renewable Diesel'!N134*'RD Feedstock Breakdown'!$AW$3*'Feedstock Conversion Rates'!$B$7/12</f>
        <v>41.4</v>
      </c>
      <c r="AX125" s="106">
        <f t="shared" si="63"/>
        <v>120.14999999999998</v>
      </c>
      <c r="AY125" s="104"/>
      <c r="AZ125" s="104"/>
      <c r="BA125" s="106"/>
      <c r="BH125" s="104">
        <f>('Renewable Diesel'!T134*'RD Feedstock Breakdown'!BH$3*'Feedstock Conversion Rates'!B$7)/12</f>
        <v>0</v>
      </c>
      <c r="BI125" s="106">
        <f t="shared" ref="BI125:BI188" si="64">BH125</f>
        <v>0</v>
      </c>
      <c r="BJ125" s="104">
        <f>('Renewable Diesel'!W134*'RD Feedstock Breakdown'!BJ$3*'Feedstock Conversion Rates'!B$4)/12</f>
        <v>7.5</v>
      </c>
      <c r="BK125" s="104">
        <f>('Renewable Diesel'!W134*'RD Feedstock Breakdown'!BK$3*'Feedstock Conversion Rates'!B$3)/12</f>
        <v>1.335</v>
      </c>
      <c r="BL125" s="104">
        <f>('Renewable Diesel'!W134*'RD Feedstock Breakdown'!BL$3*'Feedstock Conversion Rates'!B$6)/12</f>
        <v>3.1266666666666669</v>
      </c>
      <c r="BM125" s="104">
        <f>('Renewable Diesel'!W134*'RD Feedstock Breakdown'!BM$3*'Feedstock Conversion Rates'!B$7)/12</f>
        <v>1.5333333333333332</v>
      </c>
      <c r="BN125" s="106">
        <f t="shared" si="54"/>
        <v>13.495000000000001</v>
      </c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7"/>
      <c r="BY125" s="106"/>
      <c r="BZ125" s="106"/>
      <c r="CA125" s="106"/>
      <c r="CB125" s="106"/>
      <c r="CC125" s="106"/>
      <c r="CD125" s="106"/>
      <c r="CE125" s="106"/>
      <c r="CF125" s="106"/>
      <c r="CG125" s="106"/>
      <c r="CH125" s="106"/>
      <c r="CI125" s="107"/>
      <c r="CJ125" s="106"/>
      <c r="CK125" s="106"/>
      <c r="CL125" s="106"/>
      <c r="CM125" s="106"/>
      <c r="CN125" s="106"/>
      <c r="CO125" s="106"/>
      <c r="CP125" s="106"/>
      <c r="CQ125" s="106"/>
      <c r="CR125" s="106"/>
      <c r="CS125" s="106"/>
      <c r="CT125" s="106"/>
      <c r="CU125" s="106"/>
      <c r="CV125" s="106"/>
      <c r="CW125" s="106"/>
      <c r="CX125" s="106"/>
      <c r="CY125" s="106"/>
      <c r="CZ125" s="106"/>
      <c r="DA125" s="106"/>
      <c r="DB125" s="106"/>
      <c r="DC125" s="106"/>
      <c r="DD125" s="107"/>
      <c r="DE125" s="106"/>
      <c r="DF125" s="106"/>
      <c r="DG125" s="106"/>
      <c r="DH125" s="106"/>
      <c r="DI125" s="106"/>
      <c r="DJ125" s="107"/>
      <c r="DK125" s="106"/>
      <c r="DL125" s="106"/>
      <c r="DM125" s="106"/>
      <c r="DN125" s="106"/>
      <c r="DP125" s="104">
        <f t="shared" si="30"/>
        <v>14.296666666666667</v>
      </c>
      <c r="DQ125" s="104">
        <f t="shared" si="31"/>
        <v>34.974224999999997</v>
      </c>
      <c r="DR125" s="104">
        <f t="shared" si="39"/>
        <v>268.75</v>
      </c>
      <c r="DS125" s="107"/>
      <c r="DT125" s="104">
        <f t="shared" si="32"/>
        <v>69.265000000000015</v>
      </c>
      <c r="DU125" s="104">
        <f t="shared" si="33"/>
        <v>100.90366666666665</v>
      </c>
      <c r="DV125" s="104">
        <f t="shared" si="34"/>
        <v>31.65625</v>
      </c>
      <c r="DW125" s="104">
        <f t="shared" si="35"/>
        <v>0</v>
      </c>
      <c r="DX125" s="106">
        <f t="shared" si="36"/>
        <v>519.84580833333325</v>
      </c>
      <c r="DY125" s="109">
        <f t="shared" si="37"/>
        <v>0</v>
      </c>
      <c r="EA125" s="110">
        <f t="shared" si="55"/>
        <v>2.7501744627898242E-2</v>
      </c>
      <c r="EB125" s="110">
        <f t="shared" si="55"/>
        <v>6.7278074458520937E-2</v>
      </c>
      <c r="EC125" s="110">
        <f t="shared" si="55"/>
        <v>0.51698021931086402</v>
      </c>
      <c r="ED125" s="107"/>
      <c r="EE125" s="110">
        <f t="shared" si="56"/>
        <v>0.133241432150947</v>
      </c>
      <c r="EF125" s="110">
        <f t="shared" si="56"/>
        <v>0.19410306873526936</v>
      </c>
      <c r="EG125" s="111">
        <f t="shared" si="56"/>
        <v>6.0895460716500607E-2</v>
      </c>
      <c r="EH125" s="111">
        <f t="shared" si="40"/>
        <v>0</v>
      </c>
      <c r="EI125" s="110">
        <f t="shared" si="41"/>
        <v>1.0000000000000002</v>
      </c>
      <c r="EK125" s="112">
        <f>(EA125*'Renewable Diesel'!BF134*'Feedstock Conversion Rates'!B$2)+FB125</f>
        <v>10.984261722250752</v>
      </c>
      <c r="EL125" s="112">
        <f>(EB125*'Renewable Diesel'!BF134*'Feedstock Conversion Rates'!B$3)+FC125</f>
        <v>25.321986377236524</v>
      </c>
      <c r="EM125" s="112">
        <f>(EC125*'Renewable Diesel'!BF134*'Feedstock Conversion Rates'!B$4)+FD125</f>
        <v>182.19098816873537</v>
      </c>
      <c r="EN125" s="107"/>
      <c r="EO125" s="112">
        <f>(EE125*'Renewable Diesel'!BF134*'Feedstock Conversion Rates'!B$6)+FF125</f>
        <v>58.726461272240613</v>
      </c>
      <c r="EP125" s="112">
        <f>(EF125*'Renewable Diesel'!BF134*'Feedstock Conversion Rates'!B$7)+FG125</f>
        <v>83.909654031185283</v>
      </c>
      <c r="EQ125" s="112">
        <f>(EG125*'Renewable Diesel'!BF134*'Feedstock Conversion Rates'!B$8)+FH125</f>
        <v>26.825504507983858</v>
      </c>
      <c r="ER125" s="112">
        <f>(EH125*'Renewable Diesel'!BF134*'Feedstock Conversion Rates'!B$9)+FI125</f>
        <v>0</v>
      </c>
      <c r="ES125" s="112">
        <f t="shared" si="42"/>
        <v>387.95885607963237</v>
      </c>
      <c r="ET125" s="91">
        <f>ES125/'Renewable Diesel'!BF134</f>
        <v>8.2564616607389212</v>
      </c>
      <c r="EW125" s="73">
        <f t="shared" si="58"/>
        <v>182.19098816873537</v>
      </c>
      <c r="EX125" s="73">
        <f t="shared" si="59"/>
        <v>205.76786791089702</v>
      </c>
      <c r="EY125" s="92">
        <f t="shared" si="38"/>
        <v>0.46961420087118433</v>
      </c>
      <c r="EZ125" s="92">
        <f t="shared" si="38"/>
        <v>0.53038579912881578</v>
      </c>
      <c r="FB125" s="102">
        <f>IF('Renewable Diesel'!$BG134&lt;1,0,(((('Renewable Diesel'!$BG134-1)*'Renewable Diesel'!$BF134)*'RD Feedstock Breakdown'!EA125)*'Feedstock Conversion Rates'!$B$2))</f>
        <v>0</v>
      </c>
      <c r="FC125" s="102">
        <f>IF('Renewable Diesel'!$BG134&lt;1,0,(((('Renewable Diesel'!$BG134-1)*'Renewable Diesel'!$BF134)*'RD Feedstock Breakdown'!EB125)*'Feedstock Conversion Rates'!$B$3))</f>
        <v>0</v>
      </c>
      <c r="FD125" s="102">
        <f>IF('Renewable Diesel'!$BG134&lt;1,0,(((('Renewable Diesel'!$BG134-1)*'Renewable Diesel'!$BF134)*'RD Feedstock Breakdown'!EC125)*'Feedstock Conversion Rates'!$B$4))</f>
        <v>0</v>
      </c>
      <c r="FE125" s="107"/>
      <c r="FF125" s="102">
        <f>IF('Renewable Diesel'!$BG134&lt;1,0,(((('Renewable Diesel'!$BG134-1)*'Renewable Diesel'!$BF134)*'RD Feedstock Breakdown'!EE125)*'Feedstock Conversion Rates'!$B$6))</f>
        <v>0</v>
      </c>
      <c r="FG125" s="102">
        <f>IF('Renewable Diesel'!$BG134&lt;1,0,(((('Renewable Diesel'!$BG134-1)*'Renewable Diesel'!$BF134)*'RD Feedstock Breakdown'!EF125)*'Feedstock Conversion Rates'!$B$7))</f>
        <v>0</v>
      </c>
      <c r="FH125" s="102">
        <f>IF('Renewable Diesel'!$BG134&lt;1,0,(((('Renewable Diesel'!$BG134-1)*'Renewable Diesel'!$BF134)*'RD Feedstock Breakdown'!EG125)*'Feedstock Conversion Rates'!$B$8))</f>
        <v>0</v>
      </c>
      <c r="FI125" s="102">
        <f>IF('Renewable Diesel'!$BG134&lt;1,0,(((('Renewable Diesel'!$BG134-1)*'Renewable Diesel'!$BF134)*'RD Feedstock Breakdown'!EH125)*'Feedstock Conversion Rates'!$B$9))</f>
        <v>0</v>
      </c>
      <c r="FJ125" s="102">
        <f t="shared" si="60"/>
        <v>0</v>
      </c>
      <c r="FR125" s="3">
        <f>('Renewable Diesel'!AX134-'Renewable Diesel'!BI134)/12*$FO$80</f>
        <v>45.918750000000003</v>
      </c>
      <c r="FS125" s="100">
        <f t="shared" si="48"/>
        <v>0.51698021931086402</v>
      </c>
      <c r="FT125" s="3">
        <f t="shared" si="50"/>
        <v>178.04314084110555</v>
      </c>
      <c r="FY125" s="3">
        <f>'Renewable Diesel'!BF134*('Renewable Diesel'!BI134/'Renewable Diesel'!AX134)</f>
        <v>10.618453475031606</v>
      </c>
      <c r="FZ125" s="3">
        <f>('Renewable Diesel'!BJ134*'Renewable Diesel'!BG134)/12</f>
        <v>35.685676684444793</v>
      </c>
      <c r="GA125" s="3">
        <f t="shared" si="51"/>
        <v>138.36591718935642</v>
      </c>
      <c r="GD125" s="91">
        <f>'Renewable Diesel'!BB134*0</f>
        <v>0</v>
      </c>
      <c r="GE125" s="91">
        <f>'Renewable Diesel'!BC134</f>
        <v>0.29472500000000001</v>
      </c>
      <c r="GF125" s="91">
        <f>'Renewable Diesel'!BD134</f>
        <v>0</v>
      </c>
      <c r="GG125" s="91">
        <f t="shared" si="49"/>
        <v>0.29472500000000001</v>
      </c>
      <c r="GH125" s="124">
        <v>1</v>
      </c>
      <c r="GI125" s="102">
        <f>$GG125*EA125*'Feedstock Conversion Rates'!$B$2</f>
        <v>6.889633932638714E-2</v>
      </c>
      <c r="GJ125" s="102">
        <f>$GG125*EB125*'Feedstock Conversion Rates'!$B$3</f>
        <v>0.15882652926324853</v>
      </c>
      <c r="GK125" s="102">
        <f>$GG125*EC125*'Feedstock Conversion Rates'!$B$4</f>
        <v>1.142752463522958</v>
      </c>
      <c r="GL125" s="102">
        <f>$GG125*ED125*'Feedstock Conversion Rates'!$B$5</f>
        <v>0</v>
      </c>
      <c r="GM125" s="102">
        <f>$GG125*EE125*'Feedstock Conversion Rates'!$B$6</f>
        <v>0.36834867063065213</v>
      </c>
      <c r="GN125" s="102">
        <f>$GG125*EF125*'Feedstock Conversion Rates'!$B$7</f>
        <v>0.52630464778362085</v>
      </c>
      <c r="GO125" s="102">
        <f>$GG125*EG125*'Feedstock Conversion Rates'!$B$8</f>
        <v>0.16825701243441227</v>
      </c>
      <c r="GP125" s="102">
        <f>$GG125*EH125*'Feedstock Conversion Rates'!B$9</f>
        <v>0</v>
      </c>
      <c r="GQ125" s="102">
        <f t="shared" si="45"/>
        <v>2.4333856629612791</v>
      </c>
      <c r="GR125" s="85">
        <f t="shared" si="53"/>
        <v>8.256461660738923</v>
      </c>
      <c r="GT125" s="103">
        <f t="shared" si="47"/>
        <v>2.83129552273866E-2</v>
      </c>
      <c r="GU125" s="103">
        <f t="shared" si="47"/>
        <v>6.5269772761776923E-2</v>
      </c>
      <c r="GV125" s="103">
        <f t="shared" si="47"/>
        <v>0.46961420087118438</v>
      </c>
      <c r="GW125" s="103">
        <f t="shared" si="46"/>
        <v>0</v>
      </c>
      <c r="GX125" s="103">
        <f t="shared" si="46"/>
        <v>0.15137291068872116</v>
      </c>
      <c r="GY125" s="103">
        <f t="shared" si="46"/>
        <v>0.21628493000289187</v>
      </c>
      <c r="GZ125" s="103">
        <f t="shared" si="46"/>
        <v>6.9145230448039219E-2</v>
      </c>
      <c r="HA125" s="103">
        <f t="shared" si="46"/>
        <v>0</v>
      </c>
    </row>
    <row r="126" spans="1:209" x14ac:dyDescent="0.25">
      <c r="A126" s="96">
        <v>44256</v>
      </c>
      <c r="B126" s="104">
        <f>50+40+14-20+15+10-2+5-4-2+3-8-2.5-25-12.5-25+40-30+25-20+30</f>
        <v>81</v>
      </c>
      <c r="C126" s="105"/>
      <c r="D126" s="104">
        <v>0</v>
      </c>
      <c r="E126" s="104">
        <f>('Renewable Diesel'!B135*E$3*'Feedstock Conversion Rates'!$B$2)/12-15+4+2.5-25+20</f>
        <v>24.296666666666667</v>
      </c>
      <c r="F126" s="104">
        <f>('Renewable Diesel'!B135*'RD Feedstock Breakdown'!F$3*'Feedstock Conversion Rates'!B$8)/12+18.5-14+2-5-3+8+12.5-40+30</f>
        <v>31.65625</v>
      </c>
      <c r="G126" s="104">
        <f>('Renewable Diesel'!B135*'RD Feedstock Breakdown'!G$3*'Feedstock Conversion Rates'!B$7)/12-55+25</f>
        <v>44.036999999999992</v>
      </c>
      <c r="H126" s="104">
        <f>('Renewable Diesel'!B135*'RD Feedstock Breakdown'!H$3*'Feedstock Conversion Rates'!B$3)/12+6.5-50+2+25-30</f>
        <v>27.639224999999996</v>
      </c>
      <c r="I126" s="106">
        <f t="shared" si="52"/>
        <v>208.62914166666667</v>
      </c>
      <c r="J126" s="106"/>
      <c r="K126" s="107"/>
      <c r="L126" s="106"/>
      <c r="R126" s="104">
        <f>('Renewable Diesel'!D135*'RD Feedstock Breakdown'!R$3*'Feedstock Conversion Rates'!B$7)/12</f>
        <v>2.2999999999999998</v>
      </c>
      <c r="S126" s="106">
        <f t="shared" si="27"/>
        <v>2.2999999999999998</v>
      </c>
      <c r="T126" s="107"/>
      <c r="U126" s="106"/>
      <c r="Y126" s="104">
        <f>25+15-40+35</f>
        <v>35</v>
      </c>
      <c r="Z126" s="104">
        <f>('Renewable Diesel'!F135*'RD Feedstock Breakdown'!Z$3*'Feedstock Conversion Rates'!B$6)/12+17.5-10+10-40+40-35</f>
        <v>27.055000000000007</v>
      </c>
      <c r="AA126" s="104">
        <f>('Renewable Diesel'!F135*'RD Feedstock Breakdown'!AA$3*'Feedstock Conversion Rates'!B$7)/12-17.5</f>
        <v>11.633333333333329</v>
      </c>
      <c r="AB126" s="106">
        <f t="shared" si="62"/>
        <v>73.688333333333333</v>
      </c>
      <c r="AC126" s="108"/>
      <c r="AG126" s="105"/>
      <c r="AH126" s="104">
        <v>0</v>
      </c>
      <c r="AI126" s="104">
        <f>('Renewable Diesel'!H135*'RD Feedstock Breakdown'!AI$3*'Feedstock Conversion Rates'!B$6)/12-15+15</f>
        <v>39.083333333333336</v>
      </c>
      <c r="AJ126" s="106">
        <f t="shared" si="26"/>
        <v>39.083333333333336</v>
      </c>
      <c r="AK126" s="104">
        <f>('Renewable Diesel'!J135*'RD Feedstock Breakdown'!AK$3*'Feedstock Conversion Rates'!B$4)/12</f>
        <v>62.5</v>
      </c>
      <c r="AL126" s="106">
        <f t="shared" si="28"/>
        <v>62.5</v>
      </c>
      <c r="AT126" s="108"/>
      <c r="AV126" s="104">
        <f>'Renewable Diesel'!N135*'RD Feedstock Breakdown'!$AV$3*'Feedstock Conversion Rates'!$B$4/12</f>
        <v>78.749999999999986</v>
      </c>
      <c r="AW126" s="104">
        <f>'Renewable Diesel'!N135*'RD Feedstock Breakdown'!$AW$3*'Feedstock Conversion Rates'!$B$7/12</f>
        <v>41.4</v>
      </c>
      <c r="AX126" s="106">
        <f t="shared" si="63"/>
        <v>120.14999999999998</v>
      </c>
      <c r="AY126" s="104"/>
      <c r="AZ126" s="104"/>
      <c r="BA126" s="106"/>
      <c r="BH126" s="104">
        <f>('Renewable Diesel'!T135*'RD Feedstock Breakdown'!BH$3*'Feedstock Conversion Rates'!B$7)/12</f>
        <v>0</v>
      </c>
      <c r="BI126" s="106">
        <f t="shared" si="64"/>
        <v>0</v>
      </c>
      <c r="BJ126" s="104">
        <f>('Renewable Diesel'!W135*'RD Feedstock Breakdown'!BJ$3*'Feedstock Conversion Rates'!B$4)/12</f>
        <v>7.5</v>
      </c>
      <c r="BK126" s="104">
        <f>('Renewable Diesel'!W135*'RD Feedstock Breakdown'!BK$3*'Feedstock Conversion Rates'!B$3)/12</f>
        <v>1.335</v>
      </c>
      <c r="BL126" s="104">
        <f>('Renewable Diesel'!W135*'RD Feedstock Breakdown'!BL$3*'Feedstock Conversion Rates'!B$6)/12</f>
        <v>3.1266666666666669</v>
      </c>
      <c r="BM126" s="104">
        <f>('Renewable Diesel'!W135*'RD Feedstock Breakdown'!BM$3*'Feedstock Conversion Rates'!B$7)/12</f>
        <v>1.5333333333333332</v>
      </c>
      <c r="BN126" s="106">
        <f t="shared" si="54"/>
        <v>13.495000000000001</v>
      </c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7"/>
      <c r="BY126" s="106"/>
      <c r="BZ126" s="106"/>
      <c r="CA126" s="106"/>
      <c r="CB126" s="106"/>
      <c r="CC126" s="106"/>
      <c r="CD126" s="106"/>
      <c r="CE126" s="106"/>
      <c r="CF126" s="106"/>
      <c r="CG126" s="106"/>
      <c r="CH126" s="106"/>
      <c r="CI126" s="107"/>
      <c r="CJ126" s="106"/>
      <c r="CK126" s="106"/>
      <c r="CL126" s="106"/>
      <c r="CM126" s="106"/>
      <c r="CN126" s="106"/>
      <c r="CO126" s="106"/>
      <c r="CP126" s="106"/>
      <c r="CQ126" s="106"/>
      <c r="CR126" s="106"/>
      <c r="CS126" s="106"/>
      <c r="CT126" s="106"/>
      <c r="CU126" s="106"/>
      <c r="CV126" s="106"/>
      <c r="CW126" s="106"/>
      <c r="CX126" s="106"/>
      <c r="CY126" s="106"/>
      <c r="CZ126" s="106"/>
      <c r="DA126" s="106"/>
      <c r="DB126" s="106"/>
      <c r="DC126" s="106"/>
      <c r="DD126" s="107"/>
      <c r="DE126" s="106"/>
      <c r="DF126" s="106"/>
      <c r="DG126" s="106"/>
      <c r="DH126" s="106"/>
      <c r="DI126" s="106"/>
      <c r="DJ126" s="107"/>
      <c r="DK126" s="106"/>
      <c r="DL126" s="106"/>
      <c r="DM126" s="106"/>
      <c r="DN126" s="106"/>
      <c r="DP126" s="104">
        <f t="shared" si="30"/>
        <v>24.296666666666667</v>
      </c>
      <c r="DQ126" s="104">
        <f t="shared" si="31"/>
        <v>28.974224999999997</v>
      </c>
      <c r="DR126" s="104">
        <f t="shared" si="39"/>
        <v>264.75</v>
      </c>
      <c r="DS126" s="107"/>
      <c r="DT126" s="104">
        <f t="shared" si="32"/>
        <v>69.265000000000015</v>
      </c>
      <c r="DU126" s="104">
        <f t="shared" si="33"/>
        <v>100.90366666666665</v>
      </c>
      <c r="DV126" s="104">
        <f t="shared" si="34"/>
        <v>31.65625</v>
      </c>
      <c r="DW126" s="104">
        <f t="shared" si="35"/>
        <v>0</v>
      </c>
      <c r="DX126" s="106">
        <f t="shared" si="36"/>
        <v>519.84580833333325</v>
      </c>
      <c r="DY126" s="109">
        <f t="shared" si="37"/>
        <v>0</v>
      </c>
      <c r="EA126" s="110">
        <f t="shared" si="55"/>
        <v>4.6738217904581554E-2</v>
      </c>
      <c r="EB126" s="110">
        <f t="shared" si="55"/>
        <v>5.5736190492510947E-2</v>
      </c>
      <c r="EC126" s="110">
        <f t="shared" si="55"/>
        <v>0.50928563000019067</v>
      </c>
      <c r="ED126" s="107"/>
      <c r="EE126" s="110">
        <f t="shared" si="56"/>
        <v>0.133241432150947</v>
      </c>
      <c r="EF126" s="110">
        <f t="shared" si="56"/>
        <v>0.19410306873526936</v>
      </c>
      <c r="EG126" s="111">
        <f t="shared" si="56"/>
        <v>6.0895460716500607E-2</v>
      </c>
      <c r="EH126" s="111">
        <f t="shared" si="40"/>
        <v>0</v>
      </c>
      <c r="EI126" s="110">
        <f t="shared" si="41"/>
        <v>1.0000000000000002</v>
      </c>
      <c r="EK126" s="112">
        <f>(EA126*'Renewable Diesel'!BF135*'Feedstock Conversion Rates'!B$2)+FB126</f>
        <v>22.026843396563571</v>
      </c>
      <c r="EL126" s="112">
        <f>(EB126*'Renewable Diesel'!BF135*'Feedstock Conversion Rates'!B$3)+FC126</f>
        <v>24.753179279303193</v>
      </c>
      <c r="EM126" s="112">
        <f>(EC126*'Renewable Diesel'!BF135*'Feedstock Conversion Rates'!B$4)+FD126</f>
        <v>211.77947875994383</v>
      </c>
      <c r="EN126" s="107"/>
      <c r="EO126" s="112">
        <f>(EE126*'Renewable Diesel'!BF135*'Feedstock Conversion Rates'!B$6)+FF126</f>
        <v>69.295226688505878</v>
      </c>
      <c r="EP126" s="112">
        <f>(EF126*'Renewable Diesel'!BF135*'Feedstock Conversion Rates'!B$7)+FG126</f>
        <v>99.010537523968921</v>
      </c>
      <c r="EQ126" s="112">
        <f>(EG126*'Renewable Diesel'!BF135*'Feedstock Conversion Rates'!B$8)+FH126</f>
        <v>31.65318283519581</v>
      </c>
      <c r="ER126" s="112">
        <f>(EH126*'Renewable Diesel'!BF135*'Feedstock Conversion Rates'!B$9)+FI126</f>
        <v>0</v>
      </c>
      <c r="ES126" s="112">
        <f t="shared" si="42"/>
        <v>458.51844848348122</v>
      </c>
      <c r="ET126" s="91">
        <f>ES126/'Renewable Diesel'!BF135</f>
        <v>8.2698117731929397</v>
      </c>
      <c r="EW126" s="73">
        <f t="shared" si="58"/>
        <v>211.77947875994383</v>
      </c>
      <c r="EX126" s="73">
        <f t="shared" si="59"/>
        <v>246.73896972353737</v>
      </c>
      <c r="EY126" s="92">
        <f t="shared" si="38"/>
        <v>0.46187777059001689</v>
      </c>
      <c r="EZ126" s="92">
        <f t="shared" si="38"/>
        <v>0.538122229409983</v>
      </c>
      <c r="FB126" s="102">
        <f>IF('Renewable Diesel'!$BG135&lt;1,0,(((('Renewable Diesel'!$BG135-1)*'Renewable Diesel'!$BF135)*'RD Feedstock Breakdown'!EA126)*'Feedstock Conversion Rates'!$B$2))</f>
        <v>0</v>
      </c>
      <c r="FC126" s="102">
        <f>IF('Renewable Diesel'!$BG135&lt;1,0,(((('Renewable Diesel'!$BG135-1)*'Renewable Diesel'!$BF135)*'RD Feedstock Breakdown'!EB126)*'Feedstock Conversion Rates'!$B$3))</f>
        <v>0</v>
      </c>
      <c r="FD126" s="102">
        <f>IF('Renewable Diesel'!$BG135&lt;1,0,(((('Renewable Diesel'!$BG135-1)*'Renewable Diesel'!$BF135)*'RD Feedstock Breakdown'!EC126)*'Feedstock Conversion Rates'!$B$4))</f>
        <v>0</v>
      </c>
      <c r="FE126" s="107"/>
      <c r="FF126" s="102">
        <f>IF('Renewable Diesel'!$BG135&lt;1,0,(((('Renewable Diesel'!$BG135-1)*'Renewable Diesel'!$BF135)*'RD Feedstock Breakdown'!EE126)*'Feedstock Conversion Rates'!$B$6))</f>
        <v>0</v>
      </c>
      <c r="FG126" s="102">
        <f>IF('Renewable Diesel'!$BG135&lt;1,0,(((('Renewable Diesel'!$BG135-1)*'Renewable Diesel'!$BF135)*'RD Feedstock Breakdown'!EF126)*'Feedstock Conversion Rates'!$B$7))</f>
        <v>0</v>
      </c>
      <c r="FH126" s="102">
        <f>IF('Renewable Diesel'!$BG135&lt;1,0,(((('Renewable Diesel'!$BG135-1)*'Renewable Diesel'!$BF135)*'RD Feedstock Breakdown'!EG126)*'Feedstock Conversion Rates'!$B$8))</f>
        <v>0</v>
      </c>
      <c r="FI126" s="102">
        <f>IF('Renewable Diesel'!$BG135&lt;1,0,(((('Renewable Diesel'!$BG135-1)*'Renewable Diesel'!$BF135)*'RD Feedstock Breakdown'!EH126)*'Feedstock Conversion Rates'!$B$9))</f>
        <v>0</v>
      </c>
      <c r="FJ126" s="102">
        <f t="shared" si="60"/>
        <v>0</v>
      </c>
      <c r="FR126" s="3">
        <f>('Renewable Diesel'!AX135-'Renewable Diesel'!BI135)/12*$FO$80</f>
        <v>45.918750000000003</v>
      </c>
      <c r="FS126" s="100">
        <f t="shared" si="48"/>
        <v>0.50928563000019067</v>
      </c>
      <c r="FT126" s="3">
        <f t="shared" si="50"/>
        <v>175.39319641928441</v>
      </c>
      <c r="FY126" s="3">
        <f>'Renewable Diesel'!BF135*('Renewable Diesel'!BI135/'Renewable Diesel'!AX135)</f>
        <v>12.529413908027813</v>
      </c>
      <c r="FZ126" s="3">
        <f>('Renewable Diesel'!BJ135*'Renewable Diesel'!BG135)/12</f>
        <v>46.619443686219789</v>
      </c>
      <c r="GA126" s="3">
        <f t="shared" si="51"/>
        <v>178.06959560996142</v>
      </c>
      <c r="GD126" s="91">
        <f>'Renewable Diesel'!BB135*0</f>
        <v>0</v>
      </c>
      <c r="GE126" s="91">
        <f>'Renewable Diesel'!BC135</f>
        <v>0.288906</v>
      </c>
      <c r="GF126" s="91">
        <f>'Renewable Diesel'!BD135</f>
        <v>0</v>
      </c>
      <c r="GG126" s="91">
        <f t="shared" si="49"/>
        <v>0.288906</v>
      </c>
      <c r="GH126" s="124">
        <v>1</v>
      </c>
      <c r="GI126" s="102">
        <f>$GG126*EA126*'Feedstock Conversion Rates'!$B$2</f>
        <v>0.11477508844649882</v>
      </c>
      <c r="GJ126" s="102">
        <f>$GG126*EB126*'Feedstock Conversion Rates'!$B$3</f>
        <v>0.12898118400193923</v>
      </c>
      <c r="GK126" s="102">
        <f>$GG126*EC126*'Feedstock Conversion Rates'!$B$4</f>
        <v>1.1035175566562632</v>
      </c>
      <c r="GL126" s="102">
        <f>$GG126*ED126*'Feedstock Conversion Rates'!$B$5</f>
        <v>0</v>
      </c>
      <c r="GM126" s="102">
        <f>$GG126*EE126*'Feedstock Conversion Rates'!$B$6</f>
        <v>0.36107605746787402</v>
      </c>
      <c r="GN126" s="102">
        <f>$GG126*EF126*'Feedstock Conversion Rates'!$B$7</f>
        <v>0.51591337881949195</v>
      </c>
      <c r="GO126" s="102">
        <f>$GG126*EG126*'Feedstock Conversion Rates'!$B$8</f>
        <v>0.16493497475401242</v>
      </c>
      <c r="GP126" s="102">
        <f>$GG126*EH126*'Feedstock Conversion Rates'!B$9</f>
        <v>0</v>
      </c>
      <c r="GQ126" s="102">
        <f t="shared" si="45"/>
        <v>2.3891982401460794</v>
      </c>
      <c r="GR126" s="85">
        <f t="shared" si="53"/>
        <v>8.2698117731929397</v>
      </c>
      <c r="GT126" s="103">
        <f t="shared" si="47"/>
        <v>4.8039164987615804E-2</v>
      </c>
      <c r="GU126" s="103">
        <f t="shared" si="47"/>
        <v>5.398513268369607E-2</v>
      </c>
      <c r="GV126" s="103">
        <f t="shared" si="47"/>
        <v>0.46187777059001695</v>
      </c>
      <c r="GW126" s="103">
        <f t="shared" si="46"/>
        <v>0</v>
      </c>
      <c r="GX126" s="103">
        <f t="shared" si="46"/>
        <v>0.15112854655618579</v>
      </c>
      <c r="GY126" s="103">
        <f t="shared" si="46"/>
        <v>0.21593577717851831</v>
      </c>
      <c r="GZ126" s="103">
        <f t="shared" si="46"/>
        <v>6.9033608003967059E-2</v>
      </c>
      <c r="HA126" s="103">
        <f t="shared" si="46"/>
        <v>0</v>
      </c>
    </row>
    <row r="127" spans="1:209" x14ac:dyDescent="0.25">
      <c r="A127" s="96">
        <v>44287</v>
      </c>
      <c r="B127" s="104">
        <f>50+40+14-20+15+10-2+5-4-2+3-8-2.5-25-12.5-45+1.125-17+25-20+30-10-10</f>
        <v>15.125</v>
      </c>
      <c r="C127" s="105"/>
      <c r="D127" s="104">
        <v>0</v>
      </c>
      <c r="E127" s="104">
        <f>('Renewable Diesel'!B136*E$3*'Feedstock Conversion Rates'!$B$2)/12-15+4+2.5-25+20</f>
        <v>24.296666666666667</v>
      </c>
      <c r="F127" s="104">
        <f>('Renewable Diesel'!B136*'RD Feedstock Breakdown'!F$3*'Feedstock Conversion Rates'!B$8)/12+18.5-14+2-5-3+8+12.5-1.125</f>
        <v>40.53125</v>
      </c>
      <c r="G127" s="104">
        <f>('Renewable Diesel'!B136*'RD Feedstock Breakdown'!G$3*'Feedstock Conversion Rates'!B$7)/12-55+25+45</f>
        <v>89.036999999999992</v>
      </c>
      <c r="H127" s="104">
        <f>('Renewable Diesel'!B136*'RD Feedstock Breakdown'!H$3*'Feedstock Conversion Rates'!B$3)/12+6.5-50+2+17-30+20</f>
        <v>39.639224999999996</v>
      </c>
      <c r="I127" s="106">
        <f t="shared" si="52"/>
        <v>208.62914166666667</v>
      </c>
      <c r="J127" s="106"/>
      <c r="K127" s="107"/>
      <c r="L127" s="106"/>
      <c r="R127" s="104">
        <f>('Renewable Diesel'!D136*'RD Feedstock Breakdown'!R$3*'Feedstock Conversion Rates'!B$7)/12</f>
        <v>2.2999999999999998</v>
      </c>
      <c r="S127" s="106">
        <f t="shared" si="27"/>
        <v>2.2999999999999998</v>
      </c>
      <c r="T127" s="107"/>
      <c r="U127" s="106"/>
      <c r="Y127" s="104">
        <f>20+20+10-50+35</f>
        <v>35</v>
      </c>
      <c r="Z127" s="104">
        <f>('Renewable Diesel'!F136*'RD Feedstock Breakdown'!Z$3*'Feedstock Conversion Rates'!B$6)/12+17.5-10+10-20-30+50-35</f>
        <v>27.055000000000007</v>
      </c>
      <c r="AA127" s="104">
        <f>('Renewable Diesel'!F136*'RD Feedstock Breakdown'!AA$3*'Feedstock Conversion Rates'!B$7)/12-17.5</f>
        <v>11.633333333333329</v>
      </c>
      <c r="AB127" s="106">
        <f t="shared" si="62"/>
        <v>73.688333333333333</v>
      </c>
      <c r="AC127" s="108"/>
      <c r="AG127" s="105"/>
      <c r="AH127" s="104">
        <v>0</v>
      </c>
      <c r="AI127" s="104">
        <f>('Renewable Diesel'!H136*'RD Feedstock Breakdown'!AI$3*'Feedstock Conversion Rates'!B$6)/12-10+10</f>
        <v>39.083333333333336</v>
      </c>
      <c r="AJ127" s="106">
        <f t="shared" si="26"/>
        <v>39.083333333333336</v>
      </c>
      <c r="AK127" s="104">
        <f>('Renewable Diesel'!J136*'RD Feedstock Breakdown'!AK$3*'Feedstock Conversion Rates'!B$4)/12</f>
        <v>62.5</v>
      </c>
      <c r="AL127" s="106">
        <f t="shared" si="28"/>
        <v>62.5</v>
      </c>
      <c r="AT127" s="108"/>
      <c r="AV127" s="104">
        <f>'Renewable Diesel'!N136*'RD Feedstock Breakdown'!$AV$3*'Feedstock Conversion Rates'!$B$4/12</f>
        <v>0</v>
      </c>
      <c r="AW127" s="104">
        <f>'Renewable Diesel'!N136*'RD Feedstock Breakdown'!$AW$3*'Feedstock Conversion Rates'!$B$7/12</f>
        <v>0</v>
      </c>
      <c r="AX127" s="106">
        <f t="shared" si="63"/>
        <v>0</v>
      </c>
      <c r="AY127" s="104">
        <f>('Renewable Diesel'!O136*'RD Feedstock Breakdown'!AY$3*'Feedstock Conversion Rates'!B$4)/12</f>
        <v>28.168875000000003</v>
      </c>
      <c r="AZ127" s="104">
        <f>('Renewable Diesel'!O136*'RD Feedstock Breakdown'!AZ$3*'Feedstock Conversion Rates'!B$3)/12</f>
        <v>3.3427065000000002</v>
      </c>
      <c r="BA127" s="106">
        <f>SUM(AY127:AZ127)</f>
        <v>31.511581500000005</v>
      </c>
      <c r="BH127" s="104">
        <f>('Renewable Diesel'!T136*'RD Feedstock Breakdown'!BH$3*'Feedstock Conversion Rates'!B$7)/12</f>
        <v>0</v>
      </c>
      <c r="BI127" s="106">
        <f t="shared" si="64"/>
        <v>0</v>
      </c>
      <c r="BJ127" s="104">
        <f>('Renewable Diesel'!W136*'RD Feedstock Breakdown'!BJ$3*'Feedstock Conversion Rates'!B$4)/12</f>
        <v>7.5</v>
      </c>
      <c r="BK127" s="104">
        <f>('Renewable Diesel'!W136*'RD Feedstock Breakdown'!BK$3*'Feedstock Conversion Rates'!B$3)/12</f>
        <v>1.335</v>
      </c>
      <c r="BL127" s="104">
        <f>('Renewable Diesel'!W136*'RD Feedstock Breakdown'!BL$3*'Feedstock Conversion Rates'!B$6)/12</f>
        <v>3.1266666666666669</v>
      </c>
      <c r="BM127" s="104">
        <f>('Renewable Diesel'!W136*'RD Feedstock Breakdown'!BM$3*'Feedstock Conversion Rates'!B$7)/12</f>
        <v>1.5333333333333332</v>
      </c>
      <c r="BN127" s="106">
        <f t="shared" si="54"/>
        <v>13.495000000000001</v>
      </c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7"/>
      <c r="BY127" s="106"/>
      <c r="BZ127" s="106"/>
      <c r="CA127" s="106"/>
      <c r="CB127" s="106"/>
      <c r="CC127" s="106"/>
      <c r="CD127" s="106"/>
      <c r="CE127" s="106"/>
      <c r="CF127" s="106"/>
      <c r="CG127" s="106"/>
      <c r="CH127" s="106"/>
      <c r="CI127" s="107"/>
      <c r="CJ127" s="106"/>
      <c r="CK127" s="106"/>
      <c r="CL127" s="106"/>
      <c r="CM127" s="106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06"/>
      <c r="CZ127" s="106"/>
      <c r="DA127" s="106"/>
      <c r="DB127" s="106"/>
      <c r="DC127" s="106"/>
      <c r="DD127" s="107"/>
      <c r="DE127" s="106"/>
      <c r="DF127" s="106"/>
      <c r="DG127" s="106"/>
      <c r="DH127" s="106"/>
      <c r="DI127" s="106"/>
      <c r="DJ127" s="107"/>
      <c r="DK127" s="106"/>
      <c r="DL127" s="106"/>
      <c r="DM127" s="106"/>
      <c r="DN127" s="106"/>
      <c r="DP127" s="104">
        <f t="shared" si="30"/>
        <v>24.296666666666667</v>
      </c>
      <c r="DQ127" s="104">
        <f t="shared" si="31"/>
        <v>44.316931499999995</v>
      </c>
      <c r="DR127" s="104">
        <f t="shared" si="39"/>
        <v>148.29387500000001</v>
      </c>
      <c r="DS127" s="107"/>
      <c r="DT127" s="104">
        <f t="shared" si="32"/>
        <v>69.265000000000015</v>
      </c>
      <c r="DU127" s="104">
        <f t="shared" si="33"/>
        <v>104.50366666666665</v>
      </c>
      <c r="DV127" s="104">
        <f t="shared" si="34"/>
        <v>40.53125</v>
      </c>
      <c r="DW127" s="104">
        <f t="shared" si="35"/>
        <v>0</v>
      </c>
      <c r="DX127" s="106">
        <f t="shared" si="36"/>
        <v>431.20738983333331</v>
      </c>
      <c r="DY127" s="109">
        <f t="shared" si="37"/>
        <v>0</v>
      </c>
      <c r="EA127" s="110">
        <f t="shared" si="55"/>
        <v>5.6345663918370259E-2</v>
      </c>
      <c r="EB127" s="110">
        <f t="shared" si="55"/>
        <v>0.10277405384246548</v>
      </c>
      <c r="EC127" s="110">
        <f t="shared" si="55"/>
        <v>0.34390383489790682</v>
      </c>
      <c r="ED127" s="107"/>
      <c r="EE127" s="110">
        <f t="shared" si="56"/>
        <v>0.16063036402685896</v>
      </c>
      <c r="EF127" s="110">
        <f t="shared" si="56"/>
        <v>0.24235128880109993</v>
      </c>
      <c r="EG127" s="111">
        <f t="shared" si="56"/>
        <v>9.3994794513298577E-2</v>
      </c>
      <c r="EH127" s="111">
        <f t="shared" si="40"/>
        <v>0</v>
      </c>
      <c r="EI127" s="110">
        <f t="shared" si="41"/>
        <v>1</v>
      </c>
      <c r="EK127" s="112">
        <f>(EA127*'Renewable Diesel'!BF136*'Feedstock Conversion Rates'!B$2)+FB127</f>
        <v>22.927611851197486</v>
      </c>
      <c r="EL127" s="112">
        <f>(EB127*'Renewable Diesel'!BF136*'Feedstock Conversion Rates'!B$3)+FC127</f>
        <v>39.408998466586418</v>
      </c>
      <c r="EM127" s="112">
        <f>(EC127*'Renewable Diesel'!BF136*'Feedstock Conversion Rates'!B$4)+FD127</f>
        <v>123.47461385484165</v>
      </c>
      <c r="EN127" s="107"/>
      <c r="EO127" s="112">
        <f>(EE127*'Renewable Diesel'!BF136*'Feedstock Conversion Rates'!B$6)+FF127</f>
        <v>72.128994248112278</v>
      </c>
      <c r="EP127" s="112">
        <f>(EF127*'Renewable Diesel'!BF136*'Feedstock Conversion Rates'!B$7)+FG127</f>
        <v>106.73640114522789</v>
      </c>
      <c r="EQ127" s="112">
        <f>(EG127*'Renewable Diesel'!BF136*'Feedstock Conversion Rates'!B$8)+FH127</f>
        <v>42.184652289280749</v>
      </c>
      <c r="ER127" s="112">
        <f>(EH127*'Renewable Diesel'!BF136*'Feedstock Conversion Rates'!B$9)+FI127</f>
        <v>0</v>
      </c>
      <c r="ES127" s="112">
        <f t="shared" si="42"/>
        <v>406.86127185524646</v>
      </c>
      <c r="ET127" s="91">
        <f>ES127/'Renewable Diesel'!BF136</f>
        <v>8.4989829464228279</v>
      </c>
      <c r="EW127" s="73">
        <f t="shared" si="58"/>
        <v>123.47461385484165</v>
      </c>
      <c r="EX127" s="73">
        <f t="shared" si="59"/>
        <v>283.38665800040485</v>
      </c>
      <c r="EY127" s="92">
        <f t="shared" si="38"/>
        <v>0.30348087271076413</v>
      </c>
      <c r="EZ127" s="92">
        <f t="shared" si="38"/>
        <v>0.69651912728923593</v>
      </c>
      <c r="FB127" s="102">
        <f>IF('Renewable Diesel'!$BG136&lt;1,0,(((('Renewable Diesel'!$BG136-1)*'Renewable Diesel'!$BF136)*'RD Feedstock Breakdown'!EA127)*'Feedstock Conversion Rates'!$B$2))</f>
        <v>0</v>
      </c>
      <c r="FC127" s="102">
        <f>IF('Renewable Diesel'!$BG136&lt;1,0,(((('Renewable Diesel'!$BG136-1)*'Renewable Diesel'!$BF136)*'RD Feedstock Breakdown'!EB127)*'Feedstock Conversion Rates'!$B$3))</f>
        <v>0</v>
      </c>
      <c r="FD127" s="102">
        <f>IF('Renewable Diesel'!$BG136&lt;1,0,(((('Renewable Diesel'!$BG136-1)*'Renewable Diesel'!$BF136)*'RD Feedstock Breakdown'!EC127)*'Feedstock Conversion Rates'!$B$4))</f>
        <v>0</v>
      </c>
      <c r="FE127" s="107"/>
      <c r="FF127" s="102">
        <f>IF('Renewable Diesel'!$BG136&lt;1,0,(((('Renewable Diesel'!$BG136-1)*'Renewable Diesel'!$BF136)*'RD Feedstock Breakdown'!EE127)*'Feedstock Conversion Rates'!$B$6))</f>
        <v>0</v>
      </c>
      <c r="FG127" s="102">
        <f>IF('Renewable Diesel'!$BG136&lt;1,0,(((('Renewable Diesel'!$BG136-1)*'Renewable Diesel'!$BF136)*'RD Feedstock Breakdown'!EF127)*'Feedstock Conversion Rates'!$B$7))</f>
        <v>0</v>
      </c>
      <c r="FH127" s="102">
        <f>IF('Renewable Diesel'!$BG136&lt;1,0,(((('Renewable Diesel'!$BG136-1)*'Renewable Diesel'!$BF136)*'RD Feedstock Breakdown'!EG127)*'Feedstock Conversion Rates'!$B$8))</f>
        <v>0</v>
      </c>
      <c r="FI127" s="102">
        <f>IF('Renewable Diesel'!$BG136&lt;1,0,(((('Renewable Diesel'!$BG136-1)*'Renewable Diesel'!$BF136)*'RD Feedstock Breakdown'!EH127)*'Feedstock Conversion Rates'!$B$9))</f>
        <v>0</v>
      </c>
      <c r="FJ127" s="102">
        <f t="shared" si="60"/>
        <v>0</v>
      </c>
      <c r="FR127" s="3">
        <f>('Renewable Diesel'!AX136-'Renewable Diesel'!BI136)/12*$FO$80</f>
        <v>61.8547875</v>
      </c>
      <c r="FS127" s="100">
        <f t="shared" si="48"/>
        <v>0.34390383489790682</v>
      </c>
      <c r="FT127" s="3">
        <f t="shared" si="50"/>
        <v>159.54073971033833</v>
      </c>
      <c r="FY127" s="3">
        <f>'Renewable Diesel'!BF136*('Renewable Diesel'!BI136/'Renewable Diesel'!AX136)</f>
        <v>7.211306281483008</v>
      </c>
      <c r="FZ127" s="3">
        <f>('Renewable Diesel'!BJ136*'Renewable Diesel'!BG136)/12</f>
        <v>39.895337653921239</v>
      </c>
      <c r="GA127" s="3">
        <f t="shared" si="51"/>
        <v>102.90119710297782</v>
      </c>
      <c r="GD127" s="91">
        <f>'Renewable Diesel'!BB136*0</f>
        <v>0</v>
      </c>
      <c r="GE127" s="91">
        <f>'Renewable Diesel'!BC136</f>
        <v>0.29328900000000002</v>
      </c>
      <c r="GF127" s="91">
        <f>'Renewable Diesel'!BD136</f>
        <v>0</v>
      </c>
      <c r="GG127" s="91">
        <f t="shared" si="49"/>
        <v>0.29328900000000002</v>
      </c>
      <c r="GH127" s="124">
        <v>1</v>
      </c>
      <c r="GI127" s="102">
        <f>$GG127*EA127*'Feedstock Conversion Rates'!$B$2</f>
        <v>0.14046728911211664</v>
      </c>
      <c r="GJ127" s="102">
        <f>$GG127*EB127*'Feedstock Conversion Rates'!$B$3</f>
        <v>0.24144142081399692</v>
      </c>
      <c r="GK127" s="102">
        <f>$GG127*EC127*'Feedstock Conversion Rates'!$B$4</f>
        <v>0.75647408875029154</v>
      </c>
      <c r="GL127" s="102">
        <f>$GG127*ED127*'Feedstock Conversion Rates'!$B$5</f>
        <v>0</v>
      </c>
      <c r="GM127" s="102">
        <f>$GG127*EE127*'Feedstock Conversion Rates'!$B$6</f>
        <v>0.44190229467298892</v>
      </c>
      <c r="GN127" s="102">
        <f>$GG127*EF127*'Feedstock Conversion Rates'!$B$7</f>
        <v>0.65392649769890931</v>
      </c>
      <c r="GO127" s="102">
        <f>$GG127*EG127*'Feedstock Conversion Rates'!$B$8</f>
        <v>0.25844661832510152</v>
      </c>
      <c r="GP127" s="102">
        <f>$GG127*EH127*'Feedstock Conversion Rates'!B$9</f>
        <v>0</v>
      </c>
      <c r="GQ127" s="102">
        <f t="shared" si="45"/>
        <v>2.4926582093734049</v>
      </c>
      <c r="GR127" s="85">
        <f t="shared" si="53"/>
        <v>8.4989829464228279</v>
      </c>
      <c r="GT127" s="103">
        <f t="shared" si="47"/>
        <v>5.6352406673286656E-2</v>
      </c>
      <c r="GU127" s="103">
        <f t="shared" si="47"/>
        <v>9.6861021661966876E-2</v>
      </c>
      <c r="GV127" s="103">
        <f t="shared" si="47"/>
        <v>0.30348087271076413</v>
      </c>
      <c r="GW127" s="103">
        <f t="shared" si="46"/>
        <v>0</v>
      </c>
      <c r="GX127" s="103">
        <f t="shared" si="46"/>
        <v>0.17728154345880923</v>
      </c>
      <c r="GY127" s="103">
        <f t="shared" si="46"/>
        <v>0.26234102021684352</v>
      </c>
      <c r="GZ127" s="103">
        <f t="shared" si="46"/>
        <v>0.10368313527832959</v>
      </c>
      <c r="HA127" s="103">
        <f t="shared" si="46"/>
        <v>0</v>
      </c>
    </row>
    <row r="128" spans="1:209" x14ac:dyDescent="0.25">
      <c r="A128" s="96">
        <v>44317</v>
      </c>
      <c r="B128" s="104">
        <f>50+40+14-20+15+10-2+6-4-2+2-8-5-25+2-12.5-45+1.125-17+0.375+40+25-20+30-5+5-10</f>
        <v>65</v>
      </c>
      <c r="C128" s="105"/>
      <c r="D128" s="104">
        <v>0</v>
      </c>
      <c r="E128" s="104">
        <f>('Renewable Diesel'!B137*E$3*'Feedstock Conversion Rates'!$B$2)/12-15+4+5-2-25+20</f>
        <v>24.796666666666667</v>
      </c>
      <c r="F128" s="104">
        <f>('Renewable Diesel'!B137*'RD Feedstock Breakdown'!F$3*'Feedstock Conversion Rates'!B$8)/12+18.5-14+2-6-2+8+12.5-1.125-0.375</f>
        <v>40.15625</v>
      </c>
      <c r="G128" s="104">
        <f>('Renewable Diesel'!B137*'RD Feedstock Breakdown'!G$3*'Feedstock Conversion Rates'!B$7)/12-55+25+45-40</f>
        <v>49.036999999999992</v>
      </c>
      <c r="H128" s="104">
        <f>('Renewable Diesel'!B137*'RD Feedstock Breakdown'!H$3*'Feedstock Conversion Rates'!B$3)/12+6.5-50+2+17-30+10</f>
        <v>29.639224999999996</v>
      </c>
      <c r="I128" s="106">
        <f t="shared" si="52"/>
        <v>208.62914166666667</v>
      </c>
      <c r="J128" s="106"/>
      <c r="K128" s="107"/>
      <c r="L128" s="106"/>
      <c r="R128" s="104">
        <f>('Renewable Diesel'!D137*'RD Feedstock Breakdown'!R$3*'Feedstock Conversion Rates'!B$7)/12</f>
        <v>2.2999999999999998</v>
      </c>
      <c r="S128" s="106">
        <f t="shared" si="27"/>
        <v>2.2999999999999998</v>
      </c>
      <c r="T128" s="107"/>
      <c r="U128" s="106"/>
      <c r="Y128" s="104">
        <f>30-30</f>
        <v>0</v>
      </c>
      <c r="Z128" s="104">
        <f>('Renewable Diesel'!F137*'RD Feedstock Breakdown'!Z$3*'Feedstock Conversion Rates'!B$6)/12+17.5-10+10-30+30</f>
        <v>62.055000000000007</v>
      </c>
      <c r="AA128" s="104">
        <f>('Renewable Diesel'!F137*'RD Feedstock Breakdown'!AA$3*'Feedstock Conversion Rates'!B$7)/12-17.5</f>
        <v>11.633333333333329</v>
      </c>
      <c r="AB128" s="106">
        <f t="shared" si="62"/>
        <v>73.688333333333333</v>
      </c>
      <c r="AC128" s="108"/>
      <c r="AG128" s="105"/>
      <c r="AH128" s="104">
        <v>0</v>
      </c>
      <c r="AI128" s="104">
        <f>('Renewable Diesel'!H137*'RD Feedstock Breakdown'!AI$3*'Feedstock Conversion Rates'!B$6)/12</f>
        <v>39.083333333333336</v>
      </c>
      <c r="AJ128" s="106">
        <f t="shared" ref="AJ128:AJ191" si="65">AI128+AG128</f>
        <v>39.083333333333336</v>
      </c>
      <c r="AK128" s="104">
        <f>('Renewable Diesel'!J137*'RD Feedstock Breakdown'!AK$3*'Feedstock Conversion Rates'!B$4)/12</f>
        <v>62.5</v>
      </c>
      <c r="AL128" s="106">
        <f t="shared" si="28"/>
        <v>62.5</v>
      </c>
      <c r="AT128" s="108"/>
      <c r="AV128" s="104">
        <f>'Renewable Diesel'!N137*'RD Feedstock Breakdown'!$AV$3*'Feedstock Conversion Rates'!$B$4/12</f>
        <v>78.749999999999986</v>
      </c>
      <c r="AW128" s="104">
        <f>'Renewable Diesel'!N137*'RD Feedstock Breakdown'!$AW$3*'Feedstock Conversion Rates'!$B$7/12</f>
        <v>41.4</v>
      </c>
      <c r="AX128" s="106">
        <f t="shared" si="63"/>
        <v>120.14999999999998</v>
      </c>
      <c r="AY128" s="104">
        <f>('Renewable Diesel'!O137*'RD Feedstock Breakdown'!AY$3*'Feedstock Conversion Rates'!B$4)/12</f>
        <v>28.168875000000003</v>
      </c>
      <c r="AZ128" s="104">
        <f>('Renewable Diesel'!O137*'RD Feedstock Breakdown'!AZ$3*'Feedstock Conversion Rates'!B$3)/12</f>
        <v>3.3427065000000002</v>
      </c>
      <c r="BA128" s="106">
        <f t="shared" ref="BA128:BA159" si="66">SUM(AY128:AZ128)</f>
        <v>31.511581500000005</v>
      </c>
      <c r="BH128" s="104">
        <f>('Renewable Diesel'!T137*'RD Feedstock Breakdown'!BH$3*'Feedstock Conversion Rates'!B$7)/12</f>
        <v>0</v>
      </c>
      <c r="BI128" s="106">
        <f t="shared" si="64"/>
        <v>0</v>
      </c>
      <c r="BJ128" s="104">
        <f>('Renewable Diesel'!W137*'RD Feedstock Breakdown'!BJ$3*'Feedstock Conversion Rates'!B$4)/12</f>
        <v>7.5</v>
      </c>
      <c r="BK128" s="104">
        <f>('Renewable Diesel'!W137*'RD Feedstock Breakdown'!BK$3*'Feedstock Conversion Rates'!B$3)/12</f>
        <v>1.335</v>
      </c>
      <c r="BL128" s="104">
        <f>('Renewable Diesel'!W137*'RD Feedstock Breakdown'!BL$3*'Feedstock Conversion Rates'!B$6)/12</f>
        <v>3.1266666666666669</v>
      </c>
      <c r="BM128" s="104">
        <f>('Renewable Diesel'!W137*'RD Feedstock Breakdown'!BM$3*'Feedstock Conversion Rates'!B$7)/12</f>
        <v>1.5333333333333332</v>
      </c>
      <c r="BN128" s="106">
        <f t="shared" si="54"/>
        <v>13.495000000000001</v>
      </c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7"/>
      <c r="BY128" s="106"/>
      <c r="BZ128" s="106"/>
      <c r="CA128" s="106"/>
      <c r="CB128" s="106"/>
      <c r="CC128" s="106"/>
      <c r="CD128" s="106"/>
      <c r="CE128" s="106"/>
      <c r="CF128" s="106"/>
      <c r="CG128" s="106"/>
      <c r="CH128" s="106"/>
      <c r="CI128" s="107"/>
      <c r="CJ128" s="106"/>
      <c r="CK128" s="106"/>
      <c r="CL128" s="106"/>
      <c r="CM128" s="106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06"/>
      <c r="CZ128" s="106"/>
      <c r="DA128" s="106"/>
      <c r="DB128" s="106"/>
      <c r="DC128" s="106"/>
      <c r="DD128" s="107"/>
      <c r="DE128" s="106"/>
      <c r="DF128" s="106"/>
      <c r="DG128" s="106"/>
      <c r="DH128" s="106"/>
      <c r="DI128" s="106"/>
      <c r="DJ128" s="107"/>
      <c r="DK128" s="106"/>
      <c r="DL128" s="106"/>
      <c r="DM128" s="106"/>
      <c r="DN128" s="106"/>
      <c r="DP128" s="104">
        <f t="shared" si="30"/>
        <v>24.796666666666667</v>
      </c>
      <c r="DQ128" s="104">
        <f t="shared" si="31"/>
        <v>34.316931499999995</v>
      </c>
      <c r="DR128" s="104">
        <f t="shared" si="39"/>
        <v>241.91887500000001</v>
      </c>
      <c r="DS128" s="107"/>
      <c r="DT128" s="104">
        <f t="shared" si="32"/>
        <v>104.26500000000001</v>
      </c>
      <c r="DU128" s="104">
        <f t="shared" si="33"/>
        <v>105.90366666666665</v>
      </c>
      <c r="DV128" s="104">
        <f t="shared" si="34"/>
        <v>40.15625</v>
      </c>
      <c r="DW128" s="104">
        <f t="shared" si="35"/>
        <v>0</v>
      </c>
      <c r="DX128" s="106">
        <f t="shared" si="36"/>
        <v>551.3573898333334</v>
      </c>
      <c r="DY128" s="109">
        <f t="shared" si="37"/>
        <v>-1.1368683772161603E-13</v>
      </c>
      <c r="EA128" s="110">
        <f t="shared" si="55"/>
        <v>4.4973853844894156E-2</v>
      </c>
      <c r="EB128" s="110">
        <f t="shared" si="55"/>
        <v>6.2240811736237835E-2</v>
      </c>
      <c r="EC128" s="110">
        <f t="shared" si="55"/>
        <v>0.43876962467688746</v>
      </c>
      <c r="ED128" s="107"/>
      <c r="EE128" s="110">
        <f t="shared" si="56"/>
        <v>0.18910601711807595</v>
      </c>
      <c r="EF128" s="110">
        <f t="shared" si="56"/>
        <v>0.19207807607091229</v>
      </c>
      <c r="EG128" s="111">
        <f t="shared" si="56"/>
        <v>7.2831616552992237E-2</v>
      </c>
      <c r="EH128" s="111">
        <f t="shared" si="40"/>
        <v>0</v>
      </c>
      <c r="EI128" s="110">
        <f t="shared" si="41"/>
        <v>0.99999999999999989</v>
      </c>
      <c r="EK128" s="112">
        <f>(EA128*'Renewable Diesel'!BF137*'Feedstock Conversion Rates'!B$2)+FB128</f>
        <v>22.214094747103474</v>
      </c>
      <c r="EL128" s="112">
        <f>(EB128*'Renewable Diesel'!BF137*'Feedstock Conversion Rates'!B$3)+FC128</f>
        <v>28.970590945231024</v>
      </c>
      <c r="EM128" s="112">
        <f>(EC128*'Renewable Diesel'!BF137*'Feedstock Conversion Rates'!B$4)+FD128</f>
        <v>191.22620566198864</v>
      </c>
      <c r="EN128" s="107"/>
      <c r="EO128" s="112">
        <f>(EE128*'Renewable Diesel'!BF137*'Feedstock Conversion Rates'!B$6)+FF128</f>
        <v>103.07605204529671</v>
      </c>
      <c r="EP128" s="112">
        <f>(EF128*'Renewable Diesel'!BF137*'Feedstock Conversion Rates'!B$7)+FG128</f>
        <v>102.68694046007498</v>
      </c>
      <c r="EQ128" s="112">
        <f>(EG128*'Renewable Diesel'!BF137*'Feedstock Conversion Rates'!B$8)+FH128</f>
        <v>39.677181664278109</v>
      </c>
      <c r="ER128" s="112">
        <f>(EH128*'Renewable Diesel'!BF137*'Feedstock Conversion Rates'!B$9)+FI128</f>
        <v>0</v>
      </c>
      <c r="ES128" s="112">
        <f t="shared" si="42"/>
        <v>487.85106552397298</v>
      </c>
      <c r="ET128" s="91">
        <f>ES128/'Renewable Diesel'!BF137</f>
        <v>8.3953279903697702</v>
      </c>
      <c r="EW128" s="73">
        <f t="shared" si="58"/>
        <v>191.22620566198864</v>
      </c>
      <c r="EX128" s="73">
        <f t="shared" si="59"/>
        <v>296.62485986198431</v>
      </c>
      <c r="EY128" s="92">
        <f t="shared" si="38"/>
        <v>0.39197660756690877</v>
      </c>
      <c r="EZ128" s="92">
        <f t="shared" si="38"/>
        <v>0.60802339243309123</v>
      </c>
      <c r="FB128" s="102">
        <f>IF('Renewable Diesel'!$BG137&lt;1,0,(((('Renewable Diesel'!$BG137-1)*'Renewable Diesel'!$BF137)*'RD Feedstock Breakdown'!EA128)*'Feedstock Conversion Rates'!$B$2))</f>
        <v>0</v>
      </c>
      <c r="FC128" s="102">
        <f>IF('Renewable Diesel'!$BG137&lt;1,0,(((('Renewable Diesel'!$BG137-1)*'Renewable Diesel'!$BF137)*'RD Feedstock Breakdown'!EB128)*'Feedstock Conversion Rates'!$B$3))</f>
        <v>0</v>
      </c>
      <c r="FD128" s="102">
        <f>IF('Renewable Diesel'!$BG137&lt;1,0,(((('Renewable Diesel'!$BG137-1)*'Renewable Diesel'!$BF137)*'RD Feedstock Breakdown'!EC128)*'Feedstock Conversion Rates'!$B$4))</f>
        <v>0</v>
      </c>
      <c r="FE128" s="107"/>
      <c r="FF128" s="102">
        <f>IF('Renewable Diesel'!$BG137&lt;1,0,(((('Renewable Diesel'!$BG137-1)*'Renewable Diesel'!$BF137)*'RD Feedstock Breakdown'!EE128)*'Feedstock Conversion Rates'!$B$6))</f>
        <v>0</v>
      </c>
      <c r="FG128" s="102">
        <f>IF('Renewable Diesel'!$BG137&lt;1,0,(((('Renewable Diesel'!$BG137-1)*'Renewable Diesel'!$BF137)*'RD Feedstock Breakdown'!EF128)*'Feedstock Conversion Rates'!$B$7))</f>
        <v>0</v>
      </c>
      <c r="FH128" s="102">
        <f>IF('Renewable Diesel'!$BG137&lt;1,0,(((('Renewable Diesel'!$BG137-1)*'Renewable Diesel'!$BF137)*'RD Feedstock Breakdown'!EG128)*'Feedstock Conversion Rates'!$B$8))</f>
        <v>0</v>
      </c>
      <c r="FI128" s="102">
        <f>IF('Renewable Diesel'!$BG137&lt;1,0,(((('Renewable Diesel'!$BG137-1)*'Renewable Diesel'!$BF137)*'RD Feedstock Breakdown'!EH128)*'Feedstock Conversion Rates'!$B$9))</f>
        <v>0</v>
      </c>
      <c r="FJ128" s="102">
        <f t="shared" si="60"/>
        <v>0</v>
      </c>
      <c r="FR128" s="3">
        <f>('Renewable Diesel'!AX137-'Renewable Diesel'!BI137)/12*$FO$80</f>
        <v>58.4797875</v>
      </c>
      <c r="FS128" s="100">
        <f t="shared" si="48"/>
        <v>0.43876962467688746</v>
      </c>
      <c r="FT128" s="3">
        <f t="shared" si="50"/>
        <v>192.44365809419352</v>
      </c>
      <c r="FY128" s="3">
        <f>'Renewable Diesel'!BF137*('Renewable Diesel'!BI137/'Renewable Diesel'!AX137)</f>
        <v>11.446588822498454</v>
      </c>
      <c r="FZ128" s="3">
        <f>('Renewable Diesel'!BJ137*'Renewable Diesel'!BG137)/12</f>
        <v>47.311339721633509</v>
      </c>
      <c r="GA128" s="3">
        <f t="shared" si="51"/>
        <v>155.6908407946639</v>
      </c>
      <c r="GD128" s="91">
        <f>'Renewable Diesel'!BB137*0</f>
        <v>0</v>
      </c>
      <c r="GE128" s="91">
        <f>'Renewable Diesel'!BC137</f>
        <v>0.28749599999999997</v>
      </c>
      <c r="GF128" s="91">
        <f>'Renewable Diesel'!BD137</f>
        <v>0</v>
      </c>
      <c r="GG128" s="91">
        <f t="shared" si="49"/>
        <v>0.28749599999999997</v>
      </c>
      <c r="GH128" s="124">
        <v>1</v>
      </c>
      <c r="GI128" s="102">
        <f>$GG128*EA128*'Feedstock Conversion Rates'!$B$2</f>
        <v>0.10990332622242936</v>
      </c>
      <c r="GJ128" s="102">
        <f>$GG128*EB128*'Feedstock Conversion Rates'!$B$3</f>
        <v>0.14333081513148066</v>
      </c>
      <c r="GK128" s="102">
        <f>$GG128*EC128*'Feedstock Conversion Rates'!$B$4</f>
        <v>0.94608384012079827</v>
      </c>
      <c r="GL128" s="102">
        <f>$GG128*ED128*'Feedstock Conversion Rates'!$B$5</f>
        <v>0</v>
      </c>
      <c r="GM128" s="102">
        <f>$GG128*EE128*'Feedstock Conversion Rates'!$B$6</f>
        <v>0.50996455640540905</v>
      </c>
      <c r="GN128" s="102">
        <f>$GG128*EF128*'Feedstock Conversion Rates'!$B$7</f>
        <v>0.50803944273436352</v>
      </c>
      <c r="GO128" s="102">
        <f>$GG128*EG128*'Feedstock Conversion Rates'!$B$8</f>
        <v>0.19630123530486612</v>
      </c>
      <c r="GP128" s="102">
        <f>$GG128*EH128*'Feedstock Conversion Rates'!B$9</f>
        <v>0</v>
      </c>
      <c r="GQ128" s="102">
        <f t="shared" si="45"/>
        <v>2.4136232159193471</v>
      </c>
      <c r="GR128" s="85">
        <f t="shared" si="53"/>
        <v>8.3953279903697702</v>
      </c>
      <c r="GT128" s="103">
        <f t="shared" si="47"/>
        <v>4.5534582820362567E-2</v>
      </c>
      <c r="GU128" s="103">
        <f t="shared" si="47"/>
        <v>5.9384088695420528E-2</v>
      </c>
      <c r="GV128" s="103">
        <f t="shared" si="47"/>
        <v>0.39197660756690872</v>
      </c>
      <c r="GW128" s="103">
        <f t="shared" si="46"/>
        <v>0</v>
      </c>
      <c r="GX128" s="103">
        <f t="shared" si="46"/>
        <v>0.21128590123009899</v>
      </c>
      <c r="GY128" s="103">
        <f t="shared" si="46"/>
        <v>0.21048829800091712</v>
      </c>
      <c r="GZ128" s="103">
        <f t="shared" si="46"/>
        <v>8.1330521686291929E-2</v>
      </c>
      <c r="HA128" s="103">
        <f t="shared" si="46"/>
        <v>0</v>
      </c>
    </row>
    <row r="129" spans="1:209" x14ac:dyDescent="0.25">
      <c r="A129" s="96">
        <v>44348</v>
      </c>
      <c r="B129" s="104">
        <f>70+60+29-35+25+10-1+6+3-4-2+2-8-5+6-25+2-12.5-45+1.125+25-8-20+20-32-7+30-15-5-10</f>
        <v>54.625</v>
      </c>
      <c r="C129" s="105"/>
      <c r="D129" s="104">
        <v>0</v>
      </c>
      <c r="E129" s="104">
        <f>('Renewable Diesel'!B138*E$3*'Feedstock Conversion Rates'!$B$2)/12-25-3+4+5-2-15+20+5</f>
        <v>26.796666666666667</v>
      </c>
      <c r="F129" s="104">
        <f>('Renewable Diesel'!B138*'RD Feedstock Breakdown'!F$3*'Feedstock Conversion Rates'!B$8)/12+28.5-29-1-6-2+8+12.5-1.125+7</f>
        <v>39.53125</v>
      </c>
      <c r="G129" s="104">
        <f>('Renewable Diesel'!B138*'RD Feedstock Breakdown'!G$3*'Feedstock Conversion Rates'!B$7)/12-75-6+25+45-20</f>
        <v>43.036999999999992</v>
      </c>
      <c r="H129" s="104">
        <f>('Renewable Diesel'!B138*'RD Feedstock Breakdown'!H$3*'Feedstock Conversion Rates'!B$3)/12+11.5-70+2+32-30+15+10</f>
        <v>44.639224999999996</v>
      </c>
      <c r="I129" s="106">
        <f t="shared" si="52"/>
        <v>208.62914166666667</v>
      </c>
      <c r="J129" s="106"/>
      <c r="K129" s="107"/>
      <c r="L129" s="106"/>
      <c r="R129" s="104">
        <f>('Renewable Diesel'!D138*'RD Feedstock Breakdown'!R$3*'Feedstock Conversion Rates'!B$7)/12</f>
        <v>2.2999999999999998</v>
      </c>
      <c r="S129" s="106">
        <f t="shared" ref="S129:S192" si="67">R129</f>
        <v>2.2999999999999998</v>
      </c>
      <c r="T129" s="107"/>
      <c r="U129" s="106"/>
      <c r="Y129" s="104">
        <f>30</f>
        <v>30</v>
      </c>
      <c r="Z129" s="104">
        <f>('Renewable Diesel'!F138*'RD Feedstock Breakdown'!Z$3*'Feedstock Conversion Rates'!B$6)/12+17.5-10+10-30</f>
        <v>32.055000000000007</v>
      </c>
      <c r="AA129" s="104">
        <f>('Renewable Diesel'!F138*'RD Feedstock Breakdown'!AA$3*'Feedstock Conversion Rates'!B$7)/12-17.5</f>
        <v>11.633333333333329</v>
      </c>
      <c r="AB129" s="106">
        <f t="shared" si="62"/>
        <v>73.688333333333333</v>
      </c>
      <c r="AC129" s="108"/>
      <c r="AG129" s="105"/>
      <c r="AH129" s="104">
        <v>0</v>
      </c>
      <c r="AI129" s="104">
        <f>('Renewable Diesel'!H138*'RD Feedstock Breakdown'!AI$3*'Feedstock Conversion Rates'!B$6)/12</f>
        <v>58.625000000000007</v>
      </c>
      <c r="AJ129" s="106">
        <f t="shared" si="65"/>
        <v>58.625000000000007</v>
      </c>
      <c r="AK129" s="104">
        <f>('Renewable Diesel'!J138*'RD Feedstock Breakdown'!AK$3*'Feedstock Conversion Rates'!B$4)/12</f>
        <v>62.5</v>
      </c>
      <c r="AL129" s="106">
        <f t="shared" si="28"/>
        <v>62.5</v>
      </c>
      <c r="AT129" s="108"/>
      <c r="AV129" s="104">
        <f>'Renewable Diesel'!N138*'RD Feedstock Breakdown'!$AV$3*'Feedstock Conversion Rates'!$B$4/12</f>
        <v>78.749999999999986</v>
      </c>
      <c r="AW129" s="104">
        <f>'Renewable Diesel'!N138*'RD Feedstock Breakdown'!$AW$3*'Feedstock Conversion Rates'!$B$7/12</f>
        <v>41.4</v>
      </c>
      <c r="AX129" s="106">
        <f t="shared" si="63"/>
        <v>120.14999999999998</v>
      </c>
      <c r="AY129" s="104">
        <f>('Renewable Diesel'!O138*'RD Feedstock Breakdown'!AY$3*'Feedstock Conversion Rates'!B$4)/12</f>
        <v>28.168875000000003</v>
      </c>
      <c r="AZ129" s="104">
        <f>('Renewable Diesel'!O138*'RD Feedstock Breakdown'!AZ$3*'Feedstock Conversion Rates'!B$3)/12</f>
        <v>3.3427065000000002</v>
      </c>
      <c r="BA129" s="106">
        <f t="shared" si="66"/>
        <v>31.511581500000005</v>
      </c>
      <c r="BH129" s="104">
        <f>('Renewable Diesel'!T138*'RD Feedstock Breakdown'!BH$3*'Feedstock Conversion Rates'!B$7)/12</f>
        <v>0</v>
      </c>
      <c r="BI129" s="106">
        <f t="shared" si="64"/>
        <v>0</v>
      </c>
      <c r="BJ129" s="104">
        <f>('Renewable Diesel'!W138*'RD Feedstock Breakdown'!BJ$3*'Feedstock Conversion Rates'!B$4)/12</f>
        <v>7.5</v>
      </c>
      <c r="BK129" s="104">
        <f>('Renewable Diesel'!W138*'RD Feedstock Breakdown'!BK$3*'Feedstock Conversion Rates'!B$3)/12</f>
        <v>1.335</v>
      </c>
      <c r="BL129" s="104">
        <f>('Renewable Diesel'!W138*'RD Feedstock Breakdown'!BL$3*'Feedstock Conversion Rates'!B$6)/12</f>
        <v>3.1266666666666669</v>
      </c>
      <c r="BM129" s="104">
        <f>('Renewable Diesel'!W138*'RD Feedstock Breakdown'!BM$3*'Feedstock Conversion Rates'!B$7)/12</f>
        <v>1.5333333333333332</v>
      </c>
      <c r="BN129" s="106">
        <f t="shared" si="54"/>
        <v>13.495000000000001</v>
      </c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7"/>
      <c r="BY129" s="106"/>
      <c r="BZ129" s="106"/>
      <c r="CA129" s="106"/>
      <c r="CB129" s="106"/>
      <c r="CC129" s="106"/>
      <c r="CD129" s="106"/>
      <c r="CE129" s="106"/>
      <c r="CF129" s="106"/>
      <c r="CG129" s="106"/>
      <c r="CH129" s="106"/>
      <c r="CI129" s="107"/>
      <c r="CJ129" s="106"/>
      <c r="CK129" s="106"/>
      <c r="CL129" s="106"/>
      <c r="CM129" s="106"/>
      <c r="CN129" s="106"/>
      <c r="CO129" s="106"/>
      <c r="CP129" s="106"/>
      <c r="CQ129" s="106"/>
      <c r="CR129" s="106"/>
      <c r="CS129" s="106"/>
      <c r="CT129" s="106"/>
      <c r="CU129" s="106"/>
      <c r="CV129" s="106"/>
      <c r="CW129" s="106"/>
      <c r="CX129" s="106"/>
      <c r="CY129" s="106"/>
      <c r="CZ129" s="106"/>
      <c r="DA129" s="106"/>
      <c r="DB129" s="106"/>
      <c r="DC129" s="106"/>
      <c r="DD129" s="107"/>
      <c r="DE129" s="106"/>
      <c r="DF129" s="106"/>
      <c r="DG129" s="106"/>
      <c r="DH129" s="106"/>
      <c r="DI129" s="106"/>
      <c r="DJ129" s="107"/>
      <c r="DK129" s="106"/>
      <c r="DL129" s="106"/>
      <c r="DM129" s="106"/>
      <c r="DN129" s="106"/>
      <c r="DP129" s="104">
        <f t="shared" si="30"/>
        <v>26.796666666666667</v>
      </c>
      <c r="DQ129" s="104">
        <f t="shared" si="31"/>
        <v>49.316931499999995</v>
      </c>
      <c r="DR129" s="104">
        <f t="shared" si="39"/>
        <v>261.54387500000001</v>
      </c>
      <c r="DS129" s="107"/>
      <c r="DT129" s="104">
        <f t="shared" si="32"/>
        <v>93.806666666666672</v>
      </c>
      <c r="DU129" s="104">
        <f t="shared" si="33"/>
        <v>99.903666666666652</v>
      </c>
      <c r="DV129" s="104">
        <f t="shared" si="34"/>
        <v>39.53125</v>
      </c>
      <c r="DW129" s="104">
        <f t="shared" si="35"/>
        <v>0</v>
      </c>
      <c r="DX129" s="106">
        <f t="shared" si="36"/>
        <v>570.89905650000003</v>
      </c>
      <c r="DY129" s="109">
        <f t="shared" si="37"/>
        <v>0</v>
      </c>
      <c r="EA129" s="110">
        <f t="shared" si="55"/>
        <v>4.6937661503503758E-2</v>
      </c>
      <c r="EB129" s="110">
        <f t="shared" si="55"/>
        <v>8.6384678584593158E-2</v>
      </c>
      <c r="EC129" s="110">
        <f t="shared" si="55"/>
        <v>0.4581263045054621</v>
      </c>
      <c r="ED129" s="107"/>
      <c r="EE129" s="110">
        <f t="shared" si="56"/>
        <v>0.16431392835322836</v>
      </c>
      <c r="EF129" s="110">
        <f t="shared" si="56"/>
        <v>0.17499357465949261</v>
      </c>
      <c r="EG129" s="111">
        <f t="shared" si="56"/>
        <v>6.9243852393719968E-2</v>
      </c>
      <c r="EH129" s="111">
        <f t="shared" si="40"/>
        <v>0</v>
      </c>
      <c r="EI129" s="110">
        <f t="shared" si="41"/>
        <v>0.99999999999999989</v>
      </c>
      <c r="EK129" s="112">
        <f>(EA129*'Renewable Diesel'!BF138*'Feedstock Conversion Rates'!B$2)+FB129</f>
        <v>25.939171000907059</v>
      </c>
      <c r="EL129" s="112">
        <f>(EB129*'Renewable Diesel'!BF138*'Feedstock Conversion Rates'!B$3)+FC129</f>
        <v>44.986784829291061</v>
      </c>
      <c r="EM129" s="112">
        <f>(EC129*'Renewable Diesel'!BF138*'Feedstock Conversion Rates'!B$4)+FD129</f>
        <v>223.38921903069502</v>
      </c>
      <c r="EN129" s="107"/>
      <c r="EO129" s="112">
        <f>(EE129*'Renewable Diesel'!BF138*'Feedstock Conversion Rates'!B$6)+FF129</f>
        <v>100.20581737389928</v>
      </c>
      <c r="EP129" s="112">
        <f>(EF129*'Renewable Diesel'!BF138*'Feedstock Conversion Rates'!B$7)+FG129</f>
        <v>104.67082516064515</v>
      </c>
      <c r="EQ129" s="112">
        <f>(EG129*'Renewable Diesel'!BF138*'Feedstock Conversion Rates'!B$8)+FH129</f>
        <v>42.205418999045385</v>
      </c>
      <c r="ER129" s="112">
        <f>(EH129*'Renewable Diesel'!BF138*'Feedstock Conversion Rates'!B$9)+FI129</f>
        <v>0</v>
      </c>
      <c r="ES129" s="112">
        <f t="shared" si="42"/>
        <v>541.397236394483</v>
      </c>
      <c r="ET129" s="91">
        <f>ES129/'Renewable Diesel'!BF138</f>
        <v>8.3272253330450781</v>
      </c>
      <c r="EW129" s="73">
        <f t="shared" si="58"/>
        <v>223.38921903069502</v>
      </c>
      <c r="EX129" s="73">
        <f t="shared" si="59"/>
        <v>318.00801736378793</v>
      </c>
      <c r="EY129" s="92">
        <f t="shared" si="38"/>
        <v>0.41261610516963365</v>
      </c>
      <c r="EZ129" s="92">
        <f t="shared" si="38"/>
        <v>0.58738389483036624</v>
      </c>
      <c r="FB129" s="102">
        <f>IF('Renewable Diesel'!$BG138&lt;1,0,(((('Renewable Diesel'!$BG138-1)*'Renewable Diesel'!$BF138)*'RD Feedstock Breakdown'!EA129)*'Feedstock Conversion Rates'!$B$2))</f>
        <v>0</v>
      </c>
      <c r="FC129" s="102">
        <f>IF('Renewable Diesel'!$BG138&lt;1,0,(((('Renewable Diesel'!$BG138-1)*'Renewable Diesel'!$BF138)*'RD Feedstock Breakdown'!EB129)*'Feedstock Conversion Rates'!$B$3))</f>
        <v>0</v>
      </c>
      <c r="FD129" s="102">
        <f>IF('Renewable Diesel'!$BG138&lt;1,0,(((('Renewable Diesel'!$BG138-1)*'Renewable Diesel'!$BF138)*'RD Feedstock Breakdown'!EC129)*'Feedstock Conversion Rates'!$B$4))</f>
        <v>0</v>
      </c>
      <c r="FE129" s="107"/>
      <c r="FF129" s="102">
        <f>IF('Renewable Diesel'!$BG138&lt;1,0,(((('Renewable Diesel'!$BG138-1)*'Renewable Diesel'!$BF138)*'RD Feedstock Breakdown'!EE129)*'Feedstock Conversion Rates'!$B$6))</f>
        <v>0</v>
      </c>
      <c r="FG129" s="102">
        <f>IF('Renewable Diesel'!$BG138&lt;1,0,(((('Renewable Diesel'!$BG138-1)*'Renewable Diesel'!$BF138)*'RD Feedstock Breakdown'!EF129)*'Feedstock Conversion Rates'!$B$7))</f>
        <v>0</v>
      </c>
      <c r="FH129" s="102">
        <f>IF('Renewable Diesel'!$BG138&lt;1,0,(((('Renewable Diesel'!$BG138-1)*'Renewable Diesel'!$BF138)*'RD Feedstock Breakdown'!EG129)*'Feedstock Conversion Rates'!$B$8))</f>
        <v>0</v>
      </c>
      <c r="FI129" s="102">
        <f>IF('Renewable Diesel'!$BG138&lt;1,0,(((('Renewable Diesel'!$BG138-1)*'Renewable Diesel'!$BF138)*'RD Feedstock Breakdown'!EH129)*'Feedstock Conversion Rates'!$B$9))</f>
        <v>0</v>
      </c>
      <c r="FJ129" s="102">
        <f t="shared" si="60"/>
        <v>0</v>
      </c>
      <c r="FR129" s="3">
        <f>('Renewable Diesel'!AX138-'Renewable Diesel'!BI138)/12*$FO$80</f>
        <v>53.5110375</v>
      </c>
      <c r="FS129" s="100">
        <f t="shared" si="48"/>
        <v>0.4581263045054621</v>
      </c>
      <c r="FT129" s="3">
        <f t="shared" si="50"/>
        <v>183.86110395096151</v>
      </c>
      <c r="FY129" s="3">
        <f>'Renewable Diesel'!BF138*('Renewable Diesel'!BI138/'Renewable Diesel'!AX138)</f>
        <v>14.096370904257958</v>
      </c>
      <c r="FZ129" s="3">
        <f>('Renewable Diesel'!BJ138*'Renewable Diesel'!BG138)/12</f>
        <v>49.960798790177002</v>
      </c>
      <c r="GA129" s="3">
        <f t="shared" si="51"/>
        <v>171.66267089913563</v>
      </c>
      <c r="GD129" s="91">
        <f>'Renewable Diesel'!BB138*0</f>
        <v>0</v>
      </c>
      <c r="GE129" s="91">
        <f>'Renewable Diesel'!BC138</f>
        <v>0.357317</v>
      </c>
      <c r="GF129" s="91">
        <f>'Renewable Diesel'!BD138</f>
        <v>0</v>
      </c>
      <c r="GG129" s="91">
        <f t="shared" si="49"/>
        <v>0.357317</v>
      </c>
      <c r="GH129" s="124">
        <v>1</v>
      </c>
      <c r="GI129" s="102">
        <f>$GG129*EA129*'Feedstock Conversion Rates'!$B$2</f>
        <v>0.14255880736130333</v>
      </c>
      <c r="GJ129" s="102">
        <f>$GG129*EB129*'Feedstock Conversion Rates'!$B$3</f>
        <v>0.24724238072446669</v>
      </c>
      <c r="GK129" s="102">
        <f>$GG129*EC129*'Feedstock Conversion Rates'!$B$4</f>
        <v>1.2277223756023365</v>
      </c>
      <c r="GL129" s="102">
        <f>$GG129*ED129*'Feedstock Conversion Rates'!$B$5</f>
        <v>0</v>
      </c>
      <c r="GM129" s="102">
        <f>$GG129*EE129*'Feedstock Conversion Rates'!$B$6</f>
        <v>0.55072006021272291</v>
      </c>
      <c r="GN129" s="102">
        <f>$GG129*EF129*'Feedstock Conversion Rates'!$B$7</f>
        <v>0.57525924787277449</v>
      </c>
      <c r="GO129" s="102">
        <f>$GG129*EG129*'Feedstock Conversion Rates'!$B$8</f>
        <v>0.2319563025540641</v>
      </c>
      <c r="GP129" s="102">
        <f>$GG129*EH129*'Feedstock Conversion Rates'!B$9</f>
        <v>0</v>
      </c>
      <c r="GQ129" s="102">
        <f t="shared" si="45"/>
        <v>2.9754591743276682</v>
      </c>
      <c r="GR129" s="85">
        <f t="shared" si="53"/>
        <v>8.3272253330450781</v>
      </c>
      <c r="GT129" s="103">
        <f t="shared" si="47"/>
        <v>4.7911531971705112E-2</v>
      </c>
      <c r="GU129" s="103">
        <f t="shared" si="47"/>
        <v>8.3093857532202012E-2</v>
      </c>
      <c r="GV129" s="103">
        <f t="shared" si="47"/>
        <v>0.41261610516963365</v>
      </c>
      <c r="GW129" s="103">
        <f t="shared" si="46"/>
        <v>0</v>
      </c>
      <c r="GX129" s="103">
        <f t="shared" si="46"/>
        <v>0.18508741943574578</v>
      </c>
      <c r="GY129" s="103">
        <f t="shared" si="46"/>
        <v>0.19333461296868895</v>
      </c>
      <c r="GZ129" s="103">
        <f t="shared" si="46"/>
        <v>7.795647292202447E-2</v>
      </c>
      <c r="HA129" s="103">
        <f t="shared" si="46"/>
        <v>0</v>
      </c>
    </row>
    <row r="130" spans="1:209" x14ac:dyDescent="0.25">
      <c r="A130" s="96">
        <v>44378</v>
      </c>
      <c r="B130" s="104">
        <f>100+100+44+50-65+50+10-1+7+4-4-2+1-8-5+7-25+2-12.5-25-50-40-45+1.125+15+15+15-13-10-15-10-47-7+25+15-25-35</f>
        <v>16.625</v>
      </c>
      <c r="C130" s="105"/>
      <c r="D130" s="104">
        <v>0</v>
      </c>
      <c r="E130" s="104">
        <f>('Renewable Diesel'!B139*E$3*'Feedstock Conversion Rates'!$B$2)/12-50-4+4+5-2+25-15+20+25</f>
        <v>45.796666666666667</v>
      </c>
      <c r="F130" s="104">
        <f>('Renewable Diesel'!B139*'RD Feedstock Breakdown'!F$3*'Feedstock Conversion Rates'!B$8)/12+28.5-44-1-7-1+8+12.5-1.125+15+7</f>
        <v>39.53125</v>
      </c>
      <c r="G130" s="104">
        <f>('Renewable Diesel'!B139*'RD Feedstock Breakdown'!G$3*'Feedstock Conversion Rates'!B$7)/12-75-50-7+25+50+45-15</f>
        <v>47.036999999999992</v>
      </c>
      <c r="H130" s="104">
        <f>('Renewable Diesel'!B139*'RD Feedstock Breakdown'!H$3*'Feedstock Conversion Rates'!B$3)/12+11.5-110+2+40-15+47-25+35</f>
        <v>59.639224999999996</v>
      </c>
      <c r="I130" s="106">
        <f t="shared" si="52"/>
        <v>208.62914166666667</v>
      </c>
      <c r="J130" s="106"/>
      <c r="K130" s="107"/>
      <c r="L130" s="106"/>
      <c r="R130" s="104">
        <f>('Renewable Diesel'!D139*'RD Feedstock Breakdown'!R$3*'Feedstock Conversion Rates'!B$7)/12</f>
        <v>2.2999999999999998</v>
      </c>
      <c r="S130" s="106">
        <f t="shared" si="67"/>
        <v>2.2999999999999998</v>
      </c>
      <c r="T130" s="107"/>
      <c r="U130" s="106"/>
      <c r="Y130" s="104">
        <f>30</f>
        <v>30</v>
      </c>
      <c r="Z130" s="104">
        <f>('Renewable Diesel'!F139*'RD Feedstock Breakdown'!Z$3*'Feedstock Conversion Rates'!B$6)/12+17.5-10+10-30</f>
        <v>32.055000000000007</v>
      </c>
      <c r="AA130" s="104">
        <f>('Renewable Diesel'!F139*'RD Feedstock Breakdown'!AA$3*'Feedstock Conversion Rates'!B$7)/12-17.5</f>
        <v>11.633333333333329</v>
      </c>
      <c r="AB130" s="106">
        <f t="shared" si="62"/>
        <v>73.688333333333333</v>
      </c>
      <c r="AC130" s="108"/>
      <c r="AG130" s="105"/>
      <c r="AH130" s="104">
        <v>0</v>
      </c>
      <c r="AI130" s="104">
        <f>('Renewable Diesel'!H139*'RD Feedstock Breakdown'!AI$3*'Feedstock Conversion Rates'!B$6)/12</f>
        <v>58.625000000000007</v>
      </c>
      <c r="AJ130" s="106">
        <f t="shared" si="65"/>
        <v>58.625000000000007</v>
      </c>
      <c r="AK130" s="104">
        <f>('Renewable Diesel'!J139*'RD Feedstock Breakdown'!AK$3*'Feedstock Conversion Rates'!B$4)/12</f>
        <v>62.5</v>
      </c>
      <c r="AL130" s="106">
        <f t="shared" si="28"/>
        <v>62.5</v>
      </c>
      <c r="AT130" s="108"/>
      <c r="AV130" s="104">
        <f>'Renewable Diesel'!N139*'RD Feedstock Breakdown'!$AV$3*'Feedstock Conversion Rates'!$B$4/12</f>
        <v>78.749999999999986</v>
      </c>
      <c r="AW130" s="104">
        <f>'Renewable Diesel'!N139*'RD Feedstock Breakdown'!$AW$3*'Feedstock Conversion Rates'!$B$7/12</f>
        <v>41.4</v>
      </c>
      <c r="AX130" s="106">
        <f t="shared" si="63"/>
        <v>120.14999999999998</v>
      </c>
      <c r="AY130" s="104">
        <f>('Renewable Diesel'!O139*'RD Feedstock Breakdown'!AY$3*'Feedstock Conversion Rates'!B$4)/12</f>
        <v>67.5</v>
      </c>
      <c r="AZ130" s="104">
        <f>('Renewable Diesel'!O139*'RD Feedstock Breakdown'!AZ$3*'Feedstock Conversion Rates'!B$3)/12</f>
        <v>8.01</v>
      </c>
      <c r="BA130" s="106">
        <f t="shared" si="66"/>
        <v>75.510000000000005</v>
      </c>
      <c r="BF130" s="104"/>
      <c r="BG130" s="106"/>
      <c r="BH130" s="104">
        <f>('Renewable Diesel'!T139*'RD Feedstock Breakdown'!BH$3*'Feedstock Conversion Rates'!B$7)/12</f>
        <v>0</v>
      </c>
      <c r="BI130" s="106">
        <f t="shared" si="64"/>
        <v>0</v>
      </c>
      <c r="BJ130" s="104">
        <f>('Renewable Diesel'!W139*'RD Feedstock Breakdown'!BJ$3*'Feedstock Conversion Rates'!B$4)/12</f>
        <v>7.5</v>
      </c>
      <c r="BK130" s="104">
        <f>('Renewable Diesel'!W139*'RD Feedstock Breakdown'!BK$3*'Feedstock Conversion Rates'!B$3)/12</f>
        <v>1.335</v>
      </c>
      <c r="BL130" s="104">
        <f>('Renewable Diesel'!W139*'RD Feedstock Breakdown'!BL$3*'Feedstock Conversion Rates'!B$6)/12</f>
        <v>3.1266666666666669</v>
      </c>
      <c r="BM130" s="104">
        <f>('Renewable Diesel'!W139*'RD Feedstock Breakdown'!BM$3*'Feedstock Conversion Rates'!B$7)/12</f>
        <v>1.5333333333333332</v>
      </c>
      <c r="BN130" s="106">
        <f t="shared" si="54"/>
        <v>13.495000000000001</v>
      </c>
      <c r="BO130" s="106"/>
      <c r="BP130" s="106"/>
      <c r="BQ130" s="106"/>
      <c r="BR130" s="106"/>
      <c r="BS130" s="106"/>
      <c r="BT130" s="106"/>
      <c r="BU130" s="106"/>
      <c r="BV130" s="106"/>
      <c r="BW130" s="106"/>
      <c r="BX130" s="107"/>
      <c r="BY130" s="106"/>
      <c r="BZ130" s="106"/>
      <c r="CA130" s="106"/>
      <c r="CB130" s="106"/>
      <c r="CC130" s="106"/>
      <c r="CD130" s="106"/>
      <c r="CE130" s="106"/>
      <c r="CF130" s="106"/>
      <c r="CG130" s="106"/>
      <c r="CH130" s="106"/>
      <c r="CI130" s="107"/>
      <c r="CJ130" s="106"/>
      <c r="CK130" s="106"/>
      <c r="CL130" s="106"/>
      <c r="CM130" s="106"/>
      <c r="CN130" s="106"/>
      <c r="CO130" s="106"/>
      <c r="CP130" s="106"/>
      <c r="CQ130" s="106"/>
      <c r="CR130" s="106"/>
      <c r="CS130" s="106"/>
      <c r="CT130" s="106"/>
      <c r="CU130" s="106"/>
      <c r="CV130" s="106"/>
      <c r="CW130" s="106"/>
      <c r="CX130" s="106"/>
      <c r="CY130" s="106"/>
      <c r="CZ130" s="106"/>
      <c r="DA130" s="106"/>
      <c r="DB130" s="106"/>
      <c r="DC130" s="106"/>
      <c r="DD130" s="107"/>
      <c r="DE130" s="106"/>
      <c r="DF130" s="106"/>
      <c r="DG130" s="106"/>
      <c r="DH130" s="106"/>
      <c r="DI130" s="106"/>
      <c r="DJ130" s="107"/>
      <c r="DK130" s="106"/>
      <c r="DL130" s="106"/>
      <c r="DM130" s="106"/>
      <c r="DN130" s="106"/>
      <c r="DP130" s="104">
        <f t="shared" si="30"/>
        <v>45.796666666666667</v>
      </c>
      <c r="DQ130" s="104">
        <f t="shared" si="31"/>
        <v>68.984224999999995</v>
      </c>
      <c r="DR130" s="104">
        <f t="shared" si="39"/>
        <v>262.875</v>
      </c>
      <c r="DS130" s="107"/>
      <c r="DT130" s="104">
        <f t="shared" si="32"/>
        <v>93.806666666666672</v>
      </c>
      <c r="DU130" s="104">
        <f t="shared" si="33"/>
        <v>103.90366666666665</v>
      </c>
      <c r="DV130" s="104">
        <f t="shared" si="34"/>
        <v>39.53125</v>
      </c>
      <c r="DW130" s="104">
        <f t="shared" si="35"/>
        <v>0</v>
      </c>
      <c r="DX130" s="106">
        <f t="shared" si="36"/>
        <v>614.89747499999999</v>
      </c>
      <c r="DY130" s="109">
        <f t="shared" si="37"/>
        <v>0</v>
      </c>
      <c r="EA130" s="110">
        <f t="shared" si="55"/>
        <v>7.4478540778959393E-2</v>
      </c>
      <c r="EB130" s="110">
        <f t="shared" si="55"/>
        <v>0.1121881741342327</v>
      </c>
      <c r="EC130" s="110">
        <f t="shared" si="55"/>
        <v>0.42751029348429187</v>
      </c>
      <c r="ED130" s="107"/>
      <c r="EE130" s="110">
        <f t="shared" si="56"/>
        <v>0.15255659761274296</v>
      </c>
      <c r="EF130" s="110">
        <f t="shared" si="56"/>
        <v>0.16897722122971257</v>
      </c>
      <c r="EG130" s="111">
        <f t="shared" si="56"/>
        <v>6.4289172760060534E-2</v>
      </c>
      <c r="EH130" s="111">
        <f t="shared" si="40"/>
        <v>0</v>
      </c>
      <c r="EI130" s="110">
        <f t="shared" si="41"/>
        <v>1.0000000000000002</v>
      </c>
      <c r="EK130" s="112">
        <f>(EA130*'Renewable Diesel'!BF139*'Feedstock Conversion Rates'!B$2)+FB130</f>
        <v>41.370437561614104</v>
      </c>
      <c r="EL130" s="112">
        <f>(EB130*'Renewable Diesel'!BF139*'Feedstock Conversion Rates'!B$3)+FC130</f>
        <v>58.724540258144557</v>
      </c>
      <c r="EM130" s="112">
        <f>(EC130*'Renewable Diesel'!BF139*'Feedstock Conversion Rates'!B$4)+FD130</f>
        <v>209.53079889812122</v>
      </c>
      <c r="EN130" s="107"/>
      <c r="EO130" s="112">
        <f>(EE130*'Renewable Diesel'!BF139*'Feedstock Conversion Rates'!B$6)+FF130</f>
        <v>93.513403143450773</v>
      </c>
      <c r="EP130" s="112">
        <f>(EF130*'Renewable Diesel'!BF139*'Feedstock Conversion Rates'!B$7)+FG130</f>
        <v>101.59118375553342</v>
      </c>
      <c r="EQ130" s="112">
        <f>(EG130*'Renewable Diesel'!BF139*'Feedstock Conversion Rates'!B$8)+FH130</f>
        <v>39.386659029678334</v>
      </c>
      <c r="ER130" s="112">
        <f>(EH130*'Renewable Diesel'!BF139*'Feedstock Conversion Rates'!B$9)+FI130</f>
        <v>0</v>
      </c>
      <c r="ES130" s="112">
        <f t="shared" si="42"/>
        <v>544.11702264654241</v>
      </c>
      <c r="ET130" s="91">
        <f>ES130/'Renewable Diesel'!BF139</f>
        <v>8.3263043881150001</v>
      </c>
      <c r="EW130" s="73">
        <f t="shared" si="58"/>
        <v>209.53079889812122</v>
      </c>
      <c r="EX130" s="73">
        <f t="shared" si="59"/>
        <v>334.58622374842116</v>
      </c>
      <c r="EY130" s="92">
        <f t="shared" si="38"/>
        <v>0.38508407231771558</v>
      </c>
      <c r="EZ130" s="92">
        <f t="shared" si="38"/>
        <v>0.61491592768228442</v>
      </c>
      <c r="FB130" s="102">
        <f>IF('Renewable Diesel'!$BG139&lt;1,0,(((('Renewable Diesel'!$BG139-1)*'Renewable Diesel'!$BF139)*'RD Feedstock Breakdown'!EA130)*'Feedstock Conversion Rates'!$B$2))</f>
        <v>0</v>
      </c>
      <c r="FC130" s="102">
        <f>IF('Renewable Diesel'!$BG139&lt;1,0,(((('Renewable Diesel'!$BG139-1)*'Renewable Diesel'!$BF139)*'RD Feedstock Breakdown'!EB130)*'Feedstock Conversion Rates'!$B$3))</f>
        <v>0</v>
      </c>
      <c r="FD130" s="102">
        <f>IF('Renewable Diesel'!$BG139&lt;1,0,(((('Renewable Diesel'!$BG139-1)*'Renewable Diesel'!$BF139)*'RD Feedstock Breakdown'!EC130)*'Feedstock Conversion Rates'!$B$4))</f>
        <v>0</v>
      </c>
      <c r="FE130" s="107"/>
      <c r="FF130" s="102">
        <f>IF('Renewable Diesel'!$BG139&lt;1,0,(((('Renewable Diesel'!$BG139-1)*'Renewable Diesel'!$BF139)*'RD Feedstock Breakdown'!EE130)*'Feedstock Conversion Rates'!$B$6))</f>
        <v>0</v>
      </c>
      <c r="FG130" s="102">
        <f>IF('Renewable Diesel'!$BG139&lt;1,0,(((('Renewable Diesel'!$BG139-1)*'Renewable Diesel'!$BF139)*'RD Feedstock Breakdown'!EF130)*'Feedstock Conversion Rates'!$B$7))</f>
        <v>0</v>
      </c>
      <c r="FH130" s="102">
        <f>IF('Renewable Diesel'!$BG139&lt;1,0,(((('Renewable Diesel'!$BG139-1)*'Renewable Diesel'!$BF139)*'RD Feedstock Breakdown'!EG130)*'Feedstock Conversion Rates'!$B$8))</f>
        <v>0</v>
      </c>
      <c r="FI130" s="102">
        <f>IF('Renewable Diesel'!$BG139&lt;1,0,(((('Renewable Diesel'!$BG139-1)*'Renewable Diesel'!$BF139)*'RD Feedstock Breakdown'!EH130)*'Feedstock Conversion Rates'!$B$9))</f>
        <v>0</v>
      </c>
      <c r="FJ130" s="102">
        <f t="shared" si="60"/>
        <v>0</v>
      </c>
      <c r="FR130" s="3">
        <f>('Renewable Diesel'!AX139-'Renewable Diesel'!BI139)/12*$FO$80</f>
        <v>52.2</v>
      </c>
      <c r="FS130" s="100">
        <f t="shared" si="48"/>
        <v>0.42751029348429187</v>
      </c>
      <c r="FT130" s="3">
        <f t="shared" si="50"/>
        <v>167.3702798991003</v>
      </c>
      <c r="FY130" s="3">
        <f>'Renewable Diesel'!BF139*('Renewable Diesel'!BI139/'Renewable Diesel'!AX139)</f>
        <v>15.422689401756312</v>
      </c>
      <c r="FZ130" s="3">
        <f>('Renewable Diesel'!BJ139*'Renewable Diesel'!BG139)/12</f>
        <v>50.619896842663742</v>
      </c>
      <c r="GA130" s="3">
        <f t="shared" si="51"/>
        <v>162.30395216513818</v>
      </c>
      <c r="GD130" s="91">
        <f>'Renewable Diesel'!BB139*0</f>
        <v>0</v>
      </c>
      <c r="GE130" s="91">
        <f>'Renewable Diesel'!BC139</f>
        <v>1.093159</v>
      </c>
      <c r="GF130" s="91">
        <f>'Renewable Diesel'!BD139</f>
        <v>0</v>
      </c>
      <c r="GG130" s="91">
        <f t="shared" si="49"/>
        <v>1.093159</v>
      </c>
      <c r="GH130" s="124">
        <v>1</v>
      </c>
      <c r="GI130" s="102">
        <f>$GG130*EA130*'Feedstock Conversion Rates'!$B$2</f>
        <v>0.69204354085478503</v>
      </c>
      <c r="GJ130" s="102">
        <f>$GG130*EB130*'Feedstock Conversion Rates'!$B$3</f>
        <v>0.98234249310971344</v>
      </c>
      <c r="GK130" s="102">
        <f>$GG130*EC130*'Feedstock Conversion Rates'!$B$4</f>
        <v>3.5050254368624625</v>
      </c>
      <c r="GL130" s="102">
        <f>$GG130*ED130*'Feedstock Conversion Rates'!$B$5</f>
        <v>0</v>
      </c>
      <c r="GM130" s="102">
        <f>$GG130*EE130*'Feedstock Conversion Rates'!$B$6</f>
        <v>1.5642896339298409</v>
      </c>
      <c r="GN130" s="102">
        <f>$GG130*EF130*'Feedstock Conversion Rates'!$B$7</f>
        <v>1.6994145256767124</v>
      </c>
      <c r="GO130" s="102">
        <f>$GG130*EG130*'Feedstock Conversion Rates'!$B$8</f>
        <v>0.65885894817389079</v>
      </c>
      <c r="GP130" s="102">
        <f>$GG130*EH130*'Feedstock Conversion Rates'!B$9</f>
        <v>0</v>
      </c>
      <c r="GQ130" s="102">
        <f t="shared" si="45"/>
        <v>9.101974578607404</v>
      </c>
      <c r="GR130" s="85">
        <f t="shared" si="53"/>
        <v>8.3263043881149983</v>
      </c>
      <c r="GT130" s="103">
        <f t="shared" si="47"/>
        <v>7.6032242770850189E-2</v>
      </c>
      <c r="GU130" s="103">
        <f t="shared" si="47"/>
        <v>0.10792630594888028</v>
      </c>
      <c r="GV130" s="103">
        <f t="shared" si="47"/>
        <v>0.38508407231771558</v>
      </c>
      <c r="GW130" s="103">
        <f t="shared" si="46"/>
        <v>0</v>
      </c>
      <c r="GX130" s="103">
        <f t="shared" si="46"/>
        <v>0.17186266786620449</v>
      </c>
      <c r="GY130" s="103">
        <f t="shared" si="46"/>
        <v>0.18670833575726395</v>
      </c>
      <c r="GZ130" s="103">
        <f t="shared" si="46"/>
        <v>7.2386375339085568E-2</v>
      </c>
      <c r="HA130" s="103">
        <f t="shared" si="46"/>
        <v>0</v>
      </c>
    </row>
    <row r="131" spans="1:209" x14ac:dyDescent="0.25">
      <c r="A131" s="96">
        <v>44409</v>
      </c>
      <c r="B131" s="104">
        <f>85+120+49+75-60+55+10+4+7+8-2+1-8-5+17-25+2-12.5-40-75-60-45-75+1.125+75+15+15-15-20-47-15+25+4+5-25-20-5</f>
        <v>18.625</v>
      </c>
      <c r="C131" s="105"/>
      <c r="D131" s="104">
        <v>0</v>
      </c>
      <c r="E131" s="104">
        <f>('Renewable Diesel'!B140*E$3*'Feedstock Conversion Rates'!$B$2)/12-55-8+5-2+40-15+20-4+25</f>
        <v>43.796666666666667</v>
      </c>
      <c r="F131" s="104">
        <f>('Renewable Diesel'!B140*'RD Feedstock Breakdown'!F$3*'Feedstock Conversion Rates'!B$8)/12+28.5-49-4-7-1+8+12.5-1.125+15+15-5</f>
        <v>34.53125</v>
      </c>
      <c r="G131" s="104">
        <f>('Renewable Diesel'!B140*'RD Feedstock Breakdown'!G$3*'Feedstock Conversion Rates'!B$7)/12-65-75-17+25+75+45+75-75</f>
        <v>62.036999999999978</v>
      </c>
      <c r="H131" s="104">
        <f>('Renewable Diesel'!B140*'RD Feedstock Breakdown'!H$3*'Feedstock Conversion Rates'!B$3)/12+11.5-130+2+60-15+47-25+25</f>
        <v>49.639224999999996</v>
      </c>
      <c r="I131" s="106">
        <f t="shared" si="52"/>
        <v>208.62914166666667</v>
      </c>
      <c r="J131" s="106"/>
      <c r="K131" s="107"/>
      <c r="L131" s="106"/>
      <c r="R131" s="104">
        <f>('Renewable Diesel'!D140*'RD Feedstock Breakdown'!R$3*'Feedstock Conversion Rates'!B$7)/12</f>
        <v>2.2999999999999998</v>
      </c>
      <c r="S131" s="106">
        <f t="shared" si="67"/>
        <v>2.2999999999999998</v>
      </c>
      <c r="T131" s="107"/>
      <c r="U131" s="106"/>
      <c r="Y131" s="104">
        <f>15+30</f>
        <v>45</v>
      </c>
      <c r="Z131" s="104">
        <f>('Renewable Diesel'!F140*'RD Feedstock Breakdown'!Z$3*'Feedstock Conversion Rates'!B$6)/12+17.5-10+10-15-30</f>
        <v>17.055000000000007</v>
      </c>
      <c r="AA131" s="104">
        <f>('Renewable Diesel'!F140*'RD Feedstock Breakdown'!AA$3*'Feedstock Conversion Rates'!B$7)/12-17.5</f>
        <v>11.633333333333329</v>
      </c>
      <c r="AB131" s="106">
        <f t="shared" si="62"/>
        <v>73.688333333333333</v>
      </c>
      <c r="AC131" s="108"/>
      <c r="AG131" s="105"/>
      <c r="AH131" s="104">
        <v>0</v>
      </c>
      <c r="AI131" s="104">
        <f>('Renewable Diesel'!H140*'RD Feedstock Breakdown'!AI$3*'Feedstock Conversion Rates'!B$6)/12</f>
        <v>58.625000000000007</v>
      </c>
      <c r="AJ131" s="106">
        <f t="shared" si="65"/>
        <v>58.625000000000007</v>
      </c>
      <c r="AK131" s="104">
        <f>('Renewable Diesel'!J140*'RD Feedstock Breakdown'!AK$3*'Feedstock Conversion Rates'!B$4)/12</f>
        <v>62.5</v>
      </c>
      <c r="AL131" s="106">
        <f t="shared" si="28"/>
        <v>62.5</v>
      </c>
      <c r="AT131" s="108"/>
      <c r="AV131" s="104">
        <f>'Renewable Diesel'!N140*'RD Feedstock Breakdown'!$AV$3*'Feedstock Conversion Rates'!$B$4/12</f>
        <v>78.749999999999986</v>
      </c>
      <c r="AW131" s="104">
        <f>'Renewable Diesel'!N140*'RD Feedstock Breakdown'!$AW$3*'Feedstock Conversion Rates'!$B$7/12</f>
        <v>41.4</v>
      </c>
      <c r="AX131" s="106">
        <f t="shared" si="63"/>
        <v>120.14999999999998</v>
      </c>
      <c r="AY131" s="104">
        <f>('Renewable Diesel'!O140*'RD Feedstock Breakdown'!AY$3*'Feedstock Conversion Rates'!B$4)/12</f>
        <v>67.5</v>
      </c>
      <c r="AZ131" s="104">
        <f>('Renewable Diesel'!O140*'RD Feedstock Breakdown'!AZ$3*'Feedstock Conversion Rates'!B$3)/12</f>
        <v>8.01</v>
      </c>
      <c r="BA131" s="106">
        <f t="shared" si="66"/>
        <v>75.510000000000005</v>
      </c>
      <c r="BF131" s="104"/>
      <c r="BG131" s="106"/>
      <c r="BH131" s="104">
        <f>('Renewable Diesel'!T140*'RD Feedstock Breakdown'!BH$3*'Feedstock Conversion Rates'!B$7)/12</f>
        <v>0</v>
      </c>
      <c r="BI131" s="106">
        <f t="shared" si="64"/>
        <v>0</v>
      </c>
      <c r="BJ131" s="104">
        <f>('Renewable Diesel'!W140*'RD Feedstock Breakdown'!BJ$3*'Feedstock Conversion Rates'!B$4)/12</f>
        <v>7.5</v>
      </c>
      <c r="BK131" s="104">
        <f>('Renewable Diesel'!W140*'RD Feedstock Breakdown'!BK$3*'Feedstock Conversion Rates'!B$3)/12</f>
        <v>1.335</v>
      </c>
      <c r="BL131" s="104">
        <f>('Renewable Diesel'!W140*'RD Feedstock Breakdown'!BL$3*'Feedstock Conversion Rates'!B$6)/12</f>
        <v>3.1266666666666669</v>
      </c>
      <c r="BM131" s="104">
        <f>('Renewable Diesel'!W140*'RD Feedstock Breakdown'!BM$3*'Feedstock Conversion Rates'!B$7)/12</f>
        <v>1.5333333333333332</v>
      </c>
      <c r="BN131" s="106">
        <f t="shared" si="54"/>
        <v>13.495000000000001</v>
      </c>
      <c r="BO131" s="106"/>
      <c r="BP131" s="106"/>
      <c r="BQ131" s="106"/>
      <c r="BR131" s="106"/>
      <c r="BS131" s="106"/>
      <c r="BT131" s="106"/>
      <c r="BU131" s="106"/>
      <c r="BV131" s="106"/>
      <c r="BW131" s="106"/>
      <c r="BX131" s="107"/>
      <c r="BY131" s="106"/>
      <c r="BZ131" s="106"/>
      <c r="CA131" s="106"/>
      <c r="CB131" s="106"/>
      <c r="CC131" s="106"/>
      <c r="CD131" s="106"/>
      <c r="CE131" s="106"/>
      <c r="CF131" s="106"/>
      <c r="CG131" s="106"/>
      <c r="CH131" s="106"/>
      <c r="CI131" s="107"/>
      <c r="CJ131" s="106"/>
      <c r="CK131" s="106"/>
      <c r="CL131" s="106"/>
      <c r="CM131" s="106"/>
      <c r="CN131" s="106"/>
      <c r="CO131" s="106"/>
      <c r="CP131" s="106"/>
      <c r="CQ131" s="106"/>
      <c r="CR131" s="106"/>
      <c r="CS131" s="106"/>
      <c r="CT131" s="106"/>
      <c r="CU131" s="106"/>
      <c r="CV131" s="106"/>
      <c r="CW131" s="106"/>
      <c r="CX131" s="106"/>
      <c r="CY131" s="106"/>
      <c r="CZ131" s="106"/>
      <c r="DA131" s="106"/>
      <c r="DB131" s="106"/>
      <c r="DC131" s="106"/>
      <c r="DD131" s="107"/>
      <c r="DE131" s="106"/>
      <c r="DF131" s="106"/>
      <c r="DG131" s="106"/>
      <c r="DH131" s="106"/>
      <c r="DI131" s="106"/>
      <c r="DJ131" s="107"/>
      <c r="DK131" s="106"/>
      <c r="DL131" s="106"/>
      <c r="DM131" s="106"/>
      <c r="DN131" s="106"/>
      <c r="DP131" s="104">
        <f t="shared" si="30"/>
        <v>43.796666666666667</v>
      </c>
      <c r="DQ131" s="104">
        <f t="shared" si="31"/>
        <v>58.984224999999995</v>
      </c>
      <c r="DR131" s="104">
        <f t="shared" si="39"/>
        <v>279.875</v>
      </c>
      <c r="DS131" s="107"/>
      <c r="DT131" s="104">
        <f t="shared" si="32"/>
        <v>78.806666666666672</v>
      </c>
      <c r="DU131" s="104">
        <f t="shared" si="33"/>
        <v>118.90366666666662</v>
      </c>
      <c r="DV131" s="104">
        <f t="shared" si="34"/>
        <v>34.53125</v>
      </c>
      <c r="DW131" s="104">
        <f t="shared" si="35"/>
        <v>0</v>
      </c>
      <c r="DX131" s="106">
        <f t="shared" si="36"/>
        <v>614.89747499999999</v>
      </c>
      <c r="DY131" s="109">
        <f t="shared" si="37"/>
        <v>0</v>
      </c>
      <c r="EA131" s="110">
        <f t="shared" si="55"/>
        <v>7.1225966030624324E-2</v>
      </c>
      <c r="EB131" s="110">
        <f t="shared" si="55"/>
        <v>9.5925300392557311E-2</v>
      </c>
      <c r="EC131" s="110">
        <f t="shared" si="55"/>
        <v>0.45515717884514001</v>
      </c>
      <c r="ED131" s="107"/>
      <c r="EE131" s="110">
        <f t="shared" si="56"/>
        <v>0.12816228700022989</v>
      </c>
      <c r="EF131" s="110">
        <f t="shared" si="56"/>
        <v>0.19337153184222561</v>
      </c>
      <c r="EG131" s="111">
        <f t="shared" si="56"/>
        <v>5.6157735889222835E-2</v>
      </c>
      <c r="EH131" s="111">
        <f t="shared" si="40"/>
        <v>0</v>
      </c>
      <c r="EI131" s="110">
        <f t="shared" si="41"/>
        <v>0.99999999999999989</v>
      </c>
      <c r="EK131" s="112">
        <f>(EA131*'Renewable Diesel'!BF140*'Feedstock Conversion Rates'!B$2)+FB131</f>
        <v>45.632908645469719</v>
      </c>
      <c r="EL131" s="112">
        <f>(EB131*'Renewable Diesel'!BF140*'Feedstock Conversion Rates'!B$3)+FC131</f>
        <v>57.914400035189715</v>
      </c>
      <c r="EM131" s="112">
        <f>(EC131*'Renewable Diesel'!BF140*'Feedstock Conversion Rates'!B$4)+FD131</f>
        <v>257.30222275926974</v>
      </c>
      <c r="EN131" s="107"/>
      <c r="EO131" s="112">
        <f>(EE131*'Renewable Diesel'!BF140*'Feedstock Conversion Rates'!B$6)+FF131</f>
        <v>90.611634529624979</v>
      </c>
      <c r="EP131" s="112">
        <f>(EF131*'Renewable Diesel'!BF140*'Feedstock Conversion Rates'!B$7)+FG131</f>
        <v>134.09149803474534</v>
      </c>
      <c r="EQ131" s="112">
        <f>(EG131*'Renewable Diesel'!BF140*'Feedstock Conversion Rates'!B$8)+FH131</f>
        <v>39.682748457597292</v>
      </c>
      <c r="ER131" s="112">
        <f>(EH131*'Renewable Diesel'!BF140*'Feedstock Conversion Rates'!B$9)+FI131</f>
        <v>0</v>
      </c>
      <c r="ES131" s="112">
        <f t="shared" si="42"/>
        <v>625.23541246189677</v>
      </c>
      <c r="ET131" s="91">
        <f>ES131/'Renewable Diesel'!BF140</f>
        <v>8.2951203277153365</v>
      </c>
      <c r="EU131" s="112"/>
      <c r="EW131" s="73">
        <f t="shared" si="58"/>
        <v>257.30222275926974</v>
      </c>
      <c r="EX131" s="73">
        <f t="shared" si="59"/>
        <v>367.93318970262703</v>
      </c>
      <c r="EY131" s="92">
        <f t="shared" si="38"/>
        <v>0.41152855009624123</v>
      </c>
      <c r="EZ131" s="92">
        <f t="shared" si="38"/>
        <v>0.58847144990375877</v>
      </c>
      <c r="FB131" s="102">
        <f>IF('Renewable Diesel'!$BG140&lt;1,0,(((('Renewable Diesel'!$BG140-1)*'Renewable Diesel'!$BF140)*'RD Feedstock Breakdown'!EA131)*'Feedstock Conversion Rates'!$B$2))</f>
        <v>0</v>
      </c>
      <c r="FC131" s="102">
        <f>IF('Renewable Diesel'!$BG140&lt;1,0,(((('Renewable Diesel'!$BG140-1)*'Renewable Diesel'!$BF140)*'RD Feedstock Breakdown'!EB131)*'Feedstock Conversion Rates'!$B$3))</f>
        <v>0</v>
      </c>
      <c r="FD131" s="102">
        <f>IF('Renewable Diesel'!$BG140&lt;1,0,(((('Renewable Diesel'!$BG140-1)*'Renewable Diesel'!$BF140)*'RD Feedstock Breakdown'!EC131)*'Feedstock Conversion Rates'!$B$4))</f>
        <v>0</v>
      </c>
      <c r="FE131" s="107"/>
      <c r="FF131" s="102">
        <f>IF('Renewable Diesel'!$BG140&lt;1,0,(((('Renewable Diesel'!$BG140-1)*'Renewable Diesel'!$BF140)*'RD Feedstock Breakdown'!EE131)*'Feedstock Conversion Rates'!$B$6))</f>
        <v>0</v>
      </c>
      <c r="FG131" s="102">
        <f>IF('Renewable Diesel'!$BG140&lt;1,0,(((('Renewable Diesel'!$BG140-1)*'Renewable Diesel'!$BF140)*'RD Feedstock Breakdown'!EF131)*'Feedstock Conversion Rates'!$B$7))</f>
        <v>0</v>
      </c>
      <c r="FH131" s="102">
        <f>IF('Renewable Diesel'!$BG140&lt;1,0,(((('Renewable Diesel'!$BG140-1)*'Renewable Diesel'!$BF140)*'RD Feedstock Breakdown'!EG131)*'Feedstock Conversion Rates'!$B$8))</f>
        <v>0</v>
      </c>
      <c r="FI131" s="102">
        <f>IF('Renewable Diesel'!$BG140&lt;1,0,(((('Renewable Diesel'!$BG140-1)*'Renewable Diesel'!$BF140)*'RD Feedstock Breakdown'!EH131)*'Feedstock Conversion Rates'!$B$9))</f>
        <v>0</v>
      </c>
      <c r="FJ131" s="102">
        <f t="shared" si="60"/>
        <v>0</v>
      </c>
      <c r="FR131" s="3">
        <f>('Renewable Diesel'!AX140-'Renewable Diesel'!BI140)/12*$FO$80</f>
        <v>52.2</v>
      </c>
      <c r="FS131" s="100">
        <f t="shared" si="48"/>
        <v>0.45515717884514001</v>
      </c>
      <c r="FT131" s="3">
        <f t="shared" si="50"/>
        <v>178.19403551787232</v>
      </c>
      <c r="FY131" s="3">
        <f>'Renewable Diesel'!BF140*('Renewable Diesel'!BI140/'Renewable Diesel'!AX140)</f>
        <v>17.788566866081229</v>
      </c>
      <c r="FZ131" s="3">
        <f>('Renewable Diesel'!BJ140*'Renewable Diesel'!BG140)/12</f>
        <v>56.50171951311922</v>
      </c>
      <c r="GA131" s="3">
        <f t="shared" si="51"/>
        <v>192.87872440118056</v>
      </c>
      <c r="GD131" s="91">
        <f>'Renewable Diesel'!BB140*0</f>
        <v>0</v>
      </c>
      <c r="GE131" s="91">
        <f>'Renewable Diesel'!BC140</f>
        <v>0.72205799999999998</v>
      </c>
      <c r="GF131" s="91">
        <f>'Renewable Diesel'!BD140</f>
        <v>0</v>
      </c>
      <c r="GG131" s="91">
        <f t="shared" si="49"/>
        <v>0.72205799999999998</v>
      </c>
      <c r="GH131" s="124">
        <v>1</v>
      </c>
      <c r="GI131" s="102">
        <f>$GG131*EA131*'Feedstock Conversion Rates'!$B$2</f>
        <v>0.43714886793119456</v>
      </c>
      <c r="GJ131" s="102">
        <f>$GG131*EB131*'Feedstock Conversion Rates'!$B$3</f>
        <v>0.55480168071230174</v>
      </c>
      <c r="GK131" s="102">
        <f>$GG131*EC131*'Feedstock Conversion Rates'!$B$4</f>
        <v>2.4648741168192307</v>
      </c>
      <c r="GL131" s="102">
        <f>$GG131*ED131*'Feedstock Conversion Rates'!$B$5</f>
        <v>0</v>
      </c>
      <c r="GM131" s="102">
        <f>$GG131*EE131*'Feedstock Conversion Rates'!$B$6</f>
        <v>0.86803087139949653</v>
      </c>
      <c r="GN131" s="102">
        <f>$GG131*EF131*'Feedstock Conversion Rates'!$B$7</f>
        <v>1.2845542461581902</v>
      </c>
      <c r="GO131" s="102">
        <f>$GG131*EG131*'Feedstock Conversion Rates'!$B$8</f>
        <v>0.38014821056906684</v>
      </c>
      <c r="GP131" s="102">
        <f>$GG131*EH131*'Feedstock Conversion Rates'!B$9</f>
        <v>0</v>
      </c>
      <c r="GQ131" s="102">
        <f t="shared" si="45"/>
        <v>5.9895579935894814</v>
      </c>
      <c r="GR131" s="85">
        <f t="shared" si="53"/>
        <v>8.2951203277153382</v>
      </c>
      <c r="GT131" s="103">
        <f t="shared" si="47"/>
        <v>7.2985163245613008E-2</v>
      </c>
      <c r="GU131" s="103">
        <f t="shared" si="47"/>
        <v>9.2628150742691887E-2</v>
      </c>
      <c r="GV131" s="103">
        <f t="shared" si="47"/>
        <v>0.41152855009624117</v>
      </c>
      <c r="GW131" s="103">
        <f t="shared" si="46"/>
        <v>0</v>
      </c>
      <c r="GX131" s="103">
        <f t="shared" si="46"/>
        <v>0.1449240281717841</v>
      </c>
      <c r="GY131" s="103">
        <f t="shared" si="46"/>
        <v>0.21446561624965088</v>
      </c>
      <c r="GZ131" s="103">
        <f t="shared" si="46"/>
        <v>6.3468491494018897E-2</v>
      </c>
      <c r="HA131" s="103">
        <f t="shared" si="46"/>
        <v>0</v>
      </c>
    </row>
    <row r="132" spans="1:209" x14ac:dyDescent="0.25">
      <c r="A132" s="96">
        <v>44440</v>
      </c>
      <c r="B132" s="104">
        <f>55+120+49-30+55+10+4+7+8-2+1-8-5+67+2-12.5-20-35-20-45+1.125-20-40-35+15+15-15-20-47-10+25+4-15-1</f>
        <v>57.625</v>
      </c>
      <c r="C132" s="105"/>
      <c r="D132" s="104">
        <v>1</v>
      </c>
      <c r="E132" s="104">
        <f>('Renewable Diesel'!B141*E$3*'Feedstock Conversion Rates'!$B$2)/12-55-8+5-2+40-15+20-4</f>
        <v>18.796666666666667</v>
      </c>
      <c r="F132" s="104">
        <f>('Renewable Diesel'!B141*'RD Feedstock Breakdown'!F$3*'Feedstock Conversion Rates'!B$8)/12+28.5-49-4-7-1+8+12.5-1.125+15+10+15</f>
        <v>49.53125</v>
      </c>
      <c r="G132" s="104">
        <f>('Renewable Diesel'!B141*'RD Feedstock Breakdown'!G$3*'Feedstock Conversion Rates'!B$7)/12-65-67+35+45+35</f>
        <v>57.036999999999992</v>
      </c>
      <c r="H132" s="104">
        <f>('Renewable Diesel'!B141*'RD Feedstock Breakdown'!H$3*'Feedstock Conversion Rates'!B$3)/12+11.5-130+2+20+40-15+47-25</f>
        <v>24.639224999999996</v>
      </c>
      <c r="I132" s="106">
        <f t="shared" si="52"/>
        <v>208.62914166666667</v>
      </c>
      <c r="J132" s="106"/>
      <c r="K132" s="107"/>
      <c r="L132" s="106"/>
      <c r="R132" s="104">
        <f>('Renewable Diesel'!D141*'RD Feedstock Breakdown'!R$3*'Feedstock Conversion Rates'!B$7)/12</f>
        <v>2.2999999999999998</v>
      </c>
      <c r="S132" s="106">
        <f t="shared" si="67"/>
        <v>2.2999999999999998</v>
      </c>
      <c r="T132" s="107"/>
      <c r="U132" s="106"/>
      <c r="Y132" s="104">
        <f>15+30-45</f>
        <v>0</v>
      </c>
      <c r="Z132" s="104">
        <f>('Renewable Diesel'!F141*'RD Feedstock Breakdown'!Z$3*'Feedstock Conversion Rates'!B$6)/12+17.5-10+10-15-30+45</f>
        <v>62.055000000000007</v>
      </c>
      <c r="AA132" s="104">
        <f>('Renewable Diesel'!F141*'RD Feedstock Breakdown'!AA$3*'Feedstock Conversion Rates'!B$7)/12-17.5</f>
        <v>11.633333333333329</v>
      </c>
      <c r="AB132" s="106">
        <f t="shared" si="62"/>
        <v>73.688333333333333</v>
      </c>
      <c r="AC132" s="108"/>
      <c r="AG132" s="105"/>
      <c r="AH132" s="104">
        <v>0</v>
      </c>
      <c r="AI132" s="104">
        <f>('Renewable Diesel'!H141*'RD Feedstock Breakdown'!AI$3*'Feedstock Conversion Rates'!B$6)/12</f>
        <v>58.625000000000007</v>
      </c>
      <c r="AJ132" s="106">
        <f t="shared" si="65"/>
        <v>58.625000000000007</v>
      </c>
      <c r="AK132" s="104">
        <f>('Renewable Diesel'!J141*'RD Feedstock Breakdown'!AK$3*'Feedstock Conversion Rates'!B$4)/12</f>
        <v>62.5</v>
      </c>
      <c r="AL132" s="106">
        <f t="shared" ref="AL132:AL195" si="68">AK132</f>
        <v>62.5</v>
      </c>
      <c r="AT132" s="108"/>
      <c r="AV132" s="104">
        <f>'Renewable Diesel'!N141*'RD Feedstock Breakdown'!$AV$3*'Feedstock Conversion Rates'!$B$4/12</f>
        <v>78.749999999999986</v>
      </c>
      <c r="AW132" s="104">
        <f>'Renewable Diesel'!N141*'RD Feedstock Breakdown'!$AW$3*'Feedstock Conversion Rates'!$B$7/12</f>
        <v>41.4</v>
      </c>
      <c r="AX132" s="106">
        <f t="shared" si="63"/>
        <v>120.14999999999998</v>
      </c>
      <c r="AY132" s="104">
        <f>('Renewable Diesel'!O141*'RD Feedstock Breakdown'!AY$3*'Feedstock Conversion Rates'!B$4)/12</f>
        <v>67.5</v>
      </c>
      <c r="AZ132" s="104">
        <f>('Renewable Diesel'!O141*'RD Feedstock Breakdown'!AZ$3*'Feedstock Conversion Rates'!B$3)/12</f>
        <v>8.01</v>
      </c>
      <c r="BA132" s="106">
        <f t="shared" si="66"/>
        <v>75.510000000000005</v>
      </c>
      <c r="BF132" s="104"/>
      <c r="BG132" s="106"/>
      <c r="BH132" s="104">
        <f>('Renewable Diesel'!T141*'RD Feedstock Breakdown'!BH$3*'Feedstock Conversion Rates'!B$7)/12</f>
        <v>0</v>
      </c>
      <c r="BI132" s="106">
        <f t="shared" si="64"/>
        <v>0</v>
      </c>
      <c r="BJ132" s="104">
        <f>('Renewable Diesel'!W141*'RD Feedstock Breakdown'!BJ$3*'Feedstock Conversion Rates'!B$4)/12</f>
        <v>7.5</v>
      </c>
      <c r="BK132" s="104">
        <f>('Renewable Diesel'!W141*'RD Feedstock Breakdown'!BK$3*'Feedstock Conversion Rates'!B$3)/12</f>
        <v>1.335</v>
      </c>
      <c r="BL132" s="104">
        <f>('Renewable Diesel'!W141*'RD Feedstock Breakdown'!BL$3*'Feedstock Conversion Rates'!B$6)/12</f>
        <v>3.1266666666666669</v>
      </c>
      <c r="BM132" s="104">
        <f>('Renewable Diesel'!W141*'RD Feedstock Breakdown'!BM$3*'Feedstock Conversion Rates'!B$7)/12</f>
        <v>1.5333333333333332</v>
      </c>
      <c r="BN132" s="106">
        <f t="shared" si="54"/>
        <v>13.495000000000001</v>
      </c>
      <c r="BO132" s="106"/>
      <c r="BP132" s="106"/>
      <c r="BQ132" s="106"/>
      <c r="BR132" s="106"/>
      <c r="BS132" s="106"/>
      <c r="BT132" s="106"/>
      <c r="BU132" s="106"/>
      <c r="BV132" s="106"/>
      <c r="BW132" s="106"/>
      <c r="BX132" s="107"/>
      <c r="BY132" s="106"/>
      <c r="BZ132" s="106"/>
      <c r="CA132" s="106"/>
      <c r="CB132" s="106"/>
      <c r="CC132" s="106"/>
      <c r="CD132" s="106"/>
      <c r="CE132" s="106"/>
      <c r="CF132" s="106"/>
      <c r="CG132" s="106"/>
      <c r="CH132" s="106"/>
      <c r="CI132" s="107"/>
      <c r="CJ132" s="106"/>
      <c r="CK132" s="106"/>
      <c r="CL132" s="106"/>
      <c r="CM132" s="106"/>
      <c r="CN132" s="106"/>
      <c r="CO132" s="106"/>
      <c r="CP132" s="106"/>
      <c r="CQ132" s="106"/>
      <c r="CR132" s="106"/>
      <c r="CS132" s="106"/>
      <c r="CT132" s="106"/>
      <c r="CU132" s="106"/>
      <c r="CV132" s="106"/>
      <c r="CW132" s="106"/>
      <c r="CX132" s="106"/>
      <c r="CY132" s="106"/>
      <c r="CZ132" s="106"/>
      <c r="DA132" s="106"/>
      <c r="DB132" s="106"/>
      <c r="DC132" s="106"/>
      <c r="DD132" s="107"/>
      <c r="DE132" s="106"/>
      <c r="DF132" s="106"/>
      <c r="DG132" s="106"/>
      <c r="DH132" s="106"/>
      <c r="DI132" s="106"/>
      <c r="DJ132" s="107"/>
      <c r="DK132" s="106"/>
      <c r="DL132" s="106"/>
      <c r="DM132" s="106"/>
      <c r="DN132" s="106"/>
      <c r="DP132" s="104">
        <f t="shared" si="30"/>
        <v>18.796666666666667</v>
      </c>
      <c r="DQ132" s="104">
        <f t="shared" si="31"/>
        <v>33.984224999999995</v>
      </c>
      <c r="DR132" s="104">
        <f t="shared" si="39"/>
        <v>273.875</v>
      </c>
      <c r="DS132" s="107"/>
      <c r="DT132" s="104">
        <f t="shared" si="32"/>
        <v>123.80666666666667</v>
      </c>
      <c r="DU132" s="104">
        <f t="shared" si="33"/>
        <v>113.90366666666665</v>
      </c>
      <c r="DV132" s="104">
        <f t="shared" si="34"/>
        <v>49.53125</v>
      </c>
      <c r="DW132" s="104">
        <f t="shared" si="35"/>
        <v>1</v>
      </c>
      <c r="DX132" s="106">
        <f t="shared" si="36"/>
        <v>614.89747499999999</v>
      </c>
      <c r="DY132" s="109">
        <f t="shared" si="37"/>
        <v>0</v>
      </c>
      <c r="EA132" s="110">
        <f t="shared" si="55"/>
        <v>3.0568781676435845E-2</v>
      </c>
      <c r="EB132" s="110">
        <f t="shared" si="55"/>
        <v>5.5268116038368828E-2</v>
      </c>
      <c r="EC132" s="110">
        <f t="shared" si="55"/>
        <v>0.44539945460013475</v>
      </c>
      <c r="ED132" s="107"/>
      <c r="EE132" s="110">
        <f t="shared" si="56"/>
        <v>0.20134521883776912</v>
      </c>
      <c r="EF132" s="110">
        <f t="shared" si="56"/>
        <v>0.18524009497138796</v>
      </c>
      <c r="EG132" s="111">
        <f t="shared" si="56"/>
        <v>8.0552046501735919E-2</v>
      </c>
      <c r="EH132" s="111">
        <f t="shared" si="40"/>
        <v>1.6262873741675391E-3</v>
      </c>
      <c r="EI132" s="110">
        <f t="shared" si="41"/>
        <v>0.9983737126258323</v>
      </c>
      <c r="EK132" s="112">
        <f>(EA132*'Renewable Diesel'!BF141*'Feedstock Conversion Rates'!B$2)+FB132</f>
        <v>13.049667802948235</v>
      </c>
      <c r="EL132" s="112">
        <f>(EB132*'Renewable Diesel'!BF141*'Feedstock Conversion Rates'!B$3)+FC132</f>
        <v>22.233589202047256</v>
      </c>
      <c r="EM132" s="112">
        <f>(EC132*'Renewable Diesel'!BF141*'Feedstock Conversion Rates'!B$4)+FD132</f>
        <v>167.7696291884879</v>
      </c>
      <c r="EN132" s="107"/>
      <c r="EO132" s="112">
        <f>(EE132*'Renewable Diesel'!BF141*'Feedstock Conversion Rates'!B$6)+FF132</f>
        <v>94.852014713039011</v>
      </c>
      <c r="EP132" s="112">
        <f>(EF132*'Renewable Diesel'!BF141*'Feedstock Conversion Rates'!B$7)+FG132</f>
        <v>85.590432843624413</v>
      </c>
      <c r="EQ132" s="112">
        <f>(EG132*'Renewable Diesel'!BF141*'Feedstock Conversion Rates'!B$8)+FH132</f>
        <v>37.927154019818765</v>
      </c>
      <c r="ER132" s="112">
        <f>(EH132*'Renewable Diesel'!BF141*'Feedstock Conversion Rates'!B$9)+FI132</f>
        <v>0.75551209858196278</v>
      </c>
      <c r="ES132" s="112">
        <f t="shared" si="42"/>
        <v>422.17799986854754</v>
      </c>
      <c r="ET132" s="91">
        <f>ES132/'Renewable Diesel'!BF141</f>
        <v>8.4060737838179183</v>
      </c>
      <c r="EU132" s="112"/>
      <c r="EW132" s="73">
        <f t="shared" si="58"/>
        <v>167.7696291884879</v>
      </c>
      <c r="EX132" s="73">
        <f t="shared" si="59"/>
        <v>254.40837068005965</v>
      </c>
      <c r="EY132" s="92">
        <f t="shared" si="38"/>
        <v>0.39739074333746877</v>
      </c>
      <c r="EZ132" s="92">
        <f t="shared" si="38"/>
        <v>0.60260925666253129</v>
      </c>
      <c r="FB132" s="102">
        <f>IF('Renewable Diesel'!$BG141&lt;1,0,(((('Renewable Diesel'!$BG141-1)*'Renewable Diesel'!$BF141)*'RD Feedstock Breakdown'!EA132)*'Feedstock Conversion Rates'!$B$2))</f>
        <v>0</v>
      </c>
      <c r="FC132" s="102">
        <f>IF('Renewable Diesel'!$BG141&lt;1,0,(((('Renewable Diesel'!$BG141-1)*'Renewable Diesel'!$BF141)*'RD Feedstock Breakdown'!EB132)*'Feedstock Conversion Rates'!$B$3))</f>
        <v>0</v>
      </c>
      <c r="FD132" s="102">
        <f>IF('Renewable Diesel'!$BG141&lt;1,0,(((('Renewable Diesel'!$BG141-1)*'Renewable Diesel'!$BF141)*'RD Feedstock Breakdown'!EC132)*'Feedstock Conversion Rates'!$B$4))</f>
        <v>0</v>
      </c>
      <c r="FE132" s="107"/>
      <c r="FF132" s="102">
        <f>IF('Renewable Diesel'!$BG141&lt;1,0,(((('Renewable Diesel'!$BG141-1)*'Renewable Diesel'!$BF141)*'RD Feedstock Breakdown'!EE132)*'Feedstock Conversion Rates'!$B$6))</f>
        <v>0</v>
      </c>
      <c r="FG132" s="102">
        <f>IF('Renewable Diesel'!$BG141&lt;1,0,(((('Renewable Diesel'!$BG141-1)*'Renewable Diesel'!$BF141)*'RD Feedstock Breakdown'!EF132)*'Feedstock Conversion Rates'!$B$7))</f>
        <v>0</v>
      </c>
      <c r="FH132" s="102">
        <f>IF('Renewable Diesel'!$BG141&lt;1,0,(((('Renewable Diesel'!$BG141-1)*'Renewable Diesel'!$BF141)*'RD Feedstock Breakdown'!EG132)*'Feedstock Conversion Rates'!$B$8))</f>
        <v>0</v>
      </c>
      <c r="FI132" s="102">
        <f>IF('Renewable Diesel'!$BG141&lt;1,0,(((('Renewable Diesel'!$BG141-1)*'Renewable Diesel'!$BF141)*'RD Feedstock Breakdown'!EH132)*'Feedstock Conversion Rates'!$B$9))</f>
        <v>0</v>
      </c>
      <c r="FJ132" s="102">
        <f t="shared" si="60"/>
        <v>0</v>
      </c>
      <c r="FR132" s="3">
        <f>('Renewable Diesel'!AX141-'Renewable Diesel'!BI141)/12*$FO$80</f>
        <v>52.2</v>
      </c>
      <c r="FS132" s="100">
        <f t="shared" si="48"/>
        <v>0.44539945460013475</v>
      </c>
      <c r="FT132" s="3">
        <f t="shared" si="50"/>
        <v>174.37388647595276</v>
      </c>
      <c r="FY132" s="3">
        <f>'Renewable Diesel'!BF141*('Renewable Diesel'!BI141/'Renewable Diesel'!AX141)</f>
        <v>11.852841673984633</v>
      </c>
      <c r="FZ132" s="3">
        <f>('Renewable Diesel'!BJ141*'Renewable Diesel'!BG141)/12</f>
        <v>37.648110763429052</v>
      </c>
      <c r="GA132" s="3">
        <f t="shared" si="51"/>
        <v>125.76336000567572</v>
      </c>
      <c r="GD132" s="91">
        <f>'Renewable Diesel'!BB141*0</f>
        <v>0</v>
      </c>
      <c r="GE132" s="91">
        <f>'Renewable Diesel'!BC141</f>
        <v>0.300122</v>
      </c>
      <c r="GF132" s="91">
        <f>'Renewable Diesel'!BD141</f>
        <v>0</v>
      </c>
      <c r="GG132" s="91">
        <f t="shared" si="49"/>
        <v>0.300122</v>
      </c>
      <c r="GH132" s="124">
        <v>1</v>
      </c>
      <c r="GI132" s="102">
        <f>$GG132*EA132*'Feedstock Conversion Rates'!$B$2</f>
        <v>7.7982093101509858E-2</v>
      </c>
      <c r="GJ132" s="102">
        <f>$GG132*EB132*'Feedstock Conversion Rates'!$B$3</f>
        <v>0.13286329194855531</v>
      </c>
      <c r="GK132" s="102">
        <f>$GG132*EC132*'Feedstock Conversion Rates'!$B$4</f>
        <v>1.0025563133512623</v>
      </c>
      <c r="GL132" s="102">
        <f>$GG132*ED132*'Feedstock Conversion Rates'!$B$5</f>
        <v>0</v>
      </c>
      <c r="GM132" s="102">
        <f>$GG132*EE132*'Feedstock Conversion Rates'!$B$6</f>
        <v>0.56681585722411154</v>
      </c>
      <c r="GN132" s="102">
        <f>$GG132*EF132*'Feedstock Conversion Rates'!$B$7</f>
        <v>0.51147057560362663</v>
      </c>
      <c r="GO132" s="102">
        <f>$GG132*EG132*'Feedstock Conversion Rates'!$B$8</f>
        <v>0.22664476218931862</v>
      </c>
      <c r="GP132" s="102">
        <f>$GG132*EH132*'Feedstock Conversion Rates'!B$9</f>
        <v>4.5147827286166689E-3</v>
      </c>
      <c r="GQ132" s="102">
        <f t="shared" si="45"/>
        <v>2.5228476761470007</v>
      </c>
      <c r="GR132" s="85">
        <f t="shared" si="53"/>
        <v>8.4060737838179165</v>
      </c>
      <c r="GT132" s="103">
        <f t="shared" si="47"/>
        <v>3.0910345415941794E-2</v>
      </c>
      <c r="GU132" s="103">
        <f t="shared" si="47"/>
        <v>5.2664016620880459E-2</v>
      </c>
      <c r="GV132" s="103">
        <f t="shared" si="47"/>
        <v>0.39739074333746871</v>
      </c>
      <c r="GW132" s="103">
        <f t="shared" si="46"/>
        <v>0</v>
      </c>
      <c r="GX132" s="103">
        <f t="shared" si="46"/>
        <v>0.22467304014556141</v>
      </c>
      <c r="GY132" s="103">
        <f t="shared" si="46"/>
        <v>0.20273541698116546</v>
      </c>
      <c r="GZ132" s="103">
        <f t="shared" si="46"/>
        <v>8.9836879305951606E-2</v>
      </c>
      <c r="HA132" s="103">
        <f t="shared" si="46"/>
        <v>1.7895581930304388E-3</v>
      </c>
    </row>
    <row r="133" spans="1:209" x14ac:dyDescent="0.25">
      <c r="A133" s="96">
        <v>44470</v>
      </c>
      <c r="B133" s="104">
        <f>55+120+49-30+55+10+4+7+5-2-1+1-8-1+67+2-12.5+1.125-40-85-60-35+15+15-15-20-47+18+7+4+30-10-5-75-5-1+30-10</f>
        <v>32.625</v>
      </c>
      <c r="C133" s="105"/>
      <c r="D133" s="104">
        <v>1</v>
      </c>
      <c r="E133" s="104">
        <f>('Renewable Diesel'!B142*E$3*'Feedstock Conversion Rates'!$B$2)/12-55-8+5-2+40-15+20-4+5+5</f>
        <v>54.863333333333337</v>
      </c>
      <c r="F133" s="104">
        <f>('Renewable Diesel'!B142*'RD Feedstock Breakdown'!F$3*'Feedstock Conversion Rates'!B$8)/12+28.5-49-4-7-1+8+12.5-1.125+15+10</f>
        <v>50.15625</v>
      </c>
      <c r="G133" s="104">
        <f>('Renewable Diesel'!B142*'RD Feedstock Breakdown'!G$3*'Feedstock Conversion Rates'!B$7)/12-65-67+85+35-30+10-30</f>
        <v>63.096999999999994</v>
      </c>
      <c r="H133" s="104">
        <f>('Renewable Diesel'!B142*'RD Feedstock Breakdown'!H$3*'Feedstock Conversion Rates'!B$3)/12+11.5-130+2+60-15+47-42.5+18+75</f>
        <v>151.26972499999999</v>
      </c>
      <c r="I133" s="106">
        <f t="shared" si="52"/>
        <v>353.01130833333332</v>
      </c>
      <c r="J133" s="106"/>
      <c r="K133" s="107"/>
      <c r="L133" s="106"/>
      <c r="R133" s="104">
        <f>('Renewable Diesel'!D142*'RD Feedstock Breakdown'!R$3*'Feedstock Conversion Rates'!B$7)/12</f>
        <v>2.2999999999999998</v>
      </c>
      <c r="S133" s="106">
        <f t="shared" si="67"/>
        <v>2.2999999999999998</v>
      </c>
      <c r="T133" s="107"/>
      <c r="U133" s="106"/>
      <c r="Y133" s="104">
        <f>20+30-50+5</f>
        <v>5</v>
      </c>
      <c r="Z133" s="104">
        <f>('Renewable Diesel'!F142*'RD Feedstock Breakdown'!Z$3*'Feedstock Conversion Rates'!B$6)/12+17.5-10+10-20-30+50</f>
        <v>62.055000000000007</v>
      </c>
      <c r="AA133" s="104">
        <f>('Renewable Diesel'!F142*'RD Feedstock Breakdown'!AA$3*'Feedstock Conversion Rates'!B$7)/12-17.5-5</f>
        <v>6.6333333333333293</v>
      </c>
      <c r="AB133" s="106">
        <f t="shared" si="62"/>
        <v>73.688333333333333</v>
      </c>
      <c r="AC133" s="108"/>
      <c r="AG133" s="105"/>
      <c r="AH133" s="104">
        <v>0</v>
      </c>
      <c r="AI133" s="104">
        <f>('Renewable Diesel'!H142*'RD Feedstock Breakdown'!AI$3*'Feedstock Conversion Rates'!B$6)/12</f>
        <v>58.625000000000007</v>
      </c>
      <c r="AJ133" s="106">
        <f t="shared" si="65"/>
        <v>58.625000000000007</v>
      </c>
      <c r="AK133" s="104">
        <f>('Renewable Diesel'!J142*'RD Feedstock Breakdown'!AK$3*'Feedstock Conversion Rates'!B$4)/12</f>
        <v>62.5</v>
      </c>
      <c r="AL133" s="106">
        <f t="shared" si="68"/>
        <v>62.5</v>
      </c>
      <c r="AT133" s="108"/>
      <c r="AV133" s="104">
        <f>'Renewable Diesel'!N142*'RD Feedstock Breakdown'!$AV$3*'Feedstock Conversion Rates'!$B$4/12</f>
        <v>78.749999999999986</v>
      </c>
      <c r="AW133" s="104">
        <f>'Renewable Diesel'!N142*'RD Feedstock Breakdown'!$AW$3*'Feedstock Conversion Rates'!$B$7/12</f>
        <v>41.4</v>
      </c>
      <c r="AX133" s="106">
        <f t="shared" si="63"/>
        <v>120.14999999999998</v>
      </c>
      <c r="AY133" s="104">
        <f>('Renewable Diesel'!O142*'RD Feedstock Breakdown'!AY$3*'Feedstock Conversion Rates'!B$4)/12</f>
        <v>67.5</v>
      </c>
      <c r="AZ133" s="104">
        <f>('Renewable Diesel'!O142*'RD Feedstock Breakdown'!AZ$3*'Feedstock Conversion Rates'!B$3)/12</f>
        <v>8.01</v>
      </c>
      <c r="BA133" s="106">
        <f t="shared" si="66"/>
        <v>75.510000000000005</v>
      </c>
      <c r="BF133" s="104"/>
      <c r="BG133" s="106"/>
      <c r="BH133" s="104">
        <f>('Renewable Diesel'!T142*'RD Feedstock Breakdown'!BH$3*'Feedstock Conversion Rates'!B$7)/12</f>
        <v>0</v>
      </c>
      <c r="BI133" s="106">
        <f t="shared" si="64"/>
        <v>0</v>
      </c>
      <c r="BJ133" s="104">
        <f>('Renewable Diesel'!W142*'RD Feedstock Breakdown'!BJ$3*'Feedstock Conversion Rates'!B$4)/12</f>
        <v>7.5</v>
      </c>
      <c r="BK133" s="104">
        <f>('Renewable Diesel'!W142*'RD Feedstock Breakdown'!BK$3*'Feedstock Conversion Rates'!B$3)/12</f>
        <v>1.335</v>
      </c>
      <c r="BL133" s="104">
        <f>('Renewable Diesel'!W142*'RD Feedstock Breakdown'!BL$3*'Feedstock Conversion Rates'!B$6)/12</f>
        <v>3.1266666666666669</v>
      </c>
      <c r="BM133" s="104">
        <f>('Renewable Diesel'!W142*'RD Feedstock Breakdown'!BM$3*'Feedstock Conversion Rates'!B$7)/12</f>
        <v>1.5333333333333332</v>
      </c>
      <c r="BN133" s="106">
        <f t="shared" si="54"/>
        <v>13.495000000000001</v>
      </c>
      <c r="BO133" s="106"/>
      <c r="BP133" s="106"/>
      <c r="BQ133" s="106"/>
      <c r="BR133" s="106"/>
      <c r="BS133" s="106"/>
      <c r="BT133" s="106"/>
      <c r="BU133" s="106"/>
      <c r="BV133" s="106"/>
      <c r="BW133" s="106"/>
      <c r="BX133" s="107"/>
      <c r="BY133" s="106"/>
      <c r="BZ133" s="106"/>
      <c r="CA133" s="106"/>
      <c r="CB133" s="106"/>
      <c r="CC133" s="106"/>
      <c r="CD133" s="106"/>
      <c r="CE133" s="106"/>
      <c r="CF133" s="106"/>
      <c r="CG133" s="106"/>
      <c r="CH133" s="106"/>
      <c r="CI133" s="107"/>
      <c r="CJ133" s="106"/>
      <c r="CK133" s="106"/>
      <c r="CL133" s="106"/>
      <c r="CM133" s="106"/>
      <c r="CN133" s="106"/>
      <c r="CO133" s="106"/>
      <c r="CP133" s="106"/>
      <c r="CQ133" s="106"/>
      <c r="CR133" s="106"/>
      <c r="CS133" s="106"/>
      <c r="CT133" s="106"/>
      <c r="CU133" s="106"/>
      <c r="CV133" s="106"/>
      <c r="CW133" s="106"/>
      <c r="CX133" s="106"/>
      <c r="CY133" s="106"/>
      <c r="CZ133" s="106"/>
      <c r="DA133" s="106"/>
      <c r="DB133" s="106"/>
      <c r="DC133" s="106"/>
      <c r="DD133" s="107"/>
      <c r="DE133" s="106"/>
      <c r="DF133" s="106"/>
      <c r="DG133" s="106"/>
      <c r="DH133" s="106"/>
      <c r="DI133" s="106"/>
      <c r="DJ133" s="107"/>
      <c r="DK133" s="106"/>
      <c r="DL133" s="106"/>
      <c r="DM133" s="106"/>
      <c r="DN133" s="106"/>
      <c r="DP133" s="104">
        <f t="shared" si="30"/>
        <v>54.863333333333337</v>
      </c>
      <c r="DQ133" s="104">
        <f t="shared" si="31"/>
        <v>160.61472499999999</v>
      </c>
      <c r="DR133" s="104">
        <f t="shared" si="39"/>
        <v>253.875</v>
      </c>
      <c r="DS133" s="107"/>
      <c r="DT133" s="104">
        <f t="shared" si="32"/>
        <v>123.80666666666667</v>
      </c>
      <c r="DU133" s="104">
        <f t="shared" si="33"/>
        <v>114.96366666666665</v>
      </c>
      <c r="DV133" s="104">
        <f t="shared" si="34"/>
        <v>50.15625</v>
      </c>
      <c r="DW133" s="104">
        <f t="shared" si="35"/>
        <v>1</v>
      </c>
      <c r="DX133" s="106">
        <f t="shared" si="36"/>
        <v>759.27964166666663</v>
      </c>
      <c r="DY133" s="109">
        <f t="shared" si="37"/>
        <v>0</v>
      </c>
      <c r="EA133" s="110">
        <f t="shared" si="55"/>
        <v>7.2257084639994903E-2</v>
      </c>
      <c r="EB133" s="110">
        <f t="shared" si="55"/>
        <v>0.21153566642118912</v>
      </c>
      <c r="EC133" s="110">
        <f t="shared" si="55"/>
        <v>0.33436297520466685</v>
      </c>
      <c r="ED133" s="107"/>
      <c r="EE133" s="110">
        <f t="shared" si="56"/>
        <v>0.1630580617108385</v>
      </c>
      <c r="EF133" s="110">
        <f t="shared" si="56"/>
        <v>0.15141149631552633</v>
      </c>
      <c r="EG133" s="111">
        <f t="shared" si="56"/>
        <v>6.6057677893093344E-2</v>
      </c>
      <c r="EH133" s="111">
        <f t="shared" si="40"/>
        <v>1.3170378146909576E-3</v>
      </c>
      <c r="EI133" s="110">
        <f t="shared" si="41"/>
        <v>0.99868296218530894</v>
      </c>
      <c r="EK133" s="112">
        <f>(EA133*'Renewable Diesel'!BF142*'Feedstock Conversion Rates'!B$2)+FB133</f>
        <v>44.646492005759363</v>
      </c>
      <c r="EL133" s="112">
        <f>(EB133*'Renewable Diesel'!BF142*'Feedstock Conversion Rates'!B$3)+FC133</f>
        <v>123.16976113790439</v>
      </c>
      <c r="EM133" s="112">
        <f>(EC133*'Renewable Diesel'!BF142*'Feedstock Conversion Rates'!B$4)+FD133</f>
        <v>182.29192221251992</v>
      </c>
      <c r="EN133" s="107"/>
      <c r="EO133" s="112">
        <f>(EE133*'Renewable Diesel'!BF142*'Feedstock Conversion Rates'!B$6)+FF133</f>
        <v>111.18164463576758</v>
      </c>
      <c r="EP133" s="112">
        <f>(EF133*'Renewable Diesel'!BF142*'Feedstock Conversion Rates'!B$7)+FG133</f>
        <v>101.25923891030247</v>
      </c>
      <c r="EQ133" s="112">
        <f>(EG133*'Renewable Diesel'!BF142*'Feedstock Conversion Rates'!B$8)+FH133</f>
        <v>45.017622961455949</v>
      </c>
      <c r="ER133" s="112">
        <f>(EH133*'Renewable Diesel'!BF142*'Feedstock Conversion Rates'!B$9)+FI133</f>
        <v>0.88558032126876574</v>
      </c>
      <c r="ES133" s="112">
        <f t="shared" si="42"/>
        <v>608.45226218497839</v>
      </c>
      <c r="ET133" s="91">
        <f>ES133/'Renewable Diesel'!BF142</f>
        <v>8.3702519364928314</v>
      </c>
      <c r="EU133" s="112"/>
      <c r="EW133" s="73">
        <f t="shared" si="58"/>
        <v>182.29192221251992</v>
      </c>
      <c r="EX133" s="73">
        <f t="shared" si="59"/>
        <v>426.16033997245853</v>
      </c>
      <c r="EY133" s="92">
        <f t="shared" si="38"/>
        <v>0.29959938279775927</v>
      </c>
      <c r="EZ133" s="92">
        <f t="shared" si="38"/>
        <v>0.70040061720224078</v>
      </c>
      <c r="FB133" s="102">
        <f>IF('Renewable Diesel'!$BG142&lt;1,0,(((('Renewable Diesel'!$BG142-1)*'Renewable Diesel'!$BF142)*'RD Feedstock Breakdown'!EA133)*'Feedstock Conversion Rates'!$B$2))</f>
        <v>0</v>
      </c>
      <c r="FC133" s="102">
        <f>IF('Renewable Diesel'!$BG142&lt;1,0,(((('Renewable Diesel'!$BG142-1)*'Renewable Diesel'!$BF142)*'RD Feedstock Breakdown'!EB133)*'Feedstock Conversion Rates'!$B$3))</f>
        <v>0</v>
      </c>
      <c r="FD133" s="102">
        <f>IF('Renewable Diesel'!$BG142&lt;1,0,(((('Renewable Diesel'!$BG142-1)*'Renewable Diesel'!$BF142)*'RD Feedstock Breakdown'!EC133)*'Feedstock Conversion Rates'!$B$4))</f>
        <v>0</v>
      </c>
      <c r="FE133" s="107"/>
      <c r="FF133" s="102">
        <f>IF('Renewable Diesel'!$BG142&lt;1,0,(((('Renewable Diesel'!$BG142-1)*'Renewable Diesel'!$BF142)*'RD Feedstock Breakdown'!EE133)*'Feedstock Conversion Rates'!$B$6))</f>
        <v>0</v>
      </c>
      <c r="FG133" s="102">
        <f>IF('Renewable Diesel'!$BG142&lt;1,0,(((('Renewable Diesel'!$BG142-1)*'Renewable Diesel'!$BF142)*'RD Feedstock Breakdown'!EF133)*'Feedstock Conversion Rates'!$B$7))</f>
        <v>0</v>
      </c>
      <c r="FH133" s="102">
        <f>IF('Renewable Diesel'!$BG142&lt;1,0,(((('Renewable Diesel'!$BG142-1)*'Renewable Diesel'!$BF142)*'RD Feedstock Breakdown'!EG133)*'Feedstock Conversion Rates'!$B$8))</f>
        <v>0</v>
      </c>
      <c r="FI133" s="102">
        <f>IF('Renewable Diesel'!$BG142&lt;1,0,(((('Renewable Diesel'!$BG142-1)*'Renewable Diesel'!$BF142)*'RD Feedstock Breakdown'!EH133)*'Feedstock Conversion Rates'!$B$9))</f>
        <v>0</v>
      </c>
      <c r="FJ133" s="102">
        <f t="shared" si="60"/>
        <v>0</v>
      </c>
      <c r="FR133" s="3">
        <f>('Renewable Diesel'!AX142-'Renewable Diesel'!BI142)/12*$FO$80</f>
        <v>56.174999999999997</v>
      </c>
      <c r="FS133" s="100">
        <f t="shared" si="48"/>
        <v>0.33436297520466685</v>
      </c>
      <c r="FT133" s="3">
        <f t="shared" si="50"/>
        <v>140.87130099091621</v>
      </c>
      <c r="FY133" s="3">
        <f>'Renewable Diesel'!BF142*('Renewable Diesel'!BI142/'Renewable Diesel'!AX142)</f>
        <v>18.997475759368836</v>
      </c>
      <c r="FZ133" s="3">
        <f>('Renewable Diesel'!BJ142*'Renewable Diesel'!BG142)/12</f>
        <v>59.455726807911454</v>
      </c>
      <c r="GA133" s="3">
        <f t="shared" si="51"/>
        <v>149.09845281336857</v>
      </c>
      <c r="GD133" s="91">
        <f>'Renewable Diesel'!BB142*0</f>
        <v>0</v>
      </c>
      <c r="GE133" s="91">
        <f>'Renewable Diesel'!BC142</f>
        <v>0.43774099999999999</v>
      </c>
      <c r="GF133" s="91">
        <f>'Renewable Diesel'!BD142</f>
        <v>0</v>
      </c>
      <c r="GG133" s="91">
        <f t="shared" si="49"/>
        <v>0.43774099999999999</v>
      </c>
      <c r="GH133" s="124">
        <v>1</v>
      </c>
      <c r="GI133" s="102">
        <f>$GG133*EA133*'Feedstock Conversion Rates'!$B$2</f>
        <v>0.26885405214286606</v>
      </c>
      <c r="GJ133" s="102">
        <f>$GG133*EB133*'Feedstock Conversion Rates'!$B$3</f>
        <v>0.74170865158057064</v>
      </c>
      <c r="GK133" s="102">
        <f>$GG133*EC133*'Feedstock Conversion Rates'!$B$4</f>
        <v>1.0977328734679956</v>
      </c>
      <c r="GL133" s="102">
        <f>$GG133*ED133*'Feedstock Conversion Rates'!$B$5</f>
        <v>0</v>
      </c>
      <c r="GM133" s="102">
        <f>$GG133*EE133*'Feedstock Conversion Rates'!$B$6</f>
        <v>0.66951812653899589</v>
      </c>
      <c r="GN133" s="102">
        <f>$GG133*EF133*'Feedstock Conversion Rates'!$B$7</f>
        <v>0.60976698223962433</v>
      </c>
      <c r="GO133" s="102">
        <f>$GG133*EG133*'Feedstock Conversion Rates'!$B$8</f>
        <v>0.27108894354938035</v>
      </c>
      <c r="GP133" s="102">
        <f>$GG133*EH133*'Feedstock Conversion Rates'!B$9</f>
        <v>5.3328234128758685E-3</v>
      </c>
      <c r="GQ133" s="102">
        <f t="shared" si="45"/>
        <v>3.6640024529323085</v>
      </c>
      <c r="GR133" s="85">
        <f t="shared" si="53"/>
        <v>8.3702519364928314</v>
      </c>
      <c r="GT133" s="103">
        <f t="shared" si="47"/>
        <v>7.3377148513561072E-2</v>
      </c>
      <c r="GU133" s="103">
        <f t="shared" si="47"/>
        <v>0.20243126501920863</v>
      </c>
      <c r="GV133" s="103">
        <f t="shared" si="47"/>
        <v>0.29959938279775927</v>
      </c>
      <c r="GW133" s="103">
        <f t="shared" si="46"/>
        <v>0</v>
      </c>
      <c r="GX133" s="103">
        <f t="shared" si="46"/>
        <v>0.18272862399510106</v>
      </c>
      <c r="GY133" s="103">
        <f t="shared" si="46"/>
        <v>0.16642100819327413</v>
      </c>
      <c r="GZ133" s="103">
        <f t="shared" si="46"/>
        <v>7.3987107550222128E-2</v>
      </c>
      <c r="HA133" s="103">
        <f t="shared" si="46"/>
        <v>1.4554639308737361E-3</v>
      </c>
    </row>
    <row r="134" spans="1:209" x14ac:dyDescent="0.25">
      <c r="A134" s="96">
        <v>44501</v>
      </c>
      <c r="B134" s="104">
        <f>55+120+49-30+55+10+4+7+5-2-1+1-8-1+67+2-12.5+1.125-40-85-60-35+15+15-15-20-47+18+7+4+30-10-5-25-50-15+38-1-0.5+30+75-50+30-10-30+35</f>
        <v>120.125</v>
      </c>
      <c r="C134" s="105"/>
      <c r="D134" s="104">
        <v>1</v>
      </c>
      <c r="E134" s="104">
        <f>('Renewable Diesel'!B143*E$3*'Feedstock Conversion Rates'!$B$2)/12-55-8+5-2+40-15+20-4+5+45-40-75+50</f>
        <v>55.929999999999993</v>
      </c>
      <c r="F134" s="104">
        <f>('Renewable Diesel'!B143*'RD Feedstock Breakdown'!F$3*'Feedstock Conversion Rates'!B$8)/12+28.5-49-4-7-1+8+12.5-1.125+15-7.5-30+10-15+10</f>
        <v>23.28125</v>
      </c>
      <c r="G134" s="104">
        <f>('Renewable Diesel'!B143*'RD Feedstock Breakdown'!G$3*'Feedstock Conversion Rates'!B$7)/12-65-67+85+35-30+10-20-30</f>
        <v>94.157000000000011</v>
      </c>
      <c r="H134" s="104">
        <f>('Renewable Diesel'!B143*'RD Feedstock Breakdown'!H$3*'Feedstock Conversion Rates'!B$3)/12+11.5-130+2+60-15+47-42.5+18+50+15+7.5+40-38</f>
        <v>201.90022499999998</v>
      </c>
      <c r="I134" s="106">
        <f t="shared" si="52"/>
        <v>496.39347499999997</v>
      </c>
      <c r="J134" s="106"/>
      <c r="K134" s="107"/>
      <c r="L134" s="106"/>
      <c r="R134" s="104">
        <f>('Renewable Diesel'!D143*'RD Feedstock Breakdown'!R$3*'Feedstock Conversion Rates'!B$7)/12</f>
        <v>2.2999999999999998</v>
      </c>
      <c r="S134" s="106">
        <f t="shared" si="67"/>
        <v>2.2999999999999998</v>
      </c>
      <c r="T134" s="107"/>
      <c r="U134" s="106"/>
      <c r="Y134" s="104">
        <f>30-30+25+30</f>
        <v>55</v>
      </c>
      <c r="Z134" s="104">
        <f>('Renewable Diesel'!F143*'RD Feedstock Breakdown'!Z$3*'Feedstock Conversion Rates'!B$6)/12+17.5-10+10-25+5-30+30-30</f>
        <v>12.055000000000007</v>
      </c>
      <c r="AA134" s="104">
        <f>('Renewable Diesel'!F143*'RD Feedstock Breakdown'!AA$3*'Feedstock Conversion Rates'!B$7)/12-17.5+10+10-25</f>
        <v>6.6333333333333293</v>
      </c>
      <c r="AB134" s="106">
        <f t="shared" si="62"/>
        <v>73.688333333333333</v>
      </c>
      <c r="AC134" s="108"/>
      <c r="AG134" s="105"/>
      <c r="AH134" s="104">
        <v>0</v>
      </c>
      <c r="AI134" s="104">
        <f>('Renewable Diesel'!H143*'RD Feedstock Breakdown'!AI$3*'Feedstock Conversion Rates'!B$6)/12</f>
        <v>58.625000000000007</v>
      </c>
      <c r="AJ134" s="106">
        <f t="shared" si="65"/>
        <v>58.625000000000007</v>
      </c>
      <c r="AK134" s="104">
        <f>('Renewable Diesel'!J143*'RD Feedstock Breakdown'!AK$3*'Feedstock Conversion Rates'!B$4)/12</f>
        <v>62.5</v>
      </c>
      <c r="AL134" s="106">
        <f t="shared" si="68"/>
        <v>62.5</v>
      </c>
      <c r="AT134" s="108"/>
      <c r="AV134" s="104">
        <f>'Renewable Diesel'!N143*'RD Feedstock Breakdown'!$AV$3*'Feedstock Conversion Rates'!$B$4/12</f>
        <v>78.749999999999986</v>
      </c>
      <c r="AW134" s="104">
        <f>'Renewable Diesel'!N143*'RD Feedstock Breakdown'!$AW$3*'Feedstock Conversion Rates'!$B$7/12</f>
        <v>41.4</v>
      </c>
      <c r="AX134" s="106">
        <f t="shared" si="63"/>
        <v>120.14999999999998</v>
      </c>
      <c r="AY134" s="104">
        <f>('Renewable Diesel'!O143*'RD Feedstock Breakdown'!AY$3*'Feedstock Conversion Rates'!B$4)/12</f>
        <v>67.5</v>
      </c>
      <c r="AZ134" s="104">
        <f>('Renewable Diesel'!O143*'RD Feedstock Breakdown'!AZ$3*'Feedstock Conversion Rates'!B$3)/12</f>
        <v>8.01</v>
      </c>
      <c r="BA134" s="106">
        <f t="shared" si="66"/>
        <v>75.510000000000005</v>
      </c>
      <c r="BF134" s="104"/>
      <c r="BG134" s="106"/>
      <c r="BH134" s="104">
        <f>('Renewable Diesel'!T143*'RD Feedstock Breakdown'!BH$3*'Feedstock Conversion Rates'!B$7)/12</f>
        <v>0</v>
      </c>
      <c r="BI134" s="106">
        <f t="shared" si="64"/>
        <v>0</v>
      </c>
      <c r="BJ134" s="104">
        <f>('Renewable Diesel'!W143*'RD Feedstock Breakdown'!BJ$3*'Feedstock Conversion Rates'!B$4)/12</f>
        <v>7.5</v>
      </c>
      <c r="BK134" s="104">
        <f>('Renewable Diesel'!W143*'RD Feedstock Breakdown'!BK$3*'Feedstock Conversion Rates'!B$3)/12</f>
        <v>1.335</v>
      </c>
      <c r="BL134" s="104">
        <f>('Renewable Diesel'!W143*'RD Feedstock Breakdown'!BL$3*'Feedstock Conversion Rates'!B$6)/12</f>
        <v>3.1266666666666669</v>
      </c>
      <c r="BM134" s="104">
        <f>('Renewable Diesel'!W143*'RD Feedstock Breakdown'!BM$3*'Feedstock Conversion Rates'!B$7)/12</f>
        <v>1.5333333333333332</v>
      </c>
      <c r="BN134" s="106">
        <f t="shared" si="54"/>
        <v>13.495000000000001</v>
      </c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7"/>
      <c r="BY134" s="106"/>
      <c r="BZ134" s="106"/>
      <c r="CA134" s="106"/>
      <c r="CB134" s="106"/>
      <c r="CC134" s="106"/>
      <c r="CD134" s="106"/>
      <c r="CE134" s="106"/>
      <c r="CF134" s="106"/>
      <c r="CG134" s="106"/>
      <c r="CH134" s="106"/>
      <c r="CI134" s="107"/>
      <c r="CJ134" s="106"/>
      <c r="CK134" s="106"/>
      <c r="CL134" s="106"/>
      <c r="CM134" s="106"/>
      <c r="CN134" s="106"/>
      <c r="CO134" s="106"/>
      <c r="CP134" s="106"/>
      <c r="CQ134" s="106"/>
      <c r="CR134" s="106"/>
      <c r="CS134" s="106"/>
      <c r="CT134" s="106"/>
      <c r="CU134" s="106"/>
      <c r="CV134" s="106"/>
      <c r="CW134" s="106"/>
      <c r="CX134" s="106"/>
      <c r="CY134" s="106"/>
      <c r="CZ134" s="106"/>
      <c r="DA134" s="106"/>
      <c r="DB134" s="106"/>
      <c r="DC134" s="106"/>
      <c r="DD134" s="107"/>
      <c r="DE134" s="106"/>
      <c r="DF134" s="106"/>
      <c r="DG134" s="106"/>
      <c r="DH134" s="106"/>
      <c r="DI134" s="106"/>
      <c r="DJ134" s="107"/>
      <c r="DK134" s="106"/>
      <c r="DL134" s="106"/>
      <c r="DM134" s="106"/>
      <c r="DN134" s="106"/>
      <c r="DP134" s="104">
        <f t="shared" si="30"/>
        <v>55.929999999999993</v>
      </c>
      <c r="DQ134" s="104">
        <f t="shared" si="31"/>
        <v>211.24522499999998</v>
      </c>
      <c r="DR134" s="104">
        <f t="shared" si="39"/>
        <v>391.375</v>
      </c>
      <c r="DS134" s="107"/>
      <c r="DT134" s="104">
        <f t="shared" si="32"/>
        <v>73.806666666666672</v>
      </c>
      <c r="DU134" s="104">
        <f t="shared" si="33"/>
        <v>146.02366666666666</v>
      </c>
      <c r="DV134" s="104">
        <f t="shared" si="34"/>
        <v>23.28125</v>
      </c>
      <c r="DW134" s="104">
        <f t="shared" si="35"/>
        <v>1</v>
      </c>
      <c r="DX134" s="106">
        <f t="shared" si="36"/>
        <v>902.66180833333328</v>
      </c>
      <c r="DY134" s="109">
        <f t="shared" si="37"/>
        <v>0</v>
      </c>
      <c r="EA134" s="110">
        <f t="shared" si="55"/>
        <v>6.1961190208400026E-2</v>
      </c>
      <c r="EB134" s="110">
        <f t="shared" si="55"/>
        <v>0.23402477323156198</v>
      </c>
      <c r="EC134" s="110">
        <f t="shared" si="55"/>
        <v>0.43357877378531312</v>
      </c>
      <c r="ED134" s="107"/>
      <c r="EE134" s="110">
        <f t="shared" si="56"/>
        <v>8.1765580403742391E-2</v>
      </c>
      <c r="EF134" s="110">
        <f t="shared" si="56"/>
        <v>0.16177007304239829</v>
      </c>
      <c r="EG134" s="111">
        <f t="shared" si="56"/>
        <v>2.5791774710161156E-2</v>
      </c>
      <c r="EH134" s="111">
        <f t="shared" si="40"/>
        <v>1.1078346184230294E-3</v>
      </c>
      <c r="EI134" s="110">
        <f t="shared" si="41"/>
        <v>0.99889216538157699</v>
      </c>
      <c r="EK134" s="112">
        <f>(EA134*'Renewable Diesel'!BF143*'Feedstock Conversion Rates'!B$2)+FB134</f>
        <v>62.831000833195169</v>
      </c>
      <c r="EL134" s="112">
        <f>(EB134*'Renewable Diesel'!BF143*'Feedstock Conversion Rates'!B$3)+FC134</f>
        <v>223.62978671437583</v>
      </c>
      <c r="EM134" s="112">
        <f>(EC134*'Renewable Diesel'!BF143*'Feedstock Conversion Rates'!B$4)+FD134</f>
        <v>387.94001353201628</v>
      </c>
      <c r="EN134" s="107"/>
      <c r="EO134" s="112">
        <f>(EE134*'Renewable Diesel'!BF143*'Feedstock Conversion Rates'!B$6)+FF134</f>
        <v>91.497380912470703</v>
      </c>
      <c r="EP134" s="112">
        <f>(EF134*'Renewable Diesel'!BF143*'Feedstock Conversion Rates'!B$7)+FG134</f>
        <v>177.55025866870528</v>
      </c>
      <c r="EQ134" s="112">
        <f>(EG134*'Renewable Diesel'!BF143*'Feedstock Conversion Rates'!B$8)+FH134</f>
        <v>28.846146407033714</v>
      </c>
      <c r="ER134" s="112">
        <f>(EH134*'Renewable Diesel'!BF143*'Feedstock Conversion Rates'!B$9)+FI134</f>
        <v>1.2225087193173301</v>
      </c>
      <c r="ES134" s="112">
        <f t="shared" si="42"/>
        <v>973.51709578711439</v>
      </c>
      <c r="ET134" s="91">
        <f>ES134/'Renewable Diesel'!BF143</f>
        <v>9.5902745683064623</v>
      </c>
      <c r="EU134" s="112"/>
      <c r="EW134" s="73">
        <f t="shared" si="58"/>
        <v>445.78284451411173</v>
      </c>
      <c r="EX134" s="73">
        <f t="shared" si="59"/>
        <v>672.88809688204071</v>
      </c>
      <c r="EY134" s="92">
        <f t="shared" si="38"/>
        <v>0.45790962114916378</v>
      </c>
      <c r="EZ134" s="92">
        <f t="shared" si="38"/>
        <v>0.69119289203441547</v>
      </c>
      <c r="FB134" s="102">
        <f>IF('Renewable Diesel'!$BG143&lt;1,0,(((('Renewable Diesel'!$BG143-1)*'Renewable Diesel'!$BF143)*'RD Feedstock Breakdown'!EA134)*'Feedstock Conversion Rates'!$B$2))</f>
        <v>9.3682601300689736</v>
      </c>
      <c r="FC134" s="102">
        <f>IF('Renewable Diesel'!$BG143&lt;1,0,(((('Renewable Diesel'!$BG143-1)*'Renewable Diesel'!$BF143)*'RD Feedstock Breakdown'!EB134)*'Feedstock Conversion Rates'!$B$3))</f>
        <v>33.343763221821277</v>
      </c>
      <c r="FD134" s="102">
        <f>IF('Renewable Diesel'!$BG143&lt;1,0,(((('Renewable Diesel'!$BG143-1)*'Renewable Diesel'!$BF143)*'RD Feedstock Breakdown'!EC134)*'Feedstock Conversion Rates'!$B$4))</f>
        <v>57.842830982095442</v>
      </c>
      <c r="FE134" s="107"/>
      <c r="FF134" s="102">
        <f>IF('Renewable Diesel'!$BG143&lt;1,0,(((('Renewable Diesel'!$BG143-1)*'Renewable Diesel'!$BF143)*'RD Feedstock Breakdown'!EE134)*'Feedstock Conversion Rates'!$B$6))</f>
        <v>13.642489443764653</v>
      </c>
      <c r="FG134" s="102">
        <f>IF('Renewable Diesel'!$BG143&lt;1,0,(((('Renewable Diesel'!$BG143-1)*'Renewable Diesel'!$BF143)*'RD Feedstock Breakdown'!EF134)*'Feedstock Conversion Rates'!$B$7))</f>
        <v>26.473189783898569</v>
      </c>
      <c r="FH134" s="102">
        <f>IF('Renewable Diesel'!$BG143&lt;1,0,(((('Renewable Diesel'!$BG143-1)*'Renewable Diesel'!$BF143)*'RD Feedstock Breakdown'!EG134)*'Feedstock Conversion Rates'!$B$8))</f>
        <v>4.3010329249502064</v>
      </c>
      <c r="FI134" s="102">
        <f>IF('Renewable Diesel'!$BG143&lt;1,0,(((('Renewable Diesel'!$BG143-1)*'Renewable Diesel'!$BF143)*'RD Feedstock Breakdown'!EH134)*'Feedstock Conversion Rates'!$B$9))</f>
        <v>0.18227912243905306</v>
      </c>
      <c r="FJ134" s="102">
        <f t="shared" si="60"/>
        <v>145.15384560903814</v>
      </c>
      <c r="FR134" s="3">
        <f>('Renewable Diesel'!AX143-'Renewable Diesel'!BI143)/12*$FO$80</f>
        <v>52.65</v>
      </c>
      <c r="FS134" s="100">
        <f t="shared" si="48"/>
        <v>0.43357877378531312</v>
      </c>
      <c r="FT134" s="3">
        <f t="shared" si="50"/>
        <v>171.20941829847553</v>
      </c>
      <c r="FY134" s="3">
        <f>'Renewable Diesel'!BF143*('Renewable Diesel'!BI143/'Renewable Diesel'!AX143)</f>
        <v>31.441419292035398</v>
      </c>
      <c r="FZ134" s="3">
        <f>('Renewable Diesel'!BJ143*'Renewable Diesel'!BG143)/12</f>
        <v>94.801862640910983</v>
      </c>
      <c r="GA134" s="3">
        <f t="shared" si="51"/>
        <v>308.28056517307402</v>
      </c>
      <c r="GD134" s="91">
        <f>'Renewable Diesel'!BB143*0</f>
        <v>0</v>
      </c>
      <c r="GE134" s="91">
        <f>'Renewable Diesel'!BC143</f>
        <v>0.40348200000000001</v>
      </c>
      <c r="GF134" s="91">
        <f>'Renewable Diesel'!BD143</f>
        <v>0</v>
      </c>
      <c r="GG134" s="91">
        <f t="shared" si="49"/>
        <v>0.40348200000000001</v>
      </c>
      <c r="GH134" s="124">
        <v>1</v>
      </c>
      <c r="GI134" s="102">
        <f>$GG134*EA134*'Feedstock Conversion Rates'!$B$2</f>
        <v>0.21250191205515812</v>
      </c>
      <c r="GJ134" s="102">
        <f>$GG134*EB134*'Feedstock Conversion Rates'!$B$3</f>
        <v>0.75634251625966686</v>
      </c>
      <c r="GK134" s="102">
        <f>$GG134*EC134*'Feedstock Conversion Rates'!$B$4</f>
        <v>1.3120592310333428</v>
      </c>
      <c r="GL134" s="102">
        <f>$GG134*ED134*'Feedstock Conversion Rates'!$B$5</f>
        <v>0</v>
      </c>
      <c r="GM134" s="102">
        <f>$GG134*EE134*'Feedstock Conversion Rates'!$B$6</f>
        <v>0.30945501637890099</v>
      </c>
      <c r="GN134" s="102">
        <f>$GG134*EF134*'Feedstock Conversion Rates'!$B$7</f>
        <v>0.6004960760238951</v>
      </c>
      <c r="GO134" s="102">
        <f>$GG134*EG134*'Feedstock Conversion Rates'!$B$8</f>
        <v>9.7561095408799162E-2</v>
      </c>
      <c r="GP134" s="102">
        <f>$GG134*EH134*'Feedstock Conversion Rates'!B$9</f>
        <v>4.1346697794726875E-3</v>
      </c>
      <c r="GQ134" s="102">
        <f t="shared" si="45"/>
        <v>3.2925505169392357</v>
      </c>
      <c r="GR134" s="85">
        <f t="shared" si="53"/>
        <v>8.1603405280514014</v>
      </c>
      <c r="GT134" s="103">
        <f t="shared" si="47"/>
        <v>6.4540213114998912E-2</v>
      </c>
      <c r="GU134" s="103">
        <f t="shared" si="47"/>
        <v>0.22971326100191924</v>
      </c>
      <c r="GV134" s="103">
        <f t="shared" si="47"/>
        <v>0.39849327270247525</v>
      </c>
      <c r="GW134" s="103">
        <f t="shared" si="46"/>
        <v>0</v>
      </c>
      <c r="GX134" s="103">
        <f t="shared" si="46"/>
        <v>9.3986414114785158E-2</v>
      </c>
      <c r="GY134" s="103">
        <f t="shared" si="46"/>
        <v>0.18238021647185479</v>
      </c>
      <c r="GZ134" s="103">
        <f t="shared" si="46"/>
        <v>2.9630857569800398E-2</v>
      </c>
      <c r="HA134" s="103">
        <f t="shared" si="46"/>
        <v>1.2557650241662162E-3</v>
      </c>
    </row>
    <row r="135" spans="1:209" x14ac:dyDescent="0.25">
      <c r="A135" s="96">
        <v>44531</v>
      </c>
      <c r="B135" s="104">
        <f>55+120+49-30+55+10+4+7+5-2-1-25+1-8-1+67+2-12.5+1.125-40-85-60-35+15+15-15-20+15-47+18+7+4+30-10-5-5-78.35-0.275+17.5+40-1-0.5+30+65-50+30-10+5</f>
        <v>126</v>
      </c>
      <c r="C135" s="105"/>
      <c r="D135" s="104">
        <v>1</v>
      </c>
      <c r="E135" s="104">
        <f>('Renewable Diesel'!B144*E$3*'Feedstock Conversion Rates'!$B$2)/12-55-8+5-2+40-15+20-4+5+5-65+50</f>
        <v>65.929999999999993</v>
      </c>
      <c r="F135" s="104">
        <f>('Renewable Diesel'!B144*'RD Feedstock Breakdown'!F$3*'Feedstock Conversion Rates'!B$8)/12+28.5-49-4-7+25-1+8+12.5-1.125-17.5-30+5</f>
        <v>23.28125</v>
      </c>
      <c r="G135" s="104">
        <f>('Renewable Diesel'!B144*'RD Feedstock Breakdown'!G$3*'Feedstock Conversion Rates'!B$7)/12-65-67+85+35-30+10-30</f>
        <v>114.15700000000001</v>
      </c>
      <c r="H135" s="104">
        <f>('Renewable Diesel'!B144*'RD Feedstock Breakdown'!H$3*'Feedstock Conversion Rates'!B$3)/12+11.5-130+2+60-15+47-42.5+18+78.375+0.25-40</f>
        <v>166.02522499999998</v>
      </c>
      <c r="I135" s="106">
        <f t="shared" si="52"/>
        <v>496.39347499999997</v>
      </c>
      <c r="J135" s="106"/>
      <c r="K135" s="107"/>
      <c r="L135" s="106"/>
      <c r="R135" s="104">
        <f>('Renewable Diesel'!D144*'RD Feedstock Breakdown'!R$3*'Feedstock Conversion Rates'!B$7)/12</f>
        <v>2.2999999999999998</v>
      </c>
      <c r="S135" s="106">
        <f t="shared" si="67"/>
        <v>2.2999999999999998</v>
      </c>
      <c r="T135" s="107"/>
      <c r="U135" s="106"/>
      <c r="Y135" s="104">
        <f>10+20-30+25+20</f>
        <v>45</v>
      </c>
      <c r="Z135" s="104">
        <f>('Renewable Diesel'!F144*'RD Feedstock Breakdown'!Z$3*'Feedstock Conversion Rates'!B$6)/12+17.5-10+10-20-10-20+30-20</f>
        <v>22.055000000000007</v>
      </c>
      <c r="AA135" s="104">
        <f>('Renewable Diesel'!F144*'RD Feedstock Breakdown'!AA$3*'Feedstock Conversion Rates'!B$7)/12-17.5+10+10-25</f>
        <v>6.6333333333333293</v>
      </c>
      <c r="AB135" s="106">
        <f t="shared" si="62"/>
        <v>73.688333333333333</v>
      </c>
      <c r="AC135" s="108"/>
      <c r="AG135" s="105"/>
      <c r="AH135" s="104">
        <v>0</v>
      </c>
      <c r="AI135" s="104">
        <f>('Renewable Diesel'!H144*'RD Feedstock Breakdown'!AI$3*'Feedstock Conversion Rates'!B$6)/12</f>
        <v>58.625000000000007</v>
      </c>
      <c r="AJ135" s="106">
        <f t="shared" si="65"/>
        <v>58.625000000000007</v>
      </c>
      <c r="AK135" s="104">
        <f>('Renewable Diesel'!J144*'RD Feedstock Breakdown'!AK$3*'Feedstock Conversion Rates'!B$4)/12</f>
        <v>62.5</v>
      </c>
      <c r="AL135" s="106">
        <f t="shared" si="68"/>
        <v>62.5</v>
      </c>
      <c r="AT135" s="108"/>
      <c r="AV135" s="104">
        <f>'Renewable Diesel'!N144*'RD Feedstock Breakdown'!$AV$3*'Feedstock Conversion Rates'!$B$4/12</f>
        <v>78.749999999999986</v>
      </c>
      <c r="AW135" s="104">
        <f>'Renewable Diesel'!N144*'RD Feedstock Breakdown'!$AW$3*'Feedstock Conversion Rates'!$B$7/12</f>
        <v>41.4</v>
      </c>
      <c r="AX135" s="106">
        <f t="shared" si="63"/>
        <v>120.14999999999998</v>
      </c>
      <c r="AY135" s="104">
        <f>('Renewable Diesel'!O144*'RD Feedstock Breakdown'!AY$3*'Feedstock Conversion Rates'!B$4)/12-25</f>
        <v>42.5</v>
      </c>
      <c r="AZ135" s="104">
        <f>('Renewable Diesel'!O144*'RD Feedstock Breakdown'!AZ$3*'Feedstock Conversion Rates'!B$3)/12+25</f>
        <v>33.01</v>
      </c>
      <c r="BA135" s="106">
        <f t="shared" si="66"/>
        <v>75.509999999999991</v>
      </c>
      <c r="BF135" s="104"/>
      <c r="BG135" s="106"/>
      <c r="BH135" s="104">
        <f>('Renewable Diesel'!T144*'RD Feedstock Breakdown'!BH$3*'Feedstock Conversion Rates'!B$7)/12</f>
        <v>0</v>
      </c>
      <c r="BI135" s="106">
        <f t="shared" si="64"/>
        <v>0</v>
      </c>
      <c r="BJ135" s="104">
        <f>('Renewable Diesel'!W144*'RD Feedstock Breakdown'!BJ$3*'Feedstock Conversion Rates'!B$4)/12</f>
        <v>7.5</v>
      </c>
      <c r="BK135" s="104">
        <f>('Renewable Diesel'!W144*'RD Feedstock Breakdown'!BK$3*'Feedstock Conversion Rates'!B$3)/12</f>
        <v>1.335</v>
      </c>
      <c r="BL135" s="104">
        <f>('Renewable Diesel'!W144*'RD Feedstock Breakdown'!BL$3*'Feedstock Conversion Rates'!B$6)/12</f>
        <v>3.1266666666666669</v>
      </c>
      <c r="BM135" s="104">
        <f>('Renewable Diesel'!W144*'RD Feedstock Breakdown'!BM$3*'Feedstock Conversion Rates'!B$7)/12</f>
        <v>1.5333333333333332</v>
      </c>
      <c r="BN135" s="106">
        <f t="shared" si="54"/>
        <v>13.495000000000001</v>
      </c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7"/>
      <c r="BY135" s="106"/>
      <c r="BZ135" s="106"/>
      <c r="CA135" s="106"/>
      <c r="CB135" s="106"/>
      <c r="CC135" s="106"/>
      <c r="CD135" s="106"/>
      <c r="CE135" s="106"/>
      <c r="CF135" s="106"/>
      <c r="CG135" s="106"/>
      <c r="CH135" s="106"/>
      <c r="CI135" s="107"/>
      <c r="CJ135" s="106"/>
      <c r="CK135" s="106"/>
      <c r="CL135" s="106"/>
      <c r="CM135" s="106"/>
      <c r="CN135" s="106"/>
      <c r="CO135" s="106"/>
      <c r="CP135" s="106"/>
      <c r="CQ135" s="106"/>
      <c r="CR135" s="106"/>
      <c r="CS135" s="106"/>
      <c r="CT135" s="106"/>
      <c r="CU135" s="106"/>
      <c r="CV135" s="106"/>
      <c r="CW135" s="106"/>
      <c r="CX135" s="106"/>
      <c r="CY135" s="106"/>
      <c r="CZ135" s="106"/>
      <c r="DA135" s="106"/>
      <c r="DB135" s="106"/>
      <c r="DC135" s="106"/>
      <c r="DD135" s="107"/>
      <c r="DE135" s="106"/>
      <c r="DF135" s="106"/>
      <c r="DG135" s="106"/>
      <c r="DH135" s="106"/>
      <c r="DI135" s="106"/>
      <c r="DJ135" s="107"/>
      <c r="DK135" s="106"/>
      <c r="DL135" s="106"/>
      <c r="DM135" s="106"/>
      <c r="DN135" s="106"/>
      <c r="DP135" s="104">
        <f t="shared" si="30"/>
        <v>65.929999999999993</v>
      </c>
      <c r="DQ135" s="104">
        <f t="shared" si="31"/>
        <v>200.37022499999998</v>
      </c>
      <c r="DR135" s="104">
        <f t="shared" si="39"/>
        <v>362.25</v>
      </c>
      <c r="DS135" s="107"/>
      <c r="DT135" s="104">
        <f t="shared" si="32"/>
        <v>83.806666666666672</v>
      </c>
      <c r="DU135" s="104">
        <f t="shared" si="33"/>
        <v>166.02366666666666</v>
      </c>
      <c r="DV135" s="104">
        <f t="shared" si="34"/>
        <v>23.28125</v>
      </c>
      <c r="DW135" s="104">
        <f t="shared" si="35"/>
        <v>1</v>
      </c>
      <c r="DX135" s="106">
        <f t="shared" si="36"/>
        <v>902.66180833333328</v>
      </c>
      <c r="DY135" s="109">
        <f t="shared" si="37"/>
        <v>0</v>
      </c>
      <c r="EA135" s="110">
        <f t="shared" si="55"/>
        <v>7.3039536392630319E-2</v>
      </c>
      <c r="EB135" s="110">
        <f t="shared" si="55"/>
        <v>0.22197707175621154</v>
      </c>
      <c r="EC135" s="110">
        <f t="shared" si="55"/>
        <v>0.40131309052374242</v>
      </c>
      <c r="ED135" s="107"/>
      <c r="EE135" s="110">
        <f t="shared" si="56"/>
        <v>9.2843926587972692E-2</v>
      </c>
      <c r="EF135" s="110">
        <f t="shared" si="56"/>
        <v>0.18392676541085889</v>
      </c>
      <c r="EG135" s="111">
        <f t="shared" si="56"/>
        <v>2.5791774710161156E-2</v>
      </c>
      <c r="EH135" s="111">
        <f t="shared" si="40"/>
        <v>1.1078346184230294E-3</v>
      </c>
      <c r="EI135" s="110">
        <f t="shared" si="41"/>
        <v>0.99889216538157688</v>
      </c>
      <c r="EK135" s="112">
        <f>(EA135*'Renewable Diesel'!BF144*'Feedstock Conversion Rates'!B$2)+FB135</f>
        <v>78.962755499035836</v>
      </c>
      <c r="EL135" s="112">
        <f>(EB135*'Renewable Diesel'!BF144*'Feedstock Conversion Rates'!B$3)+FC135</f>
        <v>226.14448218440953</v>
      </c>
      <c r="EM135" s="112">
        <f>(EC135*'Renewable Diesel'!BF144*'Feedstock Conversion Rates'!B$4)+FD135</f>
        <v>382.81588555855689</v>
      </c>
      <c r="EN135" s="107"/>
      <c r="EO135" s="112">
        <f>(EE135*'Renewable Diesel'!BF144*'Feedstock Conversion Rates'!B$6)+FF135</f>
        <v>110.76478259079539</v>
      </c>
      <c r="EP135" s="112">
        <f>(EF135*'Renewable Diesel'!BF144*'Feedstock Conversion Rates'!B$7)+FG135</f>
        <v>215.21776754684834</v>
      </c>
      <c r="EQ135" s="112">
        <f>(EG135*'Renewable Diesel'!BF144*'Feedstock Conversion Rates'!B$8)+FH135</f>
        <v>30.753734767633375</v>
      </c>
      <c r="ER135" s="112">
        <f>(EH135*'Renewable Diesel'!BF144*'Feedstock Conversion Rates'!B$9)+FI135</f>
        <v>1.3033529114945115</v>
      </c>
      <c r="ES135" s="112">
        <f t="shared" si="42"/>
        <v>1045.962761058774</v>
      </c>
      <c r="ET135" s="91">
        <f>ES135/'Renewable Diesel'!BF144</f>
        <v>9.7275121839686296</v>
      </c>
      <c r="EU135" s="112"/>
      <c r="EW135" s="73">
        <f t="shared" si="58"/>
        <v>441.99412851537227</v>
      </c>
      <c r="EX135" s="73">
        <f t="shared" si="59"/>
        <v>765.66056000195886</v>
      </c>
      <c r="EY135" s="92">
        <f t="shared" si="38"/>
        <v>0.42257157230718662</v>
      </c>
      <c r="EZ135" s="92">
        <f t="shared" si="38"/>
        <v>0.73201512377641464</v>
      </c>
      <c r="FB135" s="102">
        <f>IF('Renewable Diesel'!$BG144&lt;1,0,(((('Renewable Diesel'!$BG144-1)*'Renewable Diesel'!$BF144)*'RD Feedstock Breakdown'!EA135)*'Feedstock Conversion Rates'!$B$2))</f>
        <v>12.206591486253179</v>
      </c>
      <c r="FC135" s="102">
        <f>IF('Renewable Diesel'!$BG144&lt;1,0,(((('Renewable Diesel'!$BG144-1)*'Renewable Diesel'!$BF144)*'RD Feedstock Breakdown'!EB135)*'Feedstock Conversion Rates'!$B$3))</f>
        <v>34.958928338424727</v>
      </c>
      <c r="FD135" s="102">
        <f>IF('Renewable Diesel'!$BG144&lt;1,0,(((('Renewable Diesel'!$BG144-1)*'Renewable Diesel'!$BF144)*'RD Feedstock Breakdown'!EC135)*'Feedstock Conversion Rates'!$B$4))</f>
        <v>59.17824295681536</v>
      </c>
      <c r="FE135" s="107"/>
      <c r="FF135" s="102">
        <f>IF('Renewable Diesel'!$BG144&lt;1,0,(((('Renewable Diesel'!$BG144-1)*'Renewable Diesel'!$BF144)*'RD Feedstock Breakdown'!EE135)*'Feedstock Conversion Rates'!$B$6))</f>
        <v>17.122761783129469</v>
      </c>
      <c r="FG135" s="102">
        <f>IF('Renewable Diesel'!$BG144&lt;1,0,(((('Renewable Diesel'!$BG144-1)*'Renewable Diesel'!$BF144)*'RD Feedstock Breakdown'!EF135)*'Feedstock Conversion Rates'!$B$7))</f>
        <v>33.269803623555816</v>
      </c>
      <c r="FH135" s="102">
        <f>IF('Renewable Diesel'!$BG144&lt;1,0,(((('Renewable Diesel'!$BG144-1)*'Renewable Diesel'!$BF144)*'RD Feedstock Breakdown'!EG135)*'Feedstock Conversion Rates'!$B$8))</f>
        <v>4.7541182499598271</v>
      </c>
      <c r="FI135" s="102">
        <f>IF('Renewable Diesel'!$BG144&lt;1,0,(((('Renewable Diesel'!$BG144-1)*'Renewable Diesel'!$BF144)*'RD Feedstock Breakdown'!EH135)*'Feedstock Conversion Rates'!$B$9))</f>
        <v>0.20148102041887908</v>
      </c>
      <c r="FJ135" s="102">
        <f t="shared" si="60"/>
        <v>161.69192745855725</v>
      </c>
      <c r="FR135" s="3">
        <f>('Renewable Diesel'!AX144-'Renewable Diesel'!BI144)/12*$FO$80</f>
        <v>59.325000000000003</v>
      </c>
      <c r="FS135" s="100">
        <f t="shared" si="48"/>
        <v>0.40131309052374242</v>
      </c>
      <c r="FT135" s="3">
        <f t="shared" si="50"/>
        <v>178.55924321490764</v>
      </c>
      <c r="FY135" s="3">
        <f>'Renewable Diesel'!BF144*('Renewable Diesel'!BI144/'Renewable Diesel'!AX144)</f>
        <v>30.624560601265824</v>
      </c>
      <c r="FZ135" s="3">
        <f>('Renewable Diesel'!BJ144*'Renewable Diesel'!BG144)/12</f>
        <v>95.416840843379546</v>
      </c>
      <c r="GA135" s="3">
        <f t="shared" si="51"/>
        <v>287.19020465151527</v>
      </c>
      <c r="GD135" s="91">
        <f>'Renewable Diesel'!BB144*0</f>
        <v>0</v>
      </c>
      <c r="GE135" s="91">
        <f>'Renewable Diesel'!BC144</f>
        <v>0.30850300000000003</v>
      </c>
      <c r="GF135" s="91">
        <f>'Renewable Diesel'!BD144</f>
        <v>0</v>
      </c>
      <c r="GG135" s="91">
        <f t="shared" si="49"/>
        <v>0.30850300000000003</v>
      </c>
      <c r="GH135" s="124">
        <v>1</v>
      </c>
      <c r="GI135" s="102">
        <f>$GG135*EA135*'Feedstock Conversion Rates'!$B$2</f>
        <v>0.19152978681375291</v>
      </c>
      <c r="GJ135" s="102">
        <f>$GG135*EB135*'Feedstock Conversion Rates'!$B$3</f>
        <v>0.5485295464697324</v>
      </c>
      <c r="GK135" s="102">
        <f>$GG135*EC135*'Feedstock Conversion Rates'!$B$4</f>
        <v>0.9285471927438459</v>
      </c>
      <c r="GL135" s="102">
        <f>$GG135*ED135*'Feedstock Conversion Rates'!$B$5</f>
        <v>0</v>
      </c>
      <c r="GM135" s="102">
        <f>$GG135*EE135*'Feedstock Conversion Rates'!$B$6</f>
        <v>0.26866786831350842</v>
      </c>
      <c r="GN135" s="102">
        <f>$GG135*EF135*'Feedstock Conversion Rates'!$B$7</f>
        <v>0.52202602196782499</v>
      </c>
      <c r="GO135" s="102">
        <f>$GG135*EG135*'Feedstock Conversion Rates'!$B$8</f>
        <v>7.4595373813207938E-2</v>
      </c>
      <c r="GP135" s="102">
        <f>$GG135*EH135*'Feedstock Conversion Rates'!B$9</f>
        <v>3.1613753054080787E-3</v>
      </c>
      <c r="GQ135" s="102">
        <f t="shared" si="45"/>
        <v>2.5370571654272807</v>
      </c>
      <c r="GR135" s="85">
        <f t="shared" si="53"/>
        <v>8.223768214335939</v>
      </c>
      <c r="GT135" s="103">
        <f t="shared" si="47"/>
        <v>7.5492893665837515E-2</v>
      </c>
      <c r="GU135" s="103">
        <f t="shared" si="47"/>
        <v>0.21620701099864698</v>
      </c>
      <c r="GV135" s="103">
        <f t="shared" si="47"/>
        <v>0.36599379998103582</v>
      </c>
      <c r="GW135" s="103">
        <f t="shared" si="46"/>
        <v>0</v>
      </c>
      <c r="GX135" s="103">
        <f t="shared" si="46"/>
        <v>0.1058974436897485</v>
      </c>
      <c r="GY135" s="103">
        <f t="shared" si="46"/>
        <v>0.20576044918558525</v>
      </c>
      <c r="GZ135" s="103">
        <f t="shared" si="46"/>
        <v>2.9402322828876774E-2</v>
      </c>
      <c r="HA135" s="103">
        <f t="shared" si="46"/>
        <v>1.2460796502689968E-3</v>
      </c>
    </row>
    <row r="136" spans="1:209" x14ac:dyDescent="0.25">
      <c r="A136" s="96">
        <v>44562</v>
      </c>
      <c r="B136" s="104">
        <f>55+120+49+5+10+21-40-12.5-2+6+25+14-5-1-4-1-6-9-4+20-20+40+20-10+20-40-85-70+15+25+15-20-44-18+43-30+3.75+3-15-10-5-30-10-1+20-26+15-26+30+25+30-10+5</f>
        <v>80.25</v>
      </c>
      <c r="C136" s="105"/>
      <c r="D136" s="104">
        <v>1</v>
      </c>
      <c r="E136" s="104">
        <f>('Renewable Diesel'!B145*E$3*'Feedstock Conversion Rates'!$B$2)/12-30-21-14+5+1+9+40-25+20+5+1+26+13-1-25</f>
        <v>93.929999999999993</v>
      </c>
      <c r="F136" s="104">
        <f>('Renewable Diesel'!B145*'RD Feedstock Breakdown'!F$3*'Feedstock Conversion Rates'!B$8)/12+28.5-49-5+2-6+1+6+20-20+32.5-3.75+10-15-30+10-5</f>
        <v>30.15625</v>
      </c>
      <c r="G136" s="104">
        <f>('Renewable Diesel'!B145*'RD Feedstock Breakdown'!G$3*'Feedstock Conversion Rates'!B$7)/12-25-15-25+4+4-20-40-20+10+85-10-15+30+15+10-20.5-20</f>
        <v>123.65700000000001</v>
      </c>
      <c r="H136" s="104">
        <f>('Renewable Diesel'!B145*'RD Feedstock Breakdown'!H$3*'Feedstock Conversion Rates'!B$3)/12+11.5-120-10-5+70-15+44-42.5+18-3+30+13</f>
        <v>167.40022499999998</v>
      </c>
      <c r="I136" s="106">
        <f t="shared" si="52"/>
        <v>496.39347499999997</v>
      </c>
      <c r="J136" s="106"/>
      <c r="K136" s="107"/>
      <c r="L136" s="106"/>
      <c r="R136" s="104">
        <f>('Renewable Diesel'!D145*'RD Feedstock Breakdown'!R$3*'Feedstock Conversion Rates'!B$7)/12</f>
        <v>2.2999999999999998</v>
      </c>
      <c r="S136" s="106">
        <f t="shared" si="67"/>
        <v>2.2999999999999998</v>
      </c>
      <c r="T136" s="107"/>
      <c r="U136" s="106"/>
      <c r="V136" s="104"/>
      <c r="W136" s="104"/>
      <c r="X136" s="106"/>
      <c r="Y136" s="104">
        <f>12.5+15+1+8-20+27.5-5-39+19-10+16-25+30-30+25</f>
        <v>25</v>
      </c>
      <c r="Z136" s="104">
        <f>('Renewable Diesel'!F145*'RD Feedstock Breakdown'!Z$3*'Feedstock Conversion Rates'!B$6)/12+5-15-1-8+20-27.5+5+10-16+25-30+30+40-40</f>
        <v>42.055000000000007</v>
      </c>
      <c r="AA136" s="104">
        <f>('Renewable Diesel'!F145*'RD Feedstock Breakdown'!AA$3*'Feedstock Conversion Rates'!B$7)/12-17.5+10+10-25</f>
        <v>6.6333333333333293</v>
      </c>
      <c r="AB136" s="106">
        <f t="shared" si="62"/>
        <v>73.688333333333333</v>
      </c>
      <c r="AC136" s="108"/>
      <c r="AG136" s="105"/>
      <c r="AH136" s="104">
        <v>0</v>
      </c>
      <c r="AI136" s="104">
        <f>('Renewable Diesel'!H145*'RD Feedstock Breakdown'!AI$3*'Feedstock Conversion Rates'!B$6)/12</f>
        <v>58.625000000000007</v>
      </c>
      <c r="AJ136" s="106">
        <f t="shared" si="65"/>
        <v>58.625000000000007</v>
      </c>
      <c r="AK136" s="104">
        <f>('Renewable Diesel'!J145*'RD Feedstock Breakdown'!AK$3*'Feedstock Conversion Rates'!B$4)/12</f>
        <v>95.8125</v>
      </c>
      <c r="AL136" s="106">
        <f t="shared" si="68"/>
        <v>95.8125</v>
      </c>
      <c r="AM136" s="104"/>
      <c r="AN136" s="104"/>
      <c r="AO136" s="106"/>
      <c r="AP136" s="104">
        <f>('Renewable Diesel'!L145*'RD Feedstock Breakdown'!AP$3*'Feedstock Conversion Rates'!B$4)/12</f>
        <v>0</v>
      </c>
      <c r="AQ136" s="104">
        <f>('Renewable Diesel'!M145*'RD Feedstock Breakdown'!AQ$3*'Feedstock Conversion Rates'!B$6)/12</f>
        <v>0</v>
      </c>
      <c r="AR136" s="106">
        <f>SUM(AP136:AQ136)</f>
        <v>0</v>
      </c>
      <c r="AS136" s="104"/>
      <c r="AT136" s="105"/>
      <c r="AU136" s="106"/>
      <c r="AV136" s="104">
        <f>'Renewable Diesel'!N145*'RD Feedstock Breakdown'!$AV$3*'Feedstock Conversion Rates'!$B$4/12+3</f>
        <v>81.749999999999986</v>
      </c>
      <c r="AW136" s="104">
        <f>'Renewable Diesel'!N145*'RD Feedstock Breakdown'!$AW$3*'Feedstock Conversion Rates'!$B$7/12-3+25-25</f>
        <v>38.4</v>
      </c>
      <c r="AX136" s="106">
        <f t="shared" si="63"/>
        <v>120.14999999999998</v>
      </c>
      <c r="AY136" s="104">
        <f>('Renewable Diesel'!O145*'RD Feedstock Breakdown'!AY$3*'Feedstock Conversion Rates'!B$4)/12+5-50</f>
        <v>22.5</v>
      </c>
      <c r="AZ136" s="104">
        <f>('Renewable Diesel'!O145*'RD Feedstock Breakdown'!AZ$3*'Feedstock Conversion Rates'!B$3)/12-5+50</f>
        <v>53.01</v>
      </c>
      <c r="BA136" s="106">
        <f t="shared" si="66"/>
        <v>75.509999999999991</v>
      </c>
      <c r="BF136" s="104"/>
      <c r="BG136" s="106"/>
      <c r="BH136" s="104">
        <f>('Renewable Diesel'!T145*'RD Feedstock Breakdown'!BH$3*'Feedstock Conversion Rates'!B$7)/12</f>
        <v>0</v>
      </c>
      <c r="BI136" s="106">
        <f t="shared" si="64"/>
        <v>0</v>
      </c>
      <c r="BJ136" s="104">
        <f>('Renewable Diesel'!W145*'RD Feedstock Breakdown'!BJ$3*'Feedstock Conversion Rates'!B$4)/12</f>
        <v>7.5</v>
      </c>
      <c r="BK136" s="104">
        <f>('Renewable Diesel'!W145*'RD Feedstock Breakdown'!BK$3*'Feedstock Conversion Rates'!B$3)/12</f>
        <v>1.335</v>
      </c>
      <c r="BL136" s="104">
        <f>('Renewable Diesel'!W145*'RD Feedstock Breakdown'!BL$3*'Feedstock Conversion Rates'!B$6)/12</f>
        <v>3.1266666666666669</v>
      </c>
      <c r="BM136" s="104">
        <f>('Renewable Diesel'!W145*'RD Feedstock Breakdown'!BM$3*'Feedstock Conversion Rates'!B$7)/12</f>
        <v>1.5333333333333332</v>
      </c>
      <c r="BN136" s="106">
        <f t="shared" si="54"/>
        <v>13.495000000000001</v>
      </c>
      <c r="BO136" s="106"/>
      <c r="BP136" s="106"/>
      <c r="BQ136" s="106"/>
      <c r="BR136" s="106"/>
      <c r="BS136" s="106"/>
      <c r="BT136" s="106"/>
      <c r="BU136" s="104"/>
      <c r="BV136" s="106"/>
      <c r="BW136" s="106"/>
      <c r="BX136" s="107"/>
      <c r="BY136" s="106"/>
      <c r="BZ136" s="106"/>
      <c r="CA136" s="106"/>
      <c r="CB136" s="106"/>
      <c r="CC136" s="106"/>
      <c r="CD136" s="106"/>
      <c r="CE136" s="106"/>
      <c r="CF136" s="106"/>
      <c r="CG136" s="106"/>
      <c r="CH136" s="106"/>
      <c r="CI136" s="107"/>
      <c r="CJ136" s="106"/>
      <c r="CK136" s="106"/>
      <c r="CL136" s="106"/>
      <c r="CM136" s="106"/>
      <c r="CN136" s="106"/>
      <c r="CO136" s="106"/>
      <c r="CP136" s="106"/>
      <c r="CQ136" s="106"/>
      <c r="CR136" s="106"/>
      <c r="CS136" s="106"/>
      <c r="CT136" s="106"/>
      <c r="CU136" s="106"/>
      <c r="CV136" s="106"/>
      <c r="CW136" s="106"/>
      <c r="CX136" s="106"/>
      <c r="CY136" s="106"/>
      <c r="CZ136" s="106"/>
      <c r="DA136" s="106"/>
      <c r="DB136" s="106"/>
      <c r="DC136" s="106"/>
      <c r="DD136" s="107"/>
      <c r="DE136" s="106"/>
      <c r="DF136" s="106"/>
      <c r="DG136" s="106"/>
      <c r="DH136" s="106"/>
      <c r="DI136" s="106"/>
      <c r="DJ136" s="107"/>
      <c r="DK136" s="106"/>
      <c r="DL136" s="106"/>
      <c r="DM136" s="106"/>
      <c r="DN136" s="106"/>
      <c r="DP136" s="104">
        <f t="shared" si="30"/>
        <v>93.929999999999993</v>
      </c>
      <c r="DQ136" s="104">
        <f t="shared" si="31"/>
        <v>221.74522499999998</v>
      </c>
      <c r="DR136" s="104">
        <f t="shared" si="39"/>
        <v>312.8125</v>
      </c>
      <c r="DS136" s="107"/>
      <c r="DT136" s="104">
        <f t="shared" si="32"/>
        <v>103.80666666666667</v>
      </c>
      <c r="DU136" s="104">
        <f t="shared" si="33"/>
        <v>172.52366666666668</v>
      </c>
      <c r="DV136" s="104">
        <f t="shared" si="34"/>
        <v>30.15625</v>
      </c>
      <c r="DW136" s="104">
        <f t="shared" si="35"/>
        <v>1</v>
      </c>
      <c r="DX136" s="106">
        <f t="shared" si="36"/>
        <v>935.97430833333328</v>
      </c>
      <c r="DY136" s="109">
        <f t="shared" si="37"/>
        <v>0</v>
      </c>
      <c r="EA136" s="110">
        <f t="shared" si="55"/>
        <v>0.10035531869166245</v>
      </c>
      <c r="EB136" s="110">
        <f t="shared" si="55"/>
        <v>0.23691379456222075</v>
      </c>
      <c r="EC136" s="110">
        <f t="shared" si="55"/>
        <v>0.33421056242133146</v>
      </c>
      <c r="ED136" s="107"/>
      <c r="EE136" s="110">
        <f t="shared" si="56"/>
        <v>0.11090760263656455</v>
      </c>
      <c r="EF136" s="110">
        <f t="shared" si="56"/>
        <v>0.18432521612038197</v>
      </c>
      <c r="EG136" s="111">
        <f t="shared" si="56"/>
        <v>3.2219100173484998E-2</v>
      </c>
      <c r="EH136" s="111">
        <f t="shared" si="40"/>
        <v>1.0684053943539067E-3</v>
      </c>
      <c r="EI136" s="110">
        <f t="shared" si="41"/>
        <v>0.99893159460564607</v>
      </c>
      <c r="EK136" s="112">
        <f>(EA136*'Renewable Diesel'!BF145*'Feedstock Conversion Rates'!B$2)+FB136</f>
        <v>71.134899185008777</v>
      </c>
      <c r="EL136" s="112">
        <f>(EB136*'Renewable Diesel'!BF145*'Feedstock Conversion Rates'!B$3)+FC136</f>
        <v>158.25092784151906</v>
      </c>
      <c r="EM136" s="112">
        <f>(EC136*'Renewable Diesel'!BF145*'Feedstock Conversion Rates'!B$4)+FD136</f>
        <v>209.02817791074608</v>
      </c>
      <c r="EN136" s="107"/>
      <c r="EO136" s="112">
        <f>(EE136*'Renewable Diesel'!BF145*'Feedstock Conversion Rates'!B$6)+FF136</f>
        <v>86.753610115732073</v>
      </c>
      <c r="EP136" s="112">
        <f>(EF136*'Renewable Diesel'!BF145*'Feedstock Conversion Rates'!B$7)+FG136</f>
        <v>141.4151632884624</v>
      </c>
      <c r="EQ136" s="112">
        <f>(EG136*'Renewable Diesel'!BF145*'Feedstock Conversion Rates'!B$8)+FH136</f>
        <v>25.188835125358384</v>
      </c>
      <c r="ER136" s="112">
        <f>(EH136*'Renewable Diesel'!BF145*'Feedstock Conversion Rates'!B$9)+FI136</f>
        <v>0.82414040175265846</v>
      </c>
      <c r="ES136" s="112">
        <f t="shared" si="42"/>
        <v>692.59575386857944</v>
      </c>
      <c r="ET136" s="91">
        <f>ES136/'Renewable Diesel'!BF145</f>
        <v>8.3053210365451893</v>
      </c>
      <c r="EU136" s="112"/>
      <c r="EW136" s="73">
        <f t="shared" si="58"/>
        <v>209.02817791074608</v>
      </c>
      <c r="EX136" s="73">
        <f t="shared" si="59"/>
        <v>483.56757595783341</v>
      </c>
      <c r="EY136" s="92">
        <f>EW136/$ES136</f>
        <v>0.30180401300931065</v>
      </c>
      <c r="EZ136" s="92">
        <f>EX136/$ES136</f>
        <v>0.69819598699068941</v>
      </c>
      <c r="FB136" s="102">
        <f>IF('Renewable Diesel'!$BG145&lt;1,0,(((('Renewable Diesel'!$BG145-1)*'Renewable Diesel'!$BF145)*'RD Feedstock Breakdown'!EA136)*'Feedstock Conversion Rates'!$B$2))</f>
        <v>0</v>
      </c>
      <c r="FC136" s="102">
        <f>IF('Renewable Diesel'!$BG145&lt;1,0,(((('Renewable Diesel'!$BG145-1)*'Renewable Diesel'!$BF145)*'RD Feedstock Breakdown'!EB136)*'Feedstock Conversion Rates'!$B$3))</f>
        <v>0</v>
      </c>
      <c r="FD136" s="102">
        <f>IF('Renewable Diesel'!$BG145&lt;1,0,(((('Renewable Diesel'!$BG145-1)*'Renewable Diesel'!$BF145)*'RD Feedstock Breakdown'!EC136)*'Feedstock Conversion Rates'!$B$4))</f>
        <v>0</v>
      </c>
      <c r="FE136" s="107"/>
      <c r="FF136" s="102">
        <f>IF('Renewable Diesel'!$BG145&lt;1,0,(((('Renewable Diesel'!$BG145-1)*'Renewable Diesel'!$BF145)*'RD Feedstock Breakdown'!EE136)*'Feedstock Conversion Rates'!$B$6))</f>
        <v>0</v>
      </c>
      <c r="FG136" s="102">
        <f>IF('Renewable Diesel'!$BG145&lt;1,0,(((('Renewable Diesel'!$BG145-1)*'Renewable Diesel'!$BF145)*'RD Feedstock Breakdown'!EF136)*'Feedstock Conversion Rates'!$B$7))</f>
        <v>0</v>
      </c>
      <c r="FH136" s="102">
        <f>IF('Renewable Diesel'!$BG145&lt;1,0,(((('Renewable Diesel'!$BG145-1)*'Renewable Diesel'!$BF145)*'RD Feedstock Breakdown'!EG136)*'Feedstock Conversion Rates'!$B$8))</f>
        <v>0</v>
      </c>
      <c r="FI136" s="102">
        <f>IF('Renewable Diesel'!$BG145&lt;1,0,(((('Renewable Diesel'!$BG145-1)*'Renewable Diesel'!$BF145)*'RD Feedstock Breakdown'!EH136)*'Feedstock Conversion Rates'!$B$9))</f>
        <v>0</v>
      </c>
      <c r="FJ136" s="102">
        <f t="shared" si="60"/>
        <v>0</v>
      </c>
      <c r="FR136" s="3">
        <f>('Renewable Diesel'!AX145-'Renewable Diesel'!BI145)/12*$FO$80</f>
        <v>106.625625</v>
      </c>
      <c r="FS136" s="100">
        <f t="shared" si="48"/>
        <v>0.33421056242133146</v>
      </c>
      <c r="FT136" s="3">
        <f t="shared" si="50"/>
        <v>267.26557574831986</v>
      </c>
      <c r="FY136" s="3">
        <f>'Renewable Diesel'!BF145*('Renewable Diesel'!BI145/'Renewable Diesel'!AX145)</f>
        <v>15.645494867571426</v>
      </c>
      <c r="FZ136" s="3">
        <f>('Renewable Diesel'!BJ145*'Renewable Diesel'!BG145)/12</f>
        <v>66.471518879936625</v>
      </c>
      <c r="GA136" s="3">
        <f t="shared" si="51"/>
        <v>166.6161278239783</v>
      </c>
      <c r="GD136" s="91">
        <f>'Renewable Diesel'!BB145*0</f>
        <v>0</v>
      </c>
      <c r="GE136" s="91">
        <f>'Renewable Diesel'!BC145</f>
        <v>0.40211999999999998</v>
      </c>
      <c r="GF136" s="91">
        <f>'Renewable Diesel'!BD145</f>
        <v>0</v>
      </c>
      <c r="GG136" s="91">
        <f t="shared" si="49"/>
        <v>0.40211999999999998</v>
      </c>
      <c r="GH136" s="124">
        <v>1</v>
      </c>
      <c r="GI136" s="102">
        <f>$GG136*EA136*'Feedstock Conversion Rates'!$B$2</f>
        <v>0.34301648639447607</v>
      </c>
      <c r="GJ136" s="102">
        <f>$GG136*EB136*'Feedstock Conversion Rates'!$B$3</f>
        <v>0.76309487830557521</v>
      </c>
      <c r="GK136" s="102">
        <f>$GG136*EC136*'Feedstock Conversion Rates'!$B$4</f>
        <v>1.0079456352064935</v>
      </c>
      <c r="GL136" s="102">
        <f>$GG136*ED136*'Feedstock Conversion Rates'!$B$5</f>
        <v>0</v>
      </c>
      <c r="GM136" s="102">
        <f>$GG136*EE136*'Feedstock Conversion Rates'!$B$6</f>
        <v>0.41833078931537987</v>
      </c>
      <c r="GN136" s="102">
        <f>$GG136*EF136*'Feedstock Conversion Rates'!$B$7</f>
        <v>0.68191187433821754</v>
      </c>
      <c r="GO136" s="102">
        <f>$GG136*EG136*'Feedstock Conversion Rates'!$B$8</f>
        <v>0.12146198026651675</v>
      </c>
      <c r="GP136" s="102">
        <f>$GG136*EH136*'Feedstock Conversion Rates'!B$9</f>
        <v>3.974051388892735E-3</v>
      </c>
      <c r="GQ136" s="102">
        <f t="shared" si="45"/>
        <v>3.3397356952155519</v>
      </c>
      <c r="GR136" s="85">
        <f t="shared" si="53"/>
        <v>8.305321036545191</v>
      </c>
      <c r="GT136" s="103">
        <f t="shared" si="47"/>
        <v>0.10270767440844962</v>
      </c>
      <c r="GU136" s="103">
        <f t="shared" si="47"/>
        <v>0.22848960155702494</v>
      </c>
      <c r="GV136" s="103">
        <f t="shared" si="47"/>
        <v>0.30180401300931065</v>
      </c>
      <c r="GW136" s="103">
        <f t="shared" si="46"/>
        <v>0</v>
      </c>
      <c r="GX136" s="103">
        <f t="shared" si="46"/>
        <v>0.12525865143001386</v>
      </c>
      <c r="GY136" s="103">
        <f t="shared" ref="GY136:HA152" si="69">(GN136+FG136+EP136)/SUM($ES136,$FJ136,$GQ136)</f>
        <v>0.20418138935817967</v>
      </c>
      <c r="GZ136" s="103">
        <f t="shared" si="69"/>
        <v>3.6368740328919173E-2</v>
      </c>
      <c r="HA136" s="103">
        <f t="shared" si="69"/>
        <v>1.1899299081019772E-3</v>
      </c>
    </row>
    <row r="137" spans="1:209" x14ac:dyDescent="0.25">
      <c r="A137" s="96">
        <v>44593</v>
      </c>
      <c r="B137" s="104">
        <f>55+120+49+5+10+21-40-12.5-2+6+25+14-5-1-4-1-6-9-4+20-20+40+20-10+20-40-85-70+15+25+15-20-44-18+43-30+3.75+3-15-10-5-30-10-1+20-26+5-16+30+15-1+50-0.5+30+75+25+30-10+10</f>
        <v>253.75</v>
      </c>
      <c r="C137" s="105"/>
      <c r="D137" s="104">
        <v>1</v>
      </c>
      <c r="E137" s="104">
        <f>('Renewable Diesel'!B146*E$3*'Feedstock Conversion Rates'!$B$2)/12-30-21-14+5+1+9+40-25+20+5+1+26-75</f>
        <v>31.929999999999993</v>
      </c>
      <c r="F137" s="104">
        <f>('Renewable Diesel'!B146*'RD Feedstock Breakdown'!F$3*'Feedstock Conversion Rates'!B$8)/12+28.5-49-5+2-6+1+6+20-20+32.5-3.75+10-5-15-30+10-10</f>
        <v>20.15625</v>
      </c>
      <c r="G137" s="104">
        <f>('Renewable Diesel'!B146*'RD Feedstock Breakdown'!G$3*'Feedstock Conversion Rates'!B$7)/12-25-15-25+4+4-20-40-20+10+85-10-10+20+20+10-20-30-50-20</f>
        <v>44.157000000000011</v>
      </c>
      <c r="H137" s="104">
        <f>('Renewable Diesel'!B146*'RD Feedstock Breakdown'!H$3*'Feedstock Conversion Rates'!B$3)/12+11.5-120-10-5+70-15+44-42.5+18-3+30+16-25</f>
        <v>145.40022499999998</v>
      </c>
      <c r="I137" s="106">
        <f t="shared" si="52"/>
        <v>496.39347499999997</v>
      </c>
      <c r="J137" s="106"/>
      <c r="K137" s="107"/>
      <c r="L137" s="106"/>
      <c r="R137" s="104">
        <f>('Renewable Diesel'!D146*'RD Feedstock Breakdown'!R$3*'Feedstock Conversion Rates'!B$7)/12</f>
        <v>2.2999999999999998</v>
      </c>
      <c r="S137" s="106">
        <f t="shared" si="67"/>
        <v>2.2999999999999998</v>
      </c>
      <c r="T137" s="105"/>
      <c r="U137" s="104"/>
      <c r="V137" s="104"/>
      <c r="W137" s="104"/>
      <c r="X137" s="106"/>
      <c r="Y137" s="104">
        <f>12.5+15+1+8-20+27.5-5-39+19-10+16-25+20-20+35-15+5</f>
        <v>25</v>
      </c>
      <c r="Z137" s="104">
        <f>('Renewable Diesel'!F146*'RD Feedstock Breakdown'!Z$3*'Feedstock Conversion Rates'!B$6)/12+5-15-1-8+20-27.5+5+10-16+15-20+20+15-5</f>
        <v>42.055000000000007</v>
      </c>
      <c r="AA137" s="104">
        <f>('Renewable Diesel'!F146*'RD Feedstock Breakdown'!AA$3*'Feedstock Conversion Rates'!B$7)/12-17.5+10+10-25</f>
        <v>6.6333333333333293</v>
      </c>
      <c r="AB137" s="106">
        <f t="shared" si="62"/>
        <v>73.688333333333333</v>
      </c>
      <c r="AC137" s="108"/>
      <c r="AG137" s="105"/>
      <c r="AH137" s="104">
        <v>0</v>
      </c>
      <c r="AI137" s="104">
        <f>('Renewable Diesel'!H146*'RD Feedstock Breakdown'!AI$3*'Feedstock Conversion Rates'!B$6)/12</f>
        <v>58.625000000000007</v>
      </c>
      <c r="AJ137" s="106">
        <f t="shared" si="65"/>
        <v>58.625000000000007</v>
      </c>
      <c r="AK137" s="104">
        <f>('Renewable Diesel'!J146*'RD Feedstock Breakdown'!AK$3*'Feedstock Conversion Rates'!B$4)/12</f>
        <v>95.8125</v>
      </c>
      <c r="AL137" s="106">
        <f t="shared" si="68"/>
        <v>95.8125</v>
      </c>
      <c r="AM137" s="104"/>
      <c r="AN137" s="104"/>
      <c r="AO137" s="106"/>
      <c r="AP137" s="104">
        <f>('Renewable Diesel'!L146*'RD Feedstock Breakdown'!AP$3*'Feedstock Conversion Rates'!B$4)/12</f>
        <v>0</v>
      </c>
      <c r="AQ137" s="104">
        <f>('Renewable Diesel'!M146*'RD Feedstock Breakdown'!AQ$3*'Feedstock Conversion Rates'!B$6)/12</f>
        <v>0</v>
      </c>
      <c r="AR137" s="106">
        <f t="shared" ref="AR137:AR200" si="70">SUM(AP137:AQ137)</f>
        <v>0</v>
      </c>
      <c r="AS137" s="104"/>
      <c r="AT137" s="105"/>
      <c r="AU137" s="106"/>
      <c r="AV137" s="104">
        <f>'Renewable Diesel'!N146*'RD Feedstock Breakdown'!$AV$3*'Feedstock Conversion Rates'!$B$4/12+3</f>
        <v>81.749999999999986</v>
      </c>
      <c r="AW137" s="104">
        <f>'Renewable Diesel'!N146*'RD Feedstock Breakdown'!$AW$3*'Feedstock Conversion Rates'!$B$7/12-3</f>
        <v>38.4</v>
      </c>
      <c r="AX137" s="106">
        <f t="shared" si="63"/>
        <v>120.14999999999998</v>
      </c>
      <c r="AY137" s="104">
        <f>('Renewable Diesel'!O146*'RD Feedstock Breakdown'!AY$3*'Feedstock Conversion Rates'!B$4)/12+5</f>
        <v>72.5</v>
      </c>
      <c r="AZ137" s="104">
        <f>('Renewable Diesel'!O146*'RD Feedstock Breakdown'!AZ$3*'Feedstock Conversion Rates'!B$3)/12-5</f>
        <v>3.01</v>
      </c>
      <c r="BA137" s="106">
        <f t="shared" si="66"/>
        <v>75.510000000000005</v>
      </c>
      <c r="BF137" s="104"/>
      <c r="BG137" s="106"/>
      <c r="BH137" s="104">
        <f>('Renewable Diesel'!T146*'RD Feedstock Breakdown'!BH$3*'Feedstock Conversion Rates'!B$7)/12</f>
        <v>0</v>
      </c>
      <c r="BI137" s="106">
        <f t="shared" si="64"/>
        <v>0</v>
      </c>
      <c r="BJ137" s="104">
        <f>('Renewable Diesel'!W146*'RD Feedstock Breakdown'!BJ$3*'Feedstock Conversion Rates'!B$4)/12</f>
        <v>7.5</v>
      </c>
      <c r="BK137" s="104">
        <f>('Renewable Diesel'!W146*'RD Feedstock Breakdown'!BK$3*'Feedstock Conversion Rates'!B$3)/12</f>
        <v>1.335</v>
      </c>
      <c r="BL137" s="104">
        <f>('Renewable Diesel'!W146*'RD Feedstock Breakdown'!BL$3*'Feedstock Conversion Rates'!B$6)/12</f>
        <v>3.1266666666666669</v>
      </c>
      <c r="BM137" s="104">
        <f>('Renewable Diesel'!W146*'RD Feedstock Breakdown'!BM$3*'Feedstock Conversion Rates'!B$7)/12</f>
        <v>1.5333333333333332</v>
      </c>
      <c r="BN137" s="106">
        <f t="shared" si="54"/>
        <v>13.495000000000001</v>
      </c>
      <c r="BO137" s="106"/>
      <c r="BP137" s="106"/>
      <c r="BQ137" s="106"/>
      <c r="BR137" s="106"/>
      <c r="BS137" s="106"/>
      <c r="BT137" s="106"/>
      <c r="BU137" s="104"/>
      <c r="BV137" s="106"/>
      <c r="BW137" s="106"/>
      <c r="BX137" s="107"/>
      <c r="BY137" s="106"/>
      <c r="BZ137" s="106"/>
      <c r="CA137" s="106"/>
      <c r="CB137" s="106"/>
      <c r="CC137" s="106"/>
      <c r="CD137" s="106"/>
      <c r="CE137" s="106"/>
      <c r="CF137" s="106"/>
      <c r="CG137" s="106"/>
      <c r="CH137" s="106"/>
      <c r="CI137" s="107"/>
      <c r="CJ137" s="106"/>
      <c r="CK137" s="106"/>
      <c r="CL137" s="106"/>
      <c r="CM137" s="106"/>
      <c r="CN137" s="106"/>
      <c r="CO137" s="106"/>
      <c r="CP137" s="106"/>
      <c r="CQ137" s="106"/>
      <c r="CR137" s="106"/>
      <c r="CS137" s="106"/>
      <c r="CT137" s="106"/>
      <c r="CU137" s="106"/>
      <c r="CV137" s="106"/>
      <c r="CW137" s="106"/>
      <c r="CX137" s="106"/>
      <c r="CY137" s="106"/>
      <c r="CZ137" s="106"/>
      <c r="DA137" s="106"/>
      <c r="DB137" s="106"/>
      <c r="DC137" s="106"/>
      <c r="DD137" s="107"/>
      <c r="DE137" s="106"/>
      <c r="DF137" s="106"/>
      <c r="DG137" s="106"/>
      <c r="DH137" s="106"/>
      <c r="DI137" s="106"/>
      <c r="DJ137" s="107"/>
      <c r="DK137" s="106"/>
      <c r="DL137" s="106"/>
      <c r="DM137" s="106"/>
      <c r="DN137" s="106"/>
      <c r="DP137" s="104">
        <f t="shared" si="30"/>
        <v>31.929999999999993</v>
      </c>
      <c r="DQ137" s="104">
        <f t="shared" si="31"/>
        <v>149.74522499999998</v>
      </c>
      <c r="DR137" s="104">
        <f t="shared" si="39"/>
        <v>536.3125</v>
      </c>
      <c r="DS137" s="107"/>
      <c r="DT137" s="104">
        <f t="shared" si="32"/>
        <v>103.80666666666667</v>
      </c>
      <c r="DU137" s="104">
        <f t="shared" si="33"/>
        <v>93.023666666666657</v>
      </c>
      <c r="DV137" s="104">
        <f t="shared" si="34"/>
        <v>20.15625</v>
      </c>
      <c r="DW137" s="104">
        <f t="shared" si="35"/>
        <v>1</v>
      </c>
      <c r="DX137" s="106">
        <f t="shared" si="36"/>
        <v>935.97430833333328</v>
      </c>
      <c r="DY137" s="109">
        <f t="shared" si="37"/>
        <v>0</v>
      </c>
      <c r="EA137" s="110">
        <f t="shared" si="55"/>
        <v>3.4114184241720233E-2</v>
      </c>
      <c r="EB137" s="110">
        <f t="shared" si="55"/>
        <v>0.15998860616873947</v>
      </c>
      <c r="EC137" s="110">
        <f t="shared" si="55"/>
        <v>0.57299916805942963</v>
      </c>
      <c r="ED137" s="107"/>
      <c r="EE137" s="110">
        <f t="shared" si="56"/>
        <v>0.11090760263656455</v>
      </c>
      <c r="EF137" s="110">
        <f t="shared" si="56"/>
        <v>9.9386987269246357E-2</v>
      </c>
      <c r="EG137" s="111">
        <f t="shared" si="56"/>
        <v>2.1535046229945932E-2</v>
      </c>
      <c r="EH137" s="111">
        <f t="shared" si="40"/>
        <v>1.0684053943539067E-3</v>
      </c>
      <c r="EI137" s="110">
        <f t="shared" si="41"/>
        <v>0.99893159460564607</v>
      </c>
      <c r="EK137" s="112">
        <f>(EA137*'Renewable Diesel'!BF146*'Feedstock Conversion Rates'!B$2)+FB137</f>
        <v>28.35637794861659</v>
      </c>
      <c r="EL137" s="112">
        <f>(EB137*'Renewable Diesel'!BF146*'Feedstock Conversion Rates'!B$3)+FC137</f>
        <v>125.31942996910907</v>
      </c>
      <c r="EM137" s="112">
        <f>(EC137*'Renewable Diesel'!BF146*'Feedstock Conversion Rates'!B$4)+FD137</f>
        <v>420.25423118312415</v>
      </c>
      <c r="EN137" s="107"/>
      <c r="EO137" s="112">
        <f>(EE137*'Renewable Diesel'!BF146*'Feedstock Conversion Rates'!B$6)+FF137</f>
        <v>101.73279958083766</v>
      </c>
      <c r="EP137" s="112">
        <f>(EF137*'Renewable Diesel'!BF146*'Feedstock Conversion Rates'!B$7)+FG137</f>
        <v>89.415784902740796</v>
      </c>
      <c r="EQ137" s="112">
        <f>(EG137*'Renewable Diesel'!BF146*'Feedstock Conversion Rates'!B$8)+FH137</f>
        <v>19.743035420778099</v>
      </c>
      <c r="ER137" s="112">
        <f>(EH137*'Renewable Diesel'!BF146*'Feedstock Conversion Rates'!B$9)+FI137</f>
        <v>0.96643943930547882</v>
      </c>
      <c r="ES137" s="112">
        <f t="shared" si="42"/>
        <v>785.788098444512</v>
      </c>
      <c r="ET137" s="91">
        <f>ES137/'Renewable Diesel'!BF146</f>
        <v>8.035420465823508</v>
      </c>
      <c r="EU137" s="112"/>
      <c r="EW137" s="73">
        <f t="shared" si="58"/>
        <v>420.25423118312415</v>
      </c>
      <c r="EX137" s="73">
        <f t="shared" si="59"/>
        <v>365.53386726138763</v>
      </c>
      <c r="EY137" s="92">
        <f t="shared" ref="EY137:EZ200" si="71">EW137/$ES137</f>
        <v>0.53481877877131045</v>
      </c>
      <c r="EZ137" s="92">
        <f t="shared" si="71"/>
        <v>0.46518122122868932</v>
      </c>
      <c r="FB137" s="102">
        <f>IF('Renewable Diesel'!$BG146&lt;1,0,(((('Renewable Diesel'!$BG146-1)*'Renewable Diesel'!$BF146)*'RD Feedstock Breakdown'!EA137)*'Feedstock Conversion Rates'!$B$2))</f>
        <v>0</v>
      </c>
      <c r="FC137" s="102">
        <f>IF('Renewable Diesel'!$BG146&lt;1,0,(((('Renewable Diesel'!$BG146-1)*'Renewable Diesel'!$BF146)*'RD Feedstock Breakdown'!EB137)*'Feedstock Conversion Rates'!$B$3))</f>
        <v>0</v>
      </c>
      <c r="FD137" s="102">
        <f>IF('Renewable Diesel'!$BG146&lt;1,0,(((('Renewable Diesel'!$BG146-1)*'Renewable Diesel'!$BF146)*'RD Feedstock Breakdown'!EC137)*'Feedstock Conversion Rates'!$B$4))</f>
        <v>0</v>
      </c>
      <c r="FE137" s="107"/>
      <c r="FF137" s="102">
        <f>IF('Renewable Diesel'!$BG146&lt;1,0,(((('Renewable Diesel'!$BG146-1)*'Renewable Diesel'!$BF146)*'RD Feedstock Breakdown'!EE137)*'Feedstock Conversion Rates'!$B$6))</f>
        <v>0</v>
      </c>
      <c r="FG137" s="102">
        <f>IF('Renewable Diesel'!$BG146&lt;1,0,(((('Renewable Diesel'!$BG146-1)*'Renewable Diesel'!$BF146)*'RD Feedstock Breakdown'!EF137)*'Feedstock Conversion Rates'!$B$7))</f>
        <v>0</v>
      </c>
      <c r="FH137" s="102">
        <f>IF('Renewable Diesel'!$BG146&lt;1,0,(((('Renewable Diesel'!$BG146-1)*'Renewable Diesel'!$BF146)*'RD Feedstock Breakdown'!EG137)*'Feedstock Conversion Rates'!$B$8))</f>
        <v>0</v>
      </c>
      <c r="FI137" s="102">
        <f>IF('Renewable Diesel'!$BG146&lt;1,0,(((('Renewable Diesel'!$BG146-1)*'Renewable Diesel'!$BF146)*'RD Feedstock Breakdown'!EH137)*'Feedstock Conversion Rates'!$B$9))</f>
        <v>0</v>
      </c>
      <c r="FJ137" s="102">
        <f t="shared" si="60"/>
        <v>0</v>
      </c>
      <c r="FR137" s="3">
        <f>('Renewable Diesel'!AX146-'Renewable Diesel'!BI146)/12*$FO$80</f>
        <v>106.625625</v>
      </c>
      <c r="FS137" s="100">
        <f t="shared" si="48"/>
        <v>0.57299916805942963</v>
      </c>
      <c r="FT137" s="3">
        <f t="shared" si="50"/>
        <v>458.22295814112539</v>
      </c>
      <c r="FY137" s="3">
        <f>'Renewable Diesel'!BF146*('Renewable Diesel'!BI146/'Renewable Diesel'!AX146)</f>
        <v>18.346902124100001</v>
      </c>
      <c r="FZ137" s="3">
        <f>('Renewable Diesel'!BJ146*'Renewable Diesel'!BG146)/12</f>
        <v>77.94872973038575</v>
      </c>
      <c r="GA137" s="3">
        <f t="shared" si="51"/>
        <v>334.98417965100276</v>
      </c>
      <c r="GD137" s="91">
        <f>'Renewable Diesel'!BB146*0</f>
        <v>0</v>
      </c>
      <c r="GE137" s="91">
        <f>'Renewable Diesel'!BC146</f>
        <v>1.10887</v>
      </c>
      <c r="GF137" s="91">
        <f>'Renewable Diesel'!BD146</f>
        <v>0</v>
      </c>
      <c r="GG137" s="91">
        <f t="shared" si="49"/>
        <v>1.10887</v>
      </c>
      <c r="GH137" s="124">
        <v>1</v>
      </c>
      <c r="GI137" s="102">
        <f>$GG137*EA137*'Feedstock Conversion Rates'!$B$2</f>
        <v>0.32153966158098868</v>
      </c>
      <c r="GJ137" s="102">
        <f>$GG137*EB137*'Feedstock Conversion Rates'!$B$3</f>
        <v>1.4210265914358642</v>
      </c>
      <c r="GK137" s="102">
        <f>$GG137*EC137*'Feedstock Conversion Rates'!$B$4</f>
        <v>4.765361906145448</v>
      </c>
      <c r="GL137" s="102">
        <f>$GG137*ED137*'Feedstock Conversion Rates'!$B$5</f>
        <v>0</v>
      </c>
      <c r="GM137" s="102">
        <f>$GG137*EE137*'Feedstock Conversion Rates'!$B$6</f>
        <v>1.1535722230879968</v>
      </c>
      <c r="GN137" s="102">
        <f>$GG137*EF137*'Feedstock Conversion Rates'!$B$7</f>
        <v>1.0139066868738926</v>
      </c>
      <c r="GO137" s="102">
        <f>$GG137*EG137*'Feedstock Conversion Rates'!$B$8</f>
        <v>0.22387093793437637</v>
      </c>
      <c r="GP137" s="102">
        <f>$GG137*EH137*'Feedstock Conversion Rates'!B$9</f>
        <v>1.0958684879144252E-2</v>
      </c>
      <c r="GQ137" s="102">
        <f t="shared" si="45"/>
        <v>8.9102366919377118</v>
      </c>
      <c r="GR137" s="85">
        <f t="shared" si="53"/>
        <v>8.0354204658235062</v>
      </c>
      <c r="GT137" s="103">
        <f t="shared" si="47"/>
        <v>3.6086545475489867E-2</v>
      </c>
      <c r="GU137" s="103">
        <f t="shared" si="47"/>
        <v>0.15948247398653931</v>
      </c>
      <c r="GV137" s="103">
        <f t="shared" si="47"/>
        <v>0.53481877877131045</v>
      </c>
      <c r="GW137" s="103">
        <f t="shared" si="47"/>
        <v>0</v>
      </c>
      <c r="GX137" s="103">
        <f t="shared" si="47"/>
        <v>0.12946594607658271</v>
      </c>
      <c r="GY137" s="103">
        <f t="shared" si="69"/>
        <v>0.11379121811559843</v>
      </c>
      <c r="GZ137" s="103">
        <f t="shared" si="69"/>
        <v>2.5125139283554882E-2</v>
      </c>
      <c r="HA137" s="103">
        <f t="shared" si="69"/>
        <v>1.2298982909241954E-3</v>
      </c>
    </row>
    <row r="138" spans="1:209" x14ac:dyDescent="0.25">
      <c r="A138" s="96">
        <v>44621</v>
      </c>
      <c r="B138" s="104">
        <f>55+120+49+5+10+21-40-12.5-2+6+25+14-5-1-4-1-6-9-4+20-20+40+20-10+20-40-85-70+15+25+15-20-44-18+43-30+3.75+3-15-10-5-30-10-1+20-26+5-16+30+10-1+50-0.5+30+60+25+30-10+10</f>
        <v>233.75</v>
      </c>
      <c r="C138" s="105"/>
      <c r="D138" s="104">
        <v>1</v>
      </c>
      <c r="E138" s="104">
        <f>('Renewable Diesel'!B147*E$3*'Feedstock Conversion Rates'!$B$2)/12-30-21-14+5+1+9+40-25+20+5+1+26-60</f>
        <v>46.929999999999993</v>
      </c>
      <c r="F138" s="104">
        <f>('Renewable Diesel'!B147*'RD Feedstock Breakdown'!F$3*'Feedstock Conversion Rates'!B$8)/12+28.5-49-5+2-6+1+6+20-20+32.5-3.75+10-5-10-30+10-10</f>
        <v>25.15625</v>
      </c>
      <c r="G138" s="104">
        <f>('Renewable Diesel'!B147*'RD Feedstock Breakdown'!G$3*'Feedstock Conversion Rates'!B$7)/12-25-15-25+4+4-20-40-20+10+85-10-10+10+30+10-20-30-50-20</f>
        <v>44.157000000000011</v>
      </c>
      <c r="H138" s="104">
        <f>('Renewable Diesel'!B147*'RD Feedstock Breakdown'!H$3*'Feedstock Conversion Rates'!B$3)/12+11.5-120-10-5+70-15+44-42.5+18-3+30+16-25</f>
        <v>145.40022499999998</v>
      </c>
      <c r="I138" s="106">
        <f t="shared" si="52"/>
        <v>496.39347499999997</v>
      </c>
      <c r="J138" s="106"/>
      <c r="K138" s="107"/>
      <c r="L138" s="106"/>
      <c r="R138" s="104">
        <f>('Renewable Diesel'!D147*'RD Feedstock Breakdown'!R$3*'Feedstock Conversion Rates'!B$7)/12</f>
        <v>2.2999999999999998</v>
      </c>
      <c r="S138" s="106">
        <f t="shared" si="67"/>
        <v>2.2999999999999998</v>
      </c>
      <c r="T138" s="105"/>
      <c r="U138" s="104"/>
      <c r="V138" s="104"/>
      <c r="W138" s="104"/>
      <c r="X138" s="106"/>
      <c r="Y138" s="104">
        <f>12.5+15+1+8-20+27.5-5-39+19-19+25-25+25+20</f>
        <v>45</v>
      </c>
      <c r="Z138" s="104">
        <f>('Renewable Diesel'!F147*'RD Feedstock Breakdown'!Z$3*'Feedstock Conversion Rates'!B$6)/12+5-15-1-8+20-27.5+5+19-25+25-20</f>
        <v>22.055000000000007</v>
      </c>
      <c r="AA138" s="104">
        <f>('Renewable Diesel'!F147*'RD Feedstock Breakdown'!AA$3*'Feedstock Conversion Rates'!B$7)/12-17.5+10+10-25</f>
        <v>6.6333333333333293</v>
      </c>
      <c r="AB138" s="106">
        <f t="shared" si="62"/>
        <v>73.688333333333333</v>
      </c>
      <c r="AC138" s="108"/>
      <c r="AG138" s="105"/>
      <c r="AH138" s="104">
        <v>0</v>
      </c>
      <c r="AI138" s="104">
        <f>('Renewable Diesel'!H147*'RD Feedstock Breakdown'!AI$3*'Feedstock Conversion Rates'!B$6)/12</f>
        <v>58.625000000000007</v>
      </c>
      <c r="AJ138" s="106">
        <f t="shared" si="65"/>
        <v>58.625000000000007</v>
      </c>
      <c r="AK138" s="104">
        <f>('Renewable Diesel'!J147*'RD Feedstock Breakdown'!AK$3*'Feedstock Conversion Rates'!B$4)/12</f>
        <v>95.8125</v>
      </c>
      <c r="AL138" s="106">
        <f t="shared" si="68"/>
        <v>95.8125</v>
      </c>
      <c r="AM138" s="104"/>
      <c r="AN138" s="104"/>
      <c r="AO138" s="106"/>
      <c r="AP138" s="104">
        <f>('Renewable Diesel'!L147*'RD Feedstock Breakdown'!AP$3*'Feedstock Conversion Rates'!B$4)/12</f>
        <v>0</v>
      </c>
      <c r="AQ138" s="104">
        <f>('Renewable Diesel'!M147*'RD Feedstock Breakdown'!AQ$3*'Feedstock Conversion Rates'!B$6)/12</f>
        <v>0</v>
      </c>
      <c r="AR138" s="106">
        <f t="shared" si="70"/>
        <v>0</v>
      </c>
      <c r="AS138" s="104"/>
      <c r="AT138" s="105"/>
      <c r="AU138" s="106"/>
      <c r="AV138" s="104">
        <f>'Renewable Diesel'!N147*'RD Feedstock Breakdown'!$AV$3*'Feedstock Conversion Rates'!$B$4/12+3</f>
        <v>81.749999999999986</v>
      </c>
      <c r="AW138" s="104">
        <f>'Renewable Diesel'!N147*'RD Feedstock Breakdown'!$AW$3*'Feedstock Conversion Rates'!$B$7/12-3</f>
        <v>38.4</v>
      </c>
      <c r="AX138" s="106">
        <f t="shared" si="63"/>
        <v>120.14999999999998</v>
      </c>
      <c r="AY138" s="104">
        <f>('Renewable Diesel'!O147*'RD Feedstock Breakdown'!AY$3*'Feedstock Conversion Rates'!B$4)/12+5</f>
        <v>72.5</v>
      </c>
      <c r="AZ138" s="104">
        <f>('Renewable Diesel'!O147*'RD Feedstock Breakdown'!AZ$3*'Feedstock Conversion Rates'!B$3)/12-5</f>
        <v>3.01</v>
      </c>
      <c r="BA138" s="106">
        <f t="shared" si="66"/>
        <v>75.510000000000005</v>
      </c>
      <c r="BF138" s="104"/>
      <c r="BG138" s="106"/>
      <c r="BH138" s="104">
        <f>('Renewable Diesel'!T147*'RD Feedstock Breakdown'!BH$3*'Feedstock Conversion Rates'!B$7)/12</f>
        <v>0</v>
      </c>
      <c r="BI138" s="106">
        <f t="shared" si="64"/>
        <v>0</v>
      </c>
      <c r="BJ138" s="104">
        <f>('Renewable Diesel'!W147*'RD Feedstock Breakdown'!BJ$3*'Feedstock Conversion Rates'!B$4)/12</f>
        <v>7.5</v>
      </c>
      <c r="BK138" s="104">
        <f>('Renewable Diesel'!W147*'RD Feedstock Breakdown'!BK$3*'Feedstock Conversion Rates'!B$3)/12</f>
        <v>1.335</v>
      </c>
      <c r="BL138" s="104">
        <f>('Renewable Diesel'!W147*'RD Feedstock Breakdown'!BL$3*'Feedstock Conversion Rates'!B$6)/12</f>
        <v>3.1266666666666669</v>
      </c>
      <c r="BM138" s="104">
        <f>('Renewable Diesel'!W147*'RD Feedstock Breakdown'!BM$3*'Feedstock Conversion Rates'!B$7)/12</f>
        <v>1.5333333333333332</v>
      </c>
      <c r="BN138" s="106">
        <f t="shared" si="54"/>
        <v>13.495000000000001</v>
      </c>
      <c r="BO138" s="106"/>
      <c r="BP138" s="106"/>
      <c r="BQ138" s="106"/>
      <c r="BR138" s="106"/>
      <c r="BS138" s="106"/>
      <c r="BT138" s="104"/>
      <c r="BU138" s="104"/>
      <c r="BV138" s="106"/>
      <c r="BW138" s="106"/>
      <c r="BX138" s="107"/>
      <c r="BY138" s="106"/>
      <c r="BZ138" s="106"/>
      <c r="CA138" s="106"/>
      <c r="CB138" s="106"/>
      <c r="CC138" s="106"/>
      <c r="CD138" s="106"/>
      <c r="CE138" s="106"/>
      <c r="CF138" s="106"/>
      <c r="CG138" s="106"/>
      <c r="CH138" s="106"/>
      <c r="CI138" s="107"/>
      <c r="CJ138" s="106"/>
      <c r="CK138" s="106"/>
      <c r="CL138" s="104"/>
      <c r="CM138" s="104"/>
      <c r="CN138" s="104"/>
      <c r="CO138" s="106"/>
      <c r="CP138" s="106"/>
      <c r="CQ138" s="106"/>
      <c r="CR138" s="106"/>
      <c r="CS138" s="106"/>
      <c r="CT138" s="106"/>
      <c r="CU138" s="106"/>
      <c r="CV138" s="106"/>
      <c r="CW138" s="106"/>
      <c r="CX138" s="106"/>
      <c r="CY138" s="106"/>
      <c r="CZ138" s="106"/>
      <c r="DA138" s="106"/>
      <c r="DB138" s="106"/>
      <c r="DC138" s="106"/>
      <c r="DD138" s="107"/>
      <c r="DE138" s="106"/>
      <c r="DF138" s="106"/>
      <c r="DG138" s="106"/>
      <c r="DH138" s="106"/>
      <c r="DI138" s="106"/>
      <c r="DJ138" s="107"/>
      <c r="DK138" s="106"/>
      <c r="DL138" s="106"/>
      <c r="DM138" s="106"/>
      <c r="DN138" s="106"/>
      <c r="DP138" s="104">
        <f t="shared" si="30"/>
        <v>46.929999999999993</v>
      </c>
      <c r="DQ138" s="104">
        <f t="shared" si="31"/>
        <v>149.74522499999998</v>
      </c>
      <c r="DR138" s="104">
        <f t="shared" si="39"/>
        <v>536.3125</v>
      </c>
      <c r="DS138" s="107"/>
      <c r="DT138" s="104">
        <f t="shared" si="32"/>
        <v>83.806666666666672</v>
      </c>
      <c r="DU138" s="104">
        <f t="shared" si="33"/>
        <v>93.023666666666657</v>
      </c>
      <c r="DV138" s="104">
        <f t="shared" si="34"/>
        <v>25.15625</v>
      </c>
      <c r="DW138" s="104">
        <f t="shared" si="35"/>
        <v>1</v>
      </c>
      <c r="DX138" s="106">
        <f t="shared" si="36"/>
        <v>935.97430833333328</v>
      </c>
      <c r="DY138" s="109">
        <f t="shared" si="37"/>
        <v>0</v>
      </c>
      <c r="EA138" s="110">
        <f t="shared" si="55"/>
        <v>5.0140265157028831E-2</v>
      </c>
      <c r="EB138" s="110">
        <f t="shared" si="55"/>
        <v>0.15998860616873947</v>
      </c>
      <c r="EC138" s="110">
        <f t="shared" si="55"/>
        <v>0.57299916805942963</v>
      </c>
      <c r="ED138" s="107"/>
      <c r="EE138" s="110">
        <f t="shared" si="56"/>
        <v>8.9539494749486415E-2</v>
      </c>
      <c r="EF138" s="110">
        <f t="shared" si="56"/>
        <v>9.9386987269246357E-2</v>
      </c>
      <c r="EG138" s="111">
        <f t="shared" si="56"/>
        <v>2.6877073201715465E-2</v>
      </c>
      <c r="EH138" s="111">
        <f t="shared" si="40"/>
        <v>1.0684053943539067E-3</v>
      </c>
      <c r="EI138" s="110">
        <f t="shared" si="41"/>
        <v>0.99893159460564618</v>
      </c>
      <c r="EK138" s="112">
        <f>(EA138*'Renewable Diesel'!BF147*'Feedstock Conversion Rates'!B$2)+FB138</f>
        <v>45.305871456119107</v>
      </c>
      <c r="EL138" s="112">
        <f>(EB138*'Renewable Diesel'!BF147*'Feedstock Conversion Rates'!B$3)+FC138</f>
        <v>136.22929444176245</v>
      </c>
      <c r="EM138" s="112">
        <f>(EC138*'Renewable Diesel'!BF147*'Feedstock Conversion Rates'!B$4)+FD138</f>
        <v>456.84007192144531</v>
      </c>
      <c r="EN138" s="107"/>
      <c r="EO138" s="112">
        <f>(EE138*'Renewable Diesel'!BF147*'Feedstock Conversion Rates'!B$6)+FF138</f>
        <v>89.282514759191855</v>
      </c>
      <c r="EP138" s="112">
        <f>(EF138*'Renewable Diesel'!BF147*'Feedstock Conversion Rates'!B$7)+FG138</f>
        <v>97.200005555877269</v>
      </c>
      <c r="EQ138" s="112">
        <f>(EG138*'Renewable Diesel'!BF147*'Feedstock Conversion Rates'!B$8)+FH138</f>
        <v>26.785649829329582</v>
      </c>
      <c r="ER138" s="112">
        <f>(EH138*'Renewable Diesel'!BF147*'Feedstock Conversion Rates'!B$9)+FI138</f>
        <v>1.0505742243619454</v>
      </c>
      <c r="ES138" s="112">
        <f t="shared" si="42"/>
        <v>852.6939821880876</v>
      </c>
      <c r="ET138" s="91">
        <f>ES138/'Renewable Diesel'!BF147</f>
        <v>8.0212908044831774</v>
      </c>
      <c r="EU138" s="112"/>
      <c r="EW138" s="73">
        <f t="shared" si="58"/>
        <v>456.84007192144531</v>
      </c>
      <c r="EX138" s="73">
        <f t="shared" si="59"/>
        <v>395.85391026664223</v>
      </c>
      <c r="EY138" s="92">
        <f t="shared" si="71"/>
        <v>0.5357608725572961</v>
      </c>
      <c r="EZ138" s="92">
        <f t="shared" si="71"/>
        <v>0.46423912744270385</v>
      </c>
      <c r="FB138" s="102">
        <f>IF('Renewable Diesel'!$BG147&lt;1,0,(((('Renewable Diesel'!$BG147-1)*'Renewable Diesel'!$BF147)*'RD Feedstock Breakdown'!EA138)*'Feedstock Conversion Rates'!$B$2))</f>
        <v>0</v>
      </c>
      <c r="FC138" s="102">
        <f>IF('Renewable Diesel'!$BG147&lt;1,0,(((('Renewable Diesel'!$BG147-1)*'Renewable Diesel'!$BF147)*'RD Feedstock Breakdown'!EB138)*'Feedstock Conversion Rates'!$B$3))</f>
        <v>0</v>
      </c>
      <c r="FD138" s="102">
        <f>IF('Renewable Diesel'!$BG147&lt;1,0,(((('Renewable Diesel'!$BG147-1)*'Renewable Diesel'!$BF147)*'RD Feedstock Breakdown'!EC138)*'Feedstock Conversion Rates'!$B$4))</f>
        <v>0</v>
      </c>
      <c r="FE138" s="107"/>
      <c r="FF138" s="102">
        <f>IF('Renewable Diesel'!$BG147&lt;1,0,(((('Renewable Diesel'!$BG147-1)*'Renewable Diesel'!$BF147)*'RD Feedstock Breakdown'!EE138)*'Feedstock Conversion Rates'!$B$6))</f>
        <v>0</v>
      </c>
      <c r="FG138" s="102">
        <f>IF('Renewable Diesel'!$BG147&lt;1,0,(((('Renewable Diesel'!$BG147-1)*'Renewable Diesel'!$BF147)*'RD Feedstock Breakdown'!EF138)*'Feedstock Conversion Rates'!$B$7))</f>
        <v>0</v>
      </c>
      <c r="FH138" s="102">
        <f>IF('Renewable Diesel'!$BG147&lt;1,0,(((('Renewable Diesel'!$BG147-1)*'Renewable Diesel'!$BF147)*'RD Feedstock Breakdown'!EG138)*'Feedstock Conversion Rates'!$B$8))</f>
        <v>0</v>
      </c>
      <c r="FI138" s="102">
        <f>IF('Renewable Diesel'!$BG147&lt;1,0,(((('Renewable Diesel'!$BG147-1)*'Renewable Diesel'!$BF147)*'RD Feedstock Breakdown'!EH138)*'Feedstock Conversion Rates'!$B$9))</f>
        <v>0</v>
      </c>
      <c r="FJ138" s="102">
        <f t="shared" si="60"/>
        <v>0</v>
      </c>
      <c r="FR138" s="3">
        <f>('Renewable Diesel'!AX147-'Renewable Diesel'!BI147)/12*$FO$80</f>
        <v>106.625625</v>
      </c>
      <c r="FS138" s="100">
        <f t="shared" si="48"/>
        <v>0.57299916805942963</v>
      </c>
      <c r="FT138" s="3">
        <f t="shared" si="50"/>
        <v>458.22295814112539</v>
      </c>
      <c r="FY138" s="3">
        <f>'Renewable Diesel'!BF147*('Renewable Diesel'!BI147/'Renewable Diesel'!AX147)</f>
        <v>19.944118259828567</v>
      </c>
      <c r="FZ138" s="3">
        <f>('Renewable Diesel'!BJ147*'Renewable Diesel'!BG147)/12</f>
        <v>93.813383854650468</v>
      </c>
      <c r="GA138" s="3">
        <f t="shared" si="51"/>
        <v>403.16243176165989</v>
      </c>
      <c r="GD138" s="91">
        <f>'Renewable Diesel'!BB147*0</f>
        <v>0</v>
      </c>
      <c r="GE138" s="91">
        <f>'Renewable Diesel'!BC147</f>
        <v>1.026537</v>
      </c>
      <c r="GF138" s="91">
        <f>'Renewable Diesel'!BD147</f>
        <v>0</v>
      </c>
      <c r="GG138" s="91">
        <f t="shared" si="49"/>
        <v>1.026537</v>
      </c>
      <c r="GH138" s="124">
        <v>1</v>
      </c>
      <c r="GI138" s="102">
        <f>$GG138*EA138*'Feedstock Conversion Rates'!$B$2</f>
        <v>0.43750211767475772</v>
      </c>
      <c r="GJ138" s="102">
        <f>$GG138*EB138*'Feedstock Conversion Rates'!$B$3</f>
        <v>1.315516132723221</v>
      </c>
      <c r="GK138" s="102">
        <f>$GG138*EC138*'Feedstock Conversion Rates'!$B$4</f>
        <v>4.4115363523666709</v>
      </c>
      <c r="GL138" s="102">
        <f>$GG138*ED138*'Feedstock Conversion Rates'!$B$5</f>
        <v>0</v>
      </c>
      <c r="GM138" s="102">
        <f>$GG138*EE138*'Feedstock Conversion Rates'!$B$6</f>
        <v>0.86216836853711021</v>
      </c>
      <c r="GN138" s="102">
        <f>$GG138*EF138*'Feedstock Conversion Rates'!$B$7</f>
        <v>0.93862466170377512</v>
      </c>
      <c r="GO138" s="102">
        <f>$GG138*EG138*'Feedstock Conversion Rates'!$B$8</f>
        <v>0.25865915712440052</v>
      </c>
      <c r="GP138" s="102">
        <f>$GG138*EH138*'Feedstock Conversion Rates'!B$9</f>
        <v>1.0145008431810855E-2</v>
      </c>
      <c r="GQ138" s="102">
        <f t="shared" si="45"/>
        <v>8.2341517985617472</v>
      </c>
      <c r="GR138" s="85">
        <f t="shared" si="53"/>
        <v>8.0212908044831774</v>
      </c>
      <c r="GT138" s="103">
        <f t="shared" si="47"/>
        <v>5.3132627182216383E-2</v>
      </c>
      <c r="GU138" s="103">
        <f t="shared" si="47"/>
        <v>0.15976340549769816</v>
      </c>
      <c r="GV138" s="103">
        <f t="shared" si="47"/>
        <v>0.5357608725572961</v>
      </c>
      <c r="GW138" s="103">
        <f t="shared" si="47"/>
        <v>0</v>
      </c>
      <c r="GX138" s="103">
        <f t="shared" si="47"/>
        <v>0.10470639716500062</v>
      </c>
      <c r="GY138" s="103">
        <f t="shared" si="69"/>
        <v>0.11399166358187908</v>
      </c>
      <c r="GZ138" s="103">
        <f t="shared" si="69"/>
        <v>3.1412969234983053E-2</v>
      </c>
      <c r="HA138" s="103">
        <f t="shared" si="69"/>
        <v>1.2320647809265404E-3</v>
      </c>
    </row>
    <row r="139" spans="1:209" x14ac:dyDescent="0.25">
      <c r="A139" s="96">
        <v>44652</v>
      </c>
      <c r="B139" s="104">
        <f>55+120+49+5+10+21-40-12.5-2+6+25+14-5-1-4-1-6-9-4+20-20+40+20-10+20-35+10+10-20-48-18+3.75+3-39-10-5-30-10+12.5+20-26+8-50-3.5-12.5-1+25+42.5+30-25+30-10-10</f>
        <v>132.25</v>
      </c>
      <c r="C139" s="105"/>
      <c r="D139" s="104">
        <v>1</v>
      </c>
      <c r="E139" s="104">
        <f>('Renewable Diesel'!B148*E$3*'Feedstock Conversion Rates'!$B$2)/12-30-21-14+5+1+9-10+20+5+26+3.5</f>
        <v>84.429999999999993</v>
      </c>
      <c r="F139" s="104">
        <f>('Renewable Diesel'!B148*'RD Feedstock Breakdown'!F$3*'Feedstock Conversion Rates'!B$8)/12+28.5-49-5+2-6+1+6+20-20+20-3.75+10-8-30+10+10</f>
        <v>39.65625</v>
      </c>
      <c r="G139" s="104">
        <f>('Renewable Diesel'!B148*'RD Feedstock Breakdown'!G$3*'Feedstock Conversion Rates'!B$7)/12-25-15-25+4+4-20-40-20+10+35-10-10+39+10-20-25-20</f>
        <v>48.157000000000011</v>
      </c>
      <c r="H139" s="104">
        <f>('Renewable Diesel'!B148*'RD Feedstock Breakdown'!H$3*'Feedstock Conversion Rates'!B$3)/12+11.5-120-10-5+48-42.5+18-3+30+50+12.5+25</f>
        <v>190.90022499999998</v>
      </c>
      <c r="I139" s="106">
        <f t="shared" si="52"/>
        <v>496.39347499999997</v>
      </c>
      <c r="J139" s="106"/>
      <c r="K139" s="107"/>
      <c r="L139" s="106"/>
      <c r="R139" s="104">
        <f>('Renewable Diesel'!D148*'RD Feedstock Breakdown'!R$3*'Feedstock Conversion Rates'!B$7)/12</f>
        <v>2.2999999999999998</v>
      </c>
      <c r="S139" s="106">
        <f t="shared" si="67"/>
        <v>2.2999999999999998</v>
      </c>
      <c r="T139" s="105"/>
      <c r="U139" s="104"/>
      <c r="V139" s="104"/>
      <c r="W139" s="104"/>
      <c r="X139" s="106"/>
      <c r="Y139" s="104">
        <f>12.5+15+1+8-20+27.5-5-39+19-19+25-25+25</f>
        <v>25</v>
      </c>
      <c r="Z139" s="104">
        <f>('Renewable Diesel'!F148*'RD Feedstock Breakdown'!Z$3*'Feedstock Conversion Rates'!B$6)/12+5-15-1-8+20-27.5+5+19-25+25</f>
        <v>42.055000000000007</v>
      </c>
      <c r="AA139" s="104">
        <f>('Renewable Diesel'!F148*'RD Feedstock Breakdown'!AA$3*'Feedstock Conversion Rates'!B$7)/12-17.5+10+10-25</f>
        <v>6.6333333333333293</v>
      </c>
      <c r="AB139" s="106">
        <f t="shared" si="62"/>
        <v>73.688333333333333</v>
      </c>
      <c r="AC139" s="108"/>
      <c r="AG139" s="105"/>
      <c r="AH139" s="104">
        <v>0</v>
      </c>
      <c r="AI139" s="104">
        <f>('Renewable Diesel'!H148*'RD Feedstock Breakdown'!AI$3*'Feedstock Conversion Rates'!B$6)/12</f>
        <v>58.625000000000007</v>
      </c>
      <c r="AJ139" s="106">
        <f t="shared" si="65"/>
        <v>58.625000000000007</v>
      </c>
      <c r="AK139" s="104">
        <f>('Renewable Diesel'!J148*'RD Feedstock Breakdown'!AK$3*'Feedstock Conversion Rates'!B$4)/12</f>
        <v>95.8125</v>
      </c>
      <c r="AL139" s="106">
        <f t="shared" si="68"/>
        <v>95.8125</v>
      </c>
      <c r="AM139" s="104"/>
      <c r="AN139" s="104"/>
      <c r="AO139" s="106"/>
      <c r="AP139" s="104">
        <f>('Renewable Diesel'!L148*'RD Feedstock Breakdown'!AP$3*'Feedstock Conversion Rates'!B$4)/12</f>
        <v>9.375</v>
      </c>
      <c r="AQ139" s="104">
        <f>('Renewable Diesel'!M148*'RD Feedstock Breakdown'!AQ$3*'Feedstock Conversion Rates'!B$6)/12</f>
        <v>0</v>
      </c>
      <c r="AR139" s="106">
        <f t="shared" si="70"/>
        <v>9.375</v>
      </c>
      <c r="AS139" s="104"/>
      <c r="AT139" s="105"/>
      <c r="AU139" s="106"/>
      <c r="AV139" s="104">
        <f>'Renewable Diesel'!N148*'RD Feedstock Breakdown'!$AV$3*'Feedstock Conversion Rates'!$B$4/12+3</f>
        <v>81.749999999999986</v>
      </c>
      <c r="AW139" s="104">
        <f>'Renewable Diesel'!N148*'RD Feedstock Breakdown'!$AW$3*'Feedstock Conversion Rates'!$B$7/12-3</f>
        <v>38.4</v>
      </c>
      <c r="AX139" s="106">
        <f t="shared" si="63"/>
        <v>120.14999999999998</v>
      </c>
      <c r="AY139" s="104">
        <f>('Renewable Diesel'!O148*'RD Feedstock Breakdown'!AY$3*'Feedstock Conversion Rates'!B$4)/12+5</f>
        <v>72.5</v>
      </c>
      <c r="AZ139" s="104">
        <f>('Renewable Diesel'!O148*'RD Feedstock Breakdown'!AZ$3*'Feedstock Conversion Rates'!B$3)/12-5</f>
        <v>3.01</v>
      </c>
      <c r="BA139" s="106">
        <f t="shared" si="66"/>
        <v>75.510000000000005</v>
      </c>
      <c r="BF139" s="104">
        <f>('Renewable Diesel'!R148*'RD Feedstock Breakdown'!BF$3*'Feedstock Conversion Rates'!B$4)/12</f>
        <v>23.4375</v>
      </c>
      <c r="BG139" s="106">
        <f t="shared" ref="BG139:BG202" si="72">BF139</f>
        <v>23.4375</v>
      </c>
      <c r="BH139" s="104">
        <f>('Renewable Diesel'!T148*'RD Feedstock Breakdown'!BH$3*'Feedstock Conversion Rates'!B$7)/12</f>
        <v>0</v>
      </c>
      <c r="BI139" s="106">
        <f t="shared" si="64"/>
        <v>0</v>
      </c>
      <c r="BJ139" s="104">
        <f>('Renewable Diesel'!W148*'RD Feedstock Breakdown'!BJ$3*'Feedstock Conversion Rates'!B$4)/12</f>
        <v>7.5</v>
      </c>
      <c r="BK139" s="104">
        <f>('Renewable Diesel'!W148*'RD Feedstock Breakdown'!BK$3*'Feedstock Conversion Rates'!B$3)/12</f>
        <v>1.335</v>
      </c>
      <c r="BL139" s="104">
        <f>('Renewable Diesel'!W148*'RD Feedstock Breakdown'!BL$3*'Feedstock Conversion Rates'!B$6)/12</f>
        <v>3.1266666666666669</v>
      </c>
      <c r="BM139" s="104">
        <f>('Renewable Diesel'!W148*'RD Feedstock Breakdown'!BM$3*'Feedstock Conversion Rates'!B$7)/12</f>
        <v>1.5333333333333332</v>
      </c>
      <c r="BN139" s="106">
        <f t="shared" si="54"/>
        <v>13.495000000000001</v>
      </c>
      <c r="BO139" s="106"/>
      <c r="BP139" s="106"/>
      <c r="BQ139" s="106"/>
      <c r="BR139" s="106"/>
      <c r="BS139" s="106"/>
      <c r="BT139" s="104"/>
      <c r="BU139" s="104"/>
      <c r="BV139" s="106"/>
      <c r="BW139" s="106"/>
      <c r="BX139" s="107"/>
      <c r="BY139" s="106"/>
      <c r="BZ139" s="106"/>
      <c r="CA139" s="106"/>
      <c r="CB139" s="106"/>
      <c r="CC139" s="106"/>
      <c r="CD139" s="106"/>
      <c r="CE139" s="106"/>
      <c r="CF139" s="106"/>
      <c r="CG139" s="106"/>
      <c r="CH139" s="106"/>
      <c r="CI139" s="107"/>
      <c r="CJ139" s="106"/>
      <c r="CK139" s="106"/>
      <c r="CL139" s="104"/>
      <c r="CM139" s="104"/>
      <c r="CN139" s="104"/>
      <c r="CO139" s="106"/>
      <c r="CP139" s="106"/>
      <c r="CQ139" s="106"/>
      <c r="CR139" s="106"/>
      <c r="CS139" s="106"/>
      <c r="CT139" s="106"/>
      <c r="CU139" s="106"/>
      <c r="CV139" s="106"/>
      <c r="CW139" s="106"/>
      <c r="CX139" s="106"/>
      <c r="CY139" s="106"/>
      <c r="CZ139" s="106"/>
      <c r="DA139" s="106"/>
      <c r="DB139" s="106"/>
      <c r="DC139" s="106"/>
      <c r="DD139" s="107"/>
      <c r="DE139" s="106"/>
      <c r="DF139" s="106"/>
      <c r="DG139" s="106"/>
      <c r="DH139" s="106"/>
      <c r="DI139" s="106"/>
      <c r="DJ139" s="107"/>
      <c r="DK139" s="106"/>
      <c r="DL139" s="106"/>
      <c r="DM139" s="106"/>
      <c r="DN139" s="106"/>
      <c r="DP139" s="104">
        <f t="shared" si="30"/>
        <v>84.429999999999993</v>
      </c>
      <c r="DQ139" s="104">
        <f t="shared" si="31"/>
        <v>195.24522499999998</v>
      </c>
      <c r="DR139" s="104">
        <f t="shared" si="39"/>
        <v>447.625</v>
      </c>
      <c r="DS139" s="107"/>
      <c r="DT139" s="104">
        <f t="shared" si="32"/>
        <v>103.80666666666667</v>
      </c>
      <c r="DU139" s="104">
        <f t="shared" si="33"/>
        <v>97.023666666666657</v>
      </c>
      <c r="DV139" s="104">
        <f t="shared" si="34"/>
        <v>39.65625</v>
      </c>
      <c r="DW139" s="104">
        <f t="shared" si="35"/>
        <v>1</v>
      </c>
      <c r="DX139" s="106">
        <f t="shared" si="36"/>
        <v>968.78680833333328</v>
      </c>
      <c r="DY139" s="109">
        <f t="shared" si="37"/>
        <v>0</v>
      </c>
      <c r="EA139" s="110">
        <f t="shared" si="55"/>
        <v>8.7150237052928486E-2</v>
      </c>
      <c r="EB139" s="110">
        <f t="shared" si="55"/>
        <v>0.20153580057091508</v>
      </c>
      <c r="EC139" s="110">
        <f t="shared" si="55"/>
        <v>0.46204696033183845</v>
      </c>
      <c r="ED139" s="107"/>
      <c r="EE139" s="110">
        <f t="shared" si="56"/>
        <v>0.10715119753256344</v>
      </c>
      <c r="EF139" s="110">
        <f t="shared" si="56"/>
        <v>0.10014965710937244</v>
      </c>
      <c r="EG139" s="111">
        <f t="shared" si="56"/>
        <v>4.0933928557742458E-2</v>
      </c>
      <c r="EH139" s="111">
        <f t="shared" si="40"/>
        <v>1.0322188446396838E-3</v>
      </c>
      <c r="EI139" s="110">
        <f t="shared" si="41"/>
        <v>0.99896778115536033</v>
      </c>
      <c r="EK139" s="112">
        <f>(EA139*'Renewable Diesel'!BF148*'Feedstock Conversion Rates'!B$2)+FB139</f>
        <v>75.260894988908674</v>
      </c>
      <c r="EL139" s="112">
        <f>(EB139*'Renewable Diesel'!BF148*'Feedstock Conversion Rates'!B$3)+FC139</f>
        <v>164.00859230444277</v>
      </c>
      <c r="EM139" s="112">
        <f>(EC139*'Renewable Diesel'!BF148*'Feedstock Conversion Rates'!B$4)+FD139</f>
        <v>352.0701951433166</v>
      </c>
      <c r="EN139" s="107"/>
      <c r="EO139" s="112">
        <f>(EE139*'Renewable Diesel'!BF148*'Feedstock Conversion Rates'!B$6)+FF139</f>
        <v>102.11316740664292</v>
      </c>
      <c r="EP139" s="112">
        <f>(EF139*'Renewable Diesel'!BF148*'Feedstock Conversion Rates'!B$7)+FG139</f>
        <v>93.609338043541371</v>
      </c>
      <c r="EQ139" s="112">
        <f>(EG139*'Renewable Diesel'!BF148*'Feedstock Conversion Rates'!B$8)+FH139</f>
        <v>38.988505099559198</v>
      </c>
      <c r="ER139" s="112">
        <f>(EH139*'Renewable Diesel'!BF148*'Feedstock Conversion Rates'!B$9)+FI139</f>
        <v>0.97005285080910109</v>
      </c>
      <c r="ES139" s="112">
        <f t="shared" si="42"/>
        <v>827.0207458372206</v>
      </c>
      <c r="ET139" s="91">
        <f>ES139/'Renewable Diesel'!BF148</f>
        <v>8.1401896628151338</v>
      </c>
      <c r="EU139" s="112"/>
      <c r="EW139" s="73">
        <f t="shared" si="58"/>
        <v>352.0701951433166</v>
      </c>
      <c r="EX139" s="73">
        <f t="shared" si="59"/>
        <v>474.95055069390401</v>
      </c>
      <c r="EY139" s="92">
        <f t="shared" si="71"/>
        <v>0.42570902473178496</v>
      </c>
      <c r="EZ139" s="92">
        <f t="shared" si="71"/>
        <v>0.57429097526821504</v>
      </c>
      <c r="FB139" s="102">
        <f>IF('Renewable Diesel'!$BG148&lt;1,0,(((('Renewable Diesel'!$BG148-1)*'Renewable Diesel'!$BF148)*'RD Feedstock Breakdown'!EA139)*'Feedstock Conversion Rates'!$B$2))</f>
        <v>0</v>
      </c>
      <c r="FC139" s="102">
        <f>IF('Renewable Diesel'!$BG148&lt;1,0,(((('Renewable Diesel'!$BG148-1)*'Renewable Diesel'!$BF148)*'RD Feedstock Breakdown'!EB139)*'Feedstock Conversion Rates'!$B$3))</f>
        <v>0</v>
      </c>
      <c r="FD139" s="102">
        <f>IF('Renewable Diesel'!$BG148&lt;1,0,(((('Renewable Diesel'!$BG148-1)*'Renewable Diesel'!$BF148)*'RD Feedstock Breakdown'!EC139)*'Feedstock Conversion Rates'!$B$4))</f>
        <v>0</v>
      </c>
      <c r="FE139" s="107"/>
      <c r="FF139" s="102">
        <f>IF('Renewable Diesel'!$BG148&lt;1,0,(((('Renewable Diesel'!$BG148-1)*'Renewable Diesel'!$BF148)*'RD Feedstock Breakdown'!EE139)*'Feedstock Conversion Rates'!$B$6))</f>
        <v>0</v>
      </c>
      <c r="FG139" s="102">
        <f>IF('Renewable Diesel'!$BG148&lt;1,0,(((('Renewable Diesel'!$BG148-1)*'Renewable Diesel'!$BF148)*'RD Feedstock Breakdown'!EF139)*'Feedstock Conversion Rates'!$B$7))</f>
        <v>0</v>
      </c>
      <c r="FH139" s="102">
        <f>IF('Renewable Diesel'!$BG148&lt;1,0,(((('Renewable Diesel'!$BG148-1)*'Renewable Diesel'!$BF148)*'RD Feedstock Breakdown'!EG139)*'Feedstock Conversion Rates'!$B$8))</f>
        <v>0</v>
      </c>
      <c r="FI139" s="102">
        <f>IF('Renewable Diesel'!$BG148&lt;1,0,(((('Renewable Diesel'!$BG148-1)*'Renewable Diesel'!$BF148)*'RD Feedstock Breakdown'!EH139)*'Feedstock Conversion Rates'!$B$9))</f>
        <v>0</v>
      </c>
      <c r="FJ139" s="102">
        <f t="shared" si="60"/>
        <v>0</v>
      </c>
      <c r="FR139" s="3">
        <f>('Renewable Diesel'!AX148-'Renewable Diesel'!BI148)/12*$FO$80</f>
        <v>118.44749999999999</v>
      </c>
      <c r="FS139" s="100">
        <f t="shared" si="48"/>
        <v>0.46204696033183845</v>
      </c>
      <c r="FT139" s="3">
        <f t="shared" si="50"/>
        <v>410.46230500429078</v>
      </c>
      <c r="FY139" s="3">
        <f>'Renewable Diesel'!BF148*('Renewable Diesel'!BI148/'Renewable Diesel'!AX148)</f>
        <v>18.115177809105099</v>
      </c>
      <c r="FZ139" s="3">
        <f>('Renewable Diesel'!BJ148*'Renewable Diesel'!BG148)/12</f>
        <v>81.911156302894184</v>
      </c>
      <c r="GA139" s="3">
        <f t="shared" si="51"/>
        <v>283.85100590263778</v>
      </c>
      <c r="GD139" s="91">
        <f>'Renewable Diesel'!BB148*0</f>
        <v>0</v>
      </c>
      <c r="GE139" s="91">
        <f>'Renewable Diesel'!BC148</f>
        <v>0.40899099999999999</v>
      </c>
      <c r="GF139" s="91">
        <f>'Renewable Diesel'!BD148</f>
        <v>0</v>
      </c>
      <c r="GG139" s="91">
        <f t="shared" si="49"/>
        <v>0.40899099999999999</v>
      </c>
      <c r="GH139" s="124">
        <v>1</v>
      </c>
      <c r="GI139" s="102">
        <f>$GG139*EA139*'Feedstock Conversion Rates'!$B$2</f>
        <v>0.30297113212137133</v>
      </c>
      <c r="GJ139" s="102">
        <f>$GG139*EB139*'Feedstock Conversion Rates'!$B$3</f>
        <v>0.66023489217650599</v>
      </c>
      <c r="GK139" s="102">
        <f>$GG139*EC139*'Feedstock Conversion Rates'!$B$4</f>
        <v>1.4172978626480921</v>
      </c>
      <c r="GL139" s="102">
        <f>$GG139*ED139*'Feedstock Conversion Rates'!$B$5</f>
        <v>0</v>
      </c>
      <c r="GM139" s="102">
        <f>$GG139*EE139*'Feedstock Conversion Rates'!$B$6</f>
        <v>0.41106795153378139</v>
      </c>
      <c r="GN139" s="102">
        <f>$GG139*EF139*'Feedstock Conversion Rates'!$B$7</f>
        <v>0.37683483737953793</v>
      </c>
      <c r="GO139" s="102">
        <f>$GG139*EG139*'Feedstock Conversion Rates'!$B$8</f>
        <v>0.15695257851337166</v>
      </c>
      <c r="GP139" s="102">
        <f>$GG139*EH139*'Feedstock Conversion Rates'!B$9</f>
        <v>3.9050560117642676E-3</v>
      </c>
      <c r="GQ139" s="102">
        <f t="shared" si="45"/>
        <v>3.3292643103844246</v>
      </c>
      <c r="GR139" s="85">
        <f t="shared" si="53"/>
        <v>8.1401896628151338</v>
      </c>
      <c r="GT139" s="103">
        <f t="shared" si="47"/>
        <v>9.1002426925481245E-2</v>
      </c>
      <c r="GU139" s="103">
        <f t="shared" si="47"/>
        <v>0.19831254914701252</v>
      </c>
      <c r="GV139" s="103">
        <f t="shared" si="47"/>
        <v>0.4257090247317849</v>
      </c>
      <c r="GW139" s="103">
        <f t="shared" si="47"/>
        <v>0</v>
      </c>
      <c r="GX139" s="103">
        <f t="shared" si="47"/>
        <v>0.12347110749110696</v>
      </c>
      <c r="GY139" s="103">
        <f t="shared" si="69"/>
        <v>0.11318862134320164</v>
      </c>
      <c r="GZ139" s="103">
        <f t="shared" si="69"/>
        <v>4.7143321731415375E-2</v>
      </c>
      <c r="HA139" s="103">
        <f t="shared" si="69"/>
        <v>1.1729486299972853E-3</v>
      </c>
    </row>
    <row r="140" spans="1:209" x14ac:dyDescent="0.25">
      <c r="A140" s="96">
        <v>44682</v>
      </c>
      <c r="B140" s="104">
        <f>55+120+49+5+10+21-40-12.5-2+6+25+14-5-1-4-1-6-9-4+20-20+40+20-10+20+17.5+32.5+50-10-48-17+3.75+42+3-40-10-5-30-10-7+32.5+20-26-50-3.5-12.5-12.5-1-25-40-75+25+30-10+25</f>
        <v>139.25</v>
      </c>
      <c r="C140" s="105"/>
      <c r="D140" s="104">
        <v>1</v>
      </c>
      <c r="E140" s="104">
        <f>('Renewable Diesel'!B149*E$3*'Feedstock Conversion Rates'!$B$2)/12-30-21-14+5+1+9-32.5+10+5+7+26+3.5+40-25</f>
        <v>73.929999999999993</v>
      </c>
      <c r="F140" s="104">
        <f>('Renewable Diesel'!B149*'RD Feedstock Breakdown'!F$3*'Feedstock Conversion Rates'!B$8)/12+28.5-49-5+2-6+1+6+20-20-3.75+10+12.5+10-25</f>
        <v>35.15625</v>
      </c>
      <c r="G140" s="104">
        <f>('Renewable Diesel'!B149*'RD Feedstock Breakdown'!G$3*'Feedstock Conversion Rates'!B$7)/12-25-15-25+4+4-20-40-20+10-17-10.5+40+10-20+25-20</f>
        <v>56.657000000000011</v>
      </c>
      <c r="H140" s="104">
        <f>('Renewable Diesel'!B149*'RD Feedstock Breakdown'!H$3*'Feedstock Conversion Rates'!B$3)/12+11.5-120-10-5-50+48-42.5+17-3+30+50+12.5+75</f>
        <v>189.90022499999998</v>
      </c>
      <c r="I140" s="106">
        <f t="shared" si="52"/>
        <v>495.89347499999997</v>
      </c>
      <c r="J140" s="106"/>
      <c r="K140" s="107"/>
      <c r="L140" s="106"/>
      <c r="R140" s="104">
        <f>('Renewable Diesel'!D149*'RD Feedstock Breakdown'!R$3*'Feedstock Conversion Rates'!B$7)/12</f>
        <v>2.2999999999999998</v>
      </c>
      <c r="S140" s="106">
        <f t="shared" si="67"/>
        <v>2.2999999999999998</v>
      </c>
      <c r="T140" s="105"/>
      <c r="U140" s="104"/>
      <c r="V140" s="104"/>
      <c r="W140" s="104"/>
      <c r="X140" s="106"/>
      <c r="Y140" s="104">
        <f>12.5+15+1+8-20+27.5-5-39+19-19+30-25-5+25</f>
        <v>25</v>
      </c>
      <c r="Z140" s="104">
        <f>('Renewable Diesel'!F149*'RD Feedstock Breakdown'!Z$3*'Feedstock Conversion Rates'!B$6)/12+5-15-1-8+20-27.5+5+19-30+25+5</f>
        <v>42.055000000000007</v>
      </c>
      <c r="AA140" s="104">
        <f>('Renewable Diesel'!F149*'RD Feedstock Breakdown'!AA$3*'Feedstock Conversion Rates'!B$7)/12-17.5+10+10-25</f>
        <v>6.6333333333333293</v>
      </c>
      <c r="AB140" s="106">
        <f t="shared" si="62"/>
        <v>73.688333333333333</v>
      </c>
      <c r="AC140" s="108"/>
      <c r="AG140" s="105"/>
      <c r="AH140" s="104">
        <v>0</v>
      </c>
      <c r="AI140" s="104">
        <f>('Renewable Diesel'!H149*'RD Feedstock Breakdown'!AI$3*'Feedstock Conversion Rates'!B$6)/12</f>
        <v>58.625000000000007</v>
      </c>
      <c r="AJ140" s="106">
        <f t="shared" si="65"/>
        <v>58.625000000000007</v>
      </c>
      <c r="AK140" s="104">
        <f>('Renewable Diesel'!J149*'RD Feedstock Breakdown'!AK$3*'Feedstock Conversion Rates'!B$4)/12</f>
        <v>95.8125</v>
      </c>
      <c r="AL140" s="106">
        <f t="shared" si="68"/>
        <v>95.8125</v>
      </c>
      <c r="AM140" s="104"/>
      <c r="AN140" s="104"/>
      <c r="AO140" s="106"/>
      <c r="AP140" s="104">
        <f>('Renewable Diesel'!L149*'RD Feedstock Breakdown'!AP$3*'Feedstock Conversion Rates'!B$4)/12+15-7.5</f>
        <v>28.59375</v>
      </c>
      <c r="AQ140" s="104">
        <f>('Renewable Diesel'!L149*'RD Feedstock Breakdown'!AQ$3*'Feedstock Conversion Rates'!B$6)/12-15+7.55</f>
        <v>1.3437500000000009</v>
      </c>
      <c r="AR140" s="106">
        <f t="shared" si="70"/>
        <v>29.9375</v>
      </c>
      <c r="AS140" s="104"/>
      <c r="AT140" s="105"/>
      <c r="AU140" s="106"/>
      <c r="AV140" s="104">
        <f>'Renewable Diesel'!N149*'RD Feedstock Breakdown'!$AV$3*'Feedstock Conversion Rates'!$B$4/12+3</f>
        <v>81.749999999999986</v>
      </c>
      <c r="AW140" s="104">
        <f>'Renewable Diesel'!N149*'RD Feedstock Breakdown'!$AW$3*'Feedstock Conversion Rates'!$B$7/12-3</f>
        <v>38.4</v>
      </c>
      <c r="AX140" s="106">
        <f t="shared" si="63"/>
        <v>120.14999999999998</v>
      </c>
      <c r="AY140" s="104">
        <f>('Renewable Diesel'!O149*'RD Feedstock Breakdown'!AY$3*'Feedstock Conversion Rates'!B$4)/12+5</f>
        <v>72.5</v>
      </c>
      <c r="AZ140" s="104">
        <f>('Renewable Diesel'!O149*'RD Feedstock Breakdown'!AZ$3*'Feedstock Conversion Rates'!B$3)/12-5</f>
        <v>3.01</v>
      </c>
      <c r="BA140" s="106">
        <f t="shared" si="66"/>
        <v>75.510000000000005</v>
      </c>
      <c r="BF140" s="104">
        <f>('Renewable Diesel'!R149*'RD Feedstock Breakdown'!BF$3*'Feedstock Conversion Rates'!B$4)/12</f>
        <v>31.25</v>
      </c>
      <c r="BG140" s="106">
        <f t="shared" si="72"/>
        <v>31.25</v>
      </c>
      <c r="BH140" s="104">
        <f>('Renewable Diesel'!T149*'RD Feedstock Breakdown'!BH$3*'Feedstock Conversion Rates'!B$7)/12</f>
        <v>0</v>
      </c>
      <c r="BI140" s="106">
        <f t="shared" si="64"/>
        <v>0</v>
      </c>
      <c r="BJ140" s="104">
        <f>('Renewable Diesel'!W149*'RD Feedstock Breakdown'!BJ$3*'Feedstock Conversion Rates'!B$4)/12</f>
        <v>7.5</v>
      </c>
      <c r="BK140" s="104">
        <f>('Renewable Diesel'!W149*'RD Feedstock Breakdown'!BK$3*'Feedstock Conversion Rates'!B$3)/12</f>
        <v>1.335</v>
      </c>
      <c r="BL140" s="104">
        <f>('Renewable Diesel'!W149*'RD Feedstock Breakdown'!BL$3*'Feedstock Conversion Rates'!B$6)/12</f>
        <v>3.1266666666666669</v>
      </c>
      <c r="BM140" s="104">
        <f>('Renewable Diesel'!W149*'RD Feedstock Breakdown'!BM$3*'Feedstock Conversion Rates'!B$7)/12</f>
        <v>1.5333333333333332</v>
      </c>
      <c r="BN140" s="106">
        <f t="shared" si="54"/>
        <v>13.495000000000001</v>
      </c>
      <c r="BO140" s="106"/>
      <c r="BP140" s="106"/>
      <c r="BQ140" s="106"/>
      <c r="BR140" s="106"/>
      <c r="BS140" s="106"/>
      <c r="BT140" s="104"/>
      <c r="BU140" s="104"/>
      <c r="BV140" s="106"/>
      <c r="BW140" s="106"/>
      <c r="BX140" s="107"/>
      <c r="BY140" s="106"/>
      <c r="BZ140" s="106"/>
      <c r="CA140" s="106"/>
      <c r="CB140" s="106"/>
      <c r="CC140" s="106"/>
      <c r="CD140" s="106"/>
      <c r="CE140" s="106"/>
      <c r="CF140" s="106"/>
      <c r="CG140" s="106"/>
      <c r="CH140" s="106"/>
      <c r="CI140" s="107"/>
      <c r="CJ140" s="106"/>
      <c r="CK140" s="106"/>
      <c r="CL140" s="104"/>
      <c r="CM140" s="104"/>
      <c r="CN140" s="104"/>
      <c r="CO140" s="106"/>
      <c r="CP140" s="106"/>
      <c r="CQ140" s="106"/>
      <c r="CR140" s="106"/>
      <c r="CS140" s="106"/>
      <c r="CT140" s="106"/>
      <c r="CU140" s="106"/>
      <c r="CV140" s="106"/>
      <c r="CW140" s="106"/>
      <c r="CX140" s="106"/>
      <c r="CY140" s="106"/>
      <c r="CZ140" s="106"/>
      <c r="DA140" s="106"/>
      <c r="DB140" s="106"/>
      <c r="DC140" s="106"/>
      <c r="DD140" s="107"/>
      <c r="DE140" s="106"/>
      <c r="DF140" s="106"/>
      <c r="DG140" s="106"/>
      <c r="DH140" s="106"/>
      <c r="DI140" s="106"/>
      <c r="DJ140" s="107"/>
      <c r="DK140" s="106"/>
      <c r="DL140" s="106"/>
      <c r="DM140" s="106"/>
      <c r="DN140" s="106"/>
      <c r="DP140" s="104">
        <f t="shared" ref="DP140:DP203" si="73">E140+M140</f>
        <v>73.929999999999993</v>
      </c>
      <c r="DQ140" s="104">
        <f t="shared" ref="DQ140:DQ203" si="74">H140+P140+AZ140+BC140+BK140+BZ140+CL140+CP140+CV140+CX140+DA140+DK140</f>
        <v>194.24522499999998</v>
      </c>
      <c r="DR140" s="104">
        <f t="shared" si="39"/>
        <v>481.65625</v>
      </c>
      <c r="DS140" s="107"/>
      <c r="DT140" s="104">
        <f t="shared" ref="DT140:DT203" si="75">V140+Z140+AE140+AI140+BD140+BL140+AN140+AQ140+CD140+CM140+CQ140+CY140+DB140+DL140</f>
        <v>105.15041666666667</v>
      </c>
      <c r="DU140" s="104">
        <f t="shared" ref="DU140:DU203" si="76">G140+O140+R140+AA140+AW140+BH140+BM140+BR140+BU140+BY140</f>
        <v>105.52366666666666</v>
      </c>
      <c r="DV140" s="104">
        <f>F140+N140+W140+DM140</f>
        <v>35.15625</v>
      </c>
      <c r="DW140" s="104">
        <f t="shared" ref="DW140:DW203" si="77">D140+L140</f>
        <v>1</v>
      </c>
      <c r="DX140" s="106">
        <f t="shared" ref="DX140:DX200" si="78">SUM(DP140:DW140)</f>
        <v>996.66180833333328</v>
      </c>
      <c r="DY140" s="109">
        <f t="shared" ref="DY140:DY200" si="79">I140+Q140+S140+X140+AB140+AF140+AJ140+AL140+AO140+AR140+AU140+AX140+BA140+BE140+BG140+BI140+BN140-DX140+BP140+BS140+BV140+CA140+CC140+CF140+CH140+CK140+CO140+CS140+CU140+CW140+CZ140+DN140+DG140+DI140</f>
        <v>0</v>
      </c>
      <c r="EA140" s="110">
        <f t="shared" si="55"/>
        <v>7.4177619109966064E-2</v>
      </c>
      <c r="EB140" s="110">
        <f t="shared" si="55"/>
        <v>0.1948958246176066</v>
      </c>
      <c r="EC140" s="110">
        <f t="shared" si="55"/>
        <v>0.48326949620498572</v>
      </c>
      <c r="ED140" s="107"/>
      <c r="EE140" s="110">
        <f t="shared" si="56"/>
        <v>0.10550260458209425</v>
      </c>
      <c r="EF140" s="110">
        <f t="shared" si="56"/>
        <v>0.10587710473538511</v>
      </c>
      <c r="EG140" s="111">
        <f t="shared" si="56"/>
        <v>3.527400137744819E-2</v>
      </c>
      <c r="EH140" s="111">
        <f t="shared" si="40"/>
        <v>1.0033493725140818E-3</v>
      </c>
      <c r="EI140" s="110">
        <f t="shared" si="41"/>
        <v>0.99899665062748599</v>
      </c>
      <c r="EK140" s="112">
        <f>(EA140*'Renewable Diesel'!BF149*'Feedstock Conversion Rates'!B$2)+FB140</f>
        <v>80.450008521143545</v>
      </c>
      <c r="EL140" s="112">
        <f>(EB140*'Renewable Diesel'!BF149*'Feedstock Conversion Rates'!B$3)+FC140</f>
        <v>199.19082494823553</v>
      </c>
      <c r="EM140" s="112">
        <f>(EC140*'Renewable Diesel'!BF149*'Feedstock Conversion Rates'!B$4)+FD140</f>
        <v>462.47144854944725</v>
      </c>
      <c r="EN140" s="107"/>
      <c r="EO140" s="112">
        <f>(EE140*'Renewable Diesel'!BF149*'Feedstock Conversion Rates'!B$6)+FF140</f>
        <v>126.2700344203396</v>
      </c>
      <c r="EP140" s="112">
        <f>(EF140*'Renewable Diesel'!BF149*'Feedstock Conversion Rates'!B$7)+FG140</f>
        <v>124.28655869883899</v>
      </c>
      <c r="EQ140" s="112">
        <f>(EG140*'Renewable Diesel'!BF149*'Feedstock Conversion Rates'!B$8)+FH140</f>
        <v>42.194931195916446</v>
      </c>
      <c r="ER140" s="112">
        <f>(EH140*'Renewable Diesel'!BF149*'Feedstock Conversion Rates'!B$9)+FI140</f>
        <v>1.1842085578895425</v>
      </c>
      <c r="ES140" s="112">
        <f t="shared" si="42"/>
        <v>1036.0480148918111</v>
      </c>
      <c r="ET140" s="91">
        <f>ES140/'Renewable Diesel'!BF149</f>
        <v>8.1198050783140534</v>
      </c>
      <c r="EU140" s="112"/>
      <c r="EW140" s="73">
        <f t="shared" si="58"/>
        <v>462.47144854944725</v>
      </c>
      <c r="EX140" s="73">
        <f t="shared" si="59"/>
        <v>573.57656634236366</v>
      </c>
      <c r="EY140" s="92">
        <f t="shared" si="71"/>
        <v>0.44638032398309324</v>
      </c>
      <c r="EZ140" s="92">
        <f t="shared" si="71"/>
        <v>0.55361967601690654</v>
      </c>
      <c r="FB140" s="102">
        <f>IF('Renewable Diesel'!$BG149&lt;1,0,(((('Renewable Diesel'!$BG149-1)*'Renewable Diesel'!$BF149)*'RD Feedstock Breakdown'!EA140)*'Feedstock Conversion Rates'!$B$2))</f>
        <v>0</v>
      </c>
      <c r="FC140" s="102">
        <f>IF('Renewable Diesel'!$BG149&lt;1,0,(((('Renewable Diesel'!$BG149-1)*'Renewable Diesel'!$BF149)*'RD Feedstock Breakdown'!EB140)*'Feedstock Conversion Rates'!$B$3))</f>
        <v>0</v>
      </c>
      <c r="FD140" s="102">
        <f>IF('Renewable Diesel'!$BG149&lt;1,0,(((('Renewable Diesel'!$BG149-1)*'Renewable Diesel'!$BF149)*'RD Feedstock Breakdown'!EC140)*'Feedstock Conversion Rates'!$B$4))</f>
        <v>0</v>
      </c>
      <c r="FE140" s="107"/>
      <c r="FF140" s="102">
        <f>IF('Renewable Diesel'!$BG149&lt;1,0,(((('Renewable Diesel'!$BG149-1)*'Renewable Diesel'!$BF149)*'RD Feedstock Breakdown'!EE140)*'Feedstock Conversion Rates'!$B$6))</f>
        <v>0</v>
      </c>
      <c r="FG140" s="102">
        <f>IF('Renewable Diesel'!$BG149&lt;1,0,(((('Renewable Diesel'!$BG149-1)*'Renewable Diesel'!$BF149)*'RD Feedstock Breakdown'!EF140)*'Feedstock Conversion Rates'!$B$7))</f>
        <v>0</v>
      </c>
      <c r="FH140" s="102">
        <f>IF('Renewable Diesel'!$BG149&lt;1,0,(((('Renewable Diesel'!$BG149-1)*'Renewable Diesel'!$BF149)*'RD Feedstock Breakdown'!EG140)*'Feedstock Conversion Rates'!$B$8))</f>
        <v>0</v>
      </c>
      <c r="FI140" s="102">
        <f>IF('Renewable Diesel'!$BG149&lt;1,0,(((('Renewable Diesel'!$BG149-1)*'Renewable Diesel'!$BF149)*'RD Feedstock Breakdown'!EH140)*'Feedstock Conversion Rates'!$B$9))</f>
        <v>0</v>
      </c>
      <c r="FJ140" s="102">
        <f t="shared" si="60"/>
        <v>0</v>
      </c>
      <c r="FR140" s="3">
        <f>('Renewable Diesel'!AX149-'Renewable Diesel'!BI149)/12*$FO$80</f>
        <v>119.61000000000001</v>
      </c>
      <c r="FS140" s="100">
        <f t="shared" si="48"/>
        <v>0.48326949620498572</v>
      </c>
      <c r="FT140" s="3">
        <f t="shared" si="50"/>
        <v>433.52898330808762</v>
      </c>
      <c r="FY140" s="3">
        <f>'Renewable Diesel'!BF149*('Renewable Diesel'!BI149/'Renewable Diesel'!AX149)</f>
        <v>23.081162533436057</v>
      </c>
      <c r="FZ140" s="3">
        <f>('Renewable Diesel'!BJ149*'Renewable Diesel'!BG149)/12</f>
        <v>105.96560408415512</v>
      </c>
      <c r="GA140" s="3">
        <f t="shared" si="51"/>
        <v>384.07458075604967</v>
      </c>
      <c r="GD140" s="91">
        <f>'Renewable Diesel'!BB149*0</f>
        <v>0</v>
      </c>
      <c r="GE140" s="91">
        <f>'Renewable Diesel'!BC149</f>
        <v>0.20283100000000001</v>
      </c>
      <c r="GF140" s="91">
        <f>'Renewable Diesel'!BD149</f>
        <v>0</v>
      </c>
      <c r="GG140" s="91">
        <f t="shared" si="49"/>
        <v>0.20283100000000001</v>
      </c>
      <c r="GH140" s="124">
        <v>1</v>
      </c>
      <c r="GI140" s="102">
        <f>$GG140*EA140*'Feedstock Conversion Rates'!$B$2</f>
        <v>0.12788692562439499</v>
      </c>
      <c r="GJ140" s="102">
        <f>$GG140*EB140*'Feedstock Conversion Rates'!$B$3</f>
        <v>0.31664262917414027</v>
      </c>
      <c r="GK140" s="102">
        <f>$GG140*EC140*'Feedstock Conversion Rates'!$B$4</f>
        <v>0.73516526388565107</v>
      </c>
      <c r="GL140" s="102">
        <f>$GG140*ED140*'Feedstock Conversion Rates'!$B$5</f>
        <v>0</v>
      </c>
      <c r="GM140" s="102">
        <f>$GG140*EE140*'Feedstock Conversion Rates'!$B$6</f>
        <v>0.20072448465011333</v>
      </c>
      <c r="GN140" s="102">
        <f>$GG140*EF140*'Feedstock Conversion Rates'!$B$7</f>
        <v>0.19757146308136264</v>
      </c>
      <c r="GO140" s="102">
        <f>$GG140*EG140*'Feedstock Conversion Rates'!$B$8</f>
        <v>6.7074946625523699E-2</v>
      </c>
      <c r="GP140" s="102">
        <f>$GG140*EH140*'Feedstock Conversion Rates'!B$9</f>
        <v>1.8824707983317347E-3</v>
      </c>
      <c r="GQ140" s="102">
        <f t="shared" si="45"/>
        <v>1.6469481838395177</v>
      </c>
      <c r="GR140" s="85">
        <f t="shared" si="53"/>
        <v>8.1198050783140534</v>
      </c>
      <c r="GT140" s="103">
        <f t="shared" si="47"/>
        <v>7.7650849540544228E-2</v>
      </c>
      <c r="GU140" s="103">
        <f t="shared" si="47"/>
        <v>0.1922602254771329</v>
      </c>
      <c r="GV140" s="103">
        <f t="shared" si="47"/>
        <v>0.4463803239830933</v>
      </c>
      <c r="GW140" s="103">
        <f t="shared" si="47"/>
        <v>0</v>
      </c>
      <c r="GX140" s="103">
        <f t="shared" si="47"/>
        <v>0.12187662406121719</v>
      </c>
      <c r="GY140" s="103">
        <f t="shared" si="69"/>
        <v>0.11996216093500027</v>
      </c>
      <c r="GZ140" s="103">
        <f t="shared" si="69"/>
        <v>4.0726810523663462E-2</v>
      </c>
      <c r="HA140" s="103">
        <f t="shared" si="69"/>
        <v>1.143005479348564E-3</v>
      </c>
    </row>
    <row r="141" spans="1:209" x14ac:dyDescent="0.25">
      <c r="A141" s="96">
        <v>44713</v>
      </c>
      <c r="B141" s="104">
        <f>55+120+49+5+10+21-40-12.5-2+6+25+14-5-1-4-1-6-9-4+20-20+40+20-10+20+17.5+32.5+50-10-48-17+3.75+42+3-40-10-5-30-10-7+32.5+20-26-50-3.5-12.5-12.5-1-75-40-75+30-10+25</f>
        <v>64.25</v>
      </c>
      <c r="C141" s="105"/>
      <c r="D141" s="104">
        <v>1</v>
      </c>
      <c r="E141" s="104">
        <f>('Renewable Diesel'!B150*E$3*'Feedstock Conversion Rates'!$B$2)/12-30-21-14+5+1+9-32.5+10+5+7+26+3.5+40</f>
        <v>98.929999999999993</v>
      </c>
      <c r="F141" s="104">
        <f>('Renewable Diesel'!B150*'RD Feedstock Breakdown'!F$3*'Feedstock Conversion Rates'!B$8)/12+28.5-49-5+2-6+1+6+20-20-3.75+10+12.5+10-25</f>
        <v>35.15625</v>
      </c>
      <c r="G141" s="104">
        <f>('Renewable Diesel'!B150*'RD Feedstock Breakdown'!G$3*'Feedstock Conversion Rates'!B$7)/12-25-15-25+4+4-20-40-20+10-17-10.5+40+10-20+75-20</f>
        <v>106.65700000000001</v>
      </c>
      <c r="H141" s="104">
        <f>('Renewable Diesel'!B150*'RD Feedstock Breakdown'!H$3*'Feedstock Conversion Rates'!B$3)/12+11.5-120-10-5-50+48-42.5+17-3+30+50+12.5+75</f>
        <v>189.90022499999998</v>
      </c>
      <c r="I141" s="106">
        <f t="shared" si="52"/>
        <v>495.89347499999997</v>
      </c>
      <c r="J141" s="106"/>
      <c r="K141" s="107"/>
      <c r="L141" s="106"/>
      <c r="R141" s="104">
        <f>('Renewable Diesel'!D150*'RD Feedstock Breakdown'!R$3*'Feedstock Conversion Rates'!B$7)/12</f>
        <v>2.2999999999999998</v>
      </c>
      <c r="S141" s="106">
        <f t="shared" si="67"/>
        <v>2.2999999999999998</v>
      </c>
      <c r="T141" s="105"/>
      <c r="U141" s="104"/>
      <c r="V141" s="104"/>
      <c r="W141" s="104"/>
      <c r="X141" s="106"/>
      <c r="Y141" s="104">
        <f>12.5+15+1+8-20+27.5-5-39+19-19+25-25+25</f>
        <v>25</v>
      </c>
      <c r="Z141" s="104">
        <f>('Renewable Diesel'!F150*'RD Feedstock Breakdown'!Z$3*'Feedstock Conversion Rates'!B$6)/12+5-15-1-8+20-27.5+5+19-25+25</f>
        <v>42.055000000000007</v>
      </c>
      <c r="AA141" s="104">
        <f>('Renewable Diesel'!F150*'RD Feedstock Breakdown'!AA$3*'Feedstock Conversion Rates'!B$7)/12-17.5+10+10-25</f>
        <v>6.6333333333333293</v>
      </c>
      <c r="AB141" s="106">
        <f t="shared" si="62"/>
        <v>73.688333333333333</v>
      </c>
      <c r="AC141" s="105"/>
      <c r="AD141" s="104">
        <f>('Renewable Diesel'!G150*'RD Feedstock Breakdown'!AD$3*'Feedstock Conversion Rates'!B$4)/12</f>
        <v>0</v>
      </c>
      <c r="AE141" s="104">
        <f>('Renewable Diesel'!G150*'RD Feedstock Breakdown'!AE$3*'Feedstock Conversion Rates'!B$6)/12</f>
        <v>0</v>
      </c>
      <c r="AF141" s="106">
        <f t="shared" ref="AF141:AF147" si="80">SUM(AC141:AE141)</f>
        <v>0</v>
      </c>
      <c r="AG141" s="105"/>
      <c r="AH141" s="104">
        <v>0</v>
      </c>
      <c r="AI141" s="104">
        <f>('Renewable Diesel'!H150*'RD Feedstock Breakdown'!AI$3*'Feedstock Conversion Rates'!B$6)/12</f>
        <v>58.625000000000007</v>
      </c>
      <c r="AJ141" s="106">
        <f t="shared" si="65"/>
        <v>58.625000000000007</v>
      </c>
      <c r="AK141" s="104">
        <f>('Renewable Diesel'!J150*'RD Feedstock Breakdown'!AK$3*'Feedstock Conversion Rates'!B$4)/12</f>
        <v>95.8125</v>
      </c>
      <c r="AL141" s="106">
        <f t="shared" si="68"/>
        <v>95.8125</v>
      </c>
      <c r="AM141" s="104">
        <f>('Renewable Diesel'!K150*'RD Feedstock Breakdown'!AM$3*'Feedstock Conversion Rates'!B$4)/12</f>
        <v>0</v>
      </c>
      <c r="AN141" s="104">
        <f>('Renewable Diesel'!K150*'RD Feedstock Breakdown'!AN$3*'Feedstock Conversion Rates'!B$6)/12</f>
        <v>0</v>
      </c>
      <c r="AO141" s="106">
        <f t="shared" ref="AO141:AO204" si="81">SUM(AM141:AN141)</f>
        <v>0</v>
      </c>
      <c r="AP141" s="104">
        <f>('Renewable Diesel'!L150*'RD Feedstock Breakdown'!AP$3*'Feedstock Conversion Rates'!B$4)/12+15-7.5</f>
        <v>49.6875</v>
      </c>
      <c r="AQ141" s="104">
        <f>('Renewable Diesel'!L150*'RD Feedstock Breakdown'!AQ$3*'Feedstock Conversion Rates'!B$6)/12-15+7.55</f>
        <v>10.137500000000003</v>
      </c>
      <c r="AR141" s="106">
        <f t="shared" si="70"/>
        <v>59.825000000000003</v>
      </c>
      <c r="AS141" s="104"/>
      <c r="AT141" s="105"/>
      <c r="AU141" s="106"/>
      <c r="AV141" s="104">
        <f>'Renewable Diesel'!N150*'RD Feedstock Breakdown'!$AV$3*'Feedstock Conversion Rates'!$B$4/12+3</f>
        <v>81.749999999999986</v>
      </c>
      <c r="AW141" s="104">
        <f>'Renewable Diesel'!N150*'RD Feedstock Breakdown'!$AW$3*'Feedstock Conversion Rates'!$B$7/12-3</f>
        <v>38.4</v>
      </c>
      <c r="AX141" s="106">
        <f t="shared" si="63"/>
        <v>120.14999999999998</v>
      </c>
      <c r="AY141" s="104">
        <f>('Renewable Diesel'!O150*'RD Feedstock Breakdown'!AY$3*'Feedstock Conversion Rates'!B$4)/12+5</f>
        <v>72.5</v>
      </c>
      <c r="AZ141" s="104">
        <f>('Renewable Diesel'!O150*'RD Feedstock Breakdown'!AZ$3*'Feedstock Conversion Rates'!B$3)/12-5</f>
        <v>3.01</v>
      </c>
      <c r="BA141" s="106">
        <f t="shared" si="66"/>
        <v>75.510000000000005</v>
      </c>
      <c r="BF141" s="104">
        <f>('Renewable Diesel'!R150*'RD Feedstock Breakdown'!BF$3*'Feedstock Conversion Rates'!B$4)/12</f>
        <v>46.875</v>
      </c>
      <c r="BG141" s="106">
        <f t="shared" si="72"/>
        <v>46.875</v>
      </c>
      <c r="BH141" s="104">
        <f>('Renewable Diesel'!T150*'RD Feedstock Breakdown'!BH$3*'Feedstock Conversion Rates'!B$7)/12</f>
        <v>0</v>
      </c>
      <c r="BI141" s="106">
        <f t="shared" si="64"/>
        <v>0</v>
      </c>
      <c r="BJ141" s="104">
        <f>('Renewable Diesel'!W150*'RD Feedstock Breakdown'!BJ$3*'Feedstock Conversion Rates'!B$4)/12</f>
        <v>7.5</v>
      </c>
      <c r="BK141" s="104">
        <f>('Renewable Diesel'!W150*'RD Feedstock Breakdown'!BK$3*'Feedstock Conversion Rates'!B$3)/12</f>
        <v>1.335</v>
      </c>
      <c r="BL141" s="104">
        <f>('Renewable Diesel'!W150*'RD Feedstock Breakdown'!BL$3*'Feedstock Conversion Rates'!B$6)/12</f>
        <v>3.1266666666666669</v>
      </c>
      <c r="BM141" s="104">
        <f>('Renewable Diesel'!W150*'RD Feedstock Breakdown'!BM$3*'Feedstock Conversion Rates'!B$7)/12</f>
        <v>1.5333333333333332</v>
      </c>
      <c r="BN141" s="106">
        <f t="shared" si="54"/>
        <v>13.495000000000001</v>
      </c>
      <c r="BO141" s="106"/>
      <c r="BP141" s="106"/>
      <c r="BQ141" s="104"/>
      <c r="BR141" s="104"/>
      <c r="BS141" s="106"/>
      <c r="BT141" s="104"/>
      <c r="BU141" s="104"/>
      <c r="BV141" s="106"/>
      <c r="BW141" s="106"/>
      <c r="BX141" s="107"/>
      <c r="BY141" s="106"/>
      <c r="BZ141" s="106"/>
      <c r="CA141" s="106"/>
      <c r="CB141" s="106"/>
      <c r="CC141" s="106"/>
      <c r="CD141" s="106"/>
      <c r="CE141" s="106"/>
      <c r="CF141" s="106"/>
      <c r="CG141" s="104">
        <f>('Renewable Diesel'!AD150*'Feedstock Conversion Rates'!B$4)/12</f>
        <v>0</v>
      </c>
      <c r="CH141" s="106">
        <f>CG141</f>
        <v>0</v>
      </c>
      <c r="CI141" s="107"/>
      <c r="CJ141" s="106"/>
      <c r="CK141" s="106"/>
      <c r="CL141" s="104"/>
      <c r="CM141" s="104"/>
      <c r="CN141" s="104"/>
      <c r="CO141" s="106"/>
      <c r="CP141" s="106"/>
      <c r="CQ141" s="106"/>
      <c r="CR141" s="106"/>
      <c r="CS141" s="106"/>
      <c r="CT141" s="106"/>
      <c r="CU141" s="106"/>
      <c r="CV141" s="106"/>
      <c r="CW141" s="106"/>
      <c r="CX141" s="106"/>
      <c r="CY141" s="106"/>
      <c r="CZ141" s="106"/>
      <c r="DA141" s="106"/>
      <c r="DB141" s="106"/>
      <c r="DC141" s="106"/>
      <c r="DD141" s="107"/>
      <c r="DE141" s="106"/>
      <c r="DF141" s="106"/>
      <c r="DG141" s="106"/>
      <c r="DH141" s="106"/>
      <c r="DI141" s="106"/>
      <c r="DJ141" s="107"/>
      <c r="DK141" s="106"/>
      <c r="DL141" s="106"/>
      <c r="DM141" s="106"/>
      <c r="DN141" s="106"/>
      <c r="DP141" s="104">
        <f t="shared" si="73"/>
        <v>98.929999999999993</v>
      </c>
      <c r="DQ141" s="104">
        <f t="shared" si="74"/>
        <v>194.24522499999998</v>
      </c>
      <c r="DR141" s="104">
        <f t="shared" ref="DR141:DR204" si="82">AD141+AK141+AM141+AP141+AV141+AY141+BB141+BF141+BJ141+Y141+B141+BO141+BQ141+BW141+CB141+CE141+CG141+CJ141+BT141+CN141+CR141+CT141+DF141+DH141+AS141+J141+U141+AH141</f>
        <v>443.375</v>
      </c>
      <c r="DS141" s="107"/>
      <c r="DT141" s="104">
        <f t="shared" si="75"/>
        <v>113.94416666666667</v>
      </c>
      <c r="DU141" s="104">
        <f t="shared" si="76"/>
        <v>155.52366666666666</v>
      </c>
      <c r="DV141" s="104">
        <f t="shared" ref="DV141:DV204" si="83">F141+N141+W141+DM141</f>
        <v>35.15625</v>
      </c>
      <c r="DW141" s="104">
        <f t="shared" si="77"/>
        <v>1</v>
      </c>
      <c r="DX141" s="106">
        <f t="shared" si="78"/>
        <v>1042.1743083333333</v>
      </c>
      <c r="DY141" s="109">
        <f t="shared" si="79"/>
        <v>-2.2737367544323206E-13</v>
      </c>
      <c r="EA141" s="110">
        <f t="shared" si="55"/>
        <v>9.4926538880248254E-2</v>
      </c>
      <c r="EB141" s="110">
        <f t="shared" si="55"/>
        <v>0.18638458408233163</v>
      </c>
      <c r="EC141" s="110">
        <f t="shared" si="55"/>
        <v>0.42543267134367807</v>
      </c>
      <c r="ED141" s="107"/>
      <c r="EE141" s="110">
        <f t="shared" si="56"/>
        <v>0.10933311803558901</v>
      </c>
      <c r="EF141" s="110">
        <f t="shared" si="56"/>
        <v>0.14922999485122918</v>
      </c>
      <c r="EG141" s="111">
        <f t="shared" si="56"/>
        <v>3.3733560421598377E-2</v>
      </c>
      <c r="EH141" s="111">
        <f t="shared" ref="EH141:EH204" si="84">DW141/DX141</f>
        <v>9.5953238532546503E-4</v>
      </c>
      <c r="EI141" s="110">
        <f t="shared" ref="EI141:EI204" si="85">SUM(EA141:EG141)</f>
        <v>0.99904046761467458</v>
      </c>
      <c r="EK141" s="112">
        <f>(EA141*'Renewable Diesel'!BF150*'Feedstock Conversion Rates'!B$2)+FB141</f>
        <v>90.755674081411058</v>
      </c>
      <c r="EL141" s="112">
        <f>(EB141*'Renewable Diesel'!BF150*'Feedstock Conversion Rates'!B$3)+FC141</f>
        <v>167.92282031749434</v>
      </c>
      <c r="EM141" s="112">
        <f>(EC141*'Renewable Diesel'!BF150*'Feedstock Conversion Rates'!B$4)+FD141</f>
        <v>358.88831374393328</v>
      </c>
      <c r="EN141" s="107"/>
      <c r="EO141" s="112">
        <f>(EE141*'Renewable Diesel'!BF150*'Feedstock Conversion Rates'!B$6)+FF141</f>
        <v>115.35111237253138</v>
      </c>
      <c r="EP141" s="112">
        <f>(EF141*'Renewable Diesel'!BF150*'Feedstock Conversion Rates'!B$7)+FG141</f>
        <v>154.42270872013287</v>
      </c>
      <c r="EQ141" s="112">
        <f>(EG141*'Renewable Diesel'!BF150*'Feedstock Conversion Rates'!B$8)+FH141</f>
        <v>35.571376600113204</v>
      </c>
      <c r="ER141" s="112">
        <f>(EH141*'Renewable Diesel'!BF150*'Feedstock Conversion Rates'!B$9)+FI141</f>
        <v>0.99831727157414019</v>
      </c>
      <c r="ES141" s="112">
        <f t="shared" ref="ES141:ES204" si="86">SUM(EK141:ER141)</f>
        <v>923.91032310719027</v>
      </c>
      <c r="ET141" s="91">
        <f>ES141/'Renewable Diesel'!BF150</f>
        <v>8.2141495373810507</v>
      </c>
      <c r="EU141" s="112"/>
      <c r="EW141" s="73">
        <f t="shared" si="58"/>
        <v>358.88831374393328</v>
      </c>
      <c r="EX141" s="73">
        <f t="shared" si="59"/>
        <v>565.02200936325698</v>
      </c>
      <c r="EY141" s="92">
        <f t="shared" si="71"/>
        <v>0.38844496567260001</v>
      </c>
      <c r="EZ141" s="92">
        <f t="shared" si="71"/>
        <v>0.61155503432739999</v>
      </c>
      <c r="FB141" s="102">
        <f>IF('Renewable Diesel'!$BG150&lt;1,0,(((('Renewable Diesel'!$BG150-1)*'Renewable Diesel'!$BF150)*'RD Feedstock Breakdown'!EA141)*'Feedstock Conversion Rates'!$B$2))</f>
        <v>0</v>
      </c>
      <c r="FC141" s="102">
        <f>IF('Renewable Diesel'!$BG150&lt;1,0,(((('Renewable Diesel'!$BG150-1)*'Renewable Diesel'!$BF150)*'RD Feedstock Breakdown'!EB141)*'Feedstock Conversion Rates'!$B$3))</f>
        <v>0</v>
      </c>
      <c r="FD141" s="102">
        <f>IF('Renewable Diesel'!$BG150&lt;1,0,(((('Renewable Diesel'!$BG150-1)*'Renewable Diesel'!$BF150)*'RD Feedstock Breakdown'!EC141)*'Feedstock Conversion Rates'!$B$4))</f>
        <v>0</v>
      </c>
      <c r="FE141" s="107"/>
      <c r="FF141" s="102">
        <f>IF('Renewable Diesel'!$BG150&lt;1,0,(((('Renewable Diesel'!$BG150-1)*'Renewable Diesel'!$BF150)*'RD Feedstock Breakdown'!EE141)*'Feedstock Conversion Rates'!$B$6))</f>
        <v>0</v>
      </c>
      <c r="FG141" s="102">
        <f>IF('Renewable Diesel'!$BG150&lt;1,0,(((('Renewable Diesel'!$BG150-1)*'Renewable Diesel'!$BF150)*'RD Feedstock Breakdown'!EF141)*'Feedstock Conversion Rates'!$B$7))</f>
        <v>0</v>
      </c>
      <c r="FH141" s="102">
        <f>IF('Renewable Diesel'!$BG150&lt;1,0,(((('Renewable Diesel'!$BG150-1)*'Renewable Diesel'!$BF150)*'RD Feedstock Breakdown'!EG141)*'Feedstock Conversion Rates'!$B$8))</f>
        <v>0</v>
      </c>
      <c r="FI141" s="102">
        <f>IF('Renewable Diesel'!$BG150&lt;1,0,(((('Renewable Diesel'!$BG150-1)*'Renewable Diesel'!$BF150)*'RD Feedstock Breakdown'!EH141)*'Feedstock Conversion Rates'!$B$9))</f>
        <v>0</v>
      </c>
      <c r="FJ141" s="102">
        <f t="shared" si="60"/>
        <v>0</v>
      </c>
      <c r="FR141" s="3">
        <f>('Renewable Diesel'!AX150-'Renewable Diesel'!BI150)/12*$FO$80</f>
        <v>118.29656249999999</v>
      </c>
      <c r="FS141" s="100">
        <f t="shared" si="48"/>
        <v>0.42543267134367807</v>
      </c>
      <c r="FT141" s="3">
        <f t="shared" si="50"/>
        <v>377.4541694636203</v>
      </c>
      <c r="FY141" s="3">
        <f>'Renewable Diesel'!BF150*('Renewable Diesel'!BI150/'Renewable Diesel'!AX150)</f>
        <v>21.358236816949155</v>
      </c>
      <c r="FZ141" s="3">
        <f>('Renewable Diesel'!BJ150*'Renewable Diesel'!BG150)/12</f>
        <v>89.405049789821405</v>
      </c>
      <c r="GA141" s="3">
        <f t="shared" si="51"/>
        <v>285.268718727737</v>
      </c>
      <c r="GD141" s="91">
        <f>'Renewable Diesel'!BB150*0</f>
        <v>0</v>
      </c>
      <c r="GE141" s="91">
        <f>'Renewable Diesel'!BC150</f>
        <v>0.80226399999999998</v>
      </c>
      <c r="GF141" s="91">
        <f>'Renewable Diesel'!BD150</f>
        <v>0</v>
      </c>
      <c r="GG141" s="91">
        <f t="shared" si="49"/>
        <v>0.80226399999999998</v>
      </c>
      <c r="GH141" s="124">
        <v>1</v>
      </c>
      <c r="GI141" s="102">
        <f>$GG141*EA141*'Feedstock Conversion Rates'!$B$2</f>
        <v>0.64732723069989961</v>
      </c>
      <c r="GJ141" s="102">
        <f>$GG141*EB141*'Feedstock Conversion Rates'!$B$3</f>
        <v>1.1977324321334637</v>
      </c>
      <c r="GK141" s="102">
        <f>$GG141*EC141*'Feedstock Conversion Rates'!$B$4</f>
        <v>2.5598198748214838</v>
      </c>
      <c r="GL141" s="102">
        <f>$GG141*ED141*'Feedstock Conversion Rates'!$B$5</f>
        <v>0</v>
      </c>
      <c r="GM141" s="102">
        <f>$GG141*EE141*'Feedstock Conversion Rates'!$B$6</f>
        <v>0.82275755082026147</v>
      </c>
      <c r="GN141" s="102">
        <f>$GG141*EF141*'Feedstock Conversion Rates'!$B$7</f>
        <v>1.1014410438218039</v>
      </c>
      <c r="GO141" s="102">
        <f>$GG141*EG141*'Feedstock Conversion Rates'!$B$8</f>
        <v>0.25371769798193622</v>
      </c>
      <c r="GP141" s="102">
        <f>$GG141*EH141*'Feedstock Conversion Rates'!B$9</f>
        <v>7.120634178621927E-3</v>
      </c>
      <c r="GQ141" s="102">
        <f t="shared" ref="GQ141:GQ204" si="87">SUM(GI141:GP141)</f>
        <v>6.5899164644574704</v>
      </c>
      <c r="GR141" s="85">
        <f t="shared" si="53"/>
        <v>8.2141495373810507</v>
      </c>
      <c r="GT141" s="103">
        <f t="shared" si="47"/>
        <v>9.8229959998922714E-2</v>
      </c>
      <c r="GU141" s="103">
        <f t="shared" si="47"/>
        <v>0.18175229361303746</v>
      </c>
      <c r="GV141" s="103">
        <f t="shared" si="47"/>
        <v>0.38844496567259995</v>
      </c>
      <c r="GW141" s="103">
        <f t="shared" si="47"/>
        <v>0</v>
      </c>
      <c r="GX141" s="103">
        <f t="shared" si="47"/>
        <v>0.12485098335582571</v>
      </c>
      <c r="GY141" s="103">
        <f t="shared" si="69"/>
        <v>0.16714036509603655</v>
      </c>
      <c r="GZ141" s="103">
        <f t="shared" si="69"/>
        <v>3.850089744693358E-2</v>
      </c>
      <c r="HA141" s="103">
        <f t="shared" si="69"/>
        <v>1.0805348166440145E-3</v>
      </c>
    </row>
    <row r="142" spans="1:209" ht="15.75" customHeight="1" x14ac:dyDescent="0.25">
      <c r="A142" s="96">
        <v>44743</v>
      </c>
      <c r="B142" s="104">
        <f>55+120+49+5+10+21-40-12.5-2+6+25+14-5-1-4-1-6-9-4+20-20+40+20-10+20+17.5+32.5+50-10-48-17+3.75+42+3-40-10-5-30-10-7+32.5+20-26-50-3.5-12.5-12.5-1-75-80-10-44+30-10+15</f>
        <v>35.25</v>
      </c>
      <c r="C142" s="105"/>
      <c r="D142" s="104">
        <v>1</v>
      </c>
      <c r="E142" s="104">
        <f>('Renewable Diesel'!B151*E$3*'Feedstock Conversion Rates'!$B$2)/12-30-21-14+5+1+9-32.5+10+5+7+26+3.5+44</f>
        <v>102.92999999999999</v>
      </c>
      <c r="F142" s="104">
        <f>('Renewable Diesel'!B151*'RD Feedstock Breakdown'!F$3*'Feedstock Conversion Rates'!B$8)/12+28.5-49-5+2-6+1+6+20-20-3.75+10+12.5+10-15</f>
        <v>45.15625</v>
      </c>
      <c r="G142" s="104">
        <f>('Renewable Diesel'!B151*'RD Feedstock Breakdown'!G$3*'Feedstock Conversion Rates'!B$7)/12-25-15-25+4+4-20-40-20+10-17.5+40+10-20+80+10-10-20</f>
        <v>121.65700000000001</v>
      </c>
      <c r="H142" s="104">
        <f>('Renewable Diesel'!B151*'RD Feedstock Breakdown'!H$3*'Feedstock Conversion Rates'!B$3)/12+11.5-120-10-5-50+48-42.5+17-3+30+50+12.5+75</f>
        <v>189.90022499999998</v>
      </c>
      <c r="I142" s="106">
        <f t="shared" si="52"/>
        <v>495.89347499999997</v>
      </c>
      <c r="J142" s="106"/>
      <c r="K142" s="107"/>
      <c r="L142" s="106"/>
      <c r="R142" s="104">
        <f>('Renewable Diesel'!D151*'RD Feedstock Breakdown'!R$3*'Feedstock Conversion Rates'!B$7)/12</f>
        <v>2.2999999999999998</v>
      </c>
      <c r="S142" s="106">
        <f t="shared" si="67"/>
        <v>2.2999999999999998</v>
      </c>
      <c r="T142" s="105"/>
      <c r="U142" s="104">
        <v>0</v>
      </c>
      <c r="V142" s="104">
        <f>('Renewable Diesel'!E151*'RD Feedstock Breakdown'!V$3*'Feedstock Conversion Rates'!B$6)/12-25+25</f>
        <v>2.6029499999999999</v>
      </c>
      <c r="W142" s="104">
        <f>('Renewable Diesel'!E151*'RD Feedstock Breakdown'!W$3*'Feedstock Conversion Rates'!B$8)/12</f>
        <v>1.3046875000000002</v>
      </c>
      <c r="X142" s="106">
        <f t="shared" ref="X142:X205" si="88">SUM(T142:W142)</f>
        <v>3.9076374999999999</v>
      </c>
      <c r="Y142" s="104">
        <f>12.5+15+1+8-20+27.5-5-39+19-19+25-25+25-25</f>
        <v>0</v>
      </c>
      <c r="Z142" s="104">
        <f>('Renewable Diesel'!F151*'RD Feedstock Breakdown'!Z$3*'Feedstock Conversion Rates'!B$6)/12+5-15-1-8+20-27.5+5+19-25+25+25</f>
        <v>67.055000000000007</v>
      </c>
      <c r="AA142" s="104">
        <f>('Renewable Diesel'!F151*'RD Feedstock Breakdown'!AA$3*'Feedstock Conversion Rates'!B$7)/12-17.5+10+10-25</f>
        <v>6.6333333333333293</v>
      </c>
      <c r="AB142" s="106">
        <f t="shared" si="62"/>
        <v>73.688333333333333</v>
      </c>
      <c r="AC142" s="105"/>
      <c r="AD142" s="104">
        <f>('Renewable Diesel'!G151*'RD Feedstock Breakdown'!AD$3*'Feedstock Conversion Rates'!B$4)/12</f>
        <v>0</v>
      </c>
      <c r="AE142" s="104">
        <f>('Renewable Diesel'!G151*'RD Feedstock Breakdown'!AE$3*'Feedstock Conversion Rates'!B$6)/12</f>
        <v>0</v>
      </c>
      <c r="AF142" s="106">
        <f t="shared" si="80"/>
        <v>0</v>
      </c>
      <c r="AG142" s="105"/>
      <c r="AH142" s="104">
        <v>0</v>
      </c>
      <c r="AI142" s="104">
        <f>('Renewable Diesel'!H151*'RD Feedstock Breakdown'!AI$3*'Feedstock Conversion Rates'!B$6)/12</f>
        <v>58.625000000000007</v>
      </c>
      <c r="AJ142" s="106">
        <f t="shared" si="65"/>
        <v>58.625000000000007</v>
      </c>
      <c r="AK142" s="104">
        <f>('Renewable Diesel'!J151*'RD Feedstock Breakdown'!AK$3*'Feedstock Conversion Rates'!B$4)/12</f>
        <v>95.8125</v>
      </c>
      <c r="AL142" s="106">
        <f t="shared" si="68"/>
        <v>95.8125</v>
      </c>
      <c r="AM142" s="104">
        <f>('Renewable Diesel'!K151*'RD Feedstock Breakdown'!AM$3*'Feedstock Conversion Rates'!B$4)/12</f>
        <v>0</v>
      </c>
      <c r="AN142" s="104">
        <f>('Renewable Diesel'!K151*'RD Feedstock Breakdown'!AN$3*'Feedstock Conversion Rates'!B$6)/12</f>
        <v>0</v>
      </c>
      <c r="AO142" s="106">
        <f t="shared" si="81"/>
        <v>0</v>
      </c>
      <c r="AP142" s="104">
        <f>('Renewable Diesel'!L151*'RD Feedstock Breakdown'!AP$3*'Feedstock Conversion Rates'!B$4)/12+15-7.5</f>
        <v>66.09375</v>
      </c>
      <c r="AQ142" s="104">
        <f>('Renewable Diesel'!L151*'RD Feedstock Breakdown'!AQ$3*'Feedstock Conversion Rates'!B$6)/12-15+7.55</f>
        <v>16.977083333333333</v>
      </c>
      <c r="AR142" s="106">
        <f t="shared" si="70"/>
        <v>83.070833333333326</v>
      </c>
      <c r="AS142" s="104"/>
      <c r="AT142" s="105"/>
      <c r="AU142" s="106"/>
      <c r="AV142" s="104">
        <f>'Renewable Diesel'!N151*'RD Feedstock Breakdown'!$AV$3*'Feedstock Conversion Rates'!$B$4/12+3</f>
        <v>81.749999999999986</v>
      </c>
      <c r="AW142" s="104">
        <f>'Renewable Diesel'!N151*'RD Feedstock Breakdown'!$AW$3*'Feedstock Conversion Rates'!$B$7/12-3</f>
        <v>38.4</v>
      </c>
      <c r="AX142" s="106">
        <f t="shared" si="63"/>
        <v>120.14999999999998</v>
      </c>
      <c r="AY142" s="104">
        <f>('Renewable Diesel'!O151*'RD Feedstock Breakdown'!AY$3*'Feedstock Conversion Rates'!B$4)/12+5</f>
        <v>72.5</v>
      </c>
      <c r="AZ142" s="104">
        <f>('Renewable Diesel'!O151*'RD Feedstock Breakdown'!AZ$3*'Feedstock Conversion Rates'!B$3)/12-5</f>
        <v>3.01</v>
      </c>
      <c r="BA142" s="106">
        <f t="shared" si="66"/>
        <v>75.510000000000005</v>
      </c>
      <c r="BB142" s="104">
        <f>('Renewable Diesel'!Q151*'RD Feedstock Breakdown'!BB$3*'Feedstock Conversion Rates'!B$4)/12</f>
        <v>0</v>
      </c>
      <c r="BC142" s="104">
        <f>('Renewable Diesel'!Q151*'RD Feedstock Breakdown'!BC$3*'Feedstock Conversion Rates'!B$3)/12</f>
        <v>0</v>
      </c>
      <c r="BD142" s="104">
        <f>('Renewable Diesel'!Q151*'RD Feedstock Breakdown'!BD$3*'Feedstock Conversion Rates'!B$6)/12</f>
        <v>0</v>
      </c>
      <c r="BE142" s="106">
        <f>SUM(BB142:BD142)</f>
        <v>0</v>
      </c>
      <c r="BF142" s="104">
        <f>('Renewable Diesel'!R151*'RD Feedstock Breakdown'!BF$3*'Feedstock Conversion Rates'!B$4)/12</f>
        <v>62.5</v>
      </c>
      <c r="BG142" s="106">
        <f t="shared" si="72"/>
        <v>62.5</v>
      </c>
      <c r="BH142" s="104">
        <f>('Renewable Diesel'!T151*'RD Feedstock Breakdown'!BH$3*'Feedstock Conversion Rates'!B$7)/12</f>
        <v>0</v>
      </c>
      <c r="BI142" s="106">
        <f t="shared" si="64"/>
        <v>0</v>
      </c>
      <c r="BJ142" s="104">
        <f>('Renewable Diesel'!W151*'RD Feedstock Breakdown'!BJ$3*'Feedstock Conversion Rates'!B$4)/12</f>
        <v>7.5</v>
      </c>
      <c r="BK142" s="104">
        <f>('Renewable Diesel'!W151*'RD Feedstock Breakdown'!BK$3*'Feedstock Conversion Rates'!B$3)/12</f>
        <v>1.335</v>
      </c>
      <c r="BL142" s="104">
        <f>('Renewable Diesel'!W151*'RD Feedstock Breakdown'!BL$3*'Feedstock Conversion Rates'!B$6)/12</f>
        <v>3.1266666666666669</v>
      </c>
      <c r="BM142" s="104">
        <f>('Renewable Diesel'!W151*'RD Feedstock Breakdown'!BM$3*'Feedstock Conversion Rates'!B$7)/12</f>
        <v>1.5333333333333332</v>
      </c>
      <c r="BN142" s="106">
        <f t="shared" si="54"/>
        <v>13.495000000000001</v>
      </c>
      <c r="BO142" s="106"/>
      <c r="BP142" s="106"/>
      <c r="BQ142" s="104"/>
      <c r="BR142" s="104"/>
      <c r="BS142" s="106"/>
      <c r="BT142" s="104"/>
      <c r="BU142" s="104"/>
      <c r="BV142" s="106"/>
      <c r="BW142" s="106"/>
      <c r="BX142" s="107"/>
      <c r="BY142" s="106"/>
      <c r="BZ142" s="106"/>
      <c r="CA142" s="106"/>
      <c r="CB142" s="106"/>
      <c r="CC142" s="106"/>
      <c r="CD142" s="106"/>
      <c r="CE142" s="106"/>
      <c r="CF142" s="106"/>
      <c r="CG142" s="104">
        <f>('Renewable Diesel'!AD151*'Feedstock Conversion Rates'!B$4)/12</f>
        <v>0</v>
      </c>
      <c r="CH142" s="106">
        <f t="shared" ref="CH142:CH205" si="89">CG142</f>
        <v>0</v>
      </c>
      <c r="CI142" s="107"/>
      <c r="CJ142" s="106"/>
      <c r="CK142" s="106"/>
      <c r="CL142" s="104"/>
      <c r="CM142" s="104"/>
      <c r="CN142" s="104"/>
      <c r="CO142" s="106"/>
      <c r="CP142" s="106"/>
      <c r="CQ142" s="106"/>
      <c r="CR142" s="106"/>
      <c r="CS142" s="106"/>
      <c r="CT142" s="106"/>
      <c r="CU142" s="106"/>
      <c r="CV142" s="106"/>
      <c r="CW142" s="106"/>
      <c r="CX142" s="106"/>
      <c r="CY142" s="106"/>
      <c r="CZ142" s="106"/>
      <c r="DA142" s="106"/>
      <c r="DB142" s="106"/>
      <c r="DC142" s="106"/>
      <c r="DD142" s="107"/>
      <c r="DE142" s="106"/>
      <c r="DF142" s="106"/>
      <c r="DG142" s="106"/>
      <c r="DH142" s="106"/>
      <c r="DI142" s="106"/>
      <c r="DJ142" s="107"/>
      <c r="DK142" s="106"/>
      <c r="DL142" s="106"/>
      <c r="DM142" s="106"/>
      <c r="DN142" s="106"/>
      <c r="DP142" s="104">
        <f t="shared" si="73"/>
        <v>102.92999999999999</v>
      </c>
      <c r="DQ142" s="104">
        <f t="shared" si="74"/>
        <v>194.24522499999998</v>
      </c>
      <c r="DR142" s="104">
        <f t="shared" si="82"/>
        <v>421.40625</v>
      </c>
      <c r="DS142" s="107"/>
      <c r="DT142" s="104">
        <f t="shared" si="75"/>
        <v>148.38669999999999</v>
      </c>
      <c r="DU142" s="104">
        <f t="shared" si="76"/>
        <v>170.52366666666668</v>
      </c>
      <c r="DV142" s="104">
        <f t="shared" si="83"/>
        <v>46.4609375</v>
      </c>
      <c r="DW142" s="104">
        <f t="shared" si="77"/>
        <v>1</v>
      </c>
      <c r="DX142" s="106">
        <f t="shared" si="78"/>
        <v>1084.9527791666667</v>
      </c>
      <c r="DY142" s="109">
        <f t="shared" si="79"/>
        <v>-2.2737367544323206E-13</v>
      </c>
      <c r="EA142" s="110">
        <f t="shared" si="55"/>
        <v>9.4870488353473531E-2</v>
      </c>
      <c r="EB142" s="110">
        <f t="shared" si="55"/>
        <v>0.17903564904381952</v>
      </c>
      <c r="EC142" s="110">
        <f t="shared" si="55"/>
        <v>0.38840976132037264</v>
      </c>
      <c r="ED142" s="107"/>
      <c r="EE142" s="110">
        <f t="shared" si="56"/>
        <v>0.13676788782823637</v>
      </c>
      <c r="EF142" s="110">
        <f t="shared" si="56"/>
        <v>0.15717151007958424</v>
      </c>
      <c r="EG142" s="111">
        <f t="shared" si="56"/>
        <v>4.2823004274606162E-2</v>
      </c>
      <c r="EH142" s="111">
        <f t="shared" si="84"/>
        <v>9.2169909990744722E-4</v>
      </c>
      <c r="EI142" s="110">
        <f t="shared" si="85"/>
        <v>0.99907830090009242</v>
      </c>
      <c r="EK142" s="112">
        <f>(EA142*'Renewable Diesel'!BF151*'Feedstock Conversion Rates'!B$2)+FB142</f>
        <v>84.935425970040384</v>
      </c>
      <c r="EL142" s="112">
        <f>(EB142*'Renewable Diesel'!BF151*'Feedstock Conversion Rates'!B$3)+FC142</f>
        <v>151.04655983615467</v>
      </c>
      <c r="EM142" s="112">
        <f>(EC142*'Renewable Diesel'!BF151*'Feedstock Conversion Rates'!B$4)+FD142</f>
        <v>306.82462110332546</v>
      </c>
      <c r="EN142" s="107"/>
      <c r="EO142" s="112">
        <f>(EE142*'Renewable Diesel'!BF151*'Feedstock Conversion Rates'!B$6)+FF142</f>
        <v>135.12191315943673</v>
      </c>
      <c r="EP142" s="112">
        <f>(EF142*'Renewable Diesel'!BF151*'Feedstock Conversion Rates'!B$7)+FG142</f>
        <v>152.30019539266536</v>
      </c>
      <c r="EQ142" s="112">
        <f>(EG142*'Renewable Diesel'!BF151*'Feedstock Conversion Rates'!B$8)+FH142</f>
        <v>42.285085782848462</v>
      </c>
      <c r="ER142" s="112">
        <f>(EH142*'Renewable Diesel'!BF151*'Feedstock Conversion Rates'!B$9)+FI142</f>
        <v>0.89798628447988482</v>
      </c>
      <c r="ES142" s="112">
        <f t="shared" si="86"/>
        <v>873.41178752895098</v>
      </c>
      <c r="ET142" s="91">
        <f>ES142/'Renewable Diesel'!BF151</f>
        <v>8.2923999720579236</v>
      </c>
      <c r="EU142" s="112"/>
      <c r="EW142" s="73">
        <f t="shared" si="58"/>
        <v>306.82462110332546</v>
      </c>
      <c r="EX142" s="73">
        <f t="shared" si="59"/>
        <v>566.58716642562547</v>
      </c>
      <c r="EY142" s="92">
        <f t="shared" si="71"/>
        <v>0.3512943441848787</v>
      </c>
      <c r="EZ142" s="92">
        <f t="shared" si="71"/>
        <v>0.64870565581512118</v>
      </c>
      <c r="FB142" s="102">
        <f>IF('Renewable Diesel'!$BG151&lt;1,0,(((('Renewable Diesel'!$BG151-1)*'Renewable Diesel'!$BF151)*'RD Feedstock Breakdown'!EA142)*'Feedstock Conversion Rates'!$B$2))</f>
        <v>0</v>
      </c>
      <c r="FC142" s="102">
        <f>IF('Renewable Diesel'!$BG151&lt;1,0,(((('Renewable Diesel'!$BG151-1)*'Renewable Diesel'!$BF151)*'RD Feedstock Breakdown'!EB142)*'Feedstock Conversion Rates'!$B$3))</f>
        <v>0</v>
      </c>
      <c r="FD142" s="102">
        <f>IF('Renewable Diesel'!$BG151&lt;1,0,(((('Renewable Diesel'!$BG151-1)*'Renewable Diesel'!$BF151)*'RD Feedstock Breakdown'!EC142)*'Feedstock Conversion Rates'!$B$4))</f>
        <v>0</v>
      </c>
      <c r="FE142" s="107"/>
      <c r="FF142" s="102">
        <f>IF('Renewable Diesel'!$BG151&lt;1,0,(((('Renewable Diesel'!$BG151-1)*'Renewable Diesel'!$BF151)*'RD Feedstock Breakdown'!EE142)*'Feedstock Conversion Rates'!$B$6))</f>
        <v>0</v>
      </c>
      <c r="FG142" s="102">
        <f>IF('Renewable Diesel'!$BG151&lt;1,0,(((('Renewable Diesel'!$BG151-1)*'Renewable Diesel'!$BF151)*'RD Feedstock Breakdown'!EF142)*'Feedstock Conversion Rates'!$B$7))</f>
        <v>0</v>
      </c>
      <c r="FH142" s="102">
        <f>IF('Renewable Diesel'!$BG151&lt;1,0,(((('Renewable Diesel'!$BG151-1)*'Renewable Diesel'!$BF151)*'RD Feedstock Breakdown'!EG142)*'Feedstock Conversion Rates'!$B$8))</f>
        <v>0</v>
      </c>
      <c r="FI142" s="102">
        <f>IF('Renewable Diesel'!$BG151&lt;1,0,(((('Renewable Diesel'!$BG151-1)*'Renewable Diesel'!$BF151)*'RD Feedstock Breakdown'!EH142)*'Feedstock Conversion Rates'!$B$9))</f>
        <v>0</v>
      </c>
      <c r="FJ142" s="102">
        <f t="shared" si="60"/>
        <v>0</v>
      </c>
      <c r="FR142" s="3">
        <f>('Renewable Diesel'!AX151-'Renewable Diesel'!BI151)/12*$FO$80</f>
        <v>134.1028125</v>
      </c>
      <c r="FS142" s="100">
        <f t="shared" si="48"/>
        <v>0.38840976132037264</v>
      </c>
      <c r="FT142" s="3">
        <f t="shared" si="50"/>
        <v>390.65131046636765</v>
      </c>
      <c r="FW142" s="130"/>
      <c r="FY142" s="3">
        <f>'Renewable Diesel'!BF151*('Renewable Diesel'!BI151/'Renewable Diesel'!AX151)</f>
        <v>18.699258199517018</v>
      </c>
      <c r="FZ142" s="3">
        <f>('Renewable Diesel'!BJ151*'Renewable Diesel'!BG151)/12</f>
        <v>87.830681825489691</v>
      </c>
      <c r="GA142" s="3">
        <f t="shared" si="51"/>
        <v>255.85720623333029</v>
      </c>
      <c r="GD142" s="91">
        <f>'Renewable Diesel'!BB151*0</f>
        <v>0</v>
      </c>
      <c r="GE142" s="91">
        <f>'Renewable Diesel'!BC151</f>
        <v>1.1379729999999999</v>
      </c>
      <c r="GF142" s="91">
        <f>'Renewable Diesel'!BD151</f>
        <v>0</v>
      </c>
      <c r="GG142" s="91">
        <f t="shared" si="49"/>
        <v>1.1379729999999999</v>
      </c>
      <c r="GH142" s="124">
        <v>1</v>
      </c>
      <c r="GI142" s="102">
        <f>$GG142*EA142*'Feedstock Conversion Rates'!$B$2</f>
        <v>0.91766046106607235</v>
      </c>
      <c r="GJ142" s="102">
        <f>$GG142*EB142*'Feedstock Conversion Rates'!$B$3</f>
        <v>1.6319392545412328</v>
      </c>
      <c r="GK142" s="102">
        <f>$GG142*EC142*'Feedstock Conversion Rates'!$B$4</f>
        <v>3.314998659892713</v>
      </c>
      <c r="GL142" s="102">
        <f>$GG142*ED142*'Feedstock Conversion Rates'!$B$5</f>
        <v>0</v>
      </c>
      <c r="GM142" s="102">
        <f>$GG142*EE142*'Feedstock Conversion Rates'!$B$6</f>
        <v>1.4598859747139681</v>
      </c>
      <c r="GN142" s="102">
        <f>$GG142*EF142*'Feedstock Conversion Rates'!$B$7</f>
        <v>1.6454838005261112</v>
      </c>
      <c r="GO142" s="102">
        <f>$GG142*EG142*'Feedstock Conversion Rates'!$B$8</f>
        <v>0.45685708728174745</v>
      </c>
      <c r="GP142" s="102">
        <f>$GG142*EH142*'Feedstock Conversion Rates'!B$9</f>
        <v>9.7020353808255407E-3</v>
      </c>
      <c r="GQ142" s="102">
        <f t="shared" si="87"/>
        <v>9.4365272734026711</v>
      </c>
      <c r="GR142" s="85">
        <f t="shared" si="53"/>
        <v>8.2923999720579236</v>
      </c>
      <c r="GT142" s="103">
        <f t="shared" si="47"/>
        <v>9.7245568679968183E-2</v>
      </c>
      <c r="GU142" s="103">
        <f t="shared" si="47"/>
        <v>0.1729385405519821</v>
      </c>
      <c r="GV142" s="103">
        <f t="shared" si="47"/>
        <v>0.35129434418487865</v>
      </c>
      <c r="GW142" s="103">
        <f t="shared" si="47"/>
        <v>0</v>
      </c>
      <c r="GX142" s="103">
        <f t="shared" si="47"/>
        <v>0.15470585019435387</v>
      </c>
      <c r="GY142" s="103">
        <f t="shared" si="69"/>
        <v>0.17437387217265723</v>
      </c>
      <c r="GZ142" s="103">
        <f t="shared" si="69"/>
        <v>4.8413688006754586E-2</v>
      </c>
      <c r="HA142" s="103">
        <f t="shared" si="69"/>
        <v>1.0281362094052564E-3</v>
      </c>
    </row>
    <row r="143" spans="1:209" ht="15.75" customHeight="1" x14ac:dyDescent="0.25">
      <c r="A143" s="96">
        <v>44774</v>
      </c>
      <c r="B143" s="104">
        <f>55+120+49+5+10+21-40-12.5-2+6+25+14-5-1-4-1-6-9-4+20-20+40+20-10+20+17.5+32.5+50-10-48-17+3.75+42+3-40-10-5-30-10-7+32.5+20-26-50-3.5-12.5-12.5-1-25-100-75+50+30-10+20</f>
        <v>99.25</v>
      </c>
      <c r="C143" s="105"/>
      <c r="D143" s="104">
        <v>1</v>
      </c>
      <c r="E143" s="104">
        <f>('Renewable Diesel'!B152*E$3*'Feedstock Conversion Rates'!$B$2)/12-30-21-14+5+1+9-32.5+10+5+7+26+3.5+75-50</f>
        <v>83.93</v>
      </c>
      <c r="F143" s="104">
        <f>('Renewable Diesel'!B152*'RD Feedstock Breakdown'!F$3*'Feedstock Conversion Rates'!B$8)/12+28.5-49-5+2-6+1+6+20-20-3.75+10+12.5+10-20</f>
        <v>40.15625</v>
      </c>
      <c r="G143" s="104">
        <f>('Renewable Diesel'!B152*'RD Feedstock Breakdown'!G$3*'Feedstock Conversion Rates'!B$7)/12-25-15-25+4+4-20-40-20+10-17.5+40+10-20+100-10-20</f>
        <v>131.65700000000001</v>
      </c>
      <c r="H143" s="104">
        <f>('Renewable Diesel'!B152*'RD Feedstock Breakdown'!H$3*'Feedstock Conversion Rates'!B$3)/12+11.5-120-10-5-50+48-42.5+17-3+30+50+12.5+25</f>
        <v>139.90022499999998</v>
      </c>
      <c r="I143" s="106">
        <f t="shared" si="52"/>
        <v>495.89347499999997</v>
      </c>
      <c r="J143" s="106"/>
      <c r="K143" s="107"/>
      <c r="L143" s="106"/>
      <c r="R143" s="104">
        <f>('Renewable Diesel'!D152*'RD Feedstock Breakdown'!R$3*'Feedstock Conversion Rates'!B$7)/12</f>
        <v>2.2999999999999998</v>
      </c>
      <c r="S143" s="106">
        <f t="shared" si="67"/>
        <v>2.2999999999999998</v>
      </c>
      <c r="T143" s="105"/>
      <c r="U143" s="104">
        <v>0</v>
      </c>
      <c r="V143" s="104">
        <f>('Renewable Diesel'!E152*'RD Feedstock Breakdown'!V$3*'Feedstock Conversion Rates'!B$6)/12-25+25</f>
        <v>7.8088499999999996</v>
      </c>
      <c r="W143" s="104">
        <f>('Renewable Diesel'!E152*'RD Feedstock Breakdown'!W$3*'Feedstock Conversion Rates'!B$8)/12</f>
        <v>3.9140625000000004</v>
      </c>
      <c r="X143" s="106">
        <f t="shared" si="88"/>
        <v>11.7229125</v>
      </c>
      <c r="Y143" s="104">
        <f>12.5+15+1+8-20+27.5-5-39+19-19+25-25+25</f>
        <v>25</v>
      </c>
      <c r="Z143" s="104">
        <f>('Renewable Diesel'!F152*'RD Feedstock Breakdown'!Z$3*'Feedstock Conversion Rates'!B$6)/12+5-15-1-8+20-27.5+5+19-25+25</f>
        <v>42.055000000000007</v>
      </c>
      <c r="AA143" s="104">
        <f>('Renewable Diesel'!F152*'RD Feedstock Breakdown'!AA$3*'Feedstock Conversion Rates'!B$7)/12-17.5+10+10-25</f>
        <v>6.6333333333333293</v>
      </c>
      <c r="AB143" s="106">
        <f t="shared" si="62"/>
        <v>73.688333333333333</v>
      </c>
      <c r="AC143" s="105"/>
      <c r="AD143" s="104">
        <f>('Renewable Diesel'!G152*'RD Feedstock Breakdown'!AD$3*'Feedstock Conversion Rates'!B$4)/12</f>
        <v>0</v>
      </c>
      <c r="AE143" s="104">
        <f>('Renewable Diesel'!G152*'RD Feedstock Breakdown'!AE$3*'Feedstock Conversion Rates'!B$6)/12</f>
        <v>0</v>
      </c>
      <c r="AF143" s="106">
        <f t="shared" si="80"/>
        <v>0</v>
      </c>
      <c r="AG143" s="105"/>
      <c r="AH143" s="104">
        <v>0</v>
      </c>
      <c r="AI143" s="104">
        <f>('Renewable Diesel'!H152*'RD Feedstock Breakdown'!AI$3*'Feedstock Conversion Rates'!B$6)/12</f>
        <v>58.625000000000007</v>
      </c>
      <c r="AJ143" s="106">
        <f t="shared" si="65"/>
        <v>58.625000000000007</v>
      </c>
      <c r="AK143" s="104">
        <f>('Renewable Diesel'!J152*'RD Feedstock Breakdown'!AK$3*'Feedstock Conversion Rates'!B$4)/12</f>
        <v>95.8125</v>
      </c>
      <c r="AL143" s="106">
        <f t="shared" si="68"/>
        <v>95.8125</v>
      </c>
      <c r="AM143" s="104">
        <f>('Renewable Diesel'!K152*'RD Feedstock Breakdown'!AM$3*'Feedstock Conversion Rates'!B$4)/12</f>
        <v>0</v>
      </c>
      <c r="AN143" s="104">
        <f>('Renewable Diesel'!K152*'RD Feedstock Breakdown'!AN$3*'Feedstock Conversion Rates'!B$6)/12</f>
        <v>0</v>
      </c>
      <c r="AO143" s="106">
        <f t="shared" si="81"/>
        <v>0</v>
      </c>
      <c r="AP143" s="104">
        <f>('Renewable Diesel'!L152*'RD Feedstock Breakdown'!AP$3*'Feedstock Conversion Rates'!B$4)/12+15-7.5</f>
        <v>66.09375</v>
      </c>
      <c r="AQ143" s="104">
        <f>('Renewable Diesel'!L152*'RD Feedstock Breakdown'!AQ$3*'Feedstock Conversion Rates'!B$6)/12-15+7.55</f>
        <v>16.977083333333333</v>
      </c>
      <c r="AR143" s="106">
        <f t="shared" si="70"/>
        <v>83.070833333333326</v>
      </c>
      <c r="AS143" s="104"/>
      <c r="AT143" s="105"/>
      <c r="AU143" s="106"/>
      <c r="AV143" s="104">
        <f>'Renewable Diesel'!N152*'RD Feedstock Breakdown'!$AV$3*'Feedstock Conversion Rates'!$B$4/12+3</f>
        <v>81.749999999999986</v>
      </c>
      <c r="AW143" s="104">
        <f>'Renewable Diesel'!N152*'RD Feedstock Breakdown'!$AW$3*'Feedstock Conversion Rates'!$B$7/12-3</f>
        <v>38.4</v>
      </c>
      <c r="AX143" s="106">
        <f t="shared" si="63"/>
        <v>120.14999999999998</v>
      </c>
      <c r="AY143" s="104">
        <f>('Renewable Diesel'!O152*'RD Feedstock Breakdown'!AY$3*'Feedstock Conversion Rates'!B$4)/12+5</f>
        <v>72.5</v>
      </c>
      <c r="AZ143" s="104">
        <f>('Renewable Diesel'!O152*'RD Feedstock Breakdown'!AZ$3*'Feedstock Conversion Rates'!B$3)/12-5</f>
        <v>3.01</v>
      </c>
      <c r="BA143" s="106">
        <f t="shared" si="66"/>
        <v>75.510000000000005</v>
      </c>
      <c r="BB143" s="104">
        <f>('Renewable Diesel'!Q152*'RD Feedstock Breakdown'!BB$3*'Feedstock Conversion Rates'!B$4)/12</f>
        <v>0</v>
      </c>
      <c r="BC143" s="104">
        <f>('Renewable Diesel'!Q152*'RD Feedstock Breakdown'!BC$3*'Feedstock Conversion Rates'!B$3)/12</f>
        <v>0</v>
      </c>
      <c r="BD143" s="104">
        <f>('Renewable Diesel'!Q152*'RD Feedstock Breakdown'!BD$3*'Feedstock Conversion Rates'!B$6)/12</f>
        <v>0</v>
      </c>
      <c r="BE143" s="106">
        <f t="shared" ref="BE143:BE206" si="90">SUM(BB143:BD143)</f>
        <v>0</v>
      </c>
      <c r="BF143" s="104">
        <f>('Renewable Diesel'!R152*'RD Feedstock Breakdown'!BF$3*'Feedstock Conversion Rates'!B$4)/12</f>
        <v>62.5</v>
      </c>
      <c r="BG143" s="106">
        <f t="shared" si="72"/>
        <v>62.5</v>
      </c>
      <c r="BH143" s="104">
        <f>('Renewable Diesel'!T152*'RD Feedstock Breakdown'!BH$3*'Feedstock Conversion Rates'!B$7)/12</f>
        <v>0</v>
      </c>
      <c r="BI143" s="106">
        <f t="shared" si="64"/>
        <v>0</v>
      </c>
      <c r="BJ143" s="104">
        <f>('Renewable Diesel'!W152*'RD Feedstock Breakdown'!BJ$3*'Feedstock Conversion Rates'!B$4)/12</f>
        <v>7.5</v>
      </c>
      <c r="BK143" s="104">
        <f>('Renewable Diesel'!W152*'RD Feedstock Breakdown'!BK$3*'Feedstock Conversion Rates'!B$3)/12</f>
        <v>1.335</v>
      </c>
      <c r="BL143" s="104">
        <f>('Renewable Diesel'!W152*'RD Feedstock Breakdown'!BL$3*'Feedstock Conversion Rates'!B$6)/12</f>
        <v>3.1266666666666669</v>
      </c>
      <c r="BM143" s="104">
        <f>('Renewable Diesel'!W152*'RD Feedstock Breakdown'!BM$3*'Feedstock Conversion Rates'!B$7)/12</f>
        <v>1.5333333333333332</v>
      </c>
      <c r="BN143" s="106">
        <f t="shared" si="54"/>
        <v>13.495000000000001</v>
      </c>
      <c r="BO143" s="106"/>
      <c r="BP143" s="106"/>
      <c r="BQ143" s="104"/>
      <c r="BR143" s="104"/>
      <c r="BS143" s="106"/>
      <c r="BT143" s="104"/>
      <c r="BU143" s="104"/>
      <c r="BV143" s="106"/>
      <c r="BW143" s="106"/>
      <c r="BX143" s="107"/>
      <c r="BY143" s="106"/>
      <c r="BZ143" s="106"/>
      <c r="CA143" s="106"/>
      <c r="CB143" s="106"/>
      <c r="CC143" s="106"/>
      <c r="CD143" s="106"/>
      <c r="CE143" s="106"/>
      <c r="CF143" s="106"/>
      <c r="CG143" s="104">
        <f>('Renewable Diesel'!AD152*'Feedstock Conversion Rates'!B$4)/12</f>
        <v>0</v>
      </c>
      <c r="CH143" s="106">
        <f t="shared" si="89"/>
        <v>0</v>
      </c>
      <c r="CI143" s="107"/>
      <c r="CJ143" s="106"/>
      <c r="CK143" s="106"/>
      <c r="CL143" s="104">
        <f>(((CL$3*'Renewable Diesel'!$AF153)*'Feedstock Conversion Rates'!$B$3)/12)</f>
        <v>0</v>
      </c>
      <c r="CM143" s="104">
        <f>(((CM$3*'Renewable Diesel'!$AF153)*'Feedstock Conversion Rates'!$B$6)/12)</f>
        <v>0</v>
      </c>
      <c r="CN143" s="104">
        <f>(((CN$3*'Renewable Diesel'!$AF153)*'Feedstock Conversion Rates'!$B$4)/12)</f>
        <v>0</v>
      </c>
      <c r="CO143" s="106">
        <f t="shared" ref="CO143:CO206" si="91">SUM(CL143:CN143)</f>
        <v>0</v>
      </c>
      <c r="CP143" s="106"/>
      <c r="CQ143" s="106"/>
      <c r="CR143" s="106"/>
      <c r="CS143" s="106"/>
      <c r="CT143" s="106"/>
      <c r="CU143" s="106"/>
      <c r="CV143" s="106"/>
      <c r="CW143" s="106"/>
      <c r="CX143" s="106"/>
      <c r="CY143" s="106"/>
      <c r="CZ143" s="106"/>
      <c r="DA143" s="106"/>
      <c r="DB143" s="106"/>
      <c r="DC143" s="106"/>
      <c r="DD143" s="107"/>
      <c r="DE143" s="106"/>
      <c r="DF143" s="106"/>
      <c r="DG143" s="106"/>
      <c r="DH143" s="106"/>
      <c r="DI143" s="106"/>
      <c r="DJ143" s="107"/>
      <c r="DK143" s="106"/>
      <c r="DL143" s="106"/>
      <c r="DM143" s="106"/>
      <c r="DN143" s="106"/>
      <c r="DP143" s="104">
        <f t="shared" si="73"/>
        <v>83.93</v>
      </c>
      <c r="DQ143" s="104">
        <f t="shared" si="74"/>
        <v>144.24522499999998</v>
      </c>
      <c r="DR143" s="104">
        <f t="shared" si="82"/>
        <v>510.40625</v>
      </c>
      <c r="DS143" s="107"/>
      <c r="DT143" s="104">
        <f t="shared" si="75"/>
        <v>128.5926</v>
      </c>
      <c r="DU143" s="104">
        <f t="shared" si="76"/>
        <v>180.52366666666668</v>
      </c>
      <c r="DV143" s="104">
        <f t="shared" si="83"/>
        <v>44.0703125</v>
      </c>
      <c r="DW143" s="104">
        <f t="shared" si="77"/>
        <v>1</v>
      </c>
      <c r="DX143" s="106">
        <f t="shared" si="78"/>
        <v>1092.7680541666666</v>
      </c>
      <c r="DY143" s="109">
        <f t="shared" si="79"/>
        <v>-2.2737367544323206E-13</v>
      </c>
      <c r="EA143" s="110">
        <f t="shared" si="55"/>
        <v>7.6804953878345336E-2</v>
      </c>
      <c r="EB143" s="110">
        <f t="shared" si="55"/>
        <v>0.13199985527578389</v>
      </c>
      <c r="EC143" s="110">
        <f t="shared" si="55"/>
        <v>0.46707647432943161</v>
      </c>
      <c r="ED143" s="107"/>
      <c r="EE143" s="110">
        <f t="shared" si="56"/>
        <v>0.11767602421180162</v>
      </c>
      <c r="EF143" s="110">
        <f t="shared" si="56"/>
        <v>0.16519852129492579</v>
      </c>
      <c r="EG143" s="111">
        <f t="shared" si="56"/>
        <v>4.0329063731285184E-2</v>
      </c>
      <c r="EH143" s="111">
        <f t="shared" si="84"/>
        <v>9.1510727842660942E-4</v>
      </c>
      <c r="EI143" s="110">
        <f t="shared" si="85"/>
        <v>0.99908489272157341</v>
      </c>
      <c r="EK143" s="112">
        <f>(EA143*'Renewable Diesel'!BF152*'Feedstock Conversion Rates'!B$2)+FB143</f>
        <v>75.331307212925523</v>
      </c>
      <c r="EL143" s="112">
        <f>(EB143*'Renewable Diesel'!BF152*'Feedstock Conversion Rates'!B$3)+FC143</f>
        <v>122.00378842503939</v>
      </c>
      <c r="EM143" s="112">
        <f>(EC143*'Renewable Diesel'!BF152*'Feedstock Conversion Rates'!B$4)+FD143</f>
        <v>404.21888712036571</v>
      </c>
      <c r="EN143" s="107"/>
      <c r="EO143" s="112">
        <f>(EE143*'Renewable Diesel'!BF152*'Feedstock Conversion Rates'!B$6)+FF143</f>
        <v>127.36736691279847</v>
      </c>
      <c r="EP143" s="112">
        <f>(EF143*'Renewable Diesel'!BF152*'Feedstock Conversion Rates'!B$7)+FG143</f>
        <v>175.37243346263057</v>
      </c>
      <c r="EQ143" s="112">
        <f>(EG143*'Renewable Diesel'!BF152*'Feedstock Conversion Rates'!B$8)+FH143</f>
        <v>43.627141795865406</v>
      </c>
      <c r="ER143" s="112">
        <f>(EH143*'Renewable Diesel'!BF152*'Feedstock Conversion Rates'!B$9)+FI143</f>
        <v>0.97674475468991817</v>
      </c>
      <c r="ES143" s="112">
        <f t="shared" si="86"/>
        <v>948.89766968431502</v>
      </c>
      <c r="ET143" s="91">
        <f>ES143/'Renewable Diesel'!BF152</f>
        <v>8.2234117240219629</v>
      </c>
      <c r="EU143" s="112"/>
      <c r="EW143" s="73">
        <f t="shared" si="58"/>
        <v>404.21888712036571</v>
      </c>
      <c r="EX143" s="73">
        <f t="shared" si="59"/>
        <v>544.67878256394931</v>
      </c>
      <c r="EY143" s="92">
        <f t="shared" si="71"/>
        <v>0.42598785942307527</v>
      </c>
      <c r="EZ143" s="92">
        <f t="shared" si="71"/>
        <v>0.57401214057692473</v>
      </c>
      <c r="FB143" s="102">
        <f>IF('Renewable Diesel'!$BG152&lt;1,0,(((('Renewable Diesel'!$BG152-1)*'Renewable Diesel'!$BF152)*'RD Feedstock Breakdown'!EA143)*'Feedstock Conversion Rates'!$B$2))</f>
        <v>0</v>
      </c>
      <c r="FC143" s="102">
        <f>IF('Renewable Diesel'!$BG152&lt;1,0,(((('Renewable Diesel'!$BG152-1)*'Renewable Diesel'!$BF152)*'RD Feedstock Breakdown'!EB143)*'Feedstock Conversion Rates'!$B$3))</f>
        <v>0</v>
      </c>
      <c r="FD143" s="102">
        <f>IF('Renewable Diesel'!$BG152&lt;1,0,(((('Renewable Diesel'!$BG152-1)*'Renewable Diesel'!$BF152)*'RD Feedstock Breakdown'!EC143)*'Feedstock Conversion Rates'!$B$4))</f>
        <v>0</v>
      </c>
      <c r="FE143" s="107"/>
      <c r="FF143" s="102">
        <f>IF('Renewable Diesel'!$BG152&lt;1,0,(((('Renewable Diesel'!$BG152-1)*'Renewable Diesel'!$BF152)*'RD Feedstock Breakdown'!EE143)*'Feedstock Conversion Rates'!$B$6))</f>
        <v>0</v>
      </c>
      <c r="FG143" s="102">
        <f>IF('Renewable Diesel'!$BG152&lt;1,0,(((('Renewable Diesel'!$BG152-1)*'Renewable Diesel'!$BF152)*'RD Feedstock Breakdown'!EF143)*'Feedstock Conversion Rates'!$B$7))</f>
        <v>0</v>
      </c>
      <c r="FH143" s="102">
        <f>IF('Renewable Diesel'!$BG152&lt;1,0,(((('Renewable Diesel'!$BG152-1)*'Renewable Diesel'!$BF152)*'RD Feedstock Breakdown'!EG143)*'Feedstock Conversion Rates'!$B$8))</f>
        <v>0</v>
      </c>
      <c r="FI143" s="102">
        <f>IF('Renewable Diesel'!$BG152&lt;1,0,(((('Renewable Diesel'!$BG152-1)*'Renewable Diesel'!$BF152)*'RD Feedstock Breakdown'!EH143)*'Feedstock Conversion Rates'!$B$9))</f>
        <v>0</v>
      </c>
      <c r="FJ143" s="102">
        <f t="shared" si="60"/>
        <v>0</v>
      </c>
      <c r="FR143" s="3">
        <f>('Renewable Diesel'!AX152-'Renewable Diesel'!BI152)/12*$FO$80</f>
        <v>137.2903125</v>
      </c>
      <c r="FS143" s="100">
        <f t="shared" si="48"/>
        <v>0.46707647432943161</v>
      </c>
      <c r="FT143" s="3">
        <f t="shared" si="50"/>
        <v>480.93806341564414</v>
      </c>
      <c r="FV143" s="131"/>
      <c r="FW143" s="130"/>
      <c r="FY143" s="3">
        <f>'Renewable Diesel'!BF152*('Renewable Diesel'!BI152/'Renewable Diesel'!AX152)</f>
        <v>20.200361610297431</v>
      </c>
      <c r="FZ143" s="3">
        <f>('Renewable Diesel'!BJ152*'Renewable Diesel'!BG152)/12</f>
        <v>93.398219656563015</v>
      </c>
      <c r="GA143" s="3">
        <f t="shared" si="51"/>
        <v>327.18083359374953</v>
      </c>
      <c r="GD143" s="91">
        <f>'Renewable Diesel'!BB152*0</f>
        <v>0</v>
      </c>
      <c r="GE143" s="91">
        <f>'Renewable Diesel'!BC152</f>
        <v>0.39256799999999997</v>
      </c>
      <c r="GF143" s="91">
        <f>'Renewable Diesel'!BD152</f>
        <v>0</v>
      </c>
      <c r="GG143" s="91">
        <f t="shared" si="49"/>
        <v>0.39256799999999997</v>
      </c>
      <c r="GH143" s="124">
        <v>1</v>
      </c>
      <c r="GI143" s="102">
        <f>$GG143*EA143*'Feedstock Conversion Rates'!$B$2</f>
        <v>0.25628492063997133</v>
      </c>
      <c r="GJ143" s="102">
        <f>$GG143*EB143*'Feedstock Conversion Rates'!$B$3</f>
        <v>0.41506954267909046</v>
      </c>
      <c r="GK143" s="102">
        <f>$GG143*EC143*'Feedstock Conversion Rates'!$B$4</f>
        <v>1.3751945803091721</v>
      </c>
      <c r="GL143" s="102">
        <f>$GG143*ED143*'Feedstock Conversion Rates'!$B$5</f>
        <v>0</v>
      </c>
      <c r="GM143" s="102">
        <f>$GG143*EE143*'Feedstock Conversion Rates'!$B$6</f>
        <v>0.4333169930146627</v>
      </c>
      <c r="GN143" s="102">
        <f>$GG143*EF143*'Feedstock Conversion Rates'!$B$7</f>
        <v>0.59663520859089902</v>
      </c>
      <c r="GO143" s="102">
        <f>$GG143*EG143*'Feedstock Conversion Rates'!$B$8</f>
        <v>0.14842406147684215</v>
      </c>
      <c r="GP143" s="102">
        <f>$GG143*EH143*'Feedstock Conversion Rates'!B$9</f>
        <v>3.3229869652157389E-3</v>
      </c>
      <c r="GQ143" s="102">
        <f t="shared" si="87"/>
        <v>3.2282482936758532</v>
      </c>
      <c r="GR143" s="85">
        <f t="shared" si="53"/>
        <v>8.2234117240219611</v>
      </c>
      <c r="GT143" s="103">
        <f t="shared" si="47"/>
        <v>7.9388230806792054E-2</v>
      </c>
      <c r="GU143" s="103">
        <f t="shared" si="47"/>
        <v>0.1285742312610256</v>
      </c>
      <c r="GV143" s="103">
        <f t="shared" si="47"/>
        <v>0.42598785942307532</v>
      </c>
      <c r="GW143" s="103">
        <f t="shared" si="47"/>
        <v>0</v>
      </c>
      <c r="GX143" s="103">
        <f t="shared" si="47"/>
        <v>0.13422666213857581</v>
      </c>
      <c r="GY143" s="103">
        <f t="shared" si="69"/>
        <v>0.18481701353632213</v>
      </c>
      <c r="GZ143" s="103">
        <f t="shared" si="69"/>
        <v>4.5976656060689396E-2</v>
      </c>
      <c r="HA143" s="103">
        <f t="shared" si="69"/>
        <v>1.0293467735197068E-3</v>
      </c>
    </row>
    <row r="144" spans="1:209" x14ac:dyDescent="0.25">
      <c r="A144" s="96">
        <v>44805</v>
      </c>
      <c r="B144" s="104">
        <f>55+120+49+5+10+21-40-12.5-2+6+25+14-5-1-4-1-6-9-4+20-20+40+20-10+20+17.5+32.5+50-10-48-17+3.75+42+3-40-10-5-30-10-7+32.5+20-26-50-3.5-12.5-12.5-1-25-75-75-34+50+30-10+20</f>
        <v>90.25</v>
      </c>
      <c r="C144" s="105"/>
      <c r="D144" s="104">
        <v>1</v>
      </c>
      <c r="E144" s="104">
        <f>('Renewable Diesel'!B153*E$3*'Feedstock Conversion Rates'!$B$2)/12-30-21-14+5+1+9-32.5+10+5+7+26+3.5+75-50</f>
        <v>83.93</v>
      </c>
      <c r="F144" s="104">
        <f>('Renewable Diesel'!B153*'RD Feedstock Breakdown'!F$3*'Feedstock Conversion Rates'!B$8)/12+28.5-49-5+2-6+1+6+20-20-3.75+10+12.5+10-20</f>
        <v>40.15625</v>
      </c>
      <c r="G144" s="104">
        <f>('Renewable Diesel'!B153*'RD Feedstock Breakdown'!G$3*'Feedstock Conversion Rates'!B$7)/12-25-15-25+4+4-20-40-20+10-17.5+40+10-20+75+34-10-20</f>
        <v>140.65700000000001</v>
      </c>
      <c r="H144" s="104">
        <f>('Renewable Diesel'!B153*'RD Feedstock Breakdown'!H$3*'Feedstock Conversion Rates'!B$3)/12+11.5-120-10-5-50+48-42.5+17-3+30+50+12.5+25</f>
        <v>139.90022499999998</v>
      </c>
      <c r="I144" s="106">
        <f t="shared" si="52"/>
        <v>495.89347499999997</v>
      </c>
      <c r="J144" s="106"/>
      <c r="K144" s="107"/>
      <c r="L144" s="106"/>
      <c r="R144" s="104">
        <f>('Renewable Diesel'!D153*'RD Feedstock Breakdown'!R$3*'Feedstock Conversion Rates'!B$7)/12</f>
        <v>2.2999999999999998</v>
      </c>
      <c r="S144" s="106">
        <f t="shared" si="67"/>
        <v>2.2999999999999998</v>
      </c>
      <c r="T144" s="105"/>
      <c r="U144" s="104">
        <v>0</v>
      </c>
      <c r="V144" s="104">
        <f>('Renewable Diesel'!E153*'RD Feedstock Breakdown'!V$3*'Feedstock Conversion Rates'!B$6)/12-25+25-35+35</f>
        <v>7.8088499999999996</v>
      </c>
      <c r="W144" s="104">
        <f>('Renewable Diesel'!E153*'RD Feedstock Breakdown'!W$3*'Feedstock Conversion Rates'!B$8)/12</f>
        <v>3.9140625000000004</v>
      </c>
      <c r="X144" s="106">
        <f t="shared" si="88"/>
        <v>11.7229125</v>
      </c>
      <c r="Y144" s="104">
        <f>12.5+15+1+8-20+27.5-5-39+19-19+25-25+20+25</f>
        <v>45</v>
      </c>
      <c r="Z144" s="104">
        <f>('Renewable Diesel'!F153*'RD Feedstock Breakdown'!Z$3*'Feedstock Conversion Rates'!B$6)/12+5-15-1-8+20-27.5+5+19-25+25-20</f>
        <v>22.055000000000007</v>
      </c>
      <c r="AA144" s="104">
        <f>('Renewable Diesel'!F153*'RD Feedstock Breakdown'!AA$3*'Feedstock Conversion Rates'!B$7)/12-17.5+10+10-25</f>
        <v>6.6333333333333293</v>
      </c>
      <c r="AB144" s="106">
        <f t="shared" si="62"/>
        <v>73.688333333333333</v>
      </c>
      <c r="AC144" s="105"/>
      <c r="AD144" s="104">
        <f>('Renewable Diesel'!G153*'RD Feedstock Breakdown'!AD$3*'Feedstock Conversion Rates'!B$4)/12</f>
        <v>0</v>
      </c>
      <c r="AE144" s="104">
        <f>('Renewable Diesel'!G153*'RD Feedstock Breakdown'!AE$3*'Feedstock Conversion Rates'!B$6)/12</f>
        <v>0</v>
      </c>
      <c r="AF144" s="106">
        <f t="shared" si="80"/>
        <v>0</v>
      </c>
      <c r="AG144" s="105"/>
      <c r="AH144" s="104">
        <v>0</v>
      </c>
      <c r="AI144" s="104">
        <f>('Renewable Diesel'!H153*'RD Feedstock Breakdown'!AI$3*'Feedstock Conversion Rates'!B$6)/12</f>
        <v>58.625000000000007</v>
      </c>
      <c r="AJ144" s="106">
        <f t="shared" si="65"/>
        <v>58.625000000000007</v>
      </c>
      <c r="AK144" s="104">
        <f>('Renewable Diesel'!J153*'RD Feedstock Breakdown'!AK$3*'Feedstock Conversion Rates'!B$4)/12</f>
        <v>95.8125</v>
      </c>
      <c r="AL144" s="106">
        <f t="shared" si="68"/>
        <v>95.8125</v>
      </c>
      <c r="AM144" s="104">
        <f>('Renewable Diesel'!K153*'RD Feedstock Breakdown'!AM$3*'Feedstock Conversion Rates'!B$4)/12</f>
        <v>11.71875</v>
      </c>
      <c r="AN144" s="104">
        <f>('Renewable Diesel'!K153*'RD Feedstock Breakdown'!AN$3*'Feedstock Conversion Rates'!B$6)/12</f>
        <v>4.885416666666667</v>
      </c>
      <c r="AO144" s="106">
        <f t="shared" si="81"/>
        <v>16.604166666666668</v>
      </c>
      <c r="AP144" s="104">
        <f>('Renewable Diesel'!L153*'RD Feedstock Breakdown'!AP$3*'Feedstock Conversion Rates'!B$4)/12+15-7.5</f>
        <v>66.09375</v>
      </c>
      <c r="AQ144" s="104">
        <f>('Renewable Diesel'!L153*'RD Feedstock Breakdown'!AQ$3*'Feedstock Conversion Rates'!B$6)/12-15+7.55</f>
        <v>16.977083333333333</v>
      </c>
      <c r="AR144" s="106">
        <f t="shared" si="70"/>
        <v>83.070833333333326</v>
      </c>
      <c r="AS144" s="104"/>
      <c r="AT144" s="105"/>
      <c r="AU144" s="106"/>
      <c r="AV144" s="104">
        <f>'Renewable Diesel'!N153*'RD Feedstock Breakdown'!$AV$3*'Feedstock Conversion Rates'!$B$4/12+3</f>
        <v>81.749999999999986</v>
      </c>
      <c r="AW144" s="104">
        <f>'Renewable Diesel'!N153*'RD Feedstock Breakdown'!$AW$3*'Feedstock Conversion Rates'!$B$7/12-3</f>
        <v>38.4</v>
      </c>
      <c r="AX144" s="106">
        <f t="shared" si="63"/>
        <v>120.14999999999998</v>
      </c>
      <c r="AY144" s="104">
        <f>('Renewable Diesel'!O153*'RD Feedstock Breakdown'!AY$3*'Feedstock Conversion Rates'!B$4)/12+5</f>
        <v>72.5</v>
      </c>
      <c r="AZ144" s="104">
        <f>('Renewable Diesel'!O153*'RD Feedstock Breakdown'!AZ$3*'Feedstock Conversion Rates'!B$3)/12-5</f>
        <v>3.01</v>
      </c>
      <c r="BA144" s="106">
        <f t="shared" si="66"/>
        <v>75.510000000000005</v>
      </c>
      <c r="BB144" s="104">
        <f>('Renewable Diesel'!Q153*'RD Feedstock Breakdown'!BB$3*'Feedstock Conversion Rates'!B$4)/12</f>
        <v>0</v>
      </c>
      <c r="BC144" s="104">
        <f>('Renewable Diesel'!Q153*'RD Feedstock Breakdown'!BC$3*'Feedstock Conversion Rates'!B$3)/12</f>
        <v>0</v>
      </c>
      <c r="BD144" s="104">
        <f>('Renewable Diesel'!Q153*'RD Feedstock Breakdown'!BD$3*'Feedstock Conversion Rates'!B$6)/12</f>
        <v>0</v>
      </c>
      <c r="BE144" s="106">
        <f t="shared" si="90"/>
        <v>0</v>
      </c>
      <c r="BF144" s="104">
        <f>('Renewable Diesel'!R153*'RD Feedstock Breakdown'!BF$3*'Feedstock Conversion Rates'!B$4)/12</f>
        <v>62.5</v>
      </c>
      <c r="BG144" s="106">
        <f t="shared" si="72"/>
        <v>62.5</v>
      </c>
      <c r="BH144" s="104">
        <f>('Renewable Diesel'!T153*'RD Feedstock Breakdown'!BH$3*'Feedstock Conversion Rates'!B$7)/12</f>
        <v>0</v>
      </c>
      <c r="BI144" s="106">
        <f t="shared" si="64"/>
        <v>0</v>
      </c>
      <c r="BJ144" s="104">
        <f>('Renewable Diesel'!W153*'RD Feedstock Breakdown'!BJ$3*'Feedstock Conversion Rates'!B$4)/12</f>
        <v>7.5</v>
      </c>
      <c r="BK144" s="104">
        <f>('Renewable Diesel'!W153*'RD Feedstock Breakdown'!BK$3*'Feedstock Conversion Rates'!B$3)/12</f>
        <v>1.335</v>
      </c>
      <c r="BL144" s="104">
        <f>('Renewable Diesel'!W153*'RD Feedstock Breakdown'!BL$3*'Feedstock Conversion Rates'!B$6)/12</f>
        <v>3.1266666666666669</v>
      </c>
      <c r="BM144" s="104">
        <f>('Renewable Diesel'!W153*'RD Feedstock Breakdown'!BM$3*'Feedstock Conversion Rates'!B$7)/12</f>
        <v>1.5333333333333332</v>
      </c>
      <c r="BN144" s="106">
        <f t="shared" si="54"/>
        <v>13.495000000000001</v>
      </c>
      <c r="BO144" s="106"/>
      <c r="BP144" s="106"/>
      <c r="BQ144" s="104"/>
      <c r="BR144" s="104"/>
      <c r="BS144" s="106"/>
      <c r="BT144" s="104"/>
      <c r="BU144" s="104"/>
      <c r="BV144" s="106"/>
      <c r="BW144" s="106"/>
      <c r="BX144" s="107"/>
      <c r="BY144" s="106"/>
      <c r="BZ144" s="106"/>
      <c r="CA144" s="106"/>
      <c r="CB144" s="106"/>
      <c r="CC144" s="106"/>
      <c r="CD144" s="106"/>
      <c r="CE144" s="106"/>
      <c r="CF144" s="106"/>
      <c r="CG144" s="104">
        <f>('Renewable Diesel'!AD153*'Feedstock Conversion Rates'!B$4)/12</f>
        <v>0</v>
      </c>
      <c r="CH144" s="106">
        <f t="shared" si="89"/>
        <v>0</v>
      </c>
      <c r="CI144" s="107"/>
      <c r="CJ144" s="106"/>
      <c r="CK144" s="106"/>
      <c r="CL144" s="104">
        <f>(((CL$3*'Renewable Diesel'!$AF154)*'Feedstock Conversion Rates'!$B$3)/12)</f>
        <v>0</v>
      </c>
      <c r="CM144" s="104">
        <f>(((CM$3*'Renewable Diesel'!$AF154)*'Feedstock Conversion Rates'!$B$6)/12)</f>
        <v>0</v>
      </c>
      <c r="CN144" s="104">
        <f>(((CN$3*'Renewable Diesel'!$AF154)*'Feedstock Conversion Rates'!$B$4)/12)</f>
        <v>0</v>
      </c>
      <c r="CO144" s="106">
        <f t="shared" si="91"/>
        <v>0</v>
      </c>
      <c r="CP144" s="106"/>
      <c r="CQ144" s="106"/>
      <c r="CR144" s="106"/>
      <c r="CS144" s="106"/>
      <c r="CT144" s="106"/>
      <c r="CU144" s="106"/>
      <c r="CV144" s="106"/>
      <c r="CW144" s="106"/>
      <c r="CX144" s="106"/>
      <c r="CY144" s="106"/>
      <c r="CZ144" s="106"/>
      <c r="DA144" s="106"/>
      <c r="DB144" s="106"/>
      <c r="DC144" s="106"/>
      <c r="DD144" s="107"/>
      <c r="DE144" s="106"/>
      <c r="DF144" s="106"/>
      <c r="DG144" s="106"/>
      <c r="DH144" s="106"/>
      <c r="DI144" s="106"/>
      <c r="DJ144" s="107"/>
      <c r="DK144" s="106"/>
      <c r="DL144" s="106"/>
      <c r="DM144" s="106"/>
      <c r="DN144" s="106"/>
      <c r="DP144" s="104">
        <f t="shared" si="73"/>
        <v>83.93</v>
      </c>
      <c r="DQ144" s="104">
        <f t="shared" si="74"/>
        <v>144.24522499999998</v>
      </c>
      <c r="DR144" s="104">
        <f t="shared" si="82"/>
        <v>533.125</v>
      </c>
      <c r="DS144" s="107"/>
      <c r="DT144" s="104">
        <f t="shared" si="75"/>
        <v>113.47801666666669</v>
      </c>
      <c r="DU144" s="104">
        <f t="shared" si="76"/>
        <v>189.52366666666668</v>
      </c>
      <c r="DV144" s="104">
        <f t="shared" si="83"/>
        <v>44.0703125</v>
      </c>
      <c r="DW144" s="104">
        <f t="shared" si="77"/>
        <v>1</v>
      </c>
      <c r="DX144" s="106">
        <f t="shared" si="78"/>
        <v>1109.3722208333334</v>
      </c>
      <c r="DY144" s="109">
        <f t="shared" si="79"/>
        <v>-2.2737367544323206E-13</v>
      </c>
      <c r="EA144" s="110">
        <f t="shared" si="55"/>
        <v>7.5655400796816277E-2</v>
      </c>
      <c r="EB144" s="110">
        <f t="shared" si="55"/>
        <v>0.13002419052069511</v>
      </c>
      <c r="EC144" s="110">
        <f t="shared" si="55"/>
        <v>0.48056458417493952</v>
      </c>
      <c r="ED144" s="107"/>
      <c r="EE144" s="110">
        <f t="shared" si="56"/>
        <v>0.10229029944649666</v>
      </c>
      <c r="EF144" s="110">
        <f t="shared" si="56"/>
        <v>0.17083866272070625</v>
      </c>
      <c r="EG144" s="111">
        <f t="shared" si="56"/>
        <v>3.9725451631460046E-2</v>
      </c>
      <c r="EH144" s="111">
        <f t="shared" si="84"/>
        <v>9.014107088861702E-4</v>
      </c>
      <c r="EI144" s="110">
        <f t="shared" si="85"/>
        <v>0.99909858929111384</v>
      </c>
      <c r="EK144" s="112">
        <f>(EA144*'Renewable Diesel'!BF153*'Feedstock Conversion Rates'!B$2)+FB144</f>
        <v>76.59702391625072</v>
      </c>
      <c r="EL144" s="112">
        <f>(EB144*'Renewable Diesel'!BF153*'Feedstock Conversion Rates'!B$3)+FC144</f>
        <v>124.05369620696661</v>
      </c>
      <c r="EM144" s="112">
        <f>(EC144*'Renewable Diesel'!BF153*'Feedstock Conversion Rates'!B$4)+FD144</f>
        <v>429.30511114322678</v>
      </c>
      <c r="EN144" s="107"/>
      <c r="EO144" s="112">
        <f>(EE144*'Renewable Diesel'!BF153*'Feedstock Conversion Rates'!B$6)+FF144</f>
        <v>114.28528673722602</v>
      </c>
      <c r="EP144" s="112">
        <f>(EF144*'Renewable Diesel'!BF153*'Feedstock Conversion Rates'!B$7)+FG144</f>
        <v>187.20912976630689</v>
      </c>
      <c r="EQ144" s="112">
        <f>(EG144*'Renewable Diesel'!BF153*'Feedstock Conversion Rates'!B$8)+FH144</f>
        <v>44.360165078380383</v>
      </c>
      <c r="ER144" s="112">
        <f>(EH144*'Renewable Diesel'!BF153*'Feedstock Conversion Rates'!B$9)+FI144</f>
        <v>0.99315602108944989</v>
      </c>
      <c r="ES144" s="112">
        <f t="shared" si="86"/>
        <v>976.80356886944685</v>
      </c>
      <c r="ET144" s="91">
        <f>ES144/'Renewable Diesel'!BF153</f>
        <v>8.2007619180965232</v>
      </c>
      <c r="EU144" s="112"/>
      <c r="EW144" s="73">
        <f t="shared" si="58"/>
        <v>429.30511114322678</v>
      </c>
      <c r="EX144" s="73">
        <f t="shared" si="59"/>
        <v>547.49845772622007</v>
      </c>
      <c r="EY144" s="92">
        <f t="shared" si="71"/>
        <v>0.439499941262607</v>
      </c>
      <c r="EZ144" s="92">
        <f t="shared" si="71"/>
        <v>0.56050005873739295</v>
      </c>
      <c r="FB144" s="102">
        <f>IF('Renewable Diesel'!$BG153&lt;1,0,(((('Renewable Diesel'!$BG153-1)*'Renewable Diesel'!$BF153)*'RD Feedstock Breakdown'!EA144)*'Feedstock Conversion Rates'!$B$2))</f>
        <v>0</v>
      </c>
      <c r="FC144" s="102">
        <f>IF('Renewable Diesel'!$BG153&lt;1,0,(((('Renewable Diesel'!$BG153-1)*'Renewable Diesel'!$BF153)*'RD Feedstock Breakdown'!EB144)*'Feedstock Conversion Rates'!$B$3))</f>
        <v>0</v>
      </c>
      <c r="FD144" s="102">
        <f>IF('Renewable Diesel'!$BG153&lt;1,0,(((('Renewable Diesel'!$BG153-1)*'Renewable Diesel'!$BF153)*'RD Feedstock Breakdown'!EC144)*'Feedstock Conversion Rates'!$B$4))</f>
        <v>0</v>
      </c>
      <c r="FE144" s="107"/>
      <c r="FF144" s="102">
        <f>IF('Renewable Diesel'!$BG153&lt;1,0,(((('Renewable Diesel'!$BG153-1)*'Renewable Diesel'!$BF153)*'RD Feedstock Breakdown'!EE144)*'Feedstock Conversion Rates'!$B$6))</f>
        <v>0</v>
      </c>
      <c r="FG144" s="102">
        <f>IF('Renewable Diesel'!$BG153&lt;1,0,(((('Renewable Diesel'!$BG153-1)*'Renewable Diesel'!$BF153)*'RD Feedstock Breakdown'!EF144)*'Feedstock Conversion Rates'!$B$7))</f>
        <v>0</v>
      </c>
      <c r="FH144" s="102">
        <f>IF('Renewable Diesel'!$BG153&lt;1,0,(((('Renewable Diesel'!$BG153-1)*'Renewable Diesel'!$BF153)*'RD Feedstock Breakdown'!EG144)*'Feedstock Conversion Rates'!$B$8))</f>
        <v>0</v>
      </c>
      <c r="FI144" s="102">
        <f>IF('Renewable Diesel'!$BG153&lt;1,0,(((('Renewable Diesel'!$BG153-1)*'Renewable Diesel'!$BF153)*'RD Feedstock Breakdown'!EH144)*'Feedstock Conversion Rates'!$B$9))</f>
        <v>0</v>
      </c>
      <c r="FJ144" s="102">
        <f t="shared" si="60"/>
        <v>0</v>
      </c>
      <c r="FR144" s="3">
        <f>('Renewable Diesel'!AX153-'Renewable Diesel'!BI153)/12*$FO$80</f>
        <v>136.8215625</v>
      </c>
      <c r="FS144" s="100">
        <f t="shared" si="48"/>
        <v>0.48056458417493952</v>
      </c>
      <c r="FT144" s="3">
        <f t="shared" si="50"/>
        <v>493.13697966733503</v>
      </c>
      <c r="FV144" s="131"/>
      <c r="FW144" s="130"/>
      <c r="FY144" s="3">
        <f>'Renewable Diesel'!BF153*('Renewable Diesel'!BI153/'Renewable Diesel'!AX153)</f>
        <v>21.187348580796527</v>
      </c>
      <c r="FZ144" s="3">
        <f>('Renewable Diesel'!BJ153*'Renewable Diesel'!BG153)/12</f>
        <v>96.081315061852862</v>
      </c>
      <c r="GA144" s="3">
        <f t="shared" si="51"/>
        <v>346.29957914760507</v>
      </c>
      <c r="GD144" s="91">
        <f>'Renewable Diesel'!BB153*0</f>
        <v>0</v>
      </c>
      <c r="GE144" s="91">
        <f>'Renewable Diesel'!BC153</f>
        <v>0.393571</v>
      </c>
      <c r="GF144" s="91">
        <f>'Renewable Diesel'!BD153</f>
        <v>0</v>
      </c>
      <c r="GG144" s="91">
        <f t="shared" si="49"/>
        <v>0.393571</v>
      </c>
      <c r="GH144" s="124">
        <v>1</v>
      </c>
      <c r="GI144" s="102">
        <f>$GG144*EA144*'Feedstock Conversion Rates'!$B$2</f>
        <v>0.25309405984953209</v>
      </c>
      <c r="GJ144" s="102">
        <f>$GG144*EB144*'Feedstock Conversion Rates'!$B$3</f>
        <v>0.40990174300623816</v>
      </c>
      <c r="GK144" s="102">
        <f>$GG144*EC144*'Feedstock Conversion Rates'!$B$4</f>
        <v>1.4185221296873636</v>
      </c>
      <c r="GL144" s="102">
        <f>$GG144*ED144*'Feedstock Conversion Rates'!$B$5</f>
        <v>0</v>
      </c>
      <c r="GM144" s="102">
        <f>$GG144*EE144*'Feedstock Conversion Rates'!$B$6</f>
        <v>0.377624687259628</v>
      </c>
      <c r="GN144" s="102">
        <f>$GG144*EF144*'Feedstock Conversion Rates'!$B$7</f>
        <v>0.61858171859598987</v>
      </c>
      <c r="GO144" s="102">
        <f>$GG144*EG144*'Feedstock Conversion Rates'!$B$8</f>
        <v>0.14657611616292529</v>
      </c>
      <c r="GP144" s="102">
        <f>$GG144*EH144*'Feedstock Conversion Rates'!B$9</f>
        <v>3.2816143054901097E-3</v>
      </c>
      <c r="GQ144" s="102">
        <f t="shared" si="87"/>
        <v>3.2275820688671666</v>
      </c>
      <c r="GR144" s="85">
        <f t="shared" si="53"/>
        <v>8.2007619180965232</v>
      </c>
      <c r="GT144" s="103">
        <f t="shared" si="47"/>
        <v>7.8415995147216921E-2</v>
      </c>
      <c r="GU144" s="103">
        <f t="shared" si="47"/>
        <v>0.1269996344818298</v>
      </c>
      <c r="GV144" s="103">
        <f t="shared" si="47"/>
        <v>0.439499941262607</v>
      </c>
      <c r="GW144" s="103">
        <f t="shared" si="47"/>
        <v>0</v>
      </c>
      <c r="GX144" s="103">
        <f t="shared" si="47"/>
        <v>0.11699925182449926</v>
      </c>
      <c r="GY144" s="103">
        <f t="shared" si="69"/>
        <v>0.19165483801721042</v>
      </c>
      <c r="GZ144" s="103">
        <f t="shared" si="69"/>
        <v>4.5413598488100192E-2</v>
      </c>
      <c r="HA144" s="103">
        <f t="shared" si="69"/>
        <v>1.0167407785363943E-3</v>
      </c>
    </row>
    <row r="145" spans="1:209" x14ac:dyDescent="0.25">
      <c r="A145" s="96">
        <v>44835</v>
      </c>
      <c r="B145" s="104">
        <f>55+120+49+5+10+21-40-12.5-2+6+25+14-5-1-4-1-6-9-4+20-20+40+20-10+20+17.5+32.5+50-10-48-20-12+22.5+3.75+3+4-50-12.5-30-10+10-1.5+12-26-50-15+10-7.5-3-1-12.5-1-1+10-25-50+10-79+60+25-75-10-0.5+37+20-17.5-20</f>
        <v>29.75</v>
      </c>
      <c r="C145" s="105"/>
      <c r="D145" s="104">
        <f>1+0.5</f>
        <v>1.5</v>
      </c>
      <c r="E145" s="104">
        <f>('Renewable Diesel'!B154*E$3*'Feedstock Conversion Rates'!$B$2)/12-30-21-14+5+1+9-32.5+30-20+12-4+12.5+1.5+26+22.5+3+1-10+79-60-25+10+17.5</f>
        <v>103.43</v>
      </c>
      <c r="F145" s="104">
        <f>('Renewable Diesel'!B154*'RD Feedstock Breakdown'!F$3*'Feedstock Conversion Rates'!B$8)/12+28.5-49-5+2-6+1+6+20-20-3.75+10+1+5-20+20-10</f>
        <v>33.65625</v>
      </c>
      <c r="G145" s="104">
        <f>('Renewable Diesel'!B154*'RD Feedstock Breakdown'!G$3*'Feedstock Conversion Rates'!B$7)/12-25-15-25+4+4-20-40-20+10-17.5+20+50-12+7.5+50-75-37</f>
        <v>35.157000000000011</v>
      </c>
      <c r="H145" s="104">
        <f>('Renewable Diesel'!B154*'RD Feedstock Breakdown'!H$3*'Feedstock Conversion Rates'!B$3)/12+11.5-120-10-5-50+48-22.5-3+30+50+15-10+12.5+25+75+75-5</f>
        <v>292.90022499999998</v>
      </c>
      <c r="I145" s="106">
        <f t="shared" si="52"/>
        <v>496.39347499999997</v>
      </c>
      <c r="J145" s="106"/>
      <c r="K145" s="107"/>
      <c r="L145" s="104">
        <v>1</v>
      </c>
      <c r="M145" s="104">
        <f>('Renewable Diesel'!C154*'RD Feedstock Breakdown'!M$3*'Feedstock Conversion Rates'!B$2)/12-0.25</f>
        <v>29.585000000000004</v>
      </c>
      <c r="N145" s="104">
        <f>('Renewable Diesel'!C154*'RD Feedstock Breakdown'!N$3*'Feedstock Conversion Rates'!B$8)/12-0.25</f>
        <v>13.8125</v>
      </c>
      <c r="O145" s="104">
        <f>('Renewable Diesel'!C154*'RD Feedstock Breakdown'!O$3*'Feedstock Conversion Rates'!B$7)/12-0.25</f>
        <v>45.704000000000001</v>
      </c>
      <c r="P145" s="104">
        <f>('Renewable Diesel'!C154*'RD Feedstock Breakdown'!P$3*'Feedstock Conversion Rates'!B$3)/12-0.25</f>
        <v>39.759950000000003</v>
      </c>
      <c r="Q145" s="106">
        <f t="shared" ref="Q145:Q159" si="92">SUM(J145:P145)</f>
        <v>129.86145000000002</v>
      </c>
      <c r="R145" s="104">
        <f>('Renewable Diesel'!D154*'RD Feedstock Breakdown'!R$3*'Feedstock Conversion Rates'!B$7)/12</f>
        <v>2.2999999999999998</v>
      </c>
      <c r="S145" s="106">
        <f t="shared" si="67"/>
        <v>2.2999999999999998</v>
      </c>
      <c r="T145" s="105"/>
      <c r="U145" s="104">
        <v>0</v>
      </c>
      <c r="V145" s="104">
        <f>('Renewable Diesel'!E154*'RD Feedstock Breakdown'!V$3*'Feedstock Conversion Rates'!B$6)/12-15-10-5+30-35+35</f>
        <v>7.8088499999999996</v>
      </c>
      <c r="W145" s="104">
        <f>('Renewable Diesel'!E154*'RD Feedstock Breakdown'!W$3*'Feedstock Conversion Rates'!B$8)/12</f>
        <v>3.9140625000000004</v>
      </c>
      <c r="X145" s="106">
        <f t="shared" si="88"/>
        <v>11.7229125</v>
      </c>
      <c r="Y145" s="104">
        <f>12.5+15+1+8-20+27.5-5-39+19-19+25-25+7.5-7.5+15-15</f>
        <v>0</v>
      </c>
      <c r="Z145" s="104">
        <f>('Renewable Diesel'!F154*'RD Feedstock Breakdown'!Z$3*'Feedstock Conversion Rates'!B$6)/12+5-15-1-8+20-27.5+5+19-25+25-7.5+7.5-15+15</f>
        <v>42.055000000000007</v>
      </c>
      <c r="AA145" s="104">
        <f>('Renewable Diesel'!F154*'RD Feedstock Breakdown'!AA$3*'Feedstock Conversion Rates'!B$7)/12-17.5+2+37-19</f>
        <v>31.633333333333326</v>
      </c>
      <c r="AB145" s="106">
        <f t="shared" si="62"/>
        <v>73.688333333333333</v>
      </c>
      <c r="AC145" s="105"/>
      <c r="AD145" s="104">
        <f>('Renewable Diesel'!G154*'RD Feedstock Breakdown'!AD$3*'Feedstock Conversion Rates'!B$4)/12</f>
        <v>0</v>
      </c>
      <c r="AE145" s="104">
        <f>('Renewable Diesel'!G154*'RD Feedstock Breakdown'!AE$3*'Feedstock Conversion Rates'!B$6)/12</f>
        <v>0</v>
      </c>
      <c r="AF145" s="106">
        <f t="shared" si="80"/>
        <v>0</v>
      </c>
      <c r="AG145" s="105"/>
      <c r="AH145" s="104">
        <v>0</v>
      </c>
      <c r="AI145" s="104">
        <f>('Renewable Diesel'!H154*'RD Feedstock Breakdown'!AI$3*'Feedstock Conversion Rates'!B$6)/12</f>
        <v>58.625000000000007</v>
      </c>
      <c r="AJ145" s="106">
        <f t="shared" si="65"/>
        <v>58.625000000000007</v>
      </c>
      <c r="AK145" s="104">
        <f>('Renewable Diesel'!J154*'RD Feedstock Breakdown'!AK$3*'Feedstock Conversion Rates'!B$4)/12</f>
        <v>95.8125</v>
      </c>
      <c r="AL145" s="106">
        <f t="shared" si="68"/>
        <v>95.8125</v>
      </c>
      <c r="AM145" s="104">
        <f>('Renewable Diesel'!K154*'RD Feedstock Breakdown'!AM$3*'Feedstock Conversion Rates'!B$4)/12</f>
        <v>11.71875</v>
      </c>
      <c r="AN145" s="104">
        <f>('Renewable Diesel'!K154*'RD Feedstock Breakdown'!AN$3*'Feedstock Conversion Rates'!B$6)/12</f>
        <v>4.885416666666667</v>
      </c>
      <c r="AO145" s="106">
        <f t="shared" si="81"/>
        <v>16.604166666666668</v>
      </c>
      <c r="AP145" s="104">
        <f>('Renewable Diesel'!L154*'RD Feedstock Breakdown'!AP$3*'Feedstock Conversion Rates'!B$4)/12+15-7.5-25+10</f>
        <v>51.09375</v>
      </c>
      <c r="AQ145" s="104">
        <f>('Renewable Diesel'!L154*'RD Feedstock Breakdown'!AQ$3*'Feedstock Conversion Rates'!B$6)/12-15+7.55+25-10</f>
        <v>31.977083333333333</v>
      </c>
      <c r="AR145" s="106">
        <f t="shared" si="70"/>
        <v>83.070833333333326</v>
      </c>
      <c r="AS145" s="104"/>
      <c r="AT145" s="105"/>
      <c r="AU145" s="106"/>
      <c r="AV145" s="104">
        <f>'Renewable Diesel'!N154*'RD Feedstock Breakdown'!$AV$3*'Feedstock Conversion Rates'!$B$4/12+25-22-81.5+40</f>
        <v>40.249999999999986</v>
      </c>
      <c r="AW145" s="104">
        <f>'Renewable Diesel'!N154*'RD Feedstock Breakdown'!$AW$3*'Feedstock Conversion Rates'!$B$7/12-25+22+81.5-40</f>
        <v>79.900000000000006</v>
      </c>
      <c r="AX145" s="106">
        <f t="shared" si="63"/>
        <v>120.14999999999999</v>
      </c>
      <c r="AY145" s="104">
        <f>('Renewable Diesel'!O154*'RD Feedstock Breakdown'!AY$3*'Feedstock Conversion Rates'!B$4)/12+5-50</f>
        <v>22.5</v>
      </c>
      <c r="AZ145" s="104">
        <f>('Renewable Diesel'!O154*'RD Feedstock Breakdown'!AZ$3*'Feedstock Conversion Rates'!B$3)/12-5+50</f>
        <v>53.01</v>
      </c>
      <c r="BA145" s="106">
        <f t="shared" si="66"/>
        <v>75.509999999999991</v>
      </c>
      <c r="BB145" s="104">
        <f>('Renewable Diesel'!Q154*'RD Feedstock Breakdown'!BB$3*'Feedstock Conversion Rates'!B$4)/12</f>
        <v>0</v>
      </c>
      <c r="BC145" s="104">
        <f>('Renewable Diesel'!Q154*'RD Feedstock Breakdown'!BC$3*'Feedstock Conversion Rates'!B$3)/12</f>
        <v>0</v>
      </c>
      <c r="BD145" s="104">
        <f>('Renewable Diesel'!Q154*'RD Feedstock Breakdown'!BD$3*'Feedstock Conversion Rates'!B$6)/12</f>
        <v>0</v>
      </c>
      <c r="BE145" s="106">
        <f t="shared" si="90"/>
        <v>0</v>
      </c>
      <c r="BF145" s="104">
        <f>('Renewable Diesel'!R154*'RD Feedstock Breakdown'!BF$3*'Feedstock Conversion Rates'!B$4)/12</f>
        <v>62.5</v>
      </c>
      <c r="BG145" s="106">
        <f t="shared" si="72"/>
        <v>62.5</v>
      </c>
      <c r="BH145" s="104">
        <f>('Renewable Diesel'!T154*'RD Feedstock Breakdown'!BH$3*'Feedstock Conversion Rates'!B$7)/12</f>
        <v>0</v>
      </c>
      <c r="BI145" s="106">
        <f t="shared" si="64"/>
        <v>0</v>
      </c>
      <c r="BJ145" s="104">
        <f>('Renewable Diesel'!W154*'RD Feedstock Breakdown'!BJ$3*'Feedstock Conversion Rates'!B$4)/12-7.5</f>
        <v>0</v>
      </c>
      <c r="BK145" s="104">
        <f>('Renewable Diesel'!W154*'RD Feedstock Breakdown'!BK$3*'Feedstock Conversion Rates'!B$3)/12</f>
        <v>1.335</v>
      </c>
      <c r="BL145" s="104">
        <f>('Renewable Diesel'!W154*'RD Feedstock Breakdown'!BL$3*'Feedstock Conversion Rates'!B$6)/12</f>
        <v>3.1266666666666669</v>
      </c>
      <c r="BM145" s="104">
        <f>('Renewable Diesel'!W154*'RD Feedstock Breakdown'!BM$3*'Feedstock Conversion Rates'!B$7)/12+7.5</f>
        <v>9.0333333333333332</v>
      </c>
      <c r="BN145" s="106">
        <f t="shared" si="54"/>
        <v>13.495000000000001</v>
      </c>
      <c r="BO145" s="106"/>
      <c r="BP145" s="106"/>
      <c r="BQ145" s="104"/>
      <c r="BR145" s="104"/>
      <c r="BS145" s="106"/>
      <c r="BT145" s="104"/>
      <c r="BU145" s="104">
        <f>('Renewable Diesel'!Y154*'Feedstock Conversion Rates'!B$7)/12</f>
        <v>0</v>
      </c>
      <c r="BV145" s="106">
        <f t="shared" ref="BV145:BV208" si="93">BU145</f>
        <v>0</v>
      </c>
      <c r="BW145" s="106"/>
      <c r="BX145" s="107"/>
      <c r="BY145" s="106"/>
      <c r="BZ145" s="106"/>
      <c r="CA145" s="106"/>
      <c r="CB145" s="106"/>
      <c r="CC145" s="106"/>
      <c r="CD145" s="106"/>
      <c r="CE145" s="106"/>
      <c r="CF145" s="106"/>
      <c r="CG145" s="104">
        <f>('Renewable Diesel'!AD154*'Feedstock Conversion Rates'!B$4)/12</f>
        <v>0</v>
      </c>
      <c r="CH145" s="106">
        <f t="shared" si="89"/>
        <v>0</v>
      </c>
      <c r="CI145" s="107"/>
      <c r="CJ145" s="106"/>
      <c r="CK145" s="106"/>
      <c r="CL145" s="104">
        <f>(((CL$3*'Renewable Diesel'!$AF154)*'Feedstock Conversion Rates'!$B$3)/12)</f>
        <v>0</v>
      </c>
      <c r="CM145" s="104">
        <f>(((CM$3*'Renewable Diesel'!$AF154)*'Feedstock Conversion Rates'!$B$6)/12)</f>
        <v>0</v>
      </c>
      <c r="CN145" s="104">
        <f>(((CN$3*'Renewable Diesel'!$AF154)*'Feedstock Conversion Rates'!$B$4)/12)</f>
        <v>0</v>
      </c>
      <c r="CO145" s="106">
        <f t="shared" si="91"/>
        <v>0</v>
      </c>
      <c r="CP145" s="106"/>
      <c r="CQ145" s="106"/>
      <c r="CR145" s="106"/>
      <c r="CS145" s="106"/>
      <c r="CT145" s="106"/>
      <c r="CU145" s="106"/>
      <c r="CV145" s="106"/>
      <c r="CW145" s="106"/>
      <c r="CX145" s="106"/>
      <c r="CY145" s="106"/>
      <c r="CZ145" s="106"/>
      <c r="DA145" s="106"/>
      <c r="DB145" s="106"/>
      <c r="DC145" s="106"/>
      <c r="DD145" s="107"/>
      <c r="DE145" s="106"/>
      <c r="DF145" s="106"/>
      <c r="DG145" s="106"/>
      <c r="DH145" s="106"/>
      <c r="DI145" s="106"/>
      <c r="DJ145" s="107"/>
      <c r="DK145" s="106"/>
      <c r="DL145" s="106"/>
      <c r="DM145" s="106"/>
      <c r="DN145" s="106"/>
      <c r="DP145" s="104">
        <f t="shared" si="73"/>
        <v>133.01500000000001</v>
      </c>
      <c r="DQ145" s="104">
        <f t="shared" si="74"/>
        <v>387.00517499999995</v>
      </c>
      <c r="DR145" s="104">
        <f t="shared" si="82"/>
        <v>313.625</v>
      </c>
      <c r="DS145" s="107"/>
      <c r="DT145" s="104">
        <f t="shared" si="75"/>
        <v>148.47801666666669</v>
      </c>
      <c r="DU145" s="104">
        <f t="shared" si="76"/>
        <v>203.72766666666669</v>
      </c>
      <c r="DV145" s="104">
        <f t="shared" si="83"/>
        <v>51.3828125</v>
      </c>
      <c r="DW145" s="104">
        <f t="shared" si="77"/>
        <v>2.5</v>
      </c>
      <c r="DX145" s="106">
        <f t="shared" si="78"/>
        <v>1239.7336708333335</v>
      </c>
      <c r="DY145" s="109">
        <f t="shared" si="79"/>
        <v>-2.2737367544323206E-13</v>
      </c>
      <c r="EA145" s="110">
        <f t="shared" si="55"/>
        <v>0.1072932058952541</v>
      </c>
      <c r="EB145" s="110">
        <f t="shared" si="55"/>
        <v>0.31216799551782759</v>
      </c>
      <c r="EC145" s="110">
        <f t="shared" si="55"/>
        <v>0.25297772205314484</v>
      </c>
      <c r="ED145" s="107"/>
      <c r="EE145" s="110">
        <f t="shared" si="56"/>
        <v>0.11976605956573046</v>
      </c>
      <c r="EF145" s="110">
        <f t="shared" si="56"/>
        <v>0.16433180082115822</v>
      </c>
      <c r="EG145" s="111">
        <f t="shared" si="56"/>
        <v>4.1446653994209187E-2</v>
      </c>
      <c r="EH145" s="111">
        <f t="shared" si="84"/>
        <v>2.0165621526755267E-3</v>
      </c>
      <c r="EI145" s="110">
        <f t="shared" si="85"/>
        <v>0.99798343784732435</v>
      </c>
      <c r="EK145" s="112">
        <f>(EA145*'Renewable Diesel'!BF154*'Feedstock Conversion Rates'!B$2)+FB145</f>
        <v>100.09430859068955</v>
      </c>
      <c r="EL145" s="112">
        <f>(EB145*'Renewable Diesel'!BF154*'Feedstock Conversion Rates'!B$3)+FC145</f>
        <v>274.43476605272457</v>
      </c>
      <c r="EM145" s="112">
        <f>(EC145*'Renewable Diesel'!BF154*'Feedstock Conversion Rates'!B$4)+FD145</f>
        <v>208.23885982621377</v>
      </c>
      <c r="EN145" s="107"/>
      <c r="EO145" s="112">
        <f>(EE145*'Renewable Diesel'!BF154*'Feedstock Conversion Rates'!B$6)+FF145</f>
        <v>123.2976603273716</v>
      </c>
      <c r="EP145" s="112">
        <f>(EF145*'Renewable Diesel'!BF154*'Feedstock Conversion Rates'!B$7)+FG145</f>
        <v>165.93105634641745</v>
      </c>
      <c r="EQ145" s="112">
        <f>(EG145*'Renewable Diesel'!BF154*'Feedstock Conversion Rates'!B$8)+FH145</f>
        <v>42.646067316317762</v>
      </c>
      <c r="ER145" s="112">
        <f>(EH145*'Renewable Diesel'!BF154*'Feedstock Conversion Rates'!B$9)+FI145</f>
        <v>2.0472533050537822</v>
      </c>
      <c r="ES145" s="112">
        <f t="shared" si="86"/>
        <v>916.68997176478842</v>
      </c>
      <c r="ET145" s="91">
        <f>ES145/'Renewable Diesel'!BF154</f>
        <v>8.3522645969952123</v>
      </c>
      <c r="EU145" s="112"/>
      <c r="EW145" s="73">
        <f t="shared" si="58"/>
        <v>208.23885982621377</v>
      </c>
      <c r="EX145" s="73">
        <f t="shared" si="59"/>
        <v>708.45111193857474</v>
      </c>
      <c r="EY145" s="92">
        <f t="shared" si="71"/>
        <v>0.22716388990851244</v>
      </c>
      <c r="EZ145" s="92">
        <f t="shared" si="71"/>
        <v>0.77283611009148767</v>
      </c>
      <c r="FB145" s="102">
        <f>IF('Renewable Diesel'!$BG154&lt;1,0,(((('Renewable Diesel'!$BG154-1)*'Renewable Diesel'!$BF154)*'RD Feedstock Breakdown'!EA145)*'Feedstock Conversion Rates'!$B$2))</f>
        <v>0</v>
      </c>
      <c r="FC145" s="102">
        <f>IF('Renewable Diesel'!$BG154&lt;1,0,(((('Renewable Diesel'!$BG154-1)*'Renewable Diesel'!$BF154)*'RD Feedstock Breakdown'!EB145)*'Feedstock Conversion Rates'!$B$3))</f>
        <v>0</v>
      </c>
      <c r="FD145" s="102">
        <f>IF('Renewable Diesel'!$BG154&lt;1,0,(((('Renewable Diesel'!$BG154-1)*'Renewable Diesel'!$BF154)*'RD Feedstock Breakdown'!EC145)*'Feedstock Conversion Rates'!$B$4))</f>
        <v>0</v>
      </c>
      <c r="FE145" s="107"/>
      <c r="FF145" s="102">
        <f>IF('Renewable Diesel'!$BG154&lt;1,0,(((('Renewable Diesel'!$BG154-1)*'Renewable Diesel'!$BF154)*'RD Feedstock Breakdown'!EE145)*'Feedstock Conversion Rates'!$B$6))</f>
        <v>0</v>
      </c>
      <c r="FG145" s="102">
        <f>IF('Renewable Diesel'!$BG154&lt;1,0,(((('Renewable Diesel'!$BG154-1)*'Renewable Diesel'!$BF154)*'RD Feedstock Breakdown'!EF145)*'Feedstock Conversion Rates'!$B$7))</f>
        <v>0</v>
      </c>
      <c r="FH145" s="102">
        <f>IF('Renewable Diesel'!$BG154&lt;1,0,(((('Renewable Diesel'!$BG154-1)*'Renewable Diesel'!$BF154)*'RD Feedstock Breakdown'!EG145)*'Feedstock Conversion Rates'!$B$8))</f>
        <v>0</v>
      </c>
      <c r="FI145" s="102">
        <f>IF('Renewable Diesel'!$BG154&lt;1,0,(((('Renewable Diesel'!$BG154-1)*'Renewable Diesel'!$BF154)*'RD Feedstock Breakdown'!EH145)*'Feedstock Conversion Rates'!$B$9))</f>
        <v>0</v>
      </c>
      <c r="FJ145" s="102">
        <f t="shared" si="60"/>
        <v>0</v>
      </c>
      <c r="FL145" s="3">
        <f>('Renewable Diesel'!AX154/12*$FO$80)*'RD Feedstock Breakdown'!EC145*7.5</f>
        <v>315.76363044520969</v>
      </c>
      <c r="FM145" s="3">
        <f>FL145-EM145</f>
        <v>107.52477061899592</v>
      </c>
      <c r="FR145" s="3">
        <f>('Renewable Diesel'!AX154-'Renewable Diesel'!BI154)/12*$FO$80</f>
        <v>100.46812500000001</v>
      </c>
      <c r="FS145" s="100">
        <f>EC145</f>
        <v>0.25297772205314484</v>
      </c>
      <c r="FT145" s="3">
        <f>FR145*FS145*7.5</f>
        <v>190.62148051087962</v>
      </c>
      <c r="FV145" s="3"/>
      <c r="FW145" s="3"/>
      <c r="FY145" s="3">
        <f>'Renewable Diesel'!BF154*('Renewable Diesel'!BI154/'Renewable Diesel'!AX154)</f>
        <v>43.497043748625501</v>
      </c>
      <c r="FZ145" s="3">
        <f>('Renewable Diesel'!BJ154*'Renewable Diesel'!BG154)/12</f>
        <v>67.176648310421371</v>
      </c>
      <c r="GA145" s="3">
        <f t="shared" si="51"/>
        <v>127.4564659855173</v>
      </c>
      <c r="GD145" s="91">
        <f>'Renewable Diesel'!BB154*0</f>
        <v>0</v>
      </c>
      <c r="GE145" s="91">
        <f>'Renewable Diesel'!BC154</f>
        <v>1.7646310000000001</v>
      </c>
      <c r="GF145" s="91">
        <f>'Renewable Diesel'!BD154</f>
        <v>0</v>
      </c>
      <c r="GG145" s="91">
        <f t="shared" si="49"/>
        <v>1.7646310000000001</v>
      </c>
      <c r="GH145" s="124">
        <v>1</v>
      </c>
      <c r="GI145" s="102">
        <f>$GG145*EA145*'Feedstock Conversion Rates'!$B$2</f>
        <v>1.6093297963032593</v>
      </c>
      <c r="GJ145" s="102">
        <f>$GG145*EB145*'Feedstock Conversion Rates'!$B$3</f>
        <v>4.4123991900099426</v>
      </c>
      <c r="GK145" s="102">
        <f>$GG145*EC145*'Feedstock Conversion Rates'!$B$4</f>
        <v>3.3480924798327227</v>
      </c>
      <c r="GL145" s="102">
        <f>$GG145*ED145*'Feedstock Conversion Rates'!$B$5</f>
        <v>0</v>
      </c>
      <c r="GM145" s="102">
        <f>$GG145*EE145*'Feedstock Conversion Rates'!$B$6</f>
        <v>1.9823964156716738</v>
      </c>
      <c r="GN145" s="102">
        <f>$GG145*EF145*'Feedstock Conversion Rates'!$B$7</f>
        <v>2.6678619081365396</v>
      </c>
      <c r="GO145" s="102">
        <f>$GG145*EG145*'Feedstock Conversion Rates'!$B$8</f>
        <v>0.68566922329176905</v>
      </c>
      <c r="GP145" s="102">
        <f>$GG145*EH145*'Feedstock Conversion Rates'!B$9</f>
        <v>3.2916014814351198E-2</v>
      </c>
      <c r="GQ145" s="102">
        <f t="shared" si="87"/>
        <v>14.738665028060259</v>
      </c>
      <c r="GR145" s="85">
        <f t="shared" si="53"/>
        <v>8.3522645969952123</v>
      </c>
      <c r="GT145" s="103">
        <f t="shared" ref="GT145:HA165" si="94">(GI145+FB145+EK145)/SUM($ES145,$FJ145,$GQ145)</f>
        <v>0.10919101514549188</v>
      </c>
      <c r="GU145" s="103">
        <f t="shared" si="94"/>
        <v>0.29937576989567111</v>
      </c>
      <c r="GV145" s="103">
        <f t="shared" si="94"/>
        <v>0.22716388990851244</v>
      </c>
      <c r="GW145" s="103">
        <f t="shared" si="94"/>
        <v>0</v>
      </c>
      <c r="GX145" s="103">
        <f t="shared" si="94"/>
        <v>0.13450311896616698</v>
      </c>
      <c r="GY145" s="103">
        <f t="shared" si="69"/>
        <v>0.18101109585280087</v>
      </c>
      <c r="GZ145" s="103">
        <f t="shared" si="69"/>
        <v>4.6521799768592019E-2</v>
      </c>
      <c r="HA145" s="103">
        <f t="shared" si="69"/>
        <v>2.2333104627647029E-3</v>
      </c>
    </row>
    <row r="146" spans="1:209" x14ac:dyDescent="0.25">
      <c r="A146" s="96">
        <v>44866</v>
      </c>
      <c r="B146" s="104">
        <f>55+120+49+5+10+21-40-12.5-2+6+25+14-5-1-4-1-6-9-4+20-20+40+20-10+20+17.5+32.5+50-10-48-20-12+22.5+3.75+3+4-50-12.5-30-10+10-1.5+12-26-50-15+10-7.5-3-1-12.5-1-1+10-50-40+10+25-75-10-0.5-3.5+53+20+12.5</f>
        <v>96.25</v>
      </c>
      <c r="C146" s="105"/>
      <c r="D146" s="104">
        <f t="shared" ref="D146:D209" si="95">1+0.5</f>
        <v>1.5</v>
      </c>
      <c r="E146" s="104">
        <f>('Renewable Diesel'!B155*E$3*'Feedstock Conversion Rates'!$B$2)/12-30-21-14+5+1+9-32.5+30-20+12-4+12.5+1.5+26+10+3+1-10+40-25+10</f>
        <v>94.429999999999993</v>
      </c>
      <c r="F146" s="104">
        <f>('Renewable Diesel'!B155*'RD Feedstock Breakdown'!F$3*'Feedstock Conversion Rates'!B$8)/12+28.5-49-5+2-6+1+6+20-20-3.75+10+1+5-20-12.5-10</f>
        <v>1.15625</v>
      </c>
      <c r="G146" s="104">
        <f>('Renewable Diesel'!B155*'RD Feedstock Breakdown'!G$3*'Feedstock Conversion Rates'!B$7)/12-25-15-25+4+4-20-40-20+10-17.5+20+50-12+7.5+50-75+16-53</f>
        <v>35.157000000000011</v>
      </c>
      <c r="H146" s="104">
        <f>('Renewable Diesel'!B155*'RD Feedstock Breakdown'!H$3*'Feedstock Conversion Rates'!B$3)/12+11.5-120-10-5-50+48-22.5-3+30+50+15-10+12.5+75+75-5</f>
        <v>267.90022499999998</v>
      </c>
      <c r="I146" s="106">
        <f t="shared" si="52"/>
        <v>496.39347499999997</v>
      </c>
      <c r="J146" s="104">
        <v>10</v>
      </c>
      <c r="K146" s="105"/>
      <c r="L146" s="104">
        <v>1</v>
      </c>
      <c r="M146" s="104">
        <f>('Renewable Diesel'!C155*'RD Feedstock Breakdown'!M$3*'Feedstock Conversion Rates'!B$2)/12-0.25</f>
        <v>43.508000000000003</v>
      </c>
      <c r="N146" s="104">
        <f>('Renewable Diesel'!C155*'RD Feedstock Breakdown'!N$3*'Feedstock Conversion Rates'!B$8)/12-0.25-10</f>
        <v>10.375000000000004</v>
      </c>
      <c r="O146" s="104">
        <f>('Renewable Diesel'!C155*'RD Feedstock Breakdown'!O$3*'Feedstock Conversion Rates'!B$7)/12-0.25</f>
        <v>67.149199999999993</v>
      </c>
      <c r="P146" s="104">
        <f>('Renewable Diesel'!C155*'RD Feedstock Breakdown'!P$3*'Feedstock Conversion Rates'!B$3)/12-0.25</f>
        <v>58.431260000000002</v>
      </c>
      <c r="Q146" s="106">
        <f t="shared" si="92"/>
        <v>190.46346</v>
      </c>
      <c r="R146" s="104">
        <f>('Renewable Diesel'!D155*'RD Feedstock Breakdown'!R$3*'Feedstock Conversion Rates'!B$7)/12</f>
        <v>2.2999999999999998</v>
      </c>
      <c r="S146" s="106">
        <f t="shared" si="67"/>
        <v>2.2999999999999998</v>
      </c>
      <c r="T146" s="105"/>
      <c r="U146" s="104">
        <v>32</v>
      </c>
      <c r="V146" s="104">
        <f>('Renewable Diesel'!E155*'RD Feedstock Breakdown'!V$3*'Feedstock Conversion Rates'!B$6)/12-15-10-5+30-35+10+11-22</f>
        <v>8.2501500000000121</v>
      </c>
      <c r="W146" s="104">
        <f>('Renewable Diesel'!E155*'RD Feedstock Breakdown'!W$3*'Feedstock Conversion Rates'!B$8)/12+3+11-10</f>
        <v>26.1796875</v>
      </c>
      <c r="X146" s="106">
        <f t="shared" si="88"/>
        <v>66.429837500000019</v>
      </c>
      <c r="Y146" s="104">
        <f>12.5+15+1+8-20+27.5-5-39+19-19+25-25+7.5-7.5+30</f>
        <v>30</v>
      </c>
      <c r="Z146" s="104">
        <f>('Renewable Diesel'!F155*'RD Feedstock Breakdown'!Z$3*'Feedstock Conversion Rates'!B$6)/12+5-15-1-8+20-27.5+5+19-25+25-7.5+7.5-30</f>
        <v>12.055000000000007</v>
      </c>
      <c r="AA146" s="104">
        <f>('Renewable Diesel'!F155*'RD Feedstock Breakdown'!AA$3*'Feedstock Conversion Rates'!B$7)/12-17.5+2+37-19</f>
        <v>31.633333333333326</v>
      </c>
      <c r="AB146" s="106">
        <f t="shared" si="62"/>
        <v>73.688333333333333</v>
      </c>
      <c r="AC146" s="105"/>
      <c r="AD146" s="104">
        <f>('Renewable Diesel'!G155*'RD Feedstock Breakdown'!AD$3*'Feedstock Conversion Rates'!B$4)/12</f>
        <v>0</v>
      </c>
      <c r="AE146" s="104">
        <f>('Renewable Diesel'!G155*'RD Feedstock Breakdown'!AE$3*'Feedstock Conversion Rates'!B$6)/12</f>
        <v>0</v>
      </c>
      <c r="AF146" s="106">
        <f t="shared" si="80"/>
        <v>0</v>
      </c>
      <c r="AG146" s="105"/>
      <c r="AH146" s="104">
        <v>0</v>
      </c>
      <c r="AI146" s="104">
        <f>('Renewable Diesel'!H155*'RD Feedstock Breakdown'!AI$3*'Feedstock Conversion Rates'!B$6)/12</f>
        <v>58.625000000000007</v>
      </c>
      <c r="AJ146" s="106">
        <f t="shared" si="65"/>
        <v>58.625000000000007</v>
      </c>
      <c r="AK146" s="104">
        <f>('Renewable Diesel'!J155*'RD Feedstock Breakdown'!AK$3*'Feedstock Conversion Rates'!B$4)/12</f>
        <v>95.8125</v>
      </c>
      <c r="AL146" s="106">
        <f t="shared" si="68"/>
        <v>95.8125</v>
      </c>
      <c r="AM146" s="104">
        <f>('Renewable Diesel'!K155*'RD Feedstock Breakdown'!AM$3*'Feedstock Conversion Rates'!B$4)/12</f>
        <v>23.4375</v>
      </c>
      <c r="AN146" s="104">
        <f>('Renewable Diesel'!K155*'RD Feedstock Breakdown'!AN$3*'Feedstock Conversion Rates'!B$6)/12</f>
        <v>9.7708333333333339</v>
      </c>
      <c r="AO146" s="106">
        <f t="shared" si="81"/>
        <v>33.208333333333336</v>
      </c>
      <c r="AP146" s="104">
        <f>('Renewable Diesel'!L155*'RD Feedstock Breakdown'!AP$3*'Feedstock Conversion Rates'!B$4)/12+15-7.5-25+10</f>
        <v>51.09375</v>
      </c>
      <c r="AQ146" s="104">
        <f>('Renewable Diesel'!L155*'RD Feedstock Breakdown'!AQ$3*'Feedstock Conversion Rates'!B$6)/12-15+7.55+25-10</f>
        <v>31.977083333333333</v>
      </c>
      <c r="AR146" s="106">
        <f t="shared" si="70"/>
        <v>83.070833333333326</v>
      </c>
      <c r="AS146" s="104"/>
      <c r="AT146" s="105"/>
      <c r="AU146" s="106"/>
      <c r="AV146" s="104">
        <f>'Renewable Diesel'!N155*'RD Feedstock Breakdown'!$AV$3*'Feedstock Conversion Rates'!$B$4/12+25-22-81.5+100</f>
        <v>100.24999999999999</v>
      </c>
      <c r="AW146" s="104">
        <f>'Renewable Diesel'!N155*'RD Feedstock Breakdown'!$AW$3*'Feedstock Conversion Rates'!$B$7/12-25+22+81.5-100</f>
        <v>19.900000000000006</v>
      </c>
      <c r="AX146" s="106">
        <f t="shared" si="63"/>
        <v>120.14999999999999</v>
      </c>
      <c r="AY146" s="104">
        <f>('Renewable Diesel'!O155*'RD Feedstock Breakdown'!AY$3*'Feedstock Conversion Rates'!B$4)/12+5-50</f>
        <v>22.5</v>
      </c>
      <c r="AZ146" s="104">
        <f>('Renewable Diesel'!O155*'RD Feedstock Breakdown'!AZ$3*'Feedstock Conversion Rates'!B$3)/12-5+50</f>
        <v>53.01</v>
      </c>
      <c r="BA146" s="106">
        <f t="shared" si="66"/>
        <v>75.509999999999991</v>
      </c>
      <c r="BB146" s="104">
        <f>('Renewable Diesel'!Q155*'RD Feedstock Breakdown'!BB$3*'Feedstock Conversion Rates'!B$4)/12</f>
        <v>0</v>
      </c>
      <c r="BC146" s="104">
        <f>('Renewable Diesel'!Q155*'RD Feedstock Breakdown'!BC$3*'Feedstock Conversion Rates'!B$3)/12</f>
        <v>0</v>
      </c>
      <c r="BD146" s="104">
        <f>('Renewable Diesel'!Q155*'RD Feedstock Breakdown'!BD$3*'Feedstock Conversion Rates'!B$6)/12</f>
        <v>0</v>
      </c>
      <c r="BE146" s="106">
        <f t="shared" si="90"/>
        <v>0</v>
      </c>
      <c r="BF146" s="104">
        <f>('Renewable Diesel'!R155*'RD Feedstock Breakdown'!BF$3*'Feedstock Conversion Rates'!B$4)/12</f>
        <v>62.5</v>
      </c>
      <c r="BG146" s="106">
        <f t="shared" si="72"/>
        <v>62.5</v>
      </c>
      <c r="BH146" s="104">
        <f>('Renewable Diesel'!T155*'RD Feedstock Breakdown'!BH$3*'Feedstock Conversion Rates'!B$7)/12</f>
        <v>0</v>
      </c>
      <c r="BI146" s="106">
        <f t="shared" si="64"/>
        <v>0</v>
      </c>
      <c r="BJ146" s="104">
        <f>('Renewable Diesel'!W155*'RD Feedstock Breakdown'!BJ$3*'Feedstock Conversion Rates'!B$4)/12-7.5</f>
        <v>0</v>
      </c>
      <c r="BK146" s="104">
        <f>('Renewable Diesel'!W155*'RD Feedstock Breakdown'!BK$3*'Feedstock Conversion Rates'!B$3)/12</f>
        <v>1.335</v>
      </c>
      <c r="BL146" s="104">
        <f>('Renewable Diesel'!W155*'RD Feedstock Breakdown'!BL$3*'Feedstock Conversion Rates'!B$6)/12</f>
        <v>3.1266666666666669</v>
      </c>
      <c r="BM146" s="104">
        <f>('Renewable Diesel'!W155*'RD Feedstock Breakdown'!BM$3*'Feedstock Conversion Rates'!B$7)/12+7.5</f>
        <v>9.0333333333333332</v>
      </c>
      <c r="BN146" s="106">
        <f t="shared" si="54"/>
        <v>13.495000000000001</v>
      </c>
      <c r="BO146" s="106"/>
      <c r="BP146" s="106"/>
      <c r="BQ146" s="104"/>
      <c r="BR146" s="104"/>
      <c r="BS146" s="106"/>
      <c r="BT146" s="104"/>
      <c r="BU146" s="104">
        <f>('Renewable Diesel'!Y155*'Feedstock Conversion Rates'!B$7)/12</f>
        <v>0</v>
      </c>
      <c r="BV146" s="106">
        <f t="shared" si="93"/>
        <v>0</v>
      </c>
      <c r="BW146" s="106"/>
      <c r="BX146" s="107"/>
      <c r="BY146" s="106"/>
      <c r="BZ146" s="106"/>
      <c r="CA146" s="106"/>
      <c r="CB146" s="106"/>
      <c r="CC146" s="106"/>
      <c r="CD146" s="106"/>
      <c r="CE146" s="106"/>
      <c r="CF146" s="106"/>
      <c r="CG146" s="104">
        <f>('Renewable Diesel'!AD155*'Feedstock Conversion Rates'!B$4)/12</f>
        <v>0</v>
      </c>
      <c r="CH146" s="106">
        <f t="shared" si="89"/>
        <v>0</v>
      </c>
      <c r="CI146" s="107"/>
      <c r="CJ146" s="106"/>
      <c r="CK146" s="106"/>
      <c r="CL146" s="104">
        <f>(((CL$3*'Renewable Diesel'!$AF155)*'Feedstock Conversion Rates'!$B$3)/12)</f>
        <v>16.6875</v>
      </c>
      <c r="CM146" s="104">
        <f>(((CM$3*'Renewable Diesel'!$AF155)*'Feedstock Conversion Rates'!$B$6)/12)</f>
        <v>9.7708333333333339</v>
      </c>
      <c r="CN146" s="104">
        <f>(((CN$3*'Renewable Diesel'!$AF155)*'Feedstock Conversion Rates'!$B$4)/12)</f>
        <v>7.8125</v>
      </c>
      <c r="CO146" s="106">
        <f t="shared" si="91"/>
        <v>34.270833333333336</v>
      </c>
      <c r="CP146" s="106"/>
      <c r="CQ146" s="106"/>
      <c r="CR146" s="106"/>
      <c r="CS146" s="106"/>
      <c r="CT146" s="104">
        <f>('Renewable Diesel'!AI155*'Feedstock Conversion Rates'!$B$4*'RD Feedstock Breakdown'!$CT$3)/12</f>
        <v>0</v>
      </c>
      <c r="CU146" s="106">
        <f>CT146</f>
        <v>0</v>
      </c>
      <c r="CV146" s="106"/>
      <c r="CW146" s="106"/>
      <c r="CX146" s="106"/>
      <c r="CY146" s="106"/>
      <c r="CZ146" s="106"/>
      <c r="DA146" s="106"/>
      <c r="DB146" s="106"/>
      <c r="DC146" s="106"/>
      <c r="DD146" s="107"/>
      <c r="DE146" s="106"/>
      <c r="DF146" s="106"/>
      <c r="DG146" s="106"/>
      <c r="DH146" s="106"/>
      <c r="DI146" s="106"/>
      <c r="DJ146" s="107"/>
      <c r="DK146" s="106"/>
      <c r="DL146" s="106"/>
      <c r="DM146" s="106"/>
      <c r="DN146" s="106"/>
      <c r="DP146" s="104">
        <f t="shared" si="73"/>
        <v>137.93799999999999</v>
      </c>
      <c r="DQ146" s="104">
        <f t="shared" si="74"/>
        <v>397.36398499999996</v>
      </c>
      <c r="DR146" s="104">
        <f t="shared" si="82"/>
        <v>531.65625</v>
      </c>
      <c r="DS146" s="107"/>
      <c r="DT146" s="104">
        <f t="shared" si="75"/>
        <v>133.5755666666667</v>
      </c>
      <c r="DU146" s="104">
        <f t="shared" si="76"/>
        <v>165.17286666666666</v>
      </c>
      <c r="DV146" s="104">
        <f t="shared" si="83"/>
        <v>37.7109375</v>
      </c>
      <c r="DW146" s="104">
        <f t="shared" si="77"/>
        <v>2.5</v>
      </c>
      <c r="DX146" s="106">
        <f t="shared" si="78"/>
        <v>1405.9176058333333</v>
      </c>
      <c r="DY146" s="109">
        <f t="shared" si="79"/>
        <v>7.815970093361102E-14</v>
      </c>
      <c r="EA146" s="110">
        <f t="shared" si="55"/>
        <v>9.8112435200809395E-2</v>
      </c>
      <c r="EB146" s="110">
        <f t="shared" si="55"/>
        <v>0.28263675150754608</v>
      </c>
      <c r="EC146" s="110">
        <f t="shared" si="55"/>
        <v>0.37815605110433909</v>
      </c>
      <c r="ED146" s="107"/>
      <c r="EE146" s="110">
        <f t="shared" si="56"/>
        <v>9.5009526954100629E-2</v>
      </c>
      <c r="EF146" s="110">
        <f t="shared" si="56"/>
        <v>0.11748403034526572</v>
      </c>
      <c r="EG146" s="111">
        <f t="shared" si="56"/>
        <v>2.6823006798927948E-2</v>
      </c>
      <c r="EH146" s="111">
        <f t="shared" si="84"/>
        <v>1.7781980890111753E-3</v>
      </c>
      <c r="EI146" s="110">
        <f t="shared" si="85"/>
        <v>0.99822180191098875</v>
      </c>
      <c r="EK146" s="112">
        <f>(EA146*'Renewable Diesel'!BF155*'Feedstock Conversion Rates'!B$2)+FB146</f>
        <v>136.63330526811129</v>
      </c>
      <c r="EL146" s="112">
        <f>(EB146*'Renewable Diesel'!BF155*'Feedstock Conversion Rates'!B$3)+FC146</f>
        <v>370.91529516425203</v>
      </c>
      <c r="EM146" s="112">
        <f>(EC146*'Renewable Diesel'!BF155*'Feedstock Conversion Rates'!B$4)+FD146</f>
        <v>464.67136580511425</v>
      </c>
      <c r="EN146" s="107"/>
      <c r="EO146" s="112">
        <f>(EE146*'Renewable Diesel'!BF155*'Feedstock Conversion Rates'!B$6)+FF146</f>
        <v>146.01033169864476</v>
      </c>
      <c r="EP146" s="112">
        <f>(EF146*'Renewable Diesel'!BF155*'Feedstock Conversion Rates'!B$7)+FG146</f>
        <v>177.08438092999711</v>
      </c>
      <c r="EQ146" s="112">
        <f>(EG146*'Renewable Diesel'!BF155*'Feedstock Conversion Rates'!B$8)+FH146</f>
        <v>41.199536434294487</v>
      </c>
      <c r="ER146" s="112">
        <f>(EH146*'Renewable Diesel'!BF155*'Feedstock Conversion Rates'!B$9)+FI146</f>
        <v>2.6948553905506341</v>
      </c>
      <c r="ES146" s="112">
        <f t="shared" si="86"/>
        <v>1339.2090706909644</v>
      </c>
      <c r="ET146" s="91">
        <f>ES146/'Renewable Diesel'!BF155</f>
        <v>8.1740029251340776</v>
      </c>
      <c r="EU146" s="112"/>
      <c r="EW146" s="73">
        <f t="shared" si="58"/>
        <v>464.67136580511425</v>
      </c>
      <c r="EX146" s="73">
        <f t="shared" si="59"/>
        <v>874.5377048858503</v>
      </c>
      <c r="EY146" s="92">
        <f t="shared" si="71"/>
        <v>0.34697447618493749</v>
      </c>
      <c r="EZ146" s="92">
        <f t="shared" si="71"/>
        <v>0.65302552381506263</v>
      </c>
      <c r="FB146" s="102">
        <f>IF('Renewable Diesel'!$BG155&lt;1,0,(((('Renewable Diesel'!$BG155-1)*'Renewable Diesel'!$BF155)*'RD Feedstock Breakdown'!EA146)*'Feedstock Conversion Rates'!$B$2))</f>
        <v>0</v>
      </c>
      <c r="FC146" s="102">
        <f>IF('Renewable Diesel'!$BG155&lt;1,0,(((('Renewable Diesel'!$BG155-1)*'Renewable Diesel'!$BF155)*'RD Feedstock Breakdown'!EB146)*'Feedstock Conversion Rates'!$B$3))</f>
        <v>0</v>
      </c>
      <c r="FD146" s="102">
        <f>IF('Renewable Diesel'!$BG155&lt;1,0,(((('Renewable Diesel'!$BG155-1)*'Renewable Diesel'!$BF155)*'RD Feedstock Breakdown'!EC146)*'Feedstock Conversion Rates'!$B$4))</f>
        <v>0</v>
      </c>
      <c r="FE146" s="107"/>
      <c r="FF146" s="102">
        <f>IF('Renewable Diesel'!$BG155&lt;1,0,(((('Renewable Diesel'!$BG155-1)*'Renewable Diesel'!$BF155)*'RD Feedstock Breakdown'!EE146)*'Feedstock Conversion Rates'!$B$6))</f>
        <v>0</v>
      </c>
      <c r="FG146" s="102">
        <f>IF('Renewable Diesel'!$BG155&lt;1,0,(((('Renewable Diesel'!$BG155-1)*'Renewable Diesel'!$BF155)*'RD Feedstock Breakdown'!EF146)*'Feedstock Conversion Rates'!$B$7))</f>
        <v>0</v>
      </c>
      <c r="FH146" s="102">
        <f>IF('Renewable Diesel'!$BG155&lt;1,0,(((('Renewable Diesel'!$BG155-1)*'Renewable Diesel'!$BF155)*'RD Feedstock Breakdown'!EG146)*'Feedstock Conversion Rates'!$B$8))</f>
        <v>0</v>
      </c>
      <c r="FI146" s="102">
        <f>IF('Renewable Diesel'!$BG155&lt;1,0,(((('Renewable Diesel'!$BG155-1)*'Renewable Diesel'!$BF155)*'RD Feedstock Breakdown'!EH146)*'Feedstock Conversion Rates'!$B$9))</f>
        <v>0</v>
      </c>
      <c r="FJ146" s="102">
        <f t="shared" si="60"/>
        <v>0</v>
      </c>
      <c r="FL146" s="3">
        <f>('Renewable Diesel'!AX155/12*$FO$80)*'RD Feedstock Breakdown'!EC146*7.5</f>
        <v>586.02370544575547</v>
      </c>
      <c r="FM146" s="3">
        <f t="shared" ref="FM146:FM209" si="96">FL146-EM146</f>
        <v>121.35233964064122</v>
      </c>
      <c r="FR146" s="3">
        <f>('Renewable Diesel'!AX155-'Renewable Diesel'!BI155)/12*$FO$80</f>
        <v>124.62618749999999</v>
      </c>
      <c r="FS146" s="100">
        <f t="shared" ref="FS146:FS209" si="97">EC146</f>
        <v>0.37815605110433909</v>
      </c>
      <c r="FT146" s="3">
        <f t="shared" ref="FT146:FT209" si="98">FR146*FS146*7.5</f>
        <v>353.46110196891703</v>
      </c>
      <c r="FY146" s="3">
        <f>'Renewable Diesel'!BF155*('Renewable Diesel'!BI155/'Renewable Diesel'!AX155)</f>
        <v>65.018701197061716</v>
      </c>
      <c r="FZ146" s="3">
        <f>('Renewable Diesel'!BJ155*'Renewable Diesel'!BG155)/12</f>
        <v>96.959409282452881</v>
      </c>
      <c r="GA146" s="3">
        <f t="shared" si="51"/>
        <v>274.99340498746335</v>
      </c>
      <c r="GD146" s="91">
        <f>'Renewable Diesel'!BB155*0</f>
        <v>0</v>
      </c>
      <c r="GE146" s="91">
        <f>'Renewable Diesel'!BC155</f>
        <v>0.152226</v>
      </c>
      <c r="GF146" s="91">
        <f>'Renewable Diesel'!BD155</f>
        <v>0</v>
      </c>
      <c r="GG146" s="91">
        <f t="shared" si="49"/>
        <v>0.152226</v>
      </c>
      <c r="GH146" s="124">
        <v>1</v>
      </c>
      <c r="GI146" s="102">
        <f>$GG146*EA146*'Feedstock Conversion Rates'!$B$2</f>
        <v>0.1269497402674665</v>
      </c>
      <c r="GJ146" s="102">
        <f>$GG146*EB146*'Feedstock Conversion Rates'!$B$3</f>
        <v>0.34462754370125154</v>
      </c>
      <c r="GK146" s="102">
        <f>$GG146*EC146*'Feedstock Conversion Rates'!$B$4</f>
        <v>0.43173887276556838</v>
      </c>
      <c r="GL146" s="102">
        <f>$GG146*ED146*'Feedstock Conversion Rates'!$B$5</f>
        <v>0</v>
      </c>
      <c r="GM146" s="102">
        <f>$GG146*EE146*'Feedstock Conversion Rates'!$B$6</f>
        <v>0.13566219194607798</v>
      </c>
      <c r="GN146" s="102">
        <f>$GG146*EF146*'Feedstock Conversion Rates'!$B$7</f>
        <v>0.16453394083071346</v>
      </c>
      <c r="GO146" s="102">
        <f>$GG146*EG146*'Feedstock Conversion Rates'!$B$8</f>
        <v>3.8279615934127556E-2</v>
      </c>
      <c r="GP146" s="102">
        <f>$GG146*EH146*'Feedstock Conversion Rates'!B$9</f>
        <v>2.5038638362547905E-3</v>
      </c>
      <c r="GQ146" s="102">
        <f t="shared" si="87"/>
        <v>1.2442957692814602</v>
      </c>
      <c r="GR146" s="85">
        <f t="shared" si="53"/>
        <v>8.1740029251340793</v>
      </c>
      <c r="GT146" s="103">
        <f t="shared" si="94"/>
        <v>0.10202537322840516</v>
      </c>
      <c r="GU146" s="103">
        <f t="shared" si="94"/>
        <v>0.27696593704587025</v>
      </c>
      <c r="GV146" s="103">
        <f t="shared" si="94"/>
        <v>0.34697447618493743</v>
      </c>
      <c r="GW146" s="103">
        <f t="shared" si="94"/>
        <v>0</v>
      </c>
      <c r="GX146" s="103">
        <f t="shared" si="94"/>
        <v>0.10902728699657835</v>
      </c>
      <c r="GY146" s="103">
        <f t="shared" si="69"/>
        <v>0.13223057161540169</v>
      </c>
      <c r="GZ146" s="103">
        <f t="shared" si="69"/>
        <v>3.0764081080363055E-2</v>
      </c>
      <c r="HA146" s="103">
        <f t="shared" si="69"/>
        <v>2.0122738484441602E-3</v>
      </c>
    </row>
    <row r="147" spans="1:209" x14ac:dyDescent="0.25">
      <c r="A147" s="96">
        <v>44896</v>
      </c>
      <c r="B147" s="104">
        <f>55+120+49+5+10+21-40-12.5-2+6+25+14-5-1-4-1-6-9-4+20-20+40+20-10+20+17.5+32.5+50-10-48-20-12+22.5+3.75+3+4-50-12.5-30-10+10-1.5+12-26-50-15+10-7.5-3-1-12.5-1-1+10-150-4-0.5+110+20+20+15-25+15-50+20+50</f>
        <v>175.25</v>
      </c>
      <c r="C147" s="104">
        <f>12.5+15+5-10-22.5+25-15</f>
        <v>10</v>
      </c>
      <c r="D147" s="104">
        <f t="shared" si="95"/>
        <v>1.5</v>
      </c>
      <c r="E147" s="104">
        <f>('Renewable Diesel'!B156*E$3*'Feedstock Conversion Rates'!$B$2)/12-30-21-14+5+1+9-32.5+30-20+12-4+12.5+1.5+26+3+1-10+50+4-15</f>
        <v>98.429999999999993</v>
      </c>
      <c r="F147" s="104">
        <f>('Renewable Diesel'!B156*'RD Feedstock Breakdown'!F$3*'Feedstock Conversion Rates'!B$8)/12+28.5-49-5+2-6+1+6+20-20-3.75+10+1+5-20-20</f>
        <v>3.65625</v>
      </c>
      <c r="G147" s="104">
        <f>('Renewable Diesel'!B156*'RD Feedstock Breakdown'!G$3*'Feedstock Conversion Rates'!B$7)/12-25-15-25+4+4-20-40-20+10-17.5+20+50-12+7.5+150-50-75+22.5-110-20</f>
        <v>14.657000000000011</v>
      </c>
      <c r="H147" s="104">
        <f>('Renewable Diesel'!B156*'RD Feedstock Breakdown'!H$3*'Feedstock Conversion Rates'!B$3)/12+11.5-120-10-5-50+48-22.5-3+30+50+15-10+12.5+75-5</f>
        <v>192.90022499999998</v>
      </c>
      <c r="I147" s="106">
        <f>SUM(B147:H147)</f>
        <v>496.39347499999997</v>
      </c>
      <c r="J147" s="106"/>
      <c r="K147" s="104">
        <v>44</v>
      </c>
      <c r="L147" s="104">
        <v>1</v>
      </c>
      <c r="M147" s="104">
        <f>('Renewable Diesel'!C156*'RD Feedstock Breakdown'!M$3*'Feedstock Conversion Rates'!B$2)/12-0.25-7</f>
        <v>52.420000000000009</v>
      </c>
      <c r="N147" s="104">
        <f>('Renewable Diesel'!C156*'RD Feedstock Breakdown'!N$3*'Feedstock Conversion Rates'!B$8)/12-0.25-10-9</f>
        <v>8.875</v>
      </c>
      <c r="O147" s="104">
        <f>('Renewable Diesel'!C156*'RD Feedstock Breakdown'!O$3*'Feedstock Conversion Rates'!B$7)/12-0.25-9</f>
        <v>82.658000000000001</v>
      </c>
      <c r="P147" s="104">
        <f>('Renewable Diesel'!C156*'RD Feedstock Breakdown'!P$3*'Feedstock Conversion Rates'!B$3)/12-0.25-9</f>
        <v>70.769900000000007</v>
      </c>
      <c r="Q147" s="106">
        <f t="shared" si="92"/>
        <v>259.72290000000004</v>
      </c>
      <c r="R147" s="104">
        <f>('Renewable Diesel'!D156*'RD Feedstock Breakdown'!R$3*'Feedstock Conversion Rates'!B$7)/12</f>
        <v>2.2999999999999998</v>
      </c>
      <c r="S147" s="106">
        <f t="shared" si="67"/>
        <v>2.2999999999999998</v>
      </c>
      <c r="T147" s="104">
        <v>32</v>
      </c>
      <c r="U147" s="104">
        <v>0</v>
      </c>
      <c r="V147" s="104">
        <f>('Renewable Diesel'!E156*'RD Feedstock Breakdown'!V$3*'Feedstock Conversion Rates'!B$6)/12-15-10-5+30-35+10</f>
        <v>19.250150000000012</v>
      </c>
      <c r="W147" s="104">
        <f>('Renewable Diesel'!E156*'RD Feedstock Breakdown'!W$3*'Feedstock Conversion Rates'!B$8)/12+3-10</f>
        <v>15.1796875</v>
      </c>
      <c r="X147" s="106">
        <f t="shared" si="88"/>
        <v>66.429837500000019</v>
      </c>
      <c r="Y147" s="104">
        <f>12.5+15+1+8-20+27.5-5-39+19-19+25-25+7.5-7.5+20-20+15</f>
        <v>15</v>
      </c>
      <c r="Z147" s="104">
        <f>('Renewable Diesel'!F156*'RD Feedstock Breakdown'!Z$3*'Feedstock Conversion Rates'!B$6)/12+5-15-1-8+20-27.5+5+19-25+25-7.5+7.5-15</f>
        <v>27.055000000000007</v>
      </c>
      <c r="AA147" s="104">
        <f>('Renewable Diesel'!F156*'RD Feedstock Breakdown'!AA$3*'Feedstock Conversion Rates'!B$7)/12-17.5+2+37-19-20+20</f>
        <v>31.633333333333326</v>
      </c>
      <c r="AB147" s="106">
        <f t="shared" si="62"/>
        <v>73.688333333333333</v>
      </c>
      <c r="AC147" s="104">
        <f>('Renewable Diesel'!G156*'RD Feedstock Breakdown'!AC$3*'Feedstock Conversion Rates'!B$5)/12</f>
        <v>0</v>
      </c>
      <c r="AD147" s="104">
        <f>('Renewable Diesel'!G156*'RD Feedstock Breakdown'!AD$3*'Feedstock Conversion Rates'!B$4)/12</f>
        <v>0</v>
      </c>
      <c r="AE147" s="104">
        <f>('Renewable Diesel'!G156*'RD Feedstock Breakdown'!AE$3*'Feedstock Conversion Rates'!B$6)/12</f>
        <v>0</v>
      </c>
      <c r="AF147" s="106">
        <f t="shared" si="80"/>
        <v>0</v>
      </c>
      <c r="AG147" s="104"/>
      <c r="AH147" s="104">
        <v>0</v>
      </c>
      <c r="AI147" s="104">
        <f>('Renewable Diesel'!H156*'RD Feedstock Breakdown'!AI$3*'Feedstock Conversion Rates'!B$6)/12</f>
        <v>58.625000000000007</v>
      </c>
      <c r="AJ147" s="106">
        <f t="shared" si="65"/>
        <v>58.625000000000007</v>
      </c>
      <c r="AK147" s="104">
        <f>('Renewable Diesel'!J156*'RD Feedstock Breakdown'!AK$3*'Feedstock Conversion Rates'!B$4)/12</f>
        <v>95.8125</v>
      </c>
      <c r="AL147" s="106">
        <f t="shared" si="68"/>
        <v>95.8125</v>
      </c>
      <c r="AM147" s="104">
        <f>('Renewable Diesel'!K156*'RD Feedstock Breakdown'!AM$3*'Feedstock Conversion Rates'!B$4)/12</f>
        <v>58.59375</v>
      </c>
      <c r="AN147" s="104">
        <f>('Renewable Diesel'!K156*'RD Feedstock Breakdown'!AN$3*'Feedstock Conversion Rates'!B$6)/12</f>
        <v>24.427083333333332</v>
      </c>
      <c r="AO147" s="106">
        <f t="shared" si="81"/>
        <v>83.020833333333329</v>
      </c>
      <c r="AP147" s="104">
        <f>('Renewable Diesel'!L156*'RD Feedstock Breakdown'!AP$3*'Feedstock Conversion Rates'!B$4)/12+15-7.5-25+10</f>
        <v>51.09375</v>
      </c>
      <c r="AQ147" s="104">
        <f>('Renewable Diesel'!L156*'RD Feedstock Breakdown'!AQ$3*'Feedstock Conversion Rates'!B$6)/12-15+7.55+25-10</f>
        <v>31.977083333333333</v>
      </c>
      <c r="AR147" s="106">
        <f t="shared" si="70"/>
        <v>83.070833333333326</v>
      </c>
      <c r="AS147" s="104"/>
      <c r="AT147" s="104"/>
      <c r="AU147" s="106"/>
      <c r="AV147" s="104">
        <f>'Renewable Diesel'!N156*'RD Feedstock Breakdown'!$AV$3*'Feedstock Conversion Rates'!$B$4/12+25-22+20-101.5+50</f>
        <v>50.249999999999986</v>
      </c>
      <c r="AW147" s="104">
        <f>'Renewable Diesel'!N156*'RD Feedstock Breakdown'!$AW$3*'Feedstock Conversion Rates'!$B$7/12-25+22-20+101.5-50</f>
        <v>69.900000000000006</v>
      </c>
      <c r="AX147" s="106">
        <f t="shared" si="63"/>
        <v>120.14999999999999</v>
      </c>
      <c r="AY147" s="104">
        <f>('Renewable Diesel'!O156*'RD Feedstock Breakdown'!AY$3*'Feedstock Conversion Rates'!B$4)/12+5-50</f>
        <v>22.5</v>
      </c>
      <c r="AZ147" s="104">
        <f>('Renewable Diesel'!O156*'RD Feedstock Breakdown'!AZ$3*'Feedstock Conversion Rates'!B$3)/12-5+50</f>
        <v>53.01</v>
      </c>
      <c r="BA147" s="106">
        <f t="shared" si="66"/>
        <v>75.509999999999991</v>
      </c>
      <c r="BB147" s="104">
        <f>('Renewable Diesel'!Q156*'RD Feedstock Breakdown'!BB$3*'Feedstock Conversion Rates'!B$4)/12</f>
        <v>0</v>
      </c>
      <c r="BC147" s="104">
        <f>('Renewable Diesel'!Q156*'RD Feedstock Breakdown'!BC$3*'Feedstock Conversion Rates'!B$3)/12</f>
        <v>0</v>
      </c>
      <c r="BD147" s="104">
        <f>('Renewable Diesel'!Q156*'RD Feedstock Breakdown'!BD$3*'Feedstock Conversion Rates'!B$6)/12</f>
        <v>0</v>
      </c>
      <c r="BE147" s="106">
        <f t="shared" si="90"/>
        <v>0</v>
      </c>
      <c r="BF147" s="104">
        <f>('Renewable Diesel'!R156*'RD Feedstock Breakdown'!BF$3*'Feedstock Conversion Rates'!B$4)/12</f>
        <v>62.5</v>
      </c>
      <c r="BG147" s="106">
        <f t="shared" si="72"/>
        <v>62.5</v>
      </c>
      <c r="BH147" s="104">
        <f>('Renewable Diesel'!T156*'RD Feedstock Breakdown'!BH$3*'Feedstock Conversion Rates'!B$7)/12</f>
        <v>0</v>
      </c>
      <c r="BI147" s="106">
        <f t="shared" si="64"/>
        <v>0</v>
      </c>
      <c r="BJ147" s="104">
        <f>('Renewable Diesel'!W156*'RD Feedstock Breakdown'!BJ$3*'Feedstock Conversion Rates'!B$4)/12-7.5</f>
        <v>0</v>
      </c>
      <c r="BK147" s="104">
        <f>('Renewable Diesel'!W156*'RD Feedstock Breakdown'!BK$3*'Feedstock Conversion Rates'!B$3)/12</f>
        <v>1.335</v>
      </c>
      <c r="BL147" s="104">
        <f>('Renewable Diesel'!W156*'RD Feedstock Breakdown'!BL$3*'Feedstock Conversion Rates'!B$6)/12</f>
        <v>3.1266666666666669</v>
      </c>
      <c r="BM147" s="104">
        <f>('Renewable Diesel'!W156*'RD Feedstock Breakdown'!BM$3*'Feedstock Conversion Rates'!B$7)/12+7.5</f>
        <v>9.0333333333333332</v>
      </c>
      <c r="BN147" s="106">
        <f t="shared" si="54"/>
        <v>13.495000000000001</v>
      </c>
      <c r="BO147" s="106"/>
      <c r="BP147" s="106"/>
      <c r="BQ147" s="104"/>
      <c r="BR147" s="104"/>
      <c r="BS147" s="106"/>
      <c r="BT147" s="104"/>
      <c r="BU147" s="104">
        <f>('Renewable Diesel'!Y156*'Feedstock Conversion Rates'!B$7)/12</f>
        <v>0</v>
      </c>
      <c r="BV147" s="106">
        <f t="shared" si="93"/>
        <v>0</v>
      </c>
      <c r="BW147" s="106"/>
      <c r="BX147" s="106"/>
      <c r="BY147" s="106"/>
      <c r="BZ147" s="106"/>
      <c r="CA147" s="106"/>
      <c r="CB147" s="106"/>
      <c r="CC147" s="106"/>
      <c r="CD147" s="106"/>
      <c r="CE147" s="106"/>
      <c r="CF147" s="106"/>
      <c r="CG147" s="104">
        <f>('Renewable Diesel'!AD156*'Feedstock Conversion Rates'!B$4)/12</f>
        <v>0</v>
      </c>
      <c r="CH147" s="106">
        <f t="shared" si="89"/>
        <v>0</v>
      </c>
      <c r="CI147" s="106"/>
      <c r="CJ147" s="106"/>
      <c r="CK147" s="106"/>
      <c r="CL147" s="104">
        <f>(((CL$3*'Renewable Diesel'!$AF156)*'Feedstock Conversion Rates'!$B$3)/12)</f>
        <v>20.024999999999999</v>
      </c>
      <c r="CM147" s="104">
        <f>(((CM$3*'Renewable Diesel'!$AF156)*'Feedstock Conversion Rates'!$B$6)/12)</f>
        <v>11.725000000000001</v>
      </c>
      <c r="CN147" s="104">
        <f>(((CN$3*'Renewable Diesel'!$AF156)*'Feedstock Conversion Rates'!$B$4)/12)</f>
        <v>9.375</v>
      </c>
      <c r="CO147" s="106">
        <f t="shared" si="91"/>
        <v>41.125</v>
      </c>
      <c r="CP147" s="106"/>
      <c r="CQ147" s="106"/>
      <c r="CR147" s="106"/>
      <c r="CS147" s="106"/>
      <c r="CT147" s="104">
        <f>('Renewable Diesel'!AI156*'Feedstock Conversion Rates'!$B$4*'RD Feedstock Breakdown'!$CT$3)/12</f>
        <v>0</v>
      </c>
      <c r="CU147" s="106">
        <f t="shared" ref="CU147:CU210" si="99">CT147</f>
        <v>0</v>
      </c>
      <c r="CV147" s="106"/>
      <c r="CW147" s="106"/>
      <c r="CX147" s="106"/>
      <c r="CY147" s="106"/>
      <c r="CZ147" s="106"/>
      <c r="DA147" s="106"/>
      <c r="DB147" s="106"/>
      <c r="DC147" s="106"/>
      <c r="DD147" s="106"/>
      <c r="DE147" s="106"/>
      <c r="DF147" s="106"/>
      <c r="DG147" s="106"/>
      <c r="DH147" s="106"/>
      <c r="DI147" s="106"/>
      <c r="DJ147" s="106"/>
      <c r="DK147" s="106"/>
      <c r="DL147" s="106"/>
      <c r="DM147" s="106"/>
      <c r="DN147" s="106"/>
      <c r="DP147" s="104">
        <f t="shared" si="73"/>
        <v>150.85</v>
      </c>
      <c r="DQ147" s="104">
        <f t="shared" si="74"/>
        <v>338.04012499999993</v>
      </c>
      <c r="DR147" s="104">
        <f t="shared" si="82"/>
        <v>540.375</v>
      </c>
      <c r="DS147" s="104">
        <f>AC147+C147+BX147+CI147+DD147+AG147+T147+DJ147+AT147+K147</f>
        <v>86</v>
      </c>
      <c r="DT147" s="104">
        <f t="shared" si="75"/>
        <v>176.18598333333335</v>
      </c>
      <c r="DU147" s="104">
        <f t="shared" si="76"/>
        <v>210.18166666666667</v>
      </c>
      <c r="DV147" s="104">
        <f t="shared" si="83"/>
        <v>27.7109375</v>
      </c>
      <c r="DW147" s="104">
        <f t="shared" si="77"/>
        <v>2.5</v>
      </c>
      <c r="DX147" s="106">
        <f t="shared" si="78"/>
        <v>1531.8437124999998</v>
      </c>
      <c r="DY147" s="109">
        <f t="shared" si="79"/>
        <v>0</v>
      </c>
      <c r="EA147" s="110">
        <f t="shared" si="55"/>
        <v>9.8476103514378605E-2</v>
      </c>
      <c r="EB147" s="110">
        <f t="shared" si="55"/>
        <v>0.22067533537629086</v>
      </c>
      <c r="EC147" s="110">
        <f t="shared" si="55"/>
        <v>0.35276118287426145</v>
      </c>
      <c r="ED147" s="110">
        <f t="shared" si="55"/>
        <v>5.6141497528913224E-2</v>
      </c>
      <c r="EE147" s="110">
        <f t="shared" si="56"/>
        <v>0.1150156389295056</v>
      </c>
      <c r="EF147" s="110">
        <f t="shared" si="56"/>
        <v>0.13720829674173873</v>
      </c>
      <c r="EG147" s="111">
        <f t="shared" si="56"/>
        <v>1.8089924757908358E-2</v>
      </c>
      <c r="EH147" s="111">
        <f t="shared" si="84"/>
        <v>1.6320202770032915E-3</v>
      </c>
      <c r="EI147" s="110">
        <f t="shared" si="85"/>
        <v>0.99836797972299685</v>
      </c>
      <c r="EK147" s="112">
        <f>(EA147*'Renewable Diesel'!BF156*'Feedstock Conversion Rates'!B$2)+FB147</f>
        <v>121.1100739483076</v>
      </c>
      <c r="EL147" s="112">
        <f>(EB147*'Renewable Diesel'!BF156*'Feedstock Conversion Rates'!B$3)+FC147</f>
        <v>255.75068099227789</v>
      </c>
      <c r="EM147" s="112">
        <f>(EC147*'Renewable Diesel'!BF156*'Feedstock Conversion Rates'!B$4)+FD147</f>
        <v>382.80053935434529</v>
      </c>
      <c r="EN147" s="112">
        <f>(ED147*'Renewable Diesel'!BF156*'Feedstock Conversion Rates'!B$5)+FE147</f>
        <v>61.328371397091871</v>
      </c>
      <c r="EO147" s="112">
        <f>(EE147*'Renewable Diesel'!BF156*'Feedstock Conversion Rates'!B$6)+FF147</f>
        <v>156.09544211823717</v>
      </c>
      <c r="EP147" s="112">
        <f>(EF147*'Renewable Diesel'!BF156*'Feedstock Conversion Rates'!B$7)+FG147</f>
        <v>182.64117309498923</v>
      </c>
      <c r="EQ147" s="112">
        <f>(EG147*'Renewable Diesel'!BF156*'Feedstock Conversion Rates'!B$8)+FH147</f>
        <v>24.537963962559687</v>
      </c>
      <c r="ER147" s="112">
        <f>(EH147*'Renewable Diesel'!BF156*'Feedstock Conversion Rates'!B$9)+FI147</f>
        <v>2.1842269960846288</v>
      </c>
      <c r="ES147" s="112">
        <f t="shared" si="86"/>
        <v>1186.4484718638932</v>
      </c>
      <c r="ET147" s="91">
        <f>ES147/'Renewable Diesel'!BF156</f>
        <v>8.200085749486993</v>
      </c>
      <c r="EW147" s="73">
        <f t="shared" si="58"/>
        <v>444.12891075143716</v>
      </c>
      <c r="EX147" s="73">
        <f t="shared" si="59"/>
        <v>742.31956111245609</v>
      </c>
      <c r="EY147" s="92">
        <f t="shared" si="71"/>
        <v>0.37433476571782093</v>
      </c>
      <c r="EZ147" s="92">
        <f t="shared" si="71"/>
        <v>0.62566523428217902</v>
      </c>
      <c r="FB147" s="102">
        <f>IF('Renewable Diesel'!$BG156&lt;1,0,(((('Renewable Diesel'!$BG156-1)*'Renewable Diesel'!$BF156)*'RD Feedstock Breakdown'!EA147)*'Feedstock Conversion Rates'!$B$2))</f>
        <v>0</v>
      </c>
      <c r="FC147" s="102">
        <f>IF('Renewable Diesel'!$BG156&lt;1,0,(((('Renewable Diesel'!$BG156-1)*'Renewable Diesel'!$BF156)*'RD Feedstock Breakdown'!EB147)*'Feedstock Conversion Rates'!$B$3))</f>
        <v>0</v>
      </c>
      <c r="FD147" s="102">
        <f>IF('Renewable Diesel'!$BG156&lt;1,0,(((('Renewable Diesel'!$BG156-1)*'Renewable Diesel'!$BF156)*'RD Feedstock Breakdown'!EC147)*'Feedstock Conversion Rates'!$B$4))</f>
        <v>0</v>
      </c>
      <c r="FE147" s="102">
        <f>IF('Renewable Diesel'!$BG156&lt;1,0,(((('Renewable Diesel'!$BG156-1)*'Renewable Diesel'!$BF156)*'RD Feedstock Breakdown'!ED147)*'Feedstock Conversion Rates'!$B$5))</f>
        <v>0</v>
      </c>
      <c r="FF147" s="102">
        <f>IF('Renewable Diesel'!$BG156&lt;1,0,(((('Renewable Diesel'!$BG156-1)*'Renewable Diesel'!$BF156)*'RD Feedstock Breakdown'!EE147)*'Feedstock Conversion Rates'!$B$6))</f>
        <v>0</v>
      </c>
      <c r="FG147" s="102">
        <f>IF('Renewable Diesel'!$BG156&lt;1,0,(((('Renewable Diesel'!$BG156-1)*'Renewable Diesel'!$BF156)*'RD Feedstock Breakdown'!EF147)*'Feedstock Conversion Rates'!$B$7))</f>
        <v>0</v>
      </c>
      <c r="FH147" s="102">
        <f>IF('Renewable Diesel'!$BG156&lt;1,0,(((('Renewable Diesel'!$BG156-1)*'Renewable Diesel'!$BF156)*'RD Feedstock Breakdown'!EG147)*'Feedstock Conversion Rates'!$B$8))</f>
        <v>0</v>
      </c>
      <c r="FI147" s="102">
        <f>IF('Renewable Diesel'!$BG156&lt;1,0,(((('Renewable Diesel'!$BG156-1)*'Renewable Diesel'!$BF156)*'RD Feedstock Breakdown'!EH147)*'Feedstock Conversion Rates'!$B$9))</f>
        <v>0</v>
      </c>
      <c r="FJ147" s="102">
        <f t="shared" si="60"/>
        <v>0</v>
      </c>
      <c r="FL147" s="3">
        <f>('Renewable Diesel'!AX156/12*$FO$80)*'RD Feedstock Breakdown'!EC147*7.5</f>
        <v>583.18037801294304</v>
      </c>
      <c r="FM147" s="3">
        <f t="shared" si="96"/>
        <v>200.37983865859775</v>
      </c>
      <c r="FR147" s="3">
        <f>('Renewable Diesel'!AX156-'Renewable Diesel'!BI156)/12*$FO$80</f>
        <v>122.82675</v>
      </c>
      <c r="FS147" s="100">
        <f t="shared" si="97"/>
        <v>0.35276118287426145</v>
      </c>
      <c r="FT147" s="3">
        <f t="shared" si="98"/>
        <v>324.96382213950898</v>
      </c>
      <c r="FY147" s="3">
        <f>'Renewable Diesel'!BF156*('Renewable Diesel'!BI156/'Renewable Diesel'!AX156)</f>
        <v>64.0636484844335</v>
      </c>
      <c r="FZ147" s="3">
        <f>('Renewable Diesel'!BJ156*'Renewable Diesel'!BG156)/12</f>
        <v>81.743449800504948</v>
      </c>
      <c r="GA147" s="3">
        <f t="shared" si="51"/>
        <v>216.26937032886701</v>
      </c>
      <c r="GD147" s="91">
        <f>'Renewable Diesel'!BB156*0</f>
        <v>0</v>
      </c>
      <c r="GE147" s="91">
        <f>'Renewable Diesel'!BC156</f>
        <v>0.10055500000000001</v>
      </c>
      <c r="GF147" s="91">
        <f>'Renewable Diesel'!BD156</f>
        <v>0</v>
      </c>
      <c r="GG147" s="91">
        <f t="shared" si="49"/>
        <v>0.10055500000000001</v>
      </c>
      <c r="GH147" s="124">
        <v>1</v>
      </c>
      <c r="GI147" s="102">
        <f>$GG147*EA147*'Feedstock Conversion Rates'!$B$2</f>
        <v>8.4169249005550908E-2</v>
      </c>
      <c r="GJ147" s="102">
        <f>$GG147*EB147*'Feedstock Conversion Rates'!$B$3</f>
        <v>0.17774196687359106</v>
      </c>
      <c r="GK147" s="102">
        <f>$GG147*EC147*'Feedstock Conversion Rates'!$B$4</f>
        <v>0.26603925557941022</v>
      </c>
      <c r="GL147" s="102">
        <f>$GG147*ED147*'Feedstock Conversion Rates'!$B$5</f>
        <v>4.2622077544350011E-2</v>
      </c>
      <c r="GM147" s="102">
        <f>$GG147*EE147*'Feedstock Conversion Rates'!$B$6</f>
        <v>0.10848342923057938</v>
      </c>
      <c r="GN147" s="102">
        <f>$GG147*EF147*'Feedstock Conversion Rates'!$B$7</f>
        <v>0.12693221856556294</v>
      </c>
      <c r="GO147" s="102">
        <f>$GG147*EG147*'Feedstock Conversion Rates'!$B$8</f>
        <v>1.7053428600295076E-2</v>
      </c>
      <c r="GP147" s="102">
        <f>$GG147*EH147*'Feedstock Conversion Rates'!B$9</f>
        <v>1.5179971403251101E-3</v>
      </c>
      <c r="GQ147" s="102">
        <f t="shared" si="87"/>
        <v>0.82455962253966464</v>
      </c>
      <c r="GR147" s="85">
        <f t="shared" si="53"/>
        <v>8.200085749486993</v>
      </c>
      <c r="GT147" s="103">
        <f t="shared" si="94"/>
        <v>0.10207782033554769</v>
      </c>
      <c r="GU147" s="103">
        <f t="shared" si="94"/>
        <v>0.21555987222141834</v>
      </c>
      <c r="GV147" s="103">
        <f t="shared" si="94"/>
        <v>0.32264404938966396</v>
      </c>
      <c r="GW147" s="103">
        <f t="shared" si="94"/>
        <v>5.1690716328156999E-2</v>
      </c>
      <c r="GX147" s="103">
        <f t="shared" si="94"/>
        <v>0.13156529408564496</v>
      </c>
      <c r="GY147" s="103">
        <f t="shared" si="69"/>
        <v>0.15393940607303627</v>
      </c>
      <c r="GZ147" s="103">
        <f t="shared" si="69"/>
        <v>2.0681862334915313E-2</v>
      </c>
      <c r="HA147" s="103">
        <f t="shared" si="69"/>
        <v>1.8409792316165573E-3</v>
      </c>
    </row>
    <row r="148" spans="1:209" x14ac:dyDescent="0.25">
      <c r="A148" s="96">
        <v>44927</v>
      </c>
      <c r="B148" s="104">
        <f>23-20+10+85-5-4-4-1.25+2.25-5+15-6-25-45+65+15-22.5-50+40+16.5+27.5+168+80+14-30+15-50-19+22.5-10+5+11-25-50-12.5-27.5-10+10+2+4-1.5+12-26-15-50-15+10-32.5-3-5-2.5-1+10-50-35-4-0.5-5+20+25+20+15+85-25+25+20-100</f>
        <v>80</v>
      </c>
      <c r="C148" s="104">
        <f>12.5+15+5-10-22.5+25+100</f>
        <v>125</v>
      </c>
      <c r="D148" s="104">
        <f t="shared" si="95"/>
        <v>1.5</v>
      </c>
      <c r="E148" s="104">
        <f>('Renewable Diesel'!B157*E$3*'Feedstock Conversion Rates'!$B$2)/12-40+1.25+6-43+30-15+12.5-4+1.5+26+7+3-10+75+4-15-25</f>
        <v>104.18</v>
      </c>
      <c r="F148" s="104">
        <f>('Renewable Diesel'!B157*'RD Feedstock Breakdown'!F$3*'Feedstock Conversion Rates'!B$8)/12+28.5-49-5+2-6+1+6+20-20-3.75+10+2.5+5-20-20</f>
        <v>5.15625</v>
      </c>
      <c r="G148" s="104">
        <f>('Renewable Diesel'!B157*'RD Feedstock Breakdown'!G$3*'Feedstock Conversion Rates'!B$7)/12-25-15-25+4+4-20-40-20+10-17.5+20+50-12+32.5+35-75-75+22.5+5-20</f>
        <v>14.657000000000011</v>
      </c>
      <c r="H148" s="104">
        <f>('Renewable Diesel'!B157*'RD Feedstock Breakdown'!H$3*'Feedstock Conversion Rates'!B$3)/12-85+4-15+70-65-80+50-22.5-5+25+27.5+15+50+15-10+5+50+75-5-25-85</f>
        <v>165.40022499999998</v>
      </c>
      <c r="I148" s="106">
        <f t="shared" si="52"/>
        <v>495.89347499999997</v>
      </c>
      <c r="J148" s="106"/>
      <c r="K148" s="104">
        <v>96.5</v>
      </c>
      <c r="L148" s="104">
        <v>1</v>
      </c>
      <c r="M148" s="104">
        <f>('Renewable Diesel'!C157*'RD Feedstock Breakdown'!M$3*'Feedstock Conversion Rates'!B$2)/12-0.25-18.75</f>
        <v>40.670000000000009</v>
      </c>
      <c r="N148" s="104">
        <f>('Renewable Diesel'!C157*'RD Feedstock Breakdown'!N$3*'Feedstock Conversion Rates'!B$8)/12-0.25-20</f>
        <v>7.875</v>
      </c>
      <c r="O148" s="104">
        <f>('Renewable Diesel'!C157*'RD Feedstock Breakdown'!O$3*'Feedstock Conversion Rates'!B$7)/12-0.25-37</f>
        <v>54.658000000000001</v>
      </c>
      <c r="P148" s="104">
        <f>('Renewable Diesel'!C157*'RD Feedstock Breakdown'!P$3*'Feedstock Conversion Rates'!B$3)/12-0.25-20.75</f>
        <v>59.019900000000007</v>
      </c>
      <c r="Q148" s="106">
        <f t="shared" si="92"/>
        <v>259.72290000000004</v>
      </c>
      <c r="R148" s="104">
        <f>('Renewable Diesel'!D157*'RD Feedstock Breakdown'!R$3*'Feedstock Conversion Rates'!B$7)/12</f>
        <v>2.2999999999999998</v>
      </c>
      <c r="S148" s="106">
        <f t="shared" si="67"/>
        <v>2.2999999999999998</v>
      </c>
      <c r="T148" s="104">
        <v>32</v>
      </c>
      <c r="U148" s="104">
        <v>0</v>
      </c>
      <c r="V148" s="104">
        <f>('Renewable Diesel'!E157*'RD Feedstock Breakdown'!V$3*'Feedstock Conversion Rates'!B$6)/12-20-5-5+32.5-35+25-15</f>
        <v>21.750150000000012</v>
      </c>
      <c r="W148" s="104">
        <f>('Renewable Diesel'!E157*'RD Feedstock Breakdown'!W$3*'Feedstock Conversion Rates'!B$8)/12-2.5+3-10</f>
        <v>12.6796875</v>
      </c>
      <c r="X148" s="106">
        <f t="shared" si="88"/>
        <v>66.429837500000019</v>
      </c>
      <c r="Y148" s="104">
        <f>30-30+50-20+20-2-35-13+7.5-5-2.5+53-53</f>
        <v>0</v>
      </c>
      <c r="Z148" s="104">
        <f>('Renewable Diesel'!F157*'RD Feedstock Breakdown'!Z$3*'Feedstock Conversion Rates'!B$6)/12-30+20-20-7.5+2.5</f>
        <v>9.5550000000000068</v>
      </c>
      <c r="AA148" s="104">
        <f>('Renewable Diesel'!F157*'RD Feedstock Breakdown'!AA$3*'Feedstock Conversion Rates'!B$7)/12+30-50+2+35+13+5-53+53</f>
        <v>64.133333333333326</v>
      </c>
      <c r="AB148" s="106">
        <f t="shared" si="62"/>
        <v>73.688333333333333</v>
      </c>
      <c r="AC148" s="104">
        <f>('Renewable Diesel'!G157*'RD Feedstock Breakdown'!AC$3*'Feedstock Conversion Rates'!B$5)/12</f>
        <v>0</v>
      </c>
      <c r="AD148" s="104">
        <f>('Renewable Diesel'!G157*'RD Feedstock Breakdown'!AD$3*'Feedstock Conversion Rates'!B$4)/12</f>
        <v>0</v>
      </c>
      <c r="AE148" s="104">
        <f>('Renewable Diesel'!G157*'RD Feedstock Breakdown'!AE$3*'Feedstock Conversion Rates'!B$6)/12</f>
        <v>0</v>
      </c>
      <c r="AF148" s="106">
        <f>SUM(AC148:AE148)</f>
        <v>0</v>
      </c>
      <c r="AG148" s="104">
        <f>26-26+30-25</f>
        <v>5</v>
      </c>
      <c r="AH148" s="104">
        <v>0</v>
      </c>
      <c r="AI148" s="104">
        <f>('Renewable Diesel'!H157*'RD Feedstock Breakdown'!AI$3*'Feedstock Conversion Rates'!B$6)/12-17.5+17.5-26+26-30+25</f>
        <v>53.625000000000007</v>
      </c>
      <c r="AJ148" s="106">
        <f t="shared" si="65"/>
        <v>58.625000000000007</v>
      </c>
      <c r="AK148" s="104">
        <f>('Renewable Diesel'!J157*'RD Feedstock Breakdown'!AK$3*'Feedstock Conversion Rates'!B$4)/12</f>
        <v>95.8125</v>
      </c>
      <c r="AL148" s="106">
        <f t="shared" si="68"/>
        <v>95.8125</v>
      </c>
      <c r="AM148" s="104">
        <f>('Renewable Diesel'!K157*'RD Feedstock Breakdown'!AM$3*'Feedstock Conversion Rates'!B$4)/12</f>
        <v>58.59375</v>
      </c>
      <c r="AN148" s="104">
        <f>('Renewable Diesel'!K157*'RD Feedstock Breakdown'!AN$3*'Feedstock Conversion Rates'!B$6)/12</f>
        <v>24.427083333333332</v>
      </c>
      <c r="AO148" s="106">
        <f t="shared" si="81"/>
        <v>83.020833333333329</v>
      </c>
      <c r="AP148" s="104">
        <f>('Renewable Diesel'!L157*'RD Feedstock Breakdown'!AP$3*'Feedstock Conversion Rates'!B$4)/12+15-5-40+10</f>
        <v>38.59375</v>
      </c>
      <c r="AQ148" s="104">
        <f>('Renewable Diesel'!L157*'RD Feedstock Breakdown'!AQ$3*'Feedstock Conversion Rates'!B$6)/12-15+5+40-10</f>
        <v>44.427083333333329</v>
      </c>
      <c r="AR148" s="106">
        <f t="shared" si="70"/>
        <v>83.020833333333329</v>
      </c>
      <c r="AS148" s="104"/>
      <c r="AT148" s="104"/>
      <c r="AU148" s="106"/>
      <c r="AV148" s="104">
        <f>'Renewable Diesel'!N157*'RD Feedstock Breakdown'!$AV$3*'Feedstock Conversion Rates'!$B$4/12-15-10+25+25-22-75-6.5+50</f>
        <v>50.249999999999986</v>
      </c>
      <c r="AW148" s="104">
        <f>'Renewable Diesel'!N157*'RD Feedstock Breakdown'!$AW$3*'Feedstock Conversion Rates'!$B$7/12+15+10-25-25+22+75+6.5-50</f>
        <v>69.900000000000006</v>
      </c>
      <c r="AX148" s="106">
        <f t="shared" si="63"/>
        <v>120.14999999999999</v>
      </c>
      <c r="AY148" s="104">
        <f>('Renewable Diesel'!O157*'RD Feedstock Breakdown'!AY$3*'Feedstock Conversion Rates'!B$4)/12+5-50</f>
        <v>22.5</v>
      </c>
      <c r="AZ148" s="104">
        <f>('Renewable Diesel'!O157*'RD Feedstock Breakdown'!AZ$3*'Feedstock Conversion Rates'!B$3)/12-5+50</f>
        <v>53.01</v>
      </c>
      <c r="BA148" s="106">
        <f t="shared" si="66"/>
        <v>75.509999999999991</v>
      </c>
      <c r="BB148" s="104">
        <f>('Renewable Diesel'!Q157*'RD Feedstock Breakdown'!BB$3*'Feedstock Conversion Rates'!B$4)/12</f>
        <v>0</v>
      </c>
      <c r="BC148" s="104">
        <f>('Renewable Diesel'!Q157*'RD Feedstock Breakdown'!BC$3*'Feedstock Conversion Rates'!B$3)/12</f>
        <v>0</v>
      </c>
      <c r="BD148" s="104">
        <f>('Renewable Diesel'!Q157*'RD Feedstock Breakdown'!BD$3*'Feedstock Conversion Rates'!B$6)/12</f>
        <v>0</v>
      </c>
      <c r="BE148" s="106">
        <f t="shared" si="90"/>
        <v>0</v>
      </c>
      <c r="BF148" s="104">
        <f>('Renewable Diesel'!R157*'RD Feedstock Breakdown'!BF$3*'Feedstock Conversion Rates'!B$4)/12</f>
        <v>62.5</v>
      </c>
      <c r="BG148" s="106">
        <f t="shared" si="72"/>
        <v>62.5</v>
      </c>
      <c r="BH148" s="104">
        <f>('Renewable Diesel'!T157*'RD Feedstock Breakdown'!BH$3*'Feedstock Conversion Rates'!B$7)/12</f>
        <v>0</v>
      </c>
      <c r="BI148" s="106">
        <f t="shared" si="64"/>
        <v>0</v>
      </c>
      <c r="BJ148" s="104">
        <f>('Renewable Diesel'!W157*'RD Feedstock Breakdown'!BJ$3*'Feedstock Conversion Rates'!B$4)/12-7.5</f>
        <v>0</v>
      </c>
      <c r="BK148" s="104">
        <f>('Renewable Diesel'!W157*'RD Feedstock Breakdown'!BK$3*'Feedstock Conversion Rates'!B$3)/12</f>
        <v>1.335</v>
      </c>
      <c r="BL148" s="104">
        <f>('Renewable Diesel'!W157*'RD Feedstock Breakdown'!BL$3*'Feedstock Conversion Rates'!B$6)/12</f>
        <v>3.1266666666666669</v>
      </c>
      <c r="BM148" s="104">
        <f>('Renewable Diesel'!W157*'RD Feedstock Breakdown'!BM$3*'Feedstock Conversion Rates'!B$7)/12+7.5</f>
        <v>9.0333333333333332</v>
      </c>
      <c r="BN148" s="106">
        <f t="shared" si="54"/>
        <v>13.495000000000001</v>
      </c>
      <c r="BO148" s="104">
        <f>('Renewable Diesel'!P157*'Feedstock Conversion Rates'!B$4)/12</f>
        <v>0</v>
      </c>
      <c r="BP148" s="106">
        <f>BO148</f>
        <v>0</v>
      </c>
      <c r="BQ148" s="104"/>
      <c r="BR148" s="104"/>
      <c r="BS148" s="106"/>
      <c r="BT148" s="106"/>
      <c r="BU148" s="104">
        <f>('Renewable Diesel'!Y157*'Feedstock Conversion Rates'!B$7)/12</f>
        <v>0</v>
      </c>
      <c r="BV148" s="106">
        <f t="shared" si="93"/>
        <v>0</v>
      </c>
      <c r="BW148" s="106"/>
      <c r="BX148" s="106"/>
      <c r="BY148" s="106"/>
      <c r="BZ148" s="106"/>
      <c r="CA148" s="106"/>
      <c r="CB148" s="106"/>
      <c r="CC148" s="106"/>
      <c r="CD148" s="106"/>
      <c r="CE148" s="106"/>
      <c r="CF148" s="106"/>
      <c r="CG148" s="104">
        <f>('Renewable Diesel'!AD157*'Feedstock Conversion Rates'!B$4)/12</f>
        <v>0</v>
      </c>
      <c r="CH148" s="106">
        <f t="shared" si="89"/>
        <v>0</v>
      </c>
      <c r="CI148" s="104">
        <f>('Renewable Diesel'!$AE157*'RD Feedstock Breakdown'!CI$3*'Feedstock Conversion Rates'!$B$5)/12</f>
        <v>0.17302083333333332</v>
      </c>
      <c r="CJ148" s="104">
        <f>('Renewable Diesel'!$AE157*'RD Feedstock Breakdown'!CJ$3*'Feedstock Conversion Rates'!$B$4)/12</f>
        <v>0.171875</v>
      </c>
      <c r="CK148" s="106">
        <f>SUM(CI148:CJ148)</f>
        <v>0.34489583333333329</v>
      </c>
      <c r="CL148" s="104">
        <f>(((CL$3*'Renewable Diesel'!$AF157)*'Feedstock Conversion Rates'!$B$3)/12)</f>
        <v>24.03</v>
      </c>
      <c r="CM148" s="104">
        <f>(((CM$3*'Renewable Diesel'!$AF157)*'Feedstock Conversion Rates'!$B$6)/12)</f>
        <v>14.07</v>
      </c>
      <c r="CN148" s="104">
        <f>(((CN$3*'Renewable Diesel'!$AF157)*'Feedstock Conversion Rates'!$B$4)/12)</f>
        <v>11.25</v>
      </c>
      <c r="CO148" s="106">
        <f t="shared" si="91"/>
        <v>49.35</v>
      </c>
      <c r="CP148" s="106"/>
      <c r="CQ148" s="106"/>
      <c r="CR148" s="106"/>
      <c r="CS148" s="106"/>
      <c r="CT148" s="104">
        <f>('Renewable Diesel'!AI157*'Feedstock Conversion Rates'!$B$4*'RD Feedstock Breakdown'!$CT$3)/12</f>
        <v>0</v>
      </c>
      <c r="CU148" s="106">
        <f t="shared" si="99"/>
        <v>0</v>
      </c>
      <c r="CV148" s="106"/>
      <c r="CW148" s="106"/>
      <c r="CX148" s="106"/>
      <c r="CY148" s="106"/>
      <c r="CZ148" s="106"/>
      <c r="DA148" s="106"/>
      <c r="DB148" s="106"/>
      <c r="DC148" s="106"/>
      <c r="DD148" s="106"/>
      <c r="DE148" s="106"/>
      <c r="DF148" s="106"/>
      <c r="DG148" s="106"/>
      <c r="DH148" s="106"/>
      <c r="DI148" s="106"/>
      <c r="DJ148" s="106"/>
      <c r="DK148" s="106"/>
      <c r="DL148" s="106"/>
      <c r="DM148" s="106"/>
      <c r="DN148" s="106"/>
      <c r="DP148" s="104">
        <f t="shared" si="73"/>
        <v>144.85000000000002</v>
      </c>
      <c r="DQ148" s="104">
        <f t="shared" si="74"/>
        <v>302.79512499999998</v>
      </c>
      <c r="DR148" s="104">
        <f t="shared" si="82"/>
        <v>419.671875</v>
      </c>
      <c r="DS148" s="104">
        <f t="shared" ref="DS148:DS211" si="100">AC148+C148+BX148+CI148+DD148+AG148+T148+DJ148+AT148+K148</f>
        <v>258.67302083333334</v>
      </c>
      <c r="DT148" s="104">
        <f t="shared" si="75"/>
        <v>170.98098333333334</v>
      </c>
      <c r="DU148" s="104">
        <f t="shared" si="76"/>
        <v>214.68166666666667</v>
      </c>
      <c r="DV148" s="104">
        <f t="shared" si="83"/>
        <v>25.7109375</v>
      </c>
      <c r="DW148" s="104">
        <f t="shared" si="77"/>
        <v>2.5</v>
      </c>
      <c r="DX148" s="106">
        <f t="shared" si="78"/>
        <v>1539.8636083333333</v>
      </c>
      <c r="DY148" s="109">
        <f t="shared" si="79"/>
        <v>-1.4210854715202004E-13</v>
      </c>
      <c r="EA148" s="110">
        <f t="shared" si="55"/>
        <v>9.4066772677859428E-2</v>
      </c>
      <c r="EB148" s="110">
        <f t="shared" si="55"/>
        <v>0.19663762645039021</v>
      </c>
      <c r="EC148" s="110">
        <f>DR148/$DX148</f>
        <v>0.27253834218098744</v>
      </c>
      <c r="ED148" s="110">
        <f t="shared" si="55"/>
        <v>0.16798437175439668</v>
      </c>
      <c r="EE148" s="110">
        <f t="shared" si="56"/>
        <v>0.11103644660996573</v>
      </c>
      <c r="EF148" s="110">
        <f t="shared" si="56"/>
        <v>0.13941602717595666</v>
      </c>
      <c r="EG148" s="111">
        <f t="shared" si="56"/>
        <v>1.6696892738330346E-2</v>
      </c>
      <c r="EH148" s="111">
        <f t="shared" si="84"/>
        <v>1.6235204121135556E-3</v>
      </c>
      <c r="EI148" s="110">
        <f t="shared" si="85"/>
        <v>0.99837647958788656</v>
      </c>
      <c r="EK148" s="112">
        <f>(EA148*'Renewable Diesel'!BF157*'Feedstock Conversion Rates'!B$2)+FB148</f>
        <v>115.71408684497509</v>
      </c>
      <c r="EL148" s="112">
        <f>(EB148*'Renewable Diesel'!BF157*'Feedstock Conversion Rates'!B$3)+FC148</f>
        <v>227.94506912853902</v>
      </c>
      <c r="EM148" s="112">
        <f>(EC148*'Renewable Diesel'!BF157*'Feedstock Conversion Rates'!B$4)+FD148</f>
        <v>295.81482541864926</v>
      </c>
      <c r="EN148" s="112">
        <f>(ED148*'Renewable Diesel'!BF157*'Feedstock Conversion Rates'!B$5)+FE148</f>
        <v>183.54683229999458</v>
      </c>
      <c r="EO148" s="112">
        <f>(EE148*'Renewable Diesel'!BF157*'Feedstock Conversion Rates'!B$6)+FF148</f>
        <v>150.72991562312063</v>
      </c>
      <c r="EP148" s="112">
        <f>(EF148*'Renewable Diesel'!BF157*'Feedstock Conversion Rates'!B$7)+FG148</f>
        <v>185.62291684326911</v>
      </c>
      <c r="EQ148" s="112">
        <f>(EG148*'Renewable Diesel'!BF157*'Feedstock Conversion Rates'!B$8)+FH148</f>
        <v>22.653640084626534</v>
      </c>
      <c r="ER148" s="112">
        <f>(EH148*'Renewable Diesel'!BF157*'Feedstock Conversion Rates'!B$9)+FI148</f>
        <v>2.1733543895632792</v>
      </c>
      <c r="ES148" s="112">
        <f t="shared" si="86"/>
        <v>1184.2006406327373</v>
      </c>
      <c r="ET148" s="91">
        <f>ES148/'Renewable Diesel'!BF157</f>
        <v>8.1826547811867076</v>
      </c>
      <c r="EW148" s="73">
        <f t="shared" si="58"/>
        <v>479.36165771864387</v>
      </c>
      <c r="EX148" s="73">
        <f t="shared" si="59"/>
        <v>704.83898291409366</v>
      </c>
      <c r="EY148" s="92">
        <f t="shared" si="71"/>
        <v>0.40479766795474226</v>
      </c>
      <c r="EZ148" s="92">
        <f t="shared" si="71"/>
        <v>0.59520233204525796</v>
      </c>
      <c r="FB148" s="102">
        <f>IF('Renewable Diesel'!$BG157&lt;1,0,(((('Renewable Diesel'!$BG157-1)*'Renewable Diesel'!$BF157)*'RD Feedstock Breakdown'!EA148)*'Feedstock Conversion Rates'!$B$2))</f>
        <v>0</v>
      </c>
      <c r="FC148" s="102">
        <f>IF('Renewable Diesel'!$BG157&lt;1,0,(((('Renewable Diesel'!$BG157-1)*'Renewable Diesel'!$BF157)*'RD Feedstock Breakdown'!EB148)*'Feedstock Conversion Rates'!$B$3))</f>
        <v>0</v>
      </c>
      <c r="FD148" s="102">
        <f>IF('Renewable Diesel'!$BG157&lt;1,0,(((('Renewable Diesel'!$BG157-1)*'Renewable Diesel'!$BF157)*'RD Feedstock Breakdown'!EC148)*'Feedstock Conversion Rates'!$B$4))</f>
        <v>0</v>
      </c>
      <c r="FE148" s="102">
        <f>IF('Renewable Diesel'!$BG157&lt;1,0,(((('Renewable Diesel'!$BG157-1)*'Renewable Diesel'!$BF157)*'RD Feedstock Breakdown'!ED148)*'Feedstock Conversion Rates'!$B$5))</f>
        <v>0</v>
      </c>
      <c r="FF148" s="102">
        <f>IF('Renewable Diesel'!$BG157&lt;1,0,(((('Renewable Diesel'!$BG157-1)*'Renewable Diesel'!$BF157)*'RD Feedstock Breakdown'!EE148)*'Feedstock Conversion Rates'!$B$6))</f>
        <v>0</v>
      </c>
      <c r="FG148" s="102">
        <f>IF('Renewable Diesel'!$BG157&lt;1,0,(((('Renewable Diesel'!$BG157-1)*'Renewable Diesel'!$BF157)*'RD Feedstock Breakdown'!EF148)*'Feedstock Conversion Rates'!$B$7))</f>
        <v>0</v>
      </c>
      <c r="FH148" s="102">
        <f>IF('Renewable Diesel'!$BG157&lt;1,0,(((('Renewable Diesel'!$BG157-1)*'Renewable Diesel'!$BF157)*'RD Feedstock Breakdown'!EG148)*'Feedstock Conversion Rates'!$B$8))</f>
        <v>0</v>
      </c>
      <c r="FI148" s="102">
        <f>IF('Renewable Diesel'!$BG157&lt;1,0,(((('Renewable Diesel'!$BG157-1)*'Renewable Diesel'!$BF157)*'RD Feedstock Breakdown'!EH148)*'Feedstock Conversion Rates'!$B$9))</f>
        <v>0</v>
      </c>
      <c r="FJ148" s="102">
        <f t="shared" si="60"/>
        <v>0</v>
      </c>
      <c r="FL148" s="3">
        <f>('Renewable Diesel'!AX157/12*$FO$80)*'RD Feedstock Breakdown'!EC148*7.5</f>
        <v>459.75514961293948</v>
      </c>
      <c r="FM148" s="3">
        <f t="shared" si="96"/>
        <v>163.94032419429021</v>
      </c>
      <c r="FR148" s="3">
        <f>('Renewable Diesel'!AX157-'Renewable Diesel'!BI157)/12*$FO$80</f>
        <v>118.60856249999999</v>
      </c>
      <c r="FS148" s="100">
        <f t="shared" si="97"/>
        <v>0.27253834218098744</v>
      </c>
      <c r="FT148" s="3">
        <f t="shared" si="98"/>
        <v>242.44035744165024</v>
      </c>
      <c r="FY148" s="3">
        <f>'Renewable Diesel'!BF157*('Renewable Diesel'!BI157/'Renewable Diesel'!AX157)</f>
        <v>68.405929601163734</v>
      </c>
      <c r="FZ148" s="3">
        <f>('Renewable Diesel'!BJ157*'Renewable Diesel'!BG157)/12</f>
        <v>74.878873213911916</v>
      </c>
      <c r="GA148" s="3">
        <f t="shared" si="51"/>
        <v>153.05522977574927</v>
      </c>
      <c r="GD148" s="91">
        <f>'Renewable Diesel'!BB157*0</f>
        <v>0</v>
      </c>
      <c r="GE148" s="91">
        <f>'Renewable Diesel'!BC157</f>
        <v>0.100937</v>
      </c>
      <c r="GF148" s="91">
        <f>'Renewable Diesel'!BD157</f>
        <v>0</v>
      </c>
      <c r="GG148" s="91">
        <f t="shared" si="49"/>
        <v>0.100937</v>
      </c>
      <c r="GH148" s="124">
        <v>1</v>
      </c>
      <c r="GI148" s="102">
        <f>$GG148*EA148*'Feedstock Conversion Rates'!$B$2</f>
        <v>8.0705951587173322E-2</v>
      </c>
      <c r="GJ148" s="102">
        <f>$GG148*EB148*'Feedstock Conversion Rates'!$B$3</f>
        <v>0.15898257692919451</v>
      </c>
      <c r="GK148" s="102">
        <f>$GG148*EC148*'Feedstock Conversion Rates'!$B$4</f>
        <v>0.20631901983541745</v>
      </c>
      <c r="GL148" s="102">
        <f>$GG148*ED148*'Feedstock Conversion Rates'!$B$5</f>
        <v>0.12801658091489018</v>
      </c>
      <c r="GM148" s="102">
        <f>$GG148*EE148*'Feedstock Conversion Rates'!$B$6</f>
        <v>0.10512809291158964</v>
      </c>
      <c r="GN148" s="102">
        <f>$GG148*EF148*'Feedstock Conversion Rates'!$B$7</f>
        <v>0.12946456692254774</v>
      </c>
      <c r="GO148" s="102">
        <f>$GG148*EG148*'Feedstock Conversion Rates'!$B$8</f>
        <v>1.5800008709332972E-2</v>
      </c>
      <c r="GP148" s="102">
        <f>$GG148*EH148*'Feedstock Conversion Rates'!B$9</f>
        <v>1.5158278384969301E-3</v>
      </c>
      <c r="GQ148" s="102">
        <f t="shared" si="87"/>
        <v>0.82593262564864267</v>
      </c>
      <c r="GR148" s="85">
        <f t="shared" si="53"/>
        <v>8.1826547811867076</v>
      </c>
      <c r="GT148" s="103">
        <f t="shared" si="94"/>
        <v>9.771493349568465E-2</v>
      </c>
      <c r="GU148" s="103">
        <f t="shared" si="94"/>
        <v>0.19248855414125121</v>
      </c>
      <c r="GV148" s="103">
        <f t="shared" si="94"/>
        <v>0.24980127122764489</v>
      </c>
      <c r="GW148" s="103">
        <f t="shared" si="94"/>
        <v>0.15499639672709736</v>
      </c>
      <c r="GX148" s="103">
        <f t="shared" si="94"/>
        <v>0.12728410241577243</v>
      </c>
      <c r="GY148" s="103">
        <f t="shared" si="69"/>
        <v>0.15674954942102362</v>
      </c>
      <c r="GZ148" s="103">
        <f t="shared" si="69"/>
        <v>1.9129900210594662E-2</v>
      </c>
      <c r="HA148" s="103">
        <f t="shared" si="69"/>
        <v>1.8352923609313546E-3</v>
      </c>
    </row>
    <row r="149" spans="1:209" x14ac:dyDescent="0.25">
      <c r="A149" s="96">
        <v>44958</v>
      </c>
      <c r="B149" s="104">
        <f>23-20+10+85-5-4-4-1.25+2.25-5+15-6-25-45+65+15-22.5-50+40+16.5+27.5+168+80+14-30+15-50-19+22.5-10+5+11-25-50-12.5-27.5-10+10+2+4-1.5+12-26-15-50-15+10-32.5-3-5-2.5-1+10-50-35-4-0.5+20+20+25+20+15+85-25+12.5-52.5+10+20-150+20</f>
        <v>20</v>
      </c>
      <c r="C149" s="104">
        <f>40-10-2.5-27.5+25+25</f>
        <v>50</v>
      </c>
      <c r="D149" s="104">
        <f t="shared" si="95"/>
        <v>1.5</v>
      </c>
      <c r="E149" s="104">
        <f>('Renewable Diesel'!B158*E$3*'Feedstock Conversion Rates'!$B$2)/12-40+1.25+6-43+30-15+12.5-4+1.5+26+7+3-10+50+4-15</f>
        <v>104.17999999999999</v>
      </c>
      <c r="F149" s="104">
        <f>('Renewable Diesel'!B158*'RD Feedstock Breakdown'!F$3*'Feedstock Conversion Rates'!B$8)/12+28.5-49-5+2-6+1+6+20-20-3.75+10+2.5+5-20-20</f>
        <v>5.15625</v>
      </c>
      <c r="G149" s="104">
        <f>('Renewable Diesel'!B158*'RD Feedstock Breakdown'!G$3*'Feedstock Conversion Rates'!B$7)/12-25-15-25+4+4-20-40-20+10-17.5+20+50-12+32.5+35-75-75+22.5+5-20</f>
        <v>14.657000000000011</v>
      </c>
      <c r="H149" s="104">
        <f>('Renewable Diesel'!B158*'RD Feedstock Breakdown'!H$3*'Feedstock Conversion Rates'!B$3)/12-85+4-15+70-65-80+50-22.5-5+25+27.5+15+50+15-10+5+50+75-5-25-85-12.5+30+22.5-25-30+150</f>
        <v>300.40022499999998</v>
      </c>
      <c r="I149" s="106">
        <f t="shared" si="52"/>
        <v>495.89347499999997</v>
      </c>
      <c r="J149" s="106"/>
      <c r="K149" s="104">
        <v>110</v>
      </c>
      <c r="L149" s="104">
        <v>1</v>
      </c>
      <c r="M149" s="104">
        <f>('Renewable Diesel'!C158*'RD Feedstock Breakdown'!M$3*'Feedstock Conversion Rates'!B$2)/12-0.25-30</f>
        <v>47.652500000000003</v>
      </c>
      <c r="N149" s="104">
        <f>('Renewable Diesel'!C158*'RD Feedstock Breakdown'!N$3*'Feedstock Conversion Rates'!B$8)/12-0.25-30</f>
        <v>6.46875</v>
      </c>
      <c r="O149" s="104">
        <f>('Renewable Diesel'!C158*'RD Feedstock Breakdown'!O$3*'Feedstock Conversion Rates'!B$7)/12-0.25-25</f>
        <v>94.741</v>
      </c>
      <c r="P149" s="104">
        <f>('Renewable Diesel'!C158*'RD Feedstock Breakdown'!P$3*'Feedstock Conversion Rates'!B$3)/12-0.25-25</f>
        <v>79.22042500000002</v>
      </c>
      <c r="Q149" s="106">
        <f t="shared" si="92"/>
        <v>339.08267500000005</v>
      </c>
      <c r="R149" s="104">
        <f>('Renewable Diesel'!D158*'RD Feedstock Breakdown'!R$3*'Feedstock Conversion Rates'!B$7)/12</f>
        <v>2.2999999999999998</v>
      </c>
      <c r="S149" s="106">
        <f t="shared" si="67"/>
        <v>2.2999999999999998</v>
      </c>
      <c r="T149" s="104">
        <f>15+10+5-30+35-10-3-22+10</f>
        <v>10</v>
      </c>
      <c r="U149" s="104">
        <v>0</v>
      </c>
      <c r="V149" s="104">
        <f>('Renewable Diesel'!E158*'RD Feedstock Breakdown'!V$3*'Feedstock Conversion Rates'!B$6)/12-20-5-5+32.5-35+25-15+22</f>
        <v>43.750150000000012</v>
      </c>
      <c r="W149" s="104">
        <f>('Renewable Diesel'!E158*'RD Feedstock Breakdown'!W$3*'Feedstock Conversion Rates'!B$8)/12-2.5+3-10</f>
        <v>12.6796875</v>
      </c>
      <c r="X149" s="106">
        <f t="shared" si="88"/>
        <v>66.429837500000019</v>
      </c>
      <c r="Y149" s="104">
        <f>30-30+50-20+20-2-35-13+7.5-5-2.5+5-5</f>
        <v>0</v>
      </c>
      <c r="Z149" s="104">
        <f>('Renewable Diesel'!F158*'RD Feedstock Breakdown'!Z$3*'Feedstock Conversion Rates'!B$6)/12-30+20-20-7.5+2.5+53-53</f>
        <v>9.5550000000000068</v>
      </c>
      <c r="AA149" s="104">
        <f>('Renewable Diesel'!F158*'RD Feedstock Breakdown'!AA$3*'Feedstock Conversion Rates'!B$7)/12+30-50+2+35+13+5-5+5</f>
        <v>64.133333333333326</v>
      </c>
      <c r="AB149" s="106">
        <f t="shared" si="62"/>
        <v>73.688333333333333</v>
      </c>
      <c r="AC149" s="104">
        <f>('Renewable Diesel'!G158*'RD Feedstock Breakdown'!AC$3*'Feedstock Conversion Rates'!B$5)/12</f>
        <v>0</v>
      </c>
      <c r="AD149" s="104">
        <f>('Renewable Diesel'!G158*'RD Feedstock Breakdown'!AD$3*'Feedstock Conversion Rates'!B$4)/12</f>
        <v>0</v>
      </c>
      <c r="AE149" s="104">
        <f>('Renewable Diesel'!G158*'RD Feedstock Breakdown'!AE$3*'Feedstock Conversion Rates'!B$6)/12</f>
        <v>0</v>
      </c>
      <c r="AF149" s="106">
        <f t="shared" ref="AF149:AF212" si="101">SUM(AC149:AE149)</f>
        <v>0</v>
      </c>
      <c r="AG149" s="104">
        <f>26-26+30</f>
        <v>30</v>
      </c>
      <c r="AH149" s="104">
        <v>0</v>
      </c>
      <c r="AI149" s="104">
        <f>('Renewable Diesel'!H158*'RD Feedstock Breakdown'!AI$3*'Feedstock Conversion Rates'!B$6)/12-17.5+17.5-26+26-30</f>
        <v>28.625000000000007</v>
      </c>
      <c r="AJ149" s="106">
        <f t="shared" si="65"/>
        <v>58.625000000000007</v>
      </c>
      <c r="AK149" s="104">
        <f>('Renewable Diesel'!J158*'RD Feedstock Breakdown'!AK$3*'Feedstock Conversion Rates'!B$4)/12</f>
        <v>95.8125</v>
      </c>
      <c r="AL149" s="106">
        <f t="shared" si="68"/>
        <v>95.8125</v>
      </c>
      <c r="AM149" s="104">
        <f>('Renewable Diesel'!K158*'RD Feedstock Breakdown'!AM$3*'Feedstock Conversion Rates'!B$4)/12</f>
        <v>58.59375</v>
      </c>
      <c r="AN149" s="104">
        <f>('Renewable Diesel'!K158*'RD Feedstock Breakdown'!AN$3*'Feedstock Conversion Rates'!B$6)/12</f>
        <v>24.427083333333332</v>
      </c>
      <c r="AO149" s="106">
        <f t="shared" si="81"/>
        <v>83.020833333333329</v>
      </c>
      <c r="AP149" s="104">
        <f>('Renewable Diesel'!L158*'RD Feedstock Breakdown'!AP$3*'Feedstock Conversion Rates'!B$4)/12+15-5-40+10</f>
        <v>38.59375</v>
      </c>
      <c r="AQ149" s="104">
        <f>('Renewable Diesel'!L158*'RD Feedstock Breakdown'!AQ$3*'Feedstock Conversion Rates'!B$6)/12-15+5+40-10</f>
        <v>44.427083333333329</v>
      </c>
      <c r="AR149" s="106">
        <f t="shared" si="70"/>
        <v>83.020833333333329</v>
      </c>
      <c r="AS149" s="104">
        <f>('Renewable Diesel'!M158*'RD Feedstock Breakdown'!AS$3*'Feedstock Conversion Rates'!B$4)/12</f>
        <v>31.25</v>
      </c>
      <c r="AT149" s="104">
        <f>('Renewable Diesel'!M158*'RD Feedstock Breakdown'!AT$3*'Feedstock Conversion Rates'!B$5)/12</f>
        <v>0</v>
      </c>
      <c r="AU149" s="106">
        <f>SUM(AS149:AT149)</f>
        <v>31.25</v>
      </c>
      <c r="AV149" s="104">
        <f>'Renewable Diesel'!N158*'RD Feedstock Breakdown'!$AV$3*'Feedstock Conversion Rates'!$B$4/12-15-10+25+25-22-75-6.5+50+25</f>
        <v>75.249999999999986</v>
      </c>
      <c r="AW149" s="104">
        <f>'Renewable Diesel'!N158*'RD Feedstock Breakdown'!$AW$3*'Feedstock Conversion Rates'!$B$7/12+15+10-25-25+22+75+6.5-50-25</f>
        <v>44.900000000000006</v>
      </c>
      <c r="AX149" s="106">
        <f t="shared" si="63"/>
        <v>120.14999999999999</v>
      </c>
      <c r="AY149" s="104">
        <f>('Renewable Diesel'!O158*'RD Feedstock Breakdown'!AY$3*'Feedstock Conversion Rates'!B$4)/12+5-50</f>
        <v>22.5</v>
      </c>
      <c r="AZ149" s="104">
        <f>('Renewable Diesel'!O158*'RD Feedstock Breakdown'!AZ$3*'Feedstock Conversion Rates'!B$3)/12-5+50</f>
        <v>53.01</v>
      </c>
      <c r="BA149" s="106">
        <f t="shared" si="66"/>
        <v>75.509999999999991</v>
      </c>
      <c r="BB149" s="104">
        <f>('Renewable Diesel'!Q158*'RD Feedstock Breakdown'!BB$3*'Feedstock Conversion Rates'!B$4)/12</f>
        <v>0</v>
      </c>
      <c r="BC149" s="104">
        <f>('Renewable Diesel'!Q158*'RD Feedstock Breakdown'!BC$3*'Feedstock Conversion Rates'!B$3)/12</f>
        <v>0</v>
      </c>
      <c r="BD149" s="104">
        <f>('Renewable Diesel'!Q158*'RD Feedstock Breakdown'!BD$3*'Feedstock Conversion Rates'!B$6)/12</f>
        <v>0</v>
      </c>
      <c r="BE149" s="106">
        <f t="shared" si="90"/>
        <v>0</v>
      </c>
      <c r="BF149" s="104">
        <f>('Renewable Diesel'!R158*'RD Feedstock Breakdown'!BF$3*'Feedstock Conversion Rates'!B$4)/12</f>
        <v>62.5</v>
      </c>
      <c r="BG149" s="106">
        <f t="shared" si="72"/>
        <v>62.5</v>
      </c>
      <c r="BH149" s="104">
        <f>('Renewable Diesel'!T158*'RD Feedstock Breakdown'!BH$3*'Feedstock Conversion Rates'!B$7)/12</f>
        <v>0</v>
      </c>
      <c r="BI149" s="106">
        <f t="shared" si="64"/>
        <v>0</v>
      </c>
      <c r="BJ149" s="104">
        <f>('Renewable Diesel'!W158*'RD Feedstock Breakdown'!BJ$3*'Feedstock Conversion Rates'!B$4)/12-7.5</f>
        <v>0</v>
      </c>
      <c r="BK149" s="104">
        <f>('Renewable Diesel'!W158*'RD Feedstock Breakdown'!BK$3*'Feedstock Conversion Rates'!B$3)/12</f>
        <v>1.335</v>
      </c>
      <c r="BL149" s="104">
        <f>('Renewable Diesel'!W158*'RD Feedstock Breakdown'!BL$3*'Feedstock Conversion Rates'!B$6)/12</f>
        <v>3.1266666666666669</v>
      </c>
      <c r="BM149" s="104">
        <f>('Renewable Diesel'!W158*'RD Feedstock Breakdown'!BM$3*'Feedstock Conversion Rates'!B$7)/12+7.5</f>
        <v>9.0333333333333332</v>
      </c>
      <c r="BN149" s="106">
        <f t="shared" si="54"/>
        <v>13.495000000000001</v>
      </c>
      <c r="BO149" s="104">
        <f>('Renewable Diesel'!P158*'Feedstock Conversion Rates'!B$4)/12</f>
        <v>0</v>
      </c>
      <c r="BP149" s="106">
        <f t="shared" ref="BP149:BP212" si="102">BO149</f>
        <v>0</v>
      </c>
      <c r="BQ149" s="104"/>
      <c r="BR149" s="104"/>
      <c r="BS149" s="106"/>
      <c r="BT149" s="106"/>
      <c r="BU149" s="104">
        <f>('Renewable Diesel'!Y158*'Feedstock Conversion Rates'!B$7)/12</f>
        <v>0</v>
      </c>
      <c r="BV149" s="106">
        <f t="shared" si="93"/>
        <v>0</v>
      </c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4">
        <f>('Renewable Diesel'!AD158*'Feedstock Conversion Rates'!B$4)/12</f>
        <v>0</v>
      </c>
      <c r="CH149" s="106">
        <f>CG149</f>
        <v>0</v>
      </c>
      <c r="CI149" s="104">
        <f>('Renewable Diesel'!$AE158*'RD Feedstock Breakdown'!CI$3*'Feedstock Conversion Rates'!$B$5)/12</f>
        <v>0.17302083333333332</v>
      </c>
      <c r="CJ149" s="104">
        <f>('Renewable Diesel'!$AE158*'RD Feedstock Breakdown'!CJ$3*'Feedstock Conversion Rates'!$B$4)/12</f>
        <v>0.171875</v>
      </c>
      <c r="CK149" s="106">
        <f t="shared" ref="CK149:CK212" si="103">SUM(CI149:CJ149)</f>
        <v>0.34489583333333329</v>
      </c>
      <c r="CL149" s="104">
        <f>(((CL$3*'Renewable Diesel'!$AF158)*'Feedstock Conversion Rates'!$B$3)/12)</f>
        <v>30.037499999999998</v>
      </c>
      <c r="CM149" s="104">
        <f>(((CM$3*'Renewable Diesel'!$AF158)*'Feedstock Conversion Rates'!$B$6)/12)</f>
        <v>17.587500000000002</v>
      </c>
      <c r="CN149" s="104">
        <f>(((CN$3*'Renewable Diesel'!$AF158)*'Feedstock Conversion Rates'!$B$4)/12)</f>
        <v>14.0625</v>
      </c>
      <c r="CO149" s="106">
        <f t="shared" si="91"/>
        <v>61.6875</v>
      </c>
      <c r="CP149" s="106"/>
      <c r="CQ149" s="106"/>
      <c r="CR149" s="106"/>
      <c r="CS149" s="106"/>
      <c r="CT149" s="104">
        <f>('Renewable Diesel'!AI158*'Feedstock Conversion Rates'!$B$4*'RD Feedstock Breakdown'!$CT$3)/12</f>
        <v>0</v>
      </c>
      <c r="CU149" s="106">
        <f t="shared" si="99"/>
        <v>0</v>
      </c>
      <c r="CV149" s="106"/>
      <c r="CW149" s="106"/>
      <c r="CX149" s="106"/>
      <c r="CY149" s="106"/>
      <c r="CZ149" s="106"/>
      <c r="DA149" s="106"/>
      <c r="DB149" s="106"/>
      <c r="DC149" s="106"/>
      <c r="DD149" s="106"/>
      <c r="DE149" s="106"/>
      <c r="DF149" s="106"/>
      <c r="DG149" s="106"/>
      <c r="DH149" s="106"/>
      <c r="DI149" s="106"/>
      <c r="DJ149" s="106"/>
      <c r="DK149" s="106"/>
      <c r="DL149" s="106"/>
      <c r="DM149" s="106"/>
      <c r="DN149" s="106"/>
      <c r="DP149" s="104">
        <f t="shared" si="73"/>
        <v>151.83249999999998</v>
      </c>
      <c r="DQ149" s="104">
        <f t="shared" si="74"/>
        <v>464.00315000000001</v>
      </c>
      <c r="DR149" s="104">
        <f t="shared" si="82"/>
        <v>418.734375</v>
      </c>
      <c r="DS149" s="104">
        <f t="shared" si="100"/>
        <v>200.17302083333334</v>
      </c>
      <c r="DT149" s="104">
        <f t="shared" si="75"/>
        <v>171.49848333333335</v>
      </c>
      <c r="DU149" s="104">
        <f t="shared" si="76"/>
        <v>229.76466666666667</v>
      </c>
      <c r="DV149" s="104">
        <f t="shared" si="83"/>
        <v>24.3046875</v>
      </c>
      <c r="DW149" s="104">
        <f t="shared" si="77"/>
        <v>2.5</v>
      </c>
      <c r="DX149" s="106">
        <f t="shared" si="78"/>
        <v>1662.8108833333333</v>
      </c>
      <c r="DY149" s="109">
        <f t="shared" si="79"/>
        <v>-2.3447910280083306E-13</v>
      </c>
      <c r="EA149" s="110">
        <f t="shared" si="55"/>
        <v>9.1310744668468155E-2</v>
      </c>
      <c r="EB149" s="110">
        <f t="shared" si="55"/>
        <v>0.27904745792247992</v>
      </c>
      <c r="EC149" s="110">
        <f t="shared" si="55"/>
        <v>0.25182321044266281</v>
      </c>
      <c r="ED149" s="110">
        <f t="shared" si="55"/>
        <v>0.12038231337051329</v>
      </c>
      <c r="EE149" s="110">
        <f t="shared" si="56"/>
        <v>0.10313769596548529</v>
      </c>
      <c r="EF149" s="110">
        <f t="shared" si="56"/>
        <v>0.13817847174903725</v>
      </c>
      <c r="EG149" s="111">
        <f t="shared" si="56"/>
        <v>1.461662762952207E-2</v>
      </c>
      <c r="EH149" s="111">
        <f t="shared" si="84"/>
        <v>1.5034782518312641E-3</v>
      </c>
      <c r="EI149" s="110">
        <f t="shared" si="85"/>
        <v>0.99849652174816894</v>
      </c>
      <c r="EK149" s="112">
        <f>(EA149*'Renewable Diesel'!BF158*'Feedstock Conversion Rates'!B$2)+FB149</f>
        <v>109.08695493980082</v>
      </c>
      <c r="EL149" s="112">
        <f>(EB149*'Renewable Diesel'!BF158*'Feedstock Conversion Rates'!B$3)+FC149</f>
        <v>314.15400107894823</v>
      </c>
      <c r="EM149" s="112">
        <f>(EC149*'Renewable Diesel'!BF158*'Feedstock Conversion Rates'!B$4)+FD149</f>
        <v>265.45384996065133</v>
      </c>
      <c r="EN149" s="112">
        <f>(ED149*'Renewable Diesel'!BF158*'Feedstock Conversion Rates'!B$5)+FE149</f>
        <v>127.74433362132834</v>
      </c>
      <c r="EO149" s="112">
        <f>(EE149*'Renewable Diesel'!BF158*'Feedstock Conversion Rates'!B$6)+FF149</f>
        <v>135.9728725022068</v>
      </c>
      <c r="EP149" s="112">
        <f>(EF149*'Renewable Diesel'!BF158*'Feedstock Conversion Rates'!B$7)+FG149</f>
        <v>178.67353139553765</v>
      </c>
      <c r="EQ149" s="112">
        <f>(EG149*'Renewable Diesel'!BF158*'Feedstock Conversion Rates'!B$8)+FH149</f>
        <v>19.259742136543952</v>
      </c>
      <c r="ER149" s="112">
        <f>(EH149*'Renewable Diesel'!BF158*'Feedstock Conversion Rates'!B$9)+FI149</f>
        <v>1.9546584969178649</v>
      </c>
      <c r="ES149" s="112">
        <f t="shared" si="86"/>
        <v>1152.2999441319348</v>
      </c>
      <c r="ET149" s="91">
        <f>ES149/'Renewable Diesel'!BF158</f>
        <v>8.1984835980119932</v>
      </c>
      <c r="EW149" s="73">
        <f t="shared" si="58"/>
        <v>393.19818358197966</v>
      </c>
      <c r="EX149" s="73">
        <f t="shared" si="59"/>
        <v>759.10176054995532</v>
      </c>
      <c r="EY149" s="92">
        <f t="shared" si="71"/>
        <v>0.3412290225165191</v>
      </c>
      <c r="EZ149" s="92">
        <f t="shared" si="71"/>
        <v>0.65877097748348101</v>
      </c>
      <c r="FB149" s="102">
        <f>IF('Renewable Diesel'!$BG158&lt;1,0,(((('Renewable Diesel'!$BG158-1)*'Renewable Diesel'!$BF158)*'RD Feedstock Breakdown'!EA149)*'Feedstock Conversion Rates'!$B$2))</f>
        <v>0</v>
      </c>
      <c r="FC149" s="102">
        <f>IF('Renewable Diesel'!$BG158&lt;1,0,(((('Renewable Diesel'!$BG158-1)*'Renewable Diesel'!$BF158)*'RD Feedstock Breakdown'!EB149)*'Feedstock Conversion Rates'!$B$3))</f>
        <v>0</v>
      </c>
      <c r="FD149" s="102">
        <f>IF('Renewable Diesel'!$BG158&lt;1,0,(((('Renewable Diesel'!$BG158-1)*'Renewable Diesel'!$BF158)*'RD Feedstock Breakdown'!EC149)*'Feedstock Conversion Rates'!$B$4))</f>
        <v>0</v>
      </c>
      <c r="FE149" s="102">
        <f>IF('Renewable Diesel'!$BG158&lt;1,0,(((('Renewable Diesel'!$BG158-1)*'Renewable Diesel'!$BF158)*'RD Feedstock Breakdown'!ED149)*'Feedstock Conversion Rates'!$B$5))</f>
        <v>0</v>
      </c>
      <c r="FF149" s="102">
        <f>IF('Renewable Diesel'!$BG158&lt;1,0,(((('Renewable Diesel'!$BG158-1)*'Renewable Diesel'!$BF158)*'RD Feedstock Breakdown'!EE149)*'Feedstock Conversion Rates'!$B$6))</f>
        <v>0</v>
      </c>
      <c r="FG149" s="102">
        <f>IF('Renewable Diesel'!$BG158&lt;1,0,(((('Renewable Diesel'!$BG158-1)*'Renewable Diesel'!$BF158)*'RD Feedstock Breakdown'!EF149)*'Feedstock Conversion Rates'!$B$7))</f>
        <v>0</v>
      </c>
      <c r="FH149" s="102">
        <f>IF('Renewable Diesel'!$BG158&lt;1,0,(((('Renewable Diesel'!$BG158-1)*'Renewable Diesel'!$BF158)*'RD Feedstock Breakdown'!EG149)*'Feedstock Conversion Rates'!$B$8))</f>
        <v>0</v>
      </c>
      <c r="FI149" s="102">
        <f>IF('Renewable Diesel'!$BG158&lt;1,0,(((('Renewable Diesel'!$BG158-1)*'Renewable Diesel'!$BF158)*'RD Feedstock Breakdown'!EH149)*'Feedstock Conversion Rates'!$B$9))</f>
        <v>0</v>
      </c>
      <c r="FJ149" s="102">
        <f t="shared" si="60"/>
        <v>0</v>
      </c>
      <c r="FL149" s="3">
        <f>('Renewable Diesel'!AX158/12*$FO$80)*'RD Feedstock Breakdown'!EC149*7.5</f>
        <v>464.33052215496497</v>
      </c>
      <c r="FM149" s="3">
        <f t="shared" si="96"/>
        <v>198.87667219431364</v>
      </c>
      <c r="FR149" s="3">
        <f>('Renewable Diesel'!AX158-'Renewable Diesel'!BI158)/12*$FO$80</f>
        <v>122.010375</v>
      </c>
      <c r="FS149" s="100">
        <f t="shared" si="97"/>
        <v>0.25182321044266281</v>
      </c>
      <c r="FT149" s="3">
        <f t="shared" si="98"/>
        <v>230.43783254859903</v>
      </c>
      <c r="FY149" s="3">
        <f>'Renewable Diesel'!BF158*('Renewable Diesel'!BI158/'Renewable Diesel'!AX158)</f>
        <v>70.798070911569567</v>
      </c>
      <c r="FZ149" s="3">
        <f>('Renewable Diesel'!BJ158*'Renewable Diesel'!BG158)/12</f>
        <v>68.43976073192772</v>
      </c>
      <c r="GA149" s="3">
        <f t="shared" si="51"/>
        <v>129.26040202081293</v>
      </c>
      <c r="GD149" s="91">
        <f>'Renewable Diesel'!BB158*0</f>
        <v>0</v>
      </c>
      <c r="GE149" s="91">
        <f>'Renewable Diesel'!BC158</f>
        <v>1.5785960000000001</v>
      </c>
      <c r="GF149" s="91">
        <f>'Renewable Diesel'!BD158</f>
        <v>0</v>
      </c>
      <c r="GG149" s="91">
        <f>GF149+GE149</f>
        <v>1.5785960000000001</v>
      </c>
      <c r="GH149" s="124">
        <v>1</v>
      </c>
      <c r="GI149" s="102">
        <f>$GG149*EA149*'Feedstock Conversion Rates'!$B$2</f>
        <v>1.2252135984706538</v>
      </c>
      <c r="GJ149" s="102">
        <f>$GG149*EB149*'Feedstock Conversion Rates'!$B$3</f>
        <v>3.5284306391016274</v>
      </c>
      <c r="GK149" s="102">
        <f>$GG149*EC149*'Feedstock Conversion Rates'!$B$4</f>
        <v>2.9814533453395935</v>
      </c>
      <c r="GL149" s="102">
        <f>$GG149*ED149*'Feedstock Conversion Rates'!$B$5</f>
        <v>1.434764539598663</v>
      </c>
      <c r="GM149" s="102">
        <f>$GG149*EE149*'Feedstock Conversion Rates'!$B$6</f>
        <v>1.5271836353371071</v>
      </c>
      <c r="GN149" s="102">
        <f>$GG149*EF149*'Feedstock Conversion Rates'!$B$7</f>
        <v>2.0067774416601174</v>
      </c>
      <c r="GO149" s="102">
        <f>$GG149*EG149*'Feedstock Conversion Rates'!$B$8</f>
        <v>0.2163164054011221</v>
      </c>
      <c r="GP149" s="102">
        <f>$GG149*EH149*'Feedstock Conversion Rates'!B$9</f>
        <v>2.1953808978457393E-2</v>
      </c>
      <c r="GQ149" s="102">
        <f t="shared" si="87"/>
        <v>12.94209341388734</v>
      </c>
      <c r="GR149" s="85">
        <f t="shared" si="53"/>
        <v>8.1984835980119932</v>
      </c>
      <c r="GT149" s="103">
        <f t="shared" si="94"/>
        <v>9.4668888508867885E-2</v>
      </c>
      <c r="GU149" s="103">
        <f t="shared" si="94"/>
        <v>0.27263214120487589</v>
      </c>
      <c r="GV149" s="103">
        <f t="shared" si="94"/>
        <v>0.23036870852287197</v>
      </c>
      <c r="GW149" s="103">
        <f t="shared" si="94"/>
        <v>0.11086031399364714</v>
      </c>
      <c r="GX149" s="103">
        <f t="shared" si="94"/>
        <v>0.11800128360210901</v>
      </c>
      <c r="GY149" s="103">
        <f t="shared" si="69"/>
        <v>0.15505817934421429</v>
      </c>
      <c r="GZ149" s="103">
        <f t="shared" si="69"/>
        <v>1.6714174321211955E-2</v>
      </c>
      <c r="HA149" s="103">
        <f t="shared" si="69"/>
        <v>1.6963105022020748E-3</v>
      </c>
    </row>
    <row r="150" spans="1:209" x14ac:dyDescent="0.25">
      <c r="A150" s="96">
        <v>44986</v>
      </c>
      <c r="B150" s="104">
        <f>23-20+10+85-5-4-4-1.25+2.25-5+15-6-25-45+65+15-22.5-50+40+16.5+27.5+168+80+14-30+15-50-19+22.5-10+5+11-25-50-12.5-27.5-10+10+2+4-1.5+12-26-15-50-15+10-32.5-3-5-2.5-1+10-50-35-4-0.5+20+20+25+20+15+85-25+12.5-52.5+10+20-150+20</f>
        <v>20</v>
      </c>
      <c r="C150" s="104">
        <f>40-10-2.5-27.5+25+25+50</f>
        <v>100</v>
      </c>
      <c r="D150" s="104">
        <f t="shared" si="95"/>
        <v>1.5</v>
      </c>
      <c r="E150" s="104">
        <f>('Renewable Diesel'!B159*E$3*'Feedstock Conversion Rates'!$B$2)/12-40+1.25+6-43+30-15+12.5-4+1.5+26+7+3-10+50+4-15</f>
        <v>104.17999999999999</v>
      </c>
      <c r="F150" s="104">
        <f>('Renewable Diesel'!B159*'RD Feedstock Breakdown'!F$3*'Feedstock Conversion Rates'!B$8)/12+28.5-49-5+2-6+1+6+20-20-3.75+10+2.5+5-20-20</f>
        <v>5.15625</v>
      </c>
      <c r="G150" s="104">
        <f>('Renewable Diesel'!B159*'RD Feedstock Breakdown'!G$3*'Feedstock Conversion Rates'!B$7)/12-25-15-25+4+4-20-40-20+10-17.5+20+50-12+32.5+35-75-75+22.5+5-20</f>
        <v>14.657000000000011</v>
      </c>
      <c r="H150" s="104">
        <f>('Renewable Diesel'!B159*'RD Feedstock Breakdown'!H$3*'Feedstock Conversion Rates'!B$3)/12-85+4-15+70-65-80+50-22.5-5+25+27.5+15+50+15-10+5+50+75-5-25-85-12.5+30+22.5-25-30+150-50</f>
        <v>250.40022499999998</v>
      </c>
      <c r="I150" s="106">
        <f t="shared" si="52"/>
        <v>495.89347499999997</v>
      </c>
      <c r="J150" s="104">
        <f>120+40+59+10-15-1.75+7.5-2-15-25-75+25+2.5-7-1+15+20+25+15+20-217+17.5+2</f>
        <v>19.75</v>
      </c>
      <c r="K150" s="104">
        <v>137</v>
      </c>
      <c r="L150" s="104">
        <v>1</v>
      </c>
      <c r="M150" s="104">
        <f>('Renewable Diesel'!C159*'RD Feedstock Breakdown'!M$3*'Feedstock Conversion Rates'!B$2)/12-15-40+2+117-25-2-50-18</f>
        <v>46.902500000000003</v>
      </c>
      <c r="N150" s="104">
        <f>('Renewable Diesel'!C159*'RD Feedstock Breakdown'!N$3*'Feedstock Conversion Rates'!B$8)/12+1.75+7-15-20-2</f>
        <v>8.46875</v>
      </c>
      <c r="O150" s="104">
        <f>('Renewable Diesel'!C159*'RD Feedstock Breakdown'!O$3*'Feedstock Conversion Rates'!B$7)/12+30-120+25-17.5+1</f>
        <v>38.490999999999985</v>
      </c>
      <c r="P150" s="104">
        <f>('Renewable Diesel'!C159*'RD Feedstock Breakdown'!P$3*'Feedstock Conversion Rates'!B$3)/12-15-59-10+15-7.5+15+75-25-2.5-25-15-20+25+100-50-18</f>
        <v>87.470425000000034</v>
      </c>
      <c r="Q150" s="106">
        <f t="shared" si="92"/>
        <v>339.08267499999999</v>
      </c>
      <c r="R150" s="104">
        <f>('Renewable Diesel'!D159*'RD Feedstock Breakdown'!R$3*'Feedstock Conversion Rates'!B$7)/12</f>
        <v>2.2999999999999998</v>
      </c>
      <c r="S150" s="106">
        <f t="shared" si="67"/>
        <v>2.2999999999999998</v>
      </c>
      <c r="T150" s="104">
        <f>15+10+5-30+35-10-3-22+10+20</f>
        <v>30</v>
      </c>
      <c r="U150" s="104">
        <v>0</v>
      </c>
      <c r="V150" s="104">
        <f>('Renewable Diesel'!E159*'RD Feedstock Breakdown'!V$3*'Feedstock Conversion Rates'!B$6)/12-20-5-5+32.5-35+25-15+22-10</f>
        <v>33.750150000000012</v>
      </c>
      <c r="W150" s="104">
        <f>('Renewable Diesel'!E159*'RD Feedstock Breakdown'!W$3*'Feedstock Conversion Rates'!B$8)/12-2.5+3-10-10</f>
        <v>2.6796875</v>
      </c>
      <c r="X150" s="106">
        <f t="shared" si="88"/>
        <v>66.429837500000019</v>
      </c>
      <c r="Y150" s="104">
        <f>30-30+50-20+20-2-35-13+7.5-5-2.5</f>
        <v>0</v>
      </c>
      <c r="Z150" s="104">
        <f>('Renewable Diesel'!F159*'RD Feedstock Breakdown'!Z$3*'Feedstock Conversion Rates'!B$6)/12-30+20-20-7.5+2.5</f>
        <v>9.5550000000000068</v>
      </c>
      <c r="AA150" s="104">
        <f>('Renewable Diesel'!F159*'RD Feedstock Breakdown'!AA$3*'Feedstock Conversion Rates'!B$7)/12+30-50+2+35+13+5</f>
        <v>64.133333333333326</v>
      </c>
      <c r="AB150" s="106">
        <f t="shared" si="62"/>
        <v>73.688333333333333</v>
      </c>
      <c r="AC150" s="104">
        <f>('Renewable Diesel'!G159*'RD Feedstock Breakdown'!AC$3*'Feedstock Conversion Rates'!B$5)/12</f>
        <v>0</v>
      </c>
      <c r="AD150" s="104">
        <f>('Renewable Diesel'!G159*'RD Feedstock Breakdown'!AD$3*'Feedstock Conversion Rates'!B$4)/12</f>
        <v>0</v>
      </c>
      <c r="AE150" s="104">
        <f>('Renewable Diesel'!G159*'RD Feedstock Breakdown'!AE$3*'Feedstock Conversion Rates'!B$6)/12</f>
        <v>0</v>
      </c>
      <c r="AF150" s="106">
        <f t="shared" si="101"/>
        <v>0</v>
      </c>
      <c r="AG150" s="104">
        <f>26-26+30+20</f>
        <v>50</v>
      </c>
      <c r="AH150" s="104">
        <v>0</v>
      </c>
      <c r="AI150" s="104">
        <f>('Renewable Diesel'!H159*'RD Feedstock Breakdown'!AI$3*'Feedstock Conversion Rates'!B$6)/12-17.5+17.5-26+26-30-20</f>
        <v>8.6250000000000071</v>
      </c>
      <c r="AJ150" s="106">
        <f t="shared" si="65"/>
        <v>58.625000000000007</v>
      </c>
      <c r="AK150" s="104">
        <f>('Renewable Diesel'!J159*'RD Feedstock Breakdown'!AK$3*'Feedstock Conversion Rates'!B$4)/12</f>
        <v>95.8125</v>
      </c>
      <c r="AL150" s="106">
        <f t="shared" si="68"/>
        <v>95.8125</v>
      </c>
      <c r="AM150" s="104">
        <f>('Renewable Diesel'!K159*'RD Feedstock Breakdown'!AM$3*'Feedstock Conversion Rates'!B$4)/12</f>
        <v>58.59375</v>
      </c>
      <c r="AN150" s="104">
        <f>('Renewable Diesel'!K159*'RD Feedstock Breakdown'!AN$3*'Feedstock Conversion Rates'!B$6)/12</f>
        <v>24.427083333333332</v>
      </c>
      <c r="AO150" s="106">
        <f t="shared" si="81"/>
        <v>83.020833333333329</v>
      </c>
      <c r="AP150" s="104">
        <f>('Renewable Diesel'!L159*'RD Feedstock Breakdown'!AP$3*'Feedstock Conversion Rates'!B$4)/12+15-5-40+10</f>
        <v>38.59375</v>
      </c>
      <c r="AQ150" s="104">
        <f>('Renewable Diesel'!L159*'RD Feedstock Breakdown'!AQ$3*'Feedstock Conversion Rates'!B$6)/12-15+5+40-10</f>
        <v>44.427083333333329</v>
      </c>
      <c r="AR150" s="106">
        <f t="shared" si="70"/>
        <v>83.020833333333329</v>
      </c>
      <c r="AS150" s="104">
        <f>('Renewable Diesel'!M159*'RD Feedstock Breakdown'!AS$3*'Feedstock Conversion Rates'!B$4)/12</f>
        <v>75</v>
      </c>
      <c r="AT150" s="104">
        <f>('Renewable Diesel'!M159*'RD Feedstock Breakdown'!AT$3*'Feedstock Conversion Rates'!B$5)/12</f>
        <v>0</v>
      </c>
      <c r="AU150" s="106">
        <f t="shared" ref="AU150:AU213" si="104">SUM(AS150:AT150)</f>
        <v>75</v>
      </c>
      <c r="AV150" s="104">
        <f>'Renewable Diesel'!N159*'RD Feedstock Breakdown'!$AV$3*'Feedstock Conversion Rates'!$B$4/12-15-10+25+25-22-75-6.5+50+25</f>
        <v>75.249999999999986</v>
      </c>
      <c r="AW150" s="104">
        <f>'Renewable Diesel'!N159*'RD Feedstock Breakdown'!$AW$3*'Feedstock Conversion Rates'!$B$7/12+15+10-25-25+22+75+6.5-50-25</f>
        <v>44.900000000000006</v>
      </c>
      <c r="AX150" s="106">
        <f t="shared" si="63"/>
        <v>120.14999999999999</v>
      </c>
      <c r="AY150" s="104">
        <f>('Renewable Diesel'!O159*'RD Feedstock Breakdown'!AY$3*'Feedstock Conversion Rates'!B$4)/12+5-50</f>
        <v>22.5</v>
      </c>
      <c r="AZ150" s="104">
        <f>('Renewable Diesel'!O159*'RD Feedstock Breakdown'!AZ$3*'Feedstock Conversion Rates'!B$3)/12-5+50</f>
        <v>53.01</v>
      </c>
      <c r="BA150" s="106">
        <f t="shared" si="66"/>
        <v>75.509999999999991</v>
      </c>
      <c r="BB150" s="104">
        <f>('Renewable Diesel'!Q159*'RD Feedstock Breakdown'!BB$3*'Feedstock Conversion Rates'!B$4)/12</f>
        <v>0</v>
      </c>
      <c r="BC150" s="104">
        <f>('Renewable Diesel'!Q159*'RD Feedstock Breakdown'!BC$3*'Feedstock Conversion Rates'!B$3)/12</f>
        <v>0</v>
      </c>
      <c r="BD150" s="104">
        <f>('Renewable Diesel'!Q159*'RD Feedstock Breakdown'!BD$3*'Feedstock Conversion Rates'!B$6)/12</f>
        <v>0</v>
      </c>
      <c r="BE150" s="106">
        <f t="shared" si="90"/>
        <v>0</v>
      </c>
      <c r="BF150" s="104">
        <f>('Renewable Diesel'!R159*'RD Feedstock Breakdown'!BF$3*'Feedstock Conversion Rates'!B$4)/12</f>
        <v>62.5</v>
      </c>
      <c r="BG150" s="106">
        <f t="shared" si="72"/>
        <v>62.5</v>
      </c>
      <c r="BH150" s="104">
        <f>('Renewable Diesel'!T159*'RD Feedstock Breakdown'!BH$3*'Feedstock Conversion Rates'!B$7)/12</f>
        <v>0</v>
      </c>
      <c r="BI150" s="106">
        <f t="shared" si="64"/>
        <v>0</v>
      </c>
      <c r="BJ150" s="104">
        <f>('Renewable Diesel'!W159*'RD Feedstock Breakdown'!BJ$3*'Feedstock Conversion Rates'!B$4)/12-7.5</f>
        <v>0</v>
      </c>
      <c r="BK150" s="104">
        <f>('Renewable Diesel'!W159*'RD Feedstock Breakdown'!BK$3*'Feedstock Conversion Rates'!B$3)/12</f>
        <v>1.335</v>
      </c>
      <c r="BL150" s="104">
        <f>('Renewable Diesel'!W159*'RD Feedstock Breakdown'!BL$3*'Feedstock Conversion Rates'!B$6)/12</f>
        <v>3.1266666666666669</v>
      </c>
      <c r="BM150" s="104">
        <f>('Renewable Diesel'!W159*'RD Feedstock Breakdown'!BM$3*'Feedstock Conversion Rates'!B$7)/12+7.5</f>
        <v>9.0333333333333332</v>
      </c>
      <c r="BN150" s="106">
        <f t="shared" si="54"/>
        <v>13.495000000000001</v>
      </c>
      <c r="BO150" s="104">
        <f>('Renewable Diesel'!P159*'Feedstock Conversion Rates'!B$4)/12</f>
        <v>0</v>
      </c>
      <c r="BP150" s="106">
        <f t="shared" si="102"/>
        <v>0</v>
      </c>
      <c r="BQ150" s="104"/>
      <c r="BR150" s="104"/>
      <c r="BS150" s="106"/>
      <c r="BT150" s="106"/>
      <c r="BU150" s="104">
        <f>('Renewable Diesel'!Y159*'Feedstock Conversion Rates'!B$7)/12</f>
        <v>0</v>
      </c>
      <c r="BV150" s="106">
        <f t="shared" si="93"/>
        <v>0</v>
      </c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4">
        <f>('Renewable Diesel'!AD159*'Feedstock Conversion Rates'!B$4)/12</f>
        <v>0</v>
      </c>
      <c r="CH150" s="106">
        <f t="shared" si="89"/>
        <v>0</v>
      </c>
      <c r="CI150" s="104">
        <f>('Renewable Diesel'!$AE159*'RD Feedstock Breakdown'!CI$3*'Feedstock Conversion Rates'!$B$5)/12</f>
        <v>0.17302083333333332</v>
      </c>
      <c r="CJ150" s="104">
        <f>('Renewable Diesel'!$AE159*'RD Feedstock Breakdown'!CJ$3*'Feedstock Conversion Rates'!$B$4)/12</f>
        <v>0.171875</v>
      </c>
      <c r="CK150" s="106">
        <f t="shared" si="103"/>
        <v>0.34489583333333329</v>
      </c>
      <c r="CL150" s="104">
        <f>(((CL$3*'Renewable Diesel'!$AF159)*'Feedstock Conversion Rates'!$B$3)/12)</f>
        <v>30.037499999999998</v>
      </c>
      <c r="CM150" s="104">
        <f>(((CM$3*'Renewable Diesel'!$AF159)*'Feedstock Conversion Rates'!$B$6)/12)</f>
        <v>17.587500000000002</v>
      </c>
      <c r="CN150" s="104">
        <f>(((CN$3*'Renewable Diesel'!$AF159)*'Feedstock Conversion Rates'!$B$4)/12)</f>
        <v>14.0625</v>
      </c>
      <c r="CO150" s="106">
        <f t="shared" si="91"/>
        <v>61.6875</v>
      </c>
      <c r="CP150" s="106"/>
      <c r="CQ150" s="106"/>
      <c r="CR150" s="106"/>
      <c r="CS150" s="106"/>
      <c r="CT150" s="104">
        <f>('Renewable Diesel'!AI159*'Feedstock Conversion Rates'!$B$4*'RD Feedstock Breakdown'!$CT$3)/12</f>
        <v>0</v>
      </c>
      <c r="CU150" s="106">
        <f t="shared" si="99"/>
        <v>0</v>
      </c>
      <c r="CV150" s="106"/>
      <c r="CW150" s="106"/>
      <c r="CX150" s="106"/>
      <c r="CY150" s="106"/>
      <c r="CZ150" s="106"/>
      <c r="DA150" s="106"/>
      <c r="DB150" s="106"/>
      <c r="DC150" s="106"/>
      <c r="DD150" s="106"/>
      <c r="DE150" s="106"/>
      <c r="DF150" s="106"/>
      <c r="DG150" s="106"/>
      <c r="DH150" s="106"/>
      <c r="DI150" s="106"/>
      <c r="DJ150" s="106"/>
      <c r="DK150" s="106"/>
      <c r="DL150" s="106"/>
      <c r="DM150" s="106"/>
      <c r="DN150" s="106"/>
      <c r="DP150" s="104">
        <f t="shared" si="73"/>
        <v>151.08249999999998</v>
      </c>
      <c r="DQ150" s="104">
        <f t="shared" si="74"/>
        <v>422.25315000000001</v>
      </c>
      <c r="DR150" s="104">
        <f t="shared" si="82"/>
        <v>482.234375</v>
      </c>
      <c r="DS150" s="104">
        <f>AC150+C150+BX150+CI150+DD150+AG150+T150+DJ150+AT150+K150</f>
        <v>317.17302083333334</v>
      </c>
      <c r="DT150" s="104">
        <f t="shared" si="75"/>
        <v>141.49848333333335</v>
      </c>
      <c r="DU150" s="104">
        <f t="shared" si="76"/>
        <v>173.51466666666667</v>
      </c>
      <c r="DV150" s="104">
        <f t="shared" si="83"/>
        <v>16.3046875</v>
      </c>
      <c r="DW150" s="104">
        <f t="shared" si="77"/>
        <v>2.5</v>
      </c>
      <c r="DX150" s="106">
        <f t="shared" si="78"/>
        <v>1706.5608833333333</v>
      </c>
      <c r="DY150" s="109">
        <f t="shared" si="79"/>
        <v>-2.3447910280083306E-13</v>
      </c>
      <c r="EA150" s="110">
        <f t="shared" si="55"/>
        <v>8.8530389671711382E-2</v>
      </c>
      <c r="EB150" s="110">
        <f t="shared" si="55"/>
        <v>0.24742929134484537</v>
      </c>
      <c r="EC150" s="110">
        <f t="shared" si="55"/>
        <v>0.28257671889096486</v>
      </c>
      <c r="ED150" s="110">
        <f t="shared" si="55"/>
        <v>0.18585508664291917</v>
      </c>
      <c r="EE150" s="110">
        <f t="shared" si="56"/>
        <v>8.2914406813867664E-2</v>
      </c>
      <c r="EF150" s="110">
        <f t="shared" si="56"/>
        <v>0.10167505206597131</v>
      </c>
      <c r="EG150" s="111">
        <f t="shared" si="56"/>
        <v>9.5541200195289454E-3</v>
      </c>
      <c r="EH150" s="111">
        <f t="shared" si="84"/>
        <v>1.4649345501913092E-3</v>
      </c>
      <c r="EI150" s="110">
        <f t="shared" si="85"/>
        <v>0.99853506544980863</v>
      </c>
      <c r="EK150" s="112">
        <f>(EA150*'Renewable Diesel'!BF159*'Feedstock Conversion Rates'!B$2)+FB150</f>
        <v>131.82756742028801</v>
      </c>
      <c r="EL150" s="112">
        <f>(EB150*'Renewable Diesel'!BF159*'Feedstock Conversion Rates'!B$3)+FC150</f>
        <v>347.19907869302608</v>
      </c>
      <c r="EM150" s="112">
        <f>(EC150*'Renewable Diesel'!BF159*'Feedstock Conversion Rates'!B$4)+FD150</f>
        <v>371.2723254008647</v>
      </c>
      <c r="EN150" s="112">
        <f>(ED150*'Renewable Diesel'!BF159*'Feedstock Conversion Rates'!B$5)+FE150</f>
        <v>245.81950515770805</v>
      </c>
      <c r="EO150" s="112">
        <f>(EE150*'Renewable Diesel'!BF159*'Feedstock Conversion Rates'!B$6)+FF150</f>
        <v>136.24725874313631</v>
      </c>
      <c r="EP150" s="112">
        <f>(EF150*'Renewable Diesel'!BF159*'Feedstock Conversion Rates'!B$7)+FG150</f>
        <v>163.86913737185739</v>
      </c>
      <c r="EQ150" s="112">
        <f>(EG150*'Renewable Diesel'!BF159*'Feedstock Conversion Rates'!B$8)+FH150</f>
        <v>15.69122701761828</v>
      </c>
      <c r="ER150" s="112">
        <f>(EH150*'Renewable Diesel'!BF159*'Feedstock Conversion Rates'!B$9)+FI150</f>
        <v>2.3738588454061702</v>
      </c>
      <c r="ES150" s="112">
        <f t="shared" si="86"/>
        <v>1414.2999586499052</v>
      </c>
      <c r="ET150" s="91">
        <f>ES150/'Renewable Diesel'!BF159</f>
        <v>8.0732163664114029</v>
      </c>
      <c r="EW150" s="73">
        <f t="shared" si="58"/>
        <v>617.09183055857272</v>
      </c>
      <c r="EX150" s="73">
        <f t="shared" si="59"/>
        <v>797.20812809133224</v>
      </c>
      <c r="EY150" s="92">
        <f t="shared" si="71"/>
        <v>0.43632316241290875</v>
      </c>
      <c r="EZ150" s="92">
        <f t="shared" si="71"/>
        <v>0.56367683758709108</v>
      </c>
      <c r="FB150" s="102">
        <f>IF('Renewable Diesel'!$BG159&lt;1,0,(((('Renewable Diesel'!$BG159-1)*'Renewable Diesel'!$BF159)*'RD Feedstock Breakdown'!EA150)*'Feedstock Conversion Rates'!$B$2))</f>
        <v>0</v>
      </c>
      <c r="FC150" s="102">
        <f>IF('Renewable Diesel'!$BG159&lt;1,0,(((('Renewable Diesel'!$BG159-1)*'Renewable Diesel'!$BF159)*'RD Feedstock Breakdown'!EB150)*'Feedstock Conversion Rates'!$B$3))</f>
        <v>0</v>
      </c>
      <c r="FD150" s="102">
        <f>IF('Renewable Diesel'!$BG159&lt;1,0,(((('Renewable Diesel'!$BG159-1)*'Renewable Diesel'!$BF159)*'RD Feedstock Breakdown'!EC150)*'Feedstock Conversion Rates'!$B$4))</f>
        <v>0</v>
      </c>
      <c r="FE150" s="102">
        <f>IF('Renewable Diesel'!$BG159&lt;1,0,(((('Renewable Diesel'!$BG159-1)*'Renewable Diesel'!$BF159)*'RD Feedstock Breakdown'!ED150)*'Feedstock Conversion Rates'!$B$5))</f>
        <v>0</v>
      </c>
      <c r="FF150" s="102">
        <f>IF('Renewable Diesel'!$BG159&lt;1,0,(((('Renewable Diesel'!$BG159-1)*'Renewable Diesel'!$BF159)*'RD Feedstock Breakdown'!EE150)*'Feedstock Conversion Rates'!$B$6))</f>
        <v>0</v>
      </c>
      <c r="FG150" s="102">
        <f>IF('Renewable Diesel'!$BG159&lt;1,0,(((('Renewable Diesel'!$BG159-1)*'Renewable Diesel'!$BF159)*'RD Feedstock Breakdown'!EF150)*'Feedstock Conversion Rates'!$B$7))</f>
        <v>0</v>
      </c>
      <c r="FH150" s="102">
        <f>IF('Renewable Diesel'!$BG159&lt;1,0,(((('Renewable Diesel'!$BG159-1)*'Renewable Diesel'!$BF159)*'RD Feedstock Breakdown'!EG150)*'Feedstock Conversion Rates'!$B$8))</f>
        <v>0</v>
      </c>
      <c r="FI150" s="102">
        <f>IF('Renewable Diesel'!$BG159&lt;1,0,(((('Renewable Diesel'!$BG159-1)*'Renewable Diesel'!$BF159)*'RD Feedstock Breakdown'!EH150)*'Feedstock Conversion Rates'!$B$9))</f>
        <v>0</v>
      </c>
      <c r="FJ150" s="102">
        <f t="shared" si="60"/>
        <v>0</v>
      </c>
      <c r="FL150" s="3">
        <f>('Renewable Diesel'!AX159/12*$FO$80)*'RD Feedstock Breakdown'!EC150*7.5</f>
        <v>521.03614754507782</v>
      </c>
      <c r="FM150" s="3">
        <f t="shared" si="96"/>
        <v>149.76382214421312</v>
      </c>
      <c r="FR150" s="3">
        <f>('Renewable Diesel'!AX159-'Renewable Diesel'!BI159)/12*$FO$80</f>
        <v>109.22718749999999</v>
      </c>
      <c r="FS150" s="100">
        <f t="shared" si="97"/>
        <v>0.28257671889096486</v>
      </c>
      <c r="FT150" s="3">
        <f t="shared" si="98"/>
        <v>231.48795193078655</v>
      </c>
      <c r="FY150" s="3">
        <f>'Renewable Diesel'!BF159*('Renewable Diesel'!BI159/'Renewable Diesel'!AX159)</f>
        <v>97.352687598882738</v>
      </c>
      <c r="FZ150" s="3">
        <f>('Renewable Diesel'!BJ159*'Renewable Diesel'!BG159)/12</f>
        <v>84.549114260142289</v>
      </c>
      <c r="GA150" s="3">
        <f t="shared" ref="GA150:GA213" si="105">FZ150*FS150*7.5</f>
        <v>179.18708469576222</v>
      </c>
      <c r="GD150" s="91">
        <f>'Renewable Diesel'!BB159*0</f>
        <v>0</v>
      </c>
      <c r="GE150" s="91">
        <f>'Renewable Diesel'!BC159</f>
        <v>0.79717000000000005</v>
      </c>
      <c r="GF150" s="91">
        <f>'Renewable Diesel'!BD159</f>
        <v>0</v>
      </c>
      <c r="GG150" s="91">
        <f>GF150+GE150</f>
        <v>0.79717000000000005</v>
      </c>
      <c r="GH150" s="124">
        <v>1</v>
      </c>
      <c r="GI150" s="102">
        <f>$GG150*EA150*'Feedstock Conversion Rates'!$B$2</f>
        <v>0.59987705124408441</v>
      </c>
      <c r="GJ150" s="102">
        <f>$GG150*EB150*'Feedstock Conversion Rates'!$B$3</f>
        <v>1.5799180975327769</v>
      </c>
      <c r="GK150" s="102">
        <f>$GG150*EC150*'Feedstock Conversion Rates'!$B$4</f>
        <v>1.6894626224873286</v>
      </c>
      <c r="GL150" s="102">
        <f>$GG150*ED150*'Feedstock Conversion Rates'!$B$5</f>
        <v>1.1185936506144758</v>
      </c>
      <c r="GM150" s="102">
        <f>$GG150*EE150*'Feedstock Conversion Rates'!$B$6</f>
        <v>0.61998871263662614</v>
      </c>
      <c r="GN150" s="102">
        <f>$GG150*EF150*'Feedstock Conversion Rates'!$B$7</f>
        <v>0.74568117154995917</v>
      </c>
      <c r="GO150" s="102">
        <f>$GG150*EG150*'Feedstock Conversion Rates'!$B$8</f>
        <v>7.1402417399698964E-2</v>
      </c>
      <c r="GP150" s="102">
        <f>$GG150*EH150*'Feedstock Conversion Rates'!B$9</f>
        <v>1.0802167347228057E-2</v>
      </c>
      <c r="GQ150" s="102">
        <f t="shared" si="87"/>
        <v>6.4357258908121793</v>
      </c>
      <c r="GR150" s="85">
        <f t="shared" si="53"/>
        <v>8.0732163664114047</v>
      </c>
      <c r="GT150" s="103">
        <f t="shared" si="94"/>
        <v>9.3210472512585643E-2</v>
      </c>
      <c r="GU150" s="103">
        <f t="shared" si="94"/>
        <v>0.24549182552791934</v>
      </c>
      <c r="GV150" s="103">
        <f t="shared" si="94"/>
        <v>0.2625131416642919</v>
      </c>
      <c r="GW150" s="103">
        <f t="shared" si="94"/>
        <v>0.17381002074861693</v>
      </c>
      <c r="GX150" s="103">
        <f t="shared" si="94"/>
        <v>9.6335475306948568E-2</v>
      </c>
      <c r="GY150" s="103">
        <f t="shared" si="69"/>
        <v>0.11586589985358364</v>
      </c>
      <c r="GZ150" s="103">
        <f t="shared" si="69"/>
        <v>1.1094695238906159E-2</v>
      </c>
      <c r="HA150" s="103">
        <f t="shared" si="69"/>
        <v>1.6784691471477258E-3</v>
      </c>
    </row>
    <row r="151" spans="1:209" x14ac:dyDescent="0.25">
      <c r="A151" s="96">
        <v>45017</v>
      </c>
      <c r="B151" s="104">
        <f>23-20+10+85-5-4-4-1.25+2.25-5+15-6-25-45+65+15-22.5-50+40+16.5+27.5+168+80+14-30+15-50-19+22.5-10+5+11-25-50-12.5-27.5-10+10+2+4-1.5+12-26-15-50-15+10-32.5-3-5-2.5-1+10-50-35-4-0.5+25+20+25+20+15+85-25-4+12.5-52.5+10+20-151+20-20</f>
        <v>0</v>
      </c>
      <c r="C151" s="104">
        <f>40-10-2.5-27.5+25+25+50-100</f>
        <v>0</v>
      </c>
      <c r="D151" s="104">
        <f t="shared" si="95"/>
        <v>1.5</v>
      </c>
      <c r="E151" s="104">
        <f>('Renewable Diesel'!B160*E$3*'Feedstock Conversion Rates'!$B$2)/12-40+1.25+6-43+30-15+12.5-4+1.5+26+2.5+3-10+50+4-15+4</f>
        <v>103.67999999999999</v>
      </c>
      <c r="F151" s="104">
        <f>('Renewable Diesel'!B160*'RD Feedstock Breakdown'!F$3*'Feedstock Conversion Rates'!B$8)/12+28.5-49-5+2-6+1+6+20-20-3.75+10+2.5+5-20-20</f>
        <v>5.15625</v>
      </c>
      <c r="G151" s="104">
        <f>('Renewable Diesel'!B160*'RD Feedstock Breakdown'!G$3*'Feedstock Conversion Rates'!B$7)/12-25-15-25+4+4-20-40-20+10-17.5+20+50-12+32.5+35-75-75+22.5+5-20+120</f>
        <v>134.65700000000001</v>
      </c>
      <c r="H151" s="104">
        <f>('Renewable Diesel'!B160*'RD Feedstock Breakdown'!H$3*'Feedstock Conversion Rates'!B$3)/12-85+4-15+70-65-80+50-22.5-5+25+27.5+15+50+15-10+5+50+75-5-25-85-12.5+30+22.5-25-30+151-50</f>
        <v>251.40022499999998</v>
      </c>
      <c r="I151" s="106">
        <f t="shared" ref="I151:I214" si="106">SUM(B151:H151)</f>
        <v>496.39347499999997</v>
      </c>
      <c r="J151" s="104">
        <f>120+40+59+10-15-1.75+7.5-2-15-25-75+25+2.5-7-1+15+20+25+15+20-217+17.5+2</f>
        <v>19.75</v>
      </c>
      <c r="K151" s="104">
        <v>191</v>
      </c>
      <c r="L151" s="104">
        <v>1</v>
      </c>
      <c r="M151" s="104">
        <f>('Renewable Diesel'!C160*'RD Feedstock Breakdown'!M$3*'Feedstock Conversion Rates'!B$2)/12-15-40+2+117-25-2-50-40</f>
        <v>24.902500000000003</v>
      </c>
      <c r="N151" s="104">
        <f>('Renewable Diesel'!C160*'RD Feedstock Breakdown'!N$3*'Feedstock Conversion Rates'!B$8)/12+1.75+7-15-20+30-10-25</f>
        <v>5.46875</v>
      </c>
      <c r="O151" s="104">
        <f>('Renewable Diesel'!C160*'RD Feedstock Breakdown'!O$3*'Feedstock Conversion Rates'!B$7)/12+30-120+25-17.5</f>
        <v>37.490999999999985</v>
      </c>
      <c r="P151" s="104">
        <f>('Renewable Diesel'!C160*'RD Feedstock Breakdown'!P$3*'Feedstock Conversion Rates'!B$3)/12-15-59-10+15-7.5+15+75-25-2.5-25-15-20+25+100-96</f>
        <v>59.470425000000034</v>
      </c>
      <c r="Q151" s="106">
        <f t="shared" si="92"/>
        <v>339.08267500000005</v>
      </c>
      <c r="R151" s="104">
        <f>('Renewable Diesel'!D160*'RD Feedstock Breakdown'!R$3*'Feedstock Conversion Rates'!B$7)/12</f>
        <v>2.2999999999999998</v>
      </c>
      <c r="S151" s="106">
        <f t="shared" si="67"/>
        <v>2.2999999999999998</v>
      </c>
      <c r="T151" s="104">
        <f>15+10+5-30+35-10-3-22+20+20</f>
        <v>40</v>
      </c>
      <c r="U151" s="104">
        <v>0</v>
      </c>
      <c r="V151" s="104">
        <f>('Renewable Diesel'!E160*'RD Feedstock Breakdown'!V$3*'Feedstock Conversion Rates'!B$6)/12-20-5-5+32.5-35+25-15+22-20</f>
        <v>23.750150000000012</v>
      </c>
      <c r="W151" s="104">
        <f>('Renewable Diesel'!E160*'RD Feedstock Breakdown'!W$3*'Feedstock Conversion Rates'!B$8)/12-2.5+3-20</f>
        <v>2.6796875</v>
      </c>
      <c r="X151" s="106">
        <f t="shared" si="88"/>
        <v>66.429837500000019</v>
      </c>
      <c r="Y151" s="104">
        <f>30-30+50-20+20-2-35-13+7.5-5-2.5+15</f>
        <v>15</v>
      </c>
      <c r="Z151" s="104">
        <f>('Renewable Diesel'!F160*'RD Feedstock Breakdown'!Z$3*'Feedstock Conversion Rates'!B$6)/12-30+20-20-7.5+2.5</f>
        <v>9.5550000000000068</v>
      </c>
      <c r="AA151" s="104">
        <f>('Renewable Diesel'!F160*'RD Feedstock Breakdown'!AA$3*'Feedstock Conversion Rates'!B$7)/12+30-50+2+35+13+5-15</f>
        <v>49.133333333333326</v>
      </c>
      <c r="AB151" s="106">
        <f t="shared" si="62"/>
        <v>73.688333333333333</v>
      </c>
      <c r="AC151" s="104">
        <f>('Renewable Diesel'!G160*'RD Feedstock Breakdown'!AC$3*'Feedstock Conversion Rates'!B$5)/12</f>
        <v>0</v>
      </c>
      <c r="AD151" s="104">
        <f>('Renewable Diesel'!G160*'RD Feedstock Breakdown'!AD$3*'Feedstock Conversion Rates'!B$4)/12</f>
        <v>0</v>
      </c>
      <c r="AE151" s="104">
        <f>('Renewable Diesel'!G160*'RD Feedstock Breakdown'!AE$3*'Feedstock Conversion Rates'!B$6)/12</f>
        <v>0</v>
      </c>
      <c r="AF151" s="106">
        <f t="shared" si="101"/>
        <v>0</v>
      </c>
      <c r="AG151" s="104">
        <v>50</v>
      </c>
      <c r="AH151" s="104">
        <v>0</v>
      </c>
      <c r="AI151" s="104">
        <f>('Renewable Diesel'!H160*'RD Feedstock Breakdown'!AI$3*'Feedstock Conversion Rates'!B$6)/12-17.5+17.5-26+26-30+30-50</f>
        <v>8.6250000000000071</v>
      </c>
      <c r="AJ151" s="106">
        <f t="shared" si="65"/>
        <v>58.625000000000007</v>
      </c>
      <c r="AK151" s="104">
        <f>('Renewable Diesel'!J160*'RD Feedstock Breakdown'!AK$3*'Feedstock Conversion Rates'!B$4)/12</f>
        <v>95.8125</v>
      </c>
      <c r="AL151" s="106">
        <f t="shared" si="68"/>
        <v>95.8125</v>
      </c>
      <c r="AM151" s="104">
        <f>('Renewable Diesel'!K160*'RD Feedstock Breakdown'!AM$3*'Feedstock Conversion Rates'!B$4)/12</f>
        <v>58.59375</v>
      </c>
      <c r="AN151" s="104">
        <f>('Renewable Diesel'!K160*'RD Feedstock Breakdown'!AN$3*'Feedstock Conversion Rates'!B$6)/12</f>
        <v>24.427083333333332</v>
      </c>
      <c r="AO151" s="106">
        <f t="shared" si="81"/>
        <v>83.020833333333329</v>
      </c>
      <c r="AP151" s="104">
        <f>('Renewable Diesel'!L160*'RD Feedstock Breakdown'!AP$3*'Feedstock Conversion Rates'!B$4)/12+15-5-40+10</f>
        <v>38.59375</v>
      </c>
      <c r="AQ151" s="104">
        <f>('Renewable Diesel'!L160*'RD Feedstock Breakdown'!AQ$3*'Feedstock Conversion Rates'!B$6)/12-15+5+40-10</f>
        <v>44.427083333333329</v>
      </c>
      <c r="AR151" s="106">
        <f t="shared" si="70"/>
        <v>83.020833333333329</v>
      </c>
      <c r="AS151" s="104">
        <f>('Renewable Diesel'!M160*'RD Feedstock Breakdown'!AS$3*'Feedstock Conversion Rates'!B$4)/12</f>
        <v>121.875</v>
      </c>
      <c r="AT151" s="104">
        <f>('Renewable Diesel'!M160*'RD Feedstock Breakdown'!AT$3*'Feedstock Conversion Rates'!B$5)/12</f>
        <v>0</v>
      </c>
      <c r="AU151" s="106">
        <f t="shared" si="104"/>
        <v>121.875</v>
      </c>
      <c r="AV151" s="104">
        <f>'Renewable Diesel'!N160*'RD Feedstock Breakdown'!$AV$3*'Feedstock Conversion Rates'!$B$4/12-15-10+25+25-22-75-6.5+50+25</f>
        <v>75.249999999999986</v>
      </c>
      <c r="AW151" s="104">
        <f>'Renewable Diesel'!N160*'RD Feedstock Breakdown'!$AW$3*'Feedstock Conversion Rates'!$B$7/12+15+10-25-25+22+75+6.5-50-25</f>
        <v>44.900000000000006</v>
      </c>
      <c r="AX151" s="106">
        <f t="shared" si="63"/>
        <v>120.14999999999999</v>
      </c>
      <c r="AY151" s="104">
        <f>('Renewable Diesel'!O160*'RD Feedstock Breakdown'!AY$3*'Feedstock Conversion Rates'!B$4)/12+5-50</f>
        <v>22.5</v>
      </c>
      <c r="AZ151" s="104">
        <f>('Renewable Diesel'!O160*'RD Feedstock Breakdown'!AZ$3*'Feedstock Conversion Rates'!B$3)/12-5+50</f>
        <v>53.01</v>
      </c>
      <c r="BA151" s="106">
        <f t="shared" si="66"/>
        <v>75.509999999999991</v>
      </c>
      <c r="BB151" s="104">
        <f>('Renewable Diesel'!Q160*'RD Feedstock Breakdown'!BB$3*'Feedstock Conversion Rates'!B$4)/12</f>
        <v>0</v>
      </c>
      <c r="BC151" s="104">
        <f>('Renewable Diesel'!Q160*'RD Feedstock Breakdown'!BC$3*'Feedstock Conversion Rates'!B$3)/12</f>
        <v>0</v>
      </c>
      <c r="BD151" s="104">
        <f>('Renewable Diesel'!Q160*'RD Feedstock Breakdown'!BD$3*'Feedstock Conversion Rates'!B$6)/12</f>
        <v>0</v>
      </c>
      <c r="BE151" s="106">
        <f t="shared" si="90"/>
        <v>0</v>
      </c>
      <c r="BF151" s="104">
        <f>('Renewable Diesel'!R160*'RD Feedstock Breakdown'!BF$3*'Feedstock Conversion Rates'!B$4)/12</f>
        <v>62.5</v>
      </c>
      <c r="BG151" s="106">
        <f t="shared" si="72"/>
        <v>62.5</v>
      </c>
      <c r="BH151" s="104">
        <f>('Renewable Diesel'!T160*'RD Feedstock Breakdown'!BH$3*'Feedstock Conversion Rates'!B$7)/12</f>
        <v>13.799999999999999</v>
      </c>
      <c r="BI151" s="106">
        <f t="shared" si="64"/>
        <v>13.799999999999999</v>
      </c>
      <c r="BJ151" s="104">
        <f>('Renewable Diesel'!W160*'RD Feedstock Breakdown'!BJ$3*'Feedstock Conversion Rates'!B$4)/12-7.5</f>
        <v>0</v>
      </c>
      <c r="BK151" s="104">
        <f>('Renewable Diesel'!W160*'RD Feedstock Breakdown'!BK$3*'Feedstock Conversion Rates'!B$3)/12</f>
        <v>1.335</v>
      </c>
      <c r="BL151" s="104">
        <f>('Renewable Diesel'!W160*'RD Feedstock Breakdown'!BL$3*'Feedstock Conversion Rates'!B$6)/12</f>
        <v>3.1266666666666669</v>
      </c>
      <c r="BM151" s="104">
        <f>('Renewable Diesel'!W160*'RD Feedstock Breakdown'!BM$3*'Feedstock Conversion Rates'!B$7)/12+7.5</f>
        <v>9.0333333333333332</v>
      </c>
      <c r="BN151" s="106">
        <f t="shared" si="54"/>
        <v>13.495000000000001</v>
      </c>
      <c r="BO151" s="104">
        <f>('Renewable Diesel'!P160*'Feedstock Conversion Rates'!B$4)/12</f>
        <v>0</v>
      </c>
      <c r="BP151" s="106">
        <f t="shared" si="102"/>
        <v>0</v>
      </c>
      <c r="BQ151" s="104"/>
      <c r="BR151" s="104"/>
      <c r="BS151" s="106"/>
      <c r="BT151" s="106"/>
      <c r="BU151" s="104">
        <f>('Renewable Diesel'!Y160*'Feedstock Conversion Rates'!B$7)/12</f>
        <v>0</v>
      </c>
      <c r="BV151" s="106">
        <f t="shared" si="93"/>
        <v>0</v>
      </c>
      <c r="BW151" s="106"/>
      <c r="BX151" s="106"/>
      <c r="BY151" s="106"/>
      <c r="BZ151" s="106"/>
      <c r="CA151" s="106"/>
      <c r="CB151" s="104">
        <f>('Renewable Diesel'!AA160*'Feedstock Conversion Rates'!B$4)/12</f>
        <v>47.8125</v>
      </c>
      <c r="CC151" s="106">
        <f>CB151</f>
        <v>47.8125</v>
      </c>
      <c r="CD151" s="104">
        <f>('Renewable Diesel'!$AB160*'RD Feedstock Breakdown'!CD$3*'Feedstock Conversion Rates'!$B$6)/12</f>
        <v>0</v>
      </c>
      <c r="CE151" s="104">
        <f>('Renewable Diesel'!$AB160*'RD Feedstock Breakdown'!CE$3*'Feedstock Conversion Rates'!$B$4)/12</f>
        <v>0</v>
      </c>
      <c r="CF151" s="106">
        <f>SUM(CD151:CE151)</f>
        <v>0</v>
      </c>
      <c r="CG151" s="104">
        <f>('Renewable Diesel'!AD160*'Feedstock Conversion Rates'!B$4)/12</f>
        <v>42.1875</v>
      </c>
      <c r="CH151" s="106">
        <f t="shared" si="89"/>
        <v>42.1875</v>
      </c>
      <c r="CI151" s="104">
        <f>('Renewable Diesel'!$AE160*'RD Feedstock Breakdown'!CI$3*'Feedstock Conversion Rates'!$B$5)/12</f>
        <v>0.17302083333333332</v>
      </c>
      <c r="CJ151" s="104">
        <f>('Renewable Diesel'!$AE160*'RD Feedstock Breakdown'!CJ$3*'Feedstock Conversion Rates'!$B$4)/12</f>
        <v>0.171875</v>
      </c>
      <c r="CK151" s="106">
        <f t="shared" si="103"/>
        <v>0.34489583333333329</v>
      </c>
      <c r="CL151" s="104">
        <f>(((CL$3*'Renewable Diesel'!$AF160)*'Feedstock Conversion Rates'!$B$3)/12)</f>
        <v>30.037499999999998</v>
      </c>
      <c r="CM151" s="104">
        <f>(((CM$3*'Renewable Diesel'!$AF160)*'Feedstock Conversion Rates'!$B$6)/12)</f>
        <v>17.587500000000002</v>
      </c>
      <c r="CN151" s="104">
        <f>(((CN$3*'Renewable Diesel'!$AF160)*'Feedstock Conversion Rates'!$B$4)/12)</f>
        <v>14.0625</v>
      </c>
      <c r="CO151" s="106">
        <f t="shared" si="91"/>
        <v>61.6875</v>
      </c>
      <c r="CP151" s="106"/>
      <c r="CQ151" s="106"/>
      <c r="CR151" s="106"/>
      <c r="CS151" s="106"/>
      <c r="CT151" s="104">
        <f>('Renewable Diesel'!AI160*'Feedstock Conversion Rates'!$B$4*'RD Feedstock Breakdown'!$CT$3)/12</f>
        <v>0</v>
      </c>
      <c r="CU151" s="106">
        <f t="shared" si="99"/>
        <v>0</v>
      </c>
      <c r="CV151" s="106"/>
      <c r="CW151" s="106"/>
      <c r="CX151" s="106"/>
      <c r="CY151" s="106"/>
      <c r="CZ151" s="106"/>
      <c r="DA151" s="106"/>
      <c r="DB151" s="106"/>
      <c r="DC151" s="106"/>
      <c r="DD151" s="106"/>
      <c r="DE151" s="106"/>
      <c r="DF151" s="106"/>
      <c r="DG151" s="106"/>
      <c r="DH151" s="106"/>
      <c r="DI151" s="106"/>
      <c r="DJ151" s="106"/>
      <c r="DK151" s="106"/>
      <c r="DL151" s="106"/>
      <c r="DM151" s="106"/>
      <c r="DN151" s="106"/>
      <c r="DP151" s="104">
        <f t="shared" si="73"/>
        <v>128.58249999999998</v>
      </c>
      <c r="DQ151" s="104">
        <f t="shared" si="74"/>
        <v>395.25315000000001</v>
      </c>
      <c r="DR151" s="104">
        <f t="shared" si="82"/>
        <v>614.109375</v>
      </c>
      <c r="DS151" s="104">
        <f t="shared" si="100"/>
        <v>281.17302083333334</v>
      </c>
      <c r="DT151" s="104">
        <f t="shared" si="75"/>
        <v>131.49848333333335</v>
      </c>
      <c r="DU151" s="104">
        <f>G151+O151+R151+AA151+AW151+BH151+BM151+BR151+BU151+BY151</f>
        <v>291.31466666666671</v>
      </c>
      <c r="DV151" s="104">
        <f>F151+N151+W151+DM151</f>
        <v>13.3046875</v>
      </c>
      <c r="DW151" s="104">
        <f t="shared" si="77"/>
        <v>2.5</v>
      </c>
      <c r="DX151" s="106">
        <f t="shared" si="78"/>
        <v>1857.7358833333333</v>
      </c>
      <c r="DY151" s="109">
        <f t="shared" si="79"/>
        <v>-2.3447910280083306E-13</v>
      </c>
      <c r="EA151" s="110">
        <f t="shared" si="55"/>
        <v>6.9214629029657623E-2</v>
      </c>
      <c r="EB151" s="110">
        <f t="shared" si="55"/>
        <v>0.21276068010851884</v>
      </c>
      <c r="EC151" s="110">
        <f t="shared" si="55"/>
        <v>0.33056872104882007</v>
      </c>
      <c r="ED151" s="110">
        <f t="shared" si="55"/>
        <v>0.15135252721114745</v>
      </c>
      <c r="EE151" s="110">
        <f t="shared" si="56"/>
        <v>7.0784272680024768E-2</v>
      </c>
      <c r="EF151" s="110">
        <f t="shared" si="56"/>
        <v>0.15681167020575668</v>
      </c>
      <c r="EG151" s="111">
        <f t="shared" si="56"/>
        <v>7.1617755889644627E-3</v>
      </c>
      <c r="EH151" s="111">
        <f t="shared" si="84"/>
        <v>1.345724127110175E-3</v>
      </c>
      <c r="EI151" s="110">
        <f t="shared" si="85"/>
        <v>0.99865427587288991</v>
      </c>
      <c r="EK151" s="112">
        <f>(EA151*'Renewable Diesel'!BF160*'Feedstock Conversion Rates'!B$2)+FB151</f>
        <v>100.27062114872976</v>
      </c>
      <c r="EL151" s="112">
        <f>(EB151*'Renewable Diesel'!BF160*'Feedstock Conversion Rates'!B$3)+FC151</f>
        <v>290.45627943657269</v>
      </c>
      <c r="EM151" s="112">
        <f>(EC151*'Renewable Diesel'!BF160*'Feedstock Conversion Rates'!B$4)+FD151</f>
        <v>422.55175025767312</v>
      </c>
      <c r="EN151" s="112">
        <f>(ED151*'Renewable Diesel'!BF160*'Feedstock Conversion Rates'!B$5)+FE151</f>
        <v>194.75719575016194</v>
      </c>
      <c r="EO151" s="112">
        <f>(EE151*'Renewable Diesel'!BF160*'Feedstock Conversion Rates'!B$6)+FF151</f>
        <v>113.16092697185142</v>
      </c>
      <c r="EP151" s="112">
        <f>(EF151*'Renewable Diesel'!BF160*'Feedstock Conversion Rates'!B$7)+FG151</f>
        <v>245.87993627611192</v>
      </c>
      <c r="EQ151" s="112">
        <f>(EG151*'Renewable Diesel'!BF160*'Feedstock Conversion Rates'!B$8)+FH151</f>
        <v>11.443236373317834</v>
      </c>
      <c r="ER151" s="112">
        <f>(EH151*'Renewable Diesel'!BF160*'Feedstock Conversion Rates'!B$9)+FI151</f>
        <v>2.1215567611678705</v>
      </c>
      <c r="ES151" s="112">
        <f t="shared" si="86"/>
        <v>1380.6415029755865</v>
      </c>
      <c r="ET151" s="91">
        <f>ES151/'Renewable Diesel'!BF160</f>
        <v>8.1007278206855435</v>
      </c>
      <c r="EW151" s="73">
        <f t="shared" si="58"/>
        <v>617.30894600783506</v>
      </c>
      <c r="EX151" s="73">
        <f t="shared" si="59"/>
        <v>763.33255696775154</v>
      </c>
      <c r="EY151" s="92">
        <f t="shared" si="71"/>
        <v>0.44711747740264096</v>
      </c>
      <c r="EZ151" s="92">
        <f t="shared" si="71"/>
        <v>0.55288252259735915</v>
      </c>
      <c r="FB151" s="102">
        <f>IF('Renewable Diesel'!$BG160&lt;1,0,(((('Renewable Diesel'!$BG160-1)*'Renewable Diesel'!$BF160)*'RD Feedstock Breakdown'!EA151)*'Feedstock Conversion Rates'!$B$2))</f>
        <v>0</v>
      </c>
      <c r="FC151" s="102">
        <f>IF('Renewable Diesel'!$BG160&lt;1,0,(((('Renewable Diesel'!$BG160-1)*'Renewable Diesel'!$BF160)*'RD Feedstock Breakdown'!EB151)*'Feedstock Conversion Rates'!$B$3))</f>
        <v>0</v>
      </c>
      <c r="FD151" s="102">
        <f>IF('Renewable Diesel'!$BG160&lt;1,0,(((('Renewable Diesel'!$BG160-1)*'Renewable Diesel'!$BF160)*'RD Feedstock Breakdown'!EC151)*'Feedstock Conversion Rates'!$B$4))</f>
        <v>0</v>
      </c>
      <c r="FE151" s="102">
        <f>IF('Renewable Diesel'!$BG160&lt;1,0,(((('Renewable Diesel'!$BG160-1)*'Renewable Diesel'!$BF160)*'RD Feedstock Breakdown'!ED151)*'Feedstock Conversion Rates'!$B$5))</f>
        <v>0</v>
      </c>
      <c r="FF151" s="102">
        <f>IF('Renewable Diesel'!$BG160&lt;1,0,(((('Renewable Diesel'!$BG160-1)*'Renewable Diesel'!$BF160)*'RD Feedstock Breakdown'!EE151)*'Feedstock Conversion Rates'!$B$6))</f>
        <v>0</v>
      </c>
      <c r="FG151" s="102">
        <f>IF('Renewable Diesel'!$BG160&lt;1,0,(((('Renewable Diesel'!$BG160-1)*'Renewable Diesel'!$BF160)*'RD Feedstock Breakdown'!EF151)*'Feedstock Conversion Rates'!$B$7))</f>
        <v>0</v>
      </c>
      <c r="FH151" s="102">
        <f>IF('Renewable Diesel'!$BG160&lt;1,0,(((('Renewable Diesel'!$BG160-1)*'Renewable Diesel'!$BF160)*'RD Feedstock Breakdown'!EG151)*'Feedstock Conversion Rates'!$B$8))</f>
        <v>0</v>
      </c>
      <c r="FI151" s="102">
        <f>IF('Renewable Diesel'!$BG160&lt;1,0,(((('Renewable Diesel'!$BG160-1)*'Renewable Diesel'!$BF160)*'RD Feedstock Breakdown'!EH151)*'Feedstock Conversion Rates'!$B$9))</f>
        <v>0</v>
      </c>
      <c r="FJ151" s="102">
        <f t="shared" si="60"/>
        <v>0</v>
      </c>
      <c r="FL151" s="3">
        <f>('Renewable Diesel'!AX160/12*$FO$80)*'RD Feedstock Breakdown'!EC151*7.5</f>
        <v>609.52740052389311</v>
      </c>
      <c r="FM151" s="3">
        <f t="shared" si="96"/>
        <v>186.97565026621999</v>
      </c>
      <c r="FR151" s="3">
        <f>('Renewable Diesel'!AX160-'Renewable Diesel'!BI160)/12*$FO$80</f>
        <v>86.978999999999985</v>
      </c>
      <c r="FS151" s="100">
        <f t="shared" si="97"/>
        <v>0.33056872104882007</v>
      </c>
      <c r="FT151" s="3">
        <f t="shared" si="98"/>
        <v>215.64402591078988</v>
      </c>
      <c r="FY151" s="3">
        <f>'Renewable Diesel'!BF160*('Renewable Diesel'!BI160/'Renewable Diesel'!AX160)</f>
        <v>110.13650749332521</v>
      </c>
      <c r="FZ151" s="3">
        <f>('Renewable Diesel'!BJ160*'Renewable Diesel'!BG160)/12</f>
        <v>59.163111491764248</v>
      </c>
      <c r="GA151" s="3">
        <f t="shared" si="105"/>
        <v>146.68105574325944</v>
      </c>
      <c r="GD151" s="91">
        <f>'Renewable Diesel'!BB160*0</f>
        <v>0</v>
      </c>
      <c r="GE151" s="91">
        <f>'Renewable Diesel'!BC160</f>
        <v>0.91352100000000003</v>
      </c>
      <c r="GF151" s="91">
        <f>'Renewable Diesel'!BD160</f>
        <v>0</v>
      </c>
      <c r="GG151" s="91">
        <f>GF151+GE151</f>
        <v>0.91352100000000003</v>
      </c>
      <c r="GH151" s="124">
        <v>1</v>
      </c>
      <c r="GI151" s="102">
        <f>$GG151*EA151*'Feedstock Conversion Rates'!$B$2</f>
        <v>0.53744664556931587</v>
      </c>
      <c r="GJ151" s="102">
        <f>$GG151*EB151*'Feedstock Conversion Rates'!$B$3</f>
        <v>1.5568344075198481</v>
      </c>
      <c r="GK151" s="102">
        <f>$GG151*EC151*'Feedstock Conversion Rates'!$B$4</f>
        <v>2.2648610146592936</v>
      </c>
      <c r="GL151" s="102">
        <f>$GG151*ED151*'Feedstock Conversion Rates'!$B$5</f>
        <v>1.0438910256789324</v>
      </c>
      <c r="GM151" s="102">
        <f>$GG151*EE151*'Feedstock Conversion Rates'!$B$6</f>
        <v>0.60653818550027327</v>
      </c>
      <c r="GN151" s="102">
        <f>$GG151*EF151*'Feedstock Conversion Rates'!$B$7</f>
        <v>1.3179069347579038</v>
      </c>
      <c r="GO151" s="102">
        <f>$GG151*EG151*'Feedstock Conversion Rates'!$B$8</f>
        <v>6.1335303729435048E-2</v>
      </c>
      <c r="GP151" s="102">
        <f>$GG151*EH151*'Feedstock Conversion Rates'!B$9</f>
        <v>1.1371462065476783E-2</v>
      </c>
      <c r="GQ151" s="102">
        <f t="shared" si="87"/>
        <v>7.4001849794804793</v>
      </c>
      <c r="GR151" s="85">
        <f t="shared" ref="GR151:GR214" si="107">GQ151/GG151</f>
        <v>8.1007278206855435</v>
      </c>
      <c r="GT151" s="103">
        <f t="shared" si="94"/>
        <v>7.2626109625579485E-2</v>
      </c>
      <c r="GU151" s="103">
        <f t="shared" si="94"/>
        <v>0.21037776918235143</v>
      </c>
      <c r="GV151" s="103">
        <f t="shared" si="94"/>
        <v>0.30605464876072541</v>
      </c>
      <c r="GW151" s="103">
        <f t="shared" si="94"/>
        <v>0.14106282864191558</v>
      </c>
      <c r="GX151" s="103">
        <f t="shared" si="94"/>
        <v>8.196257082520314E-2</v>
      </c>
      <c r="GY151" s="103">
        <f t="shared" si="69"/>
        <v>0.17809107994087278</v>
      </c>
      <c r="GZ151" s="103">
        <f t="shared" si="69"/>
        <v>8.2883473723302827E-3</v>
      </c>
      <c r="HA151" s="103">
        <f t="shared" si="69"/>
        <v>1.5366456510219693E-3</v>
      </c>
    </row>
    <row r="152" spans="1:209" x14ac:dyDescent="0.25">
      <c r="A152" s="96">
        <v>45047</v>
      </c>
      <c r="B152" s="104">
        <f>23-20+10+85-5-4-4-1.25+2.25-5+15-6-25-45+65+15-22.5-50+40+16.5+27.5+168+80+14-30+15-50-19+22.5-10+5+11-25-50-12.5-27.5-10+10+2+4-1.5+12-26-15-50-15+10-32.5-3-5-2.5-1+10-50-35-4-0.5+25+20+25+20+15+85-25-4+12.5-52.5+10+20-151+20+50-10-15+49-75</f>
        <v>19</v>
      </c>
      <c r="C152" s="104">
        <f>40-10-2.5-27.5+25+25+25+40-100</f>
        <v>15</v>
      </c>
      <c r="D152" s="104">
        <f t="shared" si="95"/>
        <v>1.5</v>
      </c>
      <c r="E152" s="104">
        <f>('Renewable Diesel'!B161*E$3*'Feedstock Conversion Rates'!$B$2)/12-40+1.25+6-43+30-15+12.5-4+1.5+26+2.5+3-10+50+4-15+4-40+10-49</f>
        <v>24.679999999999993</v>
      </c>
      <c r="F152" s="104">
        <f>('Renewable Diesel'!B161*'RD Feedstock Breakdown'!F$3*'Feedstock Conversion Rates'!B$8)/12+28.5-49-5+2-6+1+6+20-20-3.75+10+2.5+5-20-20</f>
        <v>5.15625</v>
      </c>
      <c r="G152" s="104">
        <f>('Renewable Diesel'!B161*'RD Feedstock Breakdown'!G$3*'Feedstock Conversion Rates'!B$7)/12-25-15-25+4+4-20-40-20+10-17.5+20+50-12+32.5+35-75-75+22.5+5-20+15+100</f>
        <v>129.65700000000001</v>
      </c>
      <c r="H152" s="104">
        <f>('Renewable Diesel'!B161*'RD Feedstock Breakdown'!H$3*'Feedstock Conversion Rates'!B$3)/12-85+4-15+70-65-80+50-22.5-5+25+27.5+15+50+15-10+5+50+75-5-25-85-12.5+30+22.5-25-30+151-25-50+75</f>
        <v>301.40022499999998</v>
      </c>
      <c r="I152" s="106">
        <f t="shared" si="106"/>
        <v>496.39347499999997</v>
      </c>
      <c r="J152" s="104">
        <f>120+40+59+10-15-1.75+7.5-2-15-25-75+25+2.5-7-1+15+20+25+15+20-217+17.5+2+37-30-5</f>
        <v>21.75</v>
      </c>
      <c r="K152" s="104">
        <v>165</v>
      </c>
      <c r="L152" s="104">
        <v>1</v>
      </c>
      <c r="M152" s="104">
        <f>('Renewable Diesel'!C161*'RD Feedstock Breakdown'!M$3*'Feedstock Conversion Rates'!B$2)/12-15-40+2+117-25-2-37-50</f>
        <v>27.902500000000003</v>
      </c>
      <c r="N152" s="104">
        <f>('Renewable Diesel'!C161*'RD Feedstock Breakdown'!N$3*'Feedstock Conversion Rates'!B$8)/12+1.75+7-15-20+30+5-40</f>
        <v>5.46875</v>
      </c>
      <c r="O152" s="104">
        <f>('Renewable Diesel'!C161*'RD Feedstock Breakdown'!O$3*'Feedstock Conversion Rates'!B$7)/12+30-120+25-17.5</f>
        <v>37.490999999999985</v>
      </c>
      <c r="P152" s="104">
        <f>('Renewable Diesel'!C161*'RD Feedstock Breakdown'!P$3*'Feedstock Conversion Rates'!B$3)/12-15-59-10+15-7.5+15+75-25-2.5-25-15-20+25+100-75</f>
        <v>80.470425000000034</v>
      </c>
      <c r="Q152" s="106">
        <f t="shared" si="92"/>
        <v>339.08267500000005</v>
      </c>
      <c r="R152" s="104">
        <f>('Renewable Diesel'!D161*'RD Feedstock Breakdown'!R$3*'Feedstock Conversion Rates'!B$7)/12</f>
        <v>2.2999999999999998</v>
      </c>
      <c r="S152" s="106">
        <f t="shared" si="67"/>
        <v>2.2999999999999998</v>
      </c>
      <c r="T152" s="104">
        <f>15+10+5-30+35-10-3-22+20-20+50</f>
        <v>50</v>
      </c>
      <c r="U152" s="104">
        <v>0</v>
      </c>
      <c r="V152" s="104">
        <f>('Renewable Diesel'!E161*'RD Feedstock Breakdown'!V$3*'Feedstock Conversion Rates'!B$6)/12-20-5-5+32.5-35+25-15+22+20-50</f>
        <v>13.750150000000012</v>
      </c>
      <c r="W152" s="104">
        <f>('Renewable Diesel'!E161*'RD Feedstock Breakdown'!W$3*'Feedstock Conversion Rates'!B$8)/12-2.5+3-20</f>
        <v>2.6796875</v>
      </c>
      <c r="X152" s="106">
        <f t="shared" si="88"/>
        <v>66.429837500000019</v>
      </c>
      <c r="Y152" s="104">
        <f>30-30+50-20+20-2-35-13+7.5-5-2.5+15-15+20</f>
        <v>20</v>
      </c>
      <c r="Z152" s="104">
        <f>('Renewable Diesel'!F161*'RD Feedstock Breakdown'!Z$3*'Feedstock Conversion Rates'!B$6)/12-30+20-20-7.5+1+17-20</f>
        <v>5.0550000000000068</v>
      </c>
      <c r="AA152" s="104">
        <f>('Renewable Diesel'!F161*'RD Feedstock Breakdown'!AA$3*'Feedstock Conversion Rates'!B$7)/12+30-50+2+35+13+5-15</f>
        <v>49.133333333333326</v>
      </c>
      <c r="AB152" s="106">
        <f t="shared" si="62"/>
        <v>74.188333333333333</v>
      </c>
      <c r="AC152" s="104">
        <f>('Renewable Diesel'!G161*'RD Feedstock Breakdown'!AC$3*'Feedstock Conversion Rates'!B$5)/12</f>
        <v>0</v>
      </c>
      <c r="AD152" s="104">
        <f>('Renewable Diesel'!G161*'RD Feedstock Breakdown'!AD$3*'Feedstock Conversion Rates'!B$4)/12</f>
        <v>0</v>
      </c>
      <c r="AE152" s="104">
        <f>('Renewable Diesel'!G161*'RD Feedstock Breakdown'!AE$3*'Feedstock Conversion Rates'!B$6)/12</f>
        <v>0</v>
      </c>
      <c r="AF152" s="106">
        <f t="shared" si="101"/>
        <v>0</v>
      </c>
      <c r="AG152" s="104">
        <f>26-26+30-30+50</f>
        <v>50</v>
      </c>
      <c r="AH152" s="104">
        <v>0</v>
      </c>
      <c r="AI152" s="104">
        <f>('Renewable Diesel'!H161*'RD Feedstock Breakdown'!AI$3*'Feedstock Conversion Rates'!B$6)/12-17.5+17.5-26+26-30+30-50</f>
        <v>8.6250000000000071</v>
      </c>
      <c r="AJ152" s="106">
        <f t="shared" si="65"/>
        <v>58.625000000000007</v>
      </c>
      <c r="AK152" s="104">
        <f>('Renewable Diesel'!J161*'RD Feedstock Breakdown'!AK$3*'Feedstock Conversion Rates'!B$4)/12</f>
        <v>95.8125</v>
      </c>
      <c r="AL152" s="106">
        <f t="shared" si="68"/>
        <v>95.8125</v>
      </c>
      <c r="AM152" s="104">
        <f>('Renewable Diesel'!K161*'RD Feedstock Breakdown'!AM$3*'Feedstock Conversion Rates'!B$4)/12-40-10</f>
        <v>8.59375</v>
      </c>
      <c r="AN152" s="104">
        <f>('Renewable Diesel'!K161*'RD Feedstock Breakdown'!AN$3*'Feedstock Conversion Rates'!B$6)/12+40+10</f>
        <v>74.427083333333329</v>
      </c>
      <c r="AO152" s="106">
        <f t="shared" si="81"/>
        <v>83.020833333333329</v>
      </c>
      <c r="AP152" s="104">
        <f>('Renewable Diesel'!L161*'RD Feedstock Breakdown'!AP$3*'Feedstock Conversion Rates'!B$4)/12+15-5-40+10-20</f>
        <v>18.59375</v>
      </c>
      <c r="AQ152" s="104">
        <f>('Renewable Diesel'!L161*'RD Feedstock Breakdown'!AQ$3*'Feedstock Conversion Rates'!B$6)/12-15+5+40-10+20</f>
        <v>64.427083333333329</v>
      </c>
      <c r="AR152" s="106">
        <f t="shared" si="70"/>
        <v>83.020833333333329</v>
      </c>
      <c r="AS152" s="104">
        <f>('Renewable Diesel'!M161*'RD Feedstock Breakdown'!AS$3*'Feedstock Conversion Rates'!B$4)/12</f>
        <v>162.5</v>
      </c>
      <c r="AT152" s="104">
        <f>('Renewable Diesel'!M161*'RD Feedstock Breakdown'!AT$3*'Feedstock Conversion Rates'!B$5)/12</f>
        <v>0</v>
      </c>
      <c r="AU152" s="106">
        <f t="shared" si="104"/>
        <v>162.5</v>
      </c>
      <c r="AV152" s="104">
        <f>'Renewable Diesel'!N161*'RD Feedstock Breakdown'!$AV$3*'Feedstock Conversion Rates'!$B$4/12-15-10+25+25-22-75-6.5+50+25</f>
        <v>75.249999999999986</v>
      </c>
      <c r="AW152" s="104">
        <f>'Renewable Diesel'!N161*'RD Feedstock Breakdown'!$AW$3*'Feedstock Conversion Rates'!$B$7/12+15+10-25-25+22+75+6.5-50-25</f>
        <v>44.900000000000006</v>
      </c>
      <c r="AX152" s="106">
        <f t="shared" si="63"/>
        <v>120.14999999999999</v>
      </c>
      <c r="AY152" s="104">
        <f>('Renewable Diesel'!O161*'RD Feedstock Breakdown'!AY$3*'Feedstock Conversion Rates'!B$4)/12+5-50</f>
        <v>22.5</v>
      </c>
      <c r="AZ152" s="104">
        <f>('Renewable Diesel'!O161*'RD Feedstock Breakdown'!AZ$3*'Feedstock Conversion Rates'!B$3)/12-5+50</f>
        <v>53.01</v>
      </c>
      <c r="BA152" s="106">
        <f t="shared" si="66"/>
        <v>75.509999999999991</v>
      </c>
      <c r="BB152" s="104">
        <f>('Renewable Diesel'!Q161*'RD Feedstock Breakdown'!BB$3*'Feedstock Conversion Rates'!B$4)/12</f>
        <v>0</v>
      </c>
      <c r="BC152" s="104">
        <f>('Renewable Diesel'!Q161*'RD Feedstock Breakdown'!BC$3*'Feedstock Conversion Rates'!B$3)/12</f>
        <v>0</v>
      </c>
      <c r="BD152" s="104">
        <f>('Renewable Diesel'!Q161*'RD Feedstock Breakdown'!BD$3*'Feedstock Conversion Rates'!B$6)/12</f>
        <v>0</v>
      </c>
      <c r="BE152" s="106">
        <f t="shared" si="90"/>
        <v>0</v>
      </c>
      <c r="BF152" s="104">
        <f>('Renewable Diesel'!R161*'RD Feedstock Breakdown'!BF$3*'Feedstock Conversion Rates'!B$4)/12</f>
        <v>62.5</v>
      </c>
      <c r="BG152" s="106">
        <f t="shared" si="72"/>
        <v>62.5</v>
      </c>
      <c r="BH152" s="104">
        <f>('Renewable Diesel'!T161*'RD Feedstock Breakdown'!BH$3*'Feedstock Conversion Rates'!B$7)/12</f>
        <v>27.599999999999998</v>
      </c>
      <c r="BI152" s="106">
        <f t="shared" si="64"/>
        <v>27.599999999999998</v>
      </c>
      <c r="BJ152" s="104">
        <f>('Renewable Diesel'!W161*'RD Feedstock Breakdown'!BJ$3*'Feedstock Conversion Rates'!B$4)/12-7.5</f>
        <v>0</v>
      </c>
      <c r="BK152" s="104">
        <f>('Renewable Diesel'!W161*'RD Feedstock Breakdown'!BK$3*'Feedstock Conversion Rates'!B$3)/12</f>
        <v>1.335</v>
      </c>
      <c r="BL152" s="104">
        <f>('Renewable Diesel'!W161*'RD Feedstock Breakdown'!BL$3*'Feedstock Conversion Rates'!B$6)/12</f>
        <v>3.1266666666666669</v>
      </c>
      <c r="BM152" s="104">
        <f>('Renewable Diesel'!W161*'RD Feedstock Breakdown'!BM$3*'Feedstock Conversion Rates'!B$7)/12+7.5</f>
        <v>9.0333333333333332</v>
      </c>
      <c r="BN152" s="106">
        <f t="shared" si="54"/>
        <v>13.495000000000001</v>
      </c>
      <c r="BO152" s="104">
        <f>('Renewable Diesel'!P161*'Feedstock Conversion Rates'!B$4)/12</f>
        <v>0</v>
      </c>
      <c r="BP152" s="106">
        <f t="shared" si="102"/>
        <v>0</v>
      </c>
      <c r="BQ152" s="104"/>
      <c r="BR152" s="104"/>
      <c r="BS152" s="106"/>
      <c r="BT152" s="106"/>
      <c r="BU152" s="104">
        <f>('Renewable Diesel'!Y161*'Feedstock Conversion Rates'!B$7)/12</f>
        <v>0.67083333333333328</v>
      </c>
      <c r="BV152" s="106">
        <f t="shared" si="93"/>
        <v>0.67083333333333328</v>
      </c>
      <c r="BW152" s="106"/>
      <c r="BX152" s="106"/>
      <c r="BY152" s="106"/>
      <c r="BZ152" s="106"/>
      <c r="CA152" s="106"/>
      <c r="CB152" s="104">
        <f>('Renewable Diesel'!AA161*'Feedstock Conversion Rates'!B$4)/12</f>
        <v>95.625</v>
      </c>
      <c r="CC152" s="106">
        <f>CB152</f>
        <v>95.625</v>
      </c>
      <c r="CD152" s="104">
        <f>('Renewable Diesel'!$AB161*'RD Feedstock Breakdown'!CD$3*'Feedstock Conversion Rates'!$B$6)/12</f>
        <v>0</v>
      </c>
      <c r="CE152" s="104">
        <f>('Renewable Diesel'!$AB161*'RD Feedstock Breakdown'!CE$3*'Feedstock Conversion Rates'!$B$4)/12</f>
        <v>0</v>
      </c>
      <c r="CF152" s="106">
        <f t="shared" ref="CF152:CF215" si="108">SUM(CD152:CE152)</f>
        <v>0</v>
      </c>
      <c r="CG152" s="104">
        <f>('Renewable Diesel'!AD161*'Feedstock Conversion Rates'!B$4)/12</f>
        <v>75.625</v>
      </c>
      <c r="CH152" s="106">
        <f t="shared" si="89"/>
        <v>75.625</v>
      </c>
      <c r="CI152" s="104">
        <f>('Renewable Diesel'!$AE161*'RD Feedstock Breakdown'!CI$3*'Feedstock Conversion Rates'!$B$5)/12</f>
        <v>0.17302083333333332</v>
      </c>
      <c r="CJ152" s="104">
        <f>('Renewable Diesel'!$AE161*'RD Feedstock Breakdown'!CJ$3*'Feedstock Conversion Rates'!$B$4)/12</f>
        <v>0.171875</v>
      </c>
      <c r="CK152" s="106">
        <f t="shared" si="103"/>
        <v>0.34489583333333329</v>
      </c>
      <c r="CL152" s="104">
        <f>(((CL$3*'Renewable Diesel'!$AF161)*'Feedstock Conversion Rates'!$B$3)/12)</f>
        <v>30.037499999999998</v>
      </c>
      <c r="CM152" s="104">
        <f>(((CM$3*'Renewable Diesel'!$AF161)*'Feedstock Conversion Rates'!$B$6)/12)</f>
        <v>17.587500000000002</v>
      </c>
      <c r="CN152" s="104">
        <f>(((CN$3*'Renewable Diesel'!$AF161)*'Feedstock Conversion Rates'!$B$4)/12)</f>
        <v>14.0625</v>
      </c>
      <c r="CO152" s="106">
        <f t="shared" si="91"/>
        <v>61.6875</v>
      </c>
      <c r="CP152" s="106"/>
      <c r="CQ152" s="106"/>
      <c r="CR152" s="106"/>
      <c r="CS152" s="106"/>
      <c r="CT152" s="104">
        <f>('Renewable Diesel'!AI161*'Feedstock Conversion Rates'!$B$4*'RD Feedstock Breakdown'!$CT$3)/12</f>
        <v>0</v>
      </c>
      <c r="CU152" s="106">
        <f t="shared" si="99"/>
        <v>0</v>
      </c>
      <c r="CV152" s="106"/>
      <c r="CW152" s="106"/>
      <c r="CX152" s="106"/>
      <c r="CY152" s="106"/>
      <c r="CZ152" s="106"/>
      <c r="DA152" s="106"/>
      <c r="DB152" s="106"/>
      <c r="DC152" s="106"/>
      <c r="DD152" s="106"/>
      <c r="DE152" s="106"/>
      <c r="DF152" s="106"/>
      <c r="DG152" s="106"/>
      <c r="DH152" s="106"/>
      <c r="DI152" s="106"/>
      <c r="DJ152" s="106"/>
      <c r="DK152" s="106"/>
      <c r="DL152" s="106"/>
      <c r="DM152" s="106"/>
      <c r="DN152" s="106"/>
      <c r="DP152" s="104">
        <f t="shared" si="73"/>
        <v>52.582499999999996</v>
      </c>
      <c r="DQ152" s="104">
        <f t="shared" si="74"/>
        <v>466.25315000000001</v>
      </c>
      <c r="DR152" s="104">
        <f t="shared" si="82"/>
        <v>691.984375</v>
      </c>
      <c r="DS152" s="104">
        <f t="shared" si="100"/>
        <v>280.17302083333334</v>
      </c>
      <c r="DT152" s="104">
        <f t="shared" si="75"/>
        <v>186.99848333333335</v>
      </c>
      <c r="DU152" s="104">
        <f t="shared" si="76"/>
        <v>300.78550000000007</v>
      </c>
      <c r="DV152" s="104">
        <f t="shared" si="83"/>
        <v>13.3046875</v>
      </c>
      <c r="DW152" s="104">
        <f t="shared" si="77"/>
        <v>2.5</v>
      </c>
      <c r="DX152" s="106">
        <f t="shared" si="78"/>
        <v>1994.5817166666666</v>
      </c>
      <c r="DY152" s="109">
        <f t="shared" si="79"/>
        <v>-2.6290081223123707E-13</v>
      </c>
      <c r="EA152" s="110">
        <f t="shared" si="55"/>
        <v>2.6362670208305912E-2</v>
      </c>
      <c r="EB152" s="110">
        <f t="shared" si="55"/>
        <v>0.23375986358643636</v>
      </c>
      <c r="EC152" s="110">
        <f t="shared" si="55"/>
        <v>0.34693207564162387</v>
      </c>
      <c r="ED152" s="110">
        <f t="shared" si="55"/>
        <v>0.14046705556970454</v>
      </c>
      <c r="EE152" s="110">
        <f t="shared" si="56"/>
        <v>9.3753232455095467E-2</v>
      </c>
      <c r="EF152" s="110">
        <f t="shared" si="56"/>
        <v>0.15080129206371704</v>
      </c>
      <c r="EG152" s="111">
        <f t="shared" si="56"/>
        <v>6.670414848800839E-3</v>
      </c>
      <c r="EH152" s="111">
        <f t="shared" si="84"/>
        <v>1.2533956263160707E-3</v>
      </c>
      <c r="EI152" s="110">
        <f t="shared" si="85"/>
        <v>0.99874660437368401</v>
      </c>
      <c r="EK152" s="112">
        <f>(EA152*'Renewable Diesel'!BF161*'Feedstock Conversion Rates'!B$2)+FB152</f>
        <v>50.138752358297914</v>
      </c>
      <c r="EL152" s="112">
        <f>(EB152*'Renewable Diesel'!BF161*'Feedstock Conversion Rates'!B$3)+FC152</f>
        <v>418.9552737692353</v>
      </c>
      <c r="EM152" s="112">
        <f>(EC152*'Renewable Diesel'!BF161*'Feedstock Conversion Rates'!B$4)+FD152</f>
        <v>582.19828024762035</v>
      </c>
      <c r="EN152" s="112">
        <f>(ED152*'Renewable Diesel'!BF161*'Feedstock Conversion Rates'!B$5)+FE152</f>
        <v>237.29393105678193</v>
      </c>
      <c r="EO152" s="112">
        <f>(EE152*'Renewable Diesel'!BF161*'Feedstock Conversion Rates'!B$6)+FF152</f>
        <v>196.76791746525399</v>
      </c>
      <c r="EP152" s="112">
        <f>(EF152*'Renewable Diesel'!BF161*'Feedstock Conversion Rates'!B$7)+FG152</f>
        <v>310.42600108332789</v>
      </c>
      <c r="EQ152" s="112">
        <f>(EG152*'Renewable Diesel'!BF161*'Feedstock Conversion Rates'!B$8)+FH152</f>
        <v>13.992306874219544</v>
      </c>
      <c r="ER152" s="112">
        <f>(EH152*'Renewable Diesel'!BF161*'Feedstock Conversion Rates'!B$9)+FI152</f>
        <v>2.5941501411745449</v>
      </c>
      <c r="ES152" s="112">
        <f t="shared" si="86"/>
        <v>1812.3666129959117</v>
      </c>
      <c r="ET152" s="91">
        <f>ES152/'Renewable Diesel'!BF161</f>
        <v>8.0999222971273284</v>
      </c>
      <c r="EW152" s="73">
        <f t="shared" si="58"/>
        <v>819.4922113044023</v>
      </c>
      <c r="EX152" s="73">
        <f t="shared" si="59"/>
        <v>992.87440169150909</v>
      </c>
      <c r="EY152" s="92">
        <f t="shared" si="71"/>
        <v>0.45216691006559107</v>
      </c>
      <c r="EZ152" s="92">
        <f t="shared" si="71"/>
        <v>0.54783308993440871</v>
      </c>
      <c r="FB152" s="102">
        <f>IF('Renewable Diesel'!$BG161&lt;1,0,(((('Renewable Diesel'!$BG161-1)*'Renewable Diesel'!$BF161)*'RD Feedstock Breakdown'!EA152)*'Feedstock Conversion Rates'!$B$2))</f>
        <v>0</v>
      </c>
      <c r="FC152" s="102">
        <f>IF('Renewable Diesel'!$BG161&lt;1,0,(((('Renewable Diesel'!$BG161-1)*'Renewable Diesel'!$BF161)*'RD Feedstock Breakdown'!EB152)*'Feedstock Conversion Rates'!$B$3))</f>
        <v>0</v>
      </c>
      <c r="FD152" s="102">
        <f>IF('Renewable Diesel'!$BG161&lt;1,0,(((('Renewable Diesel'!$BG161-1)*'Renewable Diesel'!$BF161)*'RD Feedstock Breakdown'!EC152)*'Feedstock Conversion Rates'!$B$4))</f>
        <v>0</v>
      </c>
      <c r="FE152" s="102">
        <f>IF('Renewable Diesel'!$BG161&lt;1,0,(((('Renewable Diesel'!$BG161-1)*'Renewable Diesel'!$BF161)*'RD Feedstock Breakdown'!ED152)*'Feedstock Conversion Rates'!$B$5))</f>
        <v>0</v>
      </c>
      <c r="FF152" s="102">
        <f>IF('Renewable Diesel'!$BG161&lt;1,0,(((('Renewable Diesel'!$BG161-1)*'Renewable Diesel'!$BF161)*'RD Feedstock Breakdown'!EE152)*'Feedstock Conversion Rates'!$B$6))</f>
        <v>0</v>
      </c>
      <c r="FG152" s="102">
        <f>IF('Renewable Diesel'!$BG161&lt;1,0,(((('Renewable Diesel'!$BG161-1)*'Renewable Diesel'!$BF161)*'RD Feedstock Breakdown'!EF152)*'Feedstock Conversion Rates'!$B$7))</f>
        <v>0</v>
      </c>
      <c r="FH152" s="102">
        <f>IF('Renewable Diesel'!$BG161&lt;1,0,(((('Renewable Diesel'!$BG161-1)*'Renewable Diesel'!$BF161)*'RD Feedstock Breakdown'!EG152)*'Feedstock Conversion Rates'!$B$8))</f>
        <v>0</v>
      </c>
      <c r="FI152" s="102">
        <f>IF('Renewable Diesel'!$BG161&lt;1,0,(((('Renewable Diesel'!$BG161-1)*'Renewable Diesel'!$BF161)*'RD Feedstock Breakdown'!EH152)*'Feedstock Conversion Rates'!$B$9))</f>
        <v>0</v>
      </c>
      <c r="FJ152" s="102">
        <f t="shared" si="60"/>
        <v>0</v>
      </c>
      <c r="FL152" s="3">
        <f>('Renewable Diesel'!AX161/12*$FO$80)*'RD Feedstock Breakdown'!EC152*7.5</f>
        <v>639.69938097369925</v>
      </c>
      <c r="FM152" s="3">
        <f t="shared" si="96"/>
        <v>57.501100726078903</v>
      </c>
      <c r="FR152" s="3">
        <f>('Renewable Diesel'!AX161-'Renewable Diesel'!BI161)/12*$FO$80</f>
        <v>53.957624999999965</v>
      </c>
      <c r="FS152" s="100">
        <f t="shared" si="97"/>
        <v>0.34693207564162387</v>
      </c>
      <c r="FT152" s="3">
        <f t="shared" si="98"/>
        <v>140.39723128456771</v>
      </c>
      <c r="FY152" s="3">
        <f>'Renewable Diesel'!BF161*('Renewable Diesel'!BI161/'Renewable Diesel'!AX161)</f>
        <v>174.64361235988866</v>
      </c>
      <c r="FZ152" s="3">
        <f>('Renewable Diesel'!BJ161*'Renewable Diesel'!BG161)/12</f>
        <v>49.789547232335075</v>
      </c>
      <c r="GA152" s="3">
        <f t="shared" si="105"/>
        <v>129.55193224928007</v>
      </c>
      <c r="GD152" s="91">
        <f>'Renewable Diesel'!BB161*0.32</f>
        <v>17.41303744</v>
      </c>
      <c r="GE152" s="91">
        <f>'Renewable Diesel'!BC161</f>
        <v>1.6267149999999999</v>
      </c>
      <c r="GF152" s="91">
        <f>'Renewable Diesel'!BD161</f>
        <v>0</v>
      </c>
      <c r="GG152" s="91">
        <f>GF152+GE152</f>
        <v>1.6267149999999999</v>
      </c>
      <c r="GH152" s="124">
        <v>1</v>
      </c>
      <c r="GI152" s="102">
        <f>$GG152*EA152*'Feedstock Conversion Rates'!$B$2</f>
        <v>0.36451868407718696</v>
      </c>
      <c r="GJ152" s="102">
        <f>$GG152*EB152*'Feedstock Conversion Rates'!$B$3</f>
        <v>3.0458880187170183</v>
      </c>
      <c r="GK152" s="102">
        <f>$GG152*EC152*'Feedstock Conversion Rates'!$B$4</f>
        <v>4.2326970857052313</v>
      </c>
      <c r="GL152" s="102">
        <f>$GG152*ED152*'Feedstock Conversion Rates'!$B$5</f>
        <v>1.725173990573093</v>
      </c>
      <c r="GM152" s="102">
        <f>$GG152*EE152*'Feedstock Conversion Rates'!$B$6</f>
        <v>1.4305418258213281</v>
      </c>
      <c r="GN152" s="102">
        <f>$GG152*EF152*'Feedstock Conversion Rates'!$B$7</f>
        <v>2.2568586591387509</v>
      </c>
      <c r="GO152" s="102">
        <f>$GG152*EG152*'Feedstock Conversion Rates'!$B$8</f>
        <v>0.10172684897594116</v>
      </c>
      <c r="GP152" s="102">
        <f>$GG152*EH152*'Feedstock Conversion Rates'!B$9</f>
        <v>1.8859986562930406E-2</v>
      </c>
      <c r="GQ152" s="102">
        <f t="shared" si="87"/>
        <v>13.176265099571479</v>
      </c>
      <c r="GR152" s="85">
        <f t="shared" si="107"/>
        <v>8.0999222971273266</v>
      </c>
      <c r="GT152" s="103">
        <f t="shared" si="94"/>
        <v>2.7664795852433317E-2</v>
      </c>
      <c r="GU152" s="103">
        <f t="shared" si="94"/>
        <v>0.23116474932005401</v>
      </c>
      <c r="GV152" s="103">
        <f t="shared" si="94"/>
        <v>0.32123648497652701</v>
      </c>
      <c r="GW152" s="103">
        <f t="shared" si="94"/>
        <v>0.13093042508906402</v>
      </c>
      <c r="GX152" s="103">
        <f t="shared" si="94"/>
        <v>0.10856959958007009</v>
      </c>
      <c r="GY152" s="103">
        <f t="shared" si="69"/>
        <v>0.17128212297520851</v>
      </c>
      <c r="GZ152" s="103">
        <f t="shared" si="69"/>
        <v>7.7204616184634528E-3</v>
      </c>
      <c r="HA152" s="103">
        <f t="shared" si="69"/>
        <v>1.4313605881794054E-3</v>
      </c>
    </row>
    <row r="153" spans="1:209" x14ac:dyDescent="0.25">
      <c r="A153" s="96">
        <v>45078</v>
      </c>
      <c r="B153" s="104">
        <f>23-20+10+85-5-4-4-1.25+2.25-5+15-6-25-45+65+15-22.5-50+40+16.5+27.5+168+80+14-30+15-50-19+22.5-10+5+11-25-50-12.5-27.5-10+10+2+4-1.5+12-26-15-50-15+10-32.5-3-5-2.5-1+10+5-50-35-9-0.5+25+15+25+20+15+85-25+12.5-52.5+10+20-150+20-15+60-40-25</f>
        <v>0</v>
      </c>
      <c r="C153" s="104">
        <f>40-10-2.5-27.5+25+25+25+20+20-75-40</f>
        <v>0</v>
      </c>
      <c r="D153" s="104">
        <f t="shared" si="95"/>
        <v>1.5</v>
      </c>
      <c r="E153" s="104">
        <f>('Renewable Diesel'!B162*E$3*'Feedstock Conversion Rates'!$B$2)/12-40+1.25+6-43+30-15+12.5-4+1.5+26+2.5+3-10+50+9-15-20-60</f>
        <v>24.679999999999993</v>
      </c>
      <c r="F153" s="104">
        <f>('Renewable Diesel'!B162*'RD Feedstock Breakdown'!F$3*'Feedstock Conversion Rates'!B$8)/12+28.5-49-5+2-6+1+6+20-20-3.75+10+2.5+5-20-20+40</f>
        <v>45.15625</v>
      </c>
      <c r="G153" s="104">
        <f>('Renewable Diesel'!B162*'RD Feedstock Breakdown'!G$3*'Feedstock Conversion Rates'!B$7)/12-25-15-25+4+4-20-40-20+10-17.5+20+50-12+32.5+35-75-75+22.5+5-20+15+100</f>
        <v>129.65700000000001</v>
      </c>
      <c r="H153" s="104">
        <f>('Renewable Diesel'!B162*'RD Feedstock Breakdown'!H$3*'Feedstock Conversion Rates'!B$3)/12-85+4-15+70-65-80+50-22.5-5+25+27.5+15+50+15-10+5+50+75-5-25-85-12.5+30+22.5-25-30+151-26-30+50</f>
        <v>295.40022499999998</v>
      </c>
      <c r="I153" s="106">
        <f t="shared" si="106"/>
        <v>496.39347499999997</v>
      </c>
      <c r="J153" s="104">
        <f>120+40+59+10-15-1.75+7.5-2-15-25-75+25+2.5-7-1+15+20+25+15+20-217+17.5+2+37-56.75</f>
        <v>0</v>
      </c>
      <c r="K153" s="104">
        <v>190</v>
      </c>
      <c r="L153" s="104">
        <v>1</v>
      </c>
      <c r="M153" s="104">
        <f>('Renewable Diesel'!C162*'RD Feedstock Breakdown'!M$3*'Feedstock Conversion Rates'!B$2)/12-15-40+2+117-25-2-37-50</f>
        <v>27.902500000000003</v>
      </c>
      <c r="N153" s="104">
        <f>('Renewable Diesel'!C162*'RD Feedstock Breakdown'!N$3*'Feedstock Conversion Rates'!B$8)/12+1.75+7-15-20-5</f>
        <v>5.46875</v>
      </c>
      <c r="O153" s="104">
        <f>('Renewable Diesel'!C162*'RD Feedstock Breakdown'!O$3*'Feedstock Conversion Rates'!B$7)/12+30-120+25-17.5+56.75-60</f>
        <v>34.240999999999985</v>
      </c>
      <c r="P153" s="104">
        <f>('Renewable Diesel'!C162*'RD Feedstock Breakdown'!P$3*'Feedstock Conversion Rates'!B$3)/12-15-59-10+15-7.5+15+75-25-2.5-25-15-20+25+100-75</f>
        <v>80.470425000000034</v>
      </c>
      <c r="Q153" s="106">
        <f t="shared" si="92"/>
        <v>339.08267500000005</v>
      </c>
      <c r="R153" s="104">
        <f>('Renewable Diesel'!D162*'RD Feedstock Breakdown'!R$3*'Feedstock Conversion Rates'!B$7)/12</f>
        <v>2.2999999999999998</v>
      </c>
      <c r="S153" s="106">
        <f t="shared" si="67"/>
        <v>2.2999999999999998</v>
      </c>
      <c r="T153" s="104">
        <f>15+10+5-30+35-10-3-22+20-20+50</f>
        <v>50</v>
      </c>
      <c r="U153" s="104">
        <v>0</v>
      </c>
      <c r="V153" s="104">
        <f>('Renewable Diesel'!E162*'RD Feedstock Breakdown'!V$3*'Feedstock Conversion Rates'!B$6)/12-20-5-5+32.5-35+25-15+22+20-50</f>
        <v>13.750150000000012</v>
      </c>
      <c r="W153" s="104">
        <f>('Renewable Diesel'!E162*'RD Feedstock Breakdown'!W$3*'Feedstock Conversion Rates'!B$8)/12-2.5+3-20</f>
        <v>2.6796875</v>
      </c>
      <c r="X153" s="106">
        <f t="shared" si="88"/>
        <v>66.429837500000019</v>
      </c>
      <c r="Y153" s="104">
        <f>30-30+50-20+20-2-35-13+7.5-5-2.5</f>
        <v>0</v>
      </c>
      <c r="Z153" s="104">
        <f>('Renewable Diesel'!F162*'RD Feedstock Breakdown'!Z$3*'Feedstock Conversion Rates'!B$6)/12-30+20-20-7.5+2.5+15</f>
        <v>24.555000000000007</v>
      </c>
      <c r="AA153" s="104">
        <f>('Renewable Diesel'!F162*'RD Feedstock Breakdown'!AA$3*'Feedstock Conversion Rates'!B$7)/12+30-50+2+35+13+5-15</f>
        <v>49.133333333333326</v>
      </c>
      <c r="AB153" s="106">
        <f t="shared" si="62"/>
        <v>73.688333333333333</v>
      </c>
      <c r="AC153" s="104">
        <f>('Renewable Diesel'!G162*'RD Feedstock Breakdown'!AC$3*'Feedstock Conversion Rates'!B$5)/12</f>
        <v>0</v>
      </c>
      <c r="AD153" s="104">
        <f>('Renewable Diesel'!G162*'RD Feedstock Breakdown'!AD$3*'Feedstock Conversion Rates'!B$4)/12</f>
        <v>0</v>
      </c>
      <c r="AE153" s="104">
        <f>('Renewable Diesel'!G162*'RD Feedstock Breakdown'!AE$3*'Feedstock Conversion Rates'!B$6)/12</f>
        <v>0</v>
      </c>
      <c r="AF153" s="106">
        <f t="shared" si="101"/>
        <v>0</v>
      </c>
      <c r="AG153" s="104">
        <f>26-26+30-30+50</f>
        <v>50</v>
      </c>
      <c r="AH153" s="104">
        <v>0</v>
      </c>
      <c r="AI153" s="104">
        <f>('Renewable Diesel'!H162*'RD Feedstock Breakdown'!AI$3*'Feedstock Conversion Rates'!B$6)/12-17.5+17.5-26+26-30+30-50</f>
        <v>8.6250000000000071</v>
      </c>
      <c r="AJ153" s="106">
        <f t="shared" si="65"/>
        <v>58.625000000000007</v>
      </c>
      <c r="AK153" s="104">
        <f>('Renewable Diesel'!J162*'RD Feedstock Breakdown'!AK$3*'Feedstock Conversion Rates'!B$4)/12</f>
        <v>95.8125</v>
      </c>
      <c r="AL153" s="106">
        <f t="shared" si="68"/>
        <v>95.8125</v>
      </c>
      <c r="AM153" s="104">
        <f>('Renewable Diesel'!K162*'RD Feedstock Breakdown'!AM$3*'Feedstock Conversion Rates'!B$4)/12-40-10</f>
        <v>8.59375</v>
      </c>
      <c r="AN153" s="104">
        <f>('Renewable Diesel'!K162*'RD Feedstock Breakdown'!AN$3*'Feedstock Conversion Rates'!B$6)/12+40+10</f>
        <v>74.427083333333329</v>
      </c>
      <c r="AO153" s="106">
        <f t="shared" si="81"/>
        <v>83.020833333333329</v>
      </c>
      <c r="AP153" s="104">
        <f>('Renewable Diesel'!L162*'RD Feedstock Breakdown'!AP$3*'Feedstock Conversion Rates'!B$4)/12+15-5-40+10-20</f>
        <v>18.59375</v>
      </c>
      <c r="AQ153" s="104">
        <f>('Renewable Diesel'!L162*'RD Feedstock Breakdown'!AQ$3*'Feedstock Conversion Rates'!B$6)/12-15+5+40-10+20</f>
        <v>64.427083333333329</v>
      </c>
      <c r="AR153" s="106">
        <f t="shared" si="70"/>
        <v>83.020833333333329</v>
      </c>
      <c r="AS153" s="104">
        <f>('Renewable Diesel'!M162*'RD Feedstock Breakdown'!AS$3*'Feedstock Conversion Rates'!B$4)/12-59.5</f>
        <v>103</v>
      </c>
      <c r="AT153" s="104">
        <f>('Renewable Diesel'!M162*'RD Feedstock Breakdown'!AT$3*'Feedstock Conversion Rates'!B$5)/12+59.5</f>
        <v>59.5</v>
      </c>
      <c r="AU153" s="106">
        <f t="shared" si="104"/>
        <v>162.5</v>
      </c>
      <c r="AV153" s="104">
        <f>'Renewable Diesel'!N162*'RD Feedstock Breakdown'!$AV$3*'Feedstock Conversion Rates'!$B$4/12-15-10+25+25-22-75-6.5+50+25-75</f>
        <v>0.24999999999998579</v>
      </c>
      <c r="AW153" s="104">
        <f>'Renewable Diesel'!N162*'RD Feedstock Breakdown'!$AW$3*'Feedstock Conversion Rates'!$B$7/12+15+10-25-25+22+75+6.5-50-25+75</f>
        <v>119.9</v>
      </c>
      <c r="AX153" s="106">
        <f t="shared" si="63"/>
        <v>120.14999999999999</v>
      </c>
      <c r="AY153" s="104">
        <f>('Renewable Diesel'!O162*'RD Feedstock Breakdown'!AY$3*'Feedstock Conversion Rates'!B$4)/12+5-50</f>
        <v>22.5</v>
      </c>
      <c r="AZ153" s="104">
        <f>('Renewable Diesel'!O162*'RD Feedstock Breakdown'!AZ$3*'Feedstock Conversion Rates'!B$3)/12-5+50</f>
        <v>53.01</v>
      </c>
      <c r="BA153" s="106">
        <f t="shared" si="66"/>
        <v>75.509999999999991</v>
      </c>
      <c r="BB153" s="104">
        <f>('Renewable Diesel'!Q162*'RD Feedstock Breakdown'!BB$3*'Feedstock Conversion Rates'!B$4)/12</f>
        <v>0</v>
      </c>
      <c r="BC153" s="104">
        <f>('Renewable Diesel'!Q162*'RD Feedstock Breakdown'!BC$3*'Feedstock Conversion Rates'!B$3)/12</f>
        <v>0</v>
      </c>
      <c r="BD153" s="104">
        <f>('Renewable Diesel'!Q162*'RD Feedstock Breakdown'!BD$3*'Feedstock Conversion Rates'!B$6)/12</f>
        <v>0</v>
      </c>
      <c r="BE153" s="106">
        <f t="shared" si="90"/>
        <v>0</v>
      </c>
      <c r="BF153" s="104">
        <f>('Renewable Diesel'!R162*'RD Feedstock Breakdown'!BF$3*'Feedstock Conversion Rates'!B$4)/12</f>
        <v>62.5</v>
      </c>
      <c r="BG153" s="106">
        <f t="shared" si="72"/>
        <v>62.5</v>
      </c>
      <c r="BH153" s="104">
        <f>('Renewable Diesel'!T162*'RD Feedstock Breakdown'!BH$3*'Feedstock Conversion Rates'!B$7)/12</f>
        <v>27.599999999999998</v>
      </c>
      <c r="BI153" s="106">
        <f t="shared" si="64"/>
        <v>27.599999999999998</v>
      </c>
      <c r="BJ153" s="104">
        <f>('Renewable Diesel'!W162*'RD Feedstock Breakdown'!BJ$3*'Feedstock Conversion Rates'!B$4)/12-7.5</f>
        <v>0</v>
      </c>
      <c r="BK153" s="104">
        <f>('Renewable Diesel'!W162*'RD Feedstock Breakdown'!BK$3*'Feedstock Conversion Rates'!B$3)/12</f>
        <v>1.335</v>
      </c>
      <c r="BL153" s="104">
        <f>('Renewable Diesel'!W162*'RD Feedstock Breakdown'!BL$3*'Feedstock Conversion Rates'!B$6)/12</f>
        <v>3.1266666666666669</v>
      </c>
      <c r="BM153" s="104">
        <f>('Renewable Diesel'!W162*'RD Feedstock Breakdown'!BM$3*'Feedstock Conversion Rates'!B$7)/12+7.5</f>
        <v>9.0333333333333332</v>
      </c>
      <c r="BN153" s="106">
        <f t="shared" si="54"/>
        <v>13.495000000000001</v>
      </c>
      <c r="BO153" s="104">
        <f>('Renewable Diesel'!P162*'Feedstock Conversion Rates'!B$4)/12</f>
        <v>0</v>
      </c>
      <c r="BP153" s="106">
        <f t="shared" si="102"/>
        <v>0</v>
      </c>
      <c r="BQ153" s="104"/>
      <c r="BR153" s="104"/>
      <c r="BS153" s="106"/>
      <c r="BT153" s="106"/>
      <c r="BU153" s="104">
        <f>('Renewable Diesel'!Y162*'Feedstock Conversion Rates'!B$7)/12</f>
        <v>1.3416666666666666</v>
      </c>
      <c r="BV153" s="106">
        <f t="shared" si="93"/>
        <v>1.3416666666666666</v>
      </c>
      <c r="BW153" s="106"/>
      <c r="BX153" s="106"/>
      <c r="BY153" s="106"/>
      <c r="BZ153" s="106"/>
      <c r="CA153" s="106"/>
      <c r="CB153" s="104">
        <f>('Renewable Diesel'!AA162*'Feedstock Conversion Rates'!B$4)/12</f>
        <v>191.25</v>
      </c>
      <c r="CC153" s="106">
        <f>CB153</f>
        <v>191.25</v>
      </c>
      <c r="CD153" s="104">
        <f>('Renewable Diesel'!$AB162*'RD Feedstock Breakdown'!CD$3*'Feedstock Conversion Rates'!$B$6)/12</f>
        <v>0</v>
      </c>
      <c r="CE153" s="104">
        <f>('Renewable Diesel'!$AB162*'RD Feedstock Breakdown'!CE$3*'Feedstock Conversion Rates'!$B$4)/12</f>
        <v>0</v>
      </c>
      <c r="CF153" s="106">
        <f t="shared" si="108"/>
        <v>0</v>
      </c>
      <c r="CG153" s="104">
        <f>('Renewable Diesel'!AD162*'Feedstock Conversion Rates'!B$4)/12</f>
        <v>75.625</v>
      </c>
      <c r="CH153" s="106">
        <f t="shared" si="89"/>
        <v>75.625</v>
      </c>
      <c r="CI153" s="104">
        <f>('Renewable Diesel'!$AE162*'RD Feedstock Breakdown'!CI$3*'Feedstock Conversion Rates'!$B$5)/12</f>
        <v>0.17302083333333332</v>
      </c>
      <c r="CJ153" s="104">
        <f>('Renewable Diesel'!$AE162*'RD Feedstock Breakdown'!CJ$3*'Feedstock Conversion Rates'!$B$4)/12</f>
        <v>0.171875</v>
      </c>
      <c r="CK153" s="106">
        <f t="shared" si="103"/>
        <v>0.34489583333333329</v>
      </c>
      <c r="CL153" s="104">
        <f>(((CL$3*'Renewable Diesel'!$AF162)*'Feedstock Conversion Rates'!$B$3)/12)</f>
        <v>30.037499999999998</v>
      </c>
      <c r="CM153" s="104">
        <f>(((CM$3*'Renewable Diesel'!$AF162)*'Feedstock Conversion Rates'!$B$6)/12)</f>
        <v>17.587500000000002</v>
      </c>
      <c r="CN153" s="104">
        <f>(((CN$3*'Renewable Diesel'!$AF162)*'Feedstock Conversion Rates'!$B$4)/12)</f>
        <v>14.0625</v>
      </c>
      <c r="CO153" s="106">
        <f t="shared" si="91"/>
        <v>61.6875</v>
      </c>
      <c r="CP153" s="106"/>
      <c r="CQ153" s="106"/>
      <c r="CR153" s="106"/>
      <c r="CS153" s="106"/>
      <c r="CT153" s="104">
        <f>('Renewable Diesel'!AI162*'Feedstock Conversion Rates'!$B$4*'RD Feedstock Breakdown'!$CT$3)/12</f>
        <v>0</v>
      </c>
      <c r="CU153" s="106">
        <f t="shared" si="99"/>
        <v>0</v>
      </c>
      <c r="CV153" s="106"/>
      <c r="CW153" s="106"/>
      <c r="CX153" s="106"/>
      <c r="CY153" s="106"/>
      <c r="CZ153" s="106"/>
      <c r="DA153" s="106"/>
      <c r="DB153" s="106"/>
      <c r="DC153" s="106"/>
      <c r="DD153" s="106"/>
      <c r="DE153" s="106"/>
      <c r="DF153" s="106"/>
      <c r="DG153" s="106"/>
      <c r="DH153" s="106"/>
      <c r="DI153" s="106"/>
      <c r="DJ153" s="104">
        <f>('Renewable Diesel'!AT162*'Feedstock Conversion Rates'!$B$4*0.25)/12</f>
        <v>0</v>
      </c>
      <c r="DK153" s="104">
        <f>('Renewable Diesel'!$AT162*'RD Feedstock Breakdown'!DK$3*'Feedstock Conversion Rates'!$B$3)/12*0.5</f>
        <v>0</v>
      </c>
      <c r="DL153" s="104">
        <f>('Renewable Diesel'!$AT162*'RD Feedstock Breakdown'!$DL$3*'Feedstock Conversion Rates'!$B$6)/12</f>
        <v>0</v>
      </c>
      <c r="DM153" s="104">
        <f>('Renewable Diesel'!$AT162*'RD Feedstock Breakdown'!$DM$3*'Feedstock Conversion Rates'!$B$8)/12</f>
        <v>0</v>
      </c>
      <c r="DN153" s="106">
        <f>SUM(DJ153:DM153)</f>
        <v>0</v>
      </c>
      <c r="DP153" s="104">
        <f t="shared" si="73"/>
        <v>52.582499999999996</v>
      </c>
      <c r="DQ153" s="104">
        <f t="shared" si="74"/>
        <v>460.25315000000001</v>
      </c>
      <c r="DR153" s="104">
        <f t="shared" si="82"/>
        <v>592.359375</v>
      </c>
      <c r="DS153" s="104">
        <f t="shared" si="100"/>
        <v>349.67302083333334</v>
      </c>
      <c r="DT153" s="104">
        <f t="shared" si="75"/>
        <v>206.49848333333335</v>
      </c>
      <c r="DU153" s="104">
        <f t="shared" si="76"/>
        <v>373.20633333333336</v>
      </c>
      <c r="DV153" s="104">
        <f t="shared" si="83"/>
        <v>53.3046875</v>
      </c>
      <c r="DW153" s="104">
        <f t="shared" si="77"/>
        <v>2.5</v>
      </c>
      <c r="DX153" s="106">
        <f t="shared" si="78"/>
        <v>2090.3775500000002</v>
      </c>
      <c r="DY153" s="109">
        <f t="shared" si="79"/>
        <v>-5.1869619710487314E-13</v>
      </c>
      <c r="EA153" s="110">
        <f t="shared" si="55"/>
        <v>2.5154546842506988E-2</v>
      </c>
      <c r="EB153" s="110">
        <f t="shared" si="55"/>
        <v>0.22017704409425942</v>
      </c>
      <c r="EC153" s="110">
        <f t="shared" si="55"/>
        <v>0.28337434785405152</v>
      </c>
      <c r="ED153" s="110">
        <f t="shared" si="55"/>
        <v>0.16727744747992213</v>
      </c>
      <c r="EE153" s="110">
        <f t="shared" si="56"/>
        <v>9.8785256918461142E-2</v>
      </c>
      <c r="EF153" s="110">
        <f t="shared" si="56"/>
        <v>0.17853537191562996</v>
      </c>
      <c r="EG153" s="111">
        <f t="shared" si="56"/>
        <v>2.5500028690989336E-2</v>
      </c>
      <c r="EH153" s="111">
        <f t="shared" si="84"/>
        <v>1.1959562041794793E-3</v>
      </c>
      <c r="EI153" s="110">
        <f t="shared" si="85"/>
        <v>0.99880404379582055</v>
      </c>
      <c r="EK153" s="112">
        <f>(EA153*'Renewable Diesel'!BF162*'Feedstock Conversion Rates'!B$2)+FB153</f>
        <v>41.440825897249994</v>
      </c>
      <c r="EL153" s="112">
        <f>(EB153*'Renewable Diesel'!BF162*'Feedstock Conversion Rates'!B$3)+FC153</f>
        <v>341.82004853787788</v>
      </c>
      <c r="EM153" s="112">
        <f>(EC153*'Renewable Diesel'!BF162*'Feedstock Conversion Rates'!B$4)+FD153</f>
        <v>411.92179898778932</v>
      </c>
      <c r="EN153" s="112">
        <f>(ED153*'Renewable Diesel'!BF162*'Feedstock Conversion Rates'!B$5)+FE153</f>
        <v>244.78078485911661</v>
      </c>
      <c r="EO153" s="112">
        <f>(EE153*'Renewable Diesel'!BF162*'Feedstock Conversion Rates'!B$6)+FF153</f>
        <v>179.59239847118343</v>
      </c>
      <c r="EP153" s="112">
        <f>(EF153*'Renewable Diesel'!BF162*'Feedstock Conversion Rates'!B$7)+FG153</f>
        <v>318.35016433546832</v>
      </c>
      <c r="EQ153" s="112">
        <f>(EG153*'Renewable Diesel'!BF162*'Feedstock Conversion Rates'!B$8)+FH153</f>
        <v>46.334547270147297</v>
      </c>
      <c r="ER153" s="112">
        <f>(EH153*'Renewable Diesel'!BF162*'Feedstock Conversion Rates'!B$9)+FI153</f>
        <v>2.1441244405825155</v>
      </c>
      <c r="ES153" s="112">
        <f t="shared" si="86"/>
        <v>1586.3846927994155</v>
      </c>
      <c r="ET153" s="91">
        <f>ES153/'Renewable Diesel'!BF162</f>
        <v>8.1849406041207722</v>
      </c>
      <c r="EW153" s="73">
        <f t="shared" si="58"/>
        <v>656.7025838469059</v>
      </c>
      <c r="EX153" s="73">
        <f t="shared" si="59"/>
        <v>929.68210895250934</v>
      </c>
      <c r="EY153" s="92">
        <f t="shared" si="71"/>
        <v>0.41396175015283021</v>
      </c>
      <c r="EZ153" s="92">
        <f t="shared" si="71"/>
        <v>0.58603824984716968</v>
      </c>
      <c r="FB153" s="102">
        <f>IF('Renewable Diesel'!$BG162&lt;1,0,(((('Renewable Diesel'!$BG162-1)*'Renewable Diesel'!$BF162)*'RD Feedstock Breakdown'!EA153)*'Feedstock Conversion Rates'!$B$2))</f>
        <v>0</v>
      </c>
      <c r="FC153" s="102">
        <f>IF('Renewable Diesel'!$BG162&lt;1,0,(((('Renewable Diesel'!$BG162-1)*'Renewable Diesel'!$BF162)*'RD Feedstock Breakdown'!EB153)*'Feedstock Conversion Rates'!$B$3))</f>
        <v>0</v>
      </c>
      <c r="FD153" s="102">
        <f>IF('Renewable Diesel'!$BG162&lt;1,0,(((('Renewable Diesel'!$BG162-1)*'Renewable Diesel'!$BF162)*'RD Feedstock Breakdown'!EC153)*'Feedstock Conversion Rates'!$B$4))</f>
        <v>0</v>
      </c>
      <c r="FE153" s="102">
        <f>IF('Renewable Diesel'!$BG162&lt;1,0,(((('Renewable Diesel'!$BG162-1)*'Renewable Diesel'!$BF162)*'RD Feedstock Breakdown'!ED153)*'Feedstock Conversion Rates'!$B$5))</f>
        <v>0</v>
      </c>
      <c r="FF153" s="102">
        <f>IF('Renewable Diesel'!$BG162&lt;1,0,(((('Renewable Diesel'!$BG162-1)*'Renewable Diesel'!$BF162)*'RD Feedstock Breakdown'!EE153)*'Feedstock Conversion Rates'!$B$6))</f>
        <v>0</v>
      </c>
      <c r="FG153" s="102">
        <f>IF('Renewable Diesel'!$BG162&lt;1,0,(((('Renewable Diesel'!$BG162-1)*'Renewable Diesel'!$BF162)*'RD Feedstock Breakdown'!EF153)*'Feedstock Conversion Rates'!$B$7))</f>
        <v>0</v>
      </c>
      <c r="FH153" s="102">
        <f>IF('Renewable Diesel'!$BG162&lt;1,0,(((('Renewable Diesel'!$BG162-1)*'Renewable Diesel'!$BF162)*'RD Feedstock Breakdown'!EG153)*'Feedstock Conversion Rates'!$B$8))</f>
        <v>0</v>
      </c>
      <c r="FI153" s="102">
        <f>IF('Renewable Diesel'!$BG162&lt;1,0,(((('Renewable Diesel'!$BG162-1)*'Renewable Diesel'!$BF162)*'RD Feedstock Breakdown'!EH153)*'Feedstock Conversion Rates'!$B$9))</f>
        <v>0</v>
      </c>
      <c r="FJ153" s="102">
        <f t="shared" si="60"/>
        <v>0</v>
      </c>
      <c r="FL153" s="3">
        <f>('Renewable Diesel'!AX162/12*$FO$80)*'RD Feedstock Breakdown'!EC153*7.5</f>
        <v>589.77286147124482</v>
      </c>
      <c r="FM153" s="3">
        <f t="shared" si="96"/>
        <v>177.85106248345551</v>
      </c>
      <c r="FR153" s="3">
        <f>('Renewable Diesel'!AX162-'Renewable Diesel'!BI162)/12*$FO$80</f>
        <v>64.045687499999971</v>
      </c>
      <c r="FS153" s="100">
        <f t="shared" si="97"/>
        <v>0.28337434785405152</v>
      </c>
      <c r="FT153" s="3">
        <f t="shared" si="98"/>
        <v>136.11678696132654</v>
      </c>
      <c r="FY153" s="3">
        <f>'Renewable Diesel'!BF162*('Renewable Diesel'!BI162/'Renewable Diesel'!AX162)</f>
        <v>149.08533462757299</v>
      </c>
      <c r="FZ153" s="3">
        <f>('Renewable Diesel'!BJ162*'Renewable Diesel'!BG162)/12</f>
        <v>43.890427153053388</v>
      </c>
      <c r="GA153" s="3">
        <f t="shared" si="105"/>
        <v>93.280658786491941</v>
      </c>
      <c r="GD153" s="91">
        <f>'Renewable Diesel'!BB162*0.32</f>
        <v>13.293807999999999</v>
      </c>
      <c r="GE153" s="91">
        <f>'Renewable Diesel'!BC162</f>
        <v>1.121861</v>
      </c>
      <c r="GF153" s="91">
        <f>'Renewable Diesel'!BD162</f>
        <v>0</v>
      </c>
      <c r="GG153" s="91">
        <f t="shared" ref="GG153:GG216" si="109">GF153+GE153</f>
        <v>1.121861</v>
      </c>
      <c r="GH153" s="124">
        <v>1</v>
      </c>
      <c r="GI153" s="102">
        <f>$GG153*EA153*'Feedstock Conversion Rates'!$B$2</f>
        <v>0.23986919313989472</v>
      </c>
      <c r="GJ153" s="102">
        <f>$GG153*EB153*'Feedstock Conversion Rates'!$B$3</f>
        <v>1.9785343913056859</v>
      </c>
      <c r="GK153" s="102">
        <f>$GG153*EC153*'Feedstock Conversion Rates'!$B$4</f>
        <v>2.3842997194342055</v>
      </c>
      <c r="GL153" s="102">
        <f>$GG153*ED153*'Feedstock Conversion Rates'!$B$5</f>
        <v>1.4168484360299105</v>
      </c>
      <c r="GM153" s="102">
        <f>$GG153*EE153*'Feedstock Conversion Rates'!$B$6</f>
        <v>1.0395228083087003</v>
      </c>
      <c r="GN153" s="102">
        <f>$GG153*EF153*'Feedstock Conversion Rates'!$B$7</f>
        <v>1.8426852120282931</v>
      </c>
      <c r="GO153" s="102">
        <f>$GG153*EG153*'Feedstock Conversion Rates'!$B$8</f>
        <v>0.26819519706845613</v>
      </c>
      <c r="GP153" s="102">
        <f>$GG153*EH153*'Feedstock Conversion Rates'!B$9</f>
        <v>1.2410693764387203E-2</v>
      </c>
      <c r="GQ153" s="102">
        <f t="shared" si="87"/>
        <v>9.1823656510795342</v>
      </c>
      <c r="GR153" s="85">
        <f t="shared" si="107"/>
        <v>8.1849406041207722</v>
      </c>
      <c r="GT153" s="103">
        <f>(GI153+FB153+EK153)/SUM($ES153,$FJ153,$GQ153)</f>
        <v>2.6122809987608613E-2</v>
      </c>
      <c r="GU153" s="103">
        <f t="shared" si="94"/>
        <v>0.21547109606477904</v>
      </c>
      <c r="GV153" s="103">
        <f t="shared" si="94"/>
        <v>0.2596607247015798</v>
      </c>
      <c r="GW153" s="103">
        <f t="shared" si="94"/>
        <v>0.15430102545125035</v>
      </c>
      <c r="GX153" s="103">
        <f t="shared" si="94"/>
        <v>0.1132086052559329</v>
      </c>
      <c r="GY153" s="103">
        <f t="shared" si="94"/>
        <v>0.20067652302777289</v>
      </c>
      <c r="GZ153" s="103">
        <f t="shared" si="94"/>
        <v>2.9207636382561776E-2</v>
      </c>
      <c r="HA153" s="103">
        <f t="shared" si="94"/>
        <v>1.3515791285144613E-3</v>
      </c>
    </row>
    <row r="154" spans="1:209" x14ac:dyDescent="0.25">
      <c r="A154" s="96">
        <v>45108</v>
      </c>
      <c r="B154" s="104">
        <f>23-20+10+85-5-4-4-1.25+2.25-5+15-6-25-45+65+15-22.5-50+40+16.5+27.5+168+80+14-30+15-50-19+22.5-10+5+11-25-50-12.5-27.5-10+10+2+4-1.5+12-26-15-50-15+10-32.5-3-5-2.5-1+10+5-50-35-9-0.5+25+15+25+20+15+85-25+12.5-52.5+10+20-150+20+30-15+50-75-10</f>
        <v>0</v>
      </c>
      <c r="C154" s="104">
        <f>40-10-2.5-27.5+25+25+25+30+20-90-35</f>
        <v>0</v>
      </c>
      <c r="D154" s="104">
        <f t="shared" si="95"/>
        <v>1.5</v>
      </c>
      <c r="E154" s="104">
        <f>('Renewable Diesel'!B163*E$3*'Feedstock Conversion Rates'!$B$2)/12-40+1.25+6-43+30-15+12.5-4+1.5+26+2.5+3-10+50+9-15-30-50</f>
        <v>24.679999999999993</v>
      </c>
      <c r="F154" s="104">
        <f>('Renewable Diesel'!B163*'RD Feedstock Breakdown'!F$3*'Feedstock Conversion Rates'!B$8)/12+28.5-49-5+2-6+1+6+20-20-3.75+10+2.5+5-20-20+35</f>
        <v>40.15625</v>
      </c>
      <c r="G154" s="104">
        <f>('Renewable Diesel'!B163*'RD Feedstock Breakdown'!G$3*'Feedstock Conversion Rates'!B$7)/12-25-15-25+4+4-20-40-20+10-17.5+20+50-12+32.5+35-75-75+22.5+5-20+15+100</f>
        <v>129.65700000000001</v>
      </c>
      <c r="H154" s="104">
        <f>('Renewable Diesel'!B163*'RD Feedstock Breakdown'!H$3*'Feedstock Conversion Rates'!B$3)/12-85+4-15+70-65-80+50-22.5-5+25+27.5+15+50+15-10+5+50+75-5-25-85-12.5+30+22.5-25-30+151-26-50+75</f>
        <v>300.40022499999998</v>
      </c>
      <c r="I154" s="106">
        <f t="shared" si="106"/>
        <v>496.39347499999997</v>
      </c>
      <c r="J154" s="104">
        <f>120+40+59+10-15-1.75+7.5-2-15-25-75+25+2.5-7-1+15+20+25+15+20-217+17.5+2+37-56.75</f>
        <v>0</v>
      </c>
      <c r="K154" s="104">
        <v>190</v>
      </c>
      <c r="L154" s="104">
        <v>1</v>
      </c>
      <c r="M154" s="104">
        <f>('Renewable Diesel'!C163*'RD Feedstock Breakdown'!M$3*'Feedstock Conversion Rates'!B$2)/12-15-40+2+117-25-2-37-50</f>
        <v>27.902500000000003</v>
      </c>
      <c r="N154" s="104">
        <f>('Renewable Diesel'!C163*'RD Feedstock Breakdown'!N$3*'Feedstock Conversion Rates'!B$8)/12+1.75+7-15-20-5</f>
        <v>5.46875</v>
      </c>
      <c r="O154" s="104">
        <f>('Renewable Diesel'!C163*'RD Feedstock Breakdown'!O$3*'Feedstock Conversion Rates'!B$7)/12+30-120+25-17.5+56.75-60</f>
        <v>34.240999999999985</v>
      </c>
      <c r="P154" s="104">
        <f>('Renewable Diesel'!C163*'RD Feedstock Breakdown'!P$3*'Feedstock Conversion Rates'!B$3)/12-15-59-10+15-7.5+15+75-25-2.5-25-15-20+25+100-75</f>
        <v>80.470425000000034</v>
      </c>
      <c r="Q154" s="106">
        <f t="shared" si="92"/>
        <v>339.08267500000005</v>
      </c>
      <c r="R154" s="104">
        <f>('Renewable Diesel'!D163*'RD Feedstock Breakdown'!R$3*'Feedstock Conversion Rates'!B$7)/12</f>
        <v>2.2999999999999998</v>
      </c>
      <c r="S154" s="106">
        <f t="shared" si="67"/>
        <v>2.2999999999999998</v>
      </c>
      <c r="T154" s="104">
        <f>15+10+5-30+35-10-3-22+20-20+50</f>
        <v>50</v>
      </c>
      <c r="U154" s="104">
        <v>0</v>
      </c>
      <c r="V154" s="104">
        <f>('Renewable Diesel'!E163*'RD Feedstock Breakdown'!V$3*'Feedstock Conversion Rates'!B$6)/12-20-5-5+32.5-35+25-15+22+20-50</f>
        <v>13.750150000000012</v>
      </c>
      <c r="W154" s="104">
        <f>('Renewable Diesel'!E163*'RD Feedstock Breakdown'!W$3*'Feedstock Conversion Rates'!B$8)/12-2.5+3-20</f>
        <v>2.6796875</v>
      </c>
      <c r="X154" s="106">
        <f t="shared" si="88"/>
        <v>66.429837500000019</v>
      </c>
      <c r="Y154" s="104">
        <f>30-30+50-20+20-2-35-13+7.5-5-2.5+15-15</f>
        <v>0</v>
      </c>
      <c r="Z154" s="104">
        <f>('Renewable Diesel'!F163*'RD Feedstock Breakdown'!Z$3*'Feedstock Conversion Rates'!B$6)/12-30+20-20-7.5+2.5+15</f>
        <v>24.555000000000007</v>
      </c>
      <c r="AA154" s="104">
        <f>('Renewable Diesel'!F163*'RD Feedstock Breakdown'!AA$3*'Feedstock Conversion Rates'!B$7)/12+30-50+2+35+13+5-15</f>
        <v>49.133333333333326</v>
      </c>
      <c r="AB154" s="106">
        <f t="shared" si="62"/>
        <v>73.688333333333333</v>
      </c>
      <c r="AC154" s="104">
        <f>('Renewable Diesel'!G163*'RD Feedstock Breakdown'!AC$3*'Feedstock Conversion Rates'!B$5)/12</f>
        <v>0</v>
      </c>
      <c r="AD154" s="104">
        <f>('Renewable Diesel'!G163*'RD Feedstock Breakdown'!AD$3*'Feedstock Conversion Rates'!B$4)/12</f>
        <v>0</v>
      </c>
      <c r="AE154" s="104">
        <f>('Renewable Diesel'!G163*'RD Feedstock Breakdown'!AE$3*'Feedstock Conversion Rates'!B$6)/12</f>
        <v>0</v>
      </c>
      <c r="AF154" s="106">
        <f t="shared" si="101"/>
        <v>0</v>
      </c>
      <c r="AG154" s="104">
        <f>26-26+30-30+50</f>
        <v>50</v>
      </c>
      <c r="AH154" s="104">
        <v>0</v>
      </c>
      <c r="AI154" s="104">
        <f>('Renewable Diesel'!H163*'RD Feedstock Breakdown'!AI$3*'Feedstock Conversion Rates'!B$6)/12-17.5+17.5-26+26-30+30-50</f>
        <v>8.6250000000000071</v>
      </c>
      <c r="AJ154" s="106">
        <f t="shared" si="65"/>
        <v>58.625000000000007</v>
      </c>
      <c r="AK154" s="104">
        <f>('Renewable Diesel'!J163*'RD Feedstock Breakdown'!AK$3*'Feedstock Conversion Rates'!B$4)/12</f>
        <v>95.8125</v>
      </c>
      <c r="AL154" s="106">
        <f t="shared" si="68"/>
        <v>95.8125</v>
      </c>
      <c r="AM154" s="104">
        <f>('Renewable Diesel'!K163*'RD Feedstock Breakdown'!AM$3*'Feedstock Conversion Rates'!B$4)/12-40-10</f>
        <v>8.59375</v>
      </c>
      <c r="AN154" s="104">
        <f>('Renewable Diesel'!K163*'RD Feedstock Breakdown'!AN$3*'Feedstock Conversion Rates'!B$6)/12+40+10</f>
        <v>74.427083333333329</v>
      </c>
      <c r="AO154" s="106">
        <f t="shared" si="81"/>
        <v>83.020833333333329</v>
      </c>
      <c r="AP154" s="104">
        <f>('Renewable Diesel'!L163*'RD Feedstock Breakdown'!AP$3*'Feedstock Conversion Rates'!B$4)/12+15-5-40+10-20</f>
        <v>18.59375</v>
      </c>
      <c r="AQ154" s="104">
        <f>('Renewable Diesel'!L163*'RD Feedstock Breakdown'!AQ$3*'Feedstock Conversion Rates'!B$6)/12-15+5+40-10+20</f>
        <v>64.427083333333329</v>
      </c>
      <c r="AR154" s="106">
        <f t="shared" si="70"/>
        <v>83.020833333333329</v>
      </c>
      <c r="AS154" s="104">
        <f>('Renewable Diesel'!M163*'RD Feedstock Breakdown'!AS$3*'Feedstock Conversion Rates'!B$4)/12-68</f>
        <v>94.5</v>
      </c>
      <c r="AT154" s="104">
        <f>('Renewable Diesel'!M163*'RD Feedstock Breakdown'!AT$3*'Feedstock Conversion Rates'!B$5)/12+68</f>
        <v>68</v>
      </c>
      <c r="AU154" s="106">
        <f t="shared" si="104"/>
        <v>162.5</v>
      </c>
      <c r="AV154" s="104">
        <f>'Renewable Diesel'!N163*'RD Feedstock Breakdown'!$AV$3*'Feedstock Conversion Rates'!$B$4/12-15-10+25+25-22-75-6.5+50+25-50</f>
        <v>25.249999999999986</v>
      </c>
      <c r="AW154" s="104">
        <f>'Renewable Diesel'!N163*'RD Feedstock Breakdown'!$AW$3*'Feedstock Conversion Rates'!$B$7/12+15+10-25-25+22+75+6.5-50-25+50</f>
        <v>94.9</v>
      </c>
      <c r="AX154" s="106">
        <f t="shared" si="63"/>
        <v>120.14999999999999</v>
      </c>
      <c r="AY154" s="104">
        <f>('Renewable Diesel'!O163*'RD Feedstock Breakdown'!AY$3*'Feedstock Conversion Rates'!B$4)/12+5-50</f>
        <v>22.5</v>
      </c>
      <c r="AZ154" s="104">
        <f>('Renewable Diesel'!O163*'RD Feedstock Breakdown'!AZ$3*'Feedstock Conversion Rates'!B$3)/12-5+50</f>
        <v>53.01</v>
      </c>
      <c r="BA154" s="106">
        <f t="shared" si="66"/>
        <v>75.509999999999991</v>
      </c>
      <c r="BB154" s="104">
        <f>('Renewable Diesel'!Q163*'RD Feedstock Breakdown'!BB$3*'Feedstock Conversion Rates'!B$4)/12</f>
        <v>0</v>
      </c>
      <c r="BC154" s="104">
        <f>('Renewable Diesel'!Q163*'RD Feedstock Breakdown'!BC$3*'Feedstock Conversion Rates'!B$3)/12</f>
        <v>0</v>
      </c>
      <c r="BD154" s="104">
        <f>('Renewable Diesel'!Q163*'RD Feedstock Breakdown'!BD$3*'Feedstock Conversion Rates'!B$6)/12</f>
        <v>0</v>
      </c>
      <c r="BE154" s="106">
        <f t="shared" si="90"/>
        <v>0</v>
      </c>
      <c r="BF154" s="104">
        <f>('Renewable Diesel'!R163*'RD Feedstock Breakdown'!BF$3*'Feedstock Conversion Rates'!B$4)/12</f>
        <v>62.5</v>
      </c>
      <c r="BG154" s="106">
        <f t="shared" si="72"/>
        <v>62.5</v>
      </c>
      <c r="BH154" s="104">
        <f>('Renewable Diesel'!T163*'RD Feedstock Breakdown'!BH$3*'Feedstock Conversion Rates'!B$7)/12</f>
        <v>27.599999999999998</v>
      </c>
      <c r="BI154" s="106">
        <f t="shared" si="64"/>
        <v>27.599999999999998</v>
      </c>
      <c r="BJ154" s="104">
        <f>('Renewable Diesel'!W163*'RD Feedstock Breakdown'!BJ$3*'Feedstock Conversion Rates'!B$4)/12-7.5</f>
        <v>0</v>
      </c>
      <c r="BK154" s="104">
        <f>('Renewable Diesel'!W163*'RD Feedstock Breakdown'!BK$3*'Feedstock Conversion Rates'!B$3)/12</f>
        <v>1.335</v>
      </c>
      <c r="BL154" s="104">
        <f>('Renewable Diesel'!W163*'RD Feedstock Breakdown'!BL$3*'Feedstock Conversion Rates'!B$6)/12</f>
        <v>3.1266666666666669</v>
      </c>
      <c r="BM154" s="104">
        <f>('Renewable Diesel'!W163*'RD Feedstock Breakdown'!BM$3*'Feedstock Conversion Rates'!B$7)/12+7.5</f>
        <v>9.0333333333333332</v>
      </c>
      <c r="BN154" s="106">
        <f t="shared" si="54"/>
        <v>13.495000000000001</v>
      </c>
      <c r="BO154" s="104">
        <f>('Renewable Diesel'!P163*'Feedstock Conversion Rates'!B$4)/12</f>
        <v>0</v>
      </c>
      <c r="BP154" s="106">
        <f t="shared" si="102"/>
        <v>0</v>
      </c>
      <c r="BQ154" s="104"/>
      <c r="BR154" s="104"/>
      <c r="BS154" s="106"/>
      <c r="BT154" s="106"/>
      <c r="BU154" s="104">
        <f>('Renewable Diesel'!Y163*'Feedstock Conversion Rates'!B$7)/12</f>
        <v>2.6833333333333331</v>
      </c>
      <c r="BV154" s="106">
        <f t="shared" si="93"/>
        <v>2.6833333333333331</v>
      </c>
      <c r="BW154" s="106"/>
      <c r="BX154" s="106"/>
      <c r="BY154" s="106"/>
      <c r="BZ154" s="106"/>
      <c r="CA154" s="106"/>
      <c r="CB154" s="104">
        <f>('Renewable Diesel'!AA163*'Feedstock Conversion Rates'!B$4)/12</f>
        <v>191.25</v>
      </c>
      <c r="CC154" s="106">
        <f>CB154</f>
        <v>191.25</v>
      </c>
      <c r="CD154" s="104">
        <f>('Renewable Diesel'!$AB163*'RD Feedstock Breakdown'!CD$3*'Feedstock Conversion Rates'!$B$6)/12</f>
        <v>0</v>
      </c>
      <c r="CE154" s="104">
        <f>('Renewable Diesel'!$AB163*'RD Feedstock Breakdown'!CE$3*'Feedstock Conversion Rates'!$B$4)/12</f>
        <v>0</v>
      </c>
      <c r="CF154" s="106">
        <f t="shared" si="108"/>
        <v>0</v>
      </c>
      <c r="CG154" s="104">
        <f>('Renewable Diesel'!AD163*'Feedstock Conversion Rates'!B$4)/12</f>
        <v>75.625</v>
      </c>
      <c r="CH154" s="106">
        <f t="shared" si="89"/>
        <v>75.625</v>
      </c>
      <c r="CI154" s="104">
        <f>('Renewable Diesel'!$AE163*'RD Feedstock Breakdown'!CI$3*'Feedstock Conversion Rates'!$B$5)/12</f>
        <v>0.17302083333333332</v>
      </c>
      <c r="CJ154" s="104">
        <f>('Renewable Diesel'!$AE163*'RD Feedstock Breakdown'!CJ$3*'Feedstock Conversion Rates'!$B$4)/12</f>
        <v>0.171875</v>
      </c>
      <c r="CK154" s="106">
        <f t="shared" si="103"/>
        <v>0.34489583333333329</v>
      </c>
      <c r="CL154" s="104">
        <f>(((CL$3*'Renewable Diesel'!$AF163)*'Feedstock Conversion Rates'!$B$3)/12)</f>
        <v>30.037499999999998</v>
      </c>
      <c r="CM154" s="104">
        <f>(((CM$3*'Renewable Diesel'!$AF163)*'Feedstock Conversion Rates'!$B$6)/12)</f>
        <v>17.587500000000002</v>
      </c>
      <c r="CN154" s="104">
        <f>(((CN$3*'Renewable Diesel'!$AF163)*'Feedstock Conversion Rates'!$B$4)/12)</f>
        <v>14.0625</v>
      </c>
      <c r="CO154" s="106">
        <f t="shared" si="91"/>
        <v>61.6875</v>
      </c>
      <c r="CP154" s="106"/>
      <c r="CQ154" s="106"/>
      <c r="CR154" s="106"/>
      <c r="CS154" s="106"/>
      <c r="CT154" s="104">
        <f>('Renewable Diesel'!AI163*'Feedstock Conversion Rates'!$B$4*'RD Feedstock Breakdown'!$CT$3)/12</f>
        <v>0</v>
      </c>
      <c r="CU154" s="106">
        <f t="shared" si="99"/>
        <v>0</v>
      </c>
      <c r="CV154" s="106"/>
      <c r="CW154" s="106"/>
      <c r="CX154" s="106"/>
      <c r="CY154" s="106"/>
      <c r="CZ154" s="106"/>
      <c r="DA154" s="106"/>
      <c r="DB154" s="106"/>
      <c r="DC154" s="106"/>
      <c r="DD154" s="106"/>
      <c r="DE154" s="106"/>
      <c r="DF154" s="106"/>
      <c r="DG154" s="106"/>
      <c r="DH154" s="106"/>
      <c r="DI154" s="106"/>
      <c r="DJ154" s="104">
        <f>('Renewable Diesel'!AT163*'Feedstock Conversion Rates'!$B$4*0.25)/12</f>
        <v>0</v>
      </c>
      <c r="DK154" s="104">
        <f>('Renewable Diesel'!$AT163*'RD Feedstock Breakdown'!DK$3*'Feedstock Conversion Rates'!$B$3)/12*0.5</f>
        <v>0</v>
      </c>
      <c r="DL154" s="104">
        <f>('Renewable Diesel'!$AT163*'RD Feedstock Breakdown'!$DL$3*'Feedstock Conversion Rates'!$B$6)/12</f>
        <v>0</v>
      </c>
      <c r="DM154" s="104">
        <f>('Renewable Diesel'!$AT163*'RD Feedstock Breakdown'!$DM$3*'Feedstock Conversion Rates'!$B$8)/12</f>
        <v>0</v>
      </c>
      <c r="DN154" s="106">
        <f t="shared" ref="DN154:DN217" si="110">SUM(DJ154:DM154)</f>
        <v>0</v>
      </c>
      <c r="DP154" s="104">
        <f t="shared" si="73"/>
        <v>52.582499999999996</v>
      </c>
      <c r="DQ154" s="104">
        <f t="shared" si="74"/>
        <v>465.25315000000001</v>
      </c>
      <c r="DR154" s="104">
        <f t="shared" si="82"/>
        <v>608.859375</v>
      </c>
      <c r="DS154" s="104">
        <f t="shared" si="100"/>
        <v>358.17302083333334</v>
      </c>
      <c r="DT154" s="104">
        <f t="shared" si="75"/>
        <v>206.49848333333335</v>
      </c>
      <c r="DU154" s="104">
        <f t="shared" si="76"/>
        <v>349.54800000000006</v>
      </c>
      <c r="DV154" s="104">
        <f t="shared" si="83"/>
        <v>48.3046875</v>
      </c>
      <c r="DW154" s="104">
        <f t="shared" si="77"/>
        <v>2.5</v>
      </c>
      <c r="DX154" s="106">
        <f t="shared" si="78"/>
        <v>2091.7192166666664</v>
      </c>
      <c r="DY154" s="109">
        <f t="shared" si="79"/>
        <v>-6.3948846218409017E-14</v>
      </c>
      <c r="EA154" s="110">
        <f t="shared" si="55"/>
        <v>2.513841225965056E-2</v>
      </c>
      <c r="EB154" s="110">
        <f t="shared" si="55"/>
        <v>0.2224261967346749</v>
      </c>
      <c r="EC154" s="110">
        <f t="shared" si="55"/>
        <v>0.29108083443927502</v>
      </c>
      <c r="ED154" s="110">
        <f t="shared" si="55"/>
        <v>0.1712337956162743</v>
      </c>
      <c r="EE154" s="110">
        <f t="shared" si="56"/>
        <v>9.8721894261891596E-2</v>
      </c>
      <c r="EF154" s="110">
        <f t="shared" si="56"/>
        <v>0.16711038327459396</v>
      </c>
      <c r="EG154" s="111">
        <f t="shared" si="56"/>
        <v>2.3093294317474242E-2</v>
      </c>
      <c r="EH154" s="111">
        <f t="shared" si="84"/>
        <v>1.1951890961655761E-3</v>
      </c>
      <c r="EI154" s="110">
        <f t="shared" si="85"/>
        <v>0.99880481090383444</v>
      </c>
      <c r="EK154" s="112">
        <f>(EA154*'Renewable Diesel'!BF163*'Feedstock Conversion Rates'!B$2)+FB154</f>
        <v>38.489662378712509</v>
      </c>
      <c r="EL154" s="112">
        <f>(EB154*'Renewable Diesel'!BF163*'Feedstock Conversion Rates'!B$3)+FC154</f>
        <v>320.92665067991476</v>
      </c>
      <c r="EM154" s="112">
        <f>(EC154*'Renewable Diesel'!BF163*'Feedstock Conversion Rates'!B$4)+FD154</f>
        <v>393.24409171912902</v>
      </c>
      <c r="EN154" s="112">
        <f>(ED154*'Renewable Diesel'!BF163*'Feedstock Conversion Rates'!B$5)+FE154</f>
        <v>232.87548199057764</v>
      </c>
      <c r="EO154" s="112">
        <f>(EE154*'Renewable Diesel'!BF163*'Feedstock Conversion Rates'!B$6)+FF154</f>
        <v>166.8029203876886</v>
      </c>
      <c r="EP154" s="112">
        <f>(EF154*'Renewable Diesel'!BF163*'Feedstock Conversion Rates'!B$7)+FG154</f>
        <v>276.93547662618391</v>
      </c>
      <c r="EQ154" s="112">
        <f>(EG154*'Renewable Diesel'!BF163*'Feedstock Conversion Rates'!B$8)+FH154</f>
        <v>38.998194290992615</v>
      </c>
      <c r="ER154" s="112">
        <f>(EH154*'Renewable Diesel'!BF163*'Feedstock Conversion Rates'!B$9)+FI154</f>
        <v>1.9914329415293657</v>
      </c>
      <c r="ES154" s="112">
        <f t="shared" si="86"/>
        <v>1470.2639110147286</v>
      </c>
      <c r="ET154" s="91">
        <f>ES154/'Renewable Diesel'!BF163</f>
        <v>8.1622137829178705</v>
      </c>
      <c r="EW154" s="73">
        <f t="shared" si="58"/>
        <v>626.11957370970663</v>
      </c>
      <c r="EX154" s="73">
        <f t="shared" si="59"/>
        <v>844.14433730502185</v>
      </c>
      <c r="EY154" s="92">
        <f t="shared" si="71"/>
        <v>0.42585522845186286</v>
      </c>
      <c r="EZ154" s="92">
        <f t="shared" si="71"/>
        <v>0.57414477154813703</v>
      </c>
      <c r="FB154" s="102">
        <f>IF('Renewable Diesel'!$BG163&lt;1,0,(((('Renewable Diesel'!$BG163-1)*'Renewable Diesel'!$BF163)*'RD Feedstock Breakdown'!EA154)*'Feedstock Conversion Rates'!$B$2))</f>
        <v>0</v>
      </c>
      <c r="FC154" s="102">
        <f>IF('Renewable Diesel'!$BG163&lt;1,0,(((('Renewable Diesel'!$BG163-1)*'Renewable Diesel'!$BF163)*'RD Feedstock Breakdown'!EB154)*'Feedstock Conversion Rates'!$B$3))</f>
        <v>0</v>
      </c>
      <c r="FD154" s="102">
        <f>IF('Renewable Diesel'!$BG163&lt;1,0,(((('Renewable Diesel'!$BG163-1)*'Renewable Diesel'!$BF163)*'RD Feedstock Breakdown'!EC154)*'Feedstock Conversion Rates'!$B$4))</f>
        <v>0</v>
      </c>
      <c r="FE154" s="102">
        <f>IF('Renewable Diesel'!$BG163&lt;1,0,(((('Renewable Diesel'!$BG163-1)*'Renewable Diesel'!$BF163)*'RD Feedstock Breakdown'!ED154)*'Feedstock Conversion Rates'!$B$5))</f>
        <v>0</v>
      </c>
      <c r="FF154" s="102">
        <f>IF('Renewable Diesel'!$BG163&lt;1,0,(((('Renewable Diesel'!$BG163-1)*'Renewable Diesel'!$BF163)*'RD Feedstock Breakdown'!EE154)*'Feedstock Conversion Rates'!$B$6))</f>
        <v>0</v>
      </c>
      <c r="FG154" s="102">
        <f>IF('Renewable Diesel'!$BG163&lt;1,0,(((('Renewable Diesel'!$BG163-1)*'Renewable Diesel'!$BF163)*'RD Feedstock Breakdown'!EF154)*'Feedstock Conversion Rates'!$B$7))</f>
        <v>0</v>
      </c>
      <c r="FH154" s="102">
        <f>IF('Renewable Diesel'!$BG163&lt;1,0,(((('Renewable Diesel'!$BG163-1)*'Renewable Diesel'!$BF163)*'RD Feedstock Breakdown'!EG154)*'Feedstock Conversion Rates'!$B$8))</f>
        <v>0</v>
      </c>
      <c r="FI154" s="102">
        <f>IF('Renewable Diesel'!$BG163&lt;1,0,(((('Renewable Diesel'!$BG163-1)*'Renewable Diesel'!$BF163)*'RD Feedstock Breakdown'!EH154)*'Feedstock Conversion Rates'!$B$9))</f>
        <v>0</v>
      </c>
      <c r="FJ154" s="102">
        <f t="shared" si="60"/>
        <v>0</v>
      </c>
      <c r="FL154" s="3">
        <f>('Renewable Diesel'!AX163/12*$FO$80)*'RD Feedstock Breakdown'!EC154*7.5</f>
        <v>606.46691855422944</v>
      </c>
      <c r="FM154" s="3">
        <f t="shared" si="96"/>
        <v>213.22282683510042</v>
      </c>
      <c r="FR154" s="3">
        <f>('Renewable Diesel'!AX163-'Renewable Diesel'!BI163)/12*$FO$80</f>
        <v>53.11124999999997</v>
      </c>
      <c r="FS154" s="100">
        <f t="shared" si="97"/>
        <v>0.29108083443927502</v>
      </c>
      <c r="FT154" s="3">
        <f t="shared" si="98"/>
        <v>115.94750226084702</v>
      </c>
      <c r="FY154" s="3">
        <f>'Renewable Diesel'!BF163*('Renewable Diesel'!BI163/'Renewable Diesel'!AX163)</f>
        <v>145.69223927975165</v>
      </c>
      <c r="FZ154" s="3">
        <f>('Renewable Diesel'!BJ163*'Renewable Diesel'!BG163)/12</f>
        <v>34.916602341362932</v>
      </c>
      <c r="GA154" s="3">
        <f t="shared" si="105"/>
        <v>76.22665308981199</v>
      </c>
      <c r="GD154" s="91">
        <f>'Renewable Diesel'!BB163*0.32</f>
        <v>12.92555232</v>
      </c>
      <c r="GE154" s="91">
        <f>'Renewable Diesel'!BC163</f>
        <v>1.7707619999999999</v>
      </c>
      <c r="GF154" s="91">
        <f>'Renewable Diesel'!BD163</f>
        <v>0</v>
      </c>
      <c r="GG154" s="91">
        <f t="shared" si="109"/>
        <v>1.7707619999999999</v>
      </c>
      <c r="GH154" s="124">
        <v>1</v>
      </c>
      <c r="GI154" s="102">
        <f>$GG154*EA154*'Feedstock Conversion Rates'!$B$2</f>
        <v>0.3783702339426484</v>
      </c>
      <c r="GJ154" s="102">
        <f>$GG154*EB154*'Feedstock Conversion Rates'!$B$3</f>
        <v>3.1548494944281136</v>
      </c>
      <c r="GK154" s="102">
        <f>$GG154*EC154*'Feedstock Conversion Rates'!$B$4</f>
        <v>3.8657616041501965</v>
      </c>
      <c r="GL154" s="102">
        <f>$GG154*ED154*'Feedstock Conversion Rates'!$B$5</f>
        <v>2.2892679528676418</v>
      </c>
      <c r="GM154" s="102">
        <f>$GG154*EE154*'Feedstock Conversion Rates'!$B$6</f>
        <v>1.6397457423350319</v>
      </c>
      <c r="GN154" s="102">
        <f>$GG154*EF154*'Feedstock Conversion Rates'!$B$7</f>
        <v>2.7223969918743958</v>
      </c>
      <c r="GO154" s="102">
        <f>$GG154*EG154*'Feedstock Conversion Rates'!$B$8</f>
        <v>0.38336932530186862</v>
      </c>
      <c r="GP154" s="102">
        <f>$GG154*EH154*'Feedstock Conversion Rates'!B$9</f>
        <v>1.9576657767315216E-2</v>
      </c>
      <c r="GQ154" s="102">
        <f t="shared" si="87"/>
        <v>14.453338002667213</v>
      </c>
      <c r="GR154" s="85">
        <f t="shared" si="107"/>
        <v>8.1622137829178705</v>
      </c>
      <c r="GT154" s="103">
        <f t="shared" ref="GT154:HA196" si="111">(GI154+FB154+EK154)/SUM($ES154,$FJ154,$GQ154)</f>
        <v>2.6178743891052996E-2</v>
      </c>
      <c r="GU154" s="103">
        <f t="shared" si="94"/>
        <v>0.21827826166148742</v>
      </c>
      <c r="GV154" s="103">
        <f t="shared" si="94"/>
        <v>0.26746496922972468</v>
      </c>
      <c r="GW154" s="103">
        <f t="shared" si="94"/>
        <v>0.15839025922213826</v>
      </c>
      <c r="GX154" s="103">
        <f t="shared" si="94"/>
        <v>0.1134510064064394</v>
      </c>
      <c r="GY154" s="103">
        <f t="shared" si="94"/>
        <v>0.18835766460121572</v>
      </c>
      <c r="GZ154" s="103">
        <f t="shared" si="94"/>
        <v>2.6524621871509672E-2</v>
      </c>
      <c r="HA154" s="103">
        <f t="shared" si="94"/>
        <v>1.354473116431827E-3</v>
      </c>
    </row>
    <row r="155" spans="1:209" x14ac:dyDescent="0.25">
      <c r="A155" s="96">
        <v>45139</v>
      </c>
      <c r="B155" s="104">
        <f>23-20+10+85-5-4-4-1.25+2.25-5+15-6-25-45+65+15-22.5-50+40+16.5+27.5+168+80+14-30+15-50-19+22.5-10+5+11-25-50-12.5-27.5-10+10+2+4-1.5+12-26-15-50-15+10-32.5-3-5-2.5-1+10-50-35-4-0.5+25+20+25+20+15+85-25+12.5-52.5+10+20-155+20-15+50-50</f>
        <v>5</v>
      </c>
      <c r="C155" s="104">
        <f>40-10-2.5-27.5+25+25+25+25+25-125</f>
        <v>0</v>
      </c>
      <c r="D155" s="104">
        <f t="shared" si="95"/>
        <v>1.5</v>
      </c>
      <c r="E155" s="104">
        <f>('Renewable Diesel'!B164*E$3*'Feedstock Conversion Rates'!$B$2)/12-40+1.25+6-43+30-15+12.5-4+1.5+26+2.5+3-10+50+4-15-25-50</f>
        <v>24.679999999999993</v>
      </c>
      <c r="F155" s="104">
        <f>('Renewable Diesel'!B164*'RD Feedstock Breakdown'!F$3*'Feedstock Conversion Rates'!B$8)/12+28.5-49-5+2-6+1+6+20-20-3.75+10+2.5+5-20-20</f>
        <v>5.15625</v>
      </c>
      <c r="G155" s="104">
        <f>('Renewable Diesel'!B164*'RD Feedstock Breakdown'!G$3*'Feedstock Conversion Rates'!B$7)/12-25-15-25+4+4-20-40-20+10-17.5+20+50-12+32.5+35-75-75+22.5+5-20+15+125</f>
        <v>154.65700000000001</v>
      </c>
      <c r="H155" s="104">
        <f>('Renewable Diesel'!B164*'RD Feedstock Breakdown'!H$3*'Feedstock Conversion Rates'!B$3)/12-85+4-15+70-65-80+50-22.5-5+25+27.5+15+50+15-10+5+50+75-5-25-85-12.5+30+22.5-25-30+150-20-25+50</f>
        <v>305.40022499999998</v>
      </c>
      <c r="I155" s="106">
        <f t="shared" si="106"/>
        <v>496.39347499999997</v>
      </c>
      <c r="J155" s="104">
        <f>120+40+59+10-15-1.75+7.5-2-15-25-75+25+2.5-7-1+15+20+25+15+20-217+17.5+2+37</f>
        <v>56.75</v>
      </c>
      <c r="K155" s="104"/>
      <c r="L155" s="104">
        <v>1</v>
      </c>
      <c r="M155" s="104">
        <f>('Renewable Diesel'!C164*'RD Feedstock Breakdown'!M$3*'Feedstock Conversion Rates'!B$2)/12-15-40+2+117-25-2-37</f>
        <v>77.902500000000003</v>
      </c>
      <c r="N155" s="104">
        <f>('Renewable Diesel'!C164*'RD Feedstock Breakdown'!N$3*'Feedstock Conversion Rates'!B$8)/12+1.75+7-15-20</f>
        <v>10.46875</v>
      </c>
      <c r="O155" s="104">
        <f>('Renewable Diesel'!C164*'RD Feedstock Breakdown'!O$3*'Feedstock Conversion Rates'!B$7)/12+30-120+25-17.5</f>
        <v>37.490999999999985</v>
      </c>
      <c r="P155" s="104">
        <f>('Renewable Diesel'!C164*'RD Feedstock Breakdown'!P$3*'Feedstock Conversion Rates'!B$3)/12-15-59-10+15-7.5+15+75-25-2.5-25-15-20+25+100</f>
        <v>155.47042500000003</v>
      </c>
      <c r="Q155" s="106">
        <f t="shared" si="92"/>
        <v>339.08267499999999</v>
      </c>
      <c r="R155" s="104">
        <f>('Renewable Diesel'!D164*'RD Feedstock Breakdown'!R$3*'Feedstock Conversion Rates'!B$7)/12</f>
        <v>2.2999999999999998</v>
      </c>
      <c r="S155" s="106">
        <f t="shared" si="67"/>
        <v>2.2999999999999998</v>
      </c>
      <c r="T155" s="104">
        <f>15+10+5-30+35-10-3-22+20-20</f>
        <v>0</v>
      </c>
      <c r="U155" s="104">
        <v>0</v>
      </c>
      <c r="V155" s="104">
        <f>('Renewable Diesel'!E164*'RD Feedstock Breakdown'!V$3*'Feedstock Conversion Rates'!B$6)/12-20-5-5+32.5-35+25-15+22+20</f>
        <v>63.750150000000012</v>
      </c>
      <c r="W155" s="104">
        <f>('Renewable Diesel'!E164*'RD Feedstock Breakdown'!W$3*'Feedstock Conversion Rates'!B$8)/12-2.5+3-20</f>
        <v>2.6796875</v>
      </c>
      <c r="X155" s="106">
        <f t="shared" si="88"/>
        <v>66.429837500000019</v>
      </c>
      <c r="Y155" s="104">
        <f>30-30+50-20+20-2-35-13+7.5-5-2.5</f>
        <v>0</v>
      </c>
      <c r="Z155" s="104">
        <f>('Renewable Diesel'!F164*'RD Feedstock Breakdown'!Z$3*'Feedstock Conversion Rates'!B$6)/12-30+20-20-7.5+2.5+15</f>
        <v>24.555000000000007</v>
      </c>
      <c r="AA155" s="104">
        <f>('Renewable Diesel'!F164*'RD Feedstock Breakdown'!AA$3*'Feedstock Conversion Rates'!B$7)/12+30-50+2+35+13+5-15</f>
        <v>49.133333333333326</v>
      </c>
      <c r="AB155" s="106">
        <f t="shared" si="62"/>
        <v>73.688333333333333</v>
      </c>
      <c r="AC155" s="104">
        <f>('Renewable Diesel'!G164*'RD Feedstock Breakdown'!AC$3*'Feedstock Conversion Rates'!B$5)/12</f>
        <v>0</v>
      </c>
      <c r="AD155" s="104">
        <f>('Renewable Diesel'!G164*'RD Feedstock Breakdown'!AD$3*'Feedstock Conversion Rates'!B$4)/12</f>
        <v>0</v>
      </c>
      <c r="AE155" s="104">
        <f>('Renewable Diesel'!G164*'RD Feedstock Breakdown'!AE$3*'Feedstock Conversion Rates'!B$6)/12</f>
        <v>0</v>
      </c>
      <c r="AF155" s="106">
        <f t="shared" si="101"/>
        <v>0</v>
      </c>
      <c r="AG155" s="104">
        <f>26-26</f>
        <v>0</v>
      </c>
      <c r="AH155" s="104">
        <v>0</v>
      </c>
      <c r="AI155" s="104">
        <f>('Renewable Diesel'!H164*'RD Feedstock Breakdown'!AI$3*'Feedstock Conversion Rates'!B$6)/12-17.5+17.5-26+26</f>
        <v>58.625000000000007</v>
      </c>
      <c r="AJ155" s="106">
        <f t="shared" si="65"/>
        <v>58.625000000000007</v>
      </c>
      <c r="AK155" s="104">
        <f>('Renewable Diesel'!J164*'RD Feedstock Breakdown'!AK$3*'Feedstock Conversion Rates'!B$4)/12</f>
        <v>95.8125</v>
      </c>
      <c r="AL155" s="106">
        <f t="shared" si="68"/>
        <v>95.8125</v>
      </c>
      <c r="AM155" s="104">
        <f>('Renewable Diesel'!K164*'RD Feedstock Breakdown'!AM$3*'Feedstock Conversion Rates'!B$4)/12-40-10</f>
        <v>8.59375</v>
      </c>
      <c r="AN155" s="104">
        <f>('Renewable Diesel'!K164*'RD Feedstock Breakdown'!AN$3*'Feedstock Conversion Rates'!B$6)/12+40+10</f>
        <v>74.427083333333329</v>
      </c>
      <c r="AO155" s="106">
        <f t="shared" si="81"/>
        <v>83.020833333333329</v>
      </c>
      <c r="AP155" s="104">
        <f>('Renewable Diesel'!L164*'RD Feedstock Breakdown'!AP$3*'Feedstock Conversion Rates'!B$4)/12+15-5-40+10-20</f>
        <v>18.59375</v>
      </c>
      <c r="AQ155" s="104">
        <f>('Renewable Diesel'!L164*'RD Feedstock Breakdown'!AQ$3*'Feedstock Conversion Rates'!B$6)/12-15+5+40-10+20</f>
        <v>64.427083333333329</v>
      </c>
      <c r="AR155" s="106">
        <f t="shared" si="70"/>
        <v>83.020833333333329</v>
      </c>
      <c r="AS155" s="104">
        <f>('Renewable Diesel'!M164*'RD Feedstock Breakdown'!AS$3*'Feedstock Conversion Rates'!B$4)/12</f>
        <v>162.5</v>
      </c>
      <c r="AT155" s="104">
        <f>('Renewable Diesel'!M164*'RD Feedstock Breakdown'!AT$3*'Feedstock Conversion Rates'!B$5)/12</f>
        <v>0</v>
      </c>
      <c r="AU155" s="106">
        <f t="shared" si="104"/>
        <v>162.5</v>
      </c>
      <c r="AV155" s="104">
        <f>'Renewable Diesel'!N164*'RD Feedstock Breakdown'!$AV$3*'Feedstock Conversion Rates'!$B$4/12-15-10+25+25-22-75-6.5+50+25</f>
        <v>75.249999999999986</v>
      </c>
      <c r="AW155" s="104">
        <f>'Renewable Diesel'!N164*'RD Feedstock Breakdown'!$AW$3*'Feedstock Conversion Rates'!$B$7/12+15+10-25-25+22+75+6.5-50-25</f>
        <v>44.900000000000006</v>
      </c>
      <c r="AX155" s="106">
        <f t="shared" si="63"/>
        <v>120.14999999999999</v>
      </c>
      <c r="AY155" s="104">
        <f>('Renewable Diesel'!O164*'RD Feedstock Breakdown'!AY$3*'Feedstock Conversion Rates'!B$4)/12+5-50</f>
        <v>22.5</v>
      </c>
      <c r="AZ155" s="104">
        <f>('Renewable Diesel'!O164*'RD Feedstock Breakdown'!AZ$3*'Feedstock Conversion Rates'!B$3)/12-5+50</f>
        <v>53.01</v>
      </c>
      <c r="BA155" s="106">
        <f t="shared" si="66"/>
        <v>75.509999999999991</v>
      </c>
      <c r="BB155" s="104">
        <f>('Renewable Diesel'!Q164*'RD Feedstock Breakdown'!BB$3*'Feedstock Conversion Rates'!B$4)/12</f>
        <v>0</v>
      </c>
      <c r="BC155" s="104">
        <f>('Renewable Diesel'!Q164*'RD Feedstock Breakdown'!BC$3*'Feedstock Conversion Rates'!B$3)/12</f>
        <v>0</v>
      </c>
      <c r="BD155" s="104">
        <f>('Renewable Diesel'!Q164*'RD Feedstock Breakdown'!BD$3*'Feedstock Conversion Rates'!B$6)/12</f>
        <v>0</v>
      </c>
      <c r="BE155" s="106">
        <f t="shared" si="90"/>
        <v>0</v>
      </c>
      <c r="BF155" s="104">
        <f>('Renewable Diesel'!R164*'RD Feedstock Breakdown'!BF$3*'Feedstock Conversion Rates'!B$4)/12</f>
        <v>62.5</v>
      </c>
      <c r="BG155" s="106">
        <f t="shared" si="72"/>
        <v>62.5</v>
      </c>
      <c r="BH155" s="104">
        <f>('Renewable Diesel'!T164*'RD Feedstock Breakdown'!BH$3*'Feedstock Conversion Rates'!B$7)/12</f>
        <v>27.599999999999998</v>
      </c>
      <c r="BI155" s="106">
        <f t="shared" si="64"/>
        <v>27.599999999999998</v>
      </c>
      <c r="BJ155" s="104">
        <f>('Renewable Diesel'!W164*'RD Feedstock Breakdown'!BJ$3*'Feedstock Conversion Rates'!B$4)/12-7.5</f>
        <v>0</v>
      </c>
      <c r="BK155" s="104">
        <f>('Renewable Diesel'!W164*'RD Feedstock Breakdown'!BK$3*'Feedstock Conversion Rates'!B$3)/12</f>
        <v>1.335</v>
      </c>
      <c r="BL155" s="104">
        <f>('Renewable Diesel'!W164*'RD Feedstock Breakdown'!BL$3*'Feedstock Conversion Rates'!B$6)/12</f>
        <v>3.1266666666666669</v>
      </c>
      <c r="BM155" s="104">
        <f>('Renewable Diesel'!W164*'RD Feedstock Breakdown'!BM$3*'Feedstock Conversion Rates'!B$7)/12+7.5</f>
        <v>9.0333333333333332</v>
      </c>
      <c r="BN155" s="106">
        <f t="shared" si="54"/>
        <v>13.495000000000001</v>
      </c>
      <c r="BO155" s="104">
        <f>('Renewable Diesel'!P164*'Feedstock Conversion Rates'!B$4)/12</f>
        <v>0</v>
      </c>
      <c r="BP155" s="106">
        <f t="shared" si="102"/>
        <v>0</v>
      </c>
      <c r="BQ155" s="104"/>
      <c r="BR155" s="104"/>
      <c r="BS155" s="106"/>
      <c r="BT155" s="106"/>
      <c r="BU155" s="104">
        <f>('Renewable Diesel'!Y164*'Feedstock Conversion Rates'!B$7)/12</f>
        <v>2.6833333333333331</v>
      </c>
      <c r="BV155" s="106">
        <f t="shared" si="93"/>
        <v>2.6833333333333331</v>
      </c>
      <c r="BW155" s="106"/>
      <c r="BX155" s="106"/>
      <c r="BY155" s="106"/>
      <c r="BZ155" s="106"/>
      <c r="CA155" s="106"/>
      <c r="CB155" s="104">
        <f>('Renewable Diesel'!AA164*'Feedstock Conversion Rates'!B$4)/12</f>
        <v>191.25</v>
      </c>
      <c r="CC155" s="106">
        <f>CB155</f>
        <v>191.25</v>
      </c>
      <c r="CD155" s="104">
        <f>('Renewable Diesel'!$AB164*'RD Feedstock Breakdown'!CD$3*'Feedstock Conversion Rates'!$B$6)/12</f>
        <v>0</v>
      </c>
      <c r="CE155" s="104">
        <f>('Renewable Diesel'!$AB164*'RD Feedstock Breakdown'!CE$3*'Feedstock Conversion Rates'!$B$4)/12</f>
        <v>0</v>
      </c>
      <c r="CF155" s="106">
        <f t="shared" si="108"/>
        <v>0</v>
      </c>
      <c r="CG155" s="104">
        <f>('Renewable Diesel'!AD164*'Feedstock Conversion Rates'!B$4)/12</f>
        <v>75.625</v>
      </c>
      <c r="CH155" s="106">
        <f t="shared" si="89"/>
        <v>75.625</v>
      </c>
      <c r="CI155" s="104">
        <f>('Renewable Diesel'!$AE164*'RD Feedstock Breakdown'!CI$3*'Feedstock Conversion Rates'!$B$5)/12</f>
        <v>0.17302083333333332</v>
      </c>
      <c r="CJ155" s="104">
        <f>('Renewable Diesel'!$AE164*'RD Feedstock Breakdown'!CJ$3*'Feedstock Conversion Rates'!$B$4)/12</f>
        <v>0.171875</v>
      </c>
      <c r="CK155" s="106">
        <f t="shared" si="103"/>
        <v>0.34489583333333329</v>
      </c>
      <c r="CL155" s="104">
        <f>(((CL$3*'Renewable Diesel'!$AF164)*'Feedstock Conversion Rates'!$B$3)/12)</f>
        <v>30.037499999999998</v>
      </c>
      <c r="CM155" s="104">
        <f>(((CM$3*'Renewable Diesel'!$AF164)*'Feedstock Conversion Rates'!$B$6)/12)</f>
        <v>17.587500000000002</v>
      </c>
      <c r="CN155" s="104">
        <f>(((CN$3*'Renewable Diesel'!$AF164)*'Feedstock Conversion Rates'!$B$4)/12)</f>
        <v>14.0625</v>
      </c>
      <c r="CO155" s="106">
        <f t="shared" si="91"/>
        <v>61.6875</v>
      </c>
      <c r="CP155" s="106"/>
      <c r="CQ155" s="106"/>
      <c r="CR155" s="106"/>
      <c r="CS155" s="106"/>
      <c r="CT155" s="104">
        <f>('Renewable Diesel'!AI164*'Feedstock Conversion Rates'!$B$4*'RD Feedstock Breakdown'!$CT$3)/12</f>
        <v>6.25</v>
      </c>
      <c r="CU155" s="106">
        <f t="shared" si="99"/>
        <v>6.25</v>
      </c>
      <c r="CV155" s="106"/>
      <c r="CW155" s="106"/>
      <c r="CX155" s="106"/>
      <c r="CY155" s="106"/>
      <c r="CZ155" s="106"/>
      <c r="DA155" s="106"/>
      <c r="DB155" s="106"/>
      <c r="DC155" s="106"/>
      <c r="DD155" s="106"/>
      <c r="DE155" s="106"/>
      <c r="DF155" s="106"/>
      <c r="DG155" s="106"/>
      <c r="DH155" s="106"/>
      <c r="DI155" s="106"/>
      <c r="DJ155" s="104">
        <f>('Renewable Diesel'!AT164*'Feedstock Conversion Rates'!$B$4*0.25)/12</f>
        <v>0</v>
      </c>
      <c r="DK155" s="104">
        <f>('Renewable Diesel'!$AT164*'RD Feedstock Breakdown'!DK$3*'Feedstock Conversion Rates'!$B$3)/12*0.5</f>
        <v>0</v>
      </c>
      <c r="DL155" s="104">
        <f>('Renewable Diesel'!$AT164*'RD Feedstock Breakdown'!$DL$3*'Feedstock Conversion Rates'!$B$6)/12</f>
        <v>0</v>
      </c>
      <c r="DM155" s="104">
        <f>('Renewable Diesel'!$AT164*'RD Feedstock Breakdown'!$DM$3*'Feedstock Conversion Rates'!$B$8)/12</f>
        <v>0</v>
      </c>
      <c r="DN155" s="106">
        <f t="shared" si="110"/>
        <v>0</v>
      </c>
      <c r="DP155" s="104">
        <f t="shared" si="73"/>
        <v>102.5825</v>
      </c>
      <c r="DQ155" s="104">
        <f t="shared" si="74"/>
        <v>545.25315000000012</v>
      </c>
      <c r="DR155" s="104">
        <f t="shared" si="82"/>
        <v>794.859375</v>
      </c>
      <c r="DS155" s="104">
        <f t="shared" si="100"/>
        <v>0.17302083333333332</v>
      </c>
      <c r="DT155" s="104">
        <f t="shared" si="75"/>
        <v>306.4984833333333</v>
      </c>
      <c r="DU155" s="104">
        <f t="shared" si="76"/>
        <v>327.79800000000006</v>
      </c>
      <c r="DV155" s="104">
        <f t="shared" si="83"/>
        <v>18.3046875</v>
      </c>
      <c r="DW155" s="104">
        <f t="shared" si="77"/>
        <v>2.5</v>
      </c>
      <c r="DX155" s="106">
        <f t="shared" si="78"/>
        <v>2097.9692166666669</v>
      </c>
      <c r="DY155" s="109">
        <f t="shared" si="79"/>
        <v>-5.1159076974727213E-13</v>
      </c>
      <c r="EA155" s="110">
        <f t="shared" si="55"/>
        <v>4.8896093987016151E-2</v>
      </c>
      <c r="EB155" s="110">
        <f t="shared" si="55"/>
        <v>0.25989568658510587</v>
      </c>
      <c r="EC155" s="110">
        <f t="shared" si="55"/>
        <v>0.37887084742973626</v>
      </c>
      <c r="ED155" s="110">
        <f t="shared" si="55"/>
        <v>8.2470625383262484E-5</v>
      </c>
      <c r="EE155" s="110">
        <f t="shared" si="56"/>
        <v>0.14609293639699333</v>
      </c>
      <c r="EF155" s="110">
        <f t="shared" si="56"/>
        <v>0.15624538119811784</v>
      </c>
      <c r="EG155" s="111">
        <f t="shared" si="56"/>
        <v>8.724955235083565E-3</v>
      </c>
      <c r="EH155" s="111">
        <f t="shared" si="84"/>
        <v>1.1916285425636964E-3</v>
      </c>
      <c r="EI155" s="110">
        <f t="shared" si="85"/>
        <v>0.99880837145743628</v>
      </c>
      <c r="EK155" s="112">
        <f>(EA155*'Renewable Diesel'!BF164*'Feedstock Conversion Rates'!B$2)+FB155</f>
        <v>95.775302037441691</v>
      </c>
      <c r="EL155" s="112">
        <f>(EB155*'Renewable Diesel'!BF164*'Feedstock Conversion Rates'!B$3)+FC155</f>
        <v>479.72463928025024</v>
      </c>
      <c r="EM155" s="112">
        <f>(EC155*'Renewable Diesel'!BF164*'Feedstock Conversion Rates'!B$4)+FD155</f>
        <v>654.80636146158236</v>
      </c>
      <c r="EN155" s="112">
        <f>(ED155*'Renewable Diesel'!BF164*'Feedstock Conversion Rates'!B$5)+FE155</f>
        <v>0.14348505769455283</v>
      </c>
      <c r="EO155" s="112">
        <f>(EE155*'Renewable Diesel'!BF164*'Feedstock Conversion Rates'!B$6)+FF155</f>
        <v>315.78572490974909</v>
      </c>
      <c r="EP155" s="112">
        <f>(EF155*'Renewable Diesel'!BF164*'Feedstock Conversion Rates'!B$7)+FG155</f>
        <v>331.24966861034687</v>
      </c>
      <c r="EQ155" s="112">
        <f>(EG155*'Renewable Diesel'!BF164*'Feedstock Conversion Rates'!B$8)+FH155</f>
        <v>18.849286736358728</v>
      </c>
      <c r="ER155" s="112">
        <f>(EH155*'Renewable Diesel'!BF164*'Feedstock Conversion Rates'!B$9)+FI155</f>
        <v>2.5400546872498198</v>
      </c>
      <c r="ES155" s="112">
        <f t="shared" si="86"/>
        <v>1898.8745227806733</v>
      </c>
      <c r="ET155" s="91">
        <f>ES155/'Renewable Diesel'!BF164</f>
        <v>8.2401635271551044</v>
      </c>
      <c r="EW155" s="73">
        <f t="shared" si="58"/>
        <v>654.94984651927689</v>
      </c>
      <c r="EX155" s="73">
        <f t="shared" si="59"/>
        <v>1243.9246762613966</v>
      </c>
      <c r="EY155" s="92">
        <f t="shared" si="71"/>
        <v>0.34491475801159399</v>
      </c>
      <c r="EZ155" s="92">
        <f t="shared" si="71"/>
        <v>0.65508524198840612</v>
      </c>
      <c r="FB155" s="102">
        <f>IF('Renewable Diesel'!$BG164&lt;1,0,(((('Renewable Diesel'!$BG164-1)*'Renewable Diesel'!$BF164)*'RD Feedstock Breakdown'!EA155)*'Feedstock Conversion Rates'!$B$2))</f>
        <v>0</v>
      </c>
      <c r="FC155" s="102">
        <f>IF('Renewable Diesel'!$BG164&lt;1,0,(((('Renewable Diesel'!$BG164-1)*'Renewable Diesel'!$BF164)*'RD Feedstock Breakdown'!EB155)*'Feedstock Conversion Rates'!$B$3))</f>
        <v>0</v>
      </c>
      <c r="FD155" s="102">
        <f>IF('Renewable Diesel'!$BG164&lt;1,0,(((('Renewable Diesel'!$BG164-1)*'Renewable Diesel'!$BF164)*'RD Feedstock Breakdown'!EC155)*'Feedstock Conversion Rates'!$B$4))</f>
        <v>0</v>
      </c>
      <c r="FE155" s="102">
        <f>IF('Renewable Diesel'!$BG164&lt;1,0,(((('Renewable Diesel'!$BG164-1)*'Renewable Diesel'!$BF164)*'RD Feedstock Breakdown'!ED155)*'Feedstock Conversion Rates'!$B$5))</f>
        <v>0</v>
      </c>
      <c r="FF155" s="102">
        <f>IF('Renewable Diesel'!$BG164&lt;1,0,(((('Renewable Diesel'!$BG164-1)*'Renewable Diesel'!$BF164)*'RD Feedstock Breakdown'!EE155)*'Feedstock Conversion Rates'!$B$6))</f>
        <v>0</v>
      </c>
      <c r="FG155" s="102">
        <f>IF('Renewable Diesel'!$BG164&lt;1,0,(((('Renewable Diesel'!$BG164-1)*'Renewable Diesel'!$BF164)*'RD Feedstock Breakdown'!EF155)*'Feedstock Conversion Rates'!$B$7))</f>
        <v>0</v>
      </c>
      <c r="FH155" s="102">
        <f>IF('Renewable Diesel'!$BG164&lt;1,0,(((('Renewable Diesel'!$BG164-1)*'Renewable Diesel'!$BF164)*'RD Feedstock Breakdown'!EG155)*'Feedstock Conversion Rates'!$B$8))</f>
        <v>0</v>
      </c>
      <c r="FI155" s="102">
        <f>IF('Renewable Diesel'!$BG164&lt;1,0,(((('Renewable Diesel'!$BG164-1)*'Renewable Diesel'!$BF164)*'RD Feedstock Breakdown'!EH155)*'Feedstock Conversion Rates'!$B$9))</f>
        <v>0</v>
      </c>
      <c r="FJ155" s="102">
        <f t="shared" si="60"/>
        <v>0</v>
      </c>
      <c r="FL155" s="3">
        <f>('Renewable Diesel'!AX164/12*$FO$80)*'RD Feedstock Breakdown'!EC155*7.5</f>
        <v>789.37741061985548</v>
      </c>
      <c r="FM155" s="3">
        <f t="shared" si="96"/>
        <v>134.57104915827313</v>
      </c>
      <c r="FR155" s="3">
        <f>('Renewable Diesel'!AX164-'Renewable Diesel'!BI164)/12*$FO$80</f>
        <v>52.361249999999977</v>
      </c>
      <c r="FS155" s="100">
        <f t="shared" si="97"/>
        <v>0.37887084742973626</v>
      </c>
      <c r="FT155" s="3">
        <f t="shared" si="98"/>
        <v>148.786133699852</v>
      </c>
      <c r="FY155" s="3">
        <f>'Renewable Diesel'!BF164*('Renewable Diesel'!BI164/'Renewable Diesel'!AX164)</f>
        <v>187.00652645232182</v>
      </c>
      <c r="FZ155" s="3">
        <f>('Renewable Diesel'!BJ164*'Renewable Diesel'!BG164)/12</f>
        <v>42.617515335759492</v>
      </c>
      <c r="GA155" s="3">
        <f t="shared" si="105"/>
        <v>121.09900612956734</v>
      </c>
      <c r="GD155" s="91">
        <f>'Renewable Diesel'!BB164*0.32</f>
        <v>17.280838080000002</v>
      </c>
      <c r="GE155" s="91">
        <f>'Renewable Diesel'!BC164</f>
        <v>2.0388639999999998</v>
      </c>
      <c r="GF155" s="91">
        <f>'Renewable Diesel'!BD164</f>
        <v>0</v>
      </c>
      <c r="GG155" s="91">
        <f t="shared" si="109"/>
        <v>2.0388639999999998</v>
      </c>
      <c r="GH155" s="124">
        <v>1</v>
      </c>
      <c r="GI155" s="102">
        <f>$GG155*EA155*'Feedstock Conversion Rates'!$B$2</f>
        <v>0.84738612905132138</v>
      </c>
      <c r="GJ155" s="102">
        <f>$GG155*EB155*'Feedstock Conversion Rates'!$B$3</f>
        <v>4.2444345926605784</v>
      </c>
      <c r="GK155" s="102">
        <f>$GG155*EC155*'Feedstock Conversion Rates'!$B$4</f>
        <v>5.7934959860548627</v>
      </c>
      <c r="GL155" s="102">
        <f>$GG155*ED155*'Feedstock Conversion Rates'!$B$5</f>
        <v>1.2695052380932213E-3</v>
      </c>
      <c r="GM155" s="102">
        <f>$GG155*EE155*'Feedstock Conversion Rates'!$B$6</f>
        <v>2.7939608369632398</v>
      </c>
      <c r="GN155" s="102">
        <f>$GG155*EF155*'Feedstock Conversion Rates'!$B$7</f>
        <v>2.9307803625982971</v>
      </c>
      <c r="GO155" s="102">
        <f>$GG155*EG155*'Feedstock Conversion Rates'!$B$8</f>
        <v>0.16677184809771953</v>
      </c>
      <c r="GP155" s="102">
        <f>$GG155*EH155*'Feedstock Conversion Rates'!B$9</f>
        <v>2.2473508965451687E-2</v>
      </c>
      <c r="GQ155" s="102">
        <f t="shared" si="87"/>
        <v>16.800572769629564</v>
      </c>
      <c r="GR155" s="85">
        <f t="shared" si="107"/>
        <v>8.2401635271551044</v>
      </c>
      <c r="GT155" s="103">
        <f t="shared" si="111"/>
        <v>5.0437930936684687E-2</v>
      </c>
      <c r="GU155" s="103">
        <f t="shared" si="94"/>
        <v>0.25263630299160117</v>
      </c>
      <c r="GV155" s="103">
        <f t="shared" si="94"/>
        <v>0.34483919479982134</v>
      </c>
      <c r="GW155" s="103">
        <f t="shared" si="94"/>
        <v>7.5563211772643212E-5</v>
      </c>
      <c r="GX155" s="103">
        <f t="shared" si="94"/>
        <v>0.16630152288699884</v>
      </c>
      <c r="GY155" s="103">
        <f t="shared" si="94"/>
        <v>0.17444526462194648</v>
      </c>
      <c r="GZ155" s="103">
        <f t="shared" si="94"/>
        <v>9.9265572897129697E-3</v>
      </c>
      <c r="HA155" s="103">
        <f t="shared" si="94"/>
        <v>1.3376632614619608E-3</v>
      </c>
    </row>
    <row r="156" spans="1:209" x14ac:dyDescent="0.25">
      <c r="A156" s="96">
        <v>45170</v>
      </c>
      <c r="B156" s="104">
        <f>23-20+10+85-5-4-4-1.25+2.25-5+15-6-25-45+65+15-22.5-50+40+16.5+27.5+168+80+14-30+15-50-19+22.5-10+5+11-25-50-12.5-27.5-10+10+2+4-1.5+12-26-15-50-15+10-32.5-3-5-2.5-1+5+10-50-35-9-0.5+25+15+25+20+15+85-25+12.5-52.5+10+20-150+20-20+55-25-25</f>
        <v>5</v>
      </c>
      <c r="C156" s="104">
        <f>40-10-2.5-27.5+25+25+25-70+120-15-100</f>
        <v>10</v>
      </c>
      <c r="D156" s="104">
        <f t="shared" si="95"/>
        <v>1.5</v>
      </c>
      <c r="E156" s="104">
        <f>('Renewable Diesel'!B165*E$3*'Feedstock Conversion Rates'!$B$2)/12-40+1.25+6-43+30-15+12.5-4+1.5+26+2.5+3-10+50+9-15-25-55</f>
        <v>24.679999999999993</v>
      </c>
      <c r="F156" s="104">
        <f>('Renewable Diesel'!B165*'RD Feedstock Breakdown'!F$3*'Feedstock Conversion Rates'!B$8)/12+28.5-49-5+2-6+1+6+20-20-3.75+10+2.5+5-20-20</f>
        <v>5.15625</v>
      </c>
      <c r="G156" s="104">
        <f>('Renewable Diesel'!B165*'RD Feedstock Breakdown'!G$3*'Feedstock Conversion Rates'!B$7)/12-25-15-25+4+4-20-40-20+10-17.5+20+50-12+32.5+35-75-75+22.5+5-20+15+125</f>
        <v>154.65700000000001</v>
      </c>
      <c r="H156" s="104">
        <f>('Renewable Diesel'!B165*'RD Feedstock Breakdown'!H$3*'Feedstock Conversion Rates'!B$3)/12-85+4-15+70-65-80+50-22.5-5+25+27.5+15+50+15-10+5+50+75-5-25-85-12.5+30+22.5-25-30+150+90-120+25</f>
        <v>295.40022499999998</v>
      </c>
      <c r="I156" s="106">
        <f t="shared" si="106"/>
        <v>496.39347499999997</v>
      </c>
      <c r="J156" s="104">
        <f>120+40+59+10-15-1.75+7.5-2-15-25-75+25+2.5-7-1+15+20+25+15+20-217+17.5+2+37</f>
        <v>56.75</v>
      </c>
      <c r="K156" s="104"/>
      <c r="L156" s="104">
        <v>1</v>
      </c>
      <c r="M156" s="104">
        <f>('Renewable Diesel'!C165*'RD Feedstock Breakdown'!M$3*'Feedstock Conversion Rates'!B$2)/12-15-40+2+117-25-2-37-20</f>
        <v>57.902500000000003</v>
      </c>
      <c r="N156" s="104">
        <f>('Renewable Diesel'!C165*'RD Feedstock Breakdown'!N$3*'Feedstock Conversion Rates'!B$8)/12+1.75+7-15-20</f>
        <v>10.46875</v>
      </c>
      <c r="O156" s="104">
        <f>('Renewable Diesel'!C165*'RD Feedstock Breakdown'!O$3*'Feedstock Conversion Rates'!B$7)/12+30-120+25-17.5</f>
        <v>37.490999999999985</v>
      </c>
      <c r="P156" s="104">
        <f>('Renewable Diesel'!C165*'RD Feedstock Breakdown'!P$3*'Feedstock Conversion Rates'!B$3)/12-15-59-10+15-7.5+15+75-25-2.5-25-15-20+25+100+20</f>
        <v>175.47042500000003</v>
      </c>
      <c r="Q156" s="106">
        <f t="shared" si="92"/>
        <v>339.08267499999999</v>
      </c>
      <c r="R156" s="104">
        <f>('Renewable Diesel'!D165*'RD Feedstock Breakdown'!R$3*'Feedstock Conversion Rates'!B$7)/12</f>
        <v>2.2999999999999998</v>
      </c>
      <c r="S156" s="106">
        <f t="shared" si="67"/>
        <v>2.2999999999999998</v>
      </c>
      <c r="T156" s="104">
        <f>15+10+5-30+35-10-3-22+20-20</f>
        <v>0</v>
      </c>
      <c r="U156" s="104">
        <v>0</v>
      </c>
      <c r="V156" s="104">
        <f>('Renewable Diesel'!E165*'RD Feedstock Breakdown'!V$3*'Feedstock Conversion Rates'!B$6)/12-20-5-5+32.5-35+25-15+22+20</f>
        <v>63.750150000000012</v>
      </c>
      <c r="W156" s="104">
        <f>('Renewable Diesel'!E165*'RD Feedstock Breakdown'!W$3*'Feedstock Conversion Rates'!B$8)/12-2.5+3-20</f>
        <v>2.6796875</v>
      </c>
      <c r="X156" s="106">
        <f t="shared" si="88"/>
        <v>66.429837500000019</v>
      </c>
      <c r="Y156" s="104">
        <f>30-30+50-20+20-2-35-13+7.5-5-2.5</f>
        <v>0</v>
      </c>
      <c r="Z156" s="104">
        <f>('Renewable Diesel'!F165*'RD Feedstock Breakdown'!Z$3*'Feedstock Conversion Rates'!B$6)/12-30+20-20-7.5+2.5+15</f>
        <v>24.555000000000007</v>
      </c>
      <c r="AA156" s="104">
        <f>('Renewable Diesel'!F165*'RD Feedstock Breakdown'!AA$3*'Feedstock Conversion Rates'!B$7)/12+30-50+2+35+13+5-15</f>
        <v>49.133333333333326</v>
      </c>
      <c r="AB156" s="106">
        <f t="shared" si="62"/>
        <v>73.688333333333333</v>
      </c>
      <c r="AC156" s="104">
        <f>('Renewable Diesel'!G165*'RD Feedstock Breakdown'!AC$3*'Feedstock Conversion Rates'!B$5)/12</f>
        <v>0</v>
      </c>
      <c r="AD156" s="104">
        <f>('Renewable Diesel'!G165*'RD Feedstock Breakdown'!AD$3*'Feedstock Conversion Rates'!B$4)/12</f>
        <v>0</v>
      </c>
      <c r="AE156" s="104">
        <f>('Renewable Diesel'!G165*'RD Feedstock Breakdown'!AE$3*'Feedstock Conversion Rates'!B$6)/12</f>
        <v>0</v>
      </c>
      <c r="AF156" s="106">
        <f t="shared" si="101"/>
        <v>0</v>
      </c>
      <c r="AG156" s="104">
        <f>26-26</f>
        <v>0</v>
      </c>
      <c r="AH156" s="104">
        <v>0</v>
      </c>
      <c r="AI156" s="104">
        <f>('Renewable Diesel'!H165*'RD Feedstock Breakdown'!AI$3*'Feedstock Conversion Rates'!B$6)/12-17.5+17.5-26+26</f>
        <v>58.625000000000007</v>
      </c>
      <c r="AJ156" s="106">
        <f t="shared" si="65"/>
        <v>58.625000000000007</v>
      </c>
      <c r="AK156" s="104">
        <f>('Renewable Diesel'!J165*'RD Feedstock Breakdown'!AK$3*'Feedstock Conversion Rates'!B$4)/12</f>
        <v>95.8125</v>
      </c>
      <c r="AL156" s="106">
        <f t="shared" si="68"/>
        <v>95.8125</v>
      </c>
      <c r="AM156" s="104">
        <f>('Renewable Diesel'!K165*'RD Feedstock Breakdown'!AM$3*'Feedstock Conversion Rates'!B$4)/12-40-10</f>
        <v>8.59375</v>
      </c>
      <c r="AN156" s="104">
        <f>('Renewable Diesel'!K165*'RD Feedstock Breakdown'!AN$3*'Feedstock Conversion Rates'!B$6)/12+40+10</f>
        <v>74.427083333333329</v>
      </c>
      <c r="AO156" s="106">
        <f t="shared" si="81"/>
        <v>83.020833333333329</v>
      </c>
      <c r="AP156" s="104">
        <f>('Renewable Diesel'!L165*'RD Feedstock Breakdown'!AP$3*'Feedstock Conversion Rates'!B$4)/12+15-5-40+10-20</f>
        <v>18.59375</v>
      </c>
      <c r="AQ156" s="104">
        <f>('Renewable Diesel'!L165*'RD Feedstock Breakdown'!AQ$3*'Feedstock Conversion Rates'!B$6)/12-15+5+40-10+20</f>
        <v>64.427083333333329</v>
      </c>
      <c r="AR156" s="106">
        <f t="shared" si="70"/>
        <v>83.020833333333329</v>
      </c>
      <c r="AS156" s="104">
        <f>('Renewable Diesel'!M165*'RD Feedstock Breakdown'!AS$3*'Feedstock Conversion Rates'!B$4)/12</f>
        <v>162.5</v>
      </c>
      <c r="AT156" s="104">
        <f>('Renewable Diesel'!M165*'RD Feedstock Breakdown'!AT$3*'Feedstock Conversion Rates'!B$5)/12</f>
        <v>0</v>
      </c>
      <c r="AU156" s="106">
        <f t="shared" si="104"/>
        <v>162.5</v>
      </c>
      <c r="AV156" s="104">
        <f>'Renewable Diesel'!N165*'RD Feedstock Breakdown'!$AV$3*'Feedstock Conversion Rates'!$B$4/12-15-10+25+25-22-75-6.5+50+25</f>
        <v>75.249999999999986</v>
      </c>
      <c r="AW156" s="104">
        <f>'Renewable Diesel'!N165*'RD Feedstock Breakdown'!$AW$3*'Feedstock Conversion Rates'!$B$7/12+15+10-25-25+22+75+6.5-50-25</f>
        <v>44.900000000000006</v>
      </c>
      <c r="AX156" s="106">
        <f t="shared" si="63"/>
        <v>120.14999999999999</v>
      </c>
      <c r="AY156" s="104">
        <f>('Renewable Diesel'!O165*'RD Feedstock Breakdown'!AY$3*'Feedstock Conversion Rates'!B$4)/12+5-50</f>
        <v>22.5</v>
      </c>
      <c r="AZ156" s="104">
        <f>('Renewable Diesel'!O165*'RD Feedstock Breakdown'!AZ$3*'Feedstock Conversion Rates'!B$3)/12-5+50</f>
        <v>53.01</v>
      </c>
      <c r="BA156" s="106">
        <f t="shared" si="66"/>
        <v>75.509999999999991</v>
      </c>
      <c r="BB156" s="104">
        <f>('Renewable Diesel'!Q165*'RD Feedstock Breakdown'!BB$3*'Feedstock Conversion Rates'!B$4)/12</f>
        <v>5.3125</v>
      </c>
      <c r="BC156" s="104">
        <f>('Renewable Diesel'!Q165*'RD Feedstock Breakdown'!BC$3*'Feedstock Conversion Rates'!B$3)/12</f>
        <v>0.66749999999999998</v>
      </c>
      <c r="BD156" s="104">
        <f>('Renewable Diesel'!Q165*'RD Feedstock Breakdown'!BD$3*'Feedstock Conversion Rates'!B$6)/12</f>
        <v>0.39083333333333337</v>
      </c>
      <c r="BE156" s="106">
        <f t="shared" si="90"/>
        <v>6.3708333333333336</v>
      </c>
      <c r="BF156" s="104">
        <f>('Renewable Diesel'!R165*'RD Feedstock Breakdown'!BF$3*'Feedstock Conversion Rates'!B$4)/12</f>
        <v>62.5</v>
      </c>
      <c r="BG156" s="106">
        <f t="shared" si="72"/>
        <v>62.5</v>
      </c>
      <c r="BH156" s="104">
        <f>('Renewable Diesel'!T165*'RD Feedstock Breakdown'!BH$3*'Feedstock Conversion Rates'!B$7)/12</f>
        <v>27.599999999999998</v>
      </c>
      <c r="BI156" s="106">
        <f t="shared" si="64"/>
        <v>27.599999999999998</v>
      </c>
      <c r="BJ156" s="104">
        <f>('Renewable Diesel'!W165*'RD Feedstock Breakdown'!BJ$3*'Feedstock Conversion Rates'!B$4)/12-7.5</f>
        <v>0</v>
      </c>
      <c r="BK156" s="104">
        <f>('Renewable Diesel'!W165*'RD Feedstock Breakdown'!BK$3*'Feedstock Conversion Rates'!B$3)/12</f>
        <v>1.335</v>
      </c>
      <c r="BL156" s="104">
        <f>('Renewable Diesel'!W165*'RD Feedstock Breakdown'!BL$3*'Feedstock Conversion Rates'!B$6)/12</f>
        <v>3.1266666666666669</v>
      </c>
      <c r="BM156" s="104">
        <f>('Renewable Diesel'!W165*'RD Feedstock Breakdown'!BM$3*'Feedstock Conversion Rates'!B$7)/12+7.5</f>
        <v>9.0333333333333332</v>
      </c>
      <c r="BN156" s="106">
        <f t="shared" ref="BN156:BN216" si="112">SUM(BJ156:BM156)</f>
        <v>13.495000000000001</v>
      </c>
      <c r="BO156" s="104">
        <f>('Renewable Diesel'!P165*'Feedstock Conversion Rates'!B$4)/12</f>
        <v>7.8125</v>
      </c>
      <c r="BP156" s="106">
        <f t="shared" si="102"/>
        <v>7.8125</v>
      </c>
      <c r="BQ156" s="104"/>
      <c r="BR156" s="104"/>
      <c r="BS156" s="106"/>
      <c r="BT156" s="106"/>
      <c r="BU156" s="104">
        <f>('Renewable Diesel'!Y165*'Feedstock Conversion Rates'!B$7)/12</f>
        <v>2.6833333333333331</v>
      </c>
      <c r="BV156" s="106">
        <f t="shared" si="93"/>
        <v>2.6833333333333331</v>
      </c>
      <c r="BW156" s="106"/>
      <c r="BX156" s="106"/>
      <c r="BY156" s="106"/>
      <c r="BZ156" s="106"/>
      <c r="CA156" s="106"/>
      <c r="CB156" s="104">
        <f>('Renewable Diesel'!AA165*'Feedstock Conversion Rates'!B$4)/12</f>
        <v>191.25</v>
      </c>
      <c r="CC156" s="106">
        <f t="shared" ref="CC156:CC219" si="113">CB156</f>
        <v>191.25</v>
      </c>
      <c r="CD156" s="104">
        <f>('Renewable Diesel'!$AB165*'RD Feedstock Breakdown'!CD$3*'Feedstock Conversion Rates'!$B$6)/12</f>
        <v>0</v>
      </c>
      <c r="CE156" s="104">
        <f>('Renewable Diesel'!$AB165*'RD Feedstock Breakdown'!CE$3*'Feedstock Conversion Rates'!$B$4)/12</f>
        <v>0</v>
      </c>
      <c r="CF156" s="106">
        <f t="shared" si="108"/>
        <v>0</v>
      </c>
      <c r="CG156" s="104">
        <f>('Renewable Diesel'!AD165*'Feedstock Conversion Rates'!B$4)/12</f>
        <v>93.75</v>
      </c>
      <c r="CH156" s="106">
        <f t="shared" si="89"/>
        <v>93.75</v>
      </c>
      <c r="CI156" s="104">
        <f>('Renewable Diesel'!$AE165*'RD Feedstock Breakdown'!CI$3*'Feedstock Conversion Rates'!$B$5)/12</f>
        <v>0.17302083333333332</v>
      </c>
      <c r="CJ156" s="104">
        <f>('Renewable Diesel'!$AE165*'RD Feedstock Breakdown'!CJ$3*'Feedstock Conversion Rates'!$B$4)/12</f>
        <v>0.171875</v>
      </c>
      <c r="CK156" s="106">
        <f t="shared" si="103"/>
        <v>0.34489583333333329</v>
      </c>
      <c r="CL156" s="104">
        <f>(((CL$3*'Renewable Diesel'!$AF165)*'Feedstock Conversion Rates'!$B$3)/12)</f>
        <v>30.037499999999998</v>
      </c>
      <c r="CM156" s="104">
        <f>(((CM$3*'Renewable Diesel'!$AF165)*'Feedstock Conversion Rates'!$B$6)/12)</f>
        <v>17.587500000000002</v>
      </c>
      <c r="CN156" s="104">
        <f>(((CN$3*'Renewable Diesel'!$AF165)*'Feedstock Conversion Rates'!$B$4)/12)</f>
        <v>14.0625</v>
      </c>
      <c r="CO156" s="106">
        <f t="shared" si="91"/>
        <v>61.6875</v>
      </c>
      <c r="CP156" s="106"/>
      <c r="CQ156" s="106"/>
      <c r="CR156" s="106"/>
      <c r="CS156" s="106"/>
      <c r="CT156" s="104">
        <f>('Renewable Diesel'!AI165*'Feedstock Conversion Rates'!$B$4*'RD Feedstock Breakdown'!$CT$3)/12</f>
        <v>14.0625</v>
      </c>
      <c r="CU156" s="106">
        <f t="shared" si="99"/>
        <v>14.0625</v>
      </c>
      <c r="CV156" s="106"/>
      <c r="CW156" s="106"/>
      <c r="CX156" s="106"/>
      <c r="CY156" s="106"/>
      <c r="CZ156" s="106"/>
      <c r="DA156" s="106"/>
      <c r="DB156" s="106"/>
      <c r="DC156" s="106"/>
      <c r="DD156" s="106"/>
      <c r="DE156" s="106"/>
      <c r="DF156" s="106"/>
      <c r="DG156" s="106"/>
      <c r="DH156" s="106"/>
      <c r="DI156" s="106"/>
      <c r="DJ156" s="104">
        <f>('Renewable Diesel'!AT165*'Feedstock Conversion Rates'!$B$4*0.25)/12</f>
        <v>0</v>
      </c>
      <c r="DK156" s="104">
        <f>('Renewable Diesel'!$AT165*'RD Feedstock Breakdown'!DK$3*'Feedstock Conversion Rates'!$B$3)/12*0.5</f>
        <v>0</v>
      </c>
      <c r="DL156" s="104">
        <f>('Renewable Diesel'!$AT165*'RD Feedstock Breakdown'!$DL$3*'Feedstock Conversion Rates'!$B$6)/12</f>
        <v>0</v>
      </c>
      <c r="DM156" s="104">
        <f>('Renewable Diesel'!$AT165*'RD Feedstock Breakdown'!$DM$3*'Feedstock Conversion Rates'!$B$8)/12</f>
        <v>0</v>
      </c>
      <c r="DN156" s="106">
        <f t="shared" si="110"/>
        <v>0</v>
      </c>
      <c r="DP156" s="104">
        <f t="shared" si="73"/>
        <v>82.582499999999996</v>
      </c>
      <c r="DQ156" s="104">
        <f t="shared" si="74"/>
        <v>555.92065000000014</v>
      </c>
      <c r="DR156" s="104">
        <f t="shared" si="82"/>
        <v>833.921875</v>
      </c>
      <c r="DS156" s="104">
        <f t="shared" si="100"/>
        <v>10.173020833333334</v>
      </c>
      <c r="DT156" s="104">
        <f t="shared" si="75"/>
        <v>306.88931666666667</v>
      </c>
      <c r="DU156" s="104">
        <f t="shared" si="76"/>
        <v>327.79800000000006</v>
      </c>
      <c r="DV156" s="104">
        <f t="shared" si="83"/>
        <v>18.3046875</v>
      </c>
      <c r="DW156" s="104">
        <f t="shared" si="77"/>
        <v>2.5</v>
      </c>
      <c r="DX156" s="106">
        <f t="shared" si="78"/>
        <v>2138.0900500000002</v>
      </c>
      <c r="DY156" s="109">
        <f t="shared" si="79"/>
        <v>-5.1159076974727213E-13</v>
      </c>
      <c r="EA156" s="110">
        <f t="shared" ref="EA156:EG192" si="114">DP156/$DX156</f>
        <v>3.8624425570850017E-2</v>
      </c>
      <c r="EB156" s="110">
        <f t="shared" si="114"/>
        <v>0.26000806186811454</v>
      </c>
      <c r="EC156" s="110">
        <f t="shared" si="114"/>
        <v>0.39003122202453538</v>
      </c>
      <c r="ED156" s="110">
        <f t="shared" si="114"/>
        <v>4.7579945631070746E-3</v>
      </c>
      <c r="EE156" s="110">
        <f t="shared" si="114"/>
        <v>0.14353432712839509</v>
      </c>
      <c r="EF156" s="110">
        <f t="shared" si="114"/>
        <v>0.15331346778401594</v>
      </c>
      <c r="EG156" s="111">
        <f t="shared" si="114"/>
        <v>8.5612331903420057E-3</v>
      </c>
      <c r="EH156" s="111">
        <f t="shared" si="84"/>
        <v>1.1692678706399667E-3</v>
      </c>
      <c r="EI156" s="110">
        <f t="shared" si="85"/>
        <v>0.99883073212936013</v>
      </c>
      <c r="EK156" s="112">
        <f>(EA156*'Renewable Diesel'!BF165*'Feedstock Conversion Rates'!B$2)+FB156</f>
        <v>74.612932432914818</v>
      </c>
      <c r="EL156" s="112">
        <f>(EB156*'Renewable Diesel'!BF165*'Feedstock Conversion Rates'!B$3)+FC156</f>
        <v>473.31741039147937</v>
      </c>
      <c r="EM156" s="112">
        <f>(EC156*'Renewable Diesel'!BF165*'Feedstock Conversion Rates'!B$4)+FD156</f>
        <v>664.80424937313649</v>
      </c>
      <c r="EN156" s="112">
        <f>(ED156*'Renewable Diesel'!BF165*'Feedstock Conversion Rates'!B$5)+FE156</f>
        <v>8.1640196756894703</v>
      </c>
      <c r="EO156" s="112">
        <f>(EE156*'Renewable Diesel'!BF165*'Feedstock Conversion Rates'!B$6)+FF156</f>
        <v>305.97910202746607</v>
      </c>
      <c r="EP156" s="112">
        <f>(EF156*'Renewable Diesel'!BF165*'Feedstock Conversion Rates'!B$7)+FG156</f>
        <v>320.55406160460637</v>
      </c>
      <c r="EQ156" s="112">
        <f>(EG156*'Renewable Diesel'!BF165*'Feedstock Conversion Rates'!B$8)+FH156</f>
        <v>18.240668577987794</v>
      </c>
      <c r="ER156" s="112">
        <f>(EH156*'Renewable Diesel'!BF165*'Feedstock Conversion Rates'!B$9)+FI156</f>
        <v>2.4580397321197953</v>
      </c>
      <c r="ES156" s="112">
        <f t="shared" si="86"/>
        <v>1868.1304838154001</v>
      </c>
      <c r="ET156" s="91">
        <f>ES156/'Renewable Diesel'!BF165</f>
        <v>8.220042398091465</v>
      </c>
      <c r="EW156" s="73">
        <f t="shared" si="58"/>
        <v>672.96826904882596</v>
      </c>
      <c r="EX156" s="73">
        <f t="shared" si="59"/>
        <v>1195.1622147665742</v>
      </c>
      <c r="EY156" s="92">
        <f t="shared" si="71"/>
        <v>0.36023622272593114</v>
      </c>
      <c r="EZ156" s="92">
        <f t="shared" si="71"/>
        <v>0.63976377727406886</v>
      </c>
      <c r="FB156" s="102">
        <f>IF('Renewable Diesel'!$BG165&lt;1,0,(((('Renewable Diesel'!$BG165-1)*'Renewable Diesel'!$BF165)*'RD Feedstock Breakdown'!EA156)*'Feedstock Conversion Rates'!$B$2))</f>
        <v>0</v>
      </c>
      <c r="FC156" s="102">
        <f>IF('Renewable Diesel'!$BG165&lt;1,0,(((('Renewable Diesel'!$BG165-1)*'Renewable Diesel'!$BF165)*'RD Feedstock Breakdown'!EB156)*'Feedstock Conversion Rates'!$B$3))</f>
        <v>0</v>
      </c>
      <c r="FD156" s="102">
        <f>IF('Renewable Diesel'!$BG165&lt;1,0,(((('Renewable Diesel'!$BG165-1)*'Renewable Diesel'!$BF165)*'RD Feedstock Breakdown'!EC156)*'Feedstock Conversion Rates'!$B$4))</f>
        <v>0</v>
      </c>
      <c r="FE156" s="102">
        <f>IF('Renewable Diesel'!$BG165&lt;1,0,(((('Renewable Diesel'!$BG165-1)*'Renewable Diesel'!$BF165)*'RD Feedstock Breakdown'!ED156)*'Feedstock Conversion Rates'!$B$5))</f>
        <v>0</v>
      </c>
      <c r="FF156" s="102">
        <f>IF('Renewable Diesel'!$BG165&lt;1,0,(((('Renewable Diesel'!$BG165-1)*'Renewable Diesel'!$BF165)*'RD Feedstock Breakdown'!EE156)*'Feedstock Conversion Rates'!$B$6))</f>
        <v>0</v>
      </c>
      <c r="FG156" s="102">
        <f>IF('Renewable Diesel'!$BG165&lt;1,0,(((('Renewable Diesel'!$BG165-1)*'Renewable Diesel'!$BF165)*'RD Feedstock Breakdown'!EF156)*'Feedstock Conversion Rates'!$B$7))</f>
        <v>0</v>
      </c>
      <c r="FH156" s="102">
        <f>IF('Renewable Diesel'!$BG165&lt;1,0,(((('Renewable Diesel'!$BG165-1)*'Renewable Diesel'!$BF165)*'RD Feedstock Breakdown'!EG156)*'Feedstock Conversion Rates'!$B$8))</f>
        <v>0</v>
      </c>
      <c r="FI156" s="102">
        <f>IF('Renewable Diesel'!$BG165&lt;1,0,(((('Renewable Diesel'!$BG165-1)*'Renewable Diesel'!$BF165)*'RD Feedstock Breakdown'!EH156)*'Feedstock Conversion Rates'!$B$9))</f>
        <v>0</v>
      </c>
      <c r="FJ156" s="102">
        <f t="shared" si="60"/>
        <v>0</v>
      </c>
      <c r="FL156" s="3">
        <f>('Renewable Diesel'!AX165/12*$FO$80)*'RD Feedstock Breakdown'!EC156*7.5</f>
        <v>812.63005108811944</v>
      </c>
      <c r="FM156" s="3">
        <f t="shared" si="96"/>
        <v>147.82580171498296</v>
      </c>
      <c r="FR156" s="3">
        <f>('Renewable Diesel'!AX165-'Renewable Diesel'!BI165)/12*$FO$80</f>
        <v>47.561249999999973</v>
      </c>
      <c r="FS156" s="100">
        <f t="shared" si="97"/>
        <v>0.39003122202453538</v>
      </c>
      <c r="FT156" s="3">
        <f t="shared" si="98"/>
        <v>139.12779343885819</v>
      </c>
      <c r="FY156" s="3">
        <f>'Renewable Diesel'!BF165*('Renewable Diesel'!BI165/'Renewable Diesel'!AX165)</f>
        <v>188.35594273852593</v>
      </c>
      <c r="FZ156" s="3">
        <f>('Renewable Diesel'!BJ165*'Renewable Diesel'!BG165)/12</f>
        <v>38.177201748489331</v>
      </c>
      <c r="GA156" s="3">
        <f t="shared" si="105"/>
        <v>111.67725488580392</v>
      </c>
      <c r="GD156" s="91">
        <f>'Renewable Diesel'!BB165*0.32</f>
        <v>14.650314880000002</v>
      </c>
      <c r="GE156" s="91">
        <f>'Renewable Diesel'!BC165</f>
        <v>0.65930200000000005</v>
      </c>
      <c r="GF156" s="91">
        <f>'Renewable Diesel'!BD165</f>
        <v>0</v>
      </c>
      <c r="GG156" s="91">
        <f t="shared" si="109"/>
        <v>0.65930200000000005</v>
      </c>
      <c r="GH156" s="124">
        <v>1</v>
      </c>
      <c r="GI156" s="102">
        <f>$GG156*EA156*'Feedstock Conversion Rates'!$B$2</f>
        <v>0.21645386873555678</v>
      </c>
      <c r="GJ156" s="102">
        <f>$GG156*EB156*'Feedstock Conversion Rates'!$B$3</f>
        <v>1.373104919998231</v>
      </c>
      <c r="GK156" s="102">
        <f>$GG156*EC156*'Feedstock Conversion Rates'!$B$4</f>
        <v>1.9286127355741516</v>
      </c>
      <c r="GL156" s="102">
        <f>$GG156*ED156*'Feedstock Conversion Rates'!$B$5</f>
        <v>2.3684012752414437E-2</v>
      </c>
      <c r="GM156" s="102">
        <f>$GG156*EE156*'Feedstock Conversion Rates'!$B$6</f>
        <v>0.88765255869852033</v>
      </c>
      <c r="GN156" s="102">
        <f>$GG156*EF156*'Feedstock Conversion Rates'!$B$7</f>
        <v>0.92993485861982306</v>
      </c>
      <c r="GO156" s="102">
        <f>$GG156*EG156*'Feedstock Conversion Rates'!$B$8</f>
        <v>5.2916607795551858E-2</v>
      </c>
      <c r="GP156" s="102">
        <f>$GG156*EH156*'Feedstock Conversion Rates'!B$9</f>
        <v>7.1308309722502104E-3</v>
      </c>
      <c r="GQ156" s="102">
        <f t="shared" si="87"/>
        <v>5.4194903931464991</v>
      </c>
      <c r="GR156" s="85">
        <f t="shared" si="107"/>
        <v>8.220042398091465</v>
      </c>
      <c r="GT156" s="103">
        <f t="shared" si="111"/>
        <v>3.9939893427855283E-2</v>
      </c>
      <c r="GU156" s="103">
        <f t="shared" si="94"/>
        <v>0.25336421330955078</v>
      </c>
      <c r="GV156" s="103">
        <f t="shared" si="94"/>
        <v>0.3558660677788229</v>
      </c>
      <c r="GW156" s="103">
        <f t="shared" si="94"/>
        <v>4.3701549471081803E-3</v>
      </c>
      <c r="GX156" s="103">
        <f t="shared" si="94"/>
        <v>0.16378893480852885</v>
      </c>
      <c r="GY156" s="103">
        <f t="shared" si="94"/>
        <v>0.17159083071644904</v>
      </c>
      <c r="GZ156" s="103">
        <f t="shared" si="94"/>
        <v>9.7641298271273491E-3</v>
      </c>
      <c r="HA156" s="103">
        <f t="shared" si="94"/>
        <v>1.315775184557551E-3</v>
      </c>
    </row>
    <row r="157" spans="1:209" x14ac:dyDescent="0.25">
      <c r="A157" s="96">
        <v>45200</v>
      </c>
      <c r="B157" s="104">
        <f>23-20+10+85-5-4-4-1.25+2.25-5+15-6-25-45+65+15-22.5-50+40+16.5+27.5+168+80+14-30+15-50-19+22.5-10+5+11-25-50-12.5-27.5-10+10+2+4-1.5+12-26-15-50-15+10-32.5-3-5-2.5-1+5+10-50-35-9-0.5+25+15+25+20+15+85-25+12.5-52.5+10+20-150+20-20+55-25-25-5</f>
        <v>0</v>
      </c>
      <c r="C157" s="104">
        <f>40-10-2.5-27.5+25+25+25-70+120-15-100-10</f>
        <v>0</v>
      </c>
      <c r="D157" s="104">
        <f t="shared" si="95"/>
        <v>1.5</v>
      </c>
      <c r="E157" s="104">
        <f>('Renewable Diesel'!B166*E$3*'Feedstock Conversion Rates'!$B$2)/12-40+1.25+6-43+30-15+12.5-4+1.5+26+2.5+3-10+50+9-15-25-55+50</f>
        <v>74.679999999999993</v>
      </c>
      <c r="F157" s="104">
        <f>('Renewable Diesel'!B166*'RD Feedstock Breakdown'!F$3*'Feedstock Conversion Rates'!B$8)/12+28.5-49-5+2-6+1+6+20-20-3.75+10+2.5+5-20-20+25+5</f>
        <v>35.15625</v>
      </c>
      <c r="G157" s="104">
        <f>('Renewable Diesel'!B166*'RD Feedstock Breakdown'!G$3*'Feedstock Conversion Rates'!B$7)/12-25-15-25+4+4-20-40-20+10-17.5+20+50-12+32.5+35-75-75+22.5+5-20+15+125-50-10-5</f>
        <v>89.657000000000011</v>
      </c>
      <c r="H157" s="104">
        <f>('Renewable Diesel'!B166*'RD Feedstock Breakdown'!H$3*'Feedstock Conversion Rates'!B$3)/12-85+4-15+70-65-80+50-22.5-5+25+27.5+15+50+15-10+5+50+75-5-25-85-12.5+30+22.5-25-30+150+90-120+25</f>
        <v>295.40022499999998</v>
      </c>
      <c r="I157" s="106">
        <f t="shared" si="106"/>
        <v>496.39347499999997</v>
      </c>
      <c r="J157" s="104">
        <f>120+40+59+10-15-1.75+7.5-2-15-25-75+25+2.5-7-1+15+20+25+15+20-217+17.5+2-19.5</f>
        <v>0.25</v>
      </c>
      <c r="K157" s="104"/>
      <c r="L157" s="104">
        <v>1</v>
      </c>
      <c r="M157" s="104">
        <f>('Renewable Diesel'!C166*'RD Feedstock Breakdown'!M$3*'Feedstock Conversion Rates'!B$2)/12-15-40+2+117-25-2-20-40+20</f>
        <v>74.902500000000003</v>
      </c>
      <c r="N157" s="104">
        <f>('Renewable Diesel'!C166*'RD Feedstock Breakdown'!N$3*'Feedstock Conversion Rates'!B$8)/12+1.75+7-15-20+19.5-20</f>
        <v>9.96875</v>
      </c>
      <c r="O157" s="104">
        <f>('Renewable Diesel'!C166*'RD Feedstock Breakdown'!O$3*'Feedstock Conversion Rates'!B$7)/12+30-120+25-17.5-20</f>
        <v>17.490999999999985</v>
      </c>
      <c r="P157" s="104">
        <f>('Renewable Diesel'!C166*'RD Feedstock Breakdown'!P$3*'Feedstock Conversion Rates'!B$3)/12-15-59-10+15-7.5+15+75-25-2.5-25-15-20+25+100+20+60</f>
        <v>235.47042500000003</v>
      </c>
      <c r="Q157" s="106">
        <f t="shared" si="92"/>
        <v>339.08267499999999</v>
      </c>
      <c r="R157" s="104">
        <f>('Renewable Diesel'!D166*'RD Feedstock Breakdown'!R$3*'Feedstock Conversion Rates'!B$7)/12</f>
        <v>2.2999999999999998</v>
      </c>
      <c r="S157" s="106">
        <f t="shared" si="67"/>
        <v>2.2999999999999998</v>
      </c>
      <c r="T157" s="104">
        <f>15+10+5-30+35-10-3-22+20-20</f>
        <v>0</v>
      </c>
      <c r="U157" s="104">
        <v>0</v>
      </c>
      <c r="V157" s="104">
        <f>('Renewable Diesel'!E166*'RD Feedstock Breakdown'!V$3*'Feedstock Conversion Rates'!B$6)/12-20-5-5+32.5-35+25-15+22+20</f>
        <v>63.750150000000012</v>
      </c>
      <c r="W157" s="104">
        <f>('Renewable Diesel'!E166*'RD Feedstock Breakdown'!W$3*'Feedstock Conversion Rates'!B$8)/12-2.5+3-20</f>
        <v>2.6796875</v>
      </c>
      <c r="X157" s="106">
        <f t="shared" si="88"/>
        <v>66.429837500000019</v>
      </c>
      <c r="Y157" s="104">
        <f>30-30+50-20+20-2-35-13</f>
        <v>0</v>
      </c>
      <c r="Z157" s="104">
        <v>25</v>
      </c>
      <c r="AA157" s="104">
        <v>49</v>
      </c>
      <c r="AB157" s="106">
        <f t="shared" si="62"/>
        <v>74</v>
      </c>
      <c r="AC157" s="104">
        <f>('Renewable Diesel'!G166*'RD Feedstock Breakdown'!AC$3*'Feedstock Conversion Rates'!B$5)/12</f>
        <v>0</v>
      </c>
      <c r="AD157" s="104">
        <f>('Renewable Diesel'!G166*'RD Feedstock Breakdown'!AD$3*'Feedstock Conversion Rates'!B$4)/12</f>
        <v>0</v>
      </c>
      <c r="AE157" s="104">
        <f>('Renewable Diesel'!G166*'RD Feedstock Breakdown'!AE$3*'Feedstock Conversion Rates'!B$6)/12</f>
        <v>0</v>
      </c>
      <c r="AF157" s="106">
        <f t="shared" si="101"/>
        <v>0</v>
      </c>
      <c r="AG157" s="104">
        <f>26-26</f>
        <v>0</v>
      </c>
      <c r="AH157" s="104">
        <v>0</v>
      </c>
      <c r="AI157" s="104">
        <f>('Renewable Diesel'!H166*'RD Feedstock Breakdown'!AI$3*'Feedstock Conversion Rates'!B$6)/12-17.5+17.5-26+26-30+30</f>
        <v>58.625000000000007</v>
      </c>
      <c r="AJ157" s="106">
        <f t="shared" si="65"/>
        <v>58.625000000000007</v>
      </c>
      <c r="AK157" s="104">
        <f>('Renewable Diesel'!J166*'RD Feedstock Breakdown'!AK$3*'Feedstock Conversion Rates'!B$4)/12</f>
        <v>95.8125</v>
      </c>
      <c r="AL157" s="106">
        <f t="shared" si="68"/>
        <v>95.8125</v>
      </c>
      <c r="AM157" s="104">
        <f>('Renewable Diesel'!K166*'RD Feedstock Breakdown'!AM$3*'Feedstock Conversion Rates'!B$4)/12+20-30</f>
        <v>48.59375</v>
      </c>
      <c r="AN157" s="104">
        <f>('Renewable Diesel'!K166*'RD Feedstock Breakdown'!AN$3*'Feedstock Conversion Rates'!B$6)/12-20+30</f>
        <v>34.427083333333329</v>
      </c>
      <c r="AO157" s="106">
        <f t="shared" si="81"/>
        <v>83.020833333333329</v>
      </c>
      <c r="AP157" s="104">
        <f>('Renewable Diesel'!L166*'RD Feedstock Breakdown'!AP$3*'Feedstock Conversion Rates'!B$4)/12+15-5+10</f>
        <v>78.59375</v>
      </c>
      <c r="AQ157" s="104">
        <f>('Renewable Diesel'!L166*'RD Feedstock Breakdown'!AQ$3*'Feedstock Conversion Rates'!B$6)/12-15+5-10</f>
        <v>4.4270833333333321</v>
      </c>
      <c r="AR157" s="106">
        <f t="shared" si="70"/>
        <v>83.020833333333329</v>
      </c>
      <c r="AS157" s="104">
        <f>('Renewable Diesel'!M166*'RD Feedstock Breakdown'!AS$3*'Feedstock Conversion Rates'!B$4)/12-150</f>
        <v>187.5</v>
      </c>
      <c r="AT157" s="104">
        <f>('Renewable Diesel'!M166*'RD Feedstock Breakdown'!AT$3*'Feedstock Conversion Rates'!B$5)/12+150</f>
        <v>150</v>
      </c>
      <c r="AU157" s="106">
        <f t="shared" si="104"/>
        <v>337.5</v>
      </c>
      <c r="AV157" s="104">
        <f>'Renewable Diesel'!N166*'RD Feedstock Breakdown'!$AV$3*'Feedstock Conversion Rates'!$B$4/12-15-10+25+25-22-75+75+22.5-80</f>
        <v>24.249999999999986</v>
      </c>
      <c r="AW157" s="104">
        <f>'Renewable Diesel'!N166*'RD Feedstock Breakdown'!$AW$3*'Feedstock Conversion Rates'!$B$7/12+15+10-25-25+22+75-75-22.5+80</f>
        <v>95.9</v>
      </c>
      <c r="AX157" s="106">
        <f t="shared" si="63"/>
        <v>120.14999999999999</v>
      </c>
      <c r="AY157" s="104">
        <f>('Renewable Diesel'!O166*'RD Feedstock Breakdown'!AY$3*'Feedstock Conversion Rates'!B$4)/12+5-70</f>
        <v>2.5</v>
      </c>
      <c r="AZ157" s="104">
        <f>('Renewable Diesel'!O166*'RD Feedstock Breakdown'!AZ$3*'Feedstock Conversion Rates'!B$3)/12-5+70</f>
        <v>73.010000000000005</v>
      </c>
      <c r="BA157" s="106">
        <f t="shared" si="66"/>
        <v>75.510000000000005</v>
      </c>
      <c r="BB157" s="104">
        <f>('Renewable Diesel'!Q166*'RD Feedstock Breakdown'!BB$3*'Feedstock Conversion Rates'!B$4)/12</f>
        <v>11.156249999999998</v>
      </c>
      <c r="BC157" s="104">
        <f>('Renewable Diesel'!Q166*'RD Feedstock Breakdown'!BC$3*'Feedstock Conversion Rates'!B$3)/12</f>
        <v>1.4017500000000001</v>
      </c>
      <c r="BD157" s="104">
        <f>('Renewable Diesel'!Q166*'RD Feedstock Breakdown'!BD$3*'Feedstock Conversion Rates'!B$6)/12</f>
        <v>0.8207500000000002</v>
      </c>
      <c r="BE157" s="106">
        <f t="shared" si="90"/>
        <v>13.378749999999998</v>
      </c>
      <c r="BF157" s="104">
        <f>('Renewable Diesel'!R166*'RD Feedstock Breakdown'!BF$3*'Feedstock Conversion Rates'!B$4)/12</f>
        <v>62.5</v>
      </c>
      <c r="BG157" s="106">
        <f t="shared" si="72"/>
        <v>62.5</v>
      </c>
      <c r="BH157" s="104">
        <f>('Renewable Diesel'!T166*'RD Feedstock Breakdown'!BH$3*'Feedstock Conversion Rates'!B$7)/12</f>
        <v>27.599999999999998</v>
      </c>
      <c r="BI157" s="106">
        <f t="shared" si="64"/>
        <v>27.599999999999998</v>
      </c>
      <c r="BJ157" s="104">
        <f>('Renewable Diesel'!W166*'RD Feedstock Breakdown'!BJ$3*'Feedstock Conversion Rates'!B$4)/12</f>
        <v>7.5</v>
      </c>
      <c r="BK157" s="104">
        <f>('Renewable Diesel'!W166*'RD Feedstock Breakdown'!BK$3*'Feedstock Conversion Rates'!B$3)/12</f>
        <v>1.335</v>
      </c>
      <c r="BL157" s="104">
        <f>('Renewable Diesel'!W166*'RD Feedstock Breakdown'!BL$3*'Feedstock Conversion Rates'!B$6)/12</f>
        <v>3.1266666666666669</v>
      </c>
      <c r="BM157" s="104">
        <f>('Renewable Diesel'!W166*'RD Feedstock Breakdown'!BM$3*'Feedstock Conversion Rates'!B$7)/12</f>
        <v>1.5333333333333332</v>
      </c>
      <c r="BN157" s="106">
        <f t="shared" si="112"/>
        <v>13.495000000000001</v>
      </c>
      <c r="BO157" s="104">
        <f>('Renewable Diesel'!P166*'Feedstock Conversion Rates'!B$4)/12</f>
        <v>31.25</v>
      </c>
      <c r="BP157" s="106">
        <f t="shared" si="102"/>
        <v>31.25</v>
      </c>
      <c r="BQ157" s="104"/>
      <c r="BR157" s="104"/>
      <c r="BS157" s="106"/>
      <c r="BT157" s="106"/>
      <c r="BU157" s="104">
        <f>('Renewable Diesel'!Y166*'Feedstock Conversion Rates'!B$7)/12</f>
        <v>2.6833333333333331</v>
      </c>
      <c r="BV157" s="106">
        <f t="shared" si="93"/>
        <v>2.6833333333333331</v>
      </c>
      <c r="BW157" s="106"/>
      <c r="BX157" s="106"/>
      <c r="BY157" s="106"/>
      <c r="BZ157" s="106"/>
      <c r="CA157" s="106"/>
      <c r="CB157" s="104">
        <f>('Renewable Diesel'!AA166*'Feedstock Conversion Rates'!B$4)/12</f>
        <v>191.25</v>
      </c>
      <c r="CC157" s="106">
        <f t="shared" si="113"/>
        <v>191.25</v>
      </c>
      <c r="CD157" s="104">
        <f>('Renewable Diesel'!$AB166*'RD Feedstock Breakdown'!CD$3*'Feedstock Conversion Rates'!$B$6)/12</f>
        <v>0</v>
      </c>
      <c r="CE157" s="104">
        <f>('Renewable Diesel'!$AB166*'RD Feedstock Breakdown'!CE$3*'Feedstock Conversion Rates'!$B$4)/12</f>
        <v>0</v>
      </c>
      <c r="CF157" s="106">
        <f t="shared" si="108"/>
        <v>0</v>
      </c>
      <c r="CG157" s="104">
        <f>('Renewable Diesel'!AD166*'Feedstock Conversion Rates'!B$4)/12</f>
        <v>84.375</v>
      </c>
      <c r="CH157" s="106">
        <f t="shared" si="89"/>
        <v>84.375</v>
      </c>
      <c r="CI157" s="104">
        <f>('Renewable Diesel'!$AE166*'RD Feedstock Breakdown'!CI$3*'Feedstock Conversion Rates'!$B$5)/12</f>
        <v>0.17302083333333332</v>
      </c>
      <c r="CJ157" s="104">
        <f>('Renewable Diesel'!$AE166*'RD Feedstock Breakdown'!CJ$3*'Feedstock Conversion Rates'!$B$4)/12</f>
        <v>0.171875</v>
      </c>
      <c r="CK157" s="106">
        <f t="shared" si="103"/>
        <v>0.34489583333333329</v>
      </c>
      <c r="CL157" s="104">
        <f>(((CL$3*'Renewable Diesel'!$AF166)*'Feedstock Conversion Rates'!$B$3)/12)-10</f>
        <v>20.037499999999998</v>
      </c>
      <c r="CM157" s="104">
        <f>(((CM$3*'Renewable Diesel'!$AF166)*'Feedstock Conversion Rates'!$B$6)/12)+10</f>
        <v>27.587500000000002</v>
      </c>
      <c r="CN157" s="104">
        <f>(((CN$3*'Renewable Diesel'!$AF166)*'Feedstock Conversion Rates'!$B$4)/12)</f>
        <v>14.0625</v>
      </c>
      <c r="CO157" s="106">
        <f t="shared" si="91"/>
        <v>61.6875</v>
      </c>
      <c r="CP157" s="106"/>
      <c r="CQ157" s="106"/>
      <c r="CR157" s="106"/>
      <c r="CS157" s="106"/>
      <c r="CT157" s="104">
        <f>('Renewable Diesel'!AI166*'Feedstock Conversion Rates'!$B$4*'RD Feedstock Breakdown'!$CT$3)/12</f>
        <v>18.75</v>
      </c>
      <c r="CU157" s="106">
        <f t="shared" si="99"/>
        <v>18.75</v>
      </c>
      <c r="CV157" s="106"/>
      <c r="CW157" s="106"/>
      <c r="CX157" s="106"/>
      <c r="CY157" s="106"/>
      <c r="CZ157" s="106"/>
      <c r="DA157" s="106"/>
      <c r="DB157" s="106"/>
      <c r="DC157" s="106"/>
      <c r="DD157" s="106"/>
      <c r="DE157" s="106"/>
      <c r="DF157" s="106"/>
      <c r="DG157" s="106"/>
      <c r="DH157" s="106"/>
      <c r="DI157" s="106"/>
      <c r="DJ157" s="104">
        <f>('Renewable Diesel'!AT166*'Feedstock Conversion Rates'!$B$4*0.25)/12</f>
        <v>0</v>
      </c>
      <c r="DK157" s="104">
        <f>('Renewable Diesel'!$AT166*'RD Feedstock Breakdown'!DK$3*'Feedstock Conversion Rates'!$B$3)/12*0.5</f>
        <v>0</v>
      </c>
      <c r="DL157" s="104">
        <f>('Renewable Diesel'!$AT166*'RD Feedstock Breakdown'!$DL$3*'Feedstock Conversion Rates'!$B$6)/12</f>
        <v>0</v>
      </c>
      <c r="DM157" s="104">
        <f>('Renewable Diesel'!$AT166*'RD Feedstock Breakdown'!$DM$3*'Feedstock Conversion Rates'!$B$8)/12</f>
        <v>0</v>
      </c>
      <c r="DN157" s="106">
        <f t="shared" si="110"/>
        <v>0</v>
      </c>
      <c r="DP157" s="104">
        <f t="shared" si="73"/>
        <v>149.58249999999998</v>
      </c>
      <c r="DQ157" s="104">
        <f t="shared" si="74"/>
        <v>626.65490000000011</v>
      </c>
      <c r="DR157" s="104">
        <f t="shared" si="82"/>
        <v>858.515625</v>
      </c>
      <c r="DS157" s="104">
        <f t="shared" si="100"/>
        <v>150.17302083333334</v>
      </c>
      <c r="DT157" s="104">
        <f t="shared" si="75"/>
        <v>217.76423333333338</v>
      </c>
      <c r="DU157" s="104">
        <f t="shared" si="76"/>
        <v>286.16466666666668</v>
      </c>
      <c r="DV157" s="104">
        <f t="shared" si="83"/>
        <v>47.8046875</v>
      </c>
      <c r="DW157" s="104">
        <f t="shared" si="77"/>
        <v>2.5</v>
      </c>
      <c r="DX157" s="106">
        <f t="shared" si="78"/>
        <v>2339.1596333333332</v>
      </c>
      <c r="DY157" s="109">
        <f t="shared" si="79"/>
        <v>-5.6843418860808015E-14</v>
      </c>
      <c r="EA157" s="110">
        <f t="shared" si="114"/>
        <v>6.3947110692416903E-2</v>
      </c>
      <c r="EB157" s="110">
        <f t="shared" si="114"/>
        <v>0.26789744960971673</v>
      </c>
      <c r="EC157" s="110">
        <f t="shared" si="114"/>
        <v>0.36701882708902767</v>
      </c>
      <c r="ED157" s="110">
        <f t="shared" si="114"/>
        <v>6.4199560685533383E-2</v>
      </c>
      <c r="EE157" s="110">
        <f t="shared" si="114"/>
        <v>9.3095071507803204E-2</v>
      </c>
      <c r="EF157" s="110">
        <f t="shared" si="114"/>
        <v>0.12233652743865038</v>
      </c>
      <c r="EG157" s="111">
        <f t="shared" si="114"/>
        <v>2.0436693083608702E-2</v>
      </c>
      <c r="EH157" s="111">
        <f t="shared" si="84"/>
        <v>1.0687598932431419E-3</v>
      </c>
      <c r="EI157" s="110">
        <f t="shared" si="85"/>
        <v>0.99893124010675693</v>
      </c>
      <c r="EK157" s="112">
        <f>(EA157*'Renewable Diesel'!BF166*'Feedstock Conversion Rates'!B$2)+FB157</f>
        <v>113.38032792024143</v>
      </c>
      <c r="EL157" s="112">
        <f>(EB157*'Renewable Diesel'!BF166*'Feedstock Conversion Rates'!B$3)+FC157</f>
        <v>447.60914570586732</v>
      </c>
      <c r="EM157" s="112">
        <f>(EC157*'Renewable Diesel'!BF166*'Feedstock Conversion Rates'!B$4)+FD157</f>
        <v>574.17920911527881</v>
      </c>
      <c r="EN157" s="112">
        <f>(ED157*'Renewable Diesel'!BF166*'Feedstock Conversion Rates'!B$5)+FE157</f>
        <v>101.10598492767001</v>
      </c>
      <c r="EO157" s="112">
        <f>(EE157*'Renewable Diesel'!BF166*'Feedstock Conversion Rates'!B$6)+FF157</f>
        <v>182.14924884604142</v>
      </c>
      <c r="EP157" s="112">
        <f>(EF157*'Renewable Diesel'!BF166*'Feedstock Conversion Rates'!B$7)+FG157</f>
        <v>234.76958511924849</v>
      </c>
      <c r="EQ157" s="112">
        <f>(EG157*'Renewable Diesel'!BF166*'Feedstock Conversion Rates'!B$8)+FH157</f>
        <v>39.964994319050767</v>
      </c>
      <c r="ER157" s="112">
        <f>(EH157*'Renewable Diesel'!BF166*'Feedstock Conversion Rates'!B$9)+FI157</f>
        <v>2.0621475523781059</v>
      </c>
      <c r="ES157" s="112">
        <f t="shared" si="86"/>
        <v>1695.2206435057763</v>
      </c>
      <c r="ET157" s="91">
        <f>ES157/'Renewable Diesel'!BF166</f>
        <v>8.1269647484529663</v>
      </c>
      <c r="EW157" s="73">
        <f t="shared" si="58"/>
        <v>675.28519404294877</v>
      </c>
      <c r="EX157" s="73">
        <f t="shared" si="59"/>
        <v>1019.9354494628275</v>
      </c>
      <c r="EY157" s="92">
        <f t="shared" si="71"/>
        <v>0.39834649054676158</v>
      </c>
      <c r="EZ157" s="92">
        <f t="shared" si="71"/>
        <v>0.60165350945323848</v>
      </c>
      <c r="FB157" s="102">
        <f>IF('Renewable Diesel'!$BG166&lt;1,0,(((('Renewable Diesel'!$BG166-1)*'Renewable Diesel'!$BF166)*'RD Feedstock Breakdown'!EA157)*'Feedstock Conversion Rates'!$B$2))</f>
        <v>0</v>
      </c>
      <c r="FC157" s="102">
        <f>IF('Renewable Diesel'!$BG166&lt;1,0,(((('Renewable Diesel'!$BG166-1)*'Renewable Diesel'!$BF166)*'RD Feedstock Breakdown'!EB157)*'Feedstock Conversion Rates'!$B$3))</f>
        <v>0</v>
      </c>
      <c r="FD157" s="102">
        <f>IF('Renewable Diesel'!$BG166&lt;1,0,(((('Renewable Diesel'!$BG166-1)*'Renewable Diesel'!$BF166)*'RD Feedstock Breakdown'!EC157)*'Feedstock Conversion Rates'!$B$4))</f>
        <v>0</v>
      </c>
      <c r="FE157" s="102">
        <f>IF('Renewable Diesel'!$BG166&lt;1,0,(((('Renewable Diesel'!$BG166-1)*'Renewable Diesel'!$BF166)*'RD Feedstock Breakdown'!ED157)*'Feedstock Conversion Rates'!$B$5))</f>
        <v>0</v>
      </c>
      <c r="FF157" s="102">
        <f>IF('Renewable Diesel'!$BG166&lt;1,0,(((('Renewable Diesel'!$BG166-1)*'Renewable Diesel'!$BF166)*'RD Feedstock Breakdown'!EE157)*'Feedstock Conversion Rates'!$B$6))</f>
        <v>0</v>
      </c>
      <c r="FG157" s="102">
        <f>IF('Renewable Diesel'!$BG166&lt;1,0,(((('Renewable Diesel'!$BG166-1)*'Renewable Diesel'!$BF166)*'RD Feedstock Breakdown'!EF157)*'Feedstock Conversion Rates'!$B$7))</f>
        <v>0</v>
      </c>
      <c r="FH157" s="102">
        <f>IF('Renewable Diesel'!$BG166&lt;1,0,(((('Renewable Diesel'!$BG166-1)*'Renewable Diesel'!$BF166)*'RD Feedstock Breakdown'!EG157)*'Feedstock Conversion Rates'!$B$8))</f>
        <v>0</v>
      </c>
      <c r="FI157" s="102">
        <f>IF('Renewable Diesel'!$BG166&lt;1,0,(((('Renewable Diesel'!$BG166-1)*'Renewable Diesel'!$BF166)*'RD Feedstock Breakdown'!EH157)*'Feedstock Conversion Rates'!$B$9))</f>
        <v>0</v>
      </c>
      <c r="FJ157" s="102">
        <f t="shared" si="60"/>
        <v>0</v>
      </c>
      <c r="FL157" s="3">
        <f>('Renewable Diesel'!AX166/12*$FO$80)*'RD Feedstock Breakdown'!EC157*7.5</f>
        <v>796.2702840463387</v>
      </c>
      <c r="FM157" s="3">
        <f t="shared" si="96"/>
        <v>222.09107493105989</v>
      </c>
      <c r="FR157" s="3">
        <f>('Renewable Diesel'!AX166-'Renewable Diesel'!BI166)/12*$FO$80</f>
        <v>34.961249999999971</v>
      </c>
      <c r="FS157" s="100">
        <f t="shared" si="97"/>
        <v>0.36701882708902767</v>
      </c>
      <c r="FT157" s="3">
        <f t="shared" si="98"/>
        <v>96.235777264246934</v>
      </c>
      <c r="FY157" s="3">
        <f>'Renewable Diesel'!BF166*('Renewable Diesel'!BI166/'Renewable Diesel'!AX166)</f>
        <v>183.38203844568321</v>
      </c>
      <c r="FZ157" s="3">
        <f>('Renewable Diesel'!BJ166*'Renewable Diesel'!BG166)/12</f>
        <v>25.56020129812676</v>
      </c>
      <c r="GA157" s="3">
        <f t="shared" si="105"/>
        <v>70.358063254484449</v>
      </c>
      <c r="GD157" s="91">
        <f>'Renewable Diesel'!BB166*0.32</f>
        <v>18.010161280000002</v>
      </c>
      <c r="GE157" s="91">
        <f>'Renewable Diesel'!BC166</f>
        <v>1.4651369999999999</v>
      </c>
      <c r="GF157" s="91">
        <f>'Renewable Diesel'!BD166</f>
        <v>0</v>
      </c>
      <c r="GG157" s="91">
        <f t="shared" si="109"/>
        <v>1.4651369999999999</v>
      </c>
      <c r="GH157" s="124">
        <v>1</v>
      </c>
      <c r="GI157" s="102">
        <f>$GG157*EA157*'Feedstock Conversion Rates'!$B$2</f>
        <v>0.79637586230772284</v>
      </c>
      <c r="GJ157" s="102">
        <f>$GG157*EB157*'Feedstock Conversion Rates'!$B$3</f>
        <v>3.1439767896869402</v>
      </c>
      <c r="GK157" s="102">
        <f>$GG157*EC157*'Feedstock Conversion Rates'!$B$4</f>
        <v>4.0329964744855253</v>
      </c>
      <c r="GL157" s="102">
        <f>$GG157*ED157*'Feedstock Conversion Rates'!$B$5</f>
        <v>0.71016169566810838</v>
      </c>
      <c r="GM157" s="102">
        <f>$GG157*EE157*'Feedstock Conversion Rates'!$B$6</f>
        <v>1.2794041768913711</v>
      </c>
      <c r="GN157" s="102">
        <f>$GG157*EF157*'Feedstock Conversion Rates'!$B$7</f>
        <v>1.6490059097773133</v>
      </c>
      <c r="GO157" s="102">
        <f>$GG157*EG157*'Feedstock Conversion Rates'!$B$8</f>
        <v>0.28071145494786748</v>
      </c>
      <c r="GP157" s="102">
        <f>$GG157*EH157*'Feedstock Conversion Rates'!B$9</f>
        <v>1.4484386889285836E-2</v>
      </c>
      <c r="GQ157" s="102">
        <f t="shared" si="87"/>
        <v>11.907116750654136</v>
      </c>
      <c r="GR157" s="85">
        <f t="shared" si="107"/>
        <v>8.1269647484529681</v>
      </c>
      <c r="GT157" s="103">
        <f t="shared" si="111"/>
        <v>6.6882342634624198E-2</v>
      </c>
      <c r="GU157" s="103">
        <f t="shared" si="94"/>
        <v>0.26404182099870832</v>
      </c>
      <c r="GV157" s="103">
        <f t="shared" si="94"/>
        <v>0.33870470567645755</v>
      </c>
      <c r="GW157" s="103">
        <f t="shared" si="94"/>
        <v>5.9641784870304117E-2</v>
      </c>
      <c r="GX157" s="103">
        <f t="shared" si="94"/>
        <v>0.1074486967486134</v>
      </c>
      <c r="GY157" s="103">
        <f t="shared" si="94"/>
        <v>0.13848910229982611</v>
      </c>
      <c r="GZ157" s="103">
        <f t="shared" si="94"/>
        <v>2.3575098894738414E-2</v>
      </c>
      <c r="HA157" s="103">
        <f t="shared" si="94"/>
        <v>1.2164478767280182E-3</v>
      </c>
    </row>
    <row r="158" spans="1:209" x14ac:dyDescent="0.25">
      <c r="A158" s="96">
        <v>45231</v>
      </c>
      <c r="B158" s="104">
        <f t="shared" ref="B158:B168" si="115">23-20+10+85-5-4-4-1.25+2.25-5+15-6-25-45+65+15-22.5-50+40+16.5+27.5+168+80+14-30+15-50-19+22.5-10+5+11-25-50-12.5-27.5-10+10+2+4-1.5+12-26-15-50-15+10-32.5-3-5-2.5-1+5+10-50-35-9-0.5+25+15+25+20+15+85-25+12.5-52.5+10+20-150+20-20+55-25-25-5</f>
        <v>0</v>
      </c>
      <c r="C158" s="104">
        <f t="shared" ref="C158:C168" si="116">40-10-2.5-27.5+25+25+25-70+120-15-100-10</f>
        <v>0</v>
      </c>
      <c r="D158" s="104">
        <f t="shared" si="95"/>
        <v>1.5</v>
      </c>
      <c r="E158" s="104">
        <f>('Renewable Diesel'!B167*E$3*'Feedstock Conversion Rates'!$B$2)/12-40+1.25+6-43+30-15+12.5-4+1.5+26+2.5+3-10+50+9-15-25-55+50-15</f>
        <v>59.679999999999993</v>
      </c>
      <c r="F158" s="104">
        <f>('Renewable Diesel'!B167*'RD Feedstock Breakdown'!F$3*'Feedstock Conversion Rates'!B$8)/12+28.5-49-5+2-6+1+6+20-20-3.75+10+2.5+5-20-20+25+5</f>
        <v>35.15625</v>
      </c>
      <c r="G158" s="104">
        <f>('Renewable Diesel'!B167*'RD Feedstock Breakdown'!G$3*'Feedstock Conversion Rates'!B$7)/12-25-15-25+4+4-20-40-20+10-17.5+20+50-12+32.5+35-75-75+22.5+5-20+15+125-50-10-5-50</f>
        <v>39.657000000000011</v>
      </c>
      <c r="H158" s="104">
        <f>('Renewable Diesel'!B167*'RD Feedstock Breakdown'!H$3*'Feedstock Conversion Rates'!B$3)/12-85+4-15+70-65-80+50-22.5-5+25+27.5+15+50+15-10+5+50+75-5-25-85-12.5+30+22.5-25-30+150+90-120+25+50+15</f>
        <v>360.40022499999998</v>
      </c>
      <c r="I158" s="106">
        <f t="shared" si="106"/>
        <v>496.39347499999997</v>
      </c>
      <c r="J158" s="104">
        <f t="shared" ref="J158:J168" si="117">120+40+59+10-15-1.75+7.5-2-15-25-75+25+2.5-7-1+15+20+25+15+20-217+17.5+2-19.5</f>
        <v>0.25</v>
      </c>
      <c r="K158" s="104"/>
      <c r="L158" s="104">
        <v>1</v>
      </c>
      <c r="M158" s="104">
        <f>('Renewable Diesel'!C167*'RD Feedstock Breakdown'!M$3*'Feedstock Conversion Rates'!B$2)/12-15-40+2+117-25-2-20-40+20</f>
        <v>74.902500000000003</v>
      </c>
      <c r="N158" s="104">
        <f>('Renewable Diesel'!C167*'RD Feedstock Breakdown'!N$3*'Feedstock Conversion Rates'!B$8)/12+1.75+7-15-20+19.5-20</f>
        <v>9.96875</v>
      </c>
      <c r="O158" s="104">
        <f>('Renewable Diesel'!C167*'RD Feedstock Breakdown'!O$3*'Feedstock Conversion Rates'!B$7)/12+30-120+25-17.5-20</f>
        <v>17.490999999999985</v>
      </c>
      <c r="P158" s="104">
        <f>('Renewable Diesel'!C167*'RD Feedstock Breakdown'!P$3*'Feedstock Conversion Rates'!B$3)/12-15-59-10+15-7.5+15+75-25-2.5-25-15-20+25+100+20+60</f>
        <v>235.47042500000003</v>
      </c>
      <c r="Q158" s="106">
        <f t="shared" si="92"/>
        <v>339.08267499999999</v>
      </c>
      <c r="R158" s="104">
        <f>('Renewable Diesel'!D167*'RD Feedstock Breakdown'!R$3*'Feedstock Conversion Rates'!B$7)/12</f>
        <v>2.2999999999999998</v>
      </c>
      <c r="S158" s="106">
        <f t="shared" si="67"/>
        <v>2.2999999999999998</v>
      </c>
      <c r="T158" s="104">
        <f>20+2.5-20-2.5+35-20+10-25</f>
        <v>0</v>
      </c>
      <c r="U158" s="104">
        <v>0</v>
      </c>
      <c r="V158" s="104">
        <f>('Renewable Diesel'!E167*'RD Feedstock Breakdown'!V$3*'Feedstock Conversion Rates'!B$6)/12-20-5-5+32.5-35+25-15+22+20</f>
        <v>63.750150000000012</v>
      </c>
      <c r="W158" s="104">
        <f>('Renewable Diesel'!E167*'RD Feedstock Breakdown'!W$3*'Feedstock Conversion Rates'!B$8)/12-2.5+3-20</f>
        <v>2.6796875</v>
      </c>
      <c r="X158" s="106">
        <f t="shared" si="88"/>
        <v>66.429837500000019</v>
      </c>
      <c r="Y158" s="104">
        <f>30-30+50-20+20-2-35-13</f>
        <v>0</v>
      </c>
      <c r="Z158" s="104">
        <v>25</v>
      </c>
      <c r="AA158" s="104">
        <v>49</v>
      </c>
      <c r="AB158" s="106">
        <f t="shared" si="62"/>
        <v>74</v>
      </c>
      <c r="AC158" s="104">
        <f>('Renewable Diesel'!G167*'RD Feedstock Breakdown'!AC$3*'Feedstock Conversion Rates'!B$5)/12</f>
        <v>0</v>
      </c>
      <c r="AD158" s="104">
        <f>('Renewable Diesel'!G167*'RD Feedstock Breakdown'!AD$3*'Feedstock Conversion Rates'!B$4)/12</f>
        <v>0</v>
      </c>
      <c r="AE158" s="104">
        <f>('Renewable Diesel'!G167*'RD Feedstock Breakdown'!AE$3*'Feedstock Conversion Rates'!B$6)/12</f>
        <v>0</v>
      </c>
      <c r="AF158" s="106">
        <f t="shared" si="101"/>
        <v>0</v>
      </c>
      <c r="AG158" s="104">
        <f>130+23-3-51-99+50-15+60-90</f>
        <v>5</v>
      </c>
      <c r="AH158" s="104">
        <v>0</v>
      </c>
      <c r="AI158" s="104">
        <f>('Renewable Diesel'!H167*'RD Feedstock Breakdown'!AI$3*'Feedstock Conversion Rates'!B$6)/12-130-23+3+51+99-50+10+15-60+90</f>
        <v>98.800000000000011</v>
      </c>
      <c r="AJ158" s="106">
        <f t="shared" si="65"/>
        <v>103.80000000000001</v>
      </c>
      <c r="AK158" s="104">
        <f>('Renewable Diesel'!J167*'RD Feedstock Breakdown'!AK$3*'Feedstock Conversion Rates'!B$4)/12</f>
        <v>95.8125</v>
      </c>
      <c r="AL158" s="106">
        <f t="shared" si="68"/>
        <v>95.8125</v>
      </c>
      <c r="AM158" s="104">
        <f>('Renewable Diesel'!K167*'RD Feedstock Breakdown'!AM$3*'Feedstock Conversion Rates'!B$4)/12+20-30</f>
        <v>48.59375</v>
      </c>
      <c r="AN158" s="104">
        <f>('Renewable Diesel'!K167*'RD Feedstock Breakdown'!AN$3*'Feedstock Conversion Rates'!B$6)/12-20+30</f>
        <v>34.427083333333329</v>
      </c>
      <c r="AO158" s="106">
        <f t="shared" si="81"/>
        <v>83.020833333333329</v>
      </c>
      <c r="AP158" s="104">
        <f>('Renewable Diesel'!L167*'RD Feedstock Breakdown'!AP$3*'Feedstock Conversion Rates'!B$4)/12+15-5+10</f>
        <v>78.59375</v>
      </c>
      <c r="AQ158" s="104">
        <f>('Renewable Diesel'!L167*'RD Feedstock Breakdown'!AQ$3*'Feedstock Conversion Rates'!B$6)/12-15+5-10</f>
        <v>4.4270833333333321</v>
      </c>
      <c r="AR158" s="106">
        <f t="shared" si="70"/>
        <v>83.020833333333329</v>
      </c>
      <c r="AS158" s="104">
        <f>('Renewable Diesel'!M167*'RD Feedstock Breakdown'!AS$3*'Feedstock Conversion Rates'!B$4)/12-170</f>
        <v>236.25</v>
      </c>
      <c r="AT158" s="104">
        <f>('Renewable Diesel'!M167*'RD Feedstock Breakdown'!AT$3*'Feedstock Conversion Rates'!B$5)/12+170</f>
        <v>170</v>
      </c>
      <c r="AU158" s="106">
        <f t="shared" si="104"/>
        <v>406.25</v>
      </c>
      <c r="AV158" s="104">
        <f>'Renewable Diesel'!N167*'RD Feedstock Breakdown'!$AV$3*'Feedstock Conversion Rates'!$B$4/12-15-10+25+25-22-75+75+22.5-80</f>
        <v>24.249999999999986</v>
      </c>
      <c r="AW158" s="104">
        <f>'Renewable Diesel'!N167*'RD Feedstock Breakdown'!$AW$3*'Feedstock Conversion Rates'!$B$7/12+15+10-25-25+22+75-75-22.5+80</f>
        <v>95.9</v>
      </c>
      <c r="AX158" s="106">
        <f t="shared" si="63"/>
        <v>120.14999999999999</v>
      </c>
      <c r="AY158" s="104">
        <f>('Renewable Diesel'!O167*'RD Feedstock Breakdown'!AY$3*'Feedstock Conversion Rates'!B$4)/12+5-70</f>
        <v>2.5</v>
      </c>
      <c r="AZ158" s="104">
        <f>('Renewable Diesel'!O167*'RD Feedstock Breakdown'!AZ$3*'Feedstock Conversion Rates'!B$3)/12-5+70</f>
        <v>73.010000000000005</v>
      </c>
      <c r="BA158" s="106">
        <f t="shared" si="66"/>
        <v>75.510000000000005</v>
      </c>
      <c r="BB158" s="104">
        <f>('Renewable Diesel'!Q167*'RD Feedstock Breakdown'!BB$3*'Feedstock Conversion Rates'!B$4)/12</f>
        <v>11.156249999999998</v>
      </c>
      <c r="BC158" s="104">
        <f>('Renewable Diesel'!Q167*'RD Feedstock Breakdown'!BC$3*'Feedstock Conversion Rates'!B$3)/12</f>
        <v>1.4017500000000001</v>
      </c>
      <c r="BD158" s="104">
        <f>('Renewable Diesel'!Q167*'RD Feedstock Breakdown'!BD$3*'Feedstock Conversion Rates'!B$6)/12</f>
        <v>0.8207500000000002</v>
      </c>
      <c r="BE158" s="106">
        <f t="shared" si="90"/>
        <v>13.378749999999998</v>
      </c>
      <c r="BF158" s="104">
        <f>('Renewable Diesel'!R167*'RD Feedstock Breakdown'!BF$3*'Feedstock Conversion Rates'!B$4)/12</f>
        <v>62.5</v>
      </c>
      <c r="BG158" s="106">
        <f t="shared" si="72"/>
        <v>62.5</v>
      </c>
      <c r="BH158" s="104">
        <f>('Renewable Diesel'!T167*'RD Feedstock Breakdown'!BH$3*'Feedstock Conversion Rates'!B$7)/12</f>
        <v>27.599999999999998</v>
      </c>
      <c r="BI158" s="106">
        <f t="shared" si="64"/>
        <v>27.599999999999998</v>
      </c>
      <c r="BJ158" s="104">
        <f>('Renewable Diesel'!W167*'RD Feedstock Breakdown'!BJ$3*'Feedstock Conversion Rates'!B$4)/12</f>
        <v>7.5</v>
      </c>
      <c r="BK158" s="104">
        <f>('Renewable Diesel'!W167*'RD Feedstock Breakdown'!BK$3*'Feedstock Conversion Rates'!B$3)/12</f>
        <v>1.335</v>
      </c>
      <c r="BL158" s="104">
        <f>('Renewable Diesel'!W167*'RD Feedstock Breakdown'!BL$3*'Feedstock Conversion Rates'!B$6)/12</f>
        <v>3.1266666666666669</v>
      </c>
      <c r="BM158" s="104">
        <f>('Renewable Diesel'!W167*'RD Feedstock Breakdown'!BM$3*'Feedstock Conversion Rates'!B$7)/12</f>
        <v>1.5333333333333332</v>
      </c>
      <c r="BN158" s="106">
        <f t="shared" si="112"/>
        <v>13.495000000000001</v>
      </c>
      <c r="BO158" s="104">
        <f>('Renewable Diesel'!P167*'Feedstock Conversion Rates'!B$4)/12</f>
        <v>31.25</v>
      </c>
      <c r="BP158" s="106">
        <f t="shared" si="102"/>
        <v>31.25</v>
      </c>
      <c r="BQ158" s="104"/>
      <c r="BR158" s="104"/>
      <c r="BS158" s="106"/>
      <c r="BT158" s="106"/>
      <c r="BU158" s="104">
        <f>('Renewable Diesel'!Y167*'Feedstock Conversion Rates'!B$7)/12</f>
        <v>2.6833333333333331</v>
      </c>
      <c r="BV158" s="106">
        <f t="shared" si="93"/>
        <v>2.6833333333333331</v>
      </c>
      <c r="BW158" s="106"/>
      <c r="BX158" s="106"/>
      <c r="BY158" s="106"/>
      <c r="BZ158" s="106"/>
      <c r="CA158" s="106"/>
      <c r="CB158" s="104">
        <f>('Renewable Diesel'!AA167*'Feedstock Conversion Rates'!B$4)/12</f>
        <v>191.25</v>
      </c>
      <c r="CC158" s="106">
        <f t="shared" si="113"/>
        <v>191.25</v>
      </c>
      <c r="CD158" s="104">
        <f>('Renewable Diesel'!$AB167*'RD Feedstock Breakdown'!CD$3*'Feedstock Conversion Rates'!$B$6)/12</f>
        <v>0</v>
      </c>
      <c r="CE158" s="104">
        <f>('Renewable Diesel'!$AB167*'RD Feedstock Breakdown'!CE$3*'Feedstock Conversion Rates'!$B$4)/12</f>
        <v>0</v>
      </c>
      <c r="CF158" s="106">
        <f t="shared" si="108"/>
        <v>0</v>
      </c>
      <c r="CG158" s="104">
        <f>('Renewable Diesel'!AD167*'Feedstock Conversion Rates'!B$4)/12</f>
        <v>46.875</v>
      </c>
      <c r="CH158" s="106">
        <f t="shared" si="89"/>
        <v>46.875</v>
      </c>
      <c r="CI158" s="104">
        <f>('Renewable Diesel'!$AE167*'RD Feedstock Breakdown'!CI$3*'Feedstock Conversion Rates'!$B$5)/12</f>
        <v>0.17302083333333332</v>
      </c>
      <c r="CJ158" s="104">
        <f>('Renewable Diesel'!$AE167*'RD Feedstock Breakdown'!CJ$3*'Feedstock Conversion Rates'!$B$4)/12</f>
        <v>0.171875</v>
      </c>
      <c r="CK158" s="106">
        <f t="shared" si="103"/>
        <v>0.34489583333333329</v>
      </c>
      <c r="CL158" s="104">
        <f>(((CL$3*'Renewable Diesel'!$AF167)*'Feedstock Conversion Rates'!$B$3)/12)-10</f>
        <v>20.037499999999998</v>
      </c>
      <c r="CM158" s="104">
        <f>(((CM$3*'Renewable Diesel'!$AF167)*'Feedstock Conversion Rates'!$B$6)/12)+10</f>
        <v>27.587500000000002</v>
      </c>
      <c r="CN158" s="104">
        <f>(((CN$3*'Renewable Diesel'!$AF167)*'Feedstock Conversion Rates'!$B$4)/12)+10</f>
        <v>24.0625</v>
      </c>
      <c r="CO158" s="106">
        <f t="shared" si="91"/>
        <v>71.6875</v>
      </c>
      <c r="CP158" s="106"/>
      <c r="CQ158" s="106"/>
      <c r="CR158" s="106"/>
      <c r="CS158" s="106"/>
      <c r="CT158" s="104">
        <f>('Renewable Diesel'!AI167*'Feedstock Conversion Rates'!$B$4*'RD Feedstock Breakdown'!$CT$3)/12</f>
        <v>29.375</v>
      </c>
      <c r="CU158" s="106">
        <f t="shared" si="99"/>
        <v>29.375</v>
      </c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4">
        <f>('Renewable Diesel'!AT167*'Feedstock Conversion Rates'!$B$4*0.25)/12</f>
        <v>0</v>
      </c>
      <c r="DK158" s="104">
        <f>('Renewable Diesel'!$AT167*'RD Feedstock Breakdown'!DK$3*'Feedstock Conversion Rates'!$B$3)/12*0.5</f>
        <v>0</v>
      </c>
      <c r="DL158" s="104">
        <f>('Renewable Diesel'!$AT167*'RD Feedstock Breakdown'!$DL$3*'Feedstock Conversion Rates'!$B$6)/12</f>
        <v>0</v>
      </c>
      <c r="DM158" s="104">
        <f>('Renewable Diesel'!$AT167*'RD Feedstock Breakdown'!$DM$3*'Feedstock Conversion Rates'!$B$8)/12</f>
        <v>0</v>
      </c>
      <c r="DN158" s="106">
        <f t="shared" si="110"/>
        <v>0</v>
      </c>
      <c r="DP158" s="104">
        <f t="shared" si="73"/>
        <v>134.58249999999998</v>
      </c>
      <c r="DQ158" s="104">
        <f>H158+P158+AZ158+BC158+BK158+BZ158+CL158+CP158+CV158+CX158+DA158+DK158</f>
        <v>691.65490000000011</v>
      </c>
      <c r="DR158" s="104">
        <f t="shared" si="82"/>
        <v>890.390625</v>
      </c>
      <c r="DS158" s="104">
        <f t="shared" si="100"/>
        <v>175.17302083333334</v>
      </c>
      <c r="DT158" s="104">
        <f t="shared" si="75"/>
        <v>257.93923333333339</v>
      </c>
      <c r="DU158" s="104">
        <f t="shared" si="76"/>
        <v>236.16466666666668</v>
      </c>
      <c r="DV158" s="104">
        <f t="shared" si="83"/>
        <v>47.8046875</v>
      </c>
      <c r="DW158" s="104">
        <f t="shared" si="77"/>
        <v>2.5</v>
      </c>
      <c r="DX158" s="106">
        <f t="shared" si="78"/>
        <v>2436.2096333333334</v>
      </c>
      <c r="DY158" s="109">
        <f t="shared" si="79"/>
        <v>-5.6843418860808015E-14</v>
      </c>
      <c r="EA158" s="110">
        <f t="shared" si="114"/>
        <v>5.5242577715226442E-2</v>
      </c>
      <c r="EB158" s="110">
        <f t="shared" si="114"/>
        <v>0.28390615098818334</v>
      </c>
      <c r="EC158" s="110">
        <f t="shared" si="114"/>
        <v>0.36548194080561403</v>
      </c>
      <c r="ED158" s="110">
        <f t="shared" si="114"/>
        <v>7.1903919283683976E-2</v>
      </c>
      <c r="EE158" s="110">
        <f t="shared" si="114"/>
        <v>0.10587727336929094</v>
      </c>
      <c r="EF158" s="110">
        <f t="shared" si="114"/>
        <v>9.6939386264364852E-2</v>
      </c>
      <c r="EG158" s="111">
        <f t="shared" si="114"/>
        <v>1.9622567305339584E-2</v>
      </c>
      <c r="EH158" s="111">
        <f t="shared" si="84"/>
        <v>1.0261842682968893E-3</v>
      </c>
      <c r="EI158" s="110">
        <f t="shared" si="85"/>
        <v>0.9989738157317033</v>
      </c>
      <c r="EK158" s="112">
        <f>(EA158*'Renewable Diesel'!BF167*'Feedstock Conversion Rates'!B$2)+FB158</f>
        <v>94.390372662759276</v>
      </c>
      <c r="EL158" s="112">
        <f>(EB158*'Renewable Diesel'!BF167*'Feedstock Conversion Rates'!B$3)+FC158</f>
        <v>457.13256203692112</v>
      </c>
      <c r="EM158" s="112">
        <f>(EC158*'Renewable Diesel'!BF167*'Feedstock Conversion Rates'!B$4)+FD158</f>
        <v>551.01322877074415</v>
      </c>
      <c r="EN158" s="112">
        <f>(ED158*'Renewable Diesel'!BF167*'Feedstock Conversion Rates'!B$5)+FE158</f>
        <v>109.12753730785575</v>
      </c>
      <c r="EO158" s="112">
        <f>(EE158*'Renewable Diesel'!BF167*'Feedstock Conversion Rates'!B$6)+FF158</f>
        <v>199.63672032738825</v>
      </c>
      <c r="EP158" s="112">
        <f>(EF158*'Renewable Diesel'!BF167*'Feedstock Conversion Rates'!B$7)+FG158</f>
        <v>179.27632165031119</v>
      </c>
      <c r="EQ158" s="112">
        <v>60</v>
      </c>
      <c r="ER158" s="112">
        <f>(EH158*'Renewable Diesel'!BF167*'Feedstock Conversion Rates'!B$9)+FI158</f>
        <v>1.908103485901439</v>
      </c>
      <c r="ES158" s="112">
        <f t="shared" si="86"/>
        <v>1652.4848462418813</v>
      </c>
      <c r="ET158" s="91">
        <f>ES158/'Renewable Diesel'!BF167</f>
        <v>8.220583516257534</v>
      </c>
      <c r="EW158" s="73">
        <f t="shared" si="58"/>
        <v>660.14076607859988</v>
      </c>
      <c r="EX158" s="73">
        <f t="shared" si="59"/>
        <v>992.34408016328132</v>
      </c>
      <c r="EY158" s="92">
        <f t="shared" si="71"/>
        <v>0.39948370333313921</v>
      </c>
      <c r="EZ158" s="92">
        <f t="shared" si="71"/>
        <v>0.60051629666686068</v>
      </c>
      <c r="FB158" s="102">
        <f>IF('Renewable Diesel'!$BG167&lt;1,0,(((('Renewable Diesel'!$BG167-1)*'Renewable Diesel'!$BF167)*'RD Feedstock Breakdown'!EA158)*'Feedstock Conversion Rates'!$B$2))</f>
        <v>0</v>
      </c>
      <c r="FC158" s="102">
        <f>IF('Renewable Diesel'!$BG167&lt;1,0,(((('Renewable Diesel'!$BG167-1)*'Renewable Diesel'!$BF167)*'RD Feedstock Breakdown'!EB158)*'Feedstock Conversion Rates'!$B$3))</f>
        <v>0</v>
      </c>
      <c r="FD158" s="102">
        <f>IF('Renewable Diesel'!$BG167&lt;1,0,(((('Renewable Diesel'!$BG167-1)*'Renewable Diesel'!$BF167)*'RD Feedstock Breakdown'!EC158)*'Feedstock Conversion Rates'!$B$4))</f>
        <v>0</v>
      </c>
      <c r="FE158" s="102">
        <f>IF('Renewable Diesel'!$BG167&lt;1,0,(((('Renewable Diesel'!$BG167-1)*'Renewable Diesel'!$BF167)*'RD Feedstock Breakdown'!ED158)*'Feedstock Conversion Rates'!$B$5))</f>
        <v>0</v>
      </c>
      <c r="FF158" s="102">
        <f>IF('Renewable Diesel'!$BG167&lt;1,0,(((('Renewable Diesel'!$BG167-1)*'Renewable Diesel'!$BF167)*'RD Feedstock Breakdown'!EE158)*'Feedstock Conversion Rates'!$B$6))</f>
        <v>0</v>
      </c>
      <c r="FG158" s="102">
        <f>IF('Renewable Diesel'!$BG167&lt;1,0,(((('Renewable Diesel'!$BG167-1)*'Renewable Diesel'!$BF167)*'RD Feedstock Breakdown'!EF158)*'Feedstock Conversion Rates'!$B$7))</f>
        <v>0</v>
      </c>
      <c r="FH158" s="102">
        <f>IF('Renewable Diesel'!$BG167&lt;1,0,(((('Renewable Diesel'!$BG167-1)*'Renewable Diesel'!$BF167)*'RD Feedstock Breakdown'!EG158)*'Feedstock Conversion Rates'!$B$8))</f>
        <v>0</v>
      </c>
      <c r="FI158" s="102">
        <f>IF('Renewable Diesel'!$BG167&lt;1,0,(((('Renewable Diesel'!$BG167-1)*'Renewable Diesel'!$BF167)*'RD Feedstock Breakdown'!EH158)*'Feedstock Conversion Rates'!$B$9))</f>
        <v>0</v>
      </c>
      <c r="FJ158" s="102">
        <f t="shared" si="60"/>
        <v>0</v>
      </c>
      <c r="FL158" s="3">
        <f>('Renewable Diesel'!AX167/12*$FO$80)*'RD Feedstock Breakdown'!EC158*7.5</f>
        <v>801.15925686720641</v>
      </c>
      <c r="FM158" s="3">
        <f t="shared" si="96"/>
        <v>250.14602809646226</v>
      </c>
      <c r="FR158" s="3">
        <f>('Renewable Diesel'!AX167-'Renewable Diesel'!BI167)/12*$FO$80</f>
        <v>29.561249999999973</v>
      </c>
      <c r="FS158" s="100">
        <f t="shared" si="97"/>
        <v>0.36548194080561403</v>
      </c>
      <c r="FT158" s="3">
        <f t="shared" si="98"/>
        <v>81.030772669799617</v>
      </c>
      <c r="FY158" s="3">
        <f>'Renewable Diesel'!BF167*('Renewable Diesel'!BI167/'Renewable Diesel'!AX167)</f>
        <v>180.68661179304596</v>
      </c>
      <c r="FZ158" s="3">
        <f>('Renewable Diesel'!BJ167*'Renewable Diesel'!BG167)/12</f>
        <v>19.948759262199538</v>
      </c>
      <c r="GA158" s="3">
        <f t="shared" si="105"/>
        <v>54.681834388594915</v>
      </c>
      <c r="GD158" s="91">
        <f>'Renewable Diesel'!BB167*0.32</f>
        <v>15.93698848</v>
      </c>
      <c r="GE158" s="91">
        <f>'Renewable Diesel'!BC167</f>
        <v>0</v>
      </c>
      <c r="GF158" s="91">
        <f>'Renewable Diesel'!BD167</f>
        <v>0</v>
      </c>
      <c r="GG158" s="91">
        <f>GF158+GE158</f>
        <v>0</v>
      </c>
      <c r="GH158" s="124">
        <v>1</v>
      </c>
      <c r="GI158" s="102">
        <f>$GG158*EA158*'Feedstock Conversion Rates'!$B$2</f>
        <v>0</v>
      </c>
      <c r="GJ158" s="102">
        <f>$GG158*EB158*'Feedstock Conversion Rates'!$B$3</f>
        <v>0</v>
      </c>
      <c r="GK158" s="102">
        <f>$GG158*EC158*'Feedstock Conversion Rates'!$B$4</f>
        <v>0</v>
      </c>
      <c r="GL158" s="102">
        <f>$GG158*ED158*'Feedstock Conversion Rates'!$B$5</f>
        <v>0</v>
      </c>
      <c r="GM158" s="102">
        <f>$GG158*EE158*'Feedstock Conversion Rates'!$B$6</f>
        <v>0</v>
      </c>
      <c r="GN158" s="102">
        <f>$GG158*EF158*'Feedstock Conversion Rates'!$B$7</f>
        <v>0</v>
      </c>
      <c r="GO158" s="102">
        <f>$GG158*EG158*'Feedstock Conversion Rates'!$B$8</f>
        <v>0</v>
      </c>
      <c r="GP158" s="102">
        <f>$GG158*EH158*'Feedstock Conversion Rates'!B$9</f>
        <v>0</v>
      </c>
      <c r="GQ158" s="102">
        <f t="shared" si="87"/>
        <v>0</v>
      </c>
      <c r="GR158" s="85">
        <v>0</v>
      </c>
      <c r="GT158" s="103">
        <f t="shared" si="111"/>
        <v>5.7120265203898249E-2</v>
      </c>
      <c r="GU158" s="103">
        <f t="shared" si="94"/>
        <v>0.27663343665543583</v>
      </c>
      <c r="GV158" s="103">
        <f t="shared" si="94"/>
        <v>0.33344525368802685</v>
      </c>
      <c r="GW158" s="103">
        <f t="shared" si="94"/>
        <v>6.6038449645112379E-2</v>
      </c>
      <c r="GX158" s="103">
        <f t="shared" si="94"/>
        <v>0.12081001576589741</v>
      </c>
      <c r="GY158" s="103">
        <f t="shared" si="94"/>
        <v>0.10848893534971016</v>
      </c>
      <c r="GZ158" s="103">
        <f t="shared" si="94"/>
        <v>3.6308956258481503E-2</v>
      </c>
      <c r="HA158" s="103">
        <f t="shared" si="94"/>
        <v>1.1546874334375237E-3</v>
      </c>
    </row>
    <row r="159" spans="1:209" x14ac:dyDescent="0.25">
      <c r="A159" s="96">
        <v>45261</v>
      </c>
      <c r="B159" s="104">
        <f t="shared" si="115"/>
        <v>0</v>
      </c>
      <c r="C159" s="104">
        <f t="shared" si="116"/>
        <v>0</v>
      </c>
      <c r="D159" s="104">
        <f t="shared" si="95"/>
        <v>1.5</v>
      </c>
      <c r="E159" s="104">
        <f>('Renewable Diesel'!B168*E$3*'Feedstock Conversion Rates'!$B$2)/12-40+1.25+6-43+30-15+12.5-4+1.5+26+2.5+3-10+50+9-15-25-55+50-15</f>
        <v>59.679999999999993</v>
      </c>
      <c r="F159" s="104">
        <f>('Renewable Diesel'!B168*'RD Feedstock Breakdown'!F$3*'Feedstock Conversion Rates'!B$8)/12+28.5-49-5+2-6+1+6+20-20-3.75+10+2.5+5-20-20+25+5</f>
        <v>35.15625</v>
      </c>
      <c r="G159" s="104">
        <f>('Renewable Diesel'!B168*'RD Feedstock Breakdown'!G$3*'Feedstock Conversion Rates'!B$7)/12-25-15-25+4+4-20-40-20+10-17.5+20+50-12+32.5+35-75-75+22.5+5-20+15+125-50-10-5-50</f>
        <v>39.657000000000011</v>
      </c>
      <c r="H159" s="104">
        <f>('Renewable Diesel'!B168*'RD Feedstock Breakdown'!H$3*'Feedstock Conversion Rates'!B$3)/12-85+4-15+70-65-80+50-22.5-5+25+27.5+15+50+15-10+5+50+75-5-25-85-12.5+30+22.5-25-30+150+90-120+25+50+15</f>
        <v>360.40022499999998</v>
      </c>
      <c r="I159" s="106">
        <f t="shared" si="106"/>
        <v>496.39347499999997</v>
      </c>
      <c r="J159" s="104">
        <f t="shared" si="117"/>
        <v>0.25</v>
      </c>
      <c r="K159" s="104"/>
      <c r="L159" s="104">
        <v>1</v>
      </c>
      <c r="M159" s="104">
        <f>('Renewable Diesel'!C168*'RD Feedstock Breakdown'!M$3*'Feedstock Conversion Rates'!B$2)/12-15-40+2+117-25-2-20-40+20</f>
        <v>74.902500000000003</v>
      </c>
      <c r="N159" s="104">
        <f>('Renewable Diesel'!C168*'RD Feedstock Breakdown'!N$3*'Feedstock Conversion Rates'!B$8)/12+1.75+7-15-20+19.5-20</f>
        <v>9.96875</v>
      </c>
      <c r="O159" s="104">
        <f>('Renewable Diesel'!C168*'RD Feedstock Breakdown'!O$3*'Feedstock Conversion Rates'!B$7)/12+30-120+25-17.5-20</f>
        <v>17.490999999999985</v>
      </c>
      <c r="P159" s="104">
        <f>('Renewable Diesel'!C168*'RD Feedstock Breakdown'!P$3*'Feedstock Conversion Rates'!B$3)/12-15-59-10+15-7.5+15+75-25-2.5-25-15-20+25+100+20+60</f>
        <v>235.47042500000003</v>
      </c>
      <c r="Q159" s="106">
        <f t="shared" si="92"/>
        <v>339.08267499999999</v>
      </c>
      <c r="R159" s="104">
        <f>('Renewable Diesel'!D168*'RD Feedstock Breakdown'!R$3*'Feedstock Conversion Rates'!B$7)/12</f>
        <v>2.2999999999999998</v>
      </c>
      <c r="S159" s="106">
        <f t="shared" si="67"/>
        <v>2.2999999999999998</v>
      </c>
      <c r="T159" s="104">
        <f t="shared" ref="T159:T168" si="118">20+2.5-20-2.5+35-20+10-25</f>
        <v>0</v>
      </c>
      <c r="U159" s="104">
        <v>0</v>
      </c>
      <c r="V159" s="104">
        <f>('Renewable Diesel'!E168*'RD Feedstock Breakdown'!V$3*'Feedstock Conversion Rates'!B$6)/12-20-5-5+32.5-35+25-15+22+20</f>
        <v>63.750150000000012</v>
      </c>
      <c r="W159" s="104">
        <f>('Renewable Diesel'!E168*'RD Feedstock Breakdown'!W$3*'Feedstock Conversion Rates'!B$8)/12-2.5+3-20</f>
        <v>2.6796875</v>
      </c>
      <c r="X159" s="106">
        <f t="shared" si="88"/>
        <v>66.429837500000019</v>
      </c>
      <c r="Y159" s="104">
        <f>30-30+50-20+20-2-35-13</f>
        <v>0</v>
      </c>
      <c r="Z159" s="104">
        <v>25</v>
      </c>
      <c r="AA159" s="104">
        <v>49</v>
      </c>
      <c r="AB159" s="106">
        <f t="shared" si="62"/>
        <v>74</v>
      </c>
      <c r="AC159" s="104">
        <f>('Renewable Diesel'!G168*'RD Feedstock Breakdown'!AC$3*'Feedstock Conversion Rates'!B$5)/12</f>
        <v>0</v>
      </c>
      <c r="AD159" s="104">
        <f>('Renewable Diesel'!G168*'RD Feedstock Breakdown'!AD$3*'Feedstock Conversion Rates'!B$4)/12</f>
        <v>0</v>
      </c>
      <c r="AE159" s="104">
        <f>('Renewable Diesel'!G168*'RD Feedstock Breakdown'!AE$3*'Feedstock Conversion Rates'!B$6)/12</f>
        <v>0</v>
      </c>
      <c r="AF159" s="106">
        <f t="shared" si="101"/>
        <v>0</v>
      </c>
      <c r="AG159" s="104">
        <f>130+23-3-51-99+50+150-80-10-15+60-45-30</f>
        <v>80</v>
      </c>
      <c r="AH159" s="104">
        <v>0</v>
      </c>
      <c r="AI159" s="104">
        <f>('Renewable Diesel'!H168*'RD Feedstock Breakdown'!AI$3*'Feedstock Conversion Rates'!B$6)/12-130-23+3+51+99-50-150+80+10+15-60+45+30</f>
        <v>41.158333333333346</v>
      </c>
      <c r="AJ159" s="106">
        <f t="shared" si="65"/>
        <v>121.15833333333335</v>
      </c>
      <c r="AK159" s="104">
        <f>('Renewable Diesel'!J168*'RD Feedstock Breakdown'!AK$3*'Feedstock Conversion Rates'!B$4)/12</f>
        <v>95.8125</v>
      </c>
      <c r="AL159" s="106">
        <f t="shared" si="68"/>
        <v>95.8125</v>
      </c>
      <c r="AM159" s="104">
        <f>('Renewable Diesel'!K168*'RD Feedstock Breakdown'!AM$3*'Feedstock Conversion Rates'!B$4)/12+20-30</f>
        <v>48.59375</v>
      </c>
      <c r="AN159" s="104">
        <f>('Renewable Diesel'!K168*'RD Feedstock Breakdown'!AN$3*'Feedstock Conversion Rates'!B$6)/12-20+30</f>
        <v>34.427083333333329</v>
      </c>
      <c r="AO159" s="106">
        <f t="shared" si="81"/>
        <v>83.020833333333329</v>
      </c>
      <c r="AP159" s="104">
        <f>('Renewable Diesel'!L168*'RD Feedstock Breakdown'!AP$3*'Feedstock Conversion Rates'!B$4)/12+15-5+10</f>
        <v>78.59375</v>
      </c>
      <c r="AQ159" s="104">
        <f>('Renewable Diesel'!L168*'RD Feedstock Breakdown'!AQ$3*'Feedstock Conversion Rates'!B$6)/12-15+5-10</f>
        <v>4.4270833333333321</v>
      </c>
      <c r="AR159" s="106">
        <f t="shared" si="70"/>
        <v>83.020833333333329</v>
      </c>
      <c r="AS159" s="104">
        <f>('Renewable Diesel'!M168*'RD Feedstock Breakdown'!AS$3*'Feedstock Conversion Rates'!B$4)/12-150</f>
        <v>306.25</v>
      </c>
      <c r="AT159" s="104">
        <f>('Renewable Diesel'!M168*'RD Feedstock Breakdown'!AT$3*'Feedstock Conversion Rates'!B$5)/12+150</f>
        <v>150</v>
      </c>
      <c r="AU159" s="106">
        <f t="shared" si="104"/>
        <v>456.25</v>
      </c>
      <c r="AV159" s="104">
        <f>'Renewable Diesel'!N168*'RD Feedstock Breakdown'!$AV$3*'Feedstock Conversion Rates'!$B$4/12-15-10+25+25-22-75+75+22.5-80</f>
        <v>24.249999999999986</v>
      </c>
      <c r="AW159" s="104">
        <f>'Renewable Diesel'!N168*'RD Feedstock Breakdown'!$AW$3*'Feedstock Conversion Rates'!$B$7/12+15+10-25-25+22+75-75-22.5+80</f>
        <v>95.9</v>
      </c>
      <c r="AX159" s="106">
        <f t="shared" si="63"/>
        <v>120.14999999999999</v>
      </c>
      <c r="AY159" s="104">
        <f>('Renewable Diesel'!O168*'RD Feedstock Breakdown'!AY$3*'Feedstock Conversion Rates'!B$4)/12+5-70</f>
        <v>2.5</v>
      </c>
      <c r="AZ159" s="104">
        <f>('Renewable Diesel'!O168*'RD Feedstock Breakdown'!AZ$3*'Feedstock Conversion Rates'!B$3)/12-5+70</f>
        <v>73.010000000000005</v>
      </c>
      <c r="BA159" s="106">
        <f t="shared" si="66"/>
        <v>75.510000000000005</v>
      </c>
      <c r="BB159" s="104">
        <f>('Renewable Diesel'!Q168*'RD Feedstock Breakdown'!BB$3*'Feedstock Conversion Rates'!B$4)/12</f>
        <v>11.156249999999998</v>
      </c>
      <c r="BC159" s="104">
        <f>('Renewable Diesel'!Q168*'RD Feedstock Breakdown'!BC$3*'Feedstock Conversion Rates'!B$3)/12</f>
        <v>1.4017500000000001</v>
      </c>
      <c r="BD159" s="104">
        <f>('Renewable Diesel'!Q168*'RD Feedstock Breakdown'!BD$3*'Feedstock Conversion Rates'!B$6)/12</f>
        <v>0.8207500000000002</v>
      </c>
      <c r="BE159" s="106">
        <f t="shared" si="90"/>
        <v>13.378749999999998</v>
      </c>
      <c r="BF159" s="104">
        <f>('Renewable Diesel'!R168*'RD Feedstock Breakdown'!BF$3*'Feedstock Conversion Rates'!B$4)/12</f>
        <v>62.5</v>
      </c>
      <c r="BG159" s="106">
        <f t="shared" si="72"/>
        <v>62.5</v>
      </c>
      <c r="BH159" s="104">
        <f>('Renewable Diesel'!T168*'RD Feedstock Breakdown'!BH$3*'Feedstock Conversion Rates'!B$7)/12</f>
        <v>27.599999999999998</v>
      </c>
      <c r="BI159" s="106">
        <f t="shared" si="64"/>
        <v>27.599999999999998</v>
      </c>
      <c r="BJ159" s="104">
        <f>('Renewable Diesel'!W168*'RD Feedstock Breakdown'!BJ$3*'Feedstock Conversion Rates'!B$4)/12</f>
        <v>7.5</v>
      </c>
      <c r="BK159" s="104">
        <f>('Renewable Diesel'!W168*'RD Feedstock Breakdown'!BK$3*'Feedstock Conversion Rates'!B$3)/12</f>
        <v>1.335</v>
      </c>
      <c r="BL159" s="104">
        <f>('Renewable Diesel'!W168*'RD Feedstock Breakdown'!BL$3*'Feedstock Conversion Rates'!B$6)/12</f>
        <v>3.1266666666666669</v>
      </c>
      <c r="BM159" s="104">
        <f>('Renewable Diesel'!W168*'RD Feedstock Breakdown'!BM$3*'Feedstock Conversion Rates'!B$7)/12</f>
        <v>1.5333333333333332</v>
      </c>
      <c r="BN159" s="106">
        <f t="shared" si="112"/>
        <v>13.495000000000001</v>
      </c>
      <c r="BO159" s="104">
        <f>('Renewable Diesel'!P168*'Feedstock Conversion Rates'!B$4)/12</f>
        <v>31.25</v>
      </c>
      <c r="BP159" s="106">
        <f t="shared" si="102"/>
        <v>31.25</v>
      </c>
      <c r="BQ159" s="104"/>
      <c r="BR159" s="104"/>
      <c r="BS159" s="106"/>
      <c r="BT159" s="106"/>
      <c r="BU159" s="104">
        <f>('Renewable Diesel'!Y168*'Feedstock Conversion Rates'!B$7)/12</f>
        <v>2.6833333333333331</v>
      </c>
      <c r="BV159" s="106">
        <f t="shared" si="93"/>
        <v>2.6833333333333331</v>
      </c>
      <c r="BW159" s="106"/>
      <c r="BX159" s="106"/>
      <c r="BY159" s="106"/>
      <c r="BZ159" s="106"/>
      <c r="CA159" s="106"/>
      <c r="CB159" s="104">
        <f>('Renewable Diesel'!AA168*'Feedstock Conversion Rates'!B$4)/12</f>
        <v>191.25</v>
      </c>
      <c r="CC159" s="106">
        <f t="shared" si="113"/>
        <v>191.25</v>
      </c>
      <c r="CD159" s="104">
        <f>('Renewable Diesel'!$AB168*'RD Feedstock Breakdown'!CD$3*'Feedstock Conversion Rates'!$B$6)/12</f>
        <v>0</v>
      </c>
      <c r="CE159" s="104">
        <f>('Renewable Diesel'!$AB168*'RD Feedstock Breakdown'!CE$3*'Feedstock Conversion Rates'!$B$4)/12</f>
        <v>0</v>
      </c>
      <c r="CF159" s="106">
        <f t="shared" si="108"/>
        <v>0</v>
      </c>
      <c r="CG159" s="104">
        <f>('Renewable Diesel'!AD168*'Feedstock Conversion Rates'!B$4)/12</f>
        <v>112.5</v>
      </c>
      <c r="CH159" s="106">
        <f t="shared" si="89"/>
        <v>112.5</v>
      </c>
      <c r="CI159" s="104">
        <f>('Renewable Diesel'!$AE168*'RD Feedstock Breakdown'!CI$3*'Feedstock Conversion Rates'!$B$5)/12</f>
        <v>0.17302083333333332</v>
      </c>
      <c r="CJ159" s="104">
        <f>('Renewable Diesel'!$AE168*'RD Feedstock Breakdown'!CJ$3*'Feedstock Conversion Rates'!$B$4)/12</f>
        <v>0.171875</v>
      </c>
      <c r="CK159" s="106">
        <f t="shared" si="103"/>
        <v>0.34489583333333329</v>
      </c>
      <c r="CL159" s="104">
        <f>(((CL$3*'Renewable Diesel'!$AF168)*'Feedstock Conversion Rates'!$B$3)/12)-10</f>
        <v>20.037499999999998</v>
      </c>
      <c r="CM159" s="104">
        <f>(((CM$3*'Renewable Diesel'!$AF168)*'Feedstock Conversion Rates'!$B$6)/12)+10</f>
        <v>27.587500000000002</v>
      </c>
      <c r="CN159" s="104">
        <f>(((CN$3*'Renewable Diesel'!$AF168)*'Feedstock Conversion Rates'!$B$4)/12)+10</f>
        <v>24.0625</v>
      </c>
      <c r="CO159" s="106">
        <f t="shared" si="91"/>
        <v>71.6875</v>
      </c>
      <c r="CP159" s="106"/>
      <c r="CQ159" s="106"/>
      <c r="CR159" s="106"/>
      <c r="CS159" s="106"/>
      <c r="CT159" s="104">
        <f>('Renewable Diesel'!AI168*'Feedstock Conversion Rates'!$B$4*'RD Feedstock Breakdown'!$CT$3)/12</f>
        <v>29.375</v>
      </c>
      <c r="CU159" s="106">
        <f t="shared" si="99"/>
        <v>29.375</v>
      </c>
      <c r="CV159" s="106"/>
      <c r="CW159" s="106"/>
      <c r="CX159" s="106"/>
      <c r="CY159" s="106"/>
      <c r="CZ159" s="106"/>
      <c r="DA159" s="106"/>
      <c r="DB159" s="106"/>
      <c r="DC159" s="106"/>
      <c r="DD159" s="106"/>
      <c r="DE159" s="106"/>
      <c r="DF159" s="106"/>
      <c r="DG159" s="106"/>
      <c r="DH159" s="106"/>
      <c r="DI159" s="106"/>
      <c r="DJ159" s="104">
        <f>('Renewable Diesel'!AT168*'Feedstock Conversion Rates'!$B$4*0.25)/12</f>
        <v>0</v>
      </c>
      <c r="DK159" s="104">
        <f>('Renewable Diesel'!$AT168*'RD Feedstock Breakdown'!DK$3*'Feedstock Conversion Rates'!$B$3)/12*0.5</f>
        <v>0</v>
      </c>
      <c r="DL159" s="104">
        <f>('Renewable Diesel'!$AT168*'RD Feedstock Breakdown'!$DL$3*'Feedstock Conversion Rates'!$B$6)/12</f>
        <v>0</v>
      </c>
      <c r="DM159" s="104">
        <f>('Renewable Diesel'!$AT168*'RD Feedstock Breakdown'!$DM$3*'Feedstock Conversion Rates'!$B$8)/12</f>
        <v>0</v>
      </c>
      <c r="DN159" s="106">
        <f t="shared" si="110"/>
        <v>0</v>
      </c>
      <c r="DP159" s="104">
        <f t="shared" si="73"/>
        <v>134.58249999999998</v>
      </c>
      <c r="DQ159" s="104">
        <f t="shared" si="74"/>
        <v>691.65490000000011</v>
      </c>
      <c r="DR159" s="104">
        <f t="shared" si="82"/>
        <v>1026.015625</v>
      </c>
      <c r="DS159" s="104">
        <f t="shared" si="100"/>
        <v>230.17302083333334</v>
      </c>
      <c r="DT159" s="104">
        <f t="shared" si="75"/>
        <v>200.29756666666674</v>
      </c>
      <c r="DU159" s="104">
        <f t="shared" si="76"/>
        <v>236.16466666666668</v>
      </c>
      <c r="DV159" s="104">
        <f t="shared" si="83"/>
        <v>47.8046875</v>
      </c>
      <c r="DW159" s="104">
        <f t="shared" si="77"/>
        <v>2.5</v>
      </c>
      <c r="DX159" s="106">
        <f t="shared" si="78"/>
        <v>2569.1929666666665</v>
      </c>
      <c r="DY159" s="109">
        <f t="shared" si="79"/>
        <v>-5.6843418860808015E-14</v>
      </c>
      <c r="EA159" s="110">
        <f t="shared" si="114"/>
        <v>5.2383180923389568E-2</v>
      </c>
      <c r="EB159" s="110">
        <f t="shared" si="114"/>
        <v>0.26921095806103268</v>
      </c>
      <c r="EC159" s="110">
        <f t="shared" si="114"/>
        <v>0.39935327486560018</v>
      </c>
      <c r="ED159" s="110">
        <f t="shared" si="114"/>
        <v>8.9589619705352619E-2</v>
      </c>
      <c r="EE159" s="110">
        <f t="shared" si="114"/>
        <v>7.796127782746412E-2</v>
      </c>
      <c r="EF159" s="110">
        <f t="shared" si="114"/>
        <v>9.1921731738613802E-2</v>
      </c>
      <c r="EG159" s="111">
        <f t="shared" si="114"/>
        <v>1.8606888669021604E-2</v>
      </c>
      <c r="EH159" s="111">
        <f t="shared" si="84"/>
        <v>9.7306820952556194E-4</v>
      </c>
      <c r="EI159" s="110">
        <f t="shared" si="85"/>
        <v>0.99902693179047464</v>
      </c>
      <c r="EK159" s="112">
        <f>(EA159*'Renewable Diesel'!BF168*'Feedstock Conversion Rates'!B$2)+FB159</f>
        <v>120.82786399796618</v>
      </c>
      <c r="EL159" s="112">
        <f>(EB159*'Renewable Diesel'!BF168*'Feedstock Conversion Rates'!B$3)+FC159</f>
        <v>585.16932899695041</v>
      </c>
      <c r="EM159" s="112">
        <f>(EC159*'Renewable Diesel'!BF168*'Feedstock Conversion Rates'!B$4)+FD159</f>
        <v>812.78338826034951</v>
      </c>
      <c r="EN159" s="112">
        <f>(ED159*'Renewable Diesel'!BF168*'Feedstock Conversion Rates'!B$5)+FE159</f>
        <v>183.55277303315623</v>
      </c>
      <c r="EO159" s="112">
        <f>(EE159*'Renewable Diesel'!BF168*'Feedstock Conversion Rates'!B$6)+FF159</f>
        <v>198.44405486138959</v>
      </c>
      <c r="EP159" s="112">
        <f>(EF159*'Renewable Diesel'!BF168*'Feedstock Conversion Rates'!B$7)+FG159</f>
        <v>229.48924132138512</v>
      </c>
      <c r="EQ159" s="112">
        <f>(EG159*'Renewable Diesel'!BF168*'Feedstock Conversion Rates'!B$8)+FH159</f>
        <v>47.337066481050392</v>
      </c>
      <c r="ER159" s="112">
        <f>(EH159*'Renewable Diesel'!BF168*'Feedstock Conversion Rates'!B$9)+FI159</f>
        <v>2.4425379621316625</v>
      </c>
      <c r="ES159" s="112">
        <f t="shared" si="86"/>
        <v>2180.046254914379</v>
      </c>
      <c r="ET159" s="91">
        <f>ES159/'Renewable Diesel'!BF168</f>
        <v>8.0335851824121463</v>
      </c>
      <c r="EV159">
        <v>350</v>
      </c>
      <c r="EW159" s="73">
        <f t="shared" si="58"/>
        <v>996.33616129350571</v>
      </c>
      <c r="EX159" s="73">
        <f t="shared" si="59"/>
        <v>1183.7100936208733</v>
      </c>
      <c r="EY159" s="92">
        <f t="shared" si="71"/>
        <v>0.4570252392799054</v>
      </c>
      <c r="EZ159" s="92">
        <f t="shared" si="71"/>
        <v>0.54297476072009465</v>
      </c>
      <c r="FB159" s="102">
        <f>IF('Renewable Diesel'!$BG168&lt;1,0,(((('Renewable Diesel'!$BG168-1)*'Renewable Diesel'!$BF168)*'RD Feedstock Breakdown'!EA159)*'Feedstock Conversion Rates'!$B$2))</f>
        <v>0</v>
      </c>
      <c r="FC159" s="102">
        <f>IF('Renewable Diesel'!$BG168&lt;1,0,(((('Renewable Diesel'!$BG168-1)*'Renewable Diesel'!$BF168)*'RD Feedstock Breakdown'!EB159)*'Feedstock Conversion Rates'!$B$3))</f>
        <v>0</v>
      </c>
      <c r="FD159" s="102">
        <f>IF('Renewable Diesel'!$BG168&lt;1,0,(((('Renewable Diesel'!$BG168-1)*'Renewable Diesel'!$BF168)*'RD Feedstock Breakdown'!EC159)*'Feedstock Conversion Rates'!$B$4))</f>
        <v>0</v>
      </c>
      <c r="FE159" s="102">
        <f>IF('Renewable Diesel'!$BG168&lt;1,0,(((('Renewable Diesel'!$BG168-1)*'Renewable Diesel'!$BF168)*'RD Feedstock Breakdown'!ED159)*'Feedstock Conversion Rates'!$B$5))</f>
        <v>0</v>
      </c>
      <c r="FF159" s="102">
        <f>IF('Renewable Diesel'!$BG168&lt;1,0,(((('Renewable Diesel'!$BG168-1)*'Renewable Diesel'!$BF168)*'RD Feedstock Breakdown'!EE159)*'Feedstock Conversion Rates'!$B$6))</f>
        <v>0</v>
      </c>
      <c r="FG159" s="102">
        <f>IF('Renewable Diesel'!$BG168&lt;1,0,(((('Renewable Diesel'!$BG168-1)*'Renewable Diesel'!$BF168)*'RD Feedstock Breakdown'!EF159)*'Feedstock Conversion Rates'!$B$7))</f>
        <v>0</v>
      </c>
      <c r="FH159" s="102">
        <f>IF('Renewable Diesel'!$BG168&lt;1,0,(((('Renewable Diesel'!$BG168-1)*'Renewable Diesel'!$BF168)*'RD Feedstock Breakdown'!EG159)*'Feedstock Conversion Rates'!$B$8))</f>
        <v>0</v>
      </c>
      <c r="FI159" s="102">
        <f>IF('Renewable Diesel'!$BG168&lt;1,0,(((('Renewable Diesel'!$BG168-1)*'Renewable Diesel'!$BF168)*'RD Feedstock Breakdown'!EH159)*'Feedstock Conversion Rates'!$B$9))</f>
        <v>0</v>
      </c>
      <c r="FJ159" s="102">
        <f t="shared" si="60"/>
        <v>0</v>
      </c>
      <c r="FL159" s="3">
        <f>('Renewable Diesel'!AX168/12*$FO$80)*'RD Feedstock Breakdown'!EC159*7.5</f>
        <v>866.42188940059884</v>
      </c>
      <c r="FM159" s="3">
        <f t="shared" si="96"/>
        <v>53.638501140249332</v>
      </c>
      <c r="FR159" s="3">
        <f>('Renewable Diesel'!AX168-'Renewable Diesel'!BI168)/12*$FO$80</f>
        <v>10.061249999999973</v>
      </c>
      <c r="FS159" s="100">
        <f t="shared" si="97"/>
        <v>0.39935327486560018</v>
      </c>
      <c r="FT159" s="3">
        <f t="shared" si="98"/>
        <v>30.13494852556132</v>
      </c>
      <c r="FY159" s="3">
        <f>'Renewable Diesel'!BF168*('Renewable Diesel'!BI168/'Renewable Diesel'!AX168)</f>
        <v>261.92816750149086</v>
      </c>
      <c r="FZ159" s="3">
        <f>('Renewable Diesel'!BJ168*'Renewable Diesel'!BG168)/12</f>
        <v>9.5694660748773615</v>
      </c>
      <c r="GA159" s="3">
        <f t="shared" si="105"/>
        <v>28.661982117881511</v>
      </c>
      <c r="GD159" s="91">
        <f>'Renewable Diesel'!BB168*0.32</f>
        <v>18.367799040000001</v>
      </c>
      <c r="GE159" s="91">
        <f>'Renewable Diesel'!BC168</f>
        <v>0.117932</v>
      </c>
      <c r="GF159" s="91">
        <f>'Renewable Diesel'!BD168</f>
        <v>0</v>
      </c>
      <c r="GG159" s="91">
        <f t="shared" si="109"/>
        <v>0.117932</v>
      </c>
      <c r="GH159" s="124">
        <v>1</v>
      </c>
      <c r="GI159" s="102">
        <f>$GG159*EA159*'Feedstock Conversion Rates'!$B$2</f>
        <v>5.2510052987586014E-2</v>
      </c>
      <c r="GJ159" s="102">
        <f>$GG159*EB159*'Feedstock Conversion Rates'!$B$3</f>
        <v>0.25430617951549017</v>
      </c>
      <c r="GK159" s="102">
        <f>$GG159*EC159*'Feedstock Conversion Rates'!$B$4</f>
        <v>0.35322397808587469</v>
      </c>
      <c r="GL159" s="102">
        <f>$GG159*ED159*'Feedstock Conversion Rates'!$B$5</f>
        <v>7.9769396884741925E-2</v>
      </c>
      <c r="GM159" s="102">
        <f>$GG159*EE159*'Feedstock Conversion Rates'!$B$6</f>
        <v>8.6240933929100927E-2</v>
      </c>
      <c r="GN159" s="102">
        <f>$GG159*EF159*'Feedstock Conversion Rates'!$B$7</f>
        <v>9.9732725740063449E-2</v>
      </c>
      <c r="GO159" s="102">
        <f>$GG159*EG159*'Feedstock Conversion Rates'!$B$8</f>
        <v>2.0572008698578649E-2</v>
      </c>
      <c r="GP159" s="102">
        <f>$GG159*EH159*'Feedstock Conversion Rates'!B$9</f>
        <v>1.0614918907933593E-3</v>
      </c>
      <c r="GQ159" s="102">
        <f t="shared" si="87"/>
        <v>0.94741676773222927</v>
      </c>
      <c r="GR159" s="85">
        <f t="shared" si="107"/>
        <v>8.0335851824121463</v>
      </c>
      <c r="GT159" s="103">
        <f t="shared" si="111"/>
        <v>5.5424449699445336E-2</v>
      </c>
      <c r="GU159" s="103">
        <f t="shared" si="94"/>
        <v>0.26842060239677479</v>
      </c>
      <c r="GV159" s="103">
        <f t="shared" si="94"/>
        <v>0.37282850601363571</v>
      </c>
      <c r="GW159" s="103">
        <f t="shared" si="94"/>
        <v>8.4196733266269724E-2</v>
      </c>
      <c r="GX159" s="103">
        <f t="shared" si="94"/>
        <v>9.102745155706958E-2</v>
      </c>
      <c r="GY159" s="103">
        <f t="shared" si="94"/>
        <v>0.10526806062213497</v>
      </c>
      <c r="GZ159" s="103">
        <f t="shared" si="94"/>
        <v>2.1713789959428888E-2</v>
      </c>
      <c r="HA159" s="103">
        <f t="shared" si="94"/>
        <v>1.1204064852411092E-3</v>
      </c>
    </row>
    <row r="160" spans="1:209" x14ac:dyDescent="0.25">
      <c r="A160" s="96">
        <v>45292</v>
      </c>
      <c r="B160" s="104">
        <f t="shared" si="115"/>
        <v>0</v>
      </c>
      <c r="C160" s="104">
        <f t="shared" si="116"/>
        <v>0</v>
      </c>
      <c r="D160" s="104">
        <f t="shared" si="95"/>
        <v>1.5</v>
      </c>
      <c r="E160" s="104">
        <f>('Renewable Diesel'!B169*E$3*'Feedstock Conversion Rates'!$B$2)/12-40+1.25+6-43+30-15+12.5-4+1.5+26+2.5+3-10+50+9-15-25-55+50-15</f>
        <v>59.679999999999993</v>
      </c>
      <c r="F160" s="104">
        <f>('Renewable Diesel'!B169*'RD Feedstock Breakdown'!F$3*'Feedstock Conversion Rates'!B$8)/12+28.5-49-5+2-6+1+6+20-20-3.75+10+2.5+5-20-20+25+5</f>
        <v>35.15625</v>
      </c>
      <c r="G160" s="104">
        <f>('Renewable Diesel'!B169*'RD Feedstock Breakdown'!G$3*'Feedstock Conversion Rates'!B$7)/12-25-15-25+4+4-20-40-20+10-17.5+20+50-12+32.5+35-75-75+22.5+5-20+15+125-50-10-5-50</f>
        <v>39.657000000000011</v>
      </c>
      <c r="H160" s="104">
        <f>('Renewable Diesel'!B169*'RD Feedstock Breakdown'!H$3*'Feedstock Conversion Rates'!B$3)/12-85+4-15+70-65-80+50-22.5-5+25+27.5+15+50+15-10+5+50+75-5-25-85-12.5+30+22.5-25-30+150+90-120+25+50+15</f>
        <v>360.40022499999998</v>
      </c>
      <c r="I160" s="106">
        <f t="shared" si="106"/>
        <v>496.39347499999997</v>
      </c>
      <c r="J160" s="104">
        <f t="shared" si="117"/>
        <v>0.25</v>
      </c>
      <c r="K160" s="104"/>
      <c r="L160" s="104">
        <v>1</v>
      </c>
      <c r="M160" s="104">
        <f>('Renewable Diesel'!C169*'RD Feedstock Breakdown'!M$3*'Feedstock Conversion Rates'!B$2)/12-15-40+2+117-25-2-20-40+20</f>
        <v>74.902500000000003</v>
      </c>
      <c r="N160" s="104">
        <f>('Renewable Diesel'!C169*'RD Feedstock Breakdown'!N$3*'Feedstock Conversion Rates'!B$8)/12+1.75+7-15-20+19.5-20</f>
        <v>9.96875</v>
      </c>
      <c r="O160" s="104">
        <f>('Renewable Diesel'!C169*'RD Feedstock Breakdown'!O$3*'Feedstock Conversion Rates'!B$7)/12+30-120+25-17.5-20</f>
        <v>17.490999999999985</v>
      </c>
      <c r="P160" s="104">
        <f>('Renewable Diesel'!C169*'RD Feedstock Breakdown'!P$3*'Feedstock Conversion Rates'!B$3)/12-15-59-10+15-7.5+15+75-25-2.5-25-15-20+25+100+20+60</f>
        <v>235.47042500000003</v>
      </c>
      <c r="Q160" s="106">
        <f>SUM(J160:P160)</f>
        <v>339.08267499999999</v>
      </c>
      <c r="R160" s="104">
        <f>('Renewable Diesel'!D169*'RD Feedstock Breakdown'!R$3*'Feedstock Conversion Rates'!B$7)/12</f>
        <v>2.2999999999999998</v>
      </c>
      <c r="S160" s="106">
        <f t="shared" si="67"/>
        <v>2.2999999999999998</v>
      </c>
      <c r="T160" s="104">
        <f t="shared" si="118"/>
        <v>0</v>
      </c>
      <c r="U160" s="104">
        <v>0</v>
      </c>
      <c r="V160" s="104">
        <f>('Renewable Diesel'!E169*'RD Feedstock Breakdown'!V$3*'Feedstock Conversion Rates'!B$6)/12-20-5-5+32.5-35+25-15+22+20</f>
        <v>63.750150000000012</v>
      </c>
      <c r="W160" s="104">
        <f>('Renewable Diesel'!E169*'RD Feedstock Breakdown'!W$3*'Feedstock Conversion Rates'!B$8)/12-2.5+3-20</f>
        <v>2.6796875</v>
      </c>
      <c r="X160" s="106">
        <f t="shared" si="88"/>
        <v>66.429837500000019</v>
      </c>
      <c r="Y160" s="104">
        <v>78</v>
      </c>
      <c r="Z160" s="104">
        <f>('Renewable Diesel'!F169*'RD Feedstock Breakdown'!Z$3*'Feedstock Conversion Rates'!B$6)/12-78</f>
        <v>-33.444999999999993</v>
      </c>
      <c r="AA160" s="104">
        <f>('Renewable Diesel'!F169*'RD Feedstock Breakdown'!AA$3*'Feedstock Conversion Rates'!B$7)/12</f>
        <v>29.133333333333329</v>
      </c>
      <c r="AB160" s="106">
        <f t="shared" si="62"/>
        <v>73.688333333333333</v>
      </c>
      <c r="AC160" s="104">
        <f>('Renewable Diesel'!G169*'RD Feedstock Breakdown'!AC$3*'Feedstock Conversion Rates'!B$5)/12</f>
        <v>0</v>
      </c>
      <c r="AD160" s="104">
        <f>('Renewable Diesel'!G169*'RD Feedstock Breakdown'!AD$3*'Feedstock Conversion Rates'!B$4)/12</f>
        <v>0</v>
      </c>
      <c r="AE160" s="104">
        <f>('Renewable Diesel'!G169*'RD Feedstock Breakdown'!AE$3*'Feedstock Conversion Rates'!B$6)/12</f>
        <v>0</v>
      </c>
      <c r="AF160" s="106">
        <f t="shared" si="101"/>
        <v>0</v>
      </c>
      <c r="AG160" s="104">
        <f>130+23-3-51-99+50+150-80-10-15+60-15-140+85</f>
        <v>85</v>
      </c>
      <c r="AH160" s="104">
        <v>0</v>
      </c>
      <c r="AI160" s="104">
        <f>('Renewable Diesel'!H169*'RD Feedstock Breakdown'!AI$3*'Feedstock Conversion Rates'!B$6)/12-130-23+3+51+99-50-150+80+10+15-60+15+140-85</f>
        <v>63.51666666666668</v>
      </c>
      <c r="AJ160" s="106">
        <f t="shared" si="65"/>
        <v>148.51666666666668</v>
      </c>
      <c r="AK160" s="104">
        <f>('Renewable Diesel'!J169*'RD Feedstock Breakdown'!AK$3*'Feedstock Conversion Rates'!B$4)/12</f>
        <v>95.8125</v>
      </c>
      <c r="AL160" s="106">
        <f t="shared" si="68"/>
        <v>95.8125</v>
      </c>
      <c r="AM160" s="104">
        <f>('Renewable Diesel'!K169*'RD Feedstock Breakdown'!AM$3*'Feedstock Conversion Rates'!B$4)/12+20-30</f>
        <v>48.59375</v>
      </c>
      <c r="AN160" s="104">
        <f>('Renewable Diesel'!K169*'RD Feedstock Breakdown'!AN$3*'Feedstock Conversion Rates'!B$6)/12-20+30</f>
        <v>34.427083333333329</v>
      </c>
      <c r="AO160" s="106">
        <f t="shared" si="81"/>
        <v>83.020833333333329</v>
      </c>
      <c r="AP160" s="104">
        <f>('Renewable Diesel'!L169*'RD Feedstock Breakdown'!AP$3*'Feedstock Conversion Rates'!B$4)/12+15-10+15</f>
        <v>78.59375</v>
      </c>
      <c r="AQ160" s="104">
        <f>('Renewable Diesel'!L169*'RD Feedstock Breakdown'!AQ$3*'Feedstock Conversion Rates'!B$6)/12-15+10-15</f>
        <v>4.4270833333333321</v>
      </c>
      <c r="AR160" s="106">
        <f t="shared" si="70"/>
        <v>83.020833333333329</v>
      </c>
      <c r="AS160" s="104">
        <f>('Renewable Diesel'!M169*'RD Feedstock Breakdown'!AS$3*'Feedstock Conversion Rates'!B$4)/12-150</f>
        <v>306.25</v>
      </c>
      <c r="AT160" s="104">
        <f>('Renewable Diesel'!M169*'RD Feedstock Breakdown'!AT$3*'Feedstock Conversion Rates'!B$5)/12+150</f>
        <v>150</v>
      </c>
      <c r="AU160" s="106">
        <f t="shared" si="104"/>
        <v>456.25</v>
      </c>
      <c r="AV160" s="104">
        <f>'Renewable Diesel'!N169*'RD Feedstock Breakdown'!$AV$3*'Feedstock Conversion Rates'!$B$4/12-15-10+25+25-22-75+75+22.5-80</f>
        <v>24.249999999999986</v>
      </c>
      <c r="AW160" s="104">
        <f>'Renewable Diesel'!N169*'RD Feedstock Breakdown'!$AW$3*'Feedstock Conversion Rates'!$B$7/12+15+10-25-25+22+75-75-22.5+80</f>
        <v>95.9</v>
      </c>
      <c r="AX160" s="106">
        <f t="shared" si="63"/>
        <v>120.14999999999999</v>
      </c>
      <c r="AY160" s="104">
        <f>('Renewable Diesel'!O169*'RD Feedstock Breakdown'!AY$3*'Feedstock Conversion Rates'!B$4)/12+5-70</f>
        <v>2.5</v>
      </c>
      <c r="AZ160" s="104">
        <f>('Renewable Diesel'!O169*'RD Feedstock Breakdown'!AZ$3*'Feedstock Conversion Rates'!B$3)/12-5+70</f>
        <v>73.010000000000005</v>
      </c>
      <c r="BA160" s="106">
        <f>SUM(AY160:AZ160)</f>
        <v>75.510000000000005</v>
      </c>
      <c r="BB160" s="104">
        <f>('Renewable Diesel'!Q169*'RD Feedstock Breakdown'!BB$3*'Feedstock Conversion Rates'!B$4)/12</f>
        <v>11.156249999999998</v>
      </c>
      <c r="BC160" s="104">
        <f>('Renewable Diesel'!Q169*'RD Feedstock Breakdown'!BC$3*'Feedstock Conversion Rates'!B$3)/12</f>
        <v>1.4017500000000001</v>
      </c>
      <c r="BD160" s="104">
        <f>('Renewable Diesel'!Q169*'RD Feedstock Breakdown'!BD$3*'Feedstock Conversion Rates'!B$6)/12</f>
        <v>0.8207500000000002</v>
      </c>
      <c r="BE160" s="106">
        <f t="shared" si="90"/>
        <v>13.378749999999998</v>
      </c>
      <c r="BF160" s="104">
        <f>('Renewable Diesel'!R169*'RD Feedstock Breakdown'!BF$3*'Feedstock Conversion Rates'!B$4)/12</f>
        <v>62.5</v>
      </c>
      <c r="BG160" s="106">
        <f t="shared" si="72"/>
        <v>62.5</v>
      </c>
      <c r="BH160" s="104">
        <f>('Renewable Diesel'!T169*'RD Feedstock Breakdown'!BH$3*'Feedstock Conversion Rates'!B$7)/12</f>
        <v>27.599999999999998</v>
      </c>
      <c r="BI160" s="106">
        <f t="shared" si="64"/>
        <v>27.599999999999998</v>
      </c>
      <c r="BJ160" s="104">
        <f>('Renewable Diesel'!W169*'RD Feedstock Breakdown'!BJ$3*'Feedstock Conversion Rates'!B$4)/12</f>
        <v>7.5</v>
      </c>
      <c r="BK160" s="104">
        <f>('Renewable Diesel'!W169*'RD Feedstock Breakdown'!BK$3*'Feedstock Conversion Rates'!B$3)/12</f>
        <v>1.335</v>
      </c>
      <c r="BL160" s="104">
        <f>('Renewable Diesel'!W169*'RD Feedstock Breakdown'!BL$3*'Feedstock Conversion Rates'!B$6)/12</f>
        <v>3.1266666666666669</v>
      </c>
      <c r="BM160" s="104">
        <f>('Renewable Diesel'!W169*'RD Feedstock Breakdown'!BM$3*'Feedstock Conversion Rates'!B$7)/12</f>
        <v>1.5333333333333332</v>
      </c>
      <c r="BN160" s="106">
        <f t="shared" si="112"/>
        <v>13.495000000000001</v>
      </c>
      <c r="BO160" s="104">
        <f>('Renewable Diesel'!P169*'Feedstock Conversion Rates'!B$4)/12</f>
        <v>31.25</v>
      </c>
      <c r="BP160" s="106">
        <f t="shared" si="102"/>
        <v>31.25</v>
      </c>
      <c r="BQ160" s="104"/>
      <c r="BR160" s="104"/>
      <c r="BS160" s="106"/>
      <c r="BT160" s="106"/>
      <c r="BU160" s="104">
        <f>('Renewable Diesel'!Y169*'Feedstock Conversion Rates'!B$7)/12</f>
        <v>2.6833333333333331</v>
      </c>
      <c r="BV160" s="106">
        <f t="shared" si="93"/>
        <v>2.6833333333333331</v>
      </c>
      <c r="BW160" s="104"/>
      <c r="BX160" s="104"/>
      <c r="BY160" s="104"/>
      <c r="BZ160" s="104"/>
      <c r="CA160" s="106"/>
      <c r="CB160" s="104">
        <f>('Renewable Diesel'!AA169*'Feedstock Conversion Rates'!B$4)/12</f>
        <v>191.25</v>
      </c>
      <c r="CC160" s="106">
        <f t="shared" si="113"/>
        <v>191.25</v>
      </c>
      <c r="CD160" s="104">
        <f>('Renewable Diesel'!$AB169*'RD Feedstock Breakdown'!CD$3*'Feedstock Conversion Rates'!$B$6)/12</f>
        <v>0</v>
      </c>
      <c r="CE160" s="104">
        <f>('Renewable Diesel'!$AB169*'RD Feedstock Breakdown'!CE$3*'Feedstock Conversion Rates'!$B$4)/12</f>
        <v>0</v>
      </c>
      <c r="CF160" s="106">
        <f t="shared" si="108"/>
        <v>0</v>
      </c>
      <c r="CG160" s="104">
        <f>('Renewable Diesel'!AD169*'Feedstock Conversion Rates'!B$4)/12</f>
        <v>112.5</v>
      </c>
      <c r="CH160" s="106">
        <f t="shared" si="89"/>
        <v>112.5</v>
      </c>
      <c r="CI160" s="104">
        <f>('Renewable Diesel'!$AE169*'RD Feedstock Breakdown'!CI$3*'Feedstock Conversion Rates'!$B$5)/12</f>
        <v>0.17302083333333332</v>
      </c>
      <c r="CJ160" s="104">
        <f>('Renewable Diesel'!$AE169*'RD Feedstock Breakdown'!CJ$3*'Feedstock Conversion Rates'!$B$4)/12</f>
        <v>0.171875</v>
      </c>
      <c r="CK160" s="106">
        <f t="shared" si="103"/>
        <v>0.34489583333333329</v>
      </c>
      <c r="CL160" s="104">
        <f>(((CL$3*'Renewable Diesel'!$AF169)*'Feedstock Conversion Rates'!$B$3)/12)-10</f>
        <v>20.037499999999998</v>
      </c>
      <c r="CM160" s="104">
        <f>(((CM$3*'Renewable Diesel'!$AF169)*'Feedstock Conversion Rates'!$B$6)/12)+10</f>
        <v>27.587500000000002</v>
      </c>
      <c r="CN160" s="104">
        <f>(((CN$3*'Renewable Diesel'!$AF169)*'Feedstock Conversion Rates'!$B$4)/12)+10</f>
        <v>24.0625</v>
      </c>
      <c r="CO160" s="106">
        <f t="shared" si="91"/>
        <v>71.6875</v>
      </c>
      <c r="CP160" s="106"/>
      <c r="CQ160" s="106"/>
      <c r="CR160" s="106"/>
      <c r="CS160" s="106"/>
      <c r="CT160" s="104">
        <f>('Renewable Diesel'!AI169*'Feedstock Conversion Rates'!$B$4*'RD Feedstock Breakdown'!$CT$3)/12</f>
        <v>29.375</v>
      </c>
      <c r="CU160" s="106">
        <f t="shared" si="99"/>
        <v>29.375</v>
      </c>
      <c r="CV160" s="106"/>
      <c r="CW160" s="106"/>
      <c r="CX160" s="106"/>
      <c r="CY160" s="106"/>
      <c r="CZ160" s="106"/>
      <c r="DA160" s="106"/>
      <c r="DB160" s="106"/>
      <c r="DC160" s="106"/>
      <c r="DD160" s="106"/>
      <c r="DE160" s="106"/>
      <c r="DF160" s="106"/>
      <c r="DG160" s="106"/>
      <c r="DH160" s="106"/>
      <c r="DI160" s="106"/>
      <c r="DJ160" s="104">
        <f>('Renewable Diesel'!AT169*'Feedstock Conversion Rates'!$B$4*0.25)/12</f>
        <v>0</v>
      </c>
      <c r="DK160" s="104">
        <f>('Renewable Diesel'!$AT169*'RD Feedstock Breakdown'!DK$3*'Feedstock Conversion Rates'!$B$3)/12*0.5</f>
        <v>0</v>
      </c>
      <c r="DL160" s="104">
        <f>('Renewable Diesel'!$AT169*'RD Feedstock Breakdown'!$DL$3*'Feedstock Conversion Rates'!$B$6)/12</f>
        <v>0</v>
      </c>
      <c r="DM160" s="104">
        <f>('Renewable Diesel'!$AT169*'RD Feedstock Breakdown'!$DM$3*'Feedstock Conversion Rates'!$B$8)/12</f>
        <v>0</v>
      </c>
      <c r="DN160" s="106">
        <f t="shared" si="110"/>
        <v>0</v>
      </c>
      <c r="DP160" s="104">
        <f t="shared" si="73"/>
        <v>134.58249999999998</v>
      </c>
      <c r="DQ160" s="104">
        <f t="shared" si="74"/>
        <v>691.65490000000011</v>
      </c>
      <c r="DR160" s="104">
        <f t="shared" si="82"/>
        <v>1104.015625</v>
      </c>
      <c r="DS160" s="104">
        <f t="shared" si="100"/>
        <v>235.17302083333334</v>
      </c>
      <c r="DT160" s="104">
        <f t="shared" si="75"/>
        <v>164.21090000000004</v>
      </c>
      <c r="DU160" s="104">
        <f t="shared" si="76"/>
        <v>216.298</v>
      </c>
      <c r="DV160" s="104">
        <f t="shared" si="83"/>
        <v>47.8046875</v>
      </c>
      <c r="DW160" s="104">
        <f t="shared" si="77"/>
        <v>2.5</v>
      </c>
      <c r="DX160" s="106">
        <f t="shared" si="78"/>
        <v>2596.2396333333336</v>
      </c>
      <c r="DY160" s="109">
        <f t="shared" si="79"/>
        <v>-5.1159076974727213E-13</v>
      </c>
      <c r="EA160" s="110">
        <f t="shared" si="114"/>
        <v>5.1837472270311345E-2</v>
      </c>
      <c r="EB160" s="110">
        <f t="shared" si="114"/>
        <v>0.26640641762023276</v>
      </c>
      <c r="EC160" s="110">
        <f t="shared" si="114"/>
        <v>0.42523641147198155</v>
      </c>
      <c r="ED160" s="110">
        <f t="shared" si="114"/>
        <v>9.0582170387481814E-2</v>
      </c>
      <c r="EE160" s="110">
        <f t="shared" si="114"/>
        <v>6.324951591204557E-2</v>
      </c>
      <c r="EF160" s="110">
        <f t="shared" si="114"/>
        <v>8.3312032226506461E-2</v>
      </c>
      <c r="EG160" s="111">
        <f t="shared" si="114"/>
        <v>1.8413048967526609E-2</v>
      </c>
      <c r="EH160" s="111">
        <f t="shared" si="84"/>
        <v>9.6293114391379558E-4</v>
      </c>
      <c r="EI160" s="110">
        <f t="shared" si="85"/>
        <v>0.99903706885608601</v>
      </c>
      <c r="EK160" s="112">
        <f>(EA160*'Renewable Diesel'!BF169*'Feedstock Conversion Rates'!B$2)+FB160</f>
        <v>99.510775881414332</v>
      </c>
      <c r="EL160" s="112">
        <f>(EB160*'Renewable Diesel'!BF169*'Feedstock Conversion Rates'!B$3)+FC160</f>
        <v>481.93067413219597</v>
      </c>
      <c r="EM160" s="112">
        <f>(EC160*'Renewable Diesel'!BF169*'Feedstock Conversion Rates'!B$4)+FD160</f>
        <v>720.27622306209241</v>
      </c>
      <c r="EN160" s="112">
        <f>(ED160*'Renewable Diesel'!BF169*'Feedstock Conversion Rates'!B$5)+FE160</f>
        <v>154.4532476884244</v>
      </c>
      <c r="EO160" s="112">
        <f>(EE160*'Renewable Diesel'!BF169*'Feedstock Conversion Rates'!B$6)+FF160</f>
        <v>133.98846598594002</v>
      </c>
      <c r="EP160" s="112">
        <f>(EF160*'Renewable Diesel'!BF169*'Feedstock Conversion Rates'!B$7)+FG160</f>
        <v>173.10233506428099</v>
      </c>
      <c r="EQ160" s="112">
        <f>(EG160*'Renewable Diesel'!BF169*'Feedstock Conversion Rates'!B$8)+FH160</f>
        <v>38.985611907851876</v>
      </c>
      <c r="ER160" s="112">
        <f>(EH160*'Renewable Diesel'!BF169*'Feedstock Conversion Rates'!B$9)+FI160</f>
        <v>2.0116125510223508</v>
      </c>
      <c r="ES160" s="112">
        <f t="shared" si="86"/>
        <v>1804.2589462732228</v>
      </c>
      <c r="ET160" s="91">
        <f>ES160/'Renewable Diesel'!BF169</f>
        <v>7.9889829947916731</v>
      </c>
      <c r="EV160">
        <v>1250</v>
      </c>
      <c r="EW160" s="73">
        <f t="shared" si="58"/>
        <v>874.72947075051684</v>
      </c>
      <c r="EX160" s="73">
        <f t="shared" si="59"/>
        <v>929.52947552270552</v>
      </c>
      <c r="EY160" s="92">
        <f t="shared" si="71"/>
        <v>0.48481370845205424</v>
      </c>
      <c r="EZ160" s="92">
        <f t="shared" si="71"/>
        <v>0.51518629154794549</v>
      </c>
      <c r="FB160" s="102">
        <f>IF('Renewable Diesel'!$BG169&lt;1,0,(((('Renewable Diesel'!$BG169-1)*'Renewable Diesel'!$BF169)*'RD Feedstock Breakdown'!EA160)*'Feedstock Conversion Rates'!$B$2))</f>
        <v>0</v>
      </c>
      <c r="FC160" s="102">
        <f>IF('Renewable Diesel'!$BG169&lt;1,0,(((('Renewable Diesel'!$BG169-1)*'Renewable Diesel'!$BF169)*'RD Feedstock Breakdown'!EB160)*'Feedstock Conversion Rates'!$B$3))</f>
        <v>0</v>
      </c>
      <c r="FD160" s="102">
        <f>IF('Renewable Diesel'!$BG169&lt;1,0,(((('Renewable Diesel'!$BG169-1)*'Renewable Diesel'!$BF169)*'RD Feedstock Breakdown'!EC160)*'Feedstock Conversion Rates'!$B$4))</f>
        <v>0</v>
      </c>
      <c r="FE160" s="102">
        <f>IF('Renewable Diesel'!$BG169&lt;1,0,(((('Renewable Diesel'!$BG169-1)*'Renewable Diesel'!$BF169)*'RD Feedstock Breakdown'!ED160)*'Feedstock Conversion Rates'!$B$5))</f>
        <v>0</v>
      </c>
      <c r="FF160" s="102">
        <f>IF('Renewable Diesel'!$BG169&lt;1,0,(((('Renewable Diesel'!$BG169-1)*'Renewable Diesel'!$BF169)*'RD Feedstock Breakdown'!EE160)*'Feedstock Conversion Rates'!$B$6))</f>
        <v>0</v>
      </c>
      <c r="FG160" s="102">
        <f>IF('Renewable Diesel'!$BG169&lt;1,0,(((('Renewable Diesel'!$BG169-1)*'Renewable Diesel'!$BF169)*'RD Feedstock Breakdown'!EF160)*'Feedstock Conversion Rates'!$B$7))</f>
        <v>0</v>
      </c>
      <c r="FH160" s="102">
        <f>IF('Renewable Diesel'!$BG169&lt;1,0,(((('Renewable Diesel'!$BG169-1)*'Renewable Diesel'!$BF169)*'RD Feedstock Breakdown'!EG160)*'Feedstock Conversion Rates'!$B$8))</f>
        <v>0</v>
      </c>
      <c r="FI160" s="102">
        <f>IF('Renewable Diesel'!$BG169&lt;1,0,(((('Renewable Diesel'!$BG169-1)*'Renewable Diesel'!$BF169)*'RD Feedstock Breakdown'!EH160)*'Feedstock Conversion Rates'!$B$9))</f>
        <v>0</v>
      </c>
      <c r="FJ160" s="102">
        <f t="shared" si="60"/>
        <v>0</v>
      </c>
      <c r="FL160" s="3">
        <f>('Renewable Diesel'!AX169/12*$FO$80)*'RD Feedstock Breakdown'!EC160*7.5</f>
        <v>1035.2380437285392</v>
      </c>
      <c r="FM160" s="3">
        <f t="shared" si="96"/>
        <v>314.96182066644678</v>
      </c>
      <c r="FR160" s="3">
        <f>('Renewable Diesel'!AX169-'Renewable Diesel'!BI169)/12*$FO$80</f>
        <v>42.761249999999968</v>
      </c>
      <c r="FS160" s="100">
        <f t="shared" si="97"/>
        <v>0.42523641147198155</v>
      </c>
      <c r="FT160" s="3">
        <f t="shared" si="98"/>
        <v>136.37730375042193</v>
      </c>
      <c r="FY160" s="3">
        <f>'Renewable Diesel'!BF169*('Renewable Diesel'!BI169/'Renewable Diesel'!AX169)</f>
        <v>196.09185693312156</v>
      </c>
      <c r="FZ160" s="3">
        <f>('Renewable Diesel'!BJ169*'Renewable Diesel'!BG169)/12</f>
        <v>29.19168552260923</v>
      </c>
      <c r="GA160" s="3">
        <f t="shared" si="105"/>
        <v>93.10025697339708</v>
      </c>
      <c r="GD160" s="91">
        <f>'Renewable Diesel'!BB169*0.32</f>
        <v>15.481096640000001</v>
      </c>
      <c r="GE160" s="91">
        <f>'Renewable Diesel'!BC169</f>
        <v>0.833897</v>
      </c>
      <c r="GF160" s="91">
        <f>'Renewable Diesel'!BD169</f>
        <v>0</v>
      </c>
      <c r="GG160" s="91">
        <f t="shared" si="109"/>
        <v>0.833897</v>
      </c>
      <c r="GH160" s="124">
        <v>1</v>
      </c>
      <c r="GI160" s="102">
        <f>$GG160*EA160*'Feedstock Conversion Rates'!$B$2</f>
        <v>0.36743045721726447</v>
      </c>
      <c r="GJ160" s="102">
        <f>$GG160*EB160*'Feedstock Conversion Rates'!$B$3</f>
        <v>1.7794656545984164</v>
      </c>
      <c r="GK160" s="102">
        <f>$GG160*EC160*'Feedstock Conversion Rates'!$B$4</f>
        <v>2.6595252586293823</v>
      </c>
      <c r="GL160" s="102">
        <f>$GG160*ED160*'Feedstock Conversion Rates'!$B$5</f>
        <v>0.57029831105405482</v>
      </c>
      <c r="GM160" s="102">
        <f>$GG160*EE160*'Feedstock Conversion Rates'!$B$6</f>
        <v>0.49473479513135626</v>
      </c>
      <c r="GN160" s="102">
        <f>$GG160*EF160*'Feedstock Conversion Rates'!$B$7</f>
        <v>0.63915761438580088</v>
      </c>
      <c r="GO160" s="102">
        <f>$GG160*EG160*'Feedstock Conversion Rates'!$B$8</f>
        <v>0.14394924651443941</v>
      </c>
      <c r="GP160" s="102">
        <f>$GG160*EH160*'Feedstock Conversion Rates'!B$9</f>
        <v>7.4276148770756117E-3</v>
      </c>
      <c r="GQ160" s="102">
        <f t="shared" si="87"/>
        <v>6.66198895240779</v>
      </c>
      <c r="GR160" s="85">
        <f t="shared" si="107"/>
        <v>7.9889829947916713</v>
      </c>
      <c r="GT160" s="103">
        <f t="shared" si="111"/>
        <v>5.5153267266296935E-2</v>
      </c>
      <c r="GU160" s="103">
        <f t="shared" si="94"/>
        <v>0.26710726590972173</v>
      </c>
      <c r="GV160" s="103">
        <f t="shared" si="94"/>
        <v>0.39920889656656827</v>
      </c>
      <c r="GW160" s="103">
        <f t="shared" si="94"/>
        <v>8.5604811885485979E-2</v>
      </c>
      <c r="GX160" s="103">
        <f t="shared" si="94"/>
        <v>7.4262325960860104E-2</v>
      </c>
      <c r="GY160" s="103">
        <f t="shared" si="94"/>
        <v>9.5940959817232205E-2</v>
      </c>
      <c r="GZ160" s="103">
        <f t="shared" si="94"/>
        <v>2.1607548067520129E-2</v>
      </c>
      <c r="HA160" s="103">
        <f t="shared" si="94"/>
        <v>1.1149245263144885E-3</v>
      </c>
    </row>
    <row r="161" spans="1:209" x14ac:dyDescent="0.25">
      <c r="A161" s="96">
        <v>45323</v>
      </c>
      <c r="B161" s="104">
        <f t="shared" si="115"/>
        <v>0</v>
      </c>
      <c r="C161" s="104">
        <f t="shared" si="116"/>
        <v>0</v>
      </c>
      <c r="D161" s="104">
        <f t="shared" si="95"/>
        <v>1.5</v>
      </c>
      <c r="E161" s="104">
        <f>('Renewable Diesel'!B170*E$3*'Feedstock Conversion Rates'!$B$2)/12-40+1.25+6-43+30-15+12.5-4+1.5+26+2.5+3-10+50+9-15-25-55+50-15</f>
        <v>59.679999999999993</v>
      </c>
      <c r="F161" s="104">
        <f>('Renewable Diesel'!B170*'RD Feedstock Breakdown'!F$3*'Feedstock Conversion Rates'!B$8)/12+28.5-49-5+2-6+1+6+20-20-3.75+10+2.5+5-20-20+25+5</f>
        <v>35.15625</v>
      </c>
      <c r="G161" s="104">
        <f>('Renewable Diesel'!B170*'RD Feedstock Breakdown'!G$3*'Feedstock Conversion Rates'!B$7)/12-25-15-25+4+4-20-40-20+10-17.5+20+50-12+32.5+35-75-75+22.5+5-20+15+125-50-10-5-50</f>
        <v>39.657000000000011</v>
      </c>
      <c r="H161" s="104">
        <f>('Renewable Diesel'!B170*'RD Feedstock Breakdown'!H$3*'Feedstock Conversion Rates'!B$3)/12-85+4-15+70-65-80+50-22.5-5+25+27.5+15+50+15-10+5+50+75-5-25-85-12.5+30+22.5-25-30+150+90-120+25+50+15</f>
        <v>360.40022499999998</v>
      </c>
      <c r="I161" s="106">
        <f t="shared" si="106"/>
        <v>496.39347499999997</v>
      </c>
      <c r="J161" s="104">
        <f t="shared" si="117"/>
        <v>0.25</v>
      </c>
      <c r="K161" s="104"/>
      <c r="L161" s="104">
        <v>1</v>
      </c>
      <c r="M161" s="104">
        <f>('Renewable Diesel'!C170*'RD Feedstock Breakdown'!M$3*'Feedstock Conversion Rates'!B$2)/12-15-40+2+117-25-2-20-40+20</f>
        <v>74.902500000000003</v>
      </c>
      <c r="N161" s="104">
        <f>('Renewable Diesel'!C170*'RD Feedstock Breakdown'!N$3*'Feedstock Conversion Rates'!B$8)/12+1.75+7-15-20+19.5-20</f>
        <v>9.96875</v>
      </c>
      <c r="O161" s="104">
        <f>('Renewable Diesel'!C170*'RD Feedstock Breakdown'!O$3*'Feedstock Conversion Rates'!B$7)/12+30-120+25-17.5-20</f>
        <v>17.490999999999985</v>
      </c>
      <c r="P161" s="104">
        <f>('Renewable Diesel'!C170*'RD Feedstock Breakdown'!P$3*'Feedstock Conversion Rates'!B$3)/12-15-59-10+15-7.5+15+75-25-2.5-25-15-20+25+100+20+60</f>
        <v>235.47042500000003</v>
      </c>
      <c r="Q161" s="106">
        <f t="shared" ref="Q161:Q224" si="119">SUM(J161:P161)</f>
        <v>339.08267499999999</v>
      </c>
      <c r="R161" s="104">
        <f>('Renewable Diesel'!D170*'RD Feedstock Breakdown'!R$3*'Feedstock Conversion Rates'!B$7)/12</f>
        <v>2.2999999999999998</v>
      </c>
      <c r="S161" s="106">
        <f t="shared" si="67"/>
        <v>2.2999999999999998</v>
      </c>
      <c r="T161" s="104">
        <f t="shared" si="118"/>
        <v>0</v>
      </c>
      <c r="U161" s="104">
        <v>0</v>
      </c>
      <c r="V161" s="104">
        <f>('Renewable Diesel'!E170*'RD Feedstock Breakdown'!V$3*'Feedstock Conversion Rates'!B$6)/12-20-5-5+32.5-35+25-15+22+20</f>
        <v>63.750150000000012</v>
      </c>
      <c r="W161" s="104">
        <f>('Renewable Diesel'!E170*'RD Feedstock Breakdown'!W$3*'Feedstock Conversion Rates'!B$8)/12-2.5+3-20</f>
        <v>2.6796875</v>
      </c>
      <c r="X161" s="106">
        <f t="shared" si="88"/>
        <v>66.429837500000019</v>
      </c>
      <c r="Y161" s="104">
        <f>50+32-14+73+11-15-75-62+41+24-65+40-40+70-70+40-40</f>
        <v>0</v>
      </c>
      <c r="Z161" s="104">
        <f>('Renewable Diesel'!F170*'RD Feedstock Breakdown'!Z$3*'Feedstock Conversion Rates'!B$6)/12-25-16-21+15-42+100-65-19+10-26</f>
        <v>-44.444999999999993</v>
      </c>
      <c r="AA161" s="104">
        <f>('Renewable Diesel'!F170*'RD Feedstock Breakdown'!AA$3*'Feedstock Conversion Rates'!B$7)/12+14-73+75+62-24+25+40-70+40</f>
        <v>118.13333333333333</v>
      </c>
      <c r="AB161" s="106">
        <f t="shared" si="62"/>
        <v>73.688333333333333</v>
      </c>
      <c r="AC161" s="104">
        <f>('Renewable Diesel'!G170*'RD Feedstock Breakdown'!AC$3*'Feedstock Conversion Rates'!B$5)/12</f>
        <v>0</v>
      </c>
      <c r="AD161" s="104">
        <f>('Renewable Diesel'!G170*'RD Feedstock Breakdown'!AD$3*'Feedstock Conversion Rates'!B$4)/12</f>
        <v>0</v>
      </c>
      <c r="AE161" s="104">
        <f>('Renewable Diesel'!G170*'RD Feedstock Breakdown'!AE$3*'Feedstock Conversion Rates'!B$6)/12</f>
        <v>0</v>
      </c>
      <c r="AF161" s="106">
        <f t="shared" si="101"/>
        <v>0</v>
      </c>
      <c r="AG161" s="104">
        <f>130+23-3-51-99+50+150-80-10-15+60-15-140+70+15</f>
        <v>85</v>
      </c>
      <c r="AH161" s="104">
        <v>0</v>
      </c>
      <c r="AI161" s="104">
        <f>('Renewable Diesel'!H170*'RD Feedstock Breakdown'!AI$3*'Feedstock Conversion Rates'!B$6)/12-130-23+3+51+99-50-150+80+10+15-60+15+140-85</f>
        <v>63.51666666666668</v>
      </c>
      <c r="AJ161" s="106">
        <f t="shared" si="65"/>
        <v>148.51666666666668</v>
      </c>
      <c r="AK161" s="104">
        <f>('Renewable Diesel'!J170*'RD Feedstock Breakdown'!AK$3*'Feedstock Conversion Rates'!B$4)/12</f>
        <v>95.8125</v>
      </c>
      <c r="AL161" s="106">
        <f t="shared" si="68"/>
        <v>95.8125</v>
      </c>
      <c r="AM161" s="104">
        <f>('Renewable Diesel'!K170*'RD Feedstock Breakdown'!AM$3*'Feedstock Conversion Rates'!B$4)/12+20-30</f>
        <v>48.59375</v>
      </c>
      <c r="AN161" s="104">
        <f>('Renewable Diesel'!K170*'RD Feedstock Breakdown'!AN$3*'Feedstock Conversion Rates'!B$6)/12-20+30</f>
        <v>34.427083333333329</v>
      </c>
      <c r="AO161" s="106">
        <f t="shared" si="81"/>
        <v>83.020833333333329</v>
      </c>
      <c r="AP161" s="104">
        <f>('Renewable Diesel'!L170*'RD Feedstock Breakdown'!AP$3*'Feedstock Conversion Rates'!B$4)/12+15-10+15</f>
        <v>78.59375</v>
      </c>
      <c r="AQ161" s="104">
        <f>('Renewable Diesel'!L170*'RD Feedstock Breakdown'!AQ$3*'Feedstock Conversion Rates'!B$6)/12-15+10-15</f>
        <v>4.4270833333333321</v>
      </c>
      <c r="AR161" s="106">
        <f t="shared" si="70"/>
        <v>83.020833333333329</v>
      </c>
      <c r="AS161" s="104">
        <f>('Renewable Diesel'!M170*'RD Feedstock Breakdown'!AS$3*'Feedstock Conversion Rates'!B$4)/12-150</f>
        <v>306.25</v>
      </c>
      <c r="AT161" s="104">
        <f>('Renewable Diesel'!M170*'RD Feedstock Breakdown'!AT$3*'Feedstock Conversion Rates'!B$5)/12+150</f>
        <v>150</v>
      </c>
      <c r="AU161" s="106">
        <f t="shared" si="104"/>
        <v>456.25</v>
      </c>
      <c r="AV161" s="104">
        <f>'Renewable Diesel'!N170*'RD Feedstock Breakdown'!$AV$3*'Feedstock Conversion Rates'!$B$4/12-15-10+25+25-22-75+75+22.5-80</f>
        <v>24.249999999999986</v>
      </c>
      <c r="AW161" s="104">
        <f>'Renewable Diesel'!N170*'RD Feedstock Breakdown'!$AW$3*'Feedstock Conversion Rates'!$B$7/12+15+10-25-25+22+75-75-22.5+80</f>
        <v>95.9</v>
      </c>
      <c r="AX161" s="106">
        <f t="shared" si="63"/>
        <v>120.14999999999999</v>
      </c>
      <c r="AY161" s="104">
        <f>('Renewable Diesel'!O170*'RD Feedstock Breakdown'!AY$3*'Feedstock Conversion Rates'!B$4)/12+5-70</f>
        <v>2.5</v>
      </c>
      <c r="AZ161" s="104">
        <f>('Renewable Diesel'!O170*'RD Feedstock Breakdown'!AZ$3*'Feedstock Conversion Rates'!B$3)/12-5+70</f>
        <v>73.010000000000005</v>
      </c>
      <c r="BA161" s="106">
        <f t="shared" ref="BA161:BA224" si="120">SUM(AY161:AZ161)</f>
        <v>75.510000000000005</v>
      </c>
      <c r="BB161" s="104">
        <f>('Renewable Diesel'!Q170*'RD Feedstock Breakdown'!BB$3*'Feedstock Conversion Rates'!B$4)/12</f>
        <v>11.156249999999998</v>
      </c>
      <c r="BC161" s="104">
        <f>('Renewable Diesel'!Q170*'RD Feedstock Breakdown'!BC$3*'Feedstock Conversion Rates'!B$3)/12</f>
        <v>1.4017500000000001</v>
      </c>
      <c r="BD161" s="104">
        <f>('Renewable Diesel'!Q170*'RD Feedstock Breakdown'!BD$3*'Feedstock Conversion Rates'!B$6)/12</f>
        <v>0.8207500000000002</v>
      </c>
      <c r="BE161" s="106">
        <f t="shared" si="90"/>
        <v>13.378749999999998</v>
      </c>
      <c r="BF161" s="104">
        <f>('Renewable Diesel'!R170*'RD Feedstock Breakdown'!BF$3*'Feedstock Conversion Rates'!B$4)/12</f>
        <v>62.5</v>
      </c>
      <c r="BG161" s="106">
        <f t="shared" si="72"/>
        <v>62.5</v>
      </c>
      <c r="BH161" s="104">
        <f>('Renewable Diesel'!T170*'RD Feedstock Breakdown'!BH$3*'Feedstock Conversion Rates'!B$7)/12</f>
        <v>27.599999999999998</v>
      </c>
      <c r="BI161" s="106">
        <f t="shared" si="64"/>
        <v>27.599999999999998</v>
      </c>
      <c r="BJ161" s="104">
        <f>('Renewable Diesel'!W170*'RD Feedstock Breakdown'!BJ$3*'Feedstock Conversion Rates'!B$4)/12</f>
        <v>7.5</v>
      </c>
      <c r="BK161" s="104">
        <f>('Renewable Diesel'!W170*'RD Feedstock Breakdown'!BK$3*'Feedstock Conversion Rates'!B$3)/12</f>
        <v>1.335</v>
      </c>
      <c r="BL161" s="104">
        <f>('Renewable Diesel'!W170*'RD Feedstock Breakdown'!BL$3*'Feedstock Conversion Rates'!B$6)/12</f>
        <v>3.1266666666666669</v>
      </c>
      <c r="BM161" s="104">
        <f>('Renewable Diesel'!W170*'RD Feedstock Breakdown'!BM$3*'Feedstock Conversion Rates'!B$7)/12</f>
        <v>1.5333333333333332</v>
      </c>
      <c r="BN161" s="106">
        <f t="shared" si="112"/>
        <v>13.495000000000001</v>
      </c>
      <c r="BO161" s="104">
        <f>('Renewable Diesel'!P170*'Feedstock Conversion Rates'!B$4)/12</f>
        <v>31.25</v>
      </c>
      <c r="BP161" s="106">
        <f t="shared" si="102"/>
        <v>31.25</v>
      </c>
      <c r="BQ161" s="104"/>
      <c r="BR161" s="104"/>
      <c r="BS161" s="106"/>
      <c r="BT161" s="106"/>
      <c r="BU161" s="104">
        <f>('Renewable Diesel'!Y170*'Feedstock Conversion Rates'!B$7)/12</f>
        <v>2.6833333333333331</v>
      </c>
      <c r="BV161" s="106">
        <f t="shared" si="93"/>
        <v>2.6833333333333331</v>
      </c>
      <c r="BW161" s="104"/>
      <c r="BX161" s="104"/>
      <c r="BY161" s="104"/>
      <c r="BZ161" s="104"/>
      <c r="CA161" s="106"/>
      <c r="CB161" s="104">
        <f>('Renewable Diesel'!AA170*'Feedstock Conversion Rates'!B$4)/12</f>
        <v>191.25</v>
      </c>
      <c r="CC161" s="106">
        <f t="shared" si="113"/>
        <v>191.25</v>
      </c>
      <c r="CD161" s="104">
        <f>('Renewable Diesel'!$AB170*'RD Feedstock Breakdown'!CD$3*'Feedstock Conversion Rates'!$B$6)/12</f>
        <v>0</v>
      </c>
      <c r="CE161" s="104">
        <f>('Renewable Diesel'!$AB170*'RD Feedstock Breakdown'!CE$3*'Feedstock Conversion Rates'!$B$4)/12</f>
        <v>0</v>
      </c>
      <c r="CF161" s="106">
        <f t="shared" si="108"/>
        <v>0</v>
      </c>
      <c r="CG161" s="104">
        <f>('Renewable Diesel'!AD170*'Feedstock Conversion Rates'!B$4)/12</f>
        <v>112.5</v>
      </c>
      <c r="CH161" s="106">
        <f t="shared" si="89"/>
        <v>112.5</v>
      </c>
      <c r="CI161" s="104">
        <f>('Renewable Diesel'!$AE170*'RD Feedstock Breakdown'!CI$3*'Feedstock Conversion Rates'!$B$5)/12</f>
        <v>0.17302083333333332</v>
      </c>
      <c r="CJ161" s="104">
        <f>('Renewable Diesel'!$AE170*'RD Feedstock Breakdown'!CJ$3*'Feedstock Conversion Rates'!$B$4)/12</f>
        <v>0.171875</v>
      </c>
      <c r="CK161" s="106">
        <f t="shared" si="103"/>
        <v>0.34489583333333329</v>
      </c>
      <c r="CL161" s="104">
        <f>(((CL$3*'Renewable Diesel'!$AF170)*'Feedstock Conversion Rates'!$B$3)/12)-10</f>
        <v>20.037499999999998</v>
      </c>
      <c r="CM161" s="104">
        <f>(((CM$3*'Renewable Diesel'!$AF170)*'Feedstock Conversion Rates'!$B$6)/12)+10</f>
        <v>27.587500000000002</v>
      </c>
      <c r="CN161" s="104">
        <f>(((CN$3*'Renewable Diesel'!$AF170)*'Feedstock Conversion Rates'!$B$4)/12)+10</f>
        <v>24.0625</v>
      </c>
      <c r="CO161" s="106">
        <f t="shared" si="91"/>
        <v>71.6875</v>
      </c>
      <c r="CP161" s="106"/>
      <c r="CQ161" s="106"/>
      <c r="CR161" s="106"/>
      <c r="CS161" s="106"/>
      <c r="CT161" s="104">
        <f>('Renewable Diesel'!AI170*'Feedstock Conversion Rates'!$B$4*'RD Feedstock Breakdown'!$CT$3)/12</f>
        <v>29.375</v>
      </c>
      <c r="CU161" s="106">
        <f t="shared" si="99"/>
        <v>29.375</v>
      </c>
      <c r="CV161" s="106"/>
      <c r="CW161" s="106"/>
      <c r="CX161" s="106"/>
      <c r="CY161" s="106"/>
      <c r="CZ161" s="106"/>
      <c r="DA161" s="106"/>
      <c r="DB161" s="106"/>
      <c r="DC161" s="106"/>
      <c r="DD161" s="106"/>
      <c r="DE161" s="106"/>
      <c r="DF161" s="106"/>
      <c r="DG161" s="106"/>
      <c r="DH161" s="106"/>
      <c r="DI161" s="106"/>
      <c r="DJ161" s="104">
        <f>('Renewable Diesel'!AT170*'Feedstock Conversion Rates'!$B$4*0.25)/12</f>
        <v>0</v>
      </c>
      <c r="DK161" s="104">
        <f>('Renewable Diesel'!$AT170*'RD Feedstock Breakdown'!DK$3*'Feedstock Conversion Rates'!$B$3)/12*0.5</f>
        <v>0</v>
      </c>
      <c r="DL161" s="104">
        <f>('Renewable Diesel'!$AT170*'RD Feedstock Breakdown'!$DL$3*'Feedstock Conversion Rates'!$B$6)/12</f>
        <v>0</v>
      </c>
      <c r="DM161" s="104">
        <f>('Renewable Diesel'!$AT170*'RD Feedstock Breakdown'!$DM$3*'Feedstock Conversion Rates'!$B$8)/12</f>
        <v>0</v>
      </c>
      <c r="DN161" s="106">
        <f t="shared" si="110"/>
        <v>0</v>
      </c>
      <c r="DP161" s="104">
        <f t="shared" si="73"/>
        <v>134.58249999999998</v>
      </c>
      <c r="DQ161" s="104">
        <f t="shared" si="74"/>
        <v>691.65490000000011</v>
      </c>
      <c r="DR161" s="104">
        <f t="shared" si="82"/>
        <v>1026.015625</v>
      </c>
      <c r="DS161" s="104">
        <f t="shared" si="100"/>
        <v>235.17302083333334</v>
      </c>
      <c r="DT161" s="104">
        <f t="shared" si="75"/>
        <v>153.21090000000004</v>
      </c>
      <c r="DU161" s="104">
        <f t="shared" si="76"/>
        <v>305.298</v>
      </c>
      <c r="DV161" s="104">
        <f t="shared" si="83"/>
        <v>47.8046875</v>
      </c>
      <c r="DW161" s="104">
        <f t="shared" si="77"/>
        <v>2.5</v>
      </c>
      <c r="DX161" s="106">
        <f t="shared" si="78"/>
        <v>2596.2396333333336</v>
      </c>
      <c r="DY161" s="109">
        <f t="shared" si="79"/>
        <v>-5.1159076974727213E-13</v>
      </c>
      <c r="EA161" s="110">
        <f t="shared" si="114"/>
        <v>5.1837472270311345E-2</v>
      </c>
      <c r="EB161" s="110">
        <f t="shared" si="114"/>
        <v>0.26640641762023276</v>
      </c>
      <c r="EC161" s="110">
        <f t="shared" si="114"/>
        <v>0.39519295978187113</v>
      </c>
      <c r="ED161" s="110">
        <f t="shared" si="114"/>
        <v>9.0582170387481814E-2</v>
      </c>
      <c r="EE161" s="110">
        <f t="shared" si="114"/>
        <v>5.901261887882487E-2</v>
      </c>
      <c r="EF161" s="110">
        <f t="shared" si="114"/>
        <v>0.11759238094983758</v>
      </c>
      <c r="EG161" s="111">
        <f t="shared" si="114"/>
        <v>1.8413048967526609E-2</v>
      </c>
      <c r="EH161" s="111">
        <f t="shared" si="84"/>
        <v>9.6293114391379558E-4</v>
      </c>
      <c r="EI161" s="110">
        <f t="shared" si="85"/>
        <v>0.99903706885608623</v>
      </c>
      <c r="EK161" s="112">
        <f>(EA161*'Renewable Diesel'!BF170*'Feedstock Conversion Rates'!B$2)+FB161</f>
        <v>100.19372929115352</v>
      </c>
      <c r="EL161" s="112">
        <f>(EB161*'Renewable Diesel'!BF170*'Feedstock Conversion Rates'!B$3)+FC161</f>
        <v>485.23821740317516</v>
      </c>
      <c r="EM161" s="112">
        <f>(EC161*'Renewable Diesel'!BF170*'Feedstock Conversion Rates'!B$4)+FD161</f>
        <v>673.98194490200331</v>
      </c>
      <c r="EN161" s="112">
        <f>(ED161*'Renewable Diesel'!BF170*'Feedstock Conversion Rates'!B$5)+FE161</f>
        <v>155.51327733063928</v>
      </c>
      <c r="EO161" s="112">
        <f>(EE161*'Renewable Diesel'!BF170*'Feedstock Conversion Rates'!B$6)+FF161</f>
        <v>125.87095481413786</v>
      </c>
      <c r="EP161" s="112">
        <f>(EF161*'Renewable Diesel'!BF170*'Feedstock Conversion Rates'!B$7)+FG161</f>
        <v>246.00549675451768</v>
      </c>
      <c r="EQ161" s="112">
        <f>(EG161*'Renewable Diesel'!BF170*'Feedstock Conversion Rates'!B$8)+FH161</f>
        <v>39.253174454193235</v>
      </c>
      <c r="ER161" s="112">
        <f>(EH161*'Renewable Diesel'!BF170*'Feedstock Conversion Rates'!B$9)+FI161</f>
        <v>2.0254184694128581</v>
      </c>
      <c r="ES161" s="112">
        <f t="shared" si="86"/>
        <v>1828.0822134192329</v>
      </c>
      <c r="ET161" s="91">
        <f>ES161/'Renewable Diesel'!BF170</f>
        <v>8.0392942211988796</v>
      </c>
      <c r="EV161" s="92">
        <f>EV160/EV159-1</f>
        <v>2.5714285714285716</v>
      </c>
      <c r="EW161" s="73">
        <f t="shared" si="58"/>
        <v>829.49522223264262</v>
      </c>
      <c r="EX161" s="73">
        <f t="shared" si="59"/>
        <v>998.58699118659035</v>
      </c>
      <c r="EY161" s="92">
        <f t="shared" si="71"/>
        <v>0.45375159615013172</v>
      </c>
      <c r="EZ161" s="92">
        <f t="shared" si="71"/>
        <v>0.54624840384986839</v>
      </c>
      <c r="FB161" s="102">
        <f>IF('Renewable Diesel'!$BG170&lt;1,0,(((('Renewable Diesel'!$BG170-1)*'Renewable Diesel'!$BF170)*'RD Feedstock Breakdown'!EA161)*'Feedstock Conversion Rates'!$B$2))</f>
        <v>0</v>
      </c>
      <c r="FC161" s="102">
        <f>IF('Renewable Diesel'!$BG170&lt;1,0,(((('Renewable Diesel'!$BG170-1)*'Renewable Diesel'!$BF170)*'RD Feedstock Breakdown'!EB161)*'Feedstock Conversion Rates'!$B$3))</f>
        <v>0</v>
      </c>
      <c r="FD161" s="102">
        <f>IF('Renewable Diesel'!$BG170&lt;1,0,(((('Renewable Diesel'!$BG170-1)*'Renewable Diesel'!$BF170)*'RD Feedstock Breakdown'!EC161)*'Feedstock Conversion Rates'!$B$4))</f>
        <v>0</v>
      </c>
      <c r="FE161" s="102">
        <f>IF('Renewable Diesel'!$BG170&lt;1,0,(((('Renewable Diesel'!$BG170-1)*'Renewable Diesel'!$BF170)*'RD Feedstock Breakdown'!ED161)*'Feedstock Conversion Rates'!$B$5))</f>
        <v>0</v>
      </c>
      <c r="FF161" s="102">
        <f>IF('Renewable Diesel'!$BG170&lt;1,0,(((('Renewable Diesel'!$BG170-1)*'Renewable Diesel'!$BF170)*'RD Feedstock Breakdown'!EE161)*'Feedstock Conversion Rates'!$B$6))</f>
        <v>0</v>
      </c>
      <c r="FG161" s="102">
        <f>IF('Renewable Diesel'!$BG170&lt;1,0,(((('Renewable Diesel'!$BG170-1)*'Renewable Diesel'!$BF170)*'RD Feedstock Breakdown'!EF161)*'Feedstock Conversion Rates'!$B$7))</f>
        <v>0</v>
      </c>
      <c r="FH161" s="102">
        <f>IF('Renewable Diesel'!$BG170&lt;1,0,(((('Renewable Diesel'!$BG170-1)*'Renewable Diesel'!$BF170)*'RD Feedstock Breakdown'!EG161)*'Feedstock Conversion Rates'!$B$8))</f>
        <v>0</v>
      </c>
      <c r="FI161" s="102">
        <f>IF('Renewable Diesel'!$BG170&lt;1,0,(((('Renewable Diesel'!$BG170-1)*'Renewable Diesel'!$BF170)*'RD Feedstock Breakdown'!EH161)*'Feedstock Conversion Rates'!$B$9))</f>
        <v>0</v>
      </c>
      <c r="FJ161" s="102">
        <f t="shared" si="60"/>
        <v>0</v>
      </c>
      <c r="FL161" s="3">
        <f>('Renewable Diesel'!AX170/12*$FO$80)*'RD Feedstock Breakdown'!EC161*7.5</f>
        <v>962.09726058896536</v>
      </c>
      <c r="FM161" s="3">
        <f t="shared" si="96"/>
        <v>288.11531568696205</v>
      </c>
      <c r="FR161" s="3">
        <f>('Renewable Diesel'!AX170-'Renewable Diesel'!BI170)/12*$FO$80</f>
        <v>42.761249999999968</v>
      </c>
      <c r="FS161" s="100">
        <f t="shared" si="97"/>
        <v>0.39519295978187113</v>
      </c>
      <c r="FT161" s="3">
        <f t="shared" si="98"/>
        <v>126.74208713604395</v>
      </c>
      <c r="FY161" s="3">
        <f>'Renewable Diesel'!BF170*('Renewable Diesel'!BI170/'Renewable Diesel'!AX170)</f>
        <v>197.43765693446167</v>
      </c>
      <c r="FZ161" s="3">
        <f>('Renewable Diesel'!BJ170*'Renewable Diesel'!BG170)/12</f>
        <v>29.392031273982507</v>
      </c>
      <c r="GA161" s="3">
        <f t="shared" si="105"/>
        <v>87.116428748748504</v>
      </c>
      <c r="GD161" s="91">
        <f>'Renewable Diesel'!BB170*0.32</f>
        <v>14.548928000000002</v>
      </c>
      <c r="GE161" s="91">
        <f>'Renewable Diesel'!BC170</f>
        <v>1.254939</v>
      </c>
      <c r="GF161" s="91">
        <f>'Renewable Diesel'!BD170</f>
        <v>0</v>
      </c>
      <c r="GG161" s="91">
        <f t="shared" si="109"/>
        <v>1.254939</v>
      </c>
      <c r="GH161" s="124">
        <v>1</v>
      </c>
      <c r="GI161" s="102">
        <f>$GG161*EA161*'Feedstock Conversion Rates'!$B$2</f>
        <v>0.55294935771417408</v>
      </c>
      <c r="GJ161" s="102">
        <f>$GG161*EB161*'Feedstock Conversion Rates'!$B$3</f>
        <v>2.6779336646085574</v>
      </c>
      <c r="GK161" s="102">
        <f>$GG161*EC161*'Feedstock Conversion Rates'!$B$4</f>
        <v>3.7195729331677621</v>
      </c>
      <c r="GL161" s="102">
        <f>$GG161*ED161*'Feedstock Conversion Rates'!$B$5</f>
        <v>0.85824699234541502</v>
      </c>
      <c r="GM161" s="102">
        <f>$GG161*EE161*'Feedstock Conversion Rates'!$B$6</f>
        <v>0.69465688233936851</v>
      </c>
      <c r="GN161" s="102">
        <f>$GG161*EF161*'Feedstock Conversion Rates'!$B$7</f>
        <v>1.3576556376026356</v>
      </c>
      <c r="GO161" s="102">
        <f>$GG161*EG161*'Feedstock Conversion Rates'!$B$8</f>
        <v>0.21663049929617695</v>
      </c>
      <c r="GP161" s="102">
        <f>$GG161*EH161*'Feedstock Conversion Rates'!B$9</f>
        <v>1.1177883583011323E-2</v>
      </c>
      <c r="GQ161" s="102">
        <f t="shared" si="87"/>
        <v>10.0888238506571</v>
      </c>
      <c r="GR161" s="85">
        <f t="shared" si="107"/>
        <v>8.0392942211988796</v>
      </c>
      <c r="GT161" s="103">
        <f t="shared" si="111"/>
        <v>5.4808109042181329E-2</v>
      </c>
      <c r="GU161" s="103">
        <f t="shared" si="94"/>
        <v>0.26543566467702173</v>
      </c>
      <c r="GV161" s="103">
        <f t="shared" si="94"/>
        <v>0.36868251326694546</v>
      </c>
      <c r="GW161" s="103">
        <f t="shared" si="94"/>
        <v>8.5069082883186251E-2</v>
      </c>
      <c r="GX161" s="103">
        <f t="shared" si="94"/>
        <v>6.8854099607867023E-2</v>
      </c>
      <c r="GY161" s="103">
        <f t="shared" si="94"/>
        <v>0.13457025890230104</v>
      </c>
      <c r="GZ161" s="103">
        <f t="shared" si="94"/>
        <v>2.1472324475371576E-2</v>
      </c>
      <c r="HA161" s="103">
        <f t="shared" si="94"/>
        <v>1.1079471451256716E-3</v>
      </c>
    </row>
    <row r="162" spans="1:209" x14ac:dyDescent="0.25">
      <c r="A162" s="96">
        <v>45352</v>
      </c>
      <c r="B162" s="104">
        <f>23-20+10+85-5-4-4-1.25+2.25-5+15-6-25-45+65+15-22.5-50+40+16.5+27.5+168+80+14-30+15-50-19+22.5-10+5+11-25-50-12.5-27.5-10+10+2+4-1.5+12-26-15-50-15+10-32.5-3-5-2.5-1+5+10-50-35-9-0.5+25+15+25+20+15+85-25+12.5-52.5+10+20-150+20-20+55-25-25-5+20</f>
        <v>20</v>
      </c>
      <c r="C162" s="104">
        <f t="shared" si="116"/>
        <v>0</v>
      </c>
      <c r="D162" s="104">
        <f t="shared" si="95"/>
        <v>1.5</v>
      </c>
      <c r="E162" s="104">
        <f>('Renewable Diesel'!B171*E$3*'Feedstock Conversion Rates'!$B$2)/12-40+1.25+6-43+30-15+12.5-4+1.5+26+2.5+3-10+50+9-15-25-55+50-15</f>
        <v>59.679999999999993</v>
      </c>
      <c r="F162" s="104">
        <f>('Renewable Diesel'!B171*'RD Feedstock Breakdown'!F$3*'Feedstock Conversion Rates'!B$8)/12+28.5-49-5+2-6+1+6+20-20-3.75+10+2.5+5-20-20+25+5-20</f>
        <v>15.15625</v>
      </c>
      <c r="G162" s="104">
        <f>('Renewable Diesel'!B171*'RD Feedstock Breakdown'!G$3*'Feedstock Conversion Rates'!B$7)/12-25-15-25+4+4-20-40-20+10-17.5+20+50-12+32.5+35-75-75+22.5+5-20+15+125-50-10-5-50</f>
        <v>39.657000000000011</v>
      </c>
      <c r="H162" s="104">
        <f>('Renewable Diesel'!B171*'RD Feedstock Breakdown'!H$3*'Feedstock Conversion Rates'!B$3)/12-85+4-15+70-65-80+50-22.5-5+25+27.5+15+50+15-10+5+50+75-5-25-85-12.5+30+22.5-25-30+150+90-120+25+50+15</f>
        <v>360.40022499999998</v>
      </c>
      <c r="I162" s="106">
        <f t="shared" si="106"/>
        <v>496.39347499999997</v>
      </c>
      <c r="J162" s="104">
        <f t="shared" si="117"/>
        <v>0.25</v>
      </c>
      <c r="K162" s="104"/>
      <c r="L162" s="104">
        <v>1</v>
      </c>
      <c r="M162" s="104">
        <f>('Renewable Diesel'!C171*'RD Feedstock Breakdown'!M$3*'Feedstock Conversion Rates'!B$2)/12</f>
        <v>77.902500000000003</v>
      </c>
      <c r="N162" s="104">
        <f>('Renewable Diesel'!C171*'RD Feedstock Breakdown'!N$3*'Feedstock Conversion Rates'!B$8)/12</f>
        <v>36.71875</v>
      </c>
      <c r="O162" s="104">
        <f>('Renewable Diesel'!C171*'RD Feedstock Breakdown'!O$3*'Feedstock Conversion Rates'!B$7)/12</f>
        <v>119.991</v>
      </c>
      <c r="P162" s="104">
        <f>('Renewable Diesel'!C171*'RD Feedstock Breakdown'!P$3*'Feedstock Conversion Rates'!B$3)/12</f>
        <v>104.47042500000002</v>
      </c>
      <c r="Q162" s="106">
        <f t="shared" si="119"/>
        <v>340.33267500000005</v>
      </c>
      <c r="R162" s="104">
        <f>('Renewable Diesel'!D171*'RD Feedstock Breakdown'!R$3*'Feedstock Conversion Rates'!B$7)/12</f>
        <v>2.2999999999999998</v>
      </c>
      <c r="S162" s="106">
        <f t="shared" si="67"/>
        <v>2.2999999999999998</v>
      </c>
      <c r="T162" s="104">
        <f t="shared" si="118"/>
        <v>0</v>
      </c>
      <c r="U162" s="104">
        <v>0</v>
      </c>
      <c r="V162" s="104">
        <f>('Renewable Diesel'!E171*'RD Feedstock Breakdown'!V$3*'Feedstock Conversion Rates'!B$6)/12-20-5-5+32.5-35+25-15+22+20</f>
        <v>63.750150000000012</v>
      </c>
      <c r="W162" s="104">
        <f>('Renewable Diesel'!E171*'RD Feedstock Breakdown'!W$3*'Feedstock Conversion Rates'!B$8)/12-2.5+3-20</f>
        <v>2.6796875</v>
      </c>
      <c r="X162" s="106">
        <f t="shared" si="88"/>
        <v>66.429837500000019</v>
      </c>
      <c r="Y162" s="104">
        <f>50+32-14+73+11-15-75-62+41+24-65+40-40+70-70+40-40</f>
        <v>0</v>
      </c>
      <c r="Z162" s="104">
        <f>('Renewable Diesel'!F171*'RD Feedstock Breakdown'!Z$3*'Feedstock Conversion Rates'!B$6)/12-25-16-21+15-42+100-65-19+10-26</f>
        <v>-44.444999999999993</v>
      </c>
      <c r="AA162" s="104">
        <f>('Renewable Diesel'!F171*'RD Feedstock Breakdown'!AA$3*'Feedstock Conversion Rates'!B$7)/12+14-73+75+62-24+25+40-70+40</f>
        <v>118.13333333333333</v>
      </c>
      <c r="AB162" s="106">
        <f t="shared" si="62"/>
        <v>73.688333333333333</v>
      </c>
      <c r="AC162" s="104">
        <f>('Renewable Diesel'!G171*'RD Feedstock Breakdown'!AC$3*'Feedstock Conversion Rates'!B$5)/12</f>
        <v>0</v>
      </c>
      <c r="AD162" s="104">
        <f>('Renewable Diesel'!G171*'RD Feedstock Breakdown'!AD$3*'Feedstock Conversion Rates'!B$4)/12</f>
        <v>0</v>
      </c>
      <c r="AE162" s="104">
        <f>('Renewable Diesel'!G171*'RD Feedstock Breakdown'!AE$3*'Feedstock Conversion Rates'!B$6)/12</f>
        <v>0</v>
      </c>
      <c r="AF162" s="106">
        <f t="shared" si="101"/>
        <v>0</v>
      </c>
      <c r="AG162" s="104">
        <f t="shared" ref="AG162:AG168" si="121">130+23-3-51-99+50+150-80-10-15+60-15-140+70+65</f>
        <v>135</v>
      </c>
      <c r="AH162" s="104">
        <v>0</v>
      </c>
      <c r="AI162" s="104">
        <f>('Renewable Diesel'!H171*'RD Feedstock Breakdown'!AI$3*'Feedstock Conversion Rates'!B$6)/12-130-23+3+51+99-50-150+80+10+15-60+15+140-70-65</f>
        <v>13.51666666666668</v>
      </c>
      <c r="AJ162" s="106">
        <f t="shared" si="65"/>
        <v>148.51666666666668</v>
      </c>
      <c r="AK162" s="104">
        <f>('Renewable Diesel'!J171*'RD Feedstock Breakdown'!AK$3*'Feedstock Conversion Rates'!B$4)/12</f>
        <v>95.8125</v>
      </c>
      <c r="AL162" s="106">
        <f t="shared" si="68"/>
        <v>95.8125</v>
      </c>
      <c r="AM162" s="104">
        <f>('Renewable Diesel'!K171*'RD Feedstock Breakdown'!AM$3*'Feedstock Conversion Rates'!B$4)/12+20-30</f>
        <v>48.59375</v>
      </c>
      <c r="AN162" s="104">
        <f>('Renewable Diesel'!K171*'RD Feedstock Breakdown'!AN$3*'Feedstock Conversion Rates'!B$6)/12-20+30</f>
        <v>34.427083333333329</v>
      </c>
      <c r="AO162" s="106">
        <f t="shared" si="81"/>
        <v>83.020833333333329</v>
      </c>
      <c r="AP162" s="104">
        <f>('Renewable Diesel'!L171*'RD Feedstock Breakdown'!AP$3*'Feedstock Conversion Rates'!B$4)/12+15-10+15</f>
        <v>78.59375</v>
      </c>
      <c r="AQ162" s="104">
        <f>('Renewable Diesel'!L171*'RD Feedstock Breakdown'!AQ$3*'Feedstock Conversion Rates'!B$6)/12-15+10-15</f>
        <v>4.4270833333333321</v>
      </c>
      <c r="AR162" s="106">
        <f t="shared" si="70"/>
        <v>83.020833333333329</v>
      </c>
      <c r="AS162" s="104">
        <f>('Renewable Diesel'!M171*'RD Feedstock Breakdown'!AS$3*'Feedstock Conversion Rates'!B$4)/12-150</f>
        <v>306.25</v>
      </c>
      <c r="AT162" s="104">
        <f>('Renewable Diesel'!M171*'RD Feedstock Breakdown'!AT$3*'Feedstock Conversion Rates'!B$5)/12+150</f>
        <v>150</v>
      </c>
      <c r="AU162" s="106">
        <f t="shared" si="104"/>
        <v>456.25</v>
      </c>
      <c r="AV162" s="104">
        <f>'Renewable Diesel'!N171*'RD Feedstock Breakdown'!$AV$3*'Feedstock Conversion Rates'!$B$4/12-15-10+25+25-22-75+75+22.5-80</f>
        <v>24.249999999999986</v>
      </c>
      <c r="AW162" s="104">
        <f>'Renewable Diesel'!N171*'RD Feedstock Breakdown'!$AW$3*'Feedstock Conversion Rates'!$B$7/12+15+10-25-25+22+75-75-22.5+80</f>
        <v>95.9</v>
      </c>
      <c r="AX162" s="106">
        <f t="shared" si="63"/>
        <v>120.14999999999999</v>
      </c>
      <c r="AY162" s="104">
        <f>('Renewable Diesel'!O171*'RD Feedstock Breakdown'!AY$3*'Feedstock Conversion Rates'!B$4)/12+5-70</f>
        <v>2.5</v>
      </c>
      <c r="AZ162" s="104">
        <f>('Renewable Diesel'!O171*'RD Feedstock Breakdown'!AZ$3*'Feedstock Conversion Rates'!B$3)/12-5+70</f>
        <v>73.010000000000005</v>
      </c>
      <c r="BA162" s="106">
        <f t="shared" si="120"/>
        <v>75.510000000000005</v>
      </c>
      <c r="BB162" s="104">
        <f>('Renewable Diesel'!Q171*'RD Feedstock Breakdown'!BB$3*'Feedstock Conversion Rates'!B$4)/12</f>
        <v>11.156249999999998</v>
      </c>
      <c r="BC162" s="104">
        <f>('Renewable Diesel'!Q171*'RD Feedstock Breakdown'!BC$3*'Feedstock Conversion Rates'!B$3)/12</f>
        <v>1.4017500000000001</v>
      </c>
      <c r="BD162" s="104">
        <f>('Renewable Diesel'!Q171*'RD Feedstock Breakdown'!BD$3*'Feedstock Conversion Rates'!B$6)/12</f>
        <v>0.8207500000000002</v>
      </c>
      <c r="BE162" s="106">
        <f t="shared" si="90"/>
        <v>13.378749999999998</v>
      </c>
      <c r="BF162" s="104">
        <f>('Renewable Diesel'!R171*'RD Feedstock Breakdown'!BF$3*'Feedstock Conversion Rates'!B$4)/12</f>
        <v>62.5</v>
      </c>
      <c r="BG162" s="106">
        <f t="shared" si="72"/>
        <v>62.5</v>
      </c>
      <c r="BH162" s="104">
        <f>('Renewable Diesel'!T171*'RD Feedstock Breakdown'!BH$3*'Feedstock Conversion Rates'!B$7)/12</f>
        <v>27.599999999999998</v>
      </c>
      <c r="BI162" s="106">
        <f t="shared" si="64"/>
        <v>27.599999999999998</v>
      </c>
      <c r="BJ162" s="104">
        <f>('Renewable Diesel'!W171*'RD Feedstock Breakdown'!BJ$3*'Feedstock Conversion Rates'!B$4)/12</f>
        <v>7.5</v>
      </c>
      <c r="BK162" s="104">
        <f>('Renewable Diesel'!W171*'RD Feedstock Breakdown'!BK$3*'Feedstock Conversion Rates'!B$3)/12</f>
        <v>1.335</v>
      </c>
      <c r="BL162" s="104">
        <f>('Renewable Diesel'!W171*'RD Feedstock Breakdown'!BL$3*'Feedstock Conversion Rates'!B$6)/12</f>
        <v>3.1266666666666669</v>
      </c>
      <c r="BM162" s="104">
        <f>('Renewable Diesel'!W171*'RD Feedstock Breakdown'!BM$3*'Feedstock Conversion Rates'!B$7)/12</f>
        <v>1.5333333333333332</v>
      </c>
      <c r="BN162" s="106">
        <f t="shared" si="112"/>
        <v>13.495000000000001</v>
      </c>
      <c r="BO162" s="104">
        <f>('Renewable Diesel'!P171*'Feedstock Conversion Rates'!B$4)/12</f>
        <v>31.25</v>
      </c>
      <c r="BP162" s="106">
        <f t="shared" si="102"/>
        <v>31.25</v>
      </c>
      <c r="BQ162" s="104"/>
      <c r="BR162" s="104"/>
      <c r="BS162" s="106"/>
      <c r="BT162" s="106"/>
      <c r="BU162" s="104">
        <f>('Renewable Diesel'!Y171*'Feedstock Conversion Rates'!B$7)/12</f>
        <v>2.6833333333333331</v>
      </c>
      <c r="BV162" s="106">
        <f t="shared" si="93"/>
        <v>2.6833333333333331</v>
      </c>
      <c r="BW162" s="104"/>
      <c r="BX162" s="104"/>
      <c r="BY162" s="104"/>
      <c r="BZ162" s="104"/>
      <c r="CA162" s="106"/>
      <c r="CB162" s="104">
        <f>('Renewable Diesel'!AA171*'Feedstock Conversion Rates'!B$4)/12</f>
        <v>191.25</v>
      </c>
      <c r="CC162" s="106">
        <f t="shared" si="113"/>
        <v>191.25</v>
      </c>
      <c r="CD162" s="104">
        <f>('Renewable Diesel'!$AB171*'RD Feedstock Breakdown'!CD$3*'Feedstock Conversion Rates'!$B$6)/12</f>
        <v>0</v>
      </c>
      <c r="CE162" s="104">
        <f>('Renewable Diesel'!$AB171*'RD Feedstock Breakdown'!CE$3*'Feedstock Conversion Rates'!$B$4)/12</f>
        <v>0</v>
      </c>
      <c r="CF162" s="106">
        <f t="shared" si="108"/>
        <v>0</v>
      </c>
      <c r="CG162" s="104">
        <f>('Renewable Diesel'!AD171*'Feedstock Conversion Rates'!B$4)/12</f>
        <v>112.5</v>
      </c>
      <c r="CH162" s="106">
        <f t="shared" si="89"/>
        <v>112.5</v>
      </c>
      <c r="CI162" s="104">
        <f>('Renewable Diesel'!$AE171*'RD Feedstock Breakdown'!CI$3*'Feedstock Conversion Rates'!$B$5)/12</f>
        <v>0.17302083333333332</v>
      </c>
      <c r="CJ162" s="104">
        <f>('Renewable Diesel'!$AE171*'RD Feedstock Breakdown'!CJ$3*'Feedstock Conversion Rates'!$B$4)/12</f>
        <v>0.171875</v>
      </c>
      <c r="CK162" s="106">
        <f t="shared" si="103"/>
        <v>0.34489583333333329</v>
      </c>
      <c r="CL162" s="104">
        <f>(((CL$3*'Renewable Diesel'!$AF171)*'Feedstock Conversion Rates'!$B$3)/12)-10</f>
        <v>20.037499999999998</v>
      </c>
      <c r="CM162" s="104">
        <f>(((CM$3*'Renewable Diesel'!$AF171)*'Feedstock Conversion Rates'!$B$6)/12)+10</f>
        <v>27.587500000000002</v>
      </c>
      <c r="CN162" s="104">
        <f>(((CN$3*'Renewable Diesel'!$AF171)*'Feedstock Conversion Rates'!$B$4)/12)+10</f>
        <v>24.0625</v>
      </c>
      <c r="CO162" s="106">
        <f t="shared" si="91"/>
        <v>71.6875</v>
      </c>
      <c r="CP162" s="106"/>
      <c r="CQ162" s="106"/>
      <c r="CR162" s="106"/>
      <c r="CS162" s="106"/>
      <c r="CT162" s="104">
        <f>('Renewable Diesel'!AI171*'Feedstock Conversion Rates'!$B$4*'RD Feedstock Breakdown'!$CT$3)/12</f>
        <v>29.375</v>
      </c>
      <c r="CU162" s="106">
        <f t="shared" si="99"/>
        <v>29.375</v>
      </c>
      <c r="CV162" s="106"/>
      <c r="CW162" s="106"/>
      <c r="CX162" s="106"/>
      <c r="CY162" s="106"/>
      <c r="CZ162" s="106"/>
      <c r="DA162" s="106"/>
      <c r="DB162" s="106"/>
      <c r="DC162" s="106"/>
      <c r="DD162" s="106"/>
      <c r="DE162" s="106"/>
      <c r="DF162" s="106"/>
      <c r="DG162" s="106"/>
      <c r="DH162" s="106"/>
      <c r="DI162" s="106"/>
      <c r="DJ162" s="104">
        <f>('Renewable Diesel'!AT171*'Feedstock Conversion Rates'!$B$4*0.25)/12</f>
        <v>0</v>
      </c>
      <c r="DK162" s="104">
        <f>('Renewable Diesel'!$AT171*'RD Feedstock Breakdown'!DK$3*'Feedstock Conversion Rates'!$B$3)/12*0.5</f>
        <v>0</v>
      </c>
      <c r="DL162" s="104">
        <f>('Renewable Diesel'!$AT171*'RD Feedstock Breakdown'!$DL$3*'Feedstock Conversion Rates'!$B$6)/12</f>
        <v>0</v>
      </c>
      <c r="DM162" s="104">
        <f>('Renewable Diesel'!$AT171*'RD Feedstock Breakdown'!$DM$3*'Feedstock Conversion Rates'!$B$8)/12</f>
        <v>0</v>
      </c>
      <c r="DN162" s="106">
        <f t="shared" si="110"/>
        <v>0</v>
      </c>
      <c r="DP162" s="104">
        <f t="shared" si="73"/>
        <v>137.58249999999998</v>
      </c>
      <c r="DQ162" s="104">
        <f t="shared" si="74"/>
        <v>560.65490000000011</v>
      </c>
      <c r="DR162" s="104">
        <f t="shared" si="82"/>
        <v>1046.015625</v>
      </c>
      <c r="DS162" s="104">
        <f t="shared" si="100"/>
        <v>285.17302083333334</v>
      </c>
      <c r="DT162" s="104">
        <f t="shared" si="75"/>
        <v>103.21090000000002</v>
      </c>
      <c r="DU162" s="104">
        <f t="shared" si="76"/>
        <v>407.79800000000012</v>
      </c>
      <c r="DV162" s="104">
        <f t="shared" si="83"/>
        <v>54.5546875</v>
      </c>
      <c r="DW162" s="104">
        <f t="shared" si="77"/>
        <v>2.5</v>
      </c>
      <c r="DX162" s="106">
        <f t="shared" si="78"/>
        <v>2597.4896333333336</v>
      </c>
      <c r="DY162" s="109">
        <f t="shared" si="79"/>
        <v>-5.1159076974727213E-13</v>
      </c>
      <c r="EA162" s="110">
        <f t="shared" si="114"/>
        <v>5.2967487621285197E-2</v>
      </c>
      <c r="EB162" s="110">
        <f t="shared" si="114"/>
        <v>0.2158449037890931</v>
      </c>
      <c r="EC162" s="110">
        <f t="shared" si="114"/>
        <v>0.40270252153332298</v>
      </c>
      <c r="ED162" s="110">
        <f t="shared" si="114"/>
        <v>0.10978793415524571</v>
      </c>
      <c r="EE162" s="110">
        <f t="shared" si="114"/>
        <v>3.9734865031030159E-2</v>
      </c>
      <c r="EF162" s="110">
        <f t="shared" si="114"/>
        <v>0.15699696921472478</v>
      </c>
      <c r="EG162" s="111">
        <f t="shared" si="114"/>
        <v>2.1002850906469448E-2</v>
      </c>
      <c r="EH162" s="111">
        <f t="shared" si="84"/>
        <v>9.6246774882861571E-4</v>
      </c>
      <c r="EI162" s="110">
        <f t="shared" si="85"/>
        <v>0.99903753225117131</v>
      </c>
      <c r="EK162" s="112">
        <f>(EA162*'Renewable Diesel'!BF171*'Feedstock Conversion Rates'!B$2)+FB162</f>
        <v>95.479647355851299</v>
      </c>
      <c r="EL162" s="112">
        <f>(EB162*'Renewable Diesel'!BF171*'Feedstock Conversion Rates'!B$3)+FC162</f>
        <v>366.65433334142324</v>
      </c>
      <c r="EM162" s="112">
        <f>(EC162*'Renewable Diesel'!BF171*'Feedstock Conversion Rates'!B$4)+FD162</f>
        <v>640.51325143124018</v>
      </c>
      <c r="EN162" s="112">
        <f>(ED162*'Renewable Diesel'!BF171*'Feedstock Conversion Rates'!B$5)+FE162</f>
        <v>175.78591408363519</v>
      </c>
      <c r="EO162" s="112">
        <f>(EE162*'Renewable Diesel'!BF171*'Feedstock Conversion Rates'!B$6)+FF162</f>
        <v>79.041848341200009</v>
      </c>
      <c r="EP162" s="112">
        <f>(EF162*'Renewable Diesel'!BF171*'Feedstock Conversion Rates'!B$7)+FG162</f>
        <v>306.31030146684395</v>
      </c>
      <c r="EQ162" s="112">
        <f>(EG162*'Renewable Diesel'!BF171*'Feedstock Conversion Rates'!B$8)+FH162</f>
        <v>41.757263749573816</v>
      </c>
      <c r="ER162" s="112">
        <f>(EH162*'Renewable Diesel'!BF171*'Feedstock Conversion Rates'!B$9)+FI162</f>
        <v>1.8880366711344845</v>
      </c>
      <c r="ES162" s="112">
        <f t="shared" si="86"/>
        <v>1707.4305964409018</v>
      </c>
      <c r="ET162" s="91">
        <f>ES162/'Renewable Diesel'!BF171</f>
        <v>8.051198843194932</v>
      </c>
      <c r="EW162" s="73">
        <f t="shared" si="58"/>
        <v>816.29916551487531</v>
      </c>
      <c r="EX162" s="73">
        <f t="shared" si="59"/>
        <v>891.13143092602684</v>
      </c>
      <c r="EY162" s="92">
        <f t="shared" si="71"/>
        <v>0.4780862936487324</v>
      </c>
      <c r="EZ162" s="92">
        <f t="shared" si="71"/>
        <v>0.52191370635126777</v>
      </c>
      <c r="FB162" s="102">
        <f>IF('Renewable Diesel'!$BG171&lt;1,0,(((('Renewable Diesel'!$BG171-1)*'Renewable Diesel'!$BF171)*'RD Feedstock Breakdown'!EA162)*'Feedstock Conversion Rates'!$B$2))</f>
        <v>0</v>
      </c>
      <c r="FC162" s="102">
        <f>IF('Renewable Diesel'!$BG171&lt;1,0,(((('Renewable Diesel'!$BG171-1)*'Renewable Diesel'!$BF171)*'RD Feedstock Breakdown'!EB162)*'Feedstock Conversion Rates'!$B$3))</f>
        <v>0</v>
      </c>
      <c r="FD162" s="102">
        <f>IF('Renewable Diesel'!$BG171&lt;1,0,(((('Renewable Diesel'!$BG171-1)*'Renewable Diesel'!$BF171)*'RD Feedstock Breakdown'!EC162)*'Feedstock Conversion Rates'!$B$4))</f>
        <v>0</v>
      </c>
      <c r="FE162" s="102">
        <f>IF('Renewable Diesel'!$BG171&lt;1,0,(((('Renewable Diesel'!$BG171-1)*'Renewable Diesel'!$BF171)*'RD Feedstock Breakdown'!ED162)*'Feedstock Conversion Rates'!$B$5))</f>
        <v>0</v>
      </c>
      <c r="FF162" s="102">
        <f>IF('Renewable Diesel'!$BG171&lt;1,0,(((('Renewable Diesel'!$BG171-1)*'Renewable Diesel'!$BF171)*'RD Feedstock Breakdown'!EE162)*'Feedstock Conversion Rates'!$B$6))</f>
        <v>0</v>
      </c>
      <c r="FG162" s="102">
        <f>IF('Renewable Diesel'!$BG171&lt;1,0,(((('Renewable Diesel'!$BG171-1)*'Renewable Diesel'!$BF171)*'RD Feedstock Breakdown'!EF162)*'Feedstock Conversion Rates'!$B$7))</f>
        <v>0</v>
      </c>
      <c r="FH162" s="102">
        <f>IF('Renewable Diesel'!$BG171&lt;1,0,(((('Renewable Diesel'!$BG171-1)*'Renewable Diesel'!$BF171)*'RD Feedstock Breakdown'!EG162)*'Feedstock Conversion Rates'!$B$8))</f>
        <v>0</v>
      </c>
      <c r="FI162" s="102">
        <f>IF('Renewable Diesel'!$BG171&lt;1,0,(((('Renewable Diesel'!$BG171-1)*'Renewable Diesel'!$BF171)*'RD Feedstock Breakdown'!EH162)*'Feedstock Conversion Rates'!$B$9))</f>
        <v>0</v>
      </c>
      <c r="FJ162" s="102">
        <f t="shared" si="60"/>
        <v>0</v>
      </c>
      <c r="FL162" s="3">
        <f>('Renewable Diesel'!AX171/12*$FO$80)*'RD Feedstock Breakdown'!EC162*7.5</f>
        <v>1040.4071332889357</v>
      </c>
      <c r="FM162" s="3">
        <f t="shared" si="96"/>
        <v>399.89388185769553</v>
      </c>
      <c r="FR162" s="3">
        <f>('Renewable Diesel'!AX171-'Renewable Diesel'!BI171)/12*$FO$80</f>
        <v>60.011249999999968</v>
      </c>
      <c r="FS162" s="100">
        <f t="shared" si="97"/>
        <v>0.40270252153332298</v>
      </c>
      <c r="FT162" s="3">
        <f t="shared" si="98"/>
        <v>181.25011271524963</v>
      </c>
      <c r="FY162" s="3">
        <f>'Renewable Diesel'!BF171*('Renewable Diesel'!BI171/'Renewable Diesel'!AX171)</f>
        <v>175.12644386706947</v>
      </c>
      <c r="FZ162" s="3">
        <f>('Renewable Diesel'!BJ171*'Renewable Diesel'!BG171)/12</f>
        <v>38.749945096320808</v>
      </c>
      <c r="GA162" s="3">
        <f t="shared" si="105"/>
        <v>117.0352544967466</v>
      </c>
      <c r="GD162" s="91">
        <f>'Renewable Diesel'!BB171*0.32</f>
        <v>14.423162560000002</v>
      </c>
      <c r="GE162" s="91">
        <f>'Renewable Diesel'!BC171</f>
        <v>2.1192579999999999</v>
      </c>
      <c r="GF162" s="91">
        <f>'Renewable Diesel'!BD171</f>
        <v>0</v>
      </c>
      <c r="GG162" s="91">
        <f t="shared" si="109"/>
        <v>2.1192579999999999</v>
      </c>
      <c r="GH162" s="124">
        <v>1</v>
      </c>
      <c r="GI162" s="102">
        <f>$GG162*EA162*'Feedstock Conversion Rates'!$B$2</f>
        <v>0.9541400609911318</v>
      </c>
      <c r="GJ162" s="102">
        <f>$GG162*EB162*'Feedstock Conversion Rates'!$B$3</f>
        <v>3.6640226233052693</v>
      </c>
      <c r="GK162" s="102">
        <f>$GG162*EC162*'Feedstock Conversion Rates'!$B$4</f>
        <v>6.4007290528475016</v>
      </c>
      <c r="GL162" s="102">
        <f>$GG162*ED162*'Feedstock Conversion Rates'!$B$5</f>
        <v>1.7566506311029315</v>
      </c>
      <c r="GM162" s="102">
        <f>$GG162*EE162*'Feedstock Conversion Rates'!$B$6</f>
        <v>0.78987507898983189</v>
      </c>
      <c r="GN162" s="102">
        <f>$GG162*EF162*'Feedstock Conversion Rates'!$B$7</f>
        <v>3.0609971634533442</v>
      </c>
      <c r="GO162" s="102">
        <f>$GG162*EG162*'Feedstock Conversion Rates'!$B$8</f>
        <v>0.41728556068446215</v>
      </c>
      <c r="GP162" s="102">
        <f>$GG162*EH162*'Feedstock Conversion Rates'!B$9</f>
        <v>1.8867386657135068E-2</v>
      </c>
      <c r="GQ162" s="102">
        <f t="shared" si="87"/>
        <v>17.06256755803161</v>
      </c>
      <c r="GR162" s="85">
        <f t="shared" si="107"/>
        <v>8.0511988431949355</v>
      </c>
      <c r="GT162" s="103">
        <f t="shared" si="111"/>
        <v>5.5920075202398473E-2</v>
      </c>
      <c r="GU162" s="103">
        <f t="shared" si="94"/>
        <v>0.21474040239509903</v>
      </c>
      <c r="GV162" s="103">
        <f t="shared" si="94"/>
        <v>0.37513281814580035</v>
      </c>
      <c r="GW162" s="103">
        <f t="shared" si="94"/>
        <v>0.10295347550293214</v>
      </c>
      <c r="GX162" s="103">
        <f t="shared" si="94"/>
        <v>4.6292861628437994E-2</v>
      </c>
      <c r="GY162" s="103">
        <f t="shared" si="94"/>
        <v>0.17939839083669956</v>
      </c>
      <c r="GZ162" s="103">
        <f t="shared" si="94"/>
        <v>2.4456199763911831E-2</v>
      </c>
      <c r="HA162" s="103">
        <f t="shared" si="94"/>
        <v>1.1057765247208594E-3</v>
      </c>
    </row>
    <row r="163" spans="1:209" x14ac:dyDescent="0.25">
      <c r="A163" s="96">
        <v>45383</v>
      </c>
      <c r="B163" s="104">
        <f t="shared" si="115"/>
        <v>0</v>
      </c>
      <c r="C163" s="104">
        <f t="shared" si="116"/>
        <v>0</v>
      </c>
      <c r="D163" s="104">
        <f t="shared" si="95"/>
        <v>1.5</v>
      </c>
      <c r="E163" s="104">
        <f>('Renewable Diesel'!B172*E$3*'Feedstock Conversion Rates'!$B$2)/12-40+1.25+6-43+30-15+12.5-4+1.5+26+2.5+3-10+50+9-15-25-55+50-15</f>
        <v>59.679999999999993</v>
      </c>
      <c r="F163" s="104">
        <f>('Renewable Diesel'!B172*'RD Feedstock Breakdown'!F$3*'Feedstock Conversion Rates'!B$8)/12+28.5-49-5+2-6+1+6+20-20-3.75+10+2.5+5-20-20+25+5</f>
        <v>35.15625</v>
      </c>
      <c r="G163" s="104">
        <f>('Renewable Diesel'!B172*'RD Feedstock Breakdown'!G$3*'Feedstock Conversion Rates'!B$7)/12-25-15-25+4+4-20-40-20+10-17.5+20+50-12+32.5+35-75-75+22.5+5-20+15+125-50-10-5-50</f>
        <v>39.657000000000011</v>
      </c>
      <c r="H163" s="104">
        <f>('Renewable Diesel'!B172*'RD Feedstock Breakdown'!H$3*'Feedstock Conversion Rates'!B$3)/12-85+4-15+70-65-80+50-22.5-5+25+27.5+15+50+15-10+5+50+75-5-25-85-12.5+30+22.5-25-30+150+90-120+25+50+15</f>
        <v>360.40022499999998</v>
      </c>
      <c r="I163" s="106">
        <f t="shared" si="106"/>
        <v>496.39347499999997</v>
      </c>
      <c r="J163" s="104">
        <f t="shared" si="117"/>
        <v>0.25</v>
      </c>
      <c r="K163" s="104"/>
      <c r="L163" s="104">
        <v>1</v>
      </c>
      <c r="M163" s="104">
        <f>('Renewable Diesel'!C172*'RD Feedstock Breakdown'!M$3*'Feedstock Conversion Rates'!B$2)/12</f>
        <v>38.951250000000002</v>
      </c>
      <c r="N163" s="104">
        <f>('Renewable Diesel'!C172*'RD Feedstock Breakdown'!N$3*'Feedstock Conversion Rates'!B$8)/12</f>
        <v>18.359375</v>
      </c>
      <c r="O163" s="104">
        <f>('Renewable Diesel'!C172*'RD Feedstock Breakdown'!O$3*'Feedstock Conversion Rates'!B$7)/12</f>
        <v>59.9955</v>
      </c>
      <c r="P163" s="104">
        <f>('Renewable Diesel'!C172*'RD Feedstock Breakdown'!P$3*'Feedstock Conversion Rates'!B$3)/12</f>
        <v>52.23521250000001</v>
      </c>
      <c r="Q163" s="106">
        <f t="shared" si="119"/>
        <v>170.79133750000003</v>
      </c>
      <c r="R163" s="104">
        <f>('Renewable Diesel'!D172*'RD Feedstock Breakdown'!R$3*'Feedstock Conversion Rates'!B$7)/12</f>
        <v>2.2999999999999998</v>
      </c>
      <c r="S163" s="106">
        <f t="shared" si="67"/>
        <v>2.2999999999999998</v>
      </c>
      <c r="T163" s="104">
        <f t="shared" si="118"/>
        <v>0</v>
      </c>
      <c r="U163" s="104">
        <v>0</v>
      </c>
      <c r="V163" s="104">
        <f>('Renewable Diesel'!E172*'RD Feedstock Breakdown'!V$3*'Feedstock Conversion Rates'!B$6)/12-20-5-5+32.5-35+25-15+22+20</f>
        <v>63.750150000000012</v>
      </c>
      <c r="W163" s="104">
        <f>('Renewable Diesel'!E172*'RD Feedstock Breakdown'!W$3*'Feedstock Conversion Rates'!B$8)/12-2.5+3-20</f>
        <v>2.6796875</v>
      </c>
      <c r="X163" s="106">
        <f t="shared" si="88"/>
        <v>66.429837500000019</v>
      </c>
      <c r="Y163" s="104">
        <f t="shared" ref="Y163:Y168" si="122">50+32-14+73+11-15-75-62+41+24-65+40-40+70-70</f>
        <v>0</v>
      </c>
      <c r="Z163" s="104">
        <f>('Renewable Diesel'!F172*'RD Feedstock Breakdown'!Z$3*'Feedstock Conversion Rates'!B$6)/12-50-32-11+15-41+40-40+70</f>
        <v>-4.4449999999999932</v>
      </c>
      <c r="AA163" s="104">
        <f>('Renewable Diesel'!F172*'RD Feedstock Breakdown'!AA$3*'Feedstock Conversion Rates'!B$7)/12+14-73+75+62-24+25+40-70</f>
        <v>78.133333333333326</v>
      </c>
      <c r="AB163" s="106">
        <f t="shared" si="62"/>
        <v>73.688333333333333</v>
      </c>
      <c r="AC163" s="104">
        <f>('Renewable Diesel'!G172*'RD Feedstock Breakdown'!AC$3*'Feedstock Conversion Rates'!B$5)/12</f>
        <v>0</v>
      </c>
      <c r="AD163" s="104">
        <f>('Renewable Diesel'!G172*'RD Feedstock Breakdown'!AD$3*'Feedstock Conversion Rates'!B$4)/12</f>
        <v>0</v>
      </c>
      <c r="AE163" s="104">
        <f>('Renewable Diesel'!G172*'RD Feedstock Breakdown'!AE$3*'Feedstock Conversion Rates'!B$6)/12</f>
        <v>0</v>
      </c>
      <c r="AF163" s="106">
        <f t="shared" si="101"/>
        <v>0</v>
      </c>
      <c r="AG163" s="104">
        <f t="shared" si="121"/>
        <v>135</v>
      </c>
      <c r="AH163" s="104">
        <v>0</v>
      </c>
      <c r="AI163" s="104">
        <f>('Renewable Diesel'!H172*'RD Feedstock Breakdown'!AI$3*'Feedstock Conversion Rates'!B$6)/12-130-23+3+51+99-50-150+80+10+15-60+15+140-70-65</f>
        <v>13.51666666666668</v>
      </c>
      <c r="AJ163" s="106">
        <f t="shared" si="65"/>
        <v>148.51666666666668</v>
      </c>
      <c r="AK163" s="104">
        <f>('Renewable Diesel'!J172*'RD Feedstock Breakdown'!AK$3*'Feedstock Conversion Rates'!B$4)/12</f>
        <v>95.8125</v>
      </c>
      <c r="AL163" s="106">
        <f t="shared" si="68"/>
        <v>95.8125</v>
      </c>
      <c r="AM163" s="104">
        <f>('Renewable Diesel'!K172*'RD Feedstock Breakdown'!AM$3*'Feedstock Conversion Rates'!B$4)/12+20-30</f>
        <v>48.59375</v>
      </c>
      <c r="AN163" s="104">
        <f>('Renewable Diesel'!K172*'RD Feedstock Breakdown'!AN$3*'Feedstock Conversion Rates'!B$6)/12-20+30</f>
        <v>34.427083333333329</v>
      </c>
      <c r="AO163" s="106">
        <f t="shared" si="81"/>
        <v>83.020833333333329</v>
      </c>
      <c r="AP163" s="104">
        <f>('Renewable Diesel'!L172*'RD Feedstock Breakdown'!AP$3*'Feedstock Conversion Rates'!B$4)/12+15-10+15</f>
        <v>78.59375</v>
      </c>
      <c r="AQ163" s="104">
        <f>('Renewable Diesel'!L172*'RD Feedstock Breakdown'!AQ$3*'Feedstock Conversion Rates'!B$6)/12-15+10-15</f>
        <v>4.4270833333333321</v>
      </c>
      <c r="AR163" s="106">
        <f t="shared" si="70"/>
        <v>83.020833333333329</v>
      </c>
      <c r="AS163" s="104">
        <f>('Renewable Diesel'!M172*'RD Feedstock Breakdown'!AS$3*'Feedstock Conversion Rates'!B$4)/12-150</f>
        <v>306.25</v>
      </c>
      <c r="AT163" s="104">
        <f>('Renewable Diesel'!M172*'RD Feedstock Breakdown'!AT$3*'Feedstock Conversion Rates'!B$5)/12+150</f>
        <v>150</v>
      </c>
      <c r="AU163" s="106">
        <f t="shared" si="104"/>
        <v>456.25</v>
      </c>
      <c r="AV163" s="104">
        <f>'Renewable Diesel'!N172*'RD Feedstock Breakdown'!$AV$3*'Feedstock Conversion Rates'!$B$4/12-15-10+25+25-22-75+75+22.5-80</f>
        <v>24.249999999999986</v>
      </c>
      <c r="AW163" s="104">
        <f>'Renewable Diesel'!N172*'RD Feedstock Breakdown'!$AW$3*'Feedstock Conversion Rates'!$B$7/12+15+10-25-25+22+75-75-22.5+80</f>
        <v>95.9</v>
      </c>
      <c r="AX163" s="106">
        <f t="shared" si="63"/>
        <v>120.14999999999999</v>
      </c>
      <c r="AY163" s="104">
        <f>('Renewable Diesel'!O172*'RD Feedstock Breakdown'!AY$3*'Feedstock Conversion Rates'!B$4)/12-125-13</f>
        <v>2.625</v>
      </c>
      <c r="AZ163" s="104">
        <f>('Renewable Diesel'!O172*'RD Feedstock Breakdown'!AZ$3*'Feedstock Conversion Rates'!B$3)/12+125+13</f>
        <v>154.6875</v>
      </c>
      <c r="BA163" s="106">
        <f t="shared" si="120"/>
        <v>157.3125</v>
      </c>
      <c r="BB163" s="104">
        <f>('Renewable Diesel'!Q172*'RD Feedstock Breakdown'!BB$3*'Feedstock Conversion Rates'!B$4)/12</f>
        <v>11.156249999999998</v>
      </c>
      <c r="BC163" s="104">
        <f>('Renewable Diesel'!Q172*'RD Feedstock Breakdown'!BC$3*'Feedstock Conversion Rates'!B$3)/12</f>
        <v>1.4017500000000001</v>
      </c>
      <c r="BD163" s="104">
        <f>('Renewable Diesel'!Q172*'RD Feedstock Breakdown'!BD$3*'Feedstock Conversion Rates'!B$6)/12</f>
        <v>0.8207500000000002</v>
      </c>
      <c r="BE163" s="106">
        <f t="shared" si="90"/>
        <v>13.378749999999998</v>
      </c>
      <c r="BF163" s="104">
        <f>('Renewable Diesel'!R172*'RD Feedstock Breakdown'!BF$3*'Feedstock Conversion Rates'!B$4)/12</f>
        <v>62.5</v>
      </c>
      <c r="BG163" s="106">
        <f t="shared" si="72"/>
        <v>62.5</v>
      </c>
      <c r="BH163" s="104">
        <f>('Renewable Diesel'!T172*'RD Feedstock Breakdown'!BH$3*'Feedstock Conversion Rates'!B$7)/12</f>
        <v>27.599999999999998</v>
      </c>
      <c r="BI163" s="106">
        <f t="shared" si="64"/>
        <v>27.599999999999998</v>
      </c>
      <c r="BJ163" s="104">
        <f>('Renewable Diesel'!W172*'RD Feedstock Breakdown'!BJ$3*'Feedstock Conversion Rates'!B$4)/12</f>
        <v>7.5</v>
      </c>
      <c r="BK163" s="104">
        <f>('Renewable Diesel'!W172*'RD Feedstock Breakdown'!BK$3*'Feedstock Conversion Rates'!B$3)/12</f>
        <v>1.335</v>
      </c>
      <c r="BL163" s="104">
        <f>('Renewable Diesel'!W172*'RD Feedstock Breakdown'!BL$3*'Feedstock Conversion Rates'!B$6)/12</f>
        <v>3.1266666666666669</v>
      </c>
      <c r="BM163" s="104">
        <f>('Renewable Diesel'!W172*'RD Feedstock Breakdown'!BM$3*'Feedstock Conversion Rates'!B$7)/12</f>
        <v>1.5333333333333332</v>
      </c>
      <c r="BN163" s="106">
        <f t="shared" si="112"/>
        <v>13.495000000000001</v>
      </c>
      <c r="BO163" s="104">
        <f>('Renewable Diesel'!P172*'Feedstock Conversion Rates'!B$4)/12</f>
        <v>31.25</v>
      </c>
      <c r="BP163" s="106">
        <f t="shared" si="102"/>
        <v>31.25</v>
      </c>
      <c r="BQ163" s="104"/>
      <c r="BR163" s="104"/>
      <c r="BS163" s="106"/>
      <c r="BT163" s="106"/>
      <c r="BU163" s="104">
        <f>('Renewable Diesel'!Y172*'Feedstock Conversion Rates'!B$7)/12</f>
        <v>2.6833333333333331</v>
      </c>
      <c r="BV163" s="106">
        <f t="shared" si="93"/>
        <v>2.6833333333333331</v>
      </c>
      <c r="BW163" s="104"/>
      <c r="BX163" s="104"/>
      <c r="BY163" s="104"/>
      <c r="BZ163" s="104"/>
      <c r="CA163" s="106"/>
      <c r="CB163" s="104">
        <f>('Renewable Diesel'!AA172*'Feedstock Conversion Rates'!B$4)/12</f>
        <v>191.25</v>
      </c>
      <c r="CC163" s="106">
        <f t="shared" si="113"/>
        <v>191.25</v>
      </c>
      <c r="CD163" s="104">
        <f>('Renewable Diesel'!$AB172*'RD Feedstock Breakdown'!CD$3*'Feedstock Conversion Rates'!$B$6)/12</f>
        <v>0</v>
      </c>
      <c r="CE163" s="104">
        <f>('Renewable Diesel'!$AB172*'RD Feedstock Breakdown'!CE$3*'Feedstock Conversion Rates'!$B$4)/12</f>
        <v>0</v>
      </c>
      <c r="CF163" s="106">
        <f t="shared" si="108"/>
        <v>0</v>
      </c>
      <c r="CG163" s="104">
        <f>('Renewable Diesel'!AD172*'Feedstock Conversion Rates'!B$4)/12</f>
        <v>112.5</v>
      </c>
      <c r="CH163" s="106">
        <f t="shared" si="89"/>
        <v>112.5</v>
      </c>
      <c r="CI163" s="104">
        <f>('Renewable Diesel'!$AE172*'RD Feedstock Breakdown'!CI$3*'Feedstock Conversion Rates'!$B$5)/12</f>
        <v>0.17302083333333332</v>
      </c>
      <c r="CJ163" s="104">
        <f>('Renewable Diesel'!$AE172*'RD Feedstock Breakdown'!CJ$3*'Feedstock Conversion Rates'!$B$4)/12</f>
        <v>0.171875</v>
      </c>
      <c r="CK163" s="106">
        <f t="shared" si="103"/>
        <v>0.34489583333333329</v>
      </c>
      <c r="CL163" s="104">
        <f>(((CL$3*'Renewable Diesel'!$AF172)*'Feedstock Conversion Rates'!$B$3)/12)-10</f>
        <v>20.037499999999998</v>
      </c>
      <c r="CM163" s="104">
        <f>(((CM$3*'Renewable Diesel'!$AF172)*'Feedstock Conversion Rates'!$B$6)/12)+10</f>
        <v>27.587500000000002</v>
      </c>
      <c r="CN163" s="104">
        <f>(((CN$3*'Renewable Diesel'!$AF172)*'Feedstock Conversion Rates'!$B$4)/12)+10</f>
        <v>24.0625</v>
      </c>
      <c r="CO163" s="106">
        <f t="shared" si="91"/>
        <v>71.6875</v>
      </c>
      <c r="CP163" s="106"/>
      <c r="CQ163" s="106"/>
      <c r="CR163" s="106"/>
      <c r="CS163" s="106"/>
      <c r="CT163" s="104">
        <f>('Renewable Diesel'!AI172*'Feedstock Conversion Rates'!$B$4*'RD Feedstock Breakdown'!$CT$3)/12</f>
        <v>29.375</v>
      </c>
      <c r="CU163" s="106">
        <f t="shared" si="99"/>
        <v>29.375</v>
      </c>
      <c r="CV163" s="106"/>
      <c r="CW163" s="106"/>
      <c r="CX163" s="106"/>
      <c r="CY163" s="106"/>
      <c r="CZ163" s="106"/>
      <c r="DA163" s="106"/>
      <c r="DB163" s="106"/>
      <c r="DC163" s="106"/>
      <c r="DD163" s="106"/>
      <c r="DE163" s="106"/>
      <c r="DF163" s="106"/>
      <c r="DG163" s="106"/>
      <c r="DH163" s="106"/>
      <c r="DI163" s="106"/>
      <c r="DJ163" s="104">
        <f>('Renewable Diesel'!AT172*'Feedstock Conversion Rates'!$B$4*0.25)/12</f>
        <v>0</v>
      </c>
      <c r="DK163" s="104">
        <f>('Renewable Diesel'!$AT172*'RD Feedstock Breakdown'!DK$3*'Feedstock Conversion Rates'!$B$3)/12*0.5</f>
        <v>0</v>
      </c>
      <c r="DL163" s="104">
        <f>('Renewable Diesel'!$AT172*'RD Feedstock Breakdown'!$DL$3*'Feedstock Conversion Rates'!$B$6)/12</f>
        <v>0</v>
      </c>
      <c r="DM163" s="104">
        <f>('Renewable Diesel'!$AT172*'RD Feedstock Breakdown'!$DM$3*'Feedstock Conversion Rates'!$B$8)/12</f>
        <v>0</v>
      </c>
      <c r="DN163" s="106">
        <f t="shared" si="110"/>
        <v>0</v>
      </c>
      <c r="DP163" s="104">
        <f t="shared" si="73"/>
        <v>98.631249999999994</v>
      </c>
      <c r="DQ163" s="104">
        <f t="shared" si="74"/>
        <v>590.09718750000002</v>
      </c>
      <c r="DR163" s="104">
        <f t="shared" si="82"/>
        <v>1026.140625</v>
      </c>
      <c r="DS163" s="104">
        <f t="shared" si="100"/>
        <v>285.17302083333334</v>
      </c>
      <c r="DT163" s="104">
        <f t="shared" si="75"/>
        <v>143.21090000000004</v>
      </c>
      <c r="DU163" s="104">
        <f t="shared" si="76"/>
        <v>307.80250000000001</v>
      </c>
      <c r="DV163" s="104">
        <f t="shared" si="83"/>
        <v>56.1953125</v>
      </c>
      <c r="DW163" s="104">
        <f t="shared" si="77"/>
        <v>2.5</v>
      </c>
      <c r="DX163" s="106">
        <f t="shared" si="78"/>
        <v>2509.7507958333335</v>
      </c>
      <c r="DY163" s="109">
        <f t="shared" si="79"/>
        <v>-5.1159076974727213E-13</v>
      </c>
      <c r="EA163" s="110">
        <f t="shared" si="114"/>
        <v>3.9299220529682363E-2</v>
      </c>
      <c r="EB163" s="110">
        <f t="shared" si="114"/>
        <v>0.23512182503524823</v>
      </c>
      <c r="EC163" s="110">
        <f t="shared" si="114"/>
        <v>0.40886155976266242</v>
      </c>
      <c r="ED163" s="110">
        <f t="shared" si="114"/>
        <v>0.11362603064287304</v>
      </c>
      <c r="EE163" s="110">
        <f t="shared" si="114"/>
        <v>5.7061800812159329E-2</v>
      </c>
      <c r="EF163" s="110">
        <f t="shared" si="114"/>
        <v>0.12264265460579235</v>
      </c>
      <c r="EG163" s="111">
        <f t="shared" si="114"/>
        <v>2.2390793776535491E-2</v>
      </c>
      <c r="EH163" s="111">
        <f t="shared" si="84"/>
        <v>9.9611483504676176E-4</v>
      </c>
      <c r="EI163" s="110">
        <f t="shared" si="85"/>
        <v>0.9990038851649532</v>
      </c>
      <c r="EK163" s="112">
        <f>(EA163*'Renewable Diesel'!BF172*'Feedstock Conversion Rates'!B$2)+FB163</f>
        <v>94.154544497317943</v>
      </c>
      <c r="EL163" s="112">
        <f>(EB163*'Renewable Diesel'!BF172*'Feedstock Conversion Rates'!B$3)+FC163</f>
        <v>530.84029835391868</v>
      </c>
      <c r="EM163" s="112">
        <f>(EC163*'Renewable Diesel'!BF172*'Feedstock Conversion Rates'!B$4)+FD163</f>
        <v>864.32279893156544</v>
      </c>
      <c r="EN163" s="112">
        <f>(ED163*'Renewable Diesel'!BF172*'Feedstock Conversion Rates'!B$5)+FE163</f>
        <v>241.80385006854772</v>
      </c>
      <c r="EO163" s="112">
        <f>(EE163*'Renewable Diesel'!BF172*'Feedstock Conversion Rates'!B$6)+FF163</f>
        <v>150.86438830366879</v>
      </c>
      <c r="EP163" s="112">
        <f>(EF163*'Renewable Diesel'!BF172*'Feedstock Conversion Rates'!B$7)+FG163</f>
        <v>318.02978381925965</v>
      </c>
      <c r="EQ163" s="112">
        <f>(EG163*'Renewable Diesel'!BF172*'Feedstock Conversion Rates'!B$8)+FH163</f>
        <v>59.166951151108044</v>
      </c>
      <c r="ER163" s="112">
        <f>(EH163*'Renewable Diesel'!BF172*'Feedstock Conversion Rates'!B$9)+FI163</f>
        <v>2.5971053399290769</v>
      </c>
      <c r="ES163" s="112">
        <f t="shared" si="86"/>
        <v>2261.7797204653157</v>
      </c>
      <c r="ET163" s="91">
        <f>ES163/'Renewable Diesel'!BF172</f>
        <v>8.0243872904788454</v>
      </c>
      <c r="EW163" s="73">
        <f t="shared" si="58"/>
        <v>1106.126649000113</v>
      </c>
      <c r="EX163" s="73">
        <f t="shared" si="59"/>
        <v>1155.6530714652022</v>
      </c>
      <c r="EY163" s="92">
        <f t="shared" si="71"/>
        <v>0.48905144872929968</v>
      </c>
      <c r="EZ163" s="92">
        <f t="shared" si="71"/>
        <v>0.51094855127070016</v>
      </c>
      <c r="FB163" s="102">
        <f>IF('Renewable Diesel'!$BG172&lt;1,0,(((('Renewable Diesel'!$BG172-1)*'Renewable Diesel'!$BF172)*'RD Feedstock Breakdown'!EA163)*'Feedstock Conversion Rates'!$B$2))</f>
        <v>0</v>
      </c>
      <c r="FC163" s="102">
        <f>IF('Renewable Diesel'!$BG172&lt;1,0,(((('Renewable Diesel'!$BG172-1)*'Renewable Diesel'!$BF172)*'RD Feedstock Breakdown'!EB163)*'Feedstock Conversion Rates'!$B$3))</f>
        <v>0</v>
      </c>
      <c r="FD163" s="102">
        <f>IF('Renewable Diesel'!$BG172&lt;1,0,(((('Renewable Diesel'!$BG172-1)*'Renewable Diesel'!$BF172)*'RD Feedstock Breakdown'!EC163)*'Feedstock Conversion Rates'!$B$4))</f>
        <v>0</v>
      </c>
      <c r="FE163" s="102">
        <f>IF('Renewable Diesel'!$BG172&lt;1,0,(((('Renewable Diesel'!$BG172-1)*'Renewable Diesel'!$BF172)*'RD Feedstock Breakdown'!ED163)*'Feedstock Conversion Rates'!$B$5))</f>
        <v>0</v>
      </c>
      <c r="FF163" s="102">
        <f>IF('Renewable Diesel'!$BG172&lt;1,0,(((('Renewable Diesel'!$BG172-1)*'Renewable Diesel'!$BF172)*'RD Feedstock Breakdown'!EE163)*'Feedstock Conversion Rates'!$B$6))</f>
        <v>0</v>
      </c>
      <c r="FG163" s="102">
        <f>IF('Renewable Diesel'!$BG172&lt;1,0,(((('Renewable Diesel'!$BG172-1)*'Renewable Diesel'!$BF172)*'RD Feedstock Breakdown'!EF163)*'Feedstock Conversion Rates'!$B$7))</f>
        <v>0</v>
      </c>
      <c r="FH163" s="102">
        <f>IF('Renewable Diesel'!$BG172&lt;1,0,(((('Renewable Diesel'!$BG172-1)*'Renewable Diesel'!$BF172)*'RD Feedstock Breakdown'!EG163)*'Feedstock Conversion Rates'!$B$8))</f>
        <v>0</v>
      </c>
      <c r="FI163" s="102">
        <f>IF('Renewable Diesel'!$BG172&lt;1,0,(((('Renewable Diesel'!$BG172-1)*'Renewable Diesel'!$BF172)*'RD Feedstock Breakdown'!EH163)*'Feedstock Conversion Rates'!$B$9))</f>
        <v>0</v>
      </c>
      <c r="FJ163" s="102">
        <f t="shared" si="60"/>
        <v>0</v>
      </c>
      <c r="FL163" s="3">
        <f>('Renewable Diesel'!AX172/12*$FO$80)*'RD Feedstock Breakdown'!EC163*7.5</f>
        <v>1057.9292858858889</v>
      </c>
      <c r="FM163" s="3">
        <f t="shared" si="96"/>
        <v>193.60648695432349</v>
      </c>
      <c r="FR163" s="3">
        <f>('Renewable Diesel'!AX172-'Renewable Diesel'!BI172)/12*$FO$80</f>
        <v>66.536249999999967</v>
      </c>
      <c r="FS163" s="100">
        <f t="shared" si="97"/>
        <v>0.40886155976266242</v>
      </c>
      <c r="FT163" s="3">
        <f t="shared" si="98"/>
        <v>204.03086216818826</v>
      </c>
      <c r="FY163" s="3">
        <f>'Renewable Diesel'!BF172*('Renewable Diesel'!BI172/'Renewable Diesel'!AX172)</f>
        <v>227.50345510989132</v>
      </c>
      <c r="FZ163" s="3">
        <f>('Renewable Diesel'!BJ172*'Renewable Diesel'!BG172)/12</f>
        <v>53.336875900241033</v>
      </c>
      <c r="GA163" s="3">
        <f t="shared" si="105"/>
        <v>163.55548705080079</v>
      </c>
      <c r="GD163" s="91">
        <f>'Renewable Diesel'!BB172*0.32</f>
        <v>16.79209152</v>
      </c>
      <c r="GE163" s="91">
        <f>'Renewable Diesel'!BC172</f>
        <v>2.7430780000000001</v>
      </c>
      <c r="GF163" s="91">
        <f>'Renewable Diesel'!BD172</f>
        <v>0</v>
      </c>
      <c r="GG163" s="91">
        <f t="shared" si="109"/>
        <v>2.7430780000000001</v>
      </c>
      <c r="GH163" s="124">
        <v>1</v>
      </c>
      <c r="GI163" s="102">
        <f>$GG163*EA163*'Feedstock Conversion Rates'!$B$2</f>
        <v>0.91630703164302041</v>
      </c>
      <c r="GJ163" s="102">
        <f>$GG163*EB163*'Feedstock Conversion Rates'!$B$3</f>
        <v>5.1661096196480489</v>
      </c>
      <c r="GK163" s="102">
        <f>$GG163*EC163*'Feedstock Conversion Rates'!$B$4</f>
        <v>8.4115436222298339</v>
      </c>
      <c r="GL163" s="102">
        <f>$GG163*ED163*'Feedstock Conversion Rates'!$B$5</f>
        <v>2.353222239872621</v>
      </c>
      <c r="GM163" s="102">
        <f>$GG163*EE163*'Feedstock Conversion Rates'!$B$6</f>
        <v>1.46820422280427</v>
      </c>
      <c r="GN163" s="102">
        <f>$GG163*EF163*'Feedstock Conversion Rates'!$B$7</f>
        <v>3.0950489829388785</v>
      </c>
      <c r="GO163" s="102">
        <f>$GG163*EG163*'Feedstock Conversion Rates'!$B$8</f>
        <v>0.57580962947766967</v>
      </c>
      <c r="GP163" s="102">
        <f>$GG163*EH163*'Feedstock Conversion Rates'!B$9</f>
        <v>2.5274891377786209E-2</v>
      </c>
      <c r="GQ163" s="102">
        <f t="shared" si="87"/>
        <v>22.01152023999213</v>
      </c>
      <c r="GR163" s="85">
        <f t="shared" si="107"/>
        <v>8.0243872904788454</v>
      </c>
      <c r="GT163" s="103">
        <f t="shared" si="111"/>
        <v>4.1628520958684488E-2</v>
      </c>
      <c r="GU163" s="103">
        <f t="shared" si="94"/>
        <v>0.23470026437619179</v>
      </c>
      <c r="GV163" s="103">
        <f t="shared" si="94"/>
        <v>0.38214278389309658</v>
      </c>
      <c r="GW163" s="103">
        <f t="shared" si="94"/>
        <v>0.10690866483620318</v>
      </c>
      <c r="GX163" s="103">
        <f t="shared" si="94"/>
        <v>6.6701627456731943E-2</v>
      </c>
      <c r="GY163" s="103">
        <f t="shared" si="94"/>
        <v>0.14061041441906263</v>
      </c>
      <c r="GZ163" s="103">
        <f t="shared" si="94"/>
        <v>2.6159466642903507E-2</v>
      </c>
      <c r="HA163" s="103">
        <f t="shared" si="94"/>
        <v>1.1482574171258265E-3</v>
      </c>
    </row>
    <row r="164" spans="1:209" x14ac:dyDescent="0.25">
      <c r="A164" s="96">
        <v>45413</v>
      </c>
      <c r="B164" s="104">
        <f t="shared" si="115"/>
        <v>0</v>
      </c>
      <c r="C164" s="104">
        <f t="shared" si="116"/>
        <v>0</v>
      </c>
      <c r="D164" s="104">
        <f t="shared" si="95"/>
        <v>1.5</v>
      </c>
      <c r="E164" s="104">
        <f>('Renewable Diesel'!B173*E$3*'Feedstock Conversion Rates'!$B$2)/12-40+1.25+6-43+30-15+12.5-4+1.5+26+2.5+3-10+50+9-15-25-55+50-15</f>
        <v>59.679999999999993</v>
      </c>
      <c r="F164" s="104">
        <f>('Renewable Diesel'!B173*'RD Feedstock Breakdown'!F$3*'Feedstock Conversion Rates'!B$8)/12+28.5-49-5+2-6+1+6+20-20-3.75+10+2.5+5-20-20+25+5</f>
        <v>35.15625</v>
      </c>
      <c r="G164" s="104">
        <f>('Renewable Diesel'!B173*'RD Feedstock Breakdown'!G$3*'Feedstock Conversion Rates'!B$7)/12-25-15-25+4+4-20-40-20+10-17.5+20+50-12+32.5+35-75-75+22.5+5-20+15+125-50-10-5-50</f>
        <v>39.657000000000011</v>
      </c>
      <c r="H164" s="104">
        <f>('Renewable Diesel'!B173*'RD Feedstock Breakdown'!H$3*'Feedstock Conversion Rates'!B$3)/12-85+4-15+70-65-80+50-22.5-5+25+27.5+15+50+15-10+5+50+75-5-25-85-12.5+30+22.5-25-30+150+90-120+25+50+15</f>
        <v>360.40022499999998</v>
      </c>
      <c r="I164" s="106">
        <f t="shared" si="106"/>
        <v>496.39347499999997</v>
      </c>
      <c r="J164" s="104">
        <f t="shared" si="117"/>
        <v>0.25</v>
      </c>
      <c r="K164" s="104"/>
      <c r="L164" s="104">
        <v>1</v>
      </c>
      <c r="M164" s="104">
        <f>('Renewable Diesel'!C173*'RD Feedstock Breakdown'!M$3*'Feedstock Conversion Rates'!B$2)/12</f>
        <v>38.951250000000002</v>
      </c>
      <c r="N164" s="104">
        <f>('Renewable Diesel'!C173*'RD Feedstock Breakdown'!N$3*'Feedstock Conversion Rates'!B$8)/12</f>
        <v>18.359375</v>
      </c>
      <c r="O164" s="104">
        <f>('Renewable Diesel'!C173*'RD Feedstock Breakdown'!O$3*'Feedstock Conversion Rates'!B$7)/12</f>
        <v>59.9955</v>
      </c>
      <c r="P164" s="104">
        <f>('Renewable Diesel'!C173*'RD Feedstock Breakdown'!P$3*'Feedstock Conversion Rates'!B$3)/12</f>
        <v>52.23521250000001</v>
      </c>
      <c r="Q164" s="106">
        <f>SUM(J164:P164)</f>
        <v>170.79133750000003</v>
      </c>
      <c r="R164" s="104">
        <f>('Renewable Diesel'!D173*'RD Feedstock Breakdown'!R$3*'Feedstock Conversion Rates'!B$7)/12</f>
        <v>2.2999999999999998</v>
      </c>
      <c r="S164" s="106">
        <f t="shared" si="67"/>
        <v>2.2999999999999998</v>
      </c>
      <c r="T164" s="104">
        <f t="shared" si="118"/>
        <v>0</v>
      </c>
      <c r="U164" s="104">
        <v>0</v>
      </c>
      <c r="V164" s="104">
        <f>('Renewable Diesel'!E173*'RD Feedstock Breakdown'!V$3*'Feedstock Conversion Rates'!B$6)/12-20-5-5+32.5-35+25-15+22+20</f>
        <v>63.750150000000012</v>
      </c>
      <c r="W164" s="104">
        <f>('Renewable Diesel'!E173*'RD Feedstock Breakdown'!W$3*'Feedstock Conversion Rates'!B$8)/12-2.5+3-20</f>
        <v>2.6796875</v>
      </c>
      <c r="X164" s="106">
        <f>SUM(T164:W164)</f>
        <v>66.429837500000019</v>
      </c>
      <c r="Y164" s="104">
        <f t="shared" si="122"/>
        <v>0</v>
      </c>
      <c r="Z164" s="104">
        <f>('Renewable Diesel'!F173*'RD Feedstock Breakdown'!Z$3*'Feedstock Conversion Rates'!B$6)/12-50-32-11+15-41+40-40+70</f>
        <v>-4.4449999999999932</v>
      </c>
      <c r="AA164" s="104">
        <f>('Renewable Diesel'!F173*'RD Feedstock Breakdown'!AA$3*'Feedstock Conversion Rates'!B$7)/12+14-73+75+62-24+25+40-70</f>
        <v>78.133333333333326</v>
      </c>
      <c r="AB164" s="106">
        <f>SUM(Y164:AA164)</f>
        <v>73.688333333333333</v>
      </c>
      <c r="AC164" s="104">
        <f>('Renewable Diesel'!G173*'RD Feedstock Breakdown'!AC$3*'Feedstock Conversion Rates'!B$5)/12</f>
        <v>0</v>
      </c>
      <c r="AD164" s="104">
        <f>('Renewable Diesel'!G173*'RD Feedstock Breakdown'!AD$3*'Feedstock Conversion Rates'!B$4)/12</f>
        <v>0</v>
      </c>
      <c r="AE164" s="104">
        <f>('Renewable Diesel'!G173*'RD Feedstock Breakdown'!AE$3*'Feedstock Conversion Rates'!B$6)/12</f>
        <v>0</v>
      </c>
      <c r="AF164" s="106">
        <f>SUM(AC164:AE164)</f>
        <v>0</v>
      </c>
      <c r="AG164" s="104">
        <f t="shared" si="121"/>
        <v>135</v>
      </c>
      <c r="AH164" s="104">
        <v>0</v>
      </c>
      <c r="AI164" s="104">
        <f>('Renewable Diesel'!H173*'RD Feedstock Breakdown'!AI$3*'Feedstock Conversion Rates'!B$6)/12-130-23+3+51+99-50-150+80+10+15-60+15+140-70-65</f>
        <v>13.51666666666668</v>
      </c>
      <c r="AJ164" s="106">
        <f t="shared" si="65"/>
        <v>148.51666666666668</v>
      </c>
      <c r="AK164" s="104">
        <f>('Renewable Diesel'!J173*'RD Feedstock Breakdown'!AK$3*'Feedstock Conversion Rates'!B$4)/12</f>
        <v>95.8125</v>
      </c>
      <c r="AL164" s="106">
        <f t="shared" si="68"/>
        <v>95.8125</v>
      </c>
      <c r="AM164" s="104">
        <f>('Renewable Diesel'!K173*'RD Feedstock Breakdown'!AM$3*'Feedstock Conversion Rates'!B$4)/12+20-30</f>
        <v>48.59375</v>
      </c>
      <c r="AN164" s="104">
        <f>('Renewable Diesel'!K173*'RD Feedstock Breakdown'!AN$3*'Feedstock Conversion Rates'!B$6)/12-20+30</f>
        <v>34.427083333333329</v>
      </c>
      <c r="AO164" s="106">
        <f t="shared" si="81"/>
        <v>83.020833333333329</v>
      </c>
      <c r="AP164" s="104">
        <f>('Renewable Diesel'!L173*'RD Feedstock Breakdown'!AP$3*'Feedstock Conversion Rates'!B$4)/12+15-10+15</f>
        <v>78.59375</v>
      </c>
      <c r="AQ164" s="104">
        <f>('Renewable Diesel'!L173*'RD Feedstock Breakdown'!AQ$3*'Feedstock Conversion Rates'!B$6)/12-15+10-15</f>
        <v>4.4270833333333321</v>
      </c>
      <c r="AR164" s="106">
        <f t="shared" si="70"/>
        <v>83.020833333333329</v>
      </c>
      <c r="AS164" s="104">
        <f>('Renewable Diesel'!M173*'RD Feedstock Breakdown'!AS$3*'Feedstock Conversion Rates'!B$4)/12-150</f>
        <v>306.25</v>
      </c>
      <c r="AT164" s="104">
        <f>('Renewable Diesel'!M173*'RD Feedstock Breakdown'!AT$3*'Feedstock Conversion Rates'!B$5)/12+150</f>
        <v>150</v>
      </c>
      <c r="AU164" s="106">
        <f t="shared" si="104"/>
        <v>456.25</v>
      </c>
      <c r="AV164" s="104">
        <f>'Renewable Diesel'!N173*'RD Feedstock Breakdown'!$AV$3*'Feedstock Conversion Rates'!$B$4/12-15-10+25+25-22-75+75+22.5-80</f>
        <v>24.249999999999986</v>
      </c>
      <c r="AW164" s="104">
        <f>'Renewable Diesel'!N173*'RD Feedstock Breakdown'!$AW$3*'Feedstock Conversion Rates'!$B$7/12+15+10-25-25+22+75-75-22.5+80</f>
        <v>95.9</v>
      </c>
      <c r="AX164" s="106">
        <f t="shared" si="63"/>
        <v>120.14999999999999</v>
      </c>
      <c r="AY164" s="104">
        <f>('Renewable Diesel'!O173*'RD Feedstock Breakdown'!AY$3*'Feedstock Conversion Rates'!B$4)/12-250+120-120</f>
        <v>3.125</v>
      </c>
      <c r="AZ164" s="104">
        <f>('Renewable Diesel'!O173*'RD Feedstock Breakdown'!AZ$3*'Feedstock Conversion Rates'!B$3)/12+120+120</f>
        <v>270.03750000000002</v>
      </c>
      <c r="BA164" s="106">
        <f t="shared" si="120"/>
        <v>273.16250000000002</v>
      </c>
      <c r="BB164" s="104">
        <f>('Renewable Diesel'!Q173*'RD Feedstock Breakdown'!BB$3*'Feedstock Conversion Rates'!B$4)/12</f>
        <v>11.156249999999998</v>
      </c>
      <c r="BC164" s="104">
        <f>('Renewable Diesel'!Q173*'RD Feedstock Breakdown'!BC$3*'Feedstock Conversion Rates'!B$3)/12</f>
        <v>1.4017500000000001</v>
      </c>
      <c r="BD164" s="104">
        <f>('Renewable Diesel'!Q173*'RD Feedstock Breakdown'!BD$3*'Feedstock Conversion Rates'!B$6)/12</f>
        <v>0.8207500000000002</v>
      </c>
      <c r="BE164" s="106">
        <f t="shared" si="90"/>
        <v>13.378749999999998</v>
      </c>
      <c r="BF164" s="104">
        <f>('Renewable Diesel'!R173*'RD Feedstock Breakdown'!BF$3*'Feedstock Conversion Rates'!B$4)/12</f>
        <v>62.5</v>
      </c>
      <c r="BG164" s="106">
        <f t="shared" si="72"/>
        <v>62.5</v>
      </c>
      <c r="BH164" s="104">
        <f>('Renewable Diesel'!T173*'RD Feedstock Breakdown'!BH$3*'Feedstock Conversion Rates'!B$7)/12</f>
        <v>27.599999999999998</v>
      </c>
      <c r="BI164" s="106">
        <f t="shared" si="64"/>
        <v>27.599999999999998</v>
      </c>
      <c r="BJ164" s="104">
        <f>('Renewable Diesel'!W173*'RD Feedstock Breakdown'!BJ$3*'Feedstock Conversion Rates'!B$4)/12</f>
        <v>7.5</v>
      </c>
      <c r="BK164" s="104">
        <f>('Renewable Diesel'!W173*'RD Feedstock Breakdown'!BK$3*'Feedstock Conversion Rates'!B$3)/12</f>
        <v>1.335</v>
      </c>
      <c r="BL164" s="104">
        <f>('Renewable Diesel'!W173*'RD Feedstock Breakdown'!BL$3*'Feedstock Conversion Rates'!B$6)/12</f>
        <v>3.1266666666666669</v>
      </c>
      <c r="BM164" s="104">
        <f>('Renewable Diesel'!W173*'RD Feedstock Breakdown'!BM$3*'Feedstock Conversion Rates'!B$7)/12</f>
        <v>1.5333333333333332</v>
      </c>
      <c r="BN164" s="106">
        <f t="shared" si="112"/>
        <v>13.495000000000001</v>
      </c>
      <c r="BO164" s="104">
        <f>('Renewable Diesel'!P173*'Feedstock Conversion Rates'!B$4)/12</f>
        <v>31.25</v>
      </c>
      <c r="BP164" s="106">
        <f t="shared" si="102"/>
        <v>31.25</v>
      </c>
      <c r="BQ164" s="104"/>
      <c r="BR164" s="104"/>
      <c r="BS164" s="106"/>
      <c r="BT164" s="106"/>
      <c r="BU164" s="104">
        <f>('Renewable Diesel'!Y173*'Feedstock Conversion Rates'!B$7)/12</f>
        <v>2.6833333333333331</v>
      </c>
      <c r="BV164" s="106">
        <f t="shared" si="93"/>
        <v>2.6833333333333331</v>
      </c>
      <c r="BW164" s="104"/>
      <c r="BX164" s="104"/>
      <c r="BY164" s="104"/>
      <c r="BZ164" s="104"/>
      <c r="CA164" s="106"/>
      <c r="CB164" s="104">
        <f>('Renewable Diesel'!AA173*'Feedstock Conversion Rates'!B$4)/12</f>
        <v>191.25</v>
      </c>
      <c r="CC164" s="106">
        <f t="shared" si="113"/>
        <v>191.25</v>
      </c>
      <c r="CD164" s="104">
        <f>('Renewable Diesel'!$AB173*'RD Feedstock Breakdown'!CD$3*'Feedstock Conversion Rates'!$B$6)/12</f>
        <v>0</v>
      </c>
      <c r="CE164" s="104">
        <f>('Renewable Diesel'!$AB173*'RD Feedstock Breakdown'!CE$3*'Feedstock Conversion Rates'!$B$4)/12</f>
        <v>0</v>
      </c>
      <c r="CF164" s="106">
        <f t="shared" si="108"/>
        <v>0</v>
      </c>
      <c r="CG164" s="104">
        <f>('Renewable Diesel'!AD173*'Feedstock Conversion Rates'!B$4)/12</f>
        <v>112.5</v>
      </c>
      <c r="CH164" s="106">
        <f t="shared" si="89"/>
        <v>112.5</v>
      </c>
      <c r="CI164" s="104">
        <f>('Renewable Diesel'!$AE173*'RD Feedstock Breakdown'!CI$3*'Feedstock Conversion Rates'!$B$5)/12</f>
        <v>0.17302083333333332</v>
      </c>
      <c r="CJ164" s="104">
        <f>('Renewable Diesel'!$AE173*'RD Feedstock Breakdown'!CJ$3*'Feedstock Conversion Rates'!$B$4)/12</f>
        <v>0.171875</v>
      </c>
      <c r="CK164" s="106">
        <f t="shared" si="103"/>
        <v>0.34489583333333329</v>
      </c>
      <c r="CL164" s="104">
        <f>(((CL$3*'Renewable Diesel'!$AF173)*'Feedstock Conversion Rates'!$B$3)/12)-10</f>
        <v>20.037499999999998</v>
      </c>
      <c r="CM164" s="104">
        <f>(((CM$3*'Renewable Diesel'!$AF173)*'Feedstock Conversion Rates'!$B$6)/12)+10</f>
        <v>27.587500000000002</v>
      </c>
      <c r="CN164" s="104">
        <f>(((CN$3*'Renewable Diesel'!$AF173)*'Feedstock Conversion Rates'!$B$4)/12)+10</f>
        <v>24.0625</v>
      </c>
      <c r="CO164" s="106">
        <f t="shared" si="91"/>
        <v>71.6875</v>
      </c>
      <c r="CP164" s="106"/>
      <c r="CQ164" s="106"/>
      <c r="CR164" s="106"/>
      <c r="CS164" s="106"/>
      <c r="CT164" s="104">
        <f>('Renewable Diesel'!AI173*'Feedstock Conversion Rates'!$B$4*'RD Feedstock Breakdown'!$CT$3)/12</f>
        <v>29.375</v>
      </c>
      <c r="CU164" s="106">
        <f t="shared" si="99"/>
        <v>29.375</v>
      </c>
      <c r="CV164" s="106"/>
      <c r="CW164" s="106"/>
      <c r="CX164" s="106"/>
      <c r="CY164" s="106"/>
      <c r="CZ164" s="106"/>
      <c r="DA164" s="106"/>
      <c r="DB164" s="106"/>
      <c r="DC164" s="106"/>
      <c r="DD164" s="106"/>
      <c r="DE164" s="106"/>
      <c r="DF164" s="106"/>
      <c r="DG164" s="106"/>
      <c r="DH164" s="106"/>
      <c r="DI164" s="106"/>
      <c r="DJ164" s="104">
        <f>('Renewable Diesel'!AT173*'Feedstock Conversion Rates'!$B$4*0.25)/12</f>
        <v>0</v>
      </c>
      <c r="DK164" s="104">
        <f>('Renewable Diesel'!$AT173*'RD Feedstock Breakdown'!DK$3*'Feedstock Conversion Rates'!$B$3)/12*0.5</f>
        <v>0</v>
      </c>
      <c r="DL164" s="104">
        <f>('Renewable Diesel'!$AT173*'RD Feedstock Breakdown'!$DL$3*'Feedstock Conversion Rates'!$B$6)/12</f>
        <v>0</v>
      </c>
      <c r="DM164" s="104">
        <f>('Renewable Diesel'!$AT173*'RD Feedstock Breakdown'!$DM$3*'Feedstock Conversion Rates'!$B$8)/12</f>
        <v>0</v>
      </c>
      <c r="DN164" s="106">
        <f t="shared" si="110"/>
        <v>0</v>
      </c>
      <c r="DP164" s="104">
        <f t="shared" si="73"/>
        <v>98.631249999999994</v>
      </c>
      <c r="DQ164" s="104">
        <f t="shared" si="74"/>
        <v>705.44718750000004</v>
      </c>
      <c r="DR164" s="104">
        <f t="shared" si="82"/>
        <v>1026.640625</v>
      </c>
      <c r="DS164" s="104">
        <f t="shared" si="100"/>
        <v>285.17302083333334</v>
      </c>
      <c r="DT164" s="104">
        <f t="shared" si="75"/>
        <v>143.21090000000004</v>
      </c>
      <c r="DU164" s="104">
        <f t="shared" si="76"/>
        <v>307.80250000000001</v>
      </c>
      <c r="DV164" s="104">
        <f t="shared" si="83"/>
        <v>56.1953125</v>
      </c>
      <c r="DW164" s="104">
        <f t="shared" si="77"/>
        <v>2.5</v>
      </c>
      <c r="DX164" s="106">
        <f t="shared" si="78"/>
        <v>2625.600795833333</v>
      </c>
      <c r="DY164" s="109">
        <f t="shared" si="79"/>
        <v>-5.6843418860808015E-14</v>
      </c>
      <c r="EA164" s="110">
        <f t="shared" si="114"/>
        <v>3.7565211800865431E-2</v>
      </c>
      <c r="EB164" s="110">
        <f t="shared" si="114"/>
        <v>0.26868029161916057</v>
      </c>
      <c r="EC164" s="110">
        <f t="shared" si="114"/>
        <v>0.39101169782901329</v>
      </c>
      <c r="ED164" s="110">
        <f t="shared" si="114"/>
        <v>0.10861248263097931</v>
      </c>
      <c r="EE164" s="110">
        <f t="shared" si="114"/>
        <v>5.4544049585628911E-2</v>
      </c>
      <c r="EF164" s="110">
        <f t="shared" si="114"/>
        <v>0.11723126397907239</v>
      </c>
      <c r="EG164" s="111">
        <f t="shared" si="114"/>
        <v>2.1402839528834126E-2</v>
      </c>
      <c r="EH164" s="111">
        <f t="shared" si="84"/>
        <v>9.5216302644611712E-4</v>
      </c>
      <c r="EI164" s="110">
        <f t="shared" si="85"/>
        <v>0.99904783697355393</v>
      </c>
      <c r="EK164" s="112">
        <f>(EA164*'Renewable Diesel'!BF173*'Feedstock Conversion Rates'!B$2)+FB164</f>
        <v>70.962586830682213</v>
      </c>
      <c r="EL164" s="112">
        <f>(EB164*'Renewable Diesel'!BF173*'Feedstock Conversion Rates'!B$3)+FC164</f>
        <v>478.2918693170522</v>
      </c>
      <c r="EM164" s="112">
        <f>(EC164*'Renewable Diesel'!BF173*'Feedstock Conversion Rates'!B$4)+FD164</f>
        <v>651.74196367606646</v>
      </c>
      <c r="EN164" s="112">
        <f>(ED164*'Renewable Diesel'!BF173*'Feedstock Conversion Rates'!B$5)+FE164</f>
        <v>182.24321298661658</v>
      </c>
      <c r="EO164" s="112">
        <f>(EE164*'Renewable Diesel'!BF173*'Feedstock Conversion Rates'!B$6)+FF164</f>
        <v>113.7037761885388</v>
      </c>
      <c r="EP164" s="112">
        <f>(EF164*'Renewable Diesel'!BF173*'Feedstock Conversion Rates'!B$7)+FG164</f>
        <v>239.69332834125899</v>
      </c>
      <c r="EQ164" s="112">
        <f>(EG164*'Renewable Diesel'!BF173*'Feedstock Conversion Rates'!B$8)+FH164</f>
        <v>44.593066972851631</v>
      </c>
      <c r="ER164" s="112">
        <f>(EH164*'Renewable Diesel'!BF173*'Feedstock Conversion Rates'!B$9)+FI164</f>
        <v>1.9573915861108051</v>
      </c>
      <c r="ES164" s="112">
        <f t="shared" si="86"/>
        <v>1783.1871958991776</v>
      </c>
      <c r="ET164" s="91">
        <f>ES164/'Renewable Diesel'!BF173</f>
        <v>8.0236553560564374</v>
      </c>
      <c r="EW164" s="73">
        <f t="shared" si="58"/>
        <v>833.98517666268299</v>
      </c>
      <c r="EX164" s="73">
        <f t="shared" si="59"/>
        <v>949.20201923649461</v>
      </c>
      <c r="EY164" s="92">
        <f t="shared" si="71"/>
        <v>0.46769356497209674</v>
      </c>
      <c r="EZ164" s="92">
        <f t="shared" si="71"/>
        <v>0.53230643502790331</v>
      </c>
      <c r="FB164" s="102">
        <f>IF('Renewable Diesel'!$BG173&lt;1,0,(((('Renewable Diesel'!$BG173-1)*'Renewable Diesel'!$BF173)*'RD Feedstock Breakdown'!EA164)*'Feedstock Conversion Rates'!$B$2))</f>
        <v>0</v>
      </c>
      <c r="FC164" s="102">
        <f>IF('Renewable Diesel'!$BG173&lt;1,0,(((('Renewable Diesel'!$BG173-1)*'Renewable Diesel'!$BF173)*'RD Feedstock Breakdown'!EB164)*'Feedstock Conversion Rates'!$B$3))</f>
        <v>0</v>
      </c>
      <c r="FD164" s="102">
        <f>IF('Renewable Diesel'!$BG173&lt;1,0,(((('Renewable Diesel'!$BG173-1)*'Renewable Diesel'!$BF173)*'RD Feedstock Breakdown'!EC164)*'Feedstock Conversion Rates'!$B$4))</f>
        <v>0</v>
      </c>
      <c r="FE164" s="102">
        <f>IF('Renewable Diesel'!$BG173&lt;1,0,(((('Renewable Diesel'!$BG173-1)*'Renewable Diesel'!$BF173)*'RD Feedstock Breakdown'!ED164)*'Feedstock Conversion Rates'!$B$5))</f>
        <v>0</v>
      </c>
      <c r="FF164" s="102">
        <f>IF('Renewable Diesel'!$BG173&lt;1,0,(((('Renewable Diesel'!$BG173-1)*'Renewable Diesel'!$BF173)*'RD Feedstock Breakdown'!EE164)*'Feedstock Conversion Rates'!$B$6))</f>
        <v>0</v>
      </c>
      <c r="FG164" s="102">
        <f>IF('Renewable Diesel'!$BG173&lt;1,0,(((('Renewable Diesel'!$BG173-1)*'Renewable Diesel'!$BF173)*'RD Feedstock Breakdown'!EF164)*'Feedstock Conversion Rates'!$B$7))</f>
        <v>0</v>
      </c>
      <c r="FH164" s="102">
        <f>IF('Renewable Diesel'!$BG173&lt;1,0,(((('Renewable Diesel'!$BG173-1)*'Renewable Diesel'!$BF173)*'RD Feedstock Breakdown'!EG164)*'Feedstock Conversion Rates'!$B$8))</f>
        <v>0</v>
      </c>
      <c r="FI164" s="102">
        <f>IF('Renewable Diesel'!$BG173&lt;1,0,(((('Renewable Diesel'!$BG173-1)*'Renewable Diesel'!$BF173)*'RD Feedstock Breakdown'!EH164)*'Feedstock Conversion Rates'!$B$9))</f>
        <v>0</v>
      </c>
      <c r="FJ164" s="102">
        <f t="shared" si="60"/>
        <v>0</v>
      </c>
      <c r="FL164" s="3">
        <f>('Renewable Diesel'!AX173/12*$FO$80)*'RD Feedstock Breakdown'!EC164*7.5</f>
        <v>1006.2441661318514</v>
      </c>
      <c r="FM164" s="3">
        <f t="shared" si="96"/>
        <v>354.50220245578498</v>
      </c>
      <c r="FR164" s="3">
        <f>('Renewable Diesel'!AX173-'Renewable Diesel'!BI173)/12*$FO$80</f>
        <v>49.661249999999974</v>
      </c>
      <c r="FS164" s="100">
        <f t="shared" si="97"/>
        <v>0.39101169782901329</v>
      </c>
      <c r="FT164" s="3">
        <f t="shared" si="98"/>
        <v>145.63597259108309</v>
      </c>
      <c r="FY164" s="3">
        <f>'Renewable Diesel'!BF173*('Renewable Diesel'!BI173/'Renewable Diesel'!AX173)</f>
        <v>190.07577596994537</v>
      </c>
      <c r="FZ164" s="3">
        <f>('Renewable Diesel'!BJ173*'Renewable Diesel'!BG173)/12</f>
        <v>32.6122167249165</v>
      </c>
      <c r="GA164" s="3">
        <f t="shared" si="105"/>
        <v>95.638186736830079</v>
      </c>
      <c r="GD164" s="91">
        <f>'Renewable Diesel'!BB173*0.32</f>
        <v>0.64330527999999998</v>
      </c>
      <c r="GE164" s="91">
        <f>'Renewable Diesel'!BC173</f>
        <v>3.266216</v>
      </c>
      <c r="GF164" s="91">
        <f>'Renewable Diesel'!BD173</f>
        <v>0</v>
      </c>
      <c r="GG164" s="91">
        <f t="shared" si="109"/>
        <v>3.266216</v>
      </c>
      <c r="GH164" s="124">
        <v>1</v>
      </c>
      <c r="GI164" s="102">
        <f>$GG164*EA164*'Feedstock Conversion Rates'!$B$2</f>
        <v>1.0429168145326915</v>
      </c>
      <c r="GJ164" s="102">
        <f>$GG164*EB164*'Feedstock Conversion Rates'!$B$3</f>
        <v>7.0293186176430575</v>
      </c>
      <c r="GK164" s="102">
        <f>$GG164*EC164*'Feedstock Conversion Rates'!$B$4</f>
        <v>9.5784649772721622</v>
      </c>
      <c r="GL164" s="102">
        <f>$GG164*ED164*'Feedstock Conversion Rates'!$B$5</f>
        <v>2.6783763056961516</v>
      </c>
      <c r="GM164" s="102">
        <f>$GG164*EE164*'Feedstock Conversion Rates'!$B$6</f>
        <v>1.671071833187693</v>
      </c>
      <c r="GN164" s="102">
        <f>$GG164*EF164*'Feedstock Conversion Rates'!$B$7</f>
        <v>3.5227041969997632</v>
      </c>
      <c r="GO164" s="102">
        <f>$GG164*EG164*'Feedstock Conversion Rates'!$B$8</f>
        <v>0.65537153357353584</v>
      </c>
      <c r="GP164" s="102">
        <f>$GG164*EH164*'Feedstock Conversion Rates'!B$9</f>
        <v>2.8767223532177259E-2</v>
      </c>
      <c r="GQ164" s="102">
        <f t="shared" si="87"/>
        <v>26.206991502437234</v>
      </c>
      <c r="GR164" s="85">
        <f t="shared" si="107"/>
        <v>8.0236553560564374</v>
      </c>
      <c r="GT164" s="103">
        <f t="shared" si="111"/>
        <v>3.9795365844862471E-2</v>
      </c>
      <c r="GU164" s="103">
        <f t="shared" si="94"/>
        <v>0.26822302807971438</v>
      </c>
      <c r="GV164" s="103">
        <f t="shared" si="94"/>
        <v>0.36549273411949529</v>
      </c>
      <c r="GW164" s="103">
        <f t="shared" si="94"/>
        <v>0.10220083085260148</v>
      </c>
      <c r="GX164" s="103">
        <f t="shared" si="94"/>
        <v>6.3764352082622114E-2</v>
      </c>
      <c r="GY164" s="103">
        <f t="shared" si="94"/>
        <v>0.1344184889239253</v>
      </c>
      <c r="GZ164" s="103">
        <f t="shared" si="94"/>
        <v>2.500750738643872E-2</v>
      </c>
      <c r="HA164" s="103">
        <f t="shared" si="94"/>
        <v>1.0976927103403659E-3</v>
      </c>
    </row>
    <row r="165" spans="1:209" x14ac:dyDescent="0.25">
      <c r="A165" s="96">
        <v>45444</v>
      </c>
      <c r="B165" s="104">
        <f t="shared" si="115"/>
        <v>0</v>
      </c>
      <c r="C165" s="104">
        <f t="shared" si="116"/>
        <v>0</v>
      </c>
      <c r="D165" s="104">
        <f t="shared" si="95"/>
        <v>1.5</v>
      </c>
      <c r="E165" s="104">
        <f>('Renewable Diesel'!B174*E$3*'Feedstock Conversion Rates'!$B$2)/12-40+1.25+6-43+30-15+12.5-4+1.5+26+2.5+3-10+50+9-15-25-55+50-15</f>
        <v>59.679999999999993</v>
      </c>
      <c r="F165" s="104">
        <f>('Renewable Diesel'!B174*'RD Feedstock Breakdown'!F$3*'Feedstock Conversion Rates'!B$8)/12+28.5-49-5+2-6+1+6+20-20-3.75+10+2.5+5-20-20+25+5</f>
        <v>35.15625</v>
      </c>
      <c r="G165" s="104">
        <f>('Renewable Diesel'!B174*'RD Feedstock Breakdown'!G$3*'Feedstock Conversion Rates'!B$7)/12-25-15-25+4+4-20-40-20+10-17.5+20+50-12+32.5+35-75-75+22.5+5-20+15+125-50-10-5-50</f>
        <v>39.657000000000011</v>
      </c>
      <c r="H165" s="104">
        <f>('Renewable Diesel'!B174*'RD Feedstock Breakdown'!H$3*'Feedstock Conversion Rates'!B$3)/12-85+4-15+70-65-80+50-22.5-5+25+27.5+15+50+15-10+5+50+75-5-25-85-12.5+30+22.5-25-30+150+90-120+25+50+15</f>
        <v>360.40022499999998</v>
      </c>
      <c r="I165" s="106">
        <f t="shared" si="106"/>
        <v>496.39347499999997</v>
      </c>
      <c r="J165" s="104">
        <f t="shared" si="117"/>
        <v>0.25</v>
      </c>
      <c r="K165" s="104"/>
      <c r="L165" s="104">
        <v>1</v>
      </c>
      <c r="M165" s="104">
        <f>('Renewable Diesel'!C174*'RD Feedstock Breakdown'!M$3*'Feedstock Conversion Rates'!B$2)/12</f>
        <v>38.951250000000002</v>
      </c>
      <c r="N165" s="104">
        <f>('Renewable Diesel'!C174*'RD Feedstock Breakdown'!N$3*'Feedstock Conversion Rates'!B$8)/12</f>
        <v>18.359375</v>
      </c>
      <c r="O165" s="104">
        <f>('Renewable Diesel'!C174*'RD Feedstock Breakdown'!O$3*'Feedstock Conversion Rates'!B$7)/12</f>
        <v>59.9955</v>
      </c>
      <c r="P165" s="104">
        <f>('Renewable Diesel'!C174*'RD Feedstock Breakdown'!P$3*'Feedstock Conversion Rates'!B$3)/12</f>
        <v>52.23521250000001</v>
      </c>
      <c r="Q165" s="106">
        <f t="shared" si="119"/>
        <v>170.79133750000003</v>
      </c>
      <c r="R165" s="104">
        <f>('Renewable Diesel'!D174*'RD Feedstock Breakdown'!R$3*'Feedstock Conversion Rates'!B$7)/12</f>
        <v>2.2999999999999998</v>
      </c>
      <c r="S165" s="106">
        <f t="shared" si="67"/>
        <v>2.2999999999999998</v>
      </c>
      <c r="T165" s="104">
        <f t="shared" si="118"/>
        <v>0</v>
      </c>
      <c r="U165" s="104">
        <v>0</v>
      </c>
      <c r="V165" s="104">
        <f>('Renewable Diesel'!E174*'RD Feedstock Breakdown'!V$3*'Feedstock Conversion Rates'!B$6)/12-20-5-5+32.5-35+25-15+22+20</f>
        <v>63.750150000000012</v>
      </c>
      <c r="W165" s="104">
        <f>('Renewable Diesel'!E174*'RD Feedstock Breakdown'!W$3*'Feedstock Conversion Rates'!B$8)/12-2.5+3-20</f>
        <v>2.6796875</v>
      </c>
      <c r="X165" s="106">
        <f t="shared" si="88"/>
        <v>66.429837500000019</v>
      </c>
      <c r="Y165" s="104">
        <f t="shared" si="122"/>
        <v>0</v>
      </c>
      <c r="Z165" s="104">
        <f>('Renewable Diesel'!F174*'RD Feedstock Breakdown'!Z$3*'Feedstock Conversion Rates'!B$6)/12-50-32-11+15-41+40-40+70</f>
        <v>-4.4449999999999932</v>
      </c>
      <c r="AA165" s="104">
        <f>('Renewable Diesel'!F174*'RD Feedstock Breakdown'!AA$3*'Feedstock Conversion Rates'!B$7)/12+14-73+75+62-24+25+40-70</f>
        <v>78.133333333333326</v>
      </c>
      <c r="AB165" s="106">
        <f t="shared" si="62"/>
        <v>73.688333333333333</v>
      </c>
      <c r="AC165" s="104">
        <f>('Renewable Diesel'!G174*'RD Feedstock Breakdown'!AC$3*'Feedstock Conversion Rates'!B$5)/12</f>
        <v>0</v>
      </c>
      <c r="AD165" s="104">
        <f>('Renewable Diesel'!G174*'RD Feedstock Breakdown'!AD$3*'Feedstock Conversion Rates'!B$4)/12</f>
        <v>0</v>
      </c>
      <c r="AE165" s="104">
        <f>('Renewable Diesel'!G174*'RD Feedstock Breakdown'!AE$3*'Feedstock Conversion Rates'!B$6)/12</f>
        <v>0</v>
      </c>
      <c r="AF165" s="106">
        <f t="shared" si="101"/>
        <v>0</v>
      </c>
      <c r="AG165" s="104">
        <f t="shared" si="121"/>
        <v>135</v>
      </c>
      <c r="AH165" s="104">
        <v>0</v>
      </c>
      <c r="AI165" s="104">
        <f>('Renewable Diesel'!H174*'RD Feedstock Breakdown'!AI$3*'Feedstock Conversion Rates'!B$6)/12-130-23+3+51+99-50-150+80+10+15-60+15+140-70-65</f>
        <v>13.51666666666668</v>
      </c>
      <c r="AJ165" s="106">
        <f t="shared" si="65"/>
        <v>148.51666666666668</v>
      </c>
      <c r="AK165" s="104">
        <f>('Renewable Diesel'!J174*'RD Feedstock Breakdown'!AK$3*'Feedstock Conversion Rates'!B$4)/12</f>
        <v>95.8125</v>
      </c>
      <c r="AL165" s="106">
        <f t="shared" si="68"/>
        <v>95.8125</v>
      </c>
      <c r="AM165" s="104">
        <f>('Renewable Diesel'!K174*'RD Feedstock Breakdown'!AM$3*'Feedstock Conversion Rates'!B$4)/12+20-30</f>
        <v>48.59375</v>
      </c>
      <c r="AN165" s="104">
        <f>('Renewable Diesel'!K174*'RD Feedstock Breakdown'!AN$3*'Feedstock Conversion Rates'!B$6)/12-20+30</f>
        <v>34.427083333333329</v>
      </c>
      <c r="AO165" s="106">
        <f t="shared" si="81"/>
        <v>83.020833333333329</v>
      </c>
      <c r="AP165" s="104">
        <f>('Renewable Diesel'!L174*'RD Feedstock Breakdown'!AP$3*'Feedstock Conversion Rates'!B$4)/12+15-10+15</f>
        <v>78.59375</v>
      </c>
      <c r="AQ165" s="104">
        <f>('Renewable Diesel'!L174*'RD Feedstock Breakdown'!AQ$3*'Feedstock Conversion Rates'!B$6)/12-15+10-15</f>
        <v>4.4270833333333321</v>
      </c>
      <c r="AR165" s="106">
        <f t="shared" si="70"/>
        <v>83.020833333333329</v>
      </c>
      <c r="AS165" s="104">
        <f>('Renewable Diesel'!M174*'RD Feedstock Breakdown'!AS$3*'Feedstock Conversion Rates'!B$4)/12-150</f>
        <v>306.25</v>
      </c>
      <c r="AT165" s="104">
        <f>('Renewable Diesel'!M174*'RD Feedstock Breakdown'!AT$3*'Feedstock Conversion Rates'!B$5)/12+150</f>
        <v>150</v>
      </c>
      <c r="AU165" s="106">
        <f t="shared" si="104"/>
        <v>456.25</v>
      </c>
      <c r="AV165" s="104">
        <f>'Renewable Diesel'!N174*'RD Feedstock Breakdown'!$AV$3*'Feedstock Conversion Rates'!$B$4/12-15-10+25+25-22-75+75+22.5-80</f>
        <v>24.249999999999986</v>
      </c>
      <c r="AW165" s="104">
        <f>'Renewable Diesel'!N174*'RD Feedstock Breakdown'!$AW$3*'Feedstock Conversion Rates'!$B$7/12+15+10-25-25+22+75-75-22.5+80</f>
        <v>95.9</v>
      </c>
      <c r="AX165" s="106">
        <f t="shared" si="63"/>
        <v>120.14999999999999</v>
      </c>
      <c r="AY165" s="104">
        <f>('Renewable Diesel'!O174*'RD Feedstock Breakdown'!AY$3*'Feedstock Conversion Rates'!B$4)/12+34-152-230</f>
        <v>9.75</v>
      </c>
      <c r="AZ165" s="104">
        <f>('Renewable Diesel'!O174*'RD Feedstock Breakdown'!AZ$3*'Feedstock Conversion Rates'!B$3)/12-34+152+230</f>
        <v>390.45299999999997</v>
      </c>
      <c r="BA165" s="106">
        <f t="shared" si="120"/>
        <v>400.20299999999997</v>
      </c>
      <c r="BB165" s="104">
        <f>('Renewable Diesel'!Q174*'RD Feedstock Breakdown'!BB$3*'Feedstock Conversion Rates'!B$4)/12</f>
        <v>11.156249999999998</v>
      </c>
      <c r="BC165" s="104">
        <f>('Renewable Diesel'!Q174*'RD Feedstock Breakdown'!BC$3*'Feedstock Conversion Rates'!B$3)/12</f>
        <v>1.4017500000000001</v>
      </c>
      <c r="BD165" s="104">
        <f>('Renewable Diesel'!Q174*'RD Feedstock Breakdown'!BD$3*'Feedstock Conversion Rates'!B$6)/12</f>
        <v>0.8207500000000002</v>
      </c>
      <c r="BE165" s="106">
        <f t="shared" si="90"/>
        <v>13.378749999999998</v>
      </c>
      <c r="BF165" s="104">
        <f>('Renewable Diesel'!R174*'RD Feedstock Breakdown'!BF$3*'Feedstock Conversion Rates'!B$4)/12</f>
        <v>62.5</v>
      </c>
      <c r="BG165" s="106">
        <f t="shared" si="72"/>
        <v>62.5</v>
      </c>
      <c r="BH165" s="104">
        <f>('Renewable Diesel'!T174*'RD Feedstock Breakdown'!BH$3*'Feedstock Conversion Rates'!B$7)/12</f>
        <v>27.599999999999998</v>
      </c>
      <c r="BI165" s="106">
        <f t="shared" si="64"/>
        <v>27.599999999999998</v>
      </c>
      <c r="BJ165" s="104">
        <f>('Renewable Diesel'!W174*'RD Feedstock Breakdown'!BJ$3*'Feedstock Conversion Rates'!B$4)/12</f>
        <v>7.5</v>
      </c>
      <c r="BK165" s="104">
        <f>('Renewable Diesel'!W174*'RD Feedstock Breakdown'!BK$3*'Feedstock Conversion Rates'!B$3)/12</f>
        <v>1.335</v>
      </c>
      <c r="BL165" s="104">
        <f>('Renewable Diesel'!W174*'RD Feedstock Breakdown'!BL$3*'Feedstock Conversion Rates'!B$6)/12</f>
        <v>3.1266666666666669</v>
      </c>
      <c r="BM165" s="104">
        <f>('Renewable Diesel'!W174*'RD Feedstock Breakdown'!BM$3*'Feedstock Conversion Rates'!B$7)/12</f>
        <v>1.5333333333333332</v>
      </c>
      <c r="BN165" s="106">
        <f t="shared" si="112"/>
        <v>13.495000000000001</v>
      </c>
      <c r="BO165" s="104">
        <f>('Renewable Diesel'!P174*'Feedstock Conversion Rates'!B$4)/12</f>
        <v>31.25</v>
      </c>
      <c r="BP165" s="106">
        <f t="shared" si="102"/>
        <v>31.25</v>
      </c>
      <c r="BQ165" s="104">
        <f>('Renewable Diesel'!$S174*'RD Feedstock Breakdown'!BQ$3*'Feedstock Conversion Rates'!B$4)/12+10</f>
        <v>38.125</v>
      </c>
      <c r="BR165" s="104">
        <f>('Renewable Diesel'!$S174*'RD Feedstock Breakdown'!BR$3*'Feedstock Conversion Rates'!B$7)/12-10</f>
        <v>1.5</v>
      </c>
      <c r="BS165" s="106">
        <f t="shared" ref="BS165:BS228" si="123">SUM(BQ165:BR165)</f>
        <v>39.625</v>
      </c>
      <c r="BT165" s="106"/>
      <c r="BU165" s="104">
        <f>('Renewable Diesel'!Y174*'Feedstock Conversion Rates'!B$7)/12</f>
        <v>2.6833333333333331</v>
      </c>
      <c r="BV165" s="106">
        <f t="shared" si="93"/>
        <v>2.6833333333333331</v>
      </c>
      <c r="BW165" s="104">
        <f>('Renewable Diesel'!$Z174*'RD Feedstock Breakdown'!BW$3*'Feedstock Conversion Rates'!$B$4)/12</f>
        <v>5.859375</v>
      </c>
      <c r="BX165" s="104">
        <f>('Renewable Diesel'!$Z174*'RD Feedstock Breakdown'!BX$3*'Feedstock Conversion Rates'!$B$5)/12</f>
        <v>0.58984375</v>
      </c>
      <c r="BY165" s="104">
        <f>('Renewable Diesel'!$Z174*'RD Feedstock Breakdown'!BY$3*'Feedstock Conversion Rates'!$B$7)/12</f>
        <v>5.0312499999999991</v>
      </c>
      <c r="BZ165" s="104">
        <f>('Renewable Diesel'!$Z174*'RD Feedstock Breakdown'!BZ$3*'Feedstock Conversion Rates'!$B$3)/12</f>
        <v>1.2515624999999999</v>
      </c>
      <c r="CA165" s="106">
        <f>SUM(BW165:BZ165)</f>
        <v>12.73203125</v>
      </c>
      <c r="CB165" s="104">
        <f>('Renewable Diesel'!AA174*'Feedstock Conversion Rates'!B$4)/12</f>
        <v>191.25</v>
      </c>
      <c r="CC165" s="106">
        <f t="shared" si="113"/>
        <v>191.25</v>
      </c>
      <c r="CD165" s="104">
        <f>('Renewable Diesel'!$AB174*'RD Feedstock Breakdown'!CD$3*'Feedstock Conversion Rates'!$B$6)/12</f>
        <v>0</v>
      </c>
      <c r="CE165" s="104">
        <f>('Renewable Diesel'!$AB174*'RD Feedstock Breakdown'!CE$3*'Feedstock Conversion Rates'!$B$4)/12</f>
        <v>0</v>
      </c>
      <c r="CF165" s="106">
        <f t="shared" si="108"/>
        <v>0</v>
      </c>
      <c r="CG165" s="104">
        <f>('Renewable Diesel'!AD174*'Feedstock Conversion Rates'!B$4)/12</f>
        <v>112.5</v>
      </c>
      <c r="CH165" s="106">
        <f t="shared" si="89"/>
        <v>112.5</v>
      </c>
      <c r="CI165" s="104">
        <f>('Renewable Diesel'!$AE174*'RD Feedstock Breakdown'!CI$3*'Feedstock Conversion Rates'!$B$5)/12</f>
        <v>0.34604166666666664</v>
      </c>
      <c r="CJ165" s="104">
        <f>('Renewable Diesel'!$AE174*'RD Feedstock Breakdown'!CJ$3*'Feedstock Conversion Rates'!$B$4)/12</f>
        <v>0.34375</v>
      </c>
      <c r="CK165" s="106">
        <f t="shared" si="103"/>
        <v>0.68979166666666658</v>
      </c>
      <c r="CL165" s="104">
        <f>(((CL$3*'Renewable Diesel'!$AF174)*'Feedstock Conversion Rates'!$B$3)/12)-10</f>
        <v>20.037499999999998</v>
      </c>
      <c r="CM165" s="104">
        <f>(((CM$3*'Renewable Diesel'!$AF174)*'Feedstock Conversion Rates'!$B$6)/12)+10</f>
        <v>27.587500000000002</v>
      </c>
      <c r="CN165" s="104">
        <f>(((CN$3*'Renewable Diesel'!$AF174)*'Feedstock Conversion Rates'!$B$4)/12)+10</f>
        <v>24.0625</v>
      </c>
      <c r="CO165" s="106">
        <f t="shared" si="91"/>
        <v>71.6875</v>
      </c>
      <c r="CP165" s="106"/>
      <c r="CQ165" s="106"/>
      <c r="CR165" s="106"/>
      <c r="CS165" s="106"/>
      <c r="CT165" s="104">
        <f>('Renewable Diesel'!AI174*'Feedstock Conversion Rates'!$B$4*'RD Feedstock Breakdown'!$CT$3)/12</f>
        <v>29.375</v>
      </c>
      <c r="CU165" s="106">
        <f t="shared" si="99"/>
        <v>29.375</v>
      </c>
      <c r="CV165" s="106"/>
      <c r="CW165" s="106"/>
      <c r="CX165" s="106"/>
      <c r="CY165" s="106"/>
      <c r="CZ165" s="106"/>
      <c r="DA165" s="106"/>
      <c r="DB165" s="106"/>
      <c r="DC165" s="106"/>
      <c r="DD165" s="106"/>
      <c r="DE165" s="106"/>
      <c r="DF165" s="106"/>
      <c r="DG165" s="106"/>
      <c r="DH165" s="106"/>
      <c r="DI165" s="106"/>
      <c r="DJ165" s="104">
        <f>('Renewable Diesel'!AT174*'Feedstock Conversion Rates'!$B$4*0.25)/12</f>
        <v>0</v>
      </c>
      <c r="DK165" s="104">
        <f>('Renewable Diesel'!$AT174*'RD Feedstock Breakdown'!DK$3*'Feedstock Conversion Rates'!$B$3)/12*0.5</f>
        <v>0</v>
      </c>
      <c r="DL165" s="104">
        <f>('Renewable Diesel'!$AT174*'RD Feedstock Breakdown'!$DL$3*'Feedstock Conversion Rates'!$B$6)/12</f>
        <v>0</v>
      </c>
      <c r="DM165" s="104">
        <f>('Renewable Diesel'!$AT174*'RD Feedstock Breakdown'!$DM$3*'Feedstock Conversion Rates'!$B$8)/12</f>
        <v>0</v>
      </c>
      <c r="DN165" s="106">
        <f t="shared" si="110"/>
        <v>0</v>
      </c>
      <c r="DP165" s="104">
        <f t="shared" si="73"/>
        <v>98.631249999999994</v>
      </c>
      <c r="DQ165" s="104">
        <f t="shared" si="74"/>
        <v>827.11424999999997</v>
      </c>
      <c r="DR165" s="104">
        <f t="shared" si="82"/>
        <v>1077.421875</v>
      </c>
      <c r="DS165" s="104">
        <f t="shared" si="100"/>
        <v>285.93588541666668</v>
      </c>
      <c r="DT165" s="104">
        <f t="shared" si="75"/>
        <v>143.21090000000004</v>
      </c>
      <c r="DU165" s="104">
        <f t="shared" si="76"/>
        <v>314.33375000000001</v>
      </c>
      <c r="DV165" s="104">
        <f t="shared" si="83"/>
        <v>56.1953125</v>
      </c>
      <c r="DW165" s="104">
        <f t="shared" si="77"/>
        <v>2.5</v>
      </c>
      <c r="DX165" s="106">
        <f t="shared" si="78"/>
        <v>2805.3432229166665</v>
      </c>
      <c r="DY165" s="109">
        <f t="shared" si="79"/>
        <v>-1.8474111129762605E-13</v>
      </c>
      <c r="EA165" s="110">
        <f t="shared" si="114"/>
        <v>3.5158353956224582E-2</v>
      </c>
      <c r="EB165" s="110">
        <f t="shared" si="114"/>
        <v>0.29483531399771601</v>
      </c>
      <c r="EC165" s="110">
        <f t="shared" si="114"/>
        <v>0.38406062623589537</v>
      </c>
      <c r="ED165" s="110">
        <f t="shared" si="114"/>
        <v>0.10192545535279783</v>
      </c>
      <c r="EE165" s="110">
        <f t="shared" si="114"/>
        <v>5.1049332869546764E-2</v>
      </c>
      <c r="EF165" s="110">
        <f t="shared" si="114"/>
        <v>0.11204823261276126</v>
      </c>
      <c r="EG165" s="111">
        <f t="shared" si="114"/>
        <v>2.0031528420816441E-2</v>
      </c>
      <c r="EH165" s="111">
        <f t="shared" si="84"/>
        <v>8.911565542417992E-4</v>
      </c>
      <c r="EI165" s="110">
        <f t="shared" si="85"/>
        <v>0.99910884344575834</v>
      </c>
      <c r="EK165" s="112">
        <f>(EA165*'Renewable Diesel'!BF174*'Feedstock Conversion Rates'!B$2)+FB165</f>
        <v>83.497082611261547</v>
      </c>
      <c r="EL165" s="112">
        <f>(EB165*'Renewable Diesel'!BF174*'Feedstock Conversion Rates'!B$3)+FC165</f>
        <v>659.83577410896953</v>
      </c>
      <c r="EM165" s="112">
        <f>(EC165*'Renewable Diesel'!BF174*'Feedstock Conversion Rates'!B$4)+FD165</f>
        <v>804.7942981684331</v>
      </c>
      <c r="EN165" s="112">
        <f>(ED165*'Renewable Diesel'!BF174*'Feedstock Conversion Rates'!B$5)+FE165</f>
        <v>215.00742287531793</v>
      </c>
      <c r="EO165" s="112">
        <f>(EE165*'Renewable Diesel'!BF174*'Feedstock Conversion Rates'!B$6)+FF165</f>
        <v>133.78787354919123</v>
      </c>
      <c r="EP165" s="112">
        <f>(EF165*'Renewable Diesel'!BF174*'Feedstock Conversion Rates'!B$7)+FG165</f>
        <v>288.01604316681068</v>
      </c>
      <c r="EQ165" s="112">
        <f>(EG165*'Renewable Diesel'!BF174*'Feedstock Conversion Rates'!B$8)+FH165</f>
        <v>52.469775457957539</v>
      </c>
      <c r="ER165" s="112">
        <f>(EH165*'Renewable Diesel'!BF174*'Feedstock Conversion Rates'!B$9)+FI165</f>
        <v>2.303135980062903</v>
      </c>
      <c r="ES165" s="112">
        <f t="shared" si="86"/>
        <v>2239.7114059180044</v>
      </c>
      <c r="ET165" s="91">
        <f>ES165/'Renewable Diesel'!BF174</f>
        <v>8.0161940178580959</v>
      </c>
      <c r="EW165" s="73">
        <f t="shared" ref="EW165:EW228" si="124">EN165+EM165+FD165+FE165</f>
        <v>1019.8017210437511</v>
      </c>
      <c r="EX165" s="73">
        <f t="shared" ref="EX165:EX228" si="125">EQ165+EO165+EL165+EK165+ER165+EP165+FB165+FC165+FF165+FG165+FH165+FI165</f>
        <v>1219.9096848742533</v>
      </c>
      <c r="EY165" s="92">
        <f t="shared" si="71"/>
        <v>0.45532728830559249</v>
      </c>
      <c r="EZ165" s="92">
        <f t="shared" si="71"/>
        <v>0.54467271169440756</v>
      </c>
      <c r="FB165" s="102">
        <f>IF('Renewable Diesel'!$BG174&lt;1,0,(((('Renewable Diesel'!$BG174-1)*'Renewable Diesel'!$BF174)*'RD Feedstock Breakdown'!EA165)*'Feedstock Conversion Rates'!$B$2))</f>
        <v>0</v>
      </c>
      <c r="FC165" s="102">
        <f>IF('Renewable Diesel'!$BG174&lt;1,0,(((('Renewable Diesel'!$BG174-1)*'Renewable Diesel'!$BF174)*'RD Feedstock Breakdown'!EB165)*'Feedstock Conversion Rates'!$B$3))</f>
        <v>0</v>
      </c>
      <c r="FD165" s="102">
        <f>IF('Renewable Diesel'!$BG174&lt;1,0,(((('Renewable Diesel'!$BG174-1)*'Renewable Diesel'!$BF174)*'RD Feedstock Breakdown'!EC165)*'Feedstock Conversion Rates'!$B$4))</f>
        <v>0</v>
      </c>
      <c r="FE165" s="102">
        <f>IF('Renewable Diesel'!$BG174&lt;1,0,(((('Renewable Diesel'!$BG174-1)*'Renewable Diesel'!$BF174)*'RD Feedstock Breakdown'!ED165)*'Feedstock Conversion Rates'!$B$5))</f>
        <v>0</v>
      </c>
      <c r="FF165" s="102">
        <f>IF('Renewable Diesel'!$BG174&lt;1,0,(((('Renewable Diesel'!$BG174-1)*'Renewable Diesel'!$BF174)*'RD Feedstock Breakdown'!EE165)*'Feedstock Conversion Rates'!$B$6))</f>
        <v>0</v>
      </c>
      <c r="FG165" s="102">
        <f>IF('Renewable Diesel'!$BG174&lt;1,0,(((('Renewable Diesel'!$BG174-1)*'Renewable Diesel'!$BF174)*'RD Feedstock Breakdown'!EF165)*'Feedstock Conversion Rates'!$B$7))</f>
        <v>0</v>
      </c>
      <c r="FH165" s="102">
        <f>IF('Renewable Diesel'!$BG174&lt;1,0,(((('Renewable Diesel'!$BG174-1)*'Renewable Diesel'!$BF174)*'RD Feedstock Breakdown'!EG165)*'Feedstock Conversion Rates'!$B$8))</f>
        <v>0</v>
      </c>
      <c r="FI165" s="102">
        <f>IF('Renewable Diesel'!$BG174&lt;1,0,(((('Renewable Diesel'!$BG174-1)*'Renewable Diesel'!$BF174)*'RD Feedstock Breakdown'!EH165)*'Feedstock Conversion Rates'!$B$9))</f>
        <v>0</v>
      </c>
      <c r="FJ165" s="102">
        <f t="shared" ref="FJ165:FJ228" si="126">SUM(FB165:FI165)</f>
        <v>0</v>
      </c>
      <c r="FL165" s="3">
        <f>('Renewable Diesel'!AX174/12*$FO$80)*'RD Feedstock Breakdown'!EC165*7.5</f>
        <v>1057.9189987559134</v>
      </c>
      <c r="FM165" s="3">
        <f t="shared" si="96"/>
        <v>253.12470058748033</v>
      </c>
      <c r="FR165" s="3">
        <f>('Renewable Diesel'!AX174-'Renewable Diesel'!BI174)/12*$FO$80</f>
        <v>57.991875000000029</v>
      </c>
      <c r="FS165" s="100">
        <f t="shared" si="97"/>
        <v>0.38406062623589537</v>
      </c>
      <c r="FT165" s="3">
        <f t="shared" si="98"/>
        <v>167.0429687182033</v>
      </c>
      <c r="FY165" s="3">
        <f>'Renewable Diesel'!BF174*('Renewable Diesel'!BI174/'Renewable Diesel'!AX174)</f>
        <v>235.2819977828415</v>
      </c>
      <c r="FZ165" s="3">
        <f>('Renewable Diesel'!BJ174*'Renewable Diesel'!BG174)/12</f>
        <v>43.286208748018403</v>
      </c>
      <c r="GA165" s="3">
        <f t="shared" si="105"/>
        <v>124.68396329356231</v>
      </c>
      <c r="GD165" s="91">
        <f>'Renewable Diesel'!BB174*0.32</f>
        <v>14.0515872</v>
      </c>
      <c r="GE165" s="91">
        <f>'Renewable Diesel'!BC174</f>
        <v>2.9986120000000001</v>
      </c>
      <c r="GF165" s="91">
        <f>'Renewable Diesel'!BD174</f>
        <v>0</v>
      </c>
      <c r="GG165" s="91">
        <f t="shared" si="109"/>
        <v>2.9986120000000001</v>
      </c>
      <c r="GH165" s="124">
        <v>1</v>
      </c>
      <c r="GI165" s="102">
        <f>$GG165*EA165*'Feedstock Conversion Rates'!$B$2</f>
        <v>0.89612322762375141</v>
      </c>
      <c r="GJ165" s="102">
        <f>$GG165*EB165*'Feedstock Conversion Rates'!$B$3</f>
        <v>7.081614651724327</v>
      </c>
      <c r="GK165" s="102">
        <f>$GG165*EC165*'Feedstock Conversion Rates'!$B$4</f>
        <v>8.6373660191885318</v>
      </c>
      <c r="GL165" s="102">
        <f>$GG165*ED165*'Feedstock Conversion Rates'!$B$5</f>
        <v>2.3075434461240465</v>
      </c>
      <c r="GM165" s="102">
        <f>$GG165*EE165*'Feedstock Conversion Rates'!$B$6</f>
        <v>1.4358635932227111</v>
      </c>
      <c r="GN165" s="102">
        <f>$GG165*EF165*'Feedstock Conversion Rates'!$B$7</f>
        <v>3.0911004090010388</v>
      </c>
      <c r="GO165" s="102">
        <f>$GG165*EG165*'Feedstock Conversion Rates'!$B$8</f>
        <v>0.56312607657188651</v>
      </c>
      <c r="GP165" s="102">
        <f>$GG165*EH165*'Feedstock Conversion Rates'!B$9</f>
        <v>2.4718152821210017E-2</v>
      </c>
      <c r="GQ165" s="102">
        <f t="shared" si="87"/>
        <v>24.037455576277505</v>
      </c>
      <c r="GR165" s="85">
        <f t="shared" si="107"/>
        <v>8.0161940178580977</v>
      </c>
      <c r="GT165" s="103">
        <f t="shared" si="111"/>
        <v>3.7280286375573499E-2</v>
      </c>
      <c r="GU165" s="103">
        <f t="shared" si="94"/>
        <v>0.29460749825423094</v>
      </c>
      <c r="GV165" s="103">
        <f t="shared" si="94"/>
        <v>0.3593294636272869</v>
      </c>
      <c r="GW165" s="103">
        <f t="shared" si="94"/>
        <v>9.5997824678305602E-2</v>
      </c>
      <c r="GX165" s="103">
        <f t="shared" si="94"/>
        <v>5.97344252458967E-2</v>
      </c>
      <c r="GY165" s="103">
        <f t="shared" si="94"/>
        <v>0.12859515846808833</v>
      </c>
      <c r="GZ165" s="103">
        <f t="shared" si="94"/>
        <v>2.3427025160168539E-2</v>
      </c>
      <c r="HA165" s="103">
        <f t="shared" si="94"/>
        <v>1.0283181904495872E-3</v>
      </c>
    </row>
    <row r="166" spans="1:209" x14ac:dyDescent="0.25">
      <c r="A166" s="96">
        <v>45474</v>
      </c>
      <c r="B166" s="104">
        <f t="shared" si="115"/>
        <v>0</v>
      </c>
      <c r="C166" s="104">
        <f t="shared" si="116"/>
        <v>0</v>
      </c>
      <c r="D166" s="104">
        <f t="shared" si="95"/>
        <v>1.5</v>
      </c>
      <c r="E166" s="104">
        <f>('Renewable Diesel'!B175*E$3*'Feedstock Conversion Rates'!$B$2)/12-40+1.25+6-43+30-15+12.5-4+1.5+26+2.5+3-10+50+9-15-25-55+50-15</f>
        <v>59.679999999999993</v>
      </c>
      <c r="F166" s="104">
        <f>('Renewable Diesel'!B175*'RD Feedstock Breakdown'!F$3*'Feedstock Conversion Rates'!B$8)/12+28.5-49-5+2-6+1+6+20-20-3.75+10+2.5+5-20-20+25+5</f>
        <v>35.15625</v>
      </c>
      <c r="G166" s="104">
        <f>('Renewable Diesel'!B175*'RD Feedstock Breakdown'!G$3*'Feedstock Conversion Rates'!B$7)/12-25-15-25+4+4-20-40-20+10-17.5+20+50-12+32.5+35-75-75+22.5+5-20+15+125-50-10-5-50</f>
        <v>39.657000000000011</v>
      </c>
      <c r="H166" s="104">
        <f>('Renewable Diesel'!B175*'RD Feedstock Breakdown'!H$3*'Feedstock Conversion Rates'!B$3)/12-85+4-15+70-65-80+50-22.5-5+25+27.5+15+50+15-10+5+50+75-5-25-85-12.5+30+22.5-25-30+150+90-120+25+50+15</f>
        <v>360.40022499999998</v>
      </c>
      <c r="I166" s="106">
        <f t="shared" si="106"/>
        <v>496.39347499999997</v>
      </c>
      <c r="J166" s="104">
        <f t="shared" si="117"/>
        <v>0.25</v>
      </c>
      <c r="K166" s="104"/>
      <c r="L166" s="104">
        <v>1</v>
      </c>
      <c r="M166" s="104">
        <f>('Renewable Diesel'!C175*'RD Feedstock Breakdown'!M$3*'Feedstock Conversion Rates'!B$2)/12</f>
        <v>38.951250000000002</v>
      </c>
      <c r="N166" s="104">
        <f>('Renewable Diesel'!C175*'RD Feedstock Breakdown'!N$3*'Feedstock Conversion Rates'!B$8)/12</f>
        <v>18.359375</v>
      </c>
      <c r="O166" s="104">
        <f>('Renewable Diesel'!C175*'RD Feedstock Breakdown'!O$3*'Feedstock Conversion Rates'!B$7)/12</f>
        <v>59.9955</v>
      </c>
      <c r="P166" s="104">
        <f>('Renewable Diesel'!C175*'RD Feedstock Breakdown'!P$3*'Feedstock Conversion Rates'!B$3)/12</f>
        <v>52.23521250000001</v>
      </c>
      <c r="Q166" s="106">
        <f t="shared" si="119"/>
        <v>170.79133750000003</v>
      </c>
      <c r="R166" s="104">
        <f>('Renewable Diesel'!D175*'RD Feedstock Breakdown'!R$3*'Feedstock Conversion Rates'!B$7)/12</f>
        <v>2.2999999999999998</v>
      </c>
      <c r="S166" s="106">
        <f t="shared" si="67"/>
        <v>2.2999999999999998</v>
      </c>
      <c r="T166" s="104">
        <f t="shared" si="118"/>
        <v>0</v>
      </c>
      <c r="U166" s="104">
        <v>0</v>
      </c>
      <c r="V166" s="104">
        <f>('Renewable Diesel'!E175*'RD Feedstock Breakdown'!V$3*'Feedstock Conversion Rates'!B$6)/12-20-5-5+32.5-35+25-15+22+20</f>
        <v>63.750150000000012</v>
      </c>
      <c r="W166" s="104">
        <f>('Renewable Diesel'!E175*'RD Feedstock Breakdown'!W$3*'Feedstock Conversion Rates'!B$8)/12-2.5+3-20</f>
        <v>2.6796875</v>
      </c>
      <c r="X166" s="106">
        <f t="shared" si="88"/>
        <v>66.429837500000019</v>
      </c>
      <c r="Y166" s="104">
        <f t="shared" si="122"/>
        <v>0</v>
      </c>
      <c r="Z166" s="104">
        <f>('Renewable Diesel'!F175*'RD Feedstock Breakdown'!Z$3*'Feedstock Conversion Rates'!B$6)/12-50-32-11+15-41+40-40+70</f>
        <v>-4.4449999999999932</v>
      </c>
      <c r="AA166" s="104">
        <f>('Renewable Diesel'!F175*'RD Feedstock Breakdown'!AA$3*'Feedstock Conversion Rates'!B$7)/12+14-73+75+62-24+25+40-70</f>
        <v>78.133333333333326</v>
      </c>
      <c r="AB166" s="106">
        <f t="shared" si="62"/>
        <v>73.688333333333333</v>
      </c>
      <c r="AC166" s="104">
        <f>('Renewable Diesel'!G175*'RD Feedstock Breakdown'!AC$3*'Feedstock Conversion Rates'!B$5)/12</f>
        <v>7.864583333333333</v>
      </c>
      <c r="AD166" s="104">
        <f>('Renewable Diesel'!G175*'RD Feedstock Breakdown'!AD$3*'Feedstock Conversion Rates'!B$4)/12</f>
        <v>3.90625</v>
      </c>
      <c r="AE166" s="104">
        <f>('Renewable Diesel'!G175*'RD Feedstock Breakdown'!AE$3*'Feedstock Conversion Rates'!B$6)/12</f>
        <v>4.885416666666667</v>
      </c>
      <c r="AF166" s="106">
        <f t="shared" si="101"/>
        <v>16.65625</v>
      </c>
      <c r="AG166" s="104">
        <f t="shared" si="121"/>
        <v>135</v>
      </c>
      <c r="AH166" s="104">
        <v>0</v>
      </c>
      <c r="AI166" s="104">
        <f>('Renewable Diesel'!H175*'RD Feedstock Breakdown'!AI$3*'Feedstock Conversion Rates'!B$6)/12-130-23+3+51+99-50-150+80+10+15-60+15+140-70-65</f>
        <v>13.51666666666668</v>
      </c>
      <c r="AJ166" s="106">
        <f t="shared" si="65"/>
        <v>148.51666666666668</v>
      </c>
      <c r="AK166" s="104">
        <f>('Renewable Diesel'!J175*'RD Feedstock Breakdown'!AK$3*'Feedstock Conversion Rates'!B$4)/12</f>
        <v>95.8125</v>
      </c>
      <c r="AL166" s="106">
        <f t="shared" si="68"/>
        <v>95.8125</v>
      </c>
      <c r="AM166" s="104">
        <f>('Renewable Diesel'!K175*'RD Feedstock Breakdown'!AM$3*'Feedstock Conversion Rates'!B$4)/12+20-30</f>
        <v>48.59375</v>
      </c>
      <c r="AN166" s="104">
        <f>('Renewable Diesel'!K175*'RD Feedstock Breakdown'!AN$3*'Feedstock Conversion Rates'!B$6)/12-20+30</f>
        <v>34.427083333333329</v>
      </c>
      <c r="AO166" s="106">
        <f t="shared" si="81"/>
        <v>83.020833333333329</v>
      </c>
      <c r="AP166" s="104">
        <f>('Renewable Diesel'!L175*'RD Feedstock Breakdown'!AP$3*'Feedstock Conversion Rates'!B$4)/12+15-10+15</f>
        <v>78.59375</v>
      </c>
      <c r="AQ166" s="104">
        <f>('Renewable Diesel'!L175*'RD Feedstock Breakdown'!AQ$3*'Feedstock Conversion Rates'!B$6)/12-15+10-15</f>
        <v>4.4270833333333321</v>
      </c>
      <c r="AR166" s="106">
        <f t="shared" si="70"/>
        <v>83.020833333333329</v>
      </c>
      <c r="AS166" s="104">
        <f>('Renewable Diesel'!M175*'RD Feedstock Breakdown'!AS$3*'Feedstock Conversion Rates'!B$4)/12-150</f>
        <v>306.25</v>
      </c>
      <c r="AT166" s="104">
        <f>('Renewable Diesel'!M175*'RD Feedstock Breakdown'!AT$3*'Feedstock Conversion Rates'!B$5)/12+150</f>
        <v>150</v>
      </c>
      <c r="AU166" s="106">
        <f t="shared" si="104"/>
        <v>456.25</v>
      </c>
      <c r="AV166" s="104">
        <f>'Renewable Diesel'!N175*'RD Feedstock Breakdown'!$AV$3*'Feedstock Conversion Rates'!$B$4/12-15-10+25+25-22-75+75+22.5-80</f>
        <v>24.249999999999986</v>
      </c>
      <c r="AW166" s="104">
        <f>'Renewable Diesel'!N175*'RD Feedstock Breakdown'!$AW$3*'Feedstock Conversion Rates'!$B$7/12+15+10-25-25+22+75-75-22.5+80</f>
        <v>95.9</v>
      </c>
      <c r="AX166" s="106">
        <f t="shared" si="63"/>
        <v>120.14999999999999</v>
      </c>
      <c r="AY166" s="104">
        <f>('Renewable Diesel'!O175*'RD Feedstock Breakdown'!AY$3*'Feedstock Conversion Rates'!B$4)/12+34-152-230</f>
        <v>9.75</v>
      </c>
      <c r="AZ166" s="104">
        <f>('Renewable Diesel'!O175*'RD Feedstock Breakdown'!AZ$3*'Feedstock Conversion Rates'!B$3)/12-34+152+230</f>
        <v>390.45299999999997</v>
      </c>
      <c r="BA166" s="106">
        <f t="shared" si="120"/>
        <v>400.20299999999997</v>
      </c>
      <c r="BB166" s="104">
        <f>('Renewable Diesel'!Q175*'RD Feedstock Breakdown'!BB$3*'Feedstock Conversion Rates'!B$4)/12</f>
        <v>11.156249999999998</v>
      </c>
      <c r="BC166" s="104">
        <f>('Renewable Diesel'!Q175*'RD Feedstock Breakdown'!BC$3*'Feedstock Conversion Rates'!B$3)/12</f>
        <v>1.4017500000000001</v>
      </c>
      <c r="BD166" s="104">
        <f>('Renewable Diesel'!Q175*'RD Feedstock Breakdown'!BD$3*'Feedstock Conversion Rates'!B$6)/12</f>
        <v>0.8207500000000002</v>
      </c>
      <c r="BE166" s="106">
        <f t="shared" si="90"/>
        <v>13.378749999999998</v>
      </c>
      <c r="BF166" s="104">
        <f>('Renewable Diesel'!R175*'RD Feedstock Breakdown'!BF$3*'Feedstock Conversion Rates'!B$4)/12</f>
        <v>62.5</v>
      </c>
      <c r="BG166" s="106">
        <f t="shared" si="72"/>
        <v>62.5</v>
      </c>
      <c r="BH166" s="104">
        <f>('Renewable Diesel'!T175*'RD Feedstock Breakdown'!BH$3*'Feedstock Conversion Rates'!B$7)/12</f>
        <v>27.599999999999998</v>
      </c>
      <c r="BI166" s="106">
        <f t="shared" si="64"/>
        <v>27.599999999999998</v>
      </c>
      <c r="BJ166" s="104">
        <f>('Renewable Diesel'!W175*'RD Feedstock Breakdown'!BJ$3*'Feedstock Conversion Rates'!B$4)/12</f>
        <v>7.5</v>
      </c>
      <c r="BK166" s="104">
        <f>('Renewable Diesel'!W175*'RD Feedstock Breakdown'!BK$3*'Feedstock Conversion Rates'!B$3)/12</f>
        <v>1.335</v>
      </c>
      <c r="BL166" s="104">
        <f>('Renewable Diesel'!W175*'RD Feedstock Breakdown'!BL$3*'Feedstock Conversion Rates'!B$6)/12</f>
        <v>3.1266666666666669</v>
      </c>
      <c r="BM166" s="104">
        <f>('Renewable Diesel'!W175*'RD Feedstock Breakdown'!BM$3*'Feedstock Conversion Rates'!B$7)/12</f>
        <v>1.5333333333333332</v>
      </c>
      <c r="BN166" s="106">
        <f t="shared" si="112"/>
        <v>13.495000000000001</v>
      </c>
      <c r="BO166" s="104">
        <f>('Renewable Diesel'!P175*'Feedstock Conversion Rates'!B$4)/12</f>
        <v>31.25</v>
      </c>
      <c r="BP166" s="106">
        <f t="shared" si="102"/>
        <v>31.25</v>
      </c>
      <c r="BQ166" s="104">
        <f>('Renewable Diesel'!$S175*'RD Feedstock Breakdown'!BQ$3*'Feedstock Conversion Rates'!B$4)/12+10</f>
        <v>38.125</v>
      </c>
      <c r="BR166" s="104">
        <f>('Renewable Diesel'!$S175*'RD Feedstock Breakdown'!BR$3*'Feedstock Conversion Rates'!B$7)/12-10</f>
        <v>1.5</v>
      </c>
      <c r="BS166" s="106">
        <f t="shared" si="123"/>
        <v>39.625</v>
      </c>
      <c r="BT166" s="106"/>
      <c r="BU166" s="104">
        <f>('Renewable Diesel'!Y175*'Feedstock Conversion Rates'!B$7)/12</f>
        <v>2.6833333333333331</v>
      </c>
      <c r="BV166" s="106">
        <f t="shared" si="93"/>
        <v>2.6833333333333331</v>
      </c>
      <c r="BW166" s="104">
        <f>('Renewable Diesel'!$Z175*'RD Feedstock Breakdown'!BW$3*'Feedstock Conversion Rates'!$B$4)/12</f>
        <v>17.96875</v>
      </c>
      <c r="BX166" s="104">
        <f>('Renewable Diesel'!$Z175*'RD Feedstock Breakdown'!BX$3*'Feedstock Conversion Rates'!$B$5)/12</f>
        <v>1.8088541666666667</v>
      </c>
      <c r="BY166" s="104">
        <f>('Renewable Diesel'!$Z175*'RD Feedstock Breakdown'!BY$3*'Feedstock Conversion Rates'!$B$7)/12</f>
        <v>15.429166666666665</v>
      </c>
      <c r="BZ166" s="104">
        <f>('Renewable Diesel'!$Z175*'RD Feedstock Breakdown'!BZ$3*'Feedstock Conversion Rates'!$B$3)/12</f>
        <v>3.8381249999999998</v>
      </c>
      <c r="CA166" s="106">
        <f t="shared" ref="CA166:CA229" si="127">SUM(BW166:BZ166)</f>
        <v>39.044895833333328</v>
      </c>
      <c r="CB166" s="104">
        <f>('Renewable Diesel'!AA175*'Feedstock Conversion Rates'!B$4)/12</f>
        <v>191.25</v>
      </c>
      <c r="CC166" s="106">
        <f t="shared" si="113"/>
        <v>191.25</v>
      </c>
      <c r="CD166" s="104">
        <f>('Renewable Diesel'!$AB175*'RD Feedstock Breakdown'!CD$3*'Feedstock Conversion Rates'!$B$6)/12</f>
        <v>16.415000000000003</v>
      </c>
      <c r="CE166" s="104">
        <f>('Renewable Diesel'!$AB175*'RD Feedstock Breakdown'!CE$3*'Feedstock Conversion Rates'!$B$4)/12</f>
        <v>5.625</v>
      </c>
      <c r="CF166" s="106">
        <f t="shared" si="108"/>
        <v>22.040000000000003</v>
      </c>
      <c r="CG166" s="104">
        <f>('Renewable Diesel'!AD175*'Feedstock Conversion Rates'!B$4)/12</f>
        <v>112.5</v>
      </c>
      <c r="CH166" s="106">
        <f t="shared" si="89"/>
        <v>112.5</v>
      </c>
      <c r="CI166" s="104">
        <f>('Renewable Diesel'!$AE175*'RD Feedstock Breakdown'!CI$3*'Feedstock Conversion Rates'!$B$5)/12</f>
        <v>0.34604166666666664</v>
      </c>
      <c r="CJ166" s="104">
        <f>('Renewable Diesel'!$AE175*'RD Feedstock Breakdown'!CJ$3*'Feedstock Conversion Rates'!$B$4)/12</f>
        <v>0.34375</v>
      </c>
      <c r="CK166" s="106">
        <f t="shared" si="103"/>
        <v>0.68979166666666658</v>
      </c>
      <c r="CL166" s="104">
        <f>(((CL$3*'Renewable Diesel'!$AF175)*'Feedstock Conversion Rates'!$B$3)/12)-10</f>
        <v>20.037499999999998</v>
      </c>
      <c r="CM166" s="104">
        <f>(((CM$3*'Renewable Diesel'!$AF175)*'Feedstock Conversion Rates'!$B$6)/12)+10</f>
        <v>27.587500000000002</v>
      </c>
      <c r="CN166" s="104">
        <f>(((CN$3*'Renewable Diesel'!$AF175)*'Feedstock Conversion Rates'!$B$4)/12)+10</f>
        <v>24.0625</v>
      </c>
      <c r="CO166" s="106">
        <f t="shared" si="91"/>
        <v>71.6875</v>
      </c>
      <c r="CP166" s="106"/>
      <c r="CQ166" s="106"/>
      <c r="CR166" s="106"/>
      <c r="CS166" s="106"/>
      <c r="CT166" s="104">
        <f>('Renewable Diesel'!AI175*'Feedstock Conversion Rates'!$B$4*'RD Feedstock Breakdown'!$CT$3)/12</f>
        <v>29.375</v>
      </c>
      <c r="CU166" s="106">
        <f t="shared" si="99"/>
        <v>29.375</v>
      </c>
      <c r="CV166" s="106"/>
      <c r="CW166" s="106"/>
      <c r="CX166" s="106"/>
      <c r="CY166" s="106"/>
      <c r="CZ166" s="106"/>
      <c r="DA166" s="106"/>
      <c r="DB166" s="106"/>
      <c r="DC166" s="106"/>
      <c r="DD166" s="106"/>
      <c r="DE166" s="106"/>
      <c r="DF166" s="106"/>
      <c r="DG166" s="106"/>
      <c r="DH166" s="106"/>
      <c r="DI166" s="106"/>
      <c r="DJ166" s="104">
        <f>('Renewable Diesel'!AT175*'Feedstock Conversion Rates'!$B$4*0.25)/12</f>
        <v>0</v>
      </c>
      <c r="DK166" s="104">
        <f>('Renewable Diesel'!$AT175*'RD Feedstock Breakdown'!DK$3*'Feedstock Conversion Rates'!$B$3)/12*0.5</f>
        <v>0</v>
      </c>
      <c r="DL166" s="104">
        <f>('Renewable Diesel'!$AT175*'RD Feedstock Breakdown'!$DL$3*'Feedstock Conversion Rates'!$B$6)/12</f>
        <v>0</v>
      </c>
      <c r="DM166" s="104">
        <f>('Renewable Diesel'!$AT175*'RD Feedstock Breakdown'!$DM$3*'Feedstock Conversion Rates'!$B$8)/12</f>
        <v>0</v>
      </c>
      <c r="DN166" s="106">
        <f t="shared" si="110"/>
        <v>0</v>
      </c>
      <c r="DP166" s="104">
        <f t="shared" si="73"/>
        <v>98.631249999999994</v>
      </c>
      <c r="DQ166" s="104">
        <f t="shared" si="74"/>
        <v>829.70081249999998</v>
      </c>
      <c r="DR166" s="104">
        <f t="shared" si="82"/>
        <v>1099.0625</v>
      </c>
      <c r="DS166" s="104">
        <f t="shared" si="100"/>
        <v>295.01947916666666</v>
      </c>
      <c r="DT166" s="104">
        <f t="shared" si="75"/>
        <v>164.51131666666669</v>
      </c>
      <c r="DU166" s="104">
        <f t="shared" si="76"/>
        <v>324.73166666666668</v>
      </c>
      <c r="DV166" s="104">
        <f t="shared" si="83"/>
        <v>56.1953125</v>
      </c>
      <c r="DW166" s="104">
        <f t="shared" si="77"/>
        <v>2.5</v>
      </c>
      <c r="DX166" s="106">
        <f t="shared" si="78"/>
        <v>2870.3523375</v>
      </c>
      <c r="DY166" s="109">
        <f t="shared" si="79"/>
        <v>-3.2684965844964609E-13</v>
      </c>
      <c r="EA166" s="110">
        <f t="shared" si="114"/>
        <v>3.4362070715647813E-2</v>
      </c>
      <c r="EB166" s="110">
        <f t="shared" si="114"/>
        <v>0.28905887324712448</v>
      </c>
      <c r="EC166" s="110">
        <f t="shared" si="114"/>
        <v>0.38290159909680427</v>
      </c>
      <c r="ED166" s="110">
        <f t="shared" si="114"/>
        <v>0.10278162555598339</v>
      </c>
      <c r="EE166" s="110">
        <f t="shared" si="114"/>
        <v>5.7313980070457703E-2</v>
      </c>
      <c r="EF166" s="110">
        <f t="shared" si="114"/>
        <v>0.11313303332980343</v>
      </c>
      <c r="EG166" s="111">
        <f t="shared" si="114"/>
        <v>1.9577844770424461E-2</v>
      </c>
      <c r="EH166" s="111">
        <f t="shared" si="84"/>
        <v>8.7097321375445948E-4</v>
      </c>
      <c r="EI166" s="110">
        <f t="shared" si="85"/>
        <v>0.99912902678624549</v>
      </c>
      <c r="EK166" s="112">
        <f>(EA166*'Renewable Diesel'!BF175*'Feedstock Conversion Rates'!B$2)+FB166</f>
        <v>84.397684243486395</v>
      </c>
      <c r="EL166" s="112">
        <f>(EB166*'Renewable Diesel'!BF175*'Feedstock Conversion Rates'!B$3)+FC166</f>
        <v>669.03848281161606</v>
      </c>
      <c r="EM166" s="112">
        <f>(EC166*'Renewable Diesel'!BF175*'Feedstock Conversion Rates'!B$4)+FD166</f>
        <v>829.81392968184468</v>
      </c>
      <c r="EN166" s="112">
        <f>(ED166*'Renewable Diesel'!BF175*'Feedstock Conversion Rates'!B$5)+FE166</f>
        <v>224.23051327434305</v>
      </c>
      <c r="EO166" s="112">
        <f>(EE166*'Renewable Diesel'!BF175*'Feedstock Conversion Rates'!B$6)+FF166</f>
        <v>155.34442935545812</v>
      </c>
      <c r="EP166" s="112">
        <f>(EF166*'Renewable Diesel'!BF175*'Feedstock Conversion Rates'!B$7)+FG166</f>
        <v>300.75270099270659</v>
      </c>
      <c r="EQ166" s="112">
        <f>(EG166*'Renewable Diesel'!BF175*'Feedstock Conversion Rates'!B$8)+FH166</f>
        <v>53.035715775176904</v>
      </c>
      <c r="ER166" s="112">
        <f>(EH166*'Renewable Diesel'!BF175*'Feedstock Conversion Rates'!B$9)+FI166</f>
        <v>2.3279776626464415</v>
      </c>
      <c r="ES166" s="112">
        <f t="shared" si="86"/>
        <v>2318.941433797278</v>
      </c>
      <c r="ET166" s="91">
        <f>ES166/'Renewable Diesel'!BF175</f>
        <v>8.0252302786112217</v>
      </c>
      <c r="EW166" s="73">
        <f t="shared" si="124"/>
        <v>1054.0444429561878</v>
      </c>
      <c r="EX166" s="73">
        <f t="shared" si="125"/>
        <v>1264.8969908410904</v>
      </c>
      <c r="EY166" s="92">
        <f t="shared" si="71"/>
        <v>0.45453689670384856</v>
      </c>
      <c r="EZ166" s="92">
        <f t="shared" si="71"/>
        <v>0.54546310329615155</v>
      </c>
      <c r="FB166" s="102">
        <f>IF('Renewable Diesel'!$BG175&lt;1,0,(((('Renewable Diesel'!$BG175-1)*'Renewable Diesel'!$BF175)*'RD Feedstock Breakdown'!EA166)*'Feedstock Conversion Rates'!$B$2))</f>
        <v>0</v>
      </c>
      <c r="FC166" s="102">
        <f>IF('Renewable Diesel'!$BG175&lt;1,0,(((('Renewable Diesel'!$BG175-1)*'Renewable Diesel'!$BF175)*'RD Feedstock Breakdown'!EB166)*'Feedstock Conversion Rates'!$B$3))</f>
        <v>0</v>
      </c>
      <c r="FD166" s="102">
        <f>IF('Renewable Diesel'!$BG175&lt;1,0,(((('Renewable Diesel'!$BG175-1)*'Renewable Diesel'!$BF175)*'RD Feedstock Breakdown'!EC166)*'Feedstock Conversion Rates'!$B$4))</f>
        <v>0</v>
      </c>
      <c r="FE166" s="102">
        <f>IF('Renewable Diesel'!$BG175&lt;1,0,(((('Renewable Diesel'!$BG175-1)*'Renewable Diesel'!$BF175)*'RD Feedstock Breakdown'!ED166)*'Feedstock Conversion Rates'!$B$5))</f>
        <v>0</v>
      </c>
      <c r="FF166" s="102">
        <f>IF('Renewable Diesel'!$BG175&lt;1,0,(((('Renewable Diesel'!$BG175-1)*'Renewable Diesel'!$BF175)*'RD Feedstock Breakdown'!EE166)*'Feedstock Conversion Rates'!$B$6))</f>
        <v>0</v>
      </c>
      <c r="FG166" s="102">
        <f>IF('Renewable Diesel'!$BG175&lt;1,0,(((('Renewable Diesel'!$BG175-1)*'Renewable Diesel'!$BF175)*'RD Feedstock Breakdown'!EF166)*'Feedstock Conversion Rates'!$B$7))</f>
        <v>0</v>
      </c>
      <c r="FH166" s="102">
        <f>IF('Renewable Diesel'!$BG175&lt;1,0,(((('Renewable Diesel'!$BG175-1)*'Renewable Diesel'!$BF175)*'RD Feedstock Breakdown'!EG166)*'Feedstock Conversion Rates'!$B$8))</f>
        <v>0</v>
      </c>
      <c r="FI166" s="102">
        <f>IF('Renewable Diesel'!$BG175&lt;1,0,(((('Renewable Diesel'!$BG175-1)*'Renewable Diesel'!$BF175)*'RD Feedstock Breakdown'!EH166)*'Feedstock Conversion Rates'!$B$9))</f>
        <v>0</v>
      </c>
      <c r="FJ166" s="102">
        <f t="shared" si="126"/>
        <v>0</v>
      </c>
      <c r="FL166" s="3">
        <f>('Renewable Diesel'!AX175/12*$FO$80)*'RD Feedstock Breakdown'!EC166*7.5</f>
        <v>990.3271233639972</v>
      </c>
      <c r="FM166" s="3">
        <f t="shared" si="96"/>
        <v>160.51319368215252</v>
      </c>
      <c r="FR166" s="3">
        <f>('Renewable Diesel'!AX175-'Renewable Diesel'!BI175)/12*$FO$80</f>
        <v>28.113750000000028</v>
      </c>
      <c r="FS166" s="100">
        <f t="shared" si="97"/>
        <v>0.38290159909680427</v>
      </c>
      <c r="FT166" s="3">
        <f t="shared" si="98"/>
        <v>80.735998737058438</v>
      </c>
      <c r="FY166" s="3">
        <f>'Renewable Diesel'!BF175*('Renewable Diesel'!BI175/'Renewable Diesel'!AX175)</f>
        <v>265.3993272368312</v>
      </c>
      <c r="FZ166" s="3">
        <f>('Renewable Diesel'!BJ175*'Renewable Diesel'!BG175)/12</f>
        <v>23.884226954323911</v>
      </c>
      <c r="GA166" s="3">
        <f t="shared" si="105"/>
        <v>68.589815205012158</v>
      </c>
      <c r="GD166" s="91">
        <f>'Renewable Diesel'!BB175*0.32</f>
        <v>17.176839359999999</v>
      </c>
      <c r="GE166" s="91">
        <f>'Renewable Diesel'!BC175</f>
        <v>3.2568869999999999</v>
      </c>
      <c r="GF166" s="91">
        <f>'Renewable Diesel'!BD175</f>
        <v>0</v>
      </c>
      <c r="GG166" s="91">
        <f t="shared" si="109"/>
        <v>3.2568869999999999</v>
      </c>
      <c r="GH166" s="124">
        <v>1</v>
      </c>
      <c r="GI166" s="102">
        <f>$GG166*EA166*'Feedstock Conversion Rates'!$B$2</f>
        <v>0.95126374195842944</v>
      </c>
      <c r="GJ166" s="102">
        <f>$GG166*EB166*'Feedstock Conversion Rates'!$B$3</f>
        <v>7.5408710129707917</v>
      </c>
      <c r="GK166" s="102">
        <f>$GG166*EC166*'Feedstock Conversion Rates'!$B$4</f>
        <v>9.3530043028319518</v>
      </c>
      <c r="GL166" s="102">
        <f>$GG166*ED166*'Feedstock Conversion Rates'!$B$5</f>
        <v>2.5273484578467329</v>
      </c>
      <c r="GM166" s="102">
        <f>$GG166*EE166*'Feedstock Conversion Rates'!$B$6</f>
        <v>1.7509191689992936</v>
      </c>
      <c r="GN166" s="102">
        <f>$GG166*EF166*'Feedstock Conversion Rates'!$B$7</f>
        <v>3.3898458508061116</v>
      </c>
      <c r="GO166" s="102">
        <f>$GG166*EG166*'Feedstock Conversion Rates'!$B$8</f>
        <v>0.59777651363262574</v>
      </c>
      <c r="GP166" s="102">
        <f>$GG166*EH166*'Feedstock Conversion Rates'!B$9</f>
        <v>2.6239117369332363E-2</v>
      </c>
      <c r="GQ166" s="102">
        <f t="shared" si="87"/>
        <v>26.137268166415268</v>
      </c>
      <c r="GR166" s="85">
        <f t="shared" si="107"/>
        <v>8.0252302786112235</v>
      </c>
      <c r="GT166" s="103">
        <f t="shared" si="111"/>
        <v>3.6394918393986682E-2</v>
      </c>
      <c r="GU166" s="103">
        <f t="shared" si="111"/>
        <v>0.28851029744035506</v>
      </c>
      <c r="GV166" s="103">
        <f t="shared" si="111"/>
        <v>0.35784169345019651</v>
      </c>
      <c r="GW166" s="103">
        <f t="shared" si="111"/>
        <v>9.6695203253652023E-2</v>
      </c>
      <c r="GX166" s="103">
        <f t="shared" si="111"/>
        <v>6.6989371569027026E-2</v>
      </c>
      <c r="GY166" s="103">
        <f t="shared" si="111"/>
        <v>0.1296939614814776</v>
      </c>
      <c r="GZ166" s="103">
        <f t="shared" si="111"/>
        <v>2.2870657707094681E-2</v>
      </c>
      <c r="HA166" s="103">
        <f t="shared" si="111"/>
        <v>1.0038967042105787E-3</v>
      </c>
    </row>
    <row r="167" spans="1:209" x14ac:dyDescent="0.25">
      <c r="A167" s="96">
        <v>45505</v>
      </c>
      <c r="B167" s="104">
        <f t="shared" si="115"/>
        <v>0</v>
      </c>
      <c r="C167" s="104">
        <f t="shared" si="116"/>
        <v>0</v>
      </c>
      <c r="D167" s="104">
        <f t="shared" si="95"/>
        <v>1.5</v>
      </c>
      <c r="E167" s="104">
        <f>('Renewable Diesel'!B176*E$3*'Feedstock Conversion Rates'!$B$2)/12-40+1.25+6-43+30-15+12.5-4+1.5+26+2.5+3-10+50+9-15-25-55+50-15</f>
        <v>59.679999999999993</v>
      </c>
      <c r="F167" s="104">
        <f>('Renewable Diesel'!B176*'RD Feedstock Breakdown'!F$3*'Feedstock Conversion Rates'!B$8)/12+28.5-49-5+2-6+1+6+20-20-3.75+10+2.5+5-20-20+25+5</f>
        <v>35.15625</v>
      </c>
      <c r="G167" s="104">
        <f>('Renewable Diesel'!B176*'RD Feedstock Breakdown'!G$3*'Feedstock Conversion Rates'!B$7)/12-25-15-25+4+4-20-40-20+10-17.5+20+50-12+32.5+35-75-75+22.5+5-20+15+125-50-10-5-50</f>
        <v>39.657000000000011</v>
      </c>
      <c r="H167" s="104">
        <f>('Renewable Diesel'!B176*'RD Feedstock Breakdown'!H$3*'Feedstock Conversion Rates'!B$3)/12-85+4-15+70-65-80+50-22.5-5+25+27.5+15+50+15-10+5+50+75-5-25-85-12.5+30+22.5-25-30+150+90-120+25+50+15</f>
        <v>360.40022499999998</v>
      </c>
      <c r="I167" s="106">
        <f t="shared" si="106"/>
        <v>496.39347499999997</v>
      </c>
      <c r="J167" s="104">
        <f t="shared" si="117"/>
        <v>0.25</v>
      </c>
      <c r="K167" s="104"/>
      <c r="L167" s="104">
        <v>1</v>
      </c>
      <c r="M167" s="104">
        <f>('Renewable Diesel'!C176*'RD Feedstock Breakdown'!M$3*'Feedstock Conversion Rates'!B$2)/12</f>
        <v>38.951250000000002</v>
      </c>
      <c r="N167" s="104">
        <f>('Renewable Diesel'!C176*'RD Feedstock Breakdown'!N$3*'Feedstock Conversion Rates'!B$8)/12</f>
        <v>18.359375</v>
      </c>
      <c r="O167" s="104">
        <f>('Renewable Diesel'!C176*'RD Feedstock Breakdown'!O$3*'Feedstock Conversion Rates'!B$7)/12</f>
        <v>59.9955</v>
      </c>
      <c r="P167" s="104">
        <f>('Renewable Diesel'!C176*'RD Feedstock Breakdown'!P$3*'Feedstock Conversion Rates'!B$3)/12</f>
        <v>52.23521250000001</v>
      </c>
      <c r="Q167" s="106">
        <f t="shared" si="119"/>
        <v>170.79133750000003</v>
      </c>
      <c r="R167" s="104">
        <f>('Renewable Diesel'!D176*'RD Feedstock Breakdown'!R$3*'Feedstock Conversion Rates'!B$7)/12</f>
        <v>2.2999999999999998</v>
      </c>
      <c r="S167" s="106">
        <f t="shared" si="67"/>
        <v>2.2999999999999998</v>
      </c>
      <c r="T167" s="104">
        <f t="shared" si="118"/>
        <v>0</v>
      </c>
      <c r="U167" s="104">
        <v>0</v>
      </c>
      <c r="V167" s="104">
        <f>('Renewable Diesel'!E176*'RD Feedstock Breakdown'!V$3*'Feedstock Conversion Rates'!B$6)/12-20-5-5+32.5-35+25-15+22+20</f>
        <v>63.750150000000012</v>
      </c>
      <c r="W167" s="104">
        <f>('Renewable Diesel'!E176*'RD Feedstock Breakdown'!W$3*'Feedstock Conversion Rates'!B$8)/12-2.5+3-20</f>
        <v>2.6796875</v>
      </c>
      <c r="X167" s="106">
        <f t="shared" si="88"/>
        <v>66.429837500000019</v>
      </c>
      <c r="Y167" s="104">
        <f t="shared" si="122"/>
        <v>0</v>
      </c>
      <c r="Z167" s="104">
        <f>('Renewable Diesel'!F176*'RD Feedstock Breakdown'!Z$3*'Feedstock Conversion Rates'!B$6)/12-50-32-11+15-41+40-40+70</f>
        <v>-4.4449999999999932</v>
      </c>
      <c r="AA167" s="104">
        <f>('Renewable Diesel'!F176*'RD Feedstock Breakdown'!AA$3*'Feedstock Conversion Rates'!B$7)/12+14-73+75+62-24+25+40-70</f>
        <v>78.133333333333326</v>
      </c>
      <c r="AB167" s="106">
        <f t="shared" si="62"/>
        <v>73.688333333333333</v>
      </c>
      <c r="AC167" s="104">
        <f>('Renewable Diesel'!G176*'RD Feedstock Breakdown'!AC$3*'Feedstock Conversion Rates'!B$5)/12</f>
        <v>7.864583333333333</v>
      </c>
      <c r="AD167" s="104">
        <f>('Renewable Diesel'!G176*'RD Feedstock Breakdown'!AD$3*'Feedstock Conversion Rates'!B$4)/12</f>
        <v>3.90625</v>
      </c>
      <c r="AE167" s="104">
        <f>('Renewable Diesel'!G176*'RD Feedstock Breakdown'!AE$3*'Feedstock Conversion Rates'!B$6)/12</f>
        <v>4.885416666666667</v>
      </c>
      <c r="AF167" s="106">
        <f t="shared" si="101"/>
        <v>16.65625</v>
      </c>
      <c r="AG167" s="104">
        <f t="shared" si="121"/>
        <v>135</v>
      </c>
      <c r="AH167" s="104">
        <v>0</v>
      </c>
      <c r="AI167" s="104">
        <f>('Renewable Diesel'!H176*'RD Feedstock Breakdown'!AI$3*'Feedstock Conversion Rates'!B$6)/12-130-23+3+51+99-50-150+80+10+15-60+15+140-70-65</f>
        <v>13.51666666666668</v>
      </c>
      <c r="AJ167" s="106">
        <f t="shared" si="65"/>
        <v>148.51666666666668</v>
      </c>
      <c r="AK167" s="104">
        <f>('Renewable Diesel'!J176*'RD Feedstock Breakdown'!AK$3*'Feedstock Conversion Rates'!B$4)/12</f>
        <v>95.8125</v>
      </c>
      <c r="AL167" s="106">
        <f t="shared" si="68"/>
        <v>95.8125</v>
      </c>
      <c r="AM167" s="104">
        <f>('Renewable Diesel'!K176*'RD Feedstock Breakdown'!AM$3*'Feedstock Conversion Rates'!B$4)/12+20-30</f>
        <v>48.59375</v>
      </c>
      <c r="AN167" s="104">
        <f>('Renewable Diesel'!K176*'RD Feedstock Breakdown'!AN$3*'Feedstock Conversion Rates'!B$6)/12-20+30</f>
        <v>34.427083333333329</v>
      </c>
      <c r="AO167" s="106">
        <f t="shared" si="81"/>
        <v>83.020833333333329</v>
      </c>
      <c r="AP167" s="104">
        <f>('Renewable Diesel'!L176*'RD Feedstock Breakdown'!AP$3*'Feedstock Conversion Rates'!B$4)/12+15-10+15</f>
        <v>78.59375</v>
      </c>
      <c r="AQ167" s="104">
        <f>('Renewable Diesel'!L176*'RD Feedstock Breakdown'!AQ$3*'Feedstock Conversion Rates'!B$6)/12-15+10-15</f>
        <v>4.4270833333333321</v>
      </c>
      <c r="AR167" s="106">
        <f t="shared" si="70"/>
        <v>83.020833333333329</v>
      </c>
      <c r="AS167" s="104">
        <f>('Renewable Diesel'!M176*'RD Feedstock Breakdown'!AS$3*'Feedstock Conversion Rates'!B$4)/12-150-50</f>
        <v>256.25</v>
      </c>
      <c r="AT167" s="104">
        <f>('Renewable Diesel'!M176*'RD Feedstock Breakdown'!AT$3*'Feedstock Conversion Rates'!B$5)/12+150+50</f>
        <v>200</v>
      </c>
      <c r="AU167" s="106">
        <f t="shared" si="104"/>
        <v>456.25</v>
      </c>
      <c r="AV167" s="104">
        <f>'Renewable Diesel'!N176*'RD Feedstock Breakdown'!$AV$3*'Feedstock Conversion Rates'!$B$4/12-15-10+25+25-22-75+75+22.5-80</f>
        <v>24.249999999999986</v>
      </c>
      <c r="AW167" s="104">
        <f>'Renewable Diesel'!N176*'RD Feedstock Breakdown'!$AW$3*'Feedstock Conversion Rates'!$B$7/12+15+10-25-25+22+75-75-22.5+80</f>
        <v>95.9</v>
      </c>
      <c r="AX167" s="106">
        <f t="shared" si="63"/>
        <v>120.14999999999999</v>
      </c>
      <c r="AY167" s="104">
        <f>('Renewable Diesel'!O176*'RD Feedstock Breakdown'!AY$3*'Feedstock Conversion Rates'!B$4)/12+34-152-230</f>
        <v>9.75</v>
      </c>
      <c r="AZ167" s="104">
        <f>('Renewable Diesel'!O176*'RD Feedstock Breakdown'!AZ$3*'Feedstock Conversion Rates'!B$3)/12-34+152+230</f>
        <v>390.45299999999997</v>
      </c>
      <c r="BA167" s="106">
        <f t="shared" si="120"/>
        <v>400.20299999999997</v>
      </c>
      <c r="BB167" s="104">
        <f>('Renewable Diesel'!Q176*'RD Feedstock Breakdown'!BB$3*'Feedstock Conversion Rates'!B$4)/12</f>
        <v>11.156249999999998</v>
      </c>
      <c r="BC167" s="104">
        <f>('Renewable Diesel'!Q176*'RD Feedstock Breakdown'!BC$3*'Feedstock Conversion Rates'!B$3)/12</f>
        <v>1.4017500000000001</v>
      </c>
      <c r="BD167" s="104">
        <f>('Renewable Diesel'!Q176*'RD Feedstock Breakdown'!BD$3*'Feedstock Conversion Rates'!B$6)/12</f>
        <v>0.8207500000000002</v>
      </c>
      <c r="BE167" s="106">
        <f t="shared" si="90"/>
        <v>13.378749999999998</v>
      </c>
      <c r="BF167" s="104">
        <f>('Renewable Diesel'!R176*'RD Feedstock Breakdown'!BF$3*'Feedstock Conversion Rates'!B$4)/12</f>
        <v>62.5</v>
      </c>
      <c r="BG167" s="106">
        <f t="shared" si="72"/>
        <v>62.5</v>
      </c>
      <c r="BH167" s="104">
        <f>('Renewable Diesel'!T176*'RD Feedstock Breakdown'!BH$3*'Feedstock Conversion Rates'!B$7)/12</f>
        <v>27.599999999999998</v>
      </c>
      <c r="BI167" s="106">
        <f t="shared" si="64"/>
        <v>27.599999999999998</v>
      </c>
      <c r="BJ167" s="104">
        <f>('Renewable Diesel'!W176*'RD Feedstock Breakdown'!BJ$3*'Feedstock Conversion Rates'!B$4)/12</f>
        <v>7.5</v>
      </c>
      <c r="BK167" s="104">
        <f>('Renewable Diesel'!W176*'RD Feedstock Breakdown'!BK$3*'Feedstock Conversion Rates'!B$3)/12</f>
        <v>1.335</v>
      </c>
      <c r="BL167" s="104">
        <f>('Renewable Diesel'!W176*'RD Feedstock Breakdown'!BL$3*'Feedstock Conversion Rates'!B$6)/12</f>
        <v>3.1266666666666669</v>
      </c>
      <c r="BM167" s="104">
        <f>('Renewable Diesel'!W176*'RD Feedstock Breakdown'!BM$3*'Feedstock Conversion Rates'!B$7)/12</f>
        <v>1.5333333333333332</v>
      </c>
      <c r="BN167" s="106">
        <f t="shared" si="112"/>
        <v>13.495000000000001</v>
      </c>
      <c r="BO167" s="104">
        <f>('Renewable Diesel'!P176*'Feedstock Conversion Rates'!B$4)/12</f>
        <v>31.25</v>
      </c>
      <c r="BP167" s="106">
        <f t="shared" si="102"/>
        <v>31.25</v>
      </c>
      <c r="BQ167" s="104">
        <f>('Renewable Diesel'!$S176*'RD Feedstock Breakdown'!BQ$3*'Feedstock Conversion Rates'!B$4)/12+10</f>
        <v>38.125</v>
      </c>
      <c r="BR167" s="104">
        <f>('Renewable Diesel'!$S176*'RD Feedstock Breakdown'!BR$3*'Feedstock Conversion Rates'!B$7)/12-10</f>
        <v>1.5</v>
      </c>
      <c r="BS167" s="106">
        <f t="shared" si="123"/>
        <v>39.625</v>
      </c>
      <c r="BT167" s="106"/>
      <c r="BU167" s="104">
        <f>('Renewable Diesel'!Y176*'Feedstock Conversion Rates'!B$7)/12</f>
        <v>2.6833333333333331</v>
      </c>
      <c r="BV167" s="106">
        <f t="shared" si="93"/>
        <v>2.6833333333333331</v>
      </c>
      <c r="BW167" s="104">
        <f>('Renewable Diesel'!$Z176*'RD Feedstock Breakdown'!BW$3*'Feedstock Conversion Rates'!$B$4)/12</f>
        <v>17.96875</v>
      </c>
      <c r="BX167" s="104">
        <f>('Renewable Diesel'!$Z176*'RD Feedstock Breakdown'!BX$3*'Feedstock Conversion Rates'!$B$5)/12</f>
        <v>1.8088541666666667</v>
      </c>
      <c r="BY167" s="104">
        <f>('Renewable Diesel'!$Z176*'RD Feedstock Breakdown'!BY$3*'Feedstock Conversion Rates'!$B$7)/12</f>
        <v>15.429166666666665</v>
      </c>
      <c r="BZ167" s="104">
        <f>('Renewable Diesel'!$Z176*'RD Feedstock Breakdown'!BZ$3*'Feedstock Conversion Rates'!$B$3)/12</f>
        <v>3.8381249999999998</v>
      </c>
      <c r="CA167" s="106">
        <f t="shared" si="127"/>
        <v>39.044895833333328</v>
      </c>
      <c r="CB167" s="104">
        <f>('Renewable Diesel'!AA176*'Feedstock Conversion Rates'!B$4)/12</f>
        <v>191.25</v>
      </c>
      <c r="CC167" s="106">
        <f t="shared" si="113"/>
        <v>191.25</v>
      </c>
      <c r="CD167" s="104">
        <f>('Renewable Diesel'!$AB176*'RD Feedstock Breakdown'!CD$3*'Feedstock Conversion Rates'!$B$6)/12</f>
        <v>32.830000000000005</v>
      </c>
      <c r="CE167" s="104">
        <f>('Renewable Diesel'!$AB176*'RD Feedstock Breakdown'!CE$3*'Feedstock Conversion Rates'!$B$4)/12</f>
        <v>11.25</v>
      </c>
      <c r="CF167" s="106">
        <f t="shared" si="108"/>
        <v>44.080000000000005</v>
      </c>
      <c r="CG167" s="104">
        <f>('Renewable Diesel'!AD176*'Feedstock Conversion Rates'!B$4)/12</f>
        <v>112.5</v>
      </c>
      <c r="CH167" s="106">
        <f t="shared" si="89"/>
        <v>112.5</v>
      </c>
      <c r="CI167" s="104">
        <f>('Renewable Diesel'!$AE176*'RD Feedstock Breakdown'!CI$3*'Feedstock Conversion Rates'!$B$5)/12</f>
        <v>0.34604166666666664</v>
      </c>
      <c r="CJ167" s="104">
        <f>('Renewable Diesel'!$AE176*'RD Feedstock Breakdown'!CJ$3*'Feedstock Conversion Rates'!$B$4)/12</f>
        <v>0.34375</v>
      </c>
      <c r="CK167" s="106">
        <f t="shared" si="103"/>
        <v>0.68979166666666658</v>
      </c>
      <c r="CL167" s="104">
        <f>(((CL$3*'Renewable Diesel'!$AF176)*'Feedstock Conversion Rates'!$B$3)/12)-10</f>
        <v>20.037499999999998</v>
      </c>
      <c r="CM167" s="104">
        <f>(((CM$3*'Renewable Diesel'!$AF176)*'Feedstock Conversion Rates'!$B$6)/12)+10</f>
        <v>27.587500000000002</v>
      </c>
      <c r="CN167" s="104">
        <f>(((CN$3*'Renewable Diesel'!$AF176)*'Feedstock Conversion Rates'!$B$4)/12)+10</f>
        <v>24.0625</v>
      </c>
      <c r="CO167" s="106">
        <f t="shared" si="91"/>
        <v>71.6875</v>
      </c>
      <c r="CP167" s="106"/>
      <c r="CQ167" s="106"/>
      <c r="CR167" s="106"/>
      <c r="CS167" s="106"/>
      <c r="CT167" s="104">
        <f>('Renewable Diesel'!AI176*'Feedstock Conversion Rates'!$B$4*'RD Feedstock Breakdown'!$CT$3)/12</f>
        <v>29.375</v>
      </c>
      <c r="CU167" s="106">
        <f t="shared" si="99"/>
        <v>29.375</v>
      </c>
      <c r="CV167" s="106"/>
      <c r="CW167" s="106"/>
      <c r="CX167" s="106"/>
      <c r="CY167" s="106"/>
      <c r="CZ167" s="106"/>
      <c r="DA167" s="106"/>
      <c r="DB167" s="106"/>
      <c r="DC167" s="106"/>
      <c r="DD167" s="106"/>
      <c r="DE167" s="106"/>
      <c r="DF167" s="106"/>
      <c r="DG167" s="106"/>
      <c r="DH167" s="106"/>
      <c r="DI167" s="106"/>
      <c r="DJ167" s="104">
        <f>('Renewable Diesel'!AT176*'Feedstock Conversion Rates'!$B$4*0.25)/12</f>
        <v>0</v>
      </c>
      <c r="DK167" s="104">
        <f>('Renewable Diesel'!$AT176*'RD Feedstock Breakdown'!DK$3*'Feedstock Conversion Rates'!$B$3)/12*0.5</f>
        <v>0</v>
      </c>
      <c r="DL167" s="104">
        <f>('Renewable Diesel'!$AT176*'RD Feedstock Breakdown'!$DL$3*'Feedstock Conversion Rates'!$B$6)/12</f>
        <v>0</v>
      </c>
      <c r="DM167" s="104">
        <f>('Renewable Diesel'!$AT176*'RD Feedstock Breakdown'!$DM$3*'Feedstock Conversion Rates'!$B$8)/12</f>
        <v>0</v>
      </c>
      <c r="DN167" s="106">
        <f t="shared" si="110"/>
        <v>0</v>
      </c>
      <c r="DP167" s="104">
        <f t="shared" si="73"/>
        <v>98.631249999999994</v>
      </c>
      <c r="DQ167" s="104">
        <f t="shared" si="74"/>
        <v>829.70081249999998</v>
      </c>
      <c r="DR167" s="104">
        <f t="shared" si="82"/>
        <v>1054.6875</v>
      </c>
      <c r="DS167" s="104">
        <f t="shared" si="100"/>
        <v>345.01947916666666</v>
      </c>
      <c r="DT167" s="104">
        <f t="shared" si="75"/>
        <v>180.92631666666671</v>
      </c>
      <c r="DU167" s="104">
        <f t="shared" si="76"/>
        <v>324.73166666666668</v>
      </c>
      <c r="DV167" s="104">
        <f t="shared" si="83"/>
        <v>56.1953125</v>
      </c>
      <c r="DW167" s="104">
        <f t="shared" si="77"/>
        <v>2.5</v>
      </c>
      <c r="DX167" s="106">
        <f t="shared" si="78"/>
        <v>2892.3923375000004</v>
      </c>
      <c r="DY167" s="109">
        <f t="shared" si="79"/>
        <v>-7.2475359047530219E-13</v>
      </c>
      <c r="EA167" s="110">
        <f t="shared" si="114"/>
        <v>3.4100232088586764E-2</v>
      </c>
      <c r="EB167" s="110">
        <f t="shared" si="114"/>
        <v>0.28685624759230988</v>
      </c>
      <c r="EC167" s="110">
        <f t="shared" si="114"/>
        <v>0.36464192161136916</v>
      </c>
      <c r="ED167" s="110">
        <f t="shared" si="114"/>
        <v>0.11928515875715516</v>
      </c>
      <c r="EE167" s="110">
        <f t="shared" si="114"/>
        <v>6.2552480976024116E-2</v>
      </c>
      <c r="EF167" s="110">
        <f t="shared" si="114"/>
        <v>0.1122709607740643</v>
      </c>
      <c r="EG167" s="111">
        <f t="shared" si="114"/>
        <v>1.9428661793707988E-2</v>
      </c>
      <c r="EH167" s="111">
        <f t="shared" si="84"/>
        <v>8.6433640678250476E-4</v>
      </c>
      <c r="EI167" s="110">
        <f t="shared" si="85"/>
        <v>0.99913566359321737</v>
      </c>
      <c r="EK167" s="112">
        <f>(EA167*'Renewable Diesel'!BF176*'Feedstock Conversion Rates'!B$2)+FB167</f>
        <v>74.101502042653792</v>
      </c>
      <c r="EL167" s="112">
        <f>(EB167*'Renewable Diesel'!BF176*'Feedstock Conversion Rates'!B$3)+FC167</f>
        <v>587.4184457200339</v>
      </c>
      <c r="EM167" s="112">
        <f>(EC167*'Renewable Diesel'!BF176*'Feedstock Conversion Rates'!B$4)+FD167</f>
        <v>699.16327916842454</v>
      </c>
      <c r="EN167" s="112">
        <f>(ED167*'Renewable Diesel'!BF176*'Feedstock Conversion Rates'!B$5)+FE167</f>
        <v>230.24176997201189</v>
      </c>
      <c r="EO167" s="112">
        <f>(EE167*'Renewable Diesel'!BF176*'Feedstock Conversion Rates'!B$6)+FF167</f>
        <v>150.00237266352676</v>
      </c>
      <c r="EP167" s="112">
        <f>(EF167*'Renewable Diesel'!BF176*'Feedstock Conversion Rates'!B$7)+FG167</f>
        <v>264.06206623690264</v>
      </c>
      <c r="EQ167" s="112">
        <f>(EG167*'Renewable Diesel'!BF176*'Feedstock Conversion Rates'!B$8)+FH167</f>
        <v>46.565569139430352</v>
      </c>
      <c r="ER167" s="112">
        <f>(EH167*'Renewable Diesel'!BF176*'Feedstock Conversion Rates'!B$9)+FI167</f>
        <v>2.043973635889913</v>
      </c>
      <c r="ES167" s="112">
        <f t="shared" si="86"/>
        <v>2053.5989785788738</v>
      </c>
      <c r="ET167" s="91">
        <f>ES167/'Renewable Diesel'!BF176</f>
        <v>8.0327618034244281</v>
      </c>
      <c r="EW167" s="73">
        <f t="shared" si="124"/>
        <v>929.4050491404364</v>
      </c>
      <c r="EX167" s="73">
        <f t="shared" si="125"/>
        <v>1124.1939294384374</v>
      </c>
      <c r="EY167" s="92">
        <f t="shared" si="71"/>
        <v>0.45257377844217711</v>
      </c>
      <c r="EZ167" s="92">
        <f t="shared" si="71"/>
        <v>0.54742622155782295</v>
      </c>
      <c r="FB167" s="102">
        <f>IF('Renewable Diesel'!$BG176&lt;1,0,(((('Renewable Diesel'!$BG176-1)*'Renewable Diesel'!$BF176)*'RD Feedstock Breakdown'!EA167)*'Feedstock Conversion Rates'!$B$2))</f>
        <v>0</v>
      </c>
      <c r="FC167" s="102">
        <f>IF('Renewable Diesel'!$BG176&lt;1,0,(((('Renewable Diesel'!$BG176-1)*'Renewable Diesel'!$BF176)*'RD Feedstock Breakdown'!EB167)*'Feedstock Conversion Rates'!$B$3))</f>
        <v>0</v>
      </c>
      <c r="FD167" s="102">
        <f>IF('Renewable Diesel'!$BG176&lt;1,0,(((('Renewable Diesel'!$BG176-1)*'Renewable Diesel'!$BF176)*'RD Feedstock Breakdown'!EC167)*'Feedstock Conversion Rates'!$B$4))</f>
        <v>0</v>
      </c>
      <c r="FE167" s="102">
        <f>IF('Renewable Diesel'!$BG176&lt;1,0,(((('Renewable Diesel'!$BG176-1)*'Renewable Diesel'!$BF176)*'RD Feedstock Breakdown'!ED167)*'Feedstock Conversion Rates'!$B$5))</f>
        <v>0</v>
      </c>
      <c r="FF167" s="102">
        <f>IF('Renewable Diesel'!$BG176&lt;1,0,(((('Renewable Diesel'!$BG176-1)*'Renewable Diesel'!$BF176)*'RD Feedstock Breakdown'!EE167)*'Feedstock Conversion Rates'!$B$6))</f>
        <v>0</v>
      </c>
      <c r="FG167" s="102">
        <f>IF('Renewable Diesel'!$BG176&lt;1,0,(((('Renewable Diesel'!$BG176-1)*'Renewable Diesel'!$BF176)*'RD Feedstock Breakdown'!EF167)*'Feedstock Conversion Rates'!$B$7))</f>
        <v>0</v>
      </c>
      <c r="FH167" s="102">
        <f>IF('Renewable Diesel'!$BG176&lt;1,0,(((('Renewable Diesel'!$BG176-1)*'Renewable Diesel'!$BF176)*'RD Feedstock Breakdown'!EG167)*'Feedstock Conversion Rates'!$B$8))</f>
        <v>0</v>
      </c>
      <c r="FI167" s="102">
        <f>IF('Renewable Diesel'!$BG176&lt;1,0,(((('Renewable Diesel'!$BG176-1)*'Renewable Diesel'!$BF176)*'RD Feedstock Breakdown'!EH167)*'Feedstock Conversion Rates'!$B$9))</f>
        <v>0</v>
      </c>
      <c r="FJ167" s="102">
        <f t="shared" si="126"/>
        <v>0</v>
      </c>
      <c r="FL167" s="3">
        <f>('Renewable Diesel'!AX176/12*$FO$80)*'RD Feedstock Breakdown'!EC167*7.5</f>
        <v>943.10075000760492</v>
      </c>
      <c r="FM167" s="3">
        <f t="shared" si="96"/>
        <v>243.93747083918038</v>
      </c>
      <c r="FR167" s="3">
        <f>('Renewable Diesel'!AX176-'Renewable Diesel'!BI176)/12*$FO$80</f>
        <v>25.01999999999996</v>
      </c>
      <c r="FS167" s="100">
        <f t="shared" si="97"/>
        <v>0.36464192161136916</v>
      </c>
      <c r="FT167" s="3">
        <f t="shared" si="98"/>
        <v>68.425056590373316</v>
      </c>
      <c r="FY167" s="3">
        <f>'Renewable Diesel'!BF176*('Renewable Diesel'!BI176/'Renewable Diesel'!AX176)</f>
        <v>237.10445737068295</v>
      </c>
      <c r="FZ167" s="3">
        <f>('Renewable Diesel'!BJ176*'Renewable Diesel'!BG176)/12</f>
        <v>18.199428493819163</v>
      </c>
      <c r="GA167" s="3">
        <f t="shared" si="105"/>
        <v>49.772059336611939</v>
      </c>
      <c r="GD167" s="91">
        <f>'Renewable Diesel'!BB176*0.32</f>
        <v>15.411883840000002</v>
      </c>
      <c r="GE167" s="91">
        <f>'Renewable Diesel'!BC176</f>
        <v>4.0267900000000001</v>
      </c>
      <c r="GF167" s="91">
        <f>'Renewable Diesel'!BD176</f>
        <v>0</v>
      </c>
      <c r="GG167" s="91">
        <f t="shared" si="109"/>
        <v>4.0267900000000001</v>
      </c>
      <c r="GH167" s="124">
        <v>1</v>
      </c>
      <c r="GI167" s="102">
        <f>$GG167*EA167*'Feedstock Conversion Rates'!$B$2</f>
        <v>1.1671730253620025</v>
      </c>
      <c r="GJ167" s="102">
        <f>$GG167*EB167*'Feedstock Conversion Rates'!$B$3</f>
        <v>9.2524300526303218</v>
      </c>
      <c r="GK167" s="102">
        <f>$GG167*EC167*'Feedstock Conversion Rates'!$B$4</f>
        <v>11.01252332644084</v>
      </c>
      <c r="GL167" s="102">
        <f>$GG167*ED167*'Feedstock Conversion Rates'!$B$5</f>
        <v>3.6265389474595224</v>
      </c>
      <c r="GM167" s="102">
        <f>$GG167*EE167*'Feedstock Conversion Rates'!$B$6</f>
        <v>2.3626879116753865</v>
      </c>
      <c r="GN167" s="102">
        <f>$GG167*EF167*'Feedstock Conversion Rates'!$B$7</f>
        <v>4.1592425556456281</v>
      </c>
      <c r="GO167" s="102">
        <f>$GG167*EG167*'Feedstock Conversion Rates'!$B$8</f>
        <v>0.73345444710267549</v>
      </c>
      <c r="GP167" s="102">
        <f>$GG167*EH167*'Feedstock Conversion Rates'!B$9</f>
        <v>3.2194636095076432E-2</v>
      </c>
      <c r="GQ167" s="102">
        <f t="shared" si="87"/>
        <v>32.346244902411449</v>
      </c>
      <c r="GR167" s="85">
        <f t="shared" si="107"/>
        <v>8.0327618034244264</v>
      </c>
      <c r="GT167" s="103">
        <f t="shared" si="111"/>
        <v>3.6083725603493107E-2</v>
      </c>
      <c r="GU167" s="103">
        <f t="shared" si="111"/>
        <v>0.28604340567335967</v>
      </c>
      <c r="GV167" s="103">
        <f t="shared" si="111"/>
        <v>0.34045755109026093</v>
      </c>
      <c r="GW167" s="103">
        <f t="shared" si="111"/>
        <v>0.1121162273519162</v>
      </c>
      <c r="GX167" s="103">
        <f t="shared" si="111"/>
        <v>7.3043653716331217E-2</v>
      </c>
      <c r="GY167" s="103">
        <f t="shared" si="111"/>
        <v>0.1285850202455974</v>
      </c>
      <c r="GZ167" s="103">
        <f t="shared" si="111"/>
        <v>2.2675103379557842E-2</v>
      </c>
      <c r="HA167" s="103">
        <f t="shared" si="111"/>
        <v>9.9531293948362689E-4</v>
      </c>
    </row>
    <row r="168" spans="1:209" x14ac:dyDescent="0.25">
      <c r="A168" s="96">
        <v>45536</v>
      </c>
      <c r="B168" s="104">
        <f t="shared" si="115"/>
        <v>0</v>
      </c>
      <c r="C168" s="104">
        <f t="shared" si="116"/>
        <v>0</v>
      </c>
      <c r="D168" s="104">
        <f t="shared" si="95"/>
        <v>1.5</v>
      </c>
      <c r="E168" s="104">
        <f>('Renewable Diesel'!B177*E$3*'Feedstock Conversion Rates'!$B$2)/12-40+1.25+6-43+30-15+12.5-4+1.5+26+2.5+3-10+50+9-15-25-55+50-15</f>
        <v>59.679999999999993</v>
      </c>
      <c r="F168" s="104">
        <f>('Renewable Diesel'!B177*'RD Feedstock Breakdown'!F$3*'Feedstock Conversion Rates'!B$8)/12+28.5-49-5+2-6+1+6+20-20-3.75+10+2.5+5-20-20+25+5</f>
        <v>35.15625</v>
      </c>
      <c r="G168" s="104">
        <f>('Renewable Diesel'!B177*'RD Feedstock Breakdown'!G$3*'Feedstock Conversion Rates'!B$7)/12-25-15-25+4+4-20-40-20+10-17.5+20+50-12+32.5+35-75-75+22.5+5-20+15+125-50-10-5-50</f>
        <v>39.657000000000011</v>
      </c>
      <c r="H168" s="104">
        <f>('Renewable Diesel'!B177*'RD Feedstock Breakdown'!H$3*'Feedstock Conversion Rates'!B$3)/12-85+4-15+70-65-80+50-22.5-5+25+27.5+15+50+15-10+5+50+75-5-25-85-12.5+30+22.5-25-30+150+90-120+25+50+15</f>
        <v>360.40022499999998</v>
      </c>
      <c r="I168" s="106">
        <f t="shared" si="106"/>
        <v>496.39347499999997</v>
      </c>
      <c r="J168" s="104">
        <f t="shared" si="117"/>
        <v>0.25</v>
      </c>
      <c r="K168" s="104"/>
      <c r="L168" s="104">
        <v>1</v>
      </c>
      <c r="M168" s="104">
        <f>('Renewable Diesel'!C177*'RD Feedstock Breakdown'!M$3*'Feedstock Conversion Rates'!B$2)/12</f>
        <v>38.951250000000002</v>
      </c>
      <c r="N168" s="104">
        <f>('Renewable Diesel'!C177*'RD Feedstock Breakdown'!N$3*'Feedstock Conversion Rates'!B$8)/12</f>
        <v>18.359375</v>
      </c>
      <c r="O168" s="104">
        <f>('Renewable Diesel'!C177*'RD Feedstock Breakdown'!O$3*'Feedstock Conversion Rates'!B$7)/12</f>
        <v>59.9955</v>
      </c>
      <c r="P168" s="104">
        <f>('Renewable Diesel'!C177*'RD Feedstock Breakdown'!P$3*'Feedstock Conversion Rates'!B$3)/12</f>
        <v>52.23521250000001</v>
      </c>
      <c r="Q168" s="106">
        <f t="shared" si="119"/>
        <v>170.79133750000003</v>
      </c>
      <c r="R168" s="104">
        <f>('Renewable Diesel'!D177*'RD Feedstock Breakdown'!R$3*'Feedstock Conversion Rates'!B$7)/12</f>
        <v>2.2999999999999998</v>
      </c>
      <c r="S168" s="106">
        <f t="shared" si="67"/>
        <v>2.2999999999999998</v>
      </c>
      <c r="T168" s="104">
        <f t="shared" si="118"/>
        <v>0</v>
      </c>
      <c r="U168" s="104">
        <v>0</v>
      </c>
      <c r="V168" s="104">
        <f>('Renewable Diesel'!E177*'RD Feedstock Breakdown'!V$3*'Feedstock Conversion Rates'!B$6)/12-20-5-5+32.5-35+25-15+22+20</f>
        <v>63.750150000000012</v>
      </c>
      <c r="W168" s="104">
        <f>('Renewable Diesel'!E177*'RD Feedstock Breakdown'!W$3*'Feedstock Conversion Rates'!B$8)/12-2.5+3-20</f>
        <v>2.6796875</v>
      </c>
      <c r="X168" s="106">
        <f t="shared" si="88"/>
        <v>66.429837500000019</v>
      </c>
      <c r="Y168" s="104">
        <f t="shared" si="122"/>
        <v>0</v>
      </c>
      <c r="Z168" s="104">
        <f>('Renewable Diesel'!F177*'RD Feedstock Breakdown'!Z$3*'Feedstock Conversion Rates'!B$6)/12-50-32-11+15-41+40-40+70</f>
        <v>-4.4449999999999932</v>
      </c>
      <c r="AA168" s="104">
        <f>('Renewable Diesel'!F177*'RD Feedstock Breakdown'!AA$3*'Feedstock Conversion Rates'!B$7)/12+14-73+75+62-24+25+40-70</f>
        <v>78.133333333333326</v>
      </c>
      <c r="AB168" s="106">
        <f t="shared" si="62"/>
        <v>73.688333333333333</v>
      </c>
      <c r="AC168" s="104">
        <f>('Renewable Diesel'!G177*'RD Feedstock Breakdown'!AC$3*'Feedstock Conversion Rates'!B$5)/12</f>
        <v>7.864583333333333</v>
      </c>
      <c r="AD168" s="104">
        <f>('Renewable Diesel'!G177*'RD Feedstock Breakdown'!AD$3*'Feedstock Conversion Rates'!B$4)/12</f>
        <v>3.90625</v>
      </c>
      <c r="AE168" s="104">
        <f>('Renewable Diesel'!G177*'RD Feedstock Breakdown'!AE$3*'Feedstock Conversion Rates'!B$6)/12</f>
        <v>4.885416666666667</v>
      </c>
      <c r="AF168" s="106">
        <f t="shared" si="101"/>
        <v>16.65625</v>
      </c>
      <c r="AG168" s="104">
        <f t="shared" si="121"/>
        <v>135</v>
      </c>
      <c r="AH168" s="104">
        <v>0</v>
      </c>
      <c r="AI168" s="104">
        <f>('Renewable Diesel'!H177*'RD Feedstock Breakdown'!AI$3*'Feedstock Conversion Rates'!B$6)/12-130-23+3+51+99-50-150+80+10+15-60+15+140-70-65</f>
        <v>13.51666666666668</v>
      </c>
      <c r="AJ168" s="106">
        <f t="shared" si="65"/>
        <v>148.51666666666668</v>
      </c>
      <c r="AK168" s="104">
        <f>('Renewable Diesel'!J177*'RD Feedstock Breakdown'!AK$3*'Feedstock Conversion Rates'!B$4)/12</f>
        <v>95.8125</v>
      </c>
      <c r="AL168" s="106">
        <f t="shared" si="68"/>
        <v>95.8125</v>
      </c>
      <c r="AM168" s="104">
        <f>('Renewable Diesel'!K177*'RD Feedstock Breakdown'!AM$3*'Feedstock Conversion Rates'!B$4)/12+20-30</f>
        <v>48.59375</v>
      </c>
      <c r="AN168" s="104">
        <f>('Renewable Diesel'!K177*'RD Feedstock Breakdown'!AN$3*'Feedstock Conversion Rates'!B$6)/12-20+30</f>
        <v>34.427083333333329</v>
      </c>
      <c r="AO168" s="106">
        <f t="shared" si="81"/>
        <v>83.020833333333329</v>
      </c>
      <c r="AP168" s="104">
        <f>('Renewable Diesel'!L177*'RD Feedstock Breakdown'!AP$3*'Feedstock Conversion Rates'!B$4)/12+15-10+15</f>
        <v>78.59375</v>
      </c>
      <c r="AQ168" s="104">
        <f>('Renewable Diesel'!L177*'RD Feedstock Breakdown'!AQ$3*'Feedstock Conversion Rates'!B$6)/12-15+10-15</f>
        <v>4.4270833333333321</v>
      </c>
      <c r="AR168" s="106">
        <f t="shared" si="70"/>
        <v>83.020833333333329</v>
      </c>
      <c r="AS168" s="104">
        <f>('Renewable Diesel'!M177*'RD Feedstock Breakdown'!AS$3*'Feedstock Conversion Rates'!B$4)/12-150-50</f>
        <v>256.25</v>
      </c>
      <c r="AT168" s="104">
        <f>('Renewable Diesel'!M177*'RD Feedstock Breakdown'!AT$3*'Feedstock Conversion Rates'!B$5)/12+150+50</f>
        <v>200</v>
      </c>
      <c r="AU168" s="106">
        <f t="shared" si="104"/>
        <v>456.25</v>
      </c>
      <c r="AV168" s="104">
        <f>'Renewable Diesel'!N177*'RD Feedstock Breakdown'!$AV$3*'Feedstock Conversion Rates'!$B$4/12-15-10+25+25-22-75+75+22.5-80</f>
        <v>24.249999999999986</v>
      </c>
      <c r="AW168" s="104">
        <f>'Renewable Diesel'!N177*'RD Feedstock Breakdown'!$AW$3*'Feedstock Conversion Rates'!$B$7/12+15+10-25-25+22+75-75-22.5+80</f>
        <v>95.9</v>
      </c>
      <c r="AX168" s="106">
        <f t="shared" si="63"/>
        <v>120.14999999999999</v>
      </c>
      <c r="AY168" s="104">
        <f>('Renewable Diesel'!O177*'RD Feedstock Breakdown'!AY$3*'Feedstock Conversion Rates'!B$4)/12+34-152-20-210</f>
        <v>9.75</v>
      </c>
      <c r="AZ168" s="104">
        <f>('Renewable Diesel'!O177*'RD Feedstock Breakdown'!AZ$3*'Feedstock Conversion Rates'!B$3)/12-34+152+20+210</f>
        <v>390.45299999999997</v>
      </c>
      <c r="BA168" s="106">
        <f t="shared" si="120"/>
        <v>400.20299999999997</v>
      </c>
      <c r="BB168" s="104">
        <f>('Renewable Diesel'!Q177*'RD Feedstock Breakdown'!BB$3*'Feedstock Conversion Rates'!B$4)/12</f>
        <v>11.156249999999998</v>
      </c>
      <c r="BC168" s="104">
        <f>('Renewable Diesel'!Q177*'RD Feedstock Breakdown'!BC$3*'Feedstock Conversion Rates'!B$3)/12</f>
        <v>1.4017500000000001</v>
      </c>
      <c r="BD168" s="104">
        <f>('Renewable Diesel'!Q177*'RD Feedstock Breakdown'!BD$3*'Feedstock Conversion Rates'!B$6)/12</f>
        <v>0.8207500000000002</v>
      </c>
      <c r="BE168" s="106">
        <f t="shared" si="90"/>
        <v>13.378749999999998</v>
      </c>
      <c r="BF168" s="104">
        <f>('Renewable Diesel'!R177*'RD Feedstock Breakdown'!BF$3*'Feedstock Conversion Rates'!B$4)/12</f>
        <v>62.5</v>
      </c>
      <c r="BG168" s="106">
        <f t="shared" si="72"/>
        <v>62.5</v>
      </c>
      <c r="BH168" s="104">
        <f>('Renewable Diesel'!T177*'RD Feedstock Breakdown'!BH$3*'Feedstock Conversion Rates'!B$7)/12</f>
        <v>27.599999999999998</v>
      </c>
      <c r="BI168" s="106">
        <f t="shared" si="64"/>
        <v>27.599999999999998</v>
      </c>
      <c r="BJ168" s="104">
        <f>('Renewable Diesel'!W177*'RD Feedstock Breakdown'!BJ$3*'Feedstock Conversion Rates'!B$4)/12</f>
        <v>7.5</v>
      </c>
      <c r="BK168" s="104">
        <f>('Renewable Diesel'!W177*'RD Feedstock Breakdown'!BK$3*'Feedstock Conversion Rates'!B$3)/12</f>
        <v>1.335</v>
      </c>
      <c r="BL168" s="104">
        <f>('Renewable Diesel'!W177*'RD Feedstock Breakdown'!BL$3*'Feedstock Conversion Rates'!B$6)/12</f>
        <v>3.1266666666666669</v>
      </c>
      <c r="BM168" s="104">
        <f>('Renewable Diesel'!W177*'RD Feedstock Breakdown'!BM$3*'Feedstock Conversion Rates'!B$7)/12</f>
        <v>1.5333333333333332</v>
      </c>
      <c r="BN168" s="106">
        <f t="shared" si="112"/>
        <v>13.495000000000001</v>
      </c>
      <c r="BO168" s="104">
        <f>('Renewable Diesel'!P177*'Feedstock Conversion Rates'!B$4)/12</f>
        <v>31.25</v>
      </c>
      <c r="BP168" s="106">
        <f t="shared" si="102"/>
        <v>31.25</v>
      </c>
      <c r="BQ168" s="104">
        <f>('Renewable Diesel'!$S177*'RD Feedstock Breakdown'!BQ$3*'Feedstock Conversion Rates'!B$4)/12+10</f>
        <v>38.125</v>
      </c>
      <c r="BR168" s="104">
        <f>('Renewable Diesel'!$S177*'RD Feedstock Breakdown'!BR$3*'Feedstock Conversion Rates'!B$7)/12-10</f>
        <v>1.5</v>
      </c>
      <c r="BS168" s="106">
        <f t="shared" si="123"/>
        <v>39.625</v>
      </c>
      <c r="BT168" s="106"/>
      <c r="BU168" s="104">
        <f>('Renewable Diesel'!Y177*'Feedstock Conversion Rates'!B$7)/12</f>
        <v>2.6833333333333331</v>
      </c>
      <c r="BV168" s="106">
        <f t="shared" si="93"/>
        <v>2.6833333333333331</v>
      </c>
      <c r="BW168" s="104">
        <f>('Renewable Diesel'!$Z177*'RD Feedstock Breakdown'!BW$3*'Feedstock Conversion Rates'!$B$4)/12</f>
        <v>17.96875</v>
      </c>
      <c r="BX168" s="104">
        <f>('Renewable Diesel'!$Z177*'RD Feedstock Breakdown'!BX$3*'Feedstock Conversion Rates'!$B$5)/12</f>
        <v>1.8088541666666667</v>
      </c>
      <c r="BY168" s="104">
        <f>('Renewable Diesel'!$Z177*'RD Feedstock Breakdown'!BY$3*'Feedstock Conversion Rates'!$B$7)/12</f>
        <v>15.429166666666665</v>
      </c>
      <c r="BZ168" s="104">
        <f>('Renewable Diesel'!$Z177*'RD Feedstock Breakdown'!BZ$3*'Feedstock Conversion Rates'!$B$3)/12</f>
        <v>3.8381249999999998</v>
      </c>
      <c r="CA168" s="106">
        <f t="shared" si="127"/>
        <v>39.044895833333328</v>
      </c>
      <c r="CB168" s="104">
        <f>('Renewable Diesel'!AA177*'Feedstock Conversion Rates'!B$4)/12</f>
        <v>191.25</v>
      </c>
      <c r="CC168" s="106">
        <f t="shared" si="113"/>
        <v>191.25</v>
      </c>
      <c r="CD168" s="104">
        <f>('Renewable Diesel'!$AB177*'RD Feedstock Breakdown'!CD$3*'Feedstock Conversion Rates'!$B$6)/12</f>
        <v>32.830000000000005</v>
      </c>
      <c r="CE168" s="104">
        <f>('Renewable Diesel'!$AB177*'RD Feedstock Breakdown'!CE$3*'Feedstock Conversion Rates'!$B$4)/12</f>
        <v>11.25</v>
      </c>
      <c r="CF168" s="106">
        <f t="shared" si="108"/>
        <v>44.080000000000005</v>
      </c>
      <c r="CG168" s="104">
        <f>('Renewable Diesel'!AD177*'Feedstock Conversion Rates'!B$4)/12</f>
        <v>112.5</v>
      </c>
      <c r="CH168" s="106">
        <f t="shared" si="89"/>
        <v>112.5</v>
      </c>
      <c r="CI168" s="104">
        <f>('Renewable Diesel'!$AE177*'RD Feedstock Breakdown'!CI$3*'Feedstock Conversion Rates'!$B$5)/12</f>
        <v>0.34604166666666664</v>
      </c>
      <c r="CJ168" s="104">
        <f>('Renewable Diesel'!$AE177*'RD Feedstock Breakdown'!CJ$3*'Feedstock Conversion Rates'!$B$4)/12</f>
        <v>0.34375</v>
      </c>
      <c r="CK168" s="106">
        <f t="shared" si="103"/>
        <v>0.68979166666666658</v>
      </c>
      <c r="CL168" s="104">
        <f>(((CL$3*'Renewable Diesel'!$AF177)*'Feedstock Conversion Rates'!$B$3)/12)-10</f>
        <v>46.737500000000004</v>
      </c>
      <c r="CM168" s="104">
        <f>(((CM$3*'Renewable Diesel'!$AF177)*'Feedstock Conversion Rates'!$B$6)/12)+10</f>
        <v>43.220833333333339</v>
      </c>
      <c r="CN168" s="104">
        <f>(((CN$3*'Renewable Diesel'!$AF177)*'Feedstock Conversion Rates'!$B$4)/12)</f>
        <v>26.5625</v>
      </c>
      <c r="CO168" s="106">
        <f t="shared" si="91"/>
        <v>116.52083333333334</v>
      </c>
      <c r="CP168" s="106"/>
      <c r="CQ168" s="106"/>
      <c r="CR168" s="106"/>
      <c r="CS168" s="106"/>
      <c r="CT168" s="104">
        <f>('Renewable Diesel'!AI177*'Feedstock Conversion Rates'!$B$4*'RD Feedstock Breakdown'!$CT$3)/12</f>
        <v>29.375</v>
      </c>
      <c r="CU168" s="106">
        <f t="shared" si="99"/>
        <v>29.375</v>
      </c>
      <c r="CV168" s="106"/>
      <c r="CW168" s="106"/>
      <c r="CX168" s="106"/>
      <c r="CY168" s="106"/>
      <c r="CZ168" s="106"/>
      <c r="DA168" s="106"/>
      <c r="DB168" s="106"/>
      <c r="DC168" s="106"/>
      <c r="DD168" s="106"/>
      <c r="DE168" s="106"/>
      <c r="DF168" s="106"/>
      <c r="DG168" s="106"/>
      <c r="DH168" s="106"/>
      <c r="DI168" s="106"/>
      <c r="DJ168" s="104">
        <f>('Renewable Diesel'!AT177*'Feedstock Conversion Rates'!$B$4*0.25)/12</f>
        <v>0</v>
      </c>
      <c r="DK168" s="104">
        <f>('Renewable Diesel'!$AT177*'RD Feedstock Breakdown'!DK$3*'Feedstock Conversion Rates'!$B$3)/12*0.5</f>
        <v>0</v>
      </c>
      <c r="DL168" s="104">
        <f>('Renewable Diesel'!$AT177*'RD Feedstock Breakdown'!$DL$3*'Feedstock Conversion Rates'!$B$6)/12</f>
        <v>0</v>
      </c>
      <c r="DM168" s="104">
        <f>('Renewable Diesel'!$AT177*'RD Feedstock Breakdown'!$DM$3*'Feedstock Conversion Rates'!$B$8)/12</f>
        <v>0</v>
      </c>
      <c r="DN168" s="106">
        <f t="shared" si="110"/>
        <v>0</v>
      </c>
      <c r="DP168" s="104">
        <f t="shared" si="73"/>
        <v>98.631249999999994</v>
      </c>
      <c r="DQ168" s="104">
        <f t="shared" si="74"/>
        <v>856.40081249999992</v>
      </c>
      <c r="DR168" s="104">
        <f t="shared" si="82"/>
        <v>1057.1875</v>
      </c>
      <c r="DS168" s="104">
        <f t="shared" si="100"/>
        <v>345.01947916666666</v>
      </c>
      <c r="DT168" s="104">
        <f t="shared" si="75"/>
        <v>196.55965000000003</v>
      </c>
      <c r="DU168" s="104">
        <f t="shared" si="76"/>
        <v>324.73166666666668</v>
      </c>
      <c r="DV168" s="104">
        <f t="shared" si="83"/>
        <v>56.1953125</v>
      </c>
      <c r="DW168" s="104">
        <f t="shared" si="77"/>
        <v>2.5</v>
      </c>
      <c r="DX168" s="106">
        <f t="shared" si="78"/>
        <v>2937.2256708333334</v>
      </c>
      <c r="DY168" s="109">
        <f t="shared" si="79"/>
        <v>-4.8316906031686813E-13</v>
      </c>
      <c r="EA168" s="110">
        <f t="shared" si="114"/>
        <v>3.3579731710576016E-2</v>
      </c>
      <c r="EB168" s="110">
        <f t="shared" si="114"/>
        <v>0.29156793126386732</v>
      </c>
      <c r="EC168" s="110">
        <f t="shared" si="114"/>
        <v>0.35992723014029104</v>
      </c>
      <c r="ED168" s="110">
        <f t="shared" si="114"/>
        <v>0.11746440955923541</v>
      </c>
      <c r="EE168" s="110">
        <f t="shared" si="114"/>
        <v>6.692017298903466E-2</v>
      </c>
      <c r="EF168" s="110">
        <f t="shared" si="114"/>
        <v>0.11055727514955827</v>
      </c>
      <c r="EG168" s="111">
        <f t="shared" si="114"/>
        <v>1.9132105870522567E-2</v>
      </c>
      <c r="EH168" s="111">
        <f t="shared" si="84"/>
        <v>8.5114331691466991E-4</v>
      </c>
      <c r="EI168" s="110">
        <f t="shared" si="85"/>
        <v>0.99914885668308528</v>
      </c>
      <c r="EK168" s="112">
        <f>(EA168*'Renewable Diesel'!BF177*'Feedstock Conversion Rates'!B$2)+FB168</f>
        <v>74.312712598562101</v>
      </c>
      <c r="EL168" s="112">
        <f>(EB168*'Renewable Diesel'!BF177*'Feedstock Conversion Rates'!B$3)+FC168</f>
        <v>608.04992363849044</v>
      </c>
      <c r="EM168" s="112">
        <f>(EC168*'Renewable Diesel'!BF177*'Feedstock Conversion Rates'!B$4)+FD168</f>
        <v>702.81809488216163</v>
      </c>
      <c r="EN168" s="112">
        <f>(ED168*'Renewable Diesel'!BF177*'Feedstock Conversion Rates'!B$5)+FE168</f>
        <v>230.89802512053916</v>
      </c>
      <c r="EO168" s="112">
        <f>(EE168*'Renewable Diesel'!BF177*'Feedstock Conversion Rates'!B$6)+FF168</f>
        <v>163.42814831691933</v>
      </c>
      <c r="EP168" s="112">
        <f>(EF168*'Renewable Diesel'!BF177*'Feedstock Conversion Rates'!B$7)+FG168</f>
        <v>264.81471893984087</v>
      </c>
      <c r="EQ168" s="112">
        <f>(EG168*'Renewable Diesel'!BF177*'Feedstock Conversion Rates'!B$8)+FH168</f>
        <v>46.698294380795424</v>
      </c>
      <c r="ER168" s="112">
        <f>(EH168*'Renewable Diesel'!BF177*'Feedstock Conversion Rates'!B$9)+FI168</f>
        <v>2.0497995475920767</v>
      </c>
      <c r="ES168" s="112">
        <f t="shared" si="86"/>
        <v>2093.0697174249008</v>
      </c>
      <c r="ET168" s="91">
        <f>ES168/'Renewable Diesel'!BF177</f>
        <v>8.0392720894185725</v>
      </c>
      <c r="EW168" s="73">
        <f t="shared" si="124"/>
        <v>933.71612000270079</v>
      </c>
      <c r="EX168" s="73">
        <f t="shared" si="125"/>
        <v>1159.3535974222004</v>
      </c>
      <c r="EY168" s="92">
        <f t="shared" si="71"/>
        <v>0.44609891024148479</v>
      </c>
      <c r="EZ168" s="92">
        <f t="shared" si="71"/>
        <v>0.55390108975851537</v>
      </c>
      <c r="FB168" s="102">
        <f>IF('Renewable Diesel'!$BG177&lt;1,0,(((('Renewable Diesel'!$BG177-1)*'Renewable Diesel'!$BF177)*'RD Feedstock Breakdown'!EA168)*'Feedstock Conversion Rates'!$B$2))</f>
        <v>0</v>
      </c>
      <c r="FC168" s="102">
        <f>IF('Renewable Diesel'!$BG177&lt;1,0,(((('Renewable Diesel'!$BG177-1)*'Renewable Diesel'!$BF177)*'RD Feedstock Breakdown'!EB168)*'Feedstock Conversion Rates'!$B$3))</f>
        <v>0</v>
      </c>
      <c r="FD168" s="102">
        <f>IF('Renewable Diesel'!$BG177&lt;1,0,(((('Renewable Diesel'!$BG177-1)*'Renewable Diesel'!$BF177)*'RD Feedstock Breakdown'!EC168)*'Feedstock Conversion Rates'!$B$4))</f>
        <v>0</v>
      </c>
      <c r="FE168" s="102">
        <f>IF('Renewable Diesel'!$BG177&lt;1,0,(((('Renewable Diesel'!$BG177-1)*'Renewable Diesel'!$BF177)*'RD Feedstock Breakdown'!ED168)*'Feedstock Conversion Rates'!$B$5))</f>
        <v>0</v>
      </c>
      <c r="FF168" s="102">
        <f>IF('Renewable Diesel'!$BG177&lt;1,0,(((('Renewable Diesel'!$BG177-1)*'Renewable Diesel'!$BF177)*'RD Feedstock Breakdown'!EE168)*'Feedstock Conversion Rates'!$B$6))</f>
        <v>0</v>
      </c>
      <c r="FG168" s="102">
        <f>IF('Renewable Diesel'!$BG177&lt;1,0,(((('Renewable Diesel'!$BG177-1)*'Renewable Diesel'!$BF177)*'RD Feedstock Breakdown'!EF168)*'Feedstock Conversion Rates'!$B$7))</f>
        <v>0</v>
      </c>
      <c r="FH168" s="102">
        <f>IF('Renewable Diesel'!$BG177&lt;1,0,(((('Renewable Diesel'!$BG177-1)*'Renewable Diesel'!$BF177)*'RD Feedstock Breakdown'!EG168)*'Feedstock Conversion Rates'!$B$8))</f>
        <v>0</v>
      </c>
      <c r="FI168" s="102">
        <f>IF('Renewable Diesel'!$BG177&lt;1,0,(((('Renewable Diesel'!$BG177-1)*'Renewable Diesel'!$BF177)*'RD Feedstock Breakdown'!EH168)*'Feedstock Conversion Rates'!$B$9))</f>
        <v>0</v>
      </c>
      <c r="FJ168" s="102">
        <f t="shared" si="126"/>
        <v>0</v>
      </c>
      <c r="FL168" s="3">
        <f>('Renewable Diesel'!AX177/12*$FO$80)*'RD Feedstock Breakdown'!EC168*7.5</f>
        <v>927.26252664892479</v>
      </c>
      <c r="FM168" s="3">
        <f t="shared" si="96"/>
        <v>224.44443176676316</v>
      </c>
      <c r="FR168" s="3">
        <f>('Renewable Diesel'!AX177-'Renewable Diesel'!BI177)/12*$FO$80</f>
        <v>17.669999999999959</v>
      </c>
      <c r="FS168" s="100">
        <f t="shared" si="97"/>
        <v>0.35992723014029104</v>
      </c>
      <c r="FT168" s="3">
        <f t="shared" si="98"/>
        <v>47.699356174341965</v>
      </c>
      <c r="FY168" s="3">
        <f>'Renewable Diesel'!BF177*('Renewable Diesel'!BI177/'Renewable Diesel'!AX177)</f>
        <v>246.96265973676861</v>
      </c>
      <c r="FZ168" s="3">
        <f>('Renewable Diesel'!BJ177*'Renewable Diesel'!BG177)/12</f>
        <v>13.140948080858777</v>
      </c>
      <c r="GA168" s="3">
        <f t="shared" si="105"/>
        <v>35.473387831206544</v>
      </c>
      <c r="GD168" s="91">
        <f>'Renewable Diesel'!BB177*0.32</f>
        <v>11.071162240000001</v>
      </c>
      <c r="GE168" s="91">
        <f>'Renewable Diesel'!BC177</f>
        <v>9.2388250000000003</v>
      </c>
      <c r="GF168" s="91">
        <f>'Renewable Diesel'!BD177</f>
        <v>0</v>
      </c>
      <c r="GG168" s="91">
        <f t="shared" si="109"/>
        <v>9.2388250000000003</v>
      </c>
      <c r="GH168" s="124">
        <v>1</v>
      </c>
      <c r="GI168" s="102">
        <f>$GG168*EA168*'Feedstock Conversion Rates'!$B$2</f>
        <v>2.637016750978181</v>
      </c>
      <c r="GJ168" s="102">
        <f>$GG168*EB168*'Feedstock Conversion Rates'!$B$3</f>
        <v>21.576898191396779</v>
      </c>
      <c r="GK168" s="102">
        <f>$GG168*EC168*'Feedstock Conversion Rates'!$B$4</f>
        <v>24.939785190006557</v>
      </c>
      <c r="GL168" s="102">
        <f>$GG168*ED168*'Feedstock Conversion Rates'!$B$5</f>
        <v>8.1935100835280785</v>
      </c>
      <c r="GM168" s="102">
        <f>$GG168*EE168*'Feedstock Conversion Rates'!$B$6</f>
        <v>5.7993141364806231</v>
      </c>
      <c r="GN168" s="102">
        <f>$GG168*EF168*'Feedstock Conversion Rates'!$B$7</f>
        <v>9.3970577217692828</v>
      </c>
      <c r="GO168" s="102">
        <f>$GG168*EG168*'Feedstock Conversion Rates'!$B$8</f>
        <v>1.6571079189302875</v>
      </c>
      <c r="GP168" s="102">
        <f>$GG168*EH168*'Feedstock Conversion Rates'!B$9</f>
        <v>7.2737968432771125E-2</v>
      </c>
      <c r="GQ168" s="102">
        <f t="shared" si="87"/>
        <v>74.273427961522572</v>
      </c>
      <c r="GR168" s="85">
        <f t="shared" si="107"/>
        <v>8.0392720894185761</v>
      </c>
      <c r="GT168" s="103">
        <f t="shared" si="111"/>
        <v>3.5504174552765909E-2</v>
      </c>
      <c r="GU168" s="103">
        <f t="shared" si="111"/>
        <v>0.2905062925407822</v>
      </c>
      <c r="GV168" s="103">
        <f t="shared" si="111"/>
        <v>0.33578341372538573</v>
      </c>
      <c r="GW168" s="103">
        <f t="shared" si="111"/>
        <v>0.11031549651609911</v>
      </c>
      <c r="GX168" s="103">
        <f t="shared" si="111"/>
        <v>7.8080604270547013E-2</v>
      </c>
      <c r="GY168" s="103">
        <f t="shared" si="111"/>
        <v>0.12651977941071255</v>
      </c>
      <c r="GZ168" s="103">
        <f t="shared" si="111"/>
        <v>2.2310912050387044E-2</v>
      </c>
      <c r="HA168" s="103">
        <f t="shared" si="111"/>
        <v>9.7932693332066379E-4</v>
      </c>
    </row>
    <row r="169" spans="1:209" x14ac:dyDescent="0.25">
      <c r="A169" s="96">
        <v>45566</v>
      </c>
      <c r="B169" s="104">
        <f>23-20+10+85-5-4-4-1.25+2.25-5+15-6-25-45+65+15-22.5-50+40+16.5+27.5+168+80+14-30+15-50-19+22.5-10+5+11-25-50-12.5-27.5-10+10+2+4-1.5+12-26-15-50-15+10-32.5-3-5-2.5-1+5+10-50-35-9-0.5+25+15+25+20+15+85-25+12.5-52.5+10+20-150+20-20+55-25-25-5+40-40</f>
        <v>0</v>
      </c>
      <c r="C169" s="104">
        <f>40-10-2.5-27.5+25+25+25-70+120-15-100-10+40-20</f>
        <v>20</v>
      </c>
      <c r="D169" s="104">
        <f t="shared" si="95"/>
        <v>1.5</v>
      </c>
      <c r="E169" s="104">
        <f>('Renewable Diesel'!B178*E$3*'Feedstock Conversion Rates'!$B$2)/12-40+1.25+6-43+30-15+12.5-4+1.5+26+2.5+3-10+50+9-15-25-55+15+45+10-50</f>
        <v>44.679999999999993</v>
      </c>
      <c r="F169" s="104">
        <f>('Renewable Diesel'!B178*'RD Feedstock Breakdown'!F$3*'Feedstock Conversion Rates'!B$8)/12+28.5-49-5+2-6+1+6+20-20-3.75+10+2.5+5-20-20+20</f>
        <v>25.15625</v>
      </c>
      <c r="G169" s="104">
        <f>('Renewable Diesel'!B178*'RD Feedstock Breakdown'!G$3*'Feedstock Conversion Rates'!B$7)/12-25-15-25+4+4-20-40-20+10-17.5+20+50-12+32.5+35-75-75+22.5+5-20+15+125-10-45-10-40-40</f>
        <v>9.6570000000000107</v>
      </c>
      <c r="H169" s="104">
        <f>('Renewable Diesel'!B178*'RD Feedstock Breakdown'!H$3*'Feedstock Conversion Rates'!B$3)/12-85+4-15+70-65-80+50-22.5-5+25+27.5+15+50+15-10+5+50+75-5-25-85-12.5+30+22.5-25-30+150+90-120+25+10+40+50</f>
        <v>395.40022499999998</v>
      </c>
      <c r="I169" s="106">
        <f t="shared" si="106"/>
        <v>496.39347499999997</v>
      </c>
      <c r="J169" s="104">
        <f>22+10-4-25+7+145+30+37+10-15-1.75+7.5-25-25-15-15-5-25-75-10+15-9.25-1+27.5-5+17+23+20+45+15+3.5+10+18-38.5-8-25-15-65-30-20-5</f>
        <v>0</v>
      </c>
      <c r="K169" s="104">
        <f>65-50-10-5</f>
        <v>0</v>
      </c>
      <c r="L169" s="104">
        <v>1</v>
      </c>
      <c r="M169" s="104">
        <f>('Renewable Diesel'!C178*'RD Feedstock Breakdown'!M$3*'Feedstock Conversion Rates'!B$2)/12</f>
        <v>7.7902500000000003</v>
      </c>
      <c r="N169" s="104">
        <f>('Renewable Diesel'!C178*'RD Feedstock Breakdown'!N$3*'Feedstock Conversion Rates'!B$8)/12</f>
        <v>3.671875</v>
      </c>
      <c r="O169" s="104">
        <f>('Renewable Diesel'!C178*'RD Feedstock Breakdown'!O$3*'Feedstock Conversion Rates'!B$7)/12</f>
        <v>11.9991</v>
      </c>
      <c r="P169" s="104">
        <f>('Renewable Diesel'!C178*'RD Feedstock Breakdown'!P$3*'Feedstock Conversion Rates'!B$3)/12</f>
        <v>10.4470425</v>
      </c>
      <c r="Q169" s="106">
        <f t="shared" si="119"/>
        <v>34.908267500000001</v>
      </c>
      <c r="R169" s="104">
        <f>('Renewable Diesel'!D178*'RD Feedstock Breakdown'!R$3*'Feedstock Conversion Rates'!B$7)/12</f>
        <v>2.2999999999999998</v>
      </c>
      <c r="S169" s="106">
        <f t="shared" si="67"/>
        <v>2.2999999999999998</v>
      </c>
      <c r="T169" s="104">
        <f>5.825+20-25+4</f>
        <v>4.8249999999999993</v>
      </c>
      <c r="U169" s="104">
        <v>0</v>
      </c>
      <c r="V169" s="104">
        <f>('Renewable Diesel'!E178*'RD Feedstock Breakdown'!V$3*'Feedstock Conversion Rates'!B$6)/12-20+25</f>
        <v>49.250150000000012</v>
      </c>
      <c r="W169" s="104">
        <f>('Renewable Diesel'!E178*'RD Feedstock Breakdown'!W$3*'Feedstock Conversion Rates'!B$8)/12-5.825-4</f>
        <v>12.354687500000001</v>
      </c>
      <c r="X169" s="106">
        <f t="shared" si="88"/>
        <v>66.429837500000005</v>
      </c>
      <c r="Y169" s="104">
        <f>50+32-80+171+60-15-75-70-25-32.5+50+5-10+25+20-15-5-80</f>
        <v>5.5</v>
      </c>
      <c r="Z169" s="104">
        <f>('Renewable Diesel'!F178*'RD Feedstock Breakdown'!Z$3*'Feedstock Conversion Rates'!B$6)/12-50-32-60+15+25+32.5-50-5+10-25+15+5+80</f>
        <v>5.0550000000000068</v>
      </c>
      <c r="AA169" s="104">
        <f>('Renewable Diesel'!F178*'RD Feedstock Breakdown'!AA$3*'Feedstock Conversion Rates'!B$7)/12+80-171+75+70-20</f>
        <v>63.133333333333326</v>
      </c>
      <c r="AB169" s="106">
        <f t="shared" si="62"/>
        <v>73.688333333333333</v>
      </c>
      <c r="AC169" s="104">
        <f>('Renewable Diesel'!G178*'RD Feedstock Breakdown'!AC$3*'Feedstock Conversion Rates'!B$5)/12</f>
        <v>7.864583333333333</v>
      </c>
      <c r="AD169" s="104">
        <f>('Renewable Diesel'!G178*'RD Feedstock Breakdown'!AD$3*'Feedstock Conversion Rates'!B$4)/12</f>
        <v>3.90625</v>
      </c>
      <c r="AE169" s="104">
        <f>('Renewable Diesel'!G178*'RD Feedstock Breakdown'!AE$3*'Feedstock Conversion Rates'!B$6)/12</f>
        <v>4.885416666666667</v>
      </c>
      <c r="AF169" s="106">
        <f t="shared" si="101"/>
        <v>16.65625</v>
      </c>
      <c r="AG169" s="104">
        <f>130+20-51-5+100+25-100+10+25-15-22.5+22.5-100</f>
        <v>39</v>
      </c>
      <c r="AH169" s="104">
        <v>0</v>
      </c>
      <c r="AI169" s="104">
        <f>('Renewable Diesel'!H178*'RD Feedstock Breakdown'!AI$3*'Feedstock Conversion Rates'!B$6)/12-130-20+51+5-100-25+100-10-25+15+22.5-22.5+100</f>
        <v>109.51666666666668</v>
      </c>
      <c r="AJ169" s="106">
        <f t="shared" si="65"/>
        <v>148.51666666666668</v>
      </c>
      <c r="AK169" s="104">
        <f>('Renewable Diesel'!J178*'RD Feedstock Breakdown'!AK$3*'Feedstock Conversion Rates'!B$4)/12</f>
        <v>95.8125</v>
      </c>
      <c r="AL169" s="106">
        <f t="shared" si="68"/>
        <v>95.8125</v>
      </c>
      <c r="AM169" s="104">
        <f>('Renewable Diesel'!K178*'RD Feedstock Breakdown'!AM$3*'Feedstock Conversion Rates'!B$4)/12+5+15-10+10-30-40</f>
        <v>8.59375</v>
      </c>
      <c r="AN169" s="104">
        <f>('Renewable Diesel'!K178*'RD Feedstock Breakdown'!AN$3*'Feedstock Conversion Rates'!B$6)/12-5-15+10-10+30+40</f>
        <v>74.427083333333329</v>
      </c>
      <c r="AO169" s="106">
        <f t="shared" si="81"/>
        <v>83.020833333333329</v>
      </c>
      <c r="AP169" s="104">
        <f>('Renewable Diesel'!L178*'RD Feedstock Breakdown'!AP$3*'Feedstock Conversion Rates'!B$4)/12+15-10-5+10+5+5</f>
        <v>78.59375</v>
      </c>
      <c r="AQ169" s="104">
        <f>('Renewable Diesel'!L178*'RD Feedstock Breakdown'!AQ$3*'Feedstock Conversion Rates'!B$6)/12-15+10+5-10-5-5</f>
        <v>4.4270833333333321</v>
      </c>
      <c r="AR169" s="106">
        <f t="shared" si="70"/>
        <v>83.020833333333329</v>
      </c>
      <c r="AS169" s="104">
        <f>('Renewable Diesel'!M178*'RD Feedstock Breakdown'!AS$3*'Feedstock Conversion Rates'!B$4)/12-150-50</f>
        <v>256.25</v>
      </c>
      <c r="AT169" s="104">
        <f>('Renewable Diesel'!M178*'RD Feedstock Breakdown'!AT$3*'Feedstock Conversion Rates'!B$5)/12+150+50</f>
        <v>200</v>
      </c>
      <c r="AU169" s="106">
        <f t="shared" si="104"/>
        <v>456.25</v>
      </c>
      <c r="AV169" s="104">
        <f>'Renewable Diesel'!N178*'RD Feedstock Breakdown'!$AV$3*'Feedstock Conversion Rates'!$B$4/12-15-10+25+25-22+22.5</f>
        <v>104.24999999999999</v>
      </c>
      <c r="AW169" s="104">
        <f>'Renewable Diesel'!N178*'RD Feedstock Breakdown'!$AW$3*'Feedstock Conversion Rates'!$B$7/12+15+10-25-25+22-22.5</f>
        <v>15.900000000000006</v>
      </c>
      <c r="AX169" s="106">
        <f t="shared" si="63"/>
        <v>120.14999999999999</v>
      </c>
      <c r="AY169" s="104">
        <f>('Renewable Diesel'!O178*'RD Feedstock Breakdown'!AY$3*'Feedstock Conversion Rates'!B$4)/12+34-152-20-210</f>
        <v>-137.0625</v>
      </c>
      <c r="AZ169" s="104">
        <f>('Renewable Diesel'!O178*'RD Feedstock Breakdown'!AZ$3*'Feedstock Conversion Rates'!B$3)/12-34+152+20+210</f>
        <v>373.03125</v>
      </c>
      <c r="BA169" s="106">
        <f t="shared" si="120"/>
        <v>235.96875</v>
      </c>
      <c r="BB169" s="104">
        <f>('Renewable Diesel'!Q178*'RD Feedstock Breakdown'!BB$3*'Feedstock Conversion Rates'!B$4)/12</f>
        <v>11.156249999999998</v>
      </c>
      <c r="BC169" s="104">
        <f>('Renewable Diesel'!Q178*'RD Feedstock Breakdown'!BC$3*'Feedstock Conversion Rates'!B$3)/12</f>
        <v>1.4017500000000001</v>
      </c>
      <c r="BD169" s="104">
        <f>('Renewable Diesel'!Q178*'RD Feedstock Breakdown'!BD$3*'Feedstock Conversion Rates'!B$6)/12</f>
        <v>0.8207500000000002</v>
      </c>
      <c r="BE169" s="106">
        <f t="shared" si="90"/>
        <v>13.378749999999998</v>
      </c>
      <c r="BF169" s="104">
        <f>('Renewable Diesel'!R178*'RD Feedstock Breakdown'!BF$3*'Feedstock Conversion Rates'!B$4)/12</f>
        <v>62.5</v>
      </c>
      <c r="BG169" s="106">
        <f t="shared" si="72"/>
        <v>62.5</v>
      </c>
      <c r="BH169" s="104">
        <f>('Renewable Diesel'!T178*'RD Feedstock Breakdown'!BH$3*'Feedstock Conversion Rates'!B$7)/12</f>
        <v>27.599999999999998</v>
      </c>
      <c r="BI169" s="106">
        <f t="shared" si="64"/>
        <v>27.599999999999998</v>
      </c>
      <c r="BJ169" s="104">
        <f>('Renewable Diesel'!W178*'RD Feedstock Breakdown'!BJ$3*'Feedstock Conversion Rates'!B$4)/12</f>
        <v>7.5</v>
      </c>
      <c r="BK169" s="104">
        <f>('Renewable Diesel'!W178*'RD Feedstock Breakdown'!BK$3*'Feedstock Conversion Rates'!B$3)/12</f>
        <v>1.335</v>
      </c>
      <c r="BL169" s="104">
        <f>('Renewable Diesel'!W178*'RD Feedstock Breakdown'!BL$3*'Feedstock Conversion Rates'!B$6)/12</f>
        <v>3.1266666666666669</v>
      </c>
      <c r="BM169" s="104">
        <f>('Renewable Diesel'!W178*'RD Feedstock Breakdown'!BM$3*'Feedstock Conversion Rates'!B$7)/12</f>
        <v>1.5333333333333332</v>
      </c>
      <c r="BN169" s="106">
        <f t="shared" si="112"/>
        <v>13.495000000000001</v>
      </c>
      <c r="BO169" s="104">
        <f>('Renewable Diesel'!P178*'Feedstock Conversion Rates'!B$4)/12</f>
        <v>31.25</v>
      </c>
      <c r="BP169" s="106">
        <f t="shared" si="102"/>
        <v>31.25</v>
      </c>
      <c r="BQ169" s="104">
        <f>('Renewable Diesel'!$S178*'RD Feedstock Breakdown'!BQ$3*'Feedstock Conversion Rates'!B$4)/12+10</f>
        <v>38.125</v>
      </c>
      <c r="BR169" s="104">
        <f>('Renewable Diesel'!$S178*'RD Feedstock Breakdown'!BR$3*'Feedstock Conversion Rates'!B$7)/12-10</f>
        <v>1.5</v>
      </c>
      <c r="BS169" s="106">
        <f t="shared" si="123"/>
        <v>39.625</v>
      </c>
      <c r="BT169" s="106"/>
      <c r="BU169" s="104">
        <f>('Renewable Diesel'!Y178*'Feedstock Conversion Rates'!B$7)/12</f>
        <v>2.6833333333333331</v>
      </c>
      <c r="BV169" s="106">
        <f t="shared" si="93"/>
        <v>2.6833333333333331</v>
      </c>
      <c r="BW169" s="104">
        <f>('Renewable Diesel'!$Z178*'RD Feedstock Breakdown'!BW$3*'Feedstock Conversion Rates'!$B$4)/12</f>
        <v>17.96875</v>
      </c>
      <c r="BX169" s="104">
        <f>('Renewable Diesel'!$Z178*'RD Feedstock Breakdown'!BX$3*'Feedstock Conversion Rates'!$B$5)/12</f>
        <v>1.8088541666666667</v>
      </c>
      <c r="BY169" s="104">
        <f>('Renewable Diesel'!$Z178*'RD Feedstock Breakdown'!BY$3*'Feedstock Conversion Rates'!$B$7)/12</f>
        <v>15.429166666666665</v>
      </c>
      <c r="BZ169" s="104">
        <f>('Renewable Diesel'!$Z178*'RD Feedstock Breakdown'!BZ$3*'Feedstock Conversion Rates'!$B$3)/12</f>
        <v>3.8381249999999998</v>
      </c>
      <c r="CA169" s="106">
        <f t="shared" si="127"/>
        <v>39.044895833333328</v>
      </c>
      <c r="CB169" s="104">
        <f>('Renewable Diesel'!AA178*'Feedstock Conversion Rates'!B$4)/12</f>
        <v>191.25</v>
      </c>
      <c r="CC169" s="106">
        <f t="shared" si="113"/>
        <v>191.25</v>
      </c>
      <c r="CD169" s="104">
        <f>('Renewable Diesel'!$AB178*'RD Feedstock Breakdown'!CD$3*'Feedstock Conversion Rates'!$B$6)/12-15+15</f>
        <v>32.830000000000005</v>
      </c>
      <c r="CE169" s="104">
        <f>('Renewable Diesel'!$AB178*'RD Feedstock Breakdown'!CE$3*'Feedstock Conversion Rates'!$B$4)/12</f>
        <v>11.25</v>
      </c>
      <c r="CF169" s="106">
        <f t="shared" si="108"/>
        <v>44.080000000000005</v>
      </c>
      <c r="CG169" s="104">
        <f>('Renewable Diesel'!AD178*'Feedstock Conversion Rates'!B$4)/12</f>
        <v>112.5</v>
      </c>
      <c r="CH169" s="106">
        <f t="shared" si="89"/>
        <v>112.5</v>
      </c>
      <c r="CI169" s="104">
        <f>('Renewable Diesel'!$AE178*'RD Feedstock Breakdown'!CI$3*'Feedstock Conversion Rates'!$B$5)/12</f>
        <v>0.34604166666666664</v>
      </c>
      <c r="CJ169" s="104">
        <f>('Renewable Diesel'!$AE178*'RD Feedstock Breakdown'!CJ$3*'Feedstock Conversion Rates'!$B$4)/12</f>
        <v>0.34375</v>
      </c>
      <c r="CK169" s="106">
        <f t="shared" si="103"/>
        <v>0.68979166666666658</v>
      </c>
      <c r="CL169" s="104">
        <f>(((CL$3*'Renewable Diesel'!$AF178)*'Feedstock Conversion Rates'!$B$3)/12)-20-30</f>
        <v>41.78125</v>
      </c>
      <c r="CM169" s="104">
        <f>(((CM$3*'Renewable Diesel'!$AF178)*'Feedstock Conversion Rates'!$B$6)/12)-20+20+30</f>
        <v>83.739583333333343</v>
      </c>
      <c r="CN169" s="104">
        <f>(((CN$3*'Renewable Diesel'!$AF178)*'Feedstock Conversion Rates'!$B$4)/12)</f>
        <v>42.96875</v>
      </c>
      <c r="CO169" s="106">
        <f t="shared" si="91"/>
        <v>168.48958333333334</v>
      </c>
      <c r="CP169" s="106"/>
      <c r="CQ169" s="106"/>
      <c r="CR169" s="106"/>
      <c r="CS169" s="106"/>
      <c r="CT169" s="104">
        <f>('Renewable Diesel'!AI178*'Feedstock Conversion Rates'!$B$4*'RD Feedstock Breakdown'!$CT$3)/12</f>
        <v>29.375</v>
      </c>
      <c r="CU169" s="106">
        <f t="shared" si="99"/>
        <v>29.375</v>
      </c>
      <c r="CV169" s="106"/>
      <c r="CW169" s="106"/>
      <c r="CX169" s="106"/>
      <c r="CY169" s="106"/>
      <c r="CZ169" s="106"/>
      <c r="DA169" s="106"/>
      <c r="DB169" s="106"/>
      <c r="DC169" s="106"/>
      <c r="DD169" s="106"/>
      <c r="DE169" s="106"/>
      <c r="DF169" s="106"/>
      <c r="DG169" s="106"/>
      <c r="DH169" s="106"/>
      <c r="DI169" s="106"/>
      <c r="DJ169" s="104">
        <f>('Renewable Diesel'!AT178*'Feedstock Conversion Rates'!$B$4*0.25)/12</f>
        <v>0</v>
      </c>
      <c r="DK169" s="104">
        <f>('Renewable Diesel'!$AT178*'RD Feedstock Breakdown'!DK$3*'Feedstock Conversion Rates'!$B$3)/12*0.5</f>
        <v>0</v>
      </c>
      <c r="DL169" s="104">
        <f>('Renewable Diesel'!$AT178*'RD Feedstock Breakdown'!$DL$3*'Feedstock Conversion Rates'!$B$6)/12</f>
        <v>0</v>
      </c>
      <c r="DM169" s="104">
        <f>('Renewable Diesel'!$AT178*'RD Feedstock Breakdown'!$DM$3*'Feedstock Conversion Rates'!$B$8)/12</f>
        <v>0</v>
      </c>
      <c r="DN169" s="106">
        <f t="shared" si="110"/>
        <v>0</v>
      </c>
      <c r="DP169" s="104">
        <f t="shared" si="73"/>
        <v>52.470249999999993</v>
      </c>
      <c r="DQ169" s="104">
        <f t="shared" si="74"/>
        <v>827.23464250000006</v>
      </c>
      <c r="DR169" s="104">
        <f t="shared" si="82"/>
        <v>972.03125</v>
      </c>
      <c r="DS169" s="104">
        <f t="shared" si="100"/>
        <v>273.8444791666667</v>
      </c>
      <c r="DT169" s="104">
        <f t="shared" si="75"/>
        <v>368.0784000000001</v>
      </c>
      <c r="DU169" s="104">
        <f t="shared" si="76"/>
        <v>151.73526666666669</v>
      </c>
      <c r="DV169" s="104">
        <f t="shared" si="83"/>
        <v>41.182812499999997</v>
      </c>
      <c r="DW169" s="104">
        <f t="shared" si="77"/>
        <v>2.5</v>
      </c>
      <c r="DX169" s="106">
        <f t="shared" si="78"/>
        <v>2689.0771008333331</v>
      </c>
      <c r="DY169" s="109">
        <f t="shared" si="79"/>
        <v>-8.5265128291212022E-14</v>
      </c>
      <c r="EA169" s="110">
        <f t="shared" si="114"/>
        <v>1.9512363547976998E-2</v>
      </c>
      <c r="EB169" s="110">
        <f t="shared" si="114"/>
        <v>0.30762771444658232</v>
      </c>
      <c r="EC169" s="110">
        <f t="shared" si="114"/>
        <v>0.36147392341363949</v>
      </c>
      <c r="ED169" s="110">
        <f t="shared" si="114"/>
        <v>0.10183585999888345</v>
      </c>
      <c r="EE169" s="110">
        <f t="shared" si="114"/>
        <v>0.13687908014460956</v>
      </c>
      <c r="EF169" s="110">
        <f t="shared" si="114"/>
        <v>5.6426521433559716E-2</v>
      </c>
      <c r="EG169" s="111">
        <f t="shared" si="114"/>
        <v>1.5314850023168776E-2</v>
      </c>
      <c r="EH169" s="111">
        <f t="shared" si="84"/>
        <v>9.2968699157984763E-4</v>
      </c>
      <c r="EI169" s="110">
        <f t="shared" si="85"/>
        <v>0.99907031300842031</v>
      </c>
      <c r="EK169" s="112">
        <f>(EA169*'Renewable Diesel'!BF178*'Feedstock Conversion Rates'!B$2)+FB169</f>
        <v>47.904227546542756</v>
      </c>
      <c r="EL169" s="112">
        <f>(EB169*'Renewable Diesel'!BF178*'Feedstock Conversion Rates'!B$3)+FC169</f>
        <v>711.70990789483369</v>
      </c>
      <c r="EM169" s="112">
        <f>(EC169*'Renewable Diesel'!BF178*'Feedstock Conversion Rates'!B$4)+FD169</f>
        <v>783.03878386576582</v>
      </c>
      <c r="EN169" s="112">
        <f>(ED169*'Renewable Diesel'!BF178*'Feedstock Conversion Rates'!B$5)+FE169</f>
        <v>222.0714477248074</v>
      </c>
      <c r="EO169" s="112">
        <f>(EE169*'Renewable Diesel'!BF178*'Feedstock Conversion Rates'!B$6)+FF169</f>
        <v>370.83861740131653</v>
      </c>
      <c r="EP169" s="112">
        <f>(EF169*'Renewable Diesel'!BF178*'Feedstock Conversion Rates'!B$7)+FG169</f>
        <v>149.93952891370137</v>
      </c>
      <c r="EQ169" s="112">
        <f>(EG169*'Renewable Diesel'!BF178*'Feedstock Conversion Rates'!B$8)+FH169</f>
        <v>41.46952504892699</v>
      </c>
      <c r="ER169" s="112">
        <f>(EH169*'Renewable Diesel'!BF178*'Feedstock Conversion Rates'!B$9)+FI169</f>
        <v>2.4838394687270715</v>
      </c>
      <c r="ES169" s="112">
        <f t="shared" si="86"/>
        <v>2329.4558778646224</v>
      </c>
      <c r="ET169" s="91">
        <f>ES169/'Renewable Diesel'!BF178</f>
        <v>8.0650943440533052</v>
      </c>
      <c r="EW169" s="73">
        <f t="shared" si="124"/>
        <v>1005.1102315905732</v>
      </c>
      <c r="EX169" s="73">
        <f t="shared" si="125"/>
        <v>1324.3456462740487</v>
      </c>
      <c r="EY169" s="92">
        <f t="shared" si="71"/>
        <v>0.43147854447105599</v>
      </c>
      <c r="EZ169" s="92">
        <f t="shared" si="71"/>
        <v>0.56852145552894384</v>
      </c>
      <c r="FB169" s="102">
        <f>IF('Renewable Diesel'!$BG178&lt;1,0,(((('Renewable Diesel'!$BG178-1)*'Renewable Diesel'!$BF178)*'RD Feedstock Breakdown'!EA169)*'Feedstock Conversion Rates'!$B$2))</f>
        <v>0</v>
      </c>
      <c r="FC169" s="102">
        <f>IF('Renewable Diesel'!$BG178&lt;1,0,(((('Renewable Diesel'!$BG178-1)*'Renewable Diesel'!$BF178)*'RD Feedstock Breakdown'!EB169)*'Feedstock Conversion Rates'!$B$3))</f>
        <v>0</v>
      </c>
      <c r="FD169" s="102">
        <f>IF('Renewable Diesel'!$BG178&lt;1,0,(((('Renewable Diesel'!$BG178-1)*'Renewable Diesel'!$BF178)*'RD Feedstock Breakdown'!EC169)*'Feedstock Conversion Rates'!$B$4))</f>
        <v>0</v>
      </c>
      <c r="FE169" s="102">
        <f>IF('Renewable Diesel'!$BG178&lt;1,0,(((('Renewable Diesel'!$BG178-1)*'Renewable Diesel'!$BF178)*'RD Feedstock Breakdown'!ED169)*'Feedstock Conversion Rates'!$B$5))</f>
        <v>0</v>
      </c>
      <c r="FF169" s="102">
        <f>IF('Renewable Diesel'!$BG178&lt;1,0,(((('Renewable Diesel'!$BG178-1)*'Renewable Diesel'!$BF178)*'RD Feedstock Breakdown'!EE169)*'Feedstock Conversion Rates'!$B$6))</f>
        <v>0</v>
      </c>
      <c r="FG169" s="102">
        <f>IF('Renewable Diesel'!$BG178&lt;1,0,(((('Renewable Diesel'!$BG178-1)*'Renewable Diesel'!$BF178)*'RD Feedstock Breakdown'!EF169)*'Feedstock Conversion Rates'!$B$7))</f>
        <v>0</v>
      </c>
      <c r="FH169" s="102">
        <f>IF('Renewable Diesel'!$BG178&lt;1,0,(((('Renewable Diesel'!$BG178-1)*'Renewable Diesel'!$BF178)*'RD Feedstock Breakdown'!EG169)*'Feedstock Conversion Rates'!$B$8))</f>
        <v>0</v>
      </c>
      <c r="FI169" s="102">
        <f>IF('Renewable Diesel'!$BG178&lt;1,0,(((('Renewable Diesel'!$BG178-1)*'Renewable Diesel'!$BF178)*'RD Feedstock Breakdown'!EH169)*'Feedstock Conversion Rates'!$B$9))</f>
        <v>0</v>
      </c>
      <c r="FJ169" s="102">
        <f t="shared" si="126"/>
        <v>0</v>
      </c>
      <c r="FL169" s="3">
        <f>('Renewable Diesel'!AX178/12*$FO$80)*'RD Feedstock Breakdown'!EC169*7.5</f>
        <v>931.24719519438872</v>
      </c>
      <c r="FM169" s="3">
        <f t="shared" si="96"/>
        <v>148.2084113286229</v>
      </c>
      <c r="FR169" s="3">
        <f>('Renewable Diesel'!AX178-'Renewable Diesel'!BI178)/12*$FO$80</f>
        <v>43.469999999999992</v>
      </c>
      <c r="FS169" s="100">
        <f t="shared" si="97"/>
        <v>0.36147392341363949</v>
      </c>
      <c r="FT169" s="3">
        <f t="shared" si="98"/>
        <v>117.8495358809318</v>
      </c>
      <c r="FY169" s="3">
        <f>'Renewable Diesel'!BF178*('Renewable Diesel'!BI178/'Renewable Diesel'!AX178)</f>
        <v>252.28009011528385</v>
      </c>
      <c r="FZ169" s="3">
        <f>('Renewable Diesel'!BJ178*'Renewable Diesel'!BG178)/12</f>
        <v>37.059392799781648</v>
      </c>
      <c r="GA169" s="3">
        <f t="shared" si="105"/>
        <v>100.4700308599819</v>
      </c>
      <c r="GD169" s="91">
        <f>'Renewable Diesel'!BB178*0.32</f>
        <v>17.690919360000002</v>
      </c>
      <c r="GE169" s="91">
        <f>'Renewable Diesel'!BC178</f>
        <v>4.385751</v>
      </c>
      <c r="GF169" s="91">
        <f>'Renewable Diesel'!BD178</f>
        <v>0</v>
      </c>
      <c r="GG169" s="91">
        <f t="shared" si="109"/>
        <v>4.385751</v>
      </c>
      <c r="GH169" s="124">
        <v>1</v>
      </c>
      <c r="GI169" s="102">
        <f>$GG169*EA169*'Feedstock Conversion Rates'!$B$2</f>
        <v>0.72739912751468117</v>
      </c>
      <c r="GJ169" s="102">
        <f>$GG169*EB169*'Feedstock Conversion Rates'!$B$3</f>
        <v>10.80692023565712</v>
      </c>
      <c r="GK169" s="102">
        <f>$GG169*EC169*'Feedstock Conversion Rates'!$B$4</f>
        <v>11.890009658139697</v>
      </c>
      <c r="GL169" s="102">
        <f>$GG169*ED169*'Feedstock Conversion Rates'!$B$5</f>
        <v>3.3720317724360216</v>
      </c>
      <c r="GM169" s="102">
        <f>$GG169*EE169*'Feedstock Conversion Rates'!$B$6</f>
        <v>5.6309787374065685</v>
      </c>
      <c r="GN169" s="102">
        <f>$GG169*EF169*'Feedstock Conversion Rates'!$B$7</f>
        <v>2.2767485897945545</v>
      </c>
      <c r="GO169" s="102">
        <f>$GG169*EG169*'Feedstock Conversion Rates'!$B$8</f>
        <v>0.62969173878714824</v>
      </c>
      <c r="GP169" s="102">
        <f>$GG169*EH169*'Feedstock Conversion Rates'!B$9</f>
        <v>3.7715724790326852E-2</v>
      </c>
      <c r="GQ169" s="102">
        <f t="shared" si="87"/>
        <v>35.371495584526123</v>
      </c>
      <c r="GR169" s="85">
        <f t="shared" si="107"/>
        <v>8.0650943440533052</v>
      </c>
      <c r="GT169" s="103">
        <f t="shared" si="111"/>
        <v>2.0564556728353167E-2</v>
      </c>
      <c r="GU169" s="103">
        <f t="shared" si="111"/>
        <v>0.30552624527374506</v>
      </c>
      <c r="GV169" s="103">
        <f t="shared" si="111"/>
        <v>0.33614664750961748</v>
      </c>
      <c r="GW169" s="103">
        <f t="shared" si="111"/>
        <v>9.5331896961438484E-2</v>
      </c>
      <c r="GX169" s="103">
        <f t="shared" si="111"/>
        <v>0.15919538160184377</v>
      </c>
      <c r="GY169" s="103">
        <f t="shared" si="111"/>
        <v>6.4366760640750448E-2</v>
      </c>
      <c r="GZ169" s="103">
        <f t="shared" si="111"/>
        <v>1.7802236755366876E-2</v>
      </c>
      <c r="HA169" s="103">
        <f t="shared" si="111"/>
        <v>1.0662745288843891E-3</v>
      </c>
    </row>
    <row r="170" spans="1:209" x14ac:dyDescent="0.25">
      <c r="A170" s="96">
        <v>45597</v>
      </c>
      <c r="B170" s="104">
        <f>23-20+10+85-5-4-4-1.25+2.25-5+15-6-25-45+65+15-22.5-50+40+16.5+27.5+168+80+14-30+15-50-19+22.5-10+5+11-25-50-12.5-27.5-10+10+2+4-1.5+12-26-15-50-15+10-32.5-3-5-2.5-1+5+10-50-35-9-0.5+25+15+25+20+15+85-25+12.5-52.5+10+20-150+20-20+55-25-25-5+40-40+100-50</f>
        <v>50</v>
      </c>
      <c r="C170" s="104">
        <f>40-10-2.5-27.5+25+25+25-70+120-15-100-10+40-10+50</f>
        <v>80</v>
      </c>
      <c r="D170" s="104">
        <f t="shared" si="95"/>
        <v>1.5</v>
      </c>
      <c r="E170" s="104">
        <f>('Renewable Diesel'!B179*E$3*'Feedstock Conversion Rates'!$B$2)/12-40+1.25+6-43+30-15+12.5-4+1.5+26+2.5+3-10+50+9-15-25-55+15+45+10-50</f>
        <v>44.679999999999993</v>
      </c>
      <c r="F170" s="104">
        <f>('Renewable Diesel'!B179*'RD Feedstock Breakdown'!F$3*'Feedstock Conversion Rates'!B$8)/12+28.5-49-5+2-6+1+6+20-20-3.75+10+2.5+5-20-20+10</f>
        <v>15.15625</v>
      </c>
      <c r="G170" s="104">
        <f>('Renewable Diesel'!B179*'RD Feedstock Breakdown'!G$3*'Feedstock Conversion Rates'!B$7)/12-25-15-25+4+4-20-40-20+10-17.5+20+50-12+32.5+35-75-75+22.5+5-20+15+125-10-45-10-40-40</f>
        <v>9.6570000000000107</v>
      </c>
      <c r="H170" s="104">
        <f>('Renewable Diesel'!B179*'RD Feedstock Breakdown'!H$3*'Feedstock Conversion Rates'!B$3)/12-85+4-15+70-65-80+50-22.5-5+25+27.5+15+50+15-10+5+50+75-5-25-85-12.5+30+22.5-25-30+150+90-120+25+10+40+50-100</f>
        <v>295.40022499999998</v>
      </c>
      <c r="I170" s="106">
        <f t="shared" si="106"/>
        <v>496.39347499999997</v>
      </c>
      <c r="J170" s="104">
        <f t="shared" ref="J170:J181" si="128">22+10-4-25+7+145+30+37+10-15-1.75+7.5-25-25-15-15-5-25-75-10+15-9.25-1+27.5-5+17+23+20+45+15+3.5+10+18-38.5-8-25-15-65-30-20</f>
        <v>5</v>
      </c>
      <c r="K170" s="104">
        <f t="shared" ref="K170:K180" si="129">65-50-10</f>
        <v>5</v>
      </c>
      <c r="L170" s="104">
        <v>1</v>
      </c>
      <c r="M170" s="104">
        <f>('Renewable Diesel'!C179*'RD Feedstock Breakdown'!M$3*'Feedstock Conversion Rates'!B$2)/12</f>
        <v>7.7902500000000003</v>
      </c>
      <c r="N170" s="104">
        <f>('Renewable Diesel'!C179*'RD Feedstock Breakdown'!N$3*'Feedstock Conversion Rates'!B$8)/12</f>
        <v>3.671875</v>
      </c>
      <c r="O170" s="104">
        <f>('Renewable Diesel'!C179*'RD Feedstock Breakdown'!O$3*'Feedstock Conversion Rates'!B$7)/12</f>
        <v>11.9991</v>
      </c>
      <c r="P170" s="104">
        <f>('Renewable Diesel'!C179*'RD Feedstock Breakdown'!P$3*'Feedstock Conversion Rates'!B$3)/12</f>
        <v>10.4470425</v>
      </c>
      <c r="Q170" s="106">
        <f t="shared" si="119"/>
        <v>44.908267500000001</v>
      </c>
      <c r="R170" s="104">
        <f>('Renewable Diesel'!D179*'RD Feedstock Breakdown'!R$3*'Feedstock Conversion Rates'!B$7)/12</f>
        <v>2.2999999999999998</v>
      </c>
      <c r="S170" s="106">
        <f t="shared" si="67"/>
        <v>2.2999999999999998</v>
      </c>
      <c r="T170" s="104">
        <f>5.825+20-25+4</f>
        <v>4.8249999999999993</v>
      </c>
      <c r="U170" s="104">
        <v>0</v>
      </c>
      <c r="V170" s="104">
        <f>('Renewable Diesel'!E179*'RD Feedstock Breakdown'!V$3*'Feedstock Conversion Rates'!B$6)/12-20+25</f>
        <v>49.250150000000012</v>
      </c>
      <c r="W170" s="104">
        <f>('Renewable Diesel'!E179*'RD Feedstock Breakdown'!W$3*'Feedstock Conversion Rates'!B$8)/12-5.825-4</f>
        <v>12.354687500000001</v>
      </c>
      <c r="X170" s="106">
        <f t="shared" si="88"/>
        <v>66.429837500000005</v>
      </c>
      <c r="Y170" s="104">
        <f t="shared" ref="Y170:Y181" si="130">50+32-80+171+60-15-75-70-25-32.5+50+5-10+25+20-15-5-50</f>
        <v>35.5</v>
      </c>
      <c r="Z170" s="104">
        <f>('Renewable Diesel'!F179*'RD Feedstock Breakdown'!Z$3*'Feedstock Conversion Rates'!B$6)/12-50-32-60+15+25+32.5-50-5+10-25+15+5+50</f>
        <v>-24.944999999999993</v>
      </c>
      <c r="AA170" s="104">
        <f>('Renewable Diesel'!F179*'RD Feedstock Breakdown'!AA$3*'Feedstock Conversion Rates'!B$7)/12+80-171+75+70-20</f>
        <v>63.133333333333326</v>
      </c>
      <c r="AB170" s="106">
        <f t="shared" si="62"/>
        <v>73.688333333333333</v>
      </c>
      <c r="AC170" s="104">
        <f>('Renewable Diesel'!G179*'RD Feedstock Breakdown'!AC$3*'Feedstock Conversion Rates'!B$5)/12</f>
        <v>7.864583333333333</v>
      </c>
      <c r="AD170" s="104">
        <f>('Renewable Diesel'!G179*'RD Feedstock Breakdown'!AD$3*'Feedstock Conversion Rates'!B$4)/12</f>
        <v>3.90625</v>
      </c>
      <c r="AE170" s="104">
        <f>('Renewable Diesel'!G179*'RD Feedstock Breakdown'!AE$3*'Feedstock Conversion Rates'!B$6)/12</f>
        <v>4.885416666666667</v>
      </c>
      <c r="AF170" s="106">
        <f t="shared" si="101"/>
        <v>16.65625</v>
      </c>
      <c r="AG170" s="104">
        <f t="shared" ref="AG170:AG192" si="131">130+20-51-5+100+25-100+10+25-15-22.5+22.5-100</f>
        <v>39</v>
      </c>
      <c r="AH170" s="104">
        <v>0</v>
      </c>
      <c r="AI170" s="104">
        <f>('Renewable Diesel'!H179*'RD Feedstock Breakdown'!AI$3*'Feedstock Conversion Rates'!B$6)/12-130-20+51+5-100-25+100-10-25+15+22.5-22.5+100</f>
        <v>109.51666666666668</v>
      </c>
      <c r="AJ170" s="106">
        <f t="shared" si="65"/>
        <v>148.51666666666668</v>
      </c>
      <c r="AK170" s="104">
        <f>('Renewable Diesel'!J179*'RD Feedstock Breakdown'!AK$3*'Feedstock Conversion Rates'!B$4)/12</f>
        <v>95.8125</v>
      </c>
      <c r="AL170" s="106">
        <f t="shared" si="68"/>
        <v>95.8125</v>
      </c>
      <c r="AM170" s="104">
        <f>('Renewable Diesel'!K179*'RD Feedstock Breakdown'!AM$3*'Feedstock Conversion Rates'!B$4)/12+5+15-10+10-30</f>
        <v>48.59375</v>
      </c>
      <c r="AN170" s="104">
        <f>('Renewable Diesel'!K179*'RD Feedstock Breakdown'!AN$3*'Feedstock Conversion Rates'!B$6)/12-5-15+10-10+30</f>
        <v>34.427083333333329</v>
      </c>
      <c r="AO170" s="106">
        <f t="shared" si="81"/>
        <v>83.020833333333329</v>
      </c>
      <c r="AP170" s="104">
        <f>('Renewable Diesel'!L179*'RD Feedstock Breakdown'!AP$3*'Feedstock Conversion Rates'!B$4)/12+15-10-5+10+5+5</f>
        <v>78.59375</v>
      </c>
      <c r="AQ170" s="104">
        <f>('Renewable Diesel'!L179*'RD Feedstock Breakdown'!AQ$3*'Feedstock Conversion Rates'!B$6)/12-15+10+5-10-5-5</f>
        <v>4.4270833333333321</v>
      </c>
      <c r="AR170" s="106">
        <f t="shared" si="70"/>
        <v>83.020833333333329</v>
      </c>
      <c r="AS170" s="104">
        <f>('Renewable Diesel'!M179*'RD Feedstock Breakdown'!AS$3*'Feedstock Conversion Rates'!B$4)/12-150-50</f>
        <v>256.25</v>
      </c>
      <c r="AT170" s="104">
        <f>('Renewable Diesel'!M179*'RD Feedstock Breakdown'!AT$3*'Feedstock Conversion Rates'!B$5)/12+150+50</f>
        <v>200</v>
      </c>
      <c r="AU170" s="106">
        <f t="shared" si="104"/>
        <v>456.25</v>
      </c>
      <c r="AV170" s="104">
        <f>'Renewable Diesel'!N179*'RD Feedstock Breakdown'!$AV$3*'Feedstock Conversion Rates'!$B$4/12-15-10+25+25-22+22.5</f>
        <v>104.24999999999999</v>
      </c>
      <c r="AW170" s="104">
        <f>'Renewable Diesel'!N179*'RD Feedstock Breakdown'!$AW$3*'Feedstock Conversion Rates'!$B$7/12+15+10-25-25+22-22.5</f>
        <v>15.900000000000006</v>
      </c>
      <c r="AX170" s="106">
        <f t="shared" si="63"/>
        <v>120.14999999999999</v>
      </c>
      <c r="AY170" s="104">
        <f>('Renewable Diesel'!O179*'RD Feedstock Breakdown'!AY$3*'Feedstock Conversion Rates'!B$4)/12+34-100-282</f>
        <v>-137.0625</v>
      </c>
      <c r="AZ170" s="104">
        <f>('Renewable Diesel'!O179*'RD Feedstock Breakdown'!AZ$3*'Feedstock Conversion Rates'!B$3)/12-34+100+282</f>
        <v>373.03125</v>
      </c>
      <c r="BA170" s="106">
        <f t="shared" si="120"/>
        <v>235.96875</v>
      </c>
      <c r="BB170" s="104">
        <f>('Renewable Diesel'!Q179*'RD Feedstock Breakdown'!BB$3*'Feedstock Conversion Rates'!B$4)/12</f>
        <v>11.156249999999998</v>
      </c>
      <c r="BC170" s="104">
        <f>('Renewable Diesel'!Q179*'RD Feedstock Breakdown'!BC$3*'Feedstock Conversion Rates'!B$3)/12</f>
        <v>1.4017500000000001</v>
      </c>
      <c r="BD170" s="104">
        <f>('Renewable Diesel'!Q179*'RD Feedstock Breakdown'!BD$3*'Feedstock Conversion Rates'!B$6)/12</f>
        <v>0.8207500000000002</v>
      </c>
      <c r="BE170" s="106">
        <f t="shared" si="90"/>
        <v>13.378749999999998</v>
      </c>
      <c r="BF170" s="104">
        <f>('Renewable Diesel'!R179*'RD Feedstock Breakdown'!BF$3*'Feedstock Conversion Rates'!B$4)/12</f>
        <v>62.5</v>
      </c>
      <c r="BG170" s="106">
        <f t="shared" si="72"/>
        <v>62.5</v>
      </c>
      <c r="BH170" s="104">
        <f>('Renewable Diesel'!T179*'RD Feedstock Breakdown'!BH$3*'Feedstock Conversion Rates'!B$7)/12</f>
        <v>27.599999999999998</v>
      </c>
      <c r="BI170" s="106">
        <f t="shared" si="64"/>
        <v>27.599999999999998</v>
      </c>
      <c r="BJ170" s="104">
        <f>('Renewable Diesel'!W179*'RD Feedstock Breakdown'!BJ$3*'Feedstock Conversion Rates'!B$4)/12</f>
        <v>7.5</v>
      </c>
      <c r="BK170" s="104">
        <f>('Renewable Diesel'!W179*'RD Feedstock Breakdown'!BK$3*'Feedstock Conversion Rates'!B$3)/12</f>
        <v>1.335</v>
      </c>
      <c r="BL170" s="104">
        <f>('Renewable Diesel'!W179*'RD Feedstock Breakdown'!BL$3*'Feedstock Conversion Rates'!B$6)/12</f>
        <v>3.1266666666666669</v>
      </c>
      <c r="BM170" s="104">
        <f>('Renewable Diesel'!W179*'RD Feedstock Breakdown'!BM$3*'Feedstock Conversion Rates'!B$7)/12</f>
        <v>1.5333333333333332</v>
      </c>
      <c r="BN170" s="106">
        <f t="shared" si="112"/>
        <v>13.495000000000001</v>
      </c>
      <c r="BO170" s="104">
        <f>('Renewable Diesel'!P179*'Feedstock Conversion Rates'!B$4)/12</f>
        <v>31.25</v>
      </c>
      <c r="BP170" s="106">
        <f t="shared" si="102"/>
        <v>31.25</v>
      </c>
      <c r="BQ170" s="104">
        <f>('Renewable Diesel'!$S179*'RD Feedstock Breakdown'!BQ$3*'Feedstock Conversion Rates'!B$4)/12+10</f>
        <v>38.125</v>
      </c>
      <c r="BR170" s="104">
        <f>('Renewable Diesel'!$S179*'RD Feedstock Breakdown'!BR$3*'Feedstock Conversion Rates'!B$7)/12-10</f>
        <v>1.5</v>
      </c>
      <c r="BS170" s="106">
        <f t="shared" si="123"/>
        <v>39.625</v>
      </c>
      <c r="BT170" s="106"/>
      <c r="BU170" s="104">
        <f>('Renewable Diesel'!Y179*'Feedstock Conversion Rates'!B$7)/12</f>
        <v>2.6833333333333331</v>
      </c>
      <c r="BV170" s="106">
        <f t="shared" si="93"/>
        <v>2.6833333333333331</v>
      </c>
      <c r="BW170" s="104">
        <f>('Renewable Diesel'!$Z179*'RD Feedstock Breakdown'!BW$3*'Feedstock Conversion Rates'!$B$4)/12</f>
        <v>17.96875</v>
      </c>
      <c r="BX170" s="104">
        <f>('Renewable Diesel'!$Z179*'RD Feedstock Breakdown'!BX$3*'Feedstock Conversion Rates'!$B$5)/12</f>
        <v>1.8088541666666667</v>
      </c>
      <c r="BY170" s="104">
        <f>('Renewable Diesel'!$Z179*'RD Feedstock Breakdown'!BY$3*'Feedstock Conversion Rates'!$B$7)/12</f>
        <v>15.429166666666665</v>
      </c>
      <c r="BZ170" s="104">
        <f>('Renewable Diesel'!$Z179*'RD Feedstock Breakdown'!BZ$3*'Feedstock Conversion Rates'!$B$3)/12</f>
        <v>3.8381249999999998</v>
      </c>
      <c r="CA170" s="106">
        <f t="shared" si="127"/>
        <v>39.044895833333328</v>
      </c>
      <c r="CB170" s="104">
        <f>('Renewable Diesel'!AA179*'Feedstock Conversion Rates'!B$4)/12</f>
        <v>191.25</v>
      </c>
      <c r="CC170" s="106">
        <f t="shared" si="113"/>
        <v>191.25</v>
      </c>
      <c r="CD170" s="104">
        <f>('Renewable Diesel'!$AB179*'RD Feedstock Breakdown'!CD$3*'Feedstock Conversion Rates'!$B$6)/12-15</f>
        <v>17.830000000000005</v>
      </c>
      <c r="CE170" s="104">
        <f>('Renewable Diesel'!$AB179*'RD Feedstock Breakdown'!CE$3*'Feedstock Conversion Rates'!$B$4)/12+15</f>
        <v>26.25</v>
      </c>
      <c r="CF170" s="106">
        <f t="shared" si="108"/>
        <v>44.080000000000005</v>
      </c>
      <c r="CG170" s="104">
        <f>('Renewable Diesel'!AD179*'Feedstock Conversion Rates'!B$4)/12</f>
        <v>112.5</v>
      </c>
      <c r="CH170" s="106">
        <f t="shared" si="89"/>
        <v>112.5</v>
      </c>
      <c r="CI170" s="104">
        <f>('Renewable Diesel'!$AE179*'RD Feedstock Breakdown'!CI$3*'Feedstock Conversion Rates'!$B$5)/12</f>
        <v>0.34604166666666664</v>
      </c>
      <c r="CJ170" s="104">
        <f>('Renewable Diesel'!$AE179*'RD Feedstock Breakdown'!CJ$3*'Feedstock Conversion Rates'!$B$4)/12</f>
        <v>0.34375</v>
      </c>
      <c r="CK170" s="106">
        <f t="shared" si="103"/>
        <v>0.68979166666666658</v>
      </c>
      <c r="CL170" s="104">
        <f>(((CL$3*'Renewable Diesel'!$AF179)*'Feedstock Conversion Rates'!$B$3)/12)-37</f>
        <v>54.78125</v>
      </c>
      <c r="CM170" s="104">
        <f>(((CM$3*'Renewable Diesel'!$AF179)*'Feedstock Conversion Rates'!$B$6)/12)+37+40</f>
        <v>130.73958333333334</v>
      </c>
      <c r="CN170" s="104">
        <f>(((CN$3*'Renewable Diesel'!$AF179)*'Feedstock Conversion Rates'!$B$4)/12)-40</f>
        <v>2.96875</v>
      </c>
      <c r="CO170" s="106">
        <f t="shared" si="91"/>
        <v>188.48958333333334</v>
      </c>
      <c r="CP170" s="106"/>
      <c r="CQ170" s="106"/>
      <c r="CR170" s="106"/>
      <c r="CS170" s="106"/>
      <c r="CT170" s="104">
        <f>('Renewable Diesel'!AI179*'Feedstock Conversion Rates'!$B$4*'RD Feedstock Breakdown'!$CT$3)/12</f>
        <v>29.375</v>
      </c>
      <c r="CU170" s="106">
        <f t="shared" si="99"/>
        <v>29.375</v>
      </c>
      <c r="CV170" s="106"/>
      <c r="CW170" s="106"/>
      <c r="CX170" s="106"/>
      <c r="CY170" s="106"/>
      <c r="CZ170" s="106"/>
      <c r="DA170" s="106"/>
      <c r="DB170" s="106"/>
      <c r="DC170" s="106"/>
      <c r="DD170" s="106"/>
      <c r="DE170" s="106"/>
      <c r="DF170" s="106"/>
      <c r="DG170" s="106"/>
      <c r="DH170" s="106"/>
      <c r="DI170" s="106"/>
      <c r="DJ170" s="104">
        <f>('Renewable Diesel'!AT179*'Feedstock Conversion Rates'!$B$4*0.25)/12</f>
        <v>0</v>
      </c>
      <c r="DK170" s="104">
        <f>('Renewable Diesel'!$AT179*'RD Feedstock Breakdown'!DK$3*'Feedstock Conversion Rates'!$B$3)/12*0.5</f>
        <v>0</v>
      </c>
      <c r="DL170" s="104">
        <f>('Renewable Diesel'!$AT179*'RD Feedstock Breakdown'!$DL$3*'Feedstock Conversion Rates'!$B$6)/12</f>
        <v>0</v>
      </c>
      <c r="DM170" s="104">
        <f>('Renewable Diesel'!$AT179*'RD Feedstock Breakdown'!$DM$3*'Feedstock Conversion Rates'!$B$8)/12</f>
        <v>0</v>
      </c>
      <c r="DN170" s="106">
        <f t="shared" si="110"/>
        <v>0</v>
      </c>
      <c r="DP170" s="104">
        <f t="shared" si="73"/>
        <v>52.470249999999993</v>
      </c>
      <c r="DQ170" s="104">
        <f t="shared" si="74"/>
        <v>740.23464250000006</v>
      </c>
      <c r="DR170" s="104">
        <f t="shared" si="82"/>
        <v>1072.03125</v>
      </c>
      <c r="DS170" s="104">
        <f t="shared" si="100"/>
        <v>338.84447916666664</v>
      </c>
      <c r="DT170" s="104">
        <f t="shared" si="75"/>
        <v>330.0784000000001</v>
      </c>
      <c r="DU170" s="104">
        <f t="shared" si="76"/>
        <v>151.73526666666669</v>
      </c>
      <c r="DV170" s="104">
        <f t="shared" si="83"/>
        <v>31.182812500000001</v>
      </c>
      <c r="DW170" s="104">
        <f t="shared" si="77"/>
        <v>2.5</v>
      </c>
      <c r="DX170" s="106">
        <f t="shared" si="78"/>
        <v>2719.0771008333331</v>
      </c>
      <c r="DY170" s="109">
        <f t="shared" si="79"/>
        <v>-3.1263880373444408E-13</v>
      </c>
      <c r="EA170" s="110">
        <f t="shared" si="114"/>
        <v>1.9297080610152281E-2</v>
      </c>
      <c r="EB170" s="110">
        <f t="shared" si="114"/>
        <v>0.27223745964141127</v>
      </c>
      <c r="EC170" s="110">
        <f t="shared" si="114"/>
        <v>0.39426290989374579</v>
      </c>
      <c r="ED170" s="110">
        <f t="shared" si="114"/>
        <v>0.12461745901314045</v>
      </c>
      <c r="EE170" s="110">
        <f t="shared" si="114"/>
        <v>0.12139354191127529</v>
      </c>
      <c r="EF170" s="110">
        <f t="shared" si="114"/>
        <v>5.5803958858012301E-2</v>
      </c>
      <c r="EG170" s="111">
        <f t="shared" si="114"/>
        <v>1.1468160461666646E-2</v>
      </c>
      <c r="EH170" s="111">
        <f t="shared" si="84"/>
        <v>9.194296105961132E-4</v>
      </c>
      <c r="EI170" s="110">
        <f t="shared" si="85"/>
        <v>0.99908057038940401</v>
      </c>
      <c r="EK170" s="112">
        <f>(EA170*'Renewable Diesel'!BF179*'Feedstock Conversion Rates'!B$2)+FB170</f>
        <v>42.054876336407361</v>
      </c>
      <c r="EL170" s="112">
        <f>(EB170*'Renewable Diesel'!BF179*'Feedstock Conversion Rates'!B$3)+FC170</f>
        <v>559.09579140358903</v>
      </c>
      <c r="EM170" s="112">
        <f>(EC170*'Renewable Diesel'!BF179*'Feedstock Conversion Rates'!B$4)+FD170</f>
        <v>758.1462825715671</v>
      </c>
      <c r="EN170" s="112">
        <f>(ED170*'Renewable Diesel'!BF179*'Feedstock Conversion Rates'!B$5)+FE170</f>
        <v>241.23019436088379</v>
      </c>
      <c r="EO170" s="112">
        <f>(EE170*'Renewable Diesel'!BF179*'Feedstock Conversion Rates'!B$6)+FF170</f>
        <v>291.94715331704032</v>
      </c>
      <c r="EP170" s="112">
        <f>(EF170*'Renewable Diesel'!BF179*'Feedstock Conversion Rates'!B$7)+FG170</f>
        <v>131.63114550335689</v>
      </c>
      <c r="EQ170" s="112">
        <f>(EG170*'Renewable Diesel'!BF179*'Feedstock Conversion Rates'!B$8)+FH170</f>
        <v>27.565816501386035</v>
      </c>
      <c r="ER170" s="112">
        <f>(EH170*'Renewable Diesel'!BF179*'Feedstock Conversion Rates'!B$9)+FI170</f>
        <v>2.1805499649340123</v>
      </c>
      <c r="ES170" s="112">
        <f t="shared" si="86"/>
        <v>2053.8518099591647</v>
      </c>
      <c r="ET170" s="91">
        <f>ES170/'Renewable Diesel'!BF179</f>
        <v>8.0105674495139176</v>
      </c>
      <c r="EW170" s="73">
        <f t="shared" si="124"/>
        <v>999.37647693245094</v>
      </c>
      <c r="EX170" s="73">
        <f t="shared" si="125"/>
        <v>1054.4753330267135</v>
      </c>
      <c r="EY170" s="92">
        <f t="shared" si="71"/>
        <v>0.48658645774074655</v>
      </c>
      <c r="EZ170" s="92">
        <f t="shared" si="71"/>
        <v>0.51341354225925329</v>
      </c>
      <c r="FB170" s="102">
        <f>IF('Renewable Diesel'!$BG179&lt;1,0,(((('Renewable Diesel'!$BG179-1)*'Renewable Diesel'!$BF179)*'RD Feedstock Breakdown'!EA170)*'Feedstock Conversion Rates'!$B$2))</f>
        <v>0</v>
      </c>
      <c r="FC170" s="102">
        <f>IF('Renewable Diesel'!$BG179&lt;1,0,(((('Renewable Diesel'!$BG179-1)*'Renewable Diesel'!$BF179)*'RD Feedstock Breakdown'!EB170)*'Feedstock Conversion Rates'!$B$3))</f>
        <v>0</v>
      </c>
      <c r="FD170" s="102">
        <f>IF('Renewable Diesel'!$BG179&lt;1,0,(((('Renewable Diesel'!$BG179-1)*'Renewable Diesel'!$BF179)*'RD Feedstock Breakdown'!EC170)*'Feedstock Conversion Rates'!$B$4))</f>
        <v>0</v>
      </c>
      <c r="FE170" s="102">
        <f>IF('Renewable Diesel'!$BG179&lt;1,0,(((('Renewable Diesel'!$BG179-1)*'Renewable Diesel'!$BF179)*'RD Feedstock Breakdown'!ED170)*'Feedstock Conversion Rates'!$B$5))</f>
        <v>0</v>
      </c>
      <c r="FF170" s="102">
        <f>IF('Renewable Diesel'!$BG179&lt;1,0,(((('Renewable Diesel'!$BG179-1)*'Renewable Diesel'!$BF179)*'RD Feedstock Breakdown'!EE170)*'Feedstock Conversion Rates'!$B$6))</f>
        <v>0</v>
      </c>
      <c r="FG170" s="102">
        <f>IF('Renewable Diesel'!$BG179&lt;1,0,(((('Renewable Diesel'!$BG179-1)*'Renewable Diesel'!$BF179)*'RD Feedstock Breakdown'!EF170)*'Feedstock Conversion Rates'!$B$7))</f>
        <v>0</v>
      </c>
      <c r="FH170" s="102">
        <f>IF('Renewable Diesel'!$BG179&lt;1,0,(((('Renewable Diesel'!$BG179-1)*'Renewable Diesel'!$BF179)*'RD Feedstock Breakdown'!EG170)*'Feedstock Conversion Rates'!$B$8))</f>
        <v>0</v>
      </c>
      <c r="FI170" s="102">
        <f>IF('Renewable Diesel'!$BG179&lt;1,0,(((('Renewable Diesel'!$BG179-1)*'Renewable Diesel'!$BF179)*'RD Feedstock Breakdown'!EH170)*'Feedstock Conversion Rates'!$B$9))</f>
        <v>0</v>
      </c>
      <c r="FJ170" s="102">
        <f t="shared" si="126"/>
        <v>0</v>
      </c>
      <c r="FL170" s="3">
        <f>('Renewable Diesel'!AX179/12*$FO$80)*'RD Feedstock Breakdown'!EC170*7.5</f>
        <v>1046.3244799942645</v>
      </c>
      <c r="FM170" s="3">
        <f t="shared" si="96"/>
        <v>288.17819742269739</v>
      </c>
      <c r="FR170" s="3">
        <f>('Renewable Diesel'!AX179-'Renewable Diesel'!BI179)/12*$FO$80</f>
        <v>53.819999999999993</v>
      </c>
      <c r="FS170" s="100">
        <f t="shared" si="97"/>
        <v>0.39426290989374579</v>
      </c>
      <c r="FT170" s="3">
        <f t="shared" si="98"/>
        <v>159.14422357861045</v>
      </c>
      <c r="FY170" s="3">
        <f>'Renewable Diesel'!BF179*('Renewable Diesel'!BI179/'Renewable Diesel'!AX179)</f>
        <v>217.39587815167448</v>
      </c>
      <c r="FZ170" s="3">
        <f>('Renewable Diesel'!BJ179*'Renewable Diesel'!BG179)/12</f>
        <v>38.263107821609758</v>
      </c>
      <c r="GA170" s="3">
        <f t="shared" si="105"/>
        <v>113.14293173494507</v>
      </c>
      <c r="GD170" s="91">
        <f>'Renewable Diesel'!BB179*0.32</f>
        <v>12.65116416</v>
      </c>
      <c r="GE170" s="91">
        <f>'Renewable Diesel'!BC179</f>
        <v>2.3854229999999998</v>
      </c>
      <c r="GF170" s="91">
        <f>'Renewable Diesel'!BD179</f>
        <v>0</v>
      </c>
      <c r="GG170" s="91">
        <f t="shared" si="109"/>
        <v>2.3854229999999998</v>
      </c>
      <c r="GH170" s="124">
        <v>1</v>
      </c>
      <c r="GI170" s="102">
        <f>$GG170*EA170*'Feedstock Conversion Rates'!$B$2</f>
        <v>0.3912694493226459</v>
      </c>
      <c r="GJ170" s="102">
        <f>$GG170*EB170*'Feedstock Conversion Rates'!$B$3</f>
        <v>5.2017059964984549</v>
      </c>
      <c r="GK170" s="102">
        <f>$GG170*EC170*'Feedstock Conversion Rates'!$B$4</f>
        <v>7.0536285998060153</v>
      </c>
      <c r="GL170" s="102">
        <f>$GG170*ED170*'Feedstock Conversion Rates'!$B$5</f>
        <v>2.2443534146328439</v>
      </c>
      <c r="GM170" s="102">
        <f>$GG170*EE170*'Feedstock Conversion Rates'!$B$6</f>
        <v>2.7162130021716959</v>
      </c>
      <c r="GN170" s="102">
        <f>$GG170*EF170*'Feedstock Conversion Rates'!$B$7</f>
        <v>1.2246676319487977</v>
      </c>
      <c r="GO170" s="102">
        <f>$GG170*EG170*'Feedstock Conversion Rates'!$B$8</f>
        <v>0.25646637874640843</v>
      </c>
      <c r="GP170" s="102">
        <f>$GG170*EH170*'Feedstock Conversion Rates'!B$9</f>
        <v>2.0287363994972361E-2</v>
      </c>
      <c r="GQ170" s="102">
        <f t="shared" si="87"/>
        <v>19.108591837121836</v>
      </c>
      <c r="GR170" s="85">
        <f t="shared" si="107"/>
        <v>8.0105674495139176</v>
      </c>
      <c r="GT170" s="103">
        <f t="shared" si="111"/>
        <v>2.0476100628332824E-2</v>
      </c>
      <c r="GU170" s="103">
        <f t="shared" si="111"/>
        <v>0.27221817498834311</v>
      </c>
      <c r="GV170" s="103">
        <f t="shared" si="111"/>
        <v>0.36913387757349481</v>
      </c>
      <c r="GW170" s="103">
        <f>(GL170+FE170+EN170)/SUM($ES170,$FJ170,$GQ170)</f>
        <v>0.1174525801672517</v>
      </c>
      <c r="GX170" s="103">
        <f t="shared" si="111"/>
        <v>0.14214616259137258</v>
      </c>
      <c r="GY170" s="103">
        <f t="shared" si="111"/>
        <v>6.4089894346356965E-2</v>
      </c>
      <c r="GZ170" s="103">
        <f t="shared" si="111"/>
        <v>1.3421521634481558E-2</v>
      </c>
      <c r="HA170" s="103">
        <f t="shared" si="111"/>
        <v>1.0616880703663654E-3</v>
      </c>
    </row>
    <row r="171" spans="1:209" x14ac:dyDescent="0.25">
      <c r="A171" s="96">
        <v>45627</v>
      </c>
      <c r="B171" s="104">
        <f>23-20+10+85-5-4-4-1.25+2.25-5+15-6-25-45+65+15-22.5-50+40+16.5+27.5+168+80+14-30+15-50-19+22.5-10+5+11-25-50-12.5-27.5-10+10+2+4-1.5+12-26-15-50-15+10-32.5-3-5-2.5-1+5+10-50-35-9-0.5+25+15+25+20+15+85-25+12.5-52.5+10+20-150+20-20+55-25-25-5+40-40+100+50-100</f>
        <v>50</v>
      </c>
      <c r="C171" s="104">
        <f>40-10-2.5-27.5+25+25+25-70+120-15-100-10+40-25+100</f>
        <v>115</v>
      </c>
      <c r="D171" s="104">
        <f t="shared" si="95"/>
        <v>1.5</v>
      </c>
      <c r="E171" s="104">
        <f>('Renewable Diesel'!B180*E$3*'Feedstock Conversion Rates'!$B$2)/12-40+1.25+6-43+30-15+12.5-4+1.5+26+2.5+3-10+50+9-15-25-55+15+45+10-50-25</f>
        <v>19.679999999999993</v>
      </c>
      <c r="F171" s="104">
        <f>('Renewable Diesel'!B180*'RD Feedstock Breakdown'!F$3*'Feedstock Conversion Rates'!B$8)/12+28.5-49-5+2-6+1+6+20-20-3.75+10+2.5+5-20-20</f>
        <v>5.15625</v>
      </c>
      <c r="G171" s="104">
        <f>('Renewable Diesel'!B180*'RD Feedstock Breakdown'!G$3*'Feedstock Conversion Rates'!B$7)/12-25-15-25+4+4-20-40-20+10-17.5+20+50-12+32.5+35-75-75+22.5+5-20+15+125-10-45-10-40-40</f>
        <v>9.6570000000000107</v>
      </c>
      <c r="H171" s="104">
        <f>('Renewable Diesel'!B180*'RD Feedstock Breakdown'!H$3*'Feedstock Conversion Rates'!B$3)/12-85+4-15+70-65-80+50-22.5-5+25+27.5+15+50+15-10+5+50+75-5-25-85-12.5+30+22.5-25-30+150+90-120+25+10+40+50+50-100-50</f>
        <v>295.40022499999998</v>
      </c>
      <c r="I171" s="106">
        <f t="shared" si="106"/>
        <v>496.39347499999997</v>
      </c>
      <c r="J171" s="104">
        <f t="shared" si="128"/>
        <v>5</v>
      </c>
      <c r="K171" s="104">
        <f t="shared" si="129"/>
        <v>5</v>
      </c>
      <c r="L171" s="104">
        <v>1</v>
      </c>
      <c r="M171" s="104">
        <f>('Renewable Diesel'!C180*'RD Feedstock Breakdown'!M$3*'Feedstock Conversion Rates'!B$2)/12</f>
        <v>7.7902500000000003</v>
      </c>
      <c r="N171" s="104">
        <f>('Renewable Diesel'!C180*'RD Feedstock Breakdown'!N$3*'Feedstock Conversion Rates'!B$8)/12</f>
        <v>3.671875</v>
      </c>
      <c r="O171" s="104">
        <f>('Renewable Diesel'!C180*'RD Feedstock Breakdown'!O$3*'Feedstock Conversion Rates'!B$7)/12</f>
        <v>11.9991</v>
      </c>
      <c r="P171" s="104">
        <f>('Renewable Diesel'!C180*'RD Feedstock Breakdown'!P$3*'Feedstock Conversion Rates'!B$3)/12</f>
        <v>10.4470425</v>
      </c>
      <c r="Q171" s="106">
        <f t="shared" si="119"/>
        <v>44.908267500000001</v>
      </c>
      <c r="R171" s="104">
        <f>('Renewable Diesel'!D180*'RD Feedstock Breakdown'!R$3*'Feedstock Conversion Rates'!B$7)/12</f>
        <v>2.2999999999999998</v>
      </c>
      <c r="S171" s="106">
        <f t="shared" si="67"/>
        <v>2.2999999999999998</v>
      </c>
      <c r="T171" s="104">
        <f>5.825+20-25+4</f>
        <v>4.8249999999999993</v>
      </c>
      <c r="U171" s="104">
        <v>0</v>
      </c>
      <c r="V171" s="104">
        <f>('Renewable Diesel'!E180*'RD Feedstock Breakdown'!V$3*'Feedstock Conversion Rates'!B$6)/12-20+25</f>
        <v>49.250150000000012</v>
      </c>
      <c r="W171" s="104">
        <f>('Renewable Diesel'!E180*'RD Feedstock Breakdown'!W$3*'Feedstock Conversion Rates'!B$8)/12-5.825-4</f>
        <v>12.354687500000001</v>
      </c>
      <c r="X171" s="106">
        <f t="shared" si="88"/>
        <v>66.429837500000005</v>
      </c>
      <c r="Y171" s="104">
        <f t="shared" si="130"/>
        <v>35.5</v>
      </c>
      <c r="Z171" s="104">
        <f>('Renewable Diesel'!F180*'RD Feedstock Breakdown'!Z$3*'Feedstock Conversion Rates'!B$6)/12-50-32-60+15+25+32.5-50-5+10-25+15+5+50</f>
        <v>-24.944999999999993</v>
      </c>
      <c r="AA171" s="104">
        <f>('Renewable Diesel'!F180*'RD Feedstock Breakdown'!AA$3*'Feedstock Conversion Rates'!B$7)/12+80-171+75+70-20</f>
        <v>63.133333333333326</v>
      </c>
      <c r="AB171" s="106">
        <f t="shared" si="62"/>
        <v>73.688333333333333</v>
      </c>
      <c r="AC171" s="104">
        <f>('Renewable Diesel'!G180*'RD Feedstock Breakdown'!AC$3*'Feedstock Conversion Rates'!B$5)/12</f>
        <v>7.864583333333333</v>
      </c>
      <c r="AD171" s="104">
        <f>('Renewable Diesel'!G180*'RD Feedstock Breakdown'!AD$3*'Feedstock Conversion Rates'!B$4)/12</f>
        <v>3.90625</v>
      </c>
      <c r="AE171" s="104">
        <f>('Renewable Diesel'!G180*'RD Feedstock Breakdown'!AE$3*'Feedstock Conversion Rates'!B$6)/12</f>
        <v>4.885416666666667</v>
      </c>
      <c r="AF171" s="106">
        <f t="shared" si="101"/>
        <v>16.65625</v>
      </c>
      <c r="AG171" s="104">
        <f t="shared" si="131"/>
        <v>39</v>
      </c>
      <c r="AH171" s="104">
        <v>0</v>
      </c>
      <c r="AI171" s="104">
        <f>('Renewable Diesel'!H180*'RD Feedstock Breakdown'!AI$3*'Feedstock Conversion Rates'!B$6)/12-130-20+51+5-100-25+100-10-25+15+22.5-22.5+100</f>
        <v>109.51666666666668</v>
      </c>
      <c r="AJ171" s="106">
        <f t="shared" si="65"/>
        <v>148.51666666666668</v>
      </c>
      <c r="AK171" s="104">
        <f>('Renewable Diesel'!J180*'RD Feedstock Breakdown'!AK$3*'Feedstock Conversion Rates'!B$4)/12</f>
        <v>95.8125</v>
      </c>
      <c r="AL171" s="106">
        <f t="shared" si="68"/>
        <v>95.8125</v>
      </c>
      <c r="AM171" s="104">
        <f>('Renewable Diesel'!K180*'RD Feedstock Breakdown'!AM$3*'Feedstock Conversion Rates'!B$4)/12+5+15-10+10-30</f>
        <v>48.59375</v>
      </c>
      <c r="AN171" s="104">
        <f>('Renewable Diesel'!K180*'RD Feedstock Breakdown'!AN$3*'Feedstock Conversion Rates'!B$6)/12-5-15+10-10+30</f>
        <v>34.427083333333329</v>
      </c>
      <c r="AO171" s="106">
        <f t="shared" si="81"/>
        <v>83.020833333333329</v>
      </c>
      <c r="AP171" s="104">
        <f>('Renewable Diesel'!L180*'RD Feedstock Breakdown'!AP$3*'Feedstock Conversion Rates'!B$4)/12+15-10-5+10+5+5</f>
        <v>78.59375</v>
      </c>
      <c r="AQ171" s="104">
        <f>('Renewable Diesel'!L180*'RD Feedstock Breakdown'!AQ$3*'Feedstock Conversion Rates'!B$6)/12-15+10+5-10-5-5</f>
        <v>4.4270833333333321</v>
      </c>
      <c r="AR171" s="106">
        <f t="shared" si="70"/>
        <v>83.020833333333329</v>
      </c>
      <c r="AS171" s="104">
        <f>('Renewable Diesel'!M180*'RD Feedstock Breakdown'!AS$3*'Feedstock Conversion Rates'!B$4)/12-150-50</f>
        <v>256.25</v>
      </c>
      <c r="AT171" s="104">
        <f>('Renewable Diesel'!M180*'RD Feedstock Breakdown'!AT$3*'Feedstock Conversion Rates'!B$5)/12+150+50</f>
        <v>200</v>
      </c>
      <c r="AU171" s="106">
        <f t="shared" si="104"/>
        <v>456.25</v>
      </c>
      <c r="AV171" s="104">
        <f>'Renewable Diesel'!N180*'RD Feedstock Breakdown'!$AV$3*'Feedstock Conversion Rates'!$B$4/12-15-10+25+25-22+22.5</f>
        <v>104.24999999999999</v>
      </c>
      <c r="AW171" s="104">
        <f>'Renewable Diesel'!N180*'RD Feedstock Breakdown'!$AW$3*'Feedstock Conversion Rates'!$B$7/12+15+10-25-25+22-22.5</f>
        <v>15.900000000000006</v>
      </c>
      <c r="AX171" s="106">
        <f t="shared" si="63"/>
        <v>120.14999999999999</v>
      </c>
      <c r="AY171" s="104">
        <f>('Renewable Diesel'!O180*'RD Feedstock Breakdown'!AY$3*'Feedstock Conversion Rates'!B$4)/12+34-100-282</f>
        <v>-137.0625</v>
      </c>
      <c r="AZ171" s="104">
        <f>('Renewable Diesel'!O180*'RD Feedstock Breakdown'!AZ$3*'Feedstock Conversion Rates'!B$3)/12-34+100+282</f>
        <v>373.03125</v>
      </c>
      <c r="BA171" s="106">
        <f t="shared" si="120"/>
        <v>235.96875</v>
      </c>
      <c r="BB171" s="104">
        <f>('Renewable Diesel'!Q180*'RD Feedstock Breakdown'!BB$3*'Feedstock Conversion Rates'!B$4)/12</f>
        <v>11.156249999999998</v>
      </c>
      <c r="BC171" s="104">
        <f>('Renewable Diesel'!Q180*'RD Feedstock Breakdown'!BC$3*'Feedstock Conversion Rates'!B$3)/12</f>
        <v>1.4017500000000001</v>
      </c>
      <c r="BD171" s="104">
        <f>('Renewable Diesel'!Q180*'RD Feedstock Breakdown'!BD$3*'Feedstock Conversion Rates'!B$6)/12</f>
        <v>0.8207500000000002</v>
      </c>
      <c r="BE171" s="106">
        <f t="shared" si="90"/>
        <v>13.378749999999998</v>
      </c>
      <c r="BF171" s="104">
        <f>('Renewable Diesel'!R180*'RD Feedstock Breakdown'!BF$3*'Feedstock Conversion Rates'!B$4)/12</f>
        <v>62.5</v>
      </c>
      <c r="BG171" s="106">
        <f t="shared" si="72"/>
        <v>62.5</v>
      </c>
      <c r="BH171" s="104">
        <f>('Renewable Diesel'!T180*'RD Feedstock Breakdown'!BH$3*'Feedstock Conversion Rates'!B$7)/12</f>
        <v>27.599999999999998</v>
      </c>
      <c r="BI171" s="106">
        <f t="shared" si="64"/>
        <v>27.599999999999998</v>
      </c>
      <c r="BJ171" s="104">
        <f>('Renewable Diesel'!W180*'RD Feedstock Breakdown'!BJ$3*'Feedstock Conversion Rates'!B$4)/12</f>
        <v>7.5</v>
      </c>
      <c r="BK171" s="104">
        <f>('Renewable Diesel'!W180*'RD Feedstock Breakdown'!BK$3*'Feedstock Conversion Rates'!B$3)/12</f>
        <v>1.335</v>
      </c>
      <c r="BL171" s="104">
        <f>('Renewable Diesel'!W180*'RD Feedstock Breakdown'!BL$3*'Feedstock Conversion Rates'!B$6)/12</f>
        <v>3.1266666666666669</v>
      </c>
      <c r="BM171" s="104">
        <f>('Renewable Diesel'!W180*'RD Feedstock Breakdown'!BM$3*'Feedstock Conversion Rates'!B$7)/12</f>
        <v>1.5333333333333332</v>
      </c>
      <c r="BN171" s="106">
        <f t="shared" si="112"/>
        <v>13.495000000000001</v>
      </c>
      <c r="BO171" s="104">
        <f>('Renewable Diesel'!P180*'Feedstock Conversion Rates'!B$4)/12</f>
        <v>31.25</v>
      </c>
      <c r="BP171" s="106">
        <f t="shared" si="102"/>
        <v>31.25</v>
      </c>
      <c r="BQ171" s="104">
        <f>('Renewable Diesel'!$S180*'RD Feedstock Breakdown'!BQ$3*'Feedstock Conversion Rates'!B$4)/12+10</f>
        <v>38.125</v>
      </c>
      <c r="BR171" s="104">
        <f>('Renewable Diesel'!$S180*'RD Feedstock Breakdown'!BR$3*'Feedstock Conversion Rates'!B$7)/12-10</f>
        <v>1.5</v>
      </c>
      <c r="BS171" s="106">
        <f t="shared" si="123"/>
        <v>39.625</v>
      </c>
      <c r="BT171" s="106"/>
      <c r="BU171" s="104">
        <f>('Renewable Diesel'!Y180*'Feedstock Conversion Rates'!B$7)/12</f>
        <v>2.6833333333333331</v>
      </c>
      <c r="BV171" s="106">
        <f t="shared" si="93"/>
        <v>2.6833333333333331</v>
      </c>
      <c r="BW171" s="104">
        <f>('Renewable Diesel'!$Z180*'RD Feedstock Breakdown'!BW$3*'Feedstock Conversion Rates'!$B$4)/12</f>
        <v>17.96875</v>
      </c>
      <c r="BX171" s="104">
        <f>('Renewable Diesel'!$Z180*'RD Feedstock Breakdown'!BX$3*'Feedstock Conversion Rates'!$B$5)/12</f>
        <v>1.8088541666666667</v>
      </c>
      <c r="BY171" s="104">
        <f>('Renewable Diesel'!$Z180*'RD Feedstock Breakdown'!BY$3*'Feedstock Conversion Rates'!$B$7)/12</f>
        <v>15.429166666666665</v>
      </c>
      <c r="BZ171" s="104">
        <f>('Renewable Diesel'!$Z180*'RD Feedstock Breakdown'!BZ$3*'Feedstock Conversion Rates'!$B$3)/12</f>
        <v>3.8381249999999998</v>
      </c>
      <c r="CA171" s="106">
        <f t="shared" si="127"/>
        <v>39.044895833333328</v>
      </c>
      <c r="CB171" s="104">
        <f>('Renewable Diesel'!AA180*'Feedstock Conversion Rates'!B$4)/12</f>
        <v>191.25</v>
      </c>
      <c r="CC171" s="106">
        <f t="shared" si="113"/>
        <v>191.25</v>
      </c>
      <c r="CD171" s="104">
        <f>('Renewable Diesel'!$AB180*'RD Feedstock Breakdown'!CD$3*'Feedstock Conversion Rates'!$B$6)/12-15</f>
        <v>17.830000000000005</v>
      </c>
      <c r="CE171" s="104">
        <f>('Renewable Diesel'!$AB180*'RD Feedstock Breakdown'!CE$3*'Feedstock Conversion Rates'!$B$4)/12+15</f>
        <v>26.25</v>
      </c>
      <c r="CF171" s="106">
        <f t="shared" si="108"/>
        <v>44.080000000000005</v>
      </c>
      <c r="CG171" s="104">
        <f>('Renewable Diesel'!AD180*'Feedstock Conversion Rates'!B$4)/12</f>
        <v>112.5</v>
      </c>
      <c r="CH171" s="106">
        <f t="shared" si="89"/>
        <v>112.5</v>
      </c>
      <c r="CI171" s="104">
        <f>('Renewable Diesel'!$AE180*'RD Feedstock Breakdown'!CI$3*'Feedstock Conversion Rates'!$B$5)/12</f>
        <v>0.34604166666666664</v>
      </c>
      <c r="CJ171" s="104">
        <f>('Renewable Diesel'!$AE180*'RD Feedstock Breakdown'!CJ$3*'Feedstock Conversion Rates'!$B$4)/12</f>
        <v>0.34375</v>
      </c>
      <c r="CK171" s="106">
        <f t="shared" si="103"/>
        <v>0.68979166666666658</v>
      </c>
      <c r="CL171" s="104">
        <f>(((CL$3*'Renewable Diesel'!$AF180)*'Feedstock Conversion Rates'!$B$3)/12)-37</f>
        <v>54.78125</v>
      </c>
      <c r="CM171" s="104">
        <f>(((CM$3*'Renewable Diesel'!$AF180)*'Feedstock Conversion Rates'!$B$6)/12)+37+40</f>
        <v>130.73958333333334</v>
      </c>
      <c r="CN171" s="104">
        <f>(((CN$3*'Renewable Diesel'!$AF180)*'Feedstock Conversion Rates'!$B$4)/12)-40</f>
        <v>2.96875</v>
      </c>
      <c r="CO171" s="106">
        <f t="shared" si="91"/>
        <v>188.48958333333334</v>
      </c>
      <c r="CP171" s="106"/>
      <c r="CQ171" s="106"/>
      <c r="CR171" s="106"/>
      <c r="CS171" s="106"/>
      <c r="CT171" s="104">
        <f>('Renewable Diesel'!AI180*'Feedstock Conversion Rates'!$B$4*'RD Feedstock Breakdown'!$CT$3)/12</f>
        <v>29.375</v>
      </c>
      <c r="CU171" s="106">
        <f t="shared" si="99"/>
        <v>29.375</v>
      </c>
      <c r="CV171" s="106"/>
      <c r="CW171" s="106"/>
      <c r="CX171" s="106"/>
      <c r="CY171" s="106"/>
      <c r="CZ171" s="106"/>
      <c r="DA171" s="106"/>
      <c r="DB171" s="106"/>
      <c r="DC171" s="106"/>
      <c r="DD171" s="106"/>
      <c r="DE171" s="106"/>
      <c r="DF171" s="106"/>
      <c r="DG171" s="106"/>
      <c r="DH171" s="106"/>
      <c r="DI171" s="106"/>
      <c r="DJ171" s="104">
        <f>('Renewable Diesel'!AT180*'Feedstock Conversion Rates'!$B$4*0.25)/12</f>
        <v>0</v>
      </c>
      <c r="DK171" s="104">
        <f>('Renewable Diesel'!$AT180*'RD Feedstock Breakdown'!DK$3*'Feedstock Conversion Rates'!$B$3)/12*0.5</f>
        <v>0</v>
      </c>
      <c r="DL171" s="104">
        <f>('Renewable Diesel'!$AT180*'RD Feedstock Breakdown'!$DL$3*'Feedstock Conversion Rates'!$B$6)/12</f>
        <v>0</v>
      </c>
      <c r="DM171" s="104">
        <f>('Renewable Diesel'!$AT180*'RD Feedstock Breakdown'!$DM$3*'Feedstock Conversion Rates'!$B$8)/12</f>
        <v>0</v>
      </c>
      <c r="DN171" s="106">
        <f t="shared" si="110"/>
        <v>0</v>
      </c>
      <c r="DP171" s="104">
        <f t="shared" si="73"/>
        <v>27.470249999999993</v>
      </c>
      <c r="DQ171" s="104">
        <f t="shared" si="74"/>
        <v>740.23464250000006</v>
      </c>
      <c r="DR171" s="104">
        <f t="shared" si="82"/>
        <v>1072.03125</v>
      </c>
      <c r="DS171" s="104">
        <f t="shared" si="100"/>
        <v>373.84447916666664</v>
      </c>
      <c r="DT171" s="104">
        <f t="shared" si="75"/>
        <v>330.0784000000001</v>
      </c>
      <c r="DU171" s="104">
        <f t="shared" si="76"/>
        <v>151.73526666666669</v>
      </c>
      <c r="DV171" s="104">
        <f t="shared" si="83"/>
        <v>21.182812500000001</v>
      </c>
      <c r="DW171" s="104">
        <f t="shared" si="77"/>
        <v>2.5</v>
      </c>
      <c r="DX171" s="106">
        <f t="shared" si="78"/>
        <v>2719.0771008333331</v>
      </c>
      <c r="DY171" s="109">
        <f t="shared" si="79"/>
        <v>-3.1263880373444408E-13</v>
      </c>
      <c r="EA171" s="110">
        <f t="shared" si="114"/>
        <v>1.0102784504191149E-2</v>
      </c>
      <c r="EB171" s="110">
        <f t="shared" si="114"/>
        <v>0.27223745964141127</v>
      </c>
      <c r="EC171" s="110">
        <f t="shared" si="114"/>
        <v>0.39426290989374579</v>
      </c>
      <c r="ED171" s="110">
        <f t="shared" si="114"/>
        <v>0.13748947356148603</v>
      </c>
      <c r="EE171" s="110">
        <f t="shared" si="114"/>
        <v>0.12139354191127529</v>
      </c>
      <c r="EF171" s="110">
        <f t="shared" si="114"/>
        <v>5.5803958858012301E-2</v>
      </c>
      <c r="EG171" s="111">
        <f t="shared" si="114"/>
        <v>7.790442019282192E-3</v>
      </c>
      <c r="EH171" s="111">
        <f t="shared" si="84"/>
        <v>9.194296105961132E-4</v>
      </c>
      <c r="EI171" s="110">
        <f t="shared" si="85"/>
        <v>0.9990805703894039</v>
      </c>
      <c r="EK171" s="112">
        <f>(EA171*'Renewable Diesel'!BF180*'Feedstock Conversion Rates'!B$2)+FB171</f>
        <v>26.608121167491277</v>
      </c>
      <c r="EL171" s="112">
        <f>(EB171*'Renewable Diesel'!BF180*'Feedstock Conversion Rates'!B$3)+FC171</f>
        <v>675.66993388341257</v>
      </c>
      <c r="EM171" s="112">
        <f>(EC171*'Renewable Diesel'!BF180*'Feedstock Conversion Rates'!B$4)+FD171</f>
        <v>916.22340302917462</v>
      </c>
      <c r="EN171" s="112">
        <f>(ED171*'Renewable Diesel'!BF180*'Feedstock Conversion Rates'!B$5)+FE171</f>
        <v>321.64040116534943</v>
      </c>
      <c r="EO171" s="112">
        <f>(EE171*'Renewable Diesel'!BF180*'Feedstock Conversion Rates'!B$6)+FF171</f>
        <v>352.81952898261238</v>
      </c>
      <c r="EP171" s="112">
        <f>(EF171*'Renewable Diesel'!BF180*'Feedstock Conversion Rates'!B$7)+FG171</f>
        <v>159.07686794774912</v>
      </c>
      <c r="EQ171" s="112">
        <f>(EG171*'Renewable Diesel'!BF180*'Feedstock Conversion Rates'!B$8)+FH171</f>
        <v>22.630157183476392</v>
      </c>
      <c r="ER171" s="112">
        <f>(EH171*'Renewable Diesel'!BF180*'Feedstock Conversion Rates'!B$9)+FI171</f>
        <v>2.6352050458789842</v>
      </c>
      <c r="ES171" s="112">
        <f t="shared" si="86"/>
        <v>2477.3036184051448</v>
      </c>
      <c r="ET171" s="91">
        <f>ES171/'Renewable Diesel'!BF180</f>
        <v>7.9951210320559021</v>
      </c>
      <c r="EW171" s="73">
        <f t="shared" si="124"/>
        <v>1237.8638041945242</v>
      </c>
      <c r="EX171" s="73">
        <f t="shared" si="125"/>
        <v>1239.4398142106211</v>
      </c>
      <c r="EY171" s="92">
        <f t="shared" si="71"/>
        <v>0.49968191020180419</v>
      </c>
      <c r="EZ171" s="92">
        <f t="shared" si="71"/>
        <v>0.50031808979819603</v>
      </c>
      <c r="FB171" s="102">
        <f>IF('Renewable Diesel'!$BG180&lt;1,0,(((('Renewable Diesel'!$BG180-1)*'Renewable Diesel'!$BF180)*'RD Feedstock Breakdown'!EA171)*'Feedstock Conversion Rates'!$B$2))</f>
        <v>0</v>
      </c>
      <c r="FC171" s="102">
        <f>IF('Renewable Diesel'!$BG180&lt;1,0,(((('Renewable Diesel'!$BG180-1)*'Renewable Diesel'!$BF180)*'RD Feedstock Breakdown'!EB171)*'Feedstock Conversion Rates'!$B$3))</f>
        <v>0</v>
      </c>
      <c r="FD171" s="102">
        <f>IF('Renewable Diesel'!$BG180&lt;1,0,(((('Renewable Diesel'!$BG180-1)*'Renewable Diesel'!$BF180)*'RD Feedstock Breakdown'!EC171)*'Feedstock Conversion Rates'!$B$4))</f>
        <v>0</v>
      </c>
      <c r="FE171" s="102">
        <f>IF('Renewable Diesel'!$BG180&lt;1,0,(((('Renewable Diesel'!$BG180-1)*'Renewable Diesel'!$BF180)*'RD Feedstock Breakdown'!ED171)*'Feedstock Conversion Rates'!$B$5))</f>
        <v>0</v>
      </c>
      <c r="FF171" s="102">
        <f>IF('Renewable Diesel'!$BG180&lt;1,0,(((('Renewable Diesel'!$BG180-1)*'Renewable Diesel'!$BF180)*'RD Feedstock Breakdown'!EE171)*'Feedstock Conversion Rates'!$B$6))</f>
        <v>0</v>
      </c>
      <c r="FG171" s="102">
        <f>IF('Renewable Diesel'!$BG180&lt;1,0,(((('Renewable Diesel'!$BG180-1)*'Renewable Diesel'!$BF180)*'RD Feedstock Breakdown'!EF171)*'Feedstock Conversion Rates'!$B$7))</f>
        <v>0</v>
      </c>
      <c r="FH171" s="102">
        <f>IF('Renewable Diesel'!$BG180&lt;1,0,(((('Renewable Diesel'!$BG180-1)*'Renewable Diesel'!$BF180)*'RD Feedstock Breakdown'!EG171)*'Feedstock Conversion Rates'!$B$8))</f>
        <v>0</v>
      </c>
      <c r="FI171" s="102">
        <f>IF('Renewable Diesel'!$BG180&lt;1,0,(((('Renewable Diesel'!$BG180-1)*'Renewable Diesel'!$BF180)*'RD Feedstock Breakdown'!EH171)*'Feedstock Conversion Rates'!$B$9))</f>
        <v>0</v>
      </c>
      <c r="FJ171" s="102">
        <f t="shared" si="126"/>
        <v>0</v>
      </c>
      <c r="FL171" s="3">
        <f>('Renewable Diesel'!AX180/12*$FO$80)*'RD Feedstock Breakdown'!EC171*7.5</f>
        <v>1046.3244799942645</v>
      </c>
      <c r="FM171" s="3">
        <f t="shared" si="96"/>
        <v>130.10107696508987</v>
      </c>
      <c r="FR171" s="3">
        <f>('Renewable Diesel'!AX180-'Renewable Diesel'!BI180)/12*$FO$80</f>
        <v>53.819999999999993</v>
      </c>
      <c r="FS171" s="100">
        <f t="shared" si="97"/>
        <v>0.39426290989374579</v>
      </c>
      <c r="FT171" s="3">
        <f t="shared" si="98"/>
        <v>159.14422357861045</v>
      </c>
      <c r="FY171" s="3">
        <f>'Renewable Diesel'!BF180*('Renewable Diesel'!BI180/'Renewable Diesel'!AX180)</f>
        <v>262.72395692428995</v>
      </c>
      <c r="FZ171" s="3">
        <f>('Renewable Diesel'!BJ180*'Renewable Diesel'!BG180)/12</f>
        <v>47.782520146206018</v>
      </c>
      <c r="GA171" s="3">
        <f t="shared" si="105"/>
        <v>141.29156576174788</v>
      </c>
      <c r="GD171" s="91">
        <f>'Renewable Diesel'!BB180*0.32</f>
        <v>17.090405760000003</v>
      </c>
      <c r="GE171" s="91">
        <f>'Renewable Diesel'!BC180</f>
        <v>2.1610939999999998</v>
      </c>
      <c r="GF171" s="91">
        <f>'Renewable Diesel'!BD180</f>
        <v>0</v>
      </c>
      <c r="GG171" s="91">
        <f t="shared" si="109"/>
        <v>2.1610939999999998</v>
      </c>
      <c r="GH171" s="124">
        <v>1</v>
      </c>
      <c r="GI171" s="102">
        <f>$GG171*EA171*'Feedstock Conversion Rates'!$B$2</f>
        <v>0.18558106929005397</v>
      </c>
      <c r="GJ171" s="102">
        <f>$GG171*EB171*'Feedstock Conversion Rates'!$B$3</f>
        <v>4.7125292322564309</v>
      </c>
      <c r="GK171" s="102">
        <f>$GG171*EC171*'Feedstock Conversion Rates'!$B$4</f>
        <v>6.3902940674543594</v>
      </c>
      <c r="GL171" s="102">
        <f>$GG171*ED171*'Feedstock Conversion Rates'!$B$5</f>
        <v>2.24331395664549</v>
      </c>
      <c r="GM171" s="102">
        <f>$GG171*EE171*'Feedstock Conversion Rates'!$B$6</f>
        <v>2.4607759804928682</v>
      </c>
      <c r="GN171" s="102">
        <f>$GG171*EF171*'Feedstock Conversion Rates'!$B$7</f>
        <v>1.1094979261115343</v>
      </c>
      <c r="GO171" s="102">
        <f>$GG171*EG171*'Feedstock Conversion Rates'!$B$8</f>
        <v>0.15783635161142465</v>
      </c>
      <c r="GP171" s="102">
        <f>$GG171*EH171*'Feedstock Conversion Rates'!B$9</f>
        <v>1.8379507787654768E-2</v>
      </c>
      <c r="GQ171" s="102">
        <f t="shared" si="87"/>
        <v>17.278208091649816</v>
      </c>
      <c r="GR171" s="85">
        <f t="shared" si="107"/>
        <v>7.9951210320559021</v>
      </c>
      <c r="GT171" s="103">
        <f t="shared" si="111"/>
        <v>1.0740759013068099E-2</v>
      </c>
      <c r="GU171" s="103">
        <f t="shared" si="111"/>
        <v>0.27274409517812753</v>
      </c>
      <c r="GV171" s="103">
        <f t="shared" si="111"/>
        <v>0.36984703700510757</v>
      </c>
      <c r="GW171" s="103">
        <f t="shared" si="111"/>
        <v>0.12983487319669651</v>
      </c>
      <c r="GX171" s="103">
        <f t="shared" si="111"/>
        <v>0.142420786197274</v>
      </c>
      <c r="GY171" s="103">
        <f t="shared" si="111"/>
        <v>6.4213714768705132E-2</v>
      </c>
      <c r="GZ171" s="103">
        <f t="shared" si="111"/>
        <v>9.1349954100682206E-3</v>
      </c>
      <c r="HA171" s="103">
        <f t="shared" si="111"/>
        <v>1.0637392309528432E-3</v>
      </c>
    </row>
    <row r="172" spans="1:209" x14ac:dyDescent="0.25">
      <c r="A172" s="96">
        <v>45658</v>
      </c>
      <c r="B172" s="104">
        <f>23-20+10+85-5-4-4-1.25+2.25-5+15-6-25-45+65+15-22.5-50+40+16.5+27.5+168+80+14-30+15-50-19+22.5-10+5+11-25-50-12.5-27.5-10+10+2+4-1.5+12-26-15-50-15+10-32.5-3-5-2.5-1+5+10-50-35-9-0.5+25+15+25+20+15+85-25+12.5-52.5+10+20-150+20-20+55-25-25-5+40-40+100+50-100</f>
        <v>50</v>
      </c>
      <c r="C172" s="104">
        <f>40-10-2.5-27.5+25+25+25-70+120-15-100-10+40-25+20+100</f>
        <v>135</v>
      </c>
      <c r="D172" s="104">
        <f t="shared" si="95"/>
        <v>1.5</v>
      </c>
      <c r="E172" s="104">
        <f>('Renewable Diesel'!B181*E$3*'Feedstock Conversion Rates'!$B$2)/12-40+1.25+6-43+30-15+12.5-4+1.5+26+2.5+3-10+50+9-15-25-55+15+45+10-50-25-20</f>
        <v>-0.32000000000000739</v>
      </c>
      <c r="F172" s="104">
        <f>('Renewable Diesel'!B181*'RD Feedstock Breakdown'!F$3*'Feedstock Conversion Rates'!B$8)/12+28.5-49-5+2-6+1+6+20-20-3.75+10+2.5+5-20-20</f>
        <v>5.15625</v>
      </c>
      <c r="G172" s="104">
        <f>('Renewable Diesel'!B181*'RD Feedstock Breakdown'!G$3*'Feedstock Conversion Rates'!B$7)/12-25-15-25+4+4-20-40-20+10-17.5+20+50-12+32.5+35-75-75+22.5+5-20+15+125-10-45-10-40-40</f>
        <v>9.6570000000000107</v>
      </c>
      <c r="H172" s="104">
        <f>('Renewable Diesel'!B181*'RD Feedstock Breakdown'!H$3*'Feedstock Conversion Rates'!B$3)/12-85+4-15+70-65-80+50-22.5-5+25+27.5+15+50+15-10+5+50+75-5-25-85-12.5+30+22.5-25-30+150+90-120+25+10+40+50+50-100-50</f>
        <v>295.40022499999998</v>
      </c>
      <c r="I172" s="106">
        <f t="shared" si="106"/>
        <v>496.39347499999997</v>
      </c>
      <c r="J172" s="104">
        <f t="shared" si="128"/>
        <v>5</v>
      </c>
      <c r="K172" s="104">
        <f t="shared" si="129"/>
        <v>5</v>
      </c>
      <c r="L172" s="104">
        <v>1</v>
      </c>
      <c r="M172" s="104">
        <f>('Renewable Diesel'!C181*'RD Feedstock Breakdown'!M$3*'Feedstock Conversion Rates'!B$2)/12</f>
        <v>7.7902500000000003</v>
      </c>
      <c r="N172" s="104">
        <f>('Renewable Diesel'!C181*'RD Feedstock Breakdown'!N$3*'Feedstock Conversion Rates'!B$8)/12</f>
        <v>3.671875</v>
      </c>
      <c r="O172" s="104">
        <f>('Renewable Diesel'!C181*'RD Feedstock Breakdown'!O$3*'Feedstock Conversion Rates'!B$7)/12</f>
        <v>11.9991</v>
      </c>
      <c r="P172" s="104">
        <f>('Renewable Diesel'!C181*'RD Feedstock Breakdown'!P$3*'Feedstock Conversion Rates'!B$3)/12</f>
        <v>10.4470425</v>
      </c>
      <c r="Q172" s="106">
        <f t="shared" si="119"/>
        <v>44.908267500000001</v>
      </c>
      <c r="R172" s="104">
        <f>('Renewable Diesel'!D181*'RD Feedstock Breakdown'!R$3*'Feedstock Conversion Rates'!B$7)/12</f>
        <v>2.2999999999999998</v>
      </c>
      <c r="S172" s="106">
        <f t="shared" si="67"/>
        <v>2.2999999999999998</v>
      </c>
      <c r="T172" s="104">
        <f>5.825+20-25+10+4-10</f>
        <v>4.8249999999999993</v>
      </c>
      <c r="U172" s="104">
        <v>0</v>
      </c>
      <c r="V172" s="104">
        <f>('Renewable Diesel'!E181*'RD Feedstock Breakdown'!V$3*'Feedstock Conversion Rates'!B$6)/12-5+10</f>
        <v>49.250150000000012</v>
      </c>
      <c r="W172" s="104">
        <f>('Renewable Diesel'!E181*'RD Feedstock Breakdown'!W$3*'Feedstock Conversion Rates'!B$8)/12-5.825-4</f>
        <v>12.354687500000001</v>
      </c>
      <c r="X172" s="106">
        <f t="shared" si="88"/>
        <v>66.429837500000005</v>
      </c>
      <c r="Y172" s="104">
        <f t="shared" si="130"/>
        <v>35.5</v>
      </c>
      <c r="Z172" s="104">
        <f>('Renewable Diesel'!F181*'RD Feedstock Breakdown'!Z$3*'Feedstock Conversion Rates'!B$6)/12-50-32-60+15+25+32.5-50-5+10-25+15+5+50</f>
        <v>89.960000000000008</v>
      </c>
      <c r="AA172" s="104">
        <f>('Renewable Diesel'!F181*'RD Feedstock Breakdown'!AA$3*'Feedstock Conversion Rates'!B$7)/12+80-171+75+70-20</f>
        <v>138.26666666666665</v>
      </c>
      <c r="AB172" s="106">
        <f t="shared" si="62"/>
        <v>263.72666666666669</v>
      </c>
      <c r="AC172" s="104">
        <f>('Renewable Diesel'!G181*'RD Feedstock Breakdown'!AC$3*'Feedstock Conversion Rates'!B$5)/12</f>
        <v>7.864583333333333</v>
      </c>
      <c r="AD172" s="104">
        <f>('Renewable Diesel'!G181*'RD Feedstock Breakdown'!AD$3*'Feedstock Conversion Rates'!B$4)/12</f>
        <v>3.90625</v>
      </c>
      <c r="AE172" s="104">
        <f>('Renewable Diesel'!G181*'RD Feedstock Breakdown'!AE$3*'Feedstock Conversion Rates'!B$6)/12</f>
        <v>4.885416666666667</v>
      </c>
      <c r="AF172" s="106">
        <f t="shared" si="101"/>
        <v>16.65625</v>
      </c>
      <c r="AG172" s="104">
        <f t="shared" si="131"/>
        <v>39</v>
      </c>
      <c r="AH172" s="104">
        <v>0</v>
      </c>
      <c r="AI172" s="104">
        <f>('Renewable Diesel'!H181*'RD Feedstock Breakdown'!AI$3*'Feedstock Conversion Rates'!B$6)/12-130-20+51+5-100-25+100-10-25+15+22.5-22.5+100</f>
        <v>109.51666666666668</v>
      </c>
      <c r="AJ172" s="106">
        <f t="shared" si="65"/>
        <v>148.51666666666668</v>
      </c>
      <c r="AK172" s="104">
        <f>('Renewable Diesel'!J181*'RD Feedstock Breakdown'!AK$3*'Feedstock Conversion Rates'!B$4)/12</f>
        <v>95.8125</v>
      </c>
      <c r="AL172" s="106">
        <f t="shared" si="68"/>
        <v>95.8125</v>
      </c>
      <c r="AM172" s="104">
        <f>('Renewable Diesel'!K181*'RD Feedstock Breakdown'!AM$3*'Feedstock Conversion Rates'!B$4)/12+5+15-10+10-30</f>
        <v>48.59375</v>
      </c>
      <c r="AN172" s="104">
        <f>('Renewable Diesel'!K181*'RD Feedstock Breakdown'!AN$3*'Feedstock Conversion Rates'!B$6)/12-5-15+10-10+30</f>
        <v>34.427083333333329</v>
      </c>
      <c r="AO172" s="106">
        <f t="shared" si="81"/>
        <v>83.020833333333329</v>
      </c>
      <c r="AP172" s="104">
        <f>('Renewable Diesel'!L181*'RD Feedstock Breakdown'!AP$3*'Feedstock Conversion Rates'!B$4)/12+15-10-5+10+5+5</f>
        <v>78.59375</v>
      </c>
      <c r="AQ172" s="104">
        <f>('Renewable Diesel'!L181*'RD Feedstock Breakdown'!AQ$3*'Feedstock Conversion Rates'!B$6)/12-15+10+5-10-5-5</f>
        <v>4.4270833333333321</v>
      </c>
      <c r="AR172" s="106">
        <f t="shared" si="70"/>
        <v>83.020833333333329</v>
      </c>
      <c r="AS172" s="104">
        <f>('Renewable Diesel'!M181*'RD Feedstock Breakdown'!AS$3*'Feedstock Conversion Rates'!B$4)/12-150</f>
        <v>306.25</v>
      </c>
      <c r="AT172" s="104">
        <f>('Renewable Diesel'!M181*'RD Feedstock Breakdown'!AT$3*'Feedstock Conversion Rates'!B$5)/12+150</f>
        <v>150</v>
      </c>
      <c r="AU172" s="106">
        <f t="shared" si="104"/>
        <v>456.25</v>
      </c>
      <c r="AV172" s="104">
        <f>'Renewable Diesel'!N181*'RD Feedstock Breakdown'!$AV$3*'Feedstock Conversion Rates'!$B$4/12-15-10+25+25-22+22.5</f>
        <v>104.24999999999999</v>
      </c>
      <c r="AW172" s="104">
        <f>'Renewable Diesel'!N181*'RD Feedstock Breakdown'!$AW$3*'Feedstock Conversion Rates'!$B$7/12+15+10-25-25+22-22.5</f>
        <v>15.900000000000006</v>
      </c>
      <c r="AX172" s="106">
        <f t="shared" si="63"/>
        <v>120.14999999999999</v>
      </c>
      <c r="AY172" s="104">
        <f>('Renewable Diesel'!O181*'RD Feedstock Breakdown'!AY$3*'Feedstock Conversion Rates'!B$4)/12+34-100-282</f>
        <v>-137.0625</v>
      </c>
      <c r="AZ172" s="104">
        <f>('Renewable Diesel'!O181*'RD Feedstock Breakdown'!AZ$3*'Feedstock Conversion Rates'!B$3)/12-34+100+282</f>
        <v>373.03125</v>
      </c>
      <c r="BA172" s="106">
        <f t="shared" si="120"/>
        <v>235.96875</v>
      </c>
      <c r="BB172" s="104">
        <f>('Renewable Diesel'!Q181*'RD Feedstock Breakdown'!BB$3*'Feedstock Conversion Rates'!B$4)/12</f>
        <v>11.156249999999998</v>
      </c>
      <c r="BC172" s="104">
        <f>('Renewable Diesel'!Q181*'RD Feedstock Breakdown'!BC$3*'Feedstock Conversion Rates'!B$3)/12</f>
        <v>1.4017500000000001</v>
      </c>
      <c r="BD172" s="104">
        <f>('Renewable Diesel'!Q181*'RD Feedstock Breakdown'!BD$3*'Feedstock Conversion Rates'!B$6)/12</f>
        <v>0.8207500000000002</v>
      </c>
      <c r="BE172" s="106">
        <f t="shared" si="90"/>
        <v>13.378749999999998</v>
      </c>
      <c r="BF172" s="104">
        <f>('Renewable Diesel'!R181*'RD Feedstock Breakdown'!BF$3*'Feedstock Conversion Rates'!B$4)/12</f>
        <v>62.5</v>
      </c>
      <c r="BG172" s="106">
        <f t="shared" si="72"/>
        <v>62.5</v>
      </c>
      <c r="BH172" s="104">
        <f>('Renewable Diesel'!T181*'RD Feedstock Breakdown'!BH$3*'Feedstock Conversion Rates'!B$7)/12</f>
        <v>27.599999999999998</v>
      </c>
      <c r="BI172" s="106">
        <f t="shared" si="64"/>
        <v>27.599999999999998</v>
      </c>
      <c r="BJ172" s="104">
        <f>('Renewable Diesel'!W181*'RD Feedstock Breakdown'!BJ$3*'Feedstock Conversion Rates'!B$4)/12</f>
        <v>7.5</v>
      </c>
      <c r="BK172" s="104">
        <f>('Renewable Diesel'!W181*'RD Feedstock Breakdown'!BK$3*'Feedstock Conversion Rates'!B$3)/12</f>
        <v>1.335</v>
      </c>
      <c r="BL172" s="104">
        <f>('Renewable Diesel'!W181*'RD Feedstock Breakdown'!BL$3*'Feedstock Conversion Rates'!B$6)/12</f>
        <v>3.1266666666666669</v>
      </c>
      <c r="BM172" s="104">
        <f>('Renewable Diesel'!W181*'RD Feedstock Breakdown'!BM$3*'Feedstock Conversion Rates'!B$7)/12</f>
        <v>1.5333333333333332</v>
      </c>
      <c r="BN172" s="106">
        <f t="shared" si="112"/>
        <v>13.495000000000001</v>
      </c>
      <c r="BO172" s="104">
        <f>('Renewable Diesel'!P181*'Feedstock Conversion Rates'!B$4)/12</f>
        <v>31.25</v>
      </c>
      <c r="BP172" s="106">
        <f t="shared" si="102"/>
        <v>31.25</v>
      </c>
      <c r="BQ172" s="104">
        <f>('Renewable Diesel'!$S181*'RD Feedstock Breakdown'!BQ$3*'Feedstock Conversion Rates'!B$4)/12+10</f>
        <v>38.125</v>
      </c>
      <c r="BR172" s="104">
        <f>('Renewable Diesel'!$S181*'RD Feedstock Breakdown'!BR$3*'Feedstock Conversion Rates'!B$7)/12-10</f>
        <v>1.5</v>
      </c>
      <c r="BS172" s="106">
        <f t="shared" si="123"/>
        <v>39.625</v>
      </c>
      <c r="BT172" s="106"/>
      <c r="BU172" s="104">
        <f>('Renewable Diesel'!Y181*'Feedstock Conversion Rates'!B$7)/12</f>
        <v>2.6833333333333331</v>
      </c>
      <c r="BV172" s="106">
        <f t="shared" si="93"/>
        <v>2.6833333333333331</v>
      </c>
      <c r="BW172" s="104">
        <f>('Renewable Diesel'!$Z181*'RD Feedstock Breakdown'!BW$3*'Feedstock Conversion Rates'!$B$4)/12</f>
        <v>17.96875</v>
      </c>
      <c r="BX172" s="104">
        <f>('Renewable Diesel'!$Z181*'RD Feedstock Breakdown'!BX$3*'Feedstock Conversion Rates'!$B$5)/12</f>
        <v>1.8088541666666667</v>
      </c>
      <c r="BY172" s="104">
        <f>('Renewable Diesel'!$Z181*'RD Feedstock Breakdown'!BY$3*'Feedstock Conversion Rates'!$B$7)/12</f>
        <v>15.429166666666665</v>
      </c>
      <c r="BZ172" s="104">
        <f>('Renewable Diesel'!$Z181*'RD Feedstock Breakdown'!BZ$3*'Feedstock Conversion Rates'!$B$3)/12</f>
        <v>3.8381249999999998</v>
      </c>
      <c r="CA172" s="106">
        <f t="shared" si="127"/>
        <v>39.044895833333328</v>
      </c>
      <c r="CB172" s="104">
        <f>('Renewable Diesel'!AA181*'Feedstock Conversion Rates'!B$4)/12</f>
        <v>191.25</v>
      </c>
      <c r="CC172" s="106">
        <f t="shared" si="113"/>
        <v>191.25</v>
      </c>
      <c r="CD172" s="104">
        <f>('Renewable Diesel'!$AB181*'RD Feedstock Breakdown'!CD$3*'Feedstock Conversion Rates'!$B$6)/12-15</f>
        <v>17.830000000000005</v>
      </c>
      <c r="CE172" s="104">
        <f>('Renewable Diesel'!$AB181*'RD Feedstock Breakdown'!CE$3*'Feedstock Conversion Rates'!$B$4)/12+15</f>
        <v>26.25</v>
      </c>
      <c r="CF172" s="106">
        <f t="shared" si="108"/>
        <v>44.080000000000005</v>
      </c>
      <c r="CG172" s="104">
        <f>('Renewable Diesel'!AD181*'Feedstock Conversion Rates'!B$4)/12</f>
        <v>112.5</v>
      </c>
      <c r="CH172" s="106">
        <f t="shared" si="89"/>
        <v>112.5</v>
      </c>
      <c r="CI172" s="104">
        <f>('Renewable Diesel'!$AE181*'RD Feedstock Breakdown'!CI$3*'Feedstock Conversion Rates'!$B$5)/12</f>
        <v>0.34604166666666664</v>
      </c>
      <c r="CJ172" s="104">
        <f>('Renewable Diesel'!$AE181*'RD Feedstock Breakdown'!CJ$3*'Feedstock Conversion Rates'!$B$4)/12</f>
        <v>0.34375</v>
      </c>
      <c r="CK172" s="106">
        <f t="shared" si="103"/>
        <v>0.68979166666666658</v>
      </c>
      <c r="CL172" s="104">
        <f>(((CL$3*'Renewable Diesel'!$AF181)*'Feedstock Conversion Rates'!$B$3)/12)-37</f>
        <v>54.78125</v>
      </c>
      <c r="CM172" s="104">
        <f>(((CM$3*'Renewable Diesel'!$AF181)*'Feedstock Conversion Rates'!$B$6)/12)+37+40</f>
        <v>130.73958333333334</v>
      </c>
      <c r="CN172" s="104">
        <f>(((CN$3*'Renewable Diesel'!$AF181)*'Feedstock Conversion Rates'!$B$4)/12)-40</f>
        <v>2.96875</v>
      </c>
      <c r="CO172" s="106">
        <f t="shared" si="91"/>
        <v>188.48958333333334</v>
      </c>
      <c r="CP172" s="106"/>
      <c r="CQ172" s="106"/>
      <c r="CR172" s="106"/>
      <c r="CS172" s="106"/>
      <c r="CT172" s="104">
        <f>('Renewable Diesel'!AI181*'Feedstock Conversion Rates'!$B$4*'RD Feedstock Breakdown'!$CT$3)/12</f>
        <v>29.375</v>
      </c>
      <c r="CU172" s="106">
        <f t="shared" si="99"/>
        <v>29.375</v>
      </c>
      <c r="CV172" s="106"/>
      <c r="CW172" s="106"/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4">
        <f>('Renewable Diesel'!AT181*'Feedstock Conversion Rates'!$B$4*0.25)/12</f>
        <v>0</v>
      </c>
      <c r="DK172" s="104">
        <f>('Renewable Diesel'!$AT181*'RD Feedstock Breakdown'!DK$3*'Feedstock Conversion Rates'!$B$3)/12*0.5</f>
        <v>0</v>
      </c>
      <c r="DL172" s="104">
        <f>('Renewable Diesel'!$AT181*'RD Feedstock Breakdown'!$DL$3*'Feedstock Conversion Rates'!$B$6)/12</f>
        <v>0</v>
      </c>
      <c r="DM172" s="104">
        <f>('Renewable Diesel'!$AT181*'RD Feedstock Breakdown'!$DM$3*'Feedstock Conversion Rates'!$B$8)/12</f>
        <v>0</v>
      </c>
      <c r="DN172" s="106">
        <f t="shared" si="110"/>
        <v>0</v>
      </c>
      <c r="DP172" s="104">
        <f t="shared" si="73"/>
        <v>7.470249999999993</v>
      </c>
      <c r="DQ172" s="104">
        <f t="shared" si="74"/>
        <v>740.23464250000006</v>
      </c>
      <c r="DR172" s="104">
        <f t="shared" si="82"/>
        <v>1122.03125</v>
      </c>
      <c r="DS172" s="104">
        <f t="shared" si="100"/>
        <v>343.8444791666667</v>
      </c>
      <c r="DT172" s="104">
        <f t="shared" si="75"/>
        <v>444.98339999999996</v>
      </c>
      <c r="DU172" s="104">
        <f t="shared" si="76"/>
        <v>226.86860000000001</v>
      </c>
      <c r="DV172" s="104">
        <f t="shared" si="83"/>
        <v>21.182812500000001</v>
      </c>
      <c r="DW172" s="104">
        <f t="shared" si="77"/>
        <v>2.5</v>
      </c>
      <c r="DX172" s="106">
        <f t="shared" si="78"/>
        <v>2909.115434166667</v>
      </c>
      <c r="DY172" s="109">
        <f t="shared" si="79"/>
        <v>-9.9475983006414026E-13</v>
      </c>
      <c r="EA172" s="110">
        <f t="shared" si="114"/>
        <v>2.5678767890281017E-3</v>
      </c>
      <c r="EB172" s="110">
        <f t="shared" si="114"/>
        <v>0.25445351319035731</v>
      </c>
      <c r="EC172" s="110">
        <f t="shared" si="114"/>
        <v>0.38569499058789064</v>
      </c>
      <c r="ED172" s="110">
        <f t="shared" si="114"/>
        <v>0.11819554326662976</v>
      </c>
      <c r="EE172" s="110">
        <f t="shared" si="114"/>
        <v>0.15296175420672781</v>
      </c>
      <c r="EF172" s="110">
        <f t="shared" si="114"/>
        <v>7.7985423794290867E-2</v>
      </c>
      <c r="EG172" s="110">
        <f t="shared" si="114"/>
        <v>7.2815304099708026E-3</v>
      </c>
      <c r="EH172" s="111">
        <f t="shared" si="84"/>
        <v>8.5936775510461641E-4</v>
      </c>
      <c r="EI172" s="110">
        <f t="shared" si="85"/>
        <v>0.99914063224489524</v>
      </c>
      <c r="EK172" s="112">
        <f>(EA172*'Renewable Diesel'!BF181*'Feedstock Conversion Rates'!B$2)+FB172</f>
        <v>4.8112412136037239</v>
      </c>
      <c r="EL172" s="112">
        <f>(EB172*'Renewable Diesel'!BF181*'Feedstock Conversion Rates'!B$3)+FC172</f>
        <v>449.26748781244999</v>
      </c>
      <c r="EM172" s="112">
        <f>(EC172*'Renewable Diesel'!BF181*'Feedstock Conversion Rates'!B$4)+FD172</f>
        <v>637.63079741224226</v>
      </c>
      <c r="EN172" s="112">
        <f>(ED172*'Renewable Diesel'!BF181*'Feedstock Conversion Rates'!B$5)+FE172</f>
        <v>196.70349493363133</v>
      </c>
      <c r="EO172" s="112">
        <f>(EE172*'Renewable Diesel'!BF181*'Feedstock Conversion Rates'!B$6)+FF172</f>
        <v>316.26396944674957</v>
      </c>
      <c r="EP172" s="112">
        <f>(EF172*'Renewable Diesel'!BF181*'Feedstock Conversion Rates'!B$7)+FG172</f>
        <v>158.14857660424352</v>
      </c>
      <c r="EQ172" s="112">
        <f>(EG172*'Renewable Diesel'!BF181*'Feedstock Conversion Rates'!B$8)+FH172</f>
        <v>15.04727879215598</v>
      </c>
      <c r="ER172" s="112">
        <f>(EH172*'Renewable Diesel'!BF181*'Feedstock Conversion Rates'!B$9)+FI172</f>
        <v>1.7522045772085939</v>
      </c>
      <c r="ES172" s="112">
        <f t="shared" si="86"/>
        <v>1779.6250507922853</v>
      </c>
      <c r="ET172" s="91">
        <f>ES172/'Renewable Diesel'!BF181</f>
        <v>8.0735490271285144</v>
      </c>
      <c r="EW172" s="73">
        <f t="shared" si="124"/>
        <v>834.33429234587356</v>
      </c>
      <c r="EX172" s="73">
        <f t="shared" si="125"/>
        <v>945.29075844641125</v>
      </c>
      <c r="EY172" s="92">
        <f t="shared" si="71"/>
        <v>0.46882588665203928</v>
      </c>
      <c r="EZ172" s="92">
        <f t="shared" si="71"/>
        <v>0.5311741133479605</v>
      </c>
      <c r="FB172" s="102">
        <f>IF('Renewable Diesel'!$BG181&lt;1,0,(((('Renewable Diesel'!$BG181-1)*'Renewable Diesel'!$BF181)*'RD Feedstock Breakdown'!EA172)*'Feedstock Conversion Rates'!$B$2))</f>
        <v>0</v>
      </c>
      <c r="FC172" s="102">
        <f>IF('Renewable Diesel'!$BG181&lt;1,0,(((('Renewable Diesel'!$BG181-1)*'Renewable Diesel'!$BF181)*'RD Feedstock Breakdown'!EB172)*'Feedstock Conversion Rates'!$B$3))</f>
        <v>0</v>
      </c>
      <c r="FD172" s="102">
        <f>IF('Renewable Diesel'!$BG181&lt;1,0,(((('Renewable Diesel'!$BG181-1)*'Renewable Diesel'!$BF181)*'RD Feedstock Breakdown'!EC172)*'Feedstock Conversion Rates'!$B$4))</f>
        <v>0</v>
      </c>
      <c r="FE172" s="102">
        <f>IF('Renewable Diesel'!$BG181&lt;1,0,(((('Renewable Diesel'!$BG181-1)*'Renewable Diesel'!$BF181)*'RD Feedstock Breakdown'!ED172)*'Feedstock Conversion Rates'!$B$5))</f>
        <v>0</v>
      </c>
      <c r="FF172" s="102">
        <f>IF('Renewable Diesel'!$BG181&lt;1,0,(((('Renewable Diesel'!$BG181-1)*'Renewable Diesel'!$BF181)*'RD Feedstock Breakdown'!EE172)*'Feedstock Conversion Rates'!$B$6))</f>
        <v>0</v>
      </c>
      <c r="FG172" s="102">
        <f>IF('Renewable Diesel'!$BG181&lt;1,0,(((('Renewable Diesel'!$BG181-1)*'Renewable Diesel'!$BF181)*'RD Feedstock Breakdown'!EF172)*'Feedstock Conversion Rates'!$B$7))</f>
        <v>0</v>
      </c>
      <c r="FH172" s="102">
        <f>IF('Renewable Diesel'!$BG181&lt;1,0,(((('Renewable Diesel'!$BG181-1)*'Renewable Diesel'!$BF181)*'RD Feedstock Breakdown'!EG172)*'Feedstock Conversion Rates'!$B$8))</f>
        <v>0</v>
      </c>
      <c r="FI172" s="102">
        <f>IF('Renewable Diesel'!$BG181&lt;1,0,(((('Renewable Diesel'!$BG181-1)*'Renewable Diesel'!$BF181)*'RD Feedstock Breakdown'!EH172)*'Feedstock Conversion Rates'!$B$9))</f>
        <v>0</v>
      </c>
      <c r="FJ172" s="102">
        <f t="shared" si="126"/>
        <v>0</v>
      </c>
      <c r="FL172" s="3">
        <f>('Renewable Diesel'!AX181/12*$FO$80)*'RD Feedstock Breakdown'!EC172*7.5</f>
        <v>993.6467195020532</v>
      </c>
      <c r="FM172" s="3">
        <f t="shared" si="96"/>
        <v>356.01592208981094</v>
      </c>
      <c r="FR172" s="3">
        <f>('Renewable Diesel'!AX181-'Renewable Diesel'!BI181)/12*$FO$80</f>
        <v>20.407500000000027</v>
      </c>
      <c r="FS172" s="100">
        <f t="shared" si="97"/>
        <v>0.38569499058789064</v>
      </c>
      <c r="FT172" s="3">
        <f t="shared" si="98"/>
        <v>59.033028903167917</v>
      </c>
      <c r="FY172" s="3">
        <f>'Renewable Diesel'!BF181*('Renewable Diesel'!BI181/'Renewable Diesel'!AX181)</f>
        <v>207.33096015871175</v>
      </c>
      <c r="FZ172" s="3">
        <f>('Renewable Diesel'!BJ181*'Renewable Diesel'!BG181)/12</f>
        <v>12.849227303952157</v>
      </c>
      <c r="GA172" s="3">
        <f t="shared" si="105"/>
        <v>37.16911953044621</v>
      </c>
      <c r="GD172" s="91">
        <f>'Renewable Diesel'!BB181*0.32</f>
        <v>11.54187904</v>
      </c>
      <c r="GE172" s="91">
        <f>'Renewable Diesel'!BC181</f>
        <v>8.4753439999999998</v>
      </c>
      <c r="GF172" s="91">
        <f>'Renewable Diesel'!BD181</f>
        <v>0</v>
      </c>
      <c r="GG172" s="91">
        <f t="shared" si="109"/>
        <v>8.4753439999999998</v>
      </c>
      <c r="GH172" s="124">
        <v>1</v>
      </c>
      <c r="GI172" s="102">
        <f>$GG172*EA172*'Feedstock Conversion Rates'!$B$2</f>
        <v>0.184990932661343</v>
      </c>
      <c r="GJ172" s="102">
        <f>$GG172*EB172*'Feedstock Conversion Rates'!$B$3</f>
        <v>17.274214260937494</v>
      </c>
      <c r="GK172" s="102">
        <f>$GG172*EC172*'Feedstock Conversion Rates'!$B$4</f>
        <v>24.516732932318515</v>
      </c>
      <c r="GL172" s="102">
        <f>$GG172*ED172*'Feedstock Conversion Rates'!$B$5</f>
        <v>7.5631965578093601</v>
      </c>
      <c r="GM172" s="102">
        <f>$GG172*EE172*'Feedstock Conversion Rates'!$B$6</f>
        <v>12.160264696292463</v>
      </c>
      <c r="GN172" s="102">
        <f>$GG172*EF172*'Feedstock Conversion Rates'!$B$7</f>
        <v>6.080770301510082</v>
      </c>
      <c r="GO172" s="102">
        <f>$GG172*EG172*'Feedstock Conversion Rates'!$B$8</f>
        <v>0.57856382879028356</v>
      </c>
      <c r="GP172" s="102">
        <f>$GG172*EH172*'Feedstock Conversion Rates'!B$9</f>
        <v>6.737179545992926E-2</v>
      </c>
      <c r="GQ172" s="102">
        <f t="shared" si="87"/>
        <v>68.426105305779473</v>
      </c>
      <c r="GR172" s="85">
        <f t="shared" si="107"/>
        <v>8.0735490271285126</v>
      </c>
      <c r="GT172" s="103">
        <f t="shared" si="111"/>
        <v>2.7035139854104493E-3</v>
      </c>
      <c r="GU172" s="103">
        <f t="shared" si="111"/>
        <v>0.25245064268590572</v>
      </c>
      <c r="GV172" s="103">
        <f t="shared" si="111"/>
        <v>0.35829502238596295</v>
      </c>
      <c r="GW172" s="103">
        <f t="shared" si="111"/>
        <v>0.11053086426607636</v>
      </c>
      <c r="GX172" s="103">
        <f t="shared" si="111"/>
        <v>0.1777138219682565</v>
      </c>
      <c r="GY172" s="103">
        <f t="shared" si="111"/>
        <v>8.8866234229415975E-2</v>
      </c>
      <c r="GZ172" s="103">
        <f t="shared" si="111"/>
        <v>8.4553084850412536E-3</v>
      </c>
      <c r="HA172" s="103">
        <f t="shared" si="111"/>
        <v>9.8459199393069702E-4</v>
      </c>
    </row>
    <row r="173" spans="1:209" x14ac:dyDescent="0.25">
      <c r="A173" s="96">
        <v>45689</v>
      </c>
      <c r="B173" s="104">
        <f>23-20+10+85-5-4-4-1.25+2.25-5+15-6-25-45+65+15-22.5-50+40+16.5+27.5+168+80+14-30+15-50-19+22.5-10+5+11-25-50-12.5-27.5-10+10+2+4-1.5+12-26-15-50-15+10-32.5-3-5-2.5-1+5+10-50-35-9-0.5+25+15+25+20+15+85-25+12.5-52.5+10+20-150+20-20+55-25-25-5+40-40+100+50-100</f>
        <v>50</v>
      </c>
      <c r="C173" s="104">
        <f>40-10-2.5-27.5+25+25+25-70+120-15-100-10+40-25+20+100</f>
        <v>135</v>
      </c>
      <c r="D173" s="104">
        <f t="shared" si="95"/>
        <v>1.5</v>
      </c>
      <c r="E173" s="104">
        <f>('Renewable Diesel'!B182*E$3*'Feedstock Conversion Rates'!$B$2)/12-40+1.25+6-43+30-15+12.5-4+1.5+26+2.5+3-10+50+9-15-25-55+15+45+10-50-25-20</f>
        <v>-0.32000000000000739</v>
      </c>
      <c r="F173" s="104">
        <f>('Renewable Diesel'!B182*'RD Feedstock Breakdown'!F$3*'Feedstock Conversion Rates'!B$8)/12+28.5-49-5+2-6+1+6+20-20-3.75+10+2.5+5-20-20</f>
        <v>5.15625</v>
      </c>
      <c r="G173" s="104">
        <f>('Renewable Diesel'!B182*'RD Feedstock Breakdown'!G$3*'Feedstock Conversion Rates'!B$7)/12-25-15-25+4+4-20-40-20+10-17.5+20+50-12+32.5+35-75-75+22.5+5-20+15+125-10-45-10-40-40</f>
        <v>9.6570000000000107</v>
      </c>
      <c r="H173" s="104">
        <f>('Renewable Diesel'!B182*'RD Feedstock Breakdown'!H$3*'Feedstock Conversion Rates'!B$3)/12-85+4-15+70-65-80+50-22.5-5+25+27.5+15+50+15-10+5+50+75-5-25-85-12.5+30+22.5-25-30+150+90-120+25+10+40+50+50-100-50</f>
        <v>295.40022499999998</v>
      </c>
      <c r="I173" s="106">
        <f t="shared" si="106"/>
        <v>496.39347499999997</v>
      </c>
      <c r="J173" s="104">
        <f t="shared" si="128"/>
        <v>5</v>
      </c>
      <c r="K173" s="104">
        <f t="shared" si="129"/>
        <v>5</v>
      </c>
      <c r="L173" s="104">
        <v>1</v>
      </c>
      <c r="M173" s="104">
        <f>('Renewable Diesel'!C182*'RD Feedstock Breakdown'!M$3*'Feedstock Conversion Rates'!B$2)/12</f>
        <v>7.7902500000000003</v>
      </c>
      <c r="N173" s="104">
        <f>('Renewable Diesel'!C182*'RD Feedstock Breakdown'!N$3*'Feedstock Conversion Rates'!B$8)/12</f>
        <v>3.671875</v>
      </c>
      <c r="O173" s="104">
        <f>('Renewable Diesel'!C182*'RD Feedstock Breakdown'!O$3*'Feedstock Conversion Rates'!B$7)/12</f>
        <v>11.9991</v>
      </c>
      <c r="P173" s="104">
        <f>('Renewable Diesel'!C182*'RD Feedstock Breakdown'!P$3*'Feedstock Conversion Rates'!B$3)/12</f>
        <v>10.4470425</v>
      </c>
      <c r="Q173" s="106">
        <f t="shared" si="119"/>
        <v>44.908267500000001</v>
      </c>
      <c r="R173" s="104">
        <f>('Renewable Diesel'!D182*'RD Feedstock Breakdown'!R$3*'Feedstock Conversion Rates'!B$7)/12</f>
        <v>2.2999999999999998</v>
      </c>
      <c r="S173" s="106">
        <f t="shared" si="67"/>
        <v>2.2999999999999998</v>
      </c>
      <c r="T173" s="104">
        <f t="shared" ref="T173:T180" si="132">5.825+20-25+10+4-10</f>
        <v>4.8249999999999993</v>
      </c>
      <c r="U173" s="104">
        <v>0</v>
      </c>
      <c r="V173" s="104">
        <f>('Renewable Diesel'!E182*'RD Feedstock Breakdown'!V$3*'Feedstock Conversion Rates'!B$6)/12-5+10</f>
        <v>49.250150000000012</v>
      </c>
      <c r="W173" s="104">
        <f>('Renewable Diesel'!E182*'RD Feedstock Breakdown'!W$3*'Feedstock Conversion Rates'!B$8)/12-5.825-4</f>
        <v>12.354687500000001</v>
      </c>
      <c r="X173" s="106">
        <f t="shared" si="88"/>
        <v>66.429837500000005</v>
      </c>
      <c r="Y173" s="104">
        <f t="shared" si="130"/>
        <v>35.5</v>
      </c>
      <c r="Z173" s="104">
        <f>('Renewable Diesel'!F182*'RD Feedstock Breakdown'!Z$3*'Feedstock Conversion Rates'!B$6)/12-50-32-60+15+25+32.5-50-5+10-25+15+5+50</f>
        <v>89.960000000000008</v>
      </c>
      <c r="AA173" s="104">
        <f>('Renewable Diesel'!F182*'RD Feedstock Breakdown'!AA$3*'Feedstock Conversion Rates'!B$7)/12+80-171+75+70-20</f>
        <v>138.26666666666665</v>
      </c>
      <c r="AB173" s="106">
        <f t="shared" si="62"/>
        <v>263.72666666666669</v>
      </c>
      <c r="AC173" s="104">
        <f>('Renewable Diesel'!G182*'RD Feedstock Breakdown'!AC$3*'Feedstock Conversion Rates'!B$5)/12</f>
        <v>7.864583333333333</v>
      </c>
      <c r="AD173" s="104">
        <f>('Renewable Diesel'!G182*'RD Feedstock Breakdown'!AD$3*'Feedstock Conversion Rates'!B$4)/12</f>
        <v>3.90625</v>
      </c>
      <c r="AE173" s="104">
        <f>('Renewable Diesel'!G182*'RD Feedstock Breakdown'!AE$3*'Feedstock Conversion Rates'!B$6)/12</f>
        <v>4.885416666666667</v>
      </c>
      <c r="AF173" s="106">
        <f t="shared" si="101"/>
        <v>16.65625</v>
      </c>
      <c r="AG173" s="104">
        <f t="shared" si="131"/>
        <v>39</v>
      </c>
      <c r="AH173" s="104">
        <v>0</v>
      </c>
      <c r="AI173" s="104">
        <f>('Renewable Diesel'!H182*'RD Feedstock Breakdown'!AI$3*'Feedstock Conversion Rates'!B$6)/12-130-20+51+5-100-25+100-10-25+15+22.5-22.5+100</f>
        <v>109.51666666666668</v>
      </c>
      <c r="AJ173" s="106">
        <f t="shared" si="65"/>
        <v>148.51666666666668</v>
      </c>
      <c r="AK173" s="104">
        <f>('Renewable Diesel'!J182*'RD Feedstock Breakdown'!AK$3*'Feedstock Conversion Rates'!B$4)/12</f>
        <v>95.8125</v>
      </c>
      <c r="AL173" s="106">
        <f t="shared" si="68"/>
        <v>95.8125</v>
      </c>
      <c r="AM173" s="104">
        <f>('Renewable Diesel'!K182*'RD Feedstock Breakdown'!AM$3*'Feedstock Conversion Rates'!B$4)/12+5+15-10+10-30</f>
        <v>48.59375</v>
      </c>
      <c r="AN173" s="104">
        <f>('Renewable Diesel'!K182*'RD Feedstock Breakdown'!AN$3*'Feedstock Conversion Rates'!B$6)/12-5-15+10-10+30</f>
        <v>34.427083333333329</v>
      </c>
      <c r="AO173" s="106">
        <f t="shared" si="81"/>
        <v>83.020833333333329</v>
      </c>
      <c r="AP173" s="104">
        <f>('Renewable Diesel'!L182*'RD Feedstock Breakdown'!AP$3*'Feedstock Conversion Rates'!B$4)/12+15-10-5+10+5+5</f>
        <v>78.59375</v>
      </c>
      <c r="AQ173" s="104">
        <f>('Renewable Diesel'!L182*'RD Feedstock Breakdown'!AQ$3*'Feedstock Conversion Rates'!B$6)/12-15+10+5-10-5-5</f>
        <v>4.4270833333333321</v>
      </c>
      <c r="AR173" s="106">
        <f t="shared" si="70"/>
        <v>83.020833333333329</v>
      </c>
      <c r="AS173" s="104">
        <f>('Renewable Diesel'!M182*'RD Feedstock Breakdown'!AS$3*'Feedstock Conversion Rates'!B$4)/12-150+50</f>
        <v>356.25</v>
      </c>
      <c r="AT173" s="104">
        <f>('Renewable Diesel'!M182*'RD Feedstock Breakdown'!AT$3*'Feedstock Conversion Rates'!B$5)/12+150-50</f>
        <v>100</v>
      </c>
      <c r="AU173" s="106">
        <f t="shared" si="104"/>
        <v>456.25</v>
      </c>
      <c r="AV173" s="104">
        <f>'Renewable Diesel'!N182*'RD Feedstock Breakdown'!$AV$3*'Feedstock Conversion Rates'!$B$4/12-15-10+25+25-22+22.5</f>
        <v>104.24999999999999</v>
      </c>
      <c r="AW173" s="104">
        <f>'Renewable Diesel'!N182*'RD Feedstock Breakdown'!$AW$3*'Feedstock Conversion Rates'!$B$7/12+15+10-25-25+22-22.5</f>
        <v>15.900000000000006</v>
      </c>
      <c r="AX173" s="106">
        <f t="shared" si="63"/>
        <v>120.14999999999999</v>
      </c>
      <c r="AY173" s="104">
        <f>('Renewable Diesel'!O182*'RD Feedstock Breakdown'!AY$3*'Feedstock Conversion Rates'!B$4)/12+34-100-282</f>
        <v>-137.0625</v>
      </c>
      <c r="AZ173" s="104">
        <f>('Renewable Diesel'!O182*'RD Feedstock Breakdown'!AZ$3*'Feedstock Conversion Rates'!B$3)/12-34+100+282</f>
        <v>373.03125</v>
      </c>
      <c r="BA173" s="106">
        <f t="shared" si="120"/>
        <v>235.96875</v>
      </c>
      <c r="BB173" s="104">
        <f>('Renewable Diesel'!Q182*'RD Feedstock Breakdown'!BB$3*'Feedstock Conversion Rates'!B$4)/12</f>
        <v>11.156249999999998</v>
      </c>
      <c r="BC173" s="104">
        <f>('Renewable Diesel'!Q182*'RD Feedstock Breakdown'!BC$3*'Feedstock Conversion Rates'!B$3)/12</f>
        <v>1.4017500000000001</v>
      </c>
      <c r="BD173" s="104">
        <f>('Renewable Diesel'!Q182*'RD Feedstock Breakdown'!BD$3*'Feedstock Conversion Rates'!B$6)/12</f>
        <v>0.8207500000000002</v>
      </c>
      <c r="BE173" s="106">
        <f t="shared" si="90"/>
        <v>13.378749999999998</v>
      </c>
      <c r="BF173" s="104">
        <f>('Renewable Diesel'!R182*'RD Feedstock Breakdown'!BF$3*'Feedstock Conversion Rates'!B$4)/12</f>
        <v>62.5</v>
      </c>
      <c r="BG173" s="106">
        <f t="shared" si="72"/>
        <v>62.5</v>
      </c>
      <c r="BH173" s="104">
        <f>('Renewable Diesel'!T182*'RD Feedstock Breakdown'!BH$3*'Feedstock Conversion Rates'!B$7)/12</f>
        <v>27.599999999999998</v>
      </c>
      <c r="BI173" s="106">
        <f t="shared" si="64"/>
        <v>27.599999999999998</v>
      </c>
      <c r="BJ173" s="104">
        <f>('Renewable Diesel'!W182*'RD Feedstock Breakdown'!BJ$3*'Feedstock Conversion Rates'!B$4)/12</f>
        <v>7.5</v>
      </c>
      <c r="BK173" s="104">
        <f>('Renewable Diesel'!W182*'RD Feedstock Breakdown'!BK$3*'Feedstock Conversion Rates'!B$3)/12</f>
        <v>1.335</v>
      </c>
      <c r="BL173" s="104">
        <f>('Renewable Diesel'!W182*'RD Feedstock Breakdown'!BL$3*'Feedstock Conversion Rates'!B$6)/12</f>
        <v>3.1266666666666669</v>
      </c>
      <c r="BM173" s="104">
        <f>('Renewable Diesel'!W182*'RD Feedstock Breakdown'!BM$3*'Feedstock Conversion Rates'!B$7)/12</f>
        <v>1.5333333333333332</v>
      </c>
      <c r="BN173" s="106">
        <f t="shared" si="112"/>
        <v>13.495000000000001</v>
      </c>
      <c r="BO173" s="104">
        <f>('Renewable Diesel'!P182*'Feedstock Conversion Rates'!B$4)/12</f>
        <v>31.25</v>
      </c>
      <c r="BP173" s="106">
        <f t="shared" si="102"/>
        <v>31.25</v>
      </c>
      <c r="BQ173" s="104">
        <f>('Renewable Diesel'!$S182*'RD Feedstock Breakdown'!BQ$3*'Feedstock Conversion Rates'!B$4)/12+10</f>
        <v>38.125</v>
      </c>
      <c r="BR173" s="104">
        <f>('Renewable Diesel'!$S182*'RD Feedstock Breakdown'!BR$3*'Feedstock Conversion Rates'!B$7)/12-10</f>
        <v>1.5</v>
      </c>
      <c r="BS173" s="106">
        <f t="shared" si="123"/>
        <v>39.625</v>
      </c>
      <c r="BT173" s="106"/>
      <c r="BU173" s="104">
        <f>('Renewable Diesel'!Y182*'Feedstock Conversion Rates'!B$7)/12</f>
        <v>2.6833333333333331</v>
      </c>
      <c r="BV173" s="106">
        <f t="shared" si="93"/>
        <v>2.6833333333333331</v>
      </c>
      <c r="BW173" s="104">
        <f>('Renewable Diesel'!$Z182*'RD Feedstock Breakdown'!BW$3*'Feedstock Conversion Rates'!$B$4)/12</f>
        <v>17.96875</v>
      </c>
      <c r="BX173" s="104">
        <f>('Renewable Diesel'!$Z182*'RD Feedstock Breakdown'!BX$3*'Feedstock Conversion Rates'!$B$5)/12</f>
        <v>1.8088541666666667</v>
      </c>
      <c r="BY173" s="104">
        <f>('Renewable Diesel'!$Z182*'RD Feedstock Breakdown'!BY$3*'Feedstock Conversion Rates'!$B$7)/12</f>
        <v>15.429166666666665</v>
      </c>
      <c r="BZ173" s="104">
        <f>('Renewable Diesel'!$Z182*'RD Feedstock Breakdown'!BZ$3*'Feedstock Conversion Rates'!$B$3)/12</f>
        <v>3.8381249999999998</v>
      </c>
      <c r="CA173" s="106">
        <f t="shared" si="127"/>
        <v>39.044895833333328</v>
      </c>
      <c r="CB173" s="104">
        <f>('Renewable Diesel'!AA182*'Feedstock Conversion Rates'!B$4)/12</f>
        <v>191.25</v>
      </c>
      <c r="CC173" s="106">
        <f t="shared" si="113"/>
        <v>191.25</v>
      </c>
      <c r="CD173" s="104">
        <f>('Renewable Diesel'!$AB182*'RD Feedstock Breakdown'!CD$3*'Feedstock Conversion Rates'!$B$6)/12-15</f>
        <v>17.830000000000005</v>
      </c>
      <c r="CE173" s="104">
        <f>('Renewable Diesel'!$AB182*'RD Feedstock Breakdown'!CE$3*'Feedstock Conversion Rates'!$B$4)/12+15</f>
        <v>26.25</v>
      </c>
      <c r="CF173" s="106">
        <f t="shared" si="108"/>
        <v>44.080000000000005</v>
      </c>
      <c r="CG173" s="104">
        <f>('Renewable Diesel'!AD182*'Feedstock Conversion Rates'!B$4)/12</f>
        <v>112.5</v>
      </c>
      <c r="CH173" s="106">
        <f t="shared" si="89"/>
        <v>112.5</v>
      </c>
      <c r="CI173" s="104">
        <f>('Renewable Diesel'!$AE182*'RD Feedstock Breakdown'!CI$3*'Feedstock Conversion Rates'!$B$5)/12</f>
        <v>0.34604166666666664</v>
      </c>
      <c r="CJ173" s="104">
        <f>('Renewable Diesel'!$AE182*'RD Feedstock Breakdown'!CJ$3*'Feedstock Conversion Rates'!$B$4)/12</f>
        <v>0.34375</v>
      </c>
      <c r="CK173" s="106">
        <f t="shared" si="103"/>
        <v>0.68979166666666658</v>
      </c>
      <c r="CL173" s="104">
        <f>(((CL$3*'Renewable Diesel'!$AF182)*'Feedstock Conversion Rates'!$B$3)/12)-37</f>
        <v>54.78125</v>
      </c>
      <c r="CM173" s="104">
        <f>(((CM$3*'Renewable Diesel'!$AF182)*'Feedstock Conversion Rates'!$B$6)/12)+37+40</f>
        <v>130.73958333333334</v>
      </c>
      <c r="CN173" s="104">
        <f>(((CN$3*'Renewable Diesel'!$AF182)*'Feedstock Conversion Rates'!$B$4)/12)-40</f>
        <v>2.96875</v>
      </c>
      <c r="CO173" s="106">
        <f t="shared" si="91"/>
        <v>188.48958333333334</v>
      </c>
      <c r="CP173" s="106"/>
      <c r="CQ173" s="106"/>
      <c r="CR173" s="106"/>
      <c r="CS173" s="106"/>
      <c r="CT173" s="104">
        <f>('Renewable Diesel'!AI182*'Feedstock Conversion Rates'!$B$4*'RD Feedstock Breakdown'!$CT$3)/12</f>
        <v>29.375</v>
      </c>
      <c r="CU173" s="106">
        <f t="shared" si="99"/>
        <v>29.375</v>
      </c>
      <c r="CV173" s="106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4">
        <f>('Renewable Diesel'!AT182*'Feedstock Conversion Rates'!$B$4*0.25)/12</f>
        <v>0</v>
      </c>
      <c r="DK173" s="104">
        <f>('Renewable Diesel'!$AT182*'RD Feedstock Breakdown'!DK$3*'Feedstock Conversion Rates'!$B$3)/12*0.5</f>
        <v>0</v>
      </c>
      <c r="DL173" s="104">
        <f>('Renewable Diesel'!$AT182*'RD Feedstock Breakdown'!$DL$3*'Feedstock Conversion Rates'!$B$6)/12</f>
        <v>0</v>
      </c>
      <c r="DM173" s="104">
        <f>('Renewable Diesel'!$AT182*'RD Feedstock Breakdown'!$DM$3*'Feedstock Conversion Rates'!$B$8)/12</f>
        <v>0</v>
      </c>
      <c r="DN173" s="106">
        <f t="shared" si="110"/>
        <v>0</v>
      </c>
      <c r="DP173" s="104">
        <f t="shared" si="73"/>
        <v>7.470249999999993</v>
      </c>
      <c r="DQ173" s="104">
        <f t="shared" si="74"/>
        <v>740.23464250000006</v>
      </c>
      <c r="DR173" s="104">
        <f t="shared" si="82"/>
        <v>1172.03125</v>
      </c>
      <c r="DS173" s="104">
        <f t="shared" si="100"/>
        <v>293.8444791666667</v>
      </c>
      <c r="DT173" s="104">
        <f t="shared" si="75"/>
        <v>444.98339999999996</v>
      </c>
      <c r="DU173" s="104">
        <f t="shared" si="76"/>
        <v>226.86860000000001</v>
      </c>
      <c r="DV173" s="104">
        <f t="shared" si="83"/>
        <v>21.182812500000001</v>
      </c>
      <c r="DW173" s="104">
        <f t="shared" si="77"/>
        <v>2.5</v>
      </c>
      <c r="DX173" s="106">
        <f t="shared" si="78"/>
        <v>2909.115434166667</v>
      </c>
      <c r="DY173" s="109">
        <f t="shared" si="79"/>
        <v>-9.9475983006414026E-13</v>
      </c>
      <c r="EA173" s="110">
        <f t="shared" si="114"/>
        <v>2.5678767890281017E-3</v>
      </c>
      <c r="EB173" s="110">
        <f t="shared" si="114"/>
        <v>0.25445351319035731</v>
      </c>
      <c r="EC173" s="110">
        <f t="shared" si="114"/>
        <v>0.40288234568998293</v>
      </c>
      <c r="ED173" s="110">
        <f t="shared" si="114"/>
        <v>0.10100818816453742</v>
      </c>
      <c r="EE173" s="110">
        <f t="shared" si="114"/>
        <v>0.15296175420672781</v>
      </c>
      <c r="EF173" s="110">
        <f t="shared" si="114"/>
        <v>7.7985423794290867E-2</v>
      </c>
      <c r="EG173" s="110">
        <f t="shared" si="114"/>
        <v>7.2815304099708026E-3</v>
      </c>
      <c r="EH173" s="111">
        <f t="shared" si="84"/>
        <v>8.5936775510461641E-4</v>
      </c>
      <c r="EI173" s="110">
        <f t="shared" si="85"/>
        <v>0.99914063224489524</v>
      </c>
      <c r="EK173" s="112">
        <f>(EA173*'Renewable Diesel'!BF182*'Feedstock Conversion Rates'!B$2)+FB173</f>
        <v>4.3041712211279251</v>
      </c>
      <c r="EL173" s="112">
        <f>(EB173*'Renewable Diesel'!BF182*'Feedstock Conversion Rates'!B$3)+FC173</f>
        <v>401.91794711169479</v>
      </c>
      <c r="EM173" s="112">
        <f>(EC173*'Renewable Diesel'!BF182*'Feedstock Conversion Rates'!B$4)+FD173</f>
        <v>595.84861241897886</v>
      </c>
      <c r="EN173" s="112">
        <f>(ED173*'Renewable Diesel'!BF182*'Feedstock Conversion Rates'!B$5)+FE173</f>
        <v>150.38342252361056</v>
      </c>
      <c r="EO173" s="112">
        <f>(EE173*'Renewable Diesel'!BF182*'Feedstock Conversion Rates'!B$6)+FF173</f>
        <v>282.93203669012718</v>
      </c>
      <c r="EP173" s="112">
        <f>(EF173*'Renewable Diesel'!BF182*'Feedstock Conversion Rates'!B$7)+FG173</f>
        <v>141.48086156180725</v>
      </c>
      <c r="EQ173" s="112">
        <f>(EG173*'Renewable Diesel'!BF182*'Feedstock Conversion Rates'!B$8)+FH173</f>
        <v>13.461404543667671</v>
      </c>
      <c r="ER173" s="112">
        <f>(EH173*'Renewable Diesel'!BF182*'Feedstock Conversion Rates'!B$9)+FI173</f>
        <v>1.5675349000223771</v>
      </c>
      <c r="ES173" s="112">
        <f t="shared" si="86"/>
        <v>1591.8959909710366</v>
      </c>
      <c r="ET173" s="91">
        <f>ES173/'Renewable Diesel'!BF182</f>
        <v>8.0726896593734061</v>
      </c>
      <c r="EW173" s="73">
        <f t="shared" si="124"/>
        <v>746.23203494258939</v>
      </c>
      <c r="EX173" s="73">
        <f t="shared" si="125"/>
        <v>845.66395602844716</v>
      </c>
      <c r="EY173" s="92">
        <f t="shared" si="71"/>
        <v>0.4687693411975975</v>
      </c>
      <c r="EZ173" s="92">
        <f t="shared" si="71"/>
        <v>0.5312306588024025</v>
      </c>
      <c r="FB173" s="102">
        <f>IF('Renewable Diesel'!$BG182&lt;1,0,(((('Renewable Diesel'!$BG182-1)*'Renewable Diesel'!$BF182)*'RD Feedstock Breakdown'!EA173)*'Feedstock Conversion Rates'!$B$2))</f>
        <v>0</v>
      </c>
      <c r="FC173" s="102">
        <f>IF('Renewable Diesel'!$BG182&lt;1,0,(((('Renewable Diesel'!$BG182-1)*'Renewable Diesel'!$BF182)*'RD Feedstock Breakdown'!EB173)*'Feedstock Conversion Rates'!$B$3))</f>
        <v>0</v>
      </c>
      <c r="FD173" s="102">
        <f>IF('Renewable Diesel'!$BG182&lt;1,0,(((('Renewable Diesel'!$BG182-1)*'Renewable Diesel'!$BF182)*'RD Feedstock Breakdown'!EC173)*'Feedstock Conversion Rates'!$B$4))</f>
        <v>0</v>
      </c>
      <c r="FE173" s="102">
        <f>IF('Renewable Diesel'!$BG182&lt;1,0,(((('Renewable Diesel'!$BG182-1)*'Renewable Diesel'!$BF182)*'RD Feedstock Breakdown'!ED173)*'Feedstock Conversion Rates'!$B$5))</f>
        <v>0</v>
      </c>
      <c r="FF173" s="102">
        <f>IF('Renewable Diesel'!$BG182&lt;1,0,(((('Renewable Diesel'!$BG182-1)*'Renewable Diesel'!$BF182)*'RD Feedstock Breakdown'!EE173)*'Feedstock Conversion Rates'!$B$6))</f>
        <v>0</v>
      </c>
      <c r="FG173" s="102">
        <f>IF('Renewable Diesel'!$BG182&lt;1,0,(((('Renewable Diesel'!$BG182-1)*'Renewable Diesel'!$BF182)*'RD Feedstock Breakdown'!EF173)*'Feedstock Conversion Rates'!$B$7))</f>
        <v>0</v>
      </c>
      <c r="FH173" s="102">
        <f>IF('Renewable Diesel'!$BG182&lt;1,0,(((('Renewable Diesel'!$BG182-1)*'Renewable Diesel'!$BF182)*'RD Feedstock Breakdown'!EG173)*'Feedstock Conversion Rates'!$B$8))</f>
        <v>0</v>
      </c>
      <c r="FI173" s="102">
        <f>IF('Renewable Diesel'!$BG182&lt;1,0,(((('Renewable Diesel'!$BG182-1)*'Renewable Diesel'!$BF182)*'RD Feedstock Breakdown'!EH173)*'Feedstock Conversion Rates'!$B$9))</f>
        <v>0</v>
      </c>
      <c r="FJ173" s="102">
        <f t="shared" si="126"/>
        <v>0</v>
      </c>
      <c r="FL173" s="3">
        <f>('Renewable Diesel'!AX182/12*$FO$80)*'RD Feedstock Breakdown'!EC173*7.5</f>
        <v>1037.9256430838186</v>
      </c>
      <c r="FM173" s="3">
        <f t="shared" si="96"/>
        <v>442.07703066483975</v>
      </c>
      <c r="FR173" s="3">
        <f>('Renewable Diesel'!AX182-'Renewable Diesel'!BI182)/12*$FO$80</f>
        <v>18.063750000000027</v>
      </c>
      <c r="FS173" s="100">
        <f t="shared" si="97"/>
        <v>0.40288234568998293</v>
      </c>
      <c r="FT173" s="3">
        <f t="shared" si="98"/>
        <v>54.581744789680798</v>
      </c>
      <c r="FY173" s="3">
        <f>'Renewable Diesel'!BF182*('Renewable Diesel'!BI182/'Renewable Diesel'!AX182)</f>
        <v>186.82526950312226</v>
      </c>
      <c r="FZ173" s="3">
        <f>('Renewable Diesel'!BJ182*'Renewable Diesel'!BG182)/12</f>
        <v>10.174838605807466</v>
      </c>
      <c r="GA173" s="3">
        <f t="shared" si="105"/>
        <v>30.744471333935305</v>
      </c>
      <c r="GD173" s="91">
        <f>'Renewable Diesel'!BB182*0.32</f>
        <v>12.020312960000002</v>
      </c>
      <c r="GE173" s="91">
        <f>'Renewable Diesel'!BC182</f>
        <v>15.728119</v>
      </c>
      <c r="GF173" s="91">
        <f>'Renewable Diesel'!BD182</f>
        <v>0</v>
      </c>
      <c r="GG173" s="91">
        <f t="shared" si="109"/>
        <v>15.728119</v>
      </c>
      <c r="GH173" s="124">
        <v>1</v>
      </c>
      <c r="GI173" s="102">
        <f>$GG173*EA173*'Feedstock Conversion Rates'!$B$2</f>
        <v>0.34329690957896097</v>
      </c>
      <c r="GJ173" s="102">
        <f>$GG173*EB173*'Feedstock Conversion Rates'!$B$3</f>
        <v>32.056621834762339</v>
      </c>
      <c r="GK173" s="102">
        <f>$GG173*EC173*'Feedstock Conversion Rates'!$B$4</f>
        <v>47.524361070083913</v>
      </c>
      <c r="GL173" s="102">
        <f>$GG173*ED173*'Feedstock Conversion Rates'!$B$5</f>
        <v>11.994449465868083</v>
      </c>
      <c r="GM173" s="102">
        <f>$GG173*EE173*'Feedstock Conversion Rates'!$B$6</f>
        <v>22.566410309102118</v>
      </c>
      <c r="GN173" s="102">
        <f>$GG173*EF173*'Feedstock Conversion Rates'!$B$7</f>
        <v>11.284389036458752</v>
      </c>
      <c r="GO173" s="102">
        <f>$GG173*EG173*'Feedstock Conversion Rates'!$B$8</f>
        <v>1.0736697824075583</v>
      </c>
      <c r="GP173" s="102">
        <f>$GG173*EH173*'Feedstock Conversion Rates'!B$9</f>
        <v>0.12502520443269644</v>
      </c>
      <c r="GQ173" s="102">
        <f t="shared" si="87"/>
        <v>126.96822361269442</v>
      </c>
      <c r="GR173" s="85">
        <f t="shared" si="107"/>
        <v>8.0726896593734079</v>
      </c>
      <c r="GT173" s="103">
        <f t="shared" si="111"/>
        <v>2.7038017845012821E-3</v>
      </c>
      <c r="GU173" s="103">
        <f t="shared" si="111"/>
        <v>0.25247751699313592</v>
      </c>
      <c r="GV173" s="103">
        <f t="shared" si="111"/>
        <v>0.37430122055619897</v>
      </c>
      <c r="GW173" s="103">
        <f t="shared" si="111"/>
        <v>9.4468120641398548E-2</v>
      </c>
      <c r="GX173" s="103">
        <f t="shared" si="111"/>
        <v>0.17773274026372929</v>
      </c>
      <c r="GY173" s="103">
        <f t="shared" si="111"/>
        <v>8.8875694369646416E-2</v>
      </c>
      <c r="GZ173" s="103">
        <f t="shared" si="111"/>
        <v>8.4562085839894503E-3</v>
      </c>
      <c r="HA173" s="103">
        <f t="shared" si="111"/>
        <v>9.8469680740021241E-4</v>
      </c>
    </row>
    <row r="174" spans="1:209" x14ac:dyDescent="0.25">
      <c r="A174" s="96">
        <v>45717</v>
      </c>
      <c r="B174" s="104">
        <f t="shared" ref="B174:B180" si="133">23-20+10+85-5-4-4-1.25+2.25-5+15-6-25-45+65+15-22.5-50+40+16.5+27.5+168+80+14-30+15-50-19+22.5-10+5+11-25-50-12.5-27.5-10+10+2+4-1.5+12-26-15-50-15+10-32.5-3-5-2.5-1+5+10-50-35-9-0.5+25+15+25+20+15+85-25+12.5-52.5+10+20-150+20-20+55-25-25-5+40-40</f>
        <v>0</v>
      </c>
      <c r="C174" s="104">
        <f>40-10-2.5-27.5+25+25+25-70+120-15-100-10+40-25+20</f>
        <v>35</v>
      </c>
      <c r="D174" s="104">
        <f t="shared" si="95"/>
        <v>1.5</v>
      </c>
      <c r="E174" s="104">
        <f>('Renewable Diesel'!B183*E$3*'Feedstock Conversion Rates'!$B$2)/12-40+1.25+6-43+30-15+12.5-4+1.5+26+2.5+3-10+50+9-15-25-55+15+45+10-50-25-20</f>
        <v>-0.32000000000000739</v>
      </c>
      <c r="F174" s="104">
        <f>('Renewable Diesel'!B183*'RD Feedstock Breakdown'!F$3*'Feedstock Conversion Rates'!B$8)/12+28.5-49-5+2-6+1+6+20-20-3.75+10+2.5+5-20-20</f>
        <v>5.15625</v>
      </c>
      <c r="G174" s="104">
        <f>('Renewable Diesel'!B183*'RD Feedstock Breakdown'!G$3*'Feedstock Conversion Rates'!B$7)/12-25-15-25+4+4-20-40-20+10-17.5+20+50-12+32.5+35-75-75+22.5+5-20+15+125-10-45-10-40-40</f>
        <v>9.6570000000000107</v>
      </c>
      <c r="H174" s="104">
        <f>('Renewable Diesel'!B183*'RD Feedstock Breakdown'!H$3*'Feedstock Conversion Rates'!B$3)/12-85+4-15+70-65-80+50-22.5-5+25+27.5+15+50+15-10+5+50+75-5-25-85-12.5+30+22.5-25-30+150+90-120+25+10+40+50+50-100-50+150</f>
        <v>445.40022499999998</v>
      </c>
      <c r="I174" s="106">
        <f t="shared" si="106"/>
        <v>496.39347499999997</v>
      </c>
      <c r="J174" s="104">
        <f t="shared" si="128"/>
        <v>5</v>
      </c>
      <c r="K174" s="104">
        <f t="shared" si="129"/>
        <v>5</v>
      </c>
      <c r="L174" s="104">
        <v>1</v>
      </c>
      <c r="M174" s="104">
        <f>('Renewable Diesel'!C183*'RD Feedstock Breakdown'!M$3*'Feedstock Conversion Rates'!B$2)/12</f>
        <v>7.7902500000000003</v>
      </c>
      <c r="N174" s="104">
        <f>('Renewable Diesel'!C183*'RD Feedstock Breakdown'!N$3*'Feedstock Conversion Rates'!B$8)/12</f>
        <v>3.671875</v>
      </c>
      <c r="O174" s="104">
        <f>('Renewable Diesel'!C183*'RD Feedstock Breakdown'!O$3*'Feedstock Conversion Rates'!B$7)/12</f>
        <v>11.9991</v>
      </c>
      <c r="P174" s="104">
        <f>('Renewable Diesel'!C183*'RD Feedstock Breakdown'!P$3*'Feedstock Conversion Rates'!B$3)/12</f>
        <v>10.4470425</v>
      </c>
      <c r="Q174" s="106">
        <f t="shared" si="119"/>
        <v>44.908267500000001</v>
      </c>
      <c r="R174" s="104">
        <f>('Renewable Diesel'!D183*'RD Feedstock Breakdown'!R$3*'Feedstock Conversion Rates'!B$7)/12</f>
        <v>2.2999999999999998</v>
      </c>
      <c r="S174" s="106">
        <f t="shared" si="67"/>
        <v>2.2999999999999998</v>
      </c>
      <c r="T174" s="104">
        <f t="shared" si="132"/>
        <v>4.8249999999999993</v>
      </c>
      <c r="U174" s="104">
        <v>0</v>
      </c>
      <c r="V174" s="104">
        <f>('Renewable Diesel'!E183*'RD Feedstock Breakdown'!V$3*'Feedstock Conversion Rates'!B$6)/12-5+10</f>
        <v>49.250150000000012</v>
      </c>
      <c r="W174" s="104">
        <f>('Renewable Diesel'!E183*'RD Feedstock Breakdown'!W$3*'Feedstock Conversion Rates'!B$8)/12-5.825-4</f>
        <v>12.354687500000001</v>
      </c>
      <c r="X174" s="106">
        <f t="shared" si="88"/>
        <v>66.429837500000005</v>
      </c>
      <c r="Y174" s="104">
        <f t="shared" si="130"/>
        <v>35.5</v>
      </c>
      <c r="Z174" s="104">
        <f>('Renewable Diesel'!F183*'RD Feedstock Breakdown'!Z$3*'Feedstock Conversion Rates'!B$6)/12-50-32-60+15+25+32.5-50-5+10-25+15+5+50</f>
        <v>89.960000000000008</v>
      </c>
      <c r="AA174" s="104">
        <f>('Renewable Diesel'!F183*'RD Feedstock Breakdown'!AA$3*'Feedstock Conversion Rates'!B$7)/12+80-171+75+70-20</f>
        <v>138.26666666666665</v>
      </c>
      <c r="AB174" s="106">
        <f t="shared" si="62"/>
        <v>263.72666666666669</v>
      </c>
      <c r="AC174" s="104">
        <f>('Renewable Diesel'!G183*'RD Feedstock Breakdown'!AC$3*'Feedstock Conversion Rates'!B$5)/12</f>
        <v>7.864583333333333</v>
      </c>
      <c r="AD174" s="104">
        <f>('Renewable Diesel'!G183*'RD Feedstock Breakdown'!AD$3*'Feedstock Conversion Rates'!B$4)/12</f>
        <v>3.90625</v>
      </c>
      <c r="AE174" s="104">
        <f>('Renewable Diesel'!G183*'RD Feedstock Breakdown'!AE$3*'Feedstock Conversion Rates'!B$6)/12</f>
        <v>4.885416666666667</v>
      </c>
      <c r="AF174" s="106">
        <f t="shared" si="101"/>
        <v>16.65625</v>
      </c>
      <c r="AG174" s="104">
        <f t="shared" si="131"/>
        <v>39</v>
      </c>
      <c r="AH174" s="104">
        <v>0</v>
      </c>
      <c r="AI174" s="104">
        <f>('Renewable Diesel'!H183*'RD Feedstock Breakdown'!AI$3*'Feedstock Conversion Rates'!B$6)/12-130-20+51+5-100-25+100-10-25+15+22.5-22.5+100</f>
        <v>109.51666666666668</v>
      </c>
      <c r="AJ174" s="106">
        <f t="shared" si="65"/>
        <v>148.51666666666668</v>
      </c>
      <c r="AK174" s="104">
        <f>('Renewable Diesel'!J183*'RD Feedstock Breakdown'!AK$3*'Feedstock Conversion Rates'!B$4)/12</f>
        <v>95.8125</v>
      </c>
      <c r="AL174" s="106">
        <f t="shared" si="68"/>
        <v>95.8125</v>
      </c>
      <c r="AM174" s="104">
        <f>('Renewable Diesel'!K183*'RD Feedstock Breakdown'!AM$3*'Feedstock Conversion Rates'!B$4)/12+5+15-10+10-30</f>
        <v>48.59375</v>
      </c>
      <c r="AN174" s="104">
        <f>('Renewable Diesel'!K183*'RD Feedstock Breakdown'!AN$3*'Feedstock Conversion Rates'!B$6)/12-5-15+10-10+30</f>
        <v>34.427083333333329</v>
      </c>
      <c r="AO174" s="106">
        <f t="shared" si="81"/>
        <v>83.020833333333329</v>
      </c>
      <c r="AP174" s="104">
        <f>('Renewable Diesel'!L183*'RD Feedstock Breakdown'!AP$3*'Feedstock Conversion Rates'!B$4)/12+15-10-5+10+5+5</f>
        <v>78.59375</v>
      </c>
      <c r="AQ174" s="104">
        <f>('Renewable Diesel'!L183*'RD Feedstock Breakdown'!AQ$3*'Feedstock Conversion Rates'!B$6)/12-15+10+5-10-5-5</f>
        <v>4.4270833333333321</v>
      </c>
      <c r="AR174" s="106">
        <f t="shared" si="70"/>
        <v>83.020833333333329</v>
      </c>
      <c r="AS174" s="104">
        <f>('Renewable Diesel'!M183*'RD Feedstock Breakdown'!AS$3*'Feedstock Conversion Rates'!B$4)/12-150</f>
        <v>306.25</v>
      </c>
      <c r="AT174" s="104">
        <f>('Renewable Diesel'!M183*'RD Feedstock Breakdown'!AT$3*'Feedstock Conversion Rates'!B$5)/12+150</f>
        <v>150</v>
      </c>
      <c r="AU174" s="106">
        <f t="shared" si="104"/>
        <v>456.25</v>
      </c>
      <c r="AV174" s="104">
        <f>'Renewable Diesel'!N183*'RD Feedstock Breakdown'!$AV$3*'Feedstock Conversion Rates'!$B$4/12-15-10+25+25-22+22.5</f>
        <v>104.24999999999999</v>
      </c>
      <c r="AW174" s="104">
        <f>'Renewable Diesel'!N183*'RD Feedstock Breakdown'!$AW$3*'Feedstock Conversion Rates'!$B$7/12+15+10-25-25+22-22.5</f>
        <v>15.900000000000006</v>
      </c>
      <c r="AX174" s="106">
        <f t="shared" si="63"/>
        <v>120.14999999999999</v>
      </c>
      <c r="AY174" s="104">
        <f>('Renewable Diesel'!O183*'RD Feedstock Breakdown'!AY$3*'Feedstock Conversion Rates'!B$4)/12+34-100-282</f>
        <v>-137.0625</v>
      </c>
      <c r="AZ174" s="104">
        <f>('Renewable Diesel'!O183*'RD Feedstock Breakdown'!AZ$3*'Feedstock Conversion Rates'!B$3)/12-34+100+282</f>
        <v>373.03125</v>
      </c>
      <c r="BA174" s="106">
        <f t="shared" si="120"/>
        <v>235.96875</v>
      </c>
      <c r="BB174" s="104">
        <f>('Renewable Diesel'!Q183*'RD Feedstock Breakdown'!BB$3*'Feedstock Conversion Rates'!B$4)/12</f>
        <v>11.156249999999998</v>
      </c>
      <c r="BC174" s="104">
        <f>('Renewable Diesel'!Q183*'RD Feedstock Breakdown'!BC$3*'Feedstock Conversion Rates'!B$3)/12</f>
        <v>1.4017500000000001</v>
      </c>
      <c r="BD174" s="104">
        <f>('Renewable Diesel'!Q183*'RD Feedstock Breakdown'!BD$3*'Feedstock Conversion Rates'!B$6)/12</f>
        <v>0.8207500000000002</v>
      </c>
      <c r="BE174" s="106">
        <f t="shared" si="90"/>
        <v>13.378749999999998</v>
      </c>
      <c r="BF174" s="104">
        <f>('Renewable Diesel'!R183*'RD Feedstock Breakdown'!BF$3*'Feedstock Conversion Rates'!B$4)/12</f>
        <v>62.5</v>
      </c>
      <c r="BG174" s="106">
        <f t="shared" si="72"/>
        <v>62.5</v>
      </c>
      <c r="BH174" s="104">
        <f>('Renewable Diesel'!T183*'RD Feedstock Breakdown'!BH$3*'Feedstock Conversion Rates'!B$7)/12</f>
        <v>27.599999999999998</v>
      </c>
      <c r="BI174" s="106">
        <f t="shared" si="64"/>
        <v>27.599999999999998</v>
      </c>
      <c r="BJ174" s="104">
        <f>('Renewable Diesel'!W183*'RD Feedstock Breakdown'!BJ$3*'Feedstock Conversion Rates'!B$4)/12</f>
        <v>7.5</v>
      </c>
      <c r="BK174" s="104">
        <f>('Renewable Diesel'!W183*'RD Feedstock Breakdown'!BK$3*'Feedstock Conversion Rates'!B$3)/12</f>
        <v>1.335</v>
      </c>
      <c r="BL174" s="104">
        <f>('Renewable Diesel'!W183*'RD Feedstock Breakdown'!BL$3*'Feedstock Conversion Rates'!B$6)/12</f>
        <v>3.1266666666666669</v>
      </c>
      <c r="BM174" s="104">
        <f>('Renewable Diesel'!W183*'RD Feedstock Breakdown'!BM$3*'Feedstock Conversion Rates'!B$7)/12</f>
        <v>1.5333333333333332</v>
      </c>
      <c r="BN174" s="106">
        <f t="shared" si="112"/>
        <v>13.495000000000001</v>
      </c>
      <c r="BO174" s="104">
        <f>('Renewable Diesel'!P183*'Feedstock Conversion Rates'!B$4)/12</f>
        <v>31.25</v>
      </c>
      <c r="BP174" s="106">
        <f t="shared" si="102"/>
        <v>31.25</v>
      </c>
      <c r="BQ174" s="104">
        <f>('Renewable Diesel'!$S183*'RD Feedstock Breakdown'!BQ$3*'Feedstock Conversion Rates'!B$4)/12+10</f>
        <v>38.125</v>
      </c>
      <c r="BR174" s="104">
        <f>('Renewable Diesel'!$S183*'RD Feedstock Breakdown'!BR$3*'Feedstock Conversion Rates'!B$7)/12-10</f>
        <v>1.5</v>
      </c>
      <c r="BS174" s="106">
        <f t="shared" si="123"/>
        <v>39.625</v>
      </c>
      <c r="BT174" s="106"/>
      <c r="BU174" s="104">
        <f>('Renewable Diesel'!Y183*'Feedstock Conversion Rates'!B$7)/12</f>
        <v>2.6833333333333331</v>
      </c>
      <c r="BV174" s="106">
        <f t="shared" si="93"/>
        <v>2.6833333333333331</v>
      </c>
      <c r="BW174" s="104">
        <f>('Renewable Diesel'!$Z183*'RD Feedstock Breakdown'!BW$3*'Feedstock Conversion Rates'!$B$4)/12</f>
        <v>17.96875</v>
      </c>
      <c r="BX174" s="104">
        <f>('Renewable Diesel'!$Z183*'RD Feedstock Breakdown'!BX$3*'Feedstock Conversion Rates'!$B$5)/12</f>
        <v>1.8088541666666667</v>
      </c>
      <c r="BY174" s="104">
        <f>('Renewable Diesel'!$Z183*'RD Feedstock Breakdown'!BY$3*'Feedstock Conversion Rates'!$B$7)/12</f>
        <v>15.429166666666665</v>
      </c>
      <c r="BZ174" s="104">
        <f>('Renewable Diesel'!$Z183*'RD Feedstock Breakdown'!BZ$3*'Feedstock Conversion Rates'!$B$3)/12</f>
        <v>3.8381249999999998</v>
      </c>
      <c r="CA174" s="106">
        <f t="shared" si="127"/>
        <v>39.044895833333328</v>
      </c>
      <c r="CB174" s="104">
        <f>('Renewable Diesel'!AA183*'Feedstock Conversion Rates'!B$4)/12</f>
        <v>191.25</v>
      </c>
      <c r="CC174" s="106">
        <f t="shared" si="113"/>
        <v>191.25</v>
      </c>
      <c r="CD174" s="104">
        <f>('Renewable Diesel'!$AB183*'RD Feedstock Breakdown'!CD$3*'Feedstock Conversion Rates'!$B$6)/12-15+25</f>
        <v>42.830000000000005</v>
      </c>
      <c r="CE174" s="104">
        <f>('Renewable Diesel'!$AB183*'RD Feedstock Breakdown'!CE$3*'Feedstock Conversion Rates'!$B$4)/12+15-25</f>
        <v>1.25</v>
      </c>
      <c r="CF174" s="106">
        <f t="shared" si="108"/>
        <v>44.080000000000005</v>
      </c>
      <c r="CG174" s="104">
        <f>('Renewable Diesel'!AD183*'Feedstock Conversion Rates'!B$4)/12</f>
        <v>112.5</v>
      </c>
      <c r="CH174" s="106">
        <f t="shared" si="89"/>
        <v>112.5</v>
      </c>
      <c r="CI174" s="104">
        <f>('Renewable Diesel'!$AE183*'RD Feedstock Breakdown'!CI$3*'Feedstock Conversion Rates'!$B$5)/12</f>
        <v>0.34604166666666664</v>
      </c>
      <c r="CJ174" s="104">
        <f>('Renewable Diesel'!$AE183*'RD Feedstock Breakdown'!CJ$3*'Feedstock Conversion Rates'!$B$4)/12</f>
        <v>0.34375</v>
      </c>
      <c r="CK174" s="106">
        <f t="shared" si="103"/>
        <v>0.68979166666666658</v>
      </c>
      <c r="CL174" s="104">
        <f>(((CL$3*'Renewable Diesel'!$AF183)*'Feedstock Conversion Rates'!$B$3)/12)-37</f>
        <v>54.78125</v>
      </c>
      <c r="CM174" s="104">
        <f>(((CM$3*'Renewable Diesel'!$AF183)*'Feedstock Conversion Rates'!$B$6)/12)+37+40</f>
        <v>130.73958333333334</v>
      </c>
      <c r="CN174" s="104">
        <f>(((CN$3*'Renewable Diesel'!$AF183)*'Feedstock Conversion Rates'!$B$4)/12)-40</f>
        <v>2.96875</v>
      </c>
      <c r="CO174" s="106">
        <f t="shared" si="91"/>
        <v>188.48958333333334</v>
      </c>
      <c r="CP174" s="106"/>
      <c r="CQ174" s="106"/>
      <c r="CR174" s="106"/>
      <c r="CS174" s="106"/>
      <c r="CT174" s="104">
        <f>('Renewable Diesel'!AI183*'Feedstock Conversion Rates'!$B$4*'RD Feedstock Breakdown'!$CT$3)/12</f>
        <v>29.375</v>
      </c>
      <c r="CU174" s="106">
        <f t="shared" si="99"/>
        <v>29.375</v>
      </c>
      <c r="CV174" s="106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4">
        <f>('Renewable Diesel'!AT183*'Feedstock Conversion Rates'!$B$4*0.25)/12</f>
        <v>0</v>
      </c>
      <c r="DK174" s="104">
        <f>('Renewable Diesel'!$AT183*'RD Feedstock Breakdown'!DK$3*'Feedstock Conversion Rates'!$B$3)/12*0.5</f>
        <v>0</v>
      </c>
      <c r="DL174" s="104">
        <f>('Renewable Diesel'!$AT183*'RD Feedstock Breakdown'!$DL$3*'Feedstock Conversion Rates'!$B$6)/12</f>
        <v>0</v>
      </c>
      <c r="DM174" s="104">
        <f>('Renewable Diesel'!$AT183*'RD Feedstock Breakdown'!$DM$3*'Feedstock Conversion Rates'!$B$8)/12</f>
        <v>0</v>
      </c>
      <c r="DN174" s="106">
        <f t="shared" si="110"/>
        <v>0</v>
      </c>
      <c r="DP174" s="104">
        <f t="shared" si="73"/>
        <v>7.470249999999993</v>
      </c>
      <c r="DQ174" s="104">
        <f t="shared" si="74"/>
        <v>890.23464250000006</v>
      </c>
      <c r="DR174" s="104">
        <f t="shared" si="82"/>
        <v>1047.03125</v>
      </c>
      <c r="DS174" s="104">
        <f t="shared" si="100"/>
        <v>243.84447916666667</v>
      </c>
      <c r="DT174" s="104">
        <f t="shared" si="75"/>
        <v>469.98339999999996</v>
      </c>
      <c r="DU174" s="104">
        <f t="shared" si="76"/>
        <v>226.86860000000001</v>
      </c>
      <c r="DV174" s="104">
        <f t="shared" si="83"/>
        <v>21.182812500000001</v>
      </c>
      <c r="DW174" s="104">
        <f t="shared" si="77"/>
        <v>2.5</v>
      </c>
      <c r="DX174" s="106">
        <f t="shared" si="78"/>
        <v>2909.115434166667</v>
      </c>
      <c r="DY174" s="109">
        <f t="shared" si="79"/>
        <v>-9.9475983006414026E-13</v>
      </c>
      <c r="EA174" s="110">
        <f t="shared" si="114"/>
        <v>2.5678767890281017E-3</v>
      </c>
      <c r="EB174" s="110">
        <f t="shared" si="114"/>
        <v>0.3060155784966343</v>
      </c>
      <c r="EC174" s="110">
        <f t="shared" si="114"/>
        <v>0.35991395793475212</v>
      </c>
      <c r="ED174" s="110">
        <f t="shared" si="114"/>
        <v>8.3820833062445088E-2</v>
      </c>
      <c r="EE174" s="110">
        <f t="shared" si="114"/>
        <v>0.16155543175777398</v>
      </c>
      <c r="EF174" s="110">
        <f t="shared" si="114"/>
        <v>7.7985423794290867E-2</v>
      </c>
      <c r="EG174" s="110">
        <f t="shared" si="114"/>
        <v>7.2815304099708026E-3</v>
      </c>
      <c r="EH174" s="111">
        <f t="shared" si="84"/>
        <v>8.5936775510461641E-4</v>
      </c>
      <c r="EI174" s="110">
        <f t="shared" si="85"/>
        <v>0.99914063224489513</v>
      </c>
      <c r="EK174" s="112">
        <f>(EA174*'Renewable Diesel'!BF183*'Feedstock Conversion Rates'!B$2)+FB174</f>
        <v>4.9475848670539166</v>
      </c>
      <c r="EL174" s="112">
        <f>(EB174*'Renewable Diesel'!BF183*'Feedstock Conversion Rates'!B$3)+FC174</f>
        <v>555.61785950678654</v>
      </c>
      <c r="EM174" s="112">
        <f>(EC174*'Renewable Diesel'!BF183*'Feedstock Conversion Rates'!B$4)+FD174</f>
        <v>611.87132108334242</v>
      </c>
      <c r="EN174" s="112">
        <f>(ED174*'Renewable Diesel'!BF183*'Feedstock Conversion Rates'!B$5)+FE174</f>
        <v>143.44951012426657</v>
      </c>
      <c r="EO174" s="112">
        <f>(EE174*'Renewable Diesel'!BF183*'Feedstock Conversion Rates'!B$6)+FF174</f>
        <v>343.49826494269524</v>
      </c>
      <c r="EP174" s="112">
        <f>(EF174*'Renewable Diesel'!BF183*'Feedstock Conversion Rates'!B$7)+FG174</f>
        <v>162.63027971677971</v>
      </c>
      <c r="EQ174" s="112">
        <f>(EG174*'Renewable Diesel'!BF183*'Feedstock Conversion Rates'!B$8)+FH174</f>
        <v>15.473697022696005</v>
      </c>
      <c r="ER174" s="112">
        <f>(EH174*'Renewable Diesel'!BF183*'Feedstock Conversion Rates'!B$9)+FI174</f>
        <v>1.8018595338075849</v>
      </c>
      <c r="ES174" s="112">
        <f t="shared" si="86"/>
        <v>1839.2903767974281</v>
      </c>
      <c r="ET174" s="91">
        <f>ES174/'Renewable Diesel'!BF183</f>
        <v>8.1142830587204706</v>
      </c>
      <c r="EW174" s="73">
        <f t="shared" si="124"/>
        <v>755.32083120760899</v>
      </c>
      <c r="EX174" s="73">
        <f t="shared" si="125"/>
        <v>1083.9695455898191</v>
      </c>
      <c r="EY174" s="92">
        <f t="shared" si="71"/>
        <v>0.41065882839161777</v>
      </c>
      <c r="EZ174" s="92">
        <f t="shared" si="71"/>
        <v>0.58934117160838229</v>
      </c>
      <c r="FB174" s="102">
        <f>IF('Renewable Diesel'!$BG183&lt;1,0,(((('Renewable Diesel'!$BG183-1)*'Renewable Diesel'!$BF183)*'RD Feedstock Breakdown'!EA174)*'Feedstock Conversion Rates'!$B$2))</f>
        <v>0</v>
      </c>
      <c r="FC174" s="102">
        <f>IF('Renewable Diesel'!$BG183&lt;1,0,(((('Renewable Diesel'!$BG183-1)*'Renewable Diesel'!$BF183)*'RD Feedstock Breakdown'!EB174)*'Feedstock Conversion Rates'!$B$3))</f>
        <v>0</v>
      </c>
      <c r="FD174" s="102">
        <f>IF('Renewable Diesel'!$BG183&lt;1,0,(((('Renewable Diesel'!$BG183-1)*'Renewable Diesel'!$BF183)*'RD Feedstock Breakdown'!EC174)*'Feedstock Conversion Rates'!$B$4))</f>
        <v>0</v>
      </c>
      <c r="FE174" s="102">
        <f>IF('Renewable Diesel'!$BG183&lt;1,0,(((('Renewable Diesel'!$BG183-1)*'Renewable Diesel'!$BF183)*'RD Feedstock Breakdown'!ED174)*'Feedstock Conversion Rates'!$B$5))</f>
        <v>0</v>
      </c>
      <c r="FF174" s="102">
        <f>IF('Renewable Diesel'!$BG183&lt;1,0,(((('Renewable Diesel'!$BG183-1)*'Renewable Diesel'!$BF183)*'RD Feedstock Breakdown'!EE174)*'Feedstock Conversion Rates'!$B$6))</f>
        <v>0</v>
      </c>
      <c r="FG174" s="102">
        <f>IF('Renewable Diesel'!$BG183&lt;1,0,(((('Renewable Diesel'!$BG183-1)*'Renewable Diesel'!$BF183)*'RD Feedstock Breakdown'!EF174)*'Feedstock Conversion Rates'!$B$7))</f>
        <v>0</v>
      </c>
      <c r="FH174" s="102">
        <f>IF('Renewable Diesel'!$BG183&lt;1,0,(((('Renewable Diesel'!$BG183-1)*'Renewable Diesel'!$BF183)*'RD Feedstock Breakdown'!EG174)*'Feedstock Conversion Rates'!$B$8))</f>
        <v>0</v>
      </c>
      <c r="FI174" s="102">
        <f>IF('Renewable Diesel'!$BG183&lt;1,0,(((('Renewable Diesel'!$BG183-1)*'Renewable Diesel'!$BF183)*'RD Feedstock Breakdown'!EH174)*'Feedstock Conversion Rates'!$B$9))</f>
        <v>0</v>
      </c>
      <c r="FJ174" s="102">
        <f t="shared" si="126"/>
        <v>0</v>
      </c>
      <c r="FL174" s="3">
        <f>('Renewable Diesel'!AX183/12*$FO$80)*'RD Feedstock Breakdown'!EC174*7.5</f>
        <v>927.2283341294052</v>
      </c>
      <c r="FM174" s="3">
        <f t="shared" si="96"/>
        <v>315.35701304606278</v>
      </c>
      <c r="FR174" s="3">
        <f>('Renewable Diesel'!AX183-'Renewable Diesel'!BI183)/12*$FO$80</f>
        <v>15.720000000000027</v>
      </c>
      <c r="FS174" s="100">
        <f t="shared" si="97"/>
        <v>0.35991395793475212</v>
      </c>
      <c r="FT174" s="3">
        <f t="shared" si="98"/>
        <v>42.433855640507346</v>
      </c>
      <c r="FY174" s="3">
        <f>'Renewable Diesel'!BF183*('Renewable Diesel'!BI183/'Renewable Diesel'!AX183)</f>
        <v>216.29966885449781</v>
      </c>
      <c r="FZ174" s="3">
        <f>('Renewable Diesel'!BJ183*'Renewable Diesel'!BG183)/12</f>
        <v>11.26884829794138</v>
      </c>
      <c r="GA174" s="3">
        <f t="shared" si="105"/>
        <v>30.418618442087826</v>
      </c>
      <c r="GD174" s="91">
        <f>'Renewable Diesel'!BB183*0.32</f>
        <v>11.6787008</v>
      </c>
      <c r="GE174" s="91">
        <f>'Renewable Diesel'!BC183</f>
        <v>3.8450150000000001</v>
      </c>
      <c r="GF174" s="91">
        <f>'Renewable Diesel'!BD183</f>
        <v>0</v>
      </c>
      <c r="GG174" s="91">
        <f t="shared" si="109"/>
        <v>3.8450150000000001</v>
      </c>
      <c r="GH174" s="124">
        <v>1</v>
      </c>
      <c r="GI174" s="102">
        <f>$GG174*EA174*'Feedstock Conversion Rates'!$B$2</f>
        <v>8.3924960561701525E-2</v>
      </c>
      <c r="GJ174" s="102">
        <f>$GG174*EB174*'Feedstock Conversion Rates'!$B$3</f>
        <v>9.4248422613214231</v>
      </c>
      <c r="GK174" s="102">
        <f>$GG174*EC174*'Feedstock Conversion Rates'!$B$4</f>
        <v>10.379059252263682</v>
      </c>
      <c r="GL174" s="102">
        <f>$GG174*ED174*'Feedstock Conversion Rates'!$B$5</f>
        <v>2.4333073213038596</v>
      </c>
      <c r="GM174" s="102">
        <f>$GG174*EE174*'Feedstock Conversion Rates'!$B$6</f>
        <v>5.8266970881683013</v>
      </c>
      <c r="GN174" s="102">
        <f>$GG174*EF174*'Feedstock Conversion Rates'!$B$7</f>
        <v>2.7586671432877283</v>
      </c>
      <c r="GO174" s="102">
        <f>$GG174*EG174*'Feedstock Conversion Rates'!$B$8</f>
        <v>0.26247744046213017</v>
      </c>
      <c r="GP174" s="102">
        <f>$GG174*EH174*'Feedstock Conversion Rates'!B$9</f>
        <v>3.0564607657265586E-2</v>
      </c>
      <c r="GQ174" s="102">
        <f t="shared" si="87"/>
        <v>31.199540075026093</v>
      </c>
      <c r="GR174" s="85">
        <f t="shared" si="107"/>
        <v>8.1142830587204706</v>
      </c>
      <c r="GT174" s="103">
        <f t="shared" si="111"/>
        <v>2.6899422350421093E-3</v>
      </c>
      <c r="GU174" s="103">
        <f t="shared" si="111"/>
        <v>0.30208273066389235</v>
      </c>
      <c r="GV174" s="103">
        <f t="shared" si="111"/>
        <v>0.33266705942795866</v>
      </c>
      <c r="GW174" s="103">
        <f t="shared" si="111"/>
        <v>7.7991768963659128E-2</v>
      </c>
      <c r="GX174" s="103">
        <f t="shared" si="111"/>
        <v>0.18675586480303036</v>
      </c>
      <c r="GY174" s="103">
        <f t="shared" si="111"/>
        <v>8.8420122112502719E-2</v>
      </c>
      <c r="GZ174" s="103">
        <f t="shared" si="111"/>
        <v>8.4128624919132134E-3</v>
      </c>
      <c r="HA174" s="103">
        <f t="shared" si="111"/>
        <v>9.7964930200145029E-4</v>
      </c>
    </row>
    <row r="175" spans="1:209" x14ac:dyDescent="0.25">
      <c r="A175" s="96">
        <v>45748</v>
      </c>
      <c r="B175" s="104">
        <f>23-20+10+85-5-4-4-1.25+2.25-5+15-6-25-45+65+15-22.5-50+40+16.5+27.5+168+80+14-30+15-50-19+22.5-10+5+11-25-50-12.5-27.5-10+10+2+4-1.5+12-26-15-50-15+10-32.5-3-5-2.5-1+5+10-50-35-9-0.5+25+15+25+20+15+85-25+12.5-52.5+10+20-150+20-20+55-25-25-5+40-40+50</f>
        <v>50</v>
      </c>
      <c r="C175" s="104">
        <f>40-10-2.5-27.5+25+25+25-70+120-15-100-10+40-25</f>
        <v>15</v>
      </c>
      <c r="D175" s="104">
        <f t="shared" si="95"/>
        <v>1.5</v>
      </c>
      <c r="E175" s="104">
        <f>('Renewable Diesel'!B184*E$3*'Feedstock Conversion Rates'!$B$2)/12-40+1.25+6-43+30-15+12.5-4+1.5+26+2.5+3-10+50+9-15-25-55+15+45+10-50-25</f>
        <v>19.679999999999993</v>
      </c>
      <c r="F175" s="104">
        <f>('Renewable Diesel'!B184*'RD Feedstock Breakdown'!F$3*'Feedstock Conversion Rates'!B$8)/12+28.5-49-5+2-6+1+6+20-20-3.75+10+2.5+5-20-20</f>
        <v>5.15625</v>
      </c>
      <c r="G175" s="104">
        <f>('Renewable Diesel'!B184*'RD Feedstock Breakdown'!G$3*'Feedstock Conversion Rates'!B$7)/12-25-15-25+4+4-20-40-20+10-17.5+20+50-12+32.5+35-75-75+22.5+5-20+15+125-10-45-10-40-40</f>
        <v>9.6570000000000107</v>
      </c>
      <c r="H175" s="104">
        <f>('Renewable Diesel'!B184*'RD Feedstock Breakdown'!H$3*'Feedstock Conversion Rates'!B$3)/12-85+4-15+70-65-80+50-22.5-5+25+27.5+15+50+15-10+5+50+75-5-25-85-12.5+30+22.5-25-30+150+90-120+25+10+40+50+50-100-50+150-50</f>
        <v>395.40022499999998</v>
      </c>
      <c r="I175" s="106">
        <f t="shared" si="106"/>
        <v>496.39347499999997</v>
      </c>
      <c r="J175" s="104">
        <f t="shared" si="128"/>
        <v>5</v>
      </c>
      <c r="K175" s="104">
        <f t="shared" si="129"/>
        <v>5</v>
      </c>
      <c r="L175" s="104">
        <v>1</v>
      </c>
      <c r="M175" s="104">
        <f>('Renewable Diesel'!C184*'RD Feedstock Breakdown'!M$3*'Feedstock Conversion Rates'!B$2)/12</f>
        <v>7.7902500000000003</v>
      </c>
      <c r="N175" s="104">
        <f>('Renewable Diesel'!C184*'RD Feedstock Breakdown'!N$3*'Feedstock Conversion Rates'!B$8)/12</f>
        <v>3.671875</v>
      </c>
      <c r="O175" s="104">
        <f>('Renewable Diesel'!C184*'RD Feedstock Breakdown'!O$3*'Feedstock Conversion Rates'!B$7)/12</f>
        <v>11.9991</v>
      </c>
      <c r="P175" s="104">
        <f>('Renewable Diesel'!C184*'RD Feedstock Breakdown'!P$3*'Feedstock Conversion Rates'!B$3)/12</f>
        <v>10.4470425</v>
      </c>
      <c r="Q175" s="106">
        <f t="shared" si="119"/>
        <v>44.908267500000001</v>
      </c>
      <c r="R175" s="104">
        <f>('Renewable Diesel'!D184*'RD Feedstock Breakdown'!R$3*'Feedstock Conversion Rates'!B$7)/12</f>
        <v>2.2999999999999998</v>
      </c>
      <c r="S175" s="106">
        <f t="shared" si="67"/>
        <v>2.2999999999999998</v>
      </c>
      <c r="T175" s="104">
        <f t="shared" si="132"/>
        <v>4.8249999999999993</v>
      </c>
      <c r="U175" s="104">
        <v>0</v>
      </c>
      <c r="V175" s="104">
        <f>('Renewable Diesel'!E184*'RD Feedstock Breakdown'!V$3*'Feedstock Conversion Rates'!B$6)/12-5+10</f>
        <v>49.250150000000012</v>
      </c>
      <c r="W175" s="104">
        <f>('Renewable Diesel'!E184*'RD Feedstock Breakdown'!W$3*'Feedstock Conversion Rates'!B$8)/12-5.825-4</f>
        <v>12.354687500000001</v>
      </c>
      <c r="X175" s="106">
        <f t="shared" si="88"/>
        <v>66.429837500000005</v>
      </c>
      <c r="Y175" s="104">
        <f t="shared" si="130"/>
        <v>35.5</v>
      </c>
      <c r="Z175" s="104">
        <f>('Renewable Diesel'!F184*'RD Feedstock Breakdown'!Z$3*'Feedstock Conversion Rates'!B$6)/12-50-32-60+15+25+32.5-50-5+10-25+15+5+50</f>
        <v>89.960000000000008</v>
      </c>
      <c r="AA175" s="104">
        <f>('Renewable Diesel'!F184*'RD Feedstock Breakdown'!AA$3*'Feedstock Conversion Rates'!B$7)/12+80-171+75+70-20</f>
        <v>138.26666666666665</v>
      </c>
      <c r="AB175" s="106">
        <f t="shared" si="62"/>
        <v>263.72666666666669</v>
      </c>
      <c r="AC175" s="104">
        <f>('Renewable Diesel'!G184*'RD Feedstock Breakdown'!AC$3*'Feedstock Conversion Rates'!B$5)/12</f>
        <v>7.864583333333333</v>
      </c>
      <c r="AD175" s="104">
        <f>('Renewable Diesel'!G184*'RD Feedstock Breakdown'!AD$3*'Feedstock Conversion Rates'!B$4)/12</f>
        <v>3.90625</v>
      </c>
      <c r="AE175" s="104">
        <f>('Renewable Diesel'!G184*'RD Feedstock Breakdown'!AE$3*'Feedstock Conversion Rates'!B$6)/12</f>
        <v>4.885416666666667</v>
      </c>
      <c r="AF175" s="106">
        <f t="shared" si="101"/>
        <v>16.65625</v>
      </c>
      <c r="AG175" s="104">
        <f t="shared" si="131"/>
        <v>39</v>
      </c>
      <c r="AH175" s="104">
        <v>0</v>
      </c>
      <c r="AI175" s="104">
        <f>('Renewable Diesel'!H184*'RD Feedstock Breakdown'!AI$3*'Feedstock Conversion Rates'!B$6)/12-130-20+51+5-100-25+100-10-25+15+22.5-22.5+100</f>
        <v>109.51666666666668</v>
      </c>
      <c r="AJ175" s="106">
        <f t="shared" si="65"/>
        <v>148.51666666666668</v>
      </c>
      <c r="AK175" s="104">
        <f>('Renewable Diesel'!J184*'RD Feedstock Breakdown'!AK$3*'Feedstock Conversion Rates'!B$4)/12</f>
        <v>95.8125</v>
      </c>
      <c r="AL175" s="106">
        <f t="shared" si="68"/>
        <v>95.8125</v>
      </c>
      <c r="AM175" s="104">
        <f>('Renewable Diesel'!K184*'RD Feedstock Breakdown'!AM$3*'Feedstock Conversion Rates'!B$4)/12+5+15-10+10-30</f>
        <v>48.59375</v>
      </c>
      <c r="AN175" s="104">
        <f>('Renewable Diesel'!K184*'RD Feedstock Breakdown'!AN$3*'Feedstock Conversion Rates'!B$6)/12-5-15+10-10+30</f>
        <v>34.427083333333329</v>
      </c>
      <c r="AO175" s="106">
        <f t="shared" si="81"/>
        <v>83.020833333333329</v>
      </c>
      <c r="AP175" s="104">
        <f>('Renewable Diesel'!L184*'RD Feedstock Breakdown'!AP$3*'Feedstock Conversion Rates'!B$4)/12+15-10-5+10+5+5</f>
        <v>78.59375</v>
      </c>
      <c r="AQ175" s="104">
        <f>('Renewable Diesel'!L184*'RD Feedstock Breakdown'!AQ$3*'Feedstock Conversion Rates'!B$6)/12-15+10+5-10-5-5</f>
        <v>4.4270833333333321</v>
      </c>
      <c r="AR175" s="106">
        <f t="shared" si="70"/>
        <v>83.020833333333329</v>
      </c>
      <c r="AS175" s="104">
        <f>('Renewable Diesel'!M184*'RD Feedstock Breakdown'!AS$3*'Feedstock Conversion Rates'!B$4)/12-150</f>
        <v>306.25</v>
      </c>
      <c r="AT175" s="104">
        <f>('Renewable Diesel'!M184*'RD Feedstock Breakdown'!AT$3*'Feedstock Conversion Rates'!B$5)/12+150</f>
        <v>150</v>
      </c>
      <c r="AU175" s="106">
        <f t="shared" si="104"/>
        <v>456.25</v>
      </c>
      <c r="AV175" s="104">
        <f>'Renewable Diesel'!N184*'RD Feedstock Breakdown'!$AV$3*'Feedstock Conversion Rates'!$B$4/12-15-10+25+25-22+22.5</f>
        <v>104.24999999999999</v>
      </c>
      <c r="AW175" s="104">
        <f>'Renewable Diesel'!N184*'RD Feedstock Breakdown'!$AW$3*'Feedstock Conversion Rates'!$B$7/12+15+10-25-25+22-22.5</f>
        <v>15.900000000000006</v>
      </c>
      <c r="AX175" s="106">
        <f t="shared" si="63"/>
        <v>120.14999999999999</v>
      </c>
      <c r="AY175" s="104">
        <f>('Renewable Diesel'!O184*'RD Feedstock Breakdown'!AY$3*'Feedstock Conversion Rates'!B$4)/12+34-100-282</f>
        <v>-137.0625</v>
      </c>
      <c r="AZ175" s="104">
        <f>('Renewable Diesel'!O184*'RD Feedstock Breakdown'!AZ$3*'Feedstock Conversion Rates'!B$3)/12-34+100+282</f>
        <v>373.03125</v>
      </c>
      <c r="BA175" s="106">
        <f t="shared" si="120"/>
        <v>235.96875</v>
      </c>
      <c r="BB175" s="104">
        <f>('Renewable Diesel'!Q184*'RD Feedstock Breakdown'!BB$3*'Feedstock Conversion Rates'!B$4)/12</f>
        <v>11.156249999999998</v>
      </c>
      <c r="BC175" s="104">
        <f>('Renewable Diesel'!Q184*'RD Feedstock Breakdown'!BC$3*'Feedstock Conversion Rates'!B$3)/12</f>
        <v>1.4017500000000001</v>
      </c>
      <c r="BD175" s="104">
        <f>('Renewable Diesel'!Q184*'RD Feedstock Breakdown'!BD$3*'Feedstock Conversion Rates'!B$6)/12</f>
        <v>0.8207500000000002</v>
      </c>
      <c r="BE175" s="106">
        <f t="shared" si="90"/>
        <v>13.378749999999998</v>
      </c>
      <c r="BF175" s="104">
        <f>('Renewable Diesel'!R184*'RD Feedstock Breakdown'!BF$3*'Feedstock Conversion Rates'!B$4)/12</f>
        <v>62.5</v>
      </c>
      <c r="BG175" s="106">
        <f t="shared" si="72"/>
        <v>62.5</v>
      </c>
      <c r="BH175" s="104">
        <f>('Renewable Diesel'!T184*'RD Feedstock Breakdown'!BH$3*'Feedstock Conversion Rates'!B$7)/12</f>
        <v>27.599999999999998</v>
      </c>
      <c r="BI175" s="106">
        <f t="shared" si="64"/>
        <v>27.599999999999998</v>
      </c>
      <c r="BJ175" s="104">
        <f>('Renewable Diesel'!W184*'RD Feedstock Breakdown'!BJ$3*'Feedstock Conversion Rates'!B$4)/12</f>
        <v>7.5</v>
      </c>
      <c r="BK175" s="104">
        <f>('Renewable Diesel'!W184*'RD Feedstock Breakdown'!BK$3*'Feedstock Conversion Rates'!B$3)/12</f>
        <v>1.335</v>
      </c>
      <c r="BL175" s="104">
        <f>('Renewable Diesel'!W184*'RD Feedstock Breakdown'!BL$3*'Feedstock Conversion Rates'!B$6)/12</f>
        <v>3.1266666666666669</v>
      </c>
      <c r="BM175" s="104">
        <f>('Renewable Diesel'!W184*'RD Feedstock Breakdown'!BM$3*'Feedstock Conversion Rates'!B$7)/12</f>
        <v>1.5333333333333332</v>
      </c>
      <c r="BN175" s="106">
        <f t="shared" si="112"/>
        <v>13.495000000000001</v>
      </c>
      <c r="BO175" s="104">
        <f>('Renewable Diesel'!P184*'Feedstock Conversion Rates'!B$4)/12</f>
        <v>31.25</v>
      </c>
      <c r="BP175" s="106">
        <f t="shared" si="102"/>
        <v>31.25</v>
      </c>
      <c r="BQ175" s="104">
        <f>('Renewable Diesel'!$S184*'RD Feedstock Breakdown'!BQ$3*'Feedstock Conversion Rates'!B$4)/12+10</f>
        <v>38.125</v>
      </c>
      <c r="BR175" s="104">
        <f>('Renewable Diesel'!$S184*'RD Feedstock Breakdown'!BR$3*'Feedstock Conversion Rates'!B$7)/12-10</f>
        <v>1.5</v>
      </c>
      <c r="BS175" s="106">
        <f t="shared" si="123"/>
        <v>39.625</v>
      </c>
      <c r="BT175" s="106"/>
      <c r="BU175" s="104">
        <f>('Renewable Diesel'!Y184*'Feedstock Conversion Rates'!B$7)/12</f>
        <v>2.6833333333333331</v>
      </c>
      <c r="BV175" s="106">
        <f t="shared" si="93"/>
        <v>2.6833333333333331</v>
      </c>
      <c r="BW175" s="104">
        <f>('Renewable Diesel'!$Z184*'RD Feedstock Breakdown'!BW$3*'Feedstock Conversion Rates'!$B$4)/12</f>
        <v>17.96875</v>
      </c>
      <c r="BX175" s="104">
        <f>('Renewable Diesel'!$Z184*'RD Feedstock Breakdown'!BX$3*'Feedstock Conversion Rates'!$B$5)/12</f>
        <v>1.8088541666666667</v>
      </c>
      <c r="BY175" s="104">
        <f>('Renewable Diesel'!$Z184*'RD Feedstock Breakdown'!BY$3*'Feedstock Conversion Rates'!$B$7)/12</f>
        <v>15.429166666666665</v>
      </c>
      <c r="BZ175" s="104">
        <f>('Renewable Diesel'!$Z184*'RD Feedstock Breakdown'!BZ$3*'Feedstock Conversion Rates'!$B$3)/12</f>
        <v>3.8381249999999998</v>
      </c>
      <c r="CA175" s="106">
        <f t="shared" si="127"/>
        <v>39.044895833333328</v>
      </c>
      <c r="CB175" s="104">
        <f>('Renewable Diesel'!AA184*'Feedstock Conversion Rates'!B$4)/12</f>
        <v>191.25</v>
      </c>
      <c r="CC175" s="106">
        <f t="shared" si="113"/>
        <v>191.25</v>
      </c>
      <c r="CD175" s="104">
        <f>('Renewable Diesel'!$AB184*'RD Feedstock Breakdown'!CD$3*'Feedstock Conversion Rates'!$B$6)/12-15+25</f>
        <v>42.830000000000005</v>
      </c>
      <c r="CE175" s="104">
        <f>('Renewable Diesel'!$AB184*'RD Feedstock Breakdown'!CE$3*'Feedstock Conversion Rates'!$B$4)/12+15-25</f>
        <v>1.25</v>
      </c>
      <c r="CF175" s="106">
        <f t="shared" si="108"/>
        <v>44.080000000000005</v>
      </c>
      <c r="CG175" s="104">
        <f>('Renewable Diesel'!AD184*'Feedstock Conversion Rates'!B$4)/12</f>
        <v>112.5</v>
      </c>
      <c r="CH175" s="106">
        <f t="shared" si="89"/>
        <v>112.5</v>
      </c>
      <c r="CI175" s="104">
        <f>('Renewable Diesel'!$AE184*'RD Feedstock Breakdown'!CI$3*'Feedstock Conversion Rates'!$B$5)/12</f>
        <v>0.34604166666666664</v>
      </c>
      <c r="CJ175" s="104">
        <f>('Renewable Diesel'!$AE184*'RD Feedstock Breakdown'!CJ$3*'Feedstock Conversion Rates'!$B$4)/12</f>
        <v>0.34375</v>
      </c>
      <c r="CK175" s="106">
        <f t="shared" si="103"/>
        <v>0.68979166666666658</v>
      </c>
      <c r="CL175" s="104">
        <f>(((CL$3*'Renewable Diesel'!$AF184)*'Feedstock Conversion Rates'!$B$3)/12)-37</f>
        <v>54.78125</v>
      </c>
      <c r="CM175" s="104">
        <f>(((CM$3*'Renewable Diesel'!$AF184)*'Feedstock Conversion Rates'!$B$6)/12)+37</f>
        <v>90.739583333333343</v>
      </c>
      <c r="CN175" s="104">
        <f>(((CN$3*'Renewable Diesel'!$AF184)*'Feedstock Conversion Rates'!$B$4)/12)</f>
        <v>42.96875</v>
      </c>
      <c r="CO175" s="106">
        <f t="shared" si="91"/>
        <v>188.48958333333334</v>
      </c>
      <c r="CP175" s="106"/>
      <c r="CQ175" s="106"/>
      <c r="CR175" s="106"/>
      <c r="CS175" s="106"/>
      <c r="CT175" s="104">
        <f>('Renewable Diesel'!AI184*'Feedstock Conversion Rates'!$B$4*'RD Feedstock Breakdown'!$CT$3)/12</f>
        <v>29.375</v>
      </c>
      <c r="CU175" s="106">
        <f t="shared" si="99"/>
        <v>29.375</v>
      </c>
      <c r="CV175" s="106"/>
      <c r="CW175" s="106"/>
      <c r="CX175" s="106"/>
      <c r="CY175" s="106"/>
      <c r="CZ175" s="106"/>
      <c r="DA175" s="106"/>
      <c r="DB175" s="106"/>
      <c r="DC175" s="106"/>
      <c r="DD175" s="106"/>
      <c r="DE175" s="106"/>
      <c r="DF175" s="106"/>
      <c r="DG175" s="106"/>
      <c r="DH175" s="106"/>
      <c r="DI175" s="106"/>
      <c r="DJ175" s="104">
        <f>('Renewable Diesel'!AT184*'Feedstock Conversion Rates'!$B$4*0.25)/12</f>
        <v>0</v>
      </c>
      <c r="DK175" s="104">
        <f>('Renewable Diesel'!$AT184*'RD Feedstock Breakdown'!DK$3*'Feedstock Conversion Rates'!$B$3)/12*0.5</f>
        <v>0</v>
      </c>
      <c r="DL175" s="104">
        <f>('Renewable Diesel'!$AT184*'RD Feedstock Breakdown'!$DL$3*'Feedstock Conversion Rates'!$B$6)/12</f>
        <v>0</v>
      </c>
      <c r="DM175" s="104">
        <f>('Renewable Diesel'!$AT184*'RD Feedstock Breakdown'!$DM$3*'Feedstock Conversion Rates'!$B$8)/12</f>
        <v>0</v>
      </c>
      <c r="DN175" s="106">
        <f t="shared" si="110"/>
        <v>0</v>
      </c>
      <c r="DP175" s="104">
        <f t="shared" si="73"/>
        <v>27.470249999999993</v>
      </c>
      <c r="DQ175" s="104">
        <f t="shared" si="74"/>
        <v>840.23464250000006</v>
      </c>
      <c r="DR175" s="104">
        <f t="shared" si="82"/>
        <v>1137.03125</v>
      </c>
      <c r="DS175" s="104">
        <f t="shared" si="100"/>
        <v>223.84447916666667</v>
      </c>
      <c r="DT175" s="104">
        <f t="shared" si="75"/>
        <v>429.98339999999996</v>
      </c>
      <c r="DU175" s="104">
        <f t="shared" si="76"/>
        <v>226.86860000000001</v>
      </c>
      <c r="DV175" s="104">
        <f t="shared" si="83"/>
        <v>21.182812500000001</v>
      </c>
      <c r="DW175" s="104">
        <f t="shared" si="77"/>
        <v>2.5</v>
      </c>
      <c r="DX175" s="106">
        <f t="shared" si="78"/>
        <v>2909.115434166667</v>
      </c>
      <c r="DY175" s="109">
        <f t="shared" si="79"/>
        <v>-9.9475983006414026E-13</v>
      </c>
      <c r="EA175" s="110">
        <f t="shared" si="114"/>
        <v>9.442818829865033E-3</v>
      </c>
      <c r="EB175" s="110">
        <f t="shared" si="114"/>
        <v>0.28882822339454195</v>
      </c>
      <c r="EC175" s="110">
        <f t="shared" si="114"/>
        <v>0.39085119711851835</v>
      </c>
      <c r="ED175" s="110">
        <f t="shared" si="114"/>
        <v>7.6945891021608162E-2</v>
      </c>
      <c r="EE175" s="110">
        <f t="shared" si="114"/>
        <v>0.1478055476761001</v>
      </c>
      <c r="EF175" s="110">
        <f t="shared" si="114"/>
        <v>7.7985423794290867E-2</v>
      </c>
      <c r="EG175" s="110">
        <f t="shared" si="114"/>
        <v>7.2815304099708026E-3</v>
      </c>
      <c r="EH175" s="111">
        <f t="shared" si="84"/>
        <v>8.5936775510461641E-4</v>
      </c>
      <c r="EI175" s="110">
        <f t="shared" si="85"/>
        <v>0.99914063224489524</v>
      </c>
      <c r="EK175" s="112">
        <f>(EA175*'Renewable Diesel'!BF184*'Feedstock Conversion Rates'!B$2)+FB175</f>
        <v>16.528860539288456</v>
      </c>
      <c r="EL175" s="112">
        <f>(EB175*'Renewable Diesel'!BF184*'Feedstock Conversion Rates'!B$3)+FC175</f>
        <v>476.42492823649445</v>
      </c>
      <c r="EM175" s="112">
        <f>(EC175*'Renewable Diesel'!BF184*'Feedstock Conversion Rates'!B$4)+FD175</f>
        <v>603.66367337701161</v>
      </c>
      <c r="EN175" s="112">
        <f>(ED175*'Renewable Diesel'!BF184*'Feedstock Conversion Rates'!B$5)+FE175</f>
        <v>119.63402568103561</v>
      </c>
      <c r="EO175" s="112">
        <f>(EE175*'Renewable Diesel'!BF184*'Feedstock Conversion Rates'!B$6)+FF175</f>
        <v>285.50643792016376</v>
      </c>
      <c r="EP175" s="112">
        <f>(EF175*'Renewable Diesel'!BF184*'Feedstock Conversion Rates'!B$7)+FG175</f>
        <v>147.74867545508872</v>
      </c>
      <c r="EQ175" s="112">
        <f>(EG175*'Renewable Diesel'!BF184*'Feedstock Conversion Rates'!B$8)+FH175</f>
        <v>14.057764909942534</v>
      </c>
      <c r="ER175" s="112">
        <f>(EH175*'Renewable Diesel'!BF184*'Feedstock Conversion Rates'!B$9)+FI175</f>
        <v>1.6369790419091697</v>
      </c>
      <c r="ES175" s="112">
        <f t="shared" si="86"/>
        <v>1665.2013451609344</v>
      </c>
      <c r="ET175" s="91">
        <f>ES175/'Renewable Diesel'!BF184</f>
        <v>8.0861989204836515</v>
      </c>
      <c r="EW175" s="73">
        <f t="shared" si="124"/>
        <v>723.29769905804721</v>
      </c>
      <c r="EX175" s="73">
        <f t="shared" si="125"/>
        <v>941.90364610288702</v>
      </c>
      <c r="EY175" s="92">
        <f t="shared" si="71"/>
        <v>0.43436050610933402</v>
      </c>
      <c r="EZ175" s="92">
        <f t="shared" si="71"/>
        <v>0.56563949389066592</v>
      </c>
      <c r="FB175" s="102">
        <f>IF('Renewable Diesel'!$BG184&lt;1,0,(((('Renewable Diesel'!$BG184-1)*'Renewable Diesel'!$BF184)*'RD Feedstock Breakdown'!EA175)*'Feedstock Conversion Rates'!$B$2))</f>
        <v>0</v>
      </c>
      <c r="FC175" s="102">
        <f>IF('Renewable Diesel'!$BG184&lt;1,0,(((('Renewable Diesel'!$BG184-1)*'Renewable Diesel'!$BF184)*'RD Feedstock Breakdown'!EB175)*'Feedstock Conversion Rates'!$B$3))</f>
        <v>0</v>
      </c>
      <c r="FD175" s="102">
        <f>IF('Renewable Diesel'!$BG184&lt;1,0,(((('Renewable Diesel'!$BG184-1)*'Renewable Diesel'!$BF184)*'RD Feedstock Breakdown'!EC175)*'Feedstock Conversion Rates'!$B$4))</f>
        <v>0</v>
      </c>
      <c r="FE175" s="102">
        <f>IF('Renewable Diesel'!$BG184&lt;1,0,(((('Renewable Diesel'!$BG184-1)*'Renewable Diesel'!$BF184)*'RD Feedstock Breakdown'!ED175)*'Feedstock Conversion Rates'!$B$5))</f>
        <v>0</v>
      </c>
      <c r="FF175" s="102">
        <f>IF('Renewable Diesel'!$BG184&lt;1,0,(((('Renewable Diesel'!$BG184-1)*'Renewable Diesel'!$BF184)*'RD Feedstock Breakdown'!EE175)*'Feedstock Conversion Rates'!$B$6))</f>
        <v>0</v>
      </c>
      <c r="FG175" s="102">
        <f>IF('Renewable Diesel'!$BG184&lt;1,0,(((('Renewable Diesel'!$BG184-1)*'Renewable Diesel'!$BF184)*'RD Feedstock Breakdown'!EF175)*'Feedstock Conversion Rates'!$B$7))</f>
        <v>0</v>
      </c>
      <c r="FH175" s="102">
        <f>IF('Renewable Diesel'!$BG184&lt;1,0,(((('Renewable Diesel'!$BG184-1)*'Renewable Diesel'!$BF184)*'RD Feedstock Breakdown'!EG175)*'Feedstock Conversion Rates'!$B$8))</f>
        <v>0</v>
      </c>
      <c r="FI175" s="102">
        <f>IF('Renewable Diesel'!$BG184&lt;1,0,(((('Renewable Diesel'!$BG184-1)*'Renewable Diesel'!$BF184)*'RD Feedstock Breakdown'!EH175)*'Feedstock Conversion Rates'!$B$9))</f>
        <v>0</v>
      </c>
      <c r="FJ175" s="102">
        <f t="shared" si="126"/>
        <v>0</v>
      </c>
      <c r="FL175" s="3">
        <f>('Renewable Diesel'!AX184/12*$FO$80)*'RD Feedstock Breakdown'!EC175*7.5</f>
        <v>1006.9303965765829</v>
      </c>
      <c r="FM175" s="3">
        <f t="shared" si="96"/>
        <v>403.26672319957129</v>
      </c>
      <c r="FR175" s="3">
        <f>('Renewable Diesel'!AX184-'Renewable Diesel'!BI184)/12*$FO$80</f>
        <v>15.720000000000027</v>
      </c>
      <c r="FS175" s="100">
        <f t="shared" si="97"/>
        <v>0.39085119711851835</v>
      </c>
      <c r="FT175" s="3">
        <f t="shared" si="98"/>
        <v>46.081356140273392</v>
      </c>
      <c r="FY175" s="3">
        <f>'Renewable Diesel'!BF184*('Renewable Diesel'!BI184/'Renewable Diesel'!AX184)</f>
        <v>196.50700736837649</v>
      </c>
      <c r="FZ175" s="3">
        <f>('Renewable Diesel'!BJ184*'Renewable Diesel'!BG184)/12</f>
        <v>9.2469403723966508</v>
      </c>
      <c r="GA175" s="3">
        <f t="shared" si="105"/>
        <v>27.106332856760915</v>
      </c>
      <c r="GD175" s="91">
        <f>'Renewable Diesel'!BB184*0.32</f>
        <v>0</v>
      </c>
      <c r="GE175" s="91">
        <f>'Renewable Diesel'!BC184</f>
        <v>8.4044749199190303</v>
      </c>
      <c r="GF175" s="91">
        <f>'Renewable Diesel'!BD184</f>
        <v>0</v>
      </c>
      <c r="GG175" s="91">
        <f t="shared" si="109"/>
        <v>8.4044749199190303</v>
      </c>
      <c r="GH175" s="124">
        <v>1</v>
      </c>
      <c r="GI175" s="102">
        <f>$GG175*EA175*'Feedstock Conversion Rates'!$B$2</f>
        <v>0.67457643924598854</v>
      </c>
      <c r="GJ175" s="102">
        <f>$GG175*EB175*'Feedstock Conversion Rates'!$B$3</f>
        <v>19.443870973070432</v>
      </c>
      <c r="GK175" s="102">
        <f>$GG175*EC175*'Feedstock Conversion Rates'!$B$4</f>
        <v>24.636743127021873</v>
      </c>
      <c r="GL175" s="102">
        <f>$GG175*ED175*'Feedstock Conversion Rates'!$B$5</f>
        <v>4.8825080751785617</v>
      </c>
      <c r="GM175" s="102">
        <f>$GG175*EE175*'Feedstock Conversion Rates'!$B$6</f>
        <v>11.652098813236218</v>
      </c>
      <c r="GN175" s="102">
        <f>$GG175*EF175*'Feedstock Conversion Rates'!$B$7</f>
        <v>6.0299241532650436</v>
      </c>
      <c r="GO175" s="102">
        <f>$GG175*EG175*'Feedstock Conversion Rates'!$B$8</f>
        <v>0.57372599727400631</v>
      </c>
      <c r="GP175" s="102">
        <f>$GG175*EH175*'Feedstock Conversion Rates'!B$9</f>
        <v>6.6808446389065773E-2</v>
      </c>
      <c r="GQ175" s="102">
        <f t="shared" si="87"/>
        <v>67.960256024681186</v>
      </c>
      <c r="GR175" s="85">
        <f t="shared" si="107"/>
        <v>8.0861989204836515</v>
      </c>
      <c r="GT175" s="103">
        <f t="shared" si="111"/>
        <v>9.9260432303404211E-3</v>
      </c>
      <c r="GU175" s="103">
        <f t="shared" si="111"/>
        <v>0.28610649974610131</v>
      </c>
      <c r="GV175" s="103">
        <f t="shared" si="111"/>
        <v>0.36251692633521754</v>
      </c>
      <c r="GW175" s="103">
        <f t="shared" si="111"/>
        <v>7.1843579774116442E-2</v>
      </c>
      <c r="GX175" s="103">
        <f t="shared" si="111"/>
        <v>0.17145460442356944</v>
      </c>
      <c r="GY175" s="103">
        <f t="shared" si="111"/>
        <v>8.8727213609600744E-2</v>
      </c>
      <c r="GZ175" s="103">
        <f t="shared" si="111"/>
        <v>8.4420811638150055E-3</v>
      </c>
      <c r="HA175" s="103">
        <f t="shared" si="111"/>
        <v>9.8305171723901208E-4</v>
      </c>
    </row>
    <row r="176" spans="1:209" x14ac:dyDescent="0.25">
      <c r="A176" s="96">
        <v>45778</v>
      </c>
      <c r="B176" s="104">
        <f t="shared" si="133"/>
        <v>0</v>
      </c>
      <c r="C176" s="104">
        <f>40-10-2.5-27.5+25+25+25-70+120-15-100-10+40-25-10</f>
        <v>5</v>
      </c>
      <c r="D176" s="104">
        <f t="shared" si="95"/>
        <v>1.5</v>
      </c>
      <c r="E176" s="104">
        <f>('Renewable Diesel'!B185*E$3*'Feedstock Conversion Rates'!$B$2)/12-40+1.25+6-43+30-15+12.5-4+1.5+26+2.5+3-10+50+9-15-25-55+15+45+10-50-25</f>
        <v>19.679999999999993</v>
      </c>
      <c r="F176" s="104">
        <f>('Renewable Diesel'!B185*'RD Feedstock Breakdown'!F$3*'Feedstock Conversion Rates'!B$8)/12+28.5-49-5+2-6+1+6+20-20-3.75+10+2.5+5-20-20+10</f>
        <v>15.15625</v>
      </c>
      <c r="G176" s="104">
        <f>('Renewable Diesel'!B185*'RD Feedstock Breakdown'!G$3*'Feedstock Conversion Rates'!B$7)/12-25-15-25+4+4-20-40-20+10-17.5+20+50-12+32.5+35-75-75+22.5+5-20+15+125-10-45-10-40-40</f>
        <v>9.6570000000000107</v>
      </c>
      <c r="H176" s="104">
        <f>('Renewable Diesel'!B185*'RD Feedstock Breakdown'!H$3*'Feedstock Conversion Rates'!B$3)/12-85+4-15+70-65-80+50-22.5-5+25+27.5+15+50+15-10+5+50+75-5-25-85-12.5+30+22.5-25-30+150+90-120+25+10+40+50+50-100-50+150</f>
        <v>445.40022499999998</v>
      </c>
      <c r="I176" s="106">
        <f t="shared" si="106"/>
        <v>496.39347499999997</v>
      </c>
      <c r="J176" s="104">
        <f t="shared" si="128"/>
        <v>5</v>
      </c>
      <c r="K176" s="104">
        <f t="shared" si="129"/>
        <v>5</v>
      </c>
      <c r="L176" s="104">
        <v>1</v>
      </c>
      <c r="M176" s="104">
        <f>('Renewable Diesel'!C185*'RD Feedstock Breakdown'!M$3*'Feedstock Conversion Rates'!B$2)/12</f>
        <v>7.7902500000000003</v>
      </c>
      <c r="N176" s="104">
        <f>('Renewable Diesel'!C185*'RD Feedstock Breakdown'!N$3*'Feedstock Conversion Rates'!B$8)/12</f>
        <v>3.671875</v>
      </c>
      <c r="O176" s="104">
        <f>('Renewable Diesel'!C185*'RD Feedstock Breakdown'!O$3*'Feedstock Conversion Rates'!B$7)/12</f>
        <v>11.9991</v>
      </c>
      <c r="P176" s="104">
        <f>('Renewable Diesel'!C185*'RD Feedstock Breakdown'!P$3*'Feedstock Conversion Rates'!B$3)/12</f>
        <v>10.4470425</v>
      </c>
      <c r="Q176" s="106">
        <f t="shared" si="119"/>
        <v>44.908267500000001</v>
      </c>
      <c r="R176" s="104">
        <f>('Renewable Diesel'!D185*'RD Feedstock Breakdown'!R$3*'Feedstock Conversion Rates'!B$7)/12</f>
        <v>2.2999999999999998</v>
      </c>
      <c r="S176" s="106">
        <f t="shared" si="67"/>
        <v>2.2999999999999998</v>
      </c>
      <c r="T176" s="104">
        <f t="shared" si="132"/>
        <v>4.8249999999999993</v>
      </c>
      <c r="U176" s="104">
        <f>0+10</f>
        <v>10</v>
      </c>
      <c r="V176" s="104">
        <f>('Renewable Diesel'!E185*'RD Feedstock Breakdown'!V$3*'Feedstock Conversion Rates'!B$6)/12-5+10</f>
        <v>49.250150000000012</v>
      </c>
      <c r="W176" s="104">
        <f>('Renewable Diesel'!E185*'RD Feedstock Breakdown'!W$3*'Feedstock Conversion Rates'!B$8)/12-5.825-4-10</f>
        <v>2.3546875000000007</v>
      </c>
      <c r="X176" s="106">
        <f t="shared" si="88"/>
        <v>66.429837500000005</v>
      </c>
      <c r="Y176" s="104">
        <f t="shared" si="130"/>
        <v>35.5</v>
      </c>
      <c r="Z176" s="104">
        <f>('Renewable Diesel'!F185*'RD Feedstock Breakdown'!Z$3*'Feedstock Conversion Rates'!B$6)/12-50-32-60+15+25+32.5-50-5+10-25+15+5+50</f>
        <v>89.960000000000008</v>
      </c>
      <c r="AA176" s="104">
        <f>('Renewable Diesel'!F185*'RD Feedstock Breakdown'!AA$3*'Feedstock Conversion Rates'!B$7)/12+80-171+75+70-20</f>
        <v>138.26666666666665</v>
      </c>
      <c r="AB176" s="106">
        <f t="shared" si="62"/>
        <v>263.72666666666669</v>
      </c>
      <c r="AC176" s="104">
        <f>('Renewable Diesel'!G185*'RD Feedstock Breakdown'!AC$3*'Feedstock Conversion Rates'!B$5)/12</f>
        <v>7.864583333333333</v>
      </c>
      <c r="AD176" s="104">
        <f>('Renewable Diesel'!G185*'RD Feedstock Breakdown'!AD$3*'Feedstock Conversion Rates'!B$4)/12</f>
        <v>3.90625</v>
      </c>
      <c r="AE176" s="104">
        <f>('Renewable Diesel'!G185*'RD Feedstock Breakdown'!AE$3*'Feedstock Conversion Rates'!B$6)/12</f>
        <v>4.885416666666667</v>
      </c>
      <c r="AF176" s="106">
        <f t="shared" si="101"/>
        <v>16.65625</v>
      </c>
      <c r="AG176" s="104">
        <f t="shared" si="131"/>
        <v>39</v>
      </c>
      <c r="AH176" s="104">
        <v>0</v>
      </c>
      <c r="AI176" s="104">
        <f>('Renewable Diesel'!H185*'RD Feedstock Breakdown'!AI$3*'Feedstock Conversion Rates'!B$6)/12-130-20+51+5-100-25+100-10-25+15+22.5-22.5+100</f>
        <v>109.51666666666668</v>
      </c>
      <c r="AJ176" s="106">
        <f t="shared" si="65"/>
        <v>148.51666666666668</v>
      </c>
      <c r="AK176" s="104">
        <f>('Renewable Diesel'!J185*'RD Feedstock Breakdown'!AK$3*'Feedstock Conversion Rates'!B$4)/12</f>
        <v>95.8125</v>
      </c>
      <c r="AL176" s="106">
        <f t="shared" si="68"/>
        <v>95.8125</v>
      </c>
      <c r="AM176" s="104">
        <f>('Renewable Diesel'!K185*'RD Feedstock Breakdown'!AM$3*'Feedstock Conversion Rates'!B$4)/12+5+15-10+10-30</f>
        <v>48.59375</v>
      </c>
      <c r="AN176" s="104">
        <f>('Renewable Diesel'!K185*'RD Feedstock Breakdown'!AN$3*'Feedstock Conversion Rates'!B$6)/12-5-15+10-10+30</f>
        <v>34.427083333333329</v>
      </c>
      <c r="AO176" s="106">
        <f t="shared" si="81"/>
        <v>83.020833333333329</v>
      </c>
      <c r="AP176" s="104">
        <f>('Renewable Diesel'!L185*'RD Feedstock Breakdown'!AP$3*'Feedstock Conversion Rates'!B$4)/12+15-10-5+10+5+5</f>
        <v>78.59375</v>
      </c>
      <c r="AQ176" s="104">
        <f>('Renewable Diesel'!L185*'RD Feedstock Breakdown'!AQ$3*'Feedstock Conversion Rates'!B$6)/12-15+10+5-10-5-5</f>
        <v>4.4270833333333321</v>
      </c>
      <c r="AR176" s="106">
        <f t="shared" si="70"/>
        <v>83.020833333333329</v>
      </c>
      <c r="AS176" s="104">
        <f>('Renewable Diesel'!M185*'RD Feedstock Breakdown'!AS$3*'Feedstock Conversion Rates'!B$4)/12-150</f>
        <v>306.25</v>
      </c>
      <c r="AT176" s="104">
        <f>('Renewable Diesel'!M185*'RD Feedstock Breakdown'!AT$3*'Feedstock Conversion Rates'!B$5)/12+150</f>
        <v>150</v>
      </c>
      <c r="AU176" s="106">
        <f t="shared" si="104"/>
        <v>456.25</v>
      </c>
      <c r="AV176" s="104">
        <f>'Renewable Diesel'!N185*'RD Feedstock Breakdown'!$AV$3*'Feedstock Conversion Rates'!$B$4/12-15-10+25+25-22+22.5</f>
        <v>104.24999999999999</v>
      </c>
      <c r="AW176" s="104">
        <f>'Renewable Diesel'!N185*'RD Feedstock Breakdown'!$AW$3*'Feedstock Conversion Rates'!$B$7/12+15+10-25-25+22-22.5</f>
        <v>15.900000000000006</v>
      </c>
      <c r="AX176" s="106">
        <f t="shared" si="63"/>
        <v>120.14999999999999</v>
      </c>
      <c r="AY176" s="104">
        <f>('Renewable Diesel'!O185*'RD Feedstock Breakdown'!AY$3*'Feedstock Conversion Rates'!B$4)/12+34-100-282</f>
        <v>-137.0625</v>
      </c>
      <c r="AZ176" s="104">
        <f>('Renewable Diesel'!O185*'RD Feedstock Breakdown'!AZ$3*'Feedstock Conversion Rates'!B$3)/12-34+100+282</f>
        <v>373.03125</v>
      </c>
      <c r="BA176" s="106">
        <f t="shared" si="120"/>
        <v>235.96875</v>
      </c>
      <c r="BB176" s="104">
        <f>('Renewable Diesel'!Q185*'RD Feedstock Breakdown'!BB$3*'Feedstock Conversion Rates'!B$4)/12</f>
        <v>11.156249999999998</v>
      </c>
      <c r="BC176" s="104">
        <f>('Renewable Diesel'!Q185*'RD Feedstock Breakdown'!BC$3*'Feedstock Conversion Rates'!B$3)/12</f>
        <v>1.4017500000000001</v>
      </c>
      <c r="BD176" s="104">
        <f>('Renewable Diesel'!Q185*'RD Feedstock Breakdown'!BD$3*'Feedstock Conversion Rates'!B$6)/12</f>
        <v>0.8207500000000002</v>
      </c>
      <c r="BE176" s="106">
        <f t="shared" si="90"/>
        <v>13.378749999999998</v>
      </c>
      <c r="BF176" s="104">
        <f>('Renewable Diesel'!R185*'RD Feedstock Breakdown'!BF$3*'Feedstock Conversion Rates'!B$4)/12</f>
        <v>62.5</v>
      </c>
      <c r="BG176" s="106">
        <f t="shared" si="72"/>
        <v>62.5</v>
      </c>
      <c r="BH176" s="104">
        <f>('Renewable Diesel'!T185*'RD Feedstock Breakdown'!BH$3*'Feedstock Conversion Rates'!B$7)/12</f>
        <v>27.599999999999998</v>
      </c>
      <c r="BI176" s="106">
        <f t="shared" si="64"/>
        <v>27.599999999999998</v>
      </c>
      <c r="BJ176" s="104">
        <f>('Renewable Diesel'!W185*'RD Feedstock Breakdown'!BJ$3*'Feedstock Conversion Rates'!B$4)/12</f>
        <v>7.5</v>
      </c>
      <c r="BK176" s="104">
        <f>('Renewable Diesel'!W185*'RD Feedstock Breakdown'!BK$3*'Feedstock Conversion Rates'!B$3)/12</f>
        <v>1.335</v>
      </c>
      <c r="BL176" s="104">
        <f>('Renewable Diesel'!W185*'RD Feedstock Breakdown'!BL$3*'Feedstock Conversion Rates'!B$6)/12</f>
        <v>3.1266666666666669</v>
      </c>
      <c r="BM176" s="104">
        <f>('Renewable Diesel'!W185*'RD Feedstock Breakdown'!BM$3*'Feedstock Conversion Rates'!B$7)/12</f>
        <v>1.5333333333333332</v>
      </c>
      <c r="BN176" s="106">
        <f t="shared" si="112"/>
        <v>13.495000000000001</v>
      </c>
      <c r="BO176" s="104">
        <f>('Renewable Diesel'!P185*'Feedstock Conversion Rates'!B$4)/12</f>
        <v>31.25</v>
      </c>
      <c r="BP176" s="106">
        <f t="shared" si="102"/>
        <v>31.25</v>
      </c>
      <c r="BQ176" s="104">
        <f>('Renewable Diesel'!$S185*'RD Feedstock Breakdown'!BQ$3*'Feedstock Conversion Rates'!B$4)/12+10</f>
        <v>38.125</v>
      </c>
      <c r="BR176" s="104">
        <f>('Renewable Diesel'!$S185*'RD Feedstock Breakdown'!BR$3*'Feedstock Conversion Rates'!B$7)/12-10</f>
        <v>1.5</v>
      </c>
      <c r="BS176" s="106">
        <f t="shared" si="123"/>
        <v>39.625</v>
      </c>
      <c r="BT176" s="106"/>
      <c r="BU176" s="104">
        <f>('Renewable Diesel'!Y185*'Feedstock Conversion Rates'!B$7)/12</f>
        <v>2.6833333333333331</v>
      </c>
      <c r="BV176" s="106">
        <f t="shared" si="93"/>
        <v>2.6833333333333331</v>
      </c>
      <c r="BW176" s="104">
        <f>('Renewable Diesel'!$Z185*'RD Feedstock Breakdown'!BW$3*'Feedstock Conversion Rates'!$B$4)/12</f>
        <v>17.96875</v>
      </c>
      <c r="BX176" s="104">
        <f>('Renewable Diesel'!$Z185*'RD Feedstock Breakdown'!BX$3*'Feedstock Conversion Rates'!$B$5)/12</f>
        <v>1.8088541666666667</v>
      </c>
      <c r="BY176" s="104">
        <f>('Renewable Diesel'!$Z185*'RD Feedstock Breakdown'!BY$3*'Feedstock Conversion Rates'!$B$7)/12</f>
        <v>15.429166666666665</v>
      </c>
      <c r="BZ176" s="104">
        <f>('Renewable Diesel'!$Z185*'RD Feedstock Breakdown'!BZ$3*'Feedstock Conversion Rates'!$B$3)/12</f>
        <v>3.8381249999999998</v>
      </c>
      <c r="CA176" s="106">
        <f t="shared" si="127"/>
        <v>39.044895833333328</v>
      </c>
      <c r="CB176" s="104">
        <f>('Renewable Diesel'!AA185*'Feedstock Conversion Rates'!B$4)/12</f>
        <v>191.25</v>
      </c>
      <c r="CC176" s="106">
        <f t="shared" si="113"/>
        <v>191.25</v>
      </c>
      <c r="CD176" s="104">
        <f>('Renewable Diesel'!$AB185*'RD Feedstock Breakdown'!CD$3*'Feedstock Conversion Rates'!$B$6)/12-15+25</f>
        <v>42.830000000000005</v>
      </c>
      <c r="CE176" s="104">
        <f>('Renewable Diesel'!$AB185*'RD Feedstock Breakdown'!CE$3*'Feedstock Conversion Rates'!$B$4)/12+15-25</f>
        <v>1.25</v>
      </c>
      <c r="CF176" s="106">
        <f t="shared" si="108"/>
        <v>44.080000000000005</v>
      </c>
      <c r="CG176" s="104">
        <f>('Renewable Diesel'!AD185*'Feedstock Conversion Rates'!B$4)/12</f>
        <v>112.5</v>
      </c>
      <c r="CH176" s="106">
        <f t="shared" si="89"/>
        <v>112.5</v>
      </c>
      <c r="CI176" s="104">
        <f>('Renewable Diesel'!$AE185*'RD Feedstock Breakdown'!CI$3*'Feedstock Conversion Rates'!$B$5)/12</f>
        <v>0.34604166666666664</v>
      </c>
      <c r="CJ176" s="104">
        <f>('Renewable Diesel'!$AE185*'RD Feedstock Breakdown'!CJ$3*'Feedstock Conversion Rates'!$B$4)/12</f>
        <v>0.34375</v>
      </c>
      <c r="CK176" s="106">
        <f t="shared" si="103"/>
        <v>0.68979166666666658</v>
      </c>
      <c r="CL176" s="104">
        <f>(((CL$3*'Renewable Diesel'!$AF185)*'Feedstock Conversion Rates'!$B$3)/12)-37</f>
        <v>54.78125</v>
      </c>
      <c r="CM176" s="104">
        <f>(((CM$3*'Renewable Diesel'!$AF185)*'Feedstock Conversion Rates'!$B$6)/12)+37</f>
        <v>90.739583333333343</v>
      </c>
      <c r="CN176" s="104">
        <f>(((CN$3*'Renewable Diesel'!$AF185)*'Feedstock Conversion Rates'!$B$4)/12)</f>
        <v>42.96875</v>
      </c>
      <c r="CO176" s="106">
        <f t="shared" si="91"/>
        <v>188.48958333333334</v>
      </c>
      <c r="CP176" s="106"/>
      <c r="CQ176" s="106"/>
      <c r="CR176" s="106"/>
      <c r="CS176" s="106"/>
      <c r="CT176" s="104">
        <f>('Renewable Diesel'!AI185*'Feedstock Conversion Rates'!$B$4*'RD Feedstock Breakdown'!$CT$3)/12</f>
        <v>29.375</v>
      </c>
      <c r="CU176" s="106">
        <f t="shared" si="99"/>
        <v>29.375</v>
      </c>
      <c r="CV176" s="106"/>
      <c r="CW176" s="106"/>
      <c r="CX176" s="106"/>
      <c r="CY176" s="106"/>
      <c r="CZ176" s="106"/>
      <c r="DA176" s="106"/>
      <c r="DB176" s="106"/>
      <c r="DC176" s="106"/>
      <c r="DD176" s="106"/>
      <c r="DE176" s="106"/>
      <c r="DF176" s="106"/>
      <c r="DG176" s="106"/>
      <c r="DH176" s="106"/>
      <c r="DI176" s="106"/>
      <c r="DJ176" s="104">
        <f>('Renewable Diesel'!AT185*'Feedstock Conversion Rates'!$B$4*0.25)/12</f>
        <v>4.296875</v>
      </c>
      <c r="DK176" s="104">
        <f>('Renewable Diesel'!$AT185*'RD Feedstock Breakdown'!DK$3*'Feedstock Conversion Rates'!$B$3)/12*0.5</f>
        <v>4.5890624999999998</v>
      </c>
      <c r="DL176" s="104">
        <f>('Renewable Diesel'!$AT185*'RD Feedstock Breakdown'!$DL$3*'Feedstock Conversion Rates'!$B$6)/12</f>
        <v>5.3739583333333343</v>
      </c>
      <c r="DM176" s="104">
        <f>('Renewable Diesel'!$AT185*'RD Feedstock Breakdown'!$DM$3*'Feedstock Conversion Rates'!$B$8)/12</f>
        <v>5.37109375</v>
      </c>
      <c r="DN176" s="106">
        <f t="shared" si="110"/>
        <v>19.630989583333335</v>
      </c>
      <c r="DP176" s="104">
        <f t="shared" si="73"/>
        <v>27.470249999999993</v>
      </c>
      <c r="DQ176" s="104">
        <f t="shared" si="74"/>
        <v>894.82370500000002</v>
      </c>
      <c r="DR176" s="104">
        <f t="shared" si="82"/>
        <v>1097.03125</v>
      </c>
      <c r="DS176" s="104">
        <f t="shared" si="100"/>
        <v>218.14135416666664</v>
      </c>
      <c r="DT176" s="104">
        <f t="shared" si="75"/>
        <v>435.35735833333331</v>
      </c>
      <c r="DU176" s="104">
        <f t="shared" si="76"/>
        <v>226.86860000000001</v>
      </c>
      <c r="DV176" s="104">
        <f t="shared" si="83"/>
        <v>26.553906250000001</v>
      </c>
      <c r="DW176" s="104">
        <f t="shared" si="77"/>
        <v>2.5</v>
      </c>
      <c r="DX176" s="106">
        <f t="shared" si="78"/>
        <v>2928.7464237499998</v>
      </c>
      <c r="DY176" s="109">
        <f t="shared" si="79"/>
        <v>-5.0803805606847163E-13</v>
      </c>
      <c r="EA176" s="110">
        <f t="shared" si="114"/>
        <v>9.3795248974907069E-3</v>
      </c>
      <c r="EB176" s="110">
        <f t="shared" si="114"/>
        <v>0.30553130094965947</v>
      </c>
      <c r="EC176" s="110">
        <f t="shared" si="114"/>
        <v>0.37457365414222132</v>
      </c>
      <c r="ED176" s="110">
        <f t="shared" si="114"/>
        <v>7.4482840985378315E-2</v>
      </c>
      <c r="EE176" s="110">
        <f t="shared" si="114"/>
        <v>0.14864972767970019</v>
      </c>
      <c r="EF176" s="110">
        <f t="shared" si="114"/>
        <v>7.7462698088254053E-2</v>
      </c>
      <c r="EG176" s="110">
        <f t="shared" si="114"/>
        <v>9.0666457275601492E-3</v>
      </c>
      <c r="EH176" s="111">
        <f t="shared" si="84"/>
        <v>8.5360752973586969E-4</v>
      </c>
      <c r="EI176" s="110">
        <f t="shared" si="85"/>
        <v>0.99914639247026416</v>
      </c>
      <c r="EK176" s="112">
        <f>(EA176*'Renewable Diesel'!BF185*'Feedstock Conversion Rates'!B$2)+FB176</f>
        <v>16.331951798305465</v>
      </c>
      <c r="EL176" s="112">
        <f>(EB176*'Renewable Diesel'!BF185*'Feedstock Conversion Rates'!B$3)+FC176</f>
        <v>501.33329530506779</v>
      </c>
      <c r="EM176" s="112">
        <f>(EC176*'Renewable Diesel'!BF185*'Feedstock Conversion Rates'!B$4)+FD176</f>
        <v>575.48871842323956</v>
      </c>
      <c r="EN176" s="112">
        <f>(ED176*'Renewable Diesel'!BF185*'Feedstock Conversion Rates'!B$5)+FE176</f>
        <v>115.19708996449728</v>
      </c>
      <c r="EO176" s="112">
        <f>(EE176*'Renewable Diesel'!BF185*'Feedstock Conversion Rates'!B$6)+FF176</f>
        <v>285.63095999895808</v>
      </c>
      <c r="EP176" s="112">
        <f>(EF176*'Renewable Diesel'!BF185*'Feedstock Conversion Rates'!B$7)+FG176</f>
        <v>145.9885416820066</v>
      </c>
      <c r="EQ176" s="112">
        <f>(EG176*'Renewable Diesel'!BF185*'Feedstock Conversion Rates'!B$8)+FH176</f>
        <v>17.412304203895005</v>
      </c>
      <c r="ER176" s="112">
        <f>(EH176*'Renewable Diesel'!BF185*'Feedstock Conversion Rates'!B$9)+FI176</f>
        <v>1.6174776684544359</v>
      </c>
      <c r="ES176" s="112">
        <f t="shared" si="86"/>
        <v>1659.0003390444244</v>
      </c>
      <c r="ET176" s="91">
        <f>ES176/'Renewable Diesel'!BF185</f>
        <v>8.0985664791351688</v>
      </c>
      <c r="EW176" s="73">
        <f t="shared" si="124"/>
        <v>690.68580838773687</v>
      </c>
      <c r="EX176" s="73">
        <f t="shared" si="125"/>
        <v>968.31453065668734</v>
      </c>
      <c r="EY176" s="92">
        <f t="shared" si="71"/>
        <v>0.41632650225108953</v>
      </c>
      <c r="EZ176" s="92">
        <f t="shared" si="71"/>
        <v>0.58367349774891031</v>
      </c>
      <c r="FB176" s="102">
        <f>IF('Renewable Diesel'!$BG185&lt;1,0,(((('Renewable Diesel'!$BG185-1)*'Renewable Diesel'!$BF185)*'RD Feedstock Breakdown'!EA176)*'Feedstock Conversion Rates'!$B$2))</f>
        <v>0</v>
      </c>
      <c r="FC176" s="102">
        <f>IF('Renewable Diesel'!$BG185&lt;1,0,(((('Renewable Diesel'!$BG185-1)*'Renewable Diesel'!$BF185)*'RD Feedstock Breakdown'!EB176)*'Feedstock Conversion Rates'!$B$3))</f>
        <v>0</v>
      </c>
      <c r="FD176" s="102">
        <f>IF('Renewable Diesel'!$BG185&lt;1,0,(((('Renewable Diesel'!$BG185-1)*'Renewable Diesel'!$BF185)*'RD Feedstock Breakdown'!EC176)*'Feedstock Conversion Rates'!$B$4))</f>
        <v>0</v>
      </c>
      <c r="FE176" s="102">
        <f>IF('Renewable Diesel'!$BG185&lt;1,0,(((('Renewable Diesel'!$BG185-1)*'Renewable Diesel'!$BF185)*'RD Feedstock Breakdown'!ED176)*'Feedstock Conversion Rates'!$B$5))</f>
        <v>0</v>
      </c>
      <c r="FF176" s="102">
        <f>IF('Renewable Diesel'!$BG185&lt;1,0,(((('Renewable Diesel'!$BG185-1)*'Renewable Diesel'!$BF185)*'RD Feedstock Breakdown'!EE176)*'Feedstock Conversion Rates'!$B$6))</f>
        <v>0</v>
      </c>
      <c r="FG176" s="102">
        <f>IF('Renewable Diesel'!$BG185&lt;1,0,(((('Renewable Diesel'!$BG185-1)*'Renewable Diesel'!$BF185)*'RD Feedstock Breakdown'!EF176)*'Feedstock Conversion Rates'!$B$7))</f>
        <v>0</v>
      </c>
      <c r="FH176" s="102">
        <f>IF('Renewable Diesel'!$BG185&lt;1,0,(((('Renewable Diesel'!$BG185-1)*'Renewable Diesel'!$BF185)*'RD Feedstock Breakdown'!EG176)*'Feedstock Conversion Rates'!$B$8))</f>
        <v>0</v>
      </c>
      <c r="FI176" s="102">
        <f>IF('Renewable Diesel'!$BG185&lt;1,0,(((('Renewable Diesel'!$BG185-1)*'Renewable Diesel'!$BF185)*'RD Feedstock Breakdown'!EH176)*'Feedstock Conversion Rates'!$B$9))</f>
        <v>0</v>
      </c>
      <c r="FJ176" s="102">
        <f t="shared" si="126"/>
        <v>0</v>
      </c>
      <c r="FL176" s="3">
        <f>('Renewable Diesel'!AX185/12*$FO$80)*'RD Feedstock Breakdown'!EC176*7.5</f>
        <v>994.07165638668766</v>
      </c>
      <c r="FM176" s="3">
        <f t="shared" si="96"/>
        <v>418.5829379634481</v>
      </c>
      <c r="FR176" s="3">
        <f>('Renewable Diesel'!AX185-'Renewable Diesel'!BI185)/12*$FO$80</f>
        <v>26.070000000000029</v>
      </c>
      <c r="FS176" s="100">
        <f t="shared" si="97"/>
        <v>0.37457365414222132</v>
      </c>
      <c r="FT176" s="3">
        <f t="shared" si="98"/>
        <v>73.238513726157905</v>
      </c>
      <c r="FY176" s="3">
        <f>'Renewable Diesel'!BF185*('Renewable Diesel'!BI185/'Renewable Diesel'!AX185)</f>
        <v>189.75864658532436</v>
      </c>
      <c r="FZ176" s="3">
        <f>('Renewable Diesel'!BJ185*'Renewable Diesel'!BG185)/12</f>
        <v>15.302081761437085</v>
      </c>
      <c r="GA176" s="3">
        <f t="shared" si="105"/>
        <v>42.988175110233954</v>
      </c>
      <c r="GD176" s="91">
        <f>'Renewable Diesel'!BB185*0.32</f>
        <v>0</v>
      </c>
      <c r="GE176" s="91">
        <f>'Renewable Diesel'!BC185</f>
        <v>10.97616797756708</v>
      </c>
      <c r="GF176" s="91">
        <f>'Renewable Diesel'!BD185</f>
        <v>0</v>
      </c>
      <c r="GG176" s="91">
        <f t="shared" si="109"/>
        <v>10.97616797756708</v>
      </c>
      <c r="GH176" s="124">
        <v>1</v>
      </c>
      <c r="GI176" s="102">
        <f>$GG176*EA176*'Feedstock Conversion Rates'!$B$2</f>
        <v>0.87508554700936048</v>
      </c>
      <c r="GJ176" s="102">
        <f>$GG176*EB176*'Feedstock Conversion Rates'!$B$3</f>
        <v>26.862038681840783</v>
      </c>
      <c r="GK176" s="102">
        <f>$GG176*EC176*'Feedstock Conversion Rates'!$B$4</f>
        <v>30.835375108771018</v>
      </c>
      <c r="GL176" s="102">
        <f>$GG176*ED176*'Feedstock Conversion Rates'!$B$5</f>
        <v>6.1723981144695736</v>
      </c>
      <c r="GM176" s="102">
        <f>$GG176*EE176*'Feedstock Conversion Rates'!$B$6</f>
        <v>15.304449092204086</v>
      </c>
      <c r="GN176" s="102">
        <f>$GG176*EF176*'Feedstock Conversion Rates'!$B$7</f>
        <v>7.8222409931526151</v>
      </c>
      <c r="GO176" s="102">
        <f>$GG176*EG176*'Feedstock Conversion Rates'!$B$8</f>
        <v>0.93297212342616642</v>
      </c>
      <c r="GP176" s="102">
        <f>$GG176*EH176*'Feedstock Conversion Rates'!B$9</f>
        <v>8.6666391607997176E-2</v>
      </c>
      <c r="GQ176" s="102">
        <f t="shared" si="87"/>
        <v>88.891226052481599</v>
      </c>
      <c r="GR176" s="85">
        <f t="shared" si="107"/>
        <v>8.098566479135167</v>
      </c>
      <c r="GT176" s="103">
        <f t="shared" si="111"/>
        <v>9.8444535627476622E-3</v>
      </c>
      <c r="GU176" s="103">
        <f t="shared" si="111"/>
        <v>0.30218998966198718</v>
      </c>
      <c r="GV176" s="103">
        <f t="shared" si="111"/>
        <v>0.34688884919379703</v>
      </c>
      <c r="GW176" s="103">
        <f t="shared" si="111"/>
        <v>6.9437653057292437E-2</v>
      </c>
      <c r="GX176" s="103">
        <f t="shared" si="111"/>
        <v>0.17217052539210451</v>
      </c>
      <c r="GY176" s="103">
        <f t="shared" si="111"/>
        <v>8.7997897436293007E-2</v>
      </c>
      <c r="GZ176" s="103">
        <f t="shared" si="111"/>
        <v>1.0495660425195813E-2</v>
      </c>
      <c r="HA176" s="103">
        <f t="shared" si="111"/>
        <v>9.7497127058219569E-4</v>
      </c>
    </row>
    <row r="177" spans="1:209" x14ac:dyDescent="0.25">
      <c r="A177" s="96">
        <v>45809</v>
      </c>
      <c r="B177" s="104">
        <f t="shared" si="133"/>
        <v>0</v>
      </c>
      <c r="C177" s="104">
        <f>40-10-2.5-27.5+25+25+25-70+120-15-100-10+40-25-10</f>
        <v>5</v>
      </c>
      <c r="D177" s="104">
        <f t="shared" si="95"/>
        <v>1.5</v>
      </c>
      <c r="E177" s="104">
        <f>('Renewable Diesel'!B186*E$3*'Feedstock Conversion Rates'!$B$2)/12-40+1.25+6-43+30-15+12.5-4+1.5+26+2.5+3-10+50+9-15-25-55+15+45+10-50-25</f>
        <v>19.679999999999993</v>
      </c>
      <c r="F177" s="104">
        <f>('Renewable Diesel'!B186*'RD Feedstock Breakdown'!F$3*'Feedstock Conversion Rates'!B$8)/12+28.5-49-5+2-6+1+6+20-20-3.75+10+2.5+5-20-20+10</f>
        <v>15.15625</v>
      </c>
      <c r="G177" s="104">
        <f>('Renewable Diesel'!B186*'RD Feedstock Breakdown'!G$3*'Feedstock Conversion Rates'!B$7)/12-25-15-25+4+4-20-40-20+10-17.5+20+50-12+32.5+35-75-75+22.5+5-20+15+125-10-45-10-40-40</f>
        <v>9.6570000000000107</v>
      </c>
      <c r="H177" s="104">
        <f>('Renewable Diesel'!B186*'RD Feedstock Breakdown'!H$3*'Feedstock Conversion Rates'!B$3)/12-85+4-15+70-65-80+50-22.5-5+25+27.5+15+50+15-10+5+50+75-5-25-85-12.5+30+22.5-25-30+150+90-120+25+10+40+50+50-100-50+150</f>
        <v>445.40022499999998</v>
      </c>
      <c r="I177" s="106">
        <f t="shared" si="106"/>
        <v>496.39347499999997</v>
      </c>
      <c r="J177" s="104">
        <f t="shared" si="128"/>
        <v>5</v>
      </c>
      <c r="K177" s="104">
        <f t="shared" si="129"/>
        <v>5</v>
      </c>
      <c r="L177" s="104">
        <v>1</v>
      </c>
      <c r="M177" s="104">
        <f>('Renewable Diesel'!C186*'RD Feedstock Breakdown'!M$3*'Feedstock Conversion Rates'!B$2)/12</f>
        <v>7.7902500000000003</v>
      </c>
      <c r="N177" s="104">
        <f>('Renewable Diesel'!C186*'RD Feedstock Breakdown'!N$3*'Feedstock Conversion Rates'!B$8)/12</f>
        <v>3.671875</v>
      </c>
      <c r="O177" s="104">
        <f>('Renewable Diesel'!C186*'RD Feedstock Breakdown'!O$3*'Feedstock Conversion Rates'!B$7)/12</f>
        <v>11.9991</v>
      </c>
      <c r="P177" s="104">
        <f>('Renewable Diesel'!C186*'RD Feedstock Breakdown'!P$3*'Feedstock Conversion Rates'!B$3)/12</f>
        <v>10.4470425</v>
      </c>
      <c r="Q177" s="106">
        <f t="shared" si="119"/>
        <v>44.908267500000001</v>
      </c>
      <c r="R177" s="104">
        <f>('Renewable Diesel'!D186*'RD Feedstock Breakdown'!R$3*'Feedstock Conversion Rates'!B$7)/12</f>
        <v>2.2999999999999998</v>
      </c>
      <c r="S177" s="106">
        <f t="shared" si="67"/>
        <v>2.2999999999999998</v>
      </c>
      <c r="T177" s="104">
        <f t="shared" si="132"/>
        <v>4.8249999999999993</v>
      </c>
      <c r="U177" s="104">
        <f>0+10</f>
        <v>10</v>
      </c>
      <c r="V177" s="104">
        <f>('Renewable Diesel'!E186*'RD Feedstock Breakdown'!V$3*'Feedstock Conversion Rates'!B$6)/12-5+10</f>
        <v>49.250150000000012</v>
      </c>
      <c r="W177" s="104">
        <f>('Renewable Diesel'!E186*'RD Feedstock Breakdown'!W$3*'Feedstock Conversion Rates'!B$8)/12-5.825-4-10</f>
        <v>2.3546875000000007</v>
      </c>
      <c r="X177" s="106">
        <f t="shared" si="88"/>
        <v>66.429837500000005</v>
      </c>
      <c r="Y177" s="104">
        <f t="shared" si="130"/>
        <v>35.5</v>
      </c>
      <c r="Z177" s="104">
        <f>('Renewable Diesel'!F186*'RD Feedstock Breakdown'!Z$3*'Feedstock Conversion Rates'!B$6)/12-50-32-60+15+25+32.5-50-5+10-25+15+5+50</f>
        <v>89.960000000000008</v>
      </c>
      <c r="AA177" s="104">
        <f>('Renewable Diesel'!F186*'RD Feedstock Breakdown'!AA$3*'Feedstock Conversion Rates'!B$7)/12+80-171+75+70-20</f>
        <v>138.26666666666665</v>
      </c>
      <c r="AB177" s="106">
        <f t="shared" si="62"/>
        <v>263.72666666666669</v>
      </c>
      <c r="AC177" s="104">
        <f>('Renewable Diesel'!G186*'RD Feedstock Breakdown'!AC$3*'Feedstock Conversion Rates'!B$5)/12</f>
        <v>7.864583333333333</v>
      </c>
      <c r="AD177" s="104">
        <f>('Renewable Diesel'!G186*'RD Feedstock Breakdown'!AD$3*'Feedstock Conversion Rates'!B$4)/12</f>
        <v>3.90625</v>
      </c>
      <c r="AE177" s="104">
        <f>('Renewable Diesel'!G186*'RD Feedstock Breakdown'!AE$3*'Feedstock Conversion Rates'!B$6)/12</f>
        <v>4.885416666666667</v>
      </c>
      <c r="AF177" s="106">
        <f t="shared" si="101"/>
        <v>16.65625</v>
      </c>
      <c r="AG177" s="104">
        <f t="shared" si="131"/>
        <v>39</v>
      </c>
      <c r="AH177" s="104">
        <v>0</v>
      </c>
      <c r="AI177" s="104">
        <f>('Renewable Diesel'!H186*'RD Feedstock Breakdown'!AI$3*'Feedstock Conversion Rates'!B$6)/12-130-20+51+5-100-25+100-10-25+15+22.5-22.5+100</f>
        <v>109.51666666666668</v>
      </c>
      <c r="AJ177" s="106">
        <f t="shared" si="65"/>
        <v>148.51666666666668</v>
      </c>
      <c r="AK177" s="104">
        <f>('Renewable Diesel'!J186*'RD Feedstock Breakdown'!AK$3*'Feedstock Conversion Rates'!B$4)/12</f>
        <v>95.8125</v>
      </c>
      <c r="AL177" s="106">
        <f t="shared" si="68"/>
        <v>95.8125</v>
      </c>
      <c r="AM177" s="104">
        <f>('Renewable Diesel'!K186*'RD Feedstock Breakdown'!AM$3*'Feedstock Conversion Rates'!B$4)/12+5+15-10+10-30</f>
        <v>48.59375</v>
      </c>
      <c r="AN177" s="104">
        <f>('Renewable Diesel'!K186*'RD Feedstock Breakdown'!AN$3*'Feedstock Conversion Rates'!B$6)/12-5-15+10-10+30</f>
        <v>34.427083333333329</v>
      </c>
      <c r="AO177" s="106">
        <f t="shared" si="81"/>
        <v>83.020833333333329</v>
      </c>
      <c r="AP177" s="104">
        <f>('Renewable Diesel'!L186*'RD Feedstock Breakdown'!AP$3*'Feedstock Conversion Rates'!B$4)/12+15-10-5+10+5+5</f>
        <v>78.59375</v>
      </c>
      <c r="AQ177" s="104">
        <f>('Renewable Diesel'!L186*'RD Feedstock Breakdown'!AQ$3*'Feedstock Conversion Rates'!B$6)/12-15+10+5-10-5-5</f>
        <v>4.4270833333333321</v>
      </c>
      <c r="AR177" s="106">
        <f t="shared" si="70"/>
        <v>83.020833333333329</v>
      </c>
      <c r="AS177" s="104">
        <f>('Renewable Diesel'!M186*'RD Feedstock Breakdown'!AS$3*'Feedstock Conversion Rates'!B$4)/12-150</f>
        <v>306.25</v>
      </c>
      <c r="AT177" s="104">
        <f>('Renewable Diesel'!M186*'RD Feedstock Breakdown'!AT$3*'Feedstock Conversion Rates'!B$5)/12+150</f>
        <v>150</v>
      </c>
      <c r="AU177" s="106">
        <f t="shared" si="104"/>
        <v>456.25</v>
      </c>
      <c r="AV177" s="104">
        <f>'Renewable Diesel'!N186*'RD Feedstock Breakdown'!$AV$3*'Feedstock Conversion Rates'!$B$4/12-15-10+25+25-22+22.5</f>
        <v>104.24999999999999</v>
      </c>
      <c r="AW177" s="104">
        <f>'Renewable Diesel'!N186*'RD Feedstock Breakdown'!$AW$3*'Feedstock Conversion Rates'!$B$7/12+15+10-25-25+22-22.5</f>
        <v>15.900000000000006</v>
      </c>
      <c r="AX177" s="106">
        <f t="shared" si="63"/>
        <v>120.14999999999999</v>
      </c>
      <c r="AY177" s="104">
        <f>('Renewable Diesel'!O186*'RD Feedstock Breakdown'!AY$3*'Feedstock Conversion Rates'!B$4)/12+34-100-282</f>
        <v>-137.0625</v>
      </c>
      <c r="AZ177" s="104">
        <f>('Renewable Diesel'!O186*'RD Feedstock Breakdown'!AZ$3*'Feedstock Conversion Rates'!B$3)/12-34+100+282</f>
        <v>373.03125</v>
      </c>
      <c r="BA177" s="106">
        <f t="shared" si="120"/>
        <v>235.96875</v>
      </c>
      <c r="BB177" s="104">
        <f>('Renewable Diesel'!Q186*'RD Feedstock Breakdown'!BB$3*'Feedstock Conversion Rates'!B$4)/12</f>
        <v>11.156249999999998</v>
      </c>
      <c r="BC177" s="104">
        <f>('Renewable Diesel'!Q186*'RD Feedstock Breakdown'!BC$3*'Feedstock Conversion Rates'!B$3)/12</f>
        <v>1.4017500000000001</v>
      </c>
      <c r="BD177" s="104">
        <f>('Renewable Diesel'!Q186*'RD Feedstock Breakdown'!BD$3*'Feedstock Conversion Rates'!B$6)/12</f>
        <v>0.8207500000000002</v>
      </c>
      <c r="BE177" s="106">
        <f t="shared" si="90"/>
        <v>13.378749999999998</v>
      </c>
      <c r="BF177" s="104">
        <f>('Renewable Diesel'!R186*'RD Feedstock Breakdown'!BF$3*'Feedstock Conversion Rates'!B$4)/12</f>
        <v>62.5</v>
      </c>
      <c r="BG177" s="106">
        <f t="shared" si="72"/>
        <v>62.5</v>
      </c>
      <c r="BH177" s="104">
        <f>('Renewable Diesel'!T186*'RD Feedstock Breakdown'!BH$3*'Feedstock Conversion Rates'!B$7)/12</f>
        <v>27.599999999999998</v>
      </c>
      <c r="BI177" s="106">
        <f t="shared" si="64"/>
        <v>27.599999999999998</v>
      </c>
      <c r="BJ177" s="104">
        <f>('Renewable Diesel'!W186*'RD Feedstock Breakdown'!BJ$3*'Feedstock Conversion Rates'!B$4)/12</f>
        <v>7.5</v>
      </c>
      <c r="BK177" s="104">
        <f>('Renewable Diesel'!W186*'RD Feedstock Breakdown'!BK$3*'Feedstock Conversion Rates'!B$3)/12</f>
        <v>1.335</v>
      </c>
      <c r="BL177" s="104">
        <f>('Renewable Diesel'!W186*'RD Feedstock Breakdown'!BL$3*'Feedstock Conversion Rates'!B$6)/12</f>
        <v>3.1266666666666669</v>
      </c>
      <c r="BM177" s="104">
        <f>('Renewable Diesel'!W186*'RD Feedstock Breakdown'!BM$3*'Feedstock Conversion Rates'!B$7)/12</f>
        <v>1.5333333333333332</v>
      </c>
      <c r="BN177" s="106">
        <f t="shared" si="112"/>
        <v>13.495000000000001</v>
      </c>
      <c r="BO177" s="104">
        <f>('Renewable Diesel'!P186*'Feedstock Conversion Rates'!B$4)/12</f>
        <v>31.25</v>
      </c>
      <c r="BP177" s="106">
        <f t="shared" si="102"/>
        <v>31.25</v>
      </c>
      <c r="BQ177" s="104">
        <f>('Renewable Diesel'!$S186*'RD Feedstock Breakdown'!BQ$3*'Feedstock Conversion Rates'!B$4)/12+10</f>
        <v>38.125</v>
      </c>
      <c r="BR177" s="104">
        <f>('Renewable Diesel'!$S186*'RD Feedstock Breakdown'!BR$3*'Feedstock Conversion Rates'!B$7)/12-10</f>
        <v>1.5</v>
      </c>
      <c r="BS177" s="106">
        <f t="shared" si="123"/>
        <v>39.625</v>
      </c>
      <c r="BT177" s="106"/>
      <c r="BU177" s="104">
        <f>('Renewable Diesel'!Y186*'Feedstock Conversion Rates'!B$7)/12</f>
        <v>2.6833333333333331</v>
      </c>
      <c r="BV177" s="106">
        <f t="shared" si="93"/>
        <v>2.6833333333333331</v>
      </c>
      <c r="BW177" s="104">
        <f>('Renewable Diesel'!$Z186*'RD Feedstock Breakdown'!BW$3*'Feedstock Conversion Rates'!$B$4)/12</f>
        <v>17.96875</v>
      </c>
      <c r="BX177" s="104">
        <f>('Renewable Diesel'!$Z186*'RD Feedstock Breakdown'!BX$3*'Feedstock Conversion Rates'!$B$5)/12</f>
        <v>1.8088541666666667</v>
      </c>
      <c r="BY177" s="104">
        <f>('Renewable Diesel'!$Z186*'RD Feedstock Breakdown'!BY$3*'Feedstock Conversion Rates'!$B$7)/12</f>
        <v>15.429166666666665</v>
      </c>
      <c r="BZ177" s="104">
        <f>('Renewable Diesel'!$Z186*'RD Feedstock Breakdown'!BZ$3*'Feedstock Conversion Rates'!$B$3)/12</f>
        <v>3.8381249999999998</v>
      </c>
      <c r="CA177" s="106">
        <f t="shared" si="127"/>
        <v>39.044895833333328</v>
      </c>
      <c r="CB177" s="104">
        <f>('Renewable Diesel'!AA186*'Feedstock Conversion Rates'!B$4)/12</f>
        <v>191.25</v>
      </c>
      <c r="CC177" s="106">
        <f t="shared" si="113"/>
        <v>191.25</v>
      </c>
      <c r="CD177" s="104">
        <f>('Renewable Diesel'!$AB186*'RD Feedstock Breakdown'!CD$3*'Feedstock Conversion Rates'!$B$6)/12-15+25</f>
        <v>42.830000000000005</v>
      </c>
      <c r="CE177" s="104">
        <f>('Renewable Diesel'!$AB186*'RD Feedstock Breakdown'!CE$3*'Feedstock Conversion Rates'!$B$4)/12+15-25</f>
        <v>1.25</v>
      </c>
      <c r="CF177" s="106">
        <f t="shared" si="108"/>
        <v>44.080000000000005</v>
      </c>
      <c r="CG177" s="104">
        <f>('Renewable Diesel'!AD186*'Feedstock Conversion Rates'!B$4)/12</f>
        <v>112.5</v>
      </c>
      <c r="CH177" s="106">
        <f t="shared" si="89"/>
        <v>112.5</v>
      </c>
      <c r="CI177" s="104">
        <f>('Renewable Diesel'!$AE186*'RD Feedstock Breakdown'!CI$3*'Feedstock Conversion Rates'!$B$5)/12</f>
        <v>0.34604166666666664</v>
      </c>
      <c r="CJ177" s="104">
        <f>('Renewable Diesel'!$AE186*'RD Feedstock Breakdown'!CJ$3*'Feedstock Conversion Rates'!$B$4)/12</f>
        <v>0.34375</v>
      </c>
      <c r="CK177" s="106">
        <f t="shared" si="103"/>
        <v>0.68979166666666658</v>
      </c>
      <c r="CL177" s="104">
        <f>(((CL$3*'Renewable Diesel'!$AF186)*'Feedstock Conversion Rates'!$B$3)/12)-37</f>
        <v>54.78125</v>
      </c>
      <c r="CM177" s="104">
        <f>(((CM$3*'Renewable Diesel'!$AF186)*'Feedstock Conversion Rates'!$B$6)/12)+37</f>
        <v>90.739583333333343</v>
      </c>
      <c r="CN177" s="104">
        <f>(((CN$3*'Renewable Diesel'!$AF186)*'Feedstock Conversion Rates'!$B$4)/12)</f>
        <v>42.96875</v>
      </c>
      <c r="CO177" s="106">
        <f t="shared" si="91"/>
        <v>188.48958333333334</v>
      </c>
      <c r="CP177" s="104">
        <f>('Renewable Diesel'!$AG186*'RD Feedstock Breakdown'!CP$3*'Feedstock Conversion Rates'!$B$3)/12</f>
        <v>3.0037500000000001</v>
      </c>
      <c r="CQ177" s="104">
        <f>('Renewable Diesel'!$AG186*'RD Feedstock Breakdown'!CQ$3*'Feedstock Conversion Rates'!$B$6)/12</f>
        <v>1.75875</v>
      </c>
      <c r="CR177" s="104">
        <f>('Renewable Diesel'!$AG186*'RD Feedstock Breakdown'!CR$3*'Feedstock Conversion Rates'!$B$4)/12</f>
        <v>1.40625</v>
      </c>
      <c r="CS177" s="106">
        <f t="shared" ref="CS177:CS240" si="134">SUM(CP177:CR177)</f>
        <v>6.1687500000000002</v>
      </c>
      <c r="CT177" s="104">
        <f>('Renewable Diesel'!AI186*'Feedstock Conversion Rates'!$B$4*'RD Feedstock Breakdown'!$CT$3)/12</f>
        <v>29.375</v>
      </c>
      <c r="CU177" s="106">
        <f t="shared" si="99"/>
        <v>29.375</v>
      </c>
      <c r="CV177" s="106"/>
      <c r="CW177" s="106"/>
      <c r="CX177" s="104">
        <f>('Renewable Diesel'!AO186*'RD Feedstock Breakdown'!$CX$3*'Feedstock Conversion Rates'!$B$3)/12</f>
        <v>1.66875</v>
      </c>
      <c r="CY177" s="104">
        <f>('Renewable Diesel'!AO186*'RD Feedstock Breakdown'!$CY$3*'Feedstock Conversion Rates'!$B$6)/12</f>
        <v>1.9541666666666668</v>
      </c>
      <c r="CZ177" s="106">
        <f>CY177+CX177</f>
        <v>3.6229166666666668</v>
      </c>
      <c r="DA177" s="106"/>
      <c r="DB177" s="106"/>
      <c r="DC177" s="106"/>
      <c r="DD177" s="106"/>
      <c r="DE177" s="106"/>
      <c r="DF177" s="104">
        <f>('Renewable Diesel'!AR186*'Feedstock Conversion Rates'!$B$4*$DF$3)/12</f>
        <v>37.5</v>
      </c>
      <c r="DG177" s="106">
        <f>DF177</f>
        <v>37.5</v>
      </c>
      <c r="DH177" s="106"/>
      <c r="DI177" s="106"/>
      <c r="DJ177" s="104">
        <f>('Renewable Diesel'!AT186*'Feedstock Conversion Rates'!$B$4*0.25)/12</f>
        <v>8.59375</v>
      </c>
      <c r="DK177" s="104">
        <f>('Renewable Diesel'!$AT186*'RD Feedstock Breakdown'!DK$3*'Feedstock Conversion Rates'!$B$3)/12*0.5</f>
        <v>9.1781249999999996</v>
      </c>
      <c r="DL177" s="104">
        <f>('Renewable Diesel'!$AT186*'RD Feedstock Breakdown'!$DL$3*'Feedstock Conversion Rates'!$B$6)/12</f>
        <v>10.747916666666669</v>
      </c>
      <c r="DM177" s="104">
        <f>('Renewable Diesel'!$AT186*'RD Feedstock Breakdown'!$DM$3*'Feedstock Conversion Rates'!$B$8)/12-5</f>
        <v>5.7421875</v>
      </c>
      <c r="DN177" s="106">
        <f t="shared" si="110"/>
        <v>34.26197916666667</v>
      </c>
      <c r="DP177" s="104">
        <f t="shared" si="73"/>
        <v>27.470249999999993</v>
      </c>
      <c r="DQ177" s="104">
        <f t="shared" si="74"/>
        <v>904.0852675000001</v>
      </c>
      <c r="DR177" s="104">
        <f t="shared" si="82"/>
        <v>1135.9375</v>
      </c>
      <c r="DS177" s="104">
        <f t="shared" si="100"/>
        <v>222.43822916666664</v>
      </c>
      <c r="DT177" s="104">
        <f t="shared" si="75"/>
        <v>444.44423333333327</v>
      </c>
      <c r="DU177" s="104">
        <f t="shared" si="76"/>
        <v>226.86860000000001</v>
      </c>
      <c r="DV177" s="104">
        <f t="shared" si="83"/>
        <v>26.925000000000001</v>
      </c>
      <c r="DW177" s="104">
        <f t="shared" si="77"/>
        <v>2.5</v>
      </c>
      <c r="DX177" s="106">
        <f t="shared" si="78"/>
        <v>2990.6690799999997</v>
      </c>
      <c r="DY177" s="109">
        <f t="shared" si="79"/>
        <v>-3.1974423109204508E-13</v>
      </c>
      <c r="EA177" s="110">
        <f t="shared" si="114"/>
        <v>9.1853191594169943E-3</v>
      </c>
      <c r="EB177" s="110">
        <f t="shared" si="114"/>
        <v>0.30230200778348909</v>
      </c>
      <c r="EC177" s="110">
        <f t="shared" si="114"/>
        <v>0.37982721244438056</v>
      </c>
      <c r="ED177" s="110">
        <f t="shared" si="114"/>
        <v>7.4377412952243677E-2</v>
      </c>
      <c r="EE177" s="110">
        <f t="shared" si="114"/>
        <v>0.14861030138892309</v>
      </c>
      <c r="EF177" s="110">
        <f t="shared" si="114"/>
        <v>7.5858810831721996E-2</v>
      </c>
      <c r="EG177" s="110">
        <f t="shared" si="114"/>
        <v>9.003002097443695E-3</v>
      </c>
      <c r="EH177" s="111">
        <f t="shared" si="84"/>
        <v>8.3593334238103007E-4</v>
      </c>
      <c r="EI177" s="110">
        <f t="shared" si="85"/>
        <v>0.99916406665761892</v>
      </c>
      <c r="EK177" s="112">
        <f>(EA177*'Renewable Diesel'!BF186*'Feedstock Conversion Rates'!B$2)+FB177</f>
        <v>15.701898419050339</v>
      </c>
      <c r="EL177" s="112">
        <f>(EB177*'Renewable Diesel'!BF186*'Feedstock Conversion Rates'!B$3)+FC177</f>
        <v>486.9815797941157</v>
      </c>
      <c r="EM177" s="112">
        <f>(EC177*'Renewable Diesel'!BF186*'Feedstock Conversion Rates'!B$4)+FD177</f>
        <v>572.90989884961107</v>
      </c>
      <c r="EN177" s="112">
        <f>(ED177*'Renewable Diesel'!BF186*'Feedstock Conversion Rates'!B$5)+FE177</f>
        <v>112.93459701316549</v>
      </c>
      <c r="EO177" s="112">
        <f>(EE177*'Renewable Diesel'!BF186*'Feedstock Conversion Rates'!B$6)+FF177</f>
        <v>280.34366059279233</v>
      </c>
      <c r="EP177" s="112">
        <f>(EF177*'Renewable Diesel'!BF186*'Feedstock Conversion Rates'!B$7)+FG177</f>
        <v>140.35660159577517</v>
      </c>
      <c r="EQ177" s="112">
        <f>(EG177*'Renewable Diesel'!BF186*'Feedstock Conversion Rates'!B$8)+FH177</f>
        <v>16.974524375819289</v>
      </c>
      <c r="ER177" s="112">
        <f>(EH177*'Renewable Diesel'!BF186*'Feedstock Conversion Rates'!B$9)+FI177</f>
        <v>1.5550786800502969</v>
      </c>
      <c r="ES177" s="112">
        <f t="shared" si="86"/>
        <v>1627.7578393203796</v>
      </c>
      <c r="ET177" s="91">
        <f>ES177/'Renewable Diesel'!BF186</f>
        <v>8.0937690710835852</v>
      </c>
      <c r="EW177" s="73">
        <f t="shared" si="124"/>
        <v>685.84449586277651</v>
      </c>
      <c r="EX177" s="73">
        <f t="shared" si="125"/>
        <v>941.91334345760322</v>
      </c>
      <c r="EY177" s="92">
        <f t="shared" si="71"/>
        <v>0.42134307652858849</v>
      </c>
      <c r="EZ177" s="92">
        <f t="shared" si="71"/>
        <v>0.57865692347141162</v>
      </c>
      <c r="FB177" s="102">
        <f>IF('Renewable Diesel'!$BG186&lt;1,0,(((('Renewable Diesel'!$BG186-1)*'Renewable Diesel'!$BF186)*'RD Feedstock Breakdown'!EA177)*'Feedstock Conversion Rates'!$B$2))</f>
        <v>0</v>
      </c>
      <c r="FC177" s="102">
        <f>IF('Renewable Diesel'!$BG186&lt;1,0,(((('Renewable Diesel'!$BG186-1)*'Renewable Diesel'!$BF186)*'RD Feedstock Breakdown'!EB177)*'Feedstock Conversion Rates'!$B$3))</f>
        <v>0</v>
      </c>
      <c r="FD177" s="102">
        <f>IF('Renewable Diesel'!$BG186&lt;1,0,(((('Renewable Diesel'!$BG186-1)*'Renewable Diesel'!$BF186)*'RD Feedstock Breakdown'!EC177)*'Feedstock Conversion Rates'!$B$4))</f>
        <v>0</v>
      </c>
      <c r="FE177" s="102">
        <f>IF('Renewable Diesel'!$BG186&lt;1,0,(((('Renewable Diesel'!$BG186-1)*'Renewable Diesel'!$BF186)*'RD Feedstock Breakdown'!ED177)*'Feedstock Conversion Rates'!$B$5))</f>
        <v>0</v>
      </c>
      <c r="FF177" s="102">
        <f>IF('Renewable Diesel'!$BG186&lt;1,0,(((('Renewable Diesel'!$BG186-1)*'Renewable Diesel'!$BF186)*'RD Feedstock Breakdown'!EE177)*'Feedstock Conversion Rates'!$B$6))</f>
        <v>0</v>
      </c>
      <c r="FG177" s="102">
        <f>IF('Renewable Diesel'!$BG186&lt;1,0,(((('Renewable Diesel'!$BG186-1)*'Renewable Diesel'!$BF186)*'RD Feedstock Breakdown'!EF177)*'Feedstock Conversion Rates'!$B$7))</f>
        <v>0</v>
      </c>
      <c r="FH177" s="102">
        <f>IF('Renewable Diesel'!$BG186&lt;1,0,(((('Renewable Diesel'!$BG186-1)*'Renewable Diesel'!$BF186)*'RD Feedstock Breakdown'!EG177)*'Feedstock Conversion Rates'!$B$8))</f>
        <v>0</v>
      </c>
      <c r="FI177" s="102">
        <f>IF('Renewable Diesel'!$BG186&lt;1,0,(((('Renewable Diesel'!$BG186-1)*'Renewable Diesel'!$BF186)*'RD Feedstock Breakdown'!EH177)*'Feedstock Conversion Rates'!$B$9))</f>
        <v>0</v>
      </c>
      <c r="FJ177" s="102">
        <f t="shared" si="126"/>
        <v>0</v>
      </c>
      <c r="FL177" s="3">
        <f>('Renewable Diesel'!AX186/12*$FO$80)*'RD Feedstock Breakdown'!EC177*7.5</f>
        <v>1017.8836348451937</v>
      </c>
      <c r="FM177" s="3">
        <f t="shared" si="96"/>
        <v>444.97373599558262</v>
      </c>
      <c r="FR177" s="3">
        <f>('Renewable Diesel'!AX186-'Renewable Diesel'!BI186)/12*$FO$80</f>
        <v>29.534625000000005</v>
      </c>
      <c r="FS177" s="100">
        <f t="shared" si="97"/>
        <v>0.37982721244438056</v>
      </c>
      <c r="FT177" s="3">
        <f t="shared" si="98"/>
        <v>84.135407132550853</v>
      </c>
      <c r="FY177" s="3">
        <f>'Renewable Diesel'!BF186*('Renewable Diesel'!BI186/'Renewable Diesel'!AX186)</f>
        <v>184.48907145804105</v>
      </c>
      <c r="FZ177" s="3">
        <f>('Renewable Diesel'!BJ186*'Renewable Diesel'!BG186)/12</f>
        <v>16.310586572874069</v>
      </c>
      <c r="GA177" s="3">
        <f t="shared" si="105"/>
        <v>46.464034734806248</v>
      </c>
      <c r="GD177" s="91">
        <f>'Renewable Diesel'!BB186*0.32</f>
        <v>0</v>
      </c>
      <c r="GE177" s="91">
        <f>'Renewable Diesel'!BC186</f>
        <v>10.802570811467989</v>
      </c>
      <c r="GF177" s="91">
        <f>'Renewable Diesel'!BD186</f>
        <v>0</v>
      </c>
      <c r="GG177" s="91">
        <f t="shared" si="109"/>
        <v>10.802570811467989</v>
      </c>
      <c r="GH177" s="124">
        <v>1</v>
      </c>
      <c r="GI177" s="102">
        <f>$GG177*EA177*'Feedstock Conversion Rates'!$B$2</f>
        <v>0.84341301548705361</v>
      </c>
      <c r="GJ177" s="102">
        <f>$GG177*EB177*'Feedstock Conversion Rates'!$B$3</f>
        <v>26.157767152696007</v>
      </c>
      <c r="GK177" s="102">
        <f>$GG177*EC177*'Feedstock Conversion Rates'!$B$4</f>
        <v>30.773327689146871</v>
      </c>
      <c r="GL177" s="102">
        <f>$GG177*ED177*'Feedstock Conversion Rates'!$B$5</f>
        <v>6.0661778899375856</v>
      </c>
      <c r="GM177" s="102">
        <f>$GG177*EE177*'Feedstock Conversion Rates'!$B$6</f>
        <v>15.058401592152601</v>
      </c>
      <c r="GN177" s="102">
        <f>$GG177*EF177*'Feedstock Conversion Rates'!$B$7</f>
        <v>7.5391256162875715</v>
      </c>
      <c r="GO177" s="102">
        <f>$GG177*EG177*'Feedstock Conversion Rates'!$B$8</f>
        <v>0.91177094693840943</v>
      </c>
      <c r="GP177" s="102">
        <f>$GG177*EH177*'Feedstock Conversion Rates'!B$9</f>
        <v>8.3529619403828276E-2</v>
      </c>
      <c r="GQ177" s="102">
        <f t="shared" si="87"/>
        <v>87.433513522049935</v>
      </c>
      <c r="GR177" s="85">
        <f t="shared" si="107"/>
        <v>8.093769071083587</v>
      </c>
      <c r="GT177" s="103">
        <f t="shared" si="111"/>
        <v>9.6463356156258392E-3</v>
      </c>
      <c r="GU177" s="103">
        <f t="shared" si="111"/>
        <v>0.299173235742142</v>
      </c>
      <c r="GV177" s="103">
        <f t="shared" si="111"/>
        <v>0.35196261078294794</v>
      </c>
      <c r="GW177" s="103">
        <f t="shared" si="111"/>
        <v>6.9380465745640565E-2</v>
      </c>
      <c r="GX177" s="103">
        <f t="shared" si="111"/>
        <v>0.17222688401233027</v>
      </c>
      <c r="GY177" s="103">
        <f t="shared" si="111"/>
        <v>8.6226954775027703E-2</v>
      </c>
      <c r="GZ177" s="103">
        <f t="shared" si="111"/>
        <v>1.0428163186058733E-2</v>
      </c>
      <c r="HA177" s="103">
        <f t="shared" si="111"/>
        <v>9.5535014022698377E-4</v>
      </c>
    </row>
    <row r="178" spans="1:209" x14ac:dyDescent="0.25">
      <c r="A178" s="96">
        <v>45839</v>
      </c>
      <c r="B178" s="104">
        <f t="shared" si="133"/>
        <v>0</v>
      </c>
      <c r="C178" s="104">
        <f>40-10-2.5-27.5+25+25+25-70+120-15-100-10+40-25-10</f>
        <v>5</v>
      </c>
      <c r="D178" s="104">
        <f t="shared" si="95"/>
        <v>1.5</v>
      </c>
      <c r="E178" s="104">
        <f>('Renewable Diesel'!B187*E$3*'Feedstock Conversion Rates'!$B$2)/12-40+1.25+6-43+30-15+12.5-4+1.5+26+2.5+3-10+50+9-15-25-55+15+45+10-50-25</f>
        <v>19.679999999999993</v>
      </c>
      <c r="F178" s="104">
        <f>('Renewable Diesel'!B187*'RD Feedstock Breakdown'!F$3*'Feedstock Conversion Rates'!B$8)/12+28.5-49-5+2-6+1+6+20-20-3.75+10+2.5+5-20-20+10</f>
        <v>15.15625</v>
      </c>
      <c r="G178" s="104">
        <f>('Renewable Diesel'!B187*'RD Feedstock Breakdown'!G$3*'Feedstock Conversion Rates'!B$7)/12-25-15-25+4+4-20-40-20+10-17.5+20+50-12+32.5+35-75-75+22.5+5-20+15+125-10-45-10-40-40</f>
        <v>9.6570000000000107</v>
      </c>
      <c r="H178" s="104">
        <f>('Renewable Diesel'!B187*'RD Feedstock Breakdown'!H$3*'Feedstock Conversion Rates'!B$3)/12-85+4-15+70-65-80+50-22.5-5+25+27.5+15+50+15-10+5+50+75-5-25-85-12.5+30+22.5-25-30+150+90-120+25+10+40+50+50-100-50+150</f>
        <v>445.40022499999998</v>
      </c>
      <c r="I178" s="106">
        <f t="shared" si="106"/>
        <v>496.39347499999997</v>
      </c>
      <c r="J178" s="104">
        <f t="shared" si="128"/>
        <v>5</v>
      </c>
      <c r="K178" s="104">
        <f t="shared" si="129"/>
        <v>5</v>
      </c>
      <c r="L178" s="104">
        <v>1</v>
      </c>
      <c r="M178" s="104">
        <f>('Renewable Diesel'!C187*'RD Feedstock Breakdown'!M$3*'Feedstock Conversion Rates'!B$2)/12</f>
        <v>7.7902500000000003</v>
      </c>
      <c r="N178" s="104">
        <f>('Renewable Diesel'!C187*'RD Feedstock Breakdown'!N$3*'Feedstock Conversion Rates'!B$8)/12</f>
        <v>3.671875</v>
      </c>
      <c r="O178" s="104">
        <f>('Renewable Diesel'!C187*'RD Feedstock Breakdown'!O$3*'Feedstock Conversion Rates'!B$7)/12</f>
        <v>11.9991</v>
      </c>
      <c r="P178" s="104">
        <f>('Renewable Diesel'!C187*'RD Feedstock Breakdown'!P$3*'Feedstock Conversion Rates'!B$3)/12</f>
        <v>10.4470425</v>
      </c>
      <c r="Q178" s="106">
        <f t="shared" si="119"/>
        <v>44.908267500000001</v>
      </c>
      <c r="R178" s="104">
        <f>('Renewable Diesel'!D187*'RD Feedstock Breakdown'!R$3*'Feedstock Conversion Rates'!B$7)/12</f>
        <v>2.2999999999999998</v>
      </c>
      <c r="S178" s="106">
        <f t="shared" si="67"/>
        <v>2.2999999999999998</v>
      </c>
      <c r="T178" s="104">
        <f t="shared" si="132"/>
        <v>4.8249999999999993</v>
      </c>
      <c r="U178" s="104">
        <f>0+10</f>
        <v>10</v>
      </c>
      <c r="V178" s="104">
        <f>('Renewable Diesel'!E187*'RD Feedstock Breakdown'!V$3*'Feedstock Conversion Rates'!B$6)/12-5+10</f>
        <v>49.250150000000012</v>
      </c>
      <c r="W178" s="104">
        <f>('Renewable Diesel'!E187*'RD Feedstock Breakdown'!W$3*'Feedstock Conversion Rates'!B$8)/12-5.825-4-10</f>
        <v>2.3546875000000007</v>
      </c>
      <c r="X178" s="106">
        <f t="shared" si="88"/>
        <v>66.429837500000005</v>
      </c>
      <c r="Y178" s="104">
        <f t="shared" si="130"/>
        <v>35.5</v>
      </c>
      <c r="Z178" s="104">
        <f>('Renewable Diesel'!F187*'RD Feedstock Breakdown'!Z$3*'Feedstock Conversion Rates'!B$6)/12-50-32-60+15+25+32.5-50-5+10-25+15+5+50</f>
        <v>89.960000000000008</v>
      </c>
      <c r="AA178" s="104">
        <f>('Renewable Diesel'!F187*'RD Feedstock Breakdown'!AA$3*'Feedstock Conversion Rates'!B$7)/12+80-171+75+70-20</f>
        <v>138.26666666666665</v>
      </c>
      <c r="AB178" s="106">
        <f t="shared" si="62"/>
        <v>263.72666666666669</v>
      </c>
      <c r="AC178" s="104">
        <f>('Renewable Diesel'!G187*'RD Feedstock Breakdown'!AC$3*'Feedstock Conversion Rates'!B$5)/12</f>
        <v>7.864583333333333</v>
      </c>
      <c r="AD178" s="104">
        <f>('Renewable Diesel'!G187*'RD Feedstock Breakdown'!AD$3*'Feedstock Conversion Rates'!B$4)/12</f>
        <v>3.90625</v>
      </c>
      <c r="AE178" s="104">
        <f>('Renewable Diesel'!G187*'RD Feedstock Breakdown'!AE$3*'Feedstock Conversion Rates'!B$6)/12</f>
        <v>4.885416666666667</v>
      </c>
      <c r="AF178" s="106">
        <f t="shared" si="101"/>
        <v>16.65625</v>
      </c>
      <c r="AG178" s="104">
        <f t="shared" si="131"/>
        <v>39</v>
      </c>
      <c r="AH178" s="104">
        <v>0</v>
      </c>
      <c r="AI178" s="104">
        <f>('Renewable Diesel'!H187*'RD Feedstock Breakdown'!AI$3*'Feedstock Conversion Rates'!B$6)/12-130-20+51+5-100-25+100-10-25+15+22.5-22.5+100</f>
        <v>109.51666666666668</v>
      </c>
      <c r="AJ178" s="106">
        <f t="shared" si="65"/>
        <v>148.51666666666668</v>
      </c>
      <c r="AK178" s="104">
        <f>('Renewable Diesel'!J187*'RD Feedstock Breakdown'!AK$3*'Feedstock Conversion Rates'!B$4)/12</f>
        <v>95.8125</v>
      </c>
      <c r="AL178" s="106">
        <f t="shared" si="68"/>
        <v>95.8125</v>
      </c>
      <c r="AM178" s="104">
        <f>('Renewable Diesel'!K187*'RD Feedstock Breakdown'!AM$3*'Feedstock Conversion Rates'!B$4)/12+5+15-10+10-30</f>
        <v>48.59375</v>
      </c>
      <c r="AN178" s="104">
        <f>('Renewable Diesel'!K187*'RD Feedstock Breakdown'!AN$3*'Feedstock Conversion Rates'!B$6)/12-5-15+10-10+30</f>
        <v>34.427083333333329</v>
      </c>
      <c r="AO178" s="106">
        <f t="shared" si="81"/>
        <v>83.020833333333329</v>
      </c>
      <c r="AP178" s="104">
        <f>('Renewable Diesel'!L187*'RD Feedstock Breakdown'!AP$3*'Feedstock Conversion Rates'!B$4)/12+15-10-5+10+5+5</f>
        <v>78.59375</v>
      </c>
      <c r="AQ178" s="104">
        <f>('Renewable Diesel'!L187*'RD Feedstock Breakdown'!AQ$3*'Feedstock Conversion Rates'!B$6)/12-15+10+5-10-5-5</f>
        <v>4.4270833333333321</v>
      </c>
      <c r="AR178" s="106">
        <f t="shared" si="70"/>
        <v>83.020833333333329</v>
      </c>
      <c r="AS178" s="104">
        <f>('Renewable Diesel'!M187*'RD Feedstock Breakdown'!AS$3*'Feedstock Conversion Rates'!B$4)/12-150</f>
        <v>306.25</v>
      </c>
      <c r="AT178" s="104">
        <f>('Renewable Diesel'!M187*'RD Feedstock Breakdown'!AT$3*'Feedstock Conversion Rates'!B$5)/12+150</f>
        <v>150</v>
      </c>
      <c r="AU178" s="106">
        <f t="shared" si="104"/>
        <v>456.25</v>
      </c>
      <c r="AV178" s="104">
        <f>'Renewable Diesel'!N187*'RD Feedstock Breakdown'!$AV$3*'Feedstock Conversion Rates'!$B$4/12-15-10+25+25-22+22.5</f>
        <v>104.24999999999999</v>
      </c>
      <c r="AW178" s="104">
        <f>'Renewable Diesel'!N187*'RD Feedstock Breakdown'!$AW$3*'Feedstock Conversion Rates'!$B$7/12+15+10-25-25+22-22.5</f>
        <v>15.900000000000006</v>
      </c>
      <c r="AX178" s="106">
        <f t="shared" si="63"/>
        <v>120.14999999999999</v>
      </c>
      <c r="AY178" s="104">
        <f>('Renewable Diesel'!O187*'RD Feedstock Breakdown'!AY$3*'Feedstock Conversion Rates'!B$4)/12+34-100-282</f>
        <v>-137.0625</v>
      </c>
      <c r="AZ178" s="104">
        <f>('Renewable Diesel'!O187*'RD Feedstock Breakdown'!AZ$3*'Feedstock Conversion Rates'!B$3)/12-34+100+282</f>
        <v>373.03125</v>
      </c>
      <c r="BA178" s="106">
        <f t="shared" si="120"/>
        <v>235.96875</v>
      </c>
      <c r="BB178" s="104">
        <f>('Renewable Diesel'!Q187*'RD Feedstock Breakdown'!BB$3*'Feedstock Conversion Rates'!B$4)/12</f>
        <v>11.156249999999998</v>
      </c>
      <c r="BC178" s="104">
        <f>('Renewable Diesel'!Q187*'RD Feedstock Breakdown'!BC$3*'Feedstock Conversion Rates'!B$3)/12</f>
        <v>1.4017500000000001</v>
      </c>
      <c r="BD178" s="104">
        <f>('Renewable Diesel'!Q187*'RD Feedstock Breakdown'!BD$3*'Feedstock Conversion Rates'!B$6)/12</f>
        <v>0.8207500000000002</v>
      </c>
      <c r="BE178" s="106">
        <f t="shared" si="90"/>
        <v>13.378749999999998</v>
      </c>
      <c r="BF178" s="104">
        <f>('Renewable Diesel'!R187*'RD Feedstock Breakdown'!BF$3*'Feedstock Conversion Rates'!B$4)/12</f>
        <v>62.5</v>
      </c>
      <c r="BG178" s="106">
        <f t="shared" si="72"/>
        <v>62.5</v>
      </c>
      <c r="BH178" s="104">
        <f>('Renewable Diesel'!T187*'RD Feedstock Breakdown'!BH$3*'Feedstock Conversion Rates'!B$7)/12</f>
        <v>27.599999999999998</v>
      </c>
      <c r="BI178" s="106">
        <f t="shared" si="64"/>
        <v>27.599999999999998</v>
      </c>
      <c r="BJ178" s="104">
        <f>('Renewable Diesel'!W187*'RD Feedstock Breakdown'!BJ$3*'Feedstock Conversion Rates'!B$4)/12</f>
        <v>7.5</v>
      </c>
      <c r="BK178" s="104">
        <f>('Renewable Diesel'!W187*'RD Feedstock Breakdown'!BK$3*'Feedstock Conversion Rates'!B$3)/12</f>
        <v>1.335</v>
      </c>
      <c r="BL178" s="104">
        <f>('Renewable Diesel'!W187*'RD Feedstock Breakdown'!BL$3*'Feedstock Conversion Rates'!B$6)/12</f>
        <v>3.1266666666666669</v>
      </c>
      <c r="BM178" s="104">
        <f>('Renewable Diesel'!W187*'RD Feedstock Breakdown'!BM$3*'Feedstock Conversion Rates'!B$7)/12</f>
        <v>1.5333333333333332</v>
      </c>
      <c r="BN178" s="106">
        <f t="shared" si="112"/>
        <v>13.495000000000001</v>
      </c>
      <c r="BO178" s="104">
        <f>('Renewable Diesel'!P187*'Feedstock Conversion Rates'!B$4)/12</f>
        <v>31.25</v>
      </c>
      <c r="BP178" s="106">
        <f t="shared" si="102"/>
        <v>31.25</v>
      </c>
      <c r="BQ178" s="104">
        <f>('Renewable Diesel'!$S187*'RD Feedstock Breakdown'!BQ$3*'Feedstock Conversion Rates'!B$4)/12+10</f>
        <v>38.125</v>
      </c>
      <c r="BR178" s="104">
        <f>('Renewable Diesel'!$S187*'RD Feedstock Breakdown'!BR$3*'Feedstock Conversion Rates'!B$7)/12-10</f>
        <v>1.5</v>
      </c>
      <c r="BS178" s="106">
        <f t="shared" si="123"/>
        <v>39.625</v>
      </c>
      <c r="BT178" s="106"/>
      <c r="BU178" s="104">
        <f>('Renewable Diesel'!Y187*'Feedstock Conversion Rates'!B$7)/12</f>
        <v>2.6833333333333331</v>
      </c>
      <c r="BV178" s="106">
        <f t="shared" si="93"/>
        <v>2.6833333333333331</v>
      </c>
      <c r="BW178" s="104">
        <f>('Renewable Diesel'!$Z187*'RD Feedstock Breakdown'!BW$3*'Feedstock Conversion Rates'!$B$4)/12</f>
        <v>17.96875</v>
      </c>
      <c r="BX178" s="104">
        <f>('Renewable Diesel'!$Z187*'RD Feedstock Breakdown'!BX$3*'Feedstock Conversion Rates'!$B$5)/12</f>
        <v>1.8088541666666667</v>
      </c>
      <c r="BY178" s="104">
        <f>('Renewable Diesel'!$Z187*'RD Feedstock Breakdown'!BY$3*'Feedstock Conversion Rates'!$B$7)/12</f>
        <v>15.429166666666665</v>
      </c>
      <c r="BZ178" s="104">
        <f>('Renewable Diesel'!$Z187*'RD Feedstock Breakdown'!BZ$3*'Feedstock Conversion Rates'!$B$3)/12</f>
        <v>3.8381249999999998</v>
      </c>
      <c r="CA178" s="106">
        <f t="shared" si="127"/>
        <v>39.044895833333328</v>
      </c>
      <c r="CB178" s="104">
        <f>('Renewable Diesel'!AA187*'Feedstock Conversion Rates'!B$4)/12</f>
        <v>191.25</v>
      </c>
      <c r="CC178" s="106">
        <f t="shared" si="113"/>
        <v>191.25</v>
      </c>
      <c r="CD178" s="104">
        <f>('Renewable Diesel'!$AB187*'RD Feedstock Breakdown'!CD$3*'Feedstock Conversion Rates'!$B$6)/12-15+25</f>
        <v>42.830000000000005</v>
      </c>
      <c r="CE178" s="104">
        <f>('Renewable Diesel'!$AB187*'RD Feedstock Breakdown'!CE$3*'Feedstock Conversion Rates'!$B$4)/12+15-25</f>
        <v>1.25</v>
      </c>
      <c r="CF178" s="106">
        <f t="shared" si="108"/>
        <v>44.080000000000005</v>
      </c>
      <c r="CG178" s="104">
        <f>('Renewable Diesel'!AD187*'Feedstock Conversion Rates'!B$4)/12</f>
        <v>112.5</v>
      </c>
      <c r="CH178" s="106">
        <f t="shared" si="89"/>
        <v>112.5</v>
      </c>
      <c r="CI178" s="104">
        <f>('Renewable Diesel'!$AE187*'RD Feedstock Breakdown'!CI$3*'Feedstock Conversion Rates'!$B$5)/12</f>
        <v>0.34604166666666664</v>
      </c>
      <c r="CJ178" s="104">
        <f>('Renewable Diesel'!$AE187*'RD Feedstock Breakdown'!CJ$3*'Feedstock Conversion Rates'!$B$4)/12</f>
        <v>0.34375</v>
      </c>
      <c r="CK178" s="106">
        <f t="shared" si="103"/>
        <v>0.68979166666666658</v>
      </c>
      <c r="CL178" s="104">
        <f>(((CL$3*'Renewable Diesel'!$AF187)*'Feedstock Conversion Rates'!$B$3)/12)-37</f>
        <v>54.78125</v>
      </c>
      <c r="CM178" s="104">
        <f>(((CM$3*'Renewable Diesel'!$AF187)*'Feedstock Conversion Rates'!$B$6)/12)+37</f>
        <v>90.739583333333343</v>
      </c>
      <c r="CN178" s="104">
        <f>(((CN$3*'Renewable Diesel'!$AF187)*'Feedstock Conversion Rates'!$B$4)/12)</f>
        <v>42.96875</v>
      </c>
      <c r="CO178" s="106">
        <f t="shared" si="91"/>
        <v>188.48958333333334</v>
      </c>
      <c r="CP178" s="104">
        <f>('Renewable Diesel'!$AG187*'RD Feedstock Breakdown'!CP$3*'Feedstock Conversion Rates'!$B$3)/12</f>
        <v>6.0075000000000003</v>
      </c>
      <c r="CQ178" s="104">
        <f>('Renewable Diesel'!$AG187*'RD Feedstock Breakdown'!CQ$3*'Feedstock Conversion Rates'!$B$6)/12</f>
        <v>3.5175000000000001</v>
      </c>
      <c r="CR178" s="104">
        <f>('Renewable Diesel'!$AG187*'RD Feedstock Breakdown'!CR$3*'Feedstock Conversion Rates'!$B$4)/12</f>
        <v>2.8125</v>
      </c>
      <c r="CS178" s="106">
        <f t="shared" si="134"/>
        <v>12.3375</v>
      </c>
      <c r="CT178" s="104">
        <f>('Renewable Diesel'!AI187*'Feedstock Conversion Rates'!$B$4*'RD Feedstock Breakdown'!$CT$3)/12</f>
        <v>29.375</v>
      </c>
      <c r="CU178" s="106">
        <f t="shared" si="99"/>
        <v>29.375</v>
      </c>
      <c r="CV178" s="106"/>
      <c r="CW178" s="106"/>
      <c r="CX178" s="104">
        <f>('Renewable Diesel'!AO187*'RD Feedstock Breakdown'!$CX$3*'Feedstock Conversion Rates'!$B$3)/12</f>
        <v>3.3374999999999999</v>
      </c>
      <c r="CY178" s="104">
        <f>('Renewable Diesel'!AO187*'RD Feedstock Breakdown'!$CY$3*'Feedstock Conversion Rates'!$B$6)/12</f>
        <v>3.9083333333333337</v>
      </c>
      <c r="CZ178" s="106">
        <f t="shared" ref="CZ178:CZ241" si="135">CY178+CX178</f>
        <v>7.2458333333333336</v>
      </c>
      <c r="DA178" s="106"/>
      <c r="DB178" s="106"/>
      <c r="DC178" s="106"/>
      <c r="DD178" s="106"/>
      <c r="DE178" s="106"/>
      <c r="DF178" s="104">
        <f>('Renewable Diesel'!AR187*'Feedstock Conversion Rates'!$B$4*$DF$3)/12</f>
        <v>56.25</v>
      </c>
      <c r="DG178" s="106">
        <f t="shared" ref="DG178:DG241" si="136">DF178</f>
        <v>56.25</v>
      </c>
      <c r="DH178" s="106"/>
      <c r="DI178" s="106"/>
      <c r="DJ178" s="104">
        <f>('Renewable Diesel'!AT187*'Feedstock Conversion Rates'!$B$4*0.25)/12</f>
        <v>8.59375</v>
      </c>
      <c r="DK178" s="104">
        <f>('Renewable Diesel'!$AT187*'RD Feedstock Breakdown'!DK$3*'Feedstock Conversion Rates'!$B$3)/12*0.5</f>
        <v>9.1781249999999996</v>
      </c>
      <c r="DL178" s="104">
        <f>('Renewable Diesel'!$AT187*'RD Feedstock Breakdown'!$DL$3*'Feedstock Conversion Rates'!$B$6)/12</f>
        <v>10.747916666666669</v>
      </c>
      <c r="DM178" s="104">
        <f>('Renewable Diesel'!$AT187*'RD Feedstock Breakdown'!$DM$3*'Feedstock Conversion Rates'!$B$8)/12</f>
        <v>10.7421875</v>
      </c>
      <c r="DN178" s="106">
        <f t="shared" si="110"/>
        <v>39.26197916666667</v>
      </c>
      <c r="DP178" s="104">
        <f t="shared" si="73"/>
        <v>27.470249999999993</v>
      </c>
      <c r="DQ178" s="104">
        <f t="shared" si="74"/>
        <v>908.75776750000011</v>
      </c>
      <c r="DR178" s="104">
        <f t="shared" si="82"/>
        <v>1156.09375</v>
      </c>
      <c r="DS178" s="104">
        <f t="shared" si="100"/>
        <v>222.43822916666664</v>
      </c>
      <c r="DT178" s="104">
        <f t="shared" si="75"/>
        <v>448.15715</v>
      </c>
      <c r="DU178" s="104">
        <f t="shared" si="76"/>
        <v>226.86860000000001</v>
      </c>
      <c r="DV178" s="104">
        <f t="shared" si="83"/>
        <v>31.925000000000001</v>
      </c>
      <c r="DW178" s="104">
        <f t="shared" si="77"/>
        <v>2.5</v>
      </c>
      <c r="DX178" s="106">
        <f t="shared" si="78"/>
        <v>3024.2107466666666</v>
      </c>
      <c r="DY178" s="109">
        <f t="shared" si="79"/>
        <v>-6.1817218011128716E-13</v>
      </c>
      <c r="EA178" s="110">
        <f t="shared" si="114"/>
        <v>9.0834443433805475E-3</v>
      </c>
      <c r="EB178" s="110">
        <f t="shared" si="114"/>
        <v>0.30049419290690882</v>
      </c>
      <c r="EC178" s="110">
        <f t="shared" si="114"/>
        <v>0.38227949268226924</v>
      </c>
      <c r="ED178" s="110">
        <f t="shared" si="114"/>
        <v>7.3552489492288722E-2</v>
      </c>
      <c r="EE178" s="110">
        <f t="shared" si="114"/>
        <v>0.14818978819315617</v>
      </c>
      <c r="EF178" s="110">
        <f t="shared" si="114"/>
        <v>7.5017457116723169E-2</v>
      </c>
      <c r="EG178" s="110">
        <f t="shared" si="114"/>
        <v>1.0556473299748783E-2</v>
      </c>
      <c r="EH178" s="111">
        <f t="shared" si="84"/>
        <v>8.2666196552457199E-4</v>
      </c>
      <c r="EI178" s="110">
        <f t="shared" si="85"/>
        <v>0.9991733380344755</v>
      </c>
      <c r="EK178" s="112">
        <f>(EA178*'Renewable Diesel'!BF187*'Feedstock Conversion Rates'!B$2)+FB178</f>
        <v>15.313067426924224</v>
      </c>
      <c r="EL178" s="112">
        <f>(EB178*'Renewable Diesel'!BF187*'Feedstock Conversion Rates'!B$3)+FC178</f>
        <v>477.37680040999959</v>
      </c>
      <c r="EM178" s="112">
        <f>(EC178*'Renewable Diesel'!BF187*'Feedstock Conversion Rates'!B$4)+FD178</f>
        <v>568.63681551525565</v>
      </c>
      <c r="EN178" s="112">
        <f>(ED178*'Renewable Diesel'!BF187*'Feedstock Conversion Rates'!B$5)+FE178</f>
        <v>110.13796247700547</v>
      </c>
      <c r="EO178" s="112">
        <f>(EE178*'Renewable Diesel'!BF187*'Feedstock Conversion Rates'!B$6)+FF178</f>
        <v>275.68543703260104</v>
      </c>
      <c r="EP178" s="112">
        <f>(EF178*'Renewable Diesel'!BF187*'Feedstock Conversion Rates'!B$7)+FG178</f>
        <v>136.88090743488812</v>
      </c>
      <c r="EQ178" s="112">
        <f>(EG178*'Renewable Diesel'!BF187*'Feedstock Conversion Rates'!B$8)+FH178</f>
        <v>19.628306890471183</v>
      </c>
      <c r="ER178" s="112">
        <f>(EH178*'Renewable Diesel'!BF187*'Feedstock Conversion Rates'!B$9)+FI178</f>
        <v>1.5165697832366147</v>
      </c>
      <c r="ES178" s="112">
        <f t="shared" si="86"/>
        <v>1605.1758669703818</v>
      </c>
      <c r="ET178" s="91">
        <f>ES178/'Renewable Diesel'!BF187</f>
        <v>8.0933796319787774</v>
      </c>
      <c r="EW178" s="73">
        <f t="shared" si="124"/>
        <v>678.77477799226108</v>
      </c>
      <c r="EX178" s="73">
        <f t="shared" si="125"/>
        <v>926.4010889781207</v>
      </c>
      <c r="EY178" s="92">
        <f t="shared" si="71"/>
        <v>0.42286629892672417</v>
      </c>
      <c r="EZ178" s="92">
        <f t="shared" si="71"/>
        <v>0.57713370107327588</v>
      </c>
      <c r="FB178" s="102">
        <f>IF('Renewable Diesel'!$BG187&lt;1,0,(((('Renewable Diesel'!$BG187-1)*'Renewable Diesel'!$BF187)*'RD Feedstock Breakdown'!EA178)*'Feedstock Conversion Rates'!$B$2))</f>
        <v>0</v>
      </c>
      <c r="FC178" s="102">
        <f>IF('Renewable Diesel'!$BG187&lt;1,0,(((('Renewable Diesel'!$BG187-1)*'Renewable Diesel'!$BF187)*'RD Feedstock Breakdown'!EB178)*'Feedstock Conversion Rates'!$B$3))</f>
        <v>0</v>
      </c>
      <c r="FD178" s="102">
        <f>IF('Renewable Diesel'!$BG187&lt;1,0,(((('Renewable Diesel'!$BG187-1)*'Renewable Diesel'!$BF187)*'RD Feedstock Breakdown'!EC178)*'Feedstock Conversion Rates'!$B$4))</f>
        <v>0</v>
      </c>
      <c r="FE178" s="102">
        <f>IF('Renewable Diesel'!$BG187&lt;1,0,(((('Renewable Diesel'!$BG187-1)*'Renewable Diesel'!$BF187)*'RD Feedstock Breakdown'!ED178)*'Feedstock Conversion Rates'!$B$5))</f>
        <v>0</v>
      </c>
      <c r="FF178" s="102">
        <f>IF('Renewable Diesel'!$BG187&lt;1,0,(((('Renewable Diesel'!$BG187-1)*'Renewable Diesel'!$BF187)*'RD Feedstock Breakdown'!EE178)*'Feedstock Conversion Rates'!$B$6))</f>
        <v>0</v>
      </c>
      <c r="FG178" s="102">
        <f>IF('Renewable Diesel'!$BG187&lt;1,0,(((('Renewable Diesel'!$BG187-1)*'Renewable Diesel'!$BF187)*'RD Feedstock Breakdown'!EF178)*'Feedstock Conversion Rates'!$B$7))</f>
        <v>0</v>
      </c>
      <c r="FH178" s="102">
        <f>IF('Renewable Diesel'!$BG187&lt;1,0,(((('Renewable Diesel'!$BG187-1)*'Renewable Diesel'!$BF187)*'RD Feedstock Breakdown'!EG178)*'Feedstock Conversion Rates'!$B$8))</f>
        <v>0</v>
      </c>
      <c r="FI178" s="102">
        <f>IF('Renewable Diesel'!$BG187&lt;1,0,(((('Renewable Diesel'!$BG187-1)*'Renewable Diesel'!$BF187)*'RD Feedstock Breakdown'!EH178)*'Feedstock Conversion Rates'!$B$9))</f>
        <v>0</v>
      </c>
      <c r="FJ178" s="102">
        <f t="shared" si="126"/>
        <v>0</v>
      </c>
      <c r="FL178" s="3">
        <f>('Renewable Diesel'!AX187/12*$FO$80)*'RD Feedstock Breakdown'!EC178*7.5</f>
        <v>1033.9168192410507</v>
      </c>
      <c r="FM178" s="3">
        <f t="shared" si="96"/>
        <v>465.28000372579504</v>
      </c>
      <c r="FR178" s="3">
        <f>('Renewable Diesel'!AX187-'Renewable Diesel'!BI187)/12*$FO$80</f>
        <v>32.83462500000001</v>
      </c>
      <c r="FS178" s="100">
        <f t="shared" si="97"/>
        <v>0.38227949268226924</v>
      </c>
      <c r="FT178" s="3">
        <f t="shared" si="98"/>
        <v>94.140028405594194</v>
      </c>
      <c r="FY178" s="3">
        <f>'Renewable Diesel'!BF187*('Renewable Diesel'!BI187/'Renewable Diesel'!AX187)</f>
        <v>180.27347260528069</v>
      </c>
      <c r="FZ178" s="3">
        <f>('Renewable Diesel'!BJ187*'Renewable Diesel'!BG187)/12</f>
        <v>18.309302417537769</v>
      </c>
      <c r="GA178" s="3">
        <f t="shared" si="105"/>
        <v>52.494531296569377</v>
      </c>
      <c r="GD178" s="91">
        <f>'Renewable Diesel'!BB187*0.32</f>
        <v>0</v>
      </c>
      <c r="GE178" s="91">
        <f>'Renewable Diesel'!BC187</f>
        <v>10.933554606466778</v>
      </c>
      <c r="GF178" s="91">
        <f>'Renewable Diesel'!BD187</f>
        <v>0</v>
      </c>
      <c r="GG178" s="91">
        <f t="shared" si="109"/>
        <v>10.933554606466778</v>
      </c>
      <c r="GH178" s="124">
        <v>1</v>
      </c>
      <c r="GI178" s="102">
        <f>$GG178*EA178*'Feedstock Conversion Rates'!$B$2</f>
        <v>0.84417184531680034</v>
      </c>
      <c r="GJ178" s="102">
        <f>$GG178*EB178*'Feedstock Conversion Rates'!$B$3</f>
        <v>26.316612033261535</v>
      </c>
      <c r="GK178" s="102">
        <f>$GG178*EC178*'Feedstock Conversion Rates'!$B$4</f>
        <v>31.347552811305057</v>
      </c>
      <c r="GL178" s="102">
        <f>$GG178*ED178*'Feedstock Conversion Rates'!$B$5</f>
        <v>6.0716357103066203</v>
      </c>
      <c r="GM178" s="102">
        <f>$GG178*EE178*'Feedstock Conversion Rates'!$B$6</f>
        <v>15.197861905681206</v>
      </c>
      <c r="GN178" s="102">
        <f>$GG178*EF178*'Feedstock Conversion Rates'!$B$7</f>
        <v>7.5459086671805471</v>
      </c>
      <c r="GO178" s="102">
        <f>$GG178*EG178*'Feedstock Conversion Rates'!$B$8</f>
        <v>1.0820604119485486</v>
      </c>
      <c r="GP178" s="102">
        <f>$GG178*EH178*'Feedstock Conversion Rates'!B$9</f>
        <v>8.3604772105656602E-2</v>
      </c>
      <c r="GQ178" s="102">
        <f t="shared" si="87"/>
        <v>88.48940815710597</v>
      </c>
      <c r="GR178" s="85">
        <f t="shared" si="107"/>
        <v>8.0933796319787792</v>
      </c>
      <c r="GT178" s="103">
        <f t="shared" si="111"/>
        <v>9.5398066604540956E-3</v>
      </c>
      <c r="GU178" s="103">
        <f t="shared" si="111"/>
        <v>0.29739844102628038</v>
      </c>
      <c r="GV178" s="103">
        <f t="shared" si="111"/>
        <v>0.3542520338213806</v>
      </c>
      <c r="GW178" s="103">
        <f t="shared" si="111"/>
        <v>6.8614265105343561E-2</v>
      </c>
      <c r="GX178" s="103">
        <f t="shared" si="111"/>
        <v>0.17174780826535307</v>
      </c>
      <c r="GY178" s="103">
        <f t="shared" si="111"/>
        <v>8.5274710548220445E-2</v>
      </c>
      <c r="GZ178" s="103">
        <f t="shared" si="111"/>
        <v>1.2228134807133478E-2</v>
      </c>
      <c r="HA178" s="103">
        <f t="shared" si="111"/>
        <v>9.4479976583438003E-4</v>
      </c>
    </row>
    <row r="179" spans="1:209" x14ac:dyDescent="0.25">
      <c r="A179" s="96">
        <v>45870</v>
      </c>
      <c r="B179" s="104">
        <f t="shared" si="133"/>
        <v>0</v>
      </c>
      <c r="C179" s="104">
        <f>40-10-2.5-27.5+25+25+25-70+120-15-100-10+40-25-10</f>
        <v>5</v>
      </c>
      <c r="D179" s="104">
        <f t="shared" si="95"/>
        <v>1.5</v>
      </c>
      <c r="E179" s="104">
        <f>('Renewable Diesel'!B188*E$3*'Feedstock Conversion Rates'!$B$2)/12-40+1.25+6-43+30-15+12.5-4+1.5+26+2.5+3-10+50+9-15-25-55+15+45+10-50-25</f>
        <v>19.679999999999993</v>
      </c>
      <c r="F179" s="104">
        <f>('Renewable Diesel'!B188*'RD Feedstock Breakdown'!F$3*'Feedstock Conversion Rates'!B$8)/12+28.5-49-5+2-6+1+6+20-20-3.75+10+2.5+5-20-20+10</f>
        <v>15.15625</v>
      </c>
      <c r="G179" s="104">
        <f>('Renewable Diesel'!B188*'RD Feedstock Breakdown'!G$3*'Feedstock Conversion Rates'!B$7)/12-25-15-25+4+4-20-40-20+10-17.5+20+50-12+32.5+35-75-75+22.5+5-20+15+125-10-45-10-40-40</f>
        <v>9.6570000000000107</v>
      </c>
      <c r="H179" s="104">
        <f>('Renewable Diesel'!B188*'RD Feedstock Breakdown'!H$3*'Feedstock Conversion Rates'!B$3)/12-85+4-15+70-65-80+50-22.5-5+25+27.5+15+50+15-10+5+50+75-5-25-85-12.5+30+22.5-25-30+150+90-120+25+10+40+50+50-100-50+150</f>
        <v>445.40022499999998</v>
      </c>
      <c r="I179" s="106">
        <f t="shared" si="106"/>
        <v>496.39347499999997</v>
      </c>
      <c r="J179" s="104">
        <f t="shared" si="128"/>
        <v>5</v>
      </c>
      <c r="K179" s="104">
        <f t="shared" si="129"/>
        <v>5</v>
      </c>
      <c r="L179" s="104">
        <v>1</v>
      </c>
      <c r="M179" s="104">
        <f>('Renewable Diesel'!C188*'RD Feedstock Breakdown'!M$3*'Feedstock Conversion Rates'!B$2)/12</f>
        <v>7.7902500000000003</v>
      </c>
      <c r="N179" s="104">
        <f>('Renewable Diesel'!C188*'RD Feedstock Breakdown'!N$3*'Feedstock Conversion Rates'!B$8)/12</f>
        <v>3.671875</v>
      </c>
      <c r="O179" s="104">
        <f>('Renewable Diesel'!C188*'RD Feedstock Breakdown'!O$3*'Feedstock Conversion Rates'!B$7)/12</f>
        <v>11.9991</v>
      </c>
      <c r="P179" s="104">
        <f>('Renewable Diesel'!C188*'RD Feedstock Breakdown'!P$3*'Feedstock Conversion Rates'!B$3)/12</f>
        <v>10.4470425</v>
      </c>
      <c r="Q179" s="106">
        <f t="shared" si="119"/>
        <v>44.908267500000001</v>
      </c>
      <c r="R179" s="104">
        <f>('Renewable Diesel'!D188*'RD Feedstock Breakdown'!R$3*'Feedstock Conversion Rates'!B$7)/12</f>
        <v>2.2999999999999998</v>
      </c>
      <c r="S179" s="106">
        <f t="shared" si="67"/>
        <v>2.2999999999999998</v>
      </c>
      <c r="T179" s="104">
        <f t="shared" si="132"/>
        <v>4.8249999999999993</v>
      </c>
      <c r="U179" s="104">
        <f>0+10</f>
        <v>10</v>
      </c>
      <c r="V179" s="104">
        <f>('Renewable Diesel'!E188*'RD Feedstock Breakdown'!V$3*'Feedstock Conversion Rates'!B$6)/12-5+10</f>
        <v>49.250150000000012</v>
      </c>
      <c r="W179" s="104">
        <f>('Renewable Diesel'!E188*'RD Feedstock Breakdown'!W$3*'Feedstock Conversion Rates'!B$8)/12-5.825-4-10</f>
        <v>2.3546875000000007</v>
      </c>
      <c r="X179" s="106">
        <f t="shared" si="88"/>
        <v>66.429837500000005</v>
      </c>
      <c r="Y179" s="104">
        <f t="shared" si="130"/>
        <v>35.5</v>
      </c>
      <c r="Z179" s="104">
        <f>('Renewable Diesel'!F188*'RD Feedstock Breakdown'!Z$3*'Feedstock Conversion Rates'!B$6)/12-50-32-60+15+25+32.5-50-5+10-25+15+5+50</f>
        <v>89.960000000000008</v>
      </c>
      <c r="AA179" s="104">
        <f>('Renewable Diesel'!F188*'RD Feedstock Breakdown'!AA$3*'Feedstock Conversion Rates'!B$7)/12+80-171+75+70-20</f>
        <v>138.26666666666665</v>
      </c>
      <c r="AB179" s="106">
        <f t="shared" ref="AB179:AB242" si="137">SUM(Y179:AA179)</f>
        <v>263.72666666666669</v>
      </c>
      <c r="AC179" s="104">
        <f>('Renewable Diesel'!G188*'RD Feedstock Breakdown'!AC$3*'Feedstock Conversion Rates'!B$5)/12</f>
        <v>7.864583333333333</v>
      </c>
      <c r="AD179" s="104">
        <f>('Renewable Diesel'!G188*'RD Feedstock Breakdown'!AD$3*'Feedstock Conversion Rates'!B$4)/12</f>
        <v>3.90625</v>
      </c>
      <c r="AE179" s="104">
        <f>('Renewable Diesel'!G188*'RD Feedstock Breakdown'!AE$3*'Feedstock Conversion Rates'!B$6)/12</f>
        <v>4.885416666666667</v>
      </c>
      <c r="AF179" s="106">
        <f t="shared" si="101"/>
        <v>16.65625</v>
      </c>
      <c r="AG179" s="104">
        <f t="shared" si="131"/>
        <v>39</v>
      </c>
      <c r="AH179" s="104">
        <v>0</v>
      </c>
      <c r="AI179" s="104">
        <f>('Renewable Diesel'!H188*'RD Feedstock Breakdown'!AI$3*'Feedstock Conversion Rates'!B$6)/12-130-20+51+5-100-25+100-10-25+15+22.5-22.5+100</f>
        <v>109.51666666666668</v>
      </c>
      <c r="AJ179" s="106">
        <f t="shared" si="65"/>
        <v>148.51666666666668</v>
      </c>
      <c r="AK179" s="104">
        <f>('Renewable Diesel'!J188*'RD Feedstock Breakdown'!AK$3*'Feedstock Conversion Rates'!B$4)/12</f>
        <v>95.8125</v>
      </c>
      <c r="AL179" s="106">
        <f t="shared" si="68"/>
        <v>95.8125</v>
      </c>
      <c r="AM179" s="104">
        <f>('Renewable Diesel'!K188*'RD Feedstock Breakdown'!AM$3*'Feedstock Conversion Rates'!B$4)/12+5+15-10+10-30</f>
        <v>48.59375</v>
      </c>
      <c r="AN179" s="104">
        <f>('Renewable Diesel'!K188*'RD Feedstock Breakdown'!AN$3*'Feedstock Conversion Rates'!B$6)/12-5-15+10-10+30</f>
        <v>34.427083333333329</v>
      </c>
      <c r="AO179" s="106">
        <f t="shared" si="81"/>
        <v>83.020833333333329</v>
      </c>
      <c r="AP179" s="104">
        <f>('Renewable Diesel'!L188*'RD Feedstock Breakdown'!AP$3*'Feedstock Conversion Rates'!B$4)/12+15-10-5+10+5+5</f>
        <v>78.59375</v>
      </c>
      <c r="AQ179" s="104">
        <f>('Renewable Diesel'!L188*'RD Feedstock Breakdown'!AQ$3*'Feedstock Conversion Rates'!B$6)/12-15+10+5-10-5-5</f>
        <v>4.4270833333333321</v>
      </c>
      <c r="AR179" s="106">
        <f t="shared" si="70"/>
        <v>83.020833333333329</v>
      </c>
      <c r="AS179" s="104">
        <f>('Renewable Diesel'!M188*'RD Feedstock Breakdown'!AS$3*'Feedstock Conversion Rates'!B$4)/12-150</f>
        <v>306.25</v>
      </c>
      <c r="AT179" s="104">
        <f>('Renewable Diesel'!M188*'RD Feedstock Breakdown'!AT$3*'Feedstock Conversion Rates'!B$5)/12+150</f>
        <v>150</v>
      </c>
      <c r="AU179" s="106">
        <f t="shared" si="104"/>
        <v>456.25</v>
      </c>
      <c r="AV179" s="104">
        <f>'Renewable Diesel'!N188*'RD Feedstock Breakdown'!$AV$3*'Feedstock Conversion Rates'!$B$4/12-15-10+25+25-22+22.5</f>
        <v>104.24999999999999</v>
      </c>
      <c r="AW179" s="104">
        <f>'Renewable Diesel'!N188*'RD Feedstock Breakdown'!$AW$3*'Feedstock Conversion Rates'!$B$7/12+15+10-25-25+22-22.5</f>
        <v>15.900000000000006</v>
      </c>
      <c r="AX179" s="106">
        <f t="shared" si="63"/>
        <v>120.14999999999999</v>
      </c>
      <c r="AY179" s="104">
        <f>('Renewable Diesel'!O188*'RD Feedstock Breakdown'!AY$3*'Feedstock Conversion Rates'!B$4)/12+34-100-282</f>
        <v>-137.0625</v>
      </c>
      <c r="AZ179" s="104">
        <f>('Renewable Diesel'!O188*'RD Feedstock Breakdown'!AZ$3*'Feedstock Conversion Rates'!B$3)/12-34+100+282</f>
        <v>373.03125</v>
      </c>
      <c r="BA179" s="106">
        <f t="shared" si="120"/>
        <v>235.96875</v>
      </c>
      <c r="BB179" s="104">
        <f>('Renewable Diesel'!Q188*'RD Feedstock Breakdown'!BB$3*'Feedstock Conversion Rates'!B$4)/12</f>
        <v>11.156249999999998</v>
      </c>
      <c r="BC179" s="104">
        <f>('Renewable Diesel'!Q188*'RD Feedstock Breakdown'!BC$3*'Feedstock Conversion Rates'!B$3)/12</f>
        <v>1.4017500000000001</v>
      </c>
      <c r="BD179" s="104">
        <f>('Renewable Diesel'!Q188*'RD Feedstock Breakdown'!BD$3*'Feedstock Conversion Rates'!B$6)/12</f>
        <v>0.8207500000000002</v>
      </c>
      <c r="BE179" s="106">
        <f t="shared" si="90"/>
        <v>13.378749999999998</v>
      </c>
      <c r="BF179" s="104">
        <f>('Renewable Diesel'!R188*'RD Feedstock Breakdown'!BF$3*'Feedstock Conversion Rates'!B$4)/12</f>
        <v>62.5</v>
      </c>
      <c r="BG179" s="106">
        <f t="shared" si="72"/>
        <v>62.5</v>
      </c>
      <c r="BH179" s="104">
        <f>('Renewable Diesel'!T188*'RD Feedstock Breakdown'!BH$3*'Feedstock Conversion Rates'!B$7)/12</f>
        <v>27.599999999999998</v>
      </c>
      <c r="BI179" s="106">
        <f t="shared" si="64"/>
        <v>27.599999999999998</v>
      </c>
      <c r="BJ179" s="104">
        <f>('Renewable Diesel'!W188*'RD Feedstock Breakdown'!BJ$3*'Feedstock Conversion Rates'!B$4)/12</f>
        <v>7.5</v>
      </c>
      <c r="BK179" s="104">
        <f>('Renewable Diesel'!W188*'RD Feedstock Breakdown'!BK$3*'Feedstock Conversion Rates'!B$3)/12</f>
        <v>1.335</v>
      </c>
      <c r="BL179" s="104">
        <f>('Renewable Diesel'!W188*'RD Feedstock Breakdown'!BL$3*'Feedstock Conversion Rates'!B$6)/12</f>
        <v>3.1266666666666669</v>
      </c>
      <c r="BM179" s="104">
        <f>('Renewable Diesel'!W188*'RD Feedstock Breakdown'!BM$3*'Feedstock Conversion Rates'!B$7)/12</f>
        <v>1.5333333333333332</v>
      </c>
      <c r="BN179" s="106">
        <f t="shared" si="112"/>
        <v>13.495000000000001</v>
      </c>
      <c r="BO179" s="104">
        <f>('Renewable Diesel'!P188*'Feedstock Conversion Rates'!B$4)/12</f>
        <v>31.25</v>
      </c>
      <c r="BP179" s="106">
        <f t="shared" si="102"/>
        <v>31.25</v>
      </c>
      <c r="BQ179" s="104">
        <f>('Renewable Diesel'!$S188*'RD Feedstock Breakdown'!BQ$3*'Feedstock Conversion Rates'!B$4)/12+10</f>
        <v>38.125</v>
      </c>
      <c r="BR179" s="104">
        <f>('Renewable Diesel'!$S188*'RD Feedstock Breakdown'!BR$3*'Feedstock Conversion Rates'!B$7)/12-10</f>
        <v>1.5</v>
      </c>
      <c r="BS179" s="106">
        <f t="shared" si="123"/>
        <v>39.625</v>
      </c>
      <c r="BT179" s="106"/>
      <c r="BU179" s="104">
        <f>('Renewable Diesel'!Y188*'Feedstock Conversion Rates'!B$7)/12</f>
        <v>2.6833333333333331</v>
      </c>
      <c r="BV179" s="106">
        <f t="shared" si="93"/>
        <v>2.6833333333333331</v>
      </c>
      <c r="BW179" s="104">
        <f>('Renewable Diesel'!$Z188*'RD Feedstock Breakdown'!BW$3*'Feedstock Conversion Rates'!$B$4)/12</f>
        <v>17.96875</v>
      </c>
      <c r="BX179" s="104">
        <f>('Renewable Diesel'!$Z188*'RD Feedstock Breakdown'!BX$3*'Feedstock Conversion Rates'!$B$5)/12</f>
        <v>1.8088541666666667</v>
      </c>
      <c r="BY179" s="104">
        <f>('Renewable Diesel'!$Z188*'RD Feedstock Breakdown'!BY$3*'Feedstock Conversion Rates'!$B$7)/12</f>
        <v>15.429166666666665</v>
      </c>
      <c r="BZ179" s="104">
        <f>('Renewable Diesel'!$Z188*'RD Feedstock Breakdown'!BZ$3*'Feedstock Conversion Rates'!$B$3)/12</f>
        <v>3.8381249999999998</v>
      </c>
      <c r="CA179" s="106">
        <f t="shared" si="127"/>
        <v>39.044895833333328</v>
      </c>
      <c r="CB179" s="104">
        <f>('Renewable Diesel'!AA188*'Feedstock Conversion Rates'!B$4)/12</f>
        <v>191.25</v>
      </c>
      <c r="CC179" s="106">
        <f t="shared" si="113"/>
        <v>191.25</v>
      </c>
      <c r="CD179" s="104">
        <f>('Renewable Diesel'!$AB188*'RD Feedstock Breakdown'!CD$3*'Feedstock Conversion Rates'!$B$6)/12-15+25</f>
        <v>42.830000000000005</v>
      </c>
      <c r="CE179" s="104">
        <f>('Renewable Diesel'!$AB188*'RD Feedstock Breakdown'!CE$3*'Feedstock Conversion Rates'!$B$4)/12+15-25</f>
        <v>1.25</v>
      </c>
      <c r="CF179" s="106">
        <f t="shared" si="108"/>
        <v>44.080000000000005</v>
      </c>
      <c r="CG179" s="104">
        <f>('Renewable Diesel'!AD188*'Feedstock Conversion Rates'!B$4)/12</f>
        <v>112.5</v>
      </c>
      <c r="CH179" s="106">
        <f t="shared" si="89"/>
        <v>112.5</v>
      </c>
      <c r="CI179" s="104">
        <f>('Renewable Diesel'!$AE188*'RD Feedstock Breakdown'!CI$3*'Feedstock Conversion Rates'!$B$5)/12</f>
        <v>0.34604166666666664</v>
      </c>
      <c r="CJ179" s="104">
        <f>('Renewable Diesel'!$AE188*'RD Feedstock Breakdown'!CJ$3*'Feedstock Conversion Rates'!$B$4)/12</f>
        <v>0.34375</v>
      </c>
      <c r="CK179" s="106">
        <f t="shared" si="103"/>
        <v>0.68979166666666658</v>
      </c>
      <c r="CL179" s="104">
        <f>(((CL$3*'Renewable Diesel'!$AF188)*'Feedstock Conversion Rates'!$B$3)/12)-37</f>
        <v>54.78125</v>
      </c>
      <c r="CM179" s="104">
        <f>(((CM$3*'Renewable Diesel'!$AF188)*'Feedstock Conversion Rates'!$B$6)/12)+37</f>
        <v>90.739583333333343</v>
      </c>
      <c r="CN179" s="104">
        <f>(((CN$3*'Renewable Diesel'!$AF188)*'Feedstock Conversion Rates'!$B$4)/12)</f>
        <v>42.96875</v>
      </c>
      <c r="CO179" s="106">
        <f t="shared" si="91"/>
        <v>188.48958333333334</v>
      </c>
      <c r="CP179" s="104">
        <f>('Renewable Diesel'!$AG188*'RD Feedstock Breakdown'!CP$3*'Feedstock Conversion Rates'!$B$3)/12</f>
        <v>6.0075000000000003</v>
      </c>
      <c r="CQ179" s="104">
        <f>('Renewable Diesel'!$AG188*'RD Feedstock Breakdown'!CQ$3*'Feedstock Conversion Rates'!$B$6)/12</f>
        <v>3.5175000000000001</v>
      </c>
      <c r="CR179" s="104">
        <f>('Renewable Diesel'!$AG188*'RD Feedstock Breakdown'!CR$3*'Feedstock Conversion Rates'!$B$4)/12</f>
        <v>2.8125</v>
      </c>
      <c r="CS179" s="106">
        <f t="shared" si="134"/>
        <v>12.3375</v>
      </c>
      <c r="CT179" s="104">
        <f>('Renewable Diesel'!AI188*'Feedstock Conversion Rates'!$B$4*'RD Feedstock Breakdown'!$CT$3)/12</f>
        <v>29.375</v>
      </c>
      <c r="CU179" s="106">
        <f t="shared" si="99"/>
        <v>29.375</v>
      </c>
      <c r="CV179" s="106"/>
      <c r="CW179" s="106"/>
      <c r="CX179" s="104">
        <f>('Renewable Diesel'!AO188*'RD Feedstock Breakdown'!$CX$3*'Feedstock Conversion Rates'!$B$3)/12</f>
        <v>6.3412499999999996</v>
      </c>
      <c r="CY179" s="104">
        <f>('Renewable Diesel'!AO188*'RD Feedstock Breakdown'!$CY$3*'Feedstock Conversion Rates'!$B$6)/12</f>
        <v>7.4258333333333342</v>
      </c>
      <c r="CZ179" s="106">
        <f t="shared" si="135"/>
        <v>13.767083333333334</v>
      </c>
      <c r="DA179" s="106"/>
      <c r="DB179" s="106"/>
      <c r="DC179" s="106"/>
      <c r="DD179" s="106"/>
      <c r="DE179" s="106"/>
      <c r="DF179" s="104">
        <f>('Renewable Diesel'!AR188*'Feedstock Conversion Rates'!$B$4*$DF$3)/12</f>
        <v>75</v>
      </c>
      <c r="DG179" s="106">
        <f t="shared" si="136"/>
        <v>75</v>
      </c>
      <c r="DH179" s="106"/>
      <c r="DI179" s="106"/>
      <c r="DJ179" s="104">
        <f>('Renewable Diesel'!AT188*'Feedstock Conversion Rates'!$B$4*0.25)/12</f>
        <v>8.59375</v>
      </c>
      <c r="DK179" s="104">
        <f>('Renewable Diesel'!$AT188*'RD Feedstock Breakdown'!DK$3*'Feedstock Conversion Rates'!$B$3)/12*0.5</f>
        <v>9.1781249999999996</v>
      </c>
      <c r="DL179" s="104">
        <f>('Renewable Diesel'!$AT188*'RD Feedstock Breakdown'!$DL$3*'Feedstock Conversion Rates'!$B$6)/12</f>
        <v>10.747916666666669</v>
      </c>
      <c r="DM179" s="104">
        <f>('Renewable Diesel'!$AT188*'RD Feedstock Breakdown'!$DM$3*'Feedstock Conversion Rates'!$B$8)/12</f>
        <v>10.7421875</v>
      </c>
      <c r="DN179" s="106">
        <f t="shared" si="110"/>
        <v>39.26197916666667</v>
      </c>
      <c r="DP179" s="104">
        <f t="shared" si="73"/>
        <v>27.470249999999993</v>
      </c>
      <c r="DQ179" s="104">
        <f t="shared" si="74"/>
        <v>911.76151750000008</v>
      </c>
      <c r="DR179" s="104">
        <f t="shared" si="82"/>
        <v>1174.84375</v>
      </c>
      <c r="DS179" s="104">
        <f t="shared" si="100"/>
        <v>222.43822916666664</v>
      </c>
      <c r="DT179" s="104">
        <f t="shared" si="75"/>
        <v>451.67464999999993</v>
      </c>
      <c r="DU179" s="104">
        <f t="shared" si="76"/>
        <v>226.86860000000001</v>
      </c>
      <c r="DV179" s="104">
        <f t="shared" si="83"/>
        <v>31.925000000000001</v>
      </c>
      <c r="DW179" s="104">
        <f t="shared" si="77"/>
        <v>2.5</v>
      </c>
      <c r="DX179" s="106">
        <f t="shared" si="78"/>
        <v>3049.4819966666664</v>
      </c>
      <c r="DY179" s="109">
        <f t="shared" si="79"/>
        <v>-3.979039320256561E-13</v>
      </c>
      <c r="EA179" s="110">
        <f t="shared" si="114"/>
        <v>9.0081692661334693E-3</v>
      </c>
      <c r="EB179" s="110">
        <f t="shared" si="114"/>
        <v>0.29898898189811585</v>
      </c>
      <c r="EC179" s="110">
        <f t="shared" si="114"/>
        <v>0.38526010361241692</v>
      </c>
      <c r="ED179" s="110">
        <f t="shared" si="114"/>
        <v>7.2942955364160164E-2</v>
      </c>
      <c r="EE179" s="110">
        <f t="shared" si="114"/>
        <v>0.1481152046458111</v>
      </c>
      <c r="EF179" s="110">
        <f t="shared" si="114"/>
        <v>7.4395782709321109E-2</v>
      </c>
      <c r="EG179" s="110">
        <f t="shared" si="114"/>
        <v>1.0468991138461102E-2</v>
      </c>
      <c r="EH179" s="111">
        <f t="shared" si="84"/>
        <v>8.198113655803526E-4</v>
      </c>
      <c r="EI179" s="110">
        <f t="shared" si="85"/>
        <v>0.99918018863441971</v>
      </c>
      <c r="EK179" s="132">
        <f>(EA179*'Renewable Diesel'!BF188*'Feedstock Conversion Rates'!B$2)+FB179</f>
        <v>15.454489380829765</v>
      </c>
      <c r="EL179" s="132">
        <f>(EB179*'Renewable Diesel'!BF188*'Feedstock Conversion Rates'!B$3)+FC179</f>
        <v>483.37801849733455</v>
      </c>
      <c r="EM179" s="132">
        <f>(EC179*'Renewable Diesel'!BF188*'Feedstock Conversion Rates'!B$4)+FD179</f>
        <v>583.19594701142114</v>
      </c>
      <c r="EN179" s="132">
        <f>(ED179*'Renewable Diesel'!BF188*'Feedstock Conversion Rates'!B$5)+FE179</f>
        <v>111.15512810544695</v>
      </c>
      <c r="EO179" s="132">
        <f>(EE179*'Renewable Diesel'!BF188*'Feedstock Conversion Rates'!B$6)+FF179</f>
        <v>280.41528198388193</v>
      </c>
      <c r="EP179" s="132">
        <f>(EF179*'Renewable Diesel'!BF188*'Feedstock Conversion Rates'!B$7)+FG179</f>
        <v>138.14505424767947</v>
      </c>
      <c r="EQ179" s="132">
        <f>(EG179*'Renewable Diesel'!BF188*'Feedstock Conversion Rates'!B$8)+FH179</f>
        <v>19.809581708567226</v>
      </c>
      <c r="ER179" s="132">
        <f>(EH179*'Renewable Diesel'!BF188*'Feedstock Conversion Rates'!B$9)+FI179</f>
        <v>1.5305758772476898</v>
      </c>
      <c r="ES179" s="132">
        <f t="shared" si="86"/>
        <v>1633.0840768124087</v>
      </c>
      <c r="ET179" s="133">
        <f>ES179/'Renewable Diesel'!BF188</f>
        <v>8.0911331414167318</v>
      </c>
      <c r="EW179" s="73">
        <f t="shared" si="124"/>
        <v>694.35107511686806</v>
      </c>
      <c r="EX179" s="73">
        <f t="shared" si="125"/>
        <v>938.73300169554057</v>
      </c>
      <c r="EY179" s="92">
        <f t="shared" si="71"/>
        <v>0.42517778782838972</v>
      </c>
      <c r="EZ179" s="92">
        <f t="shared" si="71"/>
        <v>0.57482221217161023</v>
      </c>
      <c r="FB179" s="102">
        <f>IF('Renewable Diesel'!$BG188&lt;1,0,(((('Renewable Diesel'!$BG188-1)*'Renewable Diesel'!$BF188)*'RD Feedstock Breakdown'!EA179)*'Feedstock Conversion Rates'!$B$2))</f>
        <v>0</v>
      </c>
      <c r="FC179" s="102">
        <f>IF('Renewable Diesel'!$BG188&lt;1,0,(((('Renewable Diesel'!$BG188-1)*'Renewable Diesel'!$BF188)*'RD Feedstock Breakdown'!EB179)*'Feedstock Conversion Rates'!$B$3))</f>
        <v>0</v>
      </c>
      <c r="FD179" s="102">
        <f>IF('Renewable Diesel'!$BG188&lt;1,0,(((('Renewable Diesel'!$BG188-1)*'Renewable Diesel'!$BF188)*'RD Feedstock Breakdown'!EC179)*'Feedstock Conversion Rates'!$B$4))</f>
        <v>0</v>
      </c>
      <c r="FE179" s="102">
        <f>IF('Renewable Diesel'!$BG188&lt;1,0,(((('Renewable Diesel'!$BG188-1)*'Renewable Diesel'!$BF188)*'RD Feedstock Breakdown'!ED179)*'Feedstock Conversion Rates'!$B$5))</f>
        <v>0</v>
      </c>
      <c r="FF179" s="102">
        <f>IF('Renewable Diesel'!$BG188&lt;1,0,(((('Renewable Diesel'!$BG188-1)*'Renewable Diesel'!$BF188)*'RD Feedstock Breakdown'!EE179)*'Feedstock Conversion Rates'!$B$6))</f>
        <v>0</v>
      </c>
      <c r="FG179" s="102">
        <f>IF('Renewable Diesel'!$BG188&lt;1,0,(((('Renewable Diesel'!$BG188-1)*'Renewable Diesel'!$BF188)*'RD Feedstock Breakdown'!EF179)*'Feedstock Conversion Rates'!$B$7))</f>
        <v>0</v>
      </c>
      <c r="FH179" s="102">
        <f>IF('Renewable Diesel'!$BG188&lt;1,0,(((('Renewable Diesel'!$BG188-1)*'Renewable Diesel'!$BF188)*'RD Feedstock Breakdown'!EG179)*'Feedstock Conversion Rates'!$B$8))</f>
        <v>0</v>
      </c>
      <c r="FI179" s="102">
        <f>IF('Renewable Diesel'!$BG188&lt;1,0,(((('Renewable Diesel'!$BG188-1)*'Renewable Diesel'!$BF188)*'RD Feedstock Breakdown'!EH179)*'Feedstock Conversion Rates'!$B$9))</f>
        <v>0</v>
      </c>
      <c r="FJ179" s="102">
        <f t="shared" si="126"/>
        <v>0</v>
      </c>
      <c r="FL179" s="3">
        <f>('Renewable Diesel'!AX188/12*$FO$80)*'RD Feedstock Breakdown'!EC179*7.5</f>
        <v>1050.429851960394</v>
      </c>
      <c r="FM179" s="3">
        <f t="shared" si="96"/>
        <v>467.23390494897285</v>
      </c>
      <c r="FR179" s="3">
        <f>('Renewable Diesel'!AX188-'Renewable Diesel'!BI188)/12*$FO$80</f>
        <v>35.759625000000007</v>
      </c>
      <c r="FS179" s="100">
        <f t="shared" si="97"/>
        <v>0.38526010361241692</v>
      </c>
      <c r="FT179" s="3">
        <f t="shared" si="98"/>
        <v>103.32567624480882</v>
      </c>
      <c r="FY179" s="3">
        <f>'Renewable Diesel'!BF188*('Renewable Diesel'!BI188/'Renewable Diesel'!AX188)</f>
        <v>181.98261136109758</v>
      </c>
      <c r="FZ179" s="3">
        <f>('Renewable Diesel'!BJ188*'Renewable Diesel'!BG188)/12</f>
        <v>19.480061433643044</v>
      </c>
      <c r="GA179" s="3">
        <f t="shared" si="105"/>
        <v>56.286678647261745</v>
      </c>
      <c r="GD179" s="91">
        <f>'Renewable Diesel'!BB188*0.32</f>
        <v>0</v>
      </c>
      <c r="GE179" s="91">
        <f>'Renewable Diesel'!BC188</f>
        <v>11.770394176198298</v>
      </c>
      <c r="GF179" s="91">
        <f>'Renewable Diesel'!BD188</f>
        <v>0</v>
      </c>
      <c r="GG179" s="91">
        <f t="shared" si="109"/>
        <v>11.770394176198298</v>
      </c>
      <c r="GH179" s="124">
        <v>1</v>
      </c>
      <c r="GI179" s="102">
        <f>$GG179*EA179*'Feedstock Conversion Rates'!$B$2</f>
        <v>0.90125247608060011</v>
      </c>
      <c r="GJ179" s="102">
        <f>$GG179*EB179*'Feedstock Conversion Rates'!$B$3</f>
        <v>28.188937551961139</v>
      </c>
      <c r="GK179" s="102">
        <f>$GG179*EC179*'Feedstock Conversion Rates'!$B$4</f>
        <v>34.009974599108588</v>
      </c>
      <c r="GL179" s="102">
        <f>$GG179*ED179*'Feedstock Conversion Rates'!$B$5</f>
        <v>6.4821833944481746</v>
      </c>
      <c r="GM179" s="102">
        <f>$GG179*EE179*'Feedstock Conversion Rates'!$B$6</f>
        <v>16.352851329549669</v>
      </c>
      <c r="GN179" s="102">
        <f>$GG179*EF179*'Feedstock Conversion Rates'!$B$7</f>
        <v>8.0561427253266658</v>
      </c>
      <c r="GO179" s="102">
        <f>$GG179*EG179*'Feedstock Conversion Rates'!$B$8</f>
        <v>1.1552264280638826</v>
      </c>
      <c r="GP179" s="102">
        <f>$GG179*EH179*'Feedstock Conversion Rates'!B$9</f>
        <v>8.9257902037825451E-2</v>
      </c>
      <c r="GQ179" s="102">
        <f t="shared" si="87"/>
        <v>95.23582640657655</v>
      </c>
      <c r="GR179" s="85">
        <f t="shared" si="107"/>
        <v>8.0911331414167318</v>
      </c>
      <c r="GT179" s="103">
        <f t="shared" si="111"/>
        <v>9.4633764423171281E-3</v>
      </c>
      <c r="GU179" s="103">
        <f t="shared" si="111"/>
        <v>0.2959908956070606</v>
      </c>
      <c r="GV179" s="103">
        <f t="shared" si="111"/>
        <v>0.35711324070329076</v>
      </c>
      <c r="GW179" s="103">
        <f t="shared" si="111"/>
        <v>6.8064547125098976E-2</v>
      </c>
      <c r="GX179" s="103">
        <f t="shared" si="111"/>
        <v>0.17170902953828324</v>
      </c>
      <c r="GY179" s="103">
        <f t="shared" si="111"/>
        <v>8.4591513816803993E-2</v>
      </c>
      <c r="GZ179" s="103">
        <f t="shared" si="111"/>
        <v>1.2130166468362878E-2</v>
      </c>
      <c r="HA179" s="103">
        <f t="shared" si="111"/>
        <v>9.3723029878240989E-4</v>
      </c>
    </row>
    <row r="180" spans="1:209" x14ac:dyDescent="0.25">
      <c r="A180" s="96">
        <v>45901</v>
      </c>
      <c r="B180" s="104">
        <f t="shared" si="133"/>
        <v>0</v>
      </c>
      <c r="C180" s="104">
        <f>40-10-2.5-27.5+25+25+25-70+120-15-100-10+40-25</f>
        <v>15</v>
      </c>
      <c r="D180" s="104">
        <f t="shared" si="95"/>
        <v>1.5</v>
      </c>
      <c r="E180" s="104">
        <f>('Renewable Diesel'!B189*E$3*'Feedstock Conversion Rates'!$B$2)/12-40+1.25+6-43+30-15+12.5-4+1.5+26+2.5+3-10+50+9-15-25-55+15+45+10-50-25</f>
        <v>19.679999999999993</v>
      </c>
      <c r="F180" s="104">
        <f>('Renewable Diesel'!B189*'RD Feedstock Breakdown'!F$3*'Feedstock Conversion Rates'!B$8)/12+28.5-49-5+2-6+1+6+20-20-3.75+10+2.5+5-20-20</f>
        <v>5.15625</v>
      </c>
      <c r="G180" s="104">
        <f>('Renewable Diesel'!B189*'RD Feedstock Breakdown'!G$3*'Feedstock Conversion Rates'!B$7)/12-25-15-25+4+4-20-40-20+10-17.5+20+50-12+32.5+35-75-75+22.5+5-20+15+125-10-45-10-40-40</f>
        <v>9.6570000000000107</v>
      </c>
      <c r="H180" s="104">
        <f>('Renewable Diesel'!B189*'RD Feedstock Breakdown'!H$3*'Feedstock Conversion Rates'!B$3)/12-85+4-15+70-65-80+50-22.5-5+25+27.5+15+50+15-10+5+50+75-5-25-85-12.5+30+22.5-25-30+150+90-120+25+10+40+50+50-100-50+150</f>
        <v>445.40022499999998</v>
      </c>
      <c r="I180" s="106">
        <f t="shared" si="106"/>
        <v>496.39347499999997</v>
      </c>
      <c r="J180" s="104">
        <f t="shared" si="128"/>
        <v>5</v>
      </c>
      <c r="K180" s="104">
        <f t="shared" si="129"/>
        <v>5</v>
      </c>
      <c r="L180" s="104">
        <v>1</v>
      </c>
      <c r="M180" s="104">
        <f>('Renewable Diesel'!C189*'RD Feedstock Breakdown'!M$3*'Feedstock Conversion Rates'!B$2)/12</f>
        <v>7.7902500000000003</v>
      </c>
      <c r="N180" s="104">
        <f>('Renewable Diesel'!C189*'RD Feedstock Breakdown'!N$3*'Feedstock Conversion Rates'!B$8)/12</f>
        <v>3.671875</v>
      </c>
      <c r="O180" s="104">
        <f>('Renewable Diesel'!C189*'RD Feedstock Breakdown'!O$3*'Feedstock Conversion Rates'!B$7)/12</f>
        <v>11.9991</v>
      </c>
      <c r="P180" s="104">
        <f>('Renewable Diesel'!C189*'RD Feedstock Breakdown'!P$3*'Feedstock Conversion Rates'!B$3)/12</f>
        <v>10.4470425</v>
      </c>
      <c r="Q180" s="106">
        <f t="shared" si="119"/>
        <v>44.908267500000001</v>
      </c>
      <c r="R180" s="104">
        <f>('Renewable Diesel'!D189*'RD Feedstock Breakdown'!R$3*'Feedstock Conversion Rates'!B$7)/12</f>
        <v>2.2999999999999998</v>
      </c>
      <c r="S180" s="106">
        <f t="shared" si="67"/>
        <v>2.2999999999999998</v>
      </c>
      <c r="T180" s="104">
        <f t="shared" si="132"/>
        <v>4.8249999999999993</v>
      </c>
      <c r="U180" s="104">
        <f>0+10</f>
        <v>10</v>
      </c>
      <c r="V180" s="104">
        <f>('Renewable Diesel'!E189*'RD Feedstock Breakdown'!V$3*'Feedstock Conversion Rates'!B$6)/12-5+10</f>
        <v>49.250150000000012</v>
      </c>
      <c r="W180" s="104">
        <f>('Renewable Diesel'!E189*'RD Feedstock Breakdown'!W$3*'Feedstock Conversion Rates'!B$8)/12-5.825-4-10</f>
        <v>2.3546875000000007</v>
      </c>
      <c r="X180" s="106">
        <f t="shared" si="88"/>
        <v>66.429837500000005</v>
      </c>
      <c r="Y180" s="104">
        <f t="shared" si="130"/>
        <v>35.5</v>
      </c>
      <c r="Z180" s="104">
        <f>('Renewable Diesel'!F189*'RD Feedstock Breakdown'!Z$3*'Feedstock Conversion Rates'!B$6)/12-50-32-60+15+25+32.5-50-5+10-25+15+5+50</f>
        <v>89.960000000000008</v>
      </c>
      <c r="AA180" s="104">
        <f>('Renewable Diesel'!F189*'RD Feedstock Breakdown'!AA$3*'Feedstock Conversion Rates'!B$7)/12+80-171+75+70-20</f>
        <v>138.26666666666665</v>
      </c>
      <c r="AB180" s="106">
        <f t="shared" si="137"/>
        <v>263.72666666666669</v>
      </c>
      <c r="AC180" s="104">
        <f>('Renewable Diesel'!G189*'RD Feedstock Breakdown'!AC$3*'Feedstock Conversion Rates'!B$5)/12</f>
        <v>7.864583333333333</v>
      </c>
      <c r="AD180" s="104">
        <f>('Renewable Diesel'!G189*'RD Feedstock Breakdown'!AD$3*'Feedstock Conversion Rates'!B$4)/12</f>
        <v>3.90625</v>
      </c>
      <c r="AE180" s="104">
        <f>('Renewable Diesel'!G189*'RD Feedstock Breakdown'!AE$3*'Feedstock Conversion Rates'!B$6)/12</f>
        <v>4.885416666666667</v>
      </c>
      <c r="AF180" s="106">
        <f t="shared" si="101"/>
        <v>16.65625</v>
      </c>
      <c r="AG180" s="104">
        <f t="shared" si="131"/>
        <v>39</v>
      </c>
      <c r="AH180" s="104">
        <v>0</v>
      </c>
      <c r="AI180" s="104">
        <f>('Renewable Diesel'!H189*'RD Feedstock Breakdown'!AI$3*'Feedstock Conversion Rates'!B$6)/12-130-20+51+5-100-25+100-10-25+15+22.5-22.5+100</f>
        <v>109.51666666666668</v>
      </c>
      <c r="AJ180" s="106">
        <f t="shared" si="65"/>
        <v>148.51666666666668</v>
      </c>
      <c r="AK180" s="104">
        <f>('Renewable Diesel'!J189*'RD Feedstock Breakdown'!AK$3*'Feedstock Conversion Rates'!B$4)/12</f>
        <v>95.8125</v>
      </c>
      <c r="AL180" s="106">
        <f t="shared" si="68"/>
        <v>95.8125</v>
      </c>
      <c r="AM180" s="104">
        <f>('Renewable Diesel'!K189*'RD Feedstock Breakdown'!AM$3*'Feedstock Conversion Rates'!B$4)/12+5+15-10+10-30</f>
        <v>48.59375</v>
      </c>
      <c r="AN180" s="104">
        <f>('Renewable Diesel'!K189*'RD Feedstock Breakdown'!AN$3*'Feedstock Conversion Rates'!B$6)/12-5-15+10-10+30</f>
        <v>34.427083333333329</v>
      </c>
      <c r="AO180" s="106">
        <f t="shared" si="81"/>
        <v>83.020833333333329</v>
      </c>
      <c r="AP180" s="104">
        <f>('Renewable Diesel'!L189*'RD Feedstock Breakdown'!AP$3*'Feedstock Conversion Rates'!B$4)/12+15-10-5+10+5+5</f>
        <v>78.59375</v>
      </c>
      <c r="AQ180" s="104">
        <f>('Renewable Diesel'!L189*'RD Feedstock Breakdown'!AQ$3*'Feedstock Conversion Rates'!B$6)/12-15+10+5-10-5-5</f>
        <v>4.4270833333333321</v>
      </c>
      <c r="AR180" s="106">
        <f t="shared" si="70"/>
        <v>83.020833333333329</v>
      </c>
      <c r="AS180" s="104">
        <f>('Renewable Diesel'!M189*'RD Feedstock Breakdown'!AS$3*'Feedstock Conversion Rates'!B$4)/12-150</f>
        <v>306.25</v>
      </c>
      <c r="AT180" s="104">
        <f>('Renewable Diesel'!M189*'RD Feedstock Breakdown'!AT$3*'Feedstock Conversion Rates'!B$5)/12+150</f>
        <v>150</v>
      </c>
      <c r="AU180" s="106">
        <f t="shared" si="104"/>
        <v>456.25</v>
      </c>
      <c r="AV180" s="104">
        <f>'Renewable Diesel'!N189*'RD Feedstock Breakdown'!$AV$3*'Feedstock Conversion Rates'!$B$4/12-15-10+25+25-22+22.5</f>
        <v>104.24999999999999</v>
      </c>
      <c r="AW180" s="104">
        <f>'Renewable Diesel'!N189*'RD Feedstock Breakdown'!$AW$3*'Feedstock Conversion Rates'!$B$7/12+15+10-25-25+22-22.5</f>
        <v>15.900000000000006</v>
      </c>
      <c r="AX180" s="106">
        <f t="shared" si="63"/>
        <v>120.14999999999999</v>
      </c>
      <c r="AY180" s="104">
        <f>('Renewable Diesel'!O189*'RD Feedstock Breakdown'!AY$3*'Feedstock Conversion Rates'!B$4)/12+34-100-282</f>
        <v>-137.0625</v>
      </c>
      <c r="AZ180" s="104">
        <f>('Renewable Diesel'!O189*'RD Feedstock Breakdown'!AZ$3*'Feedstock Conversion Rates'!B$3)/12-34+100+282</f>
        <v>373.03125</v>
      </c>
      <c r="BA180" s="106">
        <f t="shared" si="120"/>
        <v>235.96875</v>
      </c>
      <c r="BB180" s="104">
        <f>('Renewable Diesel'!Q189*'RD Feedstock Breakdown'!BB$3*'Feedstock Conversion Rates'!B$4)/12</f>
        <v>11.156249999999998</v>
      </c>
      <c r="BC180" s="104">
        <f>('Renewable Diesel'!Q189*'RD Feedstock Breakdown'!BC$3*'Feedstock Conversion Rates'!B$3)/12</f>
        <v>1.4017500000000001</v>
      </c>
      <c r="BD180" s="104">
        <f>('Renewable Diesel'!Q189*'RD Feedstock Breakdown'!BD$3*'Feedstock Conversion Rates'!B$6)/12</f>
        <v>0.8207500000000002</v>
      </c>
      <c r="BE180" s="106">
        <f t="shared" si="90"/>
        <v>13.378749999999998</v>
      </c>
      <c r="BF180" s="104">
        <f>('Renewable Diesel'!R189*'RD Feedstock Breakdown'!BF$3*'Feedstock Conversion Rates'!B$4)/12</f>
        <v>62.5</v>
      </c>
      <c r="BG180" s="106">
        <f t="shared" si="72"/>
        <v>62.5</v>
      </c>
      <c r="BH180" s="104">
        <f>('Renewable Diesel'!T189*'RD Feedstock Breakdown'!BH$3*'Feedstock Conversion Rates'!B$7)/12</f>
        <v>27.599999999999998</v>
      </c>
      <c r="BI180" s="106">
        <f t="shared" si="64"/>
        <v>27.599999999999998</v>
      </c>
      <c r="BJ180" s="104">
        <f>('Renewable Diesel'!W189*'RD Feedstock Breakdown'!BJ$3*'Feedstock Conversion Rates'!B$4)/12</f>
        <v>7.5</v>
      </c>
      <c r="BK180" s="104">
        <f>('Renewable Diesel'!W189*'RD Feedstock Breakdown'!BK$3*'Feedstock Conversion Rates'!B$3)/12</f>
        <v>1.335</v>
      </c>
      <c r="BL180" s="104">
        <f>('Renewable Diesel'!W189*'RD Feedstock Breakdown'!BL$3*'Feedstock Conversion Rates'!B$6)/12</f>
        <v>3.1266666666666669</v>
      </c>
      <c r="BM180" s="104">
        <f>('Renewable Diesel'!W189*'RD Feedstock Breakdown'!BM$3*'Feedstock Conversion Rates'!B$7)/12</f>
        <v>1.5333333333333332</v>
      </c>
      <c r="BN180" s="106">
        <f t="shared" si="112"/>
        <v>13.495000000000001</v>
      </c>
      <c r="BO180" s="104">
        <f>('Renewable Diesel'!P189*'Feedstock Conversion Rates'!B$4)/12</f>
        <v>31.25</v>
      </c>
      <c r="BP180" s="106">
        <f t="shared" si="102"/>
        <v>31.25</v>
      </c>
      <c r="BQ180" s="104">
        <f>('Renewable Diesel'!$S189*'RD Feedstock Breakdown'!BQ$3*'Feedstock Conversion Rates'!B$4)/12+10</f>
        <v>38.125</v>
      </c>
      <c r="BR180" s="104">
        <f>('Renewable Diesel'!$S189*'RD Feedstock Breakdown'!BR$3*'Feedstock Conversion Rates'!B$7)/12-10</f>
        <v>1.5</v>
      </c>
      <c r="BS180" s="106">
        <f t="shared" si="123"/>
        <v>39.625</v>
      </c>
      <c r="BT180" s="106"/>
      <c r="BU180" s="104">
        <f>('Renewable Diesel'!Y189*'Feedstock Conversion Rates'!B$7)/12</f>
        <v>2.6833333333333331</v>
      </c>
      <c r="BV180" s="106">
        <f t="shared" si="93"/>
        <v>2.6833333333333331</v>
      </c>
      <c r="BW180" s="104">
        <f>('Renewable Diesel'!$Z189*'RD Feedstock Breakdown'!BW$3*'Feedstock Conversion Rates'!$B$4)/12</f>
        <v>17.96875</v>
      </c>
      <c r="BX180" s="104">
        <f>('Renewable Diesel'!$Z189*'RD Feedstock Breakdown'!BX$3*'Feedstock Conversion Rates'!$B$5)/12</f>
        <v>1.8088541666666667</v>
      </c>
      <c r="BY180" s="104">
        <f>('Renewable Diesel'!$Z189*'RD Feedstock Breakdown'!BY$3*'Feedstock Conversion Rates'!$B$7)/12</f>
        <v>15.429166666666665</v>
      </c>
      <c r="BZ180" s="104">
        <f>('Renewable Diesel'!$Z189*'RD Feedstock Breakdown'!BZ$3*'Feedstock Conversion Rates'!$B$3)/12</f>
        <v>3.8381249999999998</v>
      </c>
      <c r="CA180" s="106">
        <f t="shared" si="127"/>
        <v>39.044895833333328</v>
      </c>
      <c r="CB180" s="104">
        <f>('Renewable Diesel'!AA189*'Feedstock Conversion Rates'!B$4)/12</f>
        <v>191.25</v>
      </c>
      <c r="CC180" s="106">
        <f t="shared" si="113"/>
        <v>191.25</v>
      </c>
      <c r="CD180" s="104">
        <f>('Renewable Diesel'!$AB189*'RD Feedstock Breakdown'!CD$3*'Feedstock Conversion Rates'!$B$6)/12-15+25</f>
        <v>42.830000000000005</v>
      </c>
      <c r="CE180" s="104">
        <f>('Renewable Diesel'!$AB189*'RD Feedstock Breakdown'!CE$3*'Feedstock Conversion Rates'!$B$4)/12+15-25</f>
        <v>1.25</v>
      </c>
      <c r="CF180" s="106">
        <f t="shared" si="108"/>
        <v>44.080000000000005</v>
      </c>
      <c r="CG180" s="104">
        <f>('Renewable Diesel'!AD189*'Feedstock Conversion Rates'!B$4)/12</f>
        <v>112.5</v>
      </c>
      <c r="CH180" s="106">
        <f t="shared" si="89"/>
        <v>112.5</v>
      </c>
      <c r="CI180" s="104">
        <f>('Renewable Diesel'!$AE189*'RD Feedstock Breakdown'!CI$3*'Feedstock Conversion Rates'!$B$5)/12</f>
        <v>0.34604166666666664</v>
      </c>
      <c r="CJ180" s="104">
        <f>('Renewable Diesel'!$AE189*'RD Feedstock Breakdown'!CJ$3*'Feedstock Conversion Rates'!$B$4)/12</f>
        <v>0.34375</v>
      </c>
      <c r="CK180" s="106">
        <f t="shared" si="103"/>
        <v>0.68979166666666658</v>
      </c>
      <c r="CL180" s="104">
        <f>(((CL$3*'Renewable Diesel'!$AF189)*'Feedstock Conversion Rates'!$B$3)/12)-37</f>
        <v>54.78125</v>
      </c>
      <c r="CM180" s="104">
        <f>(((CM$3*'Renewable Diesel'!$AF189)*'Feedstock Conversion Rates'!$B$6)/12)+37</f>
        <v>90.739583333333343</v>
      </c>
      <c r="CN180" s="104">
        <f>(((CN$3*'Renewable Diesel'!$AF189)*'Feedstock Conversion Rates'!$B$4)/12)</f>
        <v>42.96875</v>
      </c>
      <c r="CO180" s="106">
        <f t="shared" si="91"/>
        <v>188.48958333333334</v>
      </c>
      <c r="CP180" s="104">
        <f>('Renewable Diesel'!$AG189*'RD Feedstock Breakdown'!CP$3*'Feedstock Conversion Rates'!$B$3)/12</f>
        <v>6.0075000000000003</v>
      </c>
      <c r="CQ180" s="104">
        <f>('Renewable Diesel'!$AG189*'RD Feedstock Breakdown'!CQ$3*'Feedstock Conversion Rates'!$B$6)/12</f>
        <v>3.5175000000000001</v>
      </c>
      <c r="CR180" s="104">
        <f>('Renewable Diesel'!$AG189*'RD Feedstock Breakdown'!CR$3*'Feedstock Conversion Rates'!$B$4)/12</f>
        <v>2.8125</v>
      </c>
      <c r="CS180" s="106">
        <f t="shared" si="134"/>
        <v>12.3375</v>
      </c>
      <c r="CT180" s="104">
        <f>('Renewable Diesel'!AI189*'Feedstock Conversion Rates'!$B$4*'RD Feedstock Breakdown'!$CT$3)/12</f>
        <v>29.375</v>
      </c>
      <c r="CU180" s="106">
        <f t="shared" si="99"/>
        <v>29.375</v>
      </c>
      <c r="CV180" s="106"/>
      <c r="CW180" s="106"/>
      <c r="CX180" s="104">
        <f>('Renewable Diesel'!AO189*'RD Feedstock Breakdown'!$CX$3*'Feedstock Conversion Rates'!$B$3)/12</f>
        <v>6.3412499999999996</v>
      </c>
      <c r="CY180" s="104">
        <f>('Renewable Diesel'!AO189*'RD Feedstock Breakdown'!$CY$3*'Feedstock Conversion Rates'!$B$6)/12</f>
        <v>7.4258333333333342</v>
      </c>
      <c r="CZ180" s="106">
        <f t="shared" si="135"/>
        <v>13.767083333333334</v>
      </c>
      <c r="DA180" s="106"/>
      <c r="DB180" s="106"/>
      <c r="DC180" s="106"/>
      <c r="DD180" s="106"/>
      <c r="DE180" s="106"/>
      <c r="DF180" s="104">
        <f>('Renewable Diesel'!AR189*'Feedstock Conversion Rates'!$B$4*$DF$3)/12</f>
        <v>75</v>
      </c>
      <c r="DG180" s="106">
        <f t="shared" si="136"/>
        <v>75</v>
      </c>
      <c r="DH180" s="106"/>
      <c r="DI180" s="106"/>
      <c r="DJ180" s="104">
        <f>('Renewable Diesel'!AT189*'Feedstock Conversion Rates'!$B$4*0.25)/12+5</f>
        <v>13.59375</v>
      </c>
      <c r="DK180" s="104">
        <f>('Renewable Diesel'!$AT189*'RD Feedstock Breakdown'!DK$3*'Feedstock Conversion Rates'!$B$3)/12*0.5</f>
        <v>9.1781249999999996</v>
      </c>
      <c r="DL180" s="104">
        <f>('Renewable Diesel'!$AT189*'RD Feedstock Breakdown'!$DL$3*'Feedstock Conversion Rates'!$B$6)/12</f>
        <v>10.747916666666669</v>
      </c>
      <c r="DM180" s="104">
        <f>('Renewable Diesel'!$AT189*'RD Feedstock Breakdown'!$DM$3*'Feedstock Conversion Rates'!$B$8)/12-5</f>
        <v>5.7421875</v>
      </c>
      <c r="DN180" s="106">
        <f t="shared" si="110"/>
        <v>39.26197916666667</v>
      </c>
      <c r="DP180" s="104">
        <f t="shared" si="73"/>
        <v>27.470249999999993</v>
      </c>
      <c r="DQ180" s="104">
        <f t="shared" si="74"/>
        <v>911.76151750000008</v>
      </c>
      <c r="DR180" s="104">
        <f t="shared" si="82"/>
        <v>1174.84375</v>
      </c>
      <c r="DS180" s="104">
        <f t="shared" si="100"/>
        <v>237.43822916666667</v>
      </c>
      <c r="DT180" s="104">
        <f t="shared" si="75"/>
        <v>451.67464999999993</v>
      </c>
      <c r="DU180" s="104">
        <f t="shared" si="76"/>
        <v>226.86860000000001</v>
      </c>
      <c r="DV180" s="104">
        <f t="shared" si="83"/>
        <v>16.925000000000001</v>
      </c>
      <c r="DW180" s="104">
        <f t="shared" si="77"/>
        <v>2.5</v>
      </c>
      <c r="DX180" s="106">
        <f t="shared" si="78"/>
        <v>3049.4819966666664</v>
      </c>
      <c r="DY180" s="109">
        <f t="shared" si="79"/>
        <v>-3.979039320256561E-13</v>
      </c>
      <c r="EA180" s="110">
        <f t="shared" si="114"/>
        <v>9.0081692661334693E-3</v>
      </c>
      <c r="EB180" s="110">
        <f t="shared" si="114"/>
        <v>0.29898898189811585</v>
      </c>
      <c r="EC180" s="110">
        <f t="shared" si="114"/>
        <v>0.38526010361241692</v>
      </c>
      <c r="ED180" s="110">
        <f t="shared" si="114"/>
        <v>7.7861823557642276E-2</v>
      </c>
      <c r="EE180" s="110">
        <f t="shared" si="114"/>
        <v>0.1481152046458111</v>
      </c>
      <c r="EF180" s="110">
        <f t="shared" si="114"/>
        <v>7.4395782709321109E-2</v>
      </c>
      <c r="EG180" s="110">
        <f t="shared" si="114"/>
        <v>5.5501229449789876E-3</v>
      </c>
      <c r="EH180" s="111">
        <f t="shared" si="84"/>
        <v>8.198113655803526E-4</v>
      </c>
      <c r="EI180" s="110">
        <f t="shared" si="85"/>
        <v>0.99918018863441971</v>
      </c>
      <c r="EK180" s="132">
        <f>(EA180*'Renewable Diesel'!BF189*'Feedstock Conversion Rates'!B$2)+FB180</f>
        <v>15.76294275441529</v>
      </c>
      <c r="EL180" s="132">
        <f>(EB180*'Renewable Diesel'!BF189*'Feedstock Conversion Rates'!B$3)+FC180</f>
        <v>493.02567341808117</v>
      </c>
      <c r="EM180" s="132">
        <f>(EC180*'Renewable Diesel'!BF189*'Feedstock Conversion Rates'!B$4)+FD180</f>
        <v>594.83585001204813</v>
      </c>
      <c r="EN180" s="132">
        <f>(ED180*'Renewable Diesel'!BF189*'Feedstock Conversion Rates'!B$5)+FE180</f>
        <v>121.01894345029942</v>
      </c>
      <c r="EO180" s="132">
        <f>(EE180*'Renewable Diesel'!BF189*'Feedstock Conversion Rates'!B$6)+FF180</f>
        <v>286.0120401556631</v>
      </c>
      <c r="EP180" s="132">
        <f>(EF180*'Renewable Diesel'!BF189*'Feedstock Conversion Rates'!B$7)+FG180</f>
        <v>140.90226653576116</v>
      </c>
      <c r="EQ180" s="132">
        <f>(EG180*'Renewable Diesel'!BF189*'Feedstock Conversion Rates'!B$8)+FH180</f>
        <v>10.711633740075985</v>
      </c>
      <c r="ER180" s="132">
        <f>(EH180*'Renewable Diesel'!BF189*'Feedstock Conversion Rates'!B$9)+FI180</f>
        <v>1.5611243658604093</v>
      </c>
      <c r="ES180" s="132">
        <f t="shared" si="86"/>
        <v>1663.8304744322047</v>
      </c>
      <c r="ET180" s="133">
        <f>ES180/'Renewable Diesel'!BF189</f>
        <v>8.0821562069636279</v>
      </c>
      <c r="EW180" s="73">
        <f t="shared" si="124"/>
        <v>715.85479346234752</v>
      </c>
      <c r="EX180" s="73">
        <f t="shared" si="125"/>
        <v>947.97568096985697</v>
      </c>
      <c r="EY180" s="92">
        <f t="shared" si="71"/>
        <v>0.43024503064630948</v>
      </c>
      <c r="EZ180" s="92">
        <f t="shared" si="71"/>
        <v>0.56975496935369041</v>
      </c>
      <c r="FB180" s="102">
        <f>IF('Renewable Diesel'!$BG189&lt;1,0,(((('Renewable Diesel'!$BG189-1)*'Renewable Diesel'!$BF189)*'RD Feedstock Breakdown'!EA180)*'Feedstock Conversion Rates'!$B$2))</f>
        <v>0</v>
      </c>
      <c r="FC180" s="102">
        <f>IF('Renewable Diesel'!$BG189&lt;1,0,(((('Renewable Diesel'!$BG189-1)*'Renewable Diesel'!$BF189)*'RD Feedstock Breakdown'!EB180)*'Feedstock Conversion Rates'!$B$3))</f>
        <v>0</v>
      </c>
      <c r="FD180" s="102">
        <f>IF('Renewable Diesel'!$BG189&lt;1,0,(((('Renewable Diesel'!$BG189-1)*'Renewable Diesel'!$BF189)*'RD Feedstock Breakdown'!EC180)*'Feedstock Conversion Rates'!$B$4))</f>
        <v>0</v>
      </c>
      <c r="FE180" s="102">
        <f>IF('Renewable Diesel'!$BG189&lt;1,0,(((('Renewable Diesel'!$BG189-1)*'Renewable Diesel'!$BF189)*'RD Feedstock Breakdown'!ED180)*'Feedstock Conversion Rates'!$B$5))</f>
        <v>0</v>
      </c>
      <c r="FF180" s="102">
        <f>IF('Renewable Diesel'!$BG189&lt;1,0,(((('Renewable Diesel'!$BG189-1)*'Renewable Diesel'!$BF189)*'RD Feedstock Breakdown'!EE180)*'Feedstock Conversion Rates'!$B$6))</f>
        <v>0</v>
      </c>
      <c r="FG180" s="102">
        <f>IF('Renewable Diesel'!$BG189&lt;1,0,(((('Renewable Diesel'!$BG189-1)*'Renewable Diesel'!$BF189)*'RD Feedstock Breakdown'!EF180)*'Feedstock Conversion Rates'!$B$7))</f>
        <v>0</v>
      </c>
      <c r="FH180" s="102">
        <f>IF('Renewable Diesel'!$BG189&lt;1,0,(((('Renewable Diesel'!$BG189-1)*'Renewable Diesel'!$BF189)*'RD Feedstock Breakdown'!EG180)*'Feedstock Conversion Rates'!$B$8))</f>
        <v>0</v>
      </c>
      <c r="FI180" s="102">
        <f>IF('Renewable Diesel'!$BG189&lt;1,0,(((('Renewable Diesel'!$BG189-1)*'Renewable Diesel'!$BF189)*'RD Feedstock Breakdown'!EH180)*'Feedstock Conversion Rates'!$B$9))</f>
        <v>0</v>
      </c>
      <c r="FJ180" s="102">
        <f t="shared" si="126"/>
        <v>0</v>
      </c>
      <c r="FL180" s="3">
        <f>('Renewable Diesel'!AX189/12*$FO$80)*'RD Feedstock Breakdown'!EC180*7.5</f>
        <v>1050.429851960394</v>
      </c>
      <c r="FM180" s="3">
        <f t="shared" si="96"/>
        <v>455.59400194834586</v>
      </c>
      <c r="FR180" s="3">
        <f>('Renewable Diesel'!AX189-'Renewable Diesel'!BI189)/12*$FO$80</f>
        <v>35.759625000000007</v>
      </c>
      <c r="FS180" s="100">
        <f t="shared" si="97"/>
        <v>0.38526010361241692</v>
      </c>
      <c r="FT180" s="3">
        <f t="shared" si="98"/>
        <v>103.32567624480882</v>
      </c>
      <c r="FY180" s="3">
        <f>'Renewable Diesel'!BF189*('Renewable Diesel'!BI189/'Renewable Diesel'!AX189)</f>
        <v>185.61476956606958</v>
      </c>
      <c r="FZ180" s="3">
        <f>('Renewable Diesel'!BJ189*'Renewable Diesel'!BG189)/12</f>
        <v>19.868860475707404</v>
      </c>
      <c r="GA180" s="3">
        <f t="shared" si="105"/>
        <v>57.410094341487671</v>
      </c>
      <c r="GD180" s="91">
        <f>'Renewable Diesel'!BB189*0.32</f>
        <v>0</v>
      </c>
      <c r="GE180" s="91">
        <f>'Renewable Diesel'!BC189</f>
        <v>12.352933632424854</v>
      </c>
      <c r="GF180" s="91">
        <f>'Renewable Diesel'!BD189</f>
        <v>0</v>
      </c>
      <c r="GG180" s="91">
        <f t="shared" si="109"/>
        <v>12.352933632424854</v>
      </c>
      <c r="GH180" s="124">
        <v>1</v>
      </c>
      <c r="GI180" s="102">
        <f>$GG180*EA180*'Feedstock Conversion Rates'!$B$2</f>
        <v>0.94585719530066648</v>
      </c>
      <c r="GJ180" s="102">
        <f>$GG180*EB180*'Feedstock Conversion Rates'!$B$3</f>
        <v>29.584062312211746</v>
      </c>
      <c r="GK180" s="102">
        <f>$GG180*EC180*'Feedstock Conversion Rates'!$B$4</f>
        <v>35.693193683589818</v>
      </c>
      <c r="GL180" s="102">
        <f>$GG180*ED180*'Feedstock Conversion Rates'!$B$5</f>
        <v>7.2617556387488245</v>
      </c>
      <c r="GM180" s="102">
        <f>$GG180*EE180*'Feedstock Conversion Rates'!$B$6</f>
        <v>17.162185407802809</v>
      </c>
      <c r="GN180" s="102">
        <f>$GG180*EF180*'Feedstock Conversion Rates'!$B$7</f>
        <v>8.454856730333006</v>
      </c>
      <c r="GO180" s="102">
        <f>$GG180*EG180*'Feedstock Conversion Rates'!$B$8</f>
        <v>0.64275281616678581</v>
      </c>
      <c r="GP180" s="102">
        <f>$GG180*EH180*'Feedstock Conversion Rates'!B$9</f>
        <v>9.3675447358625583E-2</v>
      </c>
      <c r="GQ180" s="102">
        <f t="shared" si="87"/>
        <v>99.838339231512279</v>
      </c>
      <c r="GR180" s="85">
        <f t="shared" si="107"/>
        <v>8.0821562069636279</v>
      </c>
      <c r="GT180" s="103">
        <f t="shared" si="111"/>
        <v>9.4738875123648158E-3</v>
      </c>
      <c r="GU180" s="103">
        <f t="shared" si="111"/>
        <v>0.2963196557547908</v>
      </c>
      <c r="GV180" s="103">
        <f t="shared" si="111"/>
        <v>0.35750989007160755</v>
      </c>
      <c r="GW180" s="103">
        <f t="shared" si="111"/>
        <v>7.2735140574701942E-2</v>
      </c>
      <c r="GX180" s="103">
        <f t="shared" si="111"/>
        <v>0.17189974853253426</v>
      </c>
      <c r="GY180" s="103">
        <f t="shared" si="111"/>
        <v>8.4685470485714703E-2</v>
      </c>
      <c r="GZ180" s="103">
        <f t="shared" si="111"/>
        <v>6.4379357781215148E-3</v>
      </c>
      <c r="HA180" s="103">
        <f t="shared" si="111"/>
        <v>9.3827129016443541E-4</v>
      </c>
    </row>
    <row r="181" spans="1:209" x14ac:dyDescent="0.25">
      <c r="A181" s="96">
        <v>45931</v>
      </c>
      <c r="B181" s="104">
        <f>23-20+10+85-5-4-4-1.25+2.25-5+15-6-25-45+65+15-22.5-50+40+16.5+27.5+168+80+14-30+15-50-19+22.5-10+5+11-25-50-12.5-27.5-10+10+2+4-1.5+12-26-15-50-15+10-32.5-3-5-2.5-1+5+10-50-35-9-0.5+25+15+25+20+15+85-25+12.5-52.5+10+20-150+20-20+55-25-25+20+15+50-50</f>
        <v>40</v>
      </c>
      <c r="C181" s="104">
        <f>40-10-2.5-27.5+25+25+25-70+120-15-100-10+20</f>
        <v>20</v>
      </c>
      <c r="D181" s="104">
        <f t="shared" si="95"/>
        <v>1.5</v>
      </c>
      <c r="E181" s="104">
        <f>('Renewable Diesel'!B190*E$3*'Feedstock Conversion Rates'!$B$2)/12-40+1.25+6-43+30-15+12.5-4+1.5+26+2.5+3-10+50+9-15-25-55+15+45+10-50+60-60+50</f>
        <v>94.679999999999993</v>
      </c>
      <c r="F181" s="104">
        <f>('Renewable Diesel'!B190*'RD Feedstock Breakdown'!F$3*'Feedstock Conversion Rates'!B$8)/12+28.5-49-5+2-6+1+6+20-20-3.75+10+2.5+5-20-20</f>
        <v>5.15625</v>
      </c>
      <c r="G181" s="104">
        <f>('Renewable Diesel'!B190*'RD Feedstock Breakdown'!G$3*'Feedstock Conversion Rates'!B$7)/12-25-15-25+4+4-20-40-20+10-17.5+20+50-12+32.5+35-75-75+22.5+5-20+15+125-10-45-10-40-40</f>
        <v>9.6570000000000107</v>
      </c>
      <c r="H181" s="104">
        <f>('Renewable Diesel'!B190*'RD Feedstock Breakdown'!H$3*'Feedstock Conversion Rates'!B$3)/12-85+4-15+70-65-80+50-22.5-5+25+27.5+15+50+15-10+5+50+75-5-25-85-12.5+30+22.5-25-30+150+90-120+25+10+70-50</f>
        <v>325.40022499999998</v>
      </c>
      <c r="I181" s="106">
        <f t="shared" si="106"/>
        <v>496.39347499999997</v>
      </c>
      <c r="J181" s="104">
        <f t="shared" si="128"/>
        <v>5</v>
      </c>
      <c r="K181" s="104">
        <f>65-50-15</f>
        <v>0</v>
      </c>
      <c r="L181" s="104">
        <v>1</v>
      </c>
      <c r="M181" s="104">
        <f>('Renewable Diesel'!C190*'RD Feedstock Breakdown'!M$3*'Feedstock Conversion Rates'!B$2)/12</f>
        <v>7.7902500000000003</v>
      </c>
      <c r="N181" s="104">
        <f>('Renewable Diesel'!C190*'RD Feedstock Breakdown'!N$3*'Feedstock Conversion Rates'!B$8)/12</f>
        <v>3.671875</v>
      </c>
      <c r="O181" s="104">
        <f>('Renewable Diesel'!C190*'RD Feedstock Breakdown'!O$3*'Feedstock Conversion Rates'!B$7)/12</f>
        <v>11.9991</v>
      </c>
      <c r="P181" s="104">
        <f>('Renewable Diesel'!C190*'RD Feedstock Breakdown'!P$3*'Feedstock Conversion Rates'!B$3)/12</f>
        <v>10.4470425</v>
      </c>
      <c r="Q181" s="106">
        <f t="shared" si="119"/>
        <v>39.908267500000001</v>
      </c>
      <c r="R181" s="104">
        <f>('Renewable Diesel'!D190*'RD Feedstock Breakdown'!R$3*'Feedstock Conversion Rates'!B$7)/12</f>
        <v>2.2999999999999998</v>
      </c>
      <c r="S181" s="106">
        <f t="shared" si="67"/>
        <v>2.2999999999999998</v>
      </c>
      <c r="T181" s="104">
        <f t="shared" ref="T181:T192" si="138">5.825+20-25</f>
        <v>0.82499999999999929</v>
      </c>
      <c r="U181" s="104">
        <v>0</v>
      </c>
      <c r="V181" s="104">
        <f>('Renewable Diesel'!E190*'RD Feedstock Breakdown'!V$3*'Feedstock Conversion Rates'!B$6)/12-20+25</f>
        <v>49.250150000000012</v>
      </c>
      <c r="W181" s="104">
        <f>('Renewable Diesel'!E190*'RD Feedstock Breakdown'!W$3*'Feedstock Conversion Rates'!B$8)/12-5.825</f>
        <v>16.354687500000001</v>
      </c>
      <c r="X181" s="106">
        <f t="shared" si="88"/>
        <v>66.429837500000005</v>
      </c>
      <c r="Y181" s="104">
        <f t="shared" si="130"/>
        <v>35.5</v>
      </c>
      <c r="Z181" s="104">
        <f>('Renewable Diesel'!F190*'RD Feedstock Breakdown'!Z$3*'Feedstock Conversion Rates'!B$6)/12-50-32-60+15+25+32.5-50-5+10-25+15+5+50+45</f>
        <v>134.96</v>
      </c>
      <c r="AA181" s="104">
        <f>('Renewable Diesel'!F190*'RD Feedstock Breakdown'!AA$3*'Feedstock Conversion Rates'!B$7)/12+80-171+75+50+20-65</f>
        <v>93.266666666666652</v>
      </c>
      <c r="AB181" s="106">
        <f t="shared" si="137"/>
        <v>263.72666666666669</v>
      </c>
      <c r="AC181" s="104">
        <f>('Renewable Diesel'!G190*'RD Feedstock Breakdown'!AC$3*'Feedstock Conversion Rates'!B$5)/12</f>
        <v>7.864583333333333</v>
      </c>
      <c r="AD181" s="104">
        <f>('Renewable Diesel'!G190*'RD Feedstock Breakdown'!AD$3*'Feedstock Conversion Rates'!B$4)/12</f>
        <v>3.90625</v>
      </c>
      <c r="AE181" s="104">
        <f>('Renewable Diesel'!G190*'RD Feedstock Breakdown'!AE$3*'Feedstock Conversion Rates'!B$6)/12</f>
        <v>4.885416666666667</v>
      </c>
      <c r="AF181" s="106">
        <f t="shared" si="101"/>
        <v>16.65625</v>
      </c>
      <c r="AG181" s="104">
        <f t="shared" si="131"/>
        <v>39</v>
      </c>
      <c r="AH181" s="104">
        <v>0</v>
      </c>
      <c r="AI181" s="104">
        <f>('Renewable Diesel'!H190*'RD Feedstock Breakdown'!AI$3*'Feedstock Conversion Rates'!B$6)/12-130-20+51+5-100-25+100-10-25+15+22.5-22.5+100</f>
        <v>109.51666666666668</v>
      </c>
      <c r="AJ181" s="106">
        <f t="shared" si="65"/>
        <v>148.51666666666668</v>
      </c>
      <c r="AK181" s="104">
        <f>('Renewable Diesel'!J190*'RD Feedstock Breakdown'!AK$3*'Feedstock Conversion Rates'!B$4)/12</f>
        <v>95.8125</v>
      </c>
      <c r="AL181" s="106">
        <f t="shared" si="68"/>
        <v>95.8125</v>
      </c>
      <c r="AM181" s="104">
        <f>('Renewable Diesel'!K190*'RD Feedstock Breakdown'!AM$3*'Feedstock Conversion Rates'!B$4)/12+5+15-10+4-25</f>
        <v>47.59375</v>
      </c>
      <c r="AN181" s="104">
        <f>('Renewable Diesel'!K190*'RD Feedstock Breakdown'!AN$3*'Feedstock Conversion Rates'!B$6)/12-5-15+10-4+25</f>
        <v>35.427083333333329</v>
      </c>
      <c r="AO181" s="106">
        <f t="shared" si="81"/>
        <v>83.020833333333329</v>
      </c>
      <c r="AP181" s="104">
        <f>('Renewable Diesel'!L190*'RD Feedstock Breakdown'!AP$3*'Feedstock Conversion Rates'!B$4)/12+15-10+14</f>
        <v>77.59375</v>
      </c>
      <c r="AQ181" s="104">
        <f>('Renewable Diesel'!L190*'RD Feedstock Breakdown'!AQ$3*'Feedstock Conversion Rates'!B$6)/12-15+10-14</f>
        <v>5.4270833333333321</v>
      </c>
      <c r="AR181" s="106">
        <f t="shared" si="70"/>
        <v>83.020833333333329</v>
      </c>
      <c r="AS181" s="104">
        <f>('Renewable Diesel'!M190*'RD Feedstock Breakdown'!AS$3*'Feedstock Conversion Rates'!B$4)/12-150-50</f>
        <v>256.25</v>
      </c>
      <c r="AT181" s="104">
        <f>('Renewable Diesel'!M190*'RD Feedstock Breakdown'!AT$3*'Feedstock Conversion Rates'!B$5)/12+150+50</f>
        <v>200</v>
      </c>
      <c r="AU181" s="106">
        <f t="shared" si="104"/>
        <v>456.25</v>
      </c>
      <c r="AV181" s="104">
        <f>'Renewable Diesel'!N190*'RD Feedstock Breakdown'!$AV$3*'Feedstock Conversion Rates'!$B$4/12-15-10+25+25-22-17.5</f>
        <v>64.249999999999986</v>
      </c>
      <c r="AW181" s="104">
        <f>'Renewable Diesel'!N190*'RD Feedstock Breakdown'!$AW$3*'Feedstock Conversion Rates'!$B$7/12+15+10-25-25+22+17.5</f>
        <v>55.900000000000006</v>
      </c>
      <c r="AX181" s="106">
        <f t="shared" si="63"/>
        <v>120.14999999999999</v>
      </c>
      <c r="AY181" s="104">
        <f>('Renewable Diesel'!O190*'RD Feedstock Breakdown'!AY$3*'Feedstock Conversion Rates'!B$4)/12+34-100-20-262</f>
        <v>-137.0625</v>
      </c>
      <c r="AZ181" s="104">
        <f>('Renewable Diesel'!O190*'RD Feedstock Breakdown'!AZ$3*'Feedstock Conversion Rates'!B$3)/12-34+100+20+262</f>
        <v>373.03125</v>
      </c>
      <c r="BA181" s="106">
        <f t="shared" si="120"/>
        <v>235.96875</v>
      </c>
      <c r="BB181" s="104">
        <f>('Renewable Diesel'!Q190*'RD Feedstock Breakdown'!BB$3*'Feedstock Conversion Rates'!B$4)/12</f>
        <v>11.156249999999998</v>
      </c>
      <c r="BC181" s="104">
        <f>('Renewable Diesel'!Q190*'RD Feedstock Breakdown'!BC$3*'Feedstock Conversion Rates'!B$3)/12</f>
        <v>1.4017500000000001</v>
      </c>
      <c r="BD181" s="104">
        <f>('Renewable Diesel'!Q190*'RD Feedstock Breakdown'!BD$3*'Feedstock Conversion Rates'!B$6)/12</f>
        <v>0.8207500000000002</v>
      </c>
      <c r="BE181" s="106">
        <f t="shared" si="90"/>
        <v>13.378749999999998</v>
      </c>
      <c r="BF181" s="104">
        <f>('Renewable Diesel'!R190*'RD Feedstock Breakdown'!BF$3*'Feedstock Conversion Rates'!B$4)/12</f>
        <v>62.5</v>
      </c>
      <c r="BG181" s="106">
        <f t="shared" si="72"/>
        <v>62.5</v>
      </c>
      <c r="BH181" s="104">
        <f>('Renewable Diesel'!T190*'RD Feedstock Breakdown'!BH$3*'Feedstock Conversion Rates'!B$7)/12</f>
        <v>27.599999999999998</v>
      </c>
      <c r="BI181" s="106">
        <f t="shared" si="64"/>
        <v>27.599999999999998</v>
      </c>
      <c r="BJ181" s="104">
        <f>('Renewable Diesel'!W190*'RD Feedstock Breakdown'!BJ$3*'Feedstock Conversion Rates'!B$4)/12</f>
        <v>7.5</v>
      </c>
      <c r="BK181" s="104">
        <f>('Renewable Diesel'!W190*'RD Feedstock Breakdown'!BK$3*'Feedstock Conversion Rates'!B$3)/12</f>
        <v>1.335</v>
      </c>
      <c r="BL181" s="104">
        <f>('Renewable Diesel'!W190*'RD Feedstock Breakdown'!BL$3*'Feedstock Conversion Rates'!B$6)/12</f>
        <v>3.1266666666666669</v>
      </c>
      <c r="BM181" s="104">
        <f>('Renewable Diesel'!W190*'RD Feedstock Breakdown'!BM$3*'Feedstock Conversion Rates'!B$7)/12</f>
        <v>1.5333333333333332</v>
      </c>
      <c r="BN181" s="106">
        <f t="shared" si="112"/>
        <v>13.495000000000001</v>
      </c>
      <c r="BO181" s="104">
        <f>('Renewable Diesel'!P190*'Feedstock Conversion Rates'!B$4)/12</f>
        <v>31.25</v>
      </c>
      <c r="BP181" s="106">
        <f t="shared" si="102"/>
        <v>31.25</v>
      </c>
      <c r="BQ181" s="104">
        <f>('Renewable Diesel'!$S190*'RD Feedstock Breakdown'!BQ$3*'Feedstock Conversion Rates'!B$4)/12+10</f>
        <v>38.125</v>
      </c>
      <c r="BR181" s="104">
        <f>('Renewable Diesel'!$S190*'RD Feedstock Breakdown'!BR$3*'Feedstock Conversion Rates'!B$7)/12-10</f>
        <v>1.5</v>
      </c>
      <c r="BS181" s="106">
        <f t="shared" si="123"/>
        <v>39.625</v>
      </c>
      <c r="BT181" s="106"/>
      <c r="BU181" s="104">
        <f>('Renewable Diesel'!Y190*'Feedstock Conversion Rates'!B$7)/12</f>
        <v>2.6833333333333331</v>
      </c>
      <c r="BV181" s="106">
        <f t="shared" si="93"/>
        <v>2.6833333333333331</v>
      </c>
      <c r="BW181" s="104">
        <f>('Renewable Diesel'!$Z190*'RD Feedstock Breakdown'!BW$3*'Feedstock Conversion Rates'!$B$4)/12</f>
        <v>17.96875</v>
      </c>
      <c r="BX181" s="104">
        <f>('Renewable Diesel'!$Z190*'RD Feedstock Breakdown'!BX$3*'Feedstock Conversion Rates'!$B$5)/12</f>
        <v>1.8088541666666667</v>
      </c>
      <c r="BY181" s="104">
        <f>('Renewable Diesel'!$Z190*'RD Feedstock Breakdown'!BY$3*'Feedstock Conversion Rates'!$B$7)/12</f>
        <v>15.429166666666665</v>
      </c>
      <c r="BZ181" s="104">
        <f>('Renewable Diesel'!$Z190*'RD Feedstock Breakdown'!BZ$3*'Feedstock Conversion Rates'!$B$3)/12</f>
        <v>3.8381249999999998</v>
      </c>
      <c r="CA181" s="106">
        <f t="shared" si="127"/>
        <v>39.044895833333328</v>
      </c>
      <c r="CB181" s="104">
        <f>('Renewable Diesel'!AA190*'Feedstock Conversion Rates'!B$4)/12</f>
        <v>191.25</v>
      </c>
      <c r="CC181" s="106">
        <f t="shared" si="113"/>
        <v>191.25</v>
      </c>
      <c r="CD181" s="104">
        <f>('Renewable Diesel'!$AB190*'RD Feedstock Breakdown'!CD$3*'Feedstock Conversion Rates'!$B$6)/12-15</f>
        <v>17.830000000000005</v>
      </c>
      <c r="CE181" s="104">
        <f>('Renewable Diesel'!$AB190*'RD Feedstock Breakdown'!CE$3*'Feedstock Conversion Rates'!$B$4)/12+15</f>
        <v>26.25</v>
      </c>
      <c r="CF181" s="106">
        <f t="shared" si="108"/>
        <v>44.080000000000005</v>
      </c>
      <c r="CG181" s="104">
        <f>('Renewable Diesel'!AD190*'Feedstock Conversion Rates'!B$4)/12</f>
        <v>112.5</v>
      </c>
      <c r="CH181" s="106">
        <f t="shared" si="89"/>
        <v>112.5</v>
      </c>
      <c r="CI181" s="104">
        <f>('Renewable Diesel'!$AE190*'RD Feedstock Breakdown'!CI$3*'Feedstock Conversion Rates'!$B$5)/12</f>
        <v>0.34604166666666664</v>
      </c>
      <c r="CJ181" s="104">
        <f>('Renewable Diesel'!$AE190*'RD Feedstock Breakdown'!CJ$3*'Feedstock Conversion Rates'!$B$4)/12</f>
        <v>0.34375</v>
      </c>
      <c r="CK181" s="106">
        <f t="shared" si="103"/>
        <v>0.68979166666666658</v>
      </c>
      <c r="CL181" s="104">
        <f>(((CL$3*'Renewable Diesel'!$AF190)*'Feedstock Conversion Rates'!$B$3)/12)-35</f>
        <v>56.78125</v>
      </c>
      <c r="CM181" s="104">
        <f>(((CM$3*'Renewable Diesel'!$AF190)*'Feedstock Conversion Rates'!$B$6)/12)-32.5+35-50</f>
        <v>6.2395833333333357</v>
      </c>
      <c r="CN181" s="104">
        <f>(((CN$3*'Renewable Diesel'!$AF190)*'Feedstock Conversion Rates'!$B$4)/12)+32.5+50</f>
        <v>125.46875</v>
      </c>
      <c r="CO181" s="106">
        <f t="shared" si="91"/>
        <v>188.48958333333334</v>
      </c>
      <c r="CP181" s="104">
        <f>('Renewable Diesel'!$AG190*'RD Feedstock Breakdown'!CP$3*'Feedstock Conversion Rates'!$B$3)/12</f>
        <v>6.0075000000000003</v>
      </c>
      <c r="CQ181" s="104">
        <f>('Renewable Diesel'!$AG190*'RD Feedstock Breakdown'!CQ$3*'Feedstock Conversion Rates'!$B$6)/12</f>
        <v>3.5175000000000001</v>
      </c>
      <c r="CR181" s="104">
        <f>('Renewable Diesel'!$AG190*'RD Feedstock Breakdown'!CR$3*'Feedstock Conversion Rates'!$B$4)/12</f>
        <v>2.8125</v>
      </c>
      <c r="CS181" s="106">
        <f t="shared" si="134"/>
        <v>12.3375</v>
      </c>
      <c r="CT181" s="104">
        <f>('Renewable Diesel'!AI190*'Feedstock Conversion Rates'!$B$4*'RD Feedstock Breakdown'!$CT$3)/12</f>
        <v>29.375</v>
      </c>
      <c r="CU181" s="106">
        <f t="shared" si="99"/>
        <v>29.375</v>
      </c>
      <c r="CV181" s="106"/>
      <c r="CW181" s="106"/>
      <c r="CX181" s="104">
        <f>('Renewable Diesel'!AO190*'RD Feedstock Breakdown'!$CX$3*'Feedstock Conversion Rates'!$B$3)/12</f>
        <v>6.3412499999999996</v>
      </c>
      <c r="CY181" s="104">
        <f>('Renewable Diesel'!AO190*'RD Feedstock Breakdown'!$CY$3*'Feedstock Conversion Rates'!$B$6)/12</f>
        <v>7.4258333333333342</v>
      </c>
      <c r="CZ181" s="106">
        <f t="shared" si="135"/>
        <v>13.767083333333334</v>
      </c>
      <c r="DA181" s="106"/>
      <c r="DB181" s="106"/>
      <c r="DC181" s="106"/>
      <c r="DD181" s="106"/>
      <c r="DE181" s="106"/>
      <c r="DF181" s="104">
        <f>('Renewable Diesel'!AR190*'Feedstock Conversion Rates'!$B$4*$DF$3)/12</f>
        <v>75</v>
      </c>
      <c r="DG181" s="106">
        <f t="shared" si="136"/>
        <v>75</v>
      </c>
      <c r="DH181" s="106"/>
      <c r="DI181" s="106"/>
      <c r="DJ181" s="104">
        <f>('Renewable Diesel'!AT190*'Feedstock Conversion Rates'!$B$4*0.25)/12</f>
        <v>8.59375</v>
      </c>
      <c r="DK181" s="104">
        <f>('Renewable Diesel'!$AT190*'RD Feedstock Breakdown'!DK$3*'Feedstock Conversion Rates'!$B$3)/12*0.5</f>
        <v>9.1781249999999996</v>
      </c>
      <c r="DL181" s="104">
        <f>('Renewable Diesel'!$AT190*'RD Feedstock Breakdown'!$DL$3*'Feedstock Conversion Rates'!$B$6)/12</f>
        <v>10.747916666666669</v>
      </c>
      <c r="DM181" s="104">
        <f>('Renewable Diesel'!$AT190*'RD Feedstock Breakdown'!$DM$3*'Feedstock Conversion Rates'!$B$8)/12</f>
        <v>10.7421875</v>
      </c>
      <c r="DN181" s="106">
        <f t="shared" si="110"/>
        <v>39.26197916666667</v>
      </c>
      <c r="DP181" s="104">
        <f t="shared" si="73"/>
        <v>102.47024999999999</v>
      </c>
      <c r="DQ181" s="104">
        <f t="shared" si="74"/>
        <v>793.76151750000008</v>
      </c>
      <c r="DR181" s="104">
        <f t="shared" si="82"/>
        <v>1220.34375</v>
      </c>
      <c r="DS181" s="104">
        <f t="shared" si="100"/>
        <v>278.4382291666667</v>
      </c>
      <c r="DT181" s="104">
        <f t="shared" si="75"/>
        <v>389.17464999999993</v>
      </c>
      <c r="DU181" s="104">
        <f t="shared" si="76"/>
        <v>221.86860000000001</v>
      </c>
      <c r="DV181" s="104">
        <f t="shared" si="83"/>
        <v>35.924999999999997</v>
      </c>
      <c r="DW181" s="104">
        <f t="shared" si="77"/>
        <v>2.5</v>
      </c>
      <c r="DX181" s="106">
        <f t="shared" si="78"/>
        <v>3044.4819966666664</v>
      </c>
      <c r="DY181" s="109">
        <f t="shared" si="79"/>
        <v>-3.979039320256561E-13</v>
      </c>
      <c r="EA181" s="110">
        <f t="shared" si="114"/>
        <v>3.3657696157241963E-2</v>
      </c>
      <c r="EB181" s="110">
        <f t="shared" si="114"/>
        <v>0.26072137012768393</v>
      </c>
      <c r="EC181" s="110">
        <f t="shared" si="114"/>
        <v>0.40083789338748804</v>
      </c>
      <c r="ED181" s="110">
        <f t="shared" si="114"/>
        <v>9.145668441183831E-2</v>
      </c>
      <c r="EE181" s="110">
        <f t="shared" si="114"/>
        <v>0.12782951268100726</v>
      </c>
      <c r="EF181" s="110">
        <f t="shared" si="114"/>
        <v>7.2875648548067898E-2</v>
      </c>
      <c r="EG181" s="110">
        <f t="shared" si="114"/>
        <v>1.1800036932172192E-2</v>
      </c>
      <c r="EH181" s="111">
        <f t="shared" si="84"/>
        <v>8.2115775450050047E-4</v>
      </c>
      <c r="EI181" s="110">
        <f t="shared" si="85"/>
        <v>0.99917884224549969</v>
      </c>
      <c r="EK181" s="132">
        <f>(EA181*'Renewable Diesel'!BF190*'Feedstock Conversion Rates'!B$2)+FB181</f>
        <v>64.756341653203961</v>
      </c>
      <c r="EL181" s="132">
        <f>(EB181*'Renewable Diesel'!BF190*'Feedstock Conversion Rates'!B$3)+FC181</f>
        <v>472.70276244292899</v>
      </c>
      <c r="EM181" s="132">
        <f>(EC181*'Renewable Diesel'!BF190*'Feedstock Conversion Rates'!B$4)+FD181-125</f>
        <v>555.4700716665867</v>
      </c>
      <c r="EN181" s="132">
        <f>(ED181*'Renewable Diesel'!BF190*'Feedstock Conversion Rates'!B$5)+FE181</f>
        <v>156.29367351136176</v>
      </c>
      <c r="EO181" s="132">
        <f>(EE181*'Renewable Diesel'!BF190*'Feedstock Conversion Rates'!B$6)+FF181</f>
        <v>271.4019515171164</v>
      </c>
      <c r="EP181" s="132">
        <f>(EF181*'Renewable Diesel'!BF190*'Feedstock Conversion Rates'!B$7)+FG181</f>
        <v>151.75718237440341</v>
      </c>
      <c r="EQ181" s="132">
        <f>(EG181*'Renewable Diesel'!BF190*'Feedstock Conversion Rates'!B$8)+FH181</f>
        <v>25.03996038475033</v>
      </c>
      <c r="ER181" s="132">
        <f>(EH181*'Renewable Diesel'!BF190*'Feedstock Conversion Rates'!B$9)+FI181</f>
        <v>1.7192828285516346</v>
      </c>
      <c r="ES181" s="132">
        <f t="shared" si="86"/>
        <v>1699.1412263789034</v>
      </c>
      <c r="ET181" s="133">
        <f>ES181/'Renewable Diesel'!BF190</f>
        <v>7.506724594971586</v>
      </c>
      <c r="EW181" s="73">
        <f t="shared" si="124"/>
        <v>711.76374517794852</v>
      </c>
      <c r="EX181" s="73">
        <f t="shared" si="125"/>
        <v>987.37748120095478</v>
      </c>
      <c r="EY181" s="92">
        <f t="shared" si="71"/>
        <v>0.4188961659736854</v>
      </c>
      <c r="EZ181" s="92">
        <f t="shared" si="71"/>
        <v>0.58110383402631449</v>
      </c>
      <c r="FB181" s="102">
        <f>IF('Renewable Diesel'!$BG190&lt;1,0,(((('Renewable Diesel'!$BG190-1)*'Renewable Diesel'!$BF190)*'RD Feedstock Breakdown'!EA181)*'Feedstock Conversion Rates'!$B$2))</f>
        <v>0</v>
      </c>
      <c r="FC181" s="102">
        <f>IF('Renewable Diesel'!$BG190&lt;1,0,(((('Renewable Diesel'!$BG190-1)*'Renewable Diesel'!$BF190)*'RD Feedstock Breakdown'!EB181)*'Feedstock Conversion Rates'!$B$3))</f>
        <v>0</v>
      </c>
      <c r="FD181" s="102">
        <f>IF('Renewable Diesel'!$BG190&lt;1,0,(((('Renewable Diesel'!$BG190-1)*'Renewable Diesel'!$BF190)*'RD Feedstock Breakdown'!EC181)*'Feedstock Conversion Rates'!$B$4))</f>
        <v>0</v>
      </c>
      <c r="FE181" s="102">
        <f>IF('Renewable Diesel'!$BG190&lt;1,0,(((('Renewable Diesel'!$BG190-1)*'Renewable Diesel'!$BF190)*'RD Feedstock Breakdown'!ED181)*'Feedstock Conversion Rates'!$B$5))</f>
        <v>0</v>
      </c>
      <c r="FF181" s="102">
        <f>IF('Renewable Diesel'!$BG190&lt;1,0,(((('Renewable Diesel'!$BG190-1)*'Renewable Diesel'!$BF190)*'RD Feedstock Breakdown'!EE181)*'Feedstock Conversion Rates'!$B$6))</f>
        <v>0</v>
      </c>
      <c r="FG181" s="102">
        <f>IF('Renewable Diesel'!$BG190&lt;1,0,(((('Renewable Diesel'!$BG190-1)*'Renewable Diesel'!$BF190)*'RD Feedstock Breakdown'!EF181)*'Feedstock Conversion Rates'!$B$7))</f>
        <v>0</v>
      </c>
      <c r="FH181" s="102">
        <f>IF('Renewable Diesel'!$BG190&lt;1,0,(((('Renewable Diesel'!$BG190-1)*'Renewable Diesel'!$BF190)*'RD Feedstock Breakdown'!EG181)*'Feedstock Conversion Rates'!$B$8))</f>
        <v>0</v>
      </c>
      <c r="FI181" s="102">
        <f>IF('Renewable Diesel'!$BG190&lt;1,0,(((('Renewable Diesel'!$BG190-1)*'Renewable Diesel'!$BF190)*'RD Feedstock Breakdown'!EH181)*'Feedstock Conversion Rates'!$B$9))</f>
        <v>0</v>
      </c>
      <c r="FJ181" s="102">
        <f t="shared" si="126"/>
        <v>0</v>
      </c>
      <c r="FL181" s="3">
        <f>('Renewable Diesel'!AX190/12*$FO$80)*'RD Feedstock Breakdown'!EC181*7.5</f>
        <v>1092.9034308590803</v>
      </c>
      <c r="FM181" s="3">
        <f t="shared" si="96"/>
        <v>537.43335919249364</v>
      </c>
      <c r="FR181" s="3">
        <f>('Renewable Diesel'!AX190-'Renewable Diesel'!BI190)/12*$FO$80</f>
        <v>35.759625000000007</v>
      </c>
      <c r="FS181" s="100">
        <f t="shared" si="97"/>
        <v>0.40083789338748804</v>
      </c>
      <c r="FT181" s="3">
        <f t="shared" si="98"/>
        <v>107.50359564994916</v>
      </c>
      <c r="FY181" s="3">
        <f>'Renewable Diesel'!BF190*('Renewable Diesel'!BI190/'Renewable Diesel'!AX190)</f>
        <v>204.08434431901173</v>
      </c>
      <c r="FZ181" s="3">
        <f>('Renewable Diesel'!BJ190*'Renewable Diesel'!BG190)/12</f>
        <v>22.574105953051514</v>
      </c>
      <c r="GA181" s="3">
        <f t="shared" si="105"/>
        <v>67.864178064953421</v>
      </c>
      <c r="GD181" s="91">
        <f>'Renewable Diesel'!BB190*0.32</f>
        <v>0</v>
      </c>
      <c r="GE181" s="91">
        <f>'Renewable Diesel'!BC190</f>
        <v>14.80432559477609</v>
      </c>
      <c r="GF181" s="91">
        <f>'Renewable Diesel'!BD190</f>
        <v>0</v>
      </c>
      <c r="GG181" s="91">
        <f t="shared" si="109"/>
        <v>14.80432559477609</v>
      </c>
      <c r="GH181" s="124">
        <v>1</v>
      </c>
      <c r="GI181" s="102">
        <f>$GG181*EA181*'Feedstock Conversion Rates'!$B$2</f>
        <v>4.2353756877957593</v>
      </c>
      <c r="GJ181" s="102">
        <f>$GG181*EB181*'Feedstock Conversion Rates'!$B$3</f>
        <v>30.917030463619756</v>
      </c>
      <c r="GK181" s="102">
        <f>$GG181*EC181*'Feedstock Conversion Rates'!$B$4</f>
        <v>44.50601013324389</v>
      </c>
      <c r="GL181" s="102">
        <f>$GG181*ED181*'Feedstock Conversion Rates'!$B$5</f>
        <v>10.222356730579106</v>
      </c>
      <c r="GM181" s="102">
        <f>$GG181*EE181*'Feedstock Conversion Rates'!$B$6</f>
        <v>17.750990833174168</v>
      </c>
      <c r="GN181" s="102">
        <f>$GG181*EF181*'Feedstock Conversion Rates'!$B$7</f>
        <v>9.9256484271318293</v>
      </c>
      <c r="GO181" s="102">
        <f>$GG181*EG181*'Feedstock Conversion Rates'!$B$8</f>
        <v>1.6377336447586868</v>
      </c>
      <c r="GP181" s="102">
        <f>$GG181*EH181*'Feedstock Conversion Rates'!B$9</f>
        <v>0.11244935255128073</v>
      </c>
      <c r="GQ181" s="102">
        <f t="shared" si="87"/>
        <v>119.30759527285448</v>
      </c>
      <c r="GR181" s="85">
        <f t="shared" si="107"/>
        <v>8.058968610833162</v>
      </c>
      <c r="GT181" s="103">
        <f t="shared" si="111"/>
        <v>3.7939872994793566E-2</v>
      </c>
      <c r="GU181" s="103">
        <f t="shared" si="111"/>
        <v>0.27695021543091547</v>
      </c>
      <c r="GV181" s="103">
        <f t="shared" si="111"/>
        <v>0.32993839290723193</v>
      </c>
      <c r="GW181" s="103">
        <f t="shared" si="111"/>
        <v>9.1570369349569469E-2</v>
      </c>
      <c r="GX181" s="103">
        <f t="shared" si="111"/>
        <v>0.15901076725802119</v>
      </c>
      <c r="GY181" s="103">
        <f t="shared" si="111"/>
        <v>8.8912499970537143E-2</v>
      </c>
      <c r="GZ181" s="103">
        <f t="shared" si="111"/>
        <v>1.4670577313953093E-2</v>
      </c>
      <c r="HA181" s="103">
        <f t="shared" si="111"/>
        <v>1.0073047749779901E-3</v>
      </c>
    </row>
    <row r="182" spans="1:209" x14ac:dyDescent="0.25">
      <c r="A182" s="96">
        <v>45962</v>
      </c>
      <c r="B182" s="104">
        <f>23-20+10+85-5-4-4-1.25+2.25-5+15-6-25-45+65+15-22.5-50+40+16.5+27.5+168+80+14-30+15-50-19+22.5-10+5+11-25-50-12.5-27.5-10+10+2+4-1.5+12-26-15-50-15+10-32.5-3-5-2.5-1+5+10-50-35-9-0.5+25+15+25+20+15+85-25+12.5-52.5+10+20-150+20-20+55-25-25+20+15+50-50-30</f>
        <v>10</v>
      </c>
      <c r="C182" s="104">
        <f>40-10-2.5-27.5+25+25+25-70+120-15-100-10+20-20</f>
        <v>0</v>
      </c>
      <c r="D182" s="104">
        <f t="shared" si="95"/>
        <v>1.5</v>
      </c>
      <c r="E182" s="104">
        <f>('Renewable Diesel'!B191*E$3*'Feedstock Conversion Rates'!$B$2)/12-40+1.25+6-43+30-15+12.5-4+1.5+26+2.5+3-10+50+9-15-25-55+15+45+10-50+60-60+50</f>
        <v>94.679999999999993</v>
      </c>
      <c r="F182" s="104">
        <f>('Renewable Diesel'!B191*'RD Feedstock Breakdown'!F$3*'Feedstock Conversion Rates'!B$8)/12+28.5-49-5+2-6+1+6+20-20-3.75+10+2.5+5-20-20</f>
        <v>5.15625</v>
      </c>
      <c r="G182" s="104">
        <f>('Renewable Diesel'!B191*'RD Feedstock Breakdown'!G$3*'Feedstock Conversion Rates'!B$7)/12-25-15-25+4+4-20-40-20+10-17.5+20+50-12+32.5+35-75-75+22.5+5-20+15+125-10-45-10-40-40</f>
        <v>9.6570000000000107</v>
      </c>
      <c r="H182" s="104">
        <f>('Renewable Diesel'!B191*'RD Feedstock Breakdown'!H$3*'Feedstock Conversion Rates'!B$3)/12-85+4-15+70-65-80+50-22.5-5+25+27.5+15+50+15-10+5+50+75-5-25-85-12.5+30+22.5-25-30+150+90-120+25+10+70</f>
        <v>375.40022499999998</v>
      </c>
      <c r="I182" s="106">
        <f t="shared" si="106"/>
        <v>496.39347499999997</v>
      </c>
      <c r="J182" s="104">
        <f>2+10+12+15-6-20-5-5+7+105+30+87+5-10-5-25-27.5+1-1-15-17.5-6-10-77.5-7.5-1+17.5+15+90+2+2.5+2.5+7.5+27.5-32-11-25+5-50-30+50-50</f>
        <v>56.5</v>
      </c>
      <c r="K182" s="104">
        <f>50-50</f>
        <v>0</v>
      </c>
      <c r="L182" s="104">
        <v>1</v>
      </c>
      <c r="M182" s="104">
        <f>('Renewable Diesel'!C191*'RD Feedstock Breakdown'!M$3*'Feedstock Conversion Rates'!B$2)/12</f>
        <v>7.7902500000000003</v>
      </c>
      <c r="N182" s="104">
        <f>('Renewable Diesel'!C191*'RD Feedstock Breakdown'!N$3*'Feedstock Conversion Rates'!B$8)/12</f>
        <v>3.671875</v>
      </c>
      <c r="O182" s="104">
        <f>('Renewable Diesel'!C191*'RD Feedstock Breakdown'!O$3*'Feedstock Conversion Rates'!B$7)/12</f>
        <v>11.9991</v>
      </c>
      <c r="P182" s="104">
        <f>('Renewable Diesel'!C191*'RD Feedstock Breakdown'!P$3*'Feedstock Conversion Rates'!B$3)/12</f>
        <v>10.4470425</v>
      </c>
      <c r="Q182" s="106">
        <f t="shared" si="119"/>
        <v>91.408267499999994</v>
      </c>
      <c r="R182" s="104">
        <f>('Renewable Diesel'!D191*'RD Feedstock Breakdown'!R$3*'Feedstock Conversion Rates'!B$7)/12</f>
        <v>2.2999999999999998</v>
      </c>
      <c r="S182" s="106">
        <f t="shared" si="67"/>
        <v>2.2999999999999998</v>
      </c>
      <c r="T182" s="104">
        <f t="shared" si="138"/>
        <v>0.82499999999999929</v>
      </c>
      <c r="U182" s="104">
        <v>0</v>
      </c>
      <c r="V182" s="104">
        <f>('Renewable Diesel'!E191*'RD Feedstock Breakdown'!V$3*'Feedstock Conversion Rates'!B$6)/12-20+25</f>
        <v>49.250150000000012</v>
      </c>
      <c r="W182" s="104">
        <f>('Renewable Diesel'!E191*'RD Feedstock Breakdown'!W$3*'Feedstock Conversion Rates'!B$8)/12-5.825</f>
        <v>16.354687500000001</v>
      </c>
      <c r="X182" s="106">
        <f t="shared" si="88"/>
        <v>66.429837500000005</v>
      </c>
      <c r="Y182" s="104">
        <f>50+32-80+171+60-15-75-50-20-30-22.5+15+25+20-20+65+10-5-100-30</f>
        <v>0.5</v>
      </c>
      <c r="Z182" s="104">
        <f>('Renewable Diesel'!F191*'RD Feedstock Breakdown'!Z$3*'Feedstock Conversion Rates'!B$6)/12-50-32-60+15+30+22.5-15-25-20+20-10+5+100+30</f>
        <v>169.96</v>
      </c>
      <c r="AA182" s="104">
        <f>('Renewable Diesel'!F191*'RD Feedstock Breakdown'!AA$3*'Feedstock Conversion Rates'!B$7)/12+80-171+75+50+20-65</f>
        <v>93.266666666666652</v>
      </c>
      <c r="AB182" s="106">
        <f t="shared" si="137"/>
        <v>263.72666666666669</v>
      </c>
      <c r="AC182" s="104">
        <f>('Renewable Diesel'!G191*'RD Feedstock Breakdown'!AC$3*'Feedstock Conversion Rates'!B$5)/12</f>
        <v>7.864583333333333</v>
      </c>
      <c r="AD182" s="104">
        <f>('Renewable Diesel'!G191*'RD Feedstock Breakdown'!AD$3*'Feedstock Conversion Rates'!B$4)/12</f>
        <v>3.90625</v>
      </c>
      <c r="AE182" s="104">
        <f>('Renewable Diesel'!G191*'RD Feedstock Breakdown'!AE$3*'Feedstock Conversion Rates'!B$6)/12</f>
        <v>4.885416666666667</v>
      </c>
      <c r="AF182" s="106">
        <f t="shared" si="101"/>
        <v>16.65625</v>
      </c>
      <c r="AG182" s="104">
        <f t="shared" si="131"/>
        <v>39</v>
      </c>
      <c r="AH182" s="104">
        <v>0</v>
      </c>
      <c r="AI182" s="104">
        <f>('Renewable Diesel'!H191*'RD Feedstock Breakdown'!AI$3*'Feedstock Conversion Rates'!B$6)/12-130-20+51+5-100-25+100-10-25+15+22.5-22.5+100</f>
        <v>109.51666666666668</v>
      </c>
      <c r="AJ182" s="106">
        <f t="shared" si="65"/>
        <v>148.51666666666668</v>
      </c>
      <c r="AK182" s="104">
        <f>('Renewable Diesel'!J191*'RD Feedstock Breakdown'!AK$3*'Feedstock Conversion Rates'!B$4)/12</f>
        <v>95.8125</v>
      </c>
      <c r="AL182" s="106">
        <f t="shared" si="68"/>
        <v>95.8125</v>
      </c>
      <c r="AM182" s="104">
        <f>('Renewable Diesel'!K191*'RD Feedstock Breakdown'!AM$3*'Feedstock Conversion Rates'!B$4)/12+5+15-10+4-25</f>
        <v>47.59375</v>
      </c>
      <c r="AN182" s="104">
        <f>('Renewable Diesel'!K191*'RD Feedstock Breakdown'!AN$3*'Feedstock Conversion Rates'!B$6)/12-5-15+10-4+25</f>
        <v>35.427083333333329</v>
      </c>
      <c r="AO182" s="106">
        <f t="shared" si="81"/>
        <v>83.020833333333329</v>
      </c>
      <c r="AP182" s="104">
        <f>('Renewable Diesel'!L191*'RD Feedstock Breakdown'!AP$3*'Feedstock Conversion Rates'!B$4)/12+15-10+14</f>
        <v>77.59375</v>
      </c>
      <c r="AQ182" s="104">
        <f>('Renewable Diesel'!L191*'RD Feedstock Breakdown'!AQ$3*'Feedstock Conversion Rates'!B$6)/12-15+10-14</f>
        <v>5.4270833333333321</v>
      </c>
      <c r="AR182" s="106">
        <f t="shared" si="70"/>
        <v>83.020833333333329</v>
      </c>
      <c r="AS182" s="104">
        <f>('Renewable Diesel'!M191*'RD Feedstock Breakdown'!AS$3*'Feedstock Conversion Rates'!B$4)/12-150-50</f>
        <v>256.25</v>
      </c>
      <c r="AT182" s="104">
        <f>('Renewable Diesel'!M191*'RD Feedstock Breakdown'!AT$3*'Feedstock Conversion Rates'!B$5)/12+150+50</f>
        <v>200</v>
      </c>
      <c r="AU182" s="106">
        <f t="shared" si="104"/>
        <v>456.25</v>
      </c>
      <c r="AV182" s="104">
        <f>'Renewable Diesel'!N191*'RD Feedstock Breakdown'!$AV$3*'Feedstock Conversion Rates'!$B$4/12-15-10+25+25-22-17.5</f>
        <v>64.249999999999986</v>
      </c>
      <c r="AW182" s="104">
        <f>'Renewable Diesel'!N191*'RD Feedstock Breakdown'!$AW$3*'Feedstock Conversion Rates'!$B$7/12+15+10-25-25+22+17.5</f>
        <v>55.900000000000006</v>
      </c>
      <c r="AX182" s="106">
        <f t="shared" si="63"/>
        <v>120.14999999999999</v>
      </c>
      <c r="AY182" s="104">
        <f>('Renewable Diesel'!O191*'RD Feedstock Breakdown'!AY$3*'Feedstock Conversion Rates'!B$4)/12+34-100-20-262</f>
        <v>-137.0625</v>
      </c>
      <c r="AZ182" s="104">
        <f>('Renewable Diesel'!O191*'RD Feedstock Breakdown'!AZ$3*'Feedstock Conversion Rates'!B$3)/12-34+100+20+262</f>
        <v>373.03125</v>
      </c>
      <c r="BA182" s="106">
        <f t="shared" si="120"/>
        <v>235.96875</v>
      </c>
      <c r="BB182" s="104">
        <f>('Renewable Diesel'!Q191*'RD Feedstock Breakdown'!BB$3*'Feedstock Conversion Rates'!B$4)/12</f>
        <v>11.156249999999998</v>
      </c>
      <c r="BC182" s="104">
        <f>('Renewable Diesel'!Q191*'RD Feedstock Breakdown'!BC$3*'Feedstock Conversion Rates'!B$3)/12</f>
        <v>1.4017500000000001</v>
      </c>
      <c r="BD182" s="104">
        <f>('Renewable Diesel'!Q191*'RD Feedstock Breakdown'!BD$3*'Feedstock Conversion Rates'!B$6)/12</f>
        <v>0.8207500000000002</v>
      </c>
      <c r="BE182" s="106">
        <f t="shared" si="90"/>
        <v>13.378749999999998</v>
      </c>
      <c r="BF182" s="104">
        <f>('Renewable Diesel'!R191*'RD Feedstock Breakdown'!BF$3*'Feedstock Conversion Rates'!B$4)/12</f>
        <v>62.5</v>
      </c>
      <c r="BG182" s="106">
        <f t="shared" si="72"/>
        <v>62.5</v>
      </c>
      <c r="BH182" s="104">
        <f>('Renewable Diesel'!T191*'RD Feedstock Breakdown'!BH$3*'Feedstock Conversion Rates'!B$7)/12</f>
        <v>27.599999999999998</v>
      </c>
      <c r="BI182" s="106">
        <f t="shared" si="64"/>
        <v>27.599999999999998</v>
      </c>
      <c r="BJ182" s="104">
        <f>('Renewable Diesel'!W191*'RD Feedstock Breakdown'!BJ$3*'Feedstock Conversion Rates'!B$4)/12</f>
        <v>7.5</v>
      </c>
      <c r="BK182" s="104">
        <f>('Renewable Diesel'!W191*'RD Feedstock Breakdown'!BK$3*'Feedstock Conversion Rates'!B$3)/12</f>
        <v>1.335</v>
      </c>
      <c r="BL182" s="104">
        <f>('Renewable Diesel'!W191*'RD Feedstock Breakdown'!BL$3*'Feedstock Conversion Rates'!B$6)/12</f>
        <v>3.1266666666666669</v>
      </c>
      <c r="BM182" s="104">
        <f>('Renewable Diesel'!W191*'RD Feedstock Breakdown'!BM$3*'Feedstock Conversion Rates'!B$7)/12</f>
        <v>1.5333333333333332</v>
      </c>
      <c r="BN182" s="106">
        <f t="shared" si="112"/>
        <v>13.495000000000001</v>
      </c>
      <c r="BO182" s="104">
        <f>('Renewable Diesel'!P191*'Feedstock Conversion Rates'!B$4)/12</f>
        <v>31.25</v>
      </c>
      <c r="BP182" s="106">
        <f t="shared" si="102"/>
        <v>31.25</v>
      </c>
      <c r="BQ182" s="104">
        <f>('Renewable Diesel'!$S191*'RD Feedstock Breakdown'!BQ$3*'Feedstock Conversion Rates'!B$4)/12+10</f>
        <v>38.125</v>
      </c>
      <c r="BR182" s="104">
        <f>('Renewable Diesel'!$S191*'RD Feedstock Breakdown'!BR$3*'Feedstock Conversion Rates'!B$7)/12-10</f>
        <v>1.5</v>
      </c>
      <c r="BS182" s="106">
        <f t="shared" si="123"/>
        <v>39.625</v>
      </c>
      <c r="BT182" s="106"/>
      <c r="BU182" s="104">
        <f>('Renewable Diesel'!Y191*'Feedstock Conversion Rates'!B$7)/12</f>
        <v>2.6833333333333331</v>
      </c>
      <c r="BV182" s="106">
        <f t="shared" si="93"/>
        <v>2.6833333333333331</v>
      </c>
      <c r="BW182" s="104">
        <f>('Renewable Diesel'!$Z191*'RD Feedstock Breakdown'!BW$3*'Feedstock Conversion Rates'!$B$4)/12</f>
        <v>17.96875</v>
      </c>
      <c r="BX182" s="104">
        <f>('Renewable Diesel'!$Z191*'RD Feedstock Breakdown'!BX$3*'Feedstock Conversion Rates'!$B$5)/12</f>
        <v>1.8088541666666667</v>
      </c>
      <c r="BY182" s="104">
        <f>('Renewable Diesel'!$Z191*'RD Feedstock Breakdown'!BY$3*'Feedstock Conversion Rates'!$B$7)/12</f>
        <v>15.429166666666665</v>
      </c>
      <c r="BZ182" s="104">
        <f>('Renewable Diesel'!$Z191*'RD Feedstock Breakdown'!BZ$3*'Feedstock Conversion Rates'!$B$3)/12</f>
        <v>3.8381249999999998</v>
      </c>
      <c r="CA182" s="106">
        <f t="shared" si="127"/>
        <v>39.044895833333328</v>
      </c>
      <c r="CB182" s="104">
        <f>('Renewable Diesel'!AA191*'Feedstock Conversion Rates'!B$4)/12</f>
        <v>191.25</v>
      </c>
      <c r="CC182" s="106">
        <f t="shared" si="113"/>
        <v>191.25</v>
      </c>
      <c r="CD182" s="104">
        <f>('Renewable Diesel'!$AB191*'RD Feedstock Breakdown'!CD$3*'Feedstock Conversion Rates'!$B$6)/12-15</f>
        <v>17.830000000000005</v>
      </c>
      <c r="CE182" s="104">
        <f>('Renewable Diesel'!$AB191*'RD Feedstock Breakdown'!CE$3*'Feedstock Conversion Rates'!$B$4)/12+15</f>
        <v>26.25</v>
      </c>
      <c r="CF182" s="106">
        <f t="shared" si="108"/>
        <v>44.080000000000005</v>
      </c>
      <c r="CG182" s="104">
        <f>('Renewable Diesel'!AD191*'Feedstock Conversion Rates'!B$4)/12</f>
        <v>112.5</v>
      </c>
      <c r="CH182" s="106">
        <f t="shared" si="89"/>
        <v>112.5</v>
      </c>
      <c r="CI182" s="104">
        <f>('Renewable Diesel'!$AE191*'RD Feedstock Breakdown'!CI$3*'Feedstock Conversion Rates'!$B$5)/12</f>
        <v>0.34604166666666664</v>
      </c>
      <c r="CJ182" s="104">
        <f>('Renewable Diesel'!$AE191*'RD Feedstock Breakdown'!CJ$3*'Feedstock Conversion Rates'!$B$4)/12</f>
        <v>0.34375</v>
      </c>
      <c r="CK182" s="106">
        <f t="shared" si="103"/>
        <v>0.68979166666666658</v>
      </c>
      <c r="CL182" s="104">
        <f>(((CL$3*'Renewable Diesel'!$AF191)*'Feedstock Conversion Rates'!$B$3)/12)-35</f>
        <v>56.78125</v>
      </c>
      <c r="CM182" s="104">
        <f>(((CM$3*'Renewable Diesel'!$AF191)*'Feedstock Conversion Rates'!$B$6)/12)-32.5+35-50</f>
        <v>6.2395833333333357</v>
      </c>
      <c r="CN182" s="104">
        <f>(((CN$3*'Renewable Diesel'!$AF191)*'Feedstock Conversion Rates'!$B$4)/12)+32.5+50</f>
        <v>125.46875</v>
      </c>
      <c r="CO182" s="106">
        <f t="shared" si="91"/>
        <v>188.48958333333334</v>
      </c>
      <c r="CP182" s="104">
        <f>('Renewable Diesel'!$AG191*'RD Feedstock Breakdown'!CP$3*'Feedstock Conversion Rates'!$B$3)/12</f>
        <v>6.0075000000000003</v>
      </c>
      <c r="CQ182" s="104">
        <f>('Renewable Diesel'!$AG191*'RD Feedstock Breakdown'!CQ$3*'Feedstock Conversion Rates'!$B$6)/12</f>
        <v>3.5175000000000001</v>
      </c>
      <c r="CR182" s="104">
        <f>('Renewable Diesel'!$AG191*'RD Feedstock Breakdown'!CR$3*'Feedstock Conversion Rates'!$B$4)/12</f>
        <v>2.8125</v>
      </c>
      <c r="CS182" s="106">
        <f t="shared" si="134"/>
        <v>12.3375</v>
      </c>
      <c r="CT182" s="104">
        <f>('Renewable Diesel'!AI191*'Feedstock Conversion Rates'!$B$4*'RD Feedstock Breakdown'!$CT$3)/12</f>
        <v>29.375</v>
      </c>
      <c r="CU182" s="106">
        <f t="shared" si="99"/>
        <v>29.375</v>
      </c>
      <c r="CV182" s="106"/>
      <c r="CW182" s="106"/>
      <c r="CX182" s="104">
        <f>('Renewable Diesel'!AO191*'RD Feedstock Breakdown'!$CX$3*'Feedstock Conversion Rates'!$B$3)/12</f>
        <v>6.3412499999999996</v>
      </c>
      <c r="CY182" s="104">
        <f>('Renewable Diesel'!AO191*'RD Feedstock Breakdown'!$CY$3*'Feedstock Conversion Rates'!$B$6)/12</f>
        <v>7.4258333333333342</v>
      </c>
      <c r="CZ182" s="106">
        <f t="shared" si="135"/>
        <v>13.767083333333334</v>
      </c>
      <c r="DA182" s="106"/>
      <c r="DB182" s="106"/>
      <c r="DC182" s="106"/>
      <c r="DD182" s="106"/>
      <c r="DE182" s="106"/>
      <c r="DF182" s="104">
        <f>('Renewable Diesel'!AR191*'Feedstock Conversion Rates'!$B$4*$DF$3)/12</f>
        <v>75</v>
      </c>
      <c r="DG182" s="106">
        <f t="shared" si="136"/>
        <v>75</v>
      </c>
      <c r="DH182" s="106"/>
      <c r="DI182" s="106"/>
      <c r="DJ182" s="104">
        <f>('Renewable Diesel'!AT191*'Feedstock Conversion Rates'!$B$4*0.25)/12</f>
        <v>8.59375</v>
      </c>
      <c r="DK182" s="104">
        <f>('Renewable Diesel'!$AT191*'RD Feedstock Breakdown'!DK$3*'Feedstock Conversion Rates'!$B$3)/12*0.5</f>
        <v>9.1781249999999996</v>
      </c>
      <c r="DL182" s="104">
        <f>('Renewable Diesel'!$AT191*'RD Feedstock Breakdown'!$DL$3*'Feedstock Conversion Rates'!$B$6)/12</f>
        <v>10.747916666666669</v>
      </c>
      <c r="DM182" s="104">
        <f>('Renewable Diesel'!$AT191*'RD Feedstock Breakdown'!$DM$3*'Feedstock Conversion Rates'!$B$8)/12</f>
        <v>10.7421875</v>
      </c>
      <c r="DN182" s="106">
        <f t="shared" si="110"/>
        <v>39.26197916666667</v>
      </c>
      <c r="DP182" s="104">
        <f t="shared" si="73"/>
        <v>102.47024999999999</v>
      </c>
      <c r="DQ182" s="104">
        <f t="shared" si="74"/>
        <v>843.76151750000008</v>
      </c>
      <c r="DR182" s="104">
        <f t="shared" si="82"/>
        <v>1206.84375</v>
      </c>
      <c r="DS182" s="104">
        <f t="shared" si="100"/>
        <v>258.4382291666667</v>
      </c>
      <c r="DT182" s="104">
        <f t="shared" si="75"/>
        <v>424.17464999999993</v>
      </c>
      <c r="DU182" s="104">
        <f t="shared" si="76"/>
        <v>221.86860000000001</v>
      </c>
      <c r="DV182" s="104">
        <f t="shared" si="83"/>
        <v>35.924999999999997</v>
      </c>
      <c r="DW182" s="104">
        <f t="shared" si="77"/>
        <v>2.5</v>
      </c>
      <c r="DX182" s="106">
        <f t="shared" si="78"/>
        <v>3095.9819966666664</v>
      </c>
      <c r="DY182" s="109">
        <f t="shared" si="79"/>
        <v>-3.979039320256561E-13</v>
      </c>
      <c r="EA182" s="110">
        <f t="shared" si="114"/>
        <v>3.3097818433804223E-2</v>
      </c>
      <c r="EB182" s="110">
        <f t="shared" si="114"/>
        <v>0.27253437468578567</v>
      </c>
      <c r="EC182" s="110">
        <f t="shared" si="114"/>
        <v>0.38980967954573564</v>
      </c>
      <c r="ED182" s="110">
        <f t="shared" si="114"/>
        <v>8.3475365633559215E-2</v>
      </c>
      <c r="EE182" s="110">
        <f t="shared" si="114"/>
        <v>0.13700811259777793</v>
      </c>
      <c r="EF182" s="110">
        <f t="shared" si="114"/>
        <v>7.1663401220962542E-2</v>
      </c>
      <c r="EG182" s="110">
        <f t="shared" si="114"/>
        <v>1.1603749646696642E-2</v>
      </c>
      <c r="EH182" s="111">
        <f t="shared" si="84"/>
        <v>8.0749823567826328E-4</v>
      </c>
      <c r="EI182" s="110">
        <f t="shared" si="85"/>
        <v>0.99919250176432184</v>
      </c>
      <c r="EK182" s="132">
        <f>(EA182*'Renewable Diesel'!BF191*'Feedstock Conversion Rates'!B$2)+FB182</f>
        <v>69.03955350361764</v>
      </c>
      <c r="EL182" s="132">
        <f>(EB182*'Renewable Diesel'!BF191*'Feedstock Conversion Rates'!B$3)+FC182</f>
        <v>535.7146002499104</v>
      </c>
      <c r="EM182" s="132">
        <f>(EC182*'Renewable Diesel'!BF191*'Feedstock Conversion Rates'!B$4)+FD182</f>
        <v>717.45317456097996</v>
      </c>
      <c r="EN182" s="132">
        <f>(ED182*'Renewable Diesel'!BF191*'Feedstock Conversion Rates'!B$5)+FE182</f>
        <v>154.66247678141156</v>
      </c>
      <c r="EO182" s="132">
        <f>(EE182*'Renewable Diesel'!BF191*'Feedstock Conversion Rates'!B$6)+FF182</f>
        <v>315.3761165406026</v>
      </c>
      <c r="EP182" s="132">
        <f>(EF182*'Renewable Diesel'!BF191*'Feedstock Conversion Rates'!B$7)+FG182</f>
        <v>161.79493536255845</v>
      </c>
      <c r="EQ182" s="132">
        <f>(EG182*'Renewable Diesel'!BF191*'Feedstock Conversion Rates'!B$8)+FH182</f>
        <v>26.69619130076201</v>
      </c>
      <c r="ER182" s="132">
        <f>(EH182*'Renewable Diesel'!BF191*'Feedstock Conversion Rates'!B$9)+FI182</f>
        <v>1.8330022326665634</v>
      </c>
      <c r="ES182" s="132">
        <f t="shared" si="86"/>
        <v>1982.5700505325092</v>
      </c>
      <c r="ET182" s="133">
        <f>ES182/'Renewable Diesel'!BF191</f>
        <v>8.0788373040646864</v>
      </c>
      <c r="EW182" s="73">
        <f t="shared" si="124"/>
        <v>872.11565134239152</v>
      </c>
      <c r="EX182" s="73">
        <f t="shared" si="125"/>
        <v>1110.4543991901176</v>
      </c>
      <c r="EY182" s="92">
        <f t="shared" si="71"/>
        <v>0.43989146870656359</v>
      </c>
      <c r="EZ182" s="92">
        <f t="shared" si="71"/>
        <v>0.5601085312934363</v>
      </c>
      <c r="FB182" s="102">
        <f>IF('Renewable Diesel'!$BG191&lt;1,0,(((('Renewable Diesel'!$BG191-1)*'Renewable Diesel'!$BF191)*'RD Feedstock Breakdown'!EA182)*'Feedstock Conversion Rates'!$B$2))</f>
        <v>0</v>
      </c>
      <c r="FC182" s="102">
        <f>IF('Renewable Diesel'!$BG191&lt;1,0,(((('Renewable Diesel'!$BG191-1)*'Renewable Diesel'!$BF191)*'RD Feedstock Breakdown'!EB182)*'Feedstock Conversion Rates'!$B$3))</f>
        <v>0</v>
      </c>
      <c r="FD182" s="102">
        <f>IF('Renewable Diesel'!$BG191&lt;1,0,(((('Renewable Diesel'!$BG191-1)*'Renewable Diesel'!$BF191)*'RD Feedstock Breakdown'!EC182)*'Feedstock Conversion Rates'!$B$4))</f>
        <v>0</v>
      </c>
      <c r="FE182" s="102">
        <f>IF('Renewable Diesel'!$BG191&lt;1,0,(((('Renewable Diesel'!$BG191-1)*'Renewable Diesel'!$BF191)*'RD Feedstock Breakdown'!ED182)*'Feedstock Conversion Rates'!$B$5))</f>
        <v>0</v>
      </c>
      <c r="FF182" s="102">
        <f>IF('Renewable Diesel'!$BG191&lt;1,0,(((('Renewable Diesel'!$BG191-1)*'Renewable Diesel'!$BF191)*'RD Feedstock Breakdown'!EE182)*'Feedstock Conversion Rates'!$B$6))</f>
        <v>0</v>
      </c>
      <c r="FG182" s="102">
        <f>IF('Renewable Diesel'!$BG191&lt;1,0,(((('Renewable Diesel'!$BG191-1)*'Renewable Diesel'!$BF191)*'RD Feedstock Breakdown'!EF182)*'Feedstock Conversion Rates'!$B$7))</f>
        <v>0</v>
      </c>
      <c r="FH182" s="102">
        <f>IF('Renewable Diesel'!$BG191&lt;1,0,(((('Renewable Diesel'!$BG191-1)*'Renewable Diesel'!$BF191)*'RD Feedstock Breakdown'!EG182)*'Feedstock Conversion Rates'!$B$8))</f>
        <v>0</v>
      </c>
      <c r="FI182" s="102">
        <f>IF('Renewable Diesel'!$BG191&lt;1,0,(((('Renewable Diesel'!$BG191-1)*'Renewable Diesel'!$BF191)*'RD Feedstock Breakdown'!EH182)*'Feedstock Conversion Rates'!$B$9))</f>
        <v>0</v>
      </c>
      <c r="FJ182" s="102">
        <f t="shared" si="126"/>
        <v>0</v>
      </c>
      <c r="FL182" s="3">
        <f>('Renewable Diesel'!AX191/12*$FO$80)*'RD Feedstock Breakdown'!EC182*7.5</f>
        <v>1062.8344854257016</v>
      </c>
      <c r="FM182" s="3">
        <f t="shared" si="96"/>
        <v>345.38131086472163</v>
      </c>
      <c r="FR182" s="3">
        <f>('Renewable Diesel'!AX191-'Renewable Diesel'!BI191)/12*$FO$80</f>
        <v>35.759625000000007</v>
      </c>
      <c r="FS182" s="100">
        <f t="shared" si="97"/>
        <v>0.38980967954573564</v>
      </c>
      <c r="FT182" s="3">
        <f t="shared" si="98"/>
        <v>104.5458597144426</v>
      </c>
      <c r="FY182" s="3">
        <f>'Renewable Diesel'!BF191*('Renewable Diesel'!BI191/'Renewable Diesel'!AX191)</f>
        <v>221.2638042727844</v>
      </c>
      <c r="FZ182" s="3">
        <f>('Renewable Diesel'!BJ191*'Renewable Diesel'!BG191)/12</f>
        <v>23.684859053499707</v>
      </c>
      <c r="GA182" s="3">
        <f t="shared" si="105"/>
        <v>69.244404882979779</v>
      </c>
      <c r="GD182" s="91">
        <f>'Renewable Diesel'!BB191*0.32</f>
        <v>0</v>
      </c>
      <c r="GE182" s="91">
        <f>'Renewable Diesel'!BC191</f>
        <v>16.380536413000446</v>
      </c>
      <c r="GF182" s="91">
        <f>'Renewable Diesel'!BD191</f>
        <v>0</v>
      </c>
      <c r="GG182" s="91">
        <f t="shared" si="109"/>
        <v>16.380536413000446</v>
      </c>
      <c r="GH182" s="124">
        <v>1</v>
      </c>
      <c r="GI182" s="102">
        <f>$GG182*EA182*'Feedstock Conversion Rates'!$B$2</f>
        <v>4.6083601703893633</v>
      </c>
      <c r="GJ182" s="102">
        <f>$GG182*EB182*'Feedstock Conversion Rates'!$B$3</f>
        <v>35.758716579161899</v>
      </c>
      <c r="GK182" s="102">
        <f>$GG182*EC182*'Feedstock Conversion Rates'!$B$4</f>
        <v>47.889687374542177</v>
      </c>
      <c r="GL182" s="102">
        <f>$GG182*ED182*'Feedstock Conversion Rates'!$B$5</f>
        <v>10.323653060935273</v>
      </c>
      <c r="GM182" s="102">
        <f>$GG182*EE182*'Feedstock Conversion Rates'!$B$6</f>
        <v>21.051218618927361</v>
      </c>
      <c r="GN182" s="102">
        <f>$GG182*EF182*'Feedstock Conversion Rates'!$B$7</f>
        <v>10.799741569250825</v>
      </c>
      <c r="GO182" s="102">
        <f>$GG182*EG182*'Feedstock Conversion Rates'!$B$8</f>
        <v>1.7819591588911445</v>
      </c>
      <c r="GP182" s="102">
        <f>$GG182*EH182*'Feedstock Conversion Rates'!B$9</f>
        <v>0.12235210183989302</v>
      </c>
      <c r="GQ182" s="102">
        <f t="shared" si="87"/>
        <v>132.33568863393791</v>
      </c>
      <c r="GR182" s="85">
        <f t="shared" si="107"/>
        <v>8.0788373040646846</v>
      </c>
      <c r="GT182" s="103">
        <f t="shared" si="111"/>
        <v>3.4823260587979694E-2</v>
      </c>
      <c r="GU182" s="103">
        <f t="shared" si="111"/>
        <v>0.27021219255582923</v>
      </c>
      <c r="GV182" s="103">
        <f t="shared" si="111"/>
        <v>0.36188036552265856</v>
      </c>
      <c r="GW182" s="103">
        <f t="shared" si="111"/>
        <v>7.8011103183905126E-2</v>
      </c>
      <c r="GX182" s="103">
        <f t="shared" si="111"/>
        <v>0.15907438753848524</v>
      </c>
      <c r="GY182" s="103">
        <f t="shared" si="111"/>
        <v>8.1608685311825968E-2</v>
      </c>
      <c r="GZ182" s="103">
        <f t="shared" si="111"/>
        <v>1.3465446677958006E-2</v>
      </c>
      <c r="HA182" s="103">
        <f t="shared" si="111"/>
        <v>9.245586213582857E-4</v>
      </c>
    </row>
    <row r="183" spans="1:209" x14ac:dyDescent="0.25">
      <c r="A183" s="96">
        <v>45992</v>
      </c>
      <c r="B183" s="104">
        <f>23-20+10+85-5-4-4-1.25+2.25-5+15-6-25-45+65+15-22.5-50+40+16.5+27.5+168+80+14-30+15-50-19+22.5-10+5+11-25-50-12.5-27.5-10+10+2+4-1.5+12-26-15-50-15+10-32.5-3-5-2.5-1+5+10-50-35-9-0.5+25+15+25+20+15+85-25+12.5-52.5+10+20-150+20-20+55-25-25+20+15+50-50-30-10</f>
        <v>0</v>
      </c>
      <c r="C183" s="104">
        <f>40-10-2.5-27.5+25+25+25-70+120-15-100-10+20-20</f>
        <v>0</v>
      </c>
      <c r="D183" s="104">
        <f t="shared" si="95"/>
        <v>1.5</v>
      </c>
      <c r="E183" s="104">
        <f>('Renewable Diesel'!B192*E$3*'Feedstock Conversion Rates'!$B$2)/12-40+1.25+6-43+30-15+12.5-4+1.5+26+2.5+3-10+50+9-15-25-55+15+45+10-50+60-60+50</f>
        <v>94.679999999999993</v>
      </c>
      <c r="F183" s="104">
        <f>('Renewable Diesel'!B192*'RD Feedstock Breakdown'!F$3*'Feedstock Conversion Rates'!B$8)/12+28.5-49-5+2-6+1+6+20-20-3.75+10+2.5+5-20-20+10</f>
        <v>15.15625</v>
      </c>
      <c r="G183" s="104">
        <f>('Renewable Diesel'!B192*'RD Feedstock Breakdown'!G$3*'Feedstock Conversion Rates'!B$7)/12-25-15-25+4+4-20-40-20+10-17.5+20+50-12+32.5+35-75-75+22.5+5-20+15+125-10-45-10-40-40</f>
        <v>9.6570000000000107</v>
      </c>
      <c r="H183" s="104">
        <f>('Renewable Diesel'!B192*'RD Feedstock Breakdown'!H$3*'Feedstock Conversion Rates'!B$3)/12-85+4-15+70-65-80+50-22.5-5+25+27.5+15+50+15-10+5+50+75-5-25-85-12.5+30+22.5-25-30+150+90-120+25+10+70</f>
        <v>375.40022499999998</v>
      </c>
      <c r="I183" s="106">
        <f t="shared" si="106"/>
        <v>496.39347499999997</v>
      </c>
      <c r="J183" s="104">
        <f>2+10+12+15-6-20-5-5+7+105+30+87+5-10-5-25-27.5+1-1-15-17.5-6-10-77.5-7.5-1+17.5+15+90+2+2.5+2.5+7.5+27.5-32-11-25+5-50-30+50-100</f>
        <v>6.5</v>
      </c>
      <c r="K183" s="104">
        <f t="shared" ref="K183:K192" si="139">50-50</f>
        <v>0</v>
      </c>
      <c r="L183" s="104">
        <v>1</v>
      </c>
      <c r="M183" s="104">
        <f>('Renewable Diesel'!C192*'RD Feedstock Breakdown'!M$3*'Feedstock Conversion Rates'!B$2)/12</f>
        <v>7.7902500000000003</v>
      </c>
      <c r="N183" s="104">
        <f>('Renewable Diesel'!C192*'RD Feedstock Breakdown'!N$3*'Feedstock Conversion Rates'!B$8)/12</f>
        <v>3.671875</v>
      </c>
      <c r="O183" s="104">
        <f>('Renewable Diesel'!C192*'RD Feedstock Breakdown'!O$3*'Feedstock Conversion Rates'!B$7)/12</f>
        <v>11.9991</v>
      </c>
      <c r="P183" s="104">
        <f>('Renewable Diesel'!C192*'RD Feedstock Breakdown'!P$3*'Feedstock Conversion Rates'!B$3)/12</f>
        <v>10.4470425</v>
      </c>
      <c r="Q183" s="106">
        <f t="shared" si="119"/>
        <v>41.408267500000001</v>
      </c>
      <c r="R183" s="104">
        <f>('Renewable Diesel'!D192*'RD Feedstock Breakdown'!R$3*'Feedstock Conversion Rates'!B$7)/12</f>
        <v>2.2999999999999998</v>
      </c>
      <c r="S183" s="106">
        <f t="shared" si="67"/>
        <v>2.2999999999999998</v>
      </c>
      <c r="T183" s="104">
        <f t="shared" si="138"/>
        <v>0.82499999999999929</v>
      </c>
      <c r="U183" s="104">
        <v>0</v>
      </c>
      <c r="V183" s="104">
        <f>('Renewable Diesel'!E192*'RD Feedstock Breakdown'!V$3*'Feedstock Conversion Rates'!B$6)/12-20+25</f>
        <v>49.250150000000012</v>
      </c>
      <c r="W183" s="104">
        <f>('Renewable Diesel'!E192*'RD Feedstock Breakdown'!W$3*'Feedstock Conversion Rates'!B$8)/12-5.825</f>
        <v>16.354687500000001</v>
      </c>
      <c r="X183" s="106">
        <f t="shared" si="88"/>
        <v>66.429837500000005</v>
      </c>
      <c r="Y183" s="104">
        <f t="shared" ref="Y183:Y192" si="140">50+32-80+171+60-15-75-50-20-30-22.5+15+25+20-20+65+10-5-100-30</f>
        <v>0.5</v>
      </c>
      <c r="Z183" s="104">
        <f>('Renewable Diesel'!F192*'RD Feedstock Breakdown'!Z$3*'Feedstock Conversion Rates'!B$6)/12-50-32-60+15+30+22.5-15-25-20+20-10+5+100+30</f>
        <v>169.96</v>
      </c>
      <c r="AA183" s="104">
        <f>('Renewable Diesel'!F192*'RD Feedstock Breakdown'!AA$3*'Feedstock Conversion Rates'!B$7)/12+80-171+75+50+20-65</f>
        <v>93.266666666666652</v>
      </c>
      <c r="AB183" s="106">
        <f t="shared" si="137"/>
        <v>263.72666666666669</v>
      </c>
      <c r="AC183" s="104">
        <f>('Renewable Diesel'!G192*'RD Feedstock Breakdown'!AC$3*'Feedstock Conversion Rates'!B$5)/12</f>
        <v>7.864583333333333</v>
      </c>
      <c r="AD183" s="104">
        <f>('Renewable Diesel'!G192*'RD Feedstock Breakdown'!AD$3*'Feedstock Conversion Rates'!B$4)/12</f>
        <v>3.90625</v>
      </c>
      <c r="AE183" s="104">
        <f>('Renewable Diesel'!G192*'RD Feedstock Breakdown'!AE$3*'Feedstock Conversion Rates'!B$6)/12</f>
        <v>4.885416666666667</v>
      </c>
      <c r="AF183" s="106">
        <f t="shared" si="101"/>
        <v>16.65625</v>
      </c>
      <c r="AG183" s="104">
        <f t="shared" si="131"/>
        <v>39</v>
      </c>
      <c r="AH183" s="104">
        <v>0</v>
      </c>
      <c r="AI183" s="104">
        <f>('Renewable Diesel'!H192*'RD Feedstock Breakdown'!AI$3*'Feedstock Conversion Rates'!B$6)/12-130-20+51+5-100-25+100-10-25+15+22.5-22.5+100</f>
        <v>109.51666666666668</v>
      </c>
      <c r="AJ183" s="106">
        <f t="shared" si="65"/>
        <v>148.51666666666668</v>
      </c>
      <c r="AK183" s="104">
        <f>('Renewable Diesel'!J192*'RD Feedstock Breakdown'!AK$3*'Feedstock Conversion Rates'!B$4)/12</f>
        <v>95.8125</v>
      </c>
      <c r="AL183" s="106">
        <f t="shared" si="68"/>
        <v>95.8125</v>
      </c>
      <c r="AM183" s="104">
        <f>('Renewable Diesel'!K192*'RD Feedstock Breakdown'!AM$3*'Feedstock Conversion Rates'!B$4)/12+5+15-10+4-25</f>
        <v>47.59375</v>
      </c>
      <c r="AN183" s="104">
        <f>('Renewable Diesel'!K192*'RD Feedstock Breakdown'!AN$3*'Feedstock Conversion Rates'!B$6)/12-5-15+10-4+25</f>
        <v>35.427083333333329</v>
      </c>
      <c r="AO183" s="106">
        <f t="shared" si="81"/>
        <v>83.020833333333329</v>
      </c>
      <c r="AP183" s="104">
        <f>('Renewable Diesel'!L192*'RD Feedstock Breakdown'!AP$3*'Feedstock Conversion Rates'!B$4)/12+15-10+14</f>
        <v>77.59375</v>
      </c>
      <c r="AQ183" s="104">
        <f>('Renewable Diesel'!L192*'RD Feedstock Breakdown'!AQ$3*'Feedstock Conversion Rates'!B$6)/12-15+10-14</f>
        <v>5.4270833333333321</v>
      </c>
      <c r="AR183" s="106">
        <f t="shared" si="70"/>
        <v>83.020833333333329</v>
      </c>
      <c r="AS183" s="104">
        <f>('Renewable Diesel'!M192*'RD Feedstock Breakdown'!AS$3*'Feedstock Conversion Rates'!B$4)/12-150-50</f>
        <v>256.25</v>
      </c>
      <c r="AT183" s="104">
        <f>('Renewable Diesel'!M192*'RD Feedstock Breakdown'!AT$3*'Feedstock Conversion Rates'!B$5)/12+150+50</f>
        <v>200</v>
      </c>
      <c r="AU183" s="106">
        <f t="shared" si="104"/>
        <v>456.25</v>
      </c>
      <c r="AV183" s="104">
        <f>'Renewable Diesel'!N192*'RD Feedstock Breakdown'!$AV$3*'Feedstock Conversion Rates'!$B$4/12-15-10+25+25-22-17.5</f>
        <v>64.249999999999986</v>
      </c>
      <c r="AW183" s="104">
        <f>'Renewable Diesel'!N192*'RD Feedstock Breakdown'!$AW$3*'Feedstock Conversion Rates'!$B$7/12+15+10-25-25+22+17.5</f>
        <v>55.900000000000006</v>
      </c>
      <c r="AX183" s="106">
        <f t="shared" ref="AX183:AX246" si="141">SUM(AV183:AW183)</f>
        <v>120.14999999999999</v>
      </c>
      <c r="AY183" s="104">
        <f>('Renewable Diesel'!O192*'RD Feedstock Breakdown'!AY$3*'Feedstock Conversion Rates'!B$4)/12+34-100-20-262</f>
        <v>-137.0625</v>
      </c>
      <c r="AZ183" s="104">
        <f>('Renewable Diesel'!O192*'RD Feedstock Breakdown'!AZ$3*'Feedstock Conversion Rates'!B$3)/12-34+100+20+262</f>
        <v>373.03125</v>
      </c>
      <c r="BA183" s="106">
        <f t="shared" si="120"/>
        <v>235.96875</v>
      </c>
      <c r="BB183" s="104">
        <f>('Renewable Diesel'!Q192*'RD Feedstock Breakdown'!BB$3*'Feedstock Conversion Rates'!B$4)/12</f>
        <v>11.156249999999998</v>
      </c>
      <c r="BC183" s="104">
        <f>('Renewable Diesel'!Q192*'RD Feedstock Breakdown'!BC$3*'Feedstock Conversion Rates'!B$3)/12</f>
        <v>1.4017500000000001</v>
      </c>
      <c r="BD183" s="104">
        <f>('Renewable Diesel'!Q192*'RD Feedstock Breakdown'!BD$3*'Feedstock Conversion Rates'!B$6)/12</f>
        <v>0.8207500000000002</v>
      </c>
      <c r="BE183" s="106">
        <f t="shared" si="90"/>
        <v>13.378749999999998</v>
      </c>
      <c r="BF183" s="104">
        <f>('Renewable Diesel'!R192*'RD Feedstock Breakdown'!BF$3*'Feedstock Conversion Rates'!B$4)/12</f>
        <v>62.5</v>
      </c>
      <c r="BG183" s="106">
        <f t="shared" si="72"/>
        <v>62.5</v>
      </c>
      <c r="BH183" s="104">
        <f>('Renewable Diesel'!T192*'RD Feedstock Breakdown'!BH$3*'Feedstock Conversion Rates'!B$7)/12</f>
        <v>27.599999999999998</v>
      </c>
      <c r="BI183" s="106">
        <f t="shared" si="64"/>
        <v>27.599999999999998</v>
      </c>
      <c r="BJ183" s="104">
        <f>('Renewable Diesel'!W192*'RD Feedstock Breakdown'!BJ$3*'Feedstock Conversion Rates'!B$4)/12</f>
        <v>7.5</v>
      </c>
      <c r="BK183" s="104">
        <f>('Renewable Diesel'!W192*'RD Feedstock Breakdown'!BK$3*'Feedstock Conversion Rates'!B$3)/12</f>
        <v>1.335</v>
      </c>
      <c r="BL183" s="104">
        <f>('Renewable Diesel'!W192*'RD Feedstock Breakdown'!BL$3*'Feedstock Conversion Rates'!B$6)/12</f>
        <v>3.1266666666666669</v>
      </c>
      <c r="BM183" s="104">
        <f>('Renewable Diesel'!W192*'RD Feedstock Breakdown'!BM$3*'Feedstock Conversion Rates'!B$7)/12</f>
        <v>1.5333333333333332</v>
      </c>
      <c r="BN183" s="106">
        <f t="shared" si="112"/>
        <v>13.495000000000001</v>
      </c>
      <c r="BO183" s="104">
        <f>('Renewable Diesel'!P192*'Feedstock Conversion Rates'!B$4)/12</f>
        <v>31.25</v>
      </c>
      <c r="BP183" s="106">
        <f t="shared" si="102"/>
        <v>31.25</v>
      </c>
      <c r="BQ183" s="104">
        <f>('Renewable Diesel'!$S192*'RD Feedstock Breakdown'!BQ$3*'Feedstock Conversion Rates'!B$4)/12+10</f>
        <v>38.125</v>
      </c>
      <c r="BR183" s="104">
        <f>('Renewable Diesel'!$S192*'RD Feedstock Breakdown'!BR$3*'Feedstock Conversion Rates'!B$7)/12-10</f>
        <v>1.5</v>
      </c>
      <c r="BS183" s="106">
        <f t="shared" si="123"/>
        <v>39.625</v>
      </c>
      <c r="BT183" s="106"/>
      <c r="BU183" s="104">
        <f>('Renewable Diesel'!Y192*'Feedstock Conversion Rates'!B$7)/12</f>
        <v>2.6833333333333331</v>
      </c>
      <c r="BV183" s="106">
        <f t="shared" si="93"/>
        <v>2.6833333333333331</v>
      </c>
      <c r="BW183" s="104">
        <f>('Renewable Diesel'!$Z192*'RD Feedstock Breakdown'!BW$3*'Feedstock Conversion Rates'!$B$4)/12</f>
        <v>17.96875</v>
      </c>
      <c r="BX183" s="104">
        <f>('Renewable Diesel'!$Z192*'RD Feedstock Breakdown'!BX$3*'Feedstock Conversion Rates'!$B$5)/12</f>
        <v>1.8088541666666667</v>
      </c>
      <c r="BY183" s="104">
        <f>('Renewable Diesel'!$Z192*'RD Feedstock Breakdown'!BY$3*'Feedstock Conversion Rates'!$B$7)/12</f>
        <v>15.429166666666665</v>
      </c>
      <c r="BZ183" s="104">
        <f>('Renewable Diesel'!$Z192*'RD Feedstock Breakdown'!BZ$3*'Feedstock Conversion Rates'!$B$3)/12</f>
        <v>3.8381249999999998</v>
      </c>
      <c r="CA183" s="106">
        <f t="shared" si="127"/>
        <v>39.044895833333328</v>
      </c>
      <c r="CB183" s="104">
        <f>('Renewable Diesel'!AA192*'Feedstock Conversion Rates'!B$4)/12</f>
        <v>191.25</v>
      </c>
      <c r="CC183" s="106">
        <f t="shared" si="113"/>
        <v>191.25</v>
      </c>
      <c r="CD183" s="104">
        <f>('Renewable Diesel'!$AB192*'RD Feedstock Breakdown'!CD$3*'Feedstock Conversion Rates'!$B$6)/12-15</f>
        <v>17.830000000000005</v>
      </c>
      <c r="CE183" s="104">
        <f>('Renewable Diesel'!$AB192*'RD Feedstock Breakdown'!CE$3*'Feedstock Conversion Rates'!$B$4)/12+15</f>
        <v>26.25</v>
      </c>
      <c r="CF183" s="106">
        <f t="shared" si="108"/>
        <v>44.080000000000005</v>
      </c>
      <c r="CG183" s="104">
        <f>('Renewable Diesel'!AD192*'Feedstock Conversion Rates'!B$4)/12</f>
        <v>112.5</v>
      </c>
      <c r="CH183" s="106">
        <f t="shared" si="89"/>
        <v>112.5</v>
      </c>
      <c r="CI183" s="104">
        <f>('Renewable Diesel'!$AE192*'RD Feedstock Breakdown'!CI$3*'Feedstock Conversion Rates'!$B$5)/12</f>
        <v>0.34604166666666664</v>
      </c>
      <c r="CJ183" s="104">
        <f>('Renewable Diesel'!$AE192*'RD Feedstock Breakdown'!CJ$3*'Feedstock Conversion Rates'!$B$4)/12</f>
        <v>0.34375</v>
      </c>
      <c r="CK183" s="106">
        <f t="shared" si="103"/>
        <v>0.68979166666666658</v>
      </c>
      <c r="CL183" s="104">
        <f>(((CL$3*'Renewable Diesel'!$AF192)*'Feedstock Conversion Rates'!$B$3)/12)-35</f>
        <v>56.78125</v>
      </c>
      <c r="CM183" s="104">
        <f>(((CM$3*'Renewable Diesel'!$AF192)*'Feedstock Conversion Rates'!$B$6)/12)-32.5+35-50</f>
        <v>6.2395833333333357</v>
      </c>
      <c r="CN183" s="104">
        <f>(((CN$3*'Renewable Diesel'!$AF192)*'Feedstock Conversion Rates'!$B$4)/12)+32.5+50</f>
        <v>125.46875</v>
      </c>
      <c r="CO183" s="106">
        <f t="shared" si="91"/>
        <v>188.48958333333334</v>
      </c>
      <c r="CP183" s="104">
        <f>('Renewable Diesel'!$AG192*'RD Feedstock Breakdown'!CP$3*'Feedstock Conversion Rates'!$B$3)/12</f>
        <v>6.0075000000000003</v>
      </c>
      <c r="CQ183" s="104">
        <f>('Renewable Diesel'!$AG192*'RD Feedstock Breakdown'!CQ$3*'Feedstock Conversion Rates'!$B$6)/12</f>
        <v>3.5175000000000001</v>
      </c>
      <c r="CR183" s="104">
        <f>('Renewable Diesel'!$AG192*'RD Feedstock Breakdown'!CR$3*'Feedstock Conversion Rates'!$B$4)/12</f>
        <v>2.8125</v>
      </c>
      <c r="CS183" s="106">
        <f t="shared" si="134"/>
        <v>12.3375</v>
      </c>
      <c r="CT183" s="104">
        <f>('Renewable Diesel'!AI192*'Feedstock Conversion Rates'!$B$4*'RD Feedstock Breakdown'!$CT$3)/12</f>
        <v>29.375</v>
      </c>
      <c r="CU183" s="106">
        <f t="shared" si="99"/>
        <v>29.375</v>
      </c>
      <c r="CV183" s="106"/>
      <c r="CW183" s="106"/>
      <c r="CX183" s="104">
        <f>('Renewable Diesel'!AO192*'RD Feedstock Breakdown'!$CX$3*'Feedstock Conversion Rates'!$B$3)/12</f>
        <v>6.3412499999999996</v>
      </c>
      <c r="CY183" s="104">
        <f>('Renewable Diesel'!AO192*'RD Feedstock Breakdown'!$CY$3*'Feedstock Conversion Rates'!$B$6)/12</f>
        <v>7.4258333333333342</v>
      </c>
      <c r="CZ183" s="106">
        <f t="shared" si="135"/>
        <v>13.767083333333334</v>
      </c>
      <c r="DA183" s="106"/>
      <c r="DB183" s="106"/>
      <c r="DC183" s="106"/>
      <c r="DD183" s="106"/>
      <c r="DE183" s="106"/>
      <c r="DF183" s="104">
        <f>('Renewable Diesel'!AR192*'Feedstock Conversion Rates'!$B$4*$DF$3)/12</f>
        <v>75</v>
      </c>
      <c r="DG183" s="106">
        <f t="shared" si="136"/>
        <v>75</v>
      </c>
      <c r="DH183" s="106"/>
      <c r="DI183" s="106"/>
      <c r="DJ183" s="104">
        <f>('Renewable Diesel'!AT192*'Feedstock Conversion Rates'!$B$4*0.25)/12</f>
        <v>8.59375</v>
      </c>
      <c r="DK183" s="104">
        <f>('Renewable Diesel'!$AT192*'RD Feedstock Breakdown'!DK$3*'Feedstock Conversion Rates'!$B$3)/12*0.5</f>
        <v>9.1781249999999996</v>
      </c>
      <c r="DL183" s="104">
        <f>('Renewable Diesel'!$AT192*'RD Feedstock Breakdown'!$DL$3*'Feedstock Conversion Rates'!$B$6)/12</f>
        <v>10.747916666666669</v>
      </c>
      <c r="DM183" s="104">
        <f>('Renewable Diesel'!$AT192*'RD Feedstock Breakdown'!$DM$3*'Feedstock Conversion Rates'!$B$8)/12</f>
        <v>10.7421875</v>
      </c>
      <c r="DN183" s="106">
        <f t="shared" si="110"/>
        <v>39.26197916666667</v>
      </c>
      <c r="DP183" s="104">
        <f t="shared" si="73"/>
        <v>102.47024999999999</v>
      </c>
      <c r="DQ183" s="104">
        <f t="shared" si="74"/>
        <v>843.76151750000008</v>
      </c>
      <c r="DR183" s="104">
        <f t="shared" si="82"/>
        <v>1146.84375</v>
      </c>
      <c r="DS183" s="104">
        <f t="shared" si="100"/>
        <v>258.4382291666667</v>
      </c>
      <c r="DT183" s="104">
        <f t="shared" si="75"/>
        <v>424.17464999999993</v>
      </c>
      <c r="DU183" s="104">
        <f t="shared" si="76"/>
        <v>221.86860000000001</v>
      </c>
      <c r="DV183" s="104">
        <f t="shared" si="83"/>
        <v>45.924999999999997</v>
      </c>
      <c r="DW183" s="104">
        <f t="shared" si="77"/>
        <v>2.5</v>
      </c>
      <c r="DX183" s="106">
        <f t="shared" si="78"/>
        <v>3045.9819966666664</v>
      </c>
      <c r="DY183" s="109">
        <f t="shared" si="79"/>
        <v>-3.979039320256561E-13</v>
      </c>
      <c r="EA183" s="110">
        <f t="shared" si="114"/>
        <v>3.3641121356638701E-2</v>
      </c>
      <c r="EB183" s="110">
        <f t="shared" si="114"/>
        <v>0.27700804483524866</v>
      </c>
      <c r="EC183" s="110">
        <f t="shared" si="114"/>
        <v>0.37651035076866329</v>
      </c>
      <c r="ED183" s="110">
        <f t="shared" si="114"/>
        <v>8.4845619392854413E-2</v>
      </c>
      <c r="EE183" s="110">
        <f t="shared" si="114"/>
        <v>0.13925711001056157</v>
      </c>
      <c r="EF183" s="110">
        <f t="shared" si="114"/>
        <v>7.2839760787423963E-2</v>
      </c>
      <c r="EG183" s="110">
        <f t="shared" si="114"/>
        <v>1.5077239474907423E-2</v>
      </c>
      <c r="EH183" s="111">
        <f t="shared" si="84"/>
        <v>8.2075337370209175E-4</v>
      </c>
      <c r="EI183" s="110">
        <f t="shared" si="85"/>
        <v>0.99917924662629798</v>
      </c>
      <c r="EK183" s="132">
        <f>(EA183*'Renewable Diesel'!BF192*'Feedstock Conversion Rates'!B$2)+FB183</f>
        <v>84.353632201989512</v>
      </c>
      <c r="EL183" s="132">
        <f>(EB183*'Renewable Diesel'!BF192*'Feedstock Conversion Rates'!B$3)+FC183</f>
        <v>654.5446785421185</v>
      </c>
      <c r="EM183" s="132">
        <f>(EC183*'Renewable Diesel'!BF192*'Feedstock Conversion Rates'!B$4)+FD183</f>
        <v>833.01453963453457</v>
      </c>
      <c r="EN183" s="132">
        <f>(ED183*'Renewable Diesel'!BF192*'Feedstock Conversion Rates'!B$5)+FE183</f>
        <v>188.96909119182408</v>
      </c>
      <c r="EO183" s="132">
        <f>(EE183*'Renewable Diesel'!BF192*'Feedstock Conversion Rates'!B$6)+FF183</f>
        <v>385.33159022478014</v>
      </c>
      <c r="EP183" s="132">
        <f>(EF183*'Renewable Diesel'!BF192*'Feedstock Conversion Rates'!B$7)+FG183</f>
        <v>197.68364331908336</v>
      </c>
      <c r="EQ183" s="132">
        <f>(EG183*'Renewable Diesel'!BF192*'Feedstock Conversion Rates'!B$8)+FH183</f>
        <v>41.697259034541545</v>
      </c>
      <c r="ER183" s="132">
        <f>(EH183*'Renewable Diesel'!BF192*'Feedstock Conversion Rates'!B$9)+FI183</f>
        <v>2.23959148507064</v>
      </c>
      <c r="ES183" s="132">
        <f t="shared" si="86"/>
        <v>2387.8340256339425</v>
      </c>
      <c r="ET183" s="133">
        <f>ES183/'Renewable Diesel'!BF192</f>
        <v>8.0944946077701658</v>
      </c>
      <c r="EW183" s="73">
        <f t="shared" si="124"/>
        <v>1021.9836308263586</v>
      </c>
      <c r="EX183" s="73">
        <f t="shared" si="125"/>
        <v>1365.8503948075836</v>
      </c>
      <c r="EY183" s="92">
        <f t="shared" si="71"/>
        <v>0.42799609179496206</v>
      </c>
      <c r="EZ183" s="92">
        <f t="shared" si="71"/>
        <v>0.57200390820503788</v>
      </c>
      <c r="FB183" s="102">
        <f>IF('Renewable Diesel'!$BG192&lt;1,0,(((('Renewable Diesel'!$BG192-1)*'Renewable Diesel'!$BF192)*'RD Feedstock Breakdown'!EA183)*'Feedstock Conversion Rates'!$B$2))</f>
        <v>0</v>
      </c>
      <c r="FC183" s="102">
        <f>IF('Renewable Diesel'!$BG192&lt;1,0,(((('Renewable Diesel'!$BG192-1)*'Renewable Diesel'!$BF192)*'RD Feedstock Breakdown'!EB183)*'Feedstock Conversion Rates'!$B$3))</f>
        <v>0</v>
      </c>
      <c r="FD183" s="102">
        <f>IF('Renewable Diesel'!$BG192&lt;1,0,(((('Renewable Diesel'!$BG192-1)*'Renewable Diesel'!$BF192)*'RD Feedstock Breakdown'!EC183)*'Feedstock Conversion Rates'!$B$4))</f>
        <v>0</v>
      </c>
      <c r="FE183" s="102">
        <f>IF('Renewable Diesel'!$BG192&lt;1,0,(((('Renewable Diesel'!$BG192-1)*'Renewable Diesel'!$BF192)*'RD Feedstock Breakdown'!ED183)*'Feedstock Conversion Rates'!$B$5))</f>
        <v>0</v>
      </c>
      <c r="FF183" s="102">
        <f>IF('Renewable Diesel'!$BG192&lt;1,0,(((('Renewable Diesel'!$BG192-1)*'Renewable Diesel'!$BF192)*'RD Feedstock Breakdown'!EE183)*'Feedstock Conversion Rates'!$B$6))</f>
        <v>0</v>
      </c>
      <c r="FG183" s="102">
        <f>IF('Renewable Diesel'!$BG192&lt;1,0,(((('Renewable Diesel'!$BG192-1)*'Renewable Diesel'!$BF192)*'RD Feedstock Breakdown'!EF183)*'Feedstock Conversion Rates'!$B$7))</f>
        <v>0</v>
      </c>
      <c r="FH183" s="102">
        <f>IF('Renewable Diesel'!$BG192&lt;1,0,(((('Renewable Diesel'!$BG192-1)*'Renewable Diesel'!$BF192)*'RD Feedstock Breakdown'!EG183)*'Feedstock Conversion Rates'!$B$8))</f>
        <v>0</v>
      </c>
      <c r="FI183" s="102">
        <f>IF('Renewable Diesel'!$BG192&lt;1,0,(((('Renewable Diesel'!$BG192-1)*'Renewable Diesel'!$BF192)*'RD Feedstock Breakdown'!EH183)*'Feedstock Conversion Rates'!$B$9))</f>
        <v>0</v>
      </c>
      <c r="FJ183" s="102">
        <f t="shared" si="126"/>
        <v>0</v>
      </c>
      <c r="FL183" s="3">
        <f>('Renewable Diesel'!AX192/12*$FO$80)*'RD Feedstock Breakdown'!EC183*7.5</f>
        <v>1026.5732379529372</v>
      </c>
      <c r="FM183" s="3">
        <f t="shared" si="96"/>
        <v>193.55869831840266</v>
      </c>
      <c r="FR183" s="3">
        <f>('Renewable Diesel'!AX192-'Renewable Diesel'!BI192)/12*$FO$80</f>
        <v>35.759625000000007</v>
      </c>
      <c r="FS183" s="100">
        <f t="shared" si="97"/>
        <v>0.37651035076866329</v>
      </c>
      <c r="FT183" s="3">
        <f t="shared" si="98"/>
        <v>100.97901714079399</v>
      </c>
      <c r="FY183" s="3">
        <f>'Renewable Diesel'!BF192*('Renewable Diesel'!BI192/'Renewable Diesel'!AX192)</f>
        <v>265.97761923531203</v>
      </c>
      <c r="FZ183" s="3">
        <f>('Renewable Diesel'!BJ192*'Renewable Diesel'!BG192)/12</f>
        <v>29.420223181710252</v>
      </c>
      <c r="GA183" s="3">
        <f t="shared" si="105"/>
        <v>83.077639123785644</v>
      </c>
      <c r="GD183" s="91">
        <f>'Renewable Diesel'!BB192*0.32</f>
        <v>0</v>
      </c>
      <c r="GE183" s="91">
        <f>'Renewable Diesel'!BC192</f>
        <v>15.071413644033596</v>
      </c>
      <c r="GF183" s="91">
        <f>'Renewable Diesel'!BD192</f>
        <v>0</v>
      </c>
      <c r="GG183" s="91">
        <f t="shared" si="109"/>
        <v>15.071413644033596</v>
      </c>
      <c r="GH183" s="124">
        <v>1</v>
      </c>
      <c r="GI183" s="102">
        <f>$GG183*EA183*'Feedstock Conversion Rates'!$B$2</f>
        <v>4.3096636710277938</v>
      </c>
      <c r="GJ183" s="102">
        <f>$GG183*EB183*'Feedstock Conversion Rates'!$B$3</f>
        <v>33.440971639760662</v>
      </c>
      <c r="GK183" s="102">
        <f>$GG183*EC183*'Feedstock Conversion Rates'!$B$4</f>
        <v>42.559074282710306</v>
      </c>
      <c r="GL183" s="102">
        <f>$GG183*ED183*'Feedstock Conversion Rates'!$B$5</f>
        <v>9.6545128644423031</v>
      </c>
      <c r="GM183" s="102">
        <f>$GG183*EE183*'Feedstock Conversion Rates'!$B$6</f>
        <v>19.686758143556695</v>
      </c>
      <c r="GN183" s="102">
        <f>$GG183*EF183*'Feedstock Conversion Rates'!$B$7</f>
        <v>10.099743113949467</v>
      </c>
      <c r="GO183" s="102">
        <f>$GG183*EG183*'Feedstock Conversion Rates'!$B$8</f>
        <v>2.1303310569045157</v>
      </c>
      <c r="GP183" s="102">
        <f>$GG183*EH183*'Feedstock Conversion Rates'!B$9</f>
        <v>0.11442170075190287</v>
      </c>
      <c r="GQ183" s="102">
        <f t="shared" si="87"/>
        <v>121.99547647310362</v>
      </c>
      <c r="GR183" s="85">
        <f t="shared" si="107"/>
        <v>8.0944946077701641</v>
      </c>
      <c r="GT183" s="103">
        <f t="shared" si="111"/>
        <v>3.5326421893830999E-2</v>
      </c>
      <c r="GU183" s="103">
        <f t="shared" si="111"/>
        <v>0.274116488631719</v>
      </c>
      <c r="GV183" s="103">
        <f t="shared" si="111"/>
        <v>0.34885780615065098</v>
      </c>
      <c r="GW183" s="103">
        <f t="shared" si="111"/>
        <v>7.9138285644311038E-2</v>
      </c>
      <c r="GX183" s="103">
        <f t="shared" si="111"/>
        <v>0.16137285342622548</v>
      </c>
      <c r="GY183" s="103">
        <f t="shared" si="111"/>
        <v>8.27878492378048E-2</v>
      </c>
      <c r="GZ183" s="103">
        <f t="shared" si="111"/>
        <v>1.7462377446217772E-2</v>
      </c>
      <c r="HA183" s="103">
        <f t="shared" si="111"/>
        <v>9.3791756923978587E-4</v>
      </c>
    </row>
    <row r="184" spans="1:209" x14ac:dyDescent="0.25">
      <c r="A184" s="96">
        <v>46023</v>
      </c>
      <c r="B184" s="104">
        <f>23-20+10+85-5-4-4-1.25+2.25-5+15-6-25-45+65+15-22.5-50+40+16.5+27.5+168+80+14-30+15-50-19+22.5-10+5+11-25-50-12.5-27.5-10+10+2+4-1.5+12-26-15-50-15+10-32.5-3-5-2.5-1+5+10-50-35-9-0.5+25+15+25+20+15+85-25+12.5-52.5+10+20-150+20-20+55-25-25+20+15+50</f>
        <v>90</v>
      </c>
      <c r="C184" s="104">
        <f>40-10-2.5-27.5+25+25+25-70+120-15-100-10+20+50</f>
        <v>70</v>
      </c>
      <c r="D184" s="104">
        <f t="shared" si="95"/>
        <v>1.5</v>
      </c>
      <c r="E184" s="104">
        <f>('Renewable Diesel'!B193*E$3*'Feedstock Conversion Rates'!$B$2)/12-40+1.25+6-43+30-15+12.5-4+1.5+26+2.5+3-10+50+9-15-25-55+15+45+10-50+60-60</f>
        <v>44.679999999999993</v>
      </c>
      <c r="F184" s="104">
        <f>('Renewable Diesel'!B193*'RD Feedstock Breakdown'!F$3*'Feedstock Conversion Rates'!B$8)/12+28.5-49-5+2-6+1+6+20-20-3.75+10+2.5+5-20-20</f>
        <v>5.15625</v>
      </c>
      <c r="G184" s="104">
        <f>('Renewable Diesel'!B193*'RD Feedstock Breakdown'!G$3*'Feedstock Conversion Rates'!B$7)/12-25-15-25+4+4-20-40-20+10-17.5+20+50-12+32.5+35-75-75+22.5+5-20+15+125-10-45-10-40-40</f>
        <v>9.6570000000000107</v>
      </c>
      <c r="H184" s="104">
        <f>('Renewable Diesel'!B193*'RD Feedstock Breakdown'!H$3*'Feedstock Conversion Rates'!B$3)/12-85+4-15+70-65-80+50-22.5-5+25+27.5+15+50+15-10+5+50+75-5-25-85-12.5+30+22.5-25-30+150+90-120+25+10+70-100-50</f>
        <v>225.40022499999998</v>
      </c>
      <c r="I184" s="106">
        <f t="shared" si="106"/>
        <v>446.39347499999997</v>
      </c>
      <c r="J184" s="104">
        <f>2+10+12+15-6-20-5-5+7+105+30+87+5-10-5-25-27.5+1-1-15-17.5-6-10-77.5-7.5-1+17.5+15+90+2+2.5+2.5+7.5+27.5-32-11-25+5-50-30+50</f>
        <v>106.5</v>
      </c>
      <c r="K184" s="104">
        <f t="shared" si="139"/>
        <v>0</v>
      </c>
      <c r="L184" s="104">
        <v>1</v>
      </c>
      <c r="M184" s="104">
        <f>('Renewable Diesel'!C193*'RD Feedstock Breakdown'!M$3*'Feedstock Conversion Rates'!B$2)/12</f>
        <v>7.7902500000000003</v>
      </c>
      <c r="N184" s="104">
        <f>('Renewable Diesel'!C193*'RD Feedstock Breakdown'!N$3*'Feedstock Conversion Rates'!B$8)/12</f>
        <v>3.671875</v>
      </c>
      <c r="O184" s="104">
        <f>('Renewable Diesel'!C193*'RD Feedstock Breakdown'!O$3*'Feedstock Conversion Rates'!B$7)/12</f>
        <v>11.9991</v>
      </c>
      <c r="P184" s="104">
        <f>('Renewable Diesel'!C193*'RD Feedstock Breakdown'!P$3*'Feedstock Conversion Rates'!B$3)/12</f>
        <v>10.4470425</v>
      </c>
      <c r="Q184" s="106">
        <f t="shared" si="119"/>
        <v>141.40826750000002</v>
      </c>
      <c r="R184" s="104">
        <f>('Renewable Diesel'!D193*'RD Feedstock Breakdown'!R$3*'Feedstock Conversion Rates'!B$7)/12</f>
        <v>2.2999999999999998</v>
      </c>
      <c r="S184" s="106">
        <f t="shared" si="67"/>
        <v>2.2999999999999998</v>
      </c>
      <c r="T184" s="104">
        <f t="shared" si="138"/>
        <v>0.82499999999999929</v>
      </c>
      <c r="U184" s="104">
        <v>0</v>
      </c>
      <c r="V184" s="104">
        <f>('Renewable Diesel'!E193*'RD Feedstock Breakdown'!V$3*'Feedstock Conversion Rates'!B$6)/12-20+25</f>
        <v>49.250150000000012</v>
      </c>
      <c r="W184" s="104">
        <f>('Renewable Diesel'!E193*'RD Feedstock Breakdown'!W$3*'Feedstock Conversion Rates'!B$8)/12-5.825</f>
        <v>16.354687500000001</v>
      </c>
      <c r="X184" s="106">
        <f t="shared" si="88"/>
        <v>66.429837500000005</v>
      </c>
      <c r="Y184" s="104">
        <f t="shared" si="140"/>
        <v>0.5</v>
      </c>
      <c r="Z184" s="104">
        <f>('Renewable Diesel'!F193*'RD Feedstock Breakdown'!Z$3*'Feedstock Conversion Rates'!B$6)/12-50-32-60+15+30+22.5-15-25-20+20-10+5+100+30</f>
        <v>169.96</v>
      </c>
      <c r="AA184" s="104">
        <f>('Renewable Diesel'!F193*'RD Feedstock Breakdown'!AA$3*'Feedstock Conversion Rates'!B$7)/12+80-171+75+50+20-65</f>
        <v>93.266666666666652</v>
      </c>
      <c r="AB184" s="106">
        <f t="shared" si="137"/>
        <v>263.72666666666669</v>
      </c>
      <c r="AC184" s="104">
        <f>('Renewable Diesel'!G193*'RD Feedstock Breakdown'!AC$3*'Feedstock Conversion Rates'!B$5)/12</f>
        <v>7.864583333333333</v>
      </c>
      <c r="AD184" s="104">
        <f>('Renewable Diesel'!G193*'RD Feedstock Breakdown'!AD$3*'Feedstock Conversion Rates'!B$4)/12</f>
        <v>3.90625</v>
      </c>
      <c r="AE184" s="104">
        <f>('Renewable Diesel'!G193*'RD Feedstock Breakdown'!AE$3*'Feedstock Conversion Rates'!B$6)/12</f>
        <v>4.885416666666667</v>
      </c>
      <c r="AF184" s="106">
        <f t="shared" si="101"/>
        <v>16.65625</v>
      </c>
      <c r="AG184" s="104">
        <f t="shared" si="131"/>
        <v>39</v>
      </c>
      <c r="AH184" s="104">
        <v>0</v>
      </c>
      <c r="AI184" s="104">
        <f>('Renewable Diesel'!H193*'RD Feedstock Breakdown'!AI$3*'Feedstock Conversion Rates'!B$6)/12-130-20+51+5-100-25+100-10-25+15+22.5-22.5+100</f>
        <v>109.51666666666668</v>
      </c>
      <c r="AJ184" s="106">
        <f t="shared" si="65"/>
        <v>148.51666666666668</v>
      </c>
      <c r="AK184" s="104">
        <f>('Renewable Diesel'!J193*'RD Feedstock Breakdown'!AK$3*'Feedstock Conversion Rates'!B$4)/12</f>
        <v>95.8125</v>
      </c>
      <c r="AL184" s="106">
        <f t="shared" si="68"/>
        <v>95.8125</v>
      </c>
      <c r="AM184" s="104">
        <f>('Renewable Diesel'!K193*'RD Feedstock Breakdown'!AM$3*'Feedstock Conversion Rates'!B$4)/12+5+15-10+4-25</f>
        <v>47.59375</v>
      </c>
      <c r="AN184" s="104">
        <f>('Renewable Diesel'!K193*'RD Feedstock Breakdown'!AN$3*'Feedstock Conversion Rates'!B$6)/12-5-15+10-4+25</f>
        <v>35.427083333333329</v>
      </c>
      <c r="AO184" s="106">
        <f t="shared" si="81"/>
        <v>83.020833333333329</v>
      </c>
      <c r="AP184" s="104">
        <f>('Renewable Diesel'!L193*'RD Feedstock Breakdown'!AP$3*'Feedstock Conversion Rates'!B$4)/12+15-10+14</f>
        <v>77.59375</v>
      </c>
      <c r="AQ184" s="104">
        <f>('Renewable Diesel'!L193*'RD Feedstock Breakdown'!AQ$3*'Feedstock Conversion Rates'!B$6)/12-15+10-14</f>
        <v>5.4270833333333321</v>
      </c>
      <c r="AR184" s="106">
        <f t="shared" si="70"/>
        <v>83.020833333333329</v>
      </c>
      <c r="AS184" s="104">
        <f>('Renewable Diesel'!M193*'RD Feedstock Breakdown'!AS$3*'Feedstock Conversion Rates'!B$4)/12-150-50</f>
        <v>256.25</v>
      </c>
      <c r="AT184" s="104">
        <f>('Renewable Diesel'!M193*'RD Feedstock Breakdown'!AT$3*'Feedstock Conversion Rates'!B$5)/12+150+50</f>
        <v>200</v>
      </c>
      <c r="AU184" s="106">
        <f t="shared" si="104"/>
        <v>456.25</v>
      </c>
      <c r="AV184" s="104">
        <f>'Renewable Diesel'!N193*'RD Feedstock Breakdown'!$AV$3*'Feedstock Conversion Rates'!$B$4/12-15-10+25+25-22-17.5</f>
        <v>64.249999999999986</v>
      </c>
      <c r="AW184" s="104">
        <f>'Renewable Diesel'!N193*'RD Feedstock Breakdown'!$AW$3*'Feedstock Conversion Rates'!$B$7/12+15+10-25-25+22+17.5</f>
        <v>55.900000000000006</v>
      </c>
      <c r="AX184" s="106">
        <f t="shared" si="141"/>
        <v>120.14999999999999</v>
      </c>
      <c r="AY184" s="104">
        <f>('Renewable Diesel'!O193*'RD Feedstock Breakdown'!AY$3*'Feedstock Conversion Rates'!B$4)/12+34-100-20-262</f>
        <v>-137.0625</v>
      </c>
      <c r="AZ184" s="104">
        <f>('Renewable Diesel'!O193*'RD Feedstock Breakdown'!AZ$3*'Feedstock Conversion Rates'!B$3)/12-34+100+20+262</f>
        <v>373.03125</v>
      </c>
      <c r="BA184" s="106">
        <f t="shared" si="120"/>
        <v>235.96875</v>
      </c>
      <c r="BB184" s="104">
        <f>('Renewable Diesel'!Q193*'RD Feedstock Breakdown'!BB$3*'Feedstock Conversion Rates'!B$4)/12</f>
        <v>11.156249999999998</v>
      </c>
      <c r="BC184" s="104">
        <f>('Renewable Diesel'!Q193*'RD Feedstock Breakdown'!BC$3*'Feedstock Conversion Rates'!B$3)/12</f>
        <v>1.4017500000000001</v>
      </c>
      <c r="BD184" s="104">
        <f>('Renewable Diesel'!Q193*'RD Feedstock Breakdown'!BD$3*'Feedstock Conversion Rates'!B$6)/12</f>
        <v>0.8207500000000002</v>
      </c>
      <c r="BE184" s="106">
        <f t="shared" si="90"/>
        <v>13.378749999999998</v>
      </c>
      <c r="BF184" s="104">
        <f>('Renewable Diesel'!R193*'RD Feedstock Breakdown'!BF$3*'Feedstock Conversion Rates'!B$4)/12</f>
        <v>62.5</v>
      </c>
      <c r="BG184" s="106">
        <f t="shared" si="72"/>
        <v>62.5</v>
      </c>
      <c r="BH184" s="104">
        <f>('Renewable Diesel'!T193*'RD Feedstock Breakdown'!BH$3*'Feedstock Conversion Rates'!B$7)/12</f>
        <v>27.599999999999998</v>
      </c>
      <c r="BI184" s="106">
        <f t="shared" si="64"/>
        <v>27.599999999999998</v>
      </c>
      <c r="BJ184" s="104">
        <f>('Renewable Diesel'!W193*'RD Feedstock Breakdown'!BJ$3*'Feedstock Conversion Rates'!B$4)/12</f>
        <v>7.5</v>
      </c>
      <c r="BK184" s="104">
        <f>('Renewable Diesel'!W193*'RD Feedstock Breakdown'!BK$3*'Feedstock Conversion Rates'!B$3)/12</f>
        <v>1.335</v>
      </c>
      <c r="BL184" s="104">
        <f>('Renewable Diesel'!W193*'RD Feedstock Breakdown'!BL$3*'Feedstock Conversion Rates'!B$6)/12</f>
        <v>3.1266666666666669</v>
      </c>
      <c r="BM184" s="104">
        <f>('Renewable Diesel'!W193*'RD Feedstock Breakdown'!BM$3*'Feedstock Conversion Rates'!B$7)/12</f>
        <v>1.5333333333333332</v>
      </c>
      <c r="BN184" s="106">
        <f t="shared" si="112"/>
        <v>13.495000000000001</v>
      </c>
      <c r="BO184" s="104">
        <f>('Renewable Diesel'!P193*'Feedstock Conversion Rates'!B$4)/12</f>
        <v>31.25</v>
      </c>
      <c r="BP184" s="106">
        <f t="shared" si="102"/>
        <v>31.25</v>
      </c>
      <c r="BQ184" s="104">
        <f>('Renewable Diesel'!$S193*'RD Feedstock Breakdown'!BQ$3*'Feedstock Conversion Rates'!B$4)/12+10</f>
        <v>38.125</v>
      </c>
      <c r="BR184" s="104">
        <f>('Renewable Diesel'!$S193*'RD Feedstock Breakdown'!BR$3*'Feedstock Conversion Rates'!B$7)/12-10</f>
        <v>1.5</v>
      </c>
      <c r="BS184" s="106">
        <f t="shared" si="123"/>
        <v>39.625</v>
      </c>
      <c r="BT184" s="106"/>
      <c r="BU184" s="104">
        <f>('Renewable Diesel'!Y193*'Feedstock Conversion Rates'!B$7)/12</f>
        <v>2.6833333333333331</v>
      </c>
      <c r="BV184" s="106">
        <f t="shared" si="93"/>
        <v>2.6833333333333331</v>
      </c>
      <c r="BW184" s="104">
        <f>('Renewable Diesel'!$Z193*'RD Feedstock Breakdown'!BW$3*'Feedstock Conversion Rates'!$B$4)/12</f>
        <v>17.96875</v>
      </c>
      <c r="BX184" s="104">
        <f>('Renewable Diesel'!$Z193*'RD Feedstock Breakdown'!BX$3*'Feedstock Conversion Rates'!$B$5)/12</f>
        <v>1.8088541666666667</v>
      </c>
      <c r="BY184" s="104">
        <f>('Renewable Diesel'!$Z193*'RD Feedstock Breakdown'!BY$3*'Feedstock Conversion Rates'!$B$7)/12</f>
        <v>15.429166666666665</v>
      </c>
      <c r="BZ184" s="104">
        <f>('Renewable Diesel'!$Z193*'RD Feedstock Breakdown'!BZ$3*'Feedstock Conversion Rates'!$B$3)/12</f>
        <v>3.8381249999999998</v>
      </c>
      <c r="CA184" s="106">
        <f t="shared" si="127"/>
        <v>39.044895833333328</v>
      </c>
      <c r="CB184" s="104">
        <f>('Renewable Diesel'!AA193*'Feedstock Conversion Rates'!B$4)/12</f>
        <v>191.25</v>
      </c>
      <c r="CC184" s="106">
        <f t="shared" si="113"/>
        <v>191.25</v>
      </c>
      <c r="CD184" s="104">
        <f>('Renewable Diesel'!$AB193*'RD Feedstock Breakdown'!CD$3*'Feedstock Conversion Rates'!$B$6)/12-15</f>
        <v>17.830000000000005</v>
      </c>
      <c r="CE184" s="104">
        <f>('Renewable Diesel'!$AB193*'RD Feedstock Breakdown'!CE$3*'Feedstock Conversion Rates'!$B$4)/12+15</f>
        <v>26.25</v>
      </c>
      <c r="CF184" s="106">
        <f t="shared" si="108"/>
        <v>44.080000000000005</v>
      </c>
      <c r="CG184" s="104">
        <f>('Renewable Diesel'!AD193*'Feedstock Conversion Rates'!B$4)/12</f>
        <v>112.5</v>
      </c>
      <c r="CH184" s="106">
        <f t="shared" si="89"/>
        <v>112.5</v>
      </c>
      <c r="CI184" s="104">
        <f>('Renewable Diesel'!$AE193*'RD Feedstock Breakdown'!CI$3*'Feedstock Conversion Rates'!$B$5)/12</f>
        <v>0.34604166666666664</v>
      </c>
      <c r="CJ184" s="104">
        <f>('Renewable Diesel'!$AE193*'RD Feedstock Breakdown'!CJ$3*'Feedstock Conversion Rates'!$B$4)/12</f>
        <v>0.34375</v>
      </c>
      <c r="CK184" s="106">
        <f t="shared" si="103"/>
        <v>0.68979166666666658</v>
      </c>
      <c r="CL184" s="104">
        <f>(((CL$3*'Renewable Diesel'!$AF193)*'Feedstock Conversion Rates'!$B$3)/12)-35</f>
        <v>56.78125</v>
      </c>
      <c r="CM184" s="104">
        <f>(((CM$3*'Renewable Diesel'!$AF193)*'Feedstock Conversion Rates'!$B$6)/12)-32.5+35-50</f>
        <v>6.2395833333333357</v>
      </c>
      <c r="CN184" s="104">
        <f>(((CN$3*'Renewable Diesel'!$AF193)*'Feedstock Conversion Rates'!$B$4)/12)+32.5+50</f>
        <v>125.46875</v>
      </c>
      <c r="CO184" s="106">
        <f t="shared" si="91"/>
        <v>188.48958333333334</v>
      </c>
      <c r="CP184" s="104">
        <f>('Renewable Diesel'!$AG193*'RD Feedstock Breakdown'!CP$3*'Feedstock Conversion Rates'!$B$3)/12</f>
        <v>6.0075000000000003</v>
      </c>
      <c r="CQ184" s="104">
        <f>('Renewable Diesel'!$AG193*'RD Feedstock Breakdown'!CQ$3*'Feedstock Conversion Rates'!$B$6)/12</f>
        <v>3.5175000000000001</v>
      </c>
      <c r="CR184" s="104">
        <f>('Renewable Diesel'!$AG193*'RD Feedstock Breakdown'!CR$3*'Feedstock Conversion Rates'!$B$4)/12</f>
        <v>2.8125</v>
      </c>
      <c r="CS184" s="106">
        <f t="shared" si="134"/>
        <v>12.3375</v>
      </c>
      <c r="CT184" s="104">
        <f>('Renewable Diesel'!AI193*'Feedstock Conversion Rates'!$B$4*'RD Feedstock Breakdown'!$CT$3)/12</f>
        <v>29.375</v>
      </c>
      <c r="CU184" s="106">
        <f t="shared" si="99"/>
        <v>29.375</v>
      </c>
      <c r="CV184" s="106"/>
      <c r="CW184" s="106"/>
      <c r="CX184" s="104">
        <f>('Renewable Diesel'!AO193*'RD Feedstock Breakdown'!$CX$3*'Feedstock Conversion Rates'!$B$3)/12</f>
        <v>6.3412499999999996</v>
      </c>
      <c r="CY184" s="104">
        <f>('Renewable Diesel'!AO193*'RD Feedstock Breakdown'!$CY$3*'Feedstock Conversion Rates'!$B$6)/12</f>
        <v>7.4258333333333342</v>
      </c>
      <c r="CZ184" s="106">
        <f t="shared" si="135"/>
        <v>13.767083333333334</v>
      </c>
      <c r="DA184" s="106"/>
      <c r="DB184" s="106"/>
      <c r="DC184" s="106"/>
      <c r="DD184" s="106"/>
      <c r="DE184" s="106"/>
      <c r="DF184" s="104">
        <f>('Renewable Diesel'!AR193*'Feedstock Conversion Rates'!$B$4*$DF$3)/12</f>
        <v>75</v>
      </c>
      <c r="DG184" s="106">
        <f t="shared" si="136"/>
        <v>75</v>
      </c>
      <c r="DH184" s="104">
        <f>('Renewable Diesel'!AS193*'Feedstock Conversion Rates'!$B$4*$DH$3)/12</f>
        <v>37.5</v>
      </c>
      <c r="DI184" s="106">
        <f>DH184</f>
        <v>37.5</v>
      </c>
      <c r="DJ184" s="104">
        <f>('Renewable Diesel'!AT193*'Feedstock Conversion Rates'!$B$4*0.25)/12</f>
        <v>8.59375</v>
      </c>
      <c r="DK184" s="104">
        <f>('Renewable Diesel'!$AT193*'RD Feedstock Breakdown'!DK$3*'Feedstock Conversion Rates'!$B$3)/12*0.5</f>
        <v>9.1781249999999996</v>
      </c>
      <c r="DL184" s="104">
        <f>('Renewable Diesel'!$AT193*'RD Feedstock Breakdown'!$DL$3*'Feedstock Conversion Rates'!$B$6)/12</f>
        <v>10.747916666666669</v>
      </c>
      <c r="DM184" s="104">
        <f>('Renewable Diesel'!$AT193*'RD Feedstock Breakdown'!$DM$3*'Feedstock Conversion Rates'!$B$8)/12</f>
        <v>10.7421875</v>
      </c>
      <c r="DN184" s="106">
        <f t="shared" si="110"/>
        <v>39.26197916666667</v>
      </c>
      <c r="DP184" s="104">
        <f t="shared" si="73"/>
        <v>52.470249999999993</v>
      </c>
      <c r="DQ184" s="104">
        <f t="shared" si="74"/>
        <v>693.76151750000008</v>
      </c>
      <c r="DR184" s="104">
        <f t="shared" si="82"/>
        <v>1374.34375</v>
      </c>
      <c r="DS184" s="104">
        <f t="shared" si="100"/>
        <v>328.43822916666664</v>
      </c>
      <c r="DT184" s="104">
        <f t="shared" si="75"/>
        <v>424.17464999999993</v>
      </c>
      <c r="DU184" s="104">
        <f t="shared" si="76"/>
        <v>221.86860000000001</v>
      </c>
      <c r="DV184" s="104">
        <f t="shared" si="83"/>
        <v>35.924999999999997</v>
      </c>
      <c r="DW184" s="104">
        <f t="shared" si="77"/>
        <v>2.5</v>
      </c>
      <c r="DX184" s="106">
        <f t="shared" si="78"/>
        <v>3133.4819966666664</v>
      </c>
      <c r="DY184" s="109">
        <f t="shared" si="79"/>
        <v>5.6843418860808015E-14</v>
      </c>
      <c r="EA184" s="110">
        <f t="shared" si="114"/>
        <v>1.6745029987667637E-2</v>
      </c>
      <c r="EB184" s="110">
        <f t="shared" si="114"/>
        <v>0.22140274564781584</v>
      </c>
      <c r="EC184" s="110">
        <f t="shared" si="114"/>
        <v>0.43859953606307572</v>
      </c>
      <c r="ED184" s="110">
        <f t="shared" si="114"/>
        <v>0.10481573837540872</v>
      </c>
      <c r="EE184" s="110">
        <f t="shared" si="114"/>
        <v>0.13536846564021374</v>
      </c>
      <c r="EF184" s="110">
        <f t="shared" si="114"/>
        <v>7.0805768227173244E-2</v>
      </c>
      <c r="EG184" s="110">
        <f t="shared" si="114"/>
        <v>1.1464881572071029E-2</v>
      </c>
      <c r="EH184" s="111">
        <f t="shared" si="84"/>
        <v>7.9783448657418435E-4</v>
      </c>
      <c r="EI184" s="110">
        <f t="shared" si="85"/>
        <v>0.99920216551342589</v>
      </c>
      <c r="EK184" s="132">
        <f>(EA184*'Renewable Diesel'!BF193*'Feedstock Conversion Rates'!B$2)+FB184</f>
        <v>27.222083355177887</v>
      </c>
      <c r="EL184" s="132">
        <f>(EB184*'Renewable Diesel'!BF193*'Feedstock Conversion Rates'!B$3)+FC184</f>
        <v>339.18139540154579</v>
      </c>
      <c r="EM184" s="132">
        <f>(EC184*'Renewable Diesel'!BF193*'Feedstock Conversion Rates'!B$4)+FD184</f>
        <v>629.13802618964928</v>
      </c>
      <c r="EN184" s="132">
        <f>(ED184*'Renewable Diesel'!BF193*'Feedstock Conversion Rates'!B$5)+FE184</f>
        <v>151.35262369255236</v>
      </c>
      <c r="EO184" s="132">
        <f>(EE184*'Renewable Diesel'!BF193*'Feedstock Conversion Rates'!B$6)+FF184</f>
        <v>242.84929602017718</v>
      </c>
      <c r="EP184" s="132">
        <f>(EF184*'Renewable Diesel'!BF193*'Feedstock Conversion Rates'!B$7)+FG184</f>
        <v>124.58706950742993</v>
      </c>
      <c r="EQ184" s="132">
        <f>(EG184*'Renewable Diesel'!BF193*'Feedstock Conversion Rates'!B$8)+FH184</f>
        <v>20.556887233327856</v>
      </c>
      <c r="ER184" s="132">
        <f>(EH184*'Renewable Diesel'!BF193*'Feedstock Conversion Rates'!B$9)+FI184</f>
        <v>1.4114680169485143</v>
      </c>
      <c r="ES184" s="132">
        <f t="shared" si="86"/>
        <v>1536.2988494168089</v>
      </c>
      <c r="ET184" s="133">
        <f>ES184/'Renewable Diesel'!BF193</f>
        <v>8.032656601875761</v>
      </c>
      <c r="EW184" s="73">
        <f t="shared" si="124"/>
        <v>780.49064988220164</v>
      </c>
      <c r="EX184" s="73">
        <f t="shared" si="125"/>
        <v>755.80819953460718</v>
      </c>
      <c r="EY184" s="92">
        <f t="shared" si="71"/>
        <v>0.50803308886059639</v>
      </c>
      <c r="EZ184" s="92">
        <f t="shared" si="71"/>
        <v>0.49196691113940355</v>
      </c>
      <c r="FB184" s="102">
        <f>IF('Renewable Diesel'!$BG193&lt;1,0,(((('Renewable Diesel'!$BG193-1)*'Renewable Diesel'!$BF193)*'RD Feedstock Breakdown'!EA184)*'Feedstock Conversion Rates'!$B$2))</f>
        <v>0</v>
      </c>
      <c r="FC184" s="102">
        <f>IF('Renewable Diesel'!$BG193&lt;1,0,(((('Renewable Diesel'!$BG193-1)*'Renewable Diesel'!$BF193)*'RD Feedstock Breakdown'!EB184)*'Feedstock Conversion Rates'!$B$3))</f>
        <v>0</v>
      </c>
      <c r="FD184" s="102">
        <f>IF('Renewable Diesel'!$BG193&lt;1,0,(((('Renewable Diesel'!$BG193-1)*'Renewable Diesel'!$BF193)*'RD Feedstock Breakdown'!EC184)*'Feedstock Conversion Rates'!$B$4))</f>
        <v>0</v>
      </c>
      <c r="FE184" s="102">
        <f>IF('Renewable Diesel'!$BG193&lt;1,0,(((('Renewable Diesel'!$BG193-1)*'Renewable Diesel'!$BF193)*'RD Feedstock Breakdown'!ED184)*'Feedstock Conversion Rates'!$B$5))</f>
        <v>0</v>
      </c>
      <c r="FF184" s="102">
        <f>IF('Renewable Diesel'!$BG193&lt;1,0,(((('Renewable Diesel'!$BG193-1)*'Renewable Diesel'!$BF193)*'RD Feedstock Breakdown'!EE184)*'Feedstock Conversion Rates'!$B$6))</f>
        <v>0</v>
      </c>
      <c r="FG184" s="102">
        <f>IF('Renewable Diesel'!$BG193&lt;1,0,(((('Renewable Diesel'!$BG193-1)*'Renewable Diesel'!$BF193)*'RD Feedstock Breakdown'!EF184)*'Feedstock Conversion Rates'!$B$7))</f>
        <v>0</v>
      </c>
      <c r="FH184" s="102">
        <f>IF('Renewable Diesel'!$BG193&lt;1,0,(((('Renewable Diesel'!$BG193-1)*'Renewable Diesel'!$BF193)*'RD Feedstock Breakdown'!EG184)*'Feedstock Conversion Rates'!$B$8))</f>
        <v>0</v>
      </c>
      <c r="FI184" s="102">
        <f>IF('Renewable Diesel'!$BG193&lt;1,0,(((('Renewable Diesel'!$BG193-1)*'Renewable Diesel'!$BF193)*'RD Feedstock Breakdown'!EH184)*'Feedstock Conversion Rates'!$B$9))</f>
        <v>0</v>
      </c>
      <c r="FJ184" s="102">
        <f t="shared" si="126"/>
        <v>0</v>
      </c>
      <c r="FL184" s="3">
        <f>('Renewable Diesel'!AX193/12*$FO$80)*'RD Feedstock Breakdown'!EC184*7.5</f>
        <v>1210.6650658337126</v>
      </c>
      <c r="FM184" s="3">
        <f t="shared" si="96"/>
        <v>581.52703964406328</v>
      </c>
      <c r="FR184" s="3">
        <f>('Renewable Diesel'!AX193-'Renewable Diesel'!BI193)/12*$FO$80</f>
        <v>40.259625000000007</v>
      </c>
      <c r="FS184" s="100">
        <f t="shared" si="97"/>
        <v>0.43859953606307572</v>
      </c>
      <c r="FT184" s="3">
        <f t="shared" si="98"/>
        <v>132.43389635305056</v>
      </c>
      <c r="FY184" s="3">
        <f>'Renewable Diesel'!BF193*('Renewable Diesel'!BI193/'Renewable Diesel'!AX193)</f>
        <v>170.33518852089171</v>
      </c>
      <c r="FZ184" s="3">
        <f>('Renewable Diesel'!BJ193*'Renewable Diesel'!BG193)/12</f>
        <v>20.527760614143922</v>
      </c>
      <c r="GA184" s="3">
        <f t="shared" si="105"/>
        <v>67.525997113330519</v>
      </c>
      <c r="GD184" s="91">
        <f>'Renewable Diesel'!BB193*0.32</f>
        <v>0</v>
      </c>
      <c r="GE184" s="91">
        <f>'Renewable Diesel'!BC193</f>
        <v>23.89312617964994</v>
      </c>
      <c r="GF184" s="91">
        <f>'Renewable Diesel'!BD193</f>
        <v>0</v>
      </c>
      <c r="GG184" s="91">
        <f t="shared" si="109"/>
        <v>23.89312617964994</v>
      </c>
      <c r="GH184" s="124">
        <v>1</v>
      </c>
      <c r="GI184" s="102">
        <f>$GG184*EA184*'Feedstock Conversion Rates'!$B$2</f>
        <v>3.4007744722076021</v>
      </c>
      <c r="GJ184" s="102">
        <f>$GG184*EB184*'Feedstock Conversion Rates'!$B$3</f>
        <v>42.372929943656487</v>
      </c>
      <c r="GK184" s="102">
        <f>$GG184*EC184*'Feedstock Conversion Rates'!$B$4</f>
        <v>78.596355431182445</v>
      </c>
      <c r="GL184" s="102">
        <f>$GG184*ED184*'Feedstock Conversion Rates'!$B$5</f>
        <v>18.908036252756968</v>
      </c>
      <c r="GM184" s="102">
        <f>$GG184*EE184*'Feedstock Conversion Rates'!$B$6</f>
        <v>30.33844528809426</v>
      </c>
      <c r="GN184" s="102">
        <f>$GG184*EF184*'Feedstock Conversion Rates'!$B$7</f>
        <v>15.56429462138987</v>
      </c>
      <c r="GO184" s="102">
        <f>$GG184*EG184*'Feedstock Conversion Rates'!$B$8</f>
        <v>2.5681112065897169</v>
      </c>
      <c r="GP184" s="102">
        <f>$GG184*EH184*'Feedstock Conversion Rates'!B$9</f>
        <v>0.17633053053828721</v>
      </c>
      <c r="GQ184" s="102">
        <f t="shared" si="87"/>
        <v>191.92527774641562</v>
      </c>
      <c r="GR184" s="85">
        <f t="shared" si="107"/>
        <v>8.0326566018757593</v>
      </c>
      <c r="GT184" s="103">
        <f t="shared" si="111"/>
        <v>1.771926299724276E-2</v>
      </c>
      <c r="GU184" s="103">
        <f t="shared" si="111"/>
        <v>0.22077826558960306</v>
      </c>
      <c r="GV184" s="103">
        <f t="shared" si="111"/>
        <v>0.40951539241761137</v>
      </c>
      <c r="GW184" s="103">
        <f t="shared" si="111"/>
        <v>9.8517696442985039E-2</v>
      </c>
      <c r="GX184" s="103">
        <f t="shared" si="111"/>
        <v>0.15807425496176392</v>
      </c>
      <c r="GY184" s="103">
        <f t="shared" si="111"/>
        <v>8.1095595140700763E-2</v>
      </c>
      <c r="GZ184" s="103">
        <f t="shared" si="111"/>
        <v>1.3380786714206947E-2</v>
      </c>
      <c r="HA184" s="103">
        <f t="shared" si="111"/>
        <v>9.1874573588616483E-4</v>
      </c>
    </row>
    <row r="185" spans="1:209" x14ac:dyDescent="0.25">
      <c r="A185" s="96">
        <v>46054</v>
      </c>
      <c r="B185" s="104">
        <f>23-20+10+85-5-4-4-1.25+2.25-5+15-6-25-45+65+15-22.5-50+40+16.5+27.5+168+80+14-30+15-50-19+22.5-10+5+11-25-50-12.5-27.5-10+10+2+4-1.5+12-26-15-50-15+10-32.5-3-5-2.5-1+5+10-50-35-9-0.5+25+15+25+20+15+85-25+12.5-52.5+10+20-150+20-20+55-25-25+20+15+50</f>
        <v>90</v>
      </c>
      <c r="C185" s="104">
        <f>40-10-2.5-27.5+25+25+25-70+120-15-100-10+20+50</f>
        <v>70</v>
      </c>
      <c r="D185" s="104">
        <f t="shared" si="95"/>
        <v>1.5</v>
      </c>
      <c r="E185" s="104">
        <f>('Renewable Diesel'!B194*E$3*'Feedstock Conversion Rates'!$B$2)/12-40+1.25+6-43+30-15+12.5-4+1.5+26+2.5+3-10+50+9-15-25-55+15+45+10-50+60-60</f>
        <v>44.679999999999993</v>
      </c>
      <c r="F185" s="104">
        <f>('Renewable Diesel'!B194*'RD Feedstock Breakdown'!F$3*'Feedstock Conversion Rates'!B$8)/12+28.5-49-5+2-6+1+6+20-20-3.75+10+2.5+5-20-20</f>
        <v>5.15625</v>
      </c>
      <c r="G185" s="104">
        <f>('Renewable Diesel'!B194*'RD Feedstock Breakdown'!G$3*'Feedstock Conversion Rates'!B$7)/12-25-15-25+4+4-20-40-20+10-17.5+20+50-12+32.5+35-75-75+22.5+5-20+15+125-10-45-10-40-40</f>
        <v>9.6570000000000107</v>
      </c>
      <c r="H185" s="104">
        <f>('Renewable Diesel'!B194*'RD Feedstock Breakdown'!H$3*'Feedstock Conversion Rates'!B$3)/12-85+4-15+70-65-80+50-22.5-5+25+27.5+15+50+15-10+5+50+75-5-25-85-12.5+30+22.5-25-30+150+90-120+25+10+70-100-50</f>
        <v>225.40022499999998</v>
      </c>
      <c r="I185" s="106">
        <f t="shared" si="106"/>
        <v>446.39347499999997</v>
      </c>
      <c r="J185" s="104">
        <f>2+10+12+15-6-20-5-5+7+105+30+87+5-10-5-25-27.5+1-1-15-17.5-6-10-77.5-7.5-1+17.5+15+90+2+2.5+2.5+7.5+27.5-32-11-25+5-50-30+50</f>
        <v>106.5</v>
      </c>
      <c r="K185" s="104">
        <f t="shared" si="139"/>
        <v>0</v>
      </c>
      <c r="L185" s="104">
        <v>1</v>
      </c>
      <c r="M185" s="104">
        <f>('Renewable Diesel'!C194*'RD Feedstock Breakdown'!M$3*'Feedstock Conversion Rates'!B$2)/12</f>
        <v>7.7902500000000003</v>
      </c>
      <c r="N185" s="104">
        <f>('Renewable Diesel'!C194*'RD Feedstock Breakdown'!N$3*'Feedstock Conversion Rates'!B$8)/12</f>
        <v>3.671875</v>
      </c>
      <c r="O185" s="104">
        <f>('Renewable Diesel'!C194*'RD Feedstock Breakdown'!O$3*'Feedstock Conversion Rates'!B$7)/12</f>
        <v>11.9991</v>
      </c>
      <c r="P185" s="104">
        <f>('Renewable Diesel'!C194*'RD Feedstock Breakdown'!P$3*'Feedstock Conversion Rates'!B$3)/12</f>
        <v>10.4470425</v>
      </c>
      <c r="Q185" s="106">
        <f t="shared" si="119"/>
        <v>141.40826750000002</v>
      </c>
      <c r="R185" s="104">
        <f>('Renewable Diesel'!D194*'RD Feedstock Breakdown'!R$3*'Feedstock Conversion Rates'!B$7)/12</f>
        <v>2.2999999999999998</v>
      </c>
      <c r="S185" s="106">
        <f t="shared" si="67"/>
        <v>2.2999999999999998</v>
      </c>
      <c r="T185" s="104">
        <f t="shared" si="138"/>
        <v>0.82499999999999929</v>
      </c>
      <c r="U185" s="104">
        <v>0</v>
      </c>
      <c r="V185" s="104">
        <f>('Renewable Diesel'!E194*'RD Feedstock Breakdown'!V$3*'Feedstock Conversion Rates'!B$6)/12-20+25</f>
        <v>49.250150000000012</v>
      </c>
      <c r="W185" s="104">
        <f>('Renewable Diesel'!E194*'RD Feedstock Breakdown'!W$3*'Feedstock Conversion Rates'!B$8)/12-5.825</f>
        <v>16.354687500000001</v>
      </c>
      <c r="X185" s="106">
        <f t="shared" si="88"/>
        <v>66.429837500000005</v>
      </c>
      <c r="Y185" s="104">
        <f t="shared" si="140"/>
        <v>0.5</v>
      </c>
      <c r="Z185" s="104">
        <f>('Renewable Diesel'!F194*'RD Feedstock Breakdown'!Z$3*'Feedstock Conversion Rates'!B$6)/12-50-32-60+15+30+22.5-15-25-20+20-10+5+100+30</f>
        <v>169.96</v>
      </c>
      <c r="AA185" s="104">
        <f>('Renewable Diesel'!F194*'RD Feedstock Breakdown'!AA$3*'Feedstock Conversion Rates'!B$7)/12+80-171+75+50+20-65</f>
        <v>93.266666666666652</v>
      </c>
      <c r="AB185" s="106">
        <f t="shared" si="137"/>
        <v>263.72666666666669</v>
      </c>
      <c r="AC185" s="104">
        <f>('Renewable Diesel'!G194*'RD Feedstock Breakdown'!AC$3*'Feedstock Conversion Rates'!B$5)/12</f>
        <v>7.864583333333333</v>
      </c>
      <c r="AD185" s="104">
        <f>('Renewable Diesel'!G194*'RD Feedstock Breakdown'!AD$3*'Feedstock Conversion Rates'!B$4)/12</f>
        <v>3.90625</v>
      </c>
      <c r="AE185" s="104">
        <f>('Renewable Diesel'!G194*'RD Feedstock Breakdown'!AE$3*'Feedstock Conversion Rates'!B$6)/12</f>
        <v>4.885416666666667</v>
      </c>
      <c r="AF185" s="106">
        <f t="shared" si="101"/>
        <v>16.65625</v>
      </c>
      <c r="AG185" s="104">
        <f t="shared" si="131"/>
        <v>39</v>
      </c>
      <c r="AH185" s="104">
        <v>0</v>
      </c>
      <c r="AI185" s="104">
        <f>('Renewable Diesel'!H194*'RD Feedstock Breakdown'!AI$3*'Feedstock Conversion Rates'!B$6)/12-130-20+51+5-100-25+100-10-25+15+22.5-22.5+100</f>
        <v>109.51666666666668</v>
      </c>
      <c r="AJ185" s="106">
        <f t="shared" si="65"/>
        <v>148.51666666666668</v>
      </c>
      <c r="AK185" s="104">
        <f>('Renewable Diesel'!J194*'RD Feedstock Breakdown'!AK$3*'Feedstock Conversion Rates'!B$4)/12</f>
        <v>95.8125</v>
      </c>
      <c r="AL185" s="106">
        <f t="shared" si="68"/>
        <v>95.8125</v>
      </c>
      <c r="AM185" s="104">
        <f>('Renewable Diesel'!K194*'RD Feedstock Breakdown'!AM$3*'Feedstock Conversion Rates'!B$4)/12+5+15-10+4-25</f>
        <v>47.59375</v>
      </c>
      <c r="AN185" s="104">
        <f>('Renewable Diesel'!K194*'RD Feedstock Breakdown'!AN$3*'Feedstock Conversion Rates'!B$6)/12-5-15+10-4+25</f>
        <v>35.427083333333329</v>
      </c>
      <c r="AO185" s="106">
        <f t="shared" si="81"/>
        <v>83.020833333333329</v>
      </c>
      <c r="AP185" s="104">
        <f>('Renewable Diesel'!L194*'RD Feedstock Breakdown'!AP$3*'Feedstock Conversion Rates'!B$4)/12+15-10+14</f>
        <v>77.59375</v>
      </c>
      <c r="AQ185" s="104">
        <f>('Renewable Diesel'!L194*'RD Feedstock Breakdown'!AQ$3*'Feedstock Conversion Rates'!B$6)/12-15+10-14</f>
        <v>5.4270833333333321</v>
      </c>
      <c r="AR185" s="106">
        <f t="shared" si="70"/>
        <v>83.020833333333329</v>
      </c>
      <c r="AS185" s="104">
        <f>('Renewable Diesel'!M194*'RD Feedstock Breakdown'!AS$3*'Feedstock Conversion Rates'!B$4)/12-150-50</f>
        <v>256.25</v>
      </c>
      <c r="AT185" s="104">
        <f>('Renewable Diesel'!M194*'RD Feedstock Breakdown'!AT$3*'Feedstock Conversion Rates'!B$5)/12+150+50</f>
        <v>200</v>
      </c>
      <c r="AU185" s="106">
        <f t="shared" si="104"/>
        <v>456.25</v>
      </c>
      <c r="AV185" s="104">
        <f>'Renewable Diesel'!N194*'RD Feedstock Breakdown'!$AV$3*'Feedstock Conversion Rates'!$B$4/12-15-10+25+25-22-17.5</f>
        <v>64.249999999999986</v>
      </c>
      <c r="AW185" s="104">
        <f>'Renewable Diesel'!N194*'RD Feedstock Breakdown'!$AW$3*'Feedstock Conversion Rates'!$B$7/12+15+10-25-25+22+17.5</f>
        <v>55.900000000000006</v>
      </c>
      <c r="AX185" s="106">
        <f t="shared" si="141"/>
        <v>120.14999999999999</v>
      </c>
      <c r="AY185" s="104">
        <f>('Renewable Diesel'!O194*'RD Feedstock Breakdown'!AY$3*'Feedstock Conversion Rates'!B$4)/12+34-100-20-262</f>
        <v>-137.0625</v>
      </c>
      <c r="AZ185" s="104">
        <f>('Renewable Diesel'!O194*'RD Feedstock Breakdown'!AZ$3*'Feedstock Conversion Rates'!B$3)/12-34+100+20+262</f>
        <v>373.03125</v>
      </c>
      <c r="BA185" s="106">
        <f t="shared" si="120"/>
        <v>235.96875</v>
      </c>
      <c r="BB185" s="104">
        <f>('Renewable Diesel'!Q194*'RD Feedstock Breakdown'!BB$3*'Feedstock Conversion Rates'!B$4)/12</f>
        <v>11.156249999999998</v>
      </c>
      <c r="BC185" s="104">
        <f>('Renewable Diesel'!Q194*'RD Feedstock Breakdown'!BC$3*'Feedstock Conversion Rates'!B$3)/12</f>
        <v>1.4017500000000001</v>
      </c>
      <c r="BD185" s="104">
        <f>('Renewable Diesel'!Q194*'RD Feedstock Breakdown'!BD$3*'Feedstock Conversion Rates'!B$6)/12</f>
        <v>0.8207500000000002</v>
      </c>
      <c r="BE185" s="106">
        <f t="shared" si="90"/>
        <v>13.378749999999998</v>
      </c>
      <c r="BF185" s="104">
        <f>('Renewable Diesel'!R194*'RD Feedstock Breakdown'!BF$3*'Feedstock Conversion Rates'!B$4)/12</f>
        <v>62.5</v>
      </c>
      <c r="BG185" s="106">
        <f t="shared" si="72"/>
        <v>62.5</v>
      </c>
      <c r="BH185" s="104">
        <f>('Renewable Diesel'!T194*'RD Feedstock Breakdown'!BH$3*'Feedstock Conversion Rates'!B$7)/12</f>
        <v>27.599999999999998</v>
      </c>
      <c r="BI185" s="106">
        <f t="shared" si="64"/>
        <v>27.599999999999998</v>
      </c>
      <c r="BJ185" s="104">
        <f>('Renewable Diesel'!W194*'RD Feedstock Breakdown'!BJ$3*'Feedstock Conversion Rates'!B$4)/12</f>
        <v>7.5</v>
      </c>
      <c r="BK185" s="104">
        <f>('Renewable Diesel'!W194*'RD Feedstock Breakdown'!BK$3*'Feedstock Conversion Rates'!B$3)/12</f>
        <v>1.335</v>
      </c>
      <c r="BL185" s="104">
        <f>('Renewable Diesel'!W194*'RD Feedstock Breakdown'!BL$3*'Feedstock Conversion Rates'!B$6)/12</f>
        <v>3.1266666666666669</v>
      </c>
      <c r="BM185" s="104">
        <f>('Renewable Diesel'!W194*'RD Feedstock Breakdown'!BM$3*'Feedstock Conversion Rates'!B$7)/12</f>
        <v>1.5333333333333332</v>
      </c>
      <c r="BN185" s="106">
        <f t="shared" si="112"/>
        <v>13.495000000000001</v>
      </c>
      <c r="BO185" s="104">
        <f>('Renewable Diesel'!P194*'Feedstock Conversion Rates'!B$4)/12</f>
        <v>31.25</v>
      </c>
      <c r="BP185" s="106">
        <f t="shared" si="102"/>
        <v>31.25</v>
      </c>
      <c r="BQ185" s="104">
        <f>('Renewable Diesel'!$S194*'RD Feedstock Breakdown'!BQ$3*'Feedstock Conversion Rates'!B$4)/12+10</f>
        <v>38.125</v>
      </c>
      <c r="BR185" s="104">
        <f>('Renewable Diesel'!$S194*'RD Feedstock Breakdown'!BR$3*'Feedstock Conversion Rates'!B$7)/12-10</f>
        <v>1.5</v>
      </c>
      <c r="BS185" s="106">
        <f t="shared" si="123"/>
        <v>39.625</v>
      </c>
      <c r="BT185" s="106"/>
      <c r="BU185" s="104">
        <f>('Renewable Diesel'!Y194*'Feedstock Conversion Rates'!B$7)/12</f>
        <v>2.6833333333333331</v>
      </c>
      <c r="BV185" s="106">
        <f t="shared" si="93"/>
        <v>2.6833333333333331</v>
      </c>
      <c r="BW185" s="104">
        <f>('Renewable Diesel'!$Z194*'RD Feedstock Breakdown'!BW$3*'Feedstock Conversion Rates'!$B$4)/12</f>
        <v>23.828125</v>
      </c>
      <c r="BX185" s="104">
        <f>('Renewable Diesel'!$Z194*'RD Feedstock Breakdown'!BX$3*'Feedstock Conversion Rates'!$B$5)/12</f>
        <v>2.3986979166666669</v>
      </c>
      <c r="BY185" s="104">
        <f>('Renewable Diesel'!$Z194*'RD Feedstock Breakdown'!BY$3*'Feedstock Conversion Rates'!$B$7)/12</f>
        <v>20.460416666666664</v>
      </c>
      <c r="BZ185" s="104">
        <f>('Renewable Diesel'!$Z194*'RD Feedstock Breakdown'!BZ$3*'Feedstock Conversion Rates'!$B$3)/12</f>
        <v>5.0896875000000001</v>
      </c>
      <c r="CA185" s="106">
        <f t="shared" si="127"/>
        <v>51.776927083333334</v>
      </c>
      <c r="CB185" s="104">
        <f>('Renewable Diesel'!AA194*'Feedstock Conversion Rates'!B$4)/12</f>
        <v>191.25</v>
      </c>
      <c r="CC185" s="106">
        <f t="shared" si="113"/>
        <v>191.25</v>
      </c>
      <c r="CD185" s="104">
        <f>('Renewable Diesel'!$AB194*'RD Feedstock Breakdown'!CD$3*'Feedstock Conversion Rates'!$B$6)/12-15</f>
        <v>17.830000000000005</v>
      </c>
      <c r="CE185" s="104">
        <f>('Renewable Diesel'!$AB194*'RD Feedstock Breakdown'!CE$3*'Feedstock Conversion Rates'!$B$4)/12+15</f>
        <v>26.25</v>
      </c>
      <c r="CF185" s="106">
        <f t="shared" si="108"/>
        <v>44.080000000000005</v>
      </c>
      <c r="CG185" s="104">
        <f>('Renewable Diesel'!AD194*'Feedstock Conversion Rates'!B$4)/12</f>
        <v>112.5</v>
      </c>
      <c r="CH185" s="106">
        <f t="shared" si="89"/>
        <v>112.5</v>
      </c>
      <c r="CI185" s="104">
        <f>('Renewable Diesel'!$AE194*'RD Feedstock Breakdown'!CI$3*'Feedstock Conversion Rates'!$B$5)/12</f>
        <v>0.34604166666666664</v>
      </c>
      <c r="CJ185" s="104">
        <f>('Renewable Diesel'!$AE194*'RD Feedstock Breakdown'!CJ$3*'Feedstock Conversion Rates'!$B$4)/12</f>
        <v>0.34375</v>
      </c>
      <c r="CK185" s="106">
        <f t="shared" si="103"/>
        <v>0.68979166666666658</v>
      </c>
      <c r="CL185" s="104">
        <f>(((CL$3*'Renewable Diesel'!$AF194)*'Feedstock Conversion Rates'!$B$3)/12)-35</f>
        <v>56.78125</v>
      </c>
      <c r="CM185" s="104">
        <f>(((CM$3*'Renewable Diesel'!$AF194)*'Feedstock Conversion Rates'!$B$6)/12)-32.5+35-50</f>
        <v>6.2395833333333357</v>
      </c>
      <c r="CN185" s="104">
        <f>(((CN$3*'Renewable Diesel'!$AF194)*'Feedstock Conversion Rates'!$B$4)/12)+32.5+50</f>
        <v>125.46875</v>
      </c>
      <c r="CO185" s="106">
        <f t="shared" si="91"/>
        <v>188.48958333333334</v>
      </c>
      <c r="CP185" s="104">
        <f>('Renewable Diesel'!$AG194*'RD Feedstock Breakdown'!CP$3*'Feedstock Conversion Rates'!$B$3)/12</f>
        <v>6.0075000000000003</v>
      </c>
      <c r="CQ185" s="104">
        <f>('Renewable Diesel'!$AG194*'RD Feedstock Breakdown'!CQ$3*'Feedstock Conversion Rates'!$B$6)/12</f>
        <v>3.5175000000000001</v>
      </c>
      <c r="CR185" s="104">
        <f>('Renewable Diesel'!$AG194*'RD Feedstock Breakdown'!CR$3*'Feedstock Conversion Rates'!$B$4)/12</f>
        <v>2.8125</v>
      </c>
      <c r="CS185" s="106">
        <f t="shared" si="134"/>
        <v>12.3375</v>
      </c>
      <c r="CT185" s="104">
        <f>('Renewable Diesel'!AI194*'Feedstock Conversion Rates'!$B$4*'RD Feedstock Breakdown'!$CT$3)/12</f>
        <v>29.375</v>
      </c>
      <c r="CU185" s="106">
        <f t="shared" si="99"/>
        <v>29.375</v>
      </c>
      <c r="CV185" s="106"/>
      <c r="CW185" s="106"/>
      <c r="CX185" s="104">
        <f>('Renewable Diesel'!AO194*'RD Feedstock Breakdown'!$CX$3*'Feedstock Conversion Rates'!$B$3)/12</f>
        <v>6.3412499999999996</v>
      </c>
      <c r="CY185" s="104">
        <f>('Renewable Diesel'!AO194*'RD Feedstock Breakdown'!$CY$3*'Feedstock Conversion Rates'!$B$6)/12</f>
        <v>7.4258333333333342</v>
      </c>
      <c r="CZ185" s="106">
        <f t="shared" si="135"/>
        <v>13.767083333333334</v>
      </c>
      <c r="DA185" s="106"/>
      <c r="DB185" s="106"/>
      <c r="DC185" s="106"/>
      <c r="DD185" s="106"/>
      <c r="DE185" s="106"/>
      <c r="DF185" s="104">
        <f>('Renewable Diesel'!AR194*'Feedstock Conversion Rates'!$B$4*$DF$3)/12</f>
        <v>75</v>
      </c>
      <c r="DG185" s="106">
        <f t="shared" si="136"/>
        <v>75</v>
      </c>
      <c r="DH185" s="104">
        <f>('Renewable Diesel'!AS194*'Feedstock Conversion Rates'!$B$4*$DH$3)/12</f>
        <v>56.25</v>
      </c>
      <c r="DI185" s="106">
        <f t="shared" ref="DI185:DI248" si="142">DH185</f>
        <v>56.25</v>
      </c>
      <c r="DJ185" s="104">
        <f>('Renewable Diesel'!AT194*'Feedstock Conversion Rates'!$B$4*0.25)/12</f>
        <v>8.59375</v>
      </c>
      <c r="DK185" s="104">
        <f>('Renewable Diesel'!$AT194*'RD Feedstock Breakdown'!DK$3*'Feedstock Conversion Rates'!$B$3)/12*0.5</f>
        <v>9.1781249999999996</v>
      </c>
      <c r="DL185" s="104">
        <f>('Renewable Diesel'!$AT194*'RD Feedstock Breakdown'!$DL$3*'Feedstock Conversion Rates'!$B$6)/12</f>
        <v>10.747916666666669</v>
      </c>
      <c r="DM185" s="104">
        <f>('Renewable Diesel'!$AT194*'RD Feedstock Breakdown'!$DM$3*'Feedstock Conversion Rates'!$B$8)/12</f>
        <v>10.7421875</v>
      </c>
      <c r="DN185" s="106">
        <f t="shared" si="110"/>
        <v>39.26197916666667</v>
      </c>
      <c r="DP185" s="104">
        <f t="shared" si="73"/>
        <v>52.470249999999993</v>
      </c>
      <c r="DQ185" s="104">
        <f t="shared" si="74"/>
        <v>695.01308000000006</v>
      </c>
      <c r="DR185" s="104">
        <f t="shared" si="82"/>
        <v>1398.953125</v>
      </c>
      <c r="DS185" s="104">
        <f t="shared" si="100"/>
        <v>329.02807291666664</v>
      </c>
      <c r="DT185" s="104">
        <f t="shared" si="75"/>
        <v>424.17464999999993</v>
      </c>
      <c r="DU185" s="104">
        <f t="shared" si="76"/>
        <v>226.89985000000001</v>
      </c>
      <c r="DV185" s="104">
        <f t="shared" si="83"/>
        <v>35.924999999999997</v>
      </c>
      <c r="DW185" s="104">
        <f t="shared" si="77"/>
        <v>2.5</v>
      </c>
      <c r="DX185" s="106">
        <f t="shared" si="78"/>
        <v>3164.964027916667</v>
      </c>
      <c r="DY185" s="109">
        <f t="shared" si="79"/>
        <v>-3.4106051316484809E-13</v>
      </c>
      <c r="EA185" s="110">
        <f t="shared" si="114"/>
        <v>1.6578466465079687E-2</v>
      </c>
      <c r="EB185" s="110">
        <f t="shared" si="114"/>
        <v>0.21959588604155209</v>
      </c>
      <c r="EC185" s="110">
        <f t="shared" si="114"/>
        <v>0.44201233020675401</v>
      </c>
      <c r="ED185" s="110">
        <f t="shared" si="114"/>
        <v>0.10395949843804352</v>
      </c>
      <c r="EE185" s="110">
        <f t="shared" si="114"/>
        <v>0.13402194977843471</v>
      </c>
      <c r="EF185" s="110">
        <f t="shared" si="114"/>
        <v>7.1691130767560896E-2</v>
      </c>
      <c r="EG185" s="110">
        <f t="shared" si="114"/>
        <v>1.1350839909434161E-2</v>
      </c>
      <c r="EH185" s="111">
        <f t="shared" si="84"/>
        <v>7.8989839314086029E-4</v>
      </c>
      <c r="EI185" s="110">
        <f t="shared" si="85"/>
        <v>0.99921010160685908</v>
      </c>
      <c r="EK185" s="132">
        <f>(EA185*'Renewable Diesel'!BF194*'Feedstock Conversion Rates'!B$2)+FB185</f>
        <v>32.382244835953983</v>
      </c>
      <c r="EL185" s="132">
        <f>(EB185*'Renewable Diesel'!BF194*'Feedstock Conversion Rates'!B$3)+FC185</f>
        <v>404.20379526709132</v>
      </c>
      <c r="EM185" s="132">
        <f>(EC185*'Renewable Diesel'!BF194*'Feedstock Conversion Rates'!B$4)+FD185</f>
        <v>761.79710700668102</v>
      </c>
      <c r="EN185" s="132">
        <f>(ED185*'Renewable Diesel'!BF194*'Feedstock Conversion Rates'!B$5)+FE185</f>
        <v>180.3660516733749</v>
      </c>
      <c r="EO185" s="132">
        <f>(EE185*'Renewable Diesel'!BF194*'Feedstock Conversion Rates'!B$6)+FF185</f>
        <v>288.88330328577291</v>
      </c>
      <c r="EP185" s="132">
        <f>(EF185*'Renewable Diesel'!BF194*'Feedstock Conversion Rates'!B$7)+FG185</f>
        <v>151.56430383415446</v>
      </c>
      <c r="EQ185" s="132">
        <f>(EG185*'Renewable Diesel'!BF194*'Feedstock Conversion Rates'!B$8)+FH185</f>
        <v>24.453608005285215</v>
      </c>
      <c r="ER185" s="132">
        <f>(EH185*'Renewable Diesel'!BF194*'Feedstock Conversion Rates'!B$9)+FI185</f>
        <v>1.679022957449414</v>
      </c>
      <c r="ES185" s="132">
        <f t="shared" si="86"/>
        <v>1845.3294368657632</v>
      </c>
      <c r="ET185" s="133">
        <f>ES185/'Renewable Diesel'!BF194</f>
        <v>8.0302716781746692</v>
      </c>
      <c r="EW185" s="73">
        <f t="shared" si="124"/>
        <v>942.16315868005586</v>
      </c>
      <c r="EX185" s="73">
        <f t="shared" si="125"/>
        <v>903.16627818570726</v>
      </c>
      <c r="EY185" s="92">
        <f t="shared" si="71"/>
        <v>0.51056637360117751</v>
      </c>
      <c r="EZ185" s="92">
        <f t="shared" si="71"/>
        <v>0.48943362639882237</v>
      </c>
      <c r="FB185" s="102">
        <f>IF('Renewable Diesel'!$BG194&lt;1,0,(((('Renewable Diesel'!$BG194-1)*'Renewable Diesel'!$BF194)*'RD Feedstock Breakdown'!EA185)*'Feedstock Conversion Rates'!$B$2))</f>
        <v>0</v>
      </c>
      <c r="FC185" s="102">
        <f>IF('Renewable Diesel'!$BG194&lt;1,0,(((('Renewable Diesel'!$BG194-1)*'Renewable Diesel'!$BF194)*'RD Feedstock Breakdown'!EB185)*'Feedstock Conversion Rates'!$B$3))</f>
        <v>0</v>
      </c>
      <c r="FD185" s="102">
        <f>IF('Renewable Diesel'!$BG194&lt;1,0,(((('Renewable Diesel'!$BG194-1)*'Renewable Diesel'!$BF194)*'RD Feedstock Breakdown'!EC185)*'Feedstock Conversion Rates'!$B$4))</f>
        <v>0</v>
      </c>
      <c r="FE185" s="102">
        <f>IF('Renewable Diesel'!$BG194&lt;1,0,(((('Renewable Diesel'!$BG194-1)*'Renewable Diesel'!$BF194)*'RD Feedstock Breakdown'!ED185)*'Feedstock Conversion Rates'!$B$5))</f>
        <v>0</v>
      </c>
      <c r="FF185" s="102">
        <f>IF('Renewable Diesel'!$BG194&lt;1,0,(((('Renewable Diesel'!$BG194-1)*'Renewable Diesel'!$BF194)*'RD Feedstock Breakdown'!EE185)*'Feedstock Conversion Rates'!$B$6))</f>
        <v>0</v>
      </c>
      <c r="FG185" s="102">
        <f>IF('Renewable Diesel'!$BG194&lt;1,0,(((('Renewable Diesel'!$BG194-1)*'Renewable Diesel'!$BF194)*'RD Feedstock Breakdown'!EF185)*'Feedstock Conversion Rates'!$B$7))</f>
        <v>0</v>
      </c>
      <c r="FH185" s="102">
        <f>IF('Renewable Diesel'!$BG194&lt;1,0,(((('Renewable Diesel'!$BG194-1)*'Renewable Diesel'!$BF194)*'RD Feedstock Breakdown'!EG185)*'Feedstock Conversion Rates'!$B$8))</f>
        <v>0</v>
      </c>
      <c r="FI185" s="102">
        <f>IF('Renewable Diesel'!$BG194&lt;1,0,(((('Renewable Diesel'!$BG194-1)*'Renewable Diesel'!$BF194)*'RD Feedstock Breakdown'!EH185)*'Feedstock Conversion Rates'!$B$9))</f>
        <v>0</v>
      </c>
      <c r="FJ185" s="102">
        <f t="shared" si="126"/>
        <v>0</v>
      </c>
      <c r="FL185" s="3">
        <f>('Renewable Diesel'!AX194/12*$FO$80)*'RD Feedstock Breakdown'!EC185*7.5</f>
        <v>1232.2061987774127</v>
      </c>
      <c r="FM185" s="3">
        <f t="shared" si="96"/>
        <v>470.40909177073172</v>
      </c>
      <c r="FR185" s="3">
        <f>('Renewable Diesel'!AX194-'Renewable Diesel'!BI194)/12*$FO$80</f>
        <v>42.509625000000007</v>
      </c>
      <c r="FS185" s="100">
        <f t="shared" si="97"/>
        <v>0.44201233020675401</v>
      </c>
      <c r="FT185" s="3">
        <f t="shared" si="98"/>
        <v>140.92333801848966</v>
      </c>
      <c r="FY185" s="3">
        <f>'Renewable Diesel'!BF194*('Renewable Diesel'!BI194/'Renewable Diesel'!AX194)</f>
        <v>203.51555865016226</v>
      </c>
      <c r="FZ185" s="3">
        <f>('Renewable Diesel'!BJ194*'Renewable Diesel'!BG194)/12</f>
        <v>25.786543276356536</v>
      </c>
      <c r="GA185" s="3">
        <f t="shared" si="105"/>
        <v>85.48477561169743</v>
      </c>
      <c r="GD185" s="91">
        <f>'Renewable Diesel'!BB194*0.32</f>
        <v>0</v>
      </c>
      <c r="GE185" s="91">
        <f>'Renewable Diesel'!BC194</f>
        <v>45.244644572742757</v>
      </c>
      <c r="GF185" s="91">
        <f>'Renewable Diesel'!BD194</f>
        <v>0</v>
      </c>
      <c r="GG185" s="91">
        <f t="shared" si="109"/>
        <v>45.244644572742757</v>
      </c>
      <c r="GH185" s="124">
        <v>1</v>
      </c>
      <c r="GI185" s="102">
        <f>$GG185*EA185*'Feedstock Conversion Rates'!$B$2</f>
        <v>6.3757379935761564</v>
      </c>
      <c r="GJ185" s="102">
        <f>$GG185*EB185*'Feedstock Conversion Rates'!$B$3</f>
        <v>79.583657886828234</v>
      </c>
      <c r="GK185" s="102">
        <f>$GG185*EC185*'Feedstock Conversion Rates'!$B$4</f>
        <v>149.99018082730794</v>
      </c>
      <c r="GL185" s="102">
        <f>$GG185*ED185*'Feedstock Conversion Rates'!$B$5</f>
        <v>35.512259703763625</v>
      </c>
      <c r="GM185" s="102">
        <f>$GG185*EE185*'Feedstock Conversion Rates'!$B$6</f>
        <v>56.878214027456409</v>
      </c>
      <c r="GN185" s="102">
        <f>$GG185*EF185*'Feedstock Conversion Rates'!$B$7</f>
        <v>29.841485521486099</v>
      </c>
      <c r="GO185" s="102">
        <f>$GG185*EG185*'Feedstock Conversion Rates'!$B$8</f>
        <v>4.8146692247292391</v>
      </c>
      <c r="GP185" s="102">
        <f>$GG185*EH185*'Feedstock Conversion Rates'!B$9</f>
        <v>0.33058271642770937</v>
      </c>
      <c r="GQ185" s="102">
        <f t="shared" si="87"/>
        <v>363.32678790157541</v>
      </c>
      <c r="GR185" s="85">
        <f t="shared" si="107"/>
        <v>8.0302716781746692</v>
      </c>
      <c r="GT185" s="103">
        <f t="shared" si="111"/>
        <v>1.7548218864895073E-2</v>
      </c>
      <c r="GU185" s="103">
        <f t="shared" si="111"/>
        <v>0.21904153653648931</v>
      </c>
      <c r="GV185" s="103">
        <f t="shared" si="111"/>
        <v>0.41282444846301841</v>
      </c>
      <c r="GW185" s="103">
        <f t="shared" si="111"/>
        <v>9.7741925138159186E-2</v>
      </c>
      <c r="GX185" s="103">
        <f t="shared" si="111"/>
        <v>0.15654836340574099</v>
      </c>
      <c r="GY185" s="103">
        <f t="shared" si="111"/>
        <v>8.213400859825977E-2</v>
      </c>
      <c r="GZ185" s="103">
        <f t="shared" si="111"/>
        <v>1.3251621914631641E-2</v>
      </c>
      <c r="HA185" s="103">
        <f t="shared" si="111"/>
        <v>9.0987707880560572E-4</v>
      </c>
    </row>
    <row r="186" spans="1:209" x14ac:dyDescent="0.25">
      <c r="A186" s="96">
        <v>46082</v>
      </c>
      <c r="B186" s="104">
        <f>23-20+10+85-5-4-4-1.25+2.25-5+15-6-25-45+65+15-22.5-50+40+16.5+27.5+168+80+14-30+15-50-19+22.5-10+5+11-25-50-12.5-27.5-10+10+2+4-1.5+12-26-15-50-15+10-32.5-3-5-2.5-1+5+10-50-35-9-0.5+25+15+25+20+15+85-25+12.5-52.5+10+20-150+20-20+55-25-25+20+15+200-200</f>
        <v>40</v>
      </c>
      <c r="C186" s="104">
        <f t="shared" ref="C186:C192" si="143">40-10-2.5-27.5+25+25+25-70+120-15-100-10+20</f>
        <v>20</v>
      </c>
      <c r="D186" s="104">
        <f t="shared" si="95"/>
        <v>1.5</v>
      </c>
      <c r="E186" s="104">
        <f>('Renewable Diesel'!B195*E$3*'Feedstock Conversion Rates'!$B$2)/12-40+1.25+6-43+30-15+12.5-4+1.5+26+2.5+3-10+50+9-15-25-55+15+45+10-50+60-60</f>
        <v>44.679999999999993</v>
      </c>
      <c r="F186" s="104">
        <f>('Renewable Diesel'!B195*'RD Feedstock Breakdown'!F$3*'Feedstock Conversion Rates'!B$8)/12+28.5-49-5+2-6+1+6+20-20-3.75+10+2.5+5-20-20</f>
        <v>5.15625</v>
      </c>
      <c r="G186" s="104">
        <f>('Renewable Diesel'!B195*'RD Feedstock Breakdown'!G$3*'Feedstock Conversion Rates'!B$7)/12-25-15-25+4+4-20-40-20+10-17.5+20+50-12+32.5+35-75-75+22.5+5-20+15+125-10-45-10-40-40</f>
        <v>9.6570000000000107</v>
      </c>
      <c r="H186" s="104">
        <f>('Renewable Diesel'!B195*'RD Feedstock Breakdown'!H$3*'Feedstock Conversion Rates'!B$3)/12-85+4-15+70-65-80+50-22.5-5+25+27.5+15+50+15-10+5+50+75-5-25-85-12.5+30+22.5-25-30+150+90-120+25+10+70-200+200</f>
        <v>375.40022499999998</v>
      </c>
      <c r="I186" s="106">
        <f t="shared" si="106"/>
        <v>496.39347499999997</v>
      </c>
      <c r="J186" s="104">
        <f>2+10+12+15-6-20-5-5+7+105+30+87+5-10-5-25-27.5+1-1-15-17.5-6-10-77.5-7.5-1+17.5+15+90+2+2.5+2.5+7.5+27.5-32-11-25+5-50-30+50+50</f>
        <v>156.5</v>
      </c>
      <c r="K186" s="104">
        <f t="shared" si="139"/>
        <v>0</v>
      </c>
      <c r="L186" s="104">
        <v>1</v>
      </c>
      <c r="M186" s="104">
        <f>('Renewable Diesel'!C195*'RD Feedstock Breakdown'!M$3*'Feedstock Conversion Rates'!B$2)/12</f>
        <v>7.7902500000000003</v>
      </c>
      <c r="N186" s="104">
        <f>('Renewable Diesel'!C195*'RD Feedstock Breakdown'!N$3*'Feedstock Conversion Rates'!B$8)/12</f>
        <v>3.671875</v>
      </c>
      <c r="O186" s="104">
        <f>('Renewable Diesel'!C195*'RD Feedstock Breakdown'!O$3*'Feedstock Conversion Rates'!B$7)/12</f>
        <v>11.9991</v>
      </c>
      <c r="P186" s="104">
        <f>('Renewable Diesel'!C195*'RD Feedstock Breakdown'!P$3*'Feedstock Conversion Rates'!B$3)/12</f>
        <v>10.4470425</v>
      </c>
      <c r="Q186" s="106">
        <f t="shared" si="119"/>
        <v>191.40826750000002</v>
      </c>
      <c r="R186" s="104">
        <f>('Renewable Diesel'!D195*'RD Feedstock Breakdown'!R$3*'Feedstock Conversion Rates'!B$7)/12</f>
        <v>2.2999999999999998</v>
      </c>
      <c r="S186" s="106">
        <f t="shared" si="67"/>
        <v>2.2999999999999998</v>
      </c>
      <c r="T186" s="104">
        <f t="shared" si="138"/>
        <v>0.82499999999999929</v>
      </c>
      <c r="U186" s="104">
        <v>0</v>
      </c>
      <c r="V186" s="104">
        <f>('Renewable Diesel'!E195*'RD Feedstock Breakdown'!V$3*'Feedstock Conversion Rates'!B$6)/12-20+25</f>
        <v>49.250150000000012</v>
      </c>
      <c r="W186" s="104">
        <f>('Renewable Diesel'!E195*'RD Feedstock Breakdown'!W$3*'Feedstock Conversion Rates'!B$8)/12-5.825</f>
        <v>16.354687500000001</v>
      </c>
      <c r="X186" s="106">
        <f t="shared" si="88"/>
        <v>66.429837500000005</v>
      </c>
      <c r="Y186" s="104">
        <f t="shared" si="140"/>
        <v>0.5</v>
      </c>
      <c r="Z186" s="104">
        <f>('Renewable Diesel'!F195*'RD Feedstock Breakdown'!Z$3*'Feedstock Conversion Rates'!B$6)/12-50-32-60+15+30+22.5-15-25-20+20-10+5+100+30</f>
        <v>169.96</v>
      </c>
      <c r="AA186" s="104">
        <f>('Renewable Diesel'!F195*'RD Feedstock Breakdown'!AA$3*'Feedstock Conversion Rates'!B$7)/12+80-171+75+50+20-65</f>
        <v>93.266666666666652</v>
      </c>
      <c r="AB186" s="106">
        <f t="shared" si="137"/>
        <v>263.72666666666669</v>
      </c>
      <c r="AC186" s="104">
        <f>('Renewable Diesel'!G195*'RD Feedstock Breakdown'!AC$3*'Feedstock Conversion Rates'!B$5)/12</f>
        <v>7.864583333333333</v>
      </c>
      <c r="AD186" s="104">
        <f>('Renewable Diesel'!G195*'RD Feedstock Breakdown'!AD$3*'Feedstock Conversion Rates'!B$4)/12</f>
        <v>3.90625</v>
      </c>
      <c r="AE186" s="104">
        <f>('Renewable Diesel'!G195*'RD Feedstock Breakdown'!AE$3*'Feedstock Conversion Rates'!B$6)/12</f>
        <v>4.885416666666667</v>
      </c>
      <c r="AF186" s="106">
        <f t="shared" si="101"/>
        <v>16.65625</v>
      </c>
      <c r="AG186" s="104">
        <f t="shared" si="131"/>
        <v>39</v>
      </c>
      <c r="AH186" s="104">
        <v>0</v>
      </c>
      <c r="AI186" s="104">
        <f>('Renewable Diesel'!H195*'RD Feedstock Breakdown'!AI$3*'Feedstock Conversion Rates'!B$6)/12-130-20+51+5-100-25+100-10-25+15+22.5-22.5+100</f>
        <v>109.51666666666668</v>
      </c>
      <c r="AJ186" s="106">
        <f t="shared" si="65"/>
        <v>148.51666666666668</v>
      </c>
      <c r="AK186" s="104">
        <f>('Renewable Diesel'!J195*'RD Feedstock Breakdown'!AK$3*'Feedstock Conversion Rates'!B$4)/12</f>
        <v>95.8125</v>
      </c>
      <c r="AL186" s="106">
        <f t="shared" si="68"/>
        <v>95.8125</v>
      </c>
      <c r="AM186" s="104">
        <f>('Renewable Diesel'!K195*'RD Feedstock Breakdown'!AM$3*'Feedstock Conversion Rates'!B$4)/12+5+15-10+4-25</f>
        <v>47.59375</v>
      </c>
      <c r="AN186" s="104">
        <f>('Renewable Diesel'!K195*'RD Feedstock Breakdown'!AN$3*'Feedstock Conversion Rates'!B$6)/12-5-15+10-4+25</f>
        <v>35.427083333333329</v>
      </c>
      <c r="AO186" s="106">
        <f t="shared" si="81"/>
        <v>83.020833333333329</v>
      </c>
      <c r="AP186" s="104">
        <f>('Renewable Diesel'!L195*'RD Feedstock Breakdown'!AP$3*'Feedstock Conversion Rates'!B$4)/12+15-10+14</f>
        <v>77.59375</v>
      </c>
      <c r="AQ186" s="104">
        <f>('Renewable Diesel'!L195*'RD Feedstock Breakdown'!AQ$3*'Feedstock Conversion Rates'!B$6)/12-15+10-14</f>
        <v>5.4270833333333321</v>
      </c>
      <c r="AR186" s="106">
        <f t="shared" si="70"/>
        <v>83.020833333333329</v>
      </c>
      <c r="AS186" s="104">
        <f>('Renewable Diesel'!M195*'RD Feedstock Breakdown'!AS$3*'Feedstock Conversion Rates'!B$4)/12-150</f>
        <v>306.25</v>
      </c>
      <c r="AT186" s="104">
        <f>('Renewable Diesel'!M195*'RD Feedstock Breakdown'!AT$3*'Feedstock Conversion Rates'!B$5)/12+150</f>
        <v>150</v>
      </c>
      <c r="AU186" s="106">
        <f t="shared" si="104"/>
        <v>456.25</v>
      </c>
      <c r="AV186" s="104">
        <f>'Renewable Diesel'!N195*'RD Feedstock Breakdown'!$AV$3*'Feedstock Conversion Rates'!$B$4/12-15-10+25+25-22-17.5</f>
        <v>64.249999999999986</v>
      </c>
      <c r="AW186" s="104">
        <f>'Renewable Diesel'!N195*'RD Feedstock Breakdown'!$AW$3*'Feedstock Conversion Rates'!$B$7/12+15+10-25-25+22+17.5</f>
        <v>55.900000000000006</v>
      </c>
      <c r="AX186" s="106">
        <f t="shared" si="141"/>
        <v>120.14999999999999</v>
      </c>
      <c r="AY186" s="104">
        <f>('Renewable Diesel'!O195*'RD Feedstock Breakdown'!AY$3*'Feedstock Conversion Rates'!B$4)/12+34-100-20-262</f>
        <v>-137.0625</v>
      </c>
      <c r="AZ186" s="104">
        <f>('Renewable Diesel'!O195*'RD Feedstock Breakdown'!AZ$3*'Feedstock Conversion Rates'!B$3)/12-34+100+20+262</f>
        <v>373.03125</v>
      </c>
      <c r="BA186" s="106">
        <f t="shared" si="120"/>
        <v>235.96875</v>
      </c>
      <c r="BB186" s="104">
        <f>('Renewable Diesel'!Q195*'RD Feedstock Breakdown'!BB$3*'Feedstock Conversion Rates'!B$4)/12</f>
        <v>11.156249999999998</v>
      </c>
      <c r="BC186" s="104">
        <f>('Renewable Diesel'!Q195*'RD Feedstock Breakdown'!BC$3*'Feedstock Conversion Rates'!B$3)/12</f>
        <v>1.4017500000000001</v>
      </c>
      <c r="BD186" s="104">
        <f>('Renewable Diesel'!Q195*'RD Feedstock Breakdown'!BD$3*'Feedstock Conversion Rates'!B$6)/12</f>
        <v>0.8207500000000002</v>
      </c>
      <c r="BE186" s="106">
        <f t="shared" si="90"/>
        <v>13.378749999999998</v>
      </c>
      <c r="BF186" s="104">
        <f>('Renewable Diesel'!R195*'RD Feedstock Breakdown'!BF$3*'Feedstock Conversion Rates'!B$4)/12</f>
        <v>62.5</v>
      </c>
      <c r="BG186" s="106">
        <f t="shared" si="72"/>
        <v>62.5</v>
      </c>
      <c r="BH186" s="104">
        <f>('Renewable Diesel'!T195*'RD Feedstock Breakdown'!BH$3*'Feedstock Conversion Rates'!B$7)/12</f>
        <v>27.599999999999998</v>
      </c>
      <c r="BI186" s="106">
        <f t="shared" si="64"/>
        <v>27.599999999999998</v>
      </c>
      <c r="BJ186" s="104">
        <f>('Renewable Diesel'!W195*'RD Feedstock Breakdown'!BJ$3*'Feedstock Conversion Rates'!B$4)/12</f>
        <v>7.5</v>
      </c>
      <c r="BK186" s="104">
        <f>('Renewable Diesel'!W195*'RD Feedstock Breakdown'!BK$3*'Feedstock Conversion Rates'!B$3)/12</f>
        <v>1.335</v>
      </c>
      <c r="BL186" s="104">
        <f>('Renewable Diesel'!W195*'RD Feedstock Breakdown'!BL$3*'Feedstock Conversion Rates'!B$6)/12</f>
        <v>3.1266666666666669</v>
      </c>
      <c r="BM186" s="104">
        <f>('Renewable Diesel'!W195*'RD Feedstock Breakdown'!BM$3*'Feedstock Conversion Rates'!B$7)/12</f>
        <v>1.5333333333333332</v>
      </c>
      <c r="BN186" s="106">
        <f t="shared" si="112"/>
        <v>13.495000000000001</v>
      </c>
      <c r="BO186" s="104">
        <f>('Renewable Diesel'!P195*'Feedstock Conversion Rates'!B$4)/12</f>
        <v>31.25</v>
      </c>
      <c r="BP186" s="106">
        <f t="shared" si="102"/>
        <v>31.25</v>
      </c>
      <c r="BQ186" s="104">
        <f>('Renewable Diesel'!$S195*'RD Feedstock Breakdown'!BQ$3*'Feedstock Conversion Rates'!B$4)/12+10</f>
        <v>38.125</v>
      </c>
      <c r="BR186" s="104">
        <f>('Renewable Diesel'!$S195*'RD Feedstock Breakdown'!BR$3*'Feedstock Conversion Rates'!B$7)/12-10</f>
        <v>1.5</v>
      </c>
      <c r="BS186" s="106">
        <f t="shared" si="123"/>
        <v>39.625</v>
      </c>
      <c r="BT186" s="106"/>
      <c r="BU186" s="104">
        <f>('Renewable Diesel'!Y195*'Feedstock Conversion Rates'!B$7)/12</f>
        <v>2.6833333333333331</v>
      </c>
      <c r="BV186" s="106">
        <f t="shared" si="93"/>
        <v>2.6833333333333331</v>
      </c>
      <c r="BW186" s="104">
        <f>('Renewable Diesel'!$Z195*'RD Feedstock Breakdown'!BW$3*'Feedstock Conversion Rates'!$B$4)/12</f>
        <v>35.9375</v>
      </c>
      <c r="BX186" s="104">
        <f>('Renewable Diesel'!$Z195*'RD Feedstock Breakdown'!BX$3*'Feedstock Conversion Rates'!$B$5)/12</f>
        <v>3.6177083333333333</v>
      </c>
      <c r="BY186" s="104">
        <f>('Renewable Diesel'!$Z195*'RD Feedstock Breakdown'!BY$3*'Feedstock Conversion Rates'!$B$7)/12</f>
        <v>30.858333333333331</v>
      </c>
      <c r="BZ186" s="104">
        <f>('Renewable Diesel'!$Z195*'RD Feedstock Breakdown'!BZ$3*'Feedstock Conversion Rates'!$B$3)/12</f>
        <v>7.6762499999999996</v>
      </c>
      <c r="CA186" s="106">
        <f t="shared" si="127"/>
        <v>78.089791666666656</v>
      </c>
      <c r="CB186" s="104">
        <f>('Renewable Diesel'!AA195*'Feedstock Conversion Rates'!B$4)/12</f>
        <v>191.25</v>
      </c>
      <c r="CC186" s="106">
        <f t="shared" si="113"/>
        <v>191.25</v>
      </c>
      <c r="CD186" s="104">
        <f>('Renewable Diesel'!$AB195*'RD Feedstock Breakdown'!CD$3*'Feedstock Conversion Rates'!$B$6)/12-15</f>
        <v>17.830000000000005</v>
      </c>
      <c r="CE186" s="104">
        <f>('Renewable Diesel'!$AB195*'RD Feedstock Breakdown'!CE$3*'Feedstock Conversion Rates'!$B$4)/12+15</f>
        <v>26.25</v>
      </c>
      <c r="CF186" s="106">
        <f t="shared" si="108"/>
        <v>44.080000000000005</v>
      </c>
      <c r="CG186" s="104">
        <f>('Renewable Diesel'!AD195*'Feedstock Conversion Rates'!B$4)/12</f>
        <v>112.5</v>
      </c>
      <c r="CH186" s="106">
        <f t="shared" si="89"/>
        <v>112.5</v>
      </c>
      <c r="CI186" s="104">
        <f>('Renewable Diesel'!$AE195*'RD Feedstock Breakdown'!CI$3*'Feedstock Conversion Rates'!$B$5)/12</f>
        <v>0.34604166666666664</v>
      </c>
      <c r="CJ186" s="104">
        <f>('Renewable Diesel'!$AE195*'RD Feedstock Breakdown'!CJ$3*'Feedstock Conversion Rates'!$B$4)/12</f>
        <v>0.34375</v>
      </c>
      <c r="CK186" s="106">
        <f t="shared" si="103"/>
        <v>0.68979166666666658</v>
      </c>
      <c r="CL186" s="104">
        <f>(((CL$3*'Renewable Diesel'!$AF195)*'Feedstock Conversion Rates'!$B$3)/12)-35</f>
        <v>56.78125</v>
      </c>
      <c r="CM186" s="104">
        <f>(((CM$3*'Renewable Diesel'!$AF195)*'Feedstock Conversion Rates'!$B$6)/12)-32.5+35-50</f>
        <v>6.2395833333333357</v>
      </c>
      <c r="CN186" s="104">
        <f>(((CN$3*'Renewable Diesel'!$AF195)*'Feedstock Conversion Rates'!$B$4)/12)+32.5+50</f>
        <v>125.46875</v>
      </c>
      <c r="CO186" s="106">
        <f t="shared" si="91"/>
        <v>188.48958333333334</v>
      </c>
      <c r="CP186" s="104">
        <f>('Renewable Diesel'!$AG195*'RD Feedstock Breakdown'!CP$3*'Feedstock Conversion Rates'!$B$3)/12</f>
        <v>6.0075000000000003</v>
      </c>
      <c r="CQ186" s="104">
        <f>('Renewable Diesel'!$AG195*'RD Feedstock Breakdown'!CQ$3*'Feedstock Conversion Rates'!$B$6)/12</f>
        <v>3.5175000000000001</v>
      </c>
      <c r="CR186" s="104">
        <f>('Renewable Diesel'!$AG195*'RD Feedstock Breakdown'!CR$3*'Feedstock Conversion Rates'!$B$4)/12</f>
        <v>2.8125</v>
      </c>
      <c r="CS186" s="106">
        <f t="shared" si="134"/>
        <v>12.3375</v>
      </c>
      <c r="CT186" s="104">
        <f>('Renewable Diesel'!AI195*'Feedstock Conversion Rates'!$B$4*'RD Feedstock Breakdown'!$CT$3)/12</f>
        <v>29.375</v>
      </c>
      <c r="CU186" s="106">
        <f t="shared" si="99"/>
        <v>29.375</v>
      </c>
      <c r="CV186" s="106"/>
      <c r="CW186" s="106"/>
      <c r="CX186" s="104">
        <f>('Renewable Diesel'!AO195*'RD Feedstock Breakdown'!$CX$3*'Feedstock Conversion Rates'!$B$3)/12</f>
        <v>6.3412499999999996</v>
      </c>
      <c r="CY186" s="104">
        <f>('Renewable Diesel'!AO195*'RD Feedstock Breakdown'!$CY$3*'Feedstock Conversion Rates'!$B$6)/12</f>
        <v>7.4258333333333342</v>
      </c>
      <c r="CZ186" s="106">
        <f t="shared" si="135"/>
        <v>13.767083333333334</v>
      </c>
      <c r="DA186" s="106"/>
      <c r="DB186" s="106"/>
      <c r="DC186" s="106"/>
      <c r="DD186" s="106"/>
      <c r="DE186" s="106"/>
      <c r="DF186" s="104">
        <f>('Renewable Diesel'!AR195*'Feedstock Conversion Rates'!$B$4*$DF$3)/12</f>
        <v>75</v>
      </c>
      <c r="DG186" s="106">
        <f t="shared" si="136"/>
        <v>75</v>
      </c>
      <c r="DH186" s="104">
        <f>('Renewable Diesel'!AS195*'Feedstock Conversion Rates'!$B$4*$DH$3)/12</f>
        <v>75</v>
      </c>
      <c r="DI186" s="106">
        <f t="shared" si="142"/>
        <v>75</v>
      </c>
      <c r="DJ186" s="104">
        <f>('Renewable Diesel'!AT195*'Feedstock Conversion Rates'!$B$4*0.25)/12</f>
        <v>8.59375</v>
      </c>
      <c r="DK186" s="104">
        <f>('Renewable Diesel'!$AT195*'RD Feedstock Breakdown'!DK$3*'Feedstock Conversion Rates'!$B$3)/12*0.5</f>
        <v>9.1781249999999996</v>
      </c>
      <c r="DL186" s="104">
        <f>('Renewable Diesel'!$AT195*'RD Feedstock Breakdown'!$DL$3*'Feedstock Conversion Rates'!$B$6)/12</f>
        <v>10.747916666666669</v>
      </c>
      <c r="DM186" s="104">
        <f>('Renewable Diesel'!$AT195*'RD Feedstock Breakdown'!$DM$3*'Feedstock Conversion Rates'!$B$8)/12</f>
        <v>10.7421875</v>
      </c>
      <c r="DN186" s="106">
        <f t="shared" si="110"/>
        <v>39.26197916666667</v>
      </c>
      <c r="DP186" s="104">
        <f t="shared" si="73"/>
        <v>52.470249999999993</v>
      </c>
      <c r="DQ186" s="104">
        <f t="shared" si="74"/>
        <v>847.59964250000007</v>
      </c>
      <c r="DR186" s="104">
        <f t="shared" si="82"/>
        <v>1479.8125</v>
      </c>
      <c r="DS186" s="104">
        <f t="shared" si="100"/>
        <v>230.24708333333334</v>
      </c>
      <c r="DT186" s="104">
        <f t="shared" si="75"/>
        <v>424.17464999999993</v>
      </c>
      <c r="DU186" s="104">
        <f t="shared" si="76"/>
        <v>237.29776666666666</v>
      </c>
      <c r="DV186" s="104">
        <f t="shared" si="83"/>
        <v>35.924999999999997</v>
      </c>
      <c r="DW186" s="104">
        <f t="shared" si="77"/>
        <v>2.5</v>
      </c>
      <c r="DX186" s="106">
        <f t="shared" si="78"/>
        <v>3310.0268925</v>
      </c>
      <c r="DY186" s="109">
        <f t="shared" si="79"/>
        <v>-1.1368683772161603E-13</v>
      </c>
      <c r="EA186" s="110">
        <f t="shared" si="114"/>
        <v>1.5851910484138157E-2</v>
      </c>
      <c r="EB186" s="110">
        <f t="shared" si="114"/>
        <v>0.25607031907218863</v>
      </c>
      <c r="EC186" s="110">
        <f t="shared" si="114"/>
        <v>0.44706963056796373</v>
      </c>
      <c r="ED186" s="110">
        <f t="shared" si="114"/>
        <v>6.9560487213876421E-2</v>
      </c>
      <c r="EE186" s="110">
        <f t="shared" si="114"/>
        <v>0.12814839993025826</v>
      </c>
      <c r="EF186" s="110">
        <f t="shared" si="114"/>
        <v>7.1690585718305208E-2</v>
      </c>
      <c r="EG186" s="110">
        <f t="shared" si="114"/>
        <v>1.0853386140578009E-2</v>
      </c>
      <c r="EH186" s="111">
        <f t="shared" si="84"/>
        <v>7.5528087269158045E-4</v>
      </c>
      <c r="EI186" s="110">
        <f t="shared" si="85"/>
        <v>0.99924471912730839</v>
      </c>
      <c r="EK186" s="132">
        <f>(EA186*'Renewable Diesel'!BF195*'Feedstock Conversion Rates'!B$2)+FB186</f>
        <v>28.657387159017961</v>
      </c>
      <c r="EL186" s="132">
        <f>(EB186*'Renewable Diesel'!BF195*'Feedstock Conversion Rates'!B$3)+FC186</f>
        <v>436.24233855510039</v>
      </c>
      <c r="EM186" s="132">
        <f>(EC186*'Renewable Diesel'!BF195*'Feedstock Conversion Rates'!B$4)+FD186</f>
        <v>713.13620690807602</v>
      </c>
      <c r="EN186" s="132">
        <f>(ED186*'Renewable Diesel'!BF195*'Feedstock Conversion Rates'!B$5)+FE186</f>
        <v>111.69805760597885</v>
      </c>
      <c r="EO186" s="132">
        <f>(EE186*'Renewable Diesel'!BF195*'Feedstock Conversion Rates'!B$6)+FF186</f>
        <v>255.65369874680923</v>
      </c>
      <c r="EP186" s="132">
        <f>(EF186*'Renewable Diesel'!BF195*'Feedstock Conversion Rates'!B$7)+FG186</f>
        <v>140.27685164181307</v>
      </c>
      <c r="EQ186" s="132">
        <f>(EG186*'Renewable Diesel'!BF195*'Feedstock Conversion Rates'!B$8)+FH186</f>
        <v>21.640763807215968</v>
      </c>
      <c r="ER186" s="132">
        <f>(EH186*'Renewable Diesel'!BF195*'Feedstock Conversion Rates'!B$9)+FI186</f>
        <v>1.4858886770902175</v>
      </c>
      <c r="ES186" s="132">
        <f t="shared" si="86"/>
        <v>1708.7911931011017</v>
      </c>
      <c r="ET186" s="133">
        <f>ES186/'Renewable Diesel'!BF195</f>
        <v>8.0343906257024464</v>
      </c>
      <c r="EW186" s="73">
        <f t="shared" si="124"/>
        <v>824.83426451405489</v>
      </c>
      <c r="EX186" s="73">
        <f t="shared" si="125"/>
        <v>883.95692858704683</v>
      </c>
      <c r="EY186" s="92">
        <f t="shared" si="71"/>
        <v>0.48270044218635733</v>
      </c>
      <c r="EZ186" s="92">
        <f t="shared" si="71"/>
        <v>0.51729955781364267</v>
      </c>
      <c r="FB186" s="102">
        <f>IF('Renewable Diesel'!$BG195&lt;1,0,(((('Renewable Diesel'!$BG195-1)*'Renewable Diesel'!$BF195)*'RD Feedstock Breakdown'!EA186)*'Feedstock Conversion Rates'!$B$2))</f>
        <v>0</v>
      </c>
      <c r="FC186" s="102">
        <f>IF('Renewable Diesel'!$BG195&lt;1,0,(((('Renewable Diesel'!$BG195-1)*'Renewable Diesel'!$BF195)*'RD Feedstock Breakdown'!EB186)*'Feedstock Conversion Rates'!$B$3))</f>
        <v>0</v>
      </c>
      <c r="FD186" s="102">
        <f>IF('Renewable Diesel'!$BG195&lt;1,0,(((('Renewable Diesel'!$BG195-1)*'Renewable Diesel'!$BF195)*'RD Feedstock Breakdown'!EC186)*'Feedstock Conversion Rates'!$B$4))</f>
        <v>0</v>
      </c>
      <c r="FE186" s="102">
        <f>IF('Renewable Diesel'!$BG195&lt;1,0,(((('Renewable Diesel'!$BG195-1)*'Renewable Diesel'!$BF195)*'RD Feedstock Breakdown'!ED186)*'Feedstock Conversion Rates'!$B$5))</f>
        <v>0</v>
      </c>
      <c r="FF186" s="102">
        <f>IF('Renewable Diesel'!$BG195&lt;1,0,(((('Renewable Diesel'!$BG195-1)*'Renewable Diesel'!$BF195)*'RD Feedstock Breakdown'!EE186)*'Feedstock Conversion Rates'!$B$6))</f>
        <v>0</v>
      </c>
      <c r="FG186" s="102">
        <f>IF('Renewable Diesel'!$BG195&lt;1,0,(((('Renewable Diesel'!$BG195-1)*'Renewable Diesel'!$BF195)*'RD Feedstock Breakdown'!EF186)*'Feedstock Conversion Rates'!$B$7))</f>
        <v>0</v>
      </c>
      <c r="FH186" s="102">
        <f>IF('Renewable Diesel'!$BG195&lt;1,0,(((('Renewable Diesel'!$BG195-1)*'Renewable Diesel'!$BF195)*'RD Feedstock Breakdown'!EG186)*'Feedstock Conversion Rates'!$B$8))</f>
        <v>0</v>
      </c>
      <c r="FI186" s="102">
        <f>IF('Renewable Diesel'!$BG195&lt;1,0,(((('Renewable Diesel'!$BG195-1)*'Renewable Diesel'!$BF195)*'RD Feedstock Breakdown'!EH186)*'Feedstock Conversion Rates'!$B$9))</f>
        <v>0</v>
      </c>
      <c r="FJ186" s="102">
        <f t="shared" si="126"/>
        <v>0</v>
      </c>
      <c r="FL186" s="3">
        <f>('Renewable Diesel'!AX195/12*$FO$80)*'RD Feedstock Breakdown'!EC186*7.5</f>
        <v>1269.2517772806416</v>
      </c>
      <c r="FM186" s="3">
        <f t="shared" si="96"/>
        <v>556.11557037256557</v>
      </c>
      <c r="FR186" s="3">
        <f>('Renewable Diesel'!AX195-'Renewable Diesel'!BI195)/12*$FO$80</f>
        <v>46.447125000000007</v>
      </c>
      <c r="FS186" s="100">
        <f t="shared" si="97"/>
        <v>0.44706963056796373</v>
      </c>
      <c r="FT186" s="3">
        <f t="shared" si="98"/>
        <v>155.73824261020525</v>
      </c>
      <c r="FY186" s="3">
        <f>'Renewable Diesel'!BF195*('Renewable Diesel'!BI195/'Renewable Diesel'!AX195)</f>
        <v>186.58802771190125</v>
      </c>
      <c r="FZ186" s="3">
        <f>('Renewable Diesel'!BJ195*'Renewable Diesel'!BG195)/12</f>
        <v>28.348959967971151</v>
      </c>
      <c r="GA186" s="3">
        <f t="shared" si="105"/>
        <v>95.054692949001407</v>
      </c>
      <c r="GD186" s="91">
        <f>'Renewable Diesel'!BB195*0.32</f>
        <v>0</v>
      </c>
      <c r="GE186" s="91">
        <f>'Renewable Diesel'!BC195</f>
        <v>18.303595228116713</v>
      </c>
      <c r="GF186" s="91">
        <f>'Renewable Diesel'!BD195</f>
        <v>0</v>
      </c>
      <c r="GG186" s="91">
        <f t="shared" si="109"/>
        <v>18.303595228116713</v>
      </c>
      <c r="GH186" s="124">
        <v>1</v>
      </c>
      <c r="GI186" s="102">
        <f>$GG186*EA186*'Feedstock Conversion Rates'!$B$2</f>
        <v>2.466249101299038</v>
      </c>
      <c r="GJ186" s="102">
        <f>$GG186*EB186*'Feedstock Conversion Rates'!$B$3</f>
        <v>37.542929836558606</v>
      </c>
      <c r="GK186" s="102">
        <f>$GG186*EC186*'Feedstock Conversion Rates'!$B$4</f>
        <v>61.37236167524761</v>
      </c>
      <c r="GL186" s="102">
        <f>$GG186*ED186*'Feedstock Conversion Rates'!$B$5</f>
        <v>9.6127128638420345</v>
      </c>
      <c r="GM186" s="102">
        <f>$GG186*EE186*'Feedstock Conversion Rates'!$B$6</f>
        <v>22.001507020841029</v>
      </c>
      <c r="GN186" s="102">
        <f>$GG186*EF186*'Feedstock Conversion Rates'!$B$7</f>
        <v>12.072198256421062</v>
      </c>
      <c r="GO186" s="102">
        <f>$GG186*EG186*'Feedstock Conversion Rates'!$B$8</f>
        <v>1.8623998759836724</v>
      </c>
      <c r="GP186" s="102">
        <f>$GG186*EH186*'Feedstock Conversion Rates'!B$9</f>
        <v>0.12787528723989031</v>
      </c>
      <c r="GQ186" s="102">
        <f t="shared" si="87"/>
        <v>147.05823391743294</v>
      </c>
      <c r="GR186" s="85">
        <f t="shared" si="107"/>
        <v>8.0343906257024464</v>
      </c>
      <c r="GT186" s="103">
        <f t="shared" si="111"/>
        <v>1.6770561128074839E-2</v>
      </c>
      <c r="GU186" s="103">
        <f t="shared" si="111"/>
        <v>0.25529294645029799</v>
      </c>
      <c r="GV186" s="103">
        <f t="shared" si="111"/>
        <v>0.41733373263346568</v>
      </c>
      <c r="GW186" s="103">
        <f t="shared" si="111"/>
        <v>6.5366709552891616E-2</v>
      </c>
      <c r="GX186" s="103">
        <f t="shared" si="111"/>
        <v>0.14961084758568469</v>
      </c>
      <c r="GY186" s="103">
        <f t="shared" si="111"/>
        <v>8.20912772772662E-2</v>
      </c>
      <c r="GZ186" s="103">
        <f t="shared" si="111"/>
        <v>1.2664369932725641E-2</v>
      </c>
      <c r="HA186" s="103">
        <f t="shared" si="111"/>
        <v>8.695554395933172E-4</v>
      </c>
    </row>
    <row r="187" spans="1:209" x14ac:dyDescent="0.25">
      <c r="A187" s="96">
        <v>46113</v>
      </c>
      <c r="B187" s="104">
        <f>23-20+10+85-5-4-4-1.25+2.25-5+15-6-25-45+65+15-22.5-50+40+16.5+27.5+168+80+14-30+15-50-19+22.5-10+5+11-25-50-12.5-27.5-10+10+2+4-1.5+12-26-15-50-15+10-32.5-3-5-2.5-1+5+10-50-35-9-0.5+25+15+25+20+15+85-25+12.5-52.5+10+20-150+20-20+55-25-25+20+15+200-200</f>
        <v>40</v>
      </c>
      <c r="C187" s="104">
        <f t="shared" si="143"/>
        <v>20</v>
      </c>
      <c r="D187" s="104">
        <f t="shared" si="95"/>
        <v>1.5</v>
      </c>
      <c r="E187" s="104">
        <f>('Renewable Diesel'!B196*E$3*'Feedstock Conversion Rates'!$B$2)/12-40+1.25+6-43+30-15+12.5-4+1.5+26+2.5+3-10+50+9-15-25-55+15+45+10-50+60-60</f>
        <v>44.679999999999993</v>
      </c>
      <c r="F187" s="104">
        <f>('Renewable Diesel'!B196*'RD Feedstock Breakdown'!F$3*'Feedstock Conversion Rates'!B$8)/12+28.5-49-5+2-6+1+6+20-20-3.75+10+2.5+5-20-20</f>
        <v>5.15625</v>
      </c>
      <c r="G187" s="104">
        <f>('Renewable Diesel'!B196*'RD Feedstock Breakdown'!G$3*'Feedstock Conversion Rates'!B$7)/12-25-15-25+4+4-20-40-20+10-17.5+20+50-12+32.5+35-75-75+22.5+5-20+15+125-10-45-10-40-40</f>
        <v>9.6570000000000107</v>
      </c>
      <c r="H187" s="104">
        <f>('Renewable Diesel'!B196*'RD Feedstock Breakdown'!H$3*'Feedstock Conversion Rates'!B$3)/12-85+4-15+70-65-80+50-22.5-5+25+27.5+15+50+15-10+5+50+75-5-25-85-12.5+30+22.5-25-30+150+90-120+25+10+70-200+200</f>
        <v>375.40022499999998</v>
      </c>
      <c r="I187" s="106">
        <f t="shared" si="106"/>
        <v>496.39347499999997</v>
      </c>
      <c r="J187" s="104">
        <f>2+10+12+15-6-20-5-5+7+105+30+87+5-10-5-25-27.5+1-1-15-17.5-6-10-77.5-7.5-1+17.5+15+90+2+2.5+2.5+7.5+27.5-32-11-25+5-50-30+50</f>
        <v>106.5</v>
      </c>
      <c r="K187" s="104">
        <f t="shared" si="139"/>
        <v>0</v>
      </c>
      <c r="L187" s="104">
        <v>1</v>
      </c>
      <c r="M187" s="104">
        <f>('Renewable Diesel'!C196*'RD Feedstock Breakdown'!M$3*'Feedstock Conversion Rates'!B$2)/12</f>
        <v>7.7902500000000003</v>
      </c>
      <c r="N187" s="104">
        <f>('Renewable Diesel'!C196*'RD Feedstock Breakdown'!N$3*'Feedstock Conversion Rates'!B$8)/12</f>
        <v>3.671875</v>
      </c>
      <c r="O187" s="104">
        <f>('Renewable Diesel'!C196*'RD Feedstock Breakdown'!O$3*'Feedstock Conversion Rates'!B$7)/12</f>
        <v>11.9991</v>
      </c>
      <c r="P187" s="104">
        <f>('Renewable Diesel'!C196*'RD Feedstock Breakdown'!P$3*'Feedstock Conversion Rates'!B$3)/12</f>
        <v>10.4470425</v>
      </c>
      <c r="Q187" s="106">
        <f t="shared" si="119"/>
        <v>141.40826750000002</v>
      </c>
      <c r="R187" s="104">
        <f>('Renewable Diesel'!D196*'RD Feedstock Breakdown'!R$3*'Feedstock Conversion Rates'!B$7)/12</f>
        <v>2.2999999999999998</v>
      </c>
      <c r="S187" s="106">
        <f t="shared" si="67"/>
        <v>2.2999999999999998</v>
      </c>
      <c r="T187" s="104">
        <f t="shared" si="138"/>
        <v>0.82499999999999929</v>
      </c>
      <c r="U187" s="104">
        <v>0</v>
      </c>
      <c r="V187" s="104">
        <f>('Renewable Diesel'!E196*'RD Feedstock Breakdown'!V$3*'Feedstock Conversion Rates'!B$6)/12-20+25</f>
        <v>49.250150000000012</v>
      </c>
      <c r="W187" s="104">
        <f>('Renewable Diesel'!E196*'RD Feedstock Breakdown'!W$3*'Feedstock Conversion Rates'!B$8)/12-5.825</f>
        <v>16.354687500000001</v>
      </c>
      <c r="X187" s="106">
        <f t="shared" si="88"/>
        <v>66.429837500000005</v>
      </c>
      <c r="Y187" s="104">
        <f t="shared" si="140"/>
        <v>0.5</v>
      </c>
      <c r="Z187" s="104">
        <f>('Renewable Diesel'!F196*'RD Feedstock Breakdown'!Z$3*'Feedstock Conversion Rates'!B$6)/12-50-32-60+15+30+22.5-15-25-20+20-10+5+100+30</f>
        <v>169.96</v>
      </c>
      <c r="AA187" s="104">
        <f>('Renewable Diesel'!F196*'RD Feedstock Breakdown'!AA$3*'Feedstock Conversion Rates'!B$7)/12+80-171+75+50+20-65</f>
        <v>93.266666666666652</v>
      </c>
      <c r="AB187" s="106">
        <f t="shared" si="137"/>
        <v>263.72666666666669</v>
      </c>
      <c r="AC187" s="104">
        <f>('Renewable Diesel'!G196*'RD Feedstock Breakdown'!AC$3*'Feedstock Conversion Rates'!B$5)/12</f>
        <v>7.864583333333333</v>
      </c>
      <c r="AD187" s="104">
        <f>('Renewable Diesel'!G196*'RD Feedstock Breakdown'!AD$3*'Feedstock Conversion Rates'!B$4)/12</f>
        <v>3.90625</v>
      </c>
      <c r="AE187" s="104">
        <f>('Renewable Diesel'!G196*'RD Feedstock Breakdown'!AE$3*'Feedstock Conversion Rates'!B$6)/12</f>
        <v>4.885416666666667</v>
      </c>
      <c r="AF187" s="106">
        <f t="shared" si="101"/>
        <v>16.65625</v>
      </c>
      <c r="AG187" s="104">
        <f t="shared" si="131"/>
        <v>39</v>
      </c>
      <c r="AH187" s="104">
        <v>0</v>
      </c>
      <c r="AI187" s="104">
        <f>('Renewable Diesel'!H196*'RD Feedstock Breakdown'!AI$3*'Feedstock Conversion Rates'!B$6)/12-130-20+51+5-100-25+100-10-25+15+22.5-22.5+100</f>
        <v>109.51666666666668</v>
      </c>
      <c r="AJ187" s="106">
        <f t="shared" si="65"/>
        <v>148.51666666666668</v>
      </c>
      <c r="AK187" s="104">
        <f>('Renewable Diesel'!J196*'RD Feedstock Breakdown'!AK$3*'Feedstock Conversion Rates'!B$4)/12</f>
        <v>95.8125</v>
      </c>
      <c r="AL187" s="106">
        <f t="shared" si="68"/>
        <v>95.8125</v>
      </c>
      <c r="AM187" s="104">
        <f>('Renewable Diesel'!K196*'RD Feedstock Breakdown'!AM$3*'Feedstock Conversion Rates'!B$4)/12+5+15-10+4-25</f>
        <v>47.59375</v>
      </c>
      <c r="AN187" s="104">
        <f>('Renewable Diesel'!K196*'RD Feedstock Breakdown'!AN$3*'Feedstock Conversion Rates'!B$6)/12-5-15+10-4+25</f>
        <v>35.427083333333329</v>
      </c>
      <c r="AO187" s="106">
        <f t="shared" si="81"/>
        <v>83.020833333333329</v>
      </c>
      <c r="AP187" s="104">
        <f>('Renewable Diesel'!L196*'RD Feedstock Breakdown'!AP$3*'Feedstock Conversion Rates'!B$4)/12+15-10+14</f>
        <v>77.59375</v>
      </c>
      <c r="AQ187" s="104">
        <f>('Renewable Diesel'!L196*'RD Feedstock Breakdown'!AQ$3*'Feedstock Conversion Rates'!B$6)/12-15+10-14</f>
        <v>5.4270833333333321</v>
      </c>
      <c r="AR187" s="106">
        <f t="shared" si="70"/>
        <v>83.020833333333329</v>
      </c>
      <c r="AS187" s="104">
        <f>('Renewable Diesel'!M196*'RD Feedstock Breakdown'!AS$3*'Feedstock Conversion Rates'!B$4)/12-150</f>
        <v>306.25</v>
      </c>
      <c r="AT187" s="104">
        <f>('Renewable Diesel'!M196*'RD Feedstock Breakdown'!AT$3*'Feedstock Conversion Rates'!B$5)/12+150-50</f>
        <v>100</v>
      </c>
      <c r="AU187" s="106">
        <f t="shared" si="104"/>
        <v>406.25</v>
      </c>
      <c r="AV187" s="104">
        <f>'Renewable Diesel'!N196*'RD Feedstock Breakdown'!$AV$3*'Feedstock Conversion Rates'!$B$4/12-15-10+25+25-22-17.5</f>
        <v>64.249999999999986</v>
      </c>
      <c r="AW187" s="104">
        <f>'Renewable Diesel'!N196*'RD Feedstock Breakdown'!$AW$3*'Feedstock Conversion Rates'!$B$7/12+15+10-25-25+22+17.5</f>
        <v>55.900000000000006</v>
      </c>
      <c r="AX187" s="106">
        <f t="shared" si="141"/>
        <v>120.14999999999999</v>
      </c>
      <c r="AY187" s="104">
        <f>('Renewable Diesel'!O196*'RD Feedstock Breakdown'!AY$3*'Feedstock Conversion Rates'!B$4)/12+34-100-20-262</f>
        <v>-137.0625</v>
      </c>
      <c r="AZ187" s="104">
        <f>('Renewable Diesel'!O196*'RD Feedstock Breakdown'!AZ$3*'Feedstock Conversion Rates'!B$3)/12-34+100+20+262</f>
        <v>373.03125</v>
      </c>
      <c r="BA187" s="106">
        <f t="shared" si="120"/>
        <v>235.96875</v>
      </c>
      <c r="BB187" s="104">
        <f>('Renewable Diesel'!Q196*'RD Feedstock Breakdown'!BB$3*'Feedstock Conversion Rates'!B$4)/12</f>
        <v>11.156249999999998</v>
      </c>
      <c r="BC187" s="104">
        <f>('Renewable Diesel'!Q196*'RD Feedstock Breakdown'!BC$3*'Feedstock Conversion Rates'!B$3)/12</f>
        <v>1.4017500000000001</v>
      </c>
      <c r="BD187" s="104">
        <f>('Renewable Diesel'!Q196*'RD Feedstock Breakdown'!BD$3*'Feedstock Conversion Rates'!B$6)/12</f>
        <v>0.8207500000000002</v>
      </c>
      <c r="BE187" s="106">
        <f t="shared" si="90"/>
        <v>13.378749999999998</v>
      </c>
      <c r="BF187" s="104">
        <f>('Renewable Diesel'!R196*'RD Feedstock Breakdown'!BF$3*'Feedstock Conversion Rates'!B$4)/12</f>
        <v>62.5</v>
      </c>
      <c r="BG187" s="106">
        <f t="shared" si="72"/>
        <v>62.5</v>
      </c>
      <c r="BH187" s="104">
        <f>('Renewable Diesel'!T196*'RD Feedstock Breakdown'!BH$3*'Feedstock Conversion Rates'!B$7)/12</f>
        <v>27.599999999999998</v>
      </c>
      <c r="BI187" s="106">
        <f t="shared" si="64"/>
        <v>27.599999999999998</v>
      </c>
      <c r="BJ187" s="104">
        <f>('Renewable Diesel'!W196*'RD Feedstock Breakdown'!BJ$3*'Feedstock Conversion Rates'!B$4)/12</f>
        <v>7.5</v>
      </c>
      <c r="BK187" s="104">
        <f>('Renewable Diesel'!W196*'RD Feedstock Breakdown'!BK$3*'Feedstock Conversion Rates'!B$3)/12</f>
        <v>1.335</v>
      </c>
      <c r="BL187" s="104">
        <f>('Renewable Diesel'!W196*'RD Feedstock Breakdown'!BL$3*'Feedstock Conversion Rates'!B$6)/12</f>
        <v>3.1266666666666669</v>
      </c>
      <c r="BM187" s="104">
        <f>('Renewable Diesel'!W196*'RD Feedstock Breakdown'!BM$3*'Feedstock Conversion Rates'!B$7)/12</f>
        <v>1.5333333333333332</v>
      </c>
      <c r="BN187" s="106">
        <f t="shared" si="112"/>
        <v>13.495000000000001</v>
      </c>
      <c r="BO187" s="104">
        <f>('Renewable Diesel'!P196*'Feedstock Conversion Rates'!B$4)/12</f>
        <v>31.25</v>
      </c>
      <c r="BP187" s="106">
        <f t="shared" si="102"/>
        <v>31.25</v>
      </c>
      <c r="BQ187" s="104">
        <f>('Renewable Diesel'!$S196*'RD Feedstock Breakdown'!BQ$3*'Feedstock Conversion Rates'!B$4)/12+10</f>
        <v>38.125</v>
      </c>
      <c r="BR187" s="104">
        <f>('Renewable Diesel'!$S196*'RD Feedstock Breakdown'!BR$3*'Feedstock Conversion Rates'!B$7)/12-10</f>
        <v>1.5</v>
      </c>
      <c r="BS187" s="106">
        <f t="shared" si="123"/>
        <v>39.625</v>
      </c>
      <c r="BT187" s="106"/>
      <c r="BU187" s="104">
        <f>('Renewable Diesel'!Y196*'Feedstock Conversion Rates'!B$7)/12</f>
        <v>2.6833333333333331</v>
      </c>
      <c r="BV187" s="106">
        <f t="shared" si="93"/>
        <v>2.6833333333333331</v>
      </c>
      <c r="BW187" s="104">
        <f>('Renewable Diesel'!$Z196*'RD Feedstock Breakdown'!BW$3*'Feedstock Conversion Rates'!$B$4)/12</f>
        <v>35.9375</v>
      </c>
      <c r="BX187" s="104">
        <f>('Renewable Diesel'!$Z196*'RD Feedstock Breakdown'!BX$3*'Feedstock Conversion Rates'!$B$5)/12</f>
        <v>3.6177083333333333</v>
      </c>
      <c r="BY187" s="104">
        <f>('Renewable Diesel'!$Z196*'RD Feedstock Breakdown'!BY$3*'Feedstock Conversion Rates'!$B$7)/12</f>
        <v>30.858333333333331</v>
      </c>
      <c r="BZ187" s="104">
        <f>('Renewable Diesel'!$Z196*'RD Feedstock Breakdown'!BZ$3*'Feedstock Conversion Rates'!$B$3)/12</f>
        <v>7.6762499999999996</v>
      </c>
      <c r="CA187" s="106">
        <f t="shared" si="127"/>
        <v>78.089791666666656</v>
      </c>
      <c r="CB187" s="104">
        <f>('Renewable Diesel'!AA196*'Feedstock Conversion Rates'!B$4)/12</f>
        <v>191.25</v>
      </c>
      <c r="CC187" s="106">
        <f t="shared" si="113"/>
        <v>191.25</v>
      </c>
      <c r="CD187" s="104">
        <f>('Renewable Diesel'!$AB196*'RD Feedstock Breakdown'!CD$3*'Feedstock Conversion Rates'!$B$6)/12-15</f>
        <v>17.830000000000005</v>
      </c>
      <c r="CE187" s="104">
        <f>('Renewable Diesel'!$AB196*'RD Feedstock Breakdown'!CE$3*'Feedstock Conversion Rates'!$B$4)/12+15</f>
        <v>26.25</v>
      </c>
      <c r="CF187" s="106">
        <f t="shared" si="108"/>
        <v>44.080000000000005</v>
      </c>
      <c r="CG187" s="104">
        <f>('Renewable Diesel'!AD196*'Feedstock Conversion Rates'!B$4)/12</f>
        <v>112.5</v>
      </c>
      <c r="CH187" s="106">
        <f t="shared" si="89"/>
        <v>112.5</v>
      </c>
      <c r="CI187" s="104">
        <f>('Renewable Diesel'!$AE196*'RD Feedstock Breakdown'!CI$3*'Feedstock Conversion Rates'!$B$5)/12</f>
        <v>0.34604166666666664</v>
      </c>
      <c r="CJ187" s="104">
        <f>('Renewable Diesel'!$AE196*'RD Feedstock Breakdown'!CJ$3*'Feedstock Conversion Rates'!$B$4)/12</f>
        <v>0.34375</v>
      </c>
      <c r="CK187" s="106">
        <f t="shared" si="103"/>
        <v>0.68979166666666658</v>
      </c>
      <c r="CL187" s="104">
        <f>(((CL$3*'Renewable Diesel'!$AF196)*'Feedstock Conversion Rates'!$B$3)/12)-35</f>
        <v>56.78125</v>
      </c>
      <c r="CM187" s="104">
        <f>(((CM$3*'Renewable Diesel'!$AF196)*'Feedstock Conversion Rates'!$B$6)/12)-32.5+35-50</f>
        <v>6.2395833333333357</v>
      </c>
      <c r="CN187" s="104">
        <f>(((CN$3*'Renewable Diesel'!$AF196)*'Feedstock Conversion Rates'!$B$4)/12)+32.5+50</f>
        <v>125.46875</v>
      </c>
      <c r="CO187" s="106">
        <f t="shared" si="91"/>
        <v>188.48958333333334</v>
      </c>
      <c r="CP187" s="104">
        <f>('Renewable Diesel'!$AG196*'RD Feedstock Breakdown'!CP$3*'Feedstock Conversion Rates'!$B$3)/12</f>
        <v>6.0075000000000003</v>
      </c>
      <c r="CQ187" s="104">
        <f>('Renewable Diesel'!$AG196*'RD Feedstock Breakdown'!CQ$3*'Feedstock Conversion Rates'!$B$6)/12</f>
        <v>3.5175000000000001</v>
      </c>
      <c r="CR187" s="104">
        <f>('Renewable Diesel'!$AG196*'RD Feedstock Breakdown'!CR$3*'Feedstock Conversion Rates'!$B$4)/12</f>
        <v>2.8125</v>
      </c>
      <c r="CS187" s="106">
        <f t="shared" si="134"/>
        <v>12.3375</v>
      </c>
      <c r="CT187" s="104">
        <f>('Renewable Diesel'!AI196*'Feedstock Conversion Rates'!$B$4*'RD Feedstock Breakdown'!$CT$3)/12</f>
        <v>29.375</v>
      </c>
      <c r="CU187" s="106">
        <f t="shared" si="99"/>
        <v>29.375</v>
      </c>
      <c r="CV187" s="106"/>
      <c r="CW187" s="106"/>
      <c r="CX187" s="104">
        <f>('Renewable Diesel'!AO196*'RD Feedstock Breakdown'!$CX$3*'Feedstock Conversion Rates'!$B$3)/12</f>
        <v>6.3412499999999996</v>
      </c>
      <c r="CY187" s="104">
        <f>('Renewable Diesel'!AO196*'RD Feedstock Breakdown'!$CY$3*'Feedstock Conversion Rates'!$B$6)/12</f>
        <v>7.4258333333333342</v>
      </c>
      <c r="CZ187" s="106">
        <f t="shared" si="135"/>
        <v>13.767083333333334</v>
      </c>
      <c r="DA187" s="106"/>
      <c r="DB187" s="106"/>
      <c r="DC187" s="106"/>
      <c r="DD187" s="106"/>
      <c r="DE187" s="106"/>
      <c r="DF187" s="104">
        <f>('Renewable Diesel'!AR196*'Feedstock Conversion Rates'!$B$4*$DF$3)/12</f>
        <v>75</v>
      </c>
      <c r="DG187" s="106">
        <f t="shared" si="136"/>
        <v>75</v>
      </c>
      <c r="DH187" s="104">
        <f>('Renewable Diesel'!AS196*'Feedstock Conversion Rates'!$B$4*$DH$3)/12</f>
        <v>75</v>
      </c>
      <c r="DI187" s="106">
        <f t="shared" si="142"/>
        <v>75</v>
      </c>
      <c r="DJ187" s="104">
        <f>('Renewable Diesel'!AT196*'Feedstock Conversion Rates'!$B$4*0.25)/12</f>
        <v>8.59375</v>
      </c>
      <c r="DK187" s="104">
        <f>('Renewable Diesel'!$AT196*'RD Feedstock Breakdown'!DK$3*'Feedstock Conversion Rates'!$B$3)/12*0.5</f>
        <v>9.1781249999999996</v>
      </c>
      <c r="DL187" s="104">
        <f>('Renewable Diesel'!$AT196*'RD Feedstock Breakdown'!$DL$3*'Feedstock Conversion Rates'!$B$6)/12</f>
        <v>10.747916666666669</v>
      </c>
      <c r="DM187" s="104">
        <f>('Renewable Diesel'!$AT196*'RD Feedstock Breakdown'!$DM$3*'Feedstock Conversion Rates'!$B$8)/12</f>
        <v>10.7421875</v>
      </c>
      <c r="DN187" s="106">
        <f t="shared" si="110"/>
        <v>39.26197916666667</v>
      </c>
      <c r="DP187" s="104">
        <f t="shared" si="73"/>
        <v>52.470249999999993</v>
      </c>
      <c r="DQ187" s="104">
        <f t="shared" si="74"/>
        <v>847.59964250000007</v>
      </c>
      <c r="DR187" s="104">
        <f t="shared" si="82"/>
        <v>1429.8125</v>
      </c>
      <c r="DS187" s="104">
        <f t="shared" si="100"/>
        <v>180.24708333333334</v>
      </c>
      <c r="DT187" s="104">
        <f t="shared" si="75"/>
        <v>424.17464999999993</v>
      </c>
      <c r="DU187" s="104">
        <f t="shared" si="76"/>
        <v>237.29776666666666</v>
      </c>
      <c r="DV187" s="104">
        <f t="shared" si="83"/>
        <v>35.924999999999997</v>
      </c>
      <c r="DW187" s="104">
        <f t="shared" si="77"/>
        <v>2.5</v>
      </c>
      <c r="DX187" s="106">
        <f t="shared" si="78"/>
        <v>3210.0268925</v>
      </c>
      <c r="DY187" s="109">
        <f t="shared" si="79"/>
        <v>-1.1368683772161603E-13</v>
      </c>
      <c r="EA187" s="110">
        <f t="shared" si="114"/>
        <v>1.6345735334053747E-2</v>
      </c>
      <c r="EB187" s="110">
        <f t="shared" si="114"/>
        <v>0.26404752074830168</v>
      </c>
      <c r="EC187" s="110">
        <f t="shared" si="114"/>
        <v>0.44542072321595044</v>
      </c>
      <c r="ED187" s="110">
        <f t="shared" si="114"/>
        <v>5.6151268936240957E-2</v>
      </c>
      <c r="EE187" s="110">
        <f t="shared" si="114"/>
        <v>0.13214052847689653</v>
      </c>
      <c r="EF187" s="110">
        <f t="shared" si="114"/>
        <v>7.3923918588064186E-2</v>
      </c>
      <c r="EG187" s="110">
        <f t="shared" si="114"/>
        <v>1.1191495025769476E-2</v>
      </c>
      <c r="EH187" s="111">
        <f t="shared" si="84"/>
        <v>7.7880967472299762E-4</v>
      </c>
      <c r="EI187" s="110">
        <f t="shared" si="85"/>
        <v>0.99922119032527701</v>
      </c>
      <c r="EK187" s="132">
        <f>(EA187*'Renewable Diesel'!BF196*'Feedstock Conversion Rates'!B$2)+FB187</f>
        <v>30.241173973073202</v>
      </c>
      <c r="EL187" s="132">
        <f>(EB187*'Renewable Diesel'!BF196*'Feedstock Conversion Rates'!B$3)+FC187</f>
        <v>460.35182417227645</v>
      </c>
      <c r="EM187" s="132">
        <f>(EC187*'Renewable Diesel'!BF196*'Feedstock Conversion Rates'!B$4)+FD187</f>
        <v>727.12142305919679</v>
      </c>
      <c r="EN187" s="132">
        <f>(ED187*'Renewable Diesel'!BF196*'Feedstock Conversion Rates'!B$5)+FE187</f>
        <v>92.274517934232861</v>
      </c>
      <c r="EO187" s="132">
        <f>(EE187*'Renewable Diesel'!BF196*'Feedstock Conversion Rates'!B$6)+FF187</f>
        <v>269.78272435521092</v>
      </c>
      <c r="EP187" s="132">
        <f>(EF187*'Renewable Diesel'!BF196*'Feedstock Conversion Rates'!B$7)+FG187</f>
        <v>148.0294295971824</v>
      </c>
      <c r="EQ187" s="132">
        <f>(EG187*'Renewable Diesel'!BF196*'Feedstock Conversion Rates'!B$8)+FH187</f>
        <v>22.836768040741045</v>
      </c>
      <c r="ER187" s="132">
        <f>(EH187*'Renewable Diesel'!BF196*'Feedstock Conversion Rates'!B$9)+FI187</f>
        <v>1.5680081976477267</v>
      </c>
      <c r="ES187" s="132">
        <f t="shared" si="86"/>
        <v>1752.2058693295612</v>
      </c>
      <c r="ET187" s="133">
        <f>ES187/'Renewable Diesel'!BF196</f>
        <v>8.0502593596028564</v>
      </c>
      <c r="EW187" s="73">
        <f t="shared" si="124"/>
        <v>819.39594099342969</v>
      </c>
      <c r="EX187" s="73">
        <f t="shared" si="125"/>
        <v>932.80992833613163</v>
      </c>
      <c r="EY187" s="92">
        <f t="shared" si="71"/>
        <v>0.46763679732847346</v>
      </c>
      <c r="EZ187" s="92">
        <f t="shared" si="71"/>
        <v>0.53236320267152659</v>
      </c>
      <c r="FB187" s="102">
        <f>IF('Renewable Diesel'!$BG196&lt;1,0,(((('Renewable Diesel'!$BG196-1)*'Renewable Diesel'!$BF196)*'RD Feedstock Breakdown'!EA187)*'Feedstock Conversion Rates'!$B$2))</f>
        <v>0</v>
      </c>
      <c r="FC187" s="102">
        <f>IF('Renewable Diesel'!$BG196&lt;1,0,(((('Renewable Diesel'!$BG196-1)*'Renewable Diesel'!$BF196)*'RD Feedstock Breakdown'!EB187)*'Feedstock Conversion Rates'!$B$3))</f>
        <v>0</v>
      </c>
      <c r="FD187" s="102">
        <f>IF('Renewable Diesel'!$BG196&lt;1,0,(((('Renewable Diesel'!$BG196-1)*'Renewable Diesel'!$BF196)*'RD Feedstock Breakdown'!EC187)*'Feedstock Conversion Rates'!$B$4))</f>
        <v>0</v>
      </c>
      <c r="FE187" s="102">
        <f>IF('Renewable Diesel'!$BG196&lt;1,0,(((('Renewable Diesel'!$BG196-1)*'Renewable Diesel'!$BF196)*'RD Feedstock Breakdown'!ED187)*'Feedstock Conversion Rates'!$B$5))</f>
        <v>0</v>
      </c>
      <c r="FF187" s="102">
        <f>IF('Renewable Diesel'!$BG196&lt;1,0,(((('Renewable Diesel'!$BG196-1)*'Renewable Diesel'!$BF196)*'RD Feedstock Breakdown'!EE187)*'Feedstock Conversion Rates'!$B$6))</f>
        <v>0</v>
      </c>
      <c r="FG187" s="102">
        <f>IF('Renewable Diesel'!$BG196&lt;1,0,(((('Renewable Diesel'!$BG196-1)*'Renewable Diesel'!$BF196)*'RD Feedstock Breakdown'!EF187)*'Feedstock Conversion Rates'!$B$7))</f>
        <v>0</v>
      </c>
      <c r="FH187" s="102">
        <f>IF('Renewable Diesel'!$BG196&lt;1,0,(((('Renewable Diesel'!$BG196-1)*'Renewable Diesel'!$BF196)*'RD Feedstock Breakdown'!EG187)*'Feedstock Conversion Rates'!$B$8))</f>
        <v>0</v>
      </c>
      <c r="FI187" s="102">
        <f>IF('Renewable Diesel'!$BG196&lt;1,0,(((('Renewable Diesel'!$BG196-1)*'Renewable Diesel'!$BF196)*'RD Feedstock Breakdown'!EH187)*'Feedstock Conversion Rates'!$B$9))</f>
        <v>0</v>
      </c>
      <c r="FJ187" s="102">
        <f t="shared" si="126"/>
        <v>0</v>
      </c>
      <c r="FL187" s="3">
        <f>('Renewable Diesel'!AX196/12*$FO$80)*'RD Feedstock Breakdown'!EC187*7.5</f>
        <v>1270.2078075286618</v>
      </c>
      <c r="FM187" s="3">
        <f t="shared" si="96"/>
        <v>543.08638446946497</v>
      </c>
      <c r="FR187" s="3">
        <f>('Renewable Diesel'!AX196-'Renewable Diesel'!BI196)/12*$FO$80</f>
        <v>48.134625000000007</v>
      </c>
      <c r="FS187" s="100">
        <f t="shared" si="97"/>
        <v>0.44542072321595044</v>
      </c>
      <c r="FT187" s="3">
        <f t="shared" si="98"/>
        <v>160.8011960942143</v>
      </c>
      <c r="FY187" s="3">
        <f>'Renewable Diesel'!BF196*('Renewable Diesel'!BI196/'Renewable Diesel'!AX196)</f>
        <v>190.10398909222383</v>
      </c>
      <c r="FZ187" s="3">
        <f>('Renewable Diesel'!BJ196*'Renewable Diesel'!BG196)/12</f>
        <v>27.035828310197406</v>
      </c>
      <c r="GA187" s="3">
        <f t="shared" si="105"/>
        <v>90.317386490027971</v>
      </c>
      <c r="GD187" s="91">
        <f>'Renewable Diesel'!BB196*0.32</f>
        <v>0</v>
      </c>
      <c r="GE187" s="91">
        <f>'Renewable Diesel'!BC196</f>
        <v>28.923927353115388</v>
      </c>
      <c r="GF187" s="91">
        <f>'Renewable Diesel'!BD196</f>
        <v>0</v>
      </c>
      <c r="GG187" s="91">
        <f t="shared" si="109"/>
        <v>28.923927353115388</v>
      </c>
      <c r="GH187" s="124">
        <v>1</v>
      </c>
      <c r="GI187" s="102">
        <f>$GG187*EA187*'Feedstock Conversion Rates'!$B$2</f>
        <v>4.0186543213510859</v>
      </c>
      <c r="GJ187" s="102">
        <f>$GG187*EB187*'Feedstock Conversion Rates'!$B$3</f>
        <v>61.17470337623179</v>
      </c>
      <c r="GK187" s="102">
        <f>$GG187*EC187*'Feedstock Conversion Rates'!$B$4</f>
        <v>96.624874799027012</v>
      </c>
      <c r="GL187" s="102">
        <f>$GG187*ED187*'Feedstock Conversion Rates'!$B$5</f>
        <v>12.26206993740294</v>
      </c>
      <c r="GM187" s="102">
        <f>$GG187*EE187*'Feedstock Conversion Rates'!$B$6</f>
        <v>35.850576172118132</v>
      </c>
      <c r="GN187" s="102">
        <f>$GG187*EF187*'Feedstock Conversion Rates'!$B$7</f>
        <v>19.67116446826882</v>
      </c>
      <c r="GO187" s="102">
        <f>$GG187*EG187*'Feedstock Conversion Rates'!$B$8</f>
        <v>3.0347061477947674</v>
      </c>
      <c r="GP187" s="102">
        <f>$GG187*EH187*'Feedstock Conversion Rates'!B$9</f>
        <v>0.20836766869572054</v>
      </c>
      <c r="GQ187" s="102">
        <f t="shared" si="87"/>
        <v>232.84511689089027</v>
      </c>
      <c r="GR187" s="85">
        <f t="shared" si="107"/>
        <v>8.0502593596028582</v>
      </c>
      <c r="GT187" s="103">
        <f t="shared" si="111"/>
        <v>1.725891603401845E-2</v>
      </c>
      <c r="GU187" s="103">
        <f t="shared" si="111"/>
        <v>0.26272701868554915</v>
      </c>
      <c r="GV187" s="103">
        <f t="shared" si="111"/>
        <v>0.4149748815402679</v>
      </c>
      <c r="GW187" s="103">
        <f t="shared" si="111"/>
        <v>5.2661915788205553E-2</v>
      </c>
      <c r="GX187" s="103">
        <f t="shared" si="111"/>
        <v>0.15396748126316726</v>
      </c>
      <c r="GY187" s="103">
        <f t="shared" si="111"/>
        <v>8.4481756503773292E-2</v>
      </c>
      <c r="GZ187" s="103">
        <f t="shared" si="111"/>
        <v>1.3033153489823075E-2</v>
      </c>
      <c r="HA187" s="103">
        <f t="shared" si="111"/>
        <v>8.9487669519546051E-4</v>
      </c>
    </row>
    <row r="188" spans="1:209" x14ac:dyDescent="0.25">
      <c r="A188" s="96">
        <v>46143</v>
      </c>
      <c r="B188" s="104">
        <f>23-20+10+85-5-4-4-1.25+2.25-5+15-6-25-45+65+15-22.5-50+40+16.5+27.5+168+80+14-30+15-50-19+22.5-10+5+11-25-50-12.5-27.5-10+10+2+4-1.5+12-26-15-50-15+10-32.5-3-5-2.5-1+5+10-50-35-9-0.5+25+15+25+20+15+85-25+12.5-52.5+10+20-150+20-20+55-25-25+20+15+200-200</f>
        <v>40</v>
      </c>
      <c r="C188" s="104">
        <f t="shared" si="143"/>
        <v>20</v>
      </c>
      <c r="D188" s="104">
        <f t="shared" si="95"/>
        <v>1.5</v>
      </c>
      <c r="E188" s="104">
        <f>('Renewable Diesel'!B197*E$3*'Feedstock Conversion Rates'!$B$2)/12-40+1.25+6-43+30-15+12.5-4+1.5+26+2.5+3-10+50+9-15-25-55+15+45+10-50+60-60</f>
        <v>44.679999999999993</v>
      </c>
      <c r="F188" s="104">
        <f>('Renewable Diesel'!B197*'RD Feedstock Breakdown'!F$3*'Feedstock Conversion Rates'!B$8)/12+28.5-49-5+2-6+1+6+20-20-3.75+10+2.5+5-20-20</f>
        <v>5.15625</v>
      </c>
      <c r="G188" s="104">
        <f>('Renewable Diesel'!B197*'RD Feedstock Breakdown'!G$3*'Feedstock Conversion Rates'!B$7)/12-25-15-25+4+4-20-40-20+10-17.5+20+50-12+32.5+35-75-75+22.5+5-20+15+125-10-45-10-40-40</f>
        <v>9.6570000000000107</v>
      </c>
      <c r="H188" s="104">
        <f>('Renewable Diesel'!B197*'RD Feedstock Breakdown'!H$3*'Feedstock Conversion Rates'!B$3)/12-85+4-15+70-65-80+50-22.5-5+25+27.5+15+50+15-10+5+50+75-5-25-85-12.5+30+22.5-25-30+150+90-120+25+10+70-200+200</f>
        <v>375.40022499999998</v>
      </c>
      <c r="I188" s="106">
        <f t="shared" si="106"/>
        <v>496.39347499999997</v>
      </c>
      <c r="J188" s="104">
        <f>2+10+12+15-6-20-5-5+7+105+30+87+5-10-5-25-27.5+1-1-15-17.5-6-10-77.5-7.5-1+17.5+15+90+2+2.5+2.5+7.5+27.5-32-11-25+5-50-30+50</f>
        <v>106.5</v>
      </c>
      <c r="K188" s="104">
        <f t="shared" si="139"/>
        <v>0</v>
      </c>
      <c r="L188" s="104">
        <v>1</v>
      </c>
      <c r="M188" s="104">
        <f>('Renewable Diesel'!C197*'RD Feedstock Breakdown'!M$3*'Feedstock Conversion Rates'!B$2)/12</f>
        <v>7.7902500000000003</v>
      </c>
      <c r="N188" s="104">
        <f>('Renewable Diesel'!C197*'RD Feedstock Breakdown'!N$3*'Feedstock Conversion Rates'!B$8)/12</f>
        <v>3.671875</v>
      </c>
      <c r="O188" s="104">
        <f>('Renewable Diesel'!C197*'RD Feedstock Breakdown'!O$3*'Feedstock Conversion Rates'!B$7)/12</f>
        <v>11.9991</v>
      </c>
      <c r="P188" s="104">
        <f>('Renewable Diesel'!C197*'RD Feedstock Breakdown'!P$3*'Feedstock Conversion Rates'!B$3)/12</f>
        <v>10.4470425</v>
      </c>
      <c r="Q188" s="106">
        <f t="shared" si="119"/>
        <v>141.40826750000002</v>
      </c>
      <c r="R188" s="104">
        <f>('Renewable Diesel'!D197*'RD Feedstock Breakdown'!R$3*'Feedstock Conversion Rates'!B$7)/12</f>
        <v>2.2999999999999998</v>
      </c>
      <c r="S188" s="106">
        <f t="shared" si="67"/>
        <v>2.2999999999999998</v>
      </c>
      <c r="T188" s="104">
        <f t="shared" si="138"/>
        <v>0.82499999999999929</v>
      </c>
      <c r="U188" s="104">
        <v>0</v>
      </c>
      <c r="V188" s="104">
        <f>('Renewable Diesel'!E197*'RD Feedstock Breakdown'!V$3*'Feedstock Conversion Rates'!B$6)/12-20+25</f>
        <v>49.250150000000012</v>
      </c>
      <c r="W188" s="104">
        <f>('Renewable Diesel'!E197*'RD Feedstock Breakdown'!W$3*'Feedstock Conversion Rates'!B$8)/12-5.825</f>
        <v>16.354687500000001</v>
      </c>
      <c r="X188" s="106">
        <f t="shared" si="88"/>
        <v>66.429837500000005</v>
      </c>
      <c r="Y188" s="104">
        <f t="shared" si="140"/>
        <v>0.5</v>
      </c>
      <c r="Z188" s="104">
        <f>('Renewable Diesel'!F197*'RD Feedstock Breakdown'!Z$3*'Feedstock Conversion Rates'!B$6)/12-50-32-60+15+30+22.5-15-25-20+20-10+5+100+30</f>
        <v>169.96</v>
      </c>
      <c r="AA188" s="104">
        <f>('Renewable Diesel'!F197*'RD Feedstock Breakdown'!AA$3*'Feedstock Conversion Rates'!B$7)/12+80-171+75+50+20-65</f>
        <v>93.266666666666652</v>
      </c>
      <c r="AB188" s="106">
        <f t="shared" si="137"/>
        <v>263.72666666666669</v>
      </c>
      <c r="AC188" s="104">
        <f>('Renewable Diesel'!G197*'RD Feedstock Breakdown'!AC$3*'Feedstock Conversion Rates'!B$5)/12</f>
        <v>7.864583333333333</v>
      </c>
      <c r="AD188" s="104">
        <f>('Renewable Diesel'!G197*'RD Feedstock Breakdown'!AD$3*'Feedstock Conversion Rates'!B$4)/12</f>
        <v>3.90625</v>
      </c>
      <c r="AE188" s="104">
        <f>('Renewable Diesel'!G197*'RD Feedstock Breakdown'!AE$3*'Feedstock Conversion Rates'!B$6)/12</f>
        <v>4.885416666666667</v>
      </c>
      <c r="AF188" s="106">
        <f t="shared" si="101"/>
        <v>16.65625</v>
      </c>
      <c r="AG188" s="104">
        <f t="shared" si="131"/>
        <v>39</v>
      </c>
      <c r="AH188" s="104">
        <v>0</v>
      </c>
      <c r="AI188" s="104">
        <f>('Renewable Diesel'!H197*'RD Feedstock Breakdown'!AI$3*'Feedstock Conversion Rates'!B$6)/12-130-20+51+5-100-25+100-10-25+15+22.5-22.5+100</f>
        <v>109.51666666666668</v>
      </c>
      <c r="AJ188" s="106">
        <f t="shared" si="65"/>
        <v>148.51666666666668</v>
      </c>
      <c r="AK188" s="104">
        <f>('Renewable Diesel'!J197*'RD Feedstock Breakdown'!AK$3*'Feedstock Conversion Rates'!B$4)/12</f>
        <v>95.8125</v>
      </c>
      <c r="AL188" s="106">
        <f t="shared" si="68"/>
        <v>95.8125</v>
      </c>
      <c r="AM188" s="104">
        <f>('Renewable Diesel'!K197*'RD Feedstock Breakdown'!AM$3*'Feedstock Conversion Rates'!B$4)/12+5+15-10+4-25</f>
        <v>47.59375</v>
      </c>
      <c r="AN188" s="104">
        <f>('Renewable Diesel'!K197*'RD Feedstock Breakdown'!AN$3*'Feedstock Conversion Rates'!B$6)/12-5-15+10-4+25</f>
        <v>35.427083333333329</v>
      </c>
      <c r="AO188" s="106">
        <f t="shared" si="81"/>
        <v>83.020833333333329</v>
      </c>
      <c r="AP188" s="104">
        <f>('Renewable Diesel'!L197*'RD Feedstock Breakdown'!AP$3*'Feedstock Conversion Rates'!B$4)/12+15-10+14</f>
        <v>77.59375</v>
      </c>
      <c r="AQ188" s="104">
        <f>('Renewable Diesel'!L197*'RD Feedstock Breakdown'!AQ$3*'Feedstock Conversion Rates'!B$6)/12-15+10-14</f>
        <v>5.4270833333333321</v>
      </c>
      <c r="AR188" s="106">
        <f t="shared" si="70"/>
        <v>83.020833333333329</v>
      </c>
      <c r="AS188" s="104">
        <f>('Renewable Diesel'!M197*'RD Feedstock Breakdown'!AS$3*'Feedstock Conversion Rates'!B$4)/12-150</f>
        <v>306.25</v>
      </c>
      <c r="AT188" s="104">
        <f>('Renewable Diesel'!M197*'RD Feedstock Breakdown'!AT$3*'Feedstock Conversion Rates'!B$5)/12+150</f>
        <v>150</v>
      </c>
      <c r="AU188" s="106">
        <f t="shared" si="104"/>
        <v>456.25</v>
      </c>
      <c r="AV188" s="104">
        <f>'Renewable Diesel'!N197*'RD Feedstock Breakdown'!$AV$3*'Feedstock Conversion Rates'!$B$4/12-15-10+25+25-22-17.5</f>
        <v>64.249999999999986</v>
      </c>
      <c r="AW188" s="104">
        <f>'Renewable Diesel'!N197*'RD Feedstock Breakdown'!$AW$3*'Feedstock Conversion Rates'!$B$7/12+15+10-25-25+22+17.5</f>
        <v>55.900000000000006</v>
      </c>
      <c r="AX188" s="106">
        <f t="shared" si="141"/>
        <v>120.14999999999999</v>
      </c>
      <c r="AY188" s="104">
        <f>('Renewable Diesel'!O197*'RD Feedstock Breakdown'!AY$3*'Feedstock Conversion Rates'!B$4)/12+34-100-20-262</f>
        <v>-137.0625</v>
      </c>
      <c r="AZ188" s="104">
        <f>('Renewable Diesel'!O197*'RD Feedstock Breakdown'!AZ$3*'Feedstock Conversion Rates'!B$3)/12-34+100+20+262</f>
        <v>373.03125</v>
      </c>
      <c r="BA188" s="106">
        <f t="shared" si="120"/>
        <v>235.96875</v>
      </c>
      <c r="BB188" s="104">
        <f>('Renewable Diesel'!Q197*'RD Feedstock Breakdown'!BB$3*'Feedstock Conversion Rates'!B$4)/12</f>
        <v>11.156249999999998</v>
      </c>
      <c r="BC188" s="104">
        <f>('Renewable Diesel'!Q197*'RD Feedstock Breakdown'!BC$3*'Feedstock Conversion Rates'!B$3)/12</f>
        <v>1.4017500000000001</v>
      </c>
      <c r="BD188" s="104">
        <f>('Renewable Diesel'!Q197*'RD Feedstock Breakdown'!BD$3*'Feedstock Conversion Rates'!B$6)/12</f>
        <v>0.8207500000000002</v>
      </c>
      <c r="BE188" s="106">
        <f t="shared" si="90"/>
        <v>13.378749999999998</v>
      </c>
      <c r="BF188" s="104">
        <f>('Renewable Diesel'!R197*'RD Feedstock Breakdown'!BF$3*'Feedstock Conversion Rates'!B$4)/12</f>
        <v>62.5</v>
      </c>
      <c r="BG188" s="106">
        <f t="shared" si="72"/>
        <v>62.5</v>
      </c>
      <c r="BH188" s="104">
        <f>('Renewable Diesel'!T197*'RD Feedstock Breakdown'!BH$3*'Feedstock Conversion Rates'!B$7)/12</f>
        <v>27.599999999999998</v>
      </c>
      <c r="BI188" s="106">
        <f t="shared" si="64"/>
        <v>27.599999999999998</v>
      </c>
      <c r="BJ188" s="104">
        <f>('Renewable Diesel'!W197*'RD Feedstock Breakdown'!BJ$3*'Feedstock Conversion Rates'!B$4)/12</f>
        <v>7.5</v>
      </c>
      <c r="BK188" s="104">
        <f>('Renewable Diesel'!W197*'RD Feedstock Breakdown'!BK$3*'Feedstock Conversion Rates'!B$3)/12</f>
        <v>1.335</v>
      </c>
      <c r="BL188" s="104">
        <f>('Renewable Diesel'!W197*'RD Feedstock Breakdown'!BL$3*'Feedstock Conversion Rates'!B$6)/12</f>
        <v>3.1266666666666669</v>
      </c>
      <c r="BM188" s="104">
        <f>('Renewable Diesel'!W197*'RD Feedstock Breakdown'!BM$3*'Feedstock Conversion Rates'!B$7)/12</f>
        <v>1.5333333333333332</v>
      </c>
      <c r="BN188" s="106">
        <f t="shared" si="112"/>
        <v>13.495000000000001</v>
      </c>
      <c r="BO188" s="104">
        <f>('Renewable Diesel'!P197*'Feedstock Conversion Rates'!B$4)/12</f>
        <v>31.25</v>
      </c>
      <c r="BP188" s="106">
        <f t="shared" si="102"/>
        <v>31.25</v>
      </c>
      <c r="BQ188" s="104">
        <f>('Renewable Diesel'!$S197*'RD Feedstock Breakdown'!BQ$3*'Feedstock Conversion Rates'!B$4)/12+10</f>
        <v>38.125</v>
      </c>
      <c r="BR188" s="104">
        <f>('Renewable Diesel'!$S197*'RD Feedstock Breakdown'!BR$3*'Feedstock Conversion Rates'!B$7)/12-10</f>
        <v>1.5</v>
      </c>
      <c r="BS188" s="106">
        <f t="shared" si="123"/>
        <v>39.625</v>
      </c>
      <c r="BT188" s="106"/>
      <c r="BU188" s="104">
        <f>('Renewable Diesel'!Y197*'Feedstock Conversion Rates'!B$7)/12</f>
        <v>2.6833333333333331</v>
      </c>
      <c r="BV188" s="106">
        <f t="shared" si="93"/>
        <v>2.6833333333333331</v>
      </c>
      <c r="BW188" s="104">
        <f>('Renewable Diesel'!$Z197*'RD Feedstock Breakdown'!BW$3*'Feedstock Conversion Rates'!$B$4)/12</f>
        <v>35.9375</v>
      </c>
      <c r="BX188" s="104">
        <f>('Renewable Diesel'!$Z197*'RD Feedstock Breakdown'!BX$3*'Feedstock Conversion Rates'!$B$5)/12</f>
        <v>3.6177083333333333</v>
      </c>
      <c r="BY188" s="104">
        <f>('Renewable Diesel'!$Z197*'RD Feedstock Breakdown'!BY$3*'Feedstock Conversion Rates'!$B$7)/12</f>
        <v>30.858333333333331</v>
      </c>
      <c r="BZ188" s="104">
        <f>('Renewable Diesel'!$Z197*'RD Feedstock Breakdown'!BZ$3*'Feedstock Conversion Rates'!$B$3)/12</f>
        <v>7.6762499999999996</v>
      </c>
      <c r="CA188" s="106">
        <f t="shared" si="127"/>
        <v>78.089791666666656</v>
      </c>
      <c r="CB188" s="104">
        <f>('Renewable Diesel'!AA197*'Feedstock Conversion Rates'!B$4)/12</f>
        <v>191.25</v>
      </c>
      <c r="CC188" s="106">
        <f t="shared" si="113"/>
        <v>191.25</v>
      </c>
      <c r="CD188" s="104">
        <f>('Renewable Diesel'!$AB197*'RD Feedstock Breakdown'!CD$3*'Feedstock Conversion Rates'!$B$6)/12-15</f>
        <v>17.830000000000005</v>
      </c>
      <c r="CE188" s="104">
        <f>('Renewable Diesel'!$AB197*'RD Feedstock Breakdown'!CE$3*'Feedstock Conversion Rates'!$B$4)/12+15</f>
        <v>26.25</v>
      </c>
      <c r="CF188" s="106">
        <f t="shared" si="108"/>
        <v>44.080000000000005</v>
      </c>
      <c r="CG188" s="104">
        <f>('Renewable Diesel'!AD197*'Feedstock Conversion Rates'!B$4)/12</f>
        <v>112.5</v>
      </c>
      <c r="CH188" s="106">
        <f t="shared" si="89"/>
        <v>112.5</v>
      </c>
      <c r="CI188" s="104">
        <f>('Renewable Diesel'!$AE197*'RD Feedstock Breakdown'!CI$3*'Feedstock Conversion Rates'!$B$5)/12</f>
        <v>0.34604166666666664</v>
      </c>
      <c r="CJ188" s="104">
        <f>('Renewable Diesel'!$AE197*'RD Feedstock Breakdown'!CJ$3*'Feedstock Conversion Rates'!$B$4)/12</f>
        <v>0.34375</v>
      </c>
      <c r="CK188" s="106">
        <f t="shared" si="103"/>
        <v>0.68979166666666658</v>
      </c>
      <c r="CL188" s="104">
        <f>(((CL$3*'Renewable Diesel'!$AF197)*'Feedstock Conversion Rates'!$B$3)/12)-35</f>
        <v>56.78125</v>
      </c>
      <c r="CM188" s="104">
        <f>(((CM$3*'Renewable Diesel'!$AF197)*'Feedstock Conversion Rates'!$B$6)/12)-32.5+35-50</f>
        <v>6.2395833333333357</v>
      </c>
      <c r="CN188" s="104">
        <f>(((CN$3*'Renewable Diesel'!$AF197)*'Feedstock Conversion Rates'!$B$4)/12)+32.5+50</f>
        <v>125.46875</v>
      </c>
      <c r="CO188" s="106">
        <f t="shared" si="91"/>
        <v>188.48958333333334</v>
      </c>
      <c r="CP188" s="104">
        <f>('Renewable Diesel'!$AG197*'RD Feedstock Breakdown'!CP$3*'Feedstock Conversion Rates'!$B$3)/12</f>
        <v>6.0075000000000003</v>
      </c>
      <c r="CQ188" s="104">
        <f>('Renewable Diesel'!$AG197*'RD Feedstock Breakdown'!CQ$3*'Feedstock Conversion Rates'!$B$6)/12</f>
        <v>3.5175000000000001</v>
      </c>
      <c r="CR188" s="104">
        <f>('Renewable Diesel'!$AG197*'RD Feedstock Breakdown'!CR$3*'Feedstock Conversion Rates'!$B$4)/12</f>
        <v>2.8125</v>
      </c>
      <c r="CS188" s="106">
        <f t="shared" si="134"/>
        <v>12.3375</v>
      </c>
      <c r="CT188" s="104">
        <f>('Renewable Diesel'!AI197*'Feedstock Conversion Rates'!$B$4*'RD Feedstock Breakdown'!$CT$3)/12</f>
        <v>29.375</v>
      </c>
      <c r="CU188" s="106">
        <f t="shared" si="99"/>
        <v>29.375</v>
      </c>
      <c r="CV188" s="106"/>
      <c r="CW188" s="106"/>
      <c r="CX188" s="104">
        <f>('Renewable Diesel'!AO197*'RD Feedstock Breakdown'!$CX$3*'Feedstock Conversion Rates'!$B$3)/12</f>
        <v>6.3412499999999996</v>
      </c>
      <c r="CY188" s="104">
        <f>('Renewable Diesel'!AO197*'RD Feedstock Breakdown'!$CY$3*'Feedstock Conversion Rates'!$B$6)/12</f>
        <v>7.4258333333333342</v>
      </c>
      <c r="CZ188" s="106">
        <f t="shared" si="135"/>
        <v>13.767083333333334</v>
      </c>
      <c r="DA188" s="106"/>
      <c r="DB188" s="106"/>
      <c r="DC188" s="106"/>
      <c r="DD188" s="106"/>
      <c r="DE188" s="106"/>
      <c r="DF188" s="104">
        <f>('Renewable Diesel'!AR197*'Feedstock Conversion Rates'!$B$4*$DF$3)/12</f>
        <v>75</v>
      </c>
      <c r="DG188" s="106">
        <f t="shared" si="136"/>
        <v>75</v>
      </c>
      <c r="DH188" s="104">
        <f>('Renewable Diesel'!AS197*'Feedstock Conversion Rates'!$B$4*$DH$3)/12</f>
        <v>75</v>
      </c>
      <c r="DI188" s="106">
        <f t="shared" si="142"/>
        <v>75</v>
      </c>
      <c r="DJ188" s="104">
        <f>('Renewable Diesel'!AT197*'Feedstock Conversion Rates'!$B$4*0.25)/12</f>
        <v>8.59375</v>
      </c>
      <c r="DK188" s="104">
        <f>('Renewable Diesel'!$AT197*'RD Feedstock Breakdown'!DK$3*'Feedstock Conversion Rates'!$B$3)/12*0.5</f>
        <v>9.1781249999999996</v>
      </c>
      <c r="DL188" s="104">
        <f>('Renewable Diesel'!$AT197*'RD Feedstock Breakdown'!$DL$3*'Feedstock Conversion Rates'!$B$6)/12</f>
        <v>10.747916666666669</v>
      </c>
      <c r="DM188" s="104">
        <f>('Renewable Diesel'!$AT197*'RD Feedstock Breakdown'!$DM$3*'Feedstock Conversion Rates'!$B$8)/12</f>
        <v>10.7421875</v>
      </c>
      <c r="DN188" s="106">
        <f t="shared" si="110"/>
        <v>39.26197916666667</v>
      </c>
      <c r="DP188" s="104">
        <f t="shared" si="73"/>
        <v>52.470249999999993</v>
      </c>
      <c r="DQ188" s="104">
        <f t="shared" si="74"/>
        <v>847.59964250000007</v>
      </c>
      <c r="DR188" s="104">
        <f t="shared" si="82"/>
        <v>1429.8125</v>
      </c>
      <c r="DS188" s="104">
        <f t="shared" si="100"/>
        <v>230.24708333333334</v>
      </c>
      <c r="DT188" s="104">
        <f t="shared" si="75"/>
        <v>424.17464999999993</v>
      </c>
      <c r="DU188" s="104">
        <f t="shared" si="76"/>
        <v>237.29776666666666</v>
      </c>
      <c r="DV188" s="104">
        <f t="shared" si="83"/>
        <v>35.924999999999997</v>
      </c>
      <c r="DW188" s="104">
        <f t="shared" si="77"/>
        <v>2.5</v>
      </c>
      <c r="DX188" s="106">
        <f t="shared" si="78"/>
        <v>3260.0268925</v>
      </c>
      <c r="DY188" s="109">
        <f t="shared" si="79"/>
        <v>-1.1368683772161603E-13</v>
      </c>
      <c r="EA188" s="110">
        <f t="shared" si="114"/>
        <v>1.6095035939952755E-2</v>
      </c>
      <c r="EB188" s="110">
        <f t="shared" si="114"/>
        <v>0.25999774555540728</v>
      </c>
      <c r="EC188" s="110">
        <f t="shared" si="114"/>
        <v>0.43858917338670389</v>
      </c>
      <c r="ED188" s="110">
        <f t="shared" si="114"/>
        <v>7.0627357051268047E-2</v>
      </c>
      <c r="EE188" s="110">
        <f t="shared" si="114"/>
        <v>0.1301138499734017</v>
      </c>
      <c r="EF188" s="110">
        <f t="shared" si="114"/>
        <v>7.2790125508655337E-2</v>
      </c>
      <c r="EG188" s="110">
        <f t="shared" si="114"/>
        <v>1.1019847745013654E-2</v>
      </c>
      <c r="EH188" s="111">
        <f t="shared" si="84"/>
        <v>7.6686483959733168E-4</v>
      </c>
      <c r="EI188" s="110">
        <f t="shared" si="85"/>
        <v>0.9992331351604028</v>
      </c>
      <c r="EK188" s="132">
        <f>(EA188*'Renewable Diesel'!BF197*'Feedstock Conversion Rates'!B$2)+FB188</f>
        <v>34.052481687255181</v>
      </c>
      <c r="EL188" s="132">
        <f>(EB188*'Renewable Diesel'!BF197*'Feedstock Conversion Rates'!B$3)+FC188</f>
        <v>518.37015574458223</v>
      </c>
      <c r="EM188" s="132">
        <f>(EC188*'Renewable Diesel'!BF197*'Feedstock Conversion Rates'!B$4)+FD188</f>
        <v>818.7608379615433</v>
      </c>
      <c r="EN188" s="132">
        <f>(ED188*'Renewable Diesel'!BF197*'Feedstock Conversion Rates'!B$5)+FE188</f>
        <v>132.72654760964997</v>
      </c>
      <c r="EO188" s="132">
        <f>(EE188*'Renewable Diesel'!BF197*'Feedstock Conversion Rates'!B$6)+FF188</f>
        <v>303.78355313929114</v>
      </c>
      <c r="EP188" s="132">
        <f>(EF188*'Renewable Diesel'!BF197*'Feedstock Conversion Rates'!B$7)+FG188</f>
        <v>166.68564008200192</v>
      </c>
      <c r="EQ188" s="132">
        <f>(EG188*'Renewable Diesel'!BF197*'Feedstock Conversion Rates'!B$8)+FH188</f>
        <v>25.714895400418271</v>
      </c>
      <c r="ER188" s="132">
        <f>(EH188*'Renewable Diesel'!BF197*'Feedstock Conversion Rates'!B$9)+FI188</f>
        <v>1.7656249219493876</v>
      </c>
      <c r="ES188" s="132">
        <f t="shared" si="86"/>
        <v>2001.8597365466917</v>
      </c>
      <c r="ET188" s="133">
        <f>ES188/'Renewable Diesel'!BF197</f>
        <v>8.0425867333316798</v>
      </c>
      <c r="EW188" s="73">
        <f t="shared" si="124"/>
        <v>951.48738557119327</v>
      </c>
      <c r="EX188" s="73">
        <f t="shared" si="125"/>
        <v>1050.3723509754982</v>
      </c>
      <c r="EY188" s="92">
        <f t="shared" si="71"/>
        <v>0.4753017247914465</v>
      </c>
      <c r="EZ188" s="92">
        <f t="shared" si="71"/>
        <v>0.52469827520855339</v>
      </c>
      <c r="FB188" s="102">
        <f>IF('Renewable Diesel'!$BG197&lt;1,0,(((('Renewable Diesel'!$BG197-1)*'Renewable Diesel'!$BF197)*'RD Feedstock Breakdown'!EA188)*'Feedstock Conversion Rates'!$B$2))</f>
        <v>0</v>
      </c>
      <c r="FC188" s="102">
        <f>IF('Renewable Diesel'!$BG197&lt;1,0,(((('Renewable Diesel'!$BG197-1)*'Renewable Diesel'!$BF197)*'RD Feedstock Breakdown'!EB188)*'Feedstock Conversion Rates'!$B$3))</f>
        <v>0</v>
      </c>
      <c r="FD188" s="102">
        <f>IF('Renewable Diesel'!$BG197&lt;1,0,(((('Renewable Diesel'!$BG197-1)*'Renewable Diesel'!$BF197)*'RD Feedstock Breakdown'!EC188)*'Feedstock Conversion Rates'!$B$4))</f>
        <v>0</v>
      </c>
      <c r="FE188" s="102">
        <f>IF('Renewable Diesel'!$BG197&lt;1,0,(((('Renewable Diesel'!$BG197-1)*'Renewable Diesel'!$BF197)*'RD Feedstock Breakdown'!ED188)*'Feedstock Conversion Rates'!$B$5))</f>
        <v>0</v>
      </c>
      <c r="FF188" s="102">
        <f>IF('Renewable Diesel'!$BG197&lt;1,0,(((('Renewable Diesel'!$BG197-1)*'Renewable Diesel'!$BF197)*'RD Feedstock Breakdown'!EE188)*'Feedstock Conversion Rates'!$B$6))</f>
        <v>0</v>
      </c>
      <c r="FG188" s="102">
        <f>IF('Renewable Diesel'!$BG197&lt;1,0,(((('Renewable Diesel'!$BG197-1)*'Renewable Diesel'!$BF197)*'RD Feedstock Breakdown'!EF188)*'Feedstock Conversion Rates'!$B$7))</f>
        <v>0</v>
      </c>
      <c r="FH188" s="102">
        <f>IF('Renewable Diesel'!$BG197&lt;1,0,(((('Renewable Diesel'!$BG197-1)*'Renewable Diesel'!$BF197)*'RD Feedstock Breakdown'!EG188)*'Feedstock Conversion Rates'!$B$8))</f>
        <v>0</v>
      </c>
      <c r="FI188" s="102">
        <f>IF('Renewable Diesel'!$BG197&lt;1,0,(((('Renewable Diesel'!$BG197-1)*'Renewable Diesel'!$BF197)*'RD Feedstock Breakdown'!EH188)*'Feedstock Conversion Rates'!$B$9))</f>
        <v>0</v>
      </c>
      <c r="FJ188" s="102">
        <f t="shared" si="126"/>
        <v>0</v>
      </c>
      <c r="FL188" s="3">
        <f>('Renewable Diesel'!AX197/12*$FO$80)*'RD Feedstock Breakdown'!EC188*7.5</f>
        <v>1261.8280418484978</v>
      </c>
      <c r="FM188" s="3">
        <f t="shared" si="96"/>
        <v>443.06720388695453</v>
      </c>
      <c r="FR188" s="3">
        <f>('Renewable Diesel'!AX197-'Renewable Diesel'!BI197)/12*$FO$80</f>
        <v>51.509625000000007</v>
      </c>
      <c r="FS188" s="100">
        <f t="shared" si="97"/>
        <v>0.43858917338670389</v>
      </c>
      <c r="FT188" s="3">
        <f t="shared" si="98"/>
        <v>169.43672887656825</v>
      </c>
      <c r="FY188" s="3">
        <f>'Renewable Diesel'!BF197*('Renewable Diesel'!BI197/'Renewable Diesel'!AX197)</f>
        <v>215.4844595008534</v>
      </c>
      <c r="FZ188" s="3">
        <f>('Renewable Diesel'!BJ197*'Renewable Diesel'!BG197)/12</f>
        <v>33.887196349319318</v>
      </c>
      <c r="GA188" s="3">
        <f t="shared" si="105"/>
        <v>111.46918076430667</v>
      </c>
      <c r="GD188" s="91">
        <f>'Renewable Diesel'!BB197*0.32</f>
        <v>0</v>
      </c>
      <c r="GE188" s="91">
        <f>'Renewable Diesel'!BC197</f>
        <v>38.073237291912427</v>
      </c>
      <c r="GF188" s="91">
        <f>'Renewable Diesel'!BD197</f>
        <v>0</v>
      </c>
      <c r="GG188" s="91">
        <f t="shared" si="109"/>
        <v>38.073237291912427</v>
      </c>
      <c r="GH188" s="124">
        <v>1</v>
      </c>
      <c r="GI188" s="102">
        <f>$GG188*EA188*'Feedstock Conversion Rates'!$B$2</f>
        <v>5.2087160417912806</v>
      </c>
      <c r="GJ188" s="102">
        <f>$GG188*EB188*'Feedstock Conversion Rates'!$B$3</f>
        <v>79.290636453765259</v>
      </c>
      <c r="GK188" s="102">
        <f>$GG188*EC188*'Feedstock Conversion Rates'!$B$4</f>
        <v>125.23882254011775</v>
      </c>
      <c r="GL188" s="102">
        <f>$GG188*ED188*'Feedstock Conversion Rates'!$B$5</f>
        <v>20.302041538567323</v>
      </c>
      <c r="GM188" s="102">
        <f>$GG188*EE188*'Feedstock Conversion Rates'!$B$6</f>
        <v>46.46716444931517</v>
      </c>
      <c r="GN188" s="102">
        <f>$GG188*EF188*'Feedstock Conversion Rates'!$B$7</f>
        <v>25.496472633191924</v>
      </c>
      <c r="GO188" s="102">
        <f>$GG188*EG188*'Feedstock Conversion Rates'!$B$8</f>
        <v>3.9333869823436025</v>
      </c>
      <c r="GP188" s="102">
        <f>$GG188*EH188*'Feedstock Conversion Rates'!B$9</f>
        <v>0.27007249983152554</v>
      </c>
      <c r="GQ188" s="102">
        <f t="shared" si="87"/>
        <v>306.20731313892384</v>
      </c>
      <c r="GR188" s="85">
        <f t="shared" si="107"/>
        <v>8.0425867333316798</v>
      </c>
      <c r="GT188" s="103">
        <f t="shared" si="111"/>
        <v>1.701042339060049E-2</v>
      </c>
      <c r="GU188" s="103">
        <f t="shared" si="111"/>
        <v>0.25894429378893286</v>
      </c>
      <c r="GV188" s="103">
        <f t="shared" si="111"/>
        <v>0.40900010276141863</v>
      </c>
      <c r="GW188" s="103">
        <f t="shared" si="111"/>
        <v>6.6301622030027887E-2</v>
      </c>
      <c r="GX188" s="103">
        <f t="shared" si="111"/>
        <v>0.15175066843760643</v>
      </c>
      <c r="GY188" s="103">
        <f t="shared" si="111"/>
        <v>8.3265394192673564E-2</v>
      </c>
      <c r="GZ188" s="103">
        <f t="shared" si="111"/>
        <v>1.2845503074445043E-2</v>
      </c>
      <c r="HA188" s="103">
        <f t="shared" si="111"/>
        <v>8.8199232429499739E-4</v>
      </c>
    </row>
    <row r="189" spans="1:209" x14ac:dyDescent="0.25">
      <c r="A189" s="96">
        <v>46174</v>
      </c>
      <c r="B189" s="104">
        <f>23-20+10+85-5-4-4-1.25+2.25-5+15-6-25-45+65+15-22.5-50+40+16.5+27.5+168+80+14-30+15-50-19+22.5-10+5+11-25-50-12.5-27.5-10+10+2+4-1.5+12-26-15-50-15+10-32.5-3-5-2.5-1+5+10-50-35-9-0.5+25+15+25+20+15+85-25+12.5-52.5+10+20-150+20-20+55-25-25+20+15+200-200+5</f>
        <v>45</v>
      </c>
      <c r="C189" s="104">
        <f t="shared" si="143"/>
        <v>20</v>
      </c>
      <c r="D189" s="104">
        <f t="shared" si="95"/>
        <v>1.5</v>
      </c>
      <c r="E189" s="104">
        <f>('Renewable Diesel'!B198*E$3*'Feedstock Conversion Rates'!$B$2)/12-40+1.25+6-43+30-15+12.5-4+1.5+26+2.5+3-10+50+9-15-25-55+15+45+10-50+60-60</f>
        <v>44.679999999999993</v>
      </c>
      <c r="F189" s="104">
        <f>('Renewable Diesel'!B198*'RD Feedstock Breakdown'!F$3*'Feedstock Conversion Rates'!B$8)/12+28.5-49-5+2-6+1+6+20-20-3.75+10+2.5+5-20-20-5</f>
        <v>0.15625</v>
      </c>
      <c r="G189" s="104">
        <f>('Renewable Diesel'!B198*'RD Feedstock Breakdown'!G$3*'Feedstock Conversion Rates'!B$7)/12-25-15-25+4+4-20-40-20+10-17.5+20+50-12+32.5+35-75-75+22.5+5-20+15+125-10-45-10-40-40</f>
        <v>9.6570000000000107</v>
      </c>
      <c r="H189" s="104">
        <f>('Renewable Diesel'!B198*'RD Feedstock Breakdown'!H$3*'Feedstock Conversion Rates'!B$3)/12-85+4-15+70-65-80+50-22.5-5+25+27.5+15+50+15-10+5+50+75-5-25-85-12.5+30+22.5-25-30+150+90-120+25+10+70-200+200</f>
        <v>375.40022499999998</v>
      </c>
      <c r="I189" s="106">
        <f t="shared" si="106"/>
        <v>496.39347499999997</v>
      </c>
      <c r="J189" s="104">
        <f>2+10+12+15-6-20-5-5+7+105+30+87+5-10-5-25-27.5+1-1-15-17.5-6-10-77.5-7.5-1+17.5+15+90+2+2.5+2.5+7.5+27.5-32-11-25+5-50-30+50-80+20</f>
        <v>46.5</v>
      </c>
      <c r="K189" s="104">
        <f t="shared" si="139"/>
        <v>0</v>
      </c>
      <c r="L189" s="104">
        <v>1</v>
      </c>
      <c r="M189" s="104">
        <f>('Renewable Diesel'!C198*'RD Feedstock Breakdown'!M$3*'Feedstock Conversion Rates'!B$2)/12</f>
        <v>7.7902500000000003</v>
      </c>
      <c r="N189" s="104">
        <f>('Renewable Diesel'!C198*'RD Feedstock Breakdown'!N$3*'Feedstock Conversion Rates'!B$8)/12</f>
        <v>3.671875</v>
      </c>
      <c r="O189" s="104">
        <f>('Renewable Diesel'!C198*'RD Feedstock Breakdown'!O$3*'Feedstock Conversion Rates'!B$7)/12</f>
        <v>11.9991</v>
      </c>
      <c r="P189" s="104">
        <f>('Renewable Diesel'!C198*'RD Feedstock Breakdown'!P$3*'Feedstock Conversion Rates'!B$3)/12</f>
        <v>10.4470425</v>
      </c>
      <c r="Q189" s="106">
        <f t="shared" si="119"/>
        <v>81.408267499999994</v>
      </c>
      <c r="R189" s="104">
        <f>('Renewable Diesel'!D198*'RD Feedstock Breakdown'!R$3*'Feedstock Conversion Rates'!B$7)/12</f>
        <v>2.2999999999999998</v>
      </c>
      <c r="S189" s="106">
        <f t="shared" si="67"/>
        <v>2.2999999999999998</v>
      </c>
      <c r="T189" s="104">
        <f t="shared" si="138"/>
        <v>0.82499999999999929</v>
      </c>
      <c r="U189" s="104">
        <v>0</v>
      </c>
      <c r="V189" s="104">
        <f>('Renewable Diesel'!E198*'RD Feedstock Breakdown'!V$3*'Feedstock Conversion Rates'!B$6)/12-20+25</f>
        <v>49.250150000000012</v>
      </c>
      <c r="W189" s="104">
        <f>('Renewable Diesel'!E198*'RD Feedstock Breakdown'!W$3*'Feedstock Conversion Rates'!B$8)/12-5.825</f>
        <v>16.354687500000001</v>
      </c>
      <c r="X189" s="106">
        <f t="shared" si="88"/>
        <v>66.429837500000005</v>
      </c>
      <c r="Y189" s="104">
        <f t="shared" si="140"/>
        <v>0.5</v>
      </c>
      <c r="Z189" s="104">
        <f>('Renewable Diesel'!F198*'RD Feedstock Breakdown'!Z$3*'Feedstock Conversion Rates'!B$6)/12-50-32-60+15+30+22.5-15-25-20+20-10+5+100+30</f>
        <v>169.96</v>
      </c>
      <c r="AA189" s="104">
        <f>('Renewable Diesel'!F198*'RD Feedstock Breakdown'!AA$3*'Feedstock Conversion Rates'!B$7)/12+80-171+75+50+20-65</f>
        <v>93.266666666666652</v>
      </c>
      <c r="AB189" s="106">
        <f t="shared" si="137"/>
        <v>263.72666666666669</v>
      </c>
      <c r="AC189" s="104">
        <f>('Renewable Diesel'!G198*'RD Feedstock Breakdown'!AC$3*'Feedstock Conversion Rates'!B$5)/12</f>
        <v>7.864583333333333</v>
      </c>
      <c r="AD189" s="104">
        <f>('Renewable Diesel'!G198*'RD Feedstock Breakdown'!AD$3*'Feedstock Conversion Rates'!B$4)/12</f>
        <v>3.90625</v>
      </c>
      <c r="AE189" s="104">
        <f>('Renewable Diesel'!G198*'RD Feedstock Breakdown'!AE$3*'Feedstock Conversion Rates'!B$6)/12</f>
        <v>4.885416666666667</v>
      </c>
      <c r="AF189" s="106">
        <f t="shared" si="101"/>
        <v>16.65625</v>
      </c>
      <c r="AG189" s="104">
        <f t="shared" si="131"/>
        <v>39</v>
      </c>
      <c r="AH189" s="104">
        <v>0</v>
      </c>
      <c r="AI189" s="104">
        <f>('Renewable Diesel'!H198*'RD Feedstock Breakdown'!AI$3*'Feedstock Conversion Rates'!B$6)/12-130-20+51+5-100-25+100-10-25+15+22.5-22.5+100</f>
        <v>109.51666666666668</v>
      </c>
      <c r="AJ189" s="106">
        <f t="shared" si="65"/>
        <v>148.51666666666668</v>
      </c>
      <c r="AK189" s="104">
        <f>('Renewable Diesel'!J198*'RD Feedstock Breakdown'!AK$3*'Feedstock Conversion Rates'!B$4)/12</f>
        <v>95.8125</v>
      </c>
      <c r="AL189" s="106">
        <f t="shared" si="68"/>
        <v>95.8125</v>
      </c>
      <c r="AM189" s="104">
        <f>('Renewable Diesel'!K198*'RD Feedstock Breakdown'!AM$3*'Feedstock Conversion Rates'!B$4)/12+5+15-10+4-25</f>
        <v>47.59375</v>
      </c>
      <c r="AN189" s="104">
        <f>('Renewable Diesel'!K198*'RD Feedstock Breakdown'!AN$3*'Feedstock Conversion Rates'!B$6)/12-5-15+10-4+25</f>
        <v>35.427083333333329</v>
      </c>
      <c r="AO189" s="106">
        <f t="shared" si="81"/>
        <v>83.020833333333329</v>
      </c>
      <c r="AP189" s="104">
        <f>('Renewable Diesel'!L198*'RD Feedstock Breakdown'!AP$3*'Feedstock Conversion Rates'!B$4)/12+15-10+14</f>
        <v>77.59375</v>
      </c>
      <c r="AQ189" s="104">
        <f>('Renewable Diesel'!L198*'RD Feedstock Breakdown'!AQ$3*'Feedstock Conversion Rates'!B$6)/12-15+10-14</f>
        <v>5.4270833333333321</v>
      </c>
      <c r="AR189" s="106">
        <f t="shared" si="70"/>
        <v>83.020833333333329</v>
      </c>
      <c r="AS189" s="104">
        <f>('Renewable Diesel'!M198*'RD Feedstock Breakdown'!AS$3*'Feedstock Conversion Rates'!B$4)/12-150</f>
        <v>306.25</v>
      </c>
      <c r="AT189" s="104">
        <f>('Renewable Diesel'!M198*'RD Feedstock Breakdown'!AT$3*'Feedstock Conversion Rates'!B$5)/12+150</f>
        <v>150</v>
      </c>
      <c r="AU189" s="106">
        <f t="shared" si="104"/>
        <v>456.25</v>
      </c>
      <c r="AV189" s="104">
        <f>'Renewable Diesel'!N198*'RD Feedstock Breakdown'!$AV$3*'Feedstock Conversion Rates'!$B$4/12-15-10+25+25-22-17.5</f>
        <v>64.249999999999986</v>
      </c>
      <c r="AW189" s="104">
        <f>'Renewable Diesel'!N198*'RD Feedstock Breakdown'!$AW$3*'Feedstock Conversion Rates'!$B$7/12+15+10-25-25+22+17.5</f>
        <v>55.900000000000006</v>
      </c>
      <c r="AX189" s="106">
        <f t="shared" si="141"/>
        <v>120.14999999999999</v>
      </c>
      <c r="AY189" s="104">
        <f>('Renewable Diesel'!O198*'RD Feedstock Breakdown'!AY$3*'Feedstock Conversion Rates'!B$4)/12+34-100-20-262</f>
        <v>-137.0625</v>
      </c>
      <c r="AZ189" s="104">
        <f>('Renewable Diesel'!O198*'RD Feedstock Breakdown'!AZ$3*'Feedstock Conversion Rates'!B$3)/12-34+100+20+262</f>
        <v>373.03125</v>
      </c>
      <c r="BA189" s="106">
        <f t="shared" si="120"/>
        <v>235.96875</v>
      </c>
      <c r="BB189" s="104">
        <f>('Renewable Diesel'!Q198*'RD Feedstock Breakdown'!BB$3*'Feedstock Conversion Rates'!B$4)/12</f>
        <v>11.156249999999998</v>
      </c>
      <c r="BC189" s="104">
        <f>('Renewable Diesel'!Q198*'RD Feedstock Breakdown'!BC$3*'Feedstock Conversion Rates'!B$3)/12</f>
        <v>1.4017500000000001</v>
      </c>
      <c r="BD189" s="104">
        <f>('Renewable Diesel'!Q198*'RD Feedstock Breakdown'!BD$3*'Feedstock Conversion Rates'!B$6)/12</f>
        <v>0.8207500000000002</v>
      </c>
      <c r="BE189" s="106">
        <f t="shared" si="90"/>
        <v>13.378749999999998</v>
      </c>
      <c r="BF189" s="104">
        <f>('Renewable Diesel'!R198*'RD Feedstock Breakdown'!BF$3*'Feedstock Conversion Rates'!B$4)/12</f>
        <v>62.5</v>
      </c>
      <c r="BG189" s="106">
        <f t="shared" si="72"/>
        <v>62.5</v>
      </c>
      <c r="BH189" s="104">
        <f>('Renewable Diesel'!T198*'RD Feedstock Breakdown'!BH$3*'Feedstock Conversion Rates'!B$7)/12</f>
        <v>27.599999999999998</v>
      </c>
      <c r="BI189" s="106">
        <f t="shared" ref="BI189:BI252" si="144">BH189</f>
        <v>27.599999999999998</v>
      </c>
      <c r="BJ189" s="104">
        <f>('Renewable Diesel'!W198*'RD Feedstock Breakdown'!BJ$3*'Feedstock Conversion Rates'!B$4)/12</f>
        <v>7.5</v>
      </c>
      <c r="BK189" s="104">
        <f>('Renewable Diesel'!W198*'RD Feedstock Breakdown'!BK$3*'Feedstock Conversion Rates'!B$3)/12</f>
        <v>1.335</v>
      </c>
      <c r="BL189" s="104">
        <f>('Renewable Diesel'!W198*'RD Feedstock Breakdown'!BL$3*'Feedstock Conversion Rates'!B$6)/12</f>
        <v>3.1266666666666669</v>
      </c>
      <c r="BM189" s="104">
        <f>('Renewable Diesel'!W198*'RD Feedstock Breakdown'!BM$3*'Feedstock Conversion Rates'!B$7)/12</f>
        <v>1.5333333333333332</v>
      </c>
      <c r="BN189" s="106">
        <f t="shared" si="112"/>
        <v>13.495000000000001</v>
      </c>
      <c r="BO189" s="104">
        <f>('Renewable Diesel'!P198*'Feedstock Conversion Rates'!B$4)/12</f>
        <v>31.25</v>
      </c>
      <c r="BP189" s="106">
        <f t="shared" si="102"/>
        <v>31.25</v>
      </c>
      <c r="BQ189" s="104">
        <f>('Renewable Diesel'!$S198*'RD Feedstock Breakdown'!BQ$3*'Feedstock Conversion Rates'!B$4)/12+10</f>
        <v>38.125</v>
      </c>
      <c r="BR189" s="104">
        <f>('Renewable Diesel'!$S198*'RD Feedstock Breakdown'!BR$3*'Feedstock Conversion Rates'!B$7)/12-10</f>
        <v>1.5</v>
      </c>
      <c r="BS189" s="106">
        <f t="shared" si="123"/>
        <v>39.625</v>
      </c>
      <c r="BT189" s="106"/>
      <c r="BU189" s="104">
        <f>('Renewable Diesel'!Y198*'Feedstock Conversion Rates'!B$7)/12</f>
        <v>2.6833333333333331</v>
      </c>
      <c r="BV189" s="106">
        <f t="shared" si="93"/>
        <v>2.6833333333333331</v>
      </c>
      <c r="BW189" s="104">
        <f>('Renewable Diesel'!$Z198*'RD Feedstock Breakdown'!BW$3*'Feedstock Conversion Rates'!$B$4)/12</f>
        <v>35.9375</v>
      </c>
      <c r="BX189" s="104">
        <f>('Renewable Diesel'!$Z198*'RD Feedstock Breakdown'!BX$3*'Feedstock Conversion Rates'!$B$5)/12</f>
        <v>3.6177083333333333</v>
      </c>
      <c r="BY189" s="104">
        <f>('Renewable Diesel'!$Z198*'RD Feedstock Breakdown'!BY$3*'Feedstock Conversion Rates'!$B$7)/12</f>
        <v>30.858333333333331</v>
      </c>
      <c r="BZ189" s="104">
        <f>('Renewable Diesel'!$Z198*'RD Feedstock Breakdown'!BZ$3*'Feedstock Conversion Rates'!$B$3)/12</f>
        <v>7.6762499999999996</v>
      </c>
      <c r="CA189" s="106">
        <f t="shared" si="127"/>
        <v>78.089791666666656</v>
      </c>
      <c r="CB189" s="104">
        <f>('Renewable Diesel'!AA198*'Feedstock Conversion Rates'!B$4)/12</f>
        <v>191.25</v>
      </c>
      <c r="CC189" s="106">
        <f t="shared" si="113"/>
        <v>191.25</v>
      </c>
      <c r="CD189" s="104">
        <f>('Renewable Diesel'!$AB198*'RD Feedstock Breakdown'!CD$3*'Feedstock Conversion Rates'!$B$6)/12-15</f>
        <v>17.830000000000005</v>
      </c>
      <c r="CE189" s="104">
        <f>('Renewable Diesel'!$AB198*'RD Feedstock Breakdown'!CE$3*'Feedstock Conversion Rates'!$B$4)/12+15</f>
        <v>26.25</v>
      </c>
      <c r="CF189" s="106">
        <f t="shared" si="108"/>
        <v>44.080000000000005</v>
      </c>
      <c r="CG189" s="104">
        <f>('Renewable Diesel'!AD198*'Feedstock Conversion Rates'!B$4)/12</f>
        <v>112.5</v>
      </c>
      <c r="CH189" s="106">
        <f t="shared" si="89"/>
        <v>112.5</v>
      </c>
      <c r="CI189" s="104">
        <f>('Renewable Diesel'!$AE198*'RD Feedstock Breakdown'!CI$3*'Feedstock Conversion Rates'!$B$5)/12</f>
        <v>0.34604166666666664</v>
      </c>
      <c r="CJ189" s="104">
        <f>('Renewable Diesel'!$AE198*'RD Feedstock Breakdown'!CJ$3*'Feedstock Conversion Rates'!$B$4)/12</f>
        <v>0.34375</v>
      </c>
      <c r="CK189" s="106">
        <f t="shared" si="103"/>
        <v>0.68979166666666658</v>
      </c>
      <c r="CL189" s="104">
        <f>(((CL$3*'Renewable Diesel'!$AF198)*'Feedstock Conversion Rates'!$B$3)/12)-35</f>
        <v>56.78125</v>
      </c>
      <c r="CM189" s="104">
        <f>(((CM$3*'Renewable Diesel'!$AF198)*'Feedstock Conversion Rates'!$B$6)/12)-32.5+35-50</f>
        <v>6.2395833333333357</v>
      </c>
      <c r="CN189" s="104">
        <f>(((CN$3*'Renewable Diesel'!$AF198)*'Feedstock Conversion Rates'!$B$4)/12)+32.5+50</f>
        <v>125.46875</v>
      </c>
      <c r="CO189" s="106">
        <f t="shared" si="91"/>
        <v>188.48958333333334</v>
      </c>
      <c r="CP189" s="104">
        <f>('Renewable Diesel'!$AG198*'RD Feedstock Breakdown'!CP$3*'Feedstock Conversion Rates'!$B$3)/12</f>
        <v>6.0075000000000003</v>
      </c>
      <c r="CQ189" s="104">
        <f>('Renewable Diesel'!$AG198*'RD Feedstock Breakdown'!CQ$3*'Feedstock Conversion Rates'!$B$6)/12</f>
        <v>3.5175000000000001</v>
      </c>
      <c r="CR189" s="104">
        <f>('Renewable Diesel'!$AG198*'RD Feedstock Breakdown'!CR$3*'Feedstock Conversion Rates'!$B$4)/12</f>
        <v>2.8125</v>
      </c>
      <c r="CS189" s="106">
        <f t="shared" si="134"/>
        <v>12.3375</v>
      </c>
      <c r="CT189" s="104">
        <f>('Renewable Diesel'!AI198*'Feedstock Conversion Rates'!$B$4*'RD Feedstock Breakdown'!$CT$3)/12</f>
        <v>29.375</v>
      </c>
      <c r="CU189" s="106">
        <f t="shared" si="99"/>
        <v>29.375</v>
      </c>
      <c r="CV189" s="106"/>
      <c r="CW189" s="106"/>
      <c r="CX189" s="104">
        <f>('Renewable Diesel'!AO198*'RD Feedstock Breakdown'!$CX$3*'Feedstock Conversion Rates'!$B$3)/12</f>
        <v>6.3412499999999996</v>
      </c>
      <c r="CY189" s="104">
        <f>('Renewable Diesel'!AO198*'RD Feedstock Breakdown'!$CY$3*'Feedstock Conversion Rates'!$B$6)/12</f>
        <v>7.4258333333333342</v>
      </c>
      <c r="CZ189" s="106">
        <f t="shared" si="135"/>
        <v>13.767083333333334</v>
      </c>
      <c r="DA189" s="106"/>
      <c r="DB189" s="106"/>
      <c r="DC189" s="106"/>
      <c r="DD189" s="106"/>
      <c r="DE189" s="106"/>
      <c r="DF189" s="104">
        <f>('Renewable Diesel'!AR198*'Feedstock Conversion Rates'!$B$4*$DF$3)/12</f>
        <v>75</v>
      </c>
      <c r="DG189" s="106">
        <f t="shared" si="136"/>
        <v>75</v>
      </c>
      <c r="DH189" s="104">
        <f>('Renewable Diesel'!AS198*'Feedstock Conversion Rates'!$B$4*$DH$3)/12</f>
        <v>75</v>
      </c>
      <c r="DI189" s="106">
        <f t="shared" si="142"/>
        <v>75</v>
      </c>
      <c r="DJ189" s="104">
        <f>('Renewable Diesel'!AT198*'Feedstock Conversion Rates'!$B$4*0.25)/12</f>
        <v>8.59375</v>
      </c>
      <c r="DK189" s="104">
        <f>('Renewable Diesel'!$AT198*'RD Feedstock Breakdown'!DK$3*'Feedstock Conversion Rates'!$B$3)/12*0.5</f>
        <v>9.1781249999999996</v>
      </c>
      <c r="DL189" s="104">
        <f>('Renewable Diesel'!$AT198*'RD Feedstock Breakdown'!$DL$3*'Feedstock Conversion Rates'!$B$6)/12</f>
        <v>10.747916666666669</v>
      </c>
      <c r="DM189" s="104">
        <f>('Renewable Diesel'!$AT198*'RD Feedstock Breakdown'!$DM$3*'Feedstock Conversion Rates'!$B$8)/12</f>
        <v>10.7421875</v>
      </c>
      <c r="DN189" s="106">
        <f t="shared" si="110"/>
        <v>39.26197916666667</v>
      </c>
      <c r="DP189" s="104">
        <f t="shared" si="73"/>
        <v>52.470249999999993</v>
      </c>
      <c r="DQ189" s="104">
        <f t="shared" si="74"/>
        <v>847.59964250000007</v>
      </c>
      <c r="DR189" s="104">
        <f t="shared" si="82"/>
        <v>1374.8125</v>
      </c>
      <c r="DS189" s="104">
        <f t="shared" si="100"/>
        <v>230.24708333333334</v>
      </c>
      <c r="DT189" s="104">
        <f t="shared" si="75"/>
        <v>424.17464999999993</v>
      </c>
      <c r="DU189" s="104">
        <f t="shared" si="76"/>
        <v>237.29776666666666</v>
      </c>
      <c r="DV189" s="104">
        <f t="shared" si="83"/>
        <v>30.925000000000001</v>
      </c>
      <c r="DW189" s="104">
        <f t="shared" si="77"/>
        <v>2.5</v>
      </c>
      <c r="DX189" s="106">
        <f t="shared" si="78"/>
        <v>3200.0268925</v>
      </c>
      <c r="DY189" s="109">
        <f t="shared" si="79"/>
        <v>-5.6843418860808015E-13</v>
      </c>
      <c r="EA189" s="110">
        <f t="shared" si="114"/>
        <v>1.6396815327701184E-2</v>
      </c>
      <c r="EB189" s="110">
        <f t="shared" si="114"/>
        <v>0.26487266231622775</v>
      </c>
      <c r="EC189" s="110">
        <f t="shared" si="114"/>
        <v>0.42962529571929214</v>
      </c>
      <c r="ED189" s="110">
        <f t="shared" si="114"/>
        <v>7.1951608867091205E-2</v>
      </c>
      <c r="EE189" s="110">
        <f t="shared" si="114"/>
        <v>0.13255346415811409</v>
      </c>
      <c r="EF189" s="110">
        <f t="shared" si="114"/>
        <v>7.4154928892262939E-2</v>
      </c>
      <c r="EG189" s="110">
        <f t="shared" si="114"/>
        <v>9.6639812848072805E-3</v>
      </c>
      <c r="EH189" s="111">
        <f t="shared" si="84"/>
        <v>7.8124343450341799E-4</v>
      </c>
      <c r="EI189" s="110">
        <f t="shared" si="85"/>
        <v>0.99921875656549664</v>
      </c>
      <c r="EK189" s="132">
        <f>(EA189*'Renewable Diesel'!BF198*'Feedstock Conversion Rates'!B$2)+FB189</f>
        <v>34.224483100729927</v>
      </c>
      <c r="EL189" s="132">
        <f>(EB189*'Renewable Diesel'!BF198*'Feedstock Conversion Rates'!B$3)+FC189</f>
        <v>520.98847884684722</v>
      </c>
      <c r="EM189" s="132">
        <f>(EC189*'Renewable Diesel'!BF198*'Feedstock Conversion Rates'!B$4)+FD189</f>
        <v>791.24244084962891</v>
      </c>
      <c r="EN189" s="132">
        <f>(ED189*'Renewable Diesel'!BF198*'Feedstock Conversion Rates'!B$5)+FE189</f>
        <v>133.39695847732619</v>
      </c>
      <c r="EO189" s="132">
        <f>(EE189*'Renewable Diesel'!BF198*'Feedstock Conversion Rates'!B$6)+FF189</f>
        <v>305.31798463859349</v>
      </c>
      <c r="EP189" s="132">
        <f>(EF189*'Renewable Diesel'!BF198*'Feedstock Conversion Rates'!B$7)+FG189</f>
        <v>167.52758064784257</v>
      </c>
      <c r="EQ189" s="132">
        <f>(EG189*'Renewable Diesel'!BF198*'Feedstock Conversion Rates'!B$8)+FH189</f>
        <v>22.24773603970975</v>
      </c>
      <c r="ER189" s="132">
        <f>(EH189*'Renewable Diesel'!BF198*'Feedstock Conversion Rates'!B$9)+FI189</f>
        <v>1.774543214161705</v>
      </c>
      <c r="ES189" s="132">
        <f t="shared" si="86"/>
        <v>1976.7202058148398</v>
      </c>
      <c r="ET189" s="133">
        <f>ES189/'Renewable Diesel'!BF198</f>
        <v>8.0498304862058294</v>
      </c>
      <c r="EW189" s="73">
        <f t="shared" si="124"/>
        <v>924.63939932695507</v>
      </c>
      <c r="EX189" s="73">
        <f t="shared" si="125"/>
        <v>1052.0808064878847</v>
      </c>
      <c r="EY189" s="92">
        <f t="shared" si="71"/>
        <v>0.46776442948626712</v>
      </c>
      <c r="EZ189" s="92">
        <f t="shared" si="71"/>
        <v>0.53223557051373283</v>
      </c>
      <c r="FB189" s="102">
        <f>IF('Renewable Diesel'!$BG198&lt;1,0,(((('Renewable Diesel'!$BG198-1)*'Renewable Diesel'!$BF198)*'RD Feedstock Breakdown'!EA189)*'Feedstock Conversion Rates'!$B$2))</f>
        <v>0</v>
      </c>
      <c r="FC189" s="102">
        <f>IF('Renewable Diesel'!$BG198&lt;1,0,(((('Renewable Diesel'!$BG198-1)*'Renewable Diesel'!$BF198)*'RD Feedstock Breakdown'!EB189)*'Feedstock Conversion Rates'!$B$3))</f>
        <v>0</v>
      </c>
      <c r="FD189" s="102">
        <f>IF('Renewable Diesel'!$BG198&lt;1,0,(((('Renewable Diesel'!$BG198-1)*'Renewable Diesel'!$BF198)*'RD Feedstock Breakdown'!EC189)*'Feedstock Conversion Rates'!$B$4))</f>
        <v>0</v>
      </c>
      <c r="FE189" s="102">
        <f>IF('Renewable Diesel'!$BG198&lt;1,0,(((('Renewable Diesel'!$BG198-1)*'Renewable Diesel'!$BF198)*'RD Feedstock Breakdown'!ED189)*'Feedstock Conversion Rates'!$B$5))</f>
        <v>0</v>
      </c>
      <c r="FF189" s="102">
        <f>IF('Renewable Diesel'!$BG198&lt;1,0,(((('Renewable Diesel'!$BG198-1)*'Renewable Diesel'!$BF198)*'RD Feedstock Breakdown'!EE189)*'Feedstock Conversion Rates'!$B$6))</f>
        <v>0</v>
      </c>
      <c r="FG189" s="102">
        <f>IF('Renewable Diesel'!$BG198&lt;1,0,(((('Renewable Diesel'!$BG198-1)*'Renewable Diesel'!$BF198)*'RD Feedstock Breakdown'!EF189)*'Feedstock Conversion Rates'!$B$7))</f>
        <v>0</v>
      </c>
      <c r="FH189" s="102">
        <f>IF('Renewable Diesel'!$BG198&lt;1,0,(((('Renewable Diesel'!$BG198-1)*'Renewable Diesel'!$BF198)*'RD Feedstock Breakdown'!EG189)*'Feedstock Conversion Rates'!$B$8))</f>
        <v>0</v>
      </c>
      <c r="FI189" s="102">
        <f>IF('Renewable Diesel'!$BG198&lt;1,0,(((('Renewable Diesel'!$BG198-1)*'Renewable Diesel'!$BF198)*'RD Feedstock Breakdown'!EH189)*'Feedstock Conversion Rates'!$B$9))</f>
        <v>0</v>
      </c>
      <c r="FJ189" s="102">
        <f t="shared" si="126"/>
        <v>0</v>
      </c>
      <c r="FL189" s="3">
        <f>('Renewable Diesel'!AX198/12*$FO$80)*'RD Feedstock Breakdown'!EC189*7.5</f>
        <v>1237.2471440817642</v>
      </c>
      <c r="FM189" s="3">
        <f t="shared" si="96"/>
        <v>446.00470323213528</v>
      </c>
      <c r="FR189" s="3">
        <f>('Renewable Diesel'!AX198-'Renewable Diesel'!BI198)/12*$FO$80</f>
        <v>51.509625000000007</v>
      </c>
      <c r="FS189" s="100">
        <f t="shared" si="97"/>
        <v>0.42962529571929214</v>
      </c>
      <c r="FT189" s="3">
        <f t="shared" si="98"/>
        <v>165.97378404761136</v>
      </c>
      <c r="FY189" s="3">
        <f>'Renewable Diesel'!BF198*('Renewable Diesel'!BI198/'Renewable Diesel'!AX198)</f>
        <v>212.61911774175755</v>
      </c>
      <c r="FZ189" s="3">
        <f>('Renewable Diesel'!BJ198*'Renewable Diesel'!BG198)/12</f>
        <v>32.321493978097671</v>
      </c>
      <c r="GA189" s="3">
        <f t="shared" si="105"/>
        <v>104.1459855632215</v>
      </c>
      <c r="GD189" s="91">
        <f>'Renewable Diesel'!BB198*0.32</f>
        <v>0</v>
      </c>
      <c r="GE189" s="91">
        <f>'Renewable Diesel'!BC198</f>
        <v>36.445958845373937</v>
      </c>
      <c r="GF189" s="91">
        <f>'Renewable Diesel'!BD198</f>
        <v>0</v>
      </c>
      <c r="GG189" s="91">
        <f t="shared" si="109"/>
        <v>36.445958845373937</v>
      </c>
      <c r="GH189" s="124">
        <v>1</v>
      </c>
      <c r="GI189" s="102">
        <f>$GG189*EA189*'Feedstock Conversion Rates'!$B$2</f>
        <v>5.0795800813430478</v>
      </c>
      <c r="GJ189" s="102">
        <f>$GG189*EB189*'Feedstock Conversion Rates'!$B$3</f>
        <v>77.324840581835332</v>
      </c>
      <c r="GK189" s="102">
        <f>$GG189*EC189*'Feedstock Conversion Rates'!$B$4</f>
        <v>117.43579385037697</v>
      </c>
      <c r="GL189" s="102">
        <f>$GG189*ED189*'Feedstock Conversion Rates'!$B$5</f>
        <v>19.798707585994787</v>
      </c>
      <c r="GM189" s="102">
        <f>$GG189*EE189*'Feedstock Conversion Rates'!$B$6</f>
        <v>45.315137373482365</v>
      </c>
      <c r="GN189" s="102">
        <f>$GG189*EF189*'Feedstock Conversion Rates'!$B$7</f>
        <v>24.864356876619219</v>
      </c>
      <c r="GO189" s="102">
        <f>$GG189*EG189*'Feedstock Conversion Rates'!$B$8</f>
        <v>3.301997476767657</v>
      </c>
      <c r="GP189" s="102">
        <f>$GG189*EH189*'Feedstock Conversion Rates'!B$9</f>
        <v>0.26337678607470399</v>
      </c>
      <c r="GQ189" s="102">
        <f t="shared" si="87"/>
        <v>293.38379061249412</v>
      </c>
      <c r="GR189" s="85">
        <f t="shared" si="107"/>
        <v>8.0498304862058294</v>
      </c>
      <c r="GT189" s="103">
        <f t="shared" si="111"/>
        <v>1.731377207560944E-2</v>
      </c>
      <c r="GU189" s="103">
        <f t="shared" si="111"/>
        <v>0.26356207485221023</v>
      </c>
      <c r="GV189" s="103">
        <f t="shared" si="111"/>
        <v>0.40028044359644938</v>
      </c>
      <c r="GW189" s="103">
        <f t="shared" si="111"/>
        <v>6.7483985889817688E-2</v>
      </c>
      <c r="GX189" s="103">
        <f t="shared" si="111"/>
        <v>0.15445685420751584</v>
      </c>
      <c r="GY189" s="103">
        <f t="shared" si="111"/>
        <v>8.4750274801174835E-2</v>
      </c>
      <c r="GZ189" s="103">
        <f t="shared" si="111"/>
        <v>1.125487359023521E-2</v>
      </c>
      <c r="HA189" s="103">
        <f t="shared" si="111"/>
        <v>8.9772098698723323E-4</v>
      </c>
    </row>
    <row r="190" spans="1:209" x14ac:dyDescent="0.25">
      <c r="A190" s="96">
        <v>46204</v>
      </c>
      <c r="B190" s="104">
        <f>23-20+10+85-5-4-4-1.25+2.25-5+15-6-25-45+65+15-22.5-50+40+16.5+27.5+168+80+14-30+15-50-19+22.5-10+5+11-25-50-12.5-27.5-10+10+2+4-1.5+12-26-15-50-15+10-32.5-3-5-2.5-1+5+10-50-35-9-0.5+25+15+25+20+15+85-25+12.5-52.5+10+20-150+20-20+55-25-25+20+15+200-200+5</f>
        <v>45</v>
      </c>
      <c r="C190" s="104">
        <f t="shared" si="143"/>
        <v>20</v>
      </c>
      <c r="D190" s="104">
        <f t="shared" si="95"/>
        <v>1.5</v>
      </c>
      <c r="E190" s="104">
        <f>('Renewable Diesel'!B199*E$3*'Feedstock Conversion Rates'!$B$2)/12-40+1.25+6-43+30-15+12.5-4+1.5+26+2.5+3-10+50+9-15-25-55+15+45+10-50+60-60</f>
        <v>44.679999999999993</v>
      </c>
      <c r="F190" s="104">
        <f>('Renewable Diesel'!B199*'RD Feedstock Breakdown'!F$3*'Feedstock Conversion Rates'!B$8)/12+28.5-49-5+2-6+1+6+20-20-3.75+10+2.5+5-20-20-5</f>
        <v>0.15625</v>
      </c>
      <c r="G190" s="104">
        <f>('Renewable Diesel'!B199*'RD Feedstock Breakdown'!G$3*'Feedstock Conversion Rates'!B$7)/12-25-15-25+4+4-20-40-20+10-17.5+20+50-12+32.5+35-75-75+22.5+5-20+15+125-10-45-10-40-40</f>
        <v>9.6570000000000107</v>
      </c>
      <c r="H190" s="104">
        <f>('Renewable Diesel'!B199*'RD Feedstock Breakdown'!H$3*'Feedstock Conversion Rates'!B$3)/12-85+4-15+70-65-80+50-22.5-5+25+27.5+15+50+15-10+5+50+75-5-25-85-12.5+30+22.5-25-30+150+90-120+25+10+70-200+200</f>
        <v>375.40022499999998</v>
      </c>
      <c r="I190" s="106">
        <f t="shared" si="106"/>
        <v>496.39347499999997</v>
      </c>
      <c r="J190" s="104">
        <f>2+10+12+15-6-20-5-5+7+105+30+87+5-10-5-25-27.5+1-1-15-17.5-6-10-77.5-7.5-1+17.5+15+90+2+2.5+2.5+7.5+27.5-32-11-25+5-50-30+50-80+20</f>
        <v>46.5</v>
      </c>
      <c r="K190" s="104">
        <f t="shared" si="139"/>
        <v>0</v>
      </c>
      <c r="L190" s="104">
        <v>1</v>
      </c>
      <c r="M190" s="104">
        <f>('Renewable Diesel'!C199*'RD Feedstock Breakdown'!M$3*'Feedstock Conversion Rates'!B$2)/12</f>
        <v>7.7902500000000003</v>
      </c>
      <c r="N190" s="104">
        <f>('Renewable Diesel'!C199*'RD Feedstock Breakdown'!N$3*'Feedstock Conversion Rates'!B$8)/12</f>
        <v>3.671875</v>
      </c>
      <c r="O190" s="104">
        <f>('Renewable Diesel'!C199*'RD Feedstock Breakdown'!O$3*'Feedstock Conversion Rates'!B$7)/12</f>
        <v>11.9991</v>
      </c>
      <c r="P190" s="104">
        <f>('Renewable Diesel'!C199*'RD Feedstock Breakdown'!P$3*'Feedstock Conversion Rates'!B$3)/12</f>
        <v>10.4470425</v>
      </c>
      <c r="Q190" s="106">
        <f t="shared" si="119"/>
        <v>81.408267499999994</v>
      </c>
      <c r="R190" s="104">
        <f>('Renewable Diesel'!D199*'RD Feedstock Breakdown'!R$3*'Feedstock Conversion Rates'!B$7)/12</f>
        <v>2.2999999999999998</v>
      </c>
      <c r="S190" s="106">
        <f t="shared" si="67"/>
        <v>2.2999999999999998</v>
      </c>
      <c r="T190" s="104">
        <f t="shared" si="138"/>
        <v>0.82499999999999929</v>
      </c>
      <c r="U190" s="104">
        <v>0</v>
      </c>
      <c r="V190" s="104">
        <f>('Renewable Diesel'!E199*'RD Feedstock Breakdown'!V$3*'Feedstock Conversion Rates'!B$6)/12-20+25</f>
        <v>49.250150000000012</v>
      </c>
      <c r="W190" s="104">
        <f>('Renewable Diesel'!E199*'RD Feedstock Breakdown'!W$3*'Feedstock Conversion Rates'!B$8)/12-5.825</f>
        <v>16.354687500000001</v>
      </c>
      <c r="X190" s="106">
        <f t="shared" si="88"/>
        <v>66.429837500000005</v>
      </c>
      <c r="Y190" s="104">
        <f t="shared" si="140"/>
        <v>0.5</v>
      </c>
      <c r="Z190" s="104">
        <f>('Renewable Diesel'!F199*'RD Feedstock Breakdown'!Z$3*'Feedstock Conversion Rates'!B$6)/12-50-32-60+15+30+22.5-15-25-20+20-10+5+100+30</f>
        <v>169.96</v>
      </c>
      <c r="AA190" s="104">
        <f>('Renewable Diesel'!F199*'RD Feedstock Breakdown'!AA$3*'Feedstock Conversion Rates'!B$7)/12+80-171+75+50+20-65</f>
        <v>93.266666666666652</v>
      </c>
      <c r="AB190" s="106">
        <f t="shared" si="137"/>
        <v>263.72666666666669</v>
      </c>
      <c r="AC190" s="104">
        <f>('Renewable Diesel'!G199*'RD Feedstock Breakdown'!AC$3*'Feedstock Conversion Rates'!B$5)/12</f>
        <v>7.864583333333333</v>
      </c>
      <c r="AD190" s="104">
        <f>('Renewable Diesel'!G199*'RD Feedstock Breakdown'!AD$3*'Feedstock Conversion Rates'!B$4)/12</f>
        <v>3.90625</v>
      </c>
      <c r="AE190" s="104">
        <f>('Renewable Diesel'!G199*'RD Feedstock Breakdown'!AE$3*'Feedstock Conversion Rates'!B$6)/12</f>
        <v>4.885416666666667</v>
      </c>
      <c r="AF190" s="106">
        <f t="shared" si="101"/>
        <v>16.65625</v>
      </c>
      <c r="AG190" s="104">
        <f t="shared" si="131"/>
        <v>39</v>
      </c>
      <c r="AH190" s="104">
        <v>0</v>
      </c>
      <c r="AI190" s="104">
        <f>('Renewable Diesel'!H199*'RD Feedstock Breakdown'!AI$3*'Feedstock Conversion Rates'!B$6)/12-130-20+51+5-100-25+100-10-25+15+22.5-22.5+100</f>
        <v>109.51666666666668</v>
      </c>
      <c r="AJ190" s="106">
        <f t="shared" si="65"/>
        <v>148.51666666666668</v>
      </c>
      <c r="AK190" s="104">
        <f>('Renewable Diesel'!J199*'RD Feedstock Breakdown'!AK$3*'Feedstock Conversion Rates'!B$4)/12</f>
        <v>95.8125</v>
      </c>
      <c r="AL190" s="106">
        <f t="shared" si="68"/>
        <v>95.8125</v>
      </c>
      <c r="AM190" s="104">
        <f>('Renewable Diesel'!K199*'RD Feedstock Breakdown'!AM$3*'Feedstock Conversion Rates'!B$4)/12+5+15-10+4-25</f>
        <v>47.59375</v>
      </c>
      <c r="AN190" s="104">
        <f>('Renewable Diesel'!K199*'RD Feedstock Breakdown'!AN$3*'Feedstock Conversion Rates'!B$6)/12-5-15+10-4+25</f>
        <v>35.427083333333329</v>
      </c>
      <c r="AO190" s="106">
        <f t="shared" si="81"/>
        <v>83.020833333333329</v>
      </c>
      <c r="AP190" s="104">
        <f>('Renewable Diesel'!L199*'RD Feedstock Breakdown'!AP$3*'Feedstock Conversion Rates'!B$4)/12+15-10+14</f>
        <v>77.59375</v>
      </c>
      <c r="AQ190" s="104">
        <f>('Renewable Diesel'!L199*'RD Feedstock Breakdown'!AQ$3*'Feedstock Conversion Rates'!B$6)/12-15+10-14</f>
        <v>5.4270833333333321</v>
      </c>
      <c r="AR190" s="106">
        <f t="shared" si="70"/>
        <v>83.020833333333329</v>
      </c>
      <c r="AS190" s="104">
        <f>('Renewable Diesel'!M199*'RD Feedstock Breakdown'!AS$3*'Feedstock Conversion Rates'!B$4)/12-150</f>
        <v>306.25</v>
      </c>
      <c r="AT190" s="104">
        <f>('Renewable Diesel'!M199*'RD Feedstock Breakdown'!AT$3*'Feedstock Conversion Rates'!B$5)/12+150</f>
        <v>150</v>
      </c>
      <c r="AU190" s="106">
        <f t="shared" si="104"/>
        <v>456.25</v>
      </c>
      <c r="AV190" s="104">
        <f>'Renewable Diesel'!N199*'RD Feedstock Breakdown'!$AV$3*'Feedstock Conversion Rates'!$B$4/12-15-10+25+25-22-17.5</f>
        <v>64.249999999999986</v>
      </c>
      <c r="AW190" s="104">
        <f>'Renewable Diesel'!N199*'RD Feedstock Breakdown'!$AW$3*'Feedstock Conversion Rates'!$B$7/12+15+10-25-25+22+17.5</f>
        <v>55.900000000000006</v>
      </c>
      <c r="AX190" s="106">
        <f t="shared" si="141"/>
        <v>120.14999999999999</v>
      </c>
      <c r="AY190" s="104">
        <f>('Renewable Diesel'!O199*'RD Feedstock Breakdown'!AY$3*'Feedstock Conversion Rates'!B$4)/12+34-100-20-262</f>
        <v>-137.0625</v>
      </c>
      <c r="AZ190" s="104">
        <f>('Renewable Diesel'!O199*'RD Feedstock Breakdown'!AZ$3*'Feedstock Conversion Rates'!B$3)/12-34+100+20+262</f>
        <v>373.03125</v>
      </c>
      <c r="BA190" s="106">
        <f t="shared" si="120"/>
        <v>235.96875</v>
      </c>
      <c r="BB190" s="104">
        <f>('Renewable Diesel'!Q199*'RD Feedstock Breakdown'!BB$3*'Feedstock Conversion Rates'!B$4)/12</f>
        <v>11.156249999999998</v>
      </c>
      <c r="BC190" s="104">
        <f>('Renewable Diesel'!Q199*'RD Feedstock Breakdown'!BC$3*'Feedstock Conversion Rates'!B$3)/12</f>
        <v>1.4017500000000001</v>
      </c>
      <c r="BD190" s="104">
        <f>('Renewable Diesel'!Q199*'RD Feedstock Breakdown'!BD$3*'Feedstock Conversion Rates'!B$6)/12</f>
        <v>0.8207500000000002</v>
      </c>
      <c r="BE190" s="106">
        <f t="shared" si="90"/>
        <v>13.378749999999998</v>
      </c>
      <c r="BF190" s="104">
        <f>('Renewable Diesel'!R199*'RD Feedstock Breakdown'!BF$3*'Feedstock Conversion Rates'!B$4)/12</f>
        <v>62.5</v>
      </c>
      <c r="BG190" s="106">
        <f t="shared" si="72"/>
        <v>62.5</v>
      </c>
      <c r="BH190" s="104">
        <f>('Renewable Diesel'!T199*'RD Feedstock Breakdown'!BH$3*'Feedstock Conversion Rates'!B$7)/12</f>
        <v>27.599999999999998</v>
      </c>
      <c r="BI190" s="106">
        <f t="shared" si="144"/>
        <v>27.599999999999998</v>
      </c>
      <c r="BJ190" s="104">
        <f>('Renewable Diesel'!W199*'RD Feedstock Breakdown'!BJ$3*'Feedstock Conversion Rates'!B$4)/12</f>
        <v>7.5</v>
      </c>
      <c r="BK190" s="104">
        <f>('Renewable Diesel'!W199*'RD Feedstock Breakdown'!BK$3*'Feedstock Conversion Rates'!B$3)/12</f>
        <v>1.335</v>
      </c>
      <c r="BL190" s="104">
        <f>('Renewable Diesel'!W199*'RD Feedstock Breakdown'!BL$3*'Feedstock Conversion Rates'!B$6)/12</f>
        <v>3.1266666666666669</v>
      </c>
      <c r="BM190" s="104">
        <f>('Renewable Diesel'!W199*'RD Feedstock Breakdown'!BM$3*'Feedstock Conversion Rates'!B$7)/12</f>
        <v>1.5333333333333332</v>
      </c>
      <c r="BN190" s="106">
        <f t="shared" si="112"/>
        <v>13.495000000000001</v>
      </c>
      <c r="BO190" s="104">
        <f>('Renewable Diesel'!P199*'Feedstock Conversion Rates'!B$4)/12</f>
        <v>31.25</v>
      </c>
      <c r="BP190" s="106">
        <f t="shared" si="102"/>
        <v>31.25</v>
      </c>
      <c r="BQ190" s="104">
        <f>('Renewable Diesel'!$S199*'RD Feedstock Breakdown'!BQ$3*'Feedstock Conversion Rates'!B$4)/12+10</f>
        <v>38.125</v>
      </c>
      <c r="BR190" s="104">
        <f>('Renewable Diesel'!$S199*'RD Feedstock Breakdown'!BR$3*'Feedstock Conversion Rates'!B$7)/12-10</f>
        <v>1.5</v>
      </c>
      <c r="BS190" s="106">
        <f t="shared" si="123"/>
        <v>39.625</v>
      </c>
      <c r="BT190" s="106"/>
      <c r="BU190" s="104">
        <f>('Renewable Diesel'!Y199*'Feedstock Conversion Rates'!B$7)/12</f>
        <v>2.6833333333333331</v>
      </c>
      <c r="BV190" s="106">
        <f t="shared" si="93"/>
        <v>2.6833333333333331</v>
      </c>
      <c r="BW190" s="104">
        <f>('Renewable Diesel'!$Z199*'RD Feedstock Breakdown'!BW$3*'Feedstock Conversion Rates'!$B$4)/12</f>
        <v>35.9375</v>
      </c>
      <c r="BX190" s="104">
        <f>('Renewable Diesel'!$Z199*'RD Feedstock Breakdown'!BX$3*'Feedstock Conversion Rates'!$B$5)/12</f>
        <v>3.6177083333333333</v>
      </c>
      <c r="BY190" s="104">
        <f>('Renewable Diesel'!$Z199*'RD Feedstock Breakdown'!BY$3*'Feedstock Conversion Rates'!$B$7)/12</f>
        <v>30.858333333333331</v>
      </c>
      <c r="BZ190" s="104">
        <f>('Renewable Diesel'!$Z199*'RD Feedstock Breakdown'!BZ$3*'Feedstock Conversion Rates'!$B$3)/12</f>
        <v>7.6762499999999996</v>
      </c>
      <c r="CA190" s="106">
        <f t="shared" si="127"/>
        <v>78.089791666666656</v>
      </c>
      <c r="CB190" s="104">
        <f>('Renewable Diesel'!AA199*'Feedstock Conversion Rates'!B$4)/12</f>
        <v>191.25</v>
      </c>
      <c r="CC190" s="106">
        <f t="shared" si="113"/>
        <v>191.25</v>
      </c>
      <c r="CD190" s="104">
        <f>('Renewable Diesel'!$AB199*'RD Feedstock Breakdown'!CD$3*'Feedstock Conversion Rates'!$B$6)/12-15</f>
        <v>17.830000000000005</v>
      </c>
      <c r="CE190" s="104">
        <f>('Renewable Diesel'!$AB199*'RD Feedstock Breakdown'!CE$3*'Feedstock Conversion Rates'!$B$4)/12+15</f>
        <v>26.25</v>
      </c>
      <c r="CF190" s="106">
        <f t="shared" si="108"/>
        <v>44.080000000000005</v>
      </c>
      <c r="CG190" s="104">
        <f>('Renewable Diesel'!AD199*'Feedstock Conversion Rates'!B$4)/12</f>
        <v>112.5</v>
      </c>
      <c r="CH190" s="106">
        <f t="shared" si="89"/>
        <v>112.5</v>
      </c>
      <c r="CI190" s="104">
        <f>('Renewable Diesel'!$AE199*'RD Feedstock Breakdown'!CI$3*'Feedstock Conversion Rates'!$B$5)/12</f>
        <v>0.34604166666666664</v>
      </c>
      <c r="CJ190" s="104">
        <f>('Renewable Diesel'!$AE199*'RD Feedstock Breakdown'!CJ$3*'Feedstock Conversion Rates'!$B$4)/12</f>
        <v>0.34375</v>
      </c>
      <c r="CK190" s="106">
        <f t="shared" si="103"/>
        <v>0.68979166666666658</v>
      </c>
      <c r="CL190" s="104">
        <f>(((CL$3*'Renewable Diesel'!$AF199)*'Feedstock Conversion Rates'!$B$3)/12)-35</f>
        <v>56.78125</v>
      </c>
      <c r="CM190" s="104">
        <f>(((CM$3*'Renewable Diesel'!$AF199)*'Feedstock Conversion Rates'!$B$6)/12)-32.5+35-50</f>
        <v>6.2395833333333357</v>
      </c>
      <c r="CN190" s="104">
        <f>(((CN$3*'Renewable Diesel'!$AF199)*'Feedstock Conversion Rates'!$B$4)/12)+32.5+50</f>
        <v>125.46875</v>
      </c>
      <c r="CO190" s="106">
        <f t="shared" si="91"/>
        <v>188.48958333333334</v>
      </c>
      <c r="CP190" s="104">
        <f>('Renewable Diesel'!$AG199*'RD Feedstock Breakdown'!CP$3*'Feedstock Conversion Rates'!$B$3)/12</f>
        <v>6.0075000000000003</v>
      </c>
      <c r="CQ190" s="104">
        <f>('Renewable Diesel'!$AG199*'RD Feedstock Breakdown'!CQ$3*'Feedstock Conversion Rates'!$B$6)/12</f>
        <v>3.5175000000000001</v>
      </c>
      <c r="CR190" s="104">
        <f>('Renewable Diesel'!$AG199*'RD Feedstock Breakdown'!CR$3*'Feedstock Conversion Rates'!$B$4)/12</f>
        <v>2.8125</v>
      </c>
      <c r="CS190" s="106">
        <f t="shared" si="134"/>
        <v>12.3375</v>
      </c>
      <c r="CT190" s="104">
        <f>('Renewable Diesel'!AI199*'Feedstock Conversion Rates'!$B$4*'RD Feedstock Breakdown'!$CT$3)/12</f>
        <v>29.375</v>
      </c>
      <c r="CU190" s="106">
        <f t="shared" si="99"/>
        <v>29.375</v>
      </c>
      <c r="CV190" s="106"/>
      <c r="CW190" s="106"/>
      <c r="CX190" s="104">
        <f>('Renewable Diesel'!AO199*'RD Feedstock Breakdown'!$CX$3*'Feedstock Conversion Rates'!$B$3)/12</f>
        <v>6.3412499999999996</v>
      </c>
      <c r="CY190" s="104">
        <f>('Renewable Diesel'!AO199*'RD Feedstock Breakdown'!$CY$3*'Feedstock Conversion Rates'!$B$6)/12</f>
        <v>7.4258333333333342</v>
      </c>
      <c r="CZ190" s="106">
        <f t="shared" si="135"/>
        <v>13.767083333333334</v>
      </c>
      <c r="DA190" s="106"/>
      <c r="DB190" s="106"/>
      <c r="DC190" s="106"/>
      <c r="DD190" s="106"/>
      <c r="DE190" s="106"/>
      <c r="DF190" s="104">
        <f>('Renewable Diesel'!AR199*'Feedstock Conversion Rates'!$B$4*$DF$3)/12</f>
        <v>75</v>
      </c>
      <c r="DG190" s="106">
        <f t="shared" si="136"/>
        <v>75</v>
      </c>
      <c r="DH190" s="104">
        <f>('Renewable Diesel'!AS199*'Feedstock Conversion Rates'!$B$4*$DH$3)/12</f>
        <v>75</v>
      </c>
      <c r="DI190" s="106">
        <f t="shared" si="142"/>
        <v>75</v>
      </c>
      <c r="DJ190" s="104">
        <f>('Renewable Diesel'!AT199*'Feedstock Conversion Rates'!$B$4*0.25)/12</f>
        <v>8.59375</v>
      </c>
      <c r="DK190" s="104">
        <f>('Renewable Diesel'!$AT199*'RD Feedstock Breakdown'!DK$3*'Feedstock Conversion Rates'!$B$3)/12*0.5</f>
        <v>9.1781249999999996</v>
      </c>
      <c r="DL190" s="104">
        <f>('Renewable Diesel'!$AT199*'RD Feedstock Breakdown'!$DL$3*'Feedstock Conversion Rates'!$B$6)/12</f>
        <v>10.747916666666669</v>
      </c>
      <c r="DM190" s="104">
        <f>('Renewable Diesel'!$AT199*'RD Feedstock Breakdown'!$DM$3*'Feedstock Conversion Rates'!$B$8)/12</f>
        <v>10.7421875</v>
      </c>
      <c r="DN190" s="106">
        <f t="shared" si="110"/>
        <v>39.26197916666667</v>
      </c>
      <c r="DP190" s="104">
        <f t="shared" si="73"/>
        <v>52.470249999999993</v>
      </c>
      <c r="DQ190" s="104">
        <f t="shared" si="74"/>
        <v>847.59964250000007</v>
      </c>
      <c r="DR190" s="104">
        <f t="shared" si="82"/>
        <v>1374.8125</v>
      </c>
      <c r="DS190" s="104">
        <f t="shared" si="100"/>
        <v>230.24708333333334</v>
      </c>
      <c r="DT190" s="104">
        <f t="shared" si="75"/>
        <v>424.17464999999993</v>
      </c>
      <c r="DU190" s="104">
        <f t="shared" si="76"/>
        <v>237.29776666666666</v>
      </c>
      <c r="DV190" s="104">
        <f t="shared" si="83"/>
        <v>30.925000000000001</v>
      </c>
      <c r="DW190" s="104">
        <f t="shared" si="77"/>
        <v>2.5</v>
      </c>
      <c r="DX190" s="106">
        <f t="shared" si="78"/>
        <v>3200.0268925</v>
      </c>
      <c r="DY190" s="109">
        <f t="shared" si="79"/>
        <v>-5.6843418860808015E-13</v>
      </c>
      <c r="EA190" s="110">
        <f t="shared" si="114"/>
        <v>1.6396815327701184E-2</v>
      </c>
      <c r="EB190" s="110">
        <f t="shared" si="114"/>
        <v>0.26487266231622775</v>
      </c>
      <c r="EC190" s="110">
        <f t="shared" si="114"/>
        <v>0.42962529571929214</v>
      </c>
      <c r="ED190" s="110">
        <f t="shared" si="114"/>
        <v>7.1951608867091205E-2</v>
      </c>
      <c r="EE190" s="110">
        <f t="shared" si="114"/>
        <v>0.13255346415811409</v>
      </c>
      <c r="EF190" s="110">
        <f t="shared" si="114"/>
        <v>7.4154928892262939E-2</v>
      </c>
      <c r="EG190" s="110">
        <f t="shared" si="114"/>
        <v>9.6639812848072805E-3</v>
      </c>
      <c r="EH190" s="111">
        <f t="shared" si="84"/>
        <v>7.8124343450341799E-4</v>
      </c>
      <c r="EI190" s="110">
        <f t="shared" si="85"/>
        <v>0.99921875656549664</v>
      </c>
      <c r="EK190" s="132">
        <f>(EA190*'Renewable Diesel'!BF199*'Feedstock Conversion Rates'!B$2)+FB190</f>
        <v>34.117581557904252</v>
      </c>
      <c r="EL190" s="132">
        <f>(EB190*'Renewable Diesel'!BF199*'Feedstock Conversion Rates'!B$3)+FC190</f>
        <v>519.36115048021531</v>
      </c>
      <c r="EM190" s="132">
        <f>(EC190*'Renewable Diesel'!BF199*'Feedstock Conversion Rates'!B$4)+FD190</f>
        <v>788.77096341556421</v>
      </c>
      <c r="EN190" s="132">
        <f>(ED190*'Renewable Diesel'!BF199*'Feedstock Conversion Rates'!B$5)+FE190</f>
        <v>132.98028773820923</v>
      </c>
      <c r="EO190" s="132">
        <f>(EE190*'Renewable Diesel'!BF199*'Feedstock Conversion Rates'!B$6)+FF190</f>
        <v>304.36431169299402</v>
      </c>
      <c r="EP190" s="132">
        <f>(EF190*'Renewable Diesel'!BF199*'Feedstock Conversion Rates'!B$7)+FG190</f>
        <v>167.00430154427227</v>
      </c>
      <c r="EQ190" s="132">
        <f>(EG190*'Renewable Diesel'!BF199*'Feedstock Conversion Rates'!B$8)+FH190</f>
        <v>22.178244345707437</v>
      </c>
      <c r="ER190" s="132">
        <f>(EH190*'Renewable Diesel'!BF199*'Feedstock Conversion Rates'!B$9)+FI190</f>
        <v>1.769000357404851</v>
      </c>
      <c r="ES190" s="132">
        <f t="shared" si="86"/>
        <v>1970.5458411322716</v>
      </c>
      <c r="ET190" s="133">
        <f>ES190/'Renewable Diesel'!BF199</f>
        <v>8.0498304862058276</v>
      </c>
      <c r="EW190" s="73">
        <f t="shared" si="124"/>
        <v>921.75125115377341</v>
      </c>
      <c r="EX190" s="73">
        <f t="shared" si="125"/>
        <v>1048.7945899784982</v>
      </c>
      <c r="EY190" s="92">
        <f t="shared" si="71"/>
        <v>0.46776442948626712</v>
      </c>
      <c r="EZ190" s="92">
        <f t="shared" si="71"/>
        <v>0.53223557051373283</v>
      </c>
      <c r="FB190" s="102">
        <f>IF('Renewable Diesel'!$BG199&lt;1,0,(((('Renewable Diesel'!$BG199-1)*'Renewable Diesel'!$BF199)*'RD Feedstock Breakdown'!EA190)*'Feedstock Conversion Rates'!$B$2))</f>
        <v>0</v>
      </c>
      <c r="FC190" s="102">
        <f>IF('Renewable Diesel'!$BG199&lt;1,0,(((('Renewable Diesel'!$BG199-1)*'Renewable Diesel'!$BF199)*'RD Feedstock Breakdown'!EB190)*'Feedstock Conversion Rates'!$B$3))</f>
        <v>0</v>
      </c>
      <c r="FD190" s="102">
        <f>IF('Renewable Diesel'!$BG199&lt;1,0,(((('Renewable Diesel'!$BG199-1)*'Renewable Diesel'!$BF199)*'RD Feedstock Breakdown'!EC190)*'Feedstock Conversion Rates'!$B$4))</f>
        <v>0</v>
      </c>
      <c r="FE190" s="102">
        <f>IF('Renewable Diesel'!$BG199&lt;1,0,(((('Renewable Diesel'!$BG199-1)*'Renewable Diesel'!$BF199)*'RD Feedstock Breakdown'!ED190)*'Feedstock Conversion Rates'!$B$5))</f>
        <v>0</v>
      </c>
      <c r="FF190" s="102">
        <f>IF('Renewable Diesel'!$BG199&lt;1,0,(((('Renewable Diesel'!$BG199-1)*'Renewable Diesel'!$BF199)*'RD Feedstock Breakdown'!EE190)*'Feedstock Conversion Rates'!$B$6))</f>
        <v>0</v>
      </c>
      <c r="FG190" s="102">
        <f>IF('Renewable Diesel'!$BG199&lt;1,0,(((('Renewable Diesel'!$BG199-1)*'Renewable Diesel'!$BF199)*'RD Feedstock Breakdown'!EF190)*'Feedstock Conversion Rates'!$B$7))</f>
        <v>0</v>
      </c>
      <c r="FH190" s="102">
        <f>IF('Renewable Diesel'!$BG199&lt;1,0,(((('Renewable Diesel'!$BG199-1)*'Renewable Diesel'!$BF199)*'RD Feedstock Breakdown'!EG190)*'Feedstock Conversion Rates'!$B$8))</f>
        <v>0</v>
      </c>
      <c r="FI190" s="102">
        <f>IF('Renewable Diesel'!$BG199&lt;1,0,(((('Renewable Diesel'!$BG199-1)*'Renewable Diesel'!$BF199)*'RD Feedstock Breakdown'!EH190)*'Feedstock Conversion Rates'!$B$9))</f>
        <v>0</v>
      </c>
      <c r="FJ190" s="102">
        <f t="shared" si="126"/>
        <v>0</v>
      </c>
      <c r="FL190" s="3">
        <f>('Renewable Diesel'!AX199/12*$FO$80)*'RD Feedstock Breakdown'!EC190*7.5</f>
        <v>1239.6637863701856</v>
      </c>
      <c r="FM190" s="3">
        <f t="shared" si="96"/>
        <v>450.89282295462135</v>
      </c>
      <c r="FR190" s="3">
        <f>('Renewable Diesel'!AX199-'Renewable Diesel'!BI199)/12*$FO$80</f>
        <v>51.509625000000007</v>
      </c>
      <c r="FS190" s="100">
        <f t="shared" si="97"/>
        <v>0.42962529571929214</v>
      </c>
      <c r="FT190" s="3">
        <f t="shared" si="98"/>
        <v>165.97378404761136</v>
      </c>
      <c r="FY190" s="3">
        <f>'Renewable Diesel'!BF199*('Renewable Diesel'!BI199/'Renewable Diesel'!AX199)</f>
        <v>212.01900982484568</v>
      </c>
      <c r="FZ190" s="3">
        <f>('Renewable Diesel'!BJ199*'Renewable Diesel'!BG199)/12</f>
        <v>33.229648856864664</v>
      </c>
      <c r="GA190" s="3">
        <f t="shared" si="105"/>
        <v>107.0722328758404</v>
      </c>
      <c r="GD190" s="91">
        <f>'Renewable Diesel'!BB199*0.32</f>
        <v>0</v>
      </c>
      <c r="GE190" s="91">
        <f>'Renewable Diesel'!BC199</f>
        <v>39.976921761037993</v>
      </c>
      <c r="GF190" s="91">
        <f>'Renewable Diesel'!BD199</f>
        <v>0</v>
      </c>
      <c r="GG190" s="91">
        <f t="shared" si="109"/>
        <v>39.976921761037993</v>
      </c>
      <c r="GH190" s="124">
        <v>1</v>
      </c>
      <c r="GI190" s="102">
        <f>$GG190*EA190*'Feedstock Conversion Rates'!$B$2</f>
        <v>5.5717007296284393</v>
      </c>
      <c r="GJ190" s="102">
        <f>$GG190*EB190*'Feedstock Conversion Rates'!$B$3</f>
        <v>84.816237521409917</v>
      </c>
      <c r="GK190" s="102">
        <f>$GG190*EC190*'Feedstock Conversion Rates'!$B$4</f>
        <v>128.81322625149716</v>
      </c>
      <c r="GL190" s="102">
        <f>$GG190*ED190*'Feedstock Conversion Rates'!$B$5</f>
        <v>21.716848978866867</v>
      </c>
      <c r="GM190" s="102">
        <f>$GG190*EE190*'Feedstock Conversion Rates'!$B$6</f>
        <v>49.705365389236654</v>
      </c>
      <c r="GN190" s="102">
        <f>$GG190*EF190*'Feedstock Conversion Rates'!$B$7</f>
        <v>27.273269272796245</v>
      </c>
      <c r="GO190" s="102">
        <f>$GG190*EG190*'Feedstock Conversion Rates'!$B$8</f>
        <v>3.6219020974019633</v>
      </c>
      <c r="GP190" s="102">
        <f>$GG190*EH190*'Feedstock Conversion Rates'!B$9</f>
        <v>0.28889329583157669</v>
      </c>
      <c r="GQ190" s="102">
        <f t="shared" si="87"/>
        <v>321.80744353666887</v>
      </c>
      <c r="GR190" s="85">
        <f t="shared" si="107"/>
        <v>8.0498304862058294</v>
      </c>
      <c r="GT190" s="103">
        <f t="shared" si="111"/>
        <v>1.7313772075609447E-2</v>
      </c>
      <c r="GU190" s="103">
        <f t="shared" si="111"/>
        <v>0.26356207485221023</v>
      </c>
      <c r="GV190" s="103">
        <f t="shared" si="111"/>
        <v>0.40028044359644938</v>
      </c>
      <c r="GW190" s="103">
        <f t="shared" si="111"/>
        <v>6.748398588981773E-2</v>
      </c>
      <c r="GX190" s="103">
        <f t="shared" si="111"/>
        <v>0.15445685420751587</v>
      </c>
      <c r="GY190" s="103">
        <f t="shared" si="111"/>
        <v>8.4750274801174863E-2</v>
      </c>
      <c r="GZ190" s="103">
        <f t="shared" si="111"/>
        <v>1.1254873590235213E-2</v>
      </c>
      <c r="HA190" s="103">
        <f t="shared" si="111"/>
        <v>8.9772098698723344E-4</v>
      </c>
    </row>
    <row r="191" spans="1:209" x14ac:dyDescent="0.25">
      <c r="A191" s="96">
        <v>46235</v>
      </c>
      <c r="B191" s="104">
        <f>23-20+10+85-5-4-4-1.25+2.25-5+15-6-25-45+65+15-22.5-50+40+16.5+27.5+168+80+14-30+15-50-19+22.5-10+5+11-25-50-12.5-27.5-10+10+2+4-1.5+12-26-15-50-15+10-32.5-3-5-2.5-1+5+10-50-35-9-0.5+25+15+25+20+15+85-25+12.5-52.5+10+20-150+20-20+55-25-25+20+15+200-200+5</f>
        <v>45</v>
      </c>
      <c r="C191" s="104">
        <f t="shared" si="143"/>
        <v>20</v>
      </c>
      <c r="D191" s="104">
        <f t="shared" si="95"/>
        <v>1.5</v>
      </c>
      <c r="E191" s="104">
        <f>('Renewable Diesel'!B200*E$3*'Feedstock Conversion Rates'!$B$2)/12-40+1.25+6-43+30-15+12.5-4+1.5+26+2.5+3-10+50+9-15-25-55+15+45+10-50+60-60</f>
        <v>44.679999999999993</v>
      </c>
      <c r="F191" s="104">
        <f>('Renewable Diesel'!B200*'RD Feedstock Breakdown'!F$3*'Feedstock Conversion Rates'!B$8)/12+28.5-49-5+2-6+1+6+20-20-3.75+10+2.5+5-20-20-5</f>
        <v>0.15625</v>
      </c>
      <c r="G191" s="104">
        <f>('Renewable Diesel'!B200*'RD Feedstock Breakdown'!G$3*'Feedstock Conversion Rates'!B$7)/12-25-15-25+4+4-20-40-20+10-17.5+20+50-12+32.5+35-75-75+22.5+5-20+15+125-10-45-10-40-40</f>
        <v>9.6570000000000107</v>
      </c>
      <c r="H191" s="104">
        <f>('Renewable Diesel'!B200*'RD Feedstock Breakdown'!H$3*'Feedstock Conversion Rates'!B$3)/12-85+4-15+70-65-80+50-22.5-5+25+27.5+15+50+15-10+5+50+75-5-25-85-12.5+30+22.5-25-30+150+90-120+25+10+70-200+200</f>
        <v>375.40022499999998</v>
      </c>
      <c r="I191" s="106">
        <f t="shared" si="106"/>
        <v>496.39347499999997</v>
      </c>
      <c r="J191" s="104">
        <f>2+10+12+15-6-20-5-5+7+105+30+87+5-10-5-25-27.5+1-1-15-17.5-6-10-77.5-7.5-1+17.5+15+90+2+2.5+2.5+7.5+27.5-32-11-25+5-50-30+50-80+20</f>
        <v>46.5</v>
      </c>
      <c r="K191" s="104">
        <f t="shared" si="139"/>
        <v>0</v>
      </c>
      <c r="L191" s="104">
        <v>1</v>
      </c>
      <c r="M191" s="104">
        <f>('Renewable Diesel'!C200*'RD Feedstock Breakdown'!M$3*'Feedstock Conversion Rates'!B$2)/12</f>
        <v>7.7902500000000003</v>
      </c>
      <c r="N191" s="104">
        <f>('Renewable Diesel'!C200*'RD Feedstock Breakdown'!N$3*'Feedstock Conversion Rates'!B$8)/12</f>
        <v>3.671875</v>
      </c>
      <c r="O191" s="104">
        <f>('Renewable Diesel'!C200*'RD Feedstock Breakdown'!O$3*'Feedstock Conversion Rates'!B$7)/12</f>
        <v>11.9991</v>
      </c>
      <c r="P191" s="104">
        <f>('Renewable Diesel'!C200*'RD Feedstock Breakdown'!P$3*'Feedstock Conversion Rates'!B$3)/12</f>
        <v>10.4470425</v>
      </c>
      <c r="Q191" s="106">
        <f t="shared" si="119"/>
        <v>81.408267499999994</v>
      </c>
      <c r="R191" s="104">
        <f>('Renewable Diesel'!D200*'RD Feedstock Breakdown'!R$3*'Feedstock Conversion Rates'!B$7)/12</f>
        <v>2.2999999999999998</v>
      </c>
      <c r="S191" s="106">
        <f t="shared" si="67"/>
        <v>2.2999999999999998</v>
      </c>
      <c r="T191" s="104">
        <f t="shared" si="138"/>
        <v>0.82499999999999929</v>
      </c>
      <c r="U191" s="104">
        <v>0</v>
      </c>
      <c r="V191" s="104">
        <f>('Renewable Diesel'!E200*'RD Feedstock Breakdown'!V$3*'Feedstock Conversion Rates'!B$6)/12-20+25</f>
        <v>49.250150000000012</v>
      </c>
      <c r="W191" s="104">
        <f>('Renewable Diesel'!E200*'RD Feedstock Breakdown'!W$3*'Feedstock Conversion Rates'!B$8)/12-5.825</f>
        <v>16.354687500000001</v>
      </c>
      <c r="X191" s="106">
        <f t="shared" si="88"/>
        <v>66.429837500000005</v>
      </c>
      <c r="Y191" s="104">
        <f t="shared" si="140"/>
        <v>0.5</v>
      </c>
      <c r="Z191" s="104">
        <f>('Renewable Diesel'!F200*'RD Feedstock Breakdown'!Z$3*'Feedstock Conversion Rates'!B$6)/12-50-32-60+15+30+22.5-15-25-20+20-10+5+100+30</f>
        <v>169.96</v>
      </c>
      <c r="AA191" s="104">
        <f>('Renewable Diesel'!F200*'RD Feedstock Breakdown'!AA$3*'Feedstock Conversion Rates'!B$7)/12+80-171+75+50+20-65</f>
        <v>93.266666666666652</v>
      </c>
      <c r="AB191" s="106">
        <f t="shared" si="137"/>
        <v>263.72666666666669</v>
      </c>
      <c r="AC191" s="104">
        <f>('Renewable Diesel'!G200*'RD Feedstock Breakdown'!AC$3*'Feedstock Conversion Rates'!B$5)/12</f>
        <v>7.864583333333333</v>
      </c>
      <c r="AD191" s="104">
        <f>('Renewable Diesel'!G200*'RD Feedstock Breakdown'!AD$3*'Feedstock Conversion Rates'!B$4)/12</f>
        <v>3.90625</v>
      </c>
      <c r="AE191" s="104">
        <f>('Renewable Diesel'!G200*'RD Feedstock Breakdown'!AE$3*'Feedstock Conversion Rates'!B$6)/12</f>
        <v>4.885416666666667</v>
      </c>
      <c r="AF191" s="106">
        <f t="shared" si="101"/>
        <v>16.65625</v>
      </c>
      <c r="AG191" s="104">
        <f t="shared" si="131"/>
        <v>39</v>
      </c>
      <c r="AH191" s="104">
        <v>0</v>
      </c>
      <c r="AI191" s="104">
        <f>('Renewable Diesel'!H200*'RD Feedstock Breakdown'!AI$3*'Feedstock Conversion Rates'!B$6)/12-130-20+51+5-100-25+100-10-25+15+22.5-22.5+100</f>
        <v>109.51666666666668</v>
      </c>
      <c r="AJ191" s="106">
        <f t="shared" si="65"/>
        <v>148.51666666666668</v>
      </c>
      <c r="AK191" s="104">
        <f>('Renewable Diesel'!J200*'RD Feedstock Breakdown'!AK$3*'Feedstock Conversion Rates'!B$4)/12</f>
        <v>95.8125</v>
      </c>
      <c r="AL191" s="106">
        <f t="shared" si="68"/>
        <v>95.8125</v>
      </c>
      <c r="AM191" s="104">
        <f>('Renewable Diesel'!K200*'RD Feedstock Breakdown'!AM$3*'Feedstock Conversion Rates'!B$4)/12+5+15-10+4-25</f>
        <v>47.59375</v>
      </c>
      <c r="AN191" s="104">
        <f>('Renewable Diesel'!K200*'RD Feedstock Breakdown'!AN$3*'Feedstock Conversion Rates'!B$6)/12-5-15+10-4+25</f>
        <v>35.427083333333329</v>
      </c>
      <c r="AO191" s="106">
        <f t="shared" si="81"/>
        <v>83.020833333333329</v>
      </c>
      <c r="AP191" s="104">
        <f>('Renewable Diesel'!L200*'RD Feedstock Breakdown'!AP$3*'Feedstock Conversion Rates'!B$4)/12+15-10+14</f>
        <v>77.59375</v>
      </c>
      <c r="AQ191" s="104">
        <f>('Renewable Diesel'!L200*'RD Feedstock Breakdown'!AQ$3*'Feedstock Conversion Rates'!B$6)/12-15+10-14</f>
        <v>5.4270833333333321</v>
      </c>
      <c r="AR191" s="106">
        <f t="shared" si="70"/>
        <v>83.020833333333329</v>
      </c>
      <c r="AS191" s="104">
        <f>('Renewable Diesel'!M200*'RD Feedstock Breakdown'!AS$3*'Feedstock Conversion Rates'!B$4)/12-150</f>
        <v>306.25</v>
      </c>
      <c r="AT191" s="104">
        <f>('Renewable Diesel'!M200*'RD Feedstock Breakdown'!AT$3*'Feedstock Conversion Rates'!B$5)/12+150</f>
        <v>150</v>
      </c>
      <c r="AU191" s="106">
        <f t="shared" si="104"/>
        <v>456.25</v>
      </c>
      <c r="AV191" s="104">
        <f>'Renewable Diesel'!N200*'RD Feedstock Breakdown'!$AV$3*'Feedstock Conversion Rates'!$B$4/12-15-10+25+25-22-17.5</f>
        <v>64.249999999999986</v>
      </c>
      <c r="AW191" s="104">
        <f>'Renewable Diesel'!N200*'RD Feedstock Breakdown'!$AW$3*'Feedstock Conversion Rates'!$B$7/12+15+10-25-25+22+17.5</f>
        <v>55.900000000000006</v>
      </c>
      <c r="AX191" s="106">
        <f t="shared" si="141"/>
        <v>120.14999999999999</v>
      </c>
      <c r="AY191" s="104">
        <f>('Renewable Diesel'!O200*'RD Feedstock Breakdown'!AY$3*'Feedstock Conversion Rates'!B$4)/12+34-100-20-262</f>
        <v>-137.0625</v>
      </c>
      <c r="AZ191" s="104">
        <f>('Renewable Diesel'!O200*'RD Feedstock Breakdown'!AZ$3*'Feedstock Conversion Rates'!B$3)/12-34+100+20+262</f>
        <v>373.03125</v>
      </c>
      <c r="BA191" s="106">
        <f t="shared" si="120"/>
        <v>235.96875</v>
      </c>
      <c r="BB191" s="104">
        <f>('Renewable Diesel'!Q200*'RD Feedstock Breakdown'!BB$3*'Feedstock Conversion Rates'!B$4)/12</f>
        <v>11.156249999999998</v>
      </c>
      <c r="BC191" s="104">
        <f>('Renewable Diesel'!Q200*'RD Feedstock Breakdown'!BC$3*'Feedstock Conversion Rates'!B$3)/12</f>
        <v>1.4017500000000001</v>
      </c>
      <c r="BD191" s="104">
        <f>('Renewable Diesel'!Q200*'RD Feedstock Breakdown'!BD$3*'Feedstock Conversion Rates'!B$6)/12</f>
        <v>0.8207500000000002</v>
      </c>
      <c r="BE191" s="106">
        <f t="shared" si="90"/>
        <v>13.378749999999998</v>
      </c>
      <c r="BF191" s="104">
        <f>('Renewable Diesel'!R200*'RD Feedstock Breakdown'!BF$3*'Feedstock Conversion Rates'!B$4)/12</f>
        <v>62.5</v>
      </c>
      <c r="BG191" s="106">
        <f t="shared" si="72"/>
        <v>62.5</v>
      </c>
      <c r="BH191" s="104">
        <f>('Renewable Diesel'!T200*'RD Feedstock Breakdown'!BH$3*'Feedstock Conversion Rates'!B$7)/12</f>
        <v>27.599999999999998</v>
      </c>
      <c r="BI191" s="106">
        <f t="shared" si="144"/>
        <v>27.599999999999998</v>
      </c>
      <c r="BJ191" s="104">
        <f>('Renewable Diesel'!W200*'RD Feedstock Breakdown'!BJ$3*'Feedstock Conversion Rates'!B$4)/12</f>
        <v>7.5</v>
      </c>
      <c r="BK191" s="104">
        <f>('Renewable Diesel'!W200*'RD Feedstock Breakdown'!BK$3*'Feedstock Conversion Rates'!B$3)/12</f>
        <v>1.335</v>
      </c>
      <c r="BL191" s="104">
        <f>('Renewable Diesel'!W200*'RD Feedstock Breakdown'!BL$3*'Feedstock Conversion Rates'!B$6)/12</f>
        <v>3.1266666666666669</v>
      </c>
      <c r="BM191" s="104">
        <f>('Renewable Diesel'!W200*'RD Feedstock Breakdown'!BM$3*'Feedstock Conversion Rates'!B$7)/12</f>
        <v>1.5333333333333332</v>
      </c>
      <c r="BN191" s="106">
        <f t="shared" si="112"/>
        <v>13.495000000000001</v>
      </c>
      <c r="BO191" s="104">
        <f>('Renewable Diesel'!P200*'Feedstock Conversion Rates'!B$4)/12</f>
        <v>31.25</v>
      </c>
      <c r="BP191" s="106">
        <f t="shared" si="102"/>
        <v>31.25</v>
      </c>
      <c r="BQ191" s="104">
        <f>('Renewable Diesel'!$S200*'RD Feedstock Breakdown'!BQ$3*'Feedstock Conversion Rates'!B$4)/12+10</f>
        <v>38.125</v>
      </c>
      <c r="BR191" s="104">
        <f>('Renewable Diesel'!$S200*'RD Feedstock Breakdown'!BR$3*'Feedstock Conversion Rates'!B$7)/12-10</f>
        <v>1.5</v>
      </c>
      <c r="BS191" s="106">
        <f t="shared" si="123"/>
        <v>39.625</v>
      </c>
      <c r="BT191" s="106"/>
      <c r="BU191" s="104">
        <f>('Renewable Diesel'!Y200*'Feedstock Conversion Rates'!B$7)/12</f>
        <v>2.6833333333333331</v>
      </c>
      <c r="BV191" s="106">
        <f t="shared" si="93"/>
        <v>2.6833333333333331</v>
      </c>
      <c r="BW191" s="104">
        <f>('Renewable Diesel'!$Z200*'RD Feedstock Breakdown'!BW$3*'Feedstock Conversion Rates'!$B$4)/12</f>
        <v>35.9375</v>
      </c>
      <c r="BX191" s="104">
        <f>('Renewable Diesel'!$Z200*'RD Feedstock Breakdown'!BX$3*'Feedstock Conversion Rates'!$B$5)/12</f>
        <v>3.6177083333333333</v>
      </c>
      <c r="BY191" s="104">
        <f>('Renewable Diesel'!$Z200*'RD Feedstock Breakdown'!BY$3*'Feedstock Conversion Rates'!$B$7)/12</f>
        <v>30.858333333333331</v>
      </c>
      <c r="BZ191" s="104">
        <f>('Renewable Diesel'!$Z200*'RD Feedstock Breakdown'!BZ$3*'Feedstock Conversion Rates'!$B$3)/12</f>
        <v>7.6762499999999996</v>
      </c>
      <c r="CA191" s="106">
        <f t="shared" si="127"/>
        <v>78.089791666666656</v>
      </c>
      <c r="CB191" s="104">
        <f>('Renewable Diesel'!AA200*'Feedstock Conversion Rates'!B$4)/12</f>
        <v>191.25</v>
      </c>
      <c r="CC191" s="106">
        <f t="shared" si="113"/>
        <v>191.25</v>
      </c>
      <c r="CD191" s="104">
        <f>('Renewable Diesel'!$AB200*'RD Feedstock Breakdown'!CD$3*'Feedstock Conversion Rates'!$B$6)/12-15</f>
        <v>17.830000000000005</v>
      </c>
      <c r="CE191" s="104">
        <f>('Renewable Diesel'!$AB200*'RD Feedstock Breakdown'!CE$3*'Feedstock Conversion Rates'!$B$4)/12+15</f>
        <v>26.25</v>
      </c>
      <c r="CF191" s="106">
        <f t="shared" si="108"/>
        <v>44.080000000000005</v>
      </c>
      <c r="CG191" s="104">
        <f>('Renewable Diesel'!AD200*'Feedstock Conversion Rates'!B$4)/12</f>
        <v>112.5</v>
      </c>
      <c r="CH191" s="106">
        <f t="shared" si="89"/>
        <v>112.5</v>
      </c>
      <c r="CI191" s="104">
        <f>('Renewable Diesel'!$AE200*'RD Feedstock Breakdown'!CI$3*'Feedstock Conversion Rates'!$B$5)/12</f>
        <v>0.34604166666666664</v>
      </c>
      <c r="CJ191" s="104">
        <f>('Renewable Diesel'!$AE200*'RD Feedstock Breakdown'!CJ$3*'Feedstock Conversion Rates'!$B$4)/12</f>
        <v>0.34375</v>
      </c>
      <c r="CK191" s="106">
        <f t="shared" si="103"/>
        <v>0.68979166666666658</v>
      </c>
      <c r="CL191" s="104">
        <f>(((CL$3*'Renewable Diesel'!$AF200)*'Feedstock Conversion Rates'!$B$3)/12)-35</f>
        <v>56.78125</v>
      </c>
      <c r="CM191" s="104">
        <f>(((CM$3*'Renewable Diesel'!$AF200)*'Feedstock Conversion Rates'!$B$6)/12)-32.5+35-50</f>
        <v>6.2395833333333357</v>
      </c>
      <c r="CN191" s="104">
        <f>(((CN$3*'Renewable Diesel'!$AF200)*'Feedstock Conversion Rates'!$B$4)/12)+32.5+50</f>
        <v>125.46875</v>
      </c>
      <c r="CO191" s="106">
        <f t="shared" si="91"/>
        <v>188.48958333333334</v>
      </c>
      <c r="CP191" s="104">
        <f>('Renewable Diesel'!$AG200*'RD Feedstock Breakdown'!CP$3*'Feedstock Conversion Rates'!$B$3)/12</f>
        <v>6.0075000000000003</v>
      </c>
      <c r="CQ191" s="104">
        <f>('Renewable Diesel'!$AG200*'RD Feedstock Breakdown'!CQ$3*'Feedstock Conversion Rates'!$B$6)/12</f>
        <v>3.5175000000000001</v>
      </c>
      <c r="CR191" s="104">
        <f>('Renewable Diesel'!$AG200*'RD Feedstock Breakdown'!CR$3*'Feedstock Conversion Rates'!$B$4)/12</f>
        <v>2.8125</v>
      </c>
      <c r="CS191" s="106">
        <f t="shared" si="134"/>
        <v>12.3375</v>
      </c>
      <c r="CT191" s="104">
        <f>('Renewable Diesel'!AI200*'Feedstock Conversion Rates'!$B$4*'RD Feedstock Breakdown'!$CT$3)/12</f>
        <v>29.375</v>
      </c>
      <c r="CU191" s="106">
        <f t="shared" si="99"/>
        <v>29.375</v>
      </c>
      <c r="CV191" s="106"/>
      <c r="CW191" s="106"/>
      <c r="CX191" s="104">
        <f>('Renewable Diesel'!AO200*'RD Feedstock Breakdown'!$CX$3*'Feedstock Conversion Rates'!$B$3)/12</f>
        <v>6.3412499999999996</v>
      </c>
      <c r="CY191" s="104">
        <f>('Renewable Diesel'!AO200*'RD Feedstock Breakdown'!$CY$3*'Feedstock Conversion Rates'!$B$6)/12</f>
        <v>7.4258333333333342</v>
      </c>
      <c r="CZ191" s="106">
        <f t="shared" si="135"/>
        <v>13.767083333333334</v>
      </c>
      <c r="DA191" s="106"/>
      <c r="DB191" s="106"/>
      <c r="DC191" s="106"/>
      <c r="DD191" s="106"/>
      <c r="DE191" s="106"/>
      <c r="DF191" s="104">
        <f>('Renewable Diesel'!AR200*'Feedstock Conversion Rates'!$B$4*$DF$3)/12</f>
        <v>75</v>
      </c>
      <c r="DG191" s="106">
        <f t="shared" si="136"/>
        <v>75</v>
      </c>
      <c r="DH191" s="104">
        <f>('Renewable Diesel'!AS200*'Feedstock Conversion Rates'!$B$4*$DH$3)/12</f>
        <v>75</v>
      </c>
      <c r="DI191" s="106">
        <f t="shared" si="142"/>
        <v>75</v>
      </c>
      <c r="DJ191" s="104">
        <f>('Renewable Diesel'!AT200*'Feedstock Conversion Rates'!$B$4*0.25)/12</f>
        <v>8.59375</v>
      </c>
      <c r="DK191" s="104">
        <f>('Renewable Diesel'!$AT200*'RD Feedstock Breakdown'!DK$3*'Feedstock Conversion Rates'!$B$3)/12*0.5</f>
        <v>9.1781249999999996</v>
      </c>
      <c r="DL191" s="104">
        <f>('Renewable Diesel'!$AT200*'RD Feedstock Breakdown'!$DL$3*'Feedstock Conversion Rates'!$B$6)/12</f>
        <v>10.747916666666669</v>
      </c>
      <c r="DM191" s="104">
        <f>('Renewable Diesel'!$AT200*'RD Feedstock Breakdown'!$DM$3*'Feedstock Conversion Rates'!$B$8)/12</f>
        <v>10.7421875</v>
      </c>
      <c r="DN191" s="106">
        <f t="shared" si="110"/>
        <v>39.26197916666667</v>
      </c>
      <c r="DP191" s="104">
        <f t="shared" si="73"/>
        <v>52.470249999999993</v>
      </c>
      <c r="DQ191" s="104">
        <f t="shared" si="74"/>
        <v>847.59964250000007</v>
      </c>
      <c r="DR191" s="104">
        <f t="shared" si="82"/>
        <v>1374.8125</v>
      </c>
      <c r="DS191" s="104">
        <f t="shared" si="100"/>
        <v>230.24708333333334</v>
      </c>
      <c r="DT191" s="104">
        <f t="shared" si="75"/>
        <v>424.17464999999993</v>
      </c>
      <c r="DU191" s="104">
        <f t="shared" si="76"/>
        <v>237.29776666666666</v>
      </c>
      <c r="DV191" s="104">
        <f t="shared" si="83"/>
        <v>30.925000000000001</v>
      </c>
      <c r="DW191" s="104">
        <f t="shared" si="77"/>
        <v>2.5</v>
      </c>
      <c r="DX191" s="106">
        <f t="shared" si="78"/>
        <v>3200.0268925</v>
      </c>
      <c r="DY191" s="109">
        <f t="shared" si="79"/>
        <v>-5.6843418860808015E-13</v>
      </c>
      <c r="EA191" s="110">
        <f t="shared" si="114"/>
        <v>1.6396815327701184E-2</v>
      </c>
      <c r="EB191" s="110">
        <f t="shared" si="114"/>
        <v>0.26487266231622775</v>
      </c>
      <c r="EC191" s="110">
        <f t="shared" si="114"/>
        <v>0.42962529571929214</v>
      </c>
      <c r="ED191" s="110">
        <f t="shared" si="114"/>
        <v>7.1951608867091205E-2</v>
      </c>
      <c r="EE191" s="110">
        <f t="shared" si="114"/>
        <v>0.13255346415811409</v>
      </c>
      <c r="EF191" s="110">
        <f t="shared" si="114"/>
        <v>7.4154928892262939E-2</v>
      </c>
      <c r="EG191" s="110">
        <f t="shared" si="114"/>
        <v>9.6639812848072805E-3</v>
      </c>
      <c r="EH191" s="111">
        <f t="shared" si="84"/>
        <v>7.8124343450341799E-4</v>
      </c>
      <c r="EI191" s="110">
        <f t="shared" si="85"/>
        <v>0.99921875656549664</v>
      </c>
      <c r="EK191" s="132">
        <f>(EA191*'Renewable Diesel'!BF200*'Feedstock Conversion Rates'!B$2)+FB191</f>
        <v>34.93982024512281</v>
      </c>
      <c r="EL191" s="132">
        <f>(EB191*'Renewable Diesel'!BF200*'Feedstock Conversion Rates'!B$3)+FC191</f>
        <v>531.87782988899471</v>
      </c>
      <c r="EM191" s="132">
        <f>(EC191*'Renewable Diesel'!BF200*'Feedstock Conversion Rates'!B$4)+FD191</f>
        <v>807.7804585749501</v>
      </c>
      <c r="EN191" s="132">
        <f>(ED191*'Renewable Diesel'!BF200*'Feedstock Conversion Rates'!B$5)+FE191</f>
        <v>136.18513205081788</v>
      </c>
      <c r="EO191" s="132">
        <f>(EE191*'Renewable Diesel'!BF200*'Feedstock Conversion Rates'!B$6)+FF191</f>
        <v>311.69953595728975</v>
      </c>
      <c r="EP191" s="132">
        <f>(EF191*'Renewable Diesel'!BF200*'Feedstock Conversion Rates'!B$7)+FG191</f>
        <v>171.02912954764528</v>
      </c>
      <c r="EQ191" s="132">
        <f>(EG191*'Renewable Diesel'!BF200*'Feedstock Conversion Rates'!B$8)+FH191</f>
        <v>22.712743266291163</v>
      </c>
      <c r="ER191" s="132">
        <f>(EH191*'Renewable Diesel'!BF200*'Feedstock Conversion Rates'!B$9)+FI191</f>
        <v>1.8116335238001033</v>
      </c>
      <c r="ES191" s="132">
        <f t="shared" si="86"/>
        <v>2018.0362830549118</v>
      </c>
      <c r="ET191" s="133">
        <f>ES191/'Renewable Diesel'!BF200</f>
        <v>8.0498304862058276</v>
      </c>
      <c r="EW191" s="73">
        <f t="shared" si="124"/>
        <v>943.96559062576796</v>
      </c>
      <c r="EX191" s="73">
        <f t="shared" si="125"/>
        <v>1074.0706924291439</v>
      </c>
      <c r="EY191" s="92">
        <f t="shared" si="71"/>
        <v>0.46776442948626717</v>
      </c>
      <c r="EZ191" s="92">
        <f t="shared" si="71"/>
        <v>0.53223557051373294</v>
      </c>
      <c r="FB191" s="102">
        <f>IF('Renewable Diesel'!$BG200&lt;1,0,(((('Renewable Diesel'!$BG200-1)*'Renewable Diesel'!$BF200)*'RD Feedstock Breakdown'!EA191)*'Feedstock Conversion Rates'!$B$2))</f>
        <v>0</v>
      </c>
      <c r="FC191" s="102">
        <f>IF('Renewable Diesel'!$BG200&lt;1,0,(((('Renewable Diesel'!$BG200-1)*'Renewable Diesel'!$BF200)*'RD Feedstock Breakdown'!EB191)*'Feedstock Conversion Rates'!$B$3))</f>
        <v>0</v>
      </c>
      <c r="FD191" s="102">
        <f>IF('Renewable Diesel'!$BG200&lt;1,0,(((('Renewable Diesel'!$BG200-1)*'Renewable Diesel'!$BF200)*'RD Feedstock Breakdown'!EC191)*'Feedstock Conversion Rates'!$B$4))</f>
        <v>0</v>
      </c>
      <c r="FE191" s="102">
        <f>IF('Renewable Diesel'!$BG200&lt;1,0,(((('Renewable Diesel'!$BG200-1)*'Renewable Diesel'!$BF200)*'RD Feedstock Breakdown'!ED191)*'Feedstock Conversion Rates'!$B$5))</f>
        <v>0</v>
      </c>
      <c r="FF191" s="102">
        <f>IF('Renewable Diesel'!$BG200&lt;1,0,(((('Renewable Diesel'!$BG200-1)*'Renewable Diesel'!$BF200)*'RD Feedstock Breakdown'!EE191)*'Feedstock Conversion Rates'!$B$6))</f>
        <v>0</v>
      </c>
      <c r="FG191" s="102">
        <f>IF('Renewable Diesel'!$BG200&lt;1,0,(((('Renewable Diesel'!$BG200-1)*'Renewable Diesel'!$BF200)*'RD Feedstock Breakdown'!EF191)*'Feedstock Conversion Rates'!$B$7))</f>
        <v>0</v>
      </c>
      <c r="FH191" s="102">
        <f>IF('Renewable Diesel'!$BG200&lt;1,0,(((('Renewable Diesel'!$BG200-1)*'Renewable Diesel'!$BF200)*'RD Feedstock Breakdown'!EG191)*'Feedstock Conversion Rates'!$B$8))</f>
        <v>0</v>
      </c>
      <c r="FI191" s="102">
        <f>IF('Renewable Diesel'!$BG200&lt;1,0,(((('Renewable Diesel'!$BG200-1)*'Renewable Diesel'!$BF200)*'RD Feedstock Breakdown'!EH191)*'Feedstock Conversion Rates'!$B$9))</f>
        <v>0</v>
      </c>
      <c r="FJ191" s="102">
        <f t="shared" si="126"/>
        <v>0</v>
      </c>
      <c r="FL191" s="3">
        <f>('Renewable Diesel'!AX200/12*$FO$80)*'RD Feedstock Breakdown'!EC191*7.5</f>
        <v>1241.4762680865012</v>
      </c>
      <c r="FM191" s="3">
        <f t="shared" si="96"/>
        <v>433.69580951155115</v>
      </c>
      <c r="FR191" s="3">
        <f>('Renewable Diesel'!AX200-'Renewable Diesel'!BI200)/12*$FO$80</f>
        <v>51.509625000000007</v>
      </c>
      <c r="FS191" s="100">
        <f t="shared" si="97"/>
        <v>0.42962529571929214</v>
      </c>
      <c r="FT191" s="3">
        <f t="shared" si="98"/>
        <v>165.97378404761136</v>
      </c>
      <c r="FY191" s="3">
        <f>'Renewable Diesel'!BF200*('Renewable Diesel'!BI200/'Renewable Diesel'!AX200)</f>
        <v>217.1777007696781</v>
      </c>
      <c r="FZ191" s="3">
        <f>('Renewable Diesel'!BJ200*'Renewable Diesel'!BG200)/12</f>
        <v>32.884650718263664</v>
      </c>
      <c r="GA191" s="3">
        <f t="shared" si="105"/>
        <v>105.96058342094744</v>
      </c>
      <c r="GD191" s="91">
        <f>'Renewable Diesel'!BB200*0.32</f>
        <v>0</v>
      </c>
      <c r="GE191" s="91">
        <f>'Renewable Diesel'!BC200</f>
        <v>42.945445735034241</v>
      </c>
      <c r="GF191" s="91">
        <f>'Renewable Diesel'!BD200</f>
        <v>0</v>
      </c>
      <c r="GG191" s="91">
        <f t="shared" si="109"/>
        <v>42.945445735034241</v>
      </c>
      <c r="GH191" s="124">
        <v>1</v>
      </c>
      <c r="GI191" s="102">
        <f>$GG191*EA191*'Feedstock Conversion Rates'!$B$2</f>
        <v>5.9854326145069354</v>
      </c>
      <c r="GJ191" s="102">
        <f>$GG191*EB191*'Feedstock Conversion Rates'!$B$3</f>
        <v>91.114347115026817</v>
      </c>
      <c r="GK191" s="102">
        <f>$GG191*EC191*'Feedstock Conversion Rates'!$B$4</f>
        <v>138.37837367783175</v>
      </c>
      <c r="GL191" s="102">
        <f>$GG191*ED191*'Feedstock Conversion Rates'!$B$5</f>
        <v>23.329454051833057</v>
      </c>
      <c r="GM191" s="102">
        <f>$GG191*EE191*'Feedstock Conversion Rates'!$B$6</f>
        <v>53.396284106695234</v>
      </c>
      <c r="GN191" s="102">
        <f>$GG191*EF191*'Feedstock Conversion Rates'!$B$7</f>
        <v>29.298471567497607</v>
      </c>
      <c r="GO191" s="102">
        <f>$GG191*EG191*'Feedstock Conversion Rates'!$B$8</f>
        <v>3.8908498486038519</v>
      </c>
      <c r="GP191" s="102">
        <f>$GG191*EH191*'Feedstock Conversion Rates'!B$9</f>
        <v>0.31034533958144439</v>
      </c>
      <c r="GQ191" s="102">
        <f t="shared" si="87"/>
        <v>345.70355832157668</v>
      </c>
      <c r="GR191" s="85">
        <f t="shared" si="107"/>
        <v>8.0498304862058276</v>
      </c>
      <c r="GT191" s="103">
        <f t="shared" si="111"/>
        <v>1.7313772075609444E-2</v>
      </c>
      <c r="GU191" s="103">
        <f t="shared" si="111"/>
        <v>0.26356207485221017</v>
      </c>
      <c r="GV191" s="103">
        <f t="shared" si="111"/>
        <v>0.40028044359644943</v>
      </c>
      <c r="GW191" s="103">
        <f t="shared" si="111"/>
        <v>6.748398588981773E-2</v>
      </c>
      <c r="GX191" s="103">
        <f t="shared" si="111"/>
        <v>0.15445685420751587</v>
      </c>
      <c r="GY191" s="103">
        <f t="shared" si="111"/>
        <v>8.4750274801174863E-2</v>
      </c>
      <c r="GZ191" s="103">
        <f t="shared" si="111"/>
        <v>1.1254873590235215E-2</v>
      </c>
      <c r="HA191" s="103">
        <f t="shared" si="111"/>
        <v>8.9772098698723344E-4</v>
      </c>
    </row>
    <row r="192" spans="1:209" x14ac:dyDescent="0.25">
      <c r="A192" s="96">
        <v>46266</v>
      </c>
      <c r="B192" s="104">
        <f>23-20+10+85-5-4-4-1.25+2.25-5+15-6-25-45+65+15-22.5-50+40+16.5+27.5+168+80+14-30+15-50-19+22.5-10+5+11-25-50-12.5-27.5-10+10+2+4-1.5+12-26-15-50-15+10-32.5-3-5-2.5-1+5+10-50-35-9-0.5+25+15+25+20+15+85-25+12.5-52.5+10+20-150+20-20+55-25-25+20+15+200-200+5</f>
        <v>45</v>
      </c>
      <c r="C192" s="104">
        <f t="shared" si="143"/>
        <v>20</v>
      </c>
      <c r="D192" s="104">
        <f t="shared" si="95"/>
        <v>1.5</v>
      </c>
      <c r="E192" s="104">
        <f>('Renewable Diesel'!B201*E$3*'Feedstock Conversion Rates'!$B$2)/12-40+1.25+6-43+30-15+12.5-4+1.5+26+2.5+3-10+50+9-15-25-55+15+45+10-50+60-60</f>
        <v>44.679999999999993</v>
      </c>
      <c r="F192" s="104">
        <f>('Renewable Diesel'!B201*'RD Feedstock Breakdown'!F$3*'Feedstock Conversion Rates'!B$8)/12+28.5-49-5+2-6+1+6+20-20-3.75+10+2.5+5-20-20-5</f>
        <v>0.15625</v>
      </c>
      <c r="G192" s="104">
        <f>('Renewable Diesel'!B201*'RD Feedstock Breakdown'!G$3*'Feedstock Conversion Rates'!B$7)/12-25-15-25+4+4-20-40-20+10-17.5+20+50-12+32.5+35-75-75+22.5+5-20+15+125-10-45-10-40-40</f>
        <v>9.6570000000000107</v>
      </c>
      <c r="H192" s="104">
        <f>('Renewable Diesel'!B201*'RD Feedstock Breakdown'!H$3*'Feedstock Conversion Rates'!B$3)/12-85+4-15+70-65-80+50-22.5-5+25+27.5+15+50+15-10+5+50+75-5-25-85-12.5+30+22.5-25-30+150+90-120+25+10+70-200+200</f>
        <v>375.40022499999998</v>
      </c>
      <c r="I192" s="106">
        <f t="shared" si="106"/>
        <v>496.39347499999997</v>
      </c>
      <c r="J192" s="104">
        <f>2+10+12+15-6-20-5-5+7+105+30+87+5-10-5-25-27.5+1-1-15-17.5-6-10-77.5-7.5-1+17.5+15+90+2+2.5+2.5+7.5+27.5-32-11-25+5-50-30+50-80+207-180</f>
        <v>53.5</v>
      </c>
      <c r="K192" s="104">
        <f t="shared" si="139"/>
        <v>0</v>
      </c>
      <c r="L192" s="104">
        <v>1</v>
      </c>
      <c r="M192" s="104">
        <f>('Renewable Diesel'!C201*'RD Feedstock Breakdown'!M$3*'Feedstock Conversion Rates'!B$2)/12</f>
        <v>7.7902500000000003</v>
      </c>
      <c r="N192" s="104">
        <f>('Renewable Diesel'!C201*'RD Feedstock Breakdown'!N$3*'Feedstock Conversion Rates'!B$8)/12</f>
        <v>3.671875</v>
      </c>
      <c r="O192" s="104">
        <f>('Renewable Diesel'!C201*'RD Feedstock Breakdown'!O$3*'Feedstock Conversion Rates'!B$7)/12</f>
        <v>11.9991</v>
      </c>
      <c r="P192" s="104">
        <f>('Renewable Diesel'!C201*'RD Feedstock Breakdown'!P$3*'Feedstock Conversion Rates'!B$3)/12</f>
        <v>10.4470425</v>
      </c>
      <c r="Q192" s="106">
        <f t="shared" si="119"/>
        <v>88.408267499999994</v>
      </c>
      <c r="R192" s="104">
        <f>('Renewable Diesel'!D201*'RD Feedstock Breakdown'!R$3*'Feedstock Conversion Rates'!B$7)/12</f>
        <v>2.2999999999999998</v>
      </c>
      <c r="S192" s="106">
        <f t="shared" si="67"/>
        <v>2.2999999999999998</v>
      </c>
      <c r="T192" s="104">
        <f t="shared" si="138"/>
        <v>0.82499999999999929</v>
      </c>
      <c r="U192" s="104">
        <v>0</v>
      </c>
      <c r="V192" s="104">
        <f>('Renewable Diesel'!E201*'RD Feedstock Breakdown'!V$3*'Feedstock Conversion Rates'!B$6)/12-20+25</f>
        <v>49.250150000000012</v>
      </c>
      <c r="W192" s="104">
        <f>('Renewable Diesel'!E201*'RD Feedstock Breakdown'!W$3*'Feedstock Conversion Rates'!B$8)/12-5.825</f>
        <v>16.354687500000001</v>
      </c>
      <c r="X192" s="106">
        <f t="shared" si="88"/>
        <v>66.429837500000005</v>
      </c>
      <c r="Y192" s="104">
        <f t="shared" si="140"/>
        <v>0.5</v>
      </c>
      <c r="Z192" s="104">
        <f>('Renewable Diesel'!F201*'RD Feedstock Breakdown'!Z$3*'Feedstock Conversion Rates'!B$6)/12-50-32-60+15+30+22.5-15-25-20+20-10+5+100+30</f>
        <v>169.96</v>
      </c>
      <c r="AA192" s="104">
        <f>('Renewable Diesel'!F201*'RD Feedstock Breakdown'!AA$3*'Feedstock Conversion Rates'!B$7)/12+80-171+75+50+20-65</f>
        <v>93.266666666666652</v>
      </c>
      <c r="AB192" s="106">
        <f t="shared" si="137"/>
        <v>263.72666666666669</v>
      </c>
      <c r="AC192" s="104">
        <f>('Renewable Diesel'!G201*'RD Feedstock Breakdown'!AC$3*'Feedstock Conversion Rates'!B$5)/12</f>
        <v>11.796875</v>
      </c>
      <c r="AD192" s="104">
        <f>('Renewable Diesel'!G201*'RD Feedstock Breakdown'!AD$3*'Feedstock Conversion Rates'!B$4)/12</f>
        <v>5.859375</v>
      </c>
      <c r="AE192" s="104">
        <f>('Renewable Diesel'!G201*'RD Feedstock Breakdown'!AE$3*'Feedstock Conversion Rates'!B$6)/12</f>
        <v>7.3281250000000009</v>
      </c>
      <c r="AF192" s="106">
        <f t="shared" si="101"/>
        <v>24.984375</v>
      </c>
      <c r="AG192" s="104">
        <f t="shared" si="131"/>
        <v>39</v>
      </c>
      <c r="AH192" s="104">
        <v>0</v>
      </c>
      <c r="AI192" s="104">
        <f>('Renewable Diesel'!H201*'RD Feedstock Breakdown'!AI$3*'Feedstock Conversion Rates'!B$6)/12-130-20+51+5-100-25+100-10-25+15+22.5-22.5+100</f>
        <v>109.51666666666668</v>
      </c>
      <c r="AJ192" s="106">
        <f t="shared" ref="AJ192:AJ255" si="145">AI192+AG192</f>
        <v>148.51666666666668</v>
      </c>
      <c r="AK192" s="104">
        <f>('Renewable Diesel'!J201*'RD Feedstock Breakdown'!AK$3*'Feedstock Conversion Rates'!B$4)/12</f>
        <v>95.8125</v>
      </c>
      <c r="AL192" s="106">
        <f t="shared" si="68"/>
        <v>95.8125</v>
      </c>
      <c r="AM192" s="104">
        <f>('Renewable Diesel'!K201*'RD Feedstock Breakdown'!AM$3*'Feedstock Conversion Rates'!B$4)/12+5+15-10+4-25</f>
        <v>47.59375</v>
      </c>
      <c r="AN192" s="104">
        <f>('Renewable Diesel'!K201*'RD Feedstock Breakdown'!AN$3*'Feedstock Conversion Rates'!B$6)/12-5-15+10-4+25</f>
        <v>35.427083333333329</v>
      </c>
      <c r="AO192" s="106">
        <f t="shared" si="81"/>
        <v>83.020833333333329</v>
      </c>
      <c r="AP192" s="104">
        <f>('Renewable Diesel'!L201*'RD Feedstock Breakdown'!AP$3*'Feedstock Conversion Rates'!B$4)/12+15-10+14</f>
        <v>77.59375</v>
      </c>
      <c r="AQ192" s="104">
        <f>('Renewable Diesel'!L201*'RD Feedstock Breakdown'!AQ$3*'Feedstock Conversion Rates'!B$6)/12-15+10-14</f>
        <v>5.4270833333333321</v>
      </c>
      <c r="AR192" s="106">
        <f t="shared" si="70"/>
        <v>83.020833333333329</v>
      </c>
      <c r="AS192" s="104">
        <f>('Renewable Diesel'!M201*'RD Feedstock Breakdown'!AS$3*'Feedstock Conversion Rates'!B$4)/12-150</f>
        <v>306.25</v>
      </c>
      <c r="AT192" s="104">
        <f>('Renewable Diesel'!M201*'RD Feedstock Breakdown'!AT$3*'Feedstock Conversion Rates'!B$5)/12+150</f>
        <v>150</v>
      </c>
      <c r="AU192" s="106">
        <f t="shared" si="104"/>
        <v>456.25</v>
      </c>
      <c r="AV192" s="104">
        <f>'Renewable Diesel'!N201*'RD Feedstock Breakdown'!$AV$3*'Feedstock Conversion Rates'!$B$4/12-15-10+25+25-22-17.5</f>
        <v>64.249999999999986</v>
      </c>
      <c r="AW192" s="104">
        <f>'Renewable Diesel'!N201*'RD Feedstock Breakdown'!$AW$3*'Feedstock Conversion Rates'!$B$7/12+15+10-25-25+22+17.5</f>
        <v>55.900000000000006</v>
      </c>
      <c r="AX192" s="106">
        <f t="shared" si="141"/>
        <v>120.14999999999999</v>
      </c>
      <c r="AY192" s="104">
        <f>('Renewable Diesel'!O201*'RD Feedstock Breakdown'!AY$3*'Feedstock Conversion Rates'!B$4)/12+34-100-20-262</f>
        <v>-137.0625</v>
      </c>
      <c r="AZ192" s="104">
        <f>('Renewable Diesel'!O201*'RD Feedstock Breakdown'!AZ$3*'Feedstock Conversion Rates'!B$3)/12-34+100+20+262</f>
        <v>373.03125</v>
      </c>
      <c r="BA192" s="106">
        <f t="shared" si="120"/>
        <v>235.96875</v>
      </c>
      <c r="BB192" s="104">
        <f>('Renewable Diesel'!Q201*'RD Feedstock Breakdown'!BB$3*'Feedstock Conversion Rates'!B$4)/12</f>
        <v>11.156249999999998</v>
      </c>
      <c r="BC192" s="104">
        <f>('Renewable Diesel'!Q201*'RD Feedstock Breakdown'!BC$3*'Feedstock Conversion Rates'!B$3)/12</f>
        <v>1.4017500000000001</v>
      </c>
      <c r="BD192" s="104">
        <f>('Renewable Diesel'!Q201*'RD Feedstock Breakdown'!BD$3*'Feedstock Conversion Rates'!B$6)/12</f>
        <v>0.8207500000000002</v>
      </c>
      <c r="BE192" s="106">
        <f t="shared" si="90"/>
        <v>13.378749999999998</v>
      </c>
      <c r="BF192" s="104">
        <f>('Renewable Diesel'!R201*'RD Feedstock Breakdown'!BF$3*'Feedstock Conversion Rates'!B$4)/12</f>
        <v>62.5</v>
      </c>
      <c r="BG192" s="106">
        <f t="shared" si="72"/>
        <v>62.5</v>
      </c>
      <c r="BH192" s="104">
        <f>('Renewable Diesel'!T201*'RD Feedstock Breakdown'!BH$3*'Feedstock Conversion Rates'!B$7)/12</f>
        <v>27.599999999999998</v>
      </c>
      <c r="BI192" s="106">
        <f t="shared" si="144"/>
        <v>27.599999999999998</v>
      </c>
      <c r="BJ192" s="104">
        <f>('Renewable Diesel'!W201*'RD Feedstock Breakdown'!BJ$3*'Feedstock Conversion Rates'!B$4)/12</f>
        <v>7.5</v>
      </c>
      <c r="BK192" s="104">
        <f>('Renewable Diesel'!W201*'RD Feedstock Breakdown'!BK$3*'Feedstock Conversion Rates'!B$3)/12</f>
        <v>1.335</v>
      </c>
      <c r="BL192" s="104">
        <f>('Renewable Diesel'!W201*'RD Feedstock Breakdown'!BL$3*'Feedstock Conversion Rates'!B$6)/12</f>
        <v>3.1266666666666669</v>
      </c>
      <c r="BM192" s="104">
        <f>('Renewable Diesel'!W201*'RD Feedstock Breakdown'!BM$3*'Feedstock Conversion Rates'!B$7)/12</f>
        <v>1.5333333333333332</v>
      </c>
      <c r="BN192" s="106">
        <f t="shared" si="112"/>
        <v>13.495000000000001</v>
      </c>
      <c r="BO192" s="104">
        <f>('Renewable Diesel'!P201*'Feedstock Conversion Rates'!B$4)/12</f>
        <v>31.25</v>
      </c>
      <c r="BP192" s="106">
        <f t="shared" si="102"/>
        <v>31.25</v>
      </c>
      <c r="BQ192" s="104">
        <f>('Renewable Diesel'!$S201*'RD Feedstock Breakdown'!BQ$3*'Feedstock Conversion Rates'!B$4)/12+10</f>
        <v>38.125</v>
      </c>
      <c r="BR192" s="104">
        <f>('Renewable Diesel'!$S201*'RD Feedstock Breakdown'!BR$3*'Feedstock Conversion Rates'!B$7)/12-10</f>
        <v>1.5</v>
      </c>
      <c r="BS192" s="106">
        <f t="shared" si="123"/>
        <v>39.625</v>
      </c>
      <c r="BT192" s="106"/>
      <c r="BU192" s="104">
        <f>('Renewable Diesel'!Y201*'Feedstock Conversion Rates'!B$7)/12</f>
        <v>2.6833333333333331</v>
      </c>
      <c r="BV192" s="106">
        <f t="shared" si="93"/>
        <v>2.6833333333333331</v>
      </c>
      <c r="BW192" s="104">
        <f>('Renewable Diesel'!$Z201*'RD Feedstock Breakdown'!BW$3*'Feedstock Conversion Rates'!$B$4)/12</f>
        <v>35.9375</v>
      </c>
      <c r="BX192" s="104">
        <f>('Renewable Diesel'!$Z201*'RD Feedstock Breakdown'!BX$3*'Feedstock Conversion Rates'!$B$5)/12</f>
        <v>3.6177083333333333</v>
      </c>
      <c r="BY192" s="104">
        <f>('Renewable Diesel'!$Z201*'RD Feedstock Breakdown'!BY$3*'Feedstock Conversion Rates'!$B$7)/12</f>
        <v>30.858333333333331</v>
      </c>
      <c r="BZ192" s="104">
        <f>('Renewable Diesel'!$Z201*'RD Feedstock Breakdown'!BZ$3*'Feedstock Conversion Rates'!$B$3)/12</f>
        <v>7.6762499999999996</v>
      </c>
      <c r="CA192" s="106">
        <f t="shared" si="127"/>
        <v>78.089791666666656</v>
      </c>
      <c r="CB192" s="104">
        <f>('Renewable Diesel'!AA201*'Feedstock Conversion Rates'!B$4)/12</f>
        <v>191.25</v>
      </c>
      <c r="CC192" s="106">
        <f t="shared" si="113"/>
        <v>191.25</v>
      </c>
      <c r="CD192" s="104">
        <f>('Renewable Diesel'!$AB201*'RD Feedstock Breakdown'!CD$3*'Feedstock Conversion Rates'!$B$6)/12-15</f>
        <v>17.830000000000005</v>
      </c>
      <c r="CE192" s="104">
        <f>('Renewable Diesel'!$AB201*'RD Feedstock Breakdown'!CE$3*'Feedstock Conversion Rates'!$B$4)/12+15</f>
        <v>26.25</v>
      </c>
      <c r="CF192" s="106">
        <f t="shared" si="108"/>
        <v>44.080000000000005</v>
      </c>
      <c r="CG192" s="104">
        <f>('Renewable Diesel'!AD201*'Feedstock Conversion Rates'!B$4)/12</f>
        <v>112.5</v>
      </c>
      <c r="CH192" s="106">
        <f t="shared" si="89"/>
        <v>112.5</v>
      </c>
      <c r="CI192" s="104">
        <f>('Renewable Diesel'!$AE201*'RD Feedstock Breakdown'!CI$3*'Feedstock Conversion Rates'!$B$5)/12</f>
        <v>0.34604166666666664</v>
      </c>
      <c r="CJ192" s="104">
        <f>('Renewable Diesel'!$AE201*'RD Feedstock Breakdown'!CJ$3*'Feedstock Conversion Rates'!$B$4)/12</f>
        <v>0.34375</v>
      </c>
      <c r="CK192" s="106">
        <f t="shared" si="103"/>
        <v>0.68979166666666658</v>
      </c>
      <c r="CL192" s="104">
        <f>(((CL$3*'Renewable Diesel'!$AF201)*'Feedstock Conversion Rates'!$B$3)/12)-35</f>
        <v>56.78125</v>
      </c>
      <c r="CM192" s="104">
        <f>(((CM$3*'Renewable Diesel'!$AF201)*'Feedstock Conversion Rates'!$B$6)/12)-32.5+35-50</f>
        <v>6.2395833333333357</v>
      </c>
      <c r="CN192" s="104">
        <f>(((CN$3*'Renewable Diesel'!$AF201)*'Feedstock Conversion Rates'!$B$4)/12)+32.5+50</f>
        <v>125.46875</v>
      </c>
      <c r="CO192" s="106">
        <f t="shared" si="91"/>
        <v>188.48958333333334</v>
      </c>
      <c r="CP192" s="104">
        <f>('Renewable Diesel'!$AG201*'RD Feedstock Breakdown'!CP$3*'Feedstock Conversion Rates'!$B$3)/12</f>
        <v>6.0075000000000003</v>
      </c>
      <c r="CQ192" s="104">
        <f>('Renewable Diesel'!$AG201*'RD Feedstock Breakdown'!CQ$3*'Feedstock Conversion Rates'!$B$6)/12</f>
        <v>3.5175000000000001</v>
      </c>
      <c r="CR192" s="104">
        <f>('Renewable Diesel'!$AG201*'RD Feedstock Breakdown'!CR$3*'Feedstock Conversion Rates'!$B$4)/12</f>
        <v>2.8125</v>
      </c>
      <c r="CS192" s="106">
        <f t="shared" si="134"/>
        <v>12.3375</v>
      </c>
      <c r="CT192" s="104">
        <f>('Renewable Diesel'!AI201*'Feedstock Conversion Rates'!$B$4*'RD Feedstock Breakdown'!$CT$3)/12</f>
        <v>29.375</v>
      </c>
      <c r="CU192" s="106">
        <f t="shared" si="99"/>
        <v>29.375</v>
      </c>
      <c r="CV192" s="106"/>
      <c r="CW192" s="106"/>
      <c r="CX192" s="104">
        <f>('Renewable Diesel'!AO201*'RD Feedstock Breakdown'!$CX$3*'Feedstock Conversion Rates'!$B$3)/12</f>
        <v>6.3412499999999996</v>
      </c>
      <c r="CY192" s="104">
        <f>('Renewable Diesel'!AO201*'RD Feedstock Breakdown'!$CY$3*'Feedstock Conversion Rates'!$B$6)/12</f>
        <v>7.4258333333333342</v>
      </c>
      <c r="CZ192" s="106">
        <f t="shared" si="135"/>
        <v>13.767083333333334</v>
      </c>
      <c r="DA192" s="106"/>
      <c r="DB192" s="106"/>
      <c r="DC192" s="106"/>
      <c r="DD192" s="106"/>
      <c r="DE192" s="106"/>
      <c r="DF192" s="104">
        <f>('Renewable Diesel'!AR201*'Feedstock Conversion Rates'!$B$4*$DF$3)/12</f>
        <v>75</v>
      </c>
      <c r="DG192" s="106">
        <f t="shared" si="136"/>
        <v>75</v>
      </c>
      <c r="DH192" s="104">
        <f>('Renewable Diesel'!AS201*'Feedstock Conversion Rates'!$B$4*$DH$3)/12</f>
        <v>75</v>
      </c>
      <c r="DI192" s="106">
        <f t="shared" si="142"/>
        <v>75</v>
      </c>
      <c r="DJ192" s="104">
        <f>('Renewable Diesel'!AT201*'Feedstock Conversion Rates'!$B$4*0.25)/12</f>
        <v>8.59375</v>
      </c>
      <c r="DK192" s="104">
        <f>('Renewable Diesel'!$AT201*'RD Feedstock Breakdown'!DK$3*'Feedstock Conversion Rates'!$B$3)/12*0.5</f>
        <v>9.1781249999999996</v>
      </c>
      <c r="DL192" s="104">
        <f>('Renewable Diesel'!$AT201*'RD Feedstock Breakdown'!$DL$3*'Feedstock Conversion Rates'!$B$6)/12</f>
        <v>10.747916666666669</v>
      </c>
      <c r="DM192" s="104">
        <f>('Renewable Diesel'!$AT201*'RD Feedstock Breakdown'!$DM$3*'Feedstock Conversion Rates'!$B$8)/12</f>
        <v>10.7421875</v>
      </c>
      <c r="DN192" s="106">
        <f t="shared" si="110"/>
        <v>39.26197916666667</v>
      </c>
      <c r="DP192" s="104">
        <f t="shared" si="73"/>
        <v>52.470249999999993</v>
      </c>
      <c r="DQ192" s="104">
        <f t="shared" si="74"/>
        <v>847.59964250000007</v>
      </c>
      <c r="DR192" s="104">
        <f t="shared" si="82"/>
        <v>1383.765625</v>
      </c>
      <c r="DS192" s="104">
        <f t="shared" si="100"/>
        <v>234.17937499999999</v>
      </c>
      <c r="DT192" s="104">
        <f t="shared" si="75"/>
        <v>426.6173583333333</v>
      </c>
      <c r="DU192" s="104">
        <f t="shared" si="76"/>
        <v>237.29776666666666</v>
      </c>
      <c r="DV192" s="104">
        <f t="shared" si="83"/>
        <v>30.925000000000001</v>
      </c>
      <c r="DW192" s="104">
        <f t="shared" si="77"/>
        <v>2.5</v>
      </c>
      <c r="DX192" s="106">
        <f t="shared" si="78"/>
        <v>3215.3550175000005</v>
      </c>
      <c r="DY192" s="109">
        <f t="shared" si="79"/>
        <v>-1.0231815394945443E-12</v>
      </c>
      <c r="EA192" s="110">
        <f t="shared" si="114"/>
        <v>1.6318649018358354E-2</v>
      </c>
      <c r="EB192" s="110">
        <f t="shared" si="114"/>
        <v>0.26360997087003629</v>
      </c>
      <c r="EC192" s="110">
        <f t="shared" si="114"/>
        <v>0.4303616917785657</v>
      </c>
      <c r="ED192" s="110">
        <f t="shared" ref="ED192:EG249" si="146">DS192/$DX192</f>
        <v>7.2831576521238672E-2</v>
      </c>
      <c r="EE192" s="110">
        <f t="shared" si="146"/>
        <v>0.13268126101516353</v>
      </c>
      <c r="EF192" s="110">
        <f t="shared" si="146"/>
        <v>7.3801420177598359E-2</v>
      </c>
      <c r="EG192" s="110">
        <f t="shared" si="146"/>
        <v>9.6179115001878632E-3</v>
      </c>
      <c r="EH192" s="111">
        <f t="shared" si="84"/>
        <v>7.7751911885108019E-4</v>
      </c>
      <c r="EI192" s="110">
        <f t="shared" si="85"/>
        <v>0.99922248088114873</v>
      </c>
      <c r="EK192" s="132">
        <f>(EA192*'Renewable Diesel'!BF201*'Feedstock Conversion Rates'!B$2)+FB192</f>
        <v>36.553944338509048</v>
      </c>
      <c r="EL192" s="132">
        <f>(EB192*'Renewable Diesel'!BF201*'Feedstock Conversion Rates'!B$3)+FC192</f>
        <v>556.44913031180249</v>
      </c>
      <c r="EM192" s="132">
        <f>(EC192*'Renewable Diesel'!BF201*'Feedstock Conversion Rates'!B$4)+FD192</f>
        <v>850.6011944660886</v>
      </c>
      <c r="EN192" s="132">
        <f>(ED192*'Renewable Diesel'!BF201*'Feedstock Conversion Rates'!B$5)+FE192</f>
        <v>144.9098080716891</v>
      </c>
      <c r="EO192" s="132">
        <f>(EE192*'Renewable Diesel'!BF201*'Feedstock Conversion Rates'!B$6)+FF192</f>
        <v>327.97711971341101</v>
      </c>
      <c r="EP192" s="132">
        <f>(EF192*'Renewable Diesel'!BF201*'Feedstock Conversion Rates'!B$7)+FG192</f>
        <v>178.93020736478908</v>
      </c>
      <c r="EQ192" s="132">
        <f>(EG192*'Renewable Diesel'!BF201*'Feedstock Conversion Rates'!B$8)+FH192</f>
        <v>23.762009858844227</v>
      </c>
      <c r="ER192" s="132">
        <f>(EH192*'Renewable Diesel'!BF201*'Feedstock Conversion Rates'!B$9)+FI192</f>
        <v>1.8953260356286421</v>
      </c>
      <c r="ES192" s="132">
        <f t="shared" si="86"/>
        <v>2121.0787401607622</v>
      </c>
      <c r="ET192" s="133">
        <f>ES192/'Renewable Diesel'!BF201</f>
        <v>8.0486987405194039</v>
      </c>
      <c r="EW192" s="73">
        <f t="shared" si="124"/>
        <v>995.5110025377777</v>
      </c>
      <c r="EX192" s="73">
        <f t="shared" si="125"/>
        <v>1125.5677376229844</v>
      </c>
      <c r="EY192" s="92">
        <f t="shared" si="71"/>
        <v>0.46934184181315458</v>
      </c>
      <c r="EZ192" s="92">
        <f t="shared" si="71"/>
        <v>0.53065815818684536</v>
      </c>
      <c r="FB192" s="102">
        <f>IF('Renewable Diesel'!$BG201&lt;1,0,(((('Renewable Diesel'!$BG201-1)*'Renewable Diesel'!$BF201)*'RD Feedstock Breakdown'!EA192)*'Feedstock Conversion Rates'!$B$2))</f>
        <v>0</v>
      </c>
      <c r="FC192" s="102">
        <f>IF('Renewable Diesel'!$BG201&lt;1,0,(((('Renewable Diesel'!$BG201-1)*'Renewable Diesel'!$BF201)*'RD Feedstock Breakdown'!EB192)*'Feedstock Conversion Rates'!$B$3))</f>
        <v>0</v>
      </c>
      <c r="FD192" s="102">
        <f>IF('Renewable Diesel'!$BG201&lt;1,0,(((('Renewable Diesel'!$BG201-1)*'Renewable Diesel'!$BF201)*'RD Feedstock Breakdown'!EC192)*'Feedstock Conversion Rates'!$B$4))</f>
        <v>0</v>
      </c>
      <c r="FE192" s="102">
        <f>IF('Renewable Diesel'!$BG201&lt;1,0,(((('Renewable Diesel'!$BG201-1)*'Renewable Diesel'!$BF201)*'RD Feedstock Breakdown'!ED192)*'Feedstock Conversion Rates'!$B$5))</f>
        <v>0</v>
      </c>
      <c r="FF192" s="102">
        <f>IF('Renewable Diesel'!$BG201&lt;1,0,(((('Renewable Diesel'!$BG201-1)*'Renewable Diesel'!$BF201)*'RD Feedstock Breakdown'!EE192)*'Feedstock Conversion Rates'!$B$6))</f>
        <v>0</v>
      </c>
      <c r="FG192" s="102">
        <f>IF('Renewable Diesel'!$BG201&lt;1,0,(((('Renewable Diesel'!$BG201-1)*'Renewable Diesel'!$BF201)*'RD Feedstock Breakdown'!EF192)*'Feedstock Conversion Rates'!$B$7))</f>
        <v>0</v>
      </c>
      <c r="FH192" s="102">
        <f>IF('Renewable Diesel'!$BG201&lt;1,0,(((('Renewable Diesel'!$BG201-1)*'Renewable Diesel'!$BF201)*'RD Feedstock Breakdown'!EG192)*'Feedstock Conversion Rates'!$B$8))</f>
        <v>0</v>
      </c>
      <c r="FI192" s="102">
        <f>IF('Renewable Diesel'!$BG201&lt;1,0,(((('Renewable Diesel'!$BG201-1)*'Renewable Diesel'!$BF201)*'RD Feedstock Breakdown'!EH192)*'Feedstock Conversion Rates'!$B$9))</f>
        <v>0</v>
      </c>
      <c r="FJ192" s="102">
        <f t="shared" si="126"/>
        <v>0</v>
      </c>
      <c r="FL192" s="3">
        <f>('Renewable Diesel'!AX201/12*$FO$80)*'RD Feedstock Breakdown'!EC192*7.5</f>
        <v>1246.6301919432867</v>
      </c>
      <c r="FM192" s="3">
        <f t="shared" si="96"/>
        <v>396.02899747719812</v>
      </c>
      <c r="FR192" s="3">
        <f>('Renewable Diesel'!AX201-'Renewable Diesel'!BI201)/12*$FO$80</f>
        <v>51.509625000000007</v>
      </c>
      <c r="FS192" s="100">
        <f t="shared" si="97"/>
        <v>0.4303616917785657</v>
      </c>
      <c r="FT192" s="3">
        <f t="shared" si="98"/>
        <v>166.25827018409629</v>
      </c>
      <c r="FY192" s="3">
        <f>'Renewable Diesel'!BF201*('Renewable Diesel'!BI201/'Renewable Diesel'!AX201)</f>
        <v>228.38457398892794</v>
      </c>
      <c r="FZ192" s="3">
        <f>('Renewable Diesel'!BJ201*'Renewable Diesel'!BG201)/12</f>
        <v>34.484716513977069</v>
      </c>
      <c r="GA192" s="3">
        <f t="shared" si="105"/>
        <v>111.30675704594562</v>
      </c>
      <c r="GD192" s="91">
        <f>'Renewable Diesel'!BB201*0.32</f>
        <v>0</v>
      </c>
      <c r="GE192" s="91">
        <f>'Renewable Diesel'!BC201</f>
        <v>51.996708025440149</v>
      </c>
      <c r="GF192" s="91">
        <f>'Renewable Diesel'!BD201</f>
        <v>0</v>
      </c>
      <c r="GG192" s="91">
        <f t="shared" si="109"/>
        <v>51.996708025440149</v>
      </c>
      <c r="GH192" s="124">
        <v>1</v>
      </c>
      <c r="GI192" s="102">
        <f>$GG192*EA192*'Feedstock Conversion Rates'!$B$2</f>
        <v>7.2123862412063264</v>
      </c>
      <c r="GJ192" s="102">
        <f>$GG192*EB192*'Feedstock Conversion Rates'!$B$3</f>
        <v>109.79187401027171</v>
      </c>
      <c r="GK192" s="102">
        <f>$GG192*EC192*'Feedstock Conversion Rates'!$B$4</f>
        <v>167.83043424558409</v>
      </c>
      <c r="GL192" s="102">
        <f>$GG192*ED192*'Feedstock Conversion Rates'!$B$5</f>
        <v>28.591866756525487</v>
      </c>
      <c r="GM192" s="102">
        <f>$GG192*EE192*'Feedstock Conversion Rates'!$B$6</f>
        <v>64.712514845066082</v>
      </c>
      <c r="GN192" s="102">
        <f>$GG192*EF192*'Feedstock Conversion Rates'!$B$7</f>
        <v>35.304364250904165</v>
      </c>
      <c r="GO192" s="102">
        <f>$GG192*EG192*'Feedstock Conversion Rates'!$B$8</f>
        <v>4.6884350258417946</v>
      </c>
      <c r="GP192" s="102">
        <f>$GG192*EH192*'Feedstock Conversion Rates'!B$9</f>
        <v>0.3739630201156483</v>
      </c>
      <c r="GQ192" s="102">
        <f t="shared" si="87"/>
        <v>418.50583839551524</v>
      </c>
      <c r="GR192" s="85">
        <f t="shared" si="107"/>
        <v>8.0486987405194022</v>
      </c>
      <c r="GT192" s="103">
        <f t="shared" si="111"/>
        <v>1.7233657405730504E-2</v>
      </c>
      <c r="GU192" s="103">
        <f t="shared" si="111"/>
        <v>0.26234251457804331</v>
      </c>
      <c r="GV192" s="103">
        <f t="shared" si="111"/>
        <v>0.40102292213895807</v>
      </c>
      <c r="GW192" s="103">
        <f t="shared" si="111"/>
        <v>6.8318919674196538E-2</v>
      </c>
      <c r="GX192" s="103">
        <f t="shared" si="111"/>
        <v>0.15462750792955135</v>
      </c>
      <c r="GY192" s="103">
        <f t="shared" si="111"/>
        <v>8.4358116451267381E-2</v>
      </c>
      <c r="GZ192" s="103">
        <f t="shared" si="111"/>
        <v>1.1202794789713108E-2</v>
      </c>
      <c r="HA192" s="103">
        <f t="shared" si="111"/>
        <v>8.9356703253976825E-4</v>
      </c>
    </row>
    <row r="193" spans="1:209" x14ac:dyDescent="0.25">
      <c r="A193" s="96">
        <v>46296</v>
      </c>
      <c r="B193" s="104">
        <f>23-20+10+85-5-4-4-1.25+2.25-5+15-6-25-45+65+15-22.5-50+40+16.5+27.5+168+80+14-30+15-50-19+22.5-10+5+11-25-50-12.5-27.5-10+10+2+4-1.5+12-26-15-50-15+10-32.5-3-5-2.5-1+5+10-50-35-9-0.5+25+15+25+20+15+85-25+12.5-52.5+10+20-150+20-20+55-25-25+15+20+100-10</f>
        <v>130</v>
      </c>
      <c r="C193" s="104">
        <f t="shared" ref="C193:C252" si="147">40-10-2.5-27.5+25+25+25-70+120-15-100-10</f>
        <v>0</v>
      </c>
      <c r="D193" s="104">
        <f t="shared" si="95"/>
        <v>1.5</v>
      </c>
      <c r="E193" s="104">
        <f>('Renewable Diesel'!B202*E$3*'Feedstock Conversion Rates'!$B$2)/12-40+1.25+6-43+30-15+12.5-4+1.5+26+2.5+3-10+50+9-15-25-55+15+45+10-50+60-60-44+10</f>
        <v>10.679999999999993</v>
      </c>
      <c r="F193" s="104">
        <f>('Renewable Diesel'!B202*'RD Feedstock Breakdown'!F$3*'Feedstock Conversion Rates'!B$8)/12+28.5-49-5+2-6+1+6+20-20-3.75+10+2.5+5-20-20</f>
        <v>5.15625</v>
      </c>
      <c r="G193" s="104">
        <f>('Renewable Diesel'!B202*'RD Feedstock Breakdown'!G$3*'Feedstock Conversion Rates'!B$7)/12-25-15-25+4+4-20-40-20+10-17.5+20+50-12+32.5+35-75-75+22.5+5-20+15+125-10-45-10-40-40</f>
        <v>9.6570000000000107</v>
      </c>
      <c r="H193" s="104">
        <f>('Renewable Diesel'!B202*'RD Feedstock Breakdown'!H$3*'Feedstock Conversion Rates'!B$3)/12-85+4-15+70-65-80+50-22.5-5+25+27.5+15+50+15-10+5+50+75-5-25-85-12.5+30+22.5-25-30+150+90-120+25+10+70+20+44-100</f>
        <v>339.40022499999998</v>
      </c>
      <c r="I193" s="106">
        <f t="shared" si="106"/>
        <v>496.39347499999997</v>
      </c>
      <c r="J193" s="104">
        <f>2+10+12+15-6-20-5-5+7+105+30+87+5-10-5-25-27.5+1-1-15-17.5-6-10-77.5-7.5-1+17.5+15+90+2+2.5+2.5+7.5+27.5-32-11-25+5-50-30-30+15-20+7</f>
        <v>28.5</v>
      </c>
      <c r="K193" s="104">
        <f>50+15+20</f>
        <v>85</v>
      </c>
      <c r="L193" s="104">
        <v>1</v>
      </c>
      <c r="M193" s="104">
        <f>('Renewable Diesel'!C202*'RD Feedstock Breakdown'!M$3*'Feedstock Conversion Rates'!B$2)/12</f>
        <v>7.7902500000000003</v>
      </c>
      <c r="N193" s="104">
        <f>('Renewable Diesel'!C202*'RD Feedstock Breakdown'!N$3*'Feedstock Conversion Rates'!B$8)/12</f>
        <v>3.671875</v>
      </c>
      <c r="O193" s="104">
        <f>('Renewable Diesel'!C202*'RD Feedstock Breakdown'!O$3*'Feedstock Conversion Rates'!B$7)/12</f>
        <v>11.9991</v>
      </c>
      <c r="P193" s="104">
        <f>('Renewable Diesel'!C202*'RD Feedstock Breakdown'!P$3*'Feedstock Conversion Rates'!B$3)/12</f>
        <v>10.4470425</v>
      </c>
      <c r="Q193" s="106">
        <f t="shared" si="119"/>
        <v>148.40826750000002</v>
      </c>
      <c r="R193" s="104">
        <f>('Renewable Diesel'!D202*'RD Feedstock Breakdown'!R$3*'Feedstock Conversion Rates'!B$7)/12</f>
        <v>2.2999999999999998</v>
      </c>
      <c r="S193" s="106">
        <f t="shared" ref="S193:S256" si="148">R193</f>
        <v>2.2999999999999998</v>
      </c>
      <c r="T193" s="104">
        <f>5.825+20-25+10</f>
        <v>10.824999999999999</v>
      </c>
      <c r="U193" s="104">
        <f>0+15</f>
        <v>15</v>
      </c>
      <c r="V193" s="104">
        <f>('Renewable Diesel'!E202*'RD Feedstock Breakdown'!V$3*'Feedstock Conversion Rates'!B$6)/12-20+25-10</f>
        <v>39.250150000000012</v>
      </c>
      <c r="W193" s="104">
        <f>('Renewable Diesel'!E202*'RD Feedstock Breakdown'!W$3*'Feedstock Conversion Rates'!B$8)/12-5.825-15</f>
        <v>1.3546875000000007</v>
      </c>
      <c r="X193" s="106">
        <f t="shared" si="88"/>
        <v>66.429837500000005</v>
      </c>
      <c r="Y193" s="104">
        <f>50+32-80+171+60-15-75-50-20-30-22.5+15+25+20-20+65+10-5-100</f>
        <v>30.5</v>
      </c>
      <c r="Z193" s="104">
        <f>('Renewable Diesel'!F202*'RD Feedstock Breakdown'!Z$3*'Feedstock Conversion Rates'!B$6)/12-50-32-60+15+30+22.5-15-25-20+20-10+5+100</f>
        <v>139.96</v>
      </c>
      <c r="AA193" s="104">
        <f>('Renewable Diesel'!F202*'RD Feedstock Breakdown'!AA$3*'Feedstock Conversion Rates'!B$7)/12+80-171+75+30+40-55</f>
        <v>103.26666666666665</v>
      </c>
      <c r="AB193" s="106">
        <f t="shared" si="137"/>
        <v>273.72666666666669</v>
      </c>
      <c r="AC193" s="104">
        <f>('Renewable Diesel'!G202*'RD Feedstock Breakdown'!AC$3*'Feedstock Conversion Rates'!B$5)/12</f>
        <v>11.796875</v>
      </c>
      <c r="AD193" s="104">
        <f>('Renewable Diesel'!G202*'RD Feedstock Breakdown'!AD$3*'Feedstock Conversion Rates'!B$4)/12</f>
        <v>5.859375</v>
      </c>
      <c r="AE193" s="104">
        <f>('Renewable Diesel'!G202*'RD Feedstock Breakdown'!AE$3*'Feedstock Conversion Rates'!B$6)/12</f>
        <v>7.3281250000000009</v>
      </c>
      <c r="AF193" s="106">
        <f t="shared" si="101"/>
        <v>24.984375</v>
      </c>
      <c r="AG193" s="104">
        <f t="shared" ref="AG193:AG204" si="149">130+20-51+120-100+40-20</f>
        <v>139</v>
      </c>
      <c r="AH193" s="104">
        <v>0</v>
      </c>
      <c r="AI193" s="104">
        <f>('Renewable Diesel'!H202*'RD Feedstock Breakdown'!AI$3*'Feedstock Conversion Rates'!B$6)/12-130-20+51-120+100-40+20</f>
        <v>9.5166666666666799</v>
      </c>
      <c r="AJ193" s="106">
        <f t="shared" si="145"/>
        <v>148.51666666666668</v>
      </c>
      <c r="AK193" s="104">
        <f>('Renewable Diesel'!J202*'RD Feedstock Breakdown'!AK$3*'Feedstock Conversion Rates'!B$4)/12</f>
        <v>95.8125</v>
      </c>
      <c r="AL193" s="106">
        <f t="shared" si="68"/>
        <v>95.8125</v>
      </c>
      <c r="AM193" s="104">
        <f>('Renewable Diesel'!K202*'RD Feedstock Breakdown'!AM$3*'Feedstock Conversion Rates'!B$4)/12+5+15-10+4+5-30</f>
        <v>47.59375</v>
      </c>
      <c r="AN193" s="104">
        <f>('Renewable Diesel'!K202*'RD Feedstock Breakdown'!AN$3*'Feedstock Conversion Rates'!B$6)/12-5-15+10-4-5+30</f>
        <v>35.427083333333329</v>
      </c>
      <c r="AO193" s="106">
        <f t="shared" si="81"/>
        <v>83.020833333333329</v>
      </c>
      <c r="AP193" s="104">
        <f>('Renewable Diesel'!L202*'RD Feedstock Breakdown'!AP$3*'Feedstock Conversion Rates'!B$4)/12+15-10+7.5+7</f>
        <v>78.09375</v>
      </c>
      <c r="AQ193" s="104">
        <f>('Renewable Diesel'!L202*'RD Feedstock Breakdown'!AQ$3*'Feedstock Conversion Rates'!B$6)/12-15+10-7.5-7</f>
        <v>4.9270833333333321</v>
      </c>
      <c r="AR193" s="106">
        <f t="shared" si="70"/>
        <v>83.020833333333329</v>
      </c>
      <c r="AS193" s="104">
        <f>('Renewable Diesel'!M202*'RD Feedstock Breakdown'!AS$3*'Feedstock Conversion Rates'!B$4)/12</f>
        <v>456.25</v>
      </c>
      <c r="AT193" s="104">
        <f>('Renewable Diesel'!M202*'RD Feedstock Breakdown'!AT$3*'Feedstock Conversion Rates'!B$5)/12</f>
        <v>0</v>
      </c>
      <c r="AU193" s="106">
        <f t="shared" si="104"/>
        <v>456.25</v>
      </c>
      <c r="AV193" s="104">
        <f>'Renewable Diesel'!N202*'RD Feedstock Breakdown'!$AV$3*'Feedstock Conversion Rates'!$B$4/12-15-10+25+25-22-7.5</f>
        <v>74.249999999999986</v>
      </c>
      <c r="AW193" s="104">
        <f>'Renewable Diesel'!N202*'RD Feedstock Breakdown'!$AW$3*'Feedstock Conversion Rates'!$B$7/12+15+10-25-25+22+7.5</f>
        <v>45.900000000000006</v>
      </c>
      <c r="AX193" s="106">
        <f t="shared" si="141"/>
        <v>120.14999999999999</v>
      </c>
      <c r="AY193" s="104">
        <f>('Renewable Diesel'!O202*'RD Feedstock Breakdown'!AY$3*'Feedstock Conversion Rates'!B$4)/12+32+2-135-247</f>
        <v>-137.0625</v>
      </c>
      <c r="AZ193" s="104">
        <f>('Renewable Diesel'!O202*'RD Feedstock Breakdown'!AZ$3*'Feedstock Conversion Rates'!B$3)/12-32-2+135+247</f>
        <v>373.03125</v>
      </c>
      <c r="BA193" s="106">
        <f t="shared" si="120"/>
        <v>235.96875</v>
      </c>
      <c r="BB193" s="104">
        <f>('Renewable Diesel'!Q202*'RD Feedstock Breakdown'!BB$3*'Feedstock Conversion Rates'!B$4)/12</f>
        <v>11.156249999999998</v>
      </c>
      <c r="BC193" s="104">
        <f>('Renewable Diesel'!Q202*'RD Feedstock Breakdown'!BC$3*'Feedstock Conversion Rates'!B$3)/12</f>
        <v>1.4017500000000001</v>
      </c>
      <c r="BD193" s="104">
        <f>('Renewable Diesel'!Q202*'RD Feedstock Breakdown'!BD$3*'Feedstock Conversion Rates'!B$6)/12</f>
        <v>0.8207500000000002</v>
      </c>
      <c r="BE193" s="106">
        <f t="shared" si="90"/>
        <v>13.378749999999998</v>
      </c>
      <c r="BF193" s="104">
        <f>('Renewable Diesel'!R202*'RD Feedstock Breakdown'!BF$3*'Feedstock Conversion Rates'!B$4)/12</f>
        <v>62.5</v>
      </c>
      <c r="BG193" s="106">
        <f t="shared" si="72"/>
        <v>62.5</v>
      </c>
      <c r="BH193" s="104">
        <f>('Renewable Diesel'!T202*'RD Feedstock Breakdown'!BH$3*'Feedstock Conversion Rates'!B$7)/12</f>
        <v>27.599999999999998</v>
      </c>
      <c r="BI193" s="106">
        <f t="shared" si="144"/>
        <v>27.599999999999998</v>
      </c>
      <c r="BJ193" s="104">
        <f>('Renewable Diesel'!W202*'RD Feedstock Breakdown'!BJ$3*'Feedstock Conversion Rates'!B$4)/12</f>
        <v>7.5</v>
      </c>
      <c r="BK193" s="104">
        <f>('Renewable Diesel'!W202*'RD Feedstock Breakdown'!BK$3*'Feedstock Conversion Rates'!B$3)/12</f>
        <v>1.335</v>
      </c>
      <c r="BL193" s="104">
        <f>('Renewable Diesel'!W202*'RD Feedstock Breakdown'!BL$3*'Feedstock Conversion Rates'!B$6)/12</f>
        <v>3.1266666666666669</v>
      </c>
      <c r="BM193" s="104">
        <f>('Renewable Diesel'!W202*'RD Feedstock Breakdown'!BM$3*'Feedstock Conversion Rates'!B$7)/12</f>
        <v>1.5333333333333332</v>
      </c>
      <c r="BN193" s="106">
        <f t="shared" si="112"/>
        <v>13.495000000000001</v>
      </c>
      <c r="BO193" s="104">
        <f>('Renewable Diesel'!P202*'Feedstock Conversion Rates'!B$4)/12</f>
        <v>31.25</v>
      </c>
      <c r="BP193" s="106">
        <f t="shared" si="102"/>
        <v>31.25</v>
      </c>
      <c r="BQ193" s="104">
        <f>('Renewable Diesel'!$S202*'RD Feedstock Breakdown'!BQ$3*'Feedstock Conversion Rates'!B$4)/12+10</f>
        <v>38.125</v>
      </c>
      <c r="BR193" s="104">
        <f>('Renewable Diesel'!$S202*'RD Feedstock Breakdown'!BR$3*'Feedstock Conversion Rates'!B$7)/12-10</f>
        <v>1.5</v>
      </c>
      <c r="BS193" s="106">
        <f t="shared" si="123"/>
        <v>39.625</v>
      </c>
      <c r="BT193" s="106"/>
      <c r="BU193" s="104">
        <f>('Renewable Diesel'!Y202*'Feedstock Conversion Rates'!B$7)/12</f>
        <v>2.6833333333333331</v>
      </c>
      <c r="BV193" s="106">
        <f t="shared" si="93"/>
        <v>2.6833333333333331</v>
      </c>
      <c r="BW193" s="104">
        <f>('Renewable Diesel'!$Z202*'RD Feedstock Breakdown'!BW$3*'Feedstock Conversion Rates'!$B$4)/12</f>
        <v>35.9375</v>
      </c>
      <c r="BX193" s="104">
        <f>('Renewable Diesel'!$Z202*'RD Feedstock Breakdown'!BX$3*'Feedstock Conversion Rates'!$B$5)/12</f>
        <v>3.6177083333333333</v>
      </c>
      <c r="BY193" s="104">
        <f>('Renewable Diesel'!$Z202*'RD Feedstock Breakdown'!BY$3*'Feedstock Conversion Rates'!$B$7)/12</f>
        <v>30.858333333333331</v>
      </c>
      <c r="BZ193" s="104">
        <f>('Renewable Diesel'!$Z202*'RD Feedstock Breakdown'!BZ$3*'Feedstock Conversion Rates'!$B$3)/12</f>
        <v>7.6762499999999996</v>
      </c>
      <c r="CA193" s="106">
        <f t="shared" si="127"/>
        <v>78.089791666666656</v>
      </c>
      <c r="CB193" s="104">
        <f>('Renewable Diesel'!AA202*'Feedstock Conversion Rates'!B$4)/12</f>
        <v>191.25</v>
      </c>
      <c r="CC193" s="106">
        <f t="shared" si="113"/>
        <v>191.25</v>
      </c>
      <c r="CD193" s="104">
        <f>('Renewable Diesel'!$AB202*'RD Feedstock Breakdown'!CD$3*'Feedstock Conversion Rates'!$B$6)/12-15</f>
        <v>17.830000000000005</v>
      </c>
      <c r="CE193" s="104">
        <f>('Renewable Diesel'!$AB202*'RD Feedstock Breakdown'!CE$3*'Feedstock Conversion Rates'!$B$4)/12+15</f>
        <v>26.25</v>
      </c>
      <c r="CF193" s="106">
        <f t="shared" si="108"/>
        <v>44.080000000000005</v>
      </c>
      <c r="CG193" s="104">
        <f>('Renewable Diesel'!AD202*'Feedstock Conversion Rates'!B$4)/12</f>
        <v>112.5</v>
      </c>
      <c r="CH193" s="106">
        <f t="shared" si="89"/>
        <v>112.5</v>
      </c>
      <c r="CI193" s="104">
        <f>('Renewable Diesel'!$AE202*'RD Feedstock Breakdown'!CI$3*'Feedstock Conversion Rates'!$B$5)/12</f>
        <v>0.34604166666666664</v>
      </c>
      <c r="CJ193" s="104">
        <f>('Renewable Diesel'!$AE202*'RD Feedstock Breakdown'!CJ$3*'Feedstock Conversion Rates'!$B$4)/12</f>
        <v>0.34375</v>
      </c>
      <c r="CK193" s="106">
        <f t="shared" si="103"/>
        <v>0.68979166666666658</v>
      </c>
      <c r="CL193" s="104">
        <f>(((CL$3*'Renewable Diesel'!$AF202)*'Feedstock Conversion Rates'!$B$3)/12)-35</f>
        <v>56.78125</v>
      </c>
      <c r="CM193" s="104">
        <f>(((CM$3*'Renewable Diesel'!$AF202)*'Feedstock Conversion Rates'!$B$6)/12)-32.5+35</f>
        <v>56.239583333333336</v>
      </c>
      <c r="CN193" s="104">
        <f>(((CN$3*'Renewable Diesel'!$AF202)*'Feedstock Conversion Rates'!$B$4)/12)+45-13</f>
        <v>74.96875</v>
      </c>
      <c r="CO193" s="106">
        <f t="shared" si="91"/>
        <v>187.98958333333334</v>
      </c>
      <c r="CP193" s="104">
        <f>('Renewable Diesel'!$AG202*'RD Feedstock Breakdown'!CP$3*'Feedstock Conversion Rates'!$B$3)/12</f>
        <v>6.0075000000000003</v>
      </c>
      <c r="CQ193" s="104">
        <f>('Renewable Diesel'!$AG202*'RD Feedstock Breakdown'!CQ$3*'Feedstock Conversion Rates'!$B$6)/12</f>
        <v>3.5175000000000001</v>
      </c>
      <c r="CR193" s="104">
        <f>('Renewable Diesel'!$AG202*'RD Feedstock Breakdown'!CR$3*'Feedstock Conversion Rates'!$B$4)/12</f>
        <v>2.8125</v>
      </c>
      <c r="CS193" s="106">
        <f t="shared" si="134"/>
        <v>12.3375</v>
      </c>
      <c r="CT193" s="104">
        <f>('Renewable Diesel'!AI202*'Feedstock Conversion Rates'!$B$4*'RD Feedstock Breakdown'!$CT$3)/12</f>
        <v>29.375</v>
      </c>
      <c r="CU193" s="106">
        <f t="shared" si="99"/>
        <v>29.375</v>
      </c>
      <c r="CV193" s="106"/>
      <c r="CW193" s="106"/>
      <c r="CX193" s="104">
        <f>('Renewable Diesel'!AO202*'RD Feedstock Breakdown'!$CX$3*'Feedstock Conversion Rates'!$B$3)/12</f>
        <v>6.3412499999999996</v>
      </c>
      <c r="CY193" s="104">
        <f>('Renewable Diesel'!AO202*'RD Feedstock Breakdown'!$CY$3*'Feedstock Conversion Rates'!$B$6)/12</f>
        <v>7.4258333333333342</v>
      </c>
      <c r="CZ193" s="106">
        <f t="shared" si="135"/>
        <v>13.767083333333334</v>
      </c>
      <c r="DA193" s="106"/>
      <c r="DB193" s="106"/>
      <c r="DC193" s="106"/>
      <c r="DD193" s="106"/>
      <c r="DE193" s="106"/>
      <c r="DF193" s="104">
        <f>('Renewable Diesel'!AR202*'Feedstock Conversion Rates'!$B$4*$DF$3)/12</f>
        <v>75</v>
      </c>
      <c r="DG193" s="106">
        <f t="shared" si="136"/>
        <v>75</v>
      </c>
      <c r="DH193" s="104">
        <f>('Renewable Diesel'!AS202*'Feedstock Conversion Rates'!$B$4*$DH$3)/12</f>
        <v>75</v>
      </c>
      <c r="DI193" s="106">
        <f t="shared" si="142"/>
        <v>75</v>
      </c>
      <c r="DJ193" s="104">
        <f>('Renewable Diesel'!AT202*'Feedstock Conversion Rates'!$B$4*0.25)/12</f>
        <v>8.59375</v>
      </c>
      <c r="DK193" s="104">
        <f>('Renewable Diesel'!$AT202*'RD Feedstock Breakdown'!DK$3*'Feedstock Conversion Rates'!$B$3)/12*0.5</f>
        <v>9.1781249999999996</v>
      </c>
      <c r="DL193" s="104">
        <f>('Renewable Diesel'!$AT202*'RD Feedstock Breakdown'!$DL$3*'Feedstock Conversion Rates'!$B$6)/12</f>
        <v>10.747916666666669</v>
      </c>
      <c r="DM193" s="104">
        <f>('Renewable Diesel'!$AT202*'RD Feedstock Breakdown'!$DM$3*'Feedstock Conversion Rates'!$B$8)/12</f>
        <v>10.7421875</v>
      </c>
      <c r="DN193" s="106">
        <f t="shared" si="110"/>
        <v>39.26197916666667</v>
      </c>
      <c r="DP193" s="104">
        <f t="shared" si="73"/>
        <v>18.470249999999993</v>
      </c>
      <c r="DQ193" s="104">
        <f t="shared" si="74"/>
        <v>811.59964250000007</v>
      </c>
      <c r="DR193" s="104">
        <f t="shared" si="82"/>
        <v>1598.765625</v>
      </c>
      <c r="DS193" s="104">
        <f t="shared" si="100"/>
        <v>259.17937499999999</v>
      </c>
      <c r="DT193" s="104">
        <f t="shared" si="75"/>
        <v>336.11735833333341</v>
      </c>
      <c r="DU193" s="104">
        <f t="shared" si="76"/>
        <v>237.29776666666666</v>
      </c>
      <c r="DV193" s="104">
        <f t="shared" si="83"/>
        <v>20.925000000000001</v>
      </c>
      <c r="DW193" s="104">
        <f t="shared" si="77"/>
        <v>2.5</v>
      </c>
      <c r="DX193" s="106">
        <f t="shared" si="78"/>
        <v>3284.8550175000005</v>
      </c>
      <c r="DY193" s="109">
        <f t="shared" si="79"/>
        <v>-5.6843418860808015E-13</v>
      </c>
      <c r="EA193" s="110">
        <f t="shared" ref="EA193:EA224" si="150">DP193/$DX193</f>
        <v>5.6228509025817268E-3</v>
      </c>
      <c r="EB193" s="110">
        <f t="shared" ref="EB193:EB224" si="151">DQ193/$DX193</f>
        <v>0.24707320054499177</v>
      </c>
      <c r="EC193" s="110">
        <f t="shared" ref="EC193:EC224" si="152">DR193/$DX193</f>
        <v>0.48670812455423684</v>
      </c>
      <c r="ED193" s="110">
        <f t="shared" si="146"/>
        <v>7.890131333627419E-2</v>
      </c>
      <c r="EE193" s="110">
        <f t="shared" si="146"/>
        <v>0.10232334655340183</v>
      </c>
      <c r="EF193" s="110">
        <f t="shared" si="146"/>
        <v>7.2239951353246179E-2</v>
      </c>
      <c r="EG193" s="110">
        <f t="shared" si="146"/>
        <v>6.3701441581203661E-3</v>
      </c>
      <c r="EH193" s="111">
        <f t="shared" si="84"/>
        <v>7.6106859714699716E-4</v>
      </c>
      <c r="EI193" s="110">
        <f t="shared" si="85"/>
        <v>0.99923893140285291</v>
      </c>
      <c r="EK193" s="132">
        <f>(EA193*'Renewable Diesel'!BF202*'Feedstock Conversion Rates'!B$2)+FB193</f>
        <v>13.585363746409531</v>
      </c>
      <c r="EL193" s="132">
        <f>(EB193*'Renewable Diesel'!BF202*'Feedstock Conversion Rates'!B$3)+FC193</f>
        <v>562.54068118856139</v>
      </c>
      <c r="EM193" s="132">
        <f>(EC193*'Renewable Diesel'!BF202*'Feedstock Conversion Rates'!B$4)+FD193</f>
        <v>1037.5896641840154</v>
      </c>
      <c r="EN193" s="132">
        <f>(ED193*'Renewable Diesel'!BF202*'Feedstock Conversion Rates'!B$5)+FE193</f>
        <v>169.32729144761547</v>
      </c>
      <c r="EO193" s="132">
        <f>(EE193*'Renewable Diesel'!BF202*'Feedstock Conversion Rates'!B$6)+FF193</f>
        <v>272.81820777452407</v>
      </c>
      <c r="EP193" s="132">
        <f>(EF193*'Renewable Diesel'!BF202*'Feedstock Conversion Rates'!B$7)+FG193</f>
        <v>188.91265418185841</v>
      </c>
      <c r="EQ193" s="132">
        <f>(EG193*'Renewable Diesel'!BF202*'Feedstock Conversion Rates'!B$8)+FH193</f>
        <v>16.975255302861012</v>
      </c>
      <c r="ER193" s="132">
        <f>(EH193*'Renewable Diesel'!BF202*'Feedstock Conversion Rates'!B$9)+FI193</f>
        <v>2.0010655394850096</v>
      </c>
      <c r="ES193" s="132">
        <f t="shared" si="86"/>
        <v>2263.75018336533</v>
      </c>
      <c r="ET193" s="133">
        <f>ES193/'Renewable Diesel'!BF202</f>
        <v>7.964026948009737</v>
      </c>
      <c r="EW193" s="73">
        <f t="shared" si="124"/>
        <v>1206.9169556316308</v>
      </c>
      <c r="EX193" s="73">
        <f t="shared" si="125"/>
        <v>1056.8332277336992</v>
      </c>
      <c r="EY193" s="92">
        <f t="shared" si="71"/>
        <v>0.53314935742485825</v>
      </c>
      <c r="EZ193" s="92">
        <f t="shared" si="71"/>
        <v>0.46685064257514175</v>
      </c>
      <c r="FB193" s="102">
        <f>IF('Renewable Diesel'!$BG202&lt;1,0,(((('Renewable Diesel'!$BG202-1)*'Renewable Diesel'!$BF202)*'RD Feedstock Breakdown'!EA193)*'Feedstock Conversion Rates'!$B$2))</f>
        <v>0</v>
      </c>
      <c r="FC193" s="102">
        <f>IF('Renewable Diesel'!$BG202&lt;1,0,(((('Renewable Diesel'!$BG202-1)*'Renewable Diesel'!$BF202)*'RD Feedstock Breakdown'!EB193)*'Feedstock Conversion Rates'!$B$3))</f>
        <v>0</v>
      </c>
      <c r="FD193" s="102">
        <f>IF('Renewable Diesel'!$BG202&lt;1,0,(((('Renewable Diesel'!$BG202-1)*'Renewable Diesel'!$BF202)*'RD Feedstock Breakdown'!EC193)*'Feedstock Conversion Rates'!$B$4))</f>
        <v>0</v>
      </c>
      <c r="FE193" s="102">
        <f>IF('Renewable Diesel'!$BG202&lt;1,0,(((('Renewable Diesel'!$BG202-1)*'Renewable Diesel'!$BF202)*'RD Feedstock Breakdown'!ED193)*'Feedstock Conversion Rates'!$B$5))</f>
        <v>0</v>
      </c>
      <c r="FF193" s="102">
        <f>IF('Renewable Diesel'!$BG202&lt;1,0,(((('Renewable Diesel'!$BG202-1)*'Renewable Diesel'!$BF202)*'RD Feedstock Breakdown'!EE193)*'Feedstock Conversion Rates'!$B$6))</f>
        <v>0</v>
      </c>
      <c r="FG193" s="102">
        <f>IF('Renewable Diesel'!$BG202&lt;1,0,(((('Renewable Diesel'!$BG202-1)*'Renewable Diesel'!$BF202)*'RD Feedstock Breakdown'!EF193)*'Feedstock Conversion Rates'!$B$7))</f>
        <v>0</v>
      </c>
      <c r="FH193" s="102">
        <f>IF('Renewable Diesel'!$BG202&lt;1,0,(((('Renewable Diesel'!$BG202-1)*'Renewable Diesel'!$BF202)*'RD Feedstock Breakdown'!EG193)*'Feedstock Conversion Rates'!$B$8))</f>
        <v>0</v>
      </c>
      <c r="FI193" s="102">
        <f>IF('Renewable Diesel'!$BG202&lt;1,0,(((('Renewable Diesel'!$BG202-1)*'Renewable Diesel'!$BF202)*'RD Feedstock Breakdown'!EH193)*'Feedstock Conversion Rates'!$B$9))</f>
        <v>0</v>
      </c>
      <c r="FJ193" s="102">
        <f t="shared" si="126"/>
        <v>0</v>
      </c>
      <c r="FL193" s="3">
        <f>('Renewable Diesel'!AX202/12*$FO$80)*'RD Feedstock Breakdown'!EC193*7.5</f>
        <v>1409.8490974554359</v>
      </c>
      <c r="FM193" s="3">
        <f t="shared" si="96"/>
        <v>372.25943327142045</v>
      </c>
      <c r="FR193" s="3">
        <f>('Renewable Diesel'!AX202-'Renewable Diesel'!BI202)/12*$FO$80</f>
        <v>51.509625000000007</v>
      </c>
      <c r="FS193" s="100">
        <f t="shared" si="97"/>
        <v>0.48670812455423684</v>
      </c>
      <c r="FT193" s="3">
        <f t="shared" si="98"/>
        <v>188.02614735181527</v>
      </c>
      <c r="FY193" s="3">
        <f>'Renewable Diesel'!BF202*('Renewable Diesel'!BI202/'Renewable Diesel'!AX202)</f>
        <v>246.33800812323528</v>
      </c>
      <c r="FZ193" s="3">
        <f>('Renewable Diesel'!BJ202*'Renewable Diesel'!BG202)/12</f>
        <v>38.435431237712933</v>
      </c>
      <c r="GA193" s="3">
        <f t="shared" si="105"/>
        <v>140.30127490605443</v>
      </c>
      <c r="GD193" s="91">
        <f>'Renewable Diesel'!BB202*0.32</f>
        <v>0</v>
      </c>
      <c r="GE193" s="91">
        <f>'Renewable Diesel'!BC202</f>
        <v>51.799170449949763</v>
      </c>
      <c r="GF193" s="91">
        <f>'Renewable Diesel'!BD202</f>
        <v>0</v>
      </c>
      <c r="GG193" s="91">
        <f t="shared" si="109"/>
        <v>51.799170449949763</v>
      </c>
      <c r="GH193" s="124">
        <v>1</v>
      </c>
      <c r="GI193" s="102">
        <f>$GG193*EA193*'Feedstock Conversion Rates'!$B$2</f>
        <v>2.4757016046986204</v>
      </c>
      <c r="GJ193" s="102">
        <f>$GG193*EB193*'Feedstock Conversion Rates'!$B$3</f>
        <v>102.51347649744363</v>
      </c>
      <c r="GK193" s="102">
        <f>$GG193*EC193*'Feedstock Conversion Rates'!$B$4</f>
        <v>189.0830782737022</v>
      </c>
      <c r="GL193" s="102">
        <f>$GG193*ED193*'Feedstock Conversion Rates'!$B$5</f>
        <v>30.857020465640737</v>
      </c>
      <c r="GM193" s="102">
        <f>$GG193*EE193*'Feedstock Conversion Rates'!$B$6</f>
        <v>49.716480720429473</v>
      </c>
      <c r="GN193" s="102">
        <f>$GG193*EF193*'Feedstock Conversion Rates'!$B$7</f>
        <v>34.426119891674475</v>
      </c>
      <c r="GO193" s="102">
        <f>$GG193*EG193*'Feedstock Conversion Rates'!$B$8</f>
        <v>3.0934517159740178</v>
      </c>
      <c r="GP193" s="102">
        <f>$GG193*EH193*'Feedstock Conversion Rates'!B$9</f>
        <v>0.36466017838642345</v>
      </c>
      <c r="GQ193" s="102">
        <f t="shared" si="87"/>
        <v>412.52998934794965</v>
      </c>
      <c r="GR193" s="85">
        <f t="shared" si="107"/>
        <v>7.9640269480097388</v>
      </c>
      <c r="GT193" s="103">
        <f t="shared" si="111"/>
        <v>6.0012645592427052E-3</v>
      </c>
      <c r="GU193" s="103">
        <f t="shared" si="111"/>
        <v>0.24849945251126551</v>
      </c>
      <c r="GV193" s="103">
        <f t="shared" si="111"/>
        <v>0.45834989735550968</v>
      </c>
      <c r="GW193" s="103">
        <f t="shared" si="111"/>
        <v>7.4799460069348553E-2</v>
      </c>
      <c r="GX193" s="103">
        <f t="shared" si="111"/>
        <v>0.12051604005568664</v>
      </c>
      <c r="GY193" s="103">
        <f t="shared" si="111"/>
        <v>8.3451193320730116E-2</v>
      </c>
      <c r="GZ193" s="103">
        <f t="shared" si="111"/>
        <v>7.4987317185438293E-3</v>
      </c>
      <c r="HA193" s="103">
        <f t="shared" si="111"/>
        <v>8.8396040967302818E-4</v>
      </c>
    </row>
    <row r="194" spans="1:209" x14ac:dyDescent="0.25">
      <c r="A194" s="96">
        <v>46327</v>
      </c>
      <c r="B194" s="104">
        <f>23-20+10+85-5-4-4-1.25+2.25-5+15-6-25-45+65+15-22.5-50+40+16.5+27.5+168+80+14-30+15-50-19+22.5-10+5+11-25-50-12.5-27.5-10+10+2+4-1.5+12-26-15-50-15+10-32.5-3-5-2.5-1+5+10-50-35-9-0.5+25+15+25+20+15+85-25+12.5-52.5+10+20-150+20-20+55-25-25+15+20+100-10</f>
        <v>130</v>
      </c>
      <c r="C194" s="104">
        <f t="shared" si="147"/>
        <v>0</v>
      </c>
      <c r="D194" s="104">
        <f t="shared" si="95"/>
        <v>1.5</v>
      </c>
      <c r="E194" s="104">
        <f>('Renewable Diesel'!B203*E$3*'Feedstock Conversion Rates'!$B$2)/12-40+1.25+6-43+30-15+12.5-4+1.5+26+2.5+3-10+50+9-15-25-55+15+45+10-50+60-60-44+10</f>
        <v>10.679999999999993</v>
      </c>
      <c r="F194" s="104">
        <f>('Renewable Diesel'!B203*'RD Feedstock Breakdown'!F$3*'Feedstock Conversion Rates'!B$8)/12+28.5-49-5+2-6+1+6+20-20-3.75+10+2.5+5-20-20</f>
        <v>5.15625</v>
      </c>
      <c r="G194" s="104">
        <f>('Renewable Diesel'!B203*'RD Feedstock Breakdown'!G$3*'Feedstock Conversion Rates'!B$7)/12-25-15-25+4+4-20-40-20+10-17.5+20+50-12+32.5+35-75-75+22.5+5-20+15+125-10-45-10-40-40</f>
        <v>9.6570000000000107</v>
      </c>
      <c r="H194" s="104">
        <f>('Renewable Diesel'!B203*'RD Feedstock Breakdown'!H$3*'Feedstock Conversion Rates'!B$3)/12-85+4-15+70-65-80+50-22.5-5+25+27.5+15+50+15-10+5+50+75-5-25-85-12.5+30+22.5-25-30+150+90-120+25+10+70+20+44-100</f>
        <v>339.40022499999998</v>
      </c>
      <c r="I194" s="106">
        <f t="shared" si="106"/>
        <v>496.39347499999997</v>
      </c>
      <c r="J194" s="104">
        <f>2+10+12+15-6-20-5-5+7+105+30+87+5-10-5-25-27.5+1-1-15-17.5-6-10-77.5-7.5-1+17.5+15+90+2+2.5+2.5+7.5+27.5-32-11-25+5-50-30-30+15-20</f>
        <v>21.5</v>
      </c>
      <c r="K194" s="104">
        <f t="shared" ref="K194:K199" si="153">50+15+20</f>
        <v>85</v>
      </c>
      <c r="L194" s="104">
        <v>1</v>
      </c>
      <c r="M194" s="104">
        <f>('Renewable Diesel'!C203*'RD Feedstock Breakdown'!M$3*'Feedstock Conversion Rates'!B$2)/12</f>
        <v>7.7902500000000003</v>
      </c>
      <c r="N194" s="104">
        <f>('Renewable Diesel'!C203*'RD Feedstock Breakdown'!N$3*'Feedstock Conversion Rates'!B$8)/12</f>
        <v>3.671875</v>
      </c>
      <c r="O194" s="104">
        <f>('Renewable Diesel'!C203*'RD Feedstock Breakdown'!O$3*'Feedstock Conversion Rates'!B$7)/12</f>
        <v>11.9991</v>
      </c>
      <c r="P194" s="104">
        <f>('Renewable Diesel'!C203*'RD Feedstock Breakdown'!P$3*'Feedstock Conversion Rates'!B$3)/12</f>
        <v>10.4470425</v>
      </c>
      <c r="Q194" s="106">
        <f t="shared" si="119"/>
        <v>141.40826750000002</v>
      </c>
      <c r="R194" s="104">
        <f>('Renewable Diesel'!D203*'RD Feedstock Breakdown'!R$3*'Feedstock Conversion Rates'!B$7)/12</f>
        <v>2.2999999999999998</v>
      </c>
      <c r="S194" s="106">
        <f t="shared" si="148"/>
        <v>2.2999999999999998</v>
      </c>
      <c r="T194" s="104">
        <f t="shared" ref="T194:T204" si="154">5.825+20-25+10</f>
        <v>10.824999999999999</v>
      </c>
      <c r="U194" s="104">
        <v>0</v>
      </c>
      <c r="V194" s="104">
        <f>('Renewable Diesel'!E203*'RD Feedstock Breakdown'!V$3*'Feedstock Conversion Rates'!B$6)/12-20+25-10</f>
        <v>39.250150000000012</v>
      </c>
      <c r="W194" s="104">
        <f>('Renewable Diesel'!E203*'RD Feedstock Breakdown'!W$3*'Feedstock Conversion Rates'!B$8)/12-5.825</f>
        <v>16.354687500000001</v>
      </c>
      <c r="X194" s="106">
        <f t="shared" si="88"/>
        <v>66.429837500000005</v>
      </c>
      <c r="Y194" s="104">
        <f t="shared" ref="Y194:Y204" si="155">50+32-80+171+60-15-75-50-20-30-22.5+22.5+15-40+55+16-3-50</f>
        <v>36</v>
      </c>
      <c r="Z194" s="104">
        <f>('Renewable Diesel'!F203*'RD Feedstock Breakdown'!Z$3*'Feedstock Conversion Rates'!B$6)/12-50-32-60+15+30+22.5-22.5-15+40-16+3+50</f>
        <v>124.46000000000001</v>
      </c>
      <c r="AA194" s="104">
        <f>('Renewable Diesel'!F203*'RD Feedstock Breakdown'!AA$3*'Feedstock Conversion Rates'!B$7)/12+80-171+75+30+40-55</f>
        <v>103.26666666666665</v>
      </c>
      <c r="AB194" s="106">
        <f t="shared" si="137"/>
        <v>263.72666666666669</v>
      </c>
      <c r="AC194" s="104">
        <f>('Renewable Diesel'!G203*'RD Feedstock Breakdown'!AC$3*'Feedstock Conversion Rates'!B$5)/12</f>
        <v>11.796875</v>
      </c>
      <c r="AD194" s="104">
        <f>('Renewable Diesel'!G203*'RD Feedstock Breakdown'!AD$3*'Feedstock Conversion Rates'!B$4)/12</f>
        <v>5.859375</v>
      </c>
      <c r="AE194" s="104">
        <f>('Renewable Diesel'!G203*'RD Feedstock Breakdown'!AE$3*'Feedstock Conversion Rates'!B$6)/12</f>
        <v>7.3281250000000009</v>
      </c>
      <c r="AF194" s="106">
        <f t="shared" si="101"/>
        <v>24.984375</v>
      </c>
      <c r="AG194" s="104">
        <f t="shared" si="149"/>
        <v>139</v>
      </c>
      <c r="AH194" s="104">
        <v>0</v>
      </c>
      <c r="AI194" s="104">
        <f>('Renewable Diesel'!H203*'RD Feedstock Breakdown'!AI$3*'Feedstock Conversion Rates'!B$6)/12-130-20+51-120+100-40+20</f>
        <v>9.5166666666666799</v>
      </c>
      <c r="AJ194" s="106">
        <f t="shared" si="145"/>
        <v>148.51666666666668</v>
      </c>
      <c r="AK194" s="104">
        <f>('Renewable Diesel'!J203*'RD Feedstock Breakdown'!AK$3*'Feedstock Conversion Rates'!B$4)/12</f>
        <v>95.8125</v>
      </c>
      <c r="AL194" s="106">
        <f t="shared" si="68"/>
        <v>95.8125</v>
      </c>
      <c r="AM194" s="104">
        <f>('Renewable Diesel'!K203*'RD Feedstock Breakdown'!AM$3*'Feedstock Conversion Rates'!B$4)/12+5+15-10+4+5-30</f>
        <v>47.59375</v>
      </c>
      <c r="AN194" s="104">
        <f>('Renewable Diesel'!K203*'RD Feedstock Breakdown'!AN$3*'Feedstock Conversion Rates'!B$6)/12-5-15+10-4-5+30</f>
        <v>35.427083333333329</v>
      </c>
      <c r="AO194" s="106">
        <f t="shared" si="81"/>
        <v>83.020833333333329</v>
      </c>
      <c r="AP194" s="104">
        <f>('Renewable Diesel'!L203*'RD Feedstock Breakdown'!AP$3*'Feedstock Conversion Rates'!B$4)/12+15-10+7.5+7</f>
        <v>78.09375</v>
      </c>
      <c r="AQ194" s="104">
        <f>('Renewable Diesel'!L203*'RD Feedstock Breakdown'!AQ$3*'Feedstock Conversion Rates'!B$6)/12-15+10-7.5-7</f>
        <v>4.9270833333333321</v>
      </c>
      <c r="AR194" s="106">
        <f t="shared" si="70"/>
        <v>83.020833333333329</v>
      </c>
      <c r="AS194" s="104">
        <f>('Renewable Diesel'!M203*'RD Feedstock Breakdown'!AS$3*'Feedstock Conversion Rates'!B$4)/12</f>
        <v>456.25</v>
      </c>
      <c r="AT194" s="104">
        <f>('Renewable Diesel'!M203*'RD Feedstock Breakdown'!AT$3*'Feedstock Conversion Rates'!B$5)/12</f>
        <v>0</v>
      </c>
      <c r="AU194" s="106">
        <f t="shared" si="104"/>
        <v>456.25</v>
      </c>
      <c r="AV194" s="104">
        <f>'Renewable Diesel'!N203*'RD Feedstock Breakdown'!$AV$3*'Feedstock Conversion Rates'!$B$4/12-15-10+25+25-22-7.5</f>
        <v>74.249999999999986</v>
      </c>
      <c r="AW194" s="104">
        <f>'Renewable Diesel'!N203*'RD Feedstock Breakdown'!$AW$3*'Feedstock Conversion Rates'!$B$7/12+15+10-25-25+22+7.5</f>
        <v>45.900000000000006</v>
      </c>
      <c r="AX194" s="106">
        <f t="shared" si="141"/>
        <v>120.14999999999999</v>
      </c>
      <c r="AY194" s="104">
        <f>('Renewable Diesel'!O203*'RD Feedstock Breakdown'!AY$3*'Feedstock Conversion Rates'!B$4)/12+32+2-135-247</f>
        <v>-137.0625</v>
      </c>
      <c r="AZ194" s="104">
        <f>('Renewable Diesel'!O203*'RD Feedstock Breakdown'!AZ$3*'Feedstock Conversion Rates'!B$3)/12-32-2+135+247</f>
        <v>373.03125</v>
      </c>
      <c r="BA194" s="106">
        <f t="shared" si="120"/>
        <v>235.96875</v>
      </c>
      <c r="BB194" s="104">
        <f>('Renewable Diesel'!Q203*'RD Feedstock Breakdown'!BB$3*'Feedstock Conversion Rates'!B$4)/12</f>
        <v>11.156249999999998</v>
      </c>
      <c r="BC194" s="104">
        <f>('Renewable Diesel'!Q203*'RD Feedstock Breakdown'!BC$3*'Feedstock Conversion Rates'!B$3)/12</f>
        <v>1.4017500000000001</v>
      </c>
      <c r="BD194" s="104">
        <f>('Renewable Diesel'!Q203*'RD Feedstock Breakdown'!BD$3*'Feedstock Conversion Rates'!B$6)/12</f>
        <v>0.8207500000000002</v>
      </c>
      <c r="BE194" s="106">
        <f t="shared" si="90"/>
        <v>13.378749999999998</v>
      </c>
      <c r="BF194" s="104">
        <f>('Renewable Diesel'!R203*'RD Feedstock Breakdown'!BF$3*'Feedstock Conversion Rates'!B$4)/12</f>
        <v>62.5</v>
      </c>
      <c r="BG194" s="106">
        <f t="shared" si="72"/>
        <v>62.5</v>
      </c>
      <c r="BH194" s="104">
        <f>('Renewable Diesel'!T203*'RD Feedstock Breakdown'!BH$3*'Feedstock Conversion Rates'!B$7)/12</f>
        <v>27.599999999999998</v>
      </c>
      <c r="BI194" s="106">
        <f t="shared" si="144"/>
        <v>27.599999999999998</v>
      </c>
      <c r="BJ194" s="104">
        <f>('Renewable Diesel'!W203*'RD Feedstock Breakdown'!BJ$3*'Feedstock Conversion Rates'!B$4)/12</f>
        <v>7.5</v>
      </c>
      <c r="BK194" s="104">
        <f>('Renewable Diesel'!W203*'RD Feedstock Breakdown'!BK$3*'Feedstock Conversion Rates'!B$3)/12</f>
        <v>1.335</v>
      </c>
      <c r="BL194" s="104">
        <f>('Renewable Diesel'!W203*'RD Feedstock Breakdown'!BL$3*'Feedstock Conversion Rates'!B$6)/12</f>
        <v>3.1266666666666669</v>
      </c>
      <c r="BM194" s="104">
        <f>('Renewable Diesel'!W203*'RD Feedstock Breakdown'!BM$3*'Feedstock Conversion Rates'!B$7)/12</f>
        <v>1.5333333333333332</v>
      </c>
      <c r="BN194" s="106">
        <f t="shared" si="112"/>
        <v>13.495000000000001</v>
      </c>
      <c r="BO194" s="104">
        <f>('Renewable Diesel'!P203*'Feedstock Conversion Rates'!B$4)/12</f>
        <v>31.25</v>
      </c>
      <c r="BP194" s="106">
        <f t="shared" si="102"/>
        <v>31.25</v>
      </c>
      <c r="BQ194" s="104">
        <f>('Renewable Diesel'!$S203*'RD Feedstock Breakdown'!BQ$3*'Feedstock Conversion Rates'!B$4)/12+10</f>
        <v>38.125</v>
      </c>
      <c r="BR194" s="104">
        <f>('Renewable Diesel'!$S203*'RD Feedstock Breakdown'!BR$3*'Feedstock Conversion Rates'!B$7)/12-10</f>
        <v>1.5</v>
      </c>
      <c r="BS194" s="106">
        <f t="shared" si="123"/>
        <v>39.625</v>
      </c>
      <c r="BT194" s="106"/>
      <c r="BU194" s="104">
        <f>('Renewable Diesel'!Y203*'Feedstock Conversion Rates'!B$7)/12</f>
        <v>2.6833333333333331</v>
      </c>
      <c r="BV194" s="106">
        <f t="shared" si="93"/>
        <v>2.6833333333333331</v>
      </c>
      <c r="BW194" s="104">
        <f>('Renewable Diesel'!$Z203*'RD Feedstock Breakdown'!BW$3*'Feedstock Conversion Rates'!$B$4)/12</f>
        <v>35.9375</v>
      </c>
      <c r="BX194" s="104">
        <f>('Renewable Diesel'!$Z203*'RD Feedstock Breakdown'!BX$3*'Feedstock Conversion Rates'!$B$5)/12</f>
        <v>3.6177083333333333</v>
      </c>
      <c r="BY194" s="104">
        <f>('Renewable Diesel'!$Z203*'RD Feedstock Breakdown'!BY$3*'Feedstock Conversion Rates'!$B$7)/12</f>
        <v>30.858333333333331</v>
      </c>
      <c r="BZ194" s="104">
        <f>('Renewable Diesel'!$Z203*'RD Feedstock Breakdown'!BZ$3*'Feedstock Conversion Rates'!$B$3)/12</f>
        <v>7.6762499999999996</v>
      </c>
      <c r="CA194" s="106">
        <f t="shared" si="127"/>
        <v>78.089791666666656</v>
      </c>
      <c r="CB194" s="104">
        <f>('Renewable Diesel'!AA203*'Feedstock Conversion Rates'!B$4)/12</f>
        <v>191.25</v>
      </c>
      <c r="CC194" s="106">
        <f t="shared" si="113"/>
        <v>191.25</v>
      </c>
      <c r="CD194" s="104">
        <f>('Renewable Diesel'!$AB203*'RD Feedstock Breakdown'!CD$3*'Feedstock Conversion Rates'!$B$6)/12-15</f>
        <v>17.830000000000005</v>
      </c>
      <c r="CE194" s="104">
        <f>('Renewable Diesel'!$AB203*'RD Feedstock Breakdown'!CE$3*'Feedstock Conversion Rates'!$B$4)/12+15</f>
        <v>26.25</v>
      </c>
      <c r="CF194" s="106">
        <f t="shared" si="108"/>
        <v>44.080000000000005</v>
      </c>
      <c r="CG194" s="104">
        <f>('Renewable Diesel'!AD203*'Feedstock Conversion Rates'!B$4)/12</f>
        <v>112.5</v>
      </c>
      <c r="CH194" s="106">
        <f t="shared" si="89"/>
        <v>112.5</v>
      </c>
      <c r="CI194" s="104">
        <f>('Renewable Diesel'!$AE203*'RD Feedstock Breakdown'!CI$3*'Feedstock Conversion Rates'!$B$5)/12</f>
        <v>0.34604166666666664</v>
      </c>
      <c r="CJ194" s="104">
        <f>('Renewable Diesel'!$AE203*'RD Feedstock Breakdown'!CJ$3*'Feedstock Conversion Rates'!$B$4)/12</f>
        <v>0.34375</v>
      </c>
      <c r="CK194" s="106">
        <f t="shared" si="103"/>
        <v>0.68979166666666658</v>
      </c>
      <c r="CL194" s="104">
        <f>(((CL$3*'Renewable Diesel'!$AF203)*'Feedstock Conversion Rates'!$B$3)/12)-35</f>
        <v>56.78125</v>
      </c>
      <c r="CM194" s="104">
        <f>(((CM$3*'Renewable Diesel'!$AF203)*'Feedstock Conversion Rates'!$B$6)/12)-32.5+35</f>
        <v>56.239583333333336</v>
      </c>
      <c r="CN194" s="104">
        <f>(((CN$3*'Renewable Diesel'!$AF203)*'Feedstock Conversion Rates'!$B$4)/12)+45-13</f>
        <v>74.96875</v>
      </c>
      <c r="CO194" s="106">
        <f t="shared" si="91"/>
        <v>187.98958333333334</v>
      </c>
      <c r="CP194" s="104">
        <f>('Renewable Diesel'!$AG203*'RD Feedstock Breakdown'!CP$3*'Feedstock Conversion Rates'!$B$3)/12</f>
        <v>6.0075000000000003</v>
      </c>
      <c r="CQ194" s="104">
        <f>('Renewable Diesel'!$AG203*'RD Feedstock Breakdown'!CQ$3*'Feedstock Conversion Rates'!$B$6)/12</f>
        <v>3.5175000000000001</v>
      </c>
      <c r="CR194" s="104">
        <f>('Renewable Diesel'!$AG203*'RD Feedstock Breakdown'!CR$3*'Feedstock Conversion Rates'!$B$4)/12</f>
        <v>2.8125</v>
      </c>
      <c r="CS194" s="106">
        <f t="shared" si="134"/>
        <v>12.3375</v>
      </c>
      <c r="CT194" s="104">
        <f>('Renewable Diesel'!AI203*'Feedstock Conversion Rates'!$B$4*'RD Feedstock Breakdown'!$CT$3)/12</f>
        <v>29.375</v>
      </c>
      <c r="CU194" s="106">
        <f t="shared" si="99"/>
        <v>29.375</v>
      </c>
      <c r="CV194" s="106"/>
      <c r="CW194" s="106"/>
      <c r="CX194" s="104">
        <f>('Renewable Diesel'!AO203*'RD Feedstock Breakdown'!$CX$3*'Feedstock Conversion Rates'!$B$3)/12</f>
        <v>6.3412499999999996</v>
      </c>
      <c r="CY194" s="104">
        <f>('Renewable Diesel'!AO203*'RD Feedstock Breakdown'!$CY$3*'Feedstock Conversion Rates'!$B$6)/12</f>
        <v>7.4258333333333342</v>
      </c>
      <c r="CZ194" s="106">
        <f t="shared" si="135"/>
        <v>13.767083333333334</v>
      </c>
      <c r="DA194" s="106"/>
      <c r="DB194" s="106"/>
      <c r="DC194" s="106"/>
      <c r="DD194" s="106"/>
      <c r="DE194" s="106"/>
      <c r="DF194" s="104">
        <f>('Renewable Diesel'!AR203*'Feedstock Conversion Rates'!$B$4*$DF$3)/12</f>
        <v>75</v>
      </c>
      <c r="DG194" s="106">
        <f t="shared" si="136"/>
        <v>75</v>
      </c>
      <c r="DH194" s="104">
        <f>('Renewable Diesel'!AS203*'Feedstock Conversion Rates'!$B$4*$DH$3)/12</f>
        <v>75</v>
      </c>
      <c r="DI194" s="106">
        <f t="shared" si="142"/>
        <v>75</v>
      </c>
      <c r="DJ194" s="104">
        <f>('Renewable Diesel'!AT203*'Feedstock Conversion Rates'!$B$4*0.25)/12</f>
        <v>8.59375</v>
      </c>
      <c r="DK194" s="104">
        <f>('Renewable Diesel'!$AT203*'RD Feedstock Breakdown'!DK$3*'Feedstock Conversion Rates'!$B$3)/12*0.5</f>
        <v>9.1781249999999996</v>
      </c>
      <c r="DL194" s="104">
        <f>('Renewable Diesel'!$AT203*'RD Feedstock Breakdown'!$DL$3*'Feedstock Conversion Rates'!$B$6)/12</f>
        <v>10.747916666666669</v>
      </c>
      <c r="DM194" s="104">
        <f>('Renewable Diesel'!$AT203*'RD Feedstock Breakdown'!$DM$3*'Feedstock Conversion Rates'!$B$8)/12</f>
        <v>10.7421875</v>
      </c>
      <c r="DN194" s="106">
        <f t="shared" si="110"/>
        <v>39.26197916666667</v>
      </c>
      <c r="DP194" s="104">
        <f t="shared" si="73"/>
        <v>18.470249999999993</v>
      </c>
      <c r="DQ194" s="104">
        <f t="shared" si="74"/>
        <v>811.59964250000007</v>
      </c>
      <c r="DR194" s="104">
        <f t="shared" si="82"/>
        <v>1582.265625</v>
      </c>
      <c r="DS194" s="104">
        <f t="shared" si="100"/>
        <v>259.17937499999999</v>
      </c>
      <c r="DT194" s="104">
        <f t="shared" si="75"/>
        <v>320.61735833333341</v>
      </c>
      <c r="DU194" s="104">
        <f t="shared" si="76"/>
        <v>237.29776666666666</v>
      </c>
      <c r="DV194" s="104">
        <f t="shared" si="83"/>
        <v>35.924999999999997</v>
      </c>
      <c r="DW194" s="104">
        <f t="shared" si="77"/>
        <v>2.5</v>
      </c>
      <c r="DX194" s="106">
        <f t="shared" si="78"/>
        <v>3267.8550175000005</v>
      </c>
      <c r="DY194" s="109">
        <f t="shared" si="79"/>
        <v>-5.6843418860808015E-13</v>
      </c>
      <c r="EA194" s="110">
        <f t="shared" si="150"/>
        <v>5.6521020366840646E-3</v>
      </c>
      <c r="EB194" s="110">
        <f t="shared" si="151"/>
        <v>0.24835852207448794</v>
      </c>
      <c r="EC194" s="110">
        <f t="shared" si="152"/>
        <v>0.484190888679779</v>
      </c>
      <c r="ED194" s="110">
        <f t="shared" si="146"/>
        <v>7.9311772894465615E-2</v>
      </c>
      <c r="EE194" s="110">
        <f t="shared" si="146"/>
        <v>9.8112479475486208E-2</v>
      </c>
      <c r="EF194" s="110">
        <f t="shared" si="146"/>
        <v>7.2615757246233648E-2</v>
      </c>
      <c r="EG194" s="110">
        <f t="shared" si="146"/>
        <v>1.0993449772898314E-2</v>
      </c>
      <c r="EH194" s="111">
        <f t="shared" si="84"/>
        <v>7.6502781996508806E-4</v>
      </c>
      <c r="EI194" s="110">
        <f t="shared" si="85"/>
        <v>0.99923497218003465</v>
      </c>
      <c r="EK194" s="132">
        <f>(EA194*'Renewable Diesel'!BF203*'Feedstock Conversion Rates'!B$2)+FB194</f>
        <v>15.671826200347004</v>
      </c>
      <c r="EL194" s="132">
        <f>(EB194*'Renewable Diesel'!BF203*'Feedstock Conversion Rates'!B$3)+FC194</f>
        <v>648.93660197666281</v>
      </c>
      <c r="EM194" s="132">
        <f>(EC194*'Renewable Diesel'!BF203*'Feedstock Conversion Rates'!B$4)+FD194</f>
        <v>1184.5913680481458</v>
      </c>
      <c r="EN194" s="132">
        <f>(ED194*'Renewable Diesel'!BF203*'Feedstock Conversion Rates'!B$5)+FE194</f>
        <v>195.33285468663803</v>
      </c>
      <c r="EO194" s="132">
        <f>(EE194*'Renewable Diesel'!BF203*'Feedstock Conversion Rates'!B$6)+FF194</f>
        <v>300.20490034988148</v>
      </c>
      <c r="EP194" s="132">
        <f>(EF194*'Renewable Diesel'!BF203*'Feedstock Conversion Rates'!B$7)+FG194</f>
        <v>217.92616956368195</v>
      </c>
      <c r="EQ194" s="132">
        <f>(EG194*'Renewable Diesel'!BF203*'Feedstock Conversion Rates'!B$8)+FH194</f>
        <v>33.619864630132533</v>
      </c>
      <c r="ER194" s="132">
        <f>(EH194*'Renewable Diesel'!BF203*'Feedstock Conversion Rates'!B$9)+FI194</f>
        <v>2.3083924682252914</v>
      </c>
      <c r="ES194" s="132">
        <f t="shared" si="86"/>
        <v>2598.5919779237151</v>
      </c>
      <c r="ET194" s="133">
        <f>ES194/'Renewable Diesel'!BF203</f>
        <v>7.9661303026810302</v>
      </c>
      <c r="EW194" s="73">
        <f t="shared" si="124"/>
        <v>1379.9242227347838</v>
      </c>
      <c r="EX194" s="73">
        <f t="shared" si="125"/>
        <v>1218.6677551889311</v>
      </c>
      <c r="EY194" s="92">
        <f t="shared" si="71"/>
        <v>0.53102766207927288</v>
      </c>
      <c r="EZ194" s="92">
        <f t="shared" si="71"/>
        <v>0.46897233792072707</v>
      </c>
      <c r="FB194" s="102">
        <f>IF('Renewable Diesel'!$BG203&lt;1,0,(((('Renewable Diesel'!$BG203-1)*'Renewable Diesel'!$BF203)*'RD Feedstock Breakdown'!EA194)*'Feedstock Conversion Rates'!$B$2))</f>
        <v>0</v>
      </c>
      <c r="FC194" s="102">
        <f>IF('Renewable Diesel'!$BG203&lt;1,0,(((('Renewable Diesel'!$BG203-1)*'Renewable Diesel'!$BF203)*'RD Feedstock Breakdown'!EB194)*'Feedstock Conversion Rates'!$B$3))</f>
        <v>0</v>
      </c>
      <c r="FD194" s="102">
        <f>IF('Renewable Diesel'!$BG203&lt;1,0,(((('Renewable Diesel'!$BG203-1)*'Renewable Diesel'!$BF203)*'RD Feedstock Breakdown'!EC194)*'Feedstock Conversion Rates'!$B$4))</f>
        <v>0</v>
      </c>
      <c r="FE194" s="102">
        <f>IF('Renewable Diesel'!$BG203&lt;1,0,(((('Renewable Diesel'!$BG203-1)*'Renewable Diesel'!$BF203)*'RD Feedstock Breakdown'!ED194)*'Feedstock Conversion Rates'!$B$5))</f>
        <v>0</v>
      </c>
      <c r="FF194" s="102">
        <f>IF('Renewable Diesel'!$BG203&lt;1,0,(((('Renewable Diesel'!$BG203-1)*'Renewable Diesel'!$BF203)*'RD Feedstock Breakdown'!EE194)*'Feedstock Conversion Rates'!$B$6))</f>
        <v>0</v>
      </c>
      <c r="FG194" s="102">
        <f>IF('Renewable Diesel'!$BG203&lt;1,0,(((('Renewable Diesel'!$BG203-1)*'Renewable Diesel'!$BF203)*'RD Feedstock Breakdown'!EF194)*'Feedstock Conversion Rates'!$B$7))</f>
        <v>0</v>
      </c>
      <c r="FH194" s="102">
        <f>IF('Renewable Diesel'!$BG203&lt;1,0,(((('Renewable Diesel'!$BG203-1)*'Renewable Diesel'!$BF203)*'RD Feedstock Breakdown'!EG194)*'Feedstock Conversion Rates'!$B$8))</f>
        <v>0</v>
      </c>
      <c r="FI194" s="102">
        <f>IF('Renewable Diesel'!$BG203&lt;1,0,(((('Renewable Diesel'!$BG203-1)*'Renewable Diesel'!$BF203)*'RD Feedstock Breakdown'!EH194)*'Feedstock Conversion Rates'!$B$9))</f>
        <v>0</v>
      </c>
      <c r="FJ194" s="102">
        <f t="shared" si="126"/>
        <v>0</v>
      </c>
      <c r="FL194" s="3">
        <f>('Renewable Diesel'!AX203/12*$FO$80)*'RD Feedstock Breakdown'!EC194*7.5</f>
        <v>1402.5574116448954</v>
      </c>
      <c r="FM194" s="3">
        <f t="shared" si="96"/>
        <v>217.96604359674961</v>
      </c>
      <c r="FR194" s="3">
        <f>('Renewable Diesel'!AX203-'Renewable Diesel'!BI203)/12*$FO$80</f>
        <v>51.509625000000007</v>
      </c>
      <c r="FS194" s="100">
        <f t="shared" si="97"/>
        <v>0.484190888679779</v>
      </c>
      <c r="FT194" s="3">
        <f t="shared" si="98"/>
        <v>187.05368328234124</v>
      </c>
      <c r="FY194" s="3">
        <f>'Renewable Diesel'!BF203*('Renewable Diesel'!BI203/'Renewable Diesel'!AX203)</f>
        <v>282.70034291832849</v>
      </c>
      <c r="FZ194" s="3">
        <f>('Renewable Diesel'!BJ203*'Renewable Diesel'!BG203)/12</f>
        <v>42.686075568375678</v>
      </c>
      <c r="GA194" s="3">
        <f t="shared" si="105"/>
        <v>155.01156647778015</v>
      </c>
      <c r="GD194" s="91">
        <f>'Renewable Diesel'!BB203*0.32</f>
        <v>0</v>
      </c>
      <c r="GE194" s="91">
        <f>'Renewable Diesel'!BC203</f>
        <v>43.786179408729204</v>
      </c>
      <c r="GF194" s="91">
        <f>'Renewable Diesel'!BD203</f>
        <v>0</v>
      </c>
      <c r="GG194" s="91">
        <f t="shared" si="109"/>
        <v>43.786179408729204</v>
      </c>
      <c r="GH194" s="124">
        <v>1</v>
      </c>
      <c r="GI194" s="102">
        <f>$GG194*EA194*'Feedstock Conversion Rates'!$B$2</f>
        <v>2.1036136074248835</v>
      </c>
      <c r="GJ194" s="102">
        <f>$GG194*EB194*'Feedstock Conversion Rates'!$B$3</f>
        <v>87.1061131499753</v>
      </c>
      <c r="GK194" s="102">
        <f>$GG194*EC194*'Feedstock Conversion Rates'!$B$4</f>
        <v>159.00651839853623</v>
      </c>
      <c r="GL194" s="102">
        <f>$GG194*ED194*'Feedstock Conversion Rates'!$B$5</f>
        <v>26.219334354720001</v>
      </c>
      <c r="GM194" s="102">
        <f>$GG194*EE194*'Feedstock Conversion Rates'!$B$6</f>
        <v>40.296204495788693</v>
      </c>
      <c r="GN194" s="102">
        <f>$GG194*EF194*'Feedstock Conversion Rates'!$B$7</f>
        <v>29.252012487095691</v>
      </c>
      <c r="GO194" s="102">
        <f>$GG194*EG194*'Feedstock Conversion Rates'!$B$8</f>
        <v>4.5127609132216771</v>
      </c>
      <c r="GP194" s="102">
        <f>$GG194*EH194*'Feedstock Conversion Rates'!B$9</f>
        <v>0.30985321974335805</v>
      </c>
      <c r="GQ194" s="102">
        <f t="shared" si="87"/>
        <v>348.80641062650574</v>
      </c>
      <c r="GR194" s="85">
        <f t="shared" si="107"/>
        <v>7.9661303026810275</v>
      </c>
      <c r="GT194" s="103">
        <f t="shared" si="111"/>
        <v>6.0308914725692546E-3</v>
      </c>
      <c r="GU194" s="103">
        <f t="shared" si="111"/>
        <v>0.24972623924405618</v>
      </c>
      <c r="GV194" s="103">
        <f t="shared" si="111"/>
        <v>0.45585893365015268</v>
      </c>
      <c r="GW194" s="103">
        <f t="shared" si="111"/>
        <v>7.5168728429120188E-2</v>
      </c>
      <c r="GX194" s="103">
        <f t="shared" si="111"/>
        <v>0.11552598595711296</v>
      </c>
      <c r="GY194" s="103">
        <f t="shared" si="111"/>
        <v>8.3863173370451877E-2</v>
      </c>
      <c r="GZ194" s="103">
        <f t="shared" si="111"/>
        <v>1.2937723550195415E-2</v>
      </c>
      <c r="HA194" s="103">
        <f t="shared" si="111"/>
        <v>8.8832432634141593E-4</v>
      </c>
    </row>
    <row r="195" spans="1:209" x14ac:dyDescent="0.25">
      <c r="A195" s="96">
        <v>46357</v>
      </c>
      <c r="B195" s="104">
        <f>23-20+10+85-5-4-4-1.25+2.25-5+15-6-25-45+65+15-22.5-50+40+16.5+27.5+168+80+14-30+15-50-19+22.5-10+5+11-25-50-12.5-27.5-10+10+2+4-1.5+12-26-15-50-15+10-32.5-3-5-2.5-1+5+10-50-35-9-0.5+25+15+25+20+15+85-25+12.5-52.5+10+20-150+20-20+55-25-25+15+20+100-10</f>
        <v>130</v>
      </c>
      <c r="C195" s="104">
        <f t="shared" si="147"/>
        <v>0</v>
      </c>
      <c r="D195" s="104">
        <f t="shared" si="95"/>
        <v>1.5</v>
      </c>
      <c r="E195" s="104">
        <f>('Renewable Diesel'!B204*E$3*'Feedstock Conversion Rates'!$B$2)/12-40+1.25+6-43+30-15+12.5-4+1.5+26+2.5+3-10+50+9-15-25-55+15+45+10-50+60-60-44+10</f>
        <v>10.679999999999993</v>
      </c>
      <c r="F195" s="104">
        <f>('Renewable Diesel'!B204*'RD Feedstock Breakdown'!F$3*'Feedstock Conversion Rates'!B$8)/12+28.5-49-5+2-6+1+6+20-20-3.75+10+2.5+5-20-20</f>
        <v>5.15625</v>
      </c>
      <c r="G195" s="104">
        <f>('Renewable Diesel'!B204*'RD Feedstock Breakdown'!G$3*'Feedstock Conversion Rates'!B$7)/12-25-15-25+4+4-20-40-20+10-17.5+20+50-12+32.5+35-75-75+22.5+5-20+15+125-10-45-10-40-40</f>
        <v>9.6570000000000107</v>
      </c>
      <c r="H195" s="104">
        <f>('Renewable Diesel'!B204*'RD Feedstock Breakdown'!H$3*'Feedstock Conversion Rates'!B$3)/12-85+4-15+70-65-80+50-22.5-5+25+27.5+15+50+15-10+5+50+75-5-25-85-12.5+30+22.5-25-30+150+90-120+25+10+70+20+44-100</f>
        <v>339.40022499999998</v>
      </c>
      <c r="I195" s="106">
        <f t="shared" si="106"/>
        <v>496.39347499999997</v>
      </c>
      <c r="J195" s="104">
        <f>2+10+12+15-6-20-5-5+7+105+30+87+5-10-5-25-27.5+1-1-15-17.5-6-10-77.5-7.5-1+17.5+15+90+2+2.5+2.5+7.5+27.5-32-11-25+5-50-30-30+15-20</f>
        <v>21.5</v>
      </c>
      <c r="K195" s="104">
        <f t="shared" si="153"/>
        <v>85</v>
      </c>
      <c r="L195" s="104">
        <v>1</v>
      </c>
      <c r="M195" s="104">
        <f>('Renewable Diesel'!C204*'RD Feedstock Breakdown'!M$3*'Feedstock Conversion Rates'!B$2)/12</f>
        <v>7.7902500000000003</v>
      </c>
      <c r="N195" s="104">
        <f>('Renewable Diesel'!C204*'RD Feedstock Breakdown'!N$3*'Feedstock Conversion Rates'!B$8)/12</f>
        <v>3.671875</v>
      </c>
      <c r="O195" s="104">
        <f>('Renewable Diesel'!C204*'RD Feedstock Breakdown'!O$3*'Feedstock Conversion Rates'!B$7)/12</f>
        <v>11.9991</v>
      </c>
      <c r="P195" s="104">
        <f>('Renewable Diesel'!C204*'RD Feedstock Breakdown'!P$3*'Feedstock Conversion Rates'!B$3)/12</f>
        <v>10.4470425</v>
      </c>
      <c r="Q195" s="106">
        <f t="shared" si="119"/>
        <v>141.40826750000002</v>
      </c>
      <c r="R195" s="104">
        <f>('Renewable Diesel'!D204*'RD Feedstock Breakdown'!R$3*'Feedstock Conversion Rates'!B$7)/12</f>
        <v>2.2999999999999998</v>
      </c>
      <c r="S195" s="106">
        <f t="shared" si="148"/>
        <v>2.2999999999999998</v>
      </c>
      <c r="T195" s="104">
        <f t="shared" si="154"/>
        <v>10.824999999999999</v>
      </c>
      <c r="U195" s="104">
        <v>0</v>
      </c>
      <c r="V195" s="104">
        <f>('Renewable Diesel'!E204*'RD Feedstock Breakdown'!V$3*'Feedstock Conversion Rates'!B$6)/12-20+25-10</f>
        <v>39.250150000000012</v>
      </c>
      <c r="W195" s="104">
        <f>('Renewable Diesel'!E204*'RD Feedstock Breakdown'!W$3*'Feedstock Conversion Rates'!B$8)/12-5.825</f>
        <v>16.354687500000001</v>
      </c>
      <c r="X195" s="106">
        <f t="shared" si="88"/>
        <v>66.429837500000005</v>
      </c>
      <c r="Y195" s="104">
        <f t="shared" si="155"/>
        <v>36</v>
      </c>
      <c r="Z195" s="104">
        <f>('Renewable Diesel'!F204*'RD Feedstock Breakdown'!Z$3*'Feedstock Conversion Rates'!B$6)/12-50-32-60+15+30+22.5-22.5-15+40-16+3+50</f>
        <v>124.46000000000001</v>
      </c>
      <c r="AA195" s="104">
        <f>('Renewable Diesel'!F204*'RD Feedstock Breakdown'!AA$3*'Feedstock Conversion Rates'!B$7)/12+80-171+75+30+40-55</f>
        <v>103.26666666666665</v>
      </c>
      <c r="AB195" s="106">
        <f t="shared" si="137"/>
        <v>263.72666666666669</v>
      </c>
      <c r="AC195" s="104">
        <f>('Renewable Diesel'!G204*'RD Feedstock Breakdown'!AC$3*'Feedstock Conversion Rates'!B$5)/12</f>
        <v>11.796875</v>
      </c>
      <c r="AD195" s="104">
        <f>('Renewable Diesel'!G204*'RD Feedstock Breakdown'!AD$3*'Feedstock Conversion Rates'!B$4)/12</f>
        <v>5.859375</v>
      </c>
      <c r="AE195" s="104">
        <f>('Renewable Diesel'!G204*'RD Feedstock Breakdown'!AE$3*'Feedstock Conversion Rates'!B$6)/12</f>
        <v>7.3281250000000009</v>
      </c>
      <c r="AF195" s="106">
        <f t="shared" si="101"/>
        <v>24.984375</v>
      </c>
      <c r="AG195" s="104">
        <f t="shared" si="149"/>
        <v>139</v>
      </c>
      <c r="AH195" s="104">
        <v>0</v>
      </c>
      <c r="AI195" s="104">
        <f>('Renewable Diesel'!H204*'RD Feedstock Breakdown'!AI$3*'Feedstock Conversion Rates'!B$6)/12-130-20+51-120+100-40+20</f>
        <v>9.5166666666666799</v>
      </c>
      <c r="AJ195" s="106">
        <f t="shared" si="145"/>
        <v>148.51666666666668</v>
      </c>
      <c r="AK195" s="104">
        <f>('Renewable Diesel'!J204*'RD Feedstock Breakdown'!AK$3*'Feedstock Conversion Rates'!B$4)/12</f>
        <v>95.8125</v>
      </c>
      <c r="AL195" s="106">
        <f t="shared" si="68"/>
        <v>95.8125</v>
      </c>
      <c r="AM195" s="104">
        <f>('Renewable Diesel'!K204*'RD Feedstock Breakdown'!AM$3*'Feedstock Conversion Rates'!B$4)/12+5+15-10+4+5-30</f>
        <v>47.59375</v>
      </c>
      <c r="AN195" s="104">
        <f>('Renewable Diesel'!K204*'RD Feedstock Breakdown'!AN$3*'Feedstock Conversion Rates'!B$6)/12-5-15+10-4-5+30</f>
        <v>35.427083333333329</v>
      </c>
      <c r="AO195" s="106">
        <f t="shared" si="81"/>
        <v>83.020833333333329</v>
      </c>
      <c r="AP195" s="104">
        <f>('Renewable Diesel'!L204*'RD Feedstock Breakdown'!AP$3*'Feedstock Conversion Rates'!B$4)/12+15-10+7.5+7</f>
        <v>78.09375</v>
      </c>
      <c r="AQ195" s="104">
        <f>('Renewable Diesel'!L204*'RD Feedstock Breakdown'!AQ$3*'Feedstock Conversion Rates'!B$6)/12-15+10-7.5-7</f>
        <v>4.9270833333333321</v>
      </c>
      <c r="AR195" s="106">
        <f t="shared" si="70"/>
        <v>83.020833333333329</v>
      </c>
      <c r="AS195" s="104">
        <f>('Renewable Diesel'!M204*'RD Feedstock Breakdown'!AS$3*'Feedstock Conversion Rates'!B$4)/12</f>
        <v>456.25</v>
      </c>
      <c r="AT195" s="104">
        <f>('Renewable Diesel'!M204*'RD Feedstock Breakdown'!AT$3*'Feedstock Conversion Rates'!B$5)/12</f>
        <v>0</v>
      </c>
      <c r="AU195" s="106">
        <f t="shared" si="104"/>
        <v>456.25</v>
      </c>
      <c r="AV195" s="104">
        <f>'Renewable Diesel'!N204*'RD Feedstock Breakdown'!$AV$3*'Feedstock Conversion Rates'!$B$4/12-15-10+25+25-22-7.5</f>
        <v>74.249999999999986</v>
      </c>
      <c r="AW195" s="104">
        <f>'Renewable Diesel'!N204*'RD Feedstock Breakdown'!$AW$3*'Feedstock Conversion Rates'!$B$7/12+15+10-25-25+22+7.5</f>
        <v>45.900000000000006</v>
      </c>
      <c r="AX195" s="106">
        <f t="shared" si="141"/>
        <v>120.14999999999999</v>
      </c>
      <c r="AY195" s="104">
        <f>('Renewable Diesel'!O204*'RD Feedstock Breakdown'!AY$3*'Feedstock Conversion Rates'!B$4)/12+32+2-135-247</f>
        <v>-137.0625</v>
      </c>
      <c r="AZ195" s="104">
        <f>('Renewable Diesel'!O204*'RD Feedstock Breakdown'!AZ$3*'Feedstock Conversion Rates'!B$3)/12-32-2+135+247</f>
        <v>373.03125</v>
      </c>
      <c r="BA195" s="106">
        <f t="shared" si="120"/>
        <v>235.96875</v>
      </c>
      <c r="BB195" s="104">
        <f>('Renewable Diesel'!Q204*'RD Feedstock Breakdown'!BB$3*'Feedstock Conversion Rates'!B$4)/12</f>
        <v>11.156249999999998</v>
      </c>
      <c r="BC195" s="104">
        <f>('Renewable Diesel'!Q204*'RD Feedstock Breakdown'!BC$3*'Feedstock Conversion Rates'!B$3)/12</f>
        <v>1.4017500000000001</v>
      </c>
      <c r="BD195" s="104">
        <f>('Renewable Diesel'!Q204*'RD Feedstock Breakdown'!BD$3*'Feedstock Conversion Rates'!B$6)/12</f>
        <v>0.8207500000000002</v>
      </c>
      <c r="BE195" s="106">
        <f t="shared" si="90"/>
        <v>13.378749999999998</v>
      </c>
      <c r="BF195" s="104">
        <f>('Renewable Diesel'!R204*'RD Feedstock Breakdown'!BF$3*'Feedstock Conversion Rates'!B$4)/12</f>
        <v>62.5</v>
      </c>
      <c r="BG195" s="106">
        <f t="shared" si="72"/>
        <v>62.5</v>
      </c>
      <c r="BH195" s="104">
        <f>('Renewable Diesel'!T204*'RD Feedstock Breakdown'!BH$3*'Feedstock Conversion Rates'!B$7)/12</f>
        <v>27.599999999999998</v>
      </c>
      <c r="BI195" s="106">
        <f t="shared" si="144"/>
        <v>27.599999999999998</v>
      </c>
      <c r="BJ195" s="104">
        <f>('Renewable Diesel'!W204*'RD Feedstock Breakdown'!BJ$3*'Feedstock Conversion Rates'!B$4)/12</f>
        <v>7.5</v>
      </c>
      <c r="BK195" s="104">
        <f>('Renewable Diesel'!W204*'RD Feedstock Breakdown'!BK$3*'Feedstock Conversion Rates'!B$3)/12</f>
        <v>1.335</v>
      </c>
      <c r="BL195" s="104">
        <f>('Renewable Diesel'!W204*'RD Feedstock Breakdown'!BL$3*'Feedstock Conversion Rates'!B$6)/12</f>
        <v>3.1266666666666669</v>
      </c>
      <c r="BM195" s="104">
        <f>('Renewable Diesel'!W204*'RD Feedstock Breakdown'!BM$3*'Feedstock Conversion Rates'!B$7)/12</f>
        <v>1.5333333333333332</v>
      </c>
      <c r="BN195" s="106">
        <f t="shared" si="112"/>
        <v>13.495000000000001</v>
      </c>
      <c r="BO195" s="104">
        <f>('Renewable Diesel'!P204*'Feedstock Conversion Rates'!B$4)/12</f>
        <v>31.25</v>
      </c>
      <c r="BP195" s="106">
        <f t="shared" si="102"/>
        <v>31.25</v>
      </c>
      <c r="BQ195" s="104">
        <f>('Renewable Diesel'!$S204*'RD Feedstock Breakdown'!BQ$3*'Feedstock Conversion Rates'!B$4)/12+10</f>
        <v>38.125</v>
      </c>
      <c r="BR195" s="104">
        <f>('Renewable Diesel'!$S204*'RD Feedstock Breakdown'!BR$3*'Feedstock Conversion Rates'!B$7)/12-10</f>
        <v>1.5</v>
      </c>
      <c r="BS195" s="106">
        <f t="shared" si="123"/>
        <v>39.625</v>
      </c>
      <c r="BT195" s="106"/>
      <c r="BU195" s="104">
        <f>('Renewable Diesel'!Y204*'Feedstock Conversion Rates'!B$7)/12</f>
        <v>2.6833333333333331</v>
      </c>
      <c r="BV195" s="106">
        <f t="shared" si="93"/>
        <v>2.6833333333333331</v>
      </c>
      <c r="BW195" s="104">
        <f>('Renewable Diesel'!$Z204*'RD Feedstock Breakdown'!BW$3*'Feedstock Conversion Rates'!$B$4)/12</f>
        <v>35.9375</v>
      </c>
      <c r="BX195" s="104">
        <f>('Renewable Diesel'!$Z204*'RD Feedstock Breakdown'!BX$3*'Feedstock Conversion Rates'!$B$5)/12</f>
        <v>3.6177083333333333</v>
      </c>
      <c r="BY195" s="104">
        <f>('Renewable Diesel'!$Z204*'RD Feedstock Breakdown'!BY$3*'Feedstock Conversion Rates'!$B$7)/12</f>
        <v>30.858333333333331</v>
      </c>
      <c r="BZ195" s="104">
        <f>('Renewable Diesel'!$Z204*'RD Feedstock Breakdown'!BZ$3*'Feedstock Conversion Rates'!$B$3)/12</f>
        <v>7.6762499999999996</v>
      </c>
      <c r="CA195" s="106">
        <f t="shared" si="127"/>
        <v>78.089791666666656</v>
      </c>
      <c r="CB195" s="104">
        <f>('Renewable Diesel'!AA204*'Feedstock Conversion Rates'!B$4)/12</f>
        <v>191.25</v>
      </c>
      <c r="CC195" s="106">
        <f t="shared" si="113"/>
        <v>191.25</v>
      </c>
      <c r="CD195" s="104">
        <f>('Renewable Diesel'!$AB204*'RD Feedstock Breakdown'!CD$3*'Feedstock Conversion Rates'!$B$6)/12-15</f>
        <v>17.830000000000005</v>
      </c>
      <c r="CE195" s="104">
        <f>('Renewable Diesel'!$AB204*'RD Feedstock Breakdown'!CE$3*'Feedstock Conversion Rates'!$B$4)/12+15</f>
        <v>26.25</v>
      </c>
      <c r="CF195" s="106">
        <f t="shared" si="108"/>
        <v>44.080000000000005</v>
      </c>
      <c r="CG195" s="104">
        <f>('Renewable Diesel'!AD204*'Feedstock Conversion Rates'!B$4)/12</f>
        <v>112.5</v>
      </c>
      <c r="CH195" s="106">
        <f t="shared" si="89"/>
        <v>112.5</v>
      </c>
      <c r="CI195" s="104">
        <f>('Renewable Diesel'!$AE204*'RD Feedstock Breakdown'!CI$3*'Feedstock Conversion Rates'!$B$5)/12</f>
        <v>0.34604166666666664</v>
      </c>
      <c r="CJ195" s="104">
        <f>('Renewable Diesel'!$AE204*'RD Feedstock Breakdown'!CJ$3*'Feedstock Conversion Rates'!$B$4)/12</f>
        <v>0.34375</v>
      </c>
      <c r="CK195" s="106">
        <f t="shared" si="103"/>
        <v>0.68979166666666658</v>
      </c>
      <c r="CL195" s="104">
        <f>(((CL$3*'Renewable Diesel'!$AF204)*'Feedstock Conversion Rates'!$B$3)/12)-35</f>
        <v>56.78125</v>
      </c>
      <c r="CM195" s="104">
        <f>(((CM$3*'Renewable Diesel'!$AF204)*'Feedstock Conversion Rates'!$B$6)/12)-32.5+35</f>
        <v>56.239583333333336</v>
      </c>
      <c r="CN195" s="104">
        <f>(((CN$3*'Renewable Diesel'!$AF204)*'Feedstock Conversion Rates'!$B$4)/12)+45-13</f>
        <v>74.96875</v>
      </c>
      <c r="CO195" s="106">
        <f t="shared" si="91"/>
        <v>187.98958333333334</v>
      </c>
      <c r="CP195" s="104">
        <f>('Renewable Diesel'!$AG204*'RD Feedstock Breakdown'!CP$3*'Feedstock Conversion Rates'!$B$3)/12</f>
        <v>6.0075000000000003</v>
      </c>
      <c r="CQ195" s="104">
        <f>('Renewable Diesel'!$AG204*'RD Feedstock Breakdown'!CQ$3*'Feedstock Conversion Rates'!$B$6)/12</f>
        <v>3.5175000000000001</v>
      </c>
      <c r="CR195" s="104">
        <f>('Renewable Diesel'!$AG204*'RD Feedstock Breakdown'!CR$3*'Feedstock Conversion Rates'!$B$4)/12</f>
        <v>2.8125</v>
      </c>
      <c r="CS195" s="106">
        <f t="shared" si="134"/>
        <v>12.3375</v>
      </c>
      <c r="CT195" s="104">
        <f>('Renewable Diesel'!AI204*'Feedstock Conversion Rates'!$B$4*'RD Feedstock Breakdown'!$CT$3)/12</f>
        <v>29.375</v>
      </c>
      <c r="CU195" s="106">
        <f t="shared" si="99"/>
        <v>29.375</v>
      </c>
      <c r="CV195" s="106"/>
      <c r="CW195" s="106"/>
      <c r="CX195" s="104">
        <f>('Renewable Diesel'!AO204*'RD Feedstock Breakdown'!$CX$3*'Feedstock Conversion Rates'!$B$3)/12</f>
        <v>6.3412499999999996</v>
      </c>
      <c r="CY195" s="104">
        <f>('Renewable Diesel'!AO204*'RD Feedstock Breakdown'!$CY$3*'Feedstock Conversion Rates'!$B$6)/12</f>
        <v>7.4258333333333342</v>
      </c>
      <c r="CZ195" s="106">
        <f t="shared" si="135"/>
        <v>13.767083333333334</v>
      </c>
      <c r="DA195" s="106"/>
      <c r="DB195" s="106"/>
      <c r="DC195" s="106"/>
      <c r="DD195" s="106"/>
      <c r="DE195" s="106"/>
      <c r="DF195" s="104">
        <f>('Renewable Diesel'!AR204*'Feedstock Conversion Rates'!$B$4*$DF$3)/12</f>
        <v>75</v>
      </c>
      <c r="DG195" s="106">
        <f t="shared" si="136"/>
        <v>75</v>
      </c>
      <c r="DH195" s="104">
        <f>('Renewable Diesel'!AS204*'Feedstock Conversion Rates'!$B$4*$DH$3)/12</f>
        <v>75</v>
      </c>
      <c r="DI195" s="106">
        <f t="shared" si="142"/>
        <v>75</v>
      </c>
      <c r="DJ195" s="104">
        <f>('Renewable Diesel'!AT204*'Feedstock Conversion Rates'!$B$4*0.25)/12</f>
        <v>8.59375</v>
      </c>
      <c r="DK195" s="104">
        <f>('Renewable Diesel'!$AT204*'RD Feedstock Breakdown'!DK$3*'Feedstock Conversion Rates'!$B$3)/12*0.5</f>
        <v>9.1781249999999996</v>
      </c>
      <c r="DL195" s="104">
        <f>('Renewable Diesel'!$AT204*'RD Feedstock Breakdown'!$DL$3*'Feedstock Conversion Rates'!$B$6)/12</f>
        <v>10.747916666666669</v>
      </c>
      <c r="DM195" s="104">
        <f>('Renewable Diesel'!$AT204*'RD Feedstock Breakdown'!$DM$3*'Feedstock Conversion Rates'!$B$8)/12</f>
        <v>10.7421875</v>
      </c>
      <c r="DN195" s="106">
        <f t="shared" si="110"/>
        <v>39.26197916666667</v>
      </c>
      <c r="DP195" s="104">
        <f t="shared" si="73"/>
        <v>18.470249999999993</v>
      </c>
      <c r="DQ195" s="104">
        <f t="shared" si="74"/>
        <v>811.59964250000007</v>
      </c>
      <c r="DR195" s="104">
        <f t="shared" si="82"/>
        <v>1582.265625</v>
      </c>
      <c r="DS195" s="104">
        <f t="shared" si="100"/>
        <v>259.17937499999999</v>
      </c>
      <c r="DT195" s="104">
        <f t="shared" si="75"/>
        <v>320.61735833333341</v>
      </c>
      <c r="DU195" s="104">
        <f t="shared" si="76"/>
        <v>237.29776666666666</v>
      </c>
      <c r="DV195" s="104">
        <f t="shared" si="83"/>
        <v>35.924999999999997</v>
      </c>
      <c r="DW195" s="104">
        <f t="shared" si="77"/>
        <v>2.5</v>
      </c>
      <c r="DX195" s="106">
        <f t="shared" si="78"/>
        <v>3267.8550175000005</v>
      </c>
      <c r="DY195" s="109">
        <f t="shared" si="79"/>
        <v>-5.6843418860808015E-13</v>
      </c>
      <c r="EA195" s="110">
        <f t="shared" si="150"/>
        <v>5.6521020366840646E-3</v>
      </c>
      <c r="EB195" s="110">
        <f t="shared" si="151"/>
        <v>0.24835852207448794</v>
      </c>
      <c r="EC195" s="110">
        <f t="shared" si="152"/>
        <v>0.484190888679779</v>
      </c>
      <c r="ED195" s="110">
        <f t="shared" si="146"/>
        <v>7.9311772894465615E-2</v>
      </c>
      <c r="EE195" s="110">
        <f t="shared" si="146"/>
        <v>9.8112479475486208E-2</v>
      </c>
      <c r="EF195" s="110">
        <f t="shared" si="146"/>
        <v>7.2615757246233648E-2</v>
      </c>
      <c r="EG195" s="110">
        <f t="shared" si="146"/>
        <v>1.0993449772898314E-2</v>
      </c>
      <c r="EH195" s="111">
        <f t="shared" si="84"/>
        <v>7.6502781996508806E-4</v>
      </c>
      <c r="EI195" s="110">
        <f t="shared" si="85"/>
        <v>0.99923497218003465</v>
      </c>
      <c r="EK195" s="132">
        <f>(EA195*'Renewable Diesel'!BF204*'Feedstock Conversion Rates'!B$2)+FB195</f>
        <v>17.292957087315639</v>
      </c>
      <c r="EL195" s="132">
        <f>(EB195*'Renewable Diesel'!BF204*'Feedstock Conversion Rates'!B$3)+FC195</f>
        <v>716.06414382788284</v>
      </c>
      <c r="EM195" s="132">
        <f>(EC195*'Renewable Diesel'!BF204*'Feedstock Conversion Rates'!B$4)+FD195</f>
        <v>1307.1283098588431</v>
      </c>
      <c r="EN195" s="132">
        <f>(ED195*'Renewable Diesel'!BF204*'Feedstock Conversion Rates'!B$5)+FE195</f>
        <v>215.53854864496267</v>
      </c>
      <c r="EO195" s="132">
        <f>(EE195*'Renewable Diesel'!BF204*'Feedstock Conversion Rates'!B$6)+FF195</f>
        <v>331.25880754327284</v>
      </c>
      <c r="EP195" s="132">
        <f>(EF195*'Renewable Diesel'!BF204*'Feedstock Conversion Rates'!B$7)+FG195</f>
        <v>240.46896962042499</v>
      </c>
      <c r="EQ195" s="132">
        <f>(EG195*'Renewable Diesel'!BF204*'Feedstock Conversion Rates'!B$8)+FH195</f>
        <v>37.09758319788984</v>
      </c>
      <c r="ER195" s="132">
        <f>(EH195*'Renewable Diesel'!BF204*'Feedstock Conversion Rates'!B$9)+FI195</f>
        <v>2.5471780623000222</v>
      </c>
      <c r="ES195" s="132">
        <f t="shared" si="86"/>
        <v>2867.3964978428921</v>
      </c>
      <c r="ET195" s="133">
        <f>ES195/'Renewable Diesel'!BF204</f>
        <v>7.9661303026810302</v>
      </c>
      <c r="EW195" s="73">
        <f t="shared" si="124"/>
        <v>1522.6668585038058</v>
      </c>
      <c r="EX195" s="73">
        <f t="shared" si="125"/>
        <v>1344.7296393390861</v>
      </c>
      <c r="EY195" s="92">
        <f t="shared" si="71"/>
        <v>0.53102766207927288</v>
      </c>
      <c r="EZ195" s="92">
        <f t="shared" si="71"/>
        <v>0.46897233792072707</v>
      </c>
      <c r="FB195" s="102">
        <f>IF('Renewable Diesel'!$BG204&lt;1,0,(((('Renewable Diesel'!$BG204-1)*'Renewable Diesel'!$BF204)*'RD Feedstock Breakdown'!EA195)*'Feedstock Conversion Rates'!$B$2))</f>
        <v>0</v>
      </c>
      <c r="FC195" s="102">
        <f>IF('Renewable Diesel'!$BG204&lt;1,0,(((('Renewable Diesel'!$BG204-1)*'Renewable Diesel'!$BF204)*'RD Feedstock Breakdown'!EB195)*'Feedstock Conversion Rates'!$B$3))</f>
        <v>0</v>
      </c>
      <c r="FD195" s="102">
        <f>IF('Renewable Diesel'!$BG204&lt;1,0,(((('Renewable Diesel'!$BG204-1)*'Renewable Diesel'!$BF204)*'RD Feedstock Breakdown'!EC195)*'Feedstock Conversion Rates'!$B$4))</f>
        <v>0</v>
      </c>
      <c r="FE195" s="102">
        <f>IF('Renewable Diesel'!$BG204&lt;1,0,(((('Renewable Diesel'!$BG204-1)*'Renewable Diesel'!$BF204)*'RD Feedstock Breakdown'!ED195)*'Feedstock Conversion Rates'!$B$5))</f>
        <v>0</v>
      </c>
      <c r="FF195" s="102">
        <f>IF('Renewable Diesel'!$BG204&lt;1,0,(((('Renewable Diesel'!$BG204-1)*'Renewable Diesel'!$BF204)*'RD Feedstock Breakdown'!EE195)*'Feedstock Conversion Rates'!$B$6))</f>
        <v>0</v>
      </c>
      <c r="FG195" s="102">
        <f>IF('Renewable Diesel'!$BG204&lt;1,0,(((('Renewable Diesel'!$BG204-1)*'Renewable Diesel'!$BF204)*'RD Feedstock Breakdown'!EF195)*'Feedstock Conversion Rates'!$B$7))</f>
        <v>0</v>
      </c>
      <c r="FH195" s="102">
        <f>IF('Renewable Diesel'!$BG204&lt;1,0,(((('Renewable Diesel'!$BG204-1)*'Renewable Diesel'!$BF204)*'RD Feedstock Breakdown'!EG195)*'Feedstock Conversion Rates'!$B$8))</f>
        <v>0</v>
      </c>
      <c r="FI195" s="102">
        <f>IF('Renewable Diesel'!$BG204&lt;1,0,(((('Renewable Diesel'!$BG204-1)*'Renewable Diesel'!$BF204)*'RD Feedstock Breakdown'!EH195)*'Feedstock Conversion Rates'!$B$9))</f>
        <v>0</v>
      </c>
      <c r="FJ195" s="102">
        <f t="shared" si="126"/>
        <v>0</v>
      </c>
      <c r="FL195" s="3">
        <f>('Renewable Diesel'!AX204/12*$FO$80)*'RD Feedstock Breakdown'!EC195*7.5</f>
        <v>1402.5574116448954</v>
      </c>
      <c r="FM195" s="3">
        <f t="shared" si="96"/>
        <v>95.429101786052343</v>
      </c>
      <c r="FR195" s="3">
        <f>('Renewable Diesel'!AX204-'Renewable Diesel'!BI204)/12*$FO$80</f>
        <v>51.509625000000007</v>
      </c>
      <c r="FS195" s="100">
        <f t="shared" si="97"/>
        <v>0.484190888679779</v>
      </c>
      <c r="FT195" s="3">
        <f t="shared" si="98"/>
        <v>187.05368328234124</v>
      </c>
      <c r="FY195" s="3">
        <f>'Renewable Diesel'!BF204*('Renewable Diesel'!BI204/'Renewable Diesel'!AX204)</f>
        <v>311.94353715764316</v>
      </c>
      <c r="FZ195" s="3">
        <f>('Renewable Diesel'!BJ204*'Renewable Diesel'!BG204)/12</f>
        <v>48.671678657373377</v>
      </c>
      <c r="GA195" s="3">
        <f t="shared" si="105"/>
        <v>176.74787506987687</v>
      </c>
      <c r="GD195" s="91">
        <f>'Renewable Diesel'!BB204*0.32</f>
        <v>0</v>
      </c>
      <c r="GE195" s="91">
        <f>'Renewable Diesel'!BC204</f>
        <v>39.496037437086997</v>
      </c>
      <c r="GF195" s="91">
        <f>'Renewable Diesel'!BD204</f>
        <v>0</v>
      </c>
      <c r="GG195" s="91">
        <f t="shared" si="109"/>
        <v>39.496037437086997</v>
      </c>
      <c r="GH195" s="124">
        <v>1</v>
      </c>
      <c r="GI195" s="102">
        <f>$GG195*EA195*'Feedstock Conversion Rates'!$B$2</f>
        <v>1.8975028859324305</v>
      </c>
      <c r="GJ195" s="102">
        <f>$GG195*EB195*'Feedstock Conversion Rates'!$B$3</f>
        <v>78.571511660245321</v>
      </c>
      <c r="GK195" s="102">
        <f>$GG195*EC195*'Feedstock Conversion Rates'!$B$4</f>
        <v>143.42716099494731</v>
      </c>
      <c r="GL195" s="102">
        <f>$GG195*ED195*'Feedstock Conversion Rates'!$B$5</f>
        <v>23.650380673383744</v>
      </c>
      <c r="GM195" s="102">
        <f>$GG195*EE195*'Feedstock Conversion Rates'!$B$6</f>
        <v>36.348008043398607</v>
      </c>
      <c r="GN195" s="102">
        <f>$GG195*EF195*'Feedstock Conversion Rates'!$B$7</f>
        <v>26.385918933820921</v>
      </c>
      <c r="GO195" s="102">
        <f>$GG195*EG195*'Feedstock Conversion Rates'!$B$8</f>
        <v>4.0706034730605687</v>
      </c>
      <c r="GP195" s="102">
        <f>$GG195*EH195*'Feedstock Conversion Rates'!B$9</f>
        <v>0.27949399861422608</v>
      </c>
      <c r="GQ195" s="102">
        <f t="shared" si="87"/>
        <v>314.63058066340307</v>
      </c>
      <c r="GR195" s="85">
        <f t="shared" si="107"/>
        <v>7.9661303026810284</v>
      </c>
      <c r="GT195" s="103">
        <f t="shared" si="111"/>
        <v>6.0308914725692529E-3</v>
      </c>
      <c r="GU195" s="103">
        <f t="shared" si="111"/>
        <v>0.24972623924405615</v>
      </c>
      <c r="GV195" s="103">
        <f t="shared" si="111"/>
        <v>0.45585893365015268</v>
      </c>
      <c r="GW195" s="103">
        <f t="shared" si="111"/>
        <v>7.5168728429120188E-2</v>
      </c>
      <c r="GX195" s="103">
        <f t="shared" si="111"/>
        <v>0.11552598595711297</v>
      </c>
      <c r="GY195" s="103">
        <f t="shared" si="111"/>
        <v>8.3863173370451877E-2</v>
      </c>
      <c r="GZ195" s="103">
        <f t="shared" si="111"/>
        <v>1.2937723550195413E-2</v>
      </c>
      <c r="HA195" s="103">
        <f t="shared" si="111"/>
        <v>8.8832432634141582E-4</v>
      </c>
    </row>
    <row r="196" spans="1:209" x14ac:dyDescent="0.25">
      <c r="A196" s="96">
        <v>46388</v>
      </c>
      <c r="B196" s="104">
        <f t="shared" ref="B196:B203" si="156">23-20+10+85-5-4-4-1.25+2.25-5+15-6-25-45+65+15-22.5-50+40+16.5+27.5+168+80+14-30+15-50-19+22.5-10+5+11-25-50-12.5-27.5-10+10+2+4-1.5+12-26-15-50-15+10-32.5-3-5-2.5-1+5+10-50-35-9-0.5+25+15+25+20+15+85-25+12.5-52.5+10+20-150+20-20+55-25-25+15+20+100</f>
        <v>140</v>
      </c>
      <c r="C196" s="104">
        <f t="shared" si="147"/>
        <v>0</v>
      </c>
      <c r="D196" s="104">
        <f t="shared" si="95"/>
        <v>1.5</v>
      </c>
      <c r="E196" s="104">
        <f>('Renewable Diesel'!B205*E$3*'Feedstock Conversion Rates'!$B$2)/12-40+1.25+6-43+30-15+12.5-4+1.5+26+2.5+3-10+50+9-15-25-55+15+45+10-50+60-60-44</f>
        <v>0.67999999999999261</v>
      </c>
      <c r="F196" s="104">
        <f>('Renewable Diesel'!B205*'RD Feedstock Breakdown'!F$3*'Feedstock Conversion Rates'!B$8)/12+28.5-49-5+2-6+1+6+20-20-3.75+10+2.5+5-20-20</f>
        <v>5.15625</v>
      </c>
      <c r="G196" s="104">
        <f>('Renewable Diesel'!B205*'RD Feedstock Breakdown'!G$3*'Feedstock Conversion Rates'!B$7)/12-25-15-25+4+4-20-40-20+10-17.5+20+50-12+32.5+35-75-75+22.5+5-20+15+125-10-45-10-40-40</f>
        <v>9.6570000000000107</v>
      </c>
      <c r="H196" s="104">
        <f>('Renewable Diesel'!B205*'RD Feedstock Breakdown'!H$3*'Feedstock Conversion Rates'!B$3)/12-85+4-15+70-65-80+50-22.5-5+25+27.5+15+50+15-10+5+50+75-5-25-85-12.5+30+22.5-25-30+150+90-120+25+10+70+20+44-100</f>
        <v>339.40022499999998</v>
      </c>
      <c r="I196" s="106">
        <f t="shared" si="106"/>
        <v>496.39347499999997</v>
      </c>
      <c r="J196" s="104">
        <f>2+10+12+15-6-20-5-5+7+105+30+87+5-10-5-25-27.5+1-1-15-17.5-6-10-77.5-7.5-1+17.5+15+90+2+2.5+2.5+7.5+27.5-32-11-25+5-50-30-30+15-20+7</f>
        <v>28.5</v>
      </c>
      <c r="K196" s="104">
        <f t="shared" si="153"/>
        <v>85</v>
      </c>
      <c r="L196" s="104">
        <v>1</v>
      </c>
      <c r="M196" s="104">
        <f>('Renewable Diesel'!C205*'RD Feedstock Breakdown'!M$3*'Feedstock Conversion Rates'!B$2)/12</f>
        <v>7.7902500000000003</v>
      </c>
      <c r="N196" s="104">
        <f>('Renewable Diesel'!C205*'RD Feedstock Breakdown'!N$3*'Feedstock Conversion Rates'!B$8)/12</f>
        <v>3.671875</v>
      </c>
      <c r="O196" s="104">
        <f>('Renewable Diesel'!C205*'RD Feedstock Breakdown'!O$3*'Feedstock Conversion Rates'!B$7)/12</f>
        <v>11.9991</v>
      </c>
      <c r="P196" s="104">
        <f>('Renewable Diesel'!C205*'RD Feedstock Breakdown'!P$3*'Feedstock Conversion Rates'!B$3)/12</f>
        <v>10.4470425</v>
      </c>
      <c r="Q196" s="106">
        <f t="shared" si="119"/>
        <v>148.40826750000002</v>
      </c>
      <c r="R196" s="104">
        <f>('Renewable Diesel'!D205*'RD Feedstock Breakdown'!R$3*'Feedstock Conversion Rates'!B$7)/12</f>
        <v>2.2999999999999998</v>
      </c>
      <c r="S196" s="106">
        <f t="shared" si="148"/>
        <v>2.2999999999999998</v>
      </c>
      <c r="T196" s="104">
        <f t="shared" si="154"/>
        <v>10.824999999999999</v>
      </c>
      <c r="U196" s="104">
        <v>0</v>
      </c>
      <c r="V196" s="104">
        <f>('Renewable Diesel'!E205*'RD Feedstock Breakdown'!V$3*'Feedstock Conversion Rates'!B$6)/12-20+25-10</f>
        <v>39.250150000000012</v>
      </c>
      <c r="W196" s="104">
        <f>('Renewable Diesel'!E205*'RD Feedstock Breakdown'!W$3*'Feedstock Conversion Rates'!B$8)/12-5.825</f>
        <v>16.354687500000001</v>
      </c>
      <c r="X196" s="106">
        <f t="shared" si="88"/>
        <v>66.429837500000005</v>
      </c>
      <c r="Y196" s="104">
        <f t="shared" si="155"/>
        <v>36</v>
      </c>
      <c r="Z196" s="104">
        <f>('Renewable Diesel'!F205*'RD Feedstock Breakdown'!Z$3*'Feedstock Conversion Rates'!B$6)/12-50-32-60+15+30+22.5-22.5-15+40-16+3+50</f>
        <v>124.46000000000001</v>
      </c>
      <c r="AA196" s="104">
        <f>('Renewable Diesel'!F205*'RD Feedstock Breakdown'!AA$3*'Feedstock Conversion Rates'!B$7)/12+80-171+75+30+40-55</f>
        <v>103.26666666666665</v>
      </c>
      <c r="AB196" s="106">
        <f t="shared" si="137"/>
        <v>263.72666666666669</v>
      </c>
      <c r="AC196" s="104">
        <f>('Renewable Diesel'!G205*'RD Feedstock Breakdown'!AC$3*'Feedstock Conversion Rates'!B$5)/12</f>
        <v>11.796875</v>
      </c>
      <c r="AD196" s="104">
        <f>('Renewable Diesel'!G205*'RD Feedstock Breakdown'!AD$3*'Feedstock Conversion Rates'!B$4)/12</f>
        <v>5.859375</v>
      </c>
      <c r="AE196" s="104">
        <f>('Renewable Diesel'!G205*'RD Feedstock Breakdown'!AE$3*'Feedstock Conversion Rates'!B$6)/12</f>
        <v>7.3281250000000009</v>
      </c>
      <c r="AF196" s="106">
        <f t="shared" si="101"/>
        <v>24.984375</v>
      </c>
      <c r="AG196" s="104">
        <f t="shared" si="149"/>
        <v>139</v>
      </c>
      <c r="AH196" s="104">
        <v>0</v>
      </c>
      <c r="AI196" s="104">
        <f>('Renewable Diesel'!H205*'RD Feedstock Breakdown'!AI$3*'Feedstock Conversion Rates'!B$6)/12-130-20+51-120+100-40+20</f>
        <v>9.5166666666666799</v>
      </c>
      <c r="AJ196" s="106">
        <f t="shared" si="145"/>
        <v>148.51666666666668</v>
      </c>
      <c r="AK196" s="104">
        <f>('Renewable Diesel'!J205*'RD Feedstock Breakdown'!AK$3*'Feedstock Conversion Rates'!B$4)/12</f>
        <v>95.8125</v>
      </c>
      <c r="AL196" s="106">
        <f t="shared" ref="AL196:AL259" si="157">AK196</f>
        <v>95.8125</v>
      </c>
      <c r="AM196" s="104">
        <f>('Renewable Diesel'!K205*'RD Feedstock Breakdown'!AM$3*'Feedstock Conversion Rates'!B$4)/12+5+15-10+4+5-30</f>
        <v>47.59375</v>
      </c>
      <c r="AN196" s="104">
        <f>('Renewable Diesel'!K205*'RD Feedstock Breakdown'!AN$3*'Feedstock Conversion Rates'!B$6)/12-5-15+10-4-5+30</f>
        <v>35.427083333333329</v>
      </c>
      <c r="AO196" s="106">
        <f t="shared" si="81"/>
        <v>83.020833333333329</v>
      </c>
      <c r="AP196" s="104">
        <f>('Renewable Diesel'!L205*'RD Feedstock Breakdown'!AP$3*'Feedstock Conversion Rates'!B$4)/12+15-10+7.5+7</f>
        <v>78.09375</v>
      </c>
      <c r="AQ196" s="104">
        <f>('Renewable Diesel'!L205*'RD Feedstock Breakdown'!AQ$3*'Feedstock Conversion Rates'!B$6)/12-15+10-7.5-7</f>
        <v>4.9270833333333321</v>
      </c>
      <c r="AR196" s="106">
        <f t="shared" si="70"/>
        <v>83.020833333333329</v>
      </c>
      <c r="AS196" s="104">
        <f>('Renewable Diesel'!M205*'RD Feedstock Breakdown'!AS$3*'Feedstock Conversion Rates'!B$4)/12</f>
        <v>456.25</v>
      </c>
      <c r="AT196" s="104">
        <f>('Renewable Diesel'!M205*'RD Feedstock Breakdown'!AT$3*'Feedstock Conversion Rates'!B$5)/12</f>
        <v>0</v>
      </c>
      <c r="AU196" s="106">
        <f t="shared" si="104"/>
        <v>456.25</v>
      </c>
      <c r="AV196" s="104">
        <f>'Renewable Diesel'!N205*'RD Feedstock Breakdown'!$AV$3*'Feedstock Conversion Rates'!$B$4/12-15-10+25+25-22-7.5</f>
        <v>74.249999999999986</v>
      </c>
      <c r="AW196" s="104">
        <f>'Renewable Diesel'!N205*'RD Feedstock Breakdown'!$AW$3*'Feedstock Conversion Rates'!$B$7/12+15+10-25-25+22+7.5</f>
        <v>45.900000000000006</v>
      </c>
      <c r="AX196" s="106">
        <f t="shared" si="141"/>
        <v>120.14999999999999</v>
      </c>
      <c r="AY196" s="104">
        <f>('Renewable Diesel'!O205*'RD Feedstock Breakdown'!AY$3*'Feedstock Conversion Rates'!B$4)/12+32+2-135-247</f>
        <v>-137.0625</v>
      </c>
      <c r="AZ196" s="104">
        <f>('Renewable Diesel'!O205*'RD Feedstock Breakdown'!AZ$3*'Feedstock Conversion Rates'!B$3)/12-32-2+135+247</f>
        <v>373.03125</v>
      </c>
      <c r="BA196" s="106">
        <f t="shared" si="120"/>
        <v>235.96875</v>
      </c>
      <c r="BB196" s="104">
        <f>('Renewable Diesel'!Q205*'RD Feedstock Breakdown'!BB$3*'Feedstock Conversion Rates'!B$4)/12</f>
        <v>11.156249999999998</v>
      </c>
      <c r="BC196" s="104">
        <f>('Renewable Diesel'!Q205*'RD Feedstock Breakdown'!BC$3*'Feedstock Conversion Rates'!B$3)/12</f>
        <v>1.4017500000000001</v>
      </c>
      <c r="BD196" s="104">
        <f>('Renewable Diesel'!Q205*'RD Feedstock Breakdown'!BD$3*'Feedstock Conversion Rates'!B$6)/12</f>
        <v>0.8207500000000002</v>
      </c>
      <c r="BE196" s="106">
        <f t="shared" si="90"/>
        <v>13.378749999999998</v>
      </c>
      <c r="BF196" s="104">
        <f>('Renewable Diesel'!R205*'RD Feedstock Breakdown'!BF$3*'Feedstock Conversion Rates'!B$4)/12</f>
        <v>62.5</v>
      </c>
      <c r="BG196" s="106">
        <f t="shared" si="72"/>
        <v>62.5</v>
      </c>
      <c r="BH196" s="104">
        <f>('Renewable Diesel'!T205*'RD Feedstock Breakdown'!BH$3*'Feedstock Conversion Rates'!B$7)/12</f>
        <v>27.599999999999998</v>
      </c>
      <c r="BI196" s="106">
        <f t="shared" si="144"/>
        <v>27.599999999999998</v>
      </c>
      <c r="BJ196" s="104">
        <f>('Renewable Diesel'!W205*'RD Feedstock Breakdown'!BJ$3*'Feedstock Conversion Rates'!B$4)/12</f>
        <v>7.5</v>
      </c>
      <c r="BK196" s="104">
        <f>('Renewable Diesel'!W205*'RD Feedstock Breakdown'!BK$3*'Feedstock Conversion Rates'!B$3)/12</f>
        <v>1.335</v>
      </c>
      <c r="BL196" s="104">
        <f>('Renewable Diesel'!W205*'RD Feedstock Breakdown'!BL$3*'Feedstock Conversion Rates'!B$6)/12</f>
        <v>3.1266666666666669</v>
      </c>
      <c r="BM196" s="104">
        <f>('Renewable Diesel'!W205*'RD Feedstock Breakdown'!BM$3*'Feedstock Conversion Rates'!B$7)/12</f>
        <v>1.5333333333333332</v>
      </c>
      <c r="BN196" s="106">
        <f t="shared" si="112"/>
        <v>13.495000000000001</v>
      </c>
      <c r="BO196" s="104">
        <f>('Renewable Diesel'!P205*'Feedstock Conversion Rates'!B$4)/12</f>
        <v>31.25</v>
      </c>
      <c r="BP196" s="106">
        <f t="shared" si="102"/>
        <v>31.25</v>
      </c>
      <c r="BQ196" s="104">
        <f>('Renewable Diesel'!$S205*'RD Feedstock Breakdown'!BQ$3*'Feedstock Conversion Rates'!B$4)/12+10</f>
        <v>38.125</v>
      </c>
      <c r="BR196" s="104">
        <f>('Renewable Diesel'!$S205*'RD Feedstock Breakdown'!BR$3*'Feedstock Conversion Rates'!B$7)/12-10</f>
        <v>1.5</v>
      </c>
      <c r="BS196" s="106">
        <f t="shared" si="123"/>
        <v>39.625</v>
      </c>
      <c r="BT196" s="106"/>
      <c r="BU196" s="104">
        <f>('Renewable Diesel'!Y205*'Feedstock Conversion Rates'!B$7)/12</f>
        <v>2.6833333333333331</v>
      </c>
      <c r="BV196" s="106">
        <f t="shared" si="93"/>
        <v>2.6833333333333331</v>
      </c>
      <c r="BW196" s="104">
        <f>('Renewable Diesel'!$Z205*'RD Feedstock Breakdown'!BW$3*'Feedstock Conversion Rates'!$B$4)/12</f>
        <v>35.9375</v>
      </c>
      <c r="BX196" s="104">
        <f>('Renewable Diesel'!$Z205*'RD Feedstock Breakdown'!BX$3*'Feedstock Conversion Rates'!$B$5)/12</f>
        <v>3.6177083333333333</v>
      </c>
      <c r="BY196" s="104">
        <f>('Renewable Diesel'!$Z205*'RD Feedstock Breakdown'!BY$3*'Feedstock Conversion Rates'!$B$7)/12</f>
        <v>30.858333333333331</v>
      </c>
      <c r="BZ196" s="104">
        <f>('Renewable Diesel'!$Z205*'RD Feedstock Breakdown'!BZ$3*'Feedstock Conversion Rates'!$B$3)/12</f>
        <v>7.6762499999999996</v>
      </c>
      <c r="CA196" s="106">
        <f t="shared" si="127"/>
        <v>78.089791666666656</v>
      </c>
      <c r="CB196" s="104">
        <f>('Renewable Diesel'!AA205*'Feedstock Conversion Rates'!B$4)/12</f>
        <v>191.25</v>
      </c>
      <c r="CC196" s="106">
        <f t="shared" si="113"/>
        <v>191.25</v>
      </c>
      <c r="CD196" s="104">
        <f>('Renewable Diesel'!$AB205*'RD Feedstock Breakdown'!CD$3*'Feedstock Conversion Rates'!$B$6)/12-15</f>
        <v>17.830000000000005</v>
      </c>
      <c r="CE196" s="104">
        <f>('Renewable Diesel'!$AB205*'RD Feedstock Breakdown'!CE$3*'Feedstock Conversion Rates'!$B$4)/12+15</f>
        <v>26.25</v>
      </c>
      <c r="CF196" s="106">
        <f t="shared" si="108"/>
        <v>44.080000000000005</v>
      </c>
      <c r="CG196" s="104">
        <f>('Renewable Diesel'!AD205*'Feedstock Conversion Rates'!B$4)/12</f>
        <v>112.5</v>
      </c>
      <c r="CH196" s="106">
        <f t="shared" si="89"/>
        <v>112.5</v>
      </c>
      <c r="CI196" s="104">
        <f>('Renewable Diesel'!$AE205*'RD Feedstock Breakdown'!CI$3*'Feedstock Conversion Rates'!$B$5)/12</f>
        <v>0.34604166666666664</v>
      </c>
      <c r="CJ196" s="104">
        <f>('Renewable Diesel'!$AE205*'RD Feedstock Breakdown'!CJ$3*'Feedstock Conversion Rates'!$B$4)/12</f>
        <v>0.34375</v>
      </c>
      <c r="CK196" s="106">
        <f t="shared" si="103"/>
        <v>0.68979166666666658</v>
      </c>
      <c r="CL196" s="104">
        <f>(((CL$3*'Renewable Diesel'!$AF205)*'Feedstock Conversion Rates'!$B$3)/12)-35</f>
        <v>56.78125</v>
      </c>
      <c r="CM196" s="104">
        <f>(((CM$3*'Renewable Diesel'!$AF205)*'Feedstock Conversion Rates'!$B$6)/12)-32.5+35</f>
        <v>56.239583333333336</v>
      </c>
      <c r="CN196" s="104">
        <f>(((CN$3*'Renewable Diesel'!$AF205)*'Feedstock Conversion Rates'!$B$4)/12)+45-13</f>
        <v>74.96875</v>
      </c>
      <c r="CO196" s="106">
        <f t="shared" si="91"/>
        <v>187.98958333333334</v>
      </c>
      <c r="CP196" s="104">
        <f>('Renewable Diesel'!$AG205*'RD Feedstock Breakdown'!CP$3*'Feedstock Conversion Rates'!$B$3)/12</f>
        <v>6.0075000000000003</v>
      </c>
      <c r="CQ196" s="104">
        <f>('Renewable Diesel'!$AG205*'RD Feedstock Breakdown'!CQ$3*'Feedstock Conversion Rates'!$B$6)/12</f>
        <v>3.5175000000000001</v>
      </c>
      <c r="CR196" s="104">
        <f>('Renewable Diesel'!$AG205*'RD Feedstock Breakdown'!CR$3*'Feedstock Conversion Rates'!$B$4)/12</f>
        <v>2.8125</v>
      </c>
      <c r="CS196" s="106">
        <f t="shared" si="134"/>
        <v>12.3375</v>
      </c>
      <c r="CT196" s="104">
        <f>('Renewable Diesel'!AI205*'Feedstock Conversion Rates'!$B$4*'RD Feedstock Breakdown'!$CT$3)/12</f>
        <v>29.375</v>
      </c>
      <c r="CU196" s="106">
        <f t="shared" si="99"/>
        <v>29.375</v>
      </c>
      <c r="CV196" s="106"/>
      <c r="CW196" s="106"/>
      <c r="CX196" s="104">
        <f>('Renewable Diesel'!AO205*'RD Feedstock Breakdown'!$CX$3*'Feedstock Conversion Rates'!$B$3)/12</f>
        <v>6.3412499999999996</v>
      </c>
      <c r="CY196" s="104">
        <f>('Renewable Diesel'!AO205*'RD Feedstock Breakdown'!$CY$3*'Feedstock Conversion Rates'!$B$6)/12</f>
        <v>7.4258333333333342</v>
      </c>
      <c r="CZ196" s="106">
        <f t="shared" si="135"/>
        <v>13.767083333333334</v>
      </c>
      <c r="DA196" s="106"/>
      <c r="DB196" s="106"/>
      <c r="DC196" s="106"/>
      <c r="DD196" s="106"/>
      <c r="DE196" s="106"/>
      <c r="DF196" s="104">
        <f>('Renewable Diesel'!AR205*'Feedstock Conversion Rates'!$B$4*$DF$3)/12</f>
        <v>75</v>
      </c>
      <c r="DG196" s="106">
        <f t="shared" si="136"/>
        <v>75</v>
      </c>
      <c r="DH196" s="104">
        <f>('Renewable Diesel'!AS205*'Feedstock Conversion Rates'!$B$4*$DH$3)/12</f>
        <v>75</v>
      </c>
      <c r="DI196" s="106">
        <f t="shared" si="142"/>
        <v>75</v>
      </c>
      <c r="DJ196" s="104">
        <f>('Renewable Diesel'!AT205*'Feedstock Conversion Rates'!$B$4*0.25)/12</f>
        <v>8.59375</v>
      </c>
      <c r="DK196" s="104">
        <f>('Renewable Diesel'!$AT205*'RD Feedstock Breakdown'!DK$3*'Feedstock Conversion Rates'!$B$3)/12*0.5</f>
        <v>9.1781249999999996</v>
      </c>
      <c r="DL196" s="104">
        <f>('Renewable Diesel'!$AT205*'RD Feedstock Breakdown'!$DL$3*'Feedstock Conversion Rates'!$B$6)/12</f>
        <v>10.747916666666669</v>
      </c>
      <c r="DM196" s="104">
        <f>('Renewable Diesel'!$AT205*'RD Feedstock Breakdown'!$DM$3*'Feedstock Conversion Rates'!$B$8)/12</f>
        <v>10.7421875</v>
      </c>
      <c r="DN196" s="106">
        <f t="shared" si="110"/>
        <v>39.26197916666667</v>
      </c>
      <c r="DP196" s="104">
        <f t="shared" si="73"/>
        <v>8.470249999999993</v>
      </c>
      <c r="DQ196" s="104">
        <f t="shared" si="74"/>
        <v>811.59964250000007</v>
      </c>
      <c r="DR196" s="104">
        <f t="shared" si="82"/>
        <v>1599.265625</v>
      </c>
      <c r="DS196" s="104">
        <f t="shared" si="100"/>
        <v>259.17937499999999</v>
      </c>
      <c r="DT196" s="104">
        <f t="shared" si="75"/>
        <v>320.61735833333341</v>
      </c>
      <c r="DU196" s="104">
        <f t="shared" si="76"/>
        <v>237.29776666666666</v>
      </c>
      <c r="DV196" s="104">
        <f t="shared" si="83"/>
        <v>35.924999999999997</v>
      </c>
      <c r="DW196" s="104">
        <f t="shared" si="77"/>
        <v>2.5</v>
      </c>
      <c r="DX196" s="106">
        <f t="shared" si="78"/>
        <v>3274.8550175000005</v>
      </c>
      <c r="DY196" s="109">
        <f t="shared" si="79"/>
        <v>-5.6843418860808015E-13</v>
      </c>
      <c r="EA196" s="110">
        <f t="shared" si="150"/>
        <v>2.5864503786387823E-3</v>
      </c>
      <c r="EB196" s="110">
        <f t="shared" si="151"/>
        <v>0.24782765593072548</v>
      </c>
      <c r="EC196" s="110">
        <f t="shared" si="152"/>
        <v>0.4883470005401544</v>
      </c>
      <c r="ED196" s="110">
        <f t="shared" si="146"/>
        <v>7.9142244042869278E-2</v>
      </c>
      <c r="EE196" s="110">
        <f t="shared" si="146"/>
        <v>9.7902764128498812E-2</v>
      </c>
      <c r="EF196" s="110">
        <f t="shared" si="146"/>
        <v>7.2460541122769451E-2</v>
      </c>
      <c r="EG196" s="110">
        <f t="shared" si="146"/>
        <v>1.0969951282736441E-2</v>
      </c>
      <c r="EH196" s="111">
        <f t="shared" si="84"/>
        <v>7.6339257360726802E-4</v>
      </c>
      <c r="EI196" s="110">
        <f t="shared" si="85"/>
        <v>0.99923660742639275</v>
      </c>
      <c r="EK196" s="132">
        <f>(EA196*'Renewable Diesel'!BF205*'Feedstock Conversion Rates'!B$2)+FB196</f>
        <v>5.5525802541337637</v>
      </c>
      <c r="EL196" s="132">
        <f>(EB196*'Renewable Diesel'!BF205*'Feedstock Conversion Rates'!B$3)+FC196</f>
        <v>501.36504638417546</v>
      </c>
      <c r="EM196" s="132">
        <f>(EC196*'Renewable Diesel'!BF205*'Feedstock Conversion Rates'!B$4)+FD196</f>
        <v>925.04222187586299</v>
      </c>
      <c r="EN196" s="132">
        <f>(ED196*'Renewable Diesel'!BF205*'Feedstock Conversion Rates'!B$5)+FE196</f>
        <v>150.91314845243014</v>
      </c>
      <c r="EO196" s="132">
        <f>(EE196*'Renewable Diesel'!BF205*'Feedstock Conversion Rates'!B$6)+FF196</f>
        <v>231.93674594746909</v>
      </c>
      <c r="EP196" s="132">
        <f>(EF196*'Renewable Diesel'!BF205*'Feedstock Conversion Rates'!B$7)+FG196</f>
        <v>168.36862611665472</v>
      </c>
      <c r="EQ196" s="132">
        <f>(EG196*'Renewable Diesel'!BF205*'Feedstock Conversion Rates'!B$8)+FH196</f>
        <v>25.974532702228853</v>
      </c>
      <c r="ER196" s="132">
        <f>(EH196*'Renewable Diesel'!BF205*'Feedstock Conversion Rates'!B$9)+FI196</f>
        <v>1.7834520250196573</v>
      </c>
      <c r="ES196" s="132">
        <f t="shared" si="86"/>
        <v>2010.9363537579745</v>
      </c>
      <c r="ET196" s="133">
        <f>ES196/'Renewable Diesel'!BF205</f>
        <v>7.9620803792346804</v>
      </c>
      <c r="EW196" s="73">
        <f t="shared" si="124"/>
        <v>1075.9553703282932</v>
      </c>
      <c r="EX196" s="73">
        <f t="shared" si="125"/>
        <v>934.98098342968149</v>
      </c>
      <c r="EY196" s="92">
        <f t="shared" si="71"/>
        <v>0.53505192659010892</v>
      </c>
      <c r="EZ196" s="92">
        <f t="shared" si="71"/>
        <v>0.46494807340989108</v>
      </c>
      <c r="FB196" s="102">
        <f>IF('Renewable Diesel'!$BG205&lt;1,0,(((('Renewable Diesel'!$BG205-1)*'Renewable Diesel'!$BF205)*'RD Feedstock Breakdown'!EA196)*'Feedstock Conversion Rates'!$B$2))</f>
        <v>0</v>
      </c>
      <c r="FC196" s="102">
        <f>IF('Renewable Diesel'!$BG205&lt;1,0,(((('Renewable Diesel'!$BG205-1)*'Renewable Diesel'!$BF205)*'RD Feedstock Breakdown'!EB196)*'Feedstock Conversion Rates'!$B$3))</f>
        <v>0</v>
      </c>
      <c r="FD196" s="102">
        <f>IF('Renewable Diesel'!$BG205&lt;1,0,(((('Renewable Diesel'!$BG205-1)*'Renewable Diesel'!$BF205)*'RD Feedstock Breakdown'!EC196)*'Feedstock Conversion Rates'!$B$4))</f>
        <v>0</v>
      </c>
      <c r="FE196" s="102">
        <f>IF('Renewable Diesel'!$BG205&lt;1,0,(((('Renewable Diesel'!$BG205-1)*'Renewable Diesel'!$BF205)*'RD Feedstock Breakdown'!ED196)*'Feedstock Conversion Rates'!$B$5))</f>
        <v>0</v>
      </c>
      <c r="FF196" s="102">
        <f>IF('Renewable Diesel'!$BG205&lt;1,0,(((('Renewable Diesel'!$BG205-1)*'Renewable Diesel'!$BF205)*'RD Feedstock Breakdown'!EE196)*'Feedstock Conversion Rates'!$B$6))</f>
        <v>0</v>
      </c>
      <c r="FG196" s="102">
        <f>IF('Renewable Diesel'!$BG205&lt;1,0,(((('Renewable Diesel'!$BG205-1)*'Renewable Diesel'!$BF205)*'RD Feedstock Breakdown'!EF196)*'Feedstock Conversion Rates'!$B$7))</f>
        <v>0</v>
      </c>
      <c r="FH196" s="102">
        <f>IF('Renewable Diesel'!$BG205&lt;1,0,(((('Renewable Diesel'!$BG205-1)*'Renewable Diesel'!$BF205)*'RD Feedstock Breakdown'!EG196)*'Feedstock Conversion Rates'!$B$8))</f>
        <v>0</v>
      </c>
      <c r="FI196" s="102">
        <f>IF('Renewable Diesel'!$BG205&lt;1,0,(((('Renewable Diesel'!$BG205-1)*'Renewable Diesel'!$BF205)*'RD Feedstock Breakdown'!EH196)*'Feedstock Conversion Rates'!$B$9))</f>
        <v>0</v>
      </c>
      <c r="FJ196" s="102">
        <f t="shared" si="126"/>
        <v>0</v>
      </c>
      <c r="FL196" s="3">
        <f>('Renewable Diesel'!AX205/12*$FO$80)*'RD Feedstock Breakdown'!EC196*7.5</f>
        <v>1415.1458255330872</v>
      </c>
      <c r="FM196" s="3">
        <f t="shared" si="96"/>
        <v>490.1036036572242</v>
      </c>
      <c r="FR196" s="3">
        <f>('Renewable Diesel'!AX205-'Renewable Diesel'!BI205)/12*$FO$80</f>
        <v>51.659625000000005</v>
      </c>
      <c r="FS196" s="100">
        <f t="shared" si="97"/>
        <v>0.4883470005401544</v>
      </c>
      <c r="FT196" s="3">
        <f t="shared" si="98"/>
        <v>189.20867188334381</v>
      </c>
      <c r="FY196" s="3">
        <f>'Renewable Diesel'!BF205*('Renewable Diesel'!BI205/'Renewable Diesel'!AX205)</f>
        <v>218.7956988701832</v>
      </c>
      <c r="FZ196" s="3">
        <f>('Renewable Diesel'!BJ205*'Renewable Diesel'!BG205)/12</f>
        <v>33.13305909039331</v>
      </c>
      <c r="GA196" s="3">
        <f t="shared" si="105"/>
        <v>121.35322519134954</v>
      </c>
      <c r="GD196" s="91">
        <f>'Renewable Diesel'!BB205*0.32</f>
        <v>0</v>
      </c>
      <c r="GE196" s="91">
        <f>'Renewable Diesel'!BC205</f>
        <v>68.451166585377194</v>
      </c>
      <c r="GF196" s="91">
        <f>'Renewable Diesel'!BD205</f>
        <v>0</v>
      </c>
      <c r="GG196" s="91">
        <f t="shared" si="109"/>
        <v>68.451166585377194</v>
      </c>
      <c r="GH196" s="124">
        <v>1</v>
      </c>
      <c r="GI196" s="102">
        <f>$GG196*EA196*'Feedstock Conversion Rates'!$B$2</f>
        <v>1.5048871387306293</v>
      </c>
      <c r="GJ196" s="102">
        <f>$GG196*EB196*'Feedstock Conversion Rates'!$B$3</f>
        <v>135.88237820622683</v>
      </c>
      <c r="GK196" s="102">
        <f>$GG196*EC196*'Feedstock Conversion Rates'!$B$4</f>
        <v>250.70941414082546</v>
      </c>
      <c r="GL196" s="102">
        <f>$GG196*ED196*'Feedstock Conversion Rates'!$B$5</f>
        <v>40.901210928438609</v>
      </c>
      <c r="GM196" s="102">
        <f>$GG196*EE196*'Feedstock Conversion Rates'!$B$6</f>
        <v>62.860617947039799</v>
      </c>
      <c r="GN196" s="102">
        <f>$GG196*EF196*'Feedstock Conversion Rates'!$B$7</f>
        <v>45.632078855603645</v>
      </c>
      <c r="GO196" s="102">
        <f>$GG196*EG196*'Feedstock Conversion Rates'!$B$8</f>
        <v>7.039743400200603</v>
      </c>
      <c r="GP196" s="102">
        <f>$GG196*EH196*'Feedstock Conversion Rates'!B$9</f>
        <v>0.48335978809078606</v>
      </c>
      <c r="GQ196" s="102">
        <f t="shared" si="87"/>
        <v>545.01369040515624</v>
      </c>
      <c r="GR196" s="85">
        <f t="shared" si="107"/>
        <v>7.9620803792346786</v>
      </c>
      <c r="GT196" s="103">
        <f t="shared" si="111"/>
        <v>2.7611914438551355E-3</v>
      </c>
      <c r="GU196" s="103">
        <f t="shared" si="111"/>
        <v>0.24931920169787583</v>
      </c>
      <c r="GV196" s="103">
        <f t="shared" si="111"/>
        <v>0.46000571830489478</v>
      </c>
      <c r="GW196" s="103">
        <f t="shared" si="111"/>
        <v>7.5046208285214203E-2</v>
      </c>
      <c r="GX196" s="103">
        <f t="shared" ref="GX196:HA259" si="158">(GM196+FF196+EO196)/SUM($ES196,$FJ196,$GQ196)</f>
        <v>0.11533768610529765</v>
      </c>
      <c r="GY196" s="103">
        <f t="shared" si="158"/>
        <v>8.3726481846137374E-2</v>
      </c>
      <c r="GZ196" s="103">
        <f t="shared" si="158"/>
        <v>1.2916635901324507E-2</v>
      </c>
      <c r="HA196" s="103">
        <f t="shared" si="158"/>
        <v>8.8687641540061602E-4</v>
      </c>
    </row>
    <row r="197" spans="1:209" x14ac:dyDescent="0.25">
      <c r="A197" s="96">
        <v>46419</v>
      </c>
      <c r="B197" s="104">
        <f t="shared" si="156"/>
        <v>140</v>
      </c>
      <c r="C197" s="104">
        <f t="shared" si="147"/>
        <v>0</v>
      </c>
      <c r="D197" s="104">
        <f t="shared" si="95"/>
        <v>1.5</v>
      </c>
      <c r="E197" s="104">
        <f>('Renewable Diesel'!B206*E$3*'Feedstock Conversion Rates'!$B$2)/12-40+1.25+6-43+30-15+12.5-4+1.5+26+2.5+3-10+50+9-15-25-55+15+45+10-50+60-60-44</f>
        <v>0.67999999999999261</v>
      </c>
      <c r="F197" s="104">
        <f>('Renewable Diesel'!B206*'RD Feedstock Breakdown'!F$3*'Feedstock Conversion Rates'!B$8)/12+28.5-49-5+2-6+1+6+20-20-3.75+10+2.5+5-20-20</f>
        <v>5.15625</v>
      </c>
      <c r="G197" s="104">
        <f>('Renewable Diesel'!B206*'RD Feedstock Breakdown'!G$3*'Feedstock Conversion Rates'!B$7)/12-25-15-25+4+4-20-40-20+10-17.5+20+50-12+32.5+35-75-75+22.5+5-20+15+125-10-45-10-40-40</f>
        <v>9.6570000000000107</v>
      </c>
      <c r="H197" s="104">
        <f>('Renewable Diesel'!B206*'RD Feedstock Breakdown'!H$3*'Feedstock Conversion Rates'!B$3)/12-85+4-15+70-65-80+50-22.5-5+25+27.5+15+50+15-10+5+50+75-5-25-85-12.5+30+22.5-25-30+150+90-120+25+10+70+20+44-100</f>
        <v>339.40022499999998</v>
      </c>
      <c r="I197" s="106">
        <f t="shared" si="106"/>
        <v>496.39347499999997</v>
      </c>
      <c r="J197" s="104">
        <f>2+10+12+15-6-20-5-5+7+105+30+87+5-10-5-25-27.5+1-1-15-17.5-6-10-77.5-7.5-1+17.5+15+90+2+2.5+2.5+7.5+27.5-32-11-25+5-50-30-30+15-20+7</f>
        <v>28.5</v>
      </c>
      <c r="K197" s="104">
        <f>50+15+20-50</f>
        <v>35</v>
      </c>
      <c r="L197" s="104">
        <v>1</v>
      </c>
      <c r="M197" s="104">
        <f>('Renewable Diesel'!C206*'RD Feedstock Breakdown'!M$3*'Feedstock Conversion Rates'!B$2)/12</f>
        <v>7.7902500000000003</v>
      </c>
      <c r="N197" s="104">
        <f>('Renewable Diesel'!C206*'RD Feedstock Breakdown'!N$3*'Feedstock Conversion Rates'!B$8)/12</f>
        <v>3.671875</v>
      </c>
      <c r="O197" s="104">
        <f>('Renewable Diesel'!C206*'RD Feedstock Breakdown'!O$3*'Feedstock Conversion Rates'!B$7)/12</f>
        <v>11.9991</v>
      </c>
      <c r="P197" s="104">
        <f>('Renewable Diesel'!C206*'RD Feedstock Breakdown'!P$3*'Feedstock Conversion Rates'!B$3)/12</f>
        <v>10.4470425</v>
      </c>
      <c r="Q197" s="106">
        <f t="shared" si="119"/>
        <v>98.408267499999994</v>
      </c>
      <c r="R197" s="104">
        <f>('Renewable Diesel'!D206*'RD Feedstock Breakdown'!R$3*'Feedstock Conversion Rates'!B$7)/12</f>
        <v>2.2999999999999998</v>
      </c>
      <c r="S197" s="106">
        <f t="shared" si="148"/>
        <v>2.2999999999999998</v>
      </c>
      <c r="T197" s="104">
        <f t="shared" si="154"/>
        <v>10.824999999999999</v>
      </c>
      <c r="U197" s="104">
        <v>0</v>
      </c>
      <c r="V197" s="104">
        <f>('Renewable Diesel'!E206*'RD Feedstock Breakdown'!V$3*'Feedstock Conversion Rates'!B$6)/12-20+25-10</f>
        <v>39.250150000000012</v>
      </c>
      <c r="W197" s="104">
        <f>('Renewable Diesel'!E206*'RD Feedstock Breakdown'!W$3*'Feedstock Conversion Rates'!B$8)/12-5.825</f>
        <v>16.354687500000001</v>
      </c>
      <c r="X197" s="106">
        <f t="shared" si="88"/>
        <v>66.429837500000005</v>
      </c>
      <c r="Y197" s="104">
        <f t="shared" si="155"/>
        <v>36</v>
      </c>
      <c r="Z197" s="104">
        <f>('Renewable Diesel'!F206*'RD Feedstock Breakdown'!Z$3*'Feedstock Conversion Rates'!B$6)/12-50-32-60+15+30+22.5-22.5-15+40-16+3+50</f>
        <v>124.46000000000001</v>
      </c>
      <c r="AA197" s="104">
        <f>('Renewable Diesel'!F206*'RD Feedstock Breakdown'!AA$3*'Feedstock Conversion Rates'!B$7)/12+80-171+75+30+40-55</f>
        <v>103.26666666666665</v>
      </c>
      <c r="AB197" s="106">
        <f t="shared" si="137"/>
        <v>263.72666666666669</v>
      </c>
      <c r="AC197" s="104">
        <f>('Renewable Diesel'!G206*'RD Feedstock Breakdown'!AC$3*'Feedstock Conversion Rates'!B$5)/12</f>
        <v>11.796875</v>
      </c>
      <c r="AD197" s="104">
        <f>('Renewable Diesel'!G206*'RD Feedstock Breakdown'!AD$3*'Feedstock Conversion Rates'!B$4)/12</f>
        <v>5.859375</v>
      </c>
      <c r="AE197" s="104">
        <f>('Renewable Diesel'!G206*'RD Feedstock Breakdown'!AE$3*'Feedstock Conversion Rates'!B$6)/12</f>
        <v>7.3281250000000009</v>
      </c>
      <c r="AF197" s="106">
        <f t="shared" si="101"/>
        <v>24.984375</v>
      </c>
      <c r="AG197" s="104">
        <f t="shared" si="149"/>
        <v>139</v>
      </c>
      <c r="AH197" s="104">
        <v>0</v>
      </c>
      <c r="AI197" s="104">
        <f>('Renewable Diesel'!H206*'RD Feedstock Breakdown'!AI$3*'Feedstock Conversion Rates'!B$6)/12-130-20+51-120+100-40+20</f>
        <v>9.5166666666666799</v>
      </c>
      <c r="AJ197" s="106">
        <f t="shared" si="145"/>
        <v>148.51666666666668</v>
      </c>
      <c r="AK197" s="104">
        <f>('Renewable Diesel'!J206*'RD Feedstock Breakdown'!AK$3*'Feedstock Conversion Rates'!B$4)/12</f>
        <v>95.8125</v>
      </c>
      <c r="AL197" s="106">
        <f t="shared" si="157"/>
        <v>95.8125</v>
      </c>
      <c r="AM197" s="104">
        <f>('Renewable Diesel'!K206*'RD Feedstock Breakdown'!AM$3*'Feedstock Conversion Rates'!B$4)/12+5+15-10+4+5-30</f>
        <v>47.59375</v>
      </c>
      <c r="AN197" s="104">
        <f>('Renewable Diesel'!K206*'RD Feedstock Breakdown'!AN$3*'Feedstock Conversion Rates'!B$6)/12-5-15+10-4-5+30</f>
        <v>35.427083333333329</v>
      </c>
      <c r="AO197" s="106">
        <f t="shared" si="81"/>
        <v>83.020833333333329</v>
      </c>
      <c r="AP197" s="104">
        <f>('Renewable Diesel'!L206*'RD Feedstock Breakdown'!AP$3*'Feedstock Conversion Rates'!B$4)/12+15-10+7.5+7</f>
        <v>78.09375</v>
      </c>
      <c r="AQ197" s="104">
        <f>('Renewable Diesel'!L206*'RD Feedstock Breakdown'!AQ$3*'Feedstock Conversion Rates'!B$6)/12-15+10-7.5-7</f>
        <v>4.9270833333333321</v>
      </c>
      <c r="AR197" s="106">
        <f t="shared" si="70"/>
        <v>83.020833333333329</v>
      </c>
      <c r="AS197" s="104">
        <f>('Renewable Diesel'!M206*'RD Feedstock Breakdown'!AS$3*'Feedstock Conversion Rates'!B$4)/12</f>
        <v>456.25</v>
      </c>
      <c r="AT197" s="104">
        <f>('Renewable Diesel'!M206*'RD Feedstock Breakdown'!AT$3*'Feedstock Conversion Rates'!B$5)/12</f>
        <v>0</v>
      </c>
      <c r="AU197" s="106">
        <f t="shared" si="104"/>
        <v>456.25</v>
      </c>
      <c r="AV197" s="104">
        <f>'Renewable Diesel'!N206*'RD Feedstock Breakdown'!$AV$3*'Feedstock Conversion Rates'!$B$4/12-15-10+25+25-22-7.5</f>
        <v>74.249999999999986</v>
      </c>
      <c r="AW197" s="104">
        <f>'Renewable Diesel'!N206*'RD Feedstock Breakdown'!$AW$3*'Feedstock Conversion Rates'!$B$7/12+15+10-25-25+22+7.5</f>
        <v>45.900000000000006</v>
      </c>
      <c r="AX197" s="106">
        <f t="shared" si="141"/>
        <v>120.14999999999999</v>
      </c>
      <c r="AY197" s="104">
        <f>('Renewable Diesel'!O206*'RD Feedstock Breakdown'!AY$3*'Feedstock Conversion Rates'!B$4)/12+32+2-135-247</f>
        <v>-137.0625</v>
      </c>
      <c r="AZ197" s="104">
        <f>('Renewable Diesel'!O206*'RD Feedstock Breakdown'!AZ$3*'Feedstock Conversion Rates'!B$3)/12-32-2+135+247</f>
        <v>373.03125</v>
      </c>
      <c r="BA197" s="106">
        <f t="shared" si="120"/>
        <v>235.96875</v>
      </c>
      <c r="BB197" s="104">
        <f>('Renewable Diesel'!Q206*'RD Feedstock Breakdown'!BB$3*'Feedstock Conversion Rates'!B$4)/12</f>
        <v>11.156249999999998</v>
      </c>
      <c r="BC197" s="104">
        <f>('Renewable Diesel'!Q206*'RD Feedstock Breakdown'!BC$3*'Feedstock Conversion Rates'!B$3)/12</f>
        <v>1.4017500000000001</v>
      </c>
      <c r="BD197" s="104">
        <f>('Renewable Diesel'!Q206*'RD Feedstock Breakdown'!BD$3*'Feedstock Conversion Rates'!B$6)/12</f>
        <v>0.8207500000000002</v>
      </c>
      <c r="BE197" s="106">
        <f t="shared" si="90"/>
        <v>13.378749999999998</v>
      </c>
      <c r="BF197" s="104">
        <f>('Renewable Diesel'!R206*'RD Feedstock Breakdown'!BF$3*'Feedstock Conversion Rates'!B$4)/12</f>
        <v>62.5</v>
      </c>
      <c r="BG197" s="106">
        <f t="shared" si="72"/>
        <v>62.5</v>
      </c>
      <c r="BH197" s="104">
        <f>('Renewable Diesel'!T206*'RD Feedstock Breakdown'!BH$3*'Feedstock Conversion Rates'!B$7)/12</f>
        <v>27.599999999999998</v>
      </c>
      <c r="BI197" s="106">
        <f t="shared" si="144"/>
        <v>27.599999999999998</v>
      </c>
      <c r="BJ197" s="104">
        <f>('Renewable Diesel'!W206*'RD Feedstock Breakdown'!BJ$3*'Feedstock Conversion Rates'!B$4)/12</f>
        <v>7.5</v>
      </c>
      <c r="BK197" s="104">
        <f>('Renewable Diesel'!W206*'RD Feedstock Breakdown'!BK$3*'Feedstock Conversion Rates'!B$3)/12</f>
        <v>1.335</v>
      </c>
      <c r="BL197" s="104">
        <f>('Renewable Diesel'!W206*'RD Feedstock Breakdown'!BL$3*'Feedstock Conversion Rates'!B$6)/12</f>
        <v>3.1266666666666669</v>
      </c>
      <c r="BM197" s="104">
        <f>('Renewable Diesel'!W206*'RD Feedstock Breakdown'!BM$3*'Feedstock Conversion Rates'!B$7)/12</f>
        <v>1.5333333333333332</v>
      </c>
      <c r="BN197" s="106">
        <f t="shared" si="112"/>
        <v>13.495000000000001</v>
      </c>
      <c r="BO197" s="104">
        <f>('Renewable Diesel'!P206*'Feedstock Conversion Rates'!B$4)/12</f>
        <v>31.25</v>
      </c>
      <c r="BP197" s="106">
        <f t="shared" si="102"/>
        <v>31.25</v>
      </c>
      <c r="BQ197" s="104">
        <f>('Renewable Diesel'!$S206*'RD Feedstock Breakdown'!BQ$3*'Feedstock Conversion Rates'!B$4)/12+10</f>
        <v>38.125</v>
      </c>
      <c r="BR197" s="104">
        <f>('Renewable Diesel'!$S206*'RD Feedstock Breakdown'!BR$3*'Feedstock Conversion Rates'!B$7)/12-10</f>
        <v>1.5</v>
      </c>
      <c r="BS197" s="106">
        <f t="shared" si="123"/>
        <v>39.625</v>
      </c>
      <c r="BT197" s="106"/>
      <c r="BU197" s="104">
        <f>('Renewable Diesel'!Y206*'Feedstock Conversion Rates'!B$7)/12</f>
        <v>2.6833333333333331</v>
      </c>
      <c r="BV197" s="106">
        <f t="shared" si="93"/>
        <v>2.6833333333333331</v>
      </c>
      <c r="BW197" s="104">
        <f>('Renewable Diesel'!$Z206*'RD Feedstock Breakdown'!BW$3*'Feedstock Conversion Rates'!$B$4)/12</f>
        <v>35.9375</v>
      </c>
      <c r="BX197" s="104">
        <f>('Renewable Diesel'!$Z206*'RD Feedstock Breakdown'!BX$3*'Feedstock Conversion Rates'!$B$5)/12</f>
        <v>3.6177083333333333</v>
      </c>
      <c r="BY197" s="104">
        <f>('Renewable Diesel'!$Z206*'RD Feedstock Breakdown'!BY$3*'Feedstock Conversion Rates'!$B$7)/12</f>
        <v>30.858333333333331</v>
      </c>
      <c r="BZ197" s="104">
        <f>('Renewable Diesel'!$Z206*'RD Feedstock Breakdown'!BZ$3*'Feedstock Conversion Rates'!$B$3)/12</f>
        <v>7.6762499999999996</v>
      </c>
      <c r="CA197" s="106">
        <f t="shared" si="127"/>
        <v>78.089791666666656</v>
      </c>
      <c r="CB197" s="104">
        <f>('Renewable Diesel'!AA206*'Feedstock Conversion Rates'!B$4)/12</f>
        <v>191.25</v>
      </c>
      <c r="CC197" s="106">
        <f t="shared" si="113"/>
        <v>191.25</v>
      </c>
      <c r="CD197" s="104">
        <f>('Renewable Diesel'!$AB206*'RD Feedstock Breakdown'!CD$3*'Feedstock Conversion Rates'!$B$6)/12-15</f>
        <v>17.830000000000005</v>
      </c>
      <c r="CE197" s="104">
        <f>('Renewable Diesel'!$AB206*'RD Feedstock Breakdown'!CE$3*'Feedstock Conversion Rates'!$B$4)/12+15</f>
        <v>26.25</v>
      </c>
      <c r="CF197" s="106">
        <f t="shared" si="108"/>
        <v>44.080000000000005</v>
      </c>
      <c r="CG197" s="104">
        <f>('Renewable Diesel'!AD206*'Feedstock Conversion Rates'!B$4)/12</f>
        <v>112.5</v>
      </c>
      <c r="CH197" s="106">
        <f t="shared" si="89"/>
        <v>112.5</v>
      </c>
      <c r="CI197" s="104">
        <f>('Renewable Diesel'!$AE206*'RD Feedstock Breakdown'!CI$3*'Feedstock Conversion Rates'!$B$5)/12</f>
        <v>0.34604166666666664</v>
      </c>
      <c r="CJ197" s="104">
        <f>('Renewable Diesel'!$AE206*'RD Feedstock Breakdown'!CJ$3*'Feedstock Conversion Rates'!$B$4)/12</f>
        <v>0.34375</v>
      </c>
      <c r="CK197" s="106">
        <f t="shared" si="103"/>
        <v>0.68979166666666658</v>
      </c>
      <c r="CL197" s="104">
        <f>(((CL$3*'Renewable Diesel'!$AF206)*'Feedstock Conversion Rates'!$B$3)/12)-35</f>
        <v>56.78125</v>
      </c>
      <c r="CM197" s="104">
        <f>(((CM$3*'Renewable Diesel'!$AF206)*'Feedstock Conversion Rates'!$B$6)/12)-32.5+35</f>
        <v>56.239583333333336</v>
      </c>
      <c r="CN197" s="104">
        <f>(((CN$3*'Renewable Diesel'!$AF206)*'Feedstock Conversion Rates'!$B$4)/12)+45-13</f>
        <v>74.96875</v>
      </c>
      <c r="CO197" s="106">
        <f t="shared" si="91"/>
        <v>187.98958333333334</v>
      </c>
      <c r="CP197" s="104">
        <f>('Renewable Diesel'!$AG206*'RD Feedstock Breakdown'!CP$3*'Feedstock Conversion Rates'!$B$3)/12</f>
        <v>6.0075000000000003</v>
      </c>
      <c r="CQ197" s="104">
        <f>('Renewable Diesel'!$AG206*'RD Feedstock Breakdown'!CQ$3*'Feedstock Conversion Rates'!$B$6)/12</f>
        <v>3.5175000000000001</v>
      </c>
      <c r="CR197" s="104">
        <f>('Renewable Diesel'!$AG206*'RD Feedstock Breakdown'!CR$3*'Feedstock Conversion Rates'!$B$4)/12</f>
        <v>2.8125</v>
      </c>
      <c r="CS197" s="106">
        <f t="shared" si="134"/>
        <v>12.3375</v>
      </c>
      <c r="CT197" s="104">
        <f>('Renewable Diesel'!AI206*'Feedstock Conversion Rates'!$B$4*'RD Feedstock Breakdown'!$CT$3)/12</f>
        <v>29.375</v>
      </c>
      <c r="CU197" s="106">
        <f t="shared" si="99"/>
        <v>29.375</v>
      </c>
      <c r="CV197" s="106"/>
      <c r="CW197" s="106"/>
      <c r="CX197" s="104">
        <f>('Renewable Diesel'!AO206*'RD Feedstock Breakdown'!$CX$3*'Feedstock Conversion Rates'!$B$3)/12</f>
        <v>6.3412499999999996</v>
      </c>
      <c r="CY197" s="104">
        <f>('Renewable Diesel'!AO206*'RD Feedstock Breakdown'!$CY$3*'Feedstock Conversion Rates'!$B$6)/12</f>
        <v>7.4258333333333342</v>
      </c>
      <c r="CZ197" s="106">
        <f t="shared" si="135"/>
        <v>13.767083333333334</v>
      </c>
      <c r="DA197" s="106"/>
      <c r="DB197" s="106"/>
      <c r="DC197" s="106"/>
      <c r="DD197" s="106"/>
      <c r="DE197" s="106"/>
      <c r="DF197" s="104">
        <f>('Renewable Diesel'!AR206*'Feedstock Conversion Rates'!$B$4*$DF$3)/12</f>
        <v>75</v>
      </c>
      <c r="DG197" s="106">
        <f t="shared" si="136"/>
        <v>75</v>
      </c>
      <c r="DH197" s="104">
        <f>('Renewable Diesel'!AS206*'Feedstock Conversion Rates'!$B$4*$DH$3)/12</f>
        <v>75</v>
      </c>
      <c r="DI197" s="106">
        <f t="shared" si="142"/>
        <v>75</v>
      </c>
      <c r="DJ197" s="104">
        <f>('Renewable Diesel'!AT206*'Feedstock Conversion Rates'!$B$4*0.25)/12</f>
        <v>8.59375</v>
      </c>
      <c r="DK197" s="104">
        <f>('Renewable Diesel'!$AT206*'RD Feedstock Breakdown'!DK$3*'Feedstock Conversion Rates'!$B$3)/12*0.5</f>
        <v>9.1781249999999996</v>
      </c>
      <c r="DL197" s="104">
        <f>('Renewable Diesel'!$AT206*'RD Feedstock Breakdown'!$DL$3*'Feedstock Conversion Rates'!$B$6)/12</f>
        <v>10.747916666666669</v>
      </c>
      <c r="DM197" s="104">
        <f>('Renewable Diesel'!$AT206*'RD Feedstock Breakdown'!$DM$3*'Feedstock Conversion Rates'!$B$8)/12</f>
        <v>10.7421875</v>
      </c>
      <c r="DN197" s="106">
        <f t="shared" si="110"/>
        <v>39.26197916666667</v>
      </c>
      <c r="DP197" s="104">
        <f t="shared" si="73"/>
        <v>8.470249999999993</v>
      </c>
      <c r="DQ197" s="104">
        <f t="shared" si="74"/>
        <v>811.59964250000007</v>
      </c>
      <c r="DR197" s="104">
        <f t="shared" si="82"/>
        <v>1599.265625</v>
      </c>
      <c r="DS197" s="104">
        <f t="shared" si="100"/>
        <v>209.17937499999999</v>
      </c>
      <c r="DT197" s="104">
        <f t="shared" si="75"/>
        <v>320.61735833333341</v>
      </c>
      <c r="DU197" s="104">
        <f t="shared" si="76"/>
        <v>237.29776666666666</v>
      </c>
      <c r="DV197" s="104">
        <f t="shared" si="83"/>
        <v>35.924999999999997</v>
      </c>
      <c r="DW197" s="104">
        <f t="shared" si="77"/>
        <v>2.5</v>
      </c>
      <c r="DX197" s="106">
        <f t="shared" si="78"/>
        <v>3224.8550175000005</v>
      </c>
      <c r="DY197" s="109">
        <f t="shared" si="79"/>
        <v>-1.0231815394945443E-12</v>
      </c>
      <c r="EA197" s="110">
        <f t="shared" si="150"/>
        <v>2.6265521873186015E-3</v>
      </c>
      <c r="EB197" s="110">
        <f t="shared" si="151"/>
        <v>0.25167011791096744</v>
      </c>
      <c r="EC197" s="110">
        <f t="shared" si="152"/>
        <v>0.49591861225432587</v>
      </c>
      <c r="ED197" s="110">
        <f t="shared" si="146"/>
        <v>6.4864737752508894E-2</v>
      </c>
      <c r="EE197" s="110">
        <f t="shared" si="146"/>
        <v>9.9420704680821634E-2</v>
      </c>
      <c r="EF197" s="110">
        <f t="shared" si="146"/>
        <v>7.3584010871479935E-2</v>
      </c>
      <c r="EG197" s="110">
        <f t="shared" si="146"/>
        <v>1.1140035693092982E-2</v>
      </c>
      <c r="EH197" s="111">
        <f t="shared" si="84"/>
        <v>7.7522864948454989E-4</v>
      </c>
      <c r="EI197" s="110">
        <f t="shared" si="85"/>
        <v>0.99922477135051535</v>
      </c>
      <c r="EK197" s="132">
        <f>(EA197*'Renewable Diesel'!BF206*'Feedstock Conversion Rates'!B$2)+FB197</f>
        <v>7.4323904701921135</v>
      </c>
      <c r="EL197" s="132">
        <f>(EB197*'Renewable Diesel'!BF206*'Feedstock Conversion Rates'!B$3)+FC197</f>
        <v>671.10075357470089</v>
      </c>
      <c r="EM197" s="132">
        <f>(EC197*'Renewable Diesel'!BF206*'Feedstock Conversion Rates'!B$4)+FD197</f>
        <v>1238.212629034407</v>
      </c>
      <c r="EN197" s="132">
        <f>(ED197*'Renewable Diesel'!BF206*'Feedstock Conversion Rates'!B$5)+FE197</f>
        <v>163.03437240717759</v>
      </c>
      <c r="EO197" s="132">
        <f>(EE197*'Renewable Diesel'!BF206*'Feedstock Conversion Rates'!B$6)+FF197</f>
        <v>310.45827009595723</v>
      </c>
      <c r="EP197" s="132">
        <f>(EF197*'Renewable Diesel'!BF206*'Feedstock Conversion Rates'!B$7)+FG197</f>
        <v>225.36934451278572</v>
      </c>
      <c r="EQ197" s="132">
        <f>(EG197*'Renewable Diesel'!BF206*'Feedstock Conversion Rates'!B$8)+FH197</f>
        <v>34.768136701854225</v>
      </c>
      <c r="ER197" s="132">
        <f>(EH197*'Renewable Diesel'!BF206*'Feedstock Conversion Rates'!B$9)+FI197</f>
        <v>2.3872346239268967</v>
      </c>
      <c r="ES197" s="132">
        <f t="shared" si="86"/>
        <v>2652.7631314210012</v>
      </c>
      <c r="ET197" s="133">
        <f>ES197/'Renewable Diesel'!BF206</f>
        <v>7.9684695095521434</v>
      </c>
      <c r="EW197" s="73">
        <f t="shared" si="124"/>
        <v>1401.2470014415846</v>
      </c>
      <c r="EX197" s="73">
        <f t="shared" si="125"/>
        <v>1251.5161299794172</v>
      </c>
      <c r="EY197" s="92">
        <f t="shared" si="71"/>
        <v>0.52822168132703995</v>
      </c>
      <c r="EZ197" s="92">
        <f t="shared" si="71"/>
        <v>0.47177831867296033</v>
      </c>
      <c r="FB197" s="102">
        <f>IF('Renewable Diesel'!$BG206&lt;1,0,(((('Renewable Diesel'!$BG206-1)*'Renewable Diesel'!$BF206)*'RD Feedstock Breakdown'!EA197)*'Feedstock Conversion Rates'!$B$2))</f>
        <v>0</v>
      </c>
      <c r="FC197" s="102">
        <f>IF('Renewable Diesel'!$BG206&lt;1,0,(((('Renewable Diesel'!$BG206-1)*'Renewable Diesel'!$BF206)*'RD Feedstock Breakdown'!EB197)*'Feedstock Conversion Rates'!$B$3))</f>
        <v>0</v>
      </c>
      <c r="FD197" s="102">
        <f>IF('Renewable Diesel'!$BG206&lt;1,0,(((('Renewable Diesel'!$BG206-1)*'Renewable Diesel'!$BF206)*'RD Feedstock Breakdown'!EC197)*'Feedstock Conversion Rates'!$B$4))</f>
        <v>0</v>
      </c>
      <c r="FE197" s="102">
        <f>IF('Renewable Diesel'!$BG206&lt;1,0,(((('Renewable Diesel'!$BG206-1)*'Renewable Diesel'!$BF206)*'RD Feedstock Breakdown'!ED197)*'Feedstock Conversion Rates'!$B$5))</f>
        <v>0</v>
      </c>
      <c r="FF197" s="102">
        <f>IF('Renewable Diesel'!$BG206&lt;1,0,(((('Renewable Diesel'!$BG206-1)*'Renewable Diesel'!$BF206)*'RD Feedstock Breakdown'!EE197)*'Feedstock Conversion Rates'!$B$6))</f>
        <v>0</v>
      </c>
      <c r="FG197" s="102">
        <f>IF('Renewable Diesel'!$BG206&lt;1,0,(((('Renewable Diesel'!$BG206-1)*'Renewable Diesel'!$BF206)*'RD Feedstock Breakdown'!EF197)*'Feedstock Conversion Rates'!$B$7))</f>
        <v>0</v>
      </c>
      <c r="FH197" s="102">
        <f>IF('Renewable Diesel'!$BG206&lt;1,0,(((('Renewable Diesel'!$BG206-1)*'Renewable Diesel'!$BF206)*'RD Feedstock Breakdown'!EG197)*'Feedstock Conversion Rates'!$B$8))</f>
        <v>0</v>
      </c>
      <c r="FI197" s="102">
        <f>IF('Renewable Diesel'!$BG206&lt;1,0,(((('Renewable Diesel'!$BG206-1)*'Renewable Diesel'!$BF206)*'RD Feedstock Breakdown'!EH197)*'Feedstock Conversion Rates'!$B$9))</f>
        <v>0</v>
      </c>
      <c r="FJ197" s="102">
        <f t="shared" si="126"/>
        <v>0</v>
      </c>
      <c r="FL197" s="3">
        <f>('Renewable Diesel'!AX206/12*$FO$80)*'RD Feedstock Breakdown'!EC197*7.5</f>
        <v>1437.9239199343006</v>
      </c>
      <c r="FM197" s="3">
        <f t="shared" si="96"/>
        <v>199.71129089989358</v>
      </c>
      <c r="FR197" s="3">
        <f>('Renewable Diesel'!AX206-'Renewable Diesel'!BI206)/12*$FO$80</f>
        <v>51.884625000000007</v>
      </c>
      <c r="FS197" s="100">
        <f t="shared" si="97"/>
        <v>0.49591861225432587</v>
      </c>
      <c r="FT197" s="3">
        <f t="shared" si="98"/>
        <v>192.97913420502081</v>
      </c>
      <c r="FY197" s="3">
        <f>'Renewable Diesel'!BF206*('Renewable Diesel'!BI206/'Renewable Diesel'!AX206)</f>
        <v>288.22904321513795</v>
      </c>
      <c r="FZ197" s="3">
        <f>('Renewable Diesel'!BJ206*'Renewable Diesel'!BG206)/12</f>
        <v>43.837716903012449</v>
      </c>
      <c r="GA197" s="3">
        <f t="shared" si="105"/>
        <v>163.04954798204955</v>
      </c>
      <c r="GD197" s="91">
        <f>'Renewable Diesel'!BB206*0.32</f>
        <v>0</v>
      </c>
      <c r="GE197" s="91">
        <f>'Renewable Diesel'!BC206</f>
        <v>129.88577512177199</v>
      </c>
      <c r="GF197" s="91">
        <f>'Renewable Diesel'!BD206</f>
        <v>0</v>
      </c>
      <c r="GG197" s="91">
        <f t="shared" si="109"/>
        <v>129.88577512177199</v>
      </c>
      <c r="GH197" s="124">
        <v>1</v>
      </c>
      <c r="GI197" s="102">
        <f>$GG197*EA197*'Feedstock Conversion Rates'!$B$2</f>
        <v>2.8997900173551283</v>
      </c>
      <c r="GJ197" s="102">
        <f>$GG197*EB197*'Feedstock Conversion Rates'!$B$3</f>
        <v>261.83383040222861</v>
      </c>
      <c r="GK197" s="102">
        <f>$GG197*EC197*'Feedstock Conversion Rates'!$B$4</f>
        <v>483.09580012474959</v>
      </c>
      <c r="GL197" s="102">
        <f>$GG197*ED197*'Feedstock Conversion Rates'!$B$5</f>
        <v>63.608800894965881</v>
      </c>
      <c r="GM197" s="102">
        <f>$GG197*EE197*'Feedstock Conversion Rates'!$B$6</f>
        <v>121.12708502602781</v>
      </c>
      <c r="GN197" s="102">
        <f>$GG197*EF197*'Feedstock Conversion Rates'!$B$7</f>
        <v>87.929149855221809</v>
      </c>
      <c r="GO197" s="102">
        <f>$GG197*EG197*'Feedstock Conversion Rates'!$B$8</f>
        <v>13.564989102014891</v>
      </c>
      <c r="GP197" s="102">
        <f>$GG197*EH197*'Feedstock Conversion Rates'!B$9</f>
        <v>0.93139335982287341</v>
      </c>
      <c r="GQ197" s="102">
        <f t="shared" si="87"/>
        <v>1034.9908387823864</v>
      </c>
      <c r="GR197" s="85">
        <f t="shared" si="107"/>
        <v>7.9684695095521434</v>
      </c>
      <c r="GT197" s="103">
        <f t="shared" ref="GT197:GW260" si="159">(GI197+FB197+EK197)/SUM($ES197,$FJ197,$GQ197)</f>
        <v>2.8017542848655383E-3</v>
      </c>
      <c r="GU197" s="103">
        <f t="shared" si="159"/>
        <v>0.2529817855298726</v>
      </c>
      <c r="GV197" s="103">
        <f t="shared" si="159"/>
        <v>0.46676335869125857</v>
      </c>
      <c r="GW197" s="103">
        <f t="shared" si="159"/>
        <v>6.1458322635781368E-2</v>
      </c>
      <c r="GX197" s="103">
        <f t="shared" si="158"/>
        <v>0.11703203592461517</v>
      </c>
      <c r="GY197" s="103">
        <f t="shared" si="158"/>
        <v>8.4956452328279503E-2</v>
      </c>
      <c r="GZ197" s="103">
        <f t="shared" si="158"/>
        <v>1.3106385673880366E-2</v>
      </c>
      <c r="HA197" s="103">
        <f t="shared" si="158"/>
        <v>8.9990493144713251E-4</v>
      </c>
    </row>
    <row r="198" spans="1:209" x14ac:dyDescent="0.25">
      <c r="A198" s="96">
        <v>46447</v>
      </c>
      <c r="B198" s="104">
        <f t="shared" si="156"/>
        <v>140</v>
      </c>
      <c r="C198" s="104">
        <f t="shared" si="147"/>
        <v>0</v>
      </c>
      <c r="D198" s="104">
        <f t="shared" si="95"/>
        <v>1.5</v>
      </c>
      <c r="E198" s="104">
        <f>('Renewable Diesel'!B207*E$3*'Feedstock Conversion Rates'!$B$2)/12-40+1.25+6-43+30-15+12.5-4+1.5+26+2.5+3-10+50+9-15-25-55+15+45+10-50+60-60-44</f>
        <v>0.67999999999999261</v>
      </c>
      <c r="F198" s="104">
        <f>('Renewable Diesel'!B207*'RD Feedstock Breakdown'!F$3*'Feedstock Conversion Rates'!B$8)/12+28.5-49-5+2-6+1+6+20-20-3.75+10+2.5+5-20-20</f>
        <v>5.15625</v>
      </c>
      <c r="G198" s="104">
        <f>('Renewable Diesel'!B207*'RD Feedstock Breakdown'!G$3*'Feedstock Conversion Rates'!B$7)/12-25-15-25+4+4-20-40-20+10-17.5+20+50-12+32.5+35-75-75+22.5+5-20+15+125-10-45-10-40-40</f>
        <v>9.6570000000000107</v>
      </c>
      <c r="H198" s="104">
        <f>('Renewable Diesel'!B207*'RD Feedstock Breakdown'!H$3*'Feedstock Conversion Rates'!B$3)/12-85+4-15+70-65-80+50-22.5-5+25+27.5+15+50+15-10+5+50+75-5-25-85-12.5+30+22.5-25-30+150+90-120+25+10+70+20+44-100</f>
        <v>339.40022499999998</v>
      </c>
      <c r="I198" s="106">
        <f t="shared" si="106"/>
        <v>496.39347499999997</v>
      </c>
      <c r="J198" s="104">
        <f t="shared" ref="J198:J204" si="160">2+10+12+15-6-20-5-5+7+105+30+87+5-10-5-25-27.5+1-1-15-17.5-6-10-77.5-7.5-1+17.5+15+90+2+2.5+2.5+7.5+27.5-32-11-25+5-50-30-30+15-20+7</f>
        <v>28.5</v>
      </c>
      <c r="K198" s="104">
        <f>50+15+20-50</f>
        <v>35</v>
      </c>
      <c r="L198" s="104">
        <v>1</v>
      </c>
      <c r="M198" s="104">
        <f>('Renewable Diesel'!C207*'RD Feedstock Breakdown'!M$3*'Feedstock Conversion Rates'!B$2)/12</f>
        <v>7.7902500000000003</v>
      </c>
      <c r="N198" s="104">
        <f>('Renewable Diesel'!C207*'RD Feedstock Breakdown'!N$3*'Feedstock Conversion Rates'!B$8)/12</f>
        <v>3.671875</v>
      </c>
      <c r="O198" s="104">
        <f>('Renewable Diesel'!C207*'RD Feedstock Breakdown'!O$3*'Feedstock Conversion Rates'!B$7)/12</f>
        <v>11.9991</v>
      </c>
      <c r="P198" s="104">
        <f>('Renewable Diesel'!C207*'RD Feedstock Breakdown'!P$3*'Feedstock Conversion Rates'!B$3)/12</f>
        <v>10.4470425</v>
      </c>
      <c r="Q198" s="106">
        <f t="shared" si="119"/>
        <v>98.408267499999994</v>
      </c>
      <c r="R198" s="104">
        <f>('Renewable Diesel'!D207*'RD Feedstock Breakdown'!R$3*'Feedstock Conversion Rates'!B$7)/12</f>
        <v>2.2999999999999998</v>
      </c>
      <c r="S198" s="106">
        <f t="shared" si="148"/>
        <v>2.2999999999999998</v>
      </c>
      <c r="T198" s="104">
        <f t="shared" si="154"/>
        <v>10.824999999999999</v>
      </c>
      <c r="U198" s="104">
        <v>0</v>
      </c>
      <c r="V198" s="104">
        <f>('Renewable Diesel'!E207*'RD Feedstock Breakdown'!V$3*'Feedstock Conversion Rates'!B$6)/12-20+25-10</f>
        <v>39.250150000000012</v>
      </c>
      <c r="W198" s="104">
        <f>('Renewable Diesel'!E207*'RD Feedstock Breakdown'!W$3*'Feedstock Conversion Rates'!B$8)/12-5.825</f>
        <v>16.354687500000001</v>
      </c>
      <c r="X198" s="106">
        <f t="shared" si="88"/>
        <v>66.429837500000005</v>
      </c>
      <c r="Y198" s="104">
        <f t="shared" si="155"/>
        <v>36</v>
      </c>
      <c r="Z198" s="104">
        <f>('Renewable Diesel'!F207*'RD Feedstock Breakdown'!Z$3*'Feedstock Conversion Rates'!B$6)/12-50-32-60+15+30+22.5-22.5-15+40-16+3+50</f>
        <v>124.46000000000001</v>
      </c>
      <c r="AA198" s="104">
        <f>('Renewable Diesel'!F207*'RD Feedstock Breakdown'!AA$3*'Feedstock Conversion Rates'!B$7)/12+80-171+75+30+40-55</f>
        <v>103.26666666666665</v>
      </c>
      <c r="AB198" s="106">
        <f t="shared" si="137"/>
        <v>263.72666666666669</v>
      </c>
      <c r="AC198" s="104">
        <f>('Renewable Diesel'!G207*'RD Feedstock Breakdown'!AC$3*'Feedstock Conversion Rates'!B$5)/12</f>
        <v>11.796875</v>
      </c>
      <c r="AD198" s="104">
        <f>('Renewable Diesel'!G207*'RD Feedstock Breakdown'!AD$3*'Feedstock Conversion Rates'!B$4)/12</f>
        <v>5.859375</v>
      </c>
      <c r="AE198" s="104">
        <f>('Renewable Diesel'!G207*'RD Feedstock Breakdown'!AE$3*'Feedstock Conversion Rates'!B$6)/12</f>
        <v>7.3281250000000009</v>
      </c>
      <c r="AF198" s="106">
        <f t="shared" si="101"/>
        <v>24.984375</v>
      </c>
      <c r="AG198" s="104">
        <f t="shared" si="149"/>
        <v>139</v>
      </c>
      <c r="AH198" s="104">
        <v>0</v>
      </c>
      <c r="AI198" s="104">
        <f>('Renewable Diesel'!H207*'RD Feedstock Breakdown'!AI$3*'Feedstock Conversion Rates'!B$6)/12-130-20+51-120+100-40+20</f>
        <v>9.5166666666666799</v>
      </c>
      <c r="AJ198" s="106">
        <f t="shared" si="145"/>
        <v>148.51666666666668</v>
      </c>
      <c r="AK198" s="104">
        <f>('Renewable Diesel'!J207*'RD Feedstock Breakdown'!AK$3*'Feedstock Conversion Rates'!B$4)/12</f>
        <v>95.8125</v>
      </c>
      <c r="AL198" s="106">
        <f t="shared" si="157"/>
        <v>95.8125</v>
      </c>
      <c r="AM198" s="104">
        <f>('Renewable Diesel'!K207*'RD Feedstock Breakdown'!AM$3*'Feedstock Conversion Rates'!B$4)/12+5+15-10+4+5-30</f>
        <v>47.59375</v>
      </c>
      <c r="AN198" s="104">
        <f>('Renewable Diesel'!K207*'RD Feedstock Breakdown'!AN$3*'Feedstock Conversion Rates'!B$6)/12-5-15+10-4-5+30</f>
        <v>35.427083333333329</v>
      </c>
      <c r="AO198" s="106">
        <f t="shared" si="81"/>
        <v>83.020833333333329</v>
      </c>
      <c r="AP198" s="104">
        <f>('Renewable Diesel'!L207*'RD Feedstock Breakdown'!AP$3*'Feedstock Conversion Rates'!B$4)/12+15-10+7.5+7</f>
        <v>78.09375</v>
      </c>
      <c r="AQ198" s="104">
        <f>('Renewable Diesel'!L207*'RD Feedstock Breakdown'!AQ$3*'Feedstock Conversion Rates'!B$6)/12-15+10-7.5-7</f>
        <v>4.9270833333333321</v>
      </c>
      <c r="AR198" s="106">
        <f t="shared" si="70"/>
        <v>83.020833333333329</v>
      </c>
      <c r="AS198" s="104">
        <f>('Renewable Diesel'!M207*'RD Feedstock Breakdown'!AS$3*'Feedstock Conversion Rates'!B$4)/12</f>
        <v>456.25</v>
      </c>
      <c r="AT198" s="104">
        <f>('Renewable Diesel'!M207*'RD Feedstock Breakdown'!AT$3*'Feedstock Conversion Rates'!B$5)/12</f>
        <v>0</v>
      </c>
      <c r="AU198" s="106">
        <f t="shared" si="104"/>
        <v>456.25</v>
      </c>
      <c r="AV198" s="104">
        <f>'Renewable Diesel'!N207*'RD Feedstock Breakdown'!$AV$3*'Feedstock Conversion Rates'!$B$4/12-15-10+25+25-22-7.5</f>
        <v>74.249999999999986</v>
      </c>
      <c r="AW198" s="104">
        <f>'Renewable Diesel'!N207*'RD Feedstock Breakdown'!$AW$3*'Feedstock Conversion Rates'!$B$7/12+15+10-25-25+22+7.5</f>
        <v>45.900000000000006</v>
      </c>
      <c r="AX198" s="106">
        <f t="shared" si="141"/>
        <v>120.14999999999999</v>
      </c>
      <c r="AY198" s="104">
        <f>('Renewable Diesel'!O207*'RD Feedstock Breakdown'!AY$3*'Feedstock Conversion Rates'!B$4)/12+32+2-135-247</f>
        <v>-137.0625</v>
      </c>
      <c r="AZ198" s="104">
        <f>('Renewable Diesel'!O207*'RD Feedstock Breakdown'!AZ$3*'Feedstock Conversion Rates'!B$3)/12-32-2+135+247</f>
        <v>373.03125</v>
      </c>
      <c r="BA198" s="106">
        <f t="shared" si="120"/>
        <v>235.96875</v>
      </c>
      <c r="BB198" s="104">
        <f>('Renewable Diesel'!Q207*'RD Feedstock Breakdown'!BB$3*'Feedstock Conversion Rates'!B$4)/12</f>
        <v>11.156249999999998</v>
      </c>
      <c r="BC198" s="104">
        <f>('Renewable Diesel'!Q207*'RD Feedstock Breakdown'!BC$3*'Feedstock Conversion Rates'!B$3)/12</f>
        <v>1.4017500000000001</v>
      </c>
      <c r="BD198" s="104">
        <f>('Renewable Diesel'!Q207*'RD Feedstock Breakdown'!BD$3*'Feedstock Conversion Rates'!B$6)/12</f>
        <v>0.8207500000000002</v>
      </c>
      <c r="BE198" s="106">
        <f t="shared" si="90"/>
        <v>13.378749999999998</v>
      </c>
      <c r="BF198" s="104">
        <f>('Renewable Diesel'!R207*'RD Feedstock Breakdown'!BF$3*'Feedstock Conversion Rates'!B$4)/12</f>
        <v>62.5</v>
      </c>
      <c r="BG198" s="106">
        <f t="shared" si="72"/>
        <v>62.5</v>
      </c>
      <c r="BH198" s="104">
        <f>('Renewable Diesel'!T207*'RD Feedstock Breakdown'!BH$3*'Feedstock Conversion Rates'!B$7)/12</f>
        <v>27.599999999999998</v>
      </c>
      <c r="BI198" s="106">
        <f t="shared" si="144"/>
        <v>27.599999999999998</v>
      </c>
      <c r="BJ198" s="104">
        <f>('Renewable Diesel'!W207*'RD Feedstock Breakdown'!BJ$3*'Feedstock Conversion Rates'!B$4)/12</f>
        <v>7.5</v>
      </c>
      <c r="BK198" s="104">
        <f>('Renewable Diesel'!W207*'RD Feedstock Breakdown'!BK$3*'Feedstock Conversion Rates'!B$3)/12</f>
        <v>1.335</v>
      </c>
      <c r="BL198" s="104">
        <f>('Renewable Diesel'!W207*'RD Feedstock Breakdown'!BL$3*'Feedstock Conversion Rates'!B$6)/12</f>
        <v>3.1266666666666669</v>
      </c>
      <c r="BM198" s="104">
        <f>('Renewable Diesel'!W207*'RD Feedstock Breakdown'!BM$3*'Feedstock Conversion Rates'!B$7)/12</f>
        <v>1.5333333333333332</v>
      </c>
      <c r="BN198" s="106">
        <f t="shared" si="112"/>
        <v>13.495000000000001</v>
      </c>
      <c r="BO198" s="104">
        <f>('Renewable Diesel'!P207*'Feedstock Conversion Rates'!B$4)/12</f>
        <v>31.25</v>
      </c>
      <c r="BP198" s="106">
        <f t="shared" si="102"/>
        <v>31.25</v>
      </c>
      <c r="BQ198" s="104">
        <f>('Renewable Diesel'!$S207*'RD Feedstock Breakdown'!BQ$3*'Feedstock Conversion Rates'!B$4)/12+10</f>
        <v>38.125</v>
      </c>
      <c r="BR198" s="104">
        <f>('Renewable Diesel'!$S207*'RD Feedstock Breakdown'!BR$3*'Feedstock Conversion Rates'!B$7)/12-10</f>
        <v>1.5</v>
      </c>
      <c r="BS198" s="106">
        <f t="shared" si="123"/>
        <v>39.625</v>
      </c>
      <c r="BT198" s="106"/>
      <c r="BU198" s="104">
        <f>('Renewable Diesel'!Y207*'Feedstock Conversion Rates'!B$7)/12</f>
        <v>2.6833333333333331</v>
      </c>
      <c r="BV198" s="106">
        <f t="shared" si="93"/>
        <v>2.6833333333333331</v>
      </c>
      <c r="BW198" s="104">
        <f>('Renewable Diesel'!$Z207*'RD Feedstock Breakdown'!BW$3*'Feedstock Conversion Rates'!$B$4)/12</f>
        <v>35.9375</v>
      </c>
      <c r="BX198" s="104">
        <f>('Renewable Diesel'!$Z207*'RD Feedstock Breakdown'!BX$3*'Feedstock Conversion Rates'!$B$5)/12</f>
        <v>3.6177083333333333</v>
      </c>
      <c r="BY198" s="104">
        <f>('Renewable Diesel'!$Z207*'RD Feedstock Breakdown'!BY$3*'Feedstock Conversion Rates'!$B$7)/12</f>
        <v>30.858333333333331</v>
      </c>
      <c r="BZ198" s="104">
        <f>('Renewable Diesel'!$Z207*'RD Feedstock Breakdown'!BZ$3*'Feedstock Conversion Rates'!$B$3)/12</f>
        <v>7.6762499999999996</v>
      </c>
      <c r="CA198" s="106">
        <f t="shared" si="127"/>
        <v>78.089791666666656</v>
      </c>
      <c r="CB198" s="104">
        <f>('Renewable Diesel'!AA207*'Feedstock Conversion Rates'!B$4)/12</f>
        <v>191.25</v>
      </c>
      <c r="CC198" s="106">
        <f t="shared" si="113"/>
        <v>191.25</v>
      </c>
      <c r="CD198" s="104">
        <f>('Renewable Diesel'!$AB207*'RD Feedstock Breakdown'!CD$3*'Feedstock Conversion Rates'!$B$6)/12-15</f>
        <v>17.830000000000005</v>
      </c>
      <c r="CE198" s="104">
        <f>('Renewable Diesel'!$AB207*'RD Feedstock Breakdown'!CE$3*'Feedstock Conversion Rates'!$B$4)/12+15</f>
        <v>26.25</v>
      </c>
      <c r="CF198" s="106">
        <f t="shared" si="108"/>
        <v>44.080000000000005</v>
      </c>
      <c r="CG198" s="104">
        <f>('Renewable Diesel'!AD207*'Feedstock Conversion Rates'!B$4)/12</f>
        <v>112.5</v>
      </c>
      <c r="CH198" s="106">
        <f t="shared" si="89"/>
        <v>112.5</v>
      </c>
      <c r="CI198" s="104">
        <f>('Renewable Diesel'!$AE207*'RD Feedstock Breakdown'!CI$3*'Feedstock Conversion Rates'!$B$5)/12</f>
        <v>0.34604166666666664</v>
      </c>
      <c r="CJ198" s="104">
        <f>('Renewable Diesel'!$AE207*'RD Feedstock Breakdown'!CJ$3*'Feedstock Conversion Rates'!$B$4)/12</f>
        <v>0.34375</v>
      </c>
      <c r="CK198" s="106">
        <f t="shared" si="103"/>
        <v>0.68979166666666658</v>
      </c>
      <c r="CL198" s="104">
        <f>(((CL$3*'Renewable Diesel'!$AF207)*'Feedstock Conversion Rates'!$B$3)/12)-35</f>
        <v>56.78125</v>
      </c>
      <c r="CM198" s="104">
        <f>(((CM$3*'Renewable Diesel'!$AF207)*'Feedstock Conversion Rates'!$B$6)/12)-32.5+35</f>
        <v>56.239583333333336</v>
      </c>
      <c r="CN198" s="104">
        <f>(((CN$3*'Renewable Diesel'!$AF207)*'Feedstock Conversion Rates'!$B$4)/12)+45-13</f>
        <v>74.96875</v>
      </c>
      <c r="CO198" s="106">
        <f t="shared" si="91"/>
        <v>187.98958333333334</v>
      </c>
      <c r="CP198" s="104">
        <f>('Renewable Diesel'!$AG207*'RD Feedstock Breakdown'!CP$3*'Feedstock Conversion Rates'!$B$3)/12</f>
        <v>6.0075000000000003</v>
      </c>
      <c r="CQ198" s="104">
        <f>('Renewable Diesel'!$AG207*'RD Feedstock Breakdown'!CQ$3*'Feedstock Conversion Rates'!$B$6)/12</f>
        <v>3.5175000000000001</v>
      </c>
      <c r="CR198" s="104">
        <f>('Renewable Diesel'!$AG207*'RD Feedstock Breakdown'!CR$3*'Feedstock Conversion Rates'!$B$4)/12</f>
        <v>2.8125</v>
      </c>
      <c r="CS198" s="106">
        <f t="shared" si="134"/>
        <v>12.3375</v>
      </c>
      <c r="CT198" s="104">
        <f>('Renewable Diesel'!AI207*'Feedstock Conversion Rates'!$B$4*'RD Feedstock Breakdown'!$CT$3)/12</f>
        <v>29.375</v>
      </c>
      <c r="CU198" s="106">
        <f t="shared" si="99"/>
        <v>29.375</v>
      </c>
      <c r="CV198" s="104">
        <f>('Renewable Diesel'!AN207*'Feedstock Conversion Rates'!$B$3*'RD Feedstock Breakdown'!$CV$3)/12</f>
        <v>0.50062499999999999</v>
      </c>
      <c r="CW198" s="106">
        <f>CV198</f>
        <v>0.50062499999999999</v>
      </c>
      <c r="CX198" s="104">
        <f>('Renewable Diesel'!AO207*'RD Feedstock Breakdown'!$CX$3*'Feedstock Conversion Rates'!$B$3)/12</f>
        <v>6.3412499999999996</v>
      </c>
      <c r="CY198" s="104">
        <f>('Renewable Diesel'!AO207*'RD Feedstock Breakdown'!$CY$3*'Feedstock Conversion Rates'!$B$6)/12</f>
        <v>7.4258333333333342</v>
      </c>
      <c r="CZ198" s="106">
        <f t="shared" si="135"/>
        <v>13.767083333333334</v>
      </c>
      <c r="DA198" s="106"/>
      <c r="DB198" s="106"/>
      <c r="DC198" s="106"/>
      <c r="DD198" s="106"/>
      <c r="DE198" s="106"/>
      <c r="DF198" s="104">
        <f>('Renewable Diesel'!AR207*'Feedstock Conversion Rates'!$B$4*$DF$3)/12</f>
        <v>75</v>
      </c>
      <c r="DG198" s="106">
        <f t="shared" si="136"/>
        <v>75</v>
      </c>
      <c r="DH198" s="104">
        <f>('Renewable Diesel'!AS207*'Feedstock Conversion Rates'!$B$4*$DH$3)/12</f>
        <v>75</v>
      </c>
      <c r="DI198" s="106">
        <f t="shared" si="142"/>
        <v>75</v>
      </c>
      <c r="DJ198" s="104">
        <f>('Renewable Diesel'!AT207*'Feedstock Conversion Rates'!$B$4*0.25)/12</f>
        <v>8.59375</v>
      </c>
      <c r="DK198" s="104">
        <f>('Renewable Diesel'!$AT207*'RD Feedstock Breakdown'!DK$3*'Feedstock Conversion Rates'!$B$3)/12*0.5</f>
        <v>9.1781249999999996</v>
      </c>
      <c r="DL198" s="104">
        <f>('Renewable Diesel'!$AT207*'RD Feedstock Breakdown'!$DL$3*'Feedstock Conversion Rates'!$B$6)/12</f>
        <v>10.747916666666669</v>
      </c>
      <c r="DM198" s="104">
        <f>('Renewable Diesel'!$AT207*'RD Feedstock Breakdown'!$DM$3*'Feedstock Conversion Rates'!$B$8)/12</f>
        <v>10.7421875</v>
      </c>
      <c r="DN198" s="106">
        <f t="shared" si="110"/>
        <v>39.26197916666667</v>
      </c>
      <c r="DP198" s="104">
        <f t="shared" si="73"/>
        <v>8.470249999999993</v>
      </c>
      <c r="DQ198" s="104">
        <f t="shared" si="74"/>
        <v>812.10026750000009</v>
      </c>
      <c r="DR198" s="104">
        <f t="shared" si="82"/>
        <v>1599.265625</v>
      </c>
      <c r="DS198" s="104">
        <f t="shared" si="100"/>
        <v>209.17937499999999</v>
      </c>
      <c r="DT198" s="104">
        <f t="shared" si="75"/>
        <v>320.61735833333341</v>
      </c>
      <c r="DU198" s="104">
        <f t="shared" si="76"/>
        <v>237.29776666666666</v>
      </c>
      <c r="DV198" s="104">
        <f t="shared" si="83"/>
        <v>35.924999999999997</v>
      </c>
      <c r="DW198" s="104">
        <f t="shared" si="77"/>
        <v>2.5</v>
      </c>
      <c r="DX198" s="106">
        <f t="shared" si="78"/>
        <v>3225.3556425000006</v>
      </c>
      <c r="DY198" s="109">
        <f t="shared" si="79"/>
        <v>-1.1368683772161603E-12</v>
      </c>
      <c r="EA198" s="110">
        <f t="shared" si="150"/>
        <v>2.6261445058612608E-3</v>
      </c>
      <c r="EB198" s="110">
        <f t="shared" si="151"/>
        <v>0.25178627026399303</v>
      </c>
      <c r="EC198" s="110">
        <f t="shared" si="152"/>
        <v>0.49584163802798364</v>
      </c>
      <c r="ED198" s="110">
        <f t="shared" si="146"/>
        <v>6.4854669743601753E-2</v>
      </c>
      <c r="EE198" s="110">
        <f t="shared" si="146"/>
        <v>9.9405273052251747E-2</v>
      </c>
      <c r="EF198" s="110">
        <f t="shared" si="146"/>
        <v>7.3572589496746207E-2</v>
      </c>
      <c r="EG198" s="110">
        <f t="shared" si="146"/>
        <v>1.1138306587534707E-2</v>
      </c>
      <c r="EH198" s="111">
        <f t="shared" si="84"/>
        <v>7.7510832202746756E-4</v>
      </c>
      <c r="EI198" s="110">
        <f t="shared" si="85"/>
        <v>0.99922489167797224</v>
      </c>
      <c r="EK198" s="132">
        <f>(EA198*'Renewable Diesel'!BF207*'Feedstock Conversion Rates'!B$2)+FB198</f>
        <v>5.9439850809604673</v>
      </c>
      <c r="EL198" s="132">
        <f>(EB198*'Renewable Diesel'!BF207*'Feedstock Conversion Rates'!B$3)+FC198</f>
        <v>537.03764022319922</v>
      </c>
      <c r="EM198" s="132">
        <f>(EC198*'Renewable Diesel'!BF207*'Feedstock Conversion Rates'!B$4)+FD198</f>
        <v>990.2490219740987</v>
      </c>
      <c r="EN198" s="132">
        <f>(ED198*'Renewable Diesel'!BF207*'Feedstock Conversion Rates'!B$5)+FE198</f>
        <v>130.38522143831437</v>
      </c>
      <c r="EO198" s="132">
        <f>(EE198*'Renewable Diesel'!BF207*'Feedstock Conversion Rates'!B$6)+FF198</f>
        <v>248.28611105835316</v>
      </c>
      <c r="EP198" s="132">
        <f>(EF198*'Renewable Diesel'!BF207*'Feedstock Conversion Rates'!B$7)+FG198</f>
        <v>180.23703502423925</v>
      </c>
      <c r="EQ198" s="132">
        <f>(EG198*'Renewable Diesel'!BF207*'Feedstock Conversion Rates'!B$8)+FH198</f>
        <v>27.805493626503953</v>
      </c>
      <c r="ER198" s="132">
        <f>(EH198*'Renewable Diesel'!BF207*'Feedstock Conversion Rates'!B$9)+FI198</f>
        <v>1.9091686646822481</v>
      </c>
      <c r="ES198" s="132">
        <f t="shared" si="86"/>
        <v>2121.8536770903511</v>
      </c>
      <c r="ET198" s="133">
        <f>ES198/'Renewable Diesel'!BF207</f>
        <v>7.9684759557255527</v>
      </c>
      <c r="EW198" s="73">
        <f t="shared" si="124"/>
        <v>1120.6342434124131</v>
      </c>
      <c r="EX198" s="73">
        <f t="shared" si="125"/>
        <v>1001.2194336779384</v>
      </c>
      <c r="EY198" s="92">
        <f t="shared" si="71"/>
        <v>0.52813926592200877</v>
      </c>
      <c r="EZ198" s="92">
        <f t="shared" si="71"/>
        <v>0.4718607340779914</v>
      </c>
      <c r="FB198" s="102">
        <f>IF('Renewable Diesel'!$BG207&lt;1,0,(((('Renewable Diesel'!$BG207-1)*'Renewable Diesel'!$BF207)*'RD Feedstock Breakdown'!EA198)*'Feedstock Conversion Rates'!$B$2))</f>
        <v>0</v>
      </c>
      <c r="FC198" s="102">
        <f>IF('Renewable Diesel'!$BG207&lt;1,0,(((('Renewable Diesel'!$BG207-1)*'Renewable Diesel'!$BF207)*'RD Feedstock Breakdown'!EB198)*'Feedstock Conversion Rates'!$B$3))</f>
        <v>0</v>
      </c>
      <c r="FD198" s="102">
        <f>IF('Renewable Diesel'!$BG207&lt;1,0,(((('Renewable Diesel'!$BG207-1)*'Renewable Diesel'!$BF207)*'RD Feedstock Breakdown'!EC198)*'Feedstock Conversion Rates'!$B$4))</f>
        <v>0</v>
      </c>
      <c r="FE198" s="102">
        <f>IF('Renewable Diesel'!$BG207&lt;1,0,(((('Renewable Diesel'!$BG207-1)*'Renewable Diesel'!$BF207)*'RD Feedstock Breakdown'!ED198)*'Feedstock Conversion Rates'!$B$5))</f>
        <v>0</v>
      </c>
      <c r="FF198" s="102">
        <f>IF('Renewable Diesel'!$BG207&lt;1,0,(((('Renewable Diesel'!$BG207-1)*'Renewable Diesel'!$BF207)*'RD Feedstock Breakdown'!EE198)*'Feedstock Conversion Rates'!$B$6))</f>
        <v>0</v>
      </c>
      <c r="FG198" s="102">
        <f>IF('Renewable Diesel'!$BG207&lt;1,0,(((('Renewable Diesel'!$BG207-1)*'Renewable Diesel'!$BF207)*'RD Feedstock Breakdown'!EF198)*'Feedstock Conversion Rates'!$B$7))</f>
        <v>0</v>
      </c>
      <c r="FH198" s="102">
        <f>IF('Renewable Diesel'!$BG207&lt;1,0,(((('Renewable Diesel'!$BG207-1)*'Renewable Diesel'!$BF207)*'RD Feedstock Breakdown'!EG198)*'Feedstock Conversion Rates'!$B$8))</f>
        <v>0</v>
      </c>
      <c r="FI198" s="102">
        <f>IF('Renewable Diesel'!$BG207&lt;1,0,(((('Renewable Diesel'!$BG207-1)*'Renewable Diesel'!$BF207)*'RD Feedstock Breakdown'!EH198)*'Feedstock Conversion Rates'!$B$9))</f>
        <v>0</v>
      </c>
      <c r="FJ198" s="102">
        <f t="shared" si="126"/>
        <v>0</v>
      </c>
      <c r="FL198" s="3">
        <f>('Renewable Diesel'!AX207/12*$FO$80)*'RD Feedstock Breakdown'!EC198*7.5</f>
        <v>1440.4201134218042</v>
      </c>
      <c r="FM198" s="3">
        <f t="shared" si="96"/>
        <v>450.17109144770552</v>
      </c>
      <c r="FR198" s="3">
        <f>('Renewable Diesel'!AX207-'Renewable Diesel'!BI207)/12*$FO$80</f>
        <v>52.61587500000001</v>
      </c>
      <c r="FS198" s="100">
        <f t="shared" si="97"/>
        <v>0.49584163802798364</v>
      </c>
      <c r="FT198" s="3">
        <f t="shared" si="98"/>
        <v>195.66856234706728</v>
      </c>
      <c r="FY198" s="3">
        <f>'Renewable Diesel'!BF207*('Renewable Diesel'!BI207/'Renewable Diesel'!AX207)</f>
        <v>230.10903133338456</v>
      </c>
      <c r="FZ198" s="3">
        <f>('Renewable Diesel'!BJ207*'Renewable Diesel'!BG207)/12</f>
        <v>39.293944667874534</v>
      </c>
      <c r="GA198" s="3">
        <f t="shared" si="105"/>
        <v>146.12680416524896</v>
      </c>
      <c r="GD198" s="91">
        <f>'Renewable Diesel'!BB207*0.32</f>
        <v>0</v>
      </c>
      <c r="GE198" s="91">
        <f>'Renewable Diesel'!BC207</f>
        <v>52.446592878731003</v>
      </c>
      <c r="GF198" s="91">
        <f>'Renewable Diesel'!BD207</f>
        <v>0</v>
      </c>
      <c r="GG198" s="91">
        <f t="shared" si="109"/>
        <v>52.446592878731003</v>
      </c>
      <c r="GH198" s="124">
        <v>1</v>
      </c>
      <c r="GI198" s="102">
        <f>$GG198*EA198*'Feedstock Conversion Rates'!$B$2</f>
        <v>1.1707248197867848</v>
      </c>
      <c r="GJ198" s="102">
        <f>$GG198*EB198*'Feedstock Conversion Rates'!$B$3</f>
        <v>105.77470939200811</v>
      </c>
      <c r="GK198" s="102">
        <f>$GG198*EC198*'Feedstock Conversion Rates'!$B$4</f>
        <v>195.03903391482572</v>
      </c>
      <c r="GL198" s="102">
        <f>$GG198*ED198*'Feedstock Conversion Rates'!$B$5</f>
        <v>25.68061877547062</v>
      </c>
      <c r="GM198" s="102">
        <f>$GG198*EE198*'Feedstock Conversion Rates'!$B$6</f>
        <v>48.902328768527646</v>
      </c>
      <c r="GN198" s="102">
        <f>$GG198*EF198*'Feedstock Conversion Rates'!$B$7</f>
        <v>35.499411165002606</v>
      </c>
      <c r="GO198" s="102">
        <f>$GG198*EG198*'Feedstock Conversion Rates'!$B$8</f>
        <v>5.4765584152023781</v>
      </c>
      <c r="GP198" s="102">
        <f>$GG198*EH198*'Feedstock Conversion Rates'!B$9</f>
        <v>0.37602906307119099</v>
      </c>
      <c r="GQ198" s="102">
        <f t="shared" si="87"/>
        <v>417.91941431389506</v>
      </c>
      <c r="GR198" s="85">
        <f t="shared" si="107"/>
        <v>7.9684759557255536</v>
      </c>
      <c r="GT198" s="103">
        <f t="shared" si="159"/>
        <v>2.8013171431836509E-3</v>
      </c>
      <c r="GU198" s="103">
        <f t="shared" si="159"/>
        <v>0.25309833850542723</v>
      </c>
      <c r="GV198" s="103">
        <f t="shared" si="159"/>
        <v>0.46669053227647828</v>
      </c>
      <c r="GW198" s="103">
        <f t="shared" si="159"/>
        <v>6.1448733645530454E-2</v>
      </c>
      <c r="GX198" s="103">
        <f t="shared" si="158"/>
        <v>0.11701377608602218</v>
      </c>
      <c r="GY198" s="103">
        <f t="shared" si="158"/>
        <v>8.4943197059372214E-2</v>
      </c>
      <c r="GZ198" s="103">
        <f t="shared" si="158"/>
        <v>1.3104340759553685E-2</v>
      </c>
      <c r="HA198" s="103">
        <f t="shared" si="158"/>
        <v>8.9976452443235708E-4</v>
      </c>
    </row>
    <row r="199" spans="1:209" x14ac:dyDescent="0.25">
      <c r="A199" s="96">
        <v>46478</v>
      </c>
      <c r="B199" s="104">
        <f t="shared" si="156"/>
        <v>140</v>
      </c>
      <c r="C199" s="104">
        <f t="shared" si="147"/>
        <v>0</v>
      </c>
      <c r="D199" s="104">
        <f t="shared" si="95"/>
        <v>1.5</v>
      </c>
      <c r="E199" s="104">
        <f>('Renewable Diesel'!B208*E$3*'Feedstock Conversion Rates'!$B$2)/12-40+1.25+6-43+30-15+12.5-4+1.5+26+2.5+3-10+50+9-15-25-55+15+45+10-50+60-60-44</f>
        <v>0.67999999999999261</v>
      </c>
      <c r="F199" s="104">
        <f>('Renewable Diesel'!B208*'RD Feedstock Breakdown'!F$3*'Feedstock Conversion Rates'!B$8)/12+28.5-49-5+2-6+1+6+20-20-3.75+10+2.5+5-20-20</f>
        <v>5.15625</v>
      </c>
      <c r="G199" s="104">
        <f>('Renewable Diesel'!B208*'RD Feedstock Breakdown'!G$3*'Feedstock Conversion Rates'!B$7)/12-25-15-25+4+4-20-40-20+10-17.5+20+50-12+32.5+35-75-75+22.5+5-20+15+125-10-45-10-40-40</f>
        <v>9.6570000000000107</v>
      </c>
      <c r="H199" s="104">
        <f>('Renewable Diesel'!B208*'RD Feedstock Breakdown'!H$3*'Feedstock Conversion Rates'!B$3)/12-85+4-15+70-65-80+50-22.5-5+25+27.5+15+50+15-10+5+50+75-5-25-85-12.5+30+22.5-25-30+150+90-120+25+10+70+20+44-100</f>
        <v>339.40022499999998</v>
      </c>
      <c r="I199" s="106">
        <f t="shared" si="106"/>
        <v>496.39347499999997</v>
      </c>
      <c r="J199" s="104">
        <f t="shared" si="160"/>
        <v>28.5</v>
      </c>
      <c r="K199" s="104">
        <f t="shared" si="153"/>
        <v>85</v>
      </c>
      <c r="L199" s="104">
        <v>1</v>
      </c>
      <c r="M199" s="104">
        <f>('Renewable Diesel'!C208*'RD Feedstock Breakdown'!M$3*'Feedstock Conversion Rates'!B$2)/12</f>
        <v>7.7902500000000003</v>
      </c>
      <c r="N199" s="104">
        <f>('Renewable Diesel'!C208*'RD Feedstock Breakdown'!N$3*'Feedstock Conversion Rates'!B$8)/12</f>
        <v>3.671875</v>
      </c>
      <c r="O199" s="104">
        <f>('Renewable Diesel'!C208*'RD Feedstock Breakdown'!O$3*'Feedstock Conversion Rates'!B$7)/12</f>
        <v>11.9991</v>
      </c>
      <c r="P199" s="104">
        <f>('Renewable Diesel'!C208*'RD Feedstock Breakdown'!P$3*'Feedstock Conversion Rates'!B$3)/12</f>
        <v>10.4470425</v>
      </c>
      <c r="Q199" s="106">
        <f t="shared" si="119"/>
        <v>148.40826750000002</v>
      </c>
      <c r="R199" s="104">
        <f>('Renewable Diesel'!D208*'RD Feedstock Breakdown'!R$3*'Feedstock Conversion Rates'!B$7)/12</f>
        <v>2.2999999999999998</v>
      </c>
      <c r="S199" s="106">
        <f t="shared" si="148"/>
        <v>2.2999999999999998</v>
      </c>
      <c r="T199" s="104">
        <f t="shared" si="154"/>
        <v>10.824999999999999</v>
      </c>
      <c r="U199" s="104">
        <v>0</v>
      </c>
      <c r="V199" s="104">
        <f>('Renewable Diesel'!E208*'RD Feedstock Breakdown'!V$3*'Feedstock Conversion Rates'!B$6)/12-20+25-10</f>
        <v>39.250150000000012</v>
      </c>
      <c r="W199" s="104">
        <f>('Renewable Diesel'!E208*'RD Feedstock Breakdown'!W$3*'Feedstock Conversion Rates'!B$8)/12-5.825</f>
        <v>16.354687500000001</v>
      </c>
      <c r="X199" s="106">
        <f t="shared" si="88"/>
        <v>66.429837500000005</v>
      </c>
      <c r="Y199" s="104">
        <f t="shared" si="155"/>
        <v>36</v>
      </c>
      <c r="Z199" s="104">
        <f>('Renewable Diesel'!F208*'RD Feedstock Breakdown'!Z$3*'Feedstock Conversion Rates'!B$6)/12-50-32-60+15+30+22.5-22.5-15+40-16+3+50</f>
        <v>124.46000000000001</v>
      </c>
      <c r="AA199" s="104">
        <f>('Renewable Diesel'!F208*'RD Feedstock Breakdown'!AA$3*'Feedstock Conversion Rates'!B$7)/12+80-171+75+30+40-55</f>
        <v>103.26666666666665</v>
      </c>
      <c r="AB199" s="106">
        <f t="shared" si="137"/>
        <v>263.72666666666669</v>
      </c>
      <c r="AC199" s="104">
        <f>('Renewable Diesel'!G208*'RD Feedstock Breakdown'!AC$3*'Feedstock Conversion Rates'!B$5)/12</f>
        <v>11.796875</v>
      </c>
      <c r="AD199" s="104">
        <f>('Renewable Diesel'!G208*'RD Feedstock Breakdown'!AD$3*'Feedstock Conversion Rates'!B$4)/12</f>
        <v>5.859375</v>
      </c>
      <c r="AE199" s="104">
        <f>('Renewable Diesel'!G208*'RD Feedstock Breakdown'!AE$3*'Feedstock Conversion Rates'!B$6)/12</f>
        <v>7.3281250000000009</v>
      </c>
      <c r="AF199" s="106">
        <f t="shared" si="101"/>
        <v>24.984375</v>
      </c>
      <c r="AG199" s="104">
        <f t="shared" si="149"/>
        <v>139</v>
      </c>
      <c r="AH199" s="104">
        <v>0</v>
      </c>
      <c r="AI199" s="104">
        <f>('Renewable Diesel'!H208*'RD Feedstock Breakdown'!AI$3*'Feedstock Conversion Rates'!B$6)/12-130-20+51-120+100-40+20</f>
        <v>9.5166666666666799</v>
      </c>
      <c r="AJ199" s="106">
        <f t="shared" si="145"/>
        <v>148.51666666666668</v>
      </c>
      <c r="AK199" s="104">
        <f>('Renewable Diesel'!J208*'RD Feedstock Breakdown'!AK$3*'Feedstock Conversion Rates'!B$4)/12</f>
        <v>95.8125</v>
      </c>
      <c r="AL199" s="106">
        <f t="shared" si="157"/>
        <v>95.8125</v>
      </c>
      <c r="AM199" s="104">
        <f>('Renewable Diesel'!K208*'RD Feedstock Breakdown'!AM$3*'Feedstock Conversion Rates'!B$4)/12+5+15-10+4+5-30</f>
        <v>47.59375</v>
      </c>
      <c r="AN199" s="104">
        <f>('Renewable Diesel'!K208*'RD Feedstock Breakdown'!AN$3*'Feedstock Conversion Rates'!B$6)/12-5-15+10-4-5+30</f>
        <v>35.427083333333329</v>
      </c>
      <c r="AO199" s="106">
        <f t="shared" si="81"/>
        <v>83.020833333333329</v>
      </c>
      <c r="AP199" s="104">
        <f>('Renewable Diesel'!L208*'RD Feedstock Breakdown'!AP$3*'Feedstock Conversion Rates'!B$4)/12+15-10+7.5+7</f>
        <v>78.09375</v>
      </c>
      <c r="AQ199" s="104">
        <f>('Renewable Diesel'!L208*'RD Feedstock Breakdown'!AQ$3*'Feedstock Conversion Rates'!B$6)/12-15+10-7.5-7</f>
        <v>4.9270833333333321</v>
      </c>
      <c r="AR199" s="106">
        <f t="shared" si="70"/>
        <v>83.020833333333329</v>
      </c>
      <c r="AS199" s="104">
        <f>('Renewable Diesel'!M208*'RD Feedstock Breakdown'!AS$3*'Feedstock Conversion Rates'!B$4)/12</f>
        <v>456.25</v>
      </c>
      <c r="AT199" s="104">
        <f>('Renewable Diesel'!M208*'RD Feedstock Breakdown'!AT$3*'Feedstock Conversion Rates'!B$5)/12</f>
        <v>0</v>
      </c>
      <c r="AU199" s="106">
        <f t="shared" si="104"/>
        <v>456.25</v>
      </c>
      <c r="AV199" s="104">
        <f>'Renewable Diesel'!N208*'RD Feedstock Breakdown'!$AV$3*'Feedstock Conversion Rates'!$B$4/12-15-10+25+25-22-7.5</f>
        <v>74.249999999999986</v>
      </c>
      <c r="AW199" s="104">
        <f>'Renewable Diesel'!N208*'RD Feedstock Breakdown'!$AW$3*'Feedstock Conversion Rates'!$B$7/12+15+10-25-25+22+7.5</f>
        <v>45.900000000000006</v>
      </c>
      <c r="AX199" s="106">
        <f t="shared" si="141"/>
        <v>120.14999999999999</v>
      </c>
      <c r="AY199" s="104">
        <f>('Renewable Diesel'!O208*'RD Feedstock Breakdown'!AY$3*'Feedstock Conversion Rates'!B$4)/12+32+2-135-247</f>
        <v>-137.0625</v>
      </c>
      <c r="AZ199" s="104">
        <f>('Renewable Diesel'!O208*'RD Feedstock Breakdown'!AZ$3*'Feedstock Conversion Rates'!B$3)/12-32-2+135+247</f>
        <v>373.03125</v>
      </c>
      <c r="BA199" s="106">
        <f t="shared" si="120"/>
        <v>235.96875</v>
      </c>
      <c r="BB199" s="104">
        <f>('Renewable Diesel'!Q208*'RD Feedstock Breakdown'!BB$3*'Feedstock Conversion Rates'!B$4)/12</f>
        <v>11.156249999999998</v>
      </c>
      <c r="BC199" s="104">
        <f>('Renewable Diesel'!Q208*'RD Feedstock Breakdown'!BC$3*'Feedstock Conversion Rates'!B$3)/12</f>
        <v>1.4017500000000001</v>
      </c>
      <c r="BD199" s="104">
        <f>('Renewable Diesel'!Q208*'RD Feedstock Breakdown'!BD$3*'Feedstock Conversion Rates'!B$6)/12</f>
        <v>0.8207500000000002</v>
      </c>
      <c r="BE199" s="106">
        <f t="shared" si="90"/>
        <v>13.378749999999998</v>
      </c>
      <c r="BF199" s="104">
        <f>('Renewable Diesel'!R208*'RD Feedstock Breakdown'!BF$3*'Feedstock Conversion Rates'!B$4)/12</f>
        <v>62.5</v>
      </c>
      <c r="BG199" s="106">
        <f t="shared" si="72"/>
        <v>62.5</v>
      </c>
      <c r="BH199" s="104">
        <f>('Renewable Diesel'!T208*'RD Feedstock Breakdown'!BH$3*'Feedstock Conversion Rates'!B$7)/12</f>
        <v>27.599999999999998</v>
      </c>
      <c r="BI199" s="106">
        <f t="shared" si="144"/>
        <v>27.599999999999998</v>
      </c>
      <c r="BJ199" s="104">
        <f>('Renewable Diesel'!W208*'RD Feedstock Breakdown'!BJ$3*'Feedstock Conversion Rates'!B$4)/12</f>
        <v>7.5</v>
      </c>
      <c r="BK199" s="104">
        <f>('Renewable Diesel'!W208*'RD Feedstock Breakdown'!BK$3*'Feedstock Conversion Rates'!B$3)/12</f>
        <v>1.335</v>
      </c>
      <c r="BL199" s="104">
        <f>('Renewable Diesel'!W208*'RD Feedstock Breakdown'!BL$3*'Feedstock Conversion Rates'!B$6)/12</f>
        <v>3.1266666666666669</v>
      </c>
      <c r="BM199" s="104">
        <f>('Renewable Diesel'!W208*'RD Feedstock Breakdown'!BM$3*'Feedstock Conversion Rates'!B$7)/12</f>
        <v>1.5333333333333332</v>
      </c>
      <c r="BN199" s="106">
        <f t="shared" si="112"/>
        <v>13.495000000000001</v>
      </c>
      <c r="BO199" s="104">
        <f>('Renewable Diesel'!P208*'Feedstock Conversion Rates'!B$4)/12</f>
        <v>31.25</v>
      </c>
      <c r="BP199" s="106">
        <f t="shared" si="102"/>
        <v>31.25</v>
      </c>
      <c r="BQ199" s="104">
        <f>('Renewable Diesel'!$S208*'RD Feedstock Breakdown'!BQ$3*'Feedstock Conversion Rates'!B$4)/12+10</f>
        <v>38.125</v>
      </c>
      <c r="BR199" s="104">
        <f>('Renewable Diesel'!$S208*'RD Feedstock Breakdown'!BR$3*'Feedstock Conversion Rates'!B$7)/12-10</f>
        <v>1.5</v>
      </c>
      <c r="BS199" s="106">
        <f t="shared" si="123"/>
        <v>39.625</v>
      </c>
      <c r="BT199" s="106"/>
      <c r="BU199" s="104">
        <f>('Renewable Diesel'!Y208*'Feedstock Conversion Rates'!B$7)/12</f>
        <v>2.6833333333333331</v>
      </c>
      <c r="BV199" s="106">
        <f t="shared" si="93"/>
        <v>2.6833333333333331</v>
      </c>
      <c r="BW199" s="104">
        <f>('Renewable Diesel'!$Z208*'RD Feedstock Breakdown'!BW$3*'Feedstock Conversion Rates'!$B$4)/12</f>
        <v>35.9375</v>
      </c>
      <c r="BX199" s="104">
        <f>('Renewable Diesel'!$Z208*'RD Feedstock Breakdown'!BX$3*'Feedstock Conversion Rates'!$B$5)/12</f>
        <v>3.6177083333333333</v>
      </c>
      <c r="BY199" s="104">
        <f>('Renewable Diesel'!$Z208*'RD Feedstock Breakdown'!BY$3*'Feedstock Conversion Rates'!$B$7)/12</f>
        <v>30.858333333333331</v>
      </c>
      <c r="BZ199" s="104">
        <f>('Renewable Diesel'!$Z208*'RD Feedstock Breakdown'!BZ$3*'Feedstock Conversion Rates'!$B$3)/12</f>
        <v>7.6762499999999996</v>
      </c>
      <c r="CA199" s="106">
        <f t="shared" si="127"/>
        <v>78.089791666666656</v>
      </c>
      <c r="CB199" s="104">
        <f>('Renewable Diesel'!AA208*'Feedstock Conversion Rates'!B$4)/12</f>
        <v>191.25</v>
      </c>
      <c r="CC199" s="106">
        <f t="shared" si="113"/>
        <v>191.25</v>
      </c>
      <c r="CD199" s="104">
        <f>('Renewable Diesel'!$AB208*'RD Feedstock Breakdown'!CD$3*'Feedstock Conversion Rates'!$B$6)/12-15</f>
        <v>17.830000000000005</v>
      </c>
      <c r="CE199" s="104">
        <f>('Renewable Diesel'!$AB208*'RD Feedstock Breakdown'!CE$3*'Feedstock Conversion Rates'!$B$4)/12+15</f>
        <v>26.25</v>
      </c>
      <c r="CF199" s="106">
        <f t="shared" si="108"/>
        <v>44.080000000000005</v>
      </c>
      <c r="CG199" s="104">
        <f>('Renewable Diesel'!AD208*'Feedstock Conversion Rates'!B$4)/12</f>
        <v>112.5</v>
      </c>
      <c r="CH199" s="106">
        <f t="shared" si="89"/>
        <v>112.5</v>
      </c>
      <c r="CI199" s="104">
        <f>('Renewable Diesel'!$AE208*'RD Feedstock Breakdown'!CI$3*'Feedstock Conversion Rates'!$B$5)/12</f>
        <v>0.34604166666666664</v>
      </c>
      <c r="CJ199" s="104">
        <f>('Renewable Diesel'!$AE208*'RD Feedstock Breakdown'!CJ$3*'Feedstock Conversion Rates'!$B$4)/12</f>
        <v>0.34375</v>
      </c>
      <c r="CK199" s="106">
        <f t="shared" si="103"/>
        <v>0.68979166666666658</v>
      </c>
      <c r="CL199" s="104">
        <f>(((CL$3*'Renewable Diesel'!$AF208)*'Feedstock Conversion Rates'!$B$3)/12)-35</f>
        <v>56.78125</v>
      </c>
      <c r="CM199" s="104">
        <f>(((CM$3*'Renewable Diesel'!$AF208)*'Feedstock Conversion Rates'!$B$6)/12)-32.5+35</f>
        <v>56.239583333333336</v>
      </c>
      <c r="CN199" s="104">
        <f>(((CN$3*'Renewable Diesel'!$AF208)*'Feedstock Conversion Rates'!$B$4)/12)+45-13</f>
        <v>74.96875</v>
      </c>
      <c r="CO199" s="106">
        <f t="shared" si="91"/>
        <v>187.98958333333334</v>
      </c>
      <c r="CP199" s="104">
        <f>('Renewable Diesel'!$AG208*'RD Feedstock Breakdown'!CP$3*'Feedstock Conversion Rates'!$B$3)/12</f>
        <v>6.0075000000000003</v>
      </c>
      <c r="CQ199" s="104">
        <f>('Renewable Diesel'!$AG208*'RD Feedstock Breakdown'!CQ$3*'Feedstock Conversion Rates'!$B$6)/12</f>
        <v>3.5175000000000001</v>
      </c>
      <c r="CR199" s="104">
        <f>('Renewable Diesel'!$AG208*'RD Feedstock Breakdown'!CR$3*'Feedstock Conversion Rates'!$B$4)/12</f>
        <v>2.8125</v>
      </c>
      <c r="CS199" s="106">
        <f t="shared" si="134"/>
        <v>12.3375</v>
      </c>
      <c r="CT199" s="104">
        <f>('Renewable Diesel'!AI208*'Feedstock Conversion Rates'!$B$4*'RD Feedstock Breakdown'!$CT$3)/12</f>
        <v>29.375</v>
      </c>
      <c r="CU199" s="106">
        <f t="shared" si="99"/>
        <v>29.375</v>
      </c>
      <c r="CV199" s="104">
        <f>('Renewable Diesel'!AN208*'Feedstock Conversion Rates'!$B$3*'RD Feedstock Breakdown'!$CV$3)/12</f>
        <v>0.50062499999999999</v>
      </c>
      <c r="CW199" s="106">
        <f t="shared" ref="CW199:CW262" si="161">CV199</f>
        <v>0.50062499999999999</v>
      </c>
      <c r="CX199" s="104">
        <f>('Renewable Diesel'!AO208*'RD Feedstock Breakdown'!$CX$3*'Feedstock Conversion Rates'!$B$3)/12</f>
        <v>6.3412499999999996</v>
      </c>
      <c r="CY199" s="104">
        <f>('Renewable Diesel'!AO208*'RD Feedstock Breakdown'!$CY$3*'Feedstock Conversion Rates'!$B$6)/12</f>
        <v>7.4258333333333342</v>
      </c>
      <c r="CZ199" s="106">
        <f t="shared" si="135"/>
        <v>13.767083333333334</v>
      </c>
      <c r="DA199" s="106"/>
      <c r="DB199" s="106"/>
      <c r="DC199" s="106"/>
      <c r="DD199" s="106"/>
      <c r="DE199" s="106"/>
      <c r="DF199" s="104">
        <f>('Renewable Diesel'!AR208*'Feedstock Conversion Rates'!$B$4*$DF$3)/12</f>
        <v>75</v>
      </c>
      <c r="DG199" s="106">
        <f t="shared" si="136"/>
        <v>75</v>
      </c>
      <c r="DH199" s="104">
        <f>('Renewable Diesel'!AS208*'Feedstock Conversion Rates'!$B$4*$DH$3)/12</f>
        <v>75</v>
      </c>
      <c r="DI199" s="106">
        <f t="shared" si="142"/>
        <v>75</v>
      </c>
      <c r="DJ199" s="104">
        <f>('Renewable Diesel'!AT208*'Feedstock Conversion Rates'!$B$4*0.25)/12</f>
        <v>8.59375</v>
      </c>
      <c r="DK199" s="104">
        <f>('Renewable Diesel'!$AT208*'RD Feedstock Breakdown'!DK$3*'Feedstock Conversion Rates'!$B$3)/12*0.5</f>
        <v>9.1781249999999996</v>
      </c>
      <c r="DL199" s="104">
        <f>('Renewable Diesel'!$AT208*'RD Feedstock Breakdown'!$DL$3*'Feedstock Conversion Rates'!$B$6)/12</f>
        <v>10.747916666666669</v>
      </c>
      <c r="DM199" s="104">
        <f>('Renewable Diesel'!$AT208*'RD Feedstock Breakdown'!$DM$3*'Feedstock Conversion Rates'!$B$8)/12</f>
        <v>10.7421875</v>
      </c>
      <c r="DN199" s="106">
        <f t="shared" si="110"/>
        <v>39.26197916666667</v>
      </c>
      <c r="DP199" s="104">
        <f t="shared" si="73"/>
        <v>8.470249999999993</v>
      </c>
      <c r="DQ199" s="104">
        <f t="shared" si="74"/>
        <v>812.10026750000009</v>
      </c>
      <c r="DR199" s="104">
        <f t="shared" si="82"/>
        <v>1599.265625</v>
      </c>
      <c r="DS199" s="104">
        <f t="shared" si="100"/>
        <v>259.17937499999999</v>
      </c>
      <c r="DT199" s="104">
        <f t="shared" si="75"/>
        <v>320.61735833333341</v>
      </c>
      <c r="DU199" s="104">
        <f t="shared" si="76"/>
        <v>237.29776666666666</v>
      </c>
      <c r="DV199" s="104">
        <f t="shared" si="83"/>
        <v>35.924999999999997</v>
      </c>
      <c r="DW199" s="104">
        <f t="shared" si="77"/>
        <v>2.5</v>
      </c>
      <c r="DX199" s="106">
        <f t="shared" si="78"/>
        <v>3275.3556425000006</v>
      </c>
      <c r="DY199" s="109">
        <f t="shared" si="79"/>
        <v>-6.8212102632969618E-13</v>
      </c>
      <c r="EA199" s="110">
        <f t="shared" si="150"/>
        <v>2.5860550500509476E-3</v>
      </c>
      <c r="EB199" s="110">
        <f t="shared" si="151"/>
        <v>0.24794262246286738</v>
      </c>
      <c r="EC199" s="110">
        <f t="shared" si="152"/>
        <v>0.48827235865578211</v>
      </c>
      <c r="ED199" s="110">
        <f t="shared" si="146"/>
        <v>7.9130147467642492E-2</v>
      </c>
      <c r="EE199" s="110">
        <f t="shared" si="146"/>
        <v>9.7887800082867904E-2</v>
      </c>
      <c r="EF199" s="110">
        <f t="shared" si="146"/>
        <v>7.2449465819089787E-2</v>
      </c>
      <c r="EG199" s="110">
        <f t="shared" si="146"/>
        <v>1.096827456959126E-2</v>
      </c>
      <c r="EH199" s="111">
        <f t="shared" si="84"/>
        <v>7.6327589210795131E-4</v>
      </c>
      <c r="EI199" s="110">
        <f t="shared" si="85"/>
        <v>0.99923672410789199</v>
      </c>
      <c r="EK199" s="132">
        <f>(EA199*'Renewable Diesel'!BF208*'Feedstock Conversion Rates'!B$2)+FB199</f>
        <v>6.3961367855414224</v>
      </c>
      <c r="EL199" s="132">
        <f>(EB199*'Renewable Diesel'!BF208*'Feedstock Conversion Rates'!B$3)+FC199</f>
        <v>577.88943933501957</v>
      </c>
      <c r="EM199" s="132">
        <f>(EC199*'Renewable Diesel'!BF208*'Feedstock Conversion Rates'!B$4)+FD199</f>
        <v>1065.5760588267658</v>
      </c>
      <c r="EN199" s="132">
        <f>(ED199*'Renewable Diesel'!BF208*'Feedstock Conversion Rates'!B$5)+FE199</f>
        <v>173.84010605156911</v>
      </c>
      <c r="EO199" s="132">
        <f>(EE199*'Renewable Diesel'!BF208*'Feedstock Conversion Rates'!B$6)+FF199</f>
        <v>267.1729330825886</v>
      </c>
      <c r="EP199" s="132">
        <f>(EF199*'Renewable Diesel'!BF208*'Feedstock Conversion Rates'!B$7)+FG199</f>
        <v>193.94744672696496</v>
      </c>
      <c r="EQ199" s="132">
        <f>(EG199*'Renewable Diesel'!BF208*'Feedstock Conversion Rates'!B$8)+FH199</f>
        <v>29.920623656054293</v>
      </c>
      <c r="ER199" s="132">
        <f>(EH199*'Renewable Diesel'!BF208*'Feedstock Conversion Rates'!B$9)+FI199</f>
        <v>2.0543967993950525</v>
      </c>
      <c r="ES199" s="132">
        <f t="shared" si="86"/>
        <v>2316.797141263899</v>
      </c>
      <c r="ET199" s="133">
        <f>ES199/'Renewable Diesel'!BF208</f>
        <v>7.9620877035569118</v>
      </c>
      <c r="EW199" s="73">
        <f t="shared" si="124"/>
        <v>1239.4161648783349</v>
      </c>
      <c r="EX199" s="73">
        <f t="shared" si="125"/>
        <v>1077.3809763855638</v>
      </c>
      <c r="EY199" s="92">
        <f t="shared" si="71"/>
        <v>0.53496965392584495</v>
      </c>
      <c r="EZ199" s="92">
        <f t="shared" si="71"/>
        <v>0.46503034607415494</v>
      </c>
      <c r="FB199" s="102">
        <f>IF('Renewable Diesel'!$BG208&lt;1,0,(((('Renewable Diesel'!$BG208-1)*'Renewable Diesel'!$BF208)*'RD Feedstock Breakdown'!EA199)*'Feedstock Conversion Rates'!$B$2))</f>
        <v>0</v>
      </c>
      <c r="FC199" s="102">
        <f>IF('Renewable Diesel'!$BG208&lt;1,0,(((('Renewable Diesel'!$BG208-1)*'Renewable Diesel'!$BF208)*'RD Feedstock Breakdown'!EB199)*'Feedstock Conversion Rates'!$B$3))</f>
        <v>0</v>
      </c>
      <c r="FD199" s="102">
        <f>IF('Renewable Diesel'!$BG208&lt;1,0,(((('Renewable Diesel'!$BG208-1)*'Renewable Diesel'!$BF208)*'RD Feedstock Breakdown'!EC199)*'Feedstock Conversion Rates'!$B$4))</f>
        <v>0</v>
      </c>
      <c r="FE199" s="102">
        <f>IF('Renewable Diesel'!$BG208&lt;1,0,(((('Renewable Diesel'!$BG208-1)*'Renewable Diesel'!$BF208)*'RD Feedstock Breakdown'!ED199)*'Feedstock Conversion Rates'!$B$5))</f>
        <v>0</v>
      </c>
      <c r="FF199" s="102">
        <f>IF('Renewable Diesel'!$BG208&lt;1,0,(((('Renewable Diesel'!$BG208-1)*'Renewable Diesel'!$BF208)*'RD Feedstock Breakdown'!EE199)*'Feedstock Conversion Rates'!$B$6))</f>
        <v>0</v>
      </c>
      <c r="FG199" s="102">
        <f>IF('Renewable Diesel'!$BG208&lt;1,0,(((('Renewable Diesel'!$BG208-1)*'Renewable Diesel'!$BF208)*'RD Feedstock Breakdown'!EF199)*'Feedstock Conversion Rates'!$B$7))</f>
        <v>0</v>
      </c>
      <c r="FH199" s="102">
        <f>IF('Renewable Diesel'!$BG208&lt;1,0,(((('Renewable Diesel'!$BG208-1)*'Renewable Diesel'!$BF208)*'RD Feedstock Breakdown'!EG199)*'Feedstock Conversion Rates'!$B$8))</f>
        <v>0</v>
      </c>
      <c r="FI199" s="102">
        <f>IF('Renewable Diesel'!$BG208&lt;1,0,(((('Renewable Diesel'!$BG208-1)*'Renewable Diesel'!$BF208)*'RD Feedstock Breakdown'!EH199)*'Feedstock Conversion Rates'!$B$9))</f>
        <v>0</v>
      </c>
      <c r="FJ199" s="102">
        <f t="shared" si="126"/>
        <v>0</v>
      </c>
      <c r="FL199" s="3">
        <f>('Renewable Diesel'!AX208/12*$FO$80)*'RD Feedstock Breakdown'!EC199*7.5</f>
        <v>1418.4313544801591</v>
      </c>
      <c r="FM199" s="3">
        <f t="shared" si="96"/>
        <v>352.85529565339334</v>
      </c>
      <c r="FR199" s="3">
        <f>('Renewable Diesel'!AX208-'Renewable Diesel'!BI208)/12*$FO$80</f>
        <v>52.61587500000001</v>
      </c>
      <c r="FS199" s="100">
        <f t="shared" si="97"/>
        <v>0.48827235865578211</v>
      </c>
      <c r="FT199" s="3">
        <f t="shared" si="98"/>
        <v>192.68158041740853</v>
      </c>
      <c r="FY199" s="3">
        <f>'Renewable Diesel'!BF208*('Renewable Diesel'!BI208/'Renewable Diesel'!AX208)</f>
        <v>251.45168523228455</v>
      </c>
      <c r="FZ199" s="3">
        <f>('Renewable Diesel'!BJ208*'Renewable Diesel'!BG208)/12</f>
        <v>38.783129748342994</v>
      </c>
      <c r="GA199" s="3">
        <f t="shared" si="105"/>
        <v>142.02547678707498</v>
      </c>
      <c r="GD199" s="91">
        <f>'Renewable Diesel'!BB208*0.32</f>
        <v>0</v>
      </c>
      <c r="GE199" s="91">
        <f>'Renewable Diesel'!BC208</f>
        <v>83.355933002837475</v>
      </c>
      <c r="GF199" s="91">
        <f>'Renewable Diesel'!BD208</f>
        <v>0</v>
      </c>
      <c r="GG199" s="91">
        <f t="shared" si="109"/>
        <v>83.355933002837475</v>
      </c>
      <c r="GH199" s="124">
        <v>1</v>
      </c>
      <c r="GI199" s="102">
        <f>$GG199*EA199*'Feedstock Conversion Rates'!$B$2</f>
        <v>1.8322857676964186</v>
      </c>
      <c r="GJ199" s="102">
        <f>$GG199*EB199*'Feedstock Conversion Rates'!$B$3</f>
        <v>165.54658389876641</v>
      </c>
      <c r="GK199" s="102">
        <f>$GG199*EC199*'Feedstock Conversion Rates'!$B$4</f>
        <v>305.25298511436603</v>
      </c>
      <c r="GL199" s="102">
        <f>$GG199*ED199*'Feedstock Conversion Rates'!$B$5</f>
        <v>49.799552894671798</v>
      </c>
      <c r="GM199" s="102">
        <f>$GG199*EE199*'Feedstock Conversion Rates'!$B$6</f>
        <v>76.536381133615208</v>
      </c>
      <c r="GN199" s="102">
        <f>$GG199*EF199*'Feedstock Conversion Rates'!$B$7</f>
        <v>55.559653933948191</v>
      </c>
      <c r="GO199" s="102">
        <f>$GG199*EG199*'Feedstock Conversion Rates'!$B$8</f>
        <v>8.5712883766835173</v>
      </c>
      <c r="GP199" s="102">
        <f>$GG199*EH199*'Feedstock Conversion Rates'!B$9</f>
        <v>0.58851806065839041</v>
      </c>
      <c r="GQ199" s="102">
        <f t="shared" si="87"/>
        <v>663.68724918040596</v>
      </c>
      <c r="GR199" s="85">
        <f t="shared" si="107"/>
        <v>7.9620877035569109</v>
      </c>
      <c r="GT199" s="103">
        <f t="shared" si="159"/>
        <v>2.7607668671639036E-3</v>
      </c>
      <c r="GU199" s="103">
        <f t="shared" si="159"/>
        <v>0.24943463069872376</v>
      </c>
      <c r="GV199" s="103">
        <f t="shared" si="159"/>
        <v>0.45993498517762088</v>
      </c>
      <c r="GW199" s="103">
        <f t="shared" si="159"/>
        <v>7.5034668748224051E-2</v>
      </c>
      <c r="GX199" s="103">
        <f t="shared" si="158"/>
        <v>0.11531995111873965</v>
      </c>
      <c r="GY199" s="103">
        <f t="shared" si="158"/>
        <v>8.3713607580316429E-2</v>
      </c>
      <c r="GZ199" s="103">
        <f t="shared" si="158"/>
        <v>1.2914649765033584E-2</v>
      </c>
      <c r="HA199" s="103">
        <f t="shared" si="158"/>
        <v>8.867400441776713E-4</v>
      </c>
    </row>
    <row r="200" spans="1:209" x14ac:dyDescent="0.25">
      <c r="A200" s="96">
        <v>46508</v>
      </c>
      <c r="B200" s="104">
        <f t="shared" si="156"/>
        <v>140</v>
      </c>
      <c r="C200" s="104">
        <f t="shared" si="147"/>
        <v>0</v>
      </c>
      <c r="D200" s="104">
        <f t="shared" si="95"/>
        <v>1.5</v>
      </c>
      <c r="E200" s="104">
        <f>('Renewable Diesel'!B209*E$3*'Feedstock Conversion Rates'!$B$2)/12-40+1.25+6-43+30-15+12.5-4+1.5+26+2.5+3-10+50+9-15-25-55+15+45+10-50+60-60-44</f>
        <v>0.67999999999999261</v>
      </c>
      <c r="F200" s="104">
        <f>('Renewable Diesel'!B209*'RD Feedstock Breakdown'!F$3*'Feedstock Conversion Rates'!B$8)/12+28.5-49-5+2-6+1+6+20-20-3.75+10+2.5+5-20-20</f>
        <v>5.15625</v>
      </c>
      <c r="G200" s="104">
        <f>('Renewable Diesel'!B209*'RD Feedstock Breakdown'!G$3*'Feedstock Conversion Rates'!B$7)/12-25-15-25+4+4-20-40-20+10-17.5+20+50-12+32.5+35-75-75+22.5+5-20+15+125-10-45-10-40-40</f>
        <v>9.6570000000000107</v>
      </c>
      <c r="H200" s="104">
        <f>('Renewable Diesel'!B209*'RD Feedstock Breakdown'!H$3*'Feedstock Conversion Rates'!B$3)/12-85+4-15+70-65-80+50-22.5-5+25+27.5+15+50+15-10+5+50+75-5-25-85-12.5+30+22.5-25-30+150+90-120+25+10+70+20+44-100</f>
        <v>339.40022499999998</v>
      </c>
      <c r="I200" s="106">
        <f t="shared" si="106"/>
        <v>496.39347499999997</v>
      </c>
      <c r="J200" s="104">
        <f t="shared" si="160"/>
        <v>28.5</v>
      </c>
      <c r="K200" s="104">
        <f>50+15+20-80</f>
        <v>5</v>
      </c>
      <c r="L200" s="104">
        <v>1</v>
      </c>
      <c r="M200" s="104">
        <f>('Renewable Diesel'!C209*'RD Feedstock Breakdown'!M$3*'Feedstock Conversion Rates'!B$2)/12</f>
        <v>7.7902500000000003</v>
      </c>
      <c r="N200" s="104">
        <f>('Renewable Diesel'!C209*'RD Feedstock Breakdown'!N$3*'Feedstock Conversion Rates'!B$8)/12</f>
        <v>3.671875</v>
      </c>
      <c r="O200" s="104">
        <f>('Renewable Diesel'!C209*'RD Feedstock Breakdown'!O$3*'Feedstock Conversion Rates'!B$7)/12</f>
        <v>11.9991</v>
      </c>
      <c r="P200" s="104">
        <f>('Renewable Diesel'!C209*'RD Feedstock Breakdown'!P$3*'Feedstock Conversion Rates'!B$3)/12</f>
        <v>10.4470425</v>
      </c>
      <c r="Q200" s="106">
        <f t="shared" si="119"/>
        <v>68.408267499999994</v>
      </c>
      <c r="R200" s="104">
        <f>('Renewable Diesel'!D209*'RD Feedstock Breakdown'!R$3*'Feedstock Conversion Rates'!B$7)/12</f>
        <v>2.2999999999999998</v>
      </c>
      <c r="S200" s="106">
        <f t="shared" si="148"/>
        <v>2.2999999999999998</v>
      </c>
      <c r="T200" s="104">
        <f t="shared" si="154"/>
        <v>10.824999999999999</v>
      </c>
      <c r="U200" s="104">
        <v>0</v>
      </c>
      <c r="V200" s="104">
        <f>('Renewable Diesel'!E209*'RD Feedstock Breakdown'!V$3*'Feedstock Conversion Rates'!B$6)/12-20+25-10</f>
        <v>39.250150000000012</v>
      </c>
      <c r="W200" s="104">
        <f>('Renewable Diesel'!E209*'RD Feedstock Breakdown'!W$3*'Feedstock Conversion Rates'!B$8)/12-5.825</f>
        <v>16.354687500000001</v>
      </c>
      <c r="X200" s="106">
        <f t="shared" si="88"/>
        <v>66.429837500000005</v>
      </c>
      <c r="Y200" s="104">
        <f t="shared" si="155"/>
        <v>36</v>
      </c>
      <c r="Z200" s="104">
        <f>('Renewable Diesel'!F209*'RD Feedstock Breakdown'!Z$3*'Feedstock Conversion Rates'!B$6)/12-50-32-60+15+30+22.5-22.5-15+40-16+3+50</f>
        <v>124.46000000000001</v>
      </c>
      <c r="AA200" s="104">
        <f>('Renewable Diesel'!F209*'RD Feedstock Breakdown'!AA$3*'Feedstock Conversion Rates'!B$7)/12+80-171+75+30+40-55</f>
        <v>103.26666666666665</v>
      </c>
      <c r="AB200" s="106">
        <f t="shared" si="137"/>
        <v>263.72666666666669</v>
      </c>
      <c r="AC200" s="104">
        <f>('Renewable Diesel'!G209*'RD Feedstock Breakdown'!AC$3*'Feedstock Conversion Rates'!B$5)/12</f>
        <v>11.796875</v>
      </c>
      <c r="AD200" s="104">
        <f>('Renewable Diesel'!G209*'RD Feedstock Breakdown'!AD$3*'Feedstock Conversion Rates'!B$4)/12</f>
        <v>5.859375</v>
      </c>
      <c r="AE200" s="104">
        <f>('Renewable Diesel'!G209*'RD Feedstock Breakdown'!AE$3*'Feedstock Conversion Rates'!B$6)/12</f>
        <v>7.3281250000000009</v>
      </c>
      <c r="AF200" s="106">
        <f t="shared" si="101"/>
        <v>24.984375</v>
      </c>
      <c r="AG200" s="104">
        <f t="shared" si="149"/>
        <v>139</v>
      </c>
      <c r="AH200" s="104">
        <v>0</v>
      </c>
      <c r="AI200" s="104">
        <f>('Renewable Diesel'!H209*'RD Feedstock Breakdown'!AI$3*'Feedstock Conversion Rates'!B$6)/12-130-20+51-120+100-40+20</f>
        <v>9.5166666666666799</v>
      </c>
      <c r="AJ200" s="106">
        <f t="shared" si="145"/>
        <v>148.51666666666668</v>
      </c>
      <c r="AK200" s="104">
        <f>('Renewable Diesel'!J209*'RD Feedstock Breakdown'!AK$3*'Feedstock Conversion Rates'!B$4)/12</f>
        <v>95.8125</v>
      </c>
      <c r="AL200" s="106">
        <f t="shared" si="157"/>
        <v>95.8125</v>
      </c>
      <c r="AM200" s="104">
        <f>('Renewable Diesel'!K209*'RD Feedstock Breakdown'!AM$3*'Feedstock Conversion Rates'!B$4)/12+5+15-10+4+5-30</f>
        <v>47.59375</v>
      </c>
      <c r="AN200" s="104">
        <f>('Renewable Diesel'!K209*'RD Feedstock Breakdown'!AN$3*'Feedstock Conversion Rates'!B$6)/12-5-15+10-4-5+30</f>
        <v>35.427083333333329</v>
      </c>
      <c r="AO200" s="106">
        <f t="shared" si="81"/>
        <v>83.020833333333329</v>
      </c>
      <c r="AP200" s="104">
        <f>('Renewable Diesel'!L209*'RD Feedstock Breakdown'!AP$3*'Feedstock Conversion Rates'!B$4)/12+15-10+7.5+7</f>
        <v>78.09375</v>
      </c>
      <c r="AQ200" s="104">
        <f>('Renewable Diesel'!L209*'RD Feedstock Breakdown'!AQ$3*'Feedstock Conversion Rates'!B$6)/12-15+10-7.5-7</f>
        <v>4.9270833333333321</v>
      </c>
      <c r="AR200" s="106">
        <f t="shared" si="70"/>
        <v>83.020833333333329</v>
      </c>
      <c r="AS200" s="104">
        <f>('Renewable Diesel'!M209*'RD Feedstock Breakdown'!AS$3*'Feedstock Conversion Rates'!B$4)/12-100</f>
        <v>356.25</v>
      </c>
      <c r="AT200" s="104">
        <f>('Renewable Diesel'!M209*'RD Feedstock Breakdown'!AT$3*'Feedstock Conversion Rates'!B$5)/12+100</f>
        <v>100</v>
      </c>
      <c r="AU200" s="106">
        <f t="shared" si="104"/>
        <v>456.25</v>
      </c>
      <c r="AV200" s="104">
        <f>'Renewable Diesel'!N209*'RD Feedstock Breakdown'!$AV$3*'Feedstock Conversion Rates'!$B$4/12-15-10+25+25-22-7.5</f>
        <v>74.249999999999986</v>
      </c>
      <c r="AW200" s="104">
        <f>'Renewable Diesel'!N209*'RD Feedstock Breakdown'!$AW$3*'Feedstock Conversion Rates'!$B$7/12+15+10-25-25+22+7.5</f>
        <v>45.900000000000006</v>
      </c>
      <c r="AX200" s="106">
        <f t="shared" si="141"/>
        <v>120.14999999999999</v>
      </c>
      <c r="AY200" s="104">
        <f>('Renewable Diesel'!O209*'RD Feedstock Breakdown'!AY$3*'Feedstock Conversion Rates'!B$4)/12+32+2-135-247</f>
        <v>-137.0625</v>
      </c>
      <c r="AZ200" s="104">
        <f>('Renewable Diesel'!O209*'RD Feedstock Breakdown'!AZ$3*'Feedstock Conversion Rates'!B$3)/12-32-2+135+247</f>
        <v>373.03125</v>
      </c>
      <c r="BA200" s="106">
        <f t="shared" si="120"/>
        <v>235.96875</v>
      </c>
      <c r="BB200" s="104">
        <f>('Renewable Diesel'!Q209*'RD Feedstock Breakdown'!BB$3*'Feedstock Conversion Rates'!B$4)/12</f>
        <v>11.156249999999998</v>
      </c>
      <c r="BC200" s="104">
        <f>('Renewable Diesel'!Q209*'RD Feedstock Breakdown'!BC$3*'Feedstock Conversion Rates'!B$3)/12</f>
        <v>1.4017500000000001</v>
      </c>
      <c r="BD200" s="104">
        <f>('Renewable Diesel'!Q209*'RD Feedstock Breakdown'!BD$3*'Feedstock Conversion Rates'!B$6)/12</f>
        <v>0.8207500000000002</v>
      </c>
      <c r="BE200" s="106">
        <f t="shared" si="90"/>
        <v>13.378749999999998</v>
      </c>
      <c r="BF200" s="104">
        <f>('Renewable Diesel'!R209*'RD Feedstock Breakdown'!BF$3*'Feedstock Conversion Rates'!B$4)/12</f>
        <v>62.5</v>
      </c>
      <c r="BG200" s="106">
        <f t="shared" si="72"/>
        <v>62.5</v>
      </c>
      <c r="BH200" s="104">
        <f>('Renewable Diesel'!T209*'RD Feedstock Breakdown'!BH$3*'Feedstock Conversion Rates'!B$7)/12</f>
        <v>27.599999999999998</v>
      </c>
      <c r="BI200" s="106">
        <f t="shared" si="144"/>
        <v>27.599999999999998</v>
      </c>
      <c r="BJ200" s="104">
        <f>('Renewable Diesel'!W209*'RD Feedstock Breakdown'!BJ$3*'Feedstock Conversion Rates'!B$4)/12</f>
        <v>7.5</v>
      </c>
      <c r="BK200" s="104">
        <f>('Renewable Diesel'!W209*'RD Feedstock Breakdown'!BK$3*'Feedstock Conversion Rates'!B$3)/12</f>
        <v>1.335</v>
      </c>
      <c r="BL200" s="104">
        <f>('Renewable Diesel'!W209*'RD Feedstock Breakdown'!BL$3*'Feedstock Conversion Rates'!B$6)/12</f>
        <v>3.1266666666666669</v>
      </c>
      <c r="BM200" s="104">
        <f>('Renewable Diesel'!W209*'RD Feedstock Breakdown'!BM$3*'Feedstock Conversion Rates'!B$7)/12</f>
        <v>1.5333333333333332</v>
      </c>
      <c r="BN200" s="106">
        <f t="shared" si="112"/>
        <v>13.495000000000001</v>
      </c>
      <c r="BO200" s="104">
        <f>('Renewable Diesel'!P209*'Feedstock Conversion Rates'!B$4)/12</f>
        <v>31.25</v>
      </c>
      <c r="BP200" s="106">
        <f t="shared" si="102"/>
        <v>31.25</v>
      </c>
      <c r="BQ200" s="104">
        <f>('Renewable Diesel'!$S209*'RD Feedstock Breakdown'!BQ$3*'Feedstock Conversion Rates'!B$4)/12+10</f>
        <v>38.125</v>
      </c>
      <c r="BR200" s="104">
        <f>('Renewable Diesel'!$S209*'RD Feedstock Breakdown'!BR$3*'Feedstock Conversion Rates'!B$7)/12-10</f>
        <v>1.5</v>
      </c>
      <c r="BS200" s="106">
        <f t="shared" si="123"/>
        <v>39.625</v>
      </c>
      <c r="BT200" s="106"/>
      <c r="BU200" s="104">
        <f>('Renewable Diesel'!Y209*'Feedstock Conversion Rates'!B$7)/12</f>
        <v>2.6833333333333331</v>
      </c>
      <c r="BV200" s="106">
        <f t="shared" si="93"/>
        <v>2.6833333333333331</v>
      </c>
      <c r="BW200" s="104">
        <f>('Renewable Diesel'!$Z209*'RD Feedstock Breakdown'!BW$3*'Feedstock Conversion Rates'!$B$4)/12</f>
        <v>35.9375</v>
      </c>
      <c r="BX200" s="104">
        <f>('Renewable Diesel'!$Z209*'RD Feedstock Breakdown'!BX$3*'Feedstock Conversion Rates'!$B$5)/12</f>
        <v>3.6177083333333333</v>
      </c>
      <c r="BY200" s="104">
        <f>('Renewable Diesel'!$Z209*'RD Feedstock Breakdown'!BY$3*'Feedstock Conversion Rates'!$B$7)/12</f>
        <v>30.858333333333331</v>
      </c>
      <c r="BZ200" s="104">
        <f>('Renewable Diesel'!$Z209*'RD Feedstock Breakdown'!BZ$3*'Feedstock Conversion Rates'!$B$3)/12</f>
        <v>7.6762499999999996</v>
      </c>
      <c r="CA200" s="106">
        <f t="shared" si="127"/>
        <v>78.089791666666656</v>
      </c>
      <c r="CB200" s="104">
        <f>('Renewable Diesel'!AA209*'Feedstock Conversion Rates'!B$4)/12</f>
        <v>191.25</v>
      </c>
      <c r="CC200" s="106">
        <f t="shared" si="113"/>
        <v>191.25</v>
      </c>
      <c r="CD200" s="104">
        <f>('Renewable Diesel'!$AB209*'RD Feedstock Breakdown'!CD$3*'Feedstock Conversion Rates'!$B$6)/12-15</f>
        <v>17.830000000000005</v>
      </c>
      <c r="CE200" s="104">
        <f>('Renewable Diesel'!$AB209*'RD Feedstock Breakdown'!CE$3*'Feedstock Conversion Rates'!$B$4)/12+15</f>
        <v>26.25</v>
      </c>
      <c r="CF200" s="106">
        <f t="shared" si="108"/>
        <v>44.080000000000005</v>
      </c>
      <c r="CG200" s="104">
        <f>('Renewable Diesel'!AD209*'Feedstock Conversion Rates'!B$4)/12</f>
        <v>112.5</v>
      </c>
      <c r="CH200" s="106">
        <f t="shared" si="89"/>
        <v>112.5</v>
      </c>
      <c r="CI200" s="104">
        <f>('Renewable Diesel'!$AE209*'RD Feedstock Breakdown'!CI$3*'Feedstock Conversion Rates'!$B$5)/12</f>
        <v>0.34604166666666664</v>
      </c>
      <c r="CJ200" s="104">
        <f>('Renewable Diesel'!$AE209*'RD Feedstock Breakdown'!CJ$3*'Feedstock Conversion Rates'!$B$4)/12</f>
        <v>0.34375</v>
      </c>
      <c r="CK200" s="106">
        <f t="shared" si="103"/>
        <v>0.68979166666666658</v>
      </c>
      <c r="CL200" s="104">
        <f>(((CL$3*'Renewable Diesel'!$AF209)*'Feedstock Conversion Rates'!$B$3)/12)-35</f>
        <v>56.78125</v>
      </c>
      <c r="CM200" s="104">
        <f>(((CM$3*'Renewable Diesel'!$AF209)*'Feedstock Conversion Rates'!$B$6)/12)-32.5+35</f>
        <v>56.239583333333336</v>
      </c>
      <c r="CN200" s="104">
        <f>(((CN$3*'Renewable Diesel'!$AF209)*'Feedstock Conversion Rates'!$B$4)/12)+45-13</f>
        <v>74.96875</v>
      </c>
      <c r="CO200" s="106">
        <f t="shared" si="91"/>
        <v>187.98958333333334</v>
      </c>
      <c r="CP200" s="104">
        <f>('Renewable Diesel'!$AG209*'RD Feedstock Breakdown'!CP$3*'Feedstock Conversion Rates'!$B$3)/12</f>
        <v>6.0075000000000003</v>
      </c>
      <c r="CQ200" s="104">
        <f>('Renewable Diesel'!$AG209*'RD Feedstock Breakdown'!CQ$3*'Feedstock Conversion Rates'!$B$6)/12</f>
        <v>3.5175000000000001</v>
      </c>
      <c r="CR200" s="104">
        <f>('Renewable Diesel'!$AG209*'RD Feedstock Breakdown'!CR$3*'Feedstock Conversion Rates'!$B$4)/12</f>
        <v>2.8125</v>
      </c>
      <c r="CS200" s="106">
        <f t="shared" si="134"/>
        <v>12.3375</v>
      </c>
      <c r="CT200" s="104">
        <f>('Renewable Diesel'!AI209*'Feedstock Conversion Rates'!$B$4*'RD Feedstock Breakdown'!$CT$3)/12</f>
        <v>29.375</v>
      </c>
      <c r="CU200" s="106">
        <f t="shared" si="99"/>
        <v>29.375</v>
      </c>
      <c r="CV200" s="104">
        <f>('Renewable Diesel'!AN209*'Feedstock Conversion Rates'!$B$3*'RD Feedstock Breakdown'!$CV$3)/12</f>
        <v>0.50062499999999999</v>
      </c>
      <c r="CW200" s="106">
        <f t="shared" si="161"/>
        <v>0.50062499999999999</v>
      </c>
      <c r="CX200" s="104">
        <f>('Renewable Diesel'!AO209*'RD Feedstock Breakdown'!$CX$3*'Feedstock Conversion Rates'!$B$3)/12</f>
        <v>6.3412499999999996</v>
      </c>
      <c r="CY200" s="104">
        <f>('Renewable Diesel'!AO209*'RD Feedstock Breakdown'!$CY$3*'Feedstock Conversion Rates'!$B$6)/12</f>
        <v>7.4258333333333342</v>
      </c>
      <c r="CZ200" s="106">
        <f t="shared" si="135"/>
        <v>13.767083333333334</v>
      </c>
      <c r="DA200" s="106"/>
      <c r="DB200" s="106"/>
      <c r="DC200" s="106"/>
      <c r="DD200" s="106"/>
      <c r="DE200" s="106"/>
      <c r="DF200" s="104">
        <f>('Renewable Diesel'!AR209*'Feedstock Conversion Rates'!$B$4*$DF$3)/12</f>
        <v>75</v>
      </c>
      <c r="DG200" s="106">
        <f t="shared" si="136"/>
        <v>75</v>
      </c>
      <c r="DH200" s="104">
        <f>('Renewable Diesel'!AS209*'Feedstock Conversion Rates'!$B$4*$DH$3)/12</f>
        <v>75</v>
      </c>
      <c r="DI200" s="106">
        <f t="shared" si="142"/>
        <v>75</v>
      </c>
      <c r="DJ200" s="104">
        <f>('Renewable Diesel'!AT209*'Feedstock Conversion Rates'!$B$4*0.25)/12</f>
        <v>8.59375</v>
      </c>
      <c r="DK200" s="104">
        <f>('Renewable Diesel'!$AT209*'RD Feedstock Breakdown'!DK$3*'Feedstock Conversion Rates'!$B$3)/12*0.5</f>
        <v>9.1781249999999996</v>
      </c>
      <c r="DL200" s="104">
        <f>('Renewable Diesel'!$AT209*'RD Feedstock Breakdown'!$DL$3*'Feedstock Conversion Rates'!$B$6)/12</f>
        <v>10.747916666666669</v>
      </c>
      <c r="DM200" s="104">
        <f>('Renewable Diesel'!$AT209*'RD Feedstock Breakdown'!$DM$3*'Feedstock Conversion Rates'!$B$8)/12</f>
        <v>10.7421875</v>
      </c>
      <c r="DN200" s="106">
        <f t="shared" si="110"/>
        <v>39.26197916666667</v>
      </c>
      <c r="DP200" s="104">
        <f t="shared" si="73"/>
        <v>8.470249999999993</v>
      </c>
      <c r="DQ200" s="104">
        <f t="shared" si="74"/>
        <v>812.10026750000009</v>
      </c>
      <c r="DR200" s="104">
        <f t="shared" si="82"/>
        <v>1499.265625</v>
      </c>
      <c r="DS200" s="104">
        <f t="shared" si="100"/>
        <v>279.17937499999999</v>
      </c>
      <c r="DT200" s="104">
        <f t="shared" si="75"/>
        <v>320.61735833333341</v>
      </c>
      <c r="DU200" s="104">
        <f t="shared" si="76"/>
        <v>237.29776666666666</v>
      </c>
      <c r="DV200" s="104">
        <f t="shared" si="83"/>
        <v>35.924999999999997</v>
      </c>
      <c r="DW200" s="104">
        <f t="shared" si="77"/>
        <v>2.5</v>
      </c>
      <c r="DX200" s="106">
        <f t="shared" si="78"/>
        <v>3195.3556425000006</v>
      </c>
      <c r="DY200" s="109">
        <f t="shared" si="79"/>
        <v>-1.1368683772161603E-12</v>
      </c>
      <c r="EA200" s="110">
        <f t="shared" si="150"/>
        <v>2.6508003952176637E-3</v>
      </c>
      <c r="EB200" s="110">
        <f t="shared" si="151"/>
        <v>0.25415019746115786</v>
      </c>
      <c r="EC200" s="110">
        <f t="shared" si="152"/>
        <v>0.46920148889185803</v>
      </c>
      <c r="ED200" s="110">
        <f t="shared" si="146"/>
        <v>8.7370360684350626E-2</v>
      </c>
      <c r="EE200" s="110">
        <f t="shared" si="146"/>
        <v>0.10033855201247238</v>
      </c>
      <c r="EF200" s="110">
        <f t="shared" si="146"/>
        <v>7.4263335044924231E-2</v>
      </c>
      <c r="EG200" s="110">
        <f t="shared" si="146"/>
        <v>1.1242879985619627E-2</v>
      </c>
      <c r="EH200" s="111">
        <f t="shared" si="84"/>
        <v>7.8238552439941736E-4</v>
      </c>
      <c r="EI200" s="110">
        <f t="shared" si="85"/>
        <v>0.99921761447560042</v>
      </c>
      <c r="EK200" s="132">
        <f>(EA200*'Renewable Diesel'!BF209*'Feedstock Conversion Rates'!B$2)+FB200</f>
        <v>7.7007224467723709</v>
      </c>
      <c r="EL200" s="132">
        <f>(EB200*'Renewable Diesel'!BF209*'Feedstock Conversion Rates'!B$3)+FC200</f>
        <v>695.75844395628974</v>
      </c>
      <c r="EM200" s="132">
        <f>(EC200*'Renewable Diesel'!BF209*'Feedstock Conversion Rates'!B$4)+FD200</f>
        <v>1202.6968214472158</v>
      </c>
      <c r="EN200" s="132">
        <f>(ED200*'Renewable Diesel'!BF209*'Feedstock Conversion Rates'!B$5)+FE200</f>
        <v>225.44810979639522</v>
      </c>
      <c r="EO200" s="132">
        <f>(EE200*'Renewable Diesel'!BF209*'Feedstock Conversion Rates'!B$6)+FF200</f>
        <v>321.66676103768543</v>
      </c>
      <c r="EP200" s="132">
        <f>(EF200*'Renewable Diesel'!BF209*'Feedstock Conversion Rates'!B$7)+FG200</f>
        <v>233.50586558447125</v>
      </c>
      <c r="EQ200" s="132">
        <f>(EG200*'Renewable Diesel'!BF209*'Feedstock Conversion Rates'!B$8)+FH200</f>
        <v>36.023372534879556</v>
      </c>
      <c r="ER200" s="132">
        <f>(EH200*'Renewable Diesel'!BF209*'Feedstock Conversion Rates'!B$9)+FI200</f>
        <v>2.4734210787112851</v>
      </c>
      <c r="ES200" s="132">
        <f t="shared" si="86"/>
        <v>2725.2735178824209</v>
      </c>
      <c r="ET200" s="133">
        <f>ES200/'Renewable Diesel'!BF209</f>
        <v>7.9739696411351808</v>
      </c>
      <c r="EW200" s="73">
        <f t="shared" si="124"/>
        <v>1428.1449312436112</v>
      </c>
      <c r="EX200" s="73">
        <f t="shared" si="125"/>
        <v>1297.1285866388093</v>
      </c>
      <c r="EY200" s="92">
        <f t="shared" si="71"/>
        <v>0.52403728355064394</v>
      </c>
      <c r="EZ200" s="92">
        <f t="shared" si="71"/>
        <v>0.47596271644935589</v>
      </c>
      <c r="FB200" s="102">
        <f>IF('Renewable Diesel'!$BG209&lt;1,0,(((('Renewable Diesel'!$BG209-1)*'Renewable Diesel'!$BF209)*'RD Feedstock Breakdown'!EA200)*'Feedstock Conversion Rates'!$B$2))</f>
        <v>0</v>
      </c>
      <c r="FC200" s="102">
        <f>IF('Renewable Diesel'!$BG209&lt;1,0,(((('Renewable Diesel'!$BG209-1)*'Renewable Diesel'!$BF209)*'RD Feedstock Breakdown'!EB200)*'Feedstock Conversion Rates'!$B$3))</f>
        <v>0</v>
      </c>
      <c r="FD200" s="102">
        <f>IF('Renewable Diesel'!$BG209&lt;1,0,(((('Renewable Diesel'!$BG209-1)*'Renewable Diesel'!$BF209)*'RD Feedstock Breakdown'!EC200)*'Feedstock Conversion Rates'!$B$4))</f>
        <v>0</v>
      </c>
      <c r="FE200" s="102">
        <f>IF('Renewable Diesel'!$BG209&lt;1,0,(((('Renewable Diesel'!$BG209-1)*'Renewable Diesel'!$BF209)*'RD Feedstock Breakdown'!ED200)*'Feedstock Conversion Rates'!$B$5))</f>
        <v>0</v>
      </c>
      <c r="FF200" s="102">
        <f>IF('Renewable Diesel'!$BG209&lt;1,0,(((('Renewable Diesel'!$BG209-1)*'Renewable Diesel'!$BF209)*'RD Feedstock Breakdown'!EE200)*'Feedstock Conversion Rates'!$B$6))</f>
        <v>0</v>
      </c>
      <c r="FG200" s="102">
        <f>IF('Renewable Diesel'!$BG209&lt;1,0,(((('Renewable Diesel'!$BG209-1)*'Renewable Diesel'!$BF209)*'RD Feedstock Breakdown'!EF200)*'Feedstock Conversion Rates'!$B$7))</f>
        <v>0</v>
      </c>
      <c r="FH200" s="102">
        <f>IF('Renewable Diesel'!$BG209&lt;1,0,(((('Renewable Diesel'!$BG209-1)*'Renewable Diesel'!$BF209)*'RD Feedstock Breakdown'!EG200)*'Feedstock Conversion Rates'!$B$8))</f>
        <v>0</v>
      </c>
      <c r="FI200" s="102">
        <f>IF('Renewable Diesel'!$BG209&lt;1,0,(((('Renewable Diesel'!$BG209-1)*'Renewable Diesel'!$BF209)*'RD Feedstock Breakdown'!EH200)*'Feedstock Conversion Rates'!$B$9))</f>
        <v>0</v>
      </c>
      <c r="FJ200" s="102">
        <f t="shared" si="126"/>
        <v>0</v>
      </c>
      <c r="FL200" s="3">
        <f>('Renewable Diesel'!AX209/12*$FO$80)*'RD Feedstock Breakdown'!EC200*7.5</f>
        <v>1363.0304718563127</v>
      </c>
      <c r="FM200" s="3">
        <f t="shared" si="96"/>
        <v>160.33365040909689</v>
      </c>
      <c r="FR200" s="3">
        <f>('Renewable Diesel'!AX209-'Renewable Diesel'!BI209)/12*$FO$80</f>
        <v>52.61587500000001</v>
      </c>
      <c r="FS200" s="100">
        <f t="shared" si="97"/>
        <v>0.46920148889185803</v>
      </c>
      <c r="FT200" s="3">
        <f t="shared" si="98"/>
        <v>185.15585167010923</v>
      </c>
      <c r="FY200" s="3">
        <f>'Renewable Diesel'!BF209*('Renewable Diesel'!BI209/'Renewable Diesel'!AX209)</f>
        <v>295.34458814006297</v>
      </c>
      <c r="FZ200" s="3">
        <f>('Renewable Diesel'!BJ209*'Renewable Diesel'!BG209)/12</f>
        <v>47.071469763465331</v>
      </c>
      <c r="GA200" s="3">
        <f t="shared" si="105"/>
        <v>165.64502773009505</v>
      </c>
      <c r="GD200" s="91">
        <f>'Renewable Diesel'!BB209*0.32</f>
        <v>0</v>
      </c>
      <c r="GE200" s="91">
        <f>'Renewable Diesel'!BC209</f>
        <v>109.83702955094272</v>
      </c>
      <c r="GF200" s="91">
        <f>'Renewable Diesel'!BD209</f>
        <v>0</v>
      </c>
      <c r="GG200" s="91">
        <f t="shared" si="109"/>
        <v>109.83702955094272</v>
      </c>
      <c r="GH200" s="124">
        <v>1</v>
      </c>
      <c r="GI200" s="102">
        <f>$GG200*EA200*'Feedstock Conversion Rates'!$B$2</f>
        <v>2.4748263514169722</v>
      </c>
      <c r="GJ200" s="102">
        <f>$GG200*EB200*'Feedstock Conversion Rates'!$B$3</f>
        <v>223.59997301884215</v>
      </c>
      <c r="GK200" s="102">
        <f>$GG200*EC200*'Feedstock Conversion Rates'!$B$4</f>
        <v>386.51773350571</v>
      </c>
      <c r="GL200" s="102">
        <f>$GG200*ED200*'Feedstock Conversion Rates'!$B$5</f>
        <v>72.45358170714475</v>
      </c>
      <c r="GM200" s="102">
        <f>$GG200*EE200*'Feedstock Conversion Rates'!$B$6</f>
        <v>103.37593415338183</v>
      </c>
      <c r="GN200" s="102">
        <f>$GG200*EF200*'Feedstock Conversion Rates'!$B$7</f>
        <v>75.043149958104294</v>
      </c>
      <c r="GO200" s="102">
        <f>$GG200*EG200*'Feedstock Conversion Rates'!$B$8</f>
        <v>11.577042573920677</v>
      </c>
      <c r="GP200" s="102">
        <f>$GG200*EH200*'Feedstock Conversion Rates'!B$9</f>
        <v>0.79489784316411971</v>
      </c>
      <c r="GQ200" s="102">
        <f t="shared" si="87"/>
        <v>875.83713911168491</v>
      </c>
      <c r="GR200" s="85">
        <f t="shared" si="107"/>
        <v>7.9739696411351808</v>
      </c>
      <c r="GT200" s="103">
        <f t="shared" si="159"/>
        <v>2.8256695690331846E-3</v>
      </c>
      <c r="GU200" s="103">
        <f t="shared" si="159"/>
        <v>0.25529857439663695</v>
      </c>
      <c r="GV200" s="103">
        <f t="shared" si="159"/>
        <v>0.44131233564465472</v>
      </c>
      <c r="GW200" s="103">
        <f t="shared" si="159"/>
        <v>8.2724947905989207E-2</v>
      </c>
      <c r="GX200" s="103">
        <f t="shared" si="158"/>
        <v>0.11803100089844391</v>
      </c>
      <c r="GY200" s="103">
        <f t="shared" si="158"/>
        <v>8.5681625734912975E-2</v>
      </c>
      <c r="GZ200" s="103">
        <f t="shared" si="158"/>
        <v>1.3218259487902803E-2</v>
      </c>
      <c r="HA200" s="103">
        <f t="shared" si="158"/>
        <v>9.0758636242617256E-4</v>
      </c>
    </row>
    <row r="201" spans="1:209" x14ac:dyDescent="0.25">
      <c r="A201" s="96">
        <v>46539</v>
      </c>
      <c r="B201" s="104">
        <f t="shared" si="156"/>
        <v>140</v>
      </c>
      <c r="C201" s="104">
        <f t="shared" si="147"/>
        <v>0</v>
      </c>
      <c r="D201" s="104">
        <f t="shared" si="95"/>
        <v>1.5</v>
      </c>
      <c r="E201" s="104">
        <f>('Renewable Diesel'!B210*E$3*'Feedstock Conversion Rates'!$B$2)/12-40+1.25+6-43+30-15+12.5-4+1.5+26+2.5+3-10+50+9-15-25-55+15+45+10-50+60-60-44</f>
        <v>0.67999999999999261</v>
      </c>
      <c r="F201" s="104">
        <f>('Renewable Diesel'!B210*'RD Feedstock Breakdown'!F$3*'Feedstock Conversion Rates'!B$8)/12+28.5-49-5+2-6+1+6+20-20-3.75+10+2.5+5-20-20</f>
        <v>5.15625</v>
      </c>
      <c r="G201" s="104">
        <f>('Renewable Diesel'!B210*'RD Feedstock Breakdown'!G$3*'Feedstock Conversion Rates'!B$7)/12-25-15-25+4+4-20-40-20+10-17.5+20+50-12+32.5+35-75-75+22.5+5-20+15+125-10-45-10-40-40</f>
        <v>9.6570000000000107</v>
      </c>
      <c r="H201" s="104">
        <f>('Renewable Diesel'!B210*'RD Feedstock Breakdown'!H$3*'Feedstock Conversion Rates'!B$3)/12-85+4-15+70-65-80+50-22.5-5+25+27.5+15+50+15-10+5+50+75-5-25-85-12.5+30+22.5-25-30+150+90-120+25+10+70+20+44-100</f>
        <v>339.40022499999998</v>
      </c>
      <c r="I201" s="106">
        <f t="shared" si="106"/>
        <v>496.39347499999997</v>
      </c>
      <c r="J201" s="104">
        <f t="shared" si="160"/>
        <v>28.5</v>
      </c>
      <c r="K201" s="104">
        <f>50+15+20-80</f>
        <v>5</v>
      </c>
      <c r="L201" s="104">
        <v>1</v>
      </c>
      <c r="M201" s="104">
        <f>('Renewable Diesel'!C210*'RD Feedstock Breakdown'!M$3*'Feedstock Conversion Rates'!B$2)/12</f>
        <v>7.7902500000000003</v>
      </c>
      <c r="N201" s="104">
        <f>('Renewable Diesel'!C210*'RD Feedstock Breakdown'!N$3*'Feedstock Conversion Rates'!B$8)/12</f>
        <v>3.671875</v>
      </c>
      <c r="O201" s="104">
        <f>('Renewable Diesel'!C210*'RD Feedstock Breakdown'!O$3*'Feedstock Conversion Rates'!B$7)/12</f>
        <v>11.9991</v>
      </c>
      <c r="P201" s="104">
        <f>('Renewable Diesel'!C210*'RD Feedstock Breakdown'!P$3*'Feedstock Conversion Rates'!B$3)/12</f>
        <v>10.4470425</v>
      </c>
      <c r="Q201" s="106">
        <f t="shared" si="119"/>
        <v>68.408267499999994</v>
      </c>
      <c r="R201" s="104">
        <f>('Renewable Diesel'!D210*'RD Feedstock Breakdown'!R$3*'Feedstock Conversion Rates'!B$7)/12</f>
        <v>2.2999999999999998</v>
      </c>
      <c r="S201" s="106">
        <f t="shared" si="148"/>
        <v>2.2999999999999998</v>
      </c>
      <c r="T201" s="104">
        <f t="shared" si="154"/>
        <v>10.824999999999999</v>
      </c>
      <c r="U201" s="104">
        <v>0</v>
      </c>
      <c r="V201" s="104">
        <f>('Renewable Diesel'!E210*'RD Feedstock Breakdown'!V$3*'Feedstock Conversion Rates'!B$6)/12-20+25-10</f>
        <v>39.250150000000012</v>
      </c>
      <c r="W201" s="104">
        <f>('Renewable Diesel'!E210*'RD Feedstock Breakdown'!W$3*'Feedstock Conversion Rates'!B$8)/12-5.825</f>
        <v>16.354687500000001</v>
      </c>
      <c r="X201" s="106">
        <f t="shared" si="88"/>
        <v>66.429837500000005</v>
      </c>
      <c r="Y201" s="104">
        <f t="shared" si="155"/>
        <v>36</v>
      </c>
      <c r="Z201" s="104">
        <f>('Renewable Diesel'!F210*'RD Feedstock Breakdown'!Z$3*'Feedstock Conversion Rates'!B$6)/12-50-32-60+15+30+22.5-22.5-15+40-16+3+50</f>
        <v>124.46000000000001</v>
      </c>
      <c r="AA201" s="104">
        <f>('Renewable Diesel'!F210*'RD Feedstock Breakdown'!AA$3*'Feedstock Conversion Rates'!B$7)/12+80-171+75+30+40-55</f>
        <v>103.26666666666665</v>
      </c>
      <c r="AB201" s="106">
        <f t="shared" si="137"/>
        <v>263.72666666666669</v>
      </c>
      <c r="AC201" s="104">
        <f>('Renewable Diesel'!G210*'RD Feedstock Breakdown'!AC$3*'Feedstock Conversion Rates'!B$5)/12</f>
        <v>11.796875</v>
      </c>
      <c r="AD201" s="104">
        <f>('Renewable Diesel'!G210*'RD Feedstock Breakdown'!AD$3*'Feedstock Conversion Rates'!B$4)/12</f>
        <v>5.859375</v>
      </c>
      <c r="AE201" s="104">
        <f>('Renewable Diesel'!G210*'RD Feedstock Breakdown'!AE$3*'Feedstock Conversion Rates'!B$6)/12</f>
        <v>7.3281250000000009</v>
      </c>
      <c r="AF201" s="106">
        <f t="shared" si="101"/>
        <v>24.984375</v>
      </c>
      <c r="AG201" s="104">
        <f t="shared" si="149"/>
        <v>139</v>
      </c>
      <c r="AH201" s="104">
        <v>0</v>
      </c>
      <c r="AI201" s="104">
        <f>('Renewable Diesel'!H210*'RD Feedstock Breakdown'!AI$3*'Feedstock Conversion Rates'!B$6)/12-130-20+51-120+100-40+20</f>
        <v>9.5166666666666799</v>
      </c>
      <c r="AJ201" s="106">
        <f t="shared" si="145"/>
        <v>148.51666666666668</v>
      </c>
      <c r="AK201" s="104">
        <f>('Renewable Diesel'!J210*'RD Feedstock Breakdown'!AK$3*'Feedstock Conversion Rates'!B$4)/12</f>
        <v>95.8125</v>
      </c>
      <c r="AL201" s="106">
        <f t="shared" si="157"/>
        <v>95.8125</v>
      </c>
      <c r="AM201" s="104">
        <f>('Renewable Diesel'!K210*'RD Feedstock Breakdown'!AM$3*'Feedstock Conversion Rates'!B$4)/12+5+15-10+4+5-30</f>
        <v>47.59375</v>
      </c>
      <c r="AN201" s="104">
        <f>('Renewable Diesel'!K210*'RD Feedstock Breakdown'!AN$3*'Feedstock Conversion Rates'!B$6)/12-5-15+10-4-5+30</f>
        <v>35.427083333333329</v>
      </c>
      <c r="AO201" s="106">
        <f t="shared" si="81"/>
        <v>83.020833333333329</v>
      </c>
      <c r="AP201" s="104">
        <f>('Renewable Diesel'!L210*'RD Feedstock Breakdown'!AP$3*'Feedstock Conversion Rates'!B$4)/12+15-10+7.5+7</f>
        <v>78.09375</v>
      </c>
      <c r="AQ201" s="104">
        <f>('Renewable Diesel'!L210*'RD Feedstock Breakdown'!AQ$3*'Feedstock Conversion Rates'!B$6)/12-15+10-7.5-7</f>
        <v>4.9270833333333321</v>
      </c>
      <c r="AR201" s="106">
        <f t="shared" ref="AR201:AR264" si="162">SUM(AP201:AQ201)</f>
        <v>83.020833333333329</v>
      </c>
      <c r="AS201" s="104">
        <f>('Renewable Diesel'!M210*'RD Feedstock Breakdown'!AS$3*'Feedstock Conversion Rates'!B$4)/12-100</f>
        <v>356.25</v>
      </c>
      <c r="AT201" s="104">
        <f>('Renewable Diesel'!M210*'RD Feedstock Breakdown'!AT$3*'Feedstock Conversion Rates'!B$5)/12+100</f>
        <v>100</v>
      </c>
      <c r="AU201" s="106">
        <f t="shared" si="104"/>
        <v>456.25</v>
      </c>
      <c r="AV201" s="104">
        <f>'Renewable Diesel'!N210*'RD Feedstock Breakdown'!$AV$3*'Feedstock Conversion Rates'!$B$4/12-15-10+25+25-22-7.5</f>
        <v>74.249999999999986</v>
      </c>
      <c r="AW201" s="104">
        <f>'Renewable Diesel'!N210*'RD Feedstock Breakdown'!$AW$3*'Feedstock Conversion Rates'!$B$7/12+15+10-25-25+22+7.5</f>
        <v>45.900000000000006</v>
      </c>
      <c r="AX201" s="106">
        <f t="shared" si="141"/>
        <v>120.14999999999999</v>
      </c>
      <c r="AY201" s="104">
        <f>('Renewable Diesel'!O210*'RD Feedstock Breakdown'!AY$3*'Feedstock Conversion Rates'!B$4)/12+32+2-135-247</f>
        <v>-137.0625</v>
      </c>
      <c r="AZ201" s="104">
        <f>('Renewable Diesel'!O210*'RD Feedstock Breakdown'!AZ$3*'Feedstock Conversion Rates'!B$3)/12-32-2+135+247</f>
        <v>373.03125</v>
      </c>
      <c r="BA201" s="106">
        <f t="shared" si="120"/>
        <v>235.96875</v>
      </c>
      <c r="BB201" s="104">
        <f>('Renewable Diesel'!Q210*'RD Feedstock Breakdown'!BB$3*'Feedstock Conversion Rates'!B$4)/12</f>
        <v>11.156249999999998</v>
      </c>
      <c r="BC201" s="104">
        <f>('Renewable Diesel'!Q210*'RD Feedstock Breakdown'!BC$3*'Feedstock Conversion Rates'!B$3)/12</f>
        <v>1.4017500000000001</v>
      </c>
      <c r="BD201" s="104">
        <f>('Renewable Diesel'!Q210*'RD Feedstock Breakdown'!BD$3*'Feedstock Conversion Rates'!B$6)/12</f>
        <v>0.8207500000000002</v>
      </c>
      <c r="BE201" s="106">
        <f t="shared" si="90"/>
        <v>13.378749999999998</v>
      </c>
      <c r="BF201" s="104">
        <f>('Renewable Diesel'!R210*'RD Feedstock Breakdown'!BF$3*'Feedstock Conversion Rates'!B$4)/12</f>
        <v>62.5</v>
      </c>
      <c r="BG201" s="106">
        <f t="shared" si="72"/>
        <v>62.5</v>
      </c>
      <c r="BH201" s="104">
        <f>('Renewable Diesel'!T210*'RD Feedstock Breakdown'!BH$3*'Feedstock Conversion Rates'!B$7)/12</f>
        <v>27.599999999999998</v>
      </c>
      <c r="BI201" s="106">
        <f t="shared" si="144"/>
        <v>27.599999999999998</v>
      </c>
      <c r="BJ201" s="104">
        <f>('Renewable Diesel'!W210*'RD Feedstock Breakdown'!BJ$3*'Feedstock Conversion Rates'!B$4)/12</f>
        <v>7.5</v>
      </c>
      <c r="BK201" s="104">
        <f>('Renewable Diesel'!W210*'RD Feedstock Breakdown'!BK$3*'Feedstock Conversion Rates'!B$3)/12</f>
        <v>1.335</v>
      </c>
      <c r="BL201" s="104">
        <f>('Renewable Diesel'!W210*'RD Feedstock Breakdown'!BL$3*'Feedstock Conversion Rates'!B$6)/12</f>
        <v>3.1266666666666669</v>
      </c>
      <c r="BM201" s="104">
        <f>('Renewable Diesel'!W210*'RD Feedstock Breakdown'!BM$3*'Feedstock Conversion Rates'!B$7)/12</f>
        <v>1.5333333333333332</v>
      </c>
      <c r="BN201" s="106">
        <f t="shared" si="112"/>
        <v>13.495000000000001</v>
      </c>
      <c r="BO201" s="104">
        <f>('Renewable Diesel'!P210*'Feedstock Conversion Rates'!B$4)/12</f>
        <v>31.25</v>
      </c>
      <c r="BP201" s="106">
        <f t="shared" si="102"/>
        <v>31.25</v>
      </c>
      <c r="BQ201" s="104">
        <f>('Renewable Diesel'!$S210*'RD Feedstock Breakdown'!BQ$3*'Feedstock Conversion Rates'!B$4)/12+10</f>
        <v>38.125</v>
      </c>
      <c r="BR201" s="104">
        <f>('Renewable Diesel'!$S210*'RD Feedstock Breakdown'!BR$3*'Feedstock Conversion Rates'!B$7)/12-10</f>
        <v>1.5</v>
      </c>
      <c r="BS201" s="106">
        <f t="shared" si="123"/>
        <v>39.625</v>
      </c>
      <c r="BT201" s="106"/>
      <c r="BU201" s="104">
        <f>('Renewable Diesel'!Y210*'Feedstock Conversion Rates'!B$7)/12</f>
        <v>2.6833333333333331</v>
      </c>
      <c r="BV201" s="106">
        <f t="shared" si="93"/>
        <v>2.6833333333333331</v>
      </c>
      <c r="BW201" s="104">
        <f>('Renewable Diesel'!$Z210*'RD Feedstock Breakdown'!BW$3*'Feedstock Conversion Rates'!$B$4)/12</f>
        <v>35.9375</v>
      </c>
      <c r="BX201" s="104">
        <f>('Renewable Diesel'!$Z210*'RD Feedstock Breakdown'!BX$3*'Feedstock Conversion Rates'!$B$5)/12</f>
        <v>3.6177083333333333</v>
      </c>
      <c r="BY201" s="104">
        <f>('Renewable Diesel'!$Z210*'RD Feedstock Breakdown'!BY$3*'Feedstock Conversion Rates'!$B$7)/12</f>
        <v>30.858333333333331</v>
      </c>
      <c r="BZ201" s="104">
        <f>('Renewable Diesel'!$Z210*'RD Feedstock Breakdown'!BZ$3*'Feedstock Conversion Rates'!$B$3)/12</f>
        <v>7.6762499999999996</v>
      </c>
      <c r="CA201" s="106">
        <f t="shared" si="127"/>
        <v>78.089791666666656</v>
      </c>
      <c r="CB201" s="104">
        <f>('Renewable Diesel'!AA210*'Feedstock Conversion Rates'!B$4)/12</f>
        <v>191.25</v>
      </c>
      <c r="CC201" s="106">
        <f t="shared" si="113"/>
        <v>191.25</v>
      </c>
      <c r="CD201" s="104">
        <f>('Renewable Diesel'!$AB210*'RD Feedstock Breakdown'!CD$3*'Feedstock Conversion Rates'!$B$6)/12-15</f>
        <v>17.830000000000005</v>
      </c>
      <c r="CE201" s="104">
        <f>('Renewable Diesel'!$AB210*'RD Feedstock Breakdown'!CE$3*'Feedstock Conversion Rates'!$B$4)/12+15</f>
        <v>26.25</v>
      </c>
      <c r="CF201" s="106">
        <f t="shared" si="108"/>
        <v>44.080000000000005</v>
      </c>
      <c r="CG201" s="104">
        <f>('Renewable Diesel'!AD210*'Feedstock Conversion Rates'!B$4)/12</f>
        <v>112.5</v>
      </c>
      <c r="CH201" s="106">
        <f t="shared" si="89"/>
        <v>112.5</v>
      </c>
      <c r="CI201" s="104">
        <f>('Renewable Diesel'!$AE210*'RD Feedstock Breakdown'!CI$3*'Feedstock Conversion Rates'!$B$5)/12</f>
        <v>0.34604166666666664</v>
      </c>
      <c r="CJ201" s="104">
        <f>('Renewable Diesel'!$AE210*'RD Feedstock Breakdown'!CJ$3*'Feedstock Conversion Rates'!$B$4)/12</f>
        <v>0.34375</v>
      </c>
      <c r="CK201" s="106">
        <f t="shared" si="103"/>
        <v>0.68979166666666658</v>
      </c>
      <c r="CL201" s="104">
        <f>(((CL$3*'Renewable Diesel'!$AF210)*'Feedstock Conversion Rates'!$B$3)/12)-35</f>
        <v>56.78125</v>
      </c>
      <c r="CM201" s="104">
        <f>(((CM$3*'Renewable Diesel'!$AF210)*'Feedstock Conversion Rates'!$B$6)/12)-32.5+35</f>
        <v>56.239583333333336</v>
      </c>
      <c r="CN201" s="104">
        <f>(((CN$3*'Renewable Diesel'!$AF210)*'Feedstock Conversion Rates'!$B$4)/12)+45-13</f>
        <v>74.96875</v>
      </c>
      <c r="CO201" s="106">
        <f t="shared" si="91"/>
        <v>187.98958333333334</v>
      </c>
      <c r="CP201" s="104">
        <f>('Renewable Diesel'!$AG210*'RD Feedstock Breakdown'!CP$3*'Feedstock Conversion Rates'!$B$3)/12</f>
        <v>6.0075000000000003</v>
      </c>
      <c r="CQ201" s="104">
        <f>('Renewable Diesel'!$AG210*'RD Feedstock Breakdown'!CQ$3*'Feedstock Conversion Rates'!$B$6)/12</f>
        <v>3.5175000000000001</v>
      </c>
      <c r="CR201" s="104">
        <f>('Renewable Diesel'!$AG210*'RD Feedstock Breakdown'!CR$3*'Feedstock Conversion Rates'!$B$4)/12</f>
        <v>2.8125</v>
      </c>
      <c r="CS201" s="106">
        <f t="shared" si="134"/>
        <v>12.3375</v>
      </c>
      <c r="CT201" s="104">
        <f>('Renewable Diesel'!AI210*'Feedstock Conversion Rates'!$B$4*'RD Feedstock Breakdown'!$CT$3)/12</f>
        <v>29.375</v>
      </c>
      <c r="CU201" s="106">
        <f t="shared" si="99"/>
        <v>29.375</v>
      </c>
      <c r="CV201" s="104">
        <f>('Renewable Diesel'!AN210*'Feedstock Conversion Rates'!$B$3*'RD Feedstock Breakdown'!$CV$3)/12</f>
        <v>0.50062499999999999</v>
      </c>
      <c r="CW201" s="106">
        <f t="shared" si="161"/>
        <v>0.50062499999999999</v>
      </c>
      <c r="CX201" s="104">
        <f>('Renewable Diesel'!AO210*'RD Feedstock Breakdown'!$CX$3*'Feedstock Conversion Rates'!$B$3)/12</f>
        <v>6.3412499999999996</v>
      </c>
      <c r="CY201" s="104">
        <f>('Renewable Diesel'!AO210*'RD Feedstock Breakdown'!$CY$3*'Feedstock Conversion Rates'!$B$6)/12</f>
        <v>7.4258333333333342</v>
      </c>
      <c r="CZ201" s="106">
        <f t="shared" si="135"/>
        <v>13.767083333333334</v>
      </c>
      <c r="DA201" s="104">
        <f>('Renewable Diesel'!$AP210*'RD Feedstock Breakdown'!DA$3*'Feedstock Conversion Rates'!$B$3)/12</f>
        <v>1.66875</v>
      </c>
      <c r="DB201" s="104">
        <f>('Renewable Diesel'!$AP210*'RD Feedstock Breakdown'!DB$3*'Feedstock Conversion Rates'!$B$8)/12</f>
        <v>1.953125</v>
      </c>
      <c r="DC201" s="106">
        <f>SUM(DA201:DB201)</f>
        <v>3.6218750000000002</v>
      </c>
      <c r="DD201" s="104">
        <f>('Renewable Diesel'!AQ210*$DD$3*'Feedstock Conversion Rates'!$B$14)/12</f>
        <v>1.5520833333333333</v>
      </c>
      <c r="DE201" s="106">
        <f>DD201</f>
        <v>1.5520833333333333</v>
      </c>
      <c r="DF201" s="104">
        <f>('Renewable Diesel'!AR210*'Feedstock Conversion Rates'!$B$4*$DF$3)/12</f>
        <v>75</v>
      </c>
      <c r="DG201" s="106">
        <f t="shared" si="136"/>
        <v>75</v>
      </c>
      <c r="DH201" s="104">
        <f>('Renewable Diesel'!AS210*'Feedstock Conversion Rates'!$B$4*$DH$3)/12</f>
        <v>75</v>
      </c>
      <c r="DI201" s="106">
        <f t="shared" si="142"/>
        <v>75</v>
      </c>
      <c r="DJ201" s="104">
        <f>('Renewable Diesel'!AT210*'Feedstock Conversion Rates'!$B$4*0.25)/12</f>
        <v>8.59375</v>
      </c>
      <c r="DK201" s="104">
        <f>('Renewable Diesel'!$AT210*'RD Feedstock Breakdown'!DK$3*'Feedstock Conversion Rates'!$B$3)/12*0.5</f>
        <v>9.1781249999999996</v>
      </c>
      <c r="DL201" s="104">
        <f>('Renewable Diesel'!$AT210*'RD Feedstock Breakdown'!$DL$3*'Feedstock Conversion Rates'!$B$6)/12</f>
        <v>10.747916666666669</v>
      </c>
      <c r="DM201" s="104">
        <f>('Renewable Diesel'!$AT210*'RD Feedstock Breakdown'!$DM$3*'Feedstock Conversion Rates'!$B$8)/12</f>
        <v>10.7421875</v>
      </c>
      <c r="DN201" s="106">
        <f t="shared" si="110"/>
        <v>39.26197916666667</v>
      </c>
      <c r="DP201" s="104">
        <f t="shared" si="73"/>
        <v>8.470249999999993</v>
      </c>
      <c r="DQ201" s="104">
        <f t="shared" si="74"/>
        <v>813.76901750000013</v>
      </c>
      <c r="DR201" s="104">
        <f t="shared" si="82"/>
        <v>1499.265625</v>
      </c>
      <c r="DS201" s="104">
        <f t="shared" si="100"/>
        <v>280.73145833333331</v>
      </c>
      <c r="DT201" s="104">
        <f t="shared" si="75"/>
        <v>322.57048333333341</v>
      </c>
      <c r="DU201" s="104">
        <f t="shared" si="76"/>
        <v>237.29776666666666</v>
      </c>
      <c r="DV201" s="104">
        <f t="shared" si="83"/>
        <v>35.924999999999997</v>
      </c>
      <c r="DW201" s="104">
        <f t="shared" si="77"/>
        <v>2.5</v>
      </c>
      <c r="DX201" s="106">
        <f>SUM(DP201:DW201)</f>
        <v>3200.5296008333335</v>
      </c>
      <c r="DY201" s="109">
        <f t="shared" ref="DY201:DY264" si="163">I201+Q201+S201+X201+AB201+AF201+AJ201+AL201+AO201+AR201+AU201+AX201+BA201+BE201+BG201+BI201+BN201-DX201+BP201+BS201+BV201+CA201+CC201+CF201+CH201+CK201+CO201+CS201+CU201+CW201+CZ201+DN201+DG201+DI201+DE201+DC201</f>
        <v>-6.5192296005989192E-13</v>
      </c>
      <c r="EA201" s="110">
        <f t="shared" si="150"/>
        <v>2.6465151260574387E-3</v>
      </c>
      <c r="EB201" s="110">
        <f t="shared" si="151"/>
        <v>0.25426073775043861</v>
      </c>
      <c r="EC201" s="110">
        <f t="shared" si="152"/>
        <v>0.46844298037725718</v>
      </c>
      <c r="ED201" s="110">
        <f t="shared" si="146"/>
        <v>8.7714064028727695E-2</v>
      </c>
      <c r="EE201" s="110">
        <f t="shared" si="146"/>
        <v>0.10078659583380968</v>
      </c>
      <c r="EF201" s="110">
        <f t="shared" si="146"/>
        <v>7.4143281350961598E-2</v>
      </c>
      <c r="EG201" s="110">
        <f t="shared" si="146"/>
        <v>1.1224704808431104E-2</v>
      </c>
      <c r="EH201" s="111">
        <f t="shared" si="84"/>
        <v>7.8112072431670866E-4</v>
      </c>
      <c r="EI201" s="110">
        <f t="shared" si="85"/>
        <v>0.99921887927568331</v>
      </c>
      <c r="EK201" s="132">
        <f>(EA201*'Renewable Diesel'!BF210*'Feedstock Conversion Rates'!B$2)+FB201</f>
        <v>7.5294667196820022</v>
      </c>
      <c r="EL201" s="132">
        <f>(EB201*'Renewable Diesel'!BF210*'Feedstock Conversion Rates'!B$3)+FC201</f>
        <v>681.68341924131494</v>
      </c>
      <c r="EM201" s="132">
        <f>(EC201*'Renewable Diesel'!BF210*'Feedstock Conversion Rates'!B$4)+FD201</f>
        <v>1175.9501466969075</v>
      </c>
      <c r="EN201" s="132">
        <f>(ED201*'Renewable Diesel'!BF210*'Feedstock Conversion Rates'!B$5)+FE201</f>
        <v>221.65988161053866</v>
      </c>
      <c r="EO201" s="132">
        <f>(EE201*'Renewable Diesel'!BF210*'Feedstock Conversion Rates'!B$6)+FF201</f>
        <v>316.42918080846277</v>
      </c>
      <c r="EP201" s="132">
        <f>(EF201*'Renewable Diesel'!BF210*'Feedstock Conversion Rates'!B$7)+FG201</f>
        <v>228.31294802810672</v>
      </c>
      <c r="EQ201" s="132">
        <f>(EG201*'Renewable Diesel'!BF210*'Feedstock Conversion Rates'!B$8)+FH201</f>
        <v>35.222251744155081</v>
      </c>
      <c r="ER201" s="132">
        <f>(EH201*'Renewable Diesel'!BF210*'Feedstock Conversion Rates'!B$9)+FI201</f>
        <v>2.4184148727139649</v>
      </c>
      <c r="ES201" s="132">
        <f t="shared" si="86"/>
        <v>2669.2057097218817</v>
      </c>
      <c r="ET201" s="133">
        <f>ES201/'Renewable Diesel'!BF210</f>
        <v>7.9746408558277766</v>
      </c>
      <c r="EW201" s="73">
        <f t="shared" si="124"/>
        <v>1397.6100283074461</v>
      </c>
      <c r="EX201" s="73">
        <f t="shared" si="125"/>
        <v>1271.5956814144356</v>
      </c>
      <c r="EY201" s="92">
        <f t="shared" ref="EY201:EZ264" si="164">EW201/$ES201</f>
        <v>0.52360521454641662</v>
      </c>
      <c r="EZ201" s="92">
        <f t="shared" si="164"/>
        <v>0.47639478545358338</v>
      </c>
      <c r="FB201" s="102">
        <f>IF('Renewable Diesel'!$BG210&lt;1,0,(((('Renewable Diesel'!$BG210-1)*'Renewable Diesel'!$BF210)*'RD Feedstock Breakdown'!EA201)*'Feedstock Conversion Rates'!$B$2))</f>
        <v>0</v>
      </c>
      <c r="FC201" s="102">
        <f>IF('Renewable Diesel'!$BG210&lt;1,0,(((('Renewable Diesel'!$BG210-1)*'Renewable Diesel'!$BF210)*'RD Feedstock Breakdown'!EB201)*'Feedstock Conversion Rates'!$B$3))</f>
        <v>0</v>
      </c>
      <c r="FD201" s="102">
        <f>IF('Renewable Diesel'!$BG210&lt;1,0,(((('Renewable Diesel'!$BG210-1)*'Renewable Diesel'!$BF210)*'RD Feedstock Breakdown'!EC201)*'Feedstock Conversion Rates'!$B$4))</f>
        <v>0</v>
      </c>
      <c r="FE201" s="102">
        <f>IF('Renewable Diesel'!$BG210&lt;1,0,(((('Renewable Diesel'!$BG210-1)*'Renewable Diesel'!$BF210)*'RD Feedstock Breakdown'!ED201)*'Feedstock Conversion Rates'!$B$5))</f>
        <v>0</v>
      </c>
      <c r="FF201" s="102">
        <f>IF('Renewable Diesel'!$BG210&lt;1,0,(((('Renewable Diesel'!$BG210-1)*'Renewable Diesel'!$BF210)*'RD Feedstock Breakdown'!EE201)*'Feedstock Conversion Rates'!$B$6))</f>
        <v>0</v>
      </c>
      <c r="FG201" s="102">
        <f>IF('Renewable Diesel'!$BG210&lt;1,0,(((('Renewable Diesel'!$BG210-1)*'Renewable Diesel'!$BF210)*'RD Feedstock Breakdown'!EF201)*'Feedstock Conversion Rates'!$B$7))</f>
        <v>0</v>
      </c>
      <c r="FH201" s="102">
        <f>IF('Renewable Diesel'!$BG210&lt;1,0,(((('Renewable Diesel'!$BG210-1)*'Renewable Diesel'!$BF210)*'RD Feedstock Breakdown'!EG201)*'Feedstock Conversion Rates'!$B$8))</f>
        <v>0</v>
      </c>
      <c r="FI201" s="102">
        <f>IF('Renewable Diesel'!$BG210&lt;1,0,(((('Renewable Diesel'!$BG210-1)*'Renewable Diesel'!$BF210)*'RD Feedstock Breakdown'!EH201)*'Feedstock Conversion Rates'!$B$9))</f>
        <v>0</v>
      </c>
      <c r="FJ201" s="102">
        <f t="shared" si="126"/>
        <v>0</v>
      </c>
      <c r="FL201" s="3">
        <f>('Renewable Diesel'!AX210/12*$FO$80)*'RD Feedstock Breakdown'!EC201*7.5</f>
        <v>1362.8032482078299</v>
      </c>
      <c r="FM201" s="3">
        <f t="shared" si="96"/>
        <v>186.85310151092244</v>
      </c>
      <c r="FR201" s="3">
        <f>('Renewable Diesel'!AX210-'Renewable Diesel'!BI210)/12*$FO$80</f>
        <v>53.17837500000001</v>
      </c>
      <c r="FS201" s="100">
        <f t="shared" si="97"/>
        <v>0.46844298037725718</v>
      </c>
      <c r="FT201" s="3">
        <f t="shared" si="98"/>
        <v>186.83277357464573</v>
      </c>
      <c r="FY201" s="3">
        <f>'Renewable Diesel'!BF210*('Renewable Diesel'!BI210/'Renewable Diesel'!AX210)</f>
        <v>288.82459279770933</v>
      </c>
      <c r="FZ201" s="3">
        <f>('Renewable Diesel'!BJ210*'Renewable Diesel'!BG210)/12</f>
        <v>45.023653908852317</v>
      </c>
      <c r="GA201" s="3">
        <f t="shared" si="105"/>
        <v>158.18260968402694</v>
      </c>
      <c r="GD201" s="91">
        <f>'Renewable Diesel'!BB210*0.32</f>
        <v>0</v>
      </c>
      <c r="GE201" s="91">
        <f>'Renewable Diesel'!BC210</f>
        <v>104.66929816987525</v>
      </c>
      <c r="GF201" s="91">
        <f>'Renewable Diesel'!BD210</f>
        <v>0</v>
      </c>
      <c r="GG201" s="91">
        <f t="shared" si="109"/>
        <v>104.66929816987525</v>
      </c>
      <c r="GH201" s="124">
        <v>1</v>
      </c>
      <c r="GI201" s="102">
        <f>$GG201*EA201*'Feedstock Conversion Rates'!$B$2</f>
        <v>2.354575487143324</v>
      </c>
      <c r="GJ201" s="102">
        <f>$GG201*EB201*'Feedstock Conversion Rates'!$B$3</f>
        <v>213.17247670966984</v>
      </c>
      <c r="GK201" s="102">
        <f>$GG201*EC201*'Feedstock Conversion Rates'!$B$4</f>
        <v>367.7369849151911</v>
      </c>
      <c r="GL201" s="102">
        <f>$GG201*ED201*'Feedstock Conversion Rates'!$B$5</f>
        <v>69.31631988743392</v>
      </c>
      <c r="GM201" s="102">
        <f>$GG201*EE201*'Feedstock Conversion Rates'!$B$6</f>
        <v>98.952079913026765</v>
      </c>
      <c r="GN201" s="102">
        <f>$GG201*EF201*'Feedstock Conversion Rates'!$B$7</f>
        <v>71.396832051754103</v>
      </c>
      <c r="GO201" s="102">
        <f>$GG201*EG201*'Feedstock Conversion Rates'!$B$8</f>
        <v>11.01451851058601</v>
      </c>
      <c r="GP201" s="102">
        <f>$GG201*EH201*'Feedstock Conversion Rates'!B$9</f>
        <v>0.75627406150161414</v>
      </c>
      <c r="GQ201" s="102">
        <f t="shared" si="87"/>
        <v>834.70006153630663</v>
      </c>
      <c r="GR201" s="85">
        <f t="shared" si="107"/>
        <v>7.9746408558277766</v>
      </c>
      <c r="GT201" s="103">
        <f t="shared" si="159"/>
        <v>2.8208641590484742E-3</v>
      </c>
      <c r="GU201" s="103">
        <f t="shared" si="159"/>
        <v>0.25538811668147637</v>
      </c>
      <c r="GV201" s="103">
        <f t="shared" si="159"/>
        <v>0.44056182796770499</v>
      </c>
      <c r="GW201" s="103">
        <f t="shared" si="159"/>
        <v>8.3043386578711659E-2</v>
      </c>
      <c r="GX201" s="103">
        <f t="shared" si="158"/>
        <v>0.11854806830959204</v>
      </c>
      <c r="GY201" s="103">
        <f t="shared" si="158"/>
        <v>8.5535913248101003E-2</v>
      </c>
      <c r="GZ201" s="103">
        <f t="shared" si="158"/>
        <v>1.3195780158819257E-2</v>
      </c>
      <c r="HA201" s="103">
        <f t="shared" si="158"/>
        <v>9.0604289654616101E-4</v>
      </c>
    </row>
    <row r="202" spans="1:209" x14ac:dyDescent="0.25">
      <c r="A202" s="96">
        <v>46569</v>
      </c>
      <c r="B202" s="104">
        <f t="shared" si="156"/>
        <v>140</v>
      </c>
      <c r="C202" s="104">
        <f t="shared" si="147"/>
        <v>0</v>
      </c>
      <c r="D202" s="104">
        <f t="shared" si="95"/>
        <v>1.5</v>
      </c>
      <c r="E202" s="104">
        <f>('Renewable Diesel'!B211*E$3*'Feedstock Conversion Rates'!$B$2)/12-40+1.25+6-43+30-15+12.5-4+1.5+26+2.5+3-10+50+9-15-25-55+15+45+10-50+60-60-44</f>
        <v>0.67999999999999261</v>
      </c>
      <c r="F202" s="104">
        <f>('Renewable Diesel'!B211*'RD Feedstock Breakdown'!F$3*'Feedstock Conversion Rates'!B$8)/12+28.5-49-5+2-6+1+6+20-20-3.75+10+2.5+5-20-20</f>
        <v>5.15625</v>
      </c>
      <c r="G202" s="104">
        <f>('Renewable Diesel'!B211*'RD Feedstock Breakdown'!G$3*'Feedstock Conversion Rates'!B$7)/12-25-15-25+4+4-20-40-20+10-17.5+20+50-12+32.5+35-75-75+22.5+5-20+15+125-10-45-10-40-40</f>
        <v>9.6570000000000107</v>
      </c>
      <c r="H202" s="104">
        <f>('Renewable Diesel'!B211*'RD Feedstock Breakdown'!H$3*'Feedstock Conversion Rates'!B$3)/12-85+4-15+70-65-80+50-22.5-5+25+27.5+15+50+15-10+5+50+75-5-25-85-12.5+30+22.5-25-30+150+90-120+25+10+70+20+44-100</f>
        <v>339.40022499999998</v>
      </c>
      <c r="I202" s="106">
        <f t="shared" si="106"/>
        <v>496.39347499999997</v>
      </c>
      <c r="J202" s="104">
        <f t="shared" si="160"/>
        <v>28.5</v>
      </c>
      <c r="K202" s="104">
        <f>50+15+20-80</f>
        <v>5</v>
      </c>
      <c r="L202" s="104">
        <v>1</v>
      </c>
      <c r="M202" s="104">
        <f>('Renewable Diesel'!C211*'RD Feedstock Breakdown'!M$3*'Feedstock Conversion Rates'!B$2)/12</f>
        <v>7.7902500000000003</v>
      </c>
      <c r="N202" s="104">
        <f>('Renewable Diesel'!C211*'RD Feedstock Breakdown'!N$3*'Feedstock Conversion Rates'!B$8)/12</f>
        <v>3.671875</v>
      </c>
      <c r="O202" s="104">
        <f>('Renewable Diesel'!C211*'RD Feedstock Breakdown'!O$3*'Feedstock Conversion Rates'!B$7)/12</f>
        <v>11.9991</v>
      </c>
      <c r="P202" s="104">
        <f>('Renewable Diesel'!C211*'RD Feedstock Breakdown'!P$3*'Feedstock Conversion Rates'!B$3)/12</f>
        <v>10.4470425</v>
      </c>
      <c r="Q202" s="106">
        <f t="shared" si="119"/>
        <v>68.408267499999994</v>
      </c>
      <c r="R202" s="104">
        <f>('Renewable Diesel'!D211*'RD Feedstock Breakdown'!R$3*'Feedstock Conversion Rates'!B$7)/12</f>
        <v>2.2999999999999998</v>
      </c>
      <c r="S202" s="106">
        <f t="shared" si="148"/>
        <v>2.2999999999999998</v>
      </c>
      <c r="T202" s="104">
        <f t="shared" si="154"/>
        <v>10.824999999999999</v>
      </c>
      <c r="U202" s="104">
        <v>0</v>
      </c>
      <c r="V202" s="104">
        <f>('Renewable Diesel'!E211*'RD Feedstock Breakdown'!V$3*'Feedstock Conversion Rates'!B$6)/12-20+25-10</f>
        <v>39.250150000000012</v>
      </c>
      <c r="W202" s="104">
        <f>('Renewable Diesel'!E211*'RD Feedstock Breakdown'!W$3*'Feedstock Conversion Rates'!B$8)/12-5.825</f>
        <v>16.354687500000001</v>
      </c>
      <c r="X202" s="106">
        <f t="shared" si="88"/>
        <v>66.429837500000005</v>
      </c>
      <c r="Y202" s="104">
        <f t="shared" si="155"/>
        <v>36</v>
      </c>
      <c r="Z202" s="104">
        <f>('Renewable Diesel'!F211*'RD Feedstock Breakdown'!Z$3*'Feedstock Conversion Rates'!B$6)/12-50-32-60+15+30+22.5-22.5-15+40-16+3+50</f>
        <v>124.46000000000001</v>
      </c>
      <c r="AA202" s="104">
        <f>('Renewable Diesel'!F211*'RD Feedstock Breakdown'!AA$3*'Feedstock Conversion Rates'!B$7)/12+80-171+75+30+40-55</f>
        <v>103.26666666666665</v>
      </c>
      <c r="AB202" s="106">
        <f t="shared" si="137"/>
        <v>263.72666666666669</v>
      </c>
      <c r="AC202" s="104">
        <f>('Renewable Diesel'!G211*'RD Feedstock Breakdown'!AC$3*'Feedstock Conversion Rates'!B$5)/12</f>
        <v>11.796875</v>
      </c>
      <c r="AD202" s="104">
        <f>('Renewable Diesel'!G211*'RD Feedstock Breakdown'!AD$3*'Feedstock Conversion Rates'!B$4)/12</f>
        <v>5.859375</v>
      </c>
      <c r="AE202" s="104">
        <f>('Renewable Diesel'!G211*'RD Feedstock Breakdown'!AE$3*'Feedstock Conversion Rates'!B$6)/12</f>
        <v>7.3281250000000009</v>
      </c>
      <c r="AF202" s="106">
        <f t="shared" si="101"/>
        <v>24.984375</v>
      </c>
      <c r="AG202" s="104">
        <f t="shared" si="149"/>
        <v>139</v>
      </c>
      <c r="AH202" s="104">
        <v>0</v>
      </c>
      <c r="AI202" s="104">
        <f>('Renewable Diesel'!H211*'RD Feedstock Breakdown'!AI$3*'Feedstock Conversion Rates'!B$6)/12-130-20+51-120+100-40+20</f>
        <v>9.5166666666666799</v>
      </c>
      <c r="AJ202" s="106">
        <f t="shared" si="145"/>
        <v>148.51666666666668</v>
      </c>
      <c r="AK202" s="104">
        <f>('Renewable Diesel'!J211*'RD Feedstock Breakdown'!AK$3*'Feedstock Conversion Rates'!B$4)/12</f>
        <v>95.8125</v>
      </c>
      <c r="AL202" s="106">
        <f t="shared" si="157"/>
        <v>95.8125</v>
      </c>
      <c r="AM202" s="104">
        <f>('Renewable Diesel'!K211*'RD Feedstock Breakdown'!AM$3*'Feedstock Conversion Rates'!B$4)/12+5+15-10+4+5-30</f>
        <v>47.59375</v>
      </c>
      <c r="AN202" s="104">
        <f>('Renewable Diesel'!K211*'RD Feedstock Breakdown'!AN$3*'Feedstock Conversion Rates'!B$6)/12-5-15+10-4-5+30</f>
        <v>35.427083333333329</v>
      </c>
      <c r="AO202" s="106">
        <f t="shared" si="81"/>
        <v>83.020833333333329</v>
      </c>
      <c r="AP202" s="104">
        <f>('Renewable Diesel'!L211*'RD Feedstock Breakdown'!AP$3*'Feedstock Conversion Rates'!B$4)/12+15-10+7.5+7</f>
        <v>78.09375</v>
      </c>
      <c r="AQ202" s="104">
        <f>('Renewable Diesel'!L211*'RD Feedstock Breakdown'!AQ$3*'Feedstock Conversion Rates'!B$6)/12-15+10-7.5-7</f>
        <v>4.9270833333333321</v>
      </c>
      <c r="AR202" s="106">
        <f t="shared" si="162"/>
        <v>83.020833333333329</v>
      </c>
      <c r="AS202" s="104">
        <f>('Renewable Diesel'!M211*'RD Feedstock Breakdown'!AS$3*'Feedstock Conversion Rates'!B$4)/12-100</f>
        <v>356.25</v>
      </c>
      <c r="AT202" s="104">
        <f>('Renewable Diesel'!M211*'RD Feedstock Breakdown'!AT$3*'Feedstock Conversion Rates'!B$5)/12+100</f>
        <v>100</v>
      </c>
      <c r="AU202" s="106">
        <f t="shared" si="104"/>
        <v>456.25</v>
      </c>
      <c r="AV202" s="104">
        <f>'Renewable Diesel'!N211*'RD Feedstock Breakdown'!$AV$3*'Feedstock Conversion Rates'!$B$4/12-15-10+25+25-22-7.5</f>
        <v>74.249999999999986</v>
      </c>
      <c r="AW202" s="104">
        <f>'Renewable Diesel'!N211*'RD Feedstock Breakdown'!$AW$3*'Feedstock Conversion Rates'!$B$7/12+15+10-25-25+22+7.5</f>
        <v>45.900000000000006</v>
      </c>
      <c r="AX202" s="106">
        <f t="shared" si="141"/>
        <v>120.14999999999999</v>
      </c>
      <c r="AY202" s="104">
        <f>('Renewable Diesel'!O211*'RD Feedstock Breakdown'!AY$3*'Feedstock Conversion Rates'!B$4)/12+32+2-135-247</f>
        <v>-137.0625</v>
      </c>
      <c r="AZ202" s="104">
        <f>('Renewable Diesel'!O211*'RD Feedstock Breakdown'!AZ$3*'Feedstock Conversion Rates'!B$3)/12-32-2+135+247</f>
        <v>373.03125</v>
      </c>
      <c r="BA202" s="106">
        <f t="shared" si="120"/>
        <v>235.96875</v>
      </c>
      <c r="BB202" s="104">
        <f>('Renewable Diesel'!Q211*'RD Feedstock Breakdown'!BB$3*'Feedstock Conversion Rates'!B$4)/12</f>
        <v>11.156249999999998</v>
      </c>
      <c r="BC202" s="104">
        <f>('Renewable Diesel'!Q211*'RD Feedstock Breakdown'!BC$3*'Feedstock Conversion Rates'!B$3)/12</f>
        <v>1.4017500000000001</v>
      </c>
      <c r="BD202" s="104">
        <f>('Renewable Diesel'!Q211*'RD Feedstock Breakdown'!BD$3*'Feedstock Conversion Rates'!B$6)/12</f>
        <v>0.8207500000000002</v>
      </c>
      <c r="BE202" s="106">
        <f t="shared" si="90"/>
        <v>13.378749999999998</v>
      </c>
      <c r="BF202" s="104">
        <f>('Renewable Diesel'!R211*'RD Feedstock Breakdown'!BF$3*'Feedstock Conversion Rates'!B$4)/12</f>
        <v>62.5</v>
      </c>
      <c r="BG202" s="106">
        <f t="shared" si="72"/>
        <v>62.5</v>
      </c>
      <c r="BH202" s="104">
        <f>('Renewable Diesel'!T211*'RD Feedstock Breakdown'!BH$3*'Feedstock Conversion Rates'!B$7)/12</f>
        <v>27.599999999999998</v>
      </c>
      <c r="BI202" s="106">
        <f t="shared" si="144"/>
        <v>27.599999999999998</v>
      </c>
      <c r="BJ202" s="104">
        <f>('Renewable Diesel'!W211*'RD Feedstock Breakdown'!BJ$3*'Feedstock Conversion Rates'!B$4)/12</f>
        <v>7.5</v>
      </c>
      <c r="BK202" s="104">
        <f>('Renewable Diesel'!W211*'RD Feedstock Breakdown'!BK$3*'Feedstock Conversion Rates'!B$3)/12</f>
        <v>1.335</v>
      </c>
      <c r="BL202" s="104">
        <f>('Renewable Diesel'!W211*'RD Feedstock Breakdown'!BL$3*'Feedstock Conversion Rates'!B$6)/12</f>
        <v>3.1266666666666669</v>
      </c>
      <c r="BM202" s="104">
        <f>('Renewable Diesel'!W211*'RD Feedstock Breakdown'!BM$3*'Feedstock Conversion Rates'!B$7)/12</f>
        <v>1.5333333333333332</v>
      </c>
      <c r="BN202" s="106">
        <f t="shared" si="112"/>
        <v>13.495000000000001</v>
      </c>
      <c r="BO202" s="104">
        <f>('Renewable Diesel'!P211*'Feedstock Conversion Rates'!B$4)/12</f>
        <v>31.25</v>
      </c>
      <c r="BP202" s="106">
        <f t="shared" si="102"/>
        <v>31.25</v>
      </c>
      <c r="BQ202" s="104">
        <f>('Renewable Diesel'!$S211*'RD Feedstock Breakdown'!BQ$3*'Feedstock Conversion Rates'!B$4)/12+10</f>
        <v>38.125</v>
      </c>
      <c r="BR202" s="104">
        <f>('Renewable Diesel'!$S211*'RD Feedstock Breakdown'!BR$3*'Feedstock Conversion Rates'!B$7)/12-10</f>
        <v>1.5</v>
      </c>
      <c r="BS202" s="106">
        <f t="shared" si="123"/>
        <v>39.625</v>
      </c>
      <c r="BT202" s="106"/>
      <c r="BU202" s="104">
        <f>('Renewable Diesel'!Y211*'Feedstock Conversion Rates'!B$7)/12</f>
        <v>2.6833333333333331</v>
      </c>
      <c r="BV202" s="106">
        <f t="shared" si="93"/>
        <v>2.6833333333333331</v>
      </c>
      <c r="BW202" s="104">
        <f>('Renewable Diesel'!$Z211*'RD Feedstock Breakdown'!BW$3*'Feedstock Conversion Rates'!$B$4)/12</f>
        <v>35.9375</v>
      </c>
      <c r="BX202" s="104">
        <f>('Renewable Diesel'!$Z211*'RD Feedstock Breakdown'!BX$3*'Feedstock Conversion Rates'!$B$5)/12</f>
        <v>3.6177083333333333</v>
      </c>
      <c r="BY202" s="104">
        <f>('Renewable Diesel'!$Z211*'RD Feedstock Breakdown'!BY$3*'Feedstock Conversion Rates'!$B$7)/12</f>
        <v>30.858333333333331</v>
      </c>
      <c r="BZ202" s="104">
        <f>('Renewable Diesel'!$Z211*'RD Feedstock Breakdown'!BZ$3*'Feedstock Conversion Rates'!$B$3)/12</f>
        <v>7.6762499999999996</v>
      </c>
      <c r="CA202" s="106">
        <f t="shared" si="127"/>
        <v>78.089791666666656</v>
      </c>
      <c r="CB202" s="104">
        <f>('Renewable Diesel'!AA211*'Feedstock Conversion Rates'!B$4)/12</f>
        <v>191.25</v>
      </c>
      <c r="CC202" s="106">
        <f t="shared" si="113"/>
        <v>191.25</v>
      </c>
      <c r="CD202" s="104">
        <f>('Renewable Diesel'!$AB211*'RD Feedstock Breakdown'!CD$3*'Feedstock Conversion Rates'!$B$6)/12-15</f>
        <v>17.830000000000005</v>
      </c>
      <c r="CE202" s="104">
        <f>('Renewable Diesel'!$AB211*'RD Feedstock Breakdown'!CE$3*'Feedstock Conversion Rates'!$B$4)/12+15</f>
        <v>26.25</v>
      </c>
      <c r="CF202" s="106">
        <f t="shared" si="108"/>
        <v>44.080000000000005</v>
      </c>
      <c r="CG202" s="104">
        <f>('Renewable Diesel'!AD211*'Feedstock Conversion Rates'!B$4)/12</f>
        <v>112.5</v>
      </c>
      <c r="CH202" s="106">
        <f t="shared" si="89"/>
        <v>112.5</v>
      </c>
      <c r="CI202" s="104">
        <f>('Renewable Diesel'!$AE211*'RD Feedstock Breakdown'!CI$3*'Feedstock Conversion Rates'!$B$5)/12</f>
        <v>0.34604166666666664</v>
      </c>
      <c r="CJ202" s="104">
        <f>('Renewable Diesel'!$AE211*'RD Feedstock Breakdown'!CJ$3*'Feedstock Conversion Rates'!$B$4)/12</f>
        <v>0.34375</v>
      </c>
      <c r="CK202" s="106">
        <f t="shared" si="103"/>
        <v>0.68979166666666658</v>
      </c>
      <c r="CL202" s="104">
        <f>(((CL$3*'Renewable Diesel'!$AF211)*'Feedstock Conversion Rates'!$B$3)/12)-35</f>
        <v>56.78125</v>
      </c>
      <c r="CM202" s="104">
        <f>(((CM$3*'Renewable Diesel'!$AF211)*'Feedstock Conversion Rates'!$B$6)/12)-32.5+35</f>
        <v>56.239583333333336</v>
      </c>
      <c r="CN202" s="104">
        <f>(((CN$3*'Renewable Diesel'!$AF211)*'Feedstock Conversion Rates'!$B$4)/12)+45-13</f>
        <v>74.96875</v>
      </c>
      <c r="CO202" s="106">
        <f t="shared" si="91"/>
        <v>187.98958333333334</v>
      </c>
      <c r="CP202" s="104">
        <f>('Renewable Diesel'!$AG211*'RD Feedstock Breakdown'!CP$3*'Feedstock Conversion Rates'!$B$3)/12</f>
        <v>6.0075000000000003</v>
      </c>
      <c r="CQ202" s="104">
        <f>('Renewable Diesel'!$AG211*'RD Feedstock Breakdown'!CQ$3*'Feedstock Conversion Rates'!$B$6)/12</f>
        <v>3.5175000000000001</v>
      </c>
      <c r="CR202" s="104">
        <f>('Renewable Diesel'!$AG211*'RD Feedstock Breakdown'!CR$3*'Feedstock Conversion Rates'!$B$4)/12</f>
        <v>2.8125</v>
      </c>
      <c r="CS202" s="106">
        <f t="shared" si="134"/>
        <v>12.3375</v>
      </c>
      <c r="CT202" s="104">
        <f>('Renewable Diesel'!AI211*'Feedstock Conversion Rates'!$B$4*'RD Feedstock Breakdown'!$CT$3)/12</f>
        <v>29.375</v>
      </c>
      <c r="CU202" s="106">
        <f t="shared" si="99"/>
        <v>29.375</v>
      </c>
      <c r="CV202" s="104">
        <f>('Renewable Diesel'!AN211*'Feedstock Conversion Rates'!$B$3*'RD Feedstock Breakdown'!$CV$3)/12</f>
        <v>0.50062499999999999</v>
      </c>
      <c r="CW202" s="106">
        <f t="shared" si="161"/>
        <v>0.50062499999999999</v>
      </c>
      <c r="CX202" s="104">
        <f>('Renewable Diesel'!AO211*'RD Feedstock Breakdown'!$CX$3*'Feedstock Conversion Rates'!$B$3)/12</f>
        <v>6.3412499999999996</v>
      </c>
      <c r="CY202" s="104">
        <f>('Renewable Diesel'!AO211*'RD Feedstock Breakdown'!$CY$3*'Feedstock Conversion Rates'!$B$6)/12</f>
        <v>7.4258333333333342</v>
      </c>
      <c r="CZ202" s="106">
        <f t="shared" si="135"/>
        <v>13.767083333333334</v>
      </c>
      <c r="DA202" s="104">
        <f>('Renewable Diesel'!$AP211*'RD Feedstock Breakdown'!DA$3*'Feedstock Conversion Rates'!$B$3)/12</f>
        <v>2.5031249999999998</v>
      </c>
      <c r="DB202" s="104">
        <f>('Renewable Diesel'!$AP211*'RD Feedstock Breakdown'!DB$3*'Feedstock Conversion Rates'!$B$8)/12</f>
        <v>2.9296875</v>
      </c>
      <c r="DC202" s="106">
        <f t="shared" ref="DC202:DC265" si="165">SUM(DA202:DB202)</f>
        <v>5.4328124999999998</v>
      </c>
      <c r="DD202" s="104">
        <f>('Renewable Diesel'!AQ211*$DD$3*'Feedstock Conversion Rates'!$B$14)/12</f>
        <v>3.1041666666666665</v>
      </c>
      <c r="DE202" s="106">
        <f t="shared" ref="DE202:DE265" si="166">DD202</f>
        <v>3.1041666666666665</v>
      </c>
      <c r="DF202" s="104">
        <f>('Renewable Diesel'!AR211*'Feedstock Conversion Rates'!$B$4*$DF$3)/12</f>
        <v>75</v>
      </c>
      <c r="DG202" s="106">
        <f t="shared" si="136"/>
        <v>75</v>
      </c>
      <c r="DH202" s="104">
        <f>('Renewable Diesel'!AS211*'Feedstock Conversion Rates'!$B$4*$DH$3)/12</f>
        <v>75</v>
      </c>
      <c r="DI202" s="106">
        <f t="shared" si="142"/>
        <v>75</v>
      </c>
      <c r="DJ202" s="104">
        <f>('Renewable Diesel'!AT211*'Feedstock Conversion Rates'!$B$4*0.25)/12</f>
        <v>8.59375</v>
      </c>
      <c r="DK202" s="104">
        <f>('Renewable Diesel'!$AT211*'RD Feedstock Breakdown'!DK$3*'Feedstock Conversion Rates'!$B$3)/12*0.5</f>
        <v>9.1781249999999996</v>
      </c>
      <c r="DL202" s="104">
        <f>('Renewable Diesel'!$AT211*'RD Feedstock Breakdown'!$DL$3*'Feedstock Conversion Rates'!$B$6)/12</f>
        <v>10.747916666666669</v>
      </c>
      <c r="DM202" s="104">
        <f>('Renewable Diesel'!$AT211*'RD Feedstock Breakdown'!$DM$3*'Feedstock Conversion Rates'!$B$8)/12</f>
        <v>10.7421875</v>
      </c>
      <c r="DN202" s="106">
        <f t="shared" si="110"/>
        <v>39.26197916666667</v>
      </c>
      <c r="DP202" s="104">
        <f t="shared" si="73"/>
        <v>8.470249999999993</v>
      </c>
      <c r="DQ202" s="104">
        <f t="shared" si="74"/>
        <v>814.60339250000004</v>
      </c>
      <c r="DR202" s="104">
        <f t="shared" si="82"/>
        <v>1499.265625</v>
      </c>
      <c r="DS202" s="104">
        <f t="shared" si="100"/>
        <v>282.28354166666668</v>
      </c>
      <c r="DT202" s="104">
        <f t="shared" si="75"/>
        <v>323.54704583333341</v>
      </c>
      <c r="DU202" s="104">
        <f t="shared" si="76"/>
        <v>237.29776666666666</v>
      </c>
      <c r="DV202" s="104">
        <f t="shared" si="83"/>
        <v>35.924999999999997</v>
      </c>
      <c r="DW202" s="104">
        <f t="shared" si="77"/>
        <v>2.5</v>
      </c>
      <c r="DX202" s="106">
        <f>SUM(DP202:DW202)</f>
        <v>3203.8926216666669</v>
      </c>
      <c r="DY202" s="109">
        <f t="shared" si="163"/>
        <v>-7.1320727101920056E-13</v>
      </c>
      <c r="EA202" s="110">
        <f t="shared" si="150"/>
        <v>2.6437371660707415E-3</v>
      </c>
      <c r="EB202" s="110">
        <f t="shared" si="151"/>
        <v>0.25425427400130624</v>
      </c>
      <c r="EC202" s="110">
        <f t="shared" si="152"/>
        <v>0.46795127116965646</v>
      </c>
      <c r="ED202" s="110">
        <f t="shared" si="146"/>
        <v>8.8106430208582526E-2</v>
      </c>
      <c r="EE202" s="110">
        <f t="shared" si="146"/>
        <v>0.10098560845807125</v>
      </c>
      <c r="EF202" s="110">
        <f t="shared" si="146"/>
        <v>7.4065455584221243E-2</v>
      </c>
      <c r="EG202" s="110">
        <f t="shared" si="146"/>
        <v>1.1212922604538411E-2</v>
      </c>
      <c r="EH202" s="111">
        <f t="shared" si="84"/>
        <v>7.8030080755312533E-4</v>
      </c>
      <c r="EI202" s="110">
        <f t="shared" si="85"/>
        <v>0.99921969919244691</v>
      </c>
      <c r="EK202" s="132">
        <f>(EA202*'Renewable Diesel'!BF211*'Feedstock Conversion Rates'!B$2)+FB202</f>
        <v>7.6245080116398096</v>
      </c>
      <c r="EL202" s="132">
        <f>(EB202*'Renewable Diesel'!BF211*'Feedstock Conversion Rates'!B$3)+FC202</f>
        <v>690.99578962807266</v>
      </c>
      <c r="EM202" s="132">
        <f>(EC202*'Renewable Diesel'!BF211*'Feedstock Conversion Rates'!B$4)+FD202</f>
        <v>1190.7936708641503</v>
      </c>
      <c r="EN202" s="132">
        <f>(ED202*'Renewable Diesel'!BF211*'Feedstock Conversion Rates'!B$5)+FE202</f>
        <v>225.69876357821639</v>
      </c>
      <c r="EO202" s="132">
        <f>(EE202*'Renewable Diesel'!BF211*'Feedstock Conversion Rates'!B$6)+FF202</f>
        <v>321.39339542051573</v>
      </c>
      <c r="EP202" s="132">
        <f>(EF202*'Renewable Diesel'!BF211*'Feedstock Conversion Rates'!B$7)+FG202</f>
        <v>231.19484635625338</v>
      </c>
      <c r="EQ202" s="132">
        <f>(EG202*'Renewable Diesel'!BF211*'Feedstock Conversion Rates'!B$8)+FH202</f>
        <v>35.666847415542691</v>
      </c>
      <c r="ER202" s="132">
        <f>(EH202*'Renewable Diesel'!BF211*'Feedstock Conversion Rates'!B$9)+FI202</f>
        <v>2.4489415066111424</v>
      </c>
      <c r="ES202" s="132">
        <f t="shared" si="86"/>
        <v>2705.8167627810021</v>
      </c>
      <c r="ET202" s="133">
        <f>ES202/'Renewable Diesel'!BF211</f>
        <v>7.974872713108244</v>
      </c>
      <c r="EW202" s="73">
        <f t="shared" si="124"/>
        <v>1416.4924344423666</v>
      </c>
      <c r="EX202" s="73">
        <f t="shared" si="125"/>
        <v>1289.3243283386355</v>
      </c>
      <c r="EY202" s="92">
        <f t="shared" si="164"/>
        <v>0.52349902400135728</v>
      </c>
      <c r="EZ202" s="92">
        <f t="shared" si="164"/>
        <v>0.47650097599864272</v>
      </c>
      <c r="FB202" s="102">
        <f>IF('Renewable Diesel'!$BG211&lt;1,0,(((('Renewable Diesel'!$BG211-1)*'Renewable Diesel'!$BF211)*'RD Feedstock Breakdown'!EA202)*'Feedstock Conversion Rates'!$B$2))</f>
        <v>0</v>
      </c>
      <c r="FC202" s="102">
        <f>IF('Renewable Diesel'!$BG211&lt;1,0,(((('Renewable Diesel'!$BG211-1)*'Renewable Diesel'!$BF211)*'RD Feedstock Breakdown'!EB202)*'Feedstock Conversion Rates'!$B$3))</f>
        <v>0</v>
      </c>
      <c r="FD202" s="102">
        <f>IF('Renewable Diesel'!$BG211&lt;1,0,(((('Renewable Diesel'!$BG211-1)*'Renewable Diesel'!$BF211)*'RD Feedstock Breakdown'!EC202)*'Feedstock Conversion Rates'!$B$4))</f>
        <v>0</v>
      </c>
      <c r="FE202" s="102">
        <f>IF('Renewable Diesel'!$BG211&lt;1,0,(((('Renewable Diesel'!$BG211-1)*'Renewable Diesel'!$BF211)*'RD Feedstock Breakdown'!ED202)*'Feedstock Conversion Rates'!$B$5))</f>
        <v>0</v>
      </c>
      <c r="FF202" s="102">
        <f>IF('Renewable Diesel'!$BG211&lt;1,0,(((('Renewable Diesel'!$BG211-1)*'Renewable Diesel'!$BF211)*'RD Feedstock Breakdown'!EE202)*'Feedstock Conversion Rates'!$B$6))</f>
        <v>0</v>
      </c>
      <c r="FG202" s="102">
        <f>IF('Renewable Diesel'!$BG211&lt;1,0,(((('Renewable Diesel'!$BG211-1)*'Renewable Diesel'!$BF211)*'RD Feedstock Breakdown'!EF202)*'Feedstock Conversion Rates'!$B$7))</f>
        <v>0</v>
      </c>
      <c r="FH202" s="102">
        <f>IF('Renewable Diesel'!$BG211&lt;1,0,(((('Renewable Diesel'!$BG211-1)*'Renewable Diesel'!$BF211)*'RD Feedstock Breakdown'!EG202)*'Feedstock Conversion Rates'!$B$8))</f>
        <v>0</v>
      </c>
      <c r="FI202" s="102">
        <f>IF('Renewable Diesel'!$BG211&lt;1,0,(((('Renewable Diesel'!$BG211-1)*'Renewable Diesel'!$BF211)*'RD Feedstock Breakdown'!EH202)*'Feedstock Conversion Rates'!$B$9))</f>
        <v>0</v>
      </c>
      <c r="FJ202" s="102">
        <f t="shared" si="126"/>
        <v>0</v>
      </c>
      <c r="FL202" s="3">
        <f>('Renewable Diesel'!AX211/12*$FO$80)*'RD Feedstock Breakdown'!EC202*7.5</f>
        <v>1362.6888713580361</v>
      </c>
      <c r="FM202" s="3">
        <f t="shared" si="96"/>
        <v>171.8952004938858</v>
      </c>
      <c r="FR202" s="3">
        <f>('Renewable Diesel'!AX211-'Renewable Diesel'!BI211)/12*$FO$80</f>
        <v>53.553375000000003</v>
      </c>
      <c r="FS202" s="100">
        <f t="shared" si="97"/>
        <v>0.46795127116965646</v>
      </c>
      <c r="FT202" s="3">
        <f t="shared" si="98"/>
        <v>187.95277430006476</v>
      </c>
      <c r="FY202" s="3">
        <f>'Renewable Diesel'!BF211*('Renewable Diesel'!BI211/'Renewable Diesel'!AX211)</f>
        <v>292.49485257060377</v>
      </c>
      <c r="FZ202" s="3">
        <f>('Renewable Diesel'!BJ211*'Renewable Diesel'!BG211)/12</f>
        <v>47.447902432884028</v>
      </c>
      <c r="GA202" s="3">
        <f t="shared" si="105"/>
        <v>166.52479693351438</v>
      </c>
      <c r="GD202" s="91">
        <f>'Renewable Diesel'!BB211*0.32</f>
        <v>0</v>
      </c>
      <c r="GE202" s="91">
        <f>'Renewable Diesel'!BC211</f>
        <v>113.97848488508038</v>
      </c>
      <c r="GF202" s="91">
        <f>'Renewable Diesel'!BD211</f>
        <v>0</v>
      </c>
      <c r="GG202" s="91">
        <f t="shared" si="109"/>
        <v>113.97848488508038</v>
      </c>
      <c r="GH202" s="124">
        <v>1</v>
      </c>
      <c r="GI202" s="102">
        <f>$GG202*EA202*'Feedstock Conversion Rates'!$B$2</f>
        <v>2.5612978312965136</v>
      </c>
      <c r="GJ202" s="102">
        <f>$GG202*EB202*'Feedstock Conversion Rates'!$B$3</f>
        <v>232.12593057906199</v>
      </c>
      <c r="GK202" s="102">
        <f>$GG202*EC202*'Feedstock Conversion Rates'!$B$4</f>
        <v>400.02282665973627</v>
      </c>
      <c r="GL202" s="102">
        <f>$GG202*ED202*'Feedstock Conversion Rates'!$B$5</f>
        <v>75.818892549745215</v>
      </c>
      <c r="GM202" s="102">
        <f>$GG202*EE202*'Feedstock Conversion Rates'!$B$6</f>
        <v>107.96555075119487</v>
      </c>
      <c r="GN202" s="102">
        <f>$GG202*EF202*'Feedstock Conversion Rates'!$B$7</f>
        <v>77.665189370277318</v>
      </c>
      <c r="GO202" s="102">
        <f>$GG202*EG202*'Feedstock Conversion Rates'!$B$8</f>
        <v>11.981549339990224</v>
      </c>
      <c r="GP202" s="102">
        <f>$GG202*EH202*'Feedstock Conversion Rates'!B$9</f>
        <v>0.82267191014546659</v>
      </c>
      <c r="GQ202" s="102">
        <f t="shared" si="87"/>
        <v>908.96390899144785</v>
      </c>
      <c r="GR202" s="85">
        <f t="shared" si="107"/>
        <v>7.9748727131082431</v>
      </c>
      <c r="GT202" s="103">
        <f t="shared" si="159"/>
        <v>2.8178212643650874E-3</v>
      </c>
      <c r="GU202" s="103">
        <f t="shared" si="159"/>
        <v>0.25537419944056988</v>
      </c>
      <c r="GV202" s="103">
        <f t="shared" si="159"/>
        <v>0.44008658947040763</v>
      </c>
      <c r="GW202" s="103">
        <f t="shared" si="159"/>
        <v>8.3412434530949625E-2</v>
      </c>
      <c r="GX202" s="103">
        <f t="shared" si="158"/>
        <v>0.11877869922359116</v>
      </c>
      <c r="GY202" s="103">
        <f t="shared" si="158"/>
        <v>8.5443644793830903E-2</v>
      </c>
      <c r="GZ202" s="103">
        <f t="shared" si="158"/>
        <v>1.3181545737370917E-2</v>
      </c>
      <c r="HA202" s="103">
        <f t="shared" si="158"/>
        <v>9.0506553891482047E-4</v>
      </c>
    </row>
    <row r="203" spans="1:209" x14ac:dyDescent="0.25">
      <c r="A203" s="96">
        <v>46600</v>
      </c>
      <c r="B203" s="104">
        <f t="shared" si="156"/>
        <v>140</v>
      </c>
      <c r="C203" s="104">
        <f t="shared" si="147"/>
        <v>0</v>
      </c>
      <c r="D203" s="104">
        <f t="shared" si="95"/>
        <v>1.5</v>
      </c>
      <c r="E203" s="104">
        <f>('Renewable Diesel'!B212*E$3*'Feedstock Conversion Rates'!$B$2)/12-40+1.25+6-43+30-15+12.5-4+1.5+26+2.5+3-10+50+9-15-25-55+15+45+10-50+60-60-44</f>
        <v>0.67999999999999261</v>
      </c>
      <c r="F203" s="104">
        <f>('Renewable Diesel'!B212*'RD Feedstock Breakdown'!F$3*'Feedstock Conversion Rates'!B$8)/12+28.5-49-5+2-6+1+6+20-20-3.75+10+2.5+5-20-20</f>
        <v>5.15625</v>
      </c>
      <c r="G203" s="104">
        <f>('Renewable Diesel'!B212*'RD Feedstock Breakdown'!G$3*'Feedstock Conversion Rates'!B$7)/12-25-15-25+4+4-20-40-20+10-17.5+20+50-12+32.5+35-75-75+22.5+5-20+15+125-10-45-10-40-40</f>
        <v>9.6570000000000107</v>
      </c>
      <c r="H203" s="104">
        <f>('Renewable Diesel'!B212*'RD Feedstock Breakdown'!H$3*'Feedstock Conversion Rates'!B$3)/12-85+4-15+70-65-80+50-22.5-5+25+27.5+15+50+15-10+5+50+75-5-25-85-12.5+30+22.5-25-30+150+90-120+25+10+70+20+44-100</f>
        <v>339.40022499999998</v>
      </c>
      <c r="I203" s="106">
        <f t="shared" si="106"/>
        <v>496.39347499999997</v>
      </c>
      <c r="J203" s="104">
        <f t="shared" si="160"/>
        <v>28.5</v>
      </c>
      <c r="K203" s="104">
        <f>50+15+20-80</f>
        <v>5</v>
      </c>
      <c r="L203" s="104">
        <v>1</v>
      </c>
      <c r="M203" s="104">
        <f>('Renewable Diesel'!C212*'RD Feedstock Breakdown'!M$3*'Feedstock Conversion Rates'!B$2)/12</f>
        <v>7.7902500000000003</v>
      </c>
      <c r="N203" s="104">
        <f>('Renewable Diesel'!C212*'RD Feedstock Breakdown'!N$3*'Feedstock Conversion Rates'!B$8)/12</f>
        <v>3.671875</v>
      </c>
      <c r="O203" s="104">
        <f>('Renewable Diesel'!C212*'RD Feedstock Breakdown'!O$3*'Feedstock Conversion Rates'!B$7)/12</f>
        <v>11.9991</v>
      </c>
      <c r="P203" s="104">
        <f>('Renewable Diesel'!C212*'RD Feedstock Breakdown'!P$3*'Feedstock Conversion Rates'!B$3)/12</f>
        <v>10.4470425</v>
      </c>
      <c r="Q203" s="106">
        <f t="shared" si="119"/>
        <v>68.408267499999994</v>
      </c>
      <c r="R203" s="104">
        <f>('Renewable Diesel'!D212*'RD Feedstock Breakdown'!R$3*'Feedstock Conversion Rates'!B$7)/12</f>
        <v>2.2999999999999998</v>
      </c>
      <c r="S203" s="106">
        <f t="shared" si="148"/>
        <v>2.2999999999999998</v>
      </c>
      <c r="T203" s="104">
        <f t="shared" si="154"/>
        <v>10.824999999999999</v>
      </c>
      <c r="U203" s="104">
        <v>0</v>
      </c>
      <c r="V203" s="104">
        <f>('Renewable Diesel'!E212*'RD Feedstock Breakdown'!V$3*'Feedstock Conversion Rates'!B$6)/12-20+25-10</f>
        <v>39.250150000000012</v>
      </c>
      <c r="W203" s="104">
        <f>('Renewable Diesel'!E212*'RD Feedstock Breakdown'!W$3*'Feedstock Conversion Rates'!B$8)/12-5.825</f>
        <v>16.354687500000001</v>
      </c>
      <c r="X203" s="106">
        <f t="shared" si="88"/>
        <v>66.429837500000005</v>
      </c>
      <c r="Y203" s="104">
        <f t="shared" si="155"/>
        <v>36</v>
      </c>
      <c r="Z203" s="104">
        <f>('Renewable Diesel'!F212*'RD Feedstock Breakdown'!Z$3*'Feedstock Conversion Rates'!B$6)/12-50-32-60+15+30+22.5-22.5-15+40-16+3+50</f>
        <v>124.46000000000001</v>
      </c>
      <c r="AA203" s="104">
        <f>('Renewable Diesel'!F212*'RD Feedstock Breakdown'!AA$3*'Feedstock Conversion Rates'!B$7)/12+80-171+75+30+40-55</f>
        <v>103.26666666666665</v>
      </c>
      <c r="AB203" s="106">
        <f t="shared" si="137"/>
        <v>263.72666666666669</v>
      </c>
      <c r="AC203" s="104">
        <f>('Renewable Diesel'!G212*'RD Feedstock Breakdown'!AC$3*'Feedstock Conversion Rates'!B$5)/12</f>
        <v>11.796875</v>
      </c>
      <c r="AD203" s="104">
        <f>('Renewable Diesel'!G212*'RD Feedstock Breakdown'!AD$3*'Feedstock Conversion Rates'!B$4)/12</f>
        <v>5.859375</v>
      </c>
      <c r="AE203" s="104">
        <f>('Renewable Diesel'!G212*'RD Feedstock Breakdown'!AE$3*'Feedstock Conversion Rates'!B$6)/12</f>
        <v>7.3281250000000009</v>
      </c>
      <c r="AF203" s="106">
        <f t="shared" si="101"/>
        <v>24.984375</v>
      </c>
      <c r="AG203" s="104">
        <f t="shared" si="149"/>
        <v>139</v>
      </c>
      <c r="AH203" s="104">
        <v>0</v>
      </c>
      <c r="AI203" s="104">
        <f>('Renewable Diesel'!H212*'RD Feedstock Breakdown'!AI$3*'Feedstock Conversion Rates'!B$6)/12-130-20+51-120+100-40+20</f>
        <v>9.5166666666666799</v>
      </c>
      <c r="AJ203" s="106">
        <f t="shared" si="145"/>
        <v>148.51666666666668</v>
      </c>
      <c r="AK203" s="104">
        <f>('Renewable Diesel'!J212*'RD Feedstock Breakdown'!AK$3*'Feedstock Conversion Rates'!B$4)/12</f>
        <v>95.8125</v>
      </c>
      <c r="AL203" s="106">
        <f t="shared" si="157"/>
        <v>95.8125</v>
      </c>
      <c r="AM203" s="104">
        <f>('Renewable Diesel'!K212*'RD Feedstock Breakdown'!AM$3*'Feedstock Conversion Rates'!B$4)/12+5+15-10+4+5-30</f>
        <v>47.59375</v>
      </c>
      <c r="AN203" s="104">
        <f>('Renewable Diesel'!K212*'RD Feedstock Breakdown'!AN$3*'Feedstock Conversion Rates'!B$6)/12-5-15+10-4-5+30</f>
        <v>35.427083333333329</v>
      </c>
      <c r="AO203" s="106">
        <f t="shared" si="81"/>
        <v>83.020833333333329</v>
      </c>
      <c r="AP203" s="104">
        <f>('Renewable Diesel'!L212*'RD Feedstock Breakdown'!AP$3*'Feedstock Conversion Rates'!B$4)/12+15-10+7.5+7</f>
        <v>78.09375</v>
      </c>
      <c r="AQ203" s="104">
        <f>('Renewable Diesel'!L212*'RD Feedstock Breakdown'!AQ$3*'Feedstock Conversion Rates'!B$6)/12-15+10-7.5-7</f>
        <v>4.9270833333333321</v>
      </c>
      <c r="AR203" s="106">
        <f t="shared" si="162"/>
        <v>83.020833333333329</v>
      </c>
      <c r="AS203" s="104">
        <f>('Renewable Diesel'!M212*'RD Feedstock Breakdown'!AS$3*'Feedstock Conversion Rates'!B$4)/12-100</f>
        <v>356.25</v>
      </c>
      <c r="AT203" s="104">
        <f>('Renewable Diesel'!M212*'RD Feedstock Breakdown'!AT$3*'Feedstock Conversion Rates'!B$5)/12+100</f>
        <v>100</v>
      </c>
      <c r="AU203" s="106">
        <f t="shared" si="104"/>
        <v>456.25</v>
      </c>
      <c r="AV203" s="104">
        <f>'Renewable Diesel'!N212*'RD Feedstock Breakdown'!$AV$3*'Feedstock Conversion Rates'!$B$4/12-15-10+25+25-22-7.5</f>
        <v>74.249999999999986</v>
      </c>
      <c r="AW203" s="104">
        <f>'Renewable Diesel'!N212*'RD Feedstock Breakdown'!$AW$3*'Feedstock Conversion Rates'!$B$7/12+15+10-25-25+22+7.5</f>
        <v>45.900000000000006</v>
      </c>
      <c r="AX203" s="106">
        <f t="shared" si="141"/>
        <v>120.14999999999999</v>
      </c>
      <c r="AY203" s="104">
        <f>('Renewable Diesel'!O212*'RD Feedstock Breakdown'!AY$3*'Feedstock Conversion Rates'!B$4)/12+32+2-135-247</f>
        <v>-137.0625</v>
      </c>
      <c r="AZ203" s="104">
        <f>('Renewable Diesel'!O212*'RD Feedstock Breakdown'!AZ$3*'Feedstock Conversion Rates'!B$3)/12-32-2+135+247</f>
        <v>373.03125</v>
      </c>
      <c r="BA203" s="106">
        <f t="shared" si="120"/>
        <v>235.96875</v>
      </c>
      <c r="BB203" s="104">
        <f>('Renewable Diesel'!Q212*'RD Feedstock Breakdown'!BB$3*'Feedstock Conversion Rates'!B$4)/12</f>
        <v>11.156249999999998</v>
      </c>
      <c r="BC203" s="104">
        <f>('Renewable Diesel'!Q212*'RD Feedstock Breakdown'!BC$3*'Feedstock Conversion Rates'!B$3)/12</f>
        <v>1.4017500000000001</v>
      </c>
      <c r="BD203" s="104">
        <f>('Renewable Diesel'!Q212*'RD Feedstock Breakdown'!BD$3*'Feedstock Conversion Rates'!B$6)/12</f>
        <v>0.8207500000000002</v>
      </c>
      <c r="BE203" s="106">
        <f t="shared" si="90"/>
        <v>13.378749999999998</v>
      </c>
      <c r="BF203" s="104">
        <f>('Renewable Diesel'!R212*'RD Feedstock Breakdown'!BF$3*'Feedstock Conversion Rates'!B$4)/12</f>
        <v>62.5</v>
      </c>
      <c r="BG203" s="106">
        <f t="shared" ref="BG203:BG266" si="167">BF203</f>
        <v>62.5</v>
      </c>
      <c r="BH203" s="104">
        <f>('Renewable Diesel'!T212*'RD Feedstock Breakdown'!BH$3*'Feedstock Conversion Rates'!B$7)/12</f>
        <v>27.599999999999998</v>
      </c>
      <c r="BI203" s="106">
        <f t="shared" si="144"/>
        <v>27.599999999999998</v>
      </c>
      <c r="BJ203" s="104">
        <f>('Renewable Diesel'!W212*'RD Feedstock Breakdown'!BJ$3*'Feedstock Conversion Rates'!B$4)/12</f>
        <v>7.5</v>
      </c>
      <c r="BK203" s="104">
        <f>('Renewable Diesel'!W212*'RD Feedstock Breakdown'!BK$3*'Feedstock Conversion Rates'!B$3)/12</f>
        <v>1.335</v>
      </c>
      <c r="BL203" s="104">
        <f>('Renewable Diesel'!W212*'RD Feedstock Breakdown'!BL$3*'Feedstock Conversion Rates'!B$6)/12</f>
        <v>3.1266666666666669</v>
      </c>
      <c r="BM203" s="104">
        <f>('Renewable Diesel'!W212*'RD Feedstock Breakdown'!BM$3*'Feedstock Conversion Rates'!B$7)/12</f>
        <v>1.5333333333333332</v>
      </c>
      <c r="BN203" s="106">
        <f t="shared" si="112"/>
        <v>13.495000000000001</v>
      </c>
      <c r="BO203" s="104">
        <f>('Renewable Diesel'!P212*'Feedstock Conversion Rates'!B$4)/12</f>
        <v>31.25</v>
      </c>
      <c r="BP203" s="106">
        <f t="shared" si="102"/>
        <v>31.25</v>
      </c>
      <c r="BQ203" s="104">
        <f>('Renewable Diesel'!$S212*'RD Feedstock Breakdown'!BQ$3*'Feedstock Conversion Rates'!B$4)/12+10</f>
        <v>38.125</v>
      </c>
      <c r="BR203" s="104">
        <f>('Renewable Diesel'!$S212*'RD Feedstock Breakdown'!BR$3*'Feedstock Conversion Rates'!B$7)/12-10</f>
        <v>1.5</v>
      </c>
      <c r="BS203" s="106">
        <f t="shared" si="123"/>
        <v>39.625</v>
      </c>
      <c r="BT203" s="106"/>
      <c r="BU203" s="104">
        <f>('Renewable Diesel'!Y212*'Feedstock Conversion Rates'!B$7)/12</f>
        <v>2.6833333333333331</v>
      </c>
      <c r="BV203" s="106">
        <f t="shared" si="93"/>
        <v>2.6833333333333331</v>
      </c>
      <c r="BW203" s="104">
        <f>('Renewable Diesel'!$Z212*'RD Feedstock Breakdown'!BW$3*'Feedstock Conversion Rates'!$B$4)/12</f>
        <v>35.9375</v>
      </c>
      <c r="BX203" s="104">
        <f>('Renewable Diesel'!$Z212*'RD Feedstock Breakdown'!BX$3*'Feedstock Conversion Rates'!$B$5)/12</f>
        <v>3.6177083333333333</v>
      </c>
      <c r="BY203" s="104">
        <f>('Renewable Diesel'!$Z212*'RD Feedstock Breakdown'!BY$3*'Feedstock Conversion Rates'!$B$7)/12</f>
        <v>30.858333333333331</v>
      </c>
      <c r="BZ203" s="104">
        <f>('Renewable Diesel'!$Z212*'RD Feedstock Breakdown'!BZ$3*'Feedstock Conversion Rates'!$B$3)/12</f>
        <v>7.6762499999999996</v>
      </c>
      <c r="CA203" s="106">
        <f t="shared" si="127"/>
        <v>78.089791666666656</v>
      </c>
      <c r="CB203" s="104">
        <f>('Renewable Diesel'!AA212*'Feedstock Conversion Rates'!B$4)/12</f>
        <v>191.25</v>
      </c>
      <c r="CC203" s="106">
        <f t="shared" si="113"/>
        <v>191.25</v>
      </c>
      <c r="CD203" s="104">
        <f>('Renewable Diesel'!$AB212*'RD Feedstock Breakdown'!CD$3*'Feedstock Conversion Rates'!$B$6)/12-15</f>
        <v>17.830000000000005</v>
      </c>
      <c r="CE203" s="104">
        <f>('Renewable Diesel'!$AB212*'RD Feedstock Breakdown'!CE$3*'Feedstock Conversion Rates'!$B$4)/12+15</f>
        <v>26.25</v>
      </c>
      <c r="CF203" s="106">
        <f t="shared" si="108"/>
        <v>44.080000000000005</v>
      </c>
      <c r="CG203" s="104">
        <f>('Renewable Diesel'!AD212*'Feedstock Conversion Rates'!B$4)/12</f>
        <v>112.5</v>
      </c>
      <c r="CH203" s="106">
        <f t="shared" si="89"/>
        <v>112.5</v>
      </c>
      <c r="CI203" s="104">
        <f>('Renewable Diesel'!$AE212*'RD Feedstock Breakdown'!CI$3*'Feedstock Conversion Rates'!$B$5)/12</f>
        <v>0.34604166666666664</v>
      </c>
      <c r="CJ203" s="104">
        <f>('Renewable Diesel'!$AE212*'RD Feedstock Breakdown'!CJ$3*'Feedstock Conversion Rates'!$B$4)/12</f>
        <v>0.34375</v>
      </c>
      <c r="CK203" s="106">
        <f t="shared" si="103"/>
        <v>0.68979166666666658</v>
      </c>
      <c r="CL203" s="104">
        <f>(((CL$3*'Renewable Diesel'!$AF212)*'Feedstock Conversion Rates'!$B$3)/12)-35</f>
        <v>56.78125</v>
      </c>
      <c r="CM203" s="104">
        <f>(((CM$3*'Renewable Diesel'!$AF212)*'Feedstock Conversion Rates'!$B$6)/12)-32.5+35</f>
        <v>56.239583333333336</v>
      </c>
      <c r="CN203" s="104">
        <f>(((CN$3*'Renewable Diesel'!$AF212)*'Feedstock Conversion Rates'!$B$4)/12)+45-13</f>
        <v>74.96875</v>
      </c>
      <c r="CO203" s="106">
        <f t="shared" si="91"/>
        <v>187.98958333333334</v>
      </c>
      <c r="CP203" s="104">
        <f>('Renewable Diesel'!$AG212*'RD Feedstock Breakdown'!CP$3*'Feedstock Conversion Rates'!$B$3)/12</f>
        <v>6.0075000000000003</v>
      </c>
      <c r="CQ203" s="104">
        <f>('Renewable Diesel'!$AG212*'RD Feedstock Breakdown'!CQ$3*'Feedstock Conversion Rates'!$B$6)/12</f>
        <v>3.5175000000000001</v>
      </c>
      <c r="CR203" s="104">
        <f>('Renewable Diesel'!$AG212*'RD Feedstock Breakdown'!CR$3*'Feedstock Conversion Rates'!$B$4)/12</f>
        <v>2.8125</v>
      </c>
      <c r="CS203" s="106">
        <f t="shared" si="134"/>
        <v>12.3375</v>
      </c>
      <c r="CT203" s="104">
        <f>('Renewable Diesel'!AI212*'Feedstock Conversion Rates'!$B$4*'RD Feedstock Breakdown'!$CT$3)/12</f>
        <v>29.375</v>
      </c>
      <c r="CU203" s="106">
        <f t="shared" si="99"/>
        <v>29.375</v>
      </c>
      <c r="CV203" s="104">
        <f>('Renewable Diesel'!AN212*'Feedstock Conversion Rates'!$B$3*'RD Feedstock Breakdown'!$CV$3)/12</f>
        <v>0.50062499999999999</v>
      </c>
      <c r="CW203" s="106">
        <f t="shared" si="161"/>
        <v>0.50062499999999999</v>
      </c>
      <c r="CX203" s="104">
        <f>('Renewable Diesel'!AO212*'RD Feedstock Breakdown'!$CX$3*'Feedstock Conversion Rates'!$B$3)/12</f>
        <v>6.3412499999999996</v>
      </c>
      <c r="CY203" s="104">
        <f>('Renewable Diesel'!AO212*'RD Feedstock Breakdown'!$CY$3*'Feedstock Conversion Rates'!$B$6)/12</f>
        <v>7.4258333333333342</v>
      </c>
      <c r="CZ203" s="106">
        <f t="shared" si="135"/>
        <v>13.767083333333334</v>
      </c>
      <c r="DA203" s="104">
        <f>('Renewable Diesel'!$AP212*'RD Feedstock Breakdown'!DA$3*'Feedstock Conversion Rates'!$B$3)/12</f>
        <v>3.1706249999999998</v>
      </c>
      <c r="DB203" s="104">
        <f>('Renewable Diesel'!$AP212*'RD Feedstock Breakdown'!DB$3*'Feedstock Conversion Rates'!$B$8)/12</f>
        <v>3.7109375</v>
      </c>
      <c r="DC203" s="106">
        <f t="shared" si="165"/>
        <v>6.8815624999999994</v>
      </c>
      <c r="DD203" s="104">
        <f>('Renewable Diesel'!AQ212*$DD$3*'Feedstock Conversion Rates'!$B$14)/12</f>
        <v>3.1041666666666665</v>
      </c>
      <c r="DE203" s="106">
        <f t="shared" si="166"/>
        <v>3.1041666666666665</v>
      </c>
      <c r="DF203" s="104">
        <f>('Renewable Diesel'!AR212*'Feedstock Conversion Rates'!$B$4*$DF$3)/12</f>
        <v>75</v>
      </c>
      <c r="DG203" s="106">
        <f t="shared" si="136"/>
        <v>75</v>
      </c>
      <c r="DH203" s="104">
        <f>('Renewable Diesel'!AS212*'Feedstock Conversion Rates'!$B$4*$DH$3)/12</f>
        <v>75</v>
      </c>
      <c r="DI203" s="106">
        <f t="shared" si="142"/>
        <v>75</v>
      </c>
      <c r="DJ203" s="104">
        <f>('Renewable Diesel'!AT212*'Feedstock Conversion Rates'!$B$4*0.25)/12</f>
        <v>8.59375</v>
      </c>
      <c r="DK203" s="104">
        <f>('Renewable Diesel'!$AT212*'RD Feedstock Breakdown'!DK$3*'Feedstock Conversion Rates'!$B$3)/12*0.5</f>
        <v>9.1781249999999996</v>
      </c>
      <c r="DL203" s="104">
        <f>('Renewable Diesel'!$AT212*'RD Feedstock Breakdown'!$DL$3*'Feedstock Conversion Rates'!$B$6)/12</f>
        <v>10.747916666666669</v>
      </c>
      <c r="DM203" s="104">
        <f>('Renewable Diesel'!$AT212*'RD Feedstock Breakdown'!$DM$3*'Feedstock Conversion Rates'!$B$8)/12</f>
        <v>10.7421875</v>
      </c>
      <c r="DN203" s="106">
        <f t="shared" si="110"/>
        <v>39.26197916666667</v>
      </c>
      <c r="DP203" s="104">
        <f t="shared" si="73"/>
        <v>8.470249999999993</v>
      </c>
      <c r="DQ203" s="104">
        <f t="shared" si="74"/>
        <v>815.27089250000006</v>
      </c>
      <c r="DR203" s="104">
        <f t="shared" si="82"/>
        <v>1499.265625</v>
      </c>
      <c r="DS203" s="104">
        <f t="shared" si="100"/>
        <v>282.28354166666668</v>
      </c>
      <c r="DT203" s="104">
        <f t="shared" si="75"/>
        <v>324.32829583333341</v>
      </c>
      <c r="DU203" s="104">
        <f t="shared" si="76"/>
        <v>237.29776666666666</v>
      </c>
      <c r="DV203" s="104">
        <f t="shared" si="83"/>
        <v>35.924999999999997</v>
      </c>
      <c r="DW203" s="104">
        <f t="shared" si="77"/>
        <v>2.5</v>
      </c>
      <c r="DX203" s="106">
        <f>SUM(DP203:DW203)</f>
        <v>3205.3413716666669</v>
      </c>
      <c r="DY203" s="109">
        <f t="shared" si="163"/>
        <v>-7.3185901783290319E-13</v>
      </c>
      <c r="EA203" s="110">
        <f t="shared" si="150"/>
        <v>2.6425422499057427E-3</v>
      </c>
      <c r="EB203" s="110">
        <f t="shared" si="151"/>
        <v>0.25434760231983883</v>
      </c>
      <c r="EC203" s="110">
        <f t="shared" si="152"/>
        <v>0.4677397665823137</v>
      </c>
      <c r="ED203" s="110">
        <f t="shared" si="146"/>
        <v>8.8066607869566479E-2</v>
      </c>
      <c r="EE203" s="110">
        <f t="shared" si="146"/>
        <v>0.101183698778609</v>
      </c>
      <c r="EF203" s="110">
        <f t="shared" si="146"/>
        <v>7.403197948406974E-2</v>
      </c>
      <c r="EG203" s="110">
        <f t="shared" si="146"/>
        <v>1.1207854588455343E-2</v>
      </c>
      <c r="EH203" s="111">
        <f t="shared" si="84"/>
        <v>7.7994812724115135E-4</v>
      </c>
      <c r="EI203" s="110">
        <f t="shared" si="85"/>
        <v>0.99922005187275864</v>
      </c>
      <c r="EK203" s="132">
        <f>(EA203*'Renewable Diesel'!BF212*'Feedstock Conversion Rates'!B$2)+FB203</f>
        <v>7.9268019324286483</v>
      </c>
      <c r="EL203" s="132">
        <f>(EB203*'Renewable Diesel'!BF212*'Feedstock Conversion Rates'!B$3)+FC203</f>
        <v>718.98082038464588</v>
      </c>
      <c r="EM203" s="132">
        <f>(EC203*'Renewable Diesel'!BF212*'Feedstock Conversion Rates'!B$4)+FD203</f>
        <v>1238.0058564984911</v>
      </c>
      <c r="EN203" s="132">
        <f>(ED203*'Renewable Diesel'!BF212*'Feedstock Conversion Rates'!B$5)+FE203</f>
        <v>234.64719199551155</v>
      </c>
      <c r="EO203" s="132">
        <f>(EE203*'Renewable Diesel'!BF212*'Feedstock Conversion Rates'!B$6)+FF203</f>
        <v>334.94271057343974</v>
      </c>
      <c r="EP203" s="132">
        <f>(EF203*'Renewable Diesel'!BF212*'Feedstock Conversion Rates'!B$7)+FG203</f>
        <v>240.36118160890314</v>
      </c>
      <c r="EQ203" s="132">
        <f>(EG203*'Renewable Diesel'!BF212*'Feedstock Conversion Rates'!B$8)+FH203</f>
        <v>37.080954546253508</v>
      </c>
      <c r="ER203" s="132">
        <f>(EH203*'Renewable Diesel'!BF212*'Feedstock Conversion Rates'!B$9)+FI203</f>
        <v>2.5460363130807329</v>
      </c>
      <c r="ES203" s="132">
        <f t="shared" si="86"/>
        <v>2814.4915538527544</v>
      </c>
      <c r="ET203" s="133">
        <f>ES203/'Renewable Diesel'!BF212</f>
        <v>7.9752225052292314</v>
      </c>
      <c r="EW203" s="73">
        <f t="shared" si="124"/>
        <v>1472.6530484940026</v>
      </c>
      <c r="EX203" s="73">
        <f t="shared" si="125"/>
        <v>1341.8385053587515</v>
      </c>
      <c r="EY203" s="92">
        <f t="shared" si="164"/>
        <v>0.52323946272927679</v>
      </c>
      <c r="EZ203" s="92">
        <f t="shared" si="164"/>
        <v>0.47676053727072309</v>
      </c>
      <c r="FB203" s="102">
        <f>IF('Renewable Diesel'!$BG212&lt;1,0,(((('Renewable Diesel'!$BG212-1)*'Renewable Diesel'!$BF212)*'RD Feedstock Breakdown'!EA203)*'Feedstock Conversion Rates'!$B$2))</f>
        <v>0</v>
      </c>
      <c r="FC203" s="102">
        <f>IF('Renewable Diesel'!$BG212&lt;1,0,(((('Renewable Diesel'!$BG212-1)*'Renewable Diesel'!$BF212)*'RD Feedstock Breakdown'!EB203)*'Feedstock Conversion Rates'!$B$3))</f>
        <v>0</v>
      </c>
      <c r="FD203" s="102">
        <f>IF('Renewable Diesel'!$BG212&lt;1,0,(((('Renewable Diesel'!$BG212-1)*'Renewable Diesel'!$BF212)*'RD Feedstock Breakdown'!EC203)*'Feedstock Conversion Rates'!$B$4))</f>
        <v>0</v>
      </c>
      <c r="FE203" s="102">
        <f>IF('Renewable Diesel'!$BG212&lt;1,0,(((('Renewable Diesel'!$BG212-1)*'Renewable Diesel'!$BF212)*'RD Feedstock Breakdown'!ED203)*'Feedstock Conversion Rates'!$B$5))</f>
        <v>0</v>
      </c>
      <c r="FF203" s="102">
        <f>IF('Renewable Diesel'!$BG212&lt;1,0,(((('Renewable Diesel'!$BG212-1)*'Renewable Diesel'!$BF212)*'RD Feedstock Breakdown'!EE203)*'Feedstock Conversion Rates'!$B$6))</f>
        <v>0</v>
      </c>
      <c r="FG203" s="102">
        <f>IF('Renewable Diesel'!$BG212&lt;1,0,(((('Renewable Diesel'!$BG212-1)*'Renewable Diesel'!$BF212)*'RD Feedstock Breakdown'!EF203)*'Feedstock Conversion Rates'!$B$7))</f>
        <v>0</v>
      </c>
      <c r="FH203" s="102">
        <f>IF('Renewable Diesel'!$BG212&lt;1,0,(((('Renewable Diesel'!$BG212-1)*'Renewable Diesel'!$BF212)*'RD Feedstock Breakdown'!EG203)*'Feedstock Conversion Rates'!$B$8))</f>
        <v>0</v>
      </c>
      <c r="FI203" s="102">
        <f>IF('Renewable Diesel'!$BG212&lt;1,0,(((('Renewable Diesel'!$BG212-1)*'Renewable Diesel'!$BF212)*'RD Feedstock Breakdown'!EH203)*'Feedstock Conversion Rates'!$B$9))</f>
        <v>0</v>
      </c>
      <c r="FJ203" s="102">
        <f t="shared" si="126"/>
        <v>0</v>
      </c>
      <c r="FL203" s="3">
        <f>('Renewable Diesel'!AX212/12*$FO$80)*'RD Feedstock Breakdown'!EC203*7.5</f>
        <v>1362.5991705614852</v>
      </c>
      <c r="FM203" s="3">
        <f t="shared" si="96"/>
        <v>124.59331406299407</v>
      </c>
      <c r="FR203" s="3">
        <f>('Renewable Diesel'!AX212-'Renewable Diesel'!BI212)/12*$FO$80</f>
        <v>53.703375000000008</v>
      </c>
      <c r="FS203" s="100">
        <f t="shared" si="97"/>
        <v>0.4677397665823137</v>
      </c>
      <c r="FT203" s="3">
        <f t="shared" si="98"/>
        <v>188.39403065386847</v>
      </c>
      <c r="FY203" s="3">
        <f>'Renewable Diesel'!BF212*('Renewable Diesel'!BI212/'Renewable Diesel'!AX212)</f>
        <v>304.11160833290353</v>
      </c>
      <c r="FZ203" s="3">
        <f>('Renewable Diesel'!BJ212*'Renewable Diesel'!BG212)/12</f>
        <v>47.874701966347573</v>
      </c>
      <c r="GA203" s="3">
        <f t="shared" si="105"/>
        <v>167.94676442202936</v>
      </c>
      <c r="GD203" s="91">
        <f>'Renewable Diesel'!BB212*0.32</f>
        <v>0</v>
      </c>
      <c r="GE203" s="91">
        <f>'Renewable Diesel'!BC212</f>
        <v>124.36578844880567</v>
      </c>
      <c r="GF203" s="91">
        <f>'Renewable Diesel'!BD212</f>
        <v>0</v>
      </c>
      <c r="GG203" s="91">
        <f t="shared" si="109"/>
        <v>124.36578844880567</v>
      </c>
      <c r="GH203" s="124">
        <v>1</v>
      </c>
      <c r="GI203" s="102">
        <f>$GG203*EA203*'Feedstock Conversion Rates'!$B$2</f>
        <v>2.7934557285598727</v>
      </c>
      <c r="GJ203" s="102">
        <f>$GG203*EB203*'Feedstock Conversion Rates'!$B$3</f>
        <v>253.37344222158595</v>
      </c>
      <c r="GK203" s="102">
        <f>$GG203*EC203*'Feedstock Conversion Rates'!$B$4</f>
        <v>436.28118644902327</v>
      </c>
      <c r="GL203" s="102">
        <f>$GG203*ED203*'Feedstock Conversion Rates'!$B$5</f>
        <v>82.691172084013743</v>
      </c>
      <c r="GM203" s="102">
        <f>$GG203*EE203*'Feedstock Conversion Rates'!$B$6</f>
        <v>118.03595467208538</v>
      </c>
      <c r="GN203" s="102">
        <f>$GG203*EF203*'Feedstock Conversion Rates'!$B$7</f>
        <v>84.70481859045168</v>
      </c>
      <c r="GO203" s="102">
        <f>$GG203*EG203*'Feedstock Conversion Rates'!$B$8</f>
        <v>13.067565681682623</v>
      </c>
      <c r="GP203" s="102">
        <f>$GG203*EH203*'Feedstock Conversion Rates'!B$9</f>
        <v>0.89723949009001558</v>
      </c>
      <c r="GQ203" s="102">
        <f t="shared" si="87"/>
        <v>991.84483491749245</v>
      </c>
      <c r="GR203" s="85">
        <f t="shared" si="107"/>
        <v>7.9752225052292305</v>
      </c>
      <c r="GT203" s="103">
        <f t="shared" si="159"/>
        <v>2.8164241323011463E-3</v>
      </c>
      <c r="GU203" s="103">
        <f t="shared" si="159"/>
        <v>0.25545673405927755</v>
      </c>
      <c r="GV203" s="103">
        <f t="shared" si="159"/>
        <v>0.43986838574938558</v>
      </c>
      <c r="GW203" s="103">
        <f t="shared" si="159"/>
        <v>8.3371076979891184E-2</v>
      </c>
      <c r="GX203" s="103">
        <f t="shared" si="158"/>
        <v>0.11900647209793082</v>
      </c>
      <c r="GY203" s="103">
        <f t="shared" si="158"/>
        <v>8.5401280128154233E-2</v>
      </c>
      <c r="GZ203" s="103">
        <f t="shared" si="158"/>
        <v>1.3175010063715926E-2</v>
      </c>
      <c r="HA203" s="103">
        <f t="shared" si="158"/>
        <v>9.0461678934351992E-4</v>
      </c>
    </row>
    <row r="204" spans="1:209" x14ac:dyDescent="0.25">
      <c r="A204" s="96">
        <v>46631</v>
      </c>
      <c r="B204" s="104">
        <f>23-20+10+85-5-4-4-1.25+2.25-5+15-6-25-45+65+15-22.5-50+40+16.5+27.5+168+80+14-30+15-50-19+22.5-10+5+11-25-50-12.5-27.5-10+10+2+4-1.5+12-26-15-50-15+10-32.5-3-5-2.5-1+5+10-50-35-9-0.5+25+15+25+20+15+85-25+12.5-52.5+10+20-150+20-20+55-25-25+15+20+100-10</f>
        <v>130</v>
      </c>
      <c r="C204" s="104">
        <f t="shared" si="147"/>
        <v>0</v>
      </c>
      <c r="D204" s="104">
        <f t="shared" si="95"/>
        <v>1.5</v>
      </c>
      <c r="E204" s="104">
        <f>('Renewable Diesel'!B213*E$3*'Feedstock Conversion Rates'!$B$2)/12-40+1.25+6-43+30-15+12.5-4+1.5+26+2.5+3-10+50+9-15-25-55+15+45+10-50+60-60-44</f>
        <v>0.67999999999999261</v>
      </c>
      <c r="F204" s="104">
        <f>('Renewable Diesel'!B213*'RD Feedstock Breakdown'!F$3*'Feedstock Conversion Rates'!B$8)/12+28.5-49-5+2-6+1+6+20-20-3.75+10+2.5+5-20-20+20</f>
        <v>25.15625</v>
      </c>
      <c r="G204" s="104">
        <f>('Renewable Diesel'!B213*'RD Feedstock Breakdown'!G$3*'Feedstock Conversion Rates'!B$7)/12-25-15-25+4+4-20-40-20+10-17.5+20+50-12+32.5+35-75-75+22.5+5-20+15+125-10-45-10-40-40</f>
        <v>9.6570000000000107</v>
      </c>
      <c r="H204" s="104">
        <f>('Renewable Diesel'!B213*'RD Feedstock Breakdown'!H$3*'Feedstock Conversion Rates'!B$3)/12-85+4-15+70-65-80+50-22.5-5+25+27.5+15+50+15-10+5+50+75-5-25-85-12.5+30+22.5-25-30+150+90-120+25+10+70+20+44-100</f>
        <v>339.40022499999998</v>
      </c>
      <c r="I204" s="106">
        <f t="shared" si="106"/>
        <v>506.39347499999997</v>
      </c>
      <c r="J204" s="104">
        <f t="shared" si="160"/>
        <v>28.5</v>
      </c>
      <c r="K204" s="104">
        <f>50+15+20-80</f>
        <v>5</v>
      </c>
      <c r="L204" s="104">
        <v>1</v>
      </c>
      <c r="M204" s="104">
        <f>('Renewable Diesel'!C213*'RD Feedstock Breakdown'!M$3*'Feedstock Conversion Rates'!B$2)/12</f>
        <v>7.7902500000000003</v>
      </c>
      <c r="N204" s="104">
        <f>('Renewable Diesel'!C213*'RD Feedstock Breakdown'!N$3*'Feedstock Conversion Rates'!B$8)/12</f>
        <v>3.671875</v>
      </c>
      <c r="O204" s="104">
        <f>('Renewable Diesel'!C213*'RD Feedstock Breakdown'!O$3*'Feedstock Conversion Rates'!B$7)/12</f>
        <v>11.9991</v>
      </c>
      <c r="P204" s="104">
        <f>('Renewable Diesel'!C213*'RD Feedstock Breakdown'!P$3*'Feedstock Conversion Rates'!B$3)/12</f>
        <v>10.4470425</v>
      </c>
      <c r="Q204" s="106">
        <f t="shared" si="119"/>
        <v>68.408267499999994</v>
      </c>
      <c r="R204" s="104">
        <f>('Renewable Diesel'!D213*'RD Feedstock Breakdown'!R$3*'Feedstock Conversion Rates'!B$7)/12</f>
        <v>2.2999999999999998</v>
      </c>
      <c r="S204" s="106">
        <f t="shared" si="148"/>
        <v>2.2999999999999998</v>
      </c>
      <c r="T204" s="104">
        <f t="shared" si="154"/>
        <v>10.824999999999999</v>
      </c>
      <c r="U204" s="104">
        <v>0</v>
      </c>
      <c r="V204" s="104">
        <f>('Renewable Diesel'!E213*'RD Feedstock Breakdown'!V$3*'Feedstock Conversion Rates'!B$6)/12-20+25-10</f>
        <v>39.250150000000012</v>
      </c>
      <c r="W204" s="104">
        <f>('Renewable Diesel'!E213*'RD Feedstock Breakdown'!W$3*'Feedstock Conversion Rates'!B$8)/12-5.825</f>
        <v>16.354687500000001</v>
      </c>
      <c r="X204" s="106">
        <f t="shared" si="88"/>
        <v>66.429837500000005</v>
      </c>
      <c r="Y204" s="104">
        <f t="shared" si="155"/>
        <v>36</v>
      </c>
      <c r="Z204" s="104">
        <f>('Renewable Diesel'!F213*'RD Feedstock Breakdown'!Z$3*'Feedstock Conversion Rates'!B$6)/12-50-32-60+15+30+22.5-22.5-15+40-16+3+50</f>
        <v>124.46000000000001</v>
      </c>
      <c r="AA204" s="104">
        <f>('Renewable Diesel'!F213*'RD Feedstock Breakdown'!AA$3*'Feedstock Conversion Rates'!B$7)/12+80-171+75+30+40-55</f>
        <v>103.26666666666665</v>
      </c>
      <c r="AB204" s="106">
        <f t="shared" si="137"/>
        <v>263.72666666666669</v>
      </c>
      <c r="AC204" s="104">
        <f>('Renewable Diesel'!G213*'RD Feedstock Breakdown'!AC$3*'Feedstock Conversion Rates'!B$5)/12</f>
        <v>11.796875</v>
      </c>
      <c r="AD204" s="104">
        <f>('Renewable Diesel'!G213*'RD Feedstock Breakdown'!AD$3*'Feedstock Conversion Rates'!B$4)/12</f>
        <v>5.859375</v>
      </c>
      <c r="AE204" s="104">
        <f>('Renewable Diesel'!G213*'RD Feedstock Breakdown'!AE$3*'Feedstock Conversion Rates'!B$6)/12</f>
        <v>7.3281250000000009</v>
      </c>
      <c r="AF204" s="106">
        <f t="shared" si="101"/>
        <v>24.984375</v>
      </c>
      <c r="AG204" s="104">
        <f t="shared" si="149"/>
        <v>139</v>
      </c>
      <c r="AH204" s="104">
        <v>0</v>
      </c>
      <c r="AI204" s="104">
        <f>('Renewable Diesel'!H213*'RD Feedstock Breakdown'!AI$3*'Feedstock Conversion Rates'!B$6)/12-130-20+51-120+100-40+20</f>
        <v>9.5166666666666799</v>
      </c>
      <c r="AJ204" s="106">
        <f t="shared" si="145"/>
        <v>148.51666666666668</v>
      </c>
      <c r="AK204" s="104">
        <f>('Renewable Diesel'!J213*'RD Feedstock Breakdown'!AK$3*'Feedstock Conversion Rates'!B$4)/12</f>
        <v>95.8125</v>
      </c>
      <c r="AL204" s="106">
        <f t="shared" si="157"/>
        <v>95.8125</v>
      </c>
      <c r="AM204" s="104">
        <f>('Renewable Diesel'!K213*'RD Feedstock Breakdown'!AM$3*'Feedstock Conversion Rates'!B$4)/12+5+15-10+4+5-30</f>
        <v>47.59375</v>
      </c>
      <c r="AN204" s="104">
        <f>('Renewable Diesel'!K213*'RD Feedstock Breakdown'!AN$3*'Feedstock Conversion Rates'!B$6)/12-5-15+10-4-5+30</f>
        <v>35.427083333333329</v>
      </c>
      <c r="AO204" s="106">
        <f t="shared" si="81"/>
        <v>83.020833333333329</v>
      </c>
      <c r="AP204" s="104">
        <f>('Renewable Diesel'!L213*'RD Feedstock Breakdown'!AP$3*'Feedstock Conversion Rates'!B$4)/12+15-10+7.5+7</f>
        <v>78.09375</v>
      </c>
      <c r="AQ204" s="104">
        <f>('Renewable Diesel'!L213*'RD Feedstock Breakdown'!AQ$3*'Feedstock Conversion Rates'!B$6)/12-15+10-7.5-7</f>
        <v>4.9270833333333321</v>
      </c>
      <c r="AR204" s="106">
        <f t="shared" si="162"/>
        <v>83.020833333333329</v>
      </c>
      <c r="AS204" s="104">
        <f>('Renewable Diesel'!M213*'RD Feedstock Breakdown'!AS$3*'Feedstock Conversion Rates'!B$4)/12-100</f>
        <v>356.25</v>
      </c>
      <c r="AT204" s="104">
        <f>('Renewable Diesel'!M213*'RD Feedstock Breakdown'!AT$3*'Feedstock Conversion Rates'!B$5)/12+100</f>
        <v>100</v>
      </c>
      <c r="AU204" s="106">
        <f t="shared" si="104"/>
        <v>456.25</v>
      </c>
      <c r="AV204" s="104">
        <f>'Renewable Diesel'!N213*'RD Feedstock Breakdown'!$AV$3*'Feedstock Conversion Rates'!$B$4/12-15-10+25+25-22-7.5</f>
        <v>74.249999999999986</v>
      </c>
      <c r="AW204" s="104">
        <f>'Renewable Diesel'!N213*'RD Feedstock Breakdown'!$AW$3*'Feedstock Conversion Rates'!$B$7/12+15+10-25-25+22+7.5</f>
        <v>45.900000000000006</v>
      </c>
      <c r="AX204" s="106">
        <f t="shared" si="141"/>
        <v>120.14999999999999</v>
      </c>
      <c r="AY204" s="104">
        <f>('Renewable Diesel'!O213*'RD Feedstock Breakdown'!AY$3*'Feedstock Conversion Rates'!B$4)/12+32+2-135-247</f>
        <v>-137.0625</v>
      </c>
      <c r="AZ204" s="104">
        <f>('Renewable Diesel'!O213*'RD Feedstock Breakdown'!AZ$3*'Feedstock Conversion Rates'!B$3)/12-32-2+135+247</f>
        <v>373.03125</v>
      </c>
      <c r="BA204" s="106">
        <f t="shared" si="120"/>
        <v>235.96875</v>
      </c>
      <c r="BB204" s="104">
        <f>('Renewable Diesel'!Q213*'RD Feedstock Breakdown'!BB$3*'Feedstock Conversion Rates'!B$4)/12</f>
        <v>11.156249999999998</v>
      </c>
      <c r="BC204" s="104">
        <f>('Renewable Diesel'!Q213*'RD Feedstock Breakdown'!BC$3*'Feedstock Conversion Rates'!B$3)/12</f>
        <v>1.4017500000000001</v>
      </c>
      <c r="BD204" s="104">
        <f>('Renewable Diesel'!Q213*'RD Feedstock Breakdown'!BD$3*'Feedstock Conversion Rates'!B$6)/12</f>
        <v>0.8207500000000002</v>
      </c>
      <c r="BE204" s="106">
        <f t="shared" si="90"/>
        <v>13.378749999999998</v>
      </c>
      <c r="BF204" s="104">
        <f>('Renewable Diesel'!R213*'RD Feedstock Breakdown'!BF$3*'Feedstock Conversion Rates'!B$4)/12</f>
        <v>62.5</v>
      </c>
      <c r="BG204" s="106">
        <f t="shared" si="167"/>
        <v>62.5</v>
      </c>
      <c r="BH204" s="104">
        <f>('Renewable Diesel'!T213*'RD Feedstock Breakdown'!BH$3*'Feedstock Conversion Rates'!B$7)/12</f>
        <v>27.599999999999998</v>
      </c>
      <c r="BI204" s="106">
        <f t="shared" si="144"/>
        <v>27.599999999999998</v>
      </c>
      <c r="BJ204" s="104">
        <f>('Renewable Diesel'!W213*'RD Feedstock Breakdown'!BJ$3*'Feedstock Conversion Rates'!B$4)/12</f>
        <v>7.5</v>
      </c>
      <c r="BK204" s="104">
        <f>('Renewable Diesel'!W213*'RD Feedstock Breakdown'!BK$3*'Feedstock Conversion Rates'!B$3)/12</f>
        <v>1.335</v>
      </c>
      <c r="BL204" s="104">
        <f>('Renewable Diesel'!W213*'RD Feedstock Breakdown'!BL$3*'Feedstock Conversion Rates'!B$6)/12</f>
        <v>3.1266666666666669</v>
      </c>
      <c r="BM204" s="104">
        <f>('Renewable Diesel'!W213*'RD Feedstock Breakdown'!BM$3*'Feedstock Conversion Rates'!B$7)/12</f>
        <v>1.5333333333333332</v>
      </c>
      <c r="BN204" s="106">
        <f t="shared" si="112"/>
        <v>13.495000000000001</v>
      </c>
      <c r="BO204" s="104">
        <f>('Renewable Diesel'!P213*'Feedstock Conversion Rates'!B$4)/12</f>
        <v>31.25</v>
      </c>
      <c r="BP204" s="106">
        <f t="shared" si="102"/>
        <v>31.25</v>
      </c>
      <c r="BQ204" s="104">
        <f>('Renewable Diesel'!$S213*'RD Feedstock Breakdown'!BQ$3*'Feedstock Conversion Rates'!B$4)/12+10</f>
        <v>38.125</v>
      </c>
      <c r="BR204" s="104">
        <f>('Renewable Diesel'!$S213*'RD Feedstock Breakdown'!BR$3*'Feedstock Conversion Rates'!B$7)/12-10</f>
        <v>1.5</v>
      </c>
      <c r="BS204" s="106">
        <f t="shared" si="123"/>
        <v>39.625</v>
      </c>
      <c r="BT204" s="106"/>
      <c r="BU204" s="104">
        <f>('Renewable Diesel'!Y213*'Feedstock Conversion Rates'!B$7)/12</f>
        <v>2.6833333333333331</v>
      </c>
      <c r="BV204" s="106">
        <f t="shared" si="93"/>
        <v>2.6833333333333331</v>
      </c>
      <c r="BW204" s="104">
        <f>('Renewable Diesel'!$Z213*'RD Feedstock Breakdown'!BW$3*'Feedstock Conversion Rates'!$B$4)/12</f>
        <v>35.9375</v>
      </c>
      <c r="BX204" s="104">
        <f>('Renewable Diesel'!$Z213*'RD Feedstock Breakdown'!BX$3*'Feedstock Conversion Rates'!$B$5)/12</f>
        <v>3.6177083333333333</v>
      </c>
      <c r="BY204" s="104">
        <f>('Renewable Diesel'!$Z213*'RD Feedstock Breakdown'!BY$3*'Feedstock Conversion Rates'!$B$7)/12</f>
        <v>30.858333333333331</v>
      </c>
      <c r="BZ204" s="104">
        <f>('Renewable Diesel'!$Z213*'RD Feedstock Breakdown'!BZ$3*'Feedstock Conversion Rates'!$B$3)/12</f>
        <v>7.6762499999999996</v>
      </c>
      <c r="CA204" s="106">
        <f t="shared" si="127"/>
        <v>78.089791666666656</v>
      </c>
      <c r="CB204" s="104">
        <f>('Renewable Diesel'!AA213*'Feedstock Conversion Rates'!B$4)/12</f>
        <v>191.25</v>
      </c>
      <c r="CC204" s="106">
        <f t="shared" si="113"/>
        <v>191.25</v>
      </c>
      <c r="CD204" s="104">
        <f>('Renewable Diesel'!$AB213*'RD Feedstock Breakdown'!CD$3*'Feedstock Conversion Rates'!$B$6)/12-15</f>
        <v>17.830000000000005</v>
      </c>
      <c r="CE204" s="104">
        <f>('Renewable Diesel'!$AB213*'RD Feedstock Breakdown'!CE$3*'Feedstock Conversion Rates'!$B$4)/12+15</f>
        <v>26.25</v>
      </c>
      <c r="CF204" s="106">
        <f t="shared" si="108"/>
        <v>44.080000000000005</v>
      </c>
      <c r="CG204" s="104">
        <f>('Renewable Diesel'!AD213*'Feedstock Conversion Rates'!B$4)/12</f>
        <v>112.5</v>
      </c>
      <c r="CH204" s="106">
        <f t="shared" si="89"/>
        <v>112.5</v>
      </c>
      <c r="CI204" s="104">
        <f>('Renewable Diesel'!$AE213*'RD Feedstock Breakdown'!CI$3*'Feedstock Conversion Rates'!$B$5)/12</f>
        <v>0.34604166666666664</v>
      </c>
      <c r="CJ204" s="104">
        <f>('Renewable Diesel'!$AE213*'RD Feedstock Breakdown'!CJ$3*'Feedstock Conversion Rates'!$B$4)/12</f>
        <v>0.34375</v>
      </c>
      <c r="CK204" s="106">
        <f t="shared" si="103"/>
        <v>0.68979166666666658</v>
      </c>
      <c r="CL204" s="104">
        <f>(((CL$3*'Renewable Diesel'!$AF213)*'Feedstock Conversion Rates'!$B$3)/12)-35</f>
        <v>56.78125</v>
      </c>
      <c r="CM204" s="104">
        <f>(((CM$3*'Renewable Diesel'!$AF213)*'Feedstock Conversion Rates'!$B$6)/12)-32.5+35</f>
        <v>56.239583333333336</v>
      </c>
      <c r="CN204" s="104">
        <f>(((CN$3*'Renewable Diesel'!$AF213)*'Feedstock Conversion Rates'!$B$4)/12)+45-13</f>
        <v>74.96875</v>
      </c>
      <c r="CO204" s="106">
        <f t="shared" si="91"/>
        <v>187.98958333333334</v>
      </c>
      <c r="CP204" s="104">
        <f>('Renewable Diesel'!$AG213*'RD Feedstock Breakdown'!CP$3*'Feedstock Conversion Rates'!$B$3)/12</f>
        <v>6.0075000000000003</v>
      </c>
      <c r="CQ204" s="104">
        <f>('Renewable Diesel'!$AG213*'RD Feedstock Breakdown'!CQ$3*'Feedstock Conversion Rates'!$B$6)/12</f>
        <v>3.5175000000000001</v>
      </c>
      <c r="CR204" s="104">
        <f>('Renewable Diesel'!$AG213*'RD Feedstock Breakdown'!CR$3*'Feedstock Conversion Rates'!$B$4)/12</f>
        <v>2.8125</v>
      </c>
      <c r="CS204" s="106">
        <f t="shared" si="134"/>
        <v>12.3375</v>
      </c>
      <c r="CT204" s="104">
        <f>('Renewable Diesel'!AI213*'Feedstock Conversion Rates'!$B$4*'RD Feedstock Breakdown'!$CT$3)/12</f>
        <v>29.375</v>
      </c>
      <c r="CU204" s="106">
        <f t="shared" si="99"/>
        <v>29.375</v>
      </c>
      <c r="CV204" s="104">
        <f>('Renewable Diesel'!AN213*'Feedstock Conversion Rates'!$B$3*'RD Feedstock Breakdown'!$CV$3)/12</f>
        <v>0.50062499999999999</v>
      </c>
      <c r="CW204" s="106">
        <f t="shared" si="161"/>
        <v>0.50062499999999999</v>
      </c>
      <c r="CX204" s="104">
        <f>('Renewable Diesel'!AO213*'RD Feedstock Breakdown'!$CX$3*'Feedstock Conversion Rates'!$B$3)/12</f>
        <v>6.3412499999999996</v>
      </c>
      <c r="CY204" s="104">
        <f>('Renewable Diesel'!AO213*'RD Feedstock Breakdown'!$CY$3*'Feedstock Conversion Rates'!$B$6)/12</f>
        <v>7.4258333333333342</v>
      </c>
      <c r="CZ204" s="106">
        <f t="shared" si="135"/>
        <v>13.767083333333334</v>
      </c>
      <c r="DA204" s="104">
        <f>('Renewable Diesel'!$AP213*'RD Feedstock Breakdown'!DA$3*'Feedstock Conversion Rates'!$B$3)/12</f>
        <v>6.3412499999999996</v>
      </c>
      <c r="DB204" s="104">
        <f>('Renewable Diesel'!$AP213*'RD Feedstock Breakdown'!DB$3*'Feedstock Conversion Rates'!$B$8)/12</f>
        <v>7.421875</v>
      </c>
      <c r="DC204" s="106">
        <f t="shared" si="165"/>
        <v>13.763124999999999</v>
      </c>
      <c r="DD204" s="104">
        <f>('Renewable Diesel'!AQ213*$DD$3*'Feedstock Conversion Rates'!$B$14)/12</f>
        <v>3.1041666666666665</v>
      </c>
      <c r="DE204" s="106">
        <f t="shared" si="166"/>
        <v>3.1041666666666665</v>
      </c>
      <c r="DF204" s="104">
        <f>('Renewable Diesel'!AR213*'Feedstock Conversion Rates'!$B$4*$DF$3)/12</f>
        <v>75</v>
      </c>
      <c r="DG204" s="106">
        <f t="shared" si="136"/>
        <v>75</v>
      </c>
      <c r="DH204" s="104">
        <f>('Renewable Diesel'!AS213*'Feedstock Conversion Rates'!$B$4*$DH$3)/12</f>
        <v>75</v>
      </c>
      <c r="DI204" s="106">
        <f t="shared" si="142"/>
        <v>75</v>
      </c>
      <c r="DJ204" s="104">
        <f>('Renewable Diesel'!AT213*'Feedstock Conversion Rates'!$B$4*0.25)/12</f>
        <v>8.59375</v>
      </c>
      <c r="DK204" s="104">
        <f>('Renewable Diesel'!$AT213*'RD Feedstock Breakdown'!DK$3*'Feedstock Conversion Rates'!$B$3)/12*0.5</f>
        <v>9.1781249999999996</v>
      </c>
      <c r="DL204" s="104">
        <f>('Renewable Diesel'!$AT213*'RD Feedstock Breakdown'!$DL$3*'Feedstock Conversion Rates'!$B$6)/12</f>
        <v>10.747916666666669</v>
      </c>
      <c r="DM204" s="104">
        <f>('Renewable Diesel'!$AT213*'RD Feedstock Breakdown'!$DM$3*'Feedstock Conversion Rates'!$B$8)/12</f>
        <v>10.7421875</v>
      </c>
      <c r="DN204" s="106">
        <f t="shared" si="110"/>
        <v>39.26197916666667</v>
      </c>
      <c r="DP204" s="104">
        <f t="shared" ref="DP204:DP267" si="168">E204+M204</f>
        <v>8.470249999999993</v>
      </c>
      <c r="DQ204" s="104">
        <f t="shared" ref="DQ204:DQ267" si="169">H204+P204+AZ204+BC204+BK204+BZ204+CL204+CP204+CV204+CX204+DA204+DK204</f>
        <v>818.44151750000003</v>
      </c>
      <c r="DR204" s="104">
        <f t="shared" si="82"/>
        <v>1489.265625</v>
      </c>
      <c r="DS204" s="104">
        <f t="shared" si="100"/>
        <v>282.28354166666668</v>
      </c>
      <c r="DT204" s="104">
        <f t="shared" ref="DT204:DT267" si="170">V204+Z204+AE204+AI204+BD204+BL204+AN204+AQ204+CD204+CM204+CQ204+CY204+DB204+DL204</f>
        <v>328.03923333333341</v>
      </c>
      <c r="DU204" s="104">
        <f t="shared" ref="DU204:DU267" si="171">G204+O204+R204+AA204+AW204+BH204+BM204+BR204+BU204+BY204</f>
        <v>237.29776666666666</v>
      </c>
      <c r="DV204" s="104">
        <f t="shared" si="83"/>
        <v>55.924999999999997</v>
      </c>
      <c r="DW204" s="104">
        <f t="shared" ref="DW204:DW267" si="172">D204+L204</f>
        <v>2.5</v>
      </c>
      <c r="DX204" s="106">
        <f>SUM(DP204:DW204)</f>
        <v>3222.2229341666666</v>
      </c>
      <c r="DY204" s="109">
        <f t="shared" si="163"/>
        <v>-4.4941828036826337E-13</v>
      </c>
      <c r="EA204" s="110">
        <f t="shared" si="150"/>
        <v>2.6286976950558433E-3</v>
      </c>
      <c r="EB204" s="110">
        <f t="shared" si="151"/>
        <v>0.25399903551728209</v>
      </c>
      <c r="EC204" s="110">
        <f t="shared" si="152"/>
        <v>0.46218578150153811</v>
      </c>
      <c r="ED204" s="110">
        <f t="shared" si="146"/>
        <v>8.760521771274371E-2</v>
      </c>
      <c r="EE204" s="110">
        <f t="shared" si="146"/>
        <v>0.10180525681664888</v>
      </c>
      <c r="EF204" s="110">
        <f t="shared" si="146"/>
        <v>7.3644118211217677E-2</v>
      </c>
      <c r="EG204" s="110">
        <f t="shared" si="146"/>
        <v>1.7356030647973572E-2</v>
      </c>
      <c r="EH204" s="111">
        <f t="shared" si="84"/>
        <v>7.7586189754016868E-4</v>
      </c>
      <c r="EI204" s="110">
        <f t="shared" si="85"/>
        <v>0.99922413810245991</v>
      </c>
      <c r="EK204" s="132">
        <f>(EA204*'Renewable Diesel'!BF213*'Feedstock Conversion Rates'!B$2)+FB204</f>
        <v>8.5720318230502688</v>
      </c>
      <c r="EL204" s="132">
        <f>(EB204*'Renewable Diesel'!BF213*'Feedstock Conversion Rates'!B$3)+FC204</f>
        <v>780.52854101962578</v>
      </c>
      <c r="EM204" s="132">
        <f>(EC204*'Renewable Diesel'!BF213*'Feedstock Conversion Rates'!B$4)+FD204</f>
        <v>1329.8481359993393</v>
      </c>
      <c r="EN204" s="132">
        <f>(ED204*'Renewable Diesel'!BF213*'Feedstock Conversion Rates'!B$5)+FE204</f>
        <v>253.74712451767397</v>
      </c>
      <c r="EO204" s="132">
        <f>(EE204*'Renewable Diesel'!BF213*'Feedstock Conversion Rates'!B$6)+FF204</f>
        <v>366.3508865120827</v>
      </c>
      <c r="EP204" s="132">
        <f>(EF204*'Renewable Diesel'!BF213*'Feedstock Conversion Rates'!B$7)+FG204</f>
        <v>259.92622438923655</v>
      </c>
      <c r="EQ204" s="132">
        <f>(EG204*'Renewable Diesel'!BF213*'Feedstock Conversion Rates'!B$8)+FH204</f>
        <v>62.4231800537287</v>
      </c>
      <c r="ER204" s="132">
        <f>(EH204*'Renewable Diesel'!BF213*'Feedstock Conversion Rates'!B$9)+FI204</f>
        <v>2.7532798831625236</v>
      </c>
      <c r="ES204" s="132">
        <f t="shared" si="86"/>
        <v>3064.1494041978999</v>
      </c>
      <c r="ET204" s="133">
        <f>ES204/'Renewable Diesel'!BF213</f>
        <v>7.9870376662545235</v>
      </c>
      <c r="EW204" s="73">
        <f t="shared" si="124"/>
        <v>1583.5952605170132</v>
      </c>
      <c r="EX204" s="73">
        <f t="shared" si="125"/>
        <v>1480.5541436808867</v>
      </c>
      <c r="EY204" s="92">
        <f t="shared" si="164"/>
        <v>0.51681398379187382</v>
      </c>
      <c r="EZ204" s="92">
        <f t="shared" si="164"/>
        <v>0.48318601620812618</v>
      </c>
      <c r="FB204" s="102">
        <f>IF('Renewable Diesel'!$BG213&lt;1,0,(((('Renewable Diesel'!$BG213-1)*'Renewable Diesel'!$BF213)*'RD Feedstock Breakdown'!EA204)*'Feedstock Conversion Rates'!$B$2))</f>
        <v>0</v>
      </c>
      <c r="FC204" s="102">
        <f>IF('Renewable Diesel'!$BG213&lt;1,0,(((('Renewable Diesel'!$BG213-1)*'Renewable Diesel'!$BF213)*'RD Feedstock Breakdown'!EB204)*'Feedstock Conversion Rates'!$B$3))</f>
        <v>0</v>
      </c>
      <c r="FD204" s="102">
        <f>IF('Renewable Diesel'!$BG213&lt;1,0,(((('Renewable Diesel'!$BG213-1)*'Renewable Diesel'!$BF213)*'RD Feedstock Breakdown'!EC204)*'Feedstock Conversion Rates'!$B$4))</f>
        <v>0</v>
      </c>
      <c r="FE204" s="102">
        <f>IF('Renewable Diesel'!$BG213&lt;1,0,(((('Renewable Diesel'!$BG213-1)*'Renewable Diesel'!$BF213)*'RD Feedstock Breakdown'!ED204)*'Feedstock Conversion Rates'!$B$5))</f>
        <v>0</v>
      </c>
      <c r="FF204" s="102">
        <f>IF('Renewable Diesel'!$BG213&lt;1,0,(((('Renewable Diesel'!$BG213-1)*'Renewable Diesel'!$BF213)*'RD Feedstock Breakdown'!EE204)*'Feedstock Conversion Rates'!$B$6))</f>
        <v>0</v>
      </c>
      <c r="FG204" s="102">
        <f>IF('Renewable Diesel'!$BG213&lt;1,0,(((('Renewable Diesel'!$BG213-1)*'Renewable Diesel'!$BF213)*'RD Feedstock Breakdown'!EF204)*'Feedstock Conversion Rates'!$B$7))</f>
        <v>0</v>
      </c>
      <c r="FH204" s="102">
        <f>IF('Renewable Diesel'!$BG213&lt;1,0,(((('Renewable Diesel'!$BG213-1)*'Renewable Diesel'!$BF213)*'RD Feedstock Breakdown'!EG204)*'Feedstock Conversion Rates'!$B$8))</f>
        <v>0</v>
      </c>
      <c r="FI204" s="102">
        <f>IF('Renewable Diesel'!$BG213&lt;1,0,(((('Renewable Diesel'!$BG213-1)*'Renewable Diesel'!$BF213)*'RD Feedstock Breakdown'!EH204)*'Feedstock Conversion Rates'!$B$9))</f>
        <v>0</v>
      </c>
      <c r="FJ204" s="102">
        <f t="shared" si="126"/>
        <v>0</v>
      </c>
      <c r="FL204" s="3">
        <f>('Renewable Diesel'!AX213/12*$FO$80)*'RD Feedstock Breakdown'!EC204*7.5</f>
        <v>1348.8893477452957</v>
      </c>
      <c r="FM204" s="3">
        <f t="shared" si="96"/>
        <v>19.041211745956389</v>
      </c>
      <c r="FR204" s="3">
        <f>('Renewable Diesel'!AX213-'Renewable Diesel'!BI213)/12*$FO$80</f>
        <v>54.415875000000007</v>
      </c>
      <c r="FS204" s="100">
        <f t="shared" si="97"/>
        <v>0.46218578150153811</v>
      </c>
      <c r="FT204" s="3">
        <f t="shared" si="98"/>
        <v>188.62682784723762</v>
      </c>
      <c r="FY204" s="3">
        <f>'Renewable Diesel'!BF213*('Renewable Diesel'!BI213/'Renewable Diesel'!AX213)</f>
        <v>329.99255587969054</v>
      </c>
      <c r="FZ204" s="3">
        <f>('Renewable Diesel'!BJ213*'Renewable Diesel'!BG213)/12</f>
        <v>52.638228547594117</v>
      </c>
      <c r="GA204" s="3">
        <f t="shared" si="105"/>
        <v>182.46480598594772</v>
      </c>
      <c r="GD204" s="91">
        <f>'Renewable Diesel'!BB213*0.32</f>
        <v>0</v>
      </c>
      <c r="GE204" s="91">
        <f>'Renewable Diesel'!BC213</f>
        <v>150.93632087113687</v>
      </c>
      <c r="GF204" s="91">
        <f>'Renewable Diesel'!BD213</f>
        <v>0</v>
      </c>
      <c r="GG204" s="91">
        <f t="shared" si="109"/>
        <v>150.93632087113687</v>
      </c>
      <c r="GH204" s="124">
        <v>1</v>
      </c>
      <c r="GI204" s="102">
        <f>$GG204*EA204*'Feedstock Conversion Rates'!$B$2</f>
        <v>3.3725106495804167</v>
      </c>
      <c r="GJ204" s="102">
        <f>$GG204*EB204*'Feedstock Conversion Rates'!$B$3</f>
        <v>307.08481620562424</v>
      </c>
      <c r="GK204" s="102">
        <f>$GG204*EC204*'Feedstock Conversion Rates'!$B$4</f>
        <v>523.20466064094978</v>
      </c>
      <c r="GL204" s="102">
        <f>$GG204*ED204*'Feedstock Conversion Rates'!$B$5</f>
        <v>99.832209842607483</v>
      </c>
      <c r="GM204" s="102">
        <f>$GG204*EE204*'Feedstock Conversion Rates'!$B$6</f>
        <v>144.13412032872947</v>
      </c>
      <c r="GN204" s="102">
        <f>$GG204*EF204*'Feedstock Conversion Rates'!$B$7</f>
        <v>102.26326476072262</v>
      </c>
      <c r="GO204" s="102">
        <f>$GG204*EG204*'Feedstock Conversion Rates'!$B$8</f>
        <v>24.559269477485859</v>
      </c>
      <c r="GP204" s="102">
        <f>$GG204*EH204*'Feedstock Conversion Rates'!B$9</f>
        <v>1.0832280979490112</v>
      </c>
      <c r="GQ204" s="102">
        <f t="shared" si="87"/>
        <v>1205.534080003649</v>
      </c>
      <c r="GR204" s="85">
        <f t="shared" si="107"/>
        <v>7.9870376662545235</v>
      </c>
      <c r="GT204" s="103">
        <f t="shared" si="159"/>
        <v>2.79752410613743E-3</v>
      </c>
      <c r="GU204" s="103">
        <f t="shared" si="159"/>
        <v>0.25472927003830093</v>
      </c>
      <c r="GV204" s="103">
        <f t="shared" si="159"/>
        <v>0.43400238062068408</v>
      </c>
      <c r="GW204" s="103">
        <f t="shared" si="159"/>
        <v>8.281160317118974E-2</v>
      </c>
      <c r="GX204" s="103">
        <f t="shared" si="158"/>
        <v>0.11956038632130019</v>
      </c>
      <c r="GY204" s="103">
        <f t="shared" si="158"/>
        <v>8.482818234422132E-2</v>
      </c>
      <c r="GZ204" s="103">
        <f t="shared" si="158"/>
        <v>2.0372107172126997E-2</v>
      </c>
      <c r="HA204" s="103">
        <f t="shared" si="158"/>
        <v>8.9854622603927753E-4</v>
      </c>
    </row>
    <row r="205" spans="1:209" x14ac:dyDescent="0.25">
      <c r="A205" s="96">
        <v>46661</v>
      </c>
      <c r="B205" s="104">
        <f>23-20+10+85-5-4-4-1.25+2.25-5+15-6-25-45+65+15-22.5-50+40+16.5+27.5+168+80+14-30+15-50-19+22.5-10+5+11-25-50-12.5-27.5-10+10+2+4-1.5+12-26-15-50-15+10-32.5-3-5-2.5-1+5+10-50-35-9-0.5+25+15+25+20+15+85-25+12.5-52.5+10+20-150+20-20+55-25-25+25+100-10+10</f>
        <v>130</v>
      </c>
      <c r="C205" s="104">
        <f>40-10-2.5-27.5+25+25+25-70+120-15-100-10+30</f>
        <v>30</v>
      </c>
      <c r="D205" s="104">
        <f t="shared" si="95"/>
        <v>1.5</v>
      </c>
      <c r="E205" s="104">
        <f>('Renewable Diesel'!B214*E$3*'Feedstock Conversion Rates'!$B$2)/12-40+1.25+6-43+30-15+12.5-4+1.5+26+2.5+3-10+50+9-15-25-55+15+45+10-50+60-60-44+25</f>
        <v>25.679999999999993</v>
      </c>
      <c r="F205" s="104">
        <f>('Renewable Diesel'!B214*'RD Feedstock Breakdown'!F$3*'Feedstock Conversion Rates'!B$8)/12+28.5-49-5+2-6+1+6+20-20-3.75+10+2.5+5-20-20+10-10</f>
        <v>5.15625</v>
      </c>
      <c r="G205" s="104">
        <f>('Renewable Diesel'!B214*'RD Feedstock Breakdown'!G$3*'Feedstock Conversion Rates'!B$7)/12-25-15-25+4+4-20-40-20+10-17.5+20+50-12+32.5+35-75-75+22.5+5-20+15+125-10-45-10-40-40</f>
        <v>9.6570000000000107</v>
      </c>
      <c r="H205" s="104">
        <f>('Renewable Diesel'!B214*'RD Feedstock Breakdown'!H$3*'Feedstock Conversion Rates'!B$3)/12-85+4-15+70-65-80+50-22.5-5+25+27.5+15+50+15-10+5+50+75-5-25-85-12.5+30+22.5-25-30+150+90-120+25+10+70+44-25-100</f>
        <v>294.40022499999998</v>
      </c>
      <c r="I205" s="106">
        <f t="shared" si="106"/>
        <v>496.39347499999997</v>
      </c>
      <c r="J205" s="104">
        <f>2+10+12+15-6-20-5-5+7+105+30+87+5-10-5-25-27.5+1-1-15-17.5-6-10-77.5-7.5-1+17.5+15+90+2+2.5+2.5+7.5+27.5-32-11-25+5-50-30-20-20+20-20+50-50</f>
        <v>16.5</v>
      </c>
      <c r="K205" s="104">
        <f>50-30-20+30+20-40</f>
        <v>10</v>
      </c>
      <c r="L205" s="104">
        <v>1</v>
      </c>
      <c r="M205" s="104">
        <f>('Renewable Diesel'!C214*'RD Feedstock Breakdown'!M$3*'Feedstock Conversion Rates'!B$2)/12</f>
        <v>7.7902500000000003</v>
      </c>
      <c r="N205" s="104">
        <f>('Renewable Diesel'!C214*'RD Feedstock Breakdown'!N$3*'Feedstock Conversion Rates'!B$8)/12</f>
        <v>3.671875</v>
      </c>
      <c r="O205" s="104">
        <f>('Renewable Diesel'!C214*'RD Feedstock Breakdown'!O$3*'Feedstock Conversion Rates'!B$7)/12</f>
        <v>11.9991</v>
      </c>
      <c r="P205" s="104">
        <f>('Renewable Diesel'!C214*'RD Feedstock Breakdown'!P$3*'Feedstock Conversion Rates'!B$3)/12</f>
        <v>10.4470425</v>
      </c>
      <c r="Q205" s="106">
        <f t="shared" si="119"/>
        <v>61.408267500000001</v>
      </c>
      <c r="R205" s="104">
        <f>('Renewable Diesel'!D214*'RD Feedstock Breakdown'!R$3*'Feedstock Conversion Rates'!B$7)/12</f>
        <v>2.2999999999999998</v>
      </c>
      <c r="S205" s="106">
        <f t="shared" si="148"/>
        <v>2.2999999999999998</v>
      </c>
      <c r="T205" s="104">
        <f>5.825+20-25+35-30</f>
        <v>5.8250000000000028</v>
      </c>
      <c r="U205" s="104">
        <f>30+15</f>
        <v>45</v>
      </c>
      <c r="V205" s="104">
        <f>('Renewable Diesel'!E214*'RD Feedstock Breakdown'!V$3*'Feedstock Conversion Rates'!B$6)/12-20+25-35</f>
        <v>14.250150000000012</v>
      </c>
      <c r="W205" s="104">
        <f>('Renewable Diesel'!E214*'RD Feedstock Breakdown'!W$3*'Feedstock Conversion Rates'!B$8)/12-5.825-15</f>
        <v>1.3546875000000007</v>
      </c>
      <c r="X205" s="106">
        <f t="shared" si="88"/>
        <v>66.429837500000005</v>
      </c>
      <c r="Y205" s="104">
        <f>50+32-80+171+60-15-75-50-20-30-22.5+20+70-70+50+6+35+5-5-6</f>
        <v>125.5</v>
      </c>
      <c r="Z205" s="104">
        <f>('Renewable Diesel'!F214*'RD Feedstock Breakdown'!Z$3*'Feedstock Conversion Rates'!B$6)/12-50-32-60+15+30+22.5-70+70-35+5+6</f>
        <v>60.960000000000008</v>
      </c>
      <c r="AA205" s="104">
        <f>('Renewable Diesel'!F214*'RD Feedstock Breakdown'!AA$3*'Feedstock Conversion Rates'!B$7)/12+80-171+75+30+20-50-6-5</f>
        <v>77.266666666666652</v>
      </c>
      <c r="AB205" s="106">
        <f t="shared" si="137"/>
        <v>263.72666666666669</v>
      </c>
      <c r="AC205" s="104">
        <f>('Renewable Diesel'!G214*'RD Feedstock Breakdown'!AC$3*'Feedstock Conversion Rates'!B$5)/12</f>
        <v>11.796875</v>
      </c>
      <c r="AD205" s="104">
        <f>('Renewable Diesel'!G214*'RD Feedstock Breakdown'!AD$3*'Feedstock Conversion Rates'!B$4)/12</f>
        <v>5.859375</v>
      </c>
      <c r="AE205" s="104">
        <f>('Renewable Diesel'!G214*'RD Feedstock Breakdown'!AE$3*'Feedstock Conversion Rates'!B$6)/12</f>
        <v>7.3281250000000009</v>
      </c>
      <c r="AF205" s="106">
        <f t="shared" si="101"/>
        <v>24.984375</v>
      </c>
      <c r="AG205" s="104">
        <f>130+20-51+120-2.5-100+45-25-30</f>
        <v>106.5</v>
      </c>
      <c r="AH205" s="104">
        <v>30</v>
      </c>
      <c r="AI205" s="104">
        <f>('Renewable Diesel'!H214*'RD Feedstock Breakdown'!AI$3*'Feedstock Conversion Rates'!B$6)/12-130-20+51-120+2.5+100-45+25</f>
        <v>12.01666666666668</v>
      </c>
      <c r="AJ205" s="106">
        <f t="shared" si="145"/>
        <v>118.51666666666668</v>
      </c>
      <c r="AK205" s="104">
        <f>('Renewable Diesel'!J214*'RD Feedstock Breakdown'!AK$3*'Feedstock Conversion Rates'!B$4)/12</f>
        <v>95.8125</v>
      </c>
      <c r="AL205" s="106">
        <f t="shared" si="157"/>
        <v>95.8125</v>
      </c>
      <c r="AM205" s="104">
        <f>('Renewable Diesel'!K214*'RD Feedstock Breakdown'!AM$3*'Feedstock Conversion Rates'!B$4)/12+5+15-10+9-27</f>
        <v>50.59375</v>
      </c>
      <c r="AN205" s="104">
        <f>('Renewable Diesel'!K214*'RD Feedstock Breakdown'!AN$3*'Feedstock Conversion Rates'!B$6)/12-5-15+10-9+27</f>
        <v>32.427083333333329</v>
      </c>
      <c r="AO205" s="106">
        <f t="shared" ref="AO205:AO268" si="173">SUM(AM205:AN205)</f>
        <v>83.020833333333329</v>
      </c>
      <c r="AP205" s="104">
        <f>('Renewable Diesel'!L214*'RD Feedstock Breakdown'!AP$3*'Feedstock Conversion Rates'!B$4)/12+15-10+2.5+12</f>
        <v>78.09375</v>
      </c>
      <c r="AQ205" s="104">
        <f>('Renewable Diesel'!L214*'RD Feedstock Breakdown'!AQ$3*'Feedstock Conversion Rates'!B$6)/12-15+10-2.5-12</f>
        <v>4.9270833333333321</v>
      </c>
      <c r="AR205" s="106">
        <f t="shared" si="162"/>
        <v>83.020833333333329</v>
      </c>
      <c r="AS205" s="104">
        <f>('Renewable Diesel'!M214*'RD Feedstock Breakdown'!AS$3*'Feedstock Conversion Rates'!B$4)/12</f>
        <v>456.25</v>
      </c>
      <c r="AT205" s="104">
        <f>('Renewable Diesel'!M214*'RD Feedstock Breakdown'!AT$3*'Feedstock Conversion Rates'!B$5)/12</f>
        <v>0</v>
      </c>
      <c r="AU205" s="106">
        <f t="shared" si="104"/>
        <v>456.25</v>
      </c>
      <c r="AV205" s="104">
        <f>'Renewable Diesel'!N214*'RD Feedstock Breakdown'!$AV$3*'Feedstock Conversion Rates'!$B$4/12-15-10+25+25-22-25-12.5</f>
        <v>44.249999999999986</v>
      </c>
      <c r="AW205" s="104">
        <f>'Renewable Diesel'!N214*'RD Feedstock Breakdown'!$AW$3*'Feedstock Conversion Rates'!$B$7/12+15+10-25-25+22+25+12.5</f>
        <v>75.900000000000006</v>
      </c>
      <c r="AX205" s="106">
        <f t="shared" si="141"/>
        <v>120.14999999999999</v>
      </c>
      <c r="AY205" s="104">
        <f>('Renewable Diesel'!O214*'RD Feedstock Breakdown'!AY$3*'Feedstock Conversion Rates'!B$4)/12+32+2-135-247+50</f>
        <v>-87.0625</v>
      </c>
      <c r="AZ205" s="104">
        <f>('Renewable Diesel'!O214*'RD Feedstock Breakdown'!AZ$3*'Feedstock Conversion Rates'!B$3)/12-32-2+135+247-50</f>
        <v>323.03125</v>
      </c>
      <c r="BA205" s="106">
        <f t="shared" si="120"/>
        <v>235.96875</v>
      </c>
      <c r="BB205" s="104">
        <f>('Renewable Diesel'!Q214*'RD Feedstock Breakdown'!BB$3*'Feedstock Conversion Rates'!B$4)/12</f>
        <v>11.156249999999998</v>
      </c>
      <c r="BC205" s="104">
        <f>('Renewable Diesel'!Q214*'RD Feedstock Breakdown'!BC$3*'Feedstock Conversion Rates'!B$3)/12</f>
        <v>1.4017500000000001</v>
      </c>
      <c r="BD205" s="104">
        <f>('Renewable Diesel'!Q214*'RD Feedstock Breakdown'!BD$3*'Feedstock Conversion Rates'!B$6)/12</f>
        <v>0.8207500000000002</v>
      </c>
      <c r="BE205" s="106">
        <f t="shared" si="90"/>
        <v>13.378749999999998</v>
      </c>
      <c r="BF205" s="104">
        <f>('Renewable Diesel'!R214*'RD Feedstock Breakdown'!BF$3*'Feedstock Conversion Rates'!B$4)/12</f>
        <v>62.5</v>
      </c>
      <c r="BG205" s="106">
        <f t="shared" si="167"/>
        <v>62.5</v>
      </c>
      <c r="BH205" s="104">
        <f>('Renewable Diesel'!T214*'RD Feedstock Breakdown'!BH$3*'Feedstock Conversion Rates'!B$7)/12</f>
        <v>27.599999999999998</v>
      </c>
      <c r="BI205" s="106">
        <f t="shared" si="144"/>
        <v>27.599999999999998</v>
      </c>
      <c r="BJ205" s="104">
        <f>('Renewable Diesel'!W214*'RD Feedstock Breakdown'!BJ$3*'Feedstock Conversion Rates'!B$4)/12</f>
        <v>7.5</v>
      </c>
      <c r="BK205" s="104">
        <f>('Renewable Diesel'!W214*'RD Feedstock Breakdown'!BK$3*'Feedstock Conversion Rates'!B$3)/12</f>
        <v>1.335</v>
      </c>
      <c r="BL205" s="104">
        <f>('Renewable Diesel'!W214*'RD Feedstock Breakdown'!BL$3*'Feedstock Conversion Rates'!B$6)/12</f>
        <v>3.1266666666666669</v>
      </c>
      <c r="BM205" s="104">
        <f>('Renewable Diesel'!W214*'RD Feedstock Breakdown'!BM$3*'Feedstock Conversion Rates'!B$7)/12</f>
        <v>1.5333333333333332</v>
      </c>
      <c r="BN205" s="106">
        <f t="shared" si="112"/>
        <v>13.495000000000001</v>
      </c>
      <c r="BO205" s="104">
        <f>('Renewable Diesel'!P214*'Feedstock Conversion Rates'!B$4)/12</f>
        <v>31.25</v>
      </c>
      <c r="BP205" s="106">
        <f t="shared" si="102"/>
        <v>31.25</v>
      </c>
      <c r="BQ205" s="104">
        <f>('Renewable Diesel'!$S214*'RD Feedstock Breakdown'!BQ$3*'Feedstock Conversion Rates'!B$4)/12+10</f>
        <v>38.125</v>
      </c>
      <c r="BR205" s="104">
        <f>('Renewable Diesel'!$S214*'RD Feedstock Breakdown'!BR$3*'Feedstock Conversion Rates'!B$7)/12-10</f>
        <v>1.5</v>
      </c>
      <c r="BS205" s="106">
        <f t="shared" si="123"/>
        <v>39.625</v>
      </c>
      <c r="BT205" s="106"/>
      <c r="BU205" s="104">
        <f>('Renewable Diesel'!Y214*'Feedstock Conversion Rates'!B$7)/12</f>
        <v>2.6833333333333331</v>
      </c>
      <c r="BV205" s="106">
        <f t="shared" si="93"/>
        <v>2.6833333333333331</v>
      </c>
      <c r="BW205" s="104">
        <f>('Renewable Diesel'!$Z214*'RD Feedstock Breakdown'!BW$3*'Feedstock Conversion Rates'!$B$4)/12</f>
        <v>35.9375</v>
      </c>
      <c r="BX205" s="104">
        <f>('Renewable Diesel'!$Z214*'RD Feedstock Breakdown'!BX$3*'Feedstock Conversion Rates'!$B$5)/12</f>
        <v>3.6177083333333333</v>
      </c>
      <c r="BY205" s="104">
        <f>('Renewable Diesel'!$Z214*'RD Feedstock Breakdown'!BY$3*'Feedstock Conversion Rates'!$B$7)/12</f>
        <v>30.858333333333331</v>
      </c>
      <c r="BZ205" s="104">
        <f>('Renewable Diesel'!$Z214*'RD Feedstock Breakdown'!BZ$3*'Feedstock Conversion Rates'!$B$3)/12</f>
        <v>7.6762499999999996</v>
      </c>
      <c r="CA205" s="106">
        <f t="shared" si="127"/>
        <v>78.089791666666656</v>
      </c>
      <c r="CB205" s="104">
        <f>('Renewable Diesel'!AA214*'Feedstock Conversion Rates'!B$4)/12</f>
        <v>191.25</v>
      </c>
      <c r="CC205" s="106">
        <f t="shared" si="113"/>
        <v>191.25</v>
      </c>
      <c r="CD205" s="104">
        <f>('Renewable Diesel'!$AB214*'RD Feedstock Breakdown'!CD$3*'Feedstock Conversion Rates'!$B$6)/12-15</f>
        <v>17.830000000000005</v>
      </c>
      <c r="CE205" s="104">
        <f>('Renewable Diesel'!$AB214*'RD Feedstock Breakdown'!CE$3*'Feedstock Conversion Rates'!$B$4)/12+15</f>
        <v>26.25</v>
      </c>
      <c r="CF205" s="106">
        <f t="shared" si="108"/>
        <v>44.080000000000005</v>
      </c>
      <c r="CG205" s="104">
        <f>('Renewable Diesel'!AD214*'Feedstock Conversion Rates'!B$4)/12</f>
        <v>112.5</v>
      </c>
      <c r="CH205" s="106">
        <f t="shared" si="89"/>
        <v>112.5</v>
      </c>
      <c r="CI205" s="104">
        <f>('Renewable Diesel'!$AE214*'RD Feedstock Breakdown'!CI$3*'Feedstock Conversion Rates'!$B$5)/12</f>
        <v>0.34604166666666664</v>
      </c>
      <c r="CJ205" s="104">
        <f>('Renewable Diesel'!$AE214*'RD Feedstock Breakdown'!CJ$3*'Feedstock Conversion Rates'!$B$4)/12</f>
        <v>0.34375</v>
      </c>
      <c r="CK205" s="106">
        <f t="shared" si="103"/>
        <v>0.68979166666666658</v>
      </c>
      <c r="CL205" s="104">
        <f>(((CL$3*'Renewable Diesel'!$AF214)*'Feedstock Conversion Rates'!$B$3)/12)-35</f>
        <v>56.78125</v>
      </c>
      <c r="CM205" s="104">
        <f>(((CM$3*'Renewable Diesel'!$AF214)*'Feedstock Conversion Rates'!$B$6)/12)-32.5+35+30</f>
        <v>86.239583333333343</v>
      </c>
      <c r="CN205" s="104">
        <f>(((CN$3*'Renewable Diesel'!$AF214)*'Feedstock Conversion Rates'!$B$4)/12)</f>
        <v>42.96875</v>
      </c>
      <c r="CO205" s="106">
        <f t="shared" si="91"/>
        <v>185.98958333333334</v>
      </c>
      <c r="CP205" s="104">
        <f>('Renewable Diesel'!$AG214*'RD Feedstock Breakdown'!CP$3*'Feedstock Conversion Rates'!$B$3)/12</f>
        <v>6.0075000000000003</v>
      </c>
      <c r="CQ205" s="104">
        <f>('Renewable Diesel'!$AG214*'RD Feedstock Breakdown'!CQ$3*'Feedstock Conversion Rates'!$B$6)/12</f>
        <v>3.5175000000000001</v>
      </c>
      <c r="CR205" s="104">
        <f>('Renewable Diesel'!$AG214*'RD Feedstock Breakdown'!CR$3*'Feedstock Conversion Rates'!$B$4)/12</f>
        <v>2.8125</v>
      </c>
      <c r="CS205" s="106">
        <f t="shared" si="134"/>
        <v>12.3375</v>
      </c>
      <c r="CT205" s="104">
        <f>('Renewable Diesel'!AI214*'Feedstock Conversion Rates'!$B$4*'RD Feedstock Breakdown'!$CT$3)/12</f>
        <v>29.375</v>
      </c>
      <c r="CU205" s="106">
        <f t="shared" si="99"/>
        <v>29.375</v>
      </c>
      <c r="CV205" s="104">
        <f>('Renewable Diesel'!AN214*'Feedstock Conversion Rates'!$B$3*'RD Feedstock Breakdown'!$CV$3)/12</f>
        <v>0.50062499999999999</v>
      </c>
      <c r="CW205" s="106">
        <f t="shared" si="161"/>
        <v>0.50062499999999999</v>
      </c>
      <c r="CX205" s="104">
        <f>('Renewable Diesel'!AO214*'RD Feedstock Breakdown'!$CX$3*'Feedstock Conversion Rates'!$B$3)/12</f>
        <v>6.3412499999999996</v>
      </c>
      <c r="CY205" s="104">
        <f>('Renewable Diesel'!AO214*'RD Feedstock Breakdown'!$CY$3*'Feedstock Conversion Rates'!$B$6)/12</f>
        <v>7.4258333333333342</v>
      </c>
      <c r="CZ205" s="106">
        <f t="shared" si="135"/>
        <v>13.767083333333334</v>
      </c>
      <c r="DA205" s="104">
        <f>('Renewable Diesel'!$AP214*'RD Feedstock Breakdown'!DA$3*'Feedstock Conversion Rates'!$B$3)/12</f>
        <v>6.3412499999999996</v>
      </c>
      <c r="DB205" s="104">
        <f>('Renewable Diesel'!$AP214*'RD Feedstock Breakdown'!DB$3*'Feedstock Conversion Rates'!$B$8)/12</f>
        <v>7.421875</v>
      </c>
      <c r="DC205" s="106">
        <f t="shared" si="165"/>
        <v>13.763124999999999</v>
      </c>
      <c r="DD205" s="104">
        <f>('Renewable Diesel'!AQ214*$DD$3*'Feedstock Conversion Rates'!$B$14)/12</f>
        <v>3.1041666666666665</v>
      </c>
      <c r="DE205" s="106">
        <f t="shared" si="166"/>
        <v>3.1041666666666665</v>
      </c>
      <c r="DF205" s="104">
        <f>('Renewable Diesel'!AR214*'Feedstock Conversion Rates'!$B$4*$DF$3)/12</f>
        <v>75</v>
      </c>
      <c r="DG205" s="106">
        <f t="shared" si="136"/>
        <v>75</v>
      </c>
      <c r="DH205" s="104">
        <f>('Renewable Diesel'!AS214*'Feedstock Conversion Rates'!$B$4*$DH$3)/12</f>
        <v>75</v>
      </c>
      <c r="DI205" s="106">
        <f t="shared" si="142"/>
        <v>75</v>
      </c>
      <c r="DJ205" s="104">
        <f>('Renewable Diesel'!AT214*'Feedstock Conversion Rates'!$B$4*0.25)/12</f>
        <v>8.59375</v>
      </c>
      <c r="DK205" s="104">
        <f>('Renewable Diesel'!$AT214*'RD Feedstock Breakdown'!DK$3*'Feedstock Conversion Rates'!$B$3)/12*0.5</f>
        <v>9.1781249999999996</v>
      </c>
      <c r="DL205" s="104">
        <f>('Renewable Diesel'!$AT214*'RD Feedstock Breakdown'!$DL$3*'Feedstock Conversion Rates'!$B$6)/12</f>
        <v>10.747916666666669</v>
      </c>
      <c r="DM205" s="104">
        <f>('Renewable Diesel'!$AT214*'RD Feedstock Breakdown'!$DM$3*'Feedstock Conversion Rates'!$B$8)/12</f>
        <v>10.7421875</v>
      </c>
      <c r="DN205" s="106">
        <f t="shared" si="110"/>
        <v>39.26197916666667</v>
      </c>
      <c r="DP205" s="104">
        <f t="shared" si="168"/>
        <v>33.470249999999993</v>
      </c>
      <c r="DQ205" s="104">
        <f t="shared" si="169"/>
        <v>723.44151750000003</v>
      </c>
      <c r="DR205" s="104">
        <f t="shared" ref="DR205:DR268" si="174">AD205+AK205+AM205+AP205+AV205+AY205+BB205+BF205+BJ205+Y205+B205+BO205+BQ205+BW205+CB205+CE205+CG205+CJ205+BT205+CN205+CR205+CT205+DF205+DH205+AS205+J205+U205+AH205</f>
        <v>1732.765625</v>
      </c>
      <c r="DS205" s="104">
        <f t="shared" si="100"/>
        <v>179.78354166666668</v>
      </c>
      <c r="DT205" s="104">
        <f t="shared" si="170"/>
        <v>269.03923333333341</v>
      </c>
      <c r="DU205" s="104">
        <f t="shared" si="171"/>
        <v>241.29776666666666</v>
      </c>
      <c r="DV205" s="104">
        <f t="shared" ref="DV205:DV268" si="175">F205+N205+W205+DM205</f>
        <v>20.925000000000001</v>
      </c>
      <c r="DW205" s="104">
        <f t="shared" si="172"/>
        <v>2.5</v>
      </c>
      <c r="DX205" s="106">
        <f t="shared" ref="DX205:DX268" si="176">SUM(DP205:DW205)</f>
        <v>3203.2229341666666</v>
      </c>
      <c r="DY205" s="109">
        <f t="shared" si="163"/>
        <v>-30.00000000000048</v>
      </c>
      <c r="EA205" s="110">
        <f t="shared" si="150"/>
        <v>1.0448929308976566E-2</v>
      </c>
      <c r="EB205" s="110">
        <f t="shared" si="151"/>
        <v>0.22584800757497284</v>
      </c>
      <c r="EC205" s="110">
        <f t="shared" si="152"/>
        <v>0.54094443646670098</v>
      </c>
      <c r="ED205" s="110">
        <f t="shared" si="146"/>
        <v>5.6125828692419187E-2</v>
      </c>
      <c r="EE205" s="110">
        <f t="shared" si="146"/>
        <v>8.3990168296957837E-2</v>
      </c>
      <c r="EF205" s="110">
        <f t="shared" si="146"/>
        <v>7.5329682518473037E-2</v>
      </c>
      <c r="EG205" s="110">
        <f t="shared" si="146"/>
        <v>6.5324831989702703E-3</v>
      </c>
      <c r="EH205" s="111">
        <f t="shared" ref="EH205:EH268" si="177">DW205/DX205</f>
        <v>7.8046394252930342E-4</v>
      </c>
      <c r="EI205" s="110">
        <f t="shared" ref="EI205:EI243" si="178">SUM(EA205:EG205)</f>
        <v>0.99921953605747071</v>
      </c>
      <c r="EK205" s="132">
        <f>(EA205*'Renewable Diesel'!BF214*'Feedstock Conversion Rates'!B$2)+FB205</f>
        <v>35.766004615816833</v>
      </c>
      <c r="EL205" s="132">
        <f>(EB205*'Renewable Diesel'!BF214*'Feedstock Conversion Rates'!B$3)+FC205</f>
        <v>728.49821368131609</v>
      </c>
      <c r="EM205" s="132">
        <f>(EC205*'Renewable Diesel'!BF214*'Feedstock Conversion Rates'!B$4)+FD205</f>
        <v>1633.7802185666749</v>
      </c>
      <c r="EN205" s="132">
        <f>(ED205*'Renewable Diesel'!BF214*'Feedstock Conversion Rates'!B$5)+FE205</f>
        <v>170.64337401402258</v>
      </c>
      <c r="EO205" s="132">
        <f>(EE205*'Renewable Diesel'!BF214*'Feedstock Conversion Rates'!B$6)+FF205</f>
        <v>317.25684527178282</v>
      </c>
      <c r="EP205" s="132">
        <f>(EF205*'Renewable Diesel'!BF214*'Feedstock Conversion Rates'!B$7)+FG205</f>
        <v>279.08318839690878</v>
      </c>
      <c r="EQ205" s="132">
        <f>(EG205*'Renewable Diesel'!BF214*'Feedstock Conversion Rates'!B$8)+FH205</f>
        <v>24.662056555908762</v>
      </c>
      <c r="ER205" s="132">
        <f>(EH205*'Renewable Diesel'!BF214*'Feedstock Conversion Rates'!B$9)+FI205</f>
        <v>2.9071958345475881</v>
      </c>
      <c r="ES205" s="132">
        <f t="shared" ref="ES205:ES268" si="179">SUM(EK205:ER205)</f>
        <v>3192.5970969369782</v>
      </c>
      <c r="ET205" s="133">
        <f>ES205/'Renewable Diesel'!BF214</f>
        <v>7.9280138991840134</v>
      </c>
      <c r="EW205" s="73">
        <f t="shared" si="124"/>
        <v>1804.4235925806975</v>
      </c>
      <c r="EX205" s="73">
        <f t="shared" si="125"/>
        <v>1388.1735043562808</v>
      </c>
      <c r="EY205" s="92">
        <f t="shared" si="164"/>
        <v>0.56518988703957862</v>
      </c>
      <c r="EZ205" s="92">
        <f t="shared" si="164"/>
        <v>0.43481011296042132</v>
      </c>
      <c r="FB205" s="102">
        <f>IF('Renewable Diesel'!$BG214&lt;1,0,(((('Renewable Diesel'!$BG214-1)*'Renewable Diesel'!$BF214)*'RD Feedstock Breakdown'!EA205)*'Feedstock Conversion Rates'!$B$2))</f>
        <v>0</v>
      </c>
      <c r="FC205" s="102">
        <f>IF('Renewable Diesel'!$BG214&lt;1,0,(((('Renewable Diesel'!$BG214-1)*'Renewable Diesel'!$BF214)*'RD Feedstock Breakdown'!EB205)*'Feedstock Conversion Rates'!$B$3))</f>
        <v>0</v>
      </c>
      <c r="FD205" s="102">
        <f>IF('Renewable Diesel'!$BG214&lt;1,0,(((('Renewable Diesel'!$BG214-1)*'Renewable Diesel'!$BF214)*'RD Feedstock Breakdown'!EC205)*'Feedstock Conversion Rates'!$B$4))</f>
        <v>0</v>
      </c>
      <c r="FE205" s="102">
        <f>IF('Renewable Diesel'!$BG214&lt;1,0,(((('Renewable Diesel'!$BG214-1)*'Renewable Diesel'!$BF214)*'RD Feedstock Breakdown'!ED205)*'Feedstock Conversion Rates'!$B$5))</f>
        <v>0</v>
      </c>
      <c r="FF205" s="102">
        <f>IF('Renewable Diesel'!$BG214&lt;1,0,(((('Renewable Diesel'!$BG214-1)*'Renewable Diesel'!$BF214)*'RD Feedstock Breakdown'!EE205)*'Feedstock Conversion Rates'!$B$6))</f>
        <v>0</v>
      </c>
      <c r="FG205" s="102">
        <f>IF('Renewable Diesel'!$BG214&lt;1,0,(((('Renewable Diesel'!$BG214-1)*'Renewable Diesel'!$BF214)*'RD Feedstock Breakdown'!EF205)*'Feedstock Conversion Rates'!$B$7))</f>
        <v>0</v>
      </c>
      <c r="FH205" s="102">
        <f>IF('Renewable Diesel'!$BG214&lt;1,0,(((('Renewable Diesel'!$BG214-1)*'Renewable Diesel'!$BF214)*'RD Feedstock Breakdown'!EG205)*'Feedstock Conversion Rates'!$B$8))</f>
        <v>0</v>
      </c>
      <c r="FI205" s="102">
        <f>IF('Renewable Diesel'!$BG214&lt;1,0,(((('Renewable Diesel'!$BG214-1)*'Renewable Diesel'!$BF214)*'RD Feedstock Breakdown'!EH205)*'Feedstock Conversion Rates'!$B$9))</f>
        <v>0</v>
      </c>
      <c r="FJ205" s="102">
        <f t="shared" si="126"/>
        <v>0</v>
      </c>
      <c r="FL205" s="3">
        <f>('Renewable Diesel'!AX214/12*$FO$80)*'RD Feedstock Breakdown'!EC205*7.5</f>
        <v>1578.7465068732031</v>
      </c>
      <c r="FM205" s="3">
        <f t="shared" si="96"/>
        <v>-55.033711693471787</v>
      </c>
      <c r="FR205" s="3">
        <f>('Renewable Diesel'!AX214-'Renewable Diesel'!BI214)/12*$FO$80</f>
        <v>54.415875000000007</v>
      </c>
      <c r="FS205" s="100">
        <f t="shared" si="97"/>
        <v>0.54094443646670098</v>
      </c>
      <c r="FT205" s="3">
        <f t="shared" si="98"/>
        <v>220.76973627538084</v>
      </c>
      <c r="FY205" s="3">
        <f>'Renewable Diesel'!BF214*('Renewable Diesel'!BI214/'Renewable Diesel'!AX214)</f>
        <v>346.38545702385619</v>
      </c>
      <c r="FZ205" s="3">
        <f>('Renewable Diesel'!BJ214*'Renewable Diesel'!BG214)/12</f>
        <v>57.094886167673998</v>
      </c>
      <c r="GA205" s="3">
        <f t="shared" si="105"/>
        <v>231.6387076732714</v>
      </c>
      <c r="GD205" s="91">
        <f>'Renewable Diesel'!BB214*0.32</f>
        <v>0</v>
      </c>
      <c r="GE205" s="91">
        <f>'Renewable Diesel'!BC214</f>
        <v>146.98740750142557</v>
      </c>
      <c r="GF205" s="91">
        <f>'Renewable Diesel'!BD214</f>
        <v>0</v>
      </c>
      <c r="GG205" s="91">
        <f t="shared" si="109"/>
        <v>146.98740750142557</v>
      </c>
      <c r="GH205" s="124">
        <v>1</v>
      </c>
      <c r="GI205" s="102">
        <f>$GG205*EA205*'Feedstock Conversion Rates'!$B$2</f>
        <v>13.054818757483083</v>
      </c>
      <c r="GJ205" s="102">
        <f>$GG205*EB205*'Feedstock Conversion Rates'!$B$3</f>
        <v>265.90647311368872</v>
      </c>
      <c r="GK205" s="102">
        <f>$GG205*EC205*'Feedstock Conversion Rates'!$B$4</f>
        <v>596.34015238919994</v>
      </c>
      <c r="GL205" s="102">
        <f>$GG205*ED205*'Feedstock Conversion Rates'!$B$5</f>
        <v>62.285914902927061</v>
      </c>
      <c r="GM205" s="102">
        <f>$GG205*EE205*'Feedstock Conversion Rates'!$B$6</f>
        <v>115.80076273776405</v>
      </c>
      <c r="GN205" s="102">
        <f>$GG205*EF205*'Feedstock Conversion Rates'!$B$7</f>
        <v>101.86713561992144</v>
      </c>
      <c r="GO205" s="102">
        <f>$GG205*EG205*'Feedstock Conversion Rates'!$B$8</f>
        <v>9.0018072184055544</v>
      </c>
      <c r="GP205" s="102">
        <f>$GG205*EH205*'Feedstock Conversion Rates'!B$9</f>
        <v>1.0611449369366961</v>
      </c>
      <c r="GQ205" s="102">
        <f t="shared" ref="GQ205:GQ268" si="180">SUM(GI205:GP205)</f>
        <v>1165.3182096763264</v>
      </c>
      <c r="GR205" s="85">
        <f t="shared" si="107"/>
        <v>7.9280138991840134</v>
      </c>
      <c r="GT205" s="103">
        <f t="shared" si="159"/>
        <v>1.1202793064659249E-2</v>
      </c>
      <c r="GU205" s="103">
        <f t="shared" si="159"/>
        <v>0.22818357329844324</v>
      </c>
      <c r="GV205" s="103">
        <f t="shared" si="159"/>
        <v>0.51174018172670344</v>
      </c>
      <c r="GW205" s="103">
        <f t="shared" si="159"/>
        <v>5.3449705312875274E-2</v>
      </c>
      <c r="GX205" s="103">
        <f t="shared" si="158"/>
        <v>9.9372653560376722E-2</v>
      </c>
      <c r="GY205" s="103">
        <f t="shared" si="158"/>
        <v>8.741572454120973E-2</v>
      </c>
      <c r="GZ205" s="103">
        <f t="shared" si="158"/>
        <v>7.7247631965743115E-3</v>
      </c>
      <c r="HA205" s="103">
        <f t="shared" si="158"/>
        <v>9.106052991581029E-4</v>
      </c>
    </row>
    <row r="206" spans="1:209" x14ac:dyDescent="0.25">
      <c r="A206" s="96">
        <v>46692</v>
      </c>
      <c r="B206" s="104">
        <f>23-20+10+85-5-4-4-1.25+2.25-5+15-6-25-45+65+15-22.5-50+40+16.5+27.5+168+80+14-30+15-50-19+22.5-10+5+11-25-50-12.5-27.5-10+10+2+4-1.5+12-26-15-50-15+10-32.5-3-5-2.5-1+5+10-50-35-9-0.5+25+15+25+20+15+85-25+12.5-52.5+10+20-150+20-20+55-25-25+25+100+100-10</f>
        <v>220</v>
      </c>
      <c r="C206" s="104">
        <f>40-10-2.5-27.5+25+25+25-70+120-15-100-10+30</f>
        <v>30</v>
      </c>
      <c r="D206" s="104">
        <f t="shared" si="95"/>
        <v>1.5</v>
      </c>
      <c r="E206" s="104">
        <f>('Renewable Diesel'!B215*E$3*'Feedstock Conversion Rates'!$B$2)/12-40+1.25+6-43+30-15+12.5-4+1.5+26+2.5+3-10+50+9-15-25-55+15+45+10-50+60-60-44+25</f>
        <v>25.679999999999993</v>
      </c>
      <c r="F206" s="104">
        <f>('Renewable Diesel'!B215*'RD Feedstock Breakdown'!F$3*'Feedstock Conversion Rates'!B$8)/12+28.5-49-5+2-6+1+6+20-20-3.75+10+2.5+5-20-20+10</f>
        <v>15.15625</v>
      </c>
      <c r="G206" s="104">
        <f>('Renewable Diesel'!B215*'RD Feedstock Breakdown'!G$3*'Feedstock Conversion Rates'!B$7)/12-25-15-25+4+4-20-40-20+10-17.5+20+50-12+32.5+35-75-75+22.5+5-20+15+125-10-45-10-40-40</f>
        <v>9.6570000000000107</v>
      </c>
      <c r="H206" s="104">
        <f>('Renewable Diesel'!B215*'RD Feedstock Breakdown'!H$3*'Feedstock Conversion Rates'!B$3)/12-85+4-15+70-65-80+50-22.5-5+25+27.5+15+50+15-10+5+50+75-5-25-85-12.5+30+22.5-25-30+150+90-120+25+10+70+44-25-100-100</f>
        <v>194.40022499999998</v>
      </c>
      <c r="I206" s="106">
        <f t="shared" si="106"/>
        <v>496.39347499999997</v>
      </c>
      <c r="J206" s="104">
        <f t="shared" ref="J206:J215" si="181">2+10+12+15-6-20-5-5+7+105+30+87+5-10-5-25-27.5+1-1-15-17.5-6-10-77.5-7.5-1+17.5+15+90+2+2.5+2.5+7.5+27.5-32-11-25+5-50-30-20-20+20-20+50-50</f>
        <v>16.5</v>
      </c>
      <c r="K206" s="104">
        <f t="shared" ref="K206:K216" si="182">50-30-20+30+20-40</f>
        <v>10</v>
      </c>
      <c r="L206" s="104">
        <v>1</v>
      </c>
      <c r="M206" s="104">
        <f>('Renewable Diesel'!C215*'RD Feedstock Breakdown'!M$3*'Feedstock Conversion Rates'!B$2)/12</f>
        <v>7.7902500000000003</v>
      </c>
      <c r="N206" s="104">
        <f>('Renewable Diesel'!C215*'RD Feedstock Breakdown'!N$3*'Feedstock Conversion Rates'!B$8)/12</f>
        <v>3.671875</v>
      </c>
      <c r="O206" s="104">
        <f>('Renewable Diesel'!C215*'RD Feedstock Breakdown'!O$3*'Feedstock Conversion Rates'!B$7)/12</f>
        <v>11.9991</v>
      </c>
      <c r="P206" s="104">
        <f>('Renewable Diesel'!C215*'RD Feedstock Breakdown'!P$3*'Feedstock Conversion Rates'!B$3)/12</f>
        <v>10.4470425</v>
      </c>
      <c r="Q206" s="106">
        <f t="shared" si="119"/>
        <v>61.408267500000001</v>
      </c>
      <c r="R206" s="104">
        <f>('Renewable Diesel'!D215*'RD Feedstock Breakdown'!R$3*'Feedstock Conversion Rates'!B$7)/12</f>
        <v>2.2999999999999998</v>
      </c>
      <c r="S206" s="106">
        <f t="shared" si="148"/>
        <v>2.2999999999999998</v>
      </c>
      <c r="T206" s="104">
        <f t="shared" ref="T206:T216" si="183">5.825+20-25+35-30</f>
        <v>5.8250000000000028</v>
      </c>
      <c r="U206" s="104">
        <f t="shared" ref="U206:U216" si="184">30+15</f>
        <v>45</v>
      </c>
      <c r="V206" s="104">
        <f>('Renewable Diesel'!E215*'RD Feedstock Breakdown'!V$3*'Feedstock Conversion Rates'!B$6)/12-20+25-35</f>
        <v>14.250150000000012</v>
      </c>
      <c r="W206" s="104">
        <f>('Renewable Diesel'!E215*'RD Feedstock Breakdown'!W$3*'Feedstock Conversion Rates'!B$8)/12-5.825-15</f>
        <v>1.3546875000000007</v>
      </c>
      <c r="X206" s="106">
        <f t="shared" ref="X206:X269" si="185">SUM(T206:W206)</f>
        <v>66.429837500000005</v>
      </c>
      <c r="Y206" s="104">
        <f t="shared" ref="Y206:Y216" si="186">50+32-80+171+60-15-75-50-20-30-22.5+20+70-70+50+6+35+5-5-6</f>
        <v>125.5</v>
      </c>
      <c r="Z206" s="104">
        <f>('Renewable Diesel'!F215*'RD Feedstock Breakdown'!Z$3*'Feedstock Conversion Rates'!B$6)/12-50-32-60+15+30+22.5-70+70-35+5+6</f>
        <v>60.960000000000008</v>
      </c>
      <c r="AA206" s="104">
        <f>('Renewable Diesel'!F215*'RD Feedstock Breakdown'!AA$3*'Feedstock Conversion Rates'!B$7)/12+80-171+75+30+20-50-6-5</f>
        <v>77.266666666666652</v>
      </c>
      <c r="AB206" s="106">
        <f t="shared" si="137"/>
        <v>263.72666666666669</v>
      </c>
      <c r="AC206" s="104">
        <f>('Renewable Diesel'!G215*'RD Feedstock Breakdown'!AC$3*'Feedstock Conversion Rates'!B$5)/12</f>
        <v>11.796875</v>
      </c>
      <c r="AD206" s="104">
        <f>('Renewable Diesel'!G215*'RD Feedstock Breakdown'!AD$3*'Feedstock Conversion Rates'!B$4)/12</f>
        <v>5.859375</v>
      </c>
      <c r="AE206" s="104">
        <f>('Renewable Diesel'!G215*'RD Feedstock Breakdown'!AE$3*'Feedstock Conversion Rates'!B$6)/12</f>
        <v>7.3281250000000009</v>
      </c>
      <c r="AF206" s="106">
        <f t="shared" si="101"/>
        <v>24.984375</v>
      </c>
      <c r="AG206" s="104">
        <f>130+20-51+120-2.5-100+45-25-30</f>
        <v>106.5</v>
      </c>
      <c r="AH206" s="104">
        <v>30</v>
      </c>
      <c r="AI206" s="104">
        <f>('Renewable Diesel'!H215*'RD Feedstock Breakdown'!AI$3*'Feedstock Conversion Rates'!B$6)/12-130-20+51-120+2.5+100-45+25</f>
        <v>12.01666666666668</v>
      </c>
      <c r="AJ206" s="106">
        <f t="shared" si="145"/>
        <v>118.51666666666668</v>
      </c>
      <c r="AK206" s="104">
        <f>('Renewable Diesel'!J215*'RD Feedstock Breakdown'!AK$3*'Feedstock Conversion Rates'!B$4)/12</f>
        <v>95.8125</v>
      </c>
      <c r="AL206" s="106">
        <f t="shared" si="157"/>
        <v>95.8125</v>
      </c>
      <c r="AM206" s="104">
        <f>('Renewable Diesel'!K215*'RD Feedstock Breakdown'!AM$3*'Feedstock Conversion Rates'!B$4)/12+5+15-10+9-27</f>
        <v>50.59375</v>
      </c>
      <c r="AN206" s="104">
        <f>('Renewable Diesel'!K215*'RD Feedstock Breakdown'!AN$3*'Feedstock Conversion Rates'!B$6)/12-5-15+10-9+27</f>
        <v>32.427083333333329</v>
      </c>
      <c r="AO206" s="106">
        <f t="shared" si="173"/>
        <v>83.020833333333329</v>
      </c>
      <c r="AP206" s="104">
        <f>('Renewable Diesel'!L215*'RD Feedstock Breakdown'!AP$3*'Feedstock Conversion Rates'!B$4)/12+15-10+2.5+12</f>
        <v>78.09375</v>
      </c>
      <c r="AQ206" s="104">
        <f>('Renewable Diesel'!L215*'RD Feedstock Breakdown'!AQ$3*'Feedstock Conversion Rates'!B$6)/12-15+10-2.5-12</f>
        <v>4.9270833333333321</v>
      </c>
      <c r="AR206" s="106">
        <f t="shared" si="162"/>
        <v>83.020833333333329</v>
      </c>
      <c r="AS206" s="104">
        <f>('Renewable Diesel'!M215*'RD Feedstock Breakdown'!AS$3*'Feedstock Conversion Rates'!B$4)/12</f>
        <v>456.25</v>
      </c>
      <c r="AT206" s="104">
        <f>('Renewable Diesel'!M215*'RD Feedstock Breakdown'!AT$3*'Feedstock Conversion Rates'!B$5)/12</f>
        <v>0</v>
      </c>
      <c r="AU206" s="106">
        <f t="shared" si="104"/>
        <v>456.25</v>
      </c>
      <c r="AV206" s="104">
        <f>'Renewable Diesel'!N215*'RD Feedstock Breakdown'!$AV$3*'Feedstock Conversion Rates'!$B$4/12-15-10+25+25-22-25-12.5</f>
        <v>44.249999999999986</v>
      </c>
      <c r="AW206" s="104">
        <f>'Renewable Diesel'!N215*'RD Feedstock Breakdown'!$AW$3*'Feedstock Conversion Rates'!$B$7/12+15+10-25-25+22+25+12.5</f>
        <v>75.900000000000006</v>
      </c>
      <c r="AX206" s="106">
        <f t="shared" si="141"/>
        <v>120.14999999999999</v>
      </c>
      <c r="AY206" s="104">
        <f>('Renewable Diesel'!O215*'RD Feedstock Breakdown'!AY$3*'Feedstock Conversion Rates'!B$4)/12+32+2-135-247+50</f>
        <v>-87.0625</v>
      </c>
      <c r="AZ206" s="104">
        <f>('Renewable Diesel'!O215*'RD Feedstock Breakdown'!AZ$3*'Feedstock Conversion Rates'!B$3)/12-32-2+135+247-50</f>
        <v>323.03125</v>
      </c>
      <c r="BA206" s="106">
        <f t="shared" si="120"/>
        <v>235.96875</v>
      </c>
      <c r="BB206" s="104">
        <f>('Renewable Diesel'!Q215*'RD Feedstock Breakdown'!BB$3*'Feedstock Conversion Rates'!B$4)/12</f>
        <v>11.156249999999998</v>
      </c>
      <c r="BC206" s="104">
        <f>('Renewable Diesel'!Q215*'RD Feedstock Breakdown'!BC$3*'Feedstock Conversion Rates'!B$3)/12</f>
        <v>1.4017500000000001</v>
      </c>
      <c r="BD206" s="104">
        <f>('Renewable Diesel'!Q215*'RD Feedstock Breakdown'!BD$3*'Feedstock Conversion Rates'!B$6)/12</f>
        <v>0.8207500000000002</v>
      </c>
      <c r="BE206" s="106">
        <f t="shared" si="90"/>
        <v>13.378749999999998</v>
      </c>
      <c r="BF206" s="104">
        <f>('Renewable Diesel'!R215*'RD Feedstock Breakdown'!BF$3*'Feedstock Conversion Rates'!B$4)/12</f>
        <v>62.5</v>
      </c>
      <c r="BG206" s="106">
        <f t="shared" si="167"/>
        <v>62.5</v>
      </c>
      <c r="BH206" s="104">
        <f>('Renewable Diesel'!T215*'RD Feedstock Breakdown'!BH$3*'Feedstock Conversion Rates'!B$7)/12</f>
        <v>27.599999999999998</v>
      </c>
      <c r="BI206" s="106">
        <f t="shared" si="144"/>
        <v>27.599999999999998</v>
      </c>
      <c r="BJ206" s="104">
        <f>('Renewable Diesel'!W215*'RD Feedstock Breakdown'!BJ$3*'Feedstock Conversion Rates'!B$4)/12</f>
        <v>7.5</v>
      </c>
      <c r="BK206" s="104">
        <f>('Renewable Diesel'!W215*'RD Feedstock Breakdown'!BK$3*'Feedstock Conversion Rates'!B$3)/12</f>
        <v>1.335</v>
      </c>
      <c r="BL206" s="104">
        <f>('Renewable Diesel'!W215*'RD Feedstock Breakdown'!BL$3*'Feedstock Conversion Rates'!B$6)/12</f>
        <v>3.1266666666666669</v>
      </c>
      <c r="BM206" s="104">
        <f>('Renewable Diesel'!W215*'RD Feedstock Breakdown'!BM$3*'Feedstock Conversion Rates'!B$7)/12</f>
        <v>1.5333333333333332</v>
      </c>
      <c r="BN206" s="106">
        <f t="shared" si="112"/>
        <v>13.495000000000001</v>
      </c>
      <c r="BO206" s="104">
        <f>('Renewable Diesel'!P215*'Feedstock Conversion Rates'!B$4)/12</f>
        <v>31.25</v>
      </c>
      <c r="BP206" s="106">
        <f t="shared" si="102"/>
        <v>31.25</v>
      </c>
      <c r="BQ206" s="104">
        <f>('Renewable Diesel'!$S215*'RD Feedstock Breakdown'!BQ$3*'Feedstock Conversion Rates'!B$4)/12+10</f>
        <v>38.125</v>
      </c>
      <c r="BR206" s="104">
        <f>('Renewable Diesel'!$S215*'RD Feedstock Breakdown'!BR$3*'Feedstock Conversion Rates'!B$7)/12-10</f>
        <v>1.5</v>
      </c>
      <c r="BS206" s="106">
        <f t="shared" si="123"/>
        <v>39.625</v>
      </c>
      <c r="BT206" s="106"/>
      <c r="BU206" s="104">
        <f>('Renewable Diesel'!Y215*'Feedstock Conversion Rates'!B$7)/12</f>
        <v>2.6833333333333331</v>
      </c>
      <c r="BV206" s="106">
        <f t="shared" si="93"/>
        <v>2.6833333333333331</v>
      </c>
      <c r="BW206" s="104">
        <f>('Renewable Diesel'!$Z215*'RD Feedstock Breakdown'!BW$3*'Feedstock Conversion Rates'!$B$4)/12</f>
        <v>35.9375</v>
      </c>
      <c r="BX206" s="104">
        <f>('Renewable Diesel'!$Z215*'RD Feedstock Breakdown'!BX$3*'Feedstock Conversion Rates'!$B$5)/12</f>
        <v>3.6177083333333333</v>
      </c>
      <c r="BY206" s="104">
        <f>('Renewable Diesel'!$Z215*'RD Feedstock Breakdown'!BY$3*'Feedstock Conversion Rates'!$B$7)/12</f>
        <v>30.858333333333331</v>
      </c>
      <c r="BZ206" s="104">
        <f>('Renewable Diesel'!$Z215*'RD Feedstock Breakdown'!BZ$3*'Feedstock Conversion Rates'!$B$3)/12</f>
        <v>7.6762499999999996</v>
      </c>
      <c r="CA206" s="106">
        <f t="shared" si="127"/>
        <v>78.089791666666656</v>
      </c>
      <c r="CB206" s="104">
        <f>('Renewable Diesel'!AA215*'Feedstock Conversion Rates'!B$4)/12</f>
        <v>191.25</v>
      </c>
      <c r="CC206" s="106">
        <f t="shared" si="113"/>
        <v>191.25</v>
      </c>
      <c r="CD206" s="104">
        <f>('Renewable Diesel'!$AB215*'RD Feedstock Breakdown'!CD$3*'Feedstock Conversion Rates'!$B$6)/12-15</f>
        <v>17.830000000000005</v>
      </c>
      <c r="CE206" s="104">
        <f>('Renewable Diesel'!$AB215*'RD Feedstock Breakdown'!CE$3*'Feedstock Conversion Rates'!$B$4)/12+15</f>
        <v>26.25</v>
      </c>
      <c r="CF206" s="106">
        <f t="shared" si="108"/>
        <v>44.080000000000005</v>
      </c>
      <c r="CG206" s="104">
        <f>('Renewable Diesel'!AD215*'Feedstock Conversion Rates'!B$4)/12</f>
        <v>112.5</v>
      </c>
      <c r="CH206" s="106">
        <f t="shared" ref="CH206:CH269" si="187">CG206</f>
        <v>112.5</v>
      </c>
      <c r="CI206" s="104">
        <f>('Renewable Diesel'!$AE215*'RD Feedstock Breakdown'!CI$3*'Feedstock Conversion Rates'!$B$5)/12</f>
        <v>0.34604166666666664</v>
      </c>
      <c r="CJ206" s="104">
        <f>('Renewable Diesel'!$AE215*'RD Feedstock Breakdown'!CJ$3*'Feedstock Conversion Rates'!$B$4)/12</f>
        <v>0.34375</v>
      </c>
      <c r="CK206" s="106">
        <f t="shared" si="103"/>
        <v>0.68979166666666658</v>
      </c>
      <c r="CL206" s="104">
        <f>(((CL$3*'Renewable Diesel'!$AF215)*'Feedstock Conversion Rates'!$B$3)/12)-35</f>
        <v>56.78125</v>
      </c>
      <c r="CM206" s="104">
        <f>(((CM$3*'Renewable Diesel'!$AF215)*'Feedstock Conversion Rates'!$B$6)/12)-32.5+35+30</f>
        <v>86.239583333333343</v>
      </c>
      <c r="CN206" s="104">
        <f>(((CN$3*'Renewable Diesel'!$AF215)*'Feedstock Conversion Rates'!$B$4)/12)</f>
        <v>42.96875</v>
      </c>
      <c r="CO206" s="106">
        <f t="shared" si="91"/>
        <v>185.98958333333334</v>
      </c>
      <c r="CP206" s="104">
        <f>('Renewable Diesel'!$AG215*'RD Feedstock Breakdown'!CP$3*'Feedstock Conversion Rates'!$B$3)/12</f>
        <v>6.0075000000000003</v>
      </c>
      <c r="CQ206" s="104">
        <f>('Renewable Diesel'!$AG215*'RD Feedstock Breakdown'!CQ$3*'Feedstock Conversion Rates'!$B$6)/12</f>
        <v>3.5175000000000001</v>
      </c>
      <c r="CR206" s="104">
        <f>('Renewable Diesel'!$AG215*'RD Feedstock Breakdown'!CR$3*'Feedstock Conversion Rates'!$B$4)/12</f>
        <v>2.8125</v>
      </c>
      <c r="CS206" s="106">
        <f t="shared" si="134"/>
        <v>12.3375</v>
      </c>
      <c r="CT206" s="104">
        <f>('Renewable Diesel'!AI215*'Feedstock Conversion Rates'!$B$4*'RD Feedstock Breakdown'!$CT$3)/12</f>
        <v>29.375</v>
      </c>
      <c r="CU206" s="106">
        <f t="shared" si="99"/>
        <v>29.375</v>
      </c>
      <c r="CV206" s="104">
        <f>('Renewable Diesel'!AN215*'Feedstock Conversion Rates'!$B$3*'RD Feedstock Breakdown'!$CV$3)/12</f>
        <v>0.50062499999999999</v>
      </c>
      <c r="CW206" s="106">
        <f t="shared" si="161"/>
        <v>0.50062499999999999</v>
      </c>
      <c r="CX206" s="104">
        <f>('Renewable Diesel'!AO215*'RD Feedstock Breakdown'!$CX$3*'Feedstock Conversion Rates'!$B$3)/12</f>
        <v>6.3412499999999996</v>
      </c>
      <c r="CY206" s="104">
        <f>('Renewable Diesel'!AO215*'RD Feedstock Breakdown'!$CY$3*'Feedstock Conversion Rates'!$B$6)/12</f>
        <v>7.4258333333333342</v>
      </c>
      <c r="CZ206" s="106">
        <f t="shared" si="135"/>
        <v>13.767083333333334</v>
      </c>
      <c r="DA206" s="104">
        <f>('Renewable Diesel'!$AP215*'RD Feedstock Breakdown'!DA$3*'Feedstock Conversion Rates'!$B$3)/12</f>
        <v>6.3412499999999996</v>
      </c>
      <c r="DB206" s="104">
        <f>('Renewable Diesel'!$AP215*'RD Feedstock Breakdown'!DB$3*'Feedstock Conversion Rates'!$B$8)/12</f>
        <v>7.421875</v>
      </c>
      <c r="DC206" s="106">
        <f t="shared" si="165"/>
        <v>13.763124999999999</v>
      </c>
      <c r="DD206" s="104">
        <f>('Renewable Diesel'!AQ215*$DD$3*'Feedstock Conversion Rates'!$B$14)/12</f>
        <v>3.1041666666666665</v>
      </c>
      <c r="DE206" s="106">
        <f t="shared" si="166"/>
        <v>3.1041666666666665</v>
      </c>
      <c r="DF206" s="104">
        <f>('Renewable Diesel'!AR215*'Feedstock Conversion Rates'!$B$4*$DF$3)/12</f>
        <v>75</v>
      </c>
      <c r="DG206" s="106">
        <f t="shared" si="136"/>
        <v>75</v>
      </c>
      <c r="DH206" s="104">
        <f>('Renewable Diesel'!AS215*'Feedstock Conversion Rates'!$B$4*$DH$3)/12</f>
        <v>75</v>
      </c>
      <c r="DI206" s="106">
        <f t="shared" si="142"/>
        <v>75</v>
      </c>
      <c r="DJ206" s="104">
        <f>('Renewable Diesel'!AT215*'Feedstock Conversion Rates'!$B$4*0.25)/12</f>
        <v>8.59375</v>
      </c>
      <c r="DK206" s="104">
        <f>('Renewable Diesel'!$AT215*'RD Feedstock Breakdown'!DK$3*'Feedstock Conversion Rates'!$B$3)/12*0.5</f>
        <v>9.1781249999999996</v>
      </c>
      <c r="DL206" s="104">
        <f>('Renewable Diesel'!$AT215*'RD Feedstock Breakdown'!$DL$3*'Feedstock Conversion Rates'!$B$6)/12</f>
        <v>10.747916666666669</v>
      </c>
      <c r="DM206" s="104">
        <f>('Renewable Diesel'!$AT215*'RD Feedstock Breakdown'!$DM$3*'Feedstock Conversion Rates'!$B$8)/12</f>
        <v>10.7421875</v>
      </c>
      <c r="DN206" s="106">
        <f t="shared" si="110"/>
        <v>39.26197916666667</v>
      </c>
      <c r="DP206" s="104">
        <f t="shared" si="168"/>
        <v>33.470249999999993</v>
      </c>
      <c r="DQ206" s="104">
        <f t="shared" si="169"/>
        <v>623.44151750000003</v>
      </c>
      <c r="DR206" s="104">
        <f t="shared" si="174"/>
        <v>1822.765625</v>
      </c>
      <c r="DS206" s="104">
        <f t="shared" si="100"/>
        <v>179.78354166666668</v>
      </c>
      <c r="DT206" s="104">
        <f t="shared" si="170"/>
        <v>269.03923333333341</v>
      </c>
      <c r="DU206" s="104">
        <f t="shared" si="171"/>
        <v>241.29776666666666</v>
      </c>
      <c r="DV206" s="104">
        <f t="shared" si="175"/>
        <v>30.925000000000001</v>
      </c>
      <c r="DW206" s="104">
        <f t="shared" si="172"/>
        <v>2.5</v>
      </c>
      <c r="DX206" s="106">
        <f t="shared" si="176"/>
        <v>3203.2229341666666</v>
      </c>
      <c r="DY206" s="109">
        <f t="shared" si="163"/>
        <v>-30.00000000000048</v>
      </c>
      <c r="EA206" s="110">
        <f t="shared" si="150"/>
        <v>1.0448929308976566E-2</v>
      </c>
      <c r="EB206" s="110">
        <f t="shared" si="151"/>
        <v>0.19462944987380071</v>
      </c>
      <c r="EC206" s="110">
        <f t="shared" si="152"/>
        <v>0.56904113839775594</v>
      </c>
      <c r="ED206" s="110">
        <f t="shared" si="146"/>
        <v>5.6125828692419187E-2</v>
      </c>
      <c r="EE206" s="110">
        <f t="shared" si="146"/>
        <v>8.3990168296957837E-2</v>
      </c>
      <c r="EF206" s="110">
        <f t="shared" si="146"/>
        <v>7.5329682518473037E-2</v>
      </c>
      <c r="EG206" s="110">
        <f t="shared" si="146"/>
        <v>9.654338969087484E-3</v>
      </c>
      <c r="EH206" s="111">
        <f t="shared" si="177"/>
        <v>7.8046394252930342E-4</v>
      </c>
      <c r="EI206" s="110">
        <f t="shared" si="178"/>
        <v>0.99921953605747083</v>
      </c>
      <c r="EK206" s="132">
        <f>(EA206*'Renewable Diesel'!BF215*'Feedstock Conversion Rates'!B$2)+FB206</f>
        <v>38.850278840131857</v>
      </c>
      <c r="EL206" s="132">
        <f>(EB206*'Renewable Diesel'!BF215*'Feedstock Conversion Rates'!B$3)+FC206</f>
        <v>681.93737680503273</v>
      </c>
      <c r="EM206" s="132">
        <f>(EC206*'Renewable Diesel'!BF215*'Feedstock Conversion Rates'!B$4)+FD206</f>
        <v>1866.8453888099195</v>
      </c>
      <c r="EN206" s="132">
        <f>(ED206*'Renewable Diesel'!BF215*'Feedstock Conversion Rates'!B$5)+FE206</f>
        <v>185.35877109778991</v>
      </c>
      <c r="EO206" s="132">
        <f>(EE206*'Renewable Diesel'!BF215*'Feedstock Conversion Rates'!B$6)+FF206</f>
        <v>344.61542560162303</v>
      </c>
      <c r="EP206" s="132">
        <f>(EF206*'Renewable Diesel'!BF215*'Feedstock Conversion Rates'!B$7)+FG206</f>
        <v>303.14987109345969</v>
      </c>
      <c r="EQ206" s="132">
        <f>(EG206*'Renewable Diesel'!BF215*'Feedstock Conversion Rates'!B$8)+FH206</f>
        <v>39.591070333676861</v>
      </c>
      <c r="ER206" s="132">
        <f>(EH206*'Renewable Diesel'!BF215*'Feedstock Conversion Rates'!B$9)+FI206</f>
        <v>3.1578972834191186</v>
      </c>
      <c r="ES206" s="132">
        <f t="shared" si="179"/>
        <v>3463.5060798650525</v>
      </c>
      <c r="ET206" s="133">
        <f>ES206/'Renewable Diesel'!BF215</f>
        <v>7.9179459143253856</v>
      </c>
      <c r="EW206" s="73">
        <f t="shared" si="124"/>
        <v>2052.2041599077093</v>
      </c>
      <c r="EX206" s="73">
        <f t="shared" si="125"/>
        <v>1411.3019199573432</v>
      </c>
      <c r="EY206" s="92">
        <f t="shared" si="164"/>
        <v>0.59252217625316506</v>
      </c>
      <c r="EZ206" s="92">
        <f t="shared" si="164"/>
        <v>0.407477823746835</v>
      </c>
      <c r="FB206" s="102">
        <f>IF('Renewable Diesel'!$BG215&lt;1,0,(((('Renewable Diesel'!$BG215-1)*'Renewable Diesel'!$BF215)*'RD Feedstock Breakdown'!EA206)*'Feedstock Conversion Rates'!$B$2))</f>
        <v>0</v>
      </c>
      <c r="FC206" s="102">
        <f>IF('Renewable Diesel'!$BG215&lt;1,0,(((('Renewable Diesel'!$BG215-1)*'Renewable Diesel'!$BF215)*'RD Feedstock Breakdown'!EB206)*'Feedstock Conversion Rates'!$B$3))</f>
        <v>0</v>
      </c>
      <c r="FD206" s="102">
        <f>IF('Renewable Diesel'!$BG215&lt;1,0,(((('Renewable Diesel'!$BG215-1)*'Renewable Diesel'!$BF215)*'RD Feedstock Breakdown'!EC206)*'Feedstock Conversion Rates'!$B$4))</f>
        <v>0</v>
      </c>
      <c r="FE206" s="102">
        <f>IF('Renewable Diesel'!$BG215&lt;1,0,(((('Renewable Diesel'!$BG215-1)*'Renewable Diesel'!$BF215)*'RD Feedstock Breakdown'!ED206)*'Feedstock Conversion Rates'!$B$5))</f>
        <v>0</v>
      </c>
      <c r="FF206" s="102">
        <f>IF('Renewable Diesel'!$BG215&lt;1,0,(((('Renewable Diesel'!$BG215-1)*'Renewable Diesel'!$BF215)*'RD Feedstock Breakdown'!EE206)*'Feedstock Conversion Rates'!$B$6))</f>
        <v>0</v>
      </c>
      <c r="FG206" s="102">
        <f>IF('Renewable Diesel'!$BG215&lt;1,0,(((('Renewable Diesel'!$BG215-1)*'Renewable Diesel'!$BF215)*'RD Feedstock Breakdown'!EF206)*'Feedstock Conversion Rates'!$B$7))</f>
        <v>0</v>
      </c>
      <c r="FH206" s="102">
        <f>IF('Renewable Diesel'!$BG215&lt;1,0,(((('Renewable Diesel'!$BG215-1)*'Renewable Diesel'!$BF215)*'RD Feedstock Breakdown'!EG206)*'Feedstock Conversion Rates'!$B$8))</f>
        <v>0</v>
      </c>
      <c r="FI206" s="102">
        <f>IF('Renewable Diesel'!$BG215&lt;1,0,(((('Renewable Diesel'!$BG215-1)*'Renewable Diesel'!$BF215)*'RD Feedstock Breakdown'!EH206)*'Feedstock Conversion Rates'!$B$9))</f>
        <v>0</v>
      </c>
      <c r="FJ206" s="102">
        <f t="shared" si="126"/>
        <v>0</v>
      </c>
      <c r="FL206" s="3">
        <f>('Renewable Diesel'!AX215/12*$FO$80)*'RD Feedstock Breakdown'!EC206*7.5</f>
        <v>1660.7467402392065</v>
      </c>
      <c r="FM206" s="3">
        <f t="shared" si="96"/>
        <v>-206.09864857071307</v>
      </c>
      <c r="FR206" s="3">
        <f>('Renewable Diesel'!AX215-'Renewable Diesel'!BI215)/12*$FO$80</f>
        <v>54.415875000000007</v>
      </c>
      <c r="FS206" s="100">
        <f t="shared" si="97"/>
        <v>0.56904113839775594</v>
      </c>
      <c r="FT206" s="3">
        <f t="shared" si="98"/>
        <v>232.23653592682496</v>
      </c>
      <c r="FY206" s="3">
        <f>'Renewable Diesel'!BF215*('Renewable Diesel'!BI215/'Renewable Diesel'!AX215)</f>
        <v>376.25593733755056</v>
      </c>
      <c r="FZ206" s="3">
        <f>('Renewable Diesel'!BJ215*'Renewable Diesel'!BG215)/12</f>
        <v>60.017856976094798</v>
      </c>
      <c r="GA206" s="3">
        <f t="shared" si="105"/>
        <v>256.14472243403014</v>
      </c>
      <c r="GD206" s="91">
        <f>'Renewable Diesel'!BB215*0.32</f>
        <v>0</v>
      </c>
      <c r="GE206" s="91">
        <f>'Renewable Diesel'!BC215</f>
        <v>126.74184549121414</v>
      </c>
      <c r="GF206" s="91">
        <f>'Renewable Diesel'!BD215</f>
        <v>0</v>
      </c>
      <c r="GG206" s="91">
        <f t="shared" si="109"/>
        <v>126.74184549121414</v>
      </c>
      <c r="GH206" s="124">
        <v>1</v>
      </c>
      <c r="GI206" s="102">
        <f>$GG206*EA206*'Feedstock Conversion Rates'!$B$2</f>
        <v>11.256690964228879</v>
      </c>
      <c r="GJ206" s="102">
        <f>$GG206*EB206*'Feedstock Conversion Rates'!$B$3</f>
        <v>197.5882422682015</v>
      </c>
      <c r="GK206" s="102">
        <f>$GG206*EC206*'Feedstock Conversion Rates'!$B$4</f>
        <v>540.90993030714742</v>
      </c>
      <c r="GL206" s="102">
        <f>$GG206*ED206*'Feedstock Conversion Rates'!$B$5</f>
        <v>53.70685786691714</v>
      </c>
      <c r="GM206" s="102">
        <f>$GG206*EE206*'Feedstock Conversion Rates'!$B$6</f>
        <v>99.850746592235083</v>
      </c>
      <c r="GN206" s="102">
        <f>$GG206*EF206*'Feedstock Conversion Rates'!$B$7</f>
        <v>87.836291440458425</v>
      </c>
      <c r="GO206" s="102">
        <f>$GG206*EG206*'Feedstock Conversion Rates'!$B$8</f>
        <v>11.4713319181865</v>
      </c>
      <c r="GP206" s="102">
        <f>$GG206*EH206*'Feedstock Conversion Rates'!B$9</f>
        <v>0.91498632384349343</v>
      </c>
      <c r="GQ206" s="102">
        <f t="shared" si="180"/>
        <v>1003.5350776812186</v>
      </c>
      <c r="GR206" s="85">
        <f t="shared" si="107"/>
        <v>7.9179459143253883</v>
      </c>
      <c r="GT206" s="103">
        <f t="shared" si="159"/>
        <v>1.1217037864026376E-2</v>
      </c>
      <c r="GU206" s="103">
        <f t="shared" si="159"/>
        <v>0.19689221300041801</v>
      </c>
      <c r="GV206" s="103">
        <f t="shared" si="159"/>
        <v>0.53900450750259876</v>
      </c>
      <c r="GW206" s="103">
        <f t="shared" si="159"/>
        <v>5.3517668750566183E-2</v>
      </c>
      <c r="GX206" s="103">
        <f t="shared" si="158"/>
        <v>9.9499009863164484E-2</v>
      </c>
      <c r="GY206" s="103">
        <f t="shared" si="158"/>
        <v>8.7526877130607264E-2</v>
      </c>
      <c r="GZ206" s="103">
        <f t="shared" si="158"/>
        <v>1.1430922718408922E-2</v>
      </c>
      <c r="HA206" s="103">
        <f t="shared" si="158"/>
        <v>9.1176317020992732E-4</v>
      </c>
    </row>
    <row r="207" spans="1:209" x14ac:dyDescent="0.25">
      <c r="A207" s="96">
        <v>46722</v>
      </c>
      <c r="B207" s="104">
        <f>23-20+10+85-5-4-4-1.25+2.25-5+15-6-25-45+65+15-22.5-50+40+16.5+27.5+168+80+14-30+15-50-19+22.5-10+5+11-25-50-12.5-27.5-10+10+2+4-1.5+12-26-15-50-15+10-32.5-3-5-2.5-1+5+10-50-35-9-0.5+25+15+25+20+15+85-25+12.5-52.5+10+20-150+20-20+55-25-25+25-15</f>
        <v>15</v>
      </c>
      <c r="C207" s="104">
        <f t="shared" si="147"/>
        <v>0</v>
      </c>
      <c r="D207" s="104">
        <f t="shared" si="95"/>
        <v>1.5</v>
      </c>
      <c r="E207" s="104">
        <f>('Renewable Diesel'!B216*E$3*'Feedstock Conversion Rates'!$B$2)/12-40+1.25+6-43+30-15+12.5-4+1.5+26+2.5+3-10+50+9-15-25-55+15+45+10-50+60-60-44+25</f>
        <v>25.679999999999993</v>
      </c>
      <c r="F207" s="104">
        <f>('Renewable Diesel'!B216*'RD Feedstock Breakdown'!F$3*'Feedstock Conversion Rates'!B$8)/12+28.5-49-5+2-6+1+6+20-20-3.75+10+2.5+5-20-20+15</f>
        <v>20.15625</v>
      </c>
      <c r="G207" s="104">
        <f>('Renewable Diesel'!B216*'RD Feedstock Breakdown'!G$3*'Feedstock Conversion Rates'!B$7)/12-25-15-25+4+4-20-40-20+10-17.5+20+50-12+32.5+35-75-75+22.5+5-20+15+125-10-45-10-40-40</f>
        <v>9.6570000000000107</v>
      </c>
      <c r="H207" s="104">
        <f>('Renewable Diesel'!B216*'RD Feedstock Breakdown'!H$3*'Feedstock Conversion Rates'!B$3)/12-85+4-15+70-65-80+50-22.5-5+25+27.5+15+50+15-10+5+50+75-5-25-85-12.5+30+22.5-25-30+150+90-120+25+10+70+44+5</f>
        <v>424.40022499999998</v>
      </c>
      <c r="I207" s="106">
        <f t="shared" si="106"/>
        <v>496.39347499999997</v>
      </c>
      <c r="J207" s="104">
        <f>2+10+12+15-6-20-5-5+7+105+30+87+5-10-5-25-27.5+1-1-15-17.5-6-10-77.5-7.5-1+17.5+15+90+2+2.5+2.5+7.5+27.5-32-11-25+5-50-30-20-20+20-20+50-50-15</f>
        <v>1.5</v>
      </c>
      <c r="K207" s="104">
        <f t="shared" si="182"/>
        <v>10</v>
      </c>
      <c r="L207" s="104">
        <v>1</v>
      </c>
      <c r="M207" s="104">
        <f>('Renewable Diesel'!C216*'RD Feedstock Breakdown'!M$3*'Feedstock Conversion Rates'!B$2)/12</f>
        <v>7.7902500000000003</v>
      </c>
      <c r="N207" s="104">
        <f>('Renewable Diesel'!C216*'RD Feedstock Breakdown'!N$3*'Feedstock Conversion Rates'!B$8)/12</f>
        <v>3.671875</v>
      </c>
      <c r="O207" s="104">
        <f>('Renewable Diesel'!C216*'RD Feedstock Breakdown'!O$3*'Feedstock Conversion Rates'!B$7)/12</f>
        <v>11.9991</v>
      </c>
      <c r="P207" s="104">
        <f>('Renewable Diesel'!C216*'RD Feedstock Breakdown'!P$3*'Feedstock Conversion Rates'!B$3)/12</f>
        <v>10.4470425</v>
      </c>
      <c r="Q207" s="106">
        <f t="shared" si="119"/>
        <v>46.408267500000001</v>
      </c>
      <c r="R207" s="104">
        <f>('Renewable Diesel'!D216*'RD Feedstock Breakdown'!R$3*'Feedstock Conversion Rates'!B$7)/12</f>
        <v>2.2999999999999998</v>
      </c>
      <c r="S207" s="106">
        <f t="shared" si="148"/>
        <v>2.2999999999999998</v>
      </c>
      <c r="T207" s="104">
        <f t="shared" si="183"/>
        <v>5.8250000000000028</v>
      </c>
      <c r="U207" s="104">
        <f t="shared" si="184"/>
        <v>45</v>
      </c>
      <c r="V207" s="104">
        <f>('Renewable Diesel'!E216*'RD Feedstock Breakdown'!V$3*'Feedstock Conversion Rates'!B$6)/12-20+25-35</f>
        <v>14.250150000000012</v>
      </c>
      <c r="W207" s="104">
        <f>('Renewable Diesel'!E216*'RD Feedstock Breakdown'!W$3*'Feedstock Conversion Rates'!B$8)/12-5.825-15</f>
        <v>1.3546875000000007</v>
      </c>
      <c r="X207" s="106">
        <f t="shared" si="185"/>
        <v>66.429837500000005</v>
      </c>
      <c r="Y207" s="104">
        <f t="shared" si="186"/>
        <v>125.5</v>
      </c>
      <c r="Z207" s="104">
        <f>('Renewable Diesel'!F216*'RD Feedstock Breakdown'!Z$3*'Feedstock Conversion Rates'!B$6)/12-50-32-60+15+30+22.5-70+70-35+5+6</f>
        <v>60.960000000000008</v>
      </c>
      <c r="AA207" s="104">
        <f>('Renewable Diesel'!F216*'RD Feedstock Breakdown'!AA$3*'Feedstock Conversion Rates'!B$7)/12+80-171+75+30+20-50-6-5</f>
        <v>77.266666666666652</v>
      </c>
      <c r="AB207" s="106">
        <f t="shared" si="137"/>
        <v>263.72666666666669</v>
      </c>
      <c r="AC207" s="104">
        <f>('Renewable Diesel'!G216*'RD Feedstock Breakdown'!AC$3*'Feedstock Conversion Rates'!B$5)/12</f>
        <v>11.796875</v>
      </c>
      <c r="AD207" s="104">
        <f>('Renewable Diesel'!G216*'RD Feedstock Breakdown'!AD$3*'Feedstock Conversion Rates'!B$4)/12</f>
        <v>5.859375</v>
      </c>
      <c r="AE207" s="104">
        <f>('Renewable Diesel'!G216*'RD Feedstock Breakdown'!AE$3*'Feedstock Conversion Rates'!B$6)/12</f>
        <v>7.3281250000000009</v>
      </c>
      <c r="AF207" s="106">
        <f t="shared" si="101"/>
        <v>24.984375</v>
      </c>
      <c r="AG207" s="104">
        <f t="shared" ref="AG207:AG216" si="188">130+20-51+120-2.5-100+45-25-30</f>
        <v>106.5</v>
      </c>
      <c r="AH207" s="104">
        <v>30</v>
      </c>
      <c r="AI207" s="104">
        <f>('Renewable Diesel'!H216*'RD Feedstock Breakdown'!AI$3*'Feedstock Conversion Rates'!B$6)/12-130-20+51-120+2.5+100-45+25</f>
        <v>12.01666666666668</v>
      </c>
      <c r="AJ207" s="106">
        <f t="shared" si="145"/>
        <v>118.51666666666668</v>
      </c>
      <c r="AK207" s="104">
        <f>('Renewable Diesel'!J216*'RD Feedstock Breakdown'!AK$3*'Feedstock Conversion Rates'!B$4)/12</f>
        <v>95.8125</v>
      </c>
      <c r="AL207" s="106">
        <f t="shared" si="157"/>
        <v>95.8125</v>
      </c>
      <c r="AM207" s="104">
        <f>('Renewable Diesel'!K216*'RD Feedstock Breakdown'!AM$3*'Feedstock Conversion Rates'!B$4)/12+5+15-10+9-27</f>
        <v>50.59375</v>
      </c>
      <c r="AN207" s="104">
        <f>('Renewable Diesel'!K216*'RD Feedstock Breakdown'!AN$3*'Feedstock Conversion Rates'!B$6)/12-5-15+10-9+27</f>
        <v>32.427083333333329</v>
      </c>
      <c r="AO207" s="106">
        <f t="shared" si="173"/>
        <v>83.020833333333329</v>
      </c>
      <c r="AP207" s="104">
        <f>('Renewable Diesel'!L216*'RD Feedstock Breakdown'!AP$3*'Feedstock Conversion Rates'!B$4)/12+15-10+2.5+12</f>
        <v>78.09375</v>
      </c>
      <c r="AQ207" s="104">
        <f>('Renewable Diesel'!L216*'RD Feedstock Breakdown'!AQ$3*'Feedstock Conversion Rates'!B$6)/12-15+10-2.5-12</f>
        <v>4.9270833333333321</v>
      </c>
      <c r="AR207" s="106">
        <f t="shared" si="162"/>
        <v>83.020833333333329</v>
      </c>
      <c r="AS207" s="104">
        <f>('Renewable Diesel'!M216*'RD Feedstock Breakdown'!AS$3*'Feedstock Conversion Rates'!B$4)/12</f>
        <v>456.25</v>
      </c>
      <c r="AT207" s="104">
        <f>('Renewable Diesel'!M216*'RD Feedstock Breakdown'!AT$3*'Feedstock Conversion Rates'!B$5)/12</f>
        <v>0</v>
      </c>
      <c r="AU207" s="106">
        <f t="shared" si="104"/>
        <v>456.25</v>
      </c>
      <c r="AV207" s="104">
        <f>'Renewable Diesel'!N216*'RD Feedstock Breakdown'!$AV$3*'Feedstock Conversion Rates'!$B$4/12-15-10+25+25-22-25-12.5</f>
        <v>44.249999999999986</v>
      </c>
      <c r="AW207" s="104">
        <f>'Renewable Diesel'!N216*'RD Feedstock Breakdown'!$AW$3*'Feedstock Conversion Rates'!$B$7/12+15+10-25-25+22+25+12.5</f>
        <v>75.900000000000006</v>
      </c>
      <c r="AX207" s="106">
        <f t="shared" si="141"/>
        <v>120.14999999999999</v>
      </c>
      <c r="AY207" s="104">
        <f>('Renewable Diesel'!O216*'RD Feedstock Breakdown'!AY$3*'Feedstock Conversion Rates'!B$4)/12+32+2-135-247+50</f>
        <v>-87.0625</v>
      </c>
      <c r="AZ207" s="104">
        <f>('Renewable Diesel'!O216*'RD Feedstock Breakdown'!AZ$3*'Feedstock Conversion Rates'!B$3)/12-32-2+135+247-50</f>
        <v>323.03125</v>
      </c>
      <c r="BA207" s="106">
        <f t="shared" si="120"/>
        <v>235.96875</v>
      </c>
      <c r="BB207" s="104">
        <f>('Renewable Diesel'!Q216*'RD Feedstock Breakdown'!BB$3*'Feedstock Conversion Rates'!B$4)/12</f>
        <v>11.156249999999998</v>
      </c>
      <c r="BC207" s="104">
        <f>('Renewable Diesel'!Q216*'RD Feedstock Breakdown'!BC$3*'Feedstock Conversion Rates'!B$3)/12</f>
        <v>1.4017500000000001</v>
      </c>
      <c r="BD207" s="104">
        <f>('Renewable Diesel'!Q216*'RD Feedstock Breakdown'!BD$3*'Feedstock Conversion Rates'!B$6)/12</f>
        <v>0.8207500000000002</v>
      </c>
      <c r="BE207" s="106">
        <f t="shared" ref="BE207:BE270" si="189">SUM(BB207:BD207)</f>
        <v>13.378749999999998</v>
      </c>
      <c r="BF207" s="104">
        <f>('Renewable Diesel'!R216*'RD Feedstock Breakdown'!BF$3*'Feedstock Conversion Rates'!B$4)/12</f>
        <v>62.5</v>
      </c>
      <c r="BG207" s="106">
        <f t="shared" si="167"/>
        <v>62.5</v>
      </c>
      <c r="BH207" s="104">
        <f>('Renewable Diesel'!T216*'RD Feedstock Breakdown'!BH$3*'Feedstock Conversion Rates'!B$7)/12</f>
        <v>27.599999999999998</v>
      </c>
      <c r="BI207" s="106">
        <f t="shared" si="144"/>
        <v>27.599999999999998</v>
      </c>
      <c r="BJ207" s="104">
        <f>('Renewable Diesel'!W216*'RD Feedstock Breakdown'!BJ$3*'Feedstock Conversion Rates'!B$4)/12</f>
        <v>7.5</v>
      </c>
      <c r="BK207" s="104">
        <f>('Renewable Diesel'!W216*'RD Feedstock Breakdown'!BK$3*'Feedstock Conversion Rates'!B$3)/12</f>
        <v>1.335</v>
      </c>
      <c r="BL207" s="104">
        <f>('Renewable Diesel'!W216*'RD Feedstock Breakdown'!BL$3*'Feedstock Conversion Rates'!B$6)/12</f>
        <v>3.1266666666666669</v>
      </c>
      <c r="BM207" s="104">
        <f>('Renewable Diesel'!W216*'RD Feedstock Breakdown'!BM$3*'Feedstock Conversion Rates'!B$7)/12</f>
        <v>1.5333333333333332</v>
      </c>
      <c r="BN207" s="106">
        <f t="shared" si="112"/>
        <v>13.495000000000001</v>
      </c>
      <c r="BO207" s="104">
        <f>('Renewable Diesel'!P216*'Feedstock Conversion Rates'!B$4)/12</f>
        <v>31.25</v>
      </c>
      <c r="BP207" s="106">
        <f t="shared" si="102"/>
        <v>31.25</v>
      </c>
      <c r="BQ207" s="104">
        <f>('Renewable Diesel'!$S216*'RD Feedstock Breakdown'!BQ$3*'Feedstock Conversion Rates'!B$4)/12+10</f>
        <v>38.125</v>
      </c>
      <c r="BR207" s="104">
        <f>('Renewable Diesel'!$S216*'RD Feedstock Breakdown'!BR$3*'Feedstock Conversion Rates'!B$7)/12-10</f>
        <v>1.5</v>
      </c>
      <c r="BS207" s="106">
        <f t="shared" si="123"/>
        <v>39.625</v>
      </c>
      <c r="BT207" s="106"/>
      <c r="BU207" s="104">
        <f>('Renewable Diesel'!Y216*'Feedstock Conversion Rates'!B$7)/12</f>
        <v>2.6833333333333331</v>
      </c>
      <c r="BV207" s="106">
        <f t="shared" si="93"/>
        <v>2.6833333333333331</v>
      </c>
      <c r="BW207" s="104">
        <f>('Renewable Diesel'!$Z216*'RD Feedstock Breakdown'!BW$3*'Feedstock Conversion Rates'!$B$4)/12</f>
        <v>35.9375</v>
      </c>
      <c r="BX207" s="104">
        <f>('Renewable Diesel'!$Z216*'RD Feedstock Breakdown'!BX$3*'Feedstock Conversion Rates'!$B$5)/12</f>
        <v>3.6177083333333333</v>
      </c>
      <c r="BY207" s="104">
        <f>('Renewable Diesel'!$Z216*'RD Feedstock Breakdown'!BY$3*'Feedstock Conversion Rates'!$B$7)/12</f>
        <v>30.858333333333331</v>
      </c>
      <c r="BZ207" s="104">
        <f>('Renewable Diesel'!$Z216*'RD Feedstock Breakdown'!BZ$3*'Feedstock Conversion Rates'!$B$3)/12</f>
        <v>7.6762499999999996</v>
      </c>
      <c r="CA207" s="106">
        <f t="shared" si="127"/>
        <v>78.089791666666656</v>
      </c>
      <c r="CB207" s="104">
        <f>('Renewable Diesel'!AA216*'Feedstock Conversion Rates'!B$4)/12</f>
        <v>191.25</v>
      </c>
      <c r="CC207" s="106">
        <f t="shared" si="113"/>
        <v>191.25</v>
      </c>
      <c r="CD207" s="104">
        <f>('Renewable Diesel'!$AB216*'RD Feedstock Breakdown'!CD$3*'Feedstock Conversion Rates'!$B$6)/12-15</f>
        <v>17.830000000000005</v>
      </c>
      <c r="CE207" s="104">
        <f>('Renewable Diesel'!$AB216*'RD Feedstock Breakdown'!CE$3*'Feedstock Conversion Rates'!$B$4)/12+15</f>
        <v>26.25</v>
      </c>
      <c r="CF207" s="106">
        <f t="shared" si="108"/>
        <v>44.080000000000005</v>
      </c>
      <c r="CG207" s="104">
        <f>('Renewable Diesel'!AD216*'Feedstock Conversion Rates'!B$4)/12</f>
        <v>112.5</v>
      </c>
      <c r="CH207" s="106">
        <f t="shared" si="187"/>
        <v>112.5</v>
      </c>
      <c r="CI207" s="104">
        <f>('Renewable Diesel'!$AE216*'RD Feedstock Breakdown'!CI$3*'Feedstock Conversion Rates'!$B$5)/12</f>
        <v>0.34604166666666664</v>
      </c>
      <c r="CJ207" s="104">
        <f>('Renewable Diesel'!$AE216*'RD Feedstock Breakdown'!CJ$3*'Feedstock Conversion Rates'!$B$4)/12</f>
        <v>0.34375</v>
      </c>
      <c r="CK207" s="106">
        <f t="shared" si="103"/>
        <v>0.68979166666666658</v>
      </c>
      <c r="CL207" s="104">
        <f>(((CL$3*'Renewable Diesel'!$AF216)*'Feedstock Conversion Rates'!$B$3)/12)-35</f>
        <v>56.78125</v>
      </c>
      <c r="CM207" s="104">
        <f>(((CM$3*'Renewable Diesel'!$AF216)*'Feedstock Conversion Rates'!$B$6)/12)-32.5+35+30</f>
        <v>86.239583333333343</v>
      </c>
      <c r="CN207" s="104">
        <f>(((CN$3*'Renewable Diesel'!$AF216)*'Feedstock Conversion Rates'!$B$4)/12)</f>
        <v>42.96875</v>
      </c>
      <c r="CO207" s="106">
        <f t="shared" ref="CO207:CO270" si="190">SUM(CL207:CN207)</f>
        <v>185.98958333333334</v>
      </c>
      <c r="CP207" s="104">
        <f>('Renewable Diesel'!$AG216*'RD Feedstock Breakdown'!CP$3*'Feedstock Conversion Rates'!$B$3)/12</f>
        <v>6.0075000000000003</v>
      </c>
      <c r="CQ207" s="104">
        <f>('Renewable Diesel'!$AG216*'RD Feedstock Breakdown'!CQ$3*'Feedstock Conversion Rates'!$B$6)/12</f>
        <v>3.5175000000000001</v>
      </c>
      <c r="CR207" s="104">
        <f>('Renewable Diesel'!$AG216*'RD Feedstock Breakdown'!CR$3*'Feedstock Conversion Rates'!$B$4)/12</f>
        <v>2.8125</v>
      </c>
      <c r="CS207" s="106">
        <f t="shared" si="134"/>
        <v>12.3375</v>
      </c>
      <c r="CT207" s="104">
        <f>('Renewable Diesel'!AI216*'Feedstock Conversion Rates'!$B$4*'RD Feedstock Breakdown'!$CT$3)/12</f>
        <v>29.375</v>
      </c>
      <c r="CU207" s="106">
        <f t="shared" si="99"/>
        <v>29.375</v>
      </c>
      <c r="CV207" s="104">
        <f>('Renewable Diesel'!AN216*'Feedstock Conversion Rates'!$B$3*'RD Feedstock Breakdown'!$CV$3)/12</f>
        <v>0.50062499999999999</v>
      </c>
      <c r="CW207" s="106">
        <f t="shared" si="161"/>
        <v>0.50062499999999999</v>
      </c>
      <c r="CX207" s="104">
        <f>('Renewable Diesel'!AO216*'RD Feedstock Breakdown'!$CX$3*'Feedstock Conversion Rates'!$B$3)/12</f>
        <v>6.3412499999999996</v>
      </c>
      <c r="CY207" s="104">
        <f>('Renewable Diesel'!AO216*'RD Feedstock Breakdown'!$CY$3*'Feedstock Conversion Rates'!$B$6)/12</f>
        <v>7.4258333333333342</v>
      </c>
      <c r="CZ207" s="106">
        <f t="shared" si="135"/>
        <v>13.767083333333334</v>
      </c>
      <c r="DA207" s="104">
        <f>('Renewable Diesel'!$AP216*'RD Feedstock Breakdown'!DA$3*'Feedstock Conversion Rates'!$B$3)/12</f>
        <v>6.3412499999999996</v>
      </c>
      <c r="DB207" s="104">
        <f>('Renewable Diesel'!$AP216*'RD Feedstock Breakdown'!DB$3*'Feedstock Conversion Rates'!$B$8)/12</f>
        <v>7.421875</v>
      </c>
      <c r="DC207" s="106">
        <f t="shared" si="165"/>
        <v>13.763124999999999</v>
      </c>
      <c r="DD207" s="104">
        <f>('Renewable Diesel'!AQ216*$DD$3*'Feedstock Conversion Rates'!$B$14)/12</f>
        <v>3.1041666666666665</v>
      </c>
      <c r="DE207" s="106">
        <f t="shared" si="166"/>
        <v>3.1041666666666665</v>
      </c>
      <c r="DF207" s="104">
        <f>('Renewable Diesel'!AR216*'Feedstock Conversion Rates'!$B$4*$DF$3)/12</f>
        <v>75</v>
      </c>
      <c r="DG207" s="106">
        <f t="shared" si="136"/>
        <v>75</v>
      </c>
      <c r="DH207" s="104">
        <f>('Renewable Diesel'!AS216*'Feedstock Conversion Rates'!$B$4*$DH$3)/12</f>
        <v>75</v>
      </c>
      <c r="DI207" s="106">
        <f t="shared" si="142"/>
        <v>75</v>
      </c>
      <c r="DJ207" s="104">
        <f>('Renewable Diesel'!AT216*'Feedstock Conversion Rates'!$B$4*0.25)/12</f>
        <v>8.59375</v>
      </c>
      <c r="DK207" s="104">
        <f>('Renewable Diesel'!$AT216*'RD Feedstock Breakdown'!DK$3*'Feedstock Conversion Rates'!$B$3)/12*0.5</f>
        <v>9.1781249999999996</v>
      </c>
      <c r="DL207" s="104">
        <f>('Renewable Diesel'!$AT216*'RD Feedstock Breakdown'!$DL$3*'Feedstock Conversion Rates'!$B$6)/12</f>
        <v>10.747916666666669</v>
      </c>
      <c r="DM207" s="104">
        <f>('Renewable Diesel'!$AT216*'RD Feedstock Breakdown'!$DM$3*'Feedstock Conversion Rates'!$B$8)/12</f>
        <v>10.7421875</v>
      </c>
      <c r="DN207" s="106">
        <f t="shared" si="110"/>
        <v>39.26197916666667</v>
      </c>
      <c r="DP207" s="104">
        <f t="shared" si="168"/>
        <v>33.470249999999993</v>
      </c>
      <c r="DQ207" s="104">
        <f t="shared" si="169"/>
        <v>853.44151750000003</v>
      </c>
      <c r="DR207" s="104">
        <f t="shared" si="174"/>
        <v>1602.765625</v>
      </c>
      <c r="DS207" s="104">
        <f t="shared" si="100"/>
        <v>149.78354166666668</v>
      </c>
      <c r="DT207" s="104">
        <f t="shared" si="170"/>
        <v>269.03923333333341</v>
      </c>
      <c r="DU207" s="104">
        <f t="shared" si="171"/>
        <v>241.29776666666666</v>
      </c>
      <c r="DV207" s="104">
        <f t="shared" si="175"/>
        <v>35.924999999999997</v>
      </c>
      <c r="DW207" s="104">
        <f t="shared" si="172"/>
        <v>2.5</v>
      </c>
      <c r="DX207" s="106">
        <f t="shared" si="176"/>
        <v>3188.2229341666666</v>
      </c>
      <c r="DY207" s="109">
        <f t="shared" si="163"/>
        <v>-30.00000000000048</v>
      </c>
      <c r="EA207" s="110">
        <f t="shared" si="150"/>
        <v>1.0498089591325395E-2</v>
      </c>
      <c r="EB207" s="110">
        <f t="shared" si="151"/>
        <v>0.26768564655691851</v>
      </c>
      <c r="EC207" s="110">
        <f t="shared" si="152"/>
        <v>0.50271441429767161</v>
      </c>
      <c r="ED207" s="110">
        <f t="shared" si="146"/>
        <v>4.6980259774656224E-2</v>
      </c>
      <c r="EE207" s="110">
        <f t="shared" si="146"/>
        <v>8.4385326524744578E-2</v>
      </c>
      <c r="EF207" s="110">
        <f t="shared" si="146"/>
        <v>7.5684094760373688E-2</v>
      </c>
      <c r="EG207" s="110">
        <f t="shared" si="146"/>
        <v>1.1268032613092668E-2</v>
      </c>
      <c r="EH207" s="111">
        <f t="shared" si="177"/>
        <v>7.8413588121730468E-4</v>
      </c>
      <c r="EI207" s="110">
        <f t="shared" si="178"/>
        <v>0.99921586411878283</v>
      </c>
      <c r="EK207" s="132">
        <f>(EA207*'Renewable Diesel'!BF216*'Feedstock Conversion Rates'!B$2)+FB207</f>
        <v>45.418625573243084</v>
      </c>
      <c r="EL207" s="132">
        <f>(EB207*'Renewable Diesel'!BF216*'Feedstock Conversion Rates'!B$3)+FC207</f>
        <v>1091.3458168101456</v>
      </c>
      <c r="EM207" s="132">
        <f>(EC207*'Renewable Diesel'!BF216*'Feedstock Conversion Rates'!B$4)+FD207</f>
        <v>1919.0548534595898</v>
      </c>
      <c r="EN207" s="132">
        <f>(ED207*'Renewable Diesel'!BF216*'Feedstock Conversion Rates'!B$5)+FE207</f>
        <v>180.53738715195826</v>
      </c>
      <c r="EO207" s="132">
        <f>(EE207*'Renewable Diesel'!BF216*'Feedstock Conversion Rates'!B$6)+FF207</f>
        <v>402.8789354787242</v>
      </c>
      <c r="EP207" s="132">
        <f>(EF207*'Renewable Diesel'!BF216*'Feedstock Conversion Rates'!B$7)+FG207</f>
        <v>354.40287428639783</v>
      </c>
      <c r="EQ207" s="132">
        <f>(EG207*'Renewable Diesel'!BF216*'Feedstock Conversion Rates'!B$8)+FH207</f>
        <v>53.768034245911473</v>
      </c>
      <c r="ER207" s="132">
        <f>(EH207*'Renewable Diesel'!BF216*'Feedstock Conversion Rates'!B$9)+FI207</f>
        <v>3.6917972945464617</v>
      </c>
      <c r="ES207" s="132">
        <f t="shared" si="179"/>
        <v>4051.0983243005171</v>
      </c>
      <c r="ET207" s="133">
        <f>ES207/'Renewable Diesel'!BF216</f>
        <v>8.6953603905806567</v>
      </c>
      <c r="EW207" s="73">
        <f t="shared" si="124"/>
        <v>2277.352707778748</v>
      </c>
      <c r="EX207" s="73">
        <f t="shared" si="125"/>
        <v>2116.7289428738272</v>
      </c>
      <c r="EY207" s="92">
        <f t="shared" si="164"/>
        <v>0.56215685857784436</v>
      </c>
      <c r="EZ207" s="92">
        <f t="shared" si="164"/>
        <v>0.52250742229005565</v>
      </c>
      <c r="FB207" s="102">
        <f>IF('Renewable Diesel'!$BG216&lt;1,0,(((('Renewable Diesel'!$BG216-1)*'Renewable Diesel'!$BF216)*'RD Feedstock Breakdown'!EA207)*'Feedstock Conversion Rates'!$B$2))</f>
        <v>3.8453352721670444</v>
      </c>
      <c r="FC207" s="102">
        <f>IF('Renewable Diesel'!$BG216&lt;1,0,(((('Renewable Diesel'!$BG216-1)*'Renewable Diesel'!$BF216)*'RD Feedstock Breakdown'!EB207)*'Feedstock Conversion Rates'!$B$3))</f>
        <v>92.398008758422051</v>
      </c>
      <c r="FD207" s="102">
        <f>IF('Renewable Diesel'!$BG216&lt;1,0,(((('Renewable Diesel'!$BG216-1)*'Renewable Diesel'!$BF216)*'RD Feedstock Breakdown'!EC207)*'Feedstock Conversion Rates'!$B$4))</f>
        <v>162.47539911420964</v>
      </c>
      <c r="FE207" s="102">
        <f>IF('Renewable Diesel'!$BG216&lt;1,0,(((('Renewable Diesel'!$BG216-1)*'Renewable Diesel'!$BF216)*'RD Feedstock Breakdown'!ED207)*'Feedstock Conversion Rates'!$B$5))</f>
        <v>15.285068052990217</v>
      </c>
      <c r="FF207" s="102">
        <f>IF('Renewable Diesel'!$BG216&lt;1,0,(((('Renewable Diesel'!$BG216-1)*'Renewable Diesel'!$BF216)*'RD Feedstock Breakdown'!EE207)*'Feedstock Conversion Rates'!$B$6))</f>
        <v>34.109455349131323</v>
      </c>
      <c r="FG207" s="102">
        <f>IF('Renewable Diesel'!$BG216&lt;1,0,(((('Renewable Diesel'!$BG216-1)*'Renewable Diesel'!$BF216)*'RD Feedstock Breakdown'!EF207)*'Feedstock Conversion Rates'!$B$7))</f>
        <v>30.005264488974689</v>
      </c>
      <c r="FH207" s="102">
        <f>IF('Renewable Diesel'!$BG216&lt;1,0,(((('Renewable Diesel'!$BG216-1)*'Renewable Diesel'!$BF216)*'RD Feedstock Breakdown'!EG207)*'Feedstock Conversion Rates'!$B$8))</f>
        <v>4.5522319531107218</v>
      </c>
      <c r="FI207" s="102">
        <f>IF('Renewable Diesel'!$BG216&lt;1,0,(((('Renewable Diesel'!$BG216-1)*'Renewable Diesel'!$BF216)*'RD Feedstock Breakdown'!EH207)*'Feedstock Conversion Rates'!$B$9))</f>
        <v>0.31256336305283544</v>
      </c>
      <c r="FJ207" s="102">
        <f t="shared" si="126"/>
        <v>342.98332635205855</v>
      </c>
      <c r="FL207" s="3">
        <f>('Renewable Diesel'!AX216/12*$FO$80)*'RD Feedstock Breakdown'!EC207*7.5</f>
        <v>1467.1721752260089</v>
      </c>
      <c r="FM207" s="3">
        <f t="shared" si="96"/>
        <v>-451.88267823358092</v>
      </c>
      <c r="FR207" s="3">
        <f>('Renewable Diesel'!AX216-'Renewable Diesel'!BI216)/12*$FO$80</f>
        <v>54.415875000000007</v>
      </c>
      <c r="FS207" s="100">
        <f t="shared" si="97"/>
        <v>0.50271441429767161</v>
      </c>
      <c r="FT207" s="3">
        <f t="shared" si="98"/>
        <v>205.16733546840237</v>
      </c>
      <c r="FY207" s="3">
        <f>'Renewable Diesel'!BF216*('Renewable Diesel'!BI216/'Renewable Diesel'!AX216)</f>
        <v>400.74225332093579</v>
      </c>
      <c r="FZ207" s="3">
        <f>('Renewable Diesel'!BJ216*'Renewable Diesel'!BG216)/12</f>
        <v>66.054543780572757</v>
      </c>
      <c r="GA207" s="3">
        <f t="shared" si="105"/>
        <v>249.04928466262905</v>
      </c>
      <c r="GD207" s="91">
        <f>'Renewable Diesel'!BB216*0.32</f>
        <v>0</v>
      </c>
      <c r="GE207" s="91">
        <f>'Renewable Diesel'!BC216</f>
        <v>113.36904915085674</v>
      </c>
      <c r="GF207" s="91">
        <f>'Renewable Diesel'!BD216</f>
        <v>0</v>
      </c>
      <c r="GG207" s="91">
        <f t="shared" si="109"/>
        <v>113.36904915085674</v>
      </c>
      <c r="GH207" s="124">
        <v>1</v>
      </c>
      <c r="GI207" s="102">
        <f>$GG207*EA207*'Feedstock Conversion Rates'!$B$2</f>
        <v>10.116346696387064</v>
      </c>
      <c r="GJ207" s="102">
        <f>$GG207*EB207*'Feedstock Conversion Rates'!$B$3</f>
        <v>243.08161044413617</v>
      </c>
      <c r="GK207" s="102">
        <f>$GG207*EC207*'Feedstock Conversion Rates'!$B$4</f>
        <v>427.44191357517667</v>
      </c>
      <c r="GL207" s="102">
        <f>$GG207*ED207*'Feedstock Conversion Rates'!$B$5</f>
        <v>40.212110715323298</v>
      </c>
      <c r="GM207" s="102">
        <f>$GG207*EE207*'Feedstock Conversion Rates'!$B$6</f>
        <v>89.735498081103813</v>
      </c>
      <c r="GN207" s="102">
        <f>$GG207*EF207*'Feedstock Conversion Rates'!$B$7</f>
        <v>78.938151501207514</v>
      </c>
      <c r="GO207" s="102">
        <f>$GG207*EG207*'Feedstock Conversion Rates'!$B$8</f>
        <v>11.976057592004619</v>
      </c>
      <c r="GP207" s="102">
        <f>$GG207*EH207*'Feedstock Conversion Rates'!B$9</f>
        <v>0.82229483814274351</v>
      </c>
      <c r="GQ207" s="102">
        <f t="shared" si="180"/>
        <v>902.32398344348189</v>
      </c>
      <c r="GR207" s="85">
        <f t="shared" si="107"/>
        <v>7.9591739562249204</v>
      </c>
      <c r="GT207" s="103">
        <f t="shared" si="159"/>
        <v>1.1211435007834647E-2</v>
      </c>
      <c r="GU207" s="103">
        <f t="shared" si="159"/>
        <v>0.26939504535441833</v>
      </c>
      <c r="GV207" s="103">
        <f t="shared" si="159"/>
        <v>0.47371223797460993</v>
      </c>
      <c r="GW207" s="103">
        <f t="shared" si="159"/>
        <v>4.4565046982198528E-2</v>
      </c>
      <c r="GX207" s="103">
        <f t="shared" si="158"/>
        <v>9.9449310588700005E-2</v>
      </c>
      <c r="GY207" s="103">
        <f t="shared" si="158"/>
        <v>8.7483157878571333E-2</v>
      </c>
      <c r="GZ207" s="103">
        <f t="shared" si="158"/>
        <v>1.3272458464753591E-2</v>
      </c>
      <c r="HA207" s="103">
        <f t="shared" si="158"/>
        <v>9.1130774891372366E-4</v>
      </c>
    </row>
    <row r="208" spans="1:209" x14ac:dyDescent="0.25">
      <c r="A208" s="96">
        <v>46753</v>
      </c>
      <c r="B208" s="104">
        <f>23-20+10+85-5-4-4-1.25+2.25-5+15-6-25-45+65+15-22.5-50+40+16.5+27.5+168+80+14-30+15-50-19+22.5-10+5+11-25-50-12.5-27.5-10+10+2+4-1.5+12-26-15-50-15+10-32.5-3-5-2.5-1+5+10-50-35-9-0.5+25+15+25+20+15+85-25+12.5-52.5+10+20-150+20-20+55-25-25+25-15</f>
        <v>15</v>
      </c>
      <c r="C208" s="104">
        <f t="shared" si="147"/>
        <v>0</v>
      </c>
      <c r="D208" s="104">
        <f t="shared" si="95"/>
        <v>1.5</v>
      </c>
      <c r="E208" s="104">
        <f>('Renewable Diesel'!B217*E$3*'Feedstock Conversion Rates'!$B$2)/12-40+1.25+6-43+30-15+12.5-4+1.5+26+2.5+3-10+50+9-15-25-55+15+45+10-50+60-60-44+25</f>
        <v>25.679999999999993</v>
      </c>
      <c r="F208" s="104">
        <f>('Renewable Diesel'!B217*'RD Feedstock Breakdown'!F$3*'Feedstock Conversion Rates'!B$8)/12+28.5-49-5+2-6+1+6+20-20-3.75+10+2.5+5-20-20+15</f>
        <v>20.15625</v>
      </c>
      <c r="G208" s="104">
        <f>('Renewable Diesel'!B217*'RD Feedstock Breakdown'!G$3*'Feedstock Conversion Rates'!B$7)/12-25-15-25+4+4-20-40-20+10-17.5+20+50-12+32.5+35-75-75+22.5+5-20+15+125-10-45-10-40-40</f>
        <v>9.6570000000000107</v>
      </c>
      <c r="H208" s="104">
        <f>('Renewable Diesel'!B217*'RD Feedstock Breakdown'!H$3*'Feedstock Conversion Rates'!B$3)/12-85+4-15+70-65-80+50-22.5-5+25+27.5+15+50+15-10+5+50+75-5-25-85-12.5+30+22.5-25-30+150+90-120+25+10+70+44+5</f>
        <v>424.40022499999998</v>
      </c>
      <c r="I208" s="106">
        <f t="shared" si="106"/>
        <v>496.39347499999997</v>
      </c>
      <c r="J208" s="104">
        <f t="shared" si="181"/>
        <v>16.5</v>
      </c>
      <c r="K208" s="104">
        <f t="shared" si="182"/>
        <v>10</v>
      </c>
      <c r="L208" s="104">
        <v>1</v>
      </c>
      <c r="M208" s="104">
        <f>('Renewable Diesel'!C217*'RD Feedstock Breakdown'!M$3*'Feedstock Conversion Rates'!B$2)/12</f>
        <v>7.7902500000000003</v>
      </c>
      <c r="N208" s="104">
        <f>('Renewable Diesel'!C217*'RD Feedstock Breakdown'!N$3*'Feedstock Conversion Rates'!B$8)/12</f>
        <v>3.671875</v>
      </c>
      <c r="O208" s="104">
        <f>('Renewable Diesel'!C217*'RD Feedstock Breakdown'!O$3*'Feedstock Conversion Rates'!B$7)/12</f>
        <v>11.9991</v>
      </c>
      <c r="P208" s="104">
        <f>('Renewable Diesel'!C217*'RD Feedstock Breakdown'!P$3*'Feedstock Conversion Rates'!B$3)/12</f>
        <v>10.4470425</v>
      </c>
      <c r="Q208" s="106">
        <f t="shared" si="119"/>
        <v>61.408267500000001</v>
      </c>
      <c r="R208" s="104">
        <f>('Renewable Diesel'!D217*'RD Feedstock Breakdown'!R$3*'Feedstock Conversion Rates'!B$7)/12</f>
        <v>2.2999999999999998</v>
      </c>
      <c r="S208" s="106">
        <f t="shared" si="148"/>
        <v>2.2999999999999998</v>
      </c>
      <c r="T208" s="104">
        <f t="shared" si="183"/>
        <v>5.8250000000000028</v>
      </c>
      <c r="U208" s="104">
        <f t="shared" si="184"/>
        <v>45</v>
      </c>
      <c r="V208" s="104">
        <f>('Renewable Diesel'!E217*'RD Feedstock Breakdown'!V$3*'Feedstock Conversion Rates'!B$6)/12-20+25-35</f>
        <v>14.250150000000012</v>
      </c>
      <c r="W208" s="104">
        <f>('Renewable Diesel'!E217*'RD Feedstock Breakdown'!W$3*'Feedstock Conversion Rates'!B$8)/12-5.825-15</f>
        <v>1.3546875000000007</v>
      </c>
      <c r="X208" s="106">
        <f t="shared" si="185"/>
        <v>66.429837500000005</v>
      </c>
      <c r="Y208" s="104">
        <f t="shared" si="186"/>
        <v>125.5</v>
      </c>
      <c r="Z208" s="104">
        <f>('Renewable Diesel'!F217*'RD Feedstock Breakdown'!Z$3*'Feedstock Conversion Rates'!B$6)/12-50-32-60+15+30+22.5-70+70-35+5+6</f>
        <v>60.960000000000008</v>
      </c>
      <c r="AA208" s="104">
        <f>('Renewable Diesel'!F217*'RD Feedstock Breakdown'!AA$3*'Feedstock Conversion Rates'!B$7)/12+80-171+75+30+20-50-6-5</f>
        <v>77.266666666666652</v>
      </c>
      <c r="AB208" s="106">
        <f t="shared" si="137"/>
        <v>263.72666666666669</v>
      </c>
      <c r="AC208" s="104">
        <f>('Renewable Diesel'!G217*'RD Feedstock Breakdown'!AC$3*'Feedstock Conversion Rates'!B$5)/12</f>
        <v>11.796875</v>
      </c>
      <c r="AD208" s="104">
        <f>('Renewable Diesel'!G217*'RD Feedstock Breakdown'!AD$3*'Feedstock Conversion Rates'!B$4)/12</f>
        <v>5.859375</v>
      </c>
      <c r="AE208" s="104">
        <f>('Renewable Diesel'!G217*'RD Feedstock Breakdown'!AE$3*'Feedstock Conversion Rates'!B$6)/12</f>
        <v>7.3281250000000009</v>
      </c>
      <c r="AF208" s="106">
        <f t="shared" si="101"/>
        <v>24.984375</v>
      </c>
      <c r="AG208" s="104">
        <f t="shared" si="188"/>
        <v>106.5</v>
      </c>
      <c r="AH208" s="104">
        <v>30</v>
      </c>
      <c r="AI208" s="104">
        <f>('Renewable Diesel'!H217*'RD Feedstock Breakdown'!AI$3*'Feedstock Conversion Rates'!B$6)/12-130-20+51-120+2.5+100-45+25</f>
        <v>12.01666666666668</v>
      </c>
      <c r="AJ208" s="106">
        <f t="shared" si="145"/>
        <v>118.51666666666668</v>
      </c>
      <c r="AK208" s="104">
        <f>('Renewable Diesel'!J217*'RD Feedstock Breakdown'!AK$3*'Feedstock Conversion Rates'!B$4)/12</f>
        <v>95.8125</v>
      </c>
      <c r="AL208" s="106">
        <f t="shared" si="157"/>
        <v>95.8125</v>
      </c>
      <c r="AM208" s="104">
        <f>('Renewable Diesel'!K217*'RD Feedstock Breakdown'!AM$3*'Feedstock Conversion Rates'!B$4)/12+5+15-10+9-27</f>
        <v>50.59375</v>
      </c>
      <c r="AN208" s="104">
        <f>('Renewable Diesel'!K217*'RD Feedstock Breakdown'!AN$3*'Feedstock Conversion Rates'!B$6)/12-5-15+10-9+27</f>
        <v>32.427083333333329</v>
      </c>
      <c r="AO208" s="106">
        <f t="shared" si="173"/>
        <v>83.020833333333329</v>
      </c>
      <c r="AP208" s="104">
        <f>('Renewable Diesel'!L217*'RD Feedstock Breakdown'!AP$3*'Feedstock Conversion Rates'!B$4)/12+15-10+2.5+12</f>
        <v>78.09375</v>
      </c>
      <c r="AQ208" s="104">
        <f>('Renewable Diesel'!L217*'RD Feedstock Breakdown'!AQ$3*'Feedstock Conversion Rates'!B$6)/12-15+10-2.5-12</f>
        <v>4.9270833333333321</v>
      </c>
      <c r="AR208" s="106">
        <f t="shared" si="162"/>
        <v>83.020833333333329</v>
      </c>
      <c r="AS208" s="104">
        <f>('Renewable Diesel'!M217*'RD Feedstock Breakdown'!AS$3*'Feedstock Conversion Rates'!B$4)/12</f>
        <v>456.25</v>
      </c>
      <c r="AT208" s="104">
        <f>('Renewable Diesel'!M217*'RD Feedstock Breakdown'!AT$3*'Feedstock Conversion Rates'!B$5)/12</f>
        <v>0</v>
      </c>
      <c r="AU208" s="106">
        <f t="shared" si="104"/>
        <v>456.25</v>
      </c>
      <c r="AV208" s="104">
        <f>'Renewable Diesel'!N217*'RD Feedstock Breakdown'!$AV$3*'Feedstock Conversion Rates'!$B$4/12-15-10+25+25-22-25-12.5</f>
        <v>44.249999999999986</v>
      </c>
      <c r="AW208" s="104">
        <f>'Renewable Diesel'!N217*'RD Feedstock Breakdown'!$AW$3*'Feedstock Conversion Rates'!$B$7/12+15+10-25-25+22+25+12.5</f>
        <v>75.900000000000006</v>
      </c>
      <c r="AX208" s="106">
        <f t="shared" si="141"/>
        <v>120.14999999999999</v>
      </c>
      <c r="AY208" s="104">
        <f>('Renewable Diesel'!O217*'RD Feedstock Breakdown'!AY$3*'Feedstock Conversion Rates'!B$4)/12+32+2-135-247+50</f>
        <v>-87.0625</v>
      </c>
      <c r="AZ208" s="104">
        <f>('Renewable Diesel'!O217*'RD Feedstock Breakdown'!AZ$3*'Feedstock Conversion Rates'!B$3)/12-32-2+135+247-50</f>
        <v>323.03125</v>
      </c>
      <c r="BA208" s="106">
        <f t="shared" si="120"/>
        <v>235.96875</v>
      </c>
      <c r="BB208" s="104">
        <f>('Renewable Diesel'!Q217*'RD Feedstock Breakdown'!BB$3*'Feedstock Conversion Rates'!B$4)/12</f>
        <v>11.156249999999998</v>
      </c>
      <c r="BC208" s="104">
        <f>('Renewable Diesel'!Q217*'RD Feedstock Breakdown'!BC$3*'Feedstock Conversion Rates'!B$3)/12</f>
        <v>1.4017500000000001</v>
      </c>
      <c r="BD208" s="104">
        <f>('Renewable Diesel'!Q217*'RD Feedstock Breakdown'!BD$3*'Feedstock Conversion Rates'!B$6)/12</f>
        <v>0.8207500000000002</v>
      </c>
      <c r="BE208" s="106">
        <f t="shared" si="189"/>
        <v>13.378749999999998</v>
      </c>
      <c r="BF208" s="104">
        <f>('Renewable Diesel'!R217*'RD Feedstock Breakdown'!BF$3*'Feedstock Conversion Rates'!B$4)/12</f>
        <v>62.5</v>
      </c>
      <c r="BG208" s="106">
        <f t="shared" si="167"/>
        <v>62.5</v>
      </c>
      <c r="BH208" s="104">
        <f>('Renewable Diesel'!T217*'RD Feedstock Breakdown'!BH$3*'Feedstock Conversion Rates'!B$7)/12</f>
        <v>27.599999999999998</v>
      </c>
      <c r="BI208" s="106">
        <f t="shared" si="144"/>
        <v>27.599999999999998</v>
      </c>
      <c r="BJ208" s="104">
        <f>('Renewable Diesel'!W217*'RD Feedstock Breakdown'!BJ$3*'Feedstock Conversion Rates'!B$4)/12</f>
        <v>7.5</v>
      </c>
      <c r="BK208" s="104">
        <f>('Renewable Diesel'!W217*'RD Feedstock Breakdown'!BK$3*'Feedstock Conversion Rates'!B$3)/12</f>
        <v>1.335</v>
      </c>
      <c r="BL208" s="104">
        <f>('Renewable Diesel'!W217*'RD Feedstock Breakdown'!BL$3*'Feedstock Conversion Rates'!B$6)/12</f>
        <v>3.1266666666666669</v>
      </c>
      <c r="BM208" s="104">
        <f>('Renewable Diesel'!W217*'RD Feedstock Breakdown'!BM$3*'Feedstock Conversion Rates'!B$7)/12</f>
        <v>1.5333333333333332</v>
      </c>
      <c r="BN208" s="106">
        <f t="shared" si="112"/>
        <v>13.495000000000001</v>
      </c>
      <c r="BO208" s="104">
        <f>('Renewable Diesel'!P217*'Feedstock Conversion Rates'!B$4)/12</f>
        <v>31.25</v>
      </c>
      <c r="BP208" s="106">
        <f t="shared" si="102"/>
        <v>31.25</v>
      </c>
      <c r="BQ208" s="104">
        <f>('Renewable Diesel'!$S217*'RD Feedstock Breakdown'!BQ$3*'Feedstock Conversion Rates'!B$4)/12+10</f>
        <v>38.125</v>
      </c>
      <c r="BR208" s="104">
        <f>('Renewable Diesel'!$S217*'RD Feedstock Breakdown'!BR$3*'Feedstock Conversion Rates'!B$7)/12-10</f>
        <v>1.5</v>
      </c>
      <c r="BS208" s="106">
        <f t="shared" si="123"/>
        <v>39.625</v>
      </c>
      <c r="BT208" s="106"/>
      <c r="BU208" s="104">
        <f>('Renewable Diesel'!Y217*'Feedstock Conversion Rates'!B$7)/12</f>
        <v>2.6833333333333331</v>
      </c>
      <c r="BV208" s="106">
        <f t="shared" si="93"/>
        <v>2.6833333333333331</v>
      </c>
      <c r="BW208" s="104">
        <f>('Renewable Diesel'!$Z217*'RD Feedstock Breakdown'!BW$3*'Feedstock Conversion Rates'!$B$4)/12</f>
        <v>35.9375</v>
      </c>
      <c r="BX208" s="104">
        <f>('Renewable Diesel'!$Z217*'RD Feedstock Breakdown'!BX$3*'Feedstock Conversion Rates'!$B$5)/12</f>
        <v>3.6177083333333333</v>
      </c>
      <c r="BY208" s="104">
        <f>('Renewable Diesel'!$Z217*'RD Feedstock Breakdown'!BY$3*'Feedstock Conversion Rates'!$B$7)/12</f>
        <v>30.858333333333331</v>
      </c>
      <c r="BZ208" s="104">
        <f>('Renewable Diesel'!$Z217*'RD Feedstock Breakdown'!BZ$3*'Feedstock Conversion Rates'!$B$3)/12</f>
        <v>7.6762499999999996</v>
      </c>
      <c r="CA208" s="106">
        <f t="shared" si="127"/>
        <v>78.089791666666656</v>
      </c>
      <c r="CB208" s="104">
        <f>('Renewable Diesel'!AA217*'Feedstock Conversion Rates'!B$4)/12</f>
        <v>191.25</v>
      </c>
      <c r="CC208" s="106">
        <f t="shared" si="113"/>
        <v>191.25</v>
      </c>
      <c r="CD208" s="104">
        <f>('Renewable Diesel'!$AB217*'RD Feedstock Breakdown'!CD$3*'Feedstock Conversion Rates'!$B$6)/12-15</f>
        <v>17.830000000000005</v>
      </c>
      <c r="CE208" s="104">
        <f>('Renewable Diesel'!$AB217*'RD Feedstock Breakdown'!CE$3*'Feedstock Conversion Rates'!$B$4)/12+15</f>
        <v>26.25</v>
      </c>
      <c r="CF208" s="106">
        <f t="shared" si="108"/>
        <v>44.080000000000005</v>
      </c>
      <c r="CG208" s="104">
        <f>('Renewable Diesel'!AD217*'Feedstock Conversion Rates'!B$4)/12</f>
        <v>112.5</v>
      </c>
      <c r="CH208" s="106">
        <f t="shared" si="187"/>
        <v>112.5</v>
      </c>
      <c r="CI208" s="104">
        <f>('Renewable Diesel'!$AE217*'RD Feedstock Breakdown'!CI$3*'Feedstock Conversion Rates'!$B$5)/12</f>
        <v>0.34604166666666664</v>
      </c>
      <c r="CJ208" s="104">
        <f>('Renewable Diesel'!$AE217*'RD Feedstock Breakdown'!CJ$3*'Feedstock Conversion Rates'!$B$4)/12</f>
        <v>0.34375</v>
      </c>
      <c r="CK208" s="106">
        <f t="shared" si="103"/>
        <v>0.68979166666666658</v>
      </c>
      <c r="CL208" s="104">
        <f>(((CL$3*'Renewable Diesel'!$AF217)*'Feedstock Conversion Rates'!$B$3)/12)-35</f>
        <v>56.78125</v>
      </c>
      <c r="CM208" s="104">
        <f>(((CM$3*'Renewable Diesel'!$AF217)*'Feedstock Conversion Rates'!$B$6)/12)-32.5+35+30</f>
        <v>86.239583333333343</v>
      </c>
      <c r="CN208" s="104">
        <f>(((CN$3*'Renewable Diesel'!$AF217)*'Feedstock Conversion Rates'!$B$4)/12)</f>
        <v>42.96875</v>
      </c>
      <c r="CO208" s="106">
        <f t="shared" si="190"/>
        <v>185.98958333333334</v>
      </c>
      <c r="CP208" s="104">
        <f>('Renewable Diesel'!$AG217*'RD Feedstock Breakdown'!CP$3*'Feedstock Conversion Rates'!$B$3)/12</f>
        <v>6.0075000000000003</v>
      </c>
      <c r="CQ208" s="104">
        <f>('Renewable Diesel'!$AG217*'RD Feedstock Breakdown'!CQ$3*'Feedstock Conversion Rates'!$B$6)/12</f>
        <v>3.5175000000000001</v>
      </c>
      <c r="CR208" s="104">
        <f>('Renewable Diesel'!$AG217*'RD Feedstock Breakdown'!CR$3*'Feedstock Conversion Rates'!$B$4)/12</f>
        <v>2.8125</v>
      </c>
      <c r="CS208" s="106">
        <f t="shared" si="134"/>
        <v>12.3375</v>
      </c>
      <c r="CT208" s="104">
        <f>('Renewable Diesel'!AI217*'Feedstock Conversion Rates'!$B$4*'RD Feedstock Breakdown'!$CT$3)/12</f>
        <v>29.375</v>
      </c>
      <c r="CU208" s="106">
        <f t="shared" si="99"/>
        <v>29.375</v>
      </c>
      <c r="CV208" s="104">
        <f>('Renewable Diesel'!AN217*'Feedstock Conversion Rates'!$B$3*'RD Feedstock Breakdown'!$CV$3)/12</f>
        <v>0.50062499999999999</v>
      </c>
      <c r="CW208" s="106">
        <f t="shared" si="161"/>
        <v>0.50062499999999999</v>
      </c>
      <c r="CX208" s="104">
        <f>('Renewable Diesel'!AO217*'RD Feedstock Breakdown'!$CX$3*'Feedstock Conversion Rates'!$B$3)/12</f>
        <v>6.3412499999999996</v>
      </c>
      <c r="CY208" s="104">
        <f>('Renewable Diesel'!AO217*'RD Feedstock Breakdown'!$CY$3*'Feedstock Conversion Rates'!$B$6)/12</f>
        <v>7.4258333333333342</v>
      </c>
      <c r="CZ208" s="106">
        <f t="shared" si="135"/>
        <v>13.767083333333334</v>
      </c>
      <c r="DA208" s="104">
        <f>('Renewable Diesel'!$AP217*'RD Feedstock Breakdown'!DA$3*'Feedstock Conversion Rates'!$B$3)/12</f>
        <v>6.3412499999999996</v>
      </c>
      <c r="DB208" s="104">
        <f>('Renewable Diesel'!$AP217*'RD Feedstock Breakdown'!DB$3*'Feedstock Conversion Rates'!$B$8)/12</f>
        <v>7.421875</v>
      </c>
      <c r="DC208" s="106">
        <f t="shared" si="165"/>
        <v>13.763124999999999</v>
      </c>
      <c r="DD208" s="104">
        <f>('Renewable Diesel'!AQ217*$DD$3*'Feedstock Conversion Rates'!$B$14)/12</f>
        <v>3.1041666666666665</v>
      </c>
      <c r="DE208" s="106">
        <f t="shared" si="166"/>
        <v>3.1041666666666665</v>
      </c>
      <c r="DF208" s="104">
        <f>('Renewable Diesel'!AR217*'Feedstock Conversion Rates'!$B$4*$DF$3)/12</f>
        <v>75</v>
      </c>
      <c r="DG208" s="106">
        <f t="shared" si="136"/>
        <v>75</v>
      </c>
      <c r="DH208" s="104">
        <f>('Renewable Diesel'!AS217*'Feedstock Conversion Rates'!$B$4*$DH$3)/12</f>
        <v>75</v>
      </c>
      <c r="DI208" s="106">
        <f t="shared" si="142"/>
        <v>75</v>
      </c>
      <c r="DJ208" s="104">
        <f>('Renewable Diesel'!AT217*'Feedstock Conversion Rates'!$B$4*0.25)/12</f>
        <v>8.59375</v>
      </c>
      <c r="DK208" s="104">
        <f>('Renewable Diesel'!$AT217*'RD Feedstock Breakdown'!DK$3*'Feedstock Conversion Rates'!$B$3)/12*0.5</f>
        <v>9.1781249999999996</v>
      </c>
      <c r="DL208" s="104">
        <f>('Renewable Diesel'!$AT217*'RD Feedstock Breakdown'!$DL$3*'Feedstock Conversion Rates'!$B$6)/12</f>
        <v>10.747916666666669</v>
      </c>
      <c r="DM208" s="104">
        <f>('Renewable Diesel'!$AT217*'RD Feedstock Breakdown'!$DM$3*'Feedstock Conversion Rates'!$B$8)/12</f>
        <v>10.7421875</v>
      </c>
      <c r="DN208" s="106">
        <f t="shared" si="110"/>
        <v>39.26197916666667</v>
      </c>
      <c r="DP208" s="104">
        <f t="shared" si="168"/>
        <v>33.470249999999993</v>
      </c>
      <c r="DQ208" s="104">
        <f t="shared" si="169"/>
        <v>853.44151750000003</v>
      </c>
      <c r="DR208" s="104">
        <f t="shared" si="174"/>
        <v>1617.765625</v>
      </c>
      <c r="DS208" s="104">
        <f t="shared" si="100"/>
        <v>149.78354166666668</v>
      </c>
      <c r="DT208" s="104">
        <f t="shared" si="170"/>
        <v>269.03923333333341</v>
      </c>
      <c r="DU208" s="104">
        <f t="shared" si="171"/>
        <v>241.29776666666666</v>
      </c>
      <c r="DV208" s="104">
        <f t="shared" si="175"/>
        <v>35.924999999999997</v>
      </c>
      <c r="DW208" s="104">
        <f t="shared" si="172"/>
        <v>2.5</v>
      </c>
      <c r="DX208" s="106">
        <f t="shared" si="176"/>
        <v>3203.2229341666666</v>
      </c>
      <c r="DY208" s="109">
        <f t="shared" si="163"/>
        <v>-30.00000000000048</v>
      </c>
      <c r="EA208" s="110">
        <f t="shared" si="150"/>
        <v>1.0448929308976566E-2</v>
      </c>
      <c r="EB208" s="110">
        <f t="shared" si="151"/>
        <v>0.26643213258649662</v>
      </c>
      <c r="EC208" s="110">
        <f t="shared" si="152"/>
        <v>0.50504309511035306</v>
      </c>
      <c r="ED208" s="110">
        <f t="shared" si="146"/>
        <v>4.6760261382067549E-2</v>
      </c>
      <c r="EE208" s="110">
        <f t="shared" si="146"/>
        <v>8.3990168296957837E-2</v>
      </c>
      <c r="EF208" s="110">
        <f t="shared" si="146"/>
        <v>7.5329682518473037E-2</v>
      </c>
      <c r="EG208" s="110">
        <f t="shared" si="146"/>
        <v>1.1215266854146089E-2</v>
      </c>
      <c r="EH208" s="111">
        <f t="shared" si="177"/>
        <v>7.8046394252930342E-4</v>
      </c>
      <c r="EI208" s="110">
        <f t="shared" si="178"/>
        <v>0.99921953605747071</v>
      </c>
      <c r="EK208" s="132">
        <f>(EA208*'Renewable Diesel'!BF217*'Feedstock Conversion Rates'!B$2)+FB208</f>
        <v>24.592321772311021</v>
      </c>
      <c r="EL208" s="132">
        <f>(EB208*'Renewable Diesel'!BF217*'Feedstock Conversion Rates'!B$3)+FC208</f>
        <v>590.91897108555088</v>
      </c>
      <c r="EM208" s="132">
        <f>(EC208*'Renewable Diesel'!BF217*'Feedstock Conversion Rates'!B$4)+FD208</f>
        <v>1048.8140996728134</v>
      </c>
      <c r="EN208" s="132">
        <f>(ED208*'Renewable Diesel'!BF217*'Feedstock Conversion Rates'!B$5)+FE208</f>
        <v>97.75358590747031</v>
      </c>
      <c r="EO208" s="132">
        <f>(EE208*'Renewable Diesel'!BF217*'Feedstock Conversion Rates'!B$6)+FF208</f>
        <v>218.14240945273636</v>
      </c>
      <c r="EP208" s="132">
        <f>(EF208*'Renewable Diesel'!BF217*'Feedstock Conversion Rates'!B$7)+FG208</f>
        <v>191.89461176952688</v>
      </c>
      <c r="EQ208" s="132">
        <f>(EG208*'Renewable Diesel'!BF217*'Feedstock Conversion Rates'!B$8)+FH208</f>
        <v>29.113183909710205</v>
      </c>
      <c r="ER208" s="132">
        <f>(EH208*'Renewable Diesel'!BF217*'Feedstock Conversion Rates'!B$9)+FI208</f>
        <v>1.9989567240255677</v>
      </c>
      <c r="ES208" s="132">
        <f t="shared" si="179"/>
        <v>2203.2281402941444</v>
      </c>
      <c r="ET208" s="133">
        <f>ES208/'Renewable Diesel'!BF217</f>
        <v>7.9570237439278273</v>
      </c>
      <c r="EW208" s="73">
        <f t="shared" si="124"/>
        <v>1146.5676855802838</v>
      </c>
      <c r="EX208" s="73">
        <f t="shared" si="125"/>
        <v>1056.6604547138609</v>
      </c>
      <c r="EY208" s="92">
        <f t="shared" si="164"/>
        <v>0.5204035227269791</v>
      </c>
      <c r="EZ208" s="92">
        <f t="shared" si="164"/>
        <v>0.47959647727302096</v>
      </c>
      <c r="FB208" s="102">
        <f>IF('Renewable Diesel'!$BG217&lt;1,0,(((('Renewable Diesel'!$BG217-1)*'Renewable Diesel'!$BF217)*'RD Feedstock Breakdown'!EA208)*'Feedstock Conversion Rates'!$B$2))</f>
        <v>0</v>
      </c>
      <c r="FC208" s="102">
        <f>IF('Renewable Diesel'!$BG217&lt;1,0,(((('Renewable Diesel'!$BG217-1)*'Renewable Diesel'!$BF217)*'RD Feedstock Breakdown'!EB208)*'Feedstock Conversion Rates'!$B$3))</f>
        <v>0</v>
      </c>
      <c r="FD208" s="102">
        <f>IF('Renewable Diesel'!$BG217&lt;1,0,(((('Renewable Diesel'!$BG217-1)*'Renewable Diesel'!$BF217)*'RD Feedstock Breakdown'!EC208)*'Feedstock Conversion Rates'!$B$4))</f>
        <v>0</v>
      </c>
      <c r="FE208" s="102">
        <f>IF('Renewable Diesel'!$BG217&lt;1,0,(((('Renewable Diesel'!$BG217-1)*'Renewable Diesel'!$BF217)*'RD Feedstock Breakdown'!ED208)*'Feedstock Conversion Rates'!$B$5))</f>
        <v>0</v>
      </c>
      <c r="FF208" s="102">
        <f>IF('Renewable Diesel'!$BG217&lt;1,0,(((('Renewable Diesel'!$BG217-1)*'Renewable Diesel'!$BF217)*'RD Feedstock Breakdown'!EE208)*'Feedstock Conversion Rates'!$B$6))</f>
        <v>0</v>
      </c>
      <c r="FG208" s="102">
        <f>IF('Renewable Diesel'!$BG217&lt;1,0,(((('Renewable Diesel'!$BG217-1)*'Renewable Diesel'!$BF217)*'RD Feedstock Breakdown'!EF208)*'Feedstock Conversion Rates'!$B$7))</f>
        <v>0</v>
      </c>
      <c r="FH208" s="102">
        <f>IF('Renewable Diesel'!$BG217&lt;1,0,(((('Renewable Diesel'!$BG217-1)*'Renewable Diesel'!$BF217)*'RD Feedstock Breakdown'!EG208)*'Feedstock Conversion Rates'!$B$8))</f>
        <v>0</v>
      </c>
      <c r="FI208" s="102">
        <f>IF('Renewable Diesel'!$BG217&lt;1,0,(((('Renewable Diesel'!$BG217-1)*'Renewable Diesel'!$BF217)*'RD Feedstock Breakdown'!EH208)*'Feedstock Conversion Rates'!$B$9))</f>
        <v>0</v>
      </c>
      <c r="FJ208" s="102">
        <f t="shared" si="126"/>
        <v>0</v>
      </c>
      <c r="FL208" s="3">
        <f>('Renewable Diesel'!AX217/12*$FO$80)*'RD Feedstock Breakdown'!EC208*7.5</f>
        <v>1509.4792735304793</v>
      </c>
      <c r="FM208" s="3">
        <f t="shared" si="96"/>
        <v>460.66517385766588</v>
      </c>
      <c r="FR208" s="3">
        <f>('Renewable Diesel'!AX217-'Renewable Diesel'!BI217)/12*$FO$80</f>
        <v>54.415874999999936</v>
      </c>
      <c r="FS208" s="100">
        <f t="shared" si="97"/>
        <v>0.50504309511035306</v>
      </c>
      <c r="FT208" s="3">
        <f t="shared" si="98"/>
        <v>206.11771449853538</v>
      </c>
      <c r="FY208" s="3">
        <f>'Renewable Diesel'!BF217*('Renewable Diesel'!BI217/'Renewable Diesel'!AX217)</f>
        <v>239.08182902544544</v>
      </c>
      <c r="FZ208" s="3">
        <f>('Renewable Diesel'!BJ217*'Renewable Diesel'!BG217)/12</f>
        <v>37.097693136420617</v>
      </c>
      <c r="GA208" s="3">
        <f t="shared" si="105"/>
        <v>140.51950322303978</v>
      </c>
      <c r="GD208" s="91">
        <f>'Renewable Diesel'!BB217*0.32</f>
        <v>0</v>
      </c>
      <c r="GE208" s="91">
        <f>'Renewable Diesel'!BC217</f>
        <v>89.387901643266886</v>
      </c>
      <c r="GF208" s="91">
        <f>'Renewable Diesel'!BD217</f>
        <v>0</v>
      </c>
      <c r="GG208" s="91">
        <f t="shared" si="109"/>
        <v>89.387901643266886</v>
      </c>
      <c r="GH208" s="124">
        <v>1</v>
      </c>
      <c r="GI208" s="102">
        <f>$GG208*EA208*'Feedstock Conversion Rates'!$B$2</f>
        <v>7.9390668554600898</v>
      </c>
      <c r="GJ208" s="102">
        <f>$GG208*EB208*'Feedstock Conversion Rates'!$B$3</f>
        <v>190.76463219060329</v>
      </c>
      <c r="GK208" s="102">
        <f>$GG208*EC208*'Feedstock Conversion Rates'!$B$4</f>
        <v>338.5855688350149</v>
      </c>
      <c r="GL208" s="102">
        <f>$GG208*ED208*'Feedstock Conversion Rates'!$B$5</f>
        <v>31.557502421514471</v>
      </c>
      <c r="GM208" s="102">
        <f>$GG208*EE208*'Feedstock Conversion Rates'!$B$6</f>
        <v>70.422271987606464</v>
      </c>
      <c r="GN208" s="102">
        <f>$GG208*EF208*'Feedstock Conversion Rates'!$B$7</f>
        <v>61.948772716374052</v>
      </c>
      <c r="GO208" s="102">
        <f>$GG208*EG208*'Feedstock Conversion Rates'!$B$8</f>
        <v>9.3985234730756417</v>
      </c>
      <c r="GP208" s="102">
        <f>$GG208*EH208*'Feedstock Conversion Rates'!B$9</f>
        <v>0.64531731571106254</v>
      </c>
      <c r="GQ208" s="102">
        <f t="shared" si="180"/>
        <v>711.26165579536007</v>
      </c>
      <c r="GR208" s="85">
        <f t="shared" si="107"/>
        <v>7.95702374392783</v>
      </c>
      <c r="GT208" s="103">
        <f t="shared" si="159"/>
        <v>1.116194974208517E-2</v>
      </c>
      <c r="GU208" s="103">
        <f t="shared" si="159"/>
        <v>0.26820598388265843</v>
      </c>
      <c r="GV208" s="103">
        <f t="shared" si="159"/>
        <v>0.47603517787894184</v>
      </c>
      <c r="GW208" s="103">
        <f t="shared" si="159"/>
        <v>4.4368344848037214E-2</v>
      </c>
      <c r="GX208" s="103">
        <f t="shared" si="158"/>
        <v>9.9010359146744109E-2</v>
      </c>
      <c r="GY208" s="103">
        <f t="shared" si="158"/>
        <v>8.7097022891105477E-2</v>
      </c>
      <c r="GZ208" s="103">
        <f t="shared" si="158"/>
        <v>1.321387621066941E-2</v>
      </c>
      <c r="HA208" s="103">
        <f t="shared" si="158"/>
        <v>9.0728539975832667E-4</v>
      </c>
    </row>
    <row r="209" spans="1:209" x14ac:dyDescent="0.25">
      <c r="A209" s="96">
        <v>46784</v>
      </c>
      <c r="B209" s="104">
        <f>23-20+10+85-5-4-4-1.25+2.25-5+15-6-25-45+65+15-22.5-50+40+16.5+27.5+168+80+14-30+15-50-19+22.5-10+5+11-25-50-12.5-27.5-10+10+2+4-1.5+12-26-15-50-15+10-32.5-3-5-2.5-1+5+10-50-35-9-0.5+25+15+25+20+15+85-25+12.5-52.5+10+20-150+20-20+55-25-25+25-15+10</f>
        <v>25</v>
      </c>
      <c r="C209" s="104">
        <f t="shared" si="147"/>
        <v>0</v>
      </c>
      <c r="D209" s="104">
        <f t="shared" si="95"/>
        <v>1.5</v>
      </c>
      <c r="E209" s="104">
        <f>('Renewable Diesel'!B218*E$3*'Feedstock Conversion Rates'!$B$2)/12-40+1.25+6-43+30-15+12.5-4+1.5+26+2.5+3-10+50+9-15-25-55+15+45+10-50+60-60-44+25</f>
        <v>25.679999999999993</v>
      </c>
      <c r="F209" s="104">
        <f>('Renewable Diesel'!B218*'RD Feedstock Breakdown'!F$3*'Feedstock Conversion Rates'!B$8)/12+28.5-49-5+2-6+1+6+20-20-3.75+10+2.5+5-20-20+15-10</f>
        <v>10.15625</v>
      </c>
      <c r="G209" s="104">
        <f>('Renewable Diesel'!B218*'RD Feedstock Breakdown'!G$3*'Feedstock Conversion Rates'!B$7)/12-25-15-25+4+4-20-40-20+10-17.5+20+50-12+32.5+35-75-75+22.5+5-20+15+125-10-45-10-40-40</f>
        <v>9.6570000000000107</v>
      </c>
      <c r="H209" s="104">
        <f>('Renewable Diesel'!B218*'RD Feedstock Breakdown'!H$3*'Feedstock Conversion Rates'!B$3)/12-85+4-15+70-65-80+50-22.5-5+25+27.5+15+50+15-10+5+50+75-5-25-85-12.5+30+22.5-25-30+150+90-120+25+10+70+44+5</f>
        <v>424.40022499999998</v>
      </c>
      <c r="I209" s="106">
        <f t="shared" si="106"/>
        <v>496.39347499999997</v>
      </c>
      <c r="J209" s="104">
        <f>2+10+12+15-6-20-5-5+7+105+30+87+5-10-5-25-27.5+1-1-15-17.5-6-10-77.5-7.5-1+17.5+15+90+2+2.5+2.5+7.5+27.5-32-11-25+5-50-30-20-20+20-20+50-50+70</f>
        <v>86.5</v>
      </c>
      <c r="K209" s="104">
        <f t="shared" si="182"/>
        <v>10</v>
      </c>
      <c r="L209" s="104">
        <v>1</v>
      </c>
      <c r="M209" s="104">
        <f>('Renewable Diesel'!C218*'RD Feedstock Breakdown'!M$3*'Feedstock Conversion Rates'!B$2)/12</f>
        <v>7.7902500000000003</v>
      </c>
      <c r="N209" s="104">
        <f>('Renewable Diesel'!C218*'RD Feedstock Breakdown'!N$3*'Feedstock Conversion Rates'!B$8)/12</f>
        <v>3.671875</v>
      </c>
      <c r="O209" s="104">
        <f>('Renewable Diesel'!C218*'RD Feedstock Breakdown'!O$3*'Feedstock Conversion Rates'!B$7)/12</f>
        <v>11.9991</v>
      </c>
      <c r="P209" s="104">
        <f>('Renewable Diesel'!C218*'RD Feedstock Breakdown'!P$3*'Feedstock Conversion Rates'!B$3)/12</f>
        <v>10.4470425</v>
      </c>
      <c r="Q209" s="106">
        <f t="shared" si="119"/>
        <v>131.40826749999999</v>
      </c>
      <c r="R209" s="104">
        <f>('Renewable Diesel'!D218*'RD Feedstock Breakdown'!R$3*'Feedstock Conversion Rates'!B$7)/12</f>
        <v>2.2999999999999998</v>
      </c>
      <c r="S209" s="106">
        <f t="shared" si="148"/>
        <v>2.2999999999999998</v>
      </c>
      <c r="T209" s="104">
        <f t="shared" si="183"/>
        <v>5.8250000000000028</v>
      </c>
      <c r="U209" s="104">
        <f t="shared" si="184"/>
        <v>45</v>
      </c>
      <c r="V209" s="104">
        <f>('Renewable Diesel'!E218*'RD Feedstock Breakdown'!V$3*'Feedstock Conversion Rates'!B$6)/12-20+25-35</f>
        <v>14.250150000000012</v>
      </c>
      <c r="W209" s="104">
        <f>('Renewable Diesel'!E218*'RD Feedstock Breakdown'!W$3*'Feedstock Conversion Rates'!B$8)/12-5.825-15</f>
        <v>1.3546875000000007</v>
      </c>
      <c r="X209" s="106">
        <f t="shared" si="185"/>
        <v>66.429837500000005</v>
      </c>
      <c r="Y209" s="104">
        <f t="shared" si="186"/>
        <v>125.5</v>
      </c>
      <c r="Z209" s="104">
        <f>('Renewable Diesel'!F218*'RD Feedstock Breakdown'!Z$3*'Feedstock Conversion Rates'!B$6)/12-50-32-60+15+30+22.5-70+70-35+5+6</f>
        <v>60.960000000000008</v>
      </c>
      <c r="AA209" s="104">
        <f>('Renewable Diesel'!F218*'RD Feedstock Breakdown'!AA$3*'Feedstock Conversion Rates'!B$7)/12+80-171+75+30+20-50-6-5</f>
        <v>77.266666666666652</v>
      </c>
      <c r="AB209" s="106">
        <f t="shared" si="137"/>
        <v>263.72666666666669</v>
      </c>
      <c r="AC209" s="104">
        <f>('Renewable Diesel'!G218*'RD Feedstock Breakdown'!AC$3*'Feedstock Conversion Rates'!B$5)/12</f>
        <v>11.796875</v>
      </c>
      <c r="AD209" s="104">
        <f>('Renewable Diesel'!G218*'RD Feedstock Breakdown'!AD$3*'Feedstock Conversion Rates'!B$4)/12</f>
        <v>5.859375</v>
      </c>
      <c r="AE209" s="104">
        <f>('Renewable Diesel'!G218*'RD Feedstock Breakdown'!AE$3*'Feedstock Conversion Rates'!B$6)/12</f>
        <v>7.3281250000000009</v>
      </c>
      <c r="AF209" s="106">
        <f t="shared" si="101"/>
        <v>24.984375</v>
      </c>
      <c r="AG209" s="104">
        <f t="shared" si="188"/>
        <v>106.5</v>
      </c>
      <c r="AH209" s="104">
        <v>30</v>
      </c>
      <c r="AI209" s="104">
        <f>('Renewable Diesel'!H218*'RD Feedstock Breakdown'!AI$3*'Feedstock Conversion Rates'!B$6)/12-130-20+51-120+2.5+100-45+25</f>
        <v>12.01666666666668</v>
      </c>
      <c r="AJ209" s="106">
        <f t="shared" si="145"/>
        <v>118.51666666666668</v>
      </c>
      <c r="AK209" s="104">
        <f>('Renewable Diesel'!J218*'RD Feedstock Breakdown'!AK$3*'Feedstock Conversion Rates'!B$4)/12</f>
        <v>95.8125</v>
      </c>
      <c r="AL209" s="106">
        <f t="shared" si="157"/>
        <v>95.8125</v>
      </c>
      <c r="AM209" s="104">
        <f>('Renewable Diesel'!K218*'RD Feedstock Breakdown'!AM$3*'Feedstock Conversion Rates'!B$4)/12+5+15-10+9-27</f>
        <v>50.59375</v>
      </c>
      <c r="AN209" s="104">
        <f>('Renewable Diesel'!K218*'RD Feedstock Breakdown'!AN$3*'Feedstock Conversion Rates'!B$6)/12-5-15+10-9+27</f>
        <v>32.427083333333329</v>
      </c>
      <c r="AO209" s="106">
        <f t="shared" si="173"/>
        <v>83.020833333333329</v>
      </c>
      <c r="AP209" s="104">
        <f>('Renewable Diesel'!L218*'RD Feedstock Breakdown'!AP$3*'Feedstock Conversion Rates'!B$4)/12+15-10+2.5+12</f>
        <v>78.09375</v>
      </c>
      <c r="AQ209" s="104">
        <f>('Renewable Diesel'!L218*'RD Feedstock Breakdown'!AQ$3*'Feedstock Conversion Rates'!B$6)/12-15+10-2.5-12</f>
        <v>4.9270833333333321</v>
      </c>
      <c r="AR209" s="106">
        <f t="shared" si="162"/>
        <v>83.020833333333329</v>
      </c>
      <c r="AS209" s="104">
        <f>('Renewable Diesel'!M218*'RD Feedstock Breakdown'!AS$3*'Feedstock Conversion Rates'!B$4)/12</f>
        <v>456.25</v>
      </c>
      <c r="AT209" s="104">
        <f>('Renewable Diesel'!M218*'RD Feedstock Breakdown'!AT$3*'Feedstock Conversion Rates'!B$5)/12</f>
        <v>0</v>
      </c>
      <c r="AU209" s="106">
        <f t="shared" si="104"/>
        <v>456.25</v>
      </c>
      <c r="AV209" s="104">
        <f>'Renewable Diesel'!N218*'RD Feedstock Breakdown'!$AV$3*'Feedstock Conversion Rates'!$B$4/12-15-10+25+25-22-25-12.5</f>
        <v>44.249999999999986</v>
      </c>
      <c r="AW209" s="104">
        <f>'Renewable Diesel'!N218*'RD Feedstock Breakdown'!$AW$3*'Feedstock Conversion Rates'!$B$7/12+15+10-25-25+22+25+12.5</f>
        <v>75.900000000000006</v>
      </c>
      <c r="AX209" s="106">
        <f t="shared" si="141"/>
        <v>120.14999999999999</v>
      </c>
      <c r="AY209" s="104">
        <f>('Renewable Diesel'!O218*'RD Feedstock Breakdown'!AY$3*'Feedstock Conversion Rates'!B$4)/12+32+2-135-247+50</f>
        <v>-87.0625</v>
      </c>
      <c r="AZ209" s="104">
        <f>('Renewable Diesel'!O218*'RD Feedstock Breakdown'!AZ$3*'Feedstock Conversion Rates'!B$3)/12-32-2+135+247-50</f>
        <v>323.03125</v>
      </c>
      <c r="BA209" s="106">
        <f t="shared" si="120"/>
        <v>235.96875</v>
      </c>
      <c r="BB209" s="104">
        <f>('Renewable Diesel'!Q218*'RD Feedstock Breakdown'!BB$3*'Feedstock Conversion Rates'!B$4)/12</f>
        <v>11.156249999999998</v>
      </c>
      <c r="BC209" s="104">
        <f>('Renewable Diesel'!Q218*'RD Feedstock Breakdown'!BC$3*'Feedstock Conversion Rates'!B$3)/12</f>
        <v>1.4017500000000001</v>
      </c>
      <c r="BD209" s="104">
        <f>('Renewable Diesel'!Q218*'RD Feedstock Breakdown'!BD$3*'Feedstock Conversion Rates'!B$6)/12</f>
        <v>0.8207500000000002</v>
      </c>
      <c r="BE209" s="106">
        <f t="shared" si="189"/>
        <v>13.378749999999998</v>
      </c>
      <c r="BF209" s="104">
        <f>('Renewable Diesel'!R218*'RD Feedstock Breakdown'!BF$3*'Feedstock Conversion Rates'!B$4)/12</f>
        <v>62.5</v>
      </c>
      <c r="BG209" s="106">
        <f t="shared" si="167"/>
        <v>62.5</v>
      </c>
      <c r="BH209" s="104">
        <f>('Renewable Diesel'!T218*'RD Feedstock Breakdown'!BH$3*'Feedstock Conversion Rates'!B$7)/12</f>
        <v>27.599999999999998</v>
      </c>
      <c r="BI209" s="106">
        <f t="shared" si="144"/>
        <v>27.599999999999998</v>
      </c>
      <c r="BJ209" s="104">
        <f>('Renewable Diesel'!W218*'RD Feedstock Breakdown'!BJ$3*'Feedstock Conversion Rates'!B$4)/12</f>
        <v>7.5</v>
      </c>
      <c r="BK209" s="104">
        <f>('Renewable Diesel'!W218*'RD Feedstock Breakdown'!BK$3*'Feedstock Conversion Rates'!B$3)/12</f>
        <v>1.335</v>
      </c>
      <c r="BL209" s="104">
        <f>('Renewable Diesel'!W218*'RD Feedstock Breakdown'!BL$3*'Feedstock Conversion Rates'!B$6)/12</f>
        <v>3.1266666666666669</v>
      </c>
      <c r="BM209" s="104">
        <f>('Renewable Diesel'!W218*'RD Feedstock Breakdown'!BM$3*'Feedstock Conversion Rates'!B$7)/12</f>
        <v>1.5333333333333332</v>
      </c>
      <c r="BN209" s="106">
        <f t="shared" si="112"/>
        <v>13.495000000000001</v>
      </c>
      <c r="BO209" s="104">
        <f>('Renewable Diesel'!P218*'Feedstock Conversion Rates'!B$4)/12</f>
        <v>31.25</v>
      </c>
      <c r="BP209" s="106">
        <f t="shared" si="102"/>
        <v>31.25</v>
      </c>
      <c r="BQ209" s="104">
        <f>('Renewable Diesel'!$S218*'RD Feedstock Breakdown'!BQ$3*'Feedstock Conversion Rates'!B$4)/12+10</f>
        <v>38.125</v>
      </c>
      <c r="BR209" s="104">
        <f>('Renewable Diesel'!$S218*'RD Feedstock Breakdown'!BR$3*'Feedstock Conversion Rates'!B$7)/12-10</f>
        <v>1.5</v>
      </c>
      <c r="BS209" s="106">
        <f t="shared" si="123"/>
        <v>39.625</v>
      </c>
      <c r="BT209" s="106"/>
      <c r="BU209" s="104">
        <f>('Renewable Diesel'!Y218*'Feedstock Conversion Rates'!B$7)/12</f>
        <v>2.6833333333333331</v>
      </c>
      <c r="BV209" s="106">
        <f t="shared" ref="BV209:BV272" si="191">BU209</f>
        <v>2.6833333333333331</v>
      </c>
      <c r="BW209" s="104">
        <f>('Renewable Diesel'!$Z218*'RD Feedstock Breakdown'!BW$3*'Feedstock Conversion Rates'!$B$4)/12</f>
        <v>41.796875</v>
      </c>
      <c r="BX209" s="104">
        <f>('Renewable Diesel'!$Z218*'RD Feedstock Breakdown'!BX$3*'Feedstock Conversion Rates'!$B$5)/12</f>
        <v>4.2075520833333337</v>
      </c>
      <c r="BY209" s="104">
        <f>('Renewable Diesel'!$Z218*'RD Feedstock Breakdown'!BY$3*'Feedstock Conversion Rates'!$B$7)/12</f>
        <v>35.889583333333327</v>
      </c>
      <c r="BZ209" s="104">
        <f>('Renewable Diesel'!$Z218*'RD Feedstock Breakdown'!BZ$3*'Feedstock Conversion Rates'!$B$3)/12</f>
        <v>8.9278124999999999</v>
      </c>
      <c r="CA209" s="106">
        <f t="shared" si="127"/>
        <v>90.821822916666662</v>
      </c>
      <c r="CB209" s="104">
        <f>('Renewable Diesel'!AA218*'Feedstock Conversion Rates'!B$4)/12</f>
        <v>191.25</v>
      </c>
      <c r="CC209" s="106">
        <f t="shared" si="113"/>
        <v>191.25</v>
      </c>
      <c r="CD209" s="104">
        <f>('Renewable Diesel'!$AB218*'RD Feedstock Breakdown'!CD$3*'Feedstock Conversion Rates'!$B$6)/12-15</f>
        <v>17.830000000000005</v>
      </c>
      <c r="CE209" s="104">
        <f>('Renewable Diesel'!$AB218*'RD Feedstock Breakdown'!CE$3*'Feedstock Conversion Rates'!$B$4)/12+15</f>
        <v>26.25</v>
      </c>
      <c r="CF209" s="106">
        <f t="shared" si="108"/>
        <v>44.080000000000005</v>
      </c>
      <c r="CG209" s="104">
        <f>('Renewable Diesel'!AD218*'Feedstock Conversion Rates'!B$4)/12</f>
        <v>112.5</v>
      </c>
      <c r="CH209" s="106">
        <f t="shared" si="187"/>
        <v>112.5</v>
      </c>
      <c r="CI209" s="104">
        <f>('Renewable Diesel'!$AE218*'RD Feedstock Breakdown'!CI$3*'Feedstock Conversion Rates'!$B$5)/12</f>
        <v>0.34604166666666664</v>
      </c>
      <c r="CJ209" s="104">
        <f>('Renewable Diesel'!$AE218*'RD Feedstock Breakdown'!CJ$3*'Feedstock Conversion Rates'!$B$4)/12</f>
        <v>0.34375</v>
      </c>
      <c r="CK209" s="106">
        <f t="shared" si="103"/>
        <v>0.68979166666666658</v>
      </c>
      <c r="CL209" s="104">
        <f>(((CL$3*'Renewable Diesel'!$AF218)*'Feedstock Conversion Rates'!$B$3)/12)-35</f>
        <v>56.78125</v>
      </c>
      <c r="CM209" s="104">
        <f>(((CM$3*'Renewable Diesel'!$AF218)*'Feedstock Conversion Rates'!$B$6)/12)-32.5+35+30</f>
        <v>86.239583333333343</v>
      </c>
      <c r="CN209" s="104">
        <f>(((CN$3*'Renewable Diesel'!$AF218)*'Feedstock Conversion Rates'!$B$4)/12)</f>
        <v>42.96875</v>
      </c>
      <c r="CO209" s="106">
        <f t="shared" si="190"/>
        <v>185.98958333333334</v>
      </c>
      <c r="CP209" s="104">
        <f>('Renewable Diesel'!$AG218*'RD Feedstock Breakdown'!CP$3*'Feedstock Conversion Rates'!$B$3)/12</f>
        <v>6.0075000000000003</v>
      </c>
      <c r="CQ209" s="104">
        <f>('Renewable Diesel'!$AG218*'RD Feedstock Breakdown'!CQ$3*'Feedstock Conversion Rates'!$B$6)/12</f>
        <v>3.5175000000000001</v>
      </c>
      <c r="CR209" s="104">
        <f>('Renewable Diesel'!$AG218*'RD Feedstock Breakdown'!CR$3*'Feedstock Conversion Rates'!$B$4)/12</f>
        <v>2.8125</v>
      </c>
      <c r="CS209" s="106">
        <f t="shared" si="134"/>
        <v>12.3375</v>
      </c>
      <c r="CT209" s="104">
        <f>('Renewable Diesel'!AI218*'Feedstock Conversion Rates'!$B$4*'RD Feedstock Breakdown'!$CT$3)/12</f>
        <v>29.375</v>
      </c>
      <c r="CU209" s="106">
        <f t="shared" si="99"/>
        <v>29.375</v>
      </c>
      <c r="CV209" s="104">
        <f>('Renewable Diesel'!AN218*'Feedstock Conversion Rates'!$B$3*'RD Feedstock Breakdown'!$CV$3)/12</f>
        <v>0.50062499999999999</v>
      </c>
      <c r="CW209" s="106">
        <f t="shared" si="161"/>
        <v>0.50062499999999999</v>
      </c>
      <c r="CX209" s="104">
        <f>('Renewable Diesel'!AO218*'RD Feedstock Breakdown'!$CX$3*'Feedstock Conversion Rates'!$B$3)/12</f>
        <v>6.3412499999999996</v>
      </c>
      <c r="CY209" s="104">
        <f>('Renewable Diesel'!AO218*'RD Feedstock Breakdown'!$CY$3*'Feedstock Conversion Rates'!$B$6)/12</f>
        <v>7.4258333333333342</v>
      </c>
      <c r="CZ209" s="106">
        <f t="shared" si="135"/>
        <v>13.767083333333334</v>
      </c>
      <c r="DA209" s="104">
        <f>('Renewable Diesel'!$AP218*'RD Feedstock Breakdown'!DA$3*'Feedstock Conversion Rates'!$B$3)/12</f>
        <v>6.3412499999999996</v>
      </c>
      <c r="DB209" s="104">
        <f>('Renewable Diesel'!$AP218*'RD Feedstock Breakdown'!DB$3*'Feedstock Conversion Rates'!$B$8)/12</f>
        <v>7.421875</v>
      </c>
      <c r="DC209" s="106">
        <f t="shared" si="165"/>
        <v>13.763124999999999</v>
      </c>
      <c r="DD209" s="104">
        <f>('Renewable Diesel'!AQ218*$DD$3*'Feedstock Conversion Rates'!$B$14)/12</f>
        <v>3.1041666666666665</v>
      </c>
      <c r="DE209" s="106">
        <f t="shared" si="166"/>
        <v>3.1041666666666665</v>
      </c>
      <c r="DF209" s="104">
        <f>('Renewable Diesel'!AR218*'Feedstock Conversion Rates'!$B$4*$DF$3)/12</f>
        <v>75</v>
      </c>
      <c r="DG209" s="106">
        <f t="shared" si="136"/>
        <v>75</v>
      </c>
      <c r="DH209" s="104">
        <f>('Renewable Diesel'!AS218*'Feedstock Conversion Rates'!$B$4*$DH$3)/12</f>
        <v>75</v>
      </c>
      <c r="DI209" s="106">
        <f t="shared" si="142"/>
        <v>75</v>
      </c>
      <c r="DJ209" s="104">
        <f>('Renewable Diesel'!AT218*'Feedstock Conversion Rates'!$B$4*0.25)/12</f>
        <v>8.59375</v>
      </c>
      <c r="DK209" s="104">
        <f>('Renewable Diesel'!$AT218*'RD Feedstock Breakdown'!DK$3*'Feedstock Conversion Rates'!$B$3)/12*0.5</f>
        <v>9.1781249999999996</v>
      </c>
      <c r="DL209" s="104">
        <f>('Renewable Diesel'!$AT218*'RD Feedstock Breakdown'!$DL$3*'Feedstock Conversion Rates'!$B$6)/12</f>
        <v>10.747916666666669</v>
      </c>
      <c r="DM209" s="104">
        <f>('Renewable Diesel'!$AT218*'RD Feedstock Breakdown'!$DM$3*'Feedstock Conversion Rates'!$B$8)/12</f>
        <v>10.7421875</v>
      </c>
      <c r="DN209" s="106">
        <f t="shared" si="110"/>
        <v>39.26197916666667</v>
      </c>
      <c r="DP209" s="104">
        <f t="shared" si="168"/>
        <v>33.470249999999993</v>
      </c>
      <c r="DQ209" s="104">
        <f t="shared" si="169"/>
        <v>854.69308000000001</v>
      </c>
      <c r="DR209" s="104">
        <f t="shared" si="174"/>
        <v>1703.625</v>
      </c>
      <c r="DS209" s="104">
        <f t="shared" si="100"/>
        <v>150.37338541666668</v>
      </c>
      <c r="DT209" s="104">
        <f t="shared" si="170"/>
        <v>269.03923333333341</v>
      </c>
      <c r="DU209" s="104">
        <f t="shared" si="171"/>
        <v>246.32901666666666</v>
      </c>
      <c r="DV209" s="104">
        <f t="shared" si="175"/>
        <v>25.925000000000001</v>
      </c>
      <c r="DW209" s="104">
        <f t="shared" si="172"/>
        <v>2.5</v>
      </c>
      <c r="DX209" s="106">
        <f t="shared" si="176"/>
        <v>3285.9549654166667</v>
      </c>
      <c r="DY209" s="109">
        <f t="shared" si="163"/>
        <v>-30.000000000000593</v>
      </c>
      <c r="EA209" s="110">
        <f t="shared" si="150"/>
        <v>1.0185851708943275E-2</v>
      </c>
      <c r="EB209" s="110">
        <f t="shared" si="151"/>
        <v>0.26010492809405344</v>
      </c>
      <c r="EC209" s="110">
        <f t="shared" si="152"/>
        <v>0.51845658809385919</v>
      </c>
      <c r="ED209" s="110">
        <f t="shared" si="146"/>
        <v>4.576246083689068E-2</v>
      </c>
      <c r="EE209" s="110">
        <f t="shared" si="146"/>
        <v>8.1875508387930271E-2</v>
      </c>
      <c r="EF209" s="110">
        <f t="shared" si="146"/>
        <v>7.4964209570483747E-2</v>
      </c>
      <c r="EG209" s="110">
        <f t="shared" si="146"/>
        <v>7.8896394724973506E-3</v>
      </c>
      <c r="EH209" s="111">
        <f t="shared" si="177"/>
        <v>7.6081383534207811E-4</v>
      </c>
      <c r="EI209" s="110">
        <f t="shared" si="178"/>
        <v>0.99923918616465801</v>
      </c>
      <c r="EK209" s="132">
        <f>(EA209*'Renewable Diesel'!BF218*'Feedstock Conversion Rates'!B$2)+FB209</f>
        <v>32.632938388400625</v>
      </c>
      <c r="EL209" s="132">
        <f>(EB209*'Renewable Diesel'!BF218*'Feedstock Conversion Rates'!B$3)+FC209</f>
        <v>785.27361016834618</v>
      </c>
      <c r="EM209" s="132">
        <f>(EC209*'Renewable Diesel'!BF218*'Feedstock Conversion Rates'!B$4)+FD209</f>
        <v>1465.5936240640135</v>
      </c>
      <c r="EN209" s="132">
        <f>(ED209*'Renewable Diesel'!BF218*'Feedstock Conversion Rates'!B$5)+FE209</f>
        <v>130.22555828203062</v>
      </c>
      <c r="EO209" s="132">
        <f>(EE209*'Renewable Diesel'!BF218*'Feedstock Conversion Rates'!B$6)+FF209</f>
        <v>289.46546297972611</v>
      </c>
      <c r="EP209" s="132">
        <f>(EF209*'Renewable Diesel'!BF218*'Feedstock Conversion Rates'!B$7)+FG209</f>
        <v>259.94513843420924</v>
      </c>
      <c r="EQ209" s="132">
        <f>(EG209*'Renewable Diesel'!BF218*'Feedstock Conversion Rates'!B$8)+FH209</f>
        <v>27.878431802670445</v>
      </c>
      <c r="ER209" s="132">
        <f>(EH209*'Renewable Diesel'!BF218*'Feedstock Conversion Rates'!B$9)+FI209</f>
        <v>2.6525283875250572</v>
      </c>
      <c r="ES209" s="132">
        <f t="shared" si="179"/>
        <v>2993.6672925069215</v>
      </c>
      <c r="ET209" s="133">
        <f>ES209/'Renewable Diesel'!BF218</f>
        <v>7.9426170983406665</v>
      </c>
      <c r="EW209" s="73">
        <f t="shared" si="124"/>
        <v>1595.819182346044</v>
      </c>
      <c r="EX209" s="73">
        <f t="shared" si="125"/>
        <v>1397.8481101608777</v>
      </c>
      <c r="EY209" s="92">
        <f t="shared" si="164"/>
        <v>0.53306497563718647</v>
      </c>
      <c r="EZ209" s="92">
        <f t="shared" si="164"/>
        <v>0.46693502436281364</v>
      </c>
      <c r="FB209" s="102">
        <f>IF('Renewable Diesel'!$BG218&lt;1,0,(((('Renewable Diesel'!$BG218-1)*'Renewable Diesel'!$BF218)*'RD Feedstock Breakdown'!EA209)*'Feedstock Conversion Rates'!$B$2))</f>
        <v>0</v>
      </c>
      <c r="FC209" s="102">
        <f>IF('Renewable Diesel'!$BG218&lt;1,0,(((('Renewable Diesel'!$BG218-1)*'Renewable Diesel'!$BF218)*'RD Feedstock Breakdown'!EB209)*'Feedstock Conversion Rates'!$B$3))</f>
        <v>0</v>
      </c>
      <c r="FD209" s="102">
        <f>IF('Renewable Diesel'!$BG218&lt;1,0,(((('Renewable Diesel'!$BG218-1)*'Renewable Diesel'!$BF218)*'RD Feedstock Breakdown'!EC209)*'Feedstock Conversion Rates'!$B$4))</f>
        <v>0</v>
      </c>
      <c r="FE209" s="102">
        <f>IF('Renewable Diesel'!$BG218&lt;1,0,(((('Renewable Diesel'!$BG218-1)*'Renewable Diesel'!$BF218)*'RD Feedstock Breakdown'!ED209)*'Feedstock Conversion Rates'!$B$5))</f>
        <v>0</v>
      </c>
      <c r="FF209" s="102">
        <f>IF('Renewable Diesel'!$BG218&lt;1,0,(((('Renewable Diesel'!$BG218-1)*'Renewable Diesel'!$BF218)*'RD Feedstock Breakdown'!EE209)*'Feedstock Conversion Rates'!$B$6))</f>
        <v>0</v>
      </c>
      <c r="FG209" s="102">
        <f>IF('Renewable Diesel'!$BG218&lt;1,0,(((('Renewable Diesel'!$BG218-1)*'Renewable Diesel'!$BF218)*'RD Feedstock Breakdown'!EF209)*'Feedstock Conversion Rates'!$B$7))</f>
        <v>0</v>
      </c>
      <c r="FH209" s="102">
        <f>IF('Renewable Diesel'!$BG218&lt;1,0,(((('Renewable Diesel'!$BG218-1)*'Renewable Diesel'!$BF218)*'RD Feedstock Breakdown'!EG209)*'Feedstock Conversion Rates'!$B$8))</f>
        <v>0</v>
      </c>
      <c r="FI209" s="102">
        <f>IF('Renewable Diesel'!$BG218&lt;1,0,(((('Renewable Diesel'!$BG218-1)*'Renewable Diesel'!$BF218)*'RD Feedstock Breakdown'!EH209)*'Feedstock Conversion Rates'!$B$9))</f>
        <v>0</v>
      </c>
      <c r="FJ209" s="102">
        <f t="shared" si="126"/>
        <v>0</v>
      </c>
      <c r="FL209" s="3">
        <f>('Renewable Diesel'!AX218/12*$FO$80)*'RD Feedstock Breakdown'!EC209*7.5</f>
        <v>1555.0377900475132</v>
      </c>
      <c r="FM209" s="3">
        <f t="shared" si="96"/>
        <v>89.444165983499715</v>
      </c>
      <c r="FR209" s="3">
        <f>('Renewable Diesel'!AX218-'Renewable Diesel'!BI218)/12*$FO$80</f>
        <v>54.415874999999872</v>
      </c>
      <c r="FS209" s="100">
        <f t="shared" si="97"/>
        <v>0.51845658809385919</v>
      </c>
      <c r="FT209" s="3">
        <f t="shared" si="98"/>
        <v>211.59201667981398</v>
      </c>
      <c r="FY209" s="3">
        <f>'Renewable Diesel'!BF218*('Renewable Diesel'!BI218/'Renewable Diesel'!AX218)</f>
        <v>325.62601909926258</v>
      </c>
      <c r="FZ209" s="3">
        <f>('Renewable Diesel'!BJ218*'Renewable Diesel'!BG218)/12</f>
        <v>50.320872303697151</v>
      </c>
      <c r="GA209" s="3">
        <f t="shared" si="105"/>
        <v>195.668908233612</v>
      </c>
      <c r="GD209" s="91">
        <f>'Renewable Diesel'!BB218*0.32</f>
        <v>0</v>
      </c>
      <c r="GE209" s="91">
        <f>'Renewable Diesel'!BC218</f>
        <v>170.15201300065522</v>
      </c>
      <c r="GF209" s="91">
        <f>'Renewable Diesel'!BD218</f>
        <v>0</v>
      </c>
      <c r="GG209" s="91">
        <f t="shared" si="109"/>
        <v>170.15201300065522</v>
      </c>
      <c r="GH209" s="124">
        <v>1</v>
      </c>
      <c r="GI209" s="102">
        <f>$GG209*EA209*'Feedstock Conversion Rates'!$B$2</f>
        <v>14.731716965424329</v>
      </c>
      <c r="GJ209" s="102">
        <f>$GG209*EB209*'Feedstock Conversion Rates'!$B$3</f>
        <v>354.50159062381692</v>
      </c>
      <c r="GK209" s="102">
        <f>$GG209*EC209*'Feedstock Conversion Rates'!$B$4</f>
        <v>661.62324088216258</v>
      </c>
      <c r="GL209" s="102">
        <f>$GG209*ED209*'Feedstock Conversion Rates'!$B$5</f>
        <v>58.788639976017514</v>
      </c>
      <c r="GM209" s="102">
        <f>$GG209*EE209*'Feedstock Conversion Rates'!$B$6</f>
        <v>130.67543048463548</v>
      </c>
      <c r="GN209" s="102">
        <f>$GG209*EF209*'Feedstock Conversion Rates'!$B$7</f>
        <v>117.34886268507128</v>
      </c>
      <c r="GO209" s="102">
        <f>$GG209*EG209*'Feedstock Conversion Rates'!$B$8</f>
        <v>12.585356607139236</v>
      </c>
      <c r="GP209" s="102">
        <f>$GG209*EH209*'Feedstock Conversion Rates'!B$9</f>
        <v>1.1974495518203836</v>
      </c>
      <c r="GQ209" s="102">
        <f t="shared" si="180"/>
        <v>1351.4522877760876</v>
      </c>
      <c r="GR209" s="85">
        <f t="shared" si="107"/>
        <v>7.9426170983406674</v>
      </c>
      <c r="GT209" s="103">
        <f t="shared" si="159"/>
        <v>1.0900656352187199E-2</v>
      </c>
      <c r="GU209" s="103">
        <f t="shared" si="159"/>
        <v>0.26231158423444967</v>
      </c>
      <c r="GV209" s="103">
        <f t="shared" si="159"/>
        <v>0.48956463122417099</v>
      </c>
      <c r="GW209" s="103">
        <f t="shared" si="159"/>
        <v>4.3500344413015479E-2</v>
      </c>
      <c r="GX209" s="103">
        <f t="shared" si="158"/>
        <v>9.6692596302953016E-2</v>
      </c>
      <c r="GY209" s="103">
        <f t="shared" si="158"/>
        <v>8.6831672672793597E-2</v>
      </c>
      <c r="GZ209" s="103">
        <f t="shared" si="158"/>
        <v>9.3124683135128276E-3</v>
      </c>
      <c r="HA209" s="103">
        <f t="shared" si="158"/>
        <v>8.8604648691732475E-4</v>
      </c>
    </row>
    <row r="210" spans="1:209" x14ac:dyDescent="0.25">
      <c r="A210" s="96">
        <v>46813</v>
      </c>
      <c r="B210" s="104">
        <f>23-20+10+85-5-4-4-1.25+2.25-5+15-6-25-45+65+15-22.5-50+40+16.5+27.5+168+80+14-30+15-50-19+22.5-10+5+11-25-50-12.5-27.5-10+10+2+4-1.5+12-26-15-50-15+10-32.5-3-5-2.5-1+5+10-50-35-9-0.5+25+15+25+20+15+85-25+12.5-52.5+10+20-150+20-20+55-25-25+25-15</f>
        <v>15</v>
      </c>
      <c r="C210" s="104">
        <f t="shared" si="147"/>
        <v>0</v>
      </c>
      <c r="D210" s="104">
        <f t="shared" ref="D210:D252" si="192">1+0.5</f>
        <v>1.5</v>
      </c>
      <c r="E210" s="104">
        <f>('Renewable Diesel'!B219*E$3*'Feedstock Conversion Rates'!$B$2)/12-40+1.25+6-43+30-15+12.5-4+1.5+26+2.5+3-10+50+9-15-25-55+15+45+10-50+60-60-44+25</f>
        <v>25.679999999999993</v>
      </c>
      <c r="F210" s="104">
        <f>('Renewable Diesel'!B219*'RD Feedstock Breakdown'!F$3*'Feedstock Conversion Rates'!B$8)/12+28.5-49-5+2-6+1+6+20-20-3.75+10+2.5+5-20-20+15</f>
        <v>20.15625</v>
      </c>
      <c r="G210" s="104">
        <f>('Renewable Diesel'!B219*'RD Feedstock Breakdown'!G$3*'Feedstock Conversion Rates'!B$7)/12-25-15-25+4+4-20-40-20+10-17.5+20+50-12+32.5+35-75-75+22.5+5-20+15+125-10-45-10-40-40</f>
        <v>9.6570000000000107</v>
      </c>
      <c r="H210" s="104">
        <f>('Renewable Diesel'!B219*'RD Feedstock Breakdown'!H$3*'Feedstock Conversion Rates'!B$3)/12-85+4-15+70-65-80+50-22.5-5+25+27.5+15+50+15-10+5+50+75-5-25-85-12.5+30+22.5-25-30+150+90-120+25+10+70+44+5</f>
        <v>424.40022499999998</v>
      </c>
      <c r="I210" s="106">
        <f t="shared" si="106"/>
        <v>496.39347499999997</v>
      </c>
      <c r="J210" s="104">
        <f>2+10+12+15-6-20-5-5+7+105+30+87+5-10-5-25-27.5+1-1-15-17.5-6-10-77.5-7.5-1+17.5+15+90+2+2.5+2.5+7.5+27.5-32-11-25+5-50-30-20-20+20-20+50-50+70</f>
        <v>86.5</v>
      </c>
      <c r="K210" s="104">
        <f t="shared" si="182"/>
        <v>10</v>
      </c>
      <c r="L210" s="104">
        <v>1</v>
      </c>
      <c r="M210" s="104">
        <f>('Renewable Diesel'!C219*'RD Feedstock Breakdown'!M$3*'Feedstock Conversion Rates'!B$2)/12</f>
        <v>7.7902500000000003</v>
      </c>
      <c r="N210" s="104">
        <f>('Renewable Diesel'!C219*'RD Feedstock Breakdown'!N$3*'Feedstock Conversion Rates'!B$8)/12</f>
        <v>3.671875</v>
      </c>
      <c r="O210" s="104">
        <f>('Renewable Diesel'!C219*'RD Feedstock Breakdown'!O$3*'Feedstock Conversion Rates'!B$7)/12</f>
        <v>11.9991</v>
      </c>
      <c r="P210" s="104">
        <f>('Renewable Diesel'!C219*'RD Feedstock Breakdown'!P$3*'Feedstock Conversion Rates'!B$3)/12</f>
        <v>10.4470425</v>
      </c>
      <c r="Q210" s="106">
        <f t="shared" si="119"/>
        <v>131.40826749999999</v>
      </c>
      <c r="R210" s="104">
        <f>('Renewable Diesel'!D219*'RD Feedstock Breakdown'!R$3*'Feedstock Conversion Rates'!B$7)/12</f>
        <v>2.2999999999999998</v>
      </c>
      <c r="S210" s="106">
        <f t="shared" si="148"/>
        <v>2.2999999999999998</v>
      </c>
      <c r="T210" s="104">
        <f t="shared" si="183"/>
        <v>5.8250000000000028</v>
      </c>
      <c r="U210" s="104">
        <f t="shared" si="184"/>
        <v>45</v>
      </c>
      <c r="V210" s="104">
        <f>('Renewable Diesel'!E219*'RD Feedstock Breakdown'!V$3*'Feedstock Conversion Rates'!B$6)/12-20+25-35</f>
        <v>14.250150000000012</v>
      </c>
      <c r="W210" s="104">
        <f>('Renewable Diesel'!E219*'RD Feedstock Breakdown'!W$3*'Feedstock Conversion Rates'!B$8)/12-5.825-15</f>
        <v>1.3546875000000007</v>
      </c>
      <c r="X210" s="106">
        <f t="shared" si="185"/>
        <v>66.429837500000005</v>
      </c>
      <c r="Y210" s="104">
        <f t="shared" si="186"/>
        <v>125.5</v>
      </c>
      <c r="Z210" s="104">
        <f>('Renewable Diesel'!F219*'RD Feedstock Breakdown'!Z$3*'Feedstock Conversion Rates'!B$6)/12-50-32-60+15+30+22.5-70+70-35+5+6</f>
        <v>60.960000000000008</v>
      </c>
      <c r="AA210" s="104">
        <f>('Renewable Diesel'!F219*'RD Feedstock Breakdown'!AA$3*'Feedstock Conversion Rates'!B$7)/12+80-171+75+30+20-50-6-5</f>
        <v>77.266666666666652</v>
      </c>
      <c r="AB210" s="106">
        <f t="shared" si="137"/>
        <v>263.72666666666669</v>
      </c>
      <c r="AC210" s="104">
        <f>('Renewable Diesel'!G219*'RD Feedstock Breakdown'!AC$3*'Feedstock Conversion Rates'!B$5)/12</f>
        <v>11.796875</v>
      </c>
      <c r="AD210" s="104">
        <f>('Renewable Diesel'!G219*'RD Feedstock Breakdown'!AD$3*'Feedstock Conversion Rates'!B$4)/12</f>
        <v>5.859375</v>
      </c>
      <c r="AE210" s="104">
        <f>('Renewable Diesel'!G219*'RD Feedstock Breakdown'!AE$3*'Feedstock Conversion Rates'!B$6)/12</f>
        <v>7.3281250000000009</v>
      </c>
      <c r="AF210" s="106">
        <f t="shared" si="101"/>
        <v>24.984375</v>
      </c>
      <c r="AG210" s="104">
        <f t="shared" si="188"/>
        <v>106.5</v>
      </c>
      <c r="AH210" s="104">
        <v>30</v>
      </c>
      <c r="AI210" s="104">
        <f>('Renewable Diesel'!H219*'RD Feedstock Breakdown'!AI$3*'Feedstock Conversion Rates'!B$6)/12-130-20+51-120+2.5+100-45+25</f>
        <v>12.01666666666668</v>
      </c>
      <c r="AJ210" s="106">
        <f t="shared" si="145"/>
        <v>118.51666666666668</v>
      </c>
      <c r="AK210" s="104">
        <f>('Renewable Diesel'!J219*'RD Feedstock Breakdown'!AK$3*'Feedstock Conversion Rates'!B$4)/12</f>
        <v>95.8125</v>
      </c>
      <c r="AL210" s="106">
        <f t="shared" si="157"/>
        <v>95.8125</v>
      </c>
      <c r="AM210" s="104">
        <f>('Renewable Diesel'!K219*'RD Feedstock Breakdown'!AM$3*'Feedstock Conversion Rates'!B$4)/12+5+15-10+9-27</f>
        <v>50.59375</v>
      </c>
      <c r="AN210" s="104">
        <f>('Renewable Diesel'!K219*'RD Feedstock Breakdown'!AN$3*'Feedstock Conversion Rates'!B$6)/12-5-15+10-9+27</f>
        <v>32.427083333333329</v>
      </c>
      <c r="AO210" s="106">
        <f t="shared" si="173"/>
        <v>83.020833333333329</v>
      </c>
      <c r="AP210" s="104">
        <f>('Renewable Diesel'!L219*'RD Feedstock Breakdown'!AP$3*'Feedstock Conversion Rates'!B$4)/12+15-10+2.5+12</f>
        <v>78.09375</v>
      </c>
      <c r="AQ210" s="104">
        <f>('Renewable Diesel'!L219*'RD Feedstock Breakdown'!AQ$3*'Feedstock Conversion Rates'!B$6)/12-15+10-2.5-12</f>
        <v>4.9270833333333321</v>
      </c>
      <c r="AR210" s="106">
        <f t="shared" si="162"/>
        <v>83.020833333333329</v>
      </c>
      <c r="AS210" s="104">
        <f>('Renewable Diesel'!M219*'RD Feedstock Breakdown'!AS$3*'Feedstock Conversion Rates'!B$4)/12</f>
        <v>456.25</v>
      </c>
      <c r="AT210" s="104">
        <f>('Renewable Diesel'!M219*'RD Feedstock Breakdown'!AT$3*'Feedstock Conversion Rates'!B$5)/12</f>
        <v>0</v>
      </c>
      <c r="AU210" s="106">
        <f t="shared" si="104"/>
        <v>456.25</v>
      </c>
      <c r="AV210" s="104">
        <f>'Renewable Diesel'!N219*'RD Feedstock Breakdown'!$AV$3*'Feedstock Conversion Rates'!$B$4/12-15-10+25+25-22-25-12.5</f>
        <v>44.249999999999986</v>
      </c>
      <c r="AW210" s="104">
        <f>'Renewable Diesel'!N219*'RD Feedstock Breakdown'!$AW$3*'Feedstock Conversion Rates'!$B$7/12+15+10-25-25+22+25+12.5</f>
        <v>75.900000000000006</v>
      </c>
      <c r="AX210" s="106">
        <f t="shared" si="141"/>
        <v>120.14999999999999</v>
      </c>
      <c r="AY210" s="104">
        <f>('Renewable Diesel'!O219*'RD Feedstock Breakdown'!AY$3*'Feedstock Conversion Rates'!B$4)/12+32+2-135-247+50</f>
        <v>-87.0625</v>
      </c>
      <c r="AZ210" s="104">
        <f>('Renewable Diesel'!O219*'RD Feedstock Breakdown'!AZ$3*'Feedstock Conversion Rates'!B$3)/12-32-2+135+247-50</f>
        <v>323.03125</v>
      </c>
      <c r="BA210" s="106">
        <f t="shared" si="120"/>
        <v>235.96875</v>
      </c>
      <c r="BB210" s="104">
        <f>('Renewable Diesel'!Q219*'RD Feedstock Breakdown'!BB$3*'Feedstock Conversion Rates'!B$4)/12</f>
        <v>11.156249999999998</v>
      </c>
      <c r="BC210" s="104">
        <f>('Renewable Diesel'!Q219*'RD Feedstock Breakdown'!BC$3*'Feedstock Conversion Rates'!B$3)/12</f>
        <v>1.4017500000000001</v>
      </c>
      <c r="BD210" s="104">
        <f>('Renewable Diesel'!Q219*'RD Feedstock Breakdown'!BD$3*'Feedstock Conversion Rates'!B$6)/12</f>
        <v>0.8207500000000002</v>
      </c>
      <c r="BE210" s="106">
        <f t="shared" si="189"/>
        <v>13.378749999999998</v>
      </c>
      <c r="BF210" s="104">
        <f>('Renewable Diesel'!R219*'RD Feedstock Breakdown'!BF$3*'Feedstock Conversion Rates'!B$4)/12</f>
        <v>62.5</v>
      </c>
      <c r="BG210" s="106">
        <f t="shared" si="167"/>
        <v>62.5</v>
      </c>
      <c r="BH210" s="104">
        <f>('Renewable Diesel'!T219*'RD Feedstock Breakdown'!BH$3*'Feedstock Conversion Rates'!B$7)/12</f>
        <v>27.599999999999998</v>
      </c>
      <c r="BI210" s="106">
        <f t="shared" si="144"/>
        <v>27.599999999999998</v>
      </c>
      <c r="BJ210" s="104">
        <f>('Renewable Diesel'!W219*'RD Feedstock Breakdown'!BJ$3*'Feedstock Conversion Rates'!B$4)/12</f>
        <v>7.5</v>
      </c>
      <c r="BK210" s="104">
        <f>('Renewable Diesel'!W219*'RD Feedstock Breakdown'!BK$3*'Feedstock Conversion Rates'!B$3)/12</f>
        <v>1.335</v>
      </c>
      <c r="BL210" s="104">
        <f>('Renewable Diesel'!W219*'RD Feedstock Breakdown'!BL$3*'Feedstock Conversion Rates'!B$6)/12</f>
        <v>3.1266666666666669</v>
      </c>
      <c r="BM210" s="104">
        <f>('Renewable Diesel'!W219*'RD Feedstock Breakdown'!BM$3*'Feedstock Conversion Rates'!B$7)/12</f>
        <v>1.5333333333333332</v>
      </c>
      <c r="BN210" s="106">
        <f t="shared" si="112"/>
        <v>13.495000000000001</v>
      </c>
      <c r="BO210" s="104">
        <f>('Renewable Diesel'!P219*'Feedstock Conversion Rates'!B$4)/12</f>
        <v>31.25</v>
      </c>
      <c r="BP210" s="106">
        <f t="shared" si="102"/>
        <v>31.25</v>
      </c>
      <c r="BQ210" s="104">
        <f>('Renewable Diesel'!$S219*'RD Feedstock Breakdown'!BQ$3*'Feedstock Conversion Rates'!B$4)/12+10</f>
        <v>38.125</v>
      </c>
      <c r="BR210" s="104">
        <f>('Renewable Diesel'!$S219*'RD Feedstock Breakdown'!BR$3*'Feedstock Conversion Rates'!B$7)/12-10</f>
        <v>1.5</v>
      </c>
      <c r="BS210" s="106">
        <f t="shared" si="123"/>
        <v>39.625</v>
      </c>
      <c r="BT210" s="106"/>
      <c r="BU210" s="104">
        <f>('Renewable Diesel'!Y219*'Feedstock Conversion Rates'!B$7)/12</f>
        <v>2.6833333333333331</v>
      </c>
      <c r="BV210" s="106">
        <f t="shared" si="191"/>
        <v>2.6833333333333331</v>
      </c>
      <c r="BW210" s="104">
        <f>('Renewable Diesel'!$Z219*'RD Feedstock Breakdown'!BW$3*'Feedstock Conversion Rates'!$B$4)/12</f>
        <v>53.90625</v>
      </c>
      <c r="BX210" s="104">
        <f>('Renewable Diesel'!$Z219*'RD Feedstock Breakdown'!BX$3*'Feedstock Conversion Rates'!$B$5)/12</f>
        <v>5.4265624999999993</v>
      </c>
      <c r="BY210" s="104">
        <f>('Renewable Diesel'!$Z219*'RD Feedstock Breakdown'!BY$3*'Feedstock Conversion Rates'!$B$7)/12</f>
        <v>46.287499999999994</v>
      </c>
      <c r="BZ210" s="104">
        <f>('Renewable Diesel'!$Z219*'RD Feedstock Breakdown'!BZ$3*'Feedstock Conversion Rates'!$B$3)/12</f>
        <v>11.514374999999999</v>
      </c>
      <c r="CA210" s="106">
        <f t="shared" si="127"/>
        <v>117.1346875</v>
      </c>
      <c r="CB210" s="104">
        <f>('Renewable Diesel'!AA219*'Feedstock Conversion Rates'!B$4)/12</f>
        <v>191.25</v>
      </c>
      <c r="CC210" s="106">
        <f t="shared" si="113"/>
        <v>191.25</v>
      </c>
      <c r="CD210" s="104">
        <f>('Renewable Diesel'!$AB219*'RD Feedstock Breakdown'!CD$3*'Feedstock Conversion Rates'!$B$6)/12-15</f>
        <v>17.830000000000005</v>
      </c>
      <c r="CE210" s="104">
        <f>('Renewable Diesel'!$AB219*'RD Feedstock Breakdown'!CE$3*'Feedstock Conversion Rates'!$B$4)/12+15</f>
        <v>26.25</v>
      </c>
      <c r="CF210" s="106">
        <f t="shared" si="108"/>
        <v>44.080000000000005</v>
      </c>
      <c r="CG210" s="104">
        <f>('Renewable Diesel'!AD219*'Feedstock Conversion Rates'!B$4)/12</f>
        <v>112.5</v>
      </c>
      <c r="CH210" s="106">
        <f t="shared" si="187"/>
        <v>112.5</v>
      </c>
      <c r="CI210" s="104">
        <f>('Renewable Diesel'!$AE219*'RD Feedstock Breakdown'!CI$3*'Feedstock Conversion Rates'!$B$5)/12</f>
        <v>0.34604166666666664</v>
      </c>
      <c r="CJ210" s="104">
        <f>('Renewable Diesel'!$AE219*'RD Feedstock Breakdown'!CJ$3*'Feedstock Conversion Rates'!$B$4)/12</f>
        <v>0.34375</v>
      </c>
      <c r="CK210" s="106">
        <f t="shared" si="103"/>
        <v>0.68979166666666658</v>
      </c>
      <c r="CL210" s="104">
        <f>(((CL$3*'Renewable Diesel'!$AF219)*'Feedstock Conversion Rates'!$B$3)/12)-35</f>
        <v>56.78125</v>
      </c>
      <c r="CM210" s="104">
        <f>(((CM$3*'Renewable Diesel'!$AF219)*'Feedstock Conversion Rates'!$B$6)/12)-32.5+35+30</f>
        <v>86.239583333333343</v>
      </c>
      <c r="CN210" s="104">
        <f>(((CN$3*'Renewable Diesel'!$AF219)*'Feedstock Conversion Rates'!$B$4)/12)</f>
        <v>42.96875</v>
      </c>
      <c r="CO210" s="106">
        <f t="shared" si="190"/>
        <v>185.98958333333334</v>
      </c>
      <c r="CP210" s="104">
        <f>('Renewable Diesel'!$AG219*'RD Feedstock Breakdown'!CP$3*'Feedstock Conversion Rates'!$B$3)/12</f>
        <v>6.0075000000000003</v>
      </c>
      <c r="CQ210" s="104">
        <f>('Renewable Diesel'!$AG219*'RD Feedstock Breakdown'!CQ$3*'Feedstock Conversion Rates'!$B$6)/12</f>
        <v>3.5175000000000001</v>
      </c>
      <c r="CR210" s="104">
        <f>('Renewable Diesel'!$AG219*'RD Feedstock Breakdown'!CR$3*'Feedstock Conversion Rates'!$B$4)/12</f>
        <v>2.8125</v>
      </c>
      <c r="CS210" s="106">
        <f t="shared" si="134"/>
        <v>12.3375</v>
      </c>
      <c r="CT210" s="104">
        <f>('Renewable Diesel'!AI219*'Feedstock Conversion Rates'!$B$4*'RD Feedstock Breakdown'!$CT$3)/12</f>
        <v>29.375</v>
      </c>
      <c r="CU210" s="106">
        <f t="shared" si="99"/>
        <v>29.375</v>
      </c>
      <c r="CV210" s="104">
        <f>('Renewable Diesel'!AN219*'Feedstock Conversion Rates'!$B$3*'RD Feedstock Breakdown'!$CV$3)/12</f>
        <v>0.50062499999999999</v>
      </c>
      <c r="CW210" s="106">
        <f t="shared" si="161"/>
        <v>0.50062499999999999</v>
      </c>
      <c r="CX210" s="104">
        <f>('Renewable Diesel'!AO219*'RD Feedstock Breakdown'!$CX$3*'Feedstock Conversion Rates'!$B$3)/12</f>
        <v>6.3412499999999996</v>
      </c>
      <c r="CY210" s="104">
        <f>('Renewable Diesel'!AO219*'RD Feedstock Breakdown'!$CY$3*'Feedstock Conversion Rates'!$B$6)/12</f>
        <v>7.4258333333333342</v>
      </c>
      <c r="CZ210" s="106">
        <f t="shared" si="135"/>
        <v>13.767083333333334</v>
      </c>
      <c r="DA210" s="104">
        <f>('Renewable Diesel'!$AP219*'RD Feedstock Breakdown'!DA$3*'Feedstock Conversion Rates'!$B$3)/12</f>
        <v>6.3412499999999996</v>
      </c>
      <c r="DB210" s="104">
        <f>('Renewable Diesel'!$AP219*'RD Feedstock Breakdown'!DB$3*'Feedstock Conversion Rates'!$B$8)/12</f>
        <v>7.421875</v>
      </c>
      <c r="DC210" s="106">
        <f t="shared" si="165"/>
        <v>13.763124999999999</v>
      </c>
      <c r="DD210" s="104">
        <f>('Renewable Diesel'!AQ219*$DD$3*'Feedstock Conversion Rates'!$B$14)/12</f>
        <v>3.1041666666666665</v>
      </c>
      <c r="DE210" s="106">
        <f t="shared" si="166"/>
        <v>3.1041666666666665</v>
      </c>
      <c r="DF210" s="104">
        <f>('Renewable Diesel'!AR219*'Feedstock Conversion Rates'!$B$4*$DF$3)/12</f>
        <v>75</v>
      </c>
      <c r="DG210" s="106">
        <f t="shared" si="136"/>
        <v>75</v>
      </c>
      <c r="DH210" s="104">
        <f>('Renewable Diesel'!AS219*'Feedstock Conversion Rates'!$B$4*$DH$3)/12</f>
        <v>75</v>
      </c>
      <c r="DI210" s="106">
        <f t="shared" si="142"/>
        <v>75</v>
      </c>
      <c r="DJ210" s="104">
        <f>('Renewable Diesel'!AT219*'Feedstock Conversion Rates'!$B$4*0.25)/12</f>
        <v>8.59375</v>
      </c>
      <c r="DK210" s="104">
        <f>('Renewable Diesel'!$AT219*'RD Feedstock Breakdown'!DK$3*'Feedstock Conversion Rates'!$B$3)/12*0.5</f>
        <v>9.1781249999999996</v>
      </c>
      <c r="DL210" s="104">
        <f>('Renewable Diesel'!$AT219*'RD Feedstock Breakdown'!$DL$3*'Feedstock Conversion Rates'!$B$6)/12</f>
        <v>10.747916666666669</v>
      </c>
      <c r="DM210" s="104">
        <f>('Renewable Diesel'!$AT219*'RD Feedstock Breakdown'!$DM$3*'Feedstock Conversion Rates'!$B$8)/12</f>
        <v>10.7421875</v>
      </c>
      <c r="DN210" s="106">
        <f t="shared" si="110"/>
        <v>39.26197916666667</v>
      </c>
      <c r="DP210" s="104">
        <f t="shared" si="168"/>
        <v>33.470249999999993</v>
      </c>
      <c r="DQ210" s="104">
        <f t="shared" si="169"/>
        <v>857.27964250000002</v>
      </c>
      <c r="DR210" s="104">
        <f t="shared" si="174"/>
        <v>1705.734375</v>
      </c>
      <c r="DS210" s="104">
        <f t="shared" si="100"/>
        <v>151.59239583333334</v>
      </c>
      <c r="DT210" s="104">
        <f t="shared" si="170"/>
        <v>269.03923333333341</v>
      </c>
      <c r="DU210" s="104">
        <f t="shared" si="171"/>
        <v>256.72693333333336</v>
      </c>
      <c r="DV210" s="104">
        <f t="shared" si="175"/>
        <v>35.924999999999997</v>
      </c>
      <c r="DW210" s="104">
        <f t="shared" si="172"/>
        <v>2.5</v>
      </c>
      <c r="DX210" s="106">
        <f t="shared" si="176"/>
        <v>3312.2678300000002</v>
      </c>
      <c r="DY210" s="109">
        <f t="shared" si="163"/>
        <v>-30.000000000000707</v>
      </c>
      <c r="EA210" s="110">
        <f t="shared" si="150"/>
        <v>1.010493466043173E-2</v>
      </c>
      <c r="EB210" s="110">
        <f t="shared" si="151"/>
        <v>0.25881954192695822</v>
      </c>
      <c r="EC210" s="110">
        <f t="shared" si="152"/>
        <v>0.51497477334132125</v>
      </c>
      <c r="ED210" s="110">
        <f t="shared" si="146"/>
        <v>4.5766949900706955E-2</v>
      </c>
      <c r="EE210" s="110">
        <f t="shared" si="146"/>
        <v>8.1225084184491619E-2</v>
      </c>
      <c r="EF210" s="110">
        <f t="shared" si="146"/>
        <v>7.7507902896044895E-2</v>
      </c>
      <c r="EG210" s="110">
        <f t="shared" si="146"/>
        <v>1.0846043207804242E-2</v>
      </c>
      <c r="EH210" s="111">
        <f t="shared" si="177"/>
        <v>7.5476988224107465E-4</v>
      </c>
      <c r="EI210" s="110">
        <f t="shared" si="178"/>
        <v>0.9992452301177589</v>
      </c>
      <c r="EK210" s="132">
        <f>(EA210*'Renewable Diesel'!BF219*'Feedstock Conversion Rates'!B$2)+FB210</f>
        <v>24.553337305453066</v>
      </c>
      <c r="EL210" s="132">
        <f>(EB210*'Renewable Diesel'!BF219*'Feedstock Conversion Rates'!B$3)+FC210</f>
        <v>592.63551637465491</v>
      </c>
      <c r="EM210" s="132">
        <f>(EC210*'Renewable Diesel'!BF219*'Feedstock Conversion Rates'!B$4)+FD210</f>
        <v>1104.0921273689805</v>
      </c>
      <c r="EN210" s="132">
        <f>(ED210*'Renewable Diesel'!BF219*'Feedstock Conversion Rates'!B$5)+FE210</f>
        <v>98.777269436989272</v>
      </c>
      <c r="EO210" s="132">
        <f>(EE210*'Renewable Diesel'!BF219*'Feedstock Conversion Rates'!B$6)+FF210</f>
        <v>217.79660373295269</v>
      </c>
      <c r="EP210" s="132">
        <f>(EF210*'Renewable Diesel'!BF219*'Feedstock Conversion Rates'!B$7)+FG210</f>
        <v>203.84117239728397</v>
      </c>
      <c r="EQ210" s="132">
        <f>(EG210*'Renewable Diesel'!BF219*'Feedstock Conversion Rates'!B$8)+FH210</f>
        <v>29.067032840129805</v>
      </c>
      <c r="ER210" s="132">
        <f>(EH210*'Renewable Diesel'!BF219*'Feedstock Conversion Rates'!B$9)+FI210</f>
        <v>1.9957879194336401</v>
      </c>
      <c r="ES210" s="132">
        <f t="shared" si="179"/>
        <v>2272.7588473758774</v>
      </c>
      <c r="ET210" s="133">
        <f>ES210/'Renewable Diesel'!BF219</f>
        <v>7.9505150200368888</v>
      </c>
      <c r="EW210" s="73">
        <f t="shared" si="124"/>
        <v>1202.8693968059697</v>
      </c>
      <c r="EX210" s="73">
        <f t="shared" si="125"/>
        <v>1069.8894505699081</v>
      </c>
      <c r="EY210" s="92">
        <f t="shared" si="164"/>
        <v>0.52925518173421704</v>
      </c>
      <c r="EZ210" s="92">
        <f t="shared" si="164"/>
        <v>0.47074481826578313</v>
      </c>
      <c r="FB210" s="102">
        <f>IF('Renewable Diesel'!$BG219&lt;1,0,(((('Renewable Diesel'!$BG219-1)*'Renewable Diesel'!$BF219)*'RD Feedstock Breakdown'!EA210)*'Feedstock Conversion Rates'!$B$2))</f>
        <v>0</v>
      </c>
      <c r="FC210" s="102">
        <f>IF('Renewable Diesel'!$BG219&lt;1,0,(((('Renewable Diesel'!$BG219-1)*'Renewable Diesel'!$BF219)*'RD Feedstock Breakdown'!EB210)*'Feedstock Conversion Rates'!$B$3))</f>
        <v>0</v>
      </c>
      <c r="FD210" s="102">
        <f>IF('Renewable Diesel'!$BG219&lt;1,0,(((('Renewable Diesel'!$BG219-1)*'Renewable Diesel'!$BF219)*'RD Feedstock Breakdown'!EC210)*'Feedstock Conversion Rates'!$B$4))</f>
        <v>0</v>
      </c>
      <c r="FE210" s="102">
        <f>IF('Renewable Diesel'!$BG219&lt;1,0,(((('Renewable Diesel'!$BG219-1)*'Renewable Diesel'!$BF219)*'RD Feedstock Breakdown'!ED210)*'Feedstock Conversion Rates'!$B$5))</f>
        <v>0</v>
      </c>
      <c r="FF210" s="102">
        <f>IF('Renewable Diesel'!$BG219&lt;1,0,(((('Renewable Diesel'!$BG219-1)*'Renewable Diesel'!$BF219)*'RD Feedstock Breakdown'!EE210)*'Feedstock Conversion Rates'!$B$6))</f>
        <v>0</v>
      </c>
      <c r="FG210" s="102">
        <f>IF('Renewable Diesel'!$BG219&lt;1,0,(((('Renewable Diesel'!$BG219-1)*'Renewable Diesel'!$BF219)*'RD Feedstock Breakdown'!EF210)*'Feedstock Conversion Rates'!$B$7))</f>
        <v>0</v>
      </c>
      <c r="FH210" s="102">
        <f>IF('Renewable Diesel'!$BG219&lt;1,0,(((('Renewable Diesel'!$BG219-1)*'Renewable Diesel'!$BF219)*'RD Feedstock Breakdown'!EG210)*'Feedstock Conversion Rates'!$B$8))</f>
        <v>0</v>
      </c>
      <c r="FI210" s="102">
        <f>IF('Renewable Diesel'!$BG219&lt;1,0,(((('Renewable Diesel'!$BG219-1)*'Renewable Diesel'!$BF219)*'RD Feedstock Breakdown'!EH210)*'Feedstock Conversion Rates'!$B$9))</f>
        <v>0</v>
      </c>
      <c r="FJ210" s="102">
        <f t="shared" si="126"/>
        <v>0</v>
      </c>
      <c r="FL210" s="3">
        <f>('Renewable Diesel'!AX219/12*$FO$80)*'RD Feedstock Breakdown'!EC210*7.5</f>
        <v>1555.8194160020826</v>
      </c>
      <c r="FM210" s="3">
        <f t="shared" ref="FM210:FM228" si="193">FL210-EM210</f>
        <v>451.72728863310203</v>
      </c>
      <c r="FR210" s="3">
        <f>('Renewable Diesel'!AX219-'Renewable Diesel'!BI219)/12*$FO$80</f>
        <v>54.415874999999872</v>
      </c>
      <c r="FS210" s="100">
        <f t="shared" ref="FS210:FS228" si="194">EC210</f>
        <v>0.51497477334132125</v>
      </c>
      <c r="FT210" s="3">
        <f t="shared" ref="FT210:FT228" si="195">FR210*FS210*7.5</f>
        <v>210.17102170720952</v>
      </c>
      <c r="FY210" s="3">
        <f>'Renewable Diesel'!BF219*('Renewable Diesel'!BI219/'Renewable Diesel'!AX219)</f>
        <v>247.24670079286045</v>
      </c>
      <c r="FZ210" s="3">
        <f>('Renewable Diesel'!BJ219*'Renewable Diesel'!BG219)/12</f>
        <v>40.502829487522796</v>
      </c>
      <c r="GA210" s="3">
        <f t="shared" si="105"/>
        <v>156.43451576264425</v>
      </c>
      <c r="GD210" s="91">
        <f>'Renewable Diesel'!BB219*0.32</f>
        <v>0</v>
      </c>
      <c r="GE210" s="91">
        <f>'Renewable Diesel'!BC219</f>
        <v>68.091377268205889</v>
      </c>
      <c r="GF210" s="91">
        <f>'Renewable Diesel'!BD219</f>
        <v>0</v>
      </c>
      <c r="GG210" s="91">
        <f t="shared" si="109"/>
        <v>68.091377268205889</v>
      </c>
      <c r="GH210" s="124">
        <v>1</v>
      </c>
      <c r="GI210" s="102">
        <f>$GG210*EA210*'Feedstock Conversion Rates'!$B$2</f>
        <v>5.8485008049892286</v>
      </c>
      <c r="GJ210" s="102">
        <f>$GG210*EB210*'Feedstock Conversion Rates'!$B$3</f>
        <v>141.16326638059925</v>
      </c>
      <c r="GK210" s="102">
        <f>$GG210*EC210*'Feedstock Conversion Rates'!$B$4</f>
        <v>262.99006181394537</v>
      </c>
      <c r="GL210" s="102">
        <f>$GG210*ED210*'Feedstock Conversion Rates'!$B$5</f>
        <v>23.528326623386072</v>
      </c>
      <c r="GM210" s="102">
        <f>$GG210*EE210*'Feedstock Conversion Rates'!$B$6</f>
        <v>51.878227240954267</v>
      </c>
      <c r="GN210" s="102">
        <f>$GG210*EF210*'Feedstock Conversion Rates'!$B$7</f>
        <v>48.55410268773096</v>
      </c>
      <c r="GO210" s="102">
        <f>$GG210*EG210*'Feedstock Conversion Rates'!$B$8</f>
        <v>6.9236439368424438</v>
      </c>
      <c r="GP210" s="102">
        <f>$GG210*EH210*'Feedstock Conversion Rates'!B$9</f>
        <v>0.47538821742179621</v>
      </c>
      <c r="GQ210" s="102">
        <f t="shared" si="180"/>
        <v>541.36151770586946</v>
      </c>
      <c r="GR210" s="85">
        <f t="shared" si="107"/>
        <v>7.9505150200368915</v>
      </c>
      <c r="GT210" s="103">
        <f t="shared" si="159"/>
        <v>1.0803318325568195E-2</v>
      </c>
      <c r="GU210" s="103">
        <f t="shared" si="159"/>
        <v>0.26075600456199327</v>
      </c>
      <c r="GV210" s="103">
        <f t="shared" si="159"/>
        <v>0.48579378698437931</v>
      </c>
      <c r="GW210" s="103">
        <f t="shared" si="159"/>
        <v>4.3461394749837755E-2</v>
      </c>
      <c r="GX210" s="103">
        <f t="shared" si="158"/>
        <v>9.5829174302597117E-2</v>
      </c>
      <c r="GY210" s="103">
        <f t="shared" si="158"/>
        <v>8.9688869821203665E-2</v>
      </c>
      <c r="GZ210" s="103">
        <f t="shared" si="158"/>
        <v>1.2789316769656639E-2</v>
      </c>
      <c r="HA210" s="103">
        <f t="shared" si="158"/>
        <v>8.7813448476417653E-4</v>
      </c>
    </row>
    <row r="211" spans="1:209" x14ac:dyDescent="0.25">
      <c r="A211" s="96">
        <v>46844</v>
      </c>
      <c r="B211" s="104">
        <f>23-20+10+85-5-4-4-1.25+2.25-5+15-6-25-45+65+15-22.5-50+40+16.5+27.5+168+80+14-30+15-50-19+22.5-10+5+11-25-50-12.5-27.5-10+10+2+4-1.5+12-26-15-50-15+10-32.5-3-5-2.5-1+5+10-50-35-9-0.5+25+15+25+20+15+85-25+12.5-52.5+10+20-150+20-20+55-25-25+25-15</f>
        <v>15</v>
      </c>
      <c r="C211" s="104">
        <f t="shared" si="147"/>
        <v>0</v>
      </c>
      <c r="D211" s="104">
        <f t="shared" si="192"/>
        <v>1.5</v>
      </c>
      <c r="E211" s="104">
        <f>('Renewable Diesel'!B220*E$3*'Feedstock Conversion Rates'!$B$2)/12-40+1.25+6-43+30-15+12.5-4+1.5+26+2.5+3-10+50+9-15-25-55+15+45+10-50+60-60-44+25</f>
        <v>25.679999999999993</v>
      </c>
      <c r="F211" s="104">
        <f>('Renewable Diesel'!B220*'RD Feedstock Breakdown'!F$3*'Feedstock Conversion Rates'!B$8)/12+28.5-49-5+2-6+1+6+20-20-3.75+10+2.5+5-20-20+15</f>
        <v>20.15625</v>
      </c>
      <c r="G211" s="104">
        <f>('Renewable Diesel'!B220*'RD Feedstock Breakdown'!G$3*'Feedstock Conversion Rates'!B$7)/12-25-15-25+4+4-20-40-20+10-17.5+20+50-12+32.5+35-75-75+22.5+5-20+15+125-10-45-10-40-40</f>
        <v>9.6570000000000107</v>
      </c>
      <c r="H211" s="104">
        <f>('Renewable Diesel'!B220*'RD Feedstock Breakdown'!H$3*'Feedstock Conversion Rates'!B$3)/12-85+4-15+70-65-80+50-22.5-5+25+27.5+15+50+15-10+5+50+75-5-25-85-12.5+30+22.5-25-30+150+90-120+25+10+70+44+5</f>
        <v>424.40022499999998</v>
      </c>
      <c r="I211" s="106">
        <f t="shared" si="106"/>
        <v>496.39347499999997</v>
      </c>
      <c r="J211" s="104">
        <f t="shared" si="181"/>
        <v>16.5</v>
      </c>
      <c r="K211" s="104">
        <f t="shared" si="182"/>
        <v>10</v>
      </c>
      <c r="L211" s="104">
        <v>1</v>
      </c>
      <c r="M211" s="104">
        <f>('Renewable Diesel'!C220*'RD Feedstock Breakdown'!M$3*'Feedstock Conversion Rates'!B$2)/12</f>
        <v>7.7902500000000003</v>
      </c>
      <c r="N211" s="104">
        <f>('Renewable Diesel'!C220*'RD Feedstock Breakdown'!N$3*'Feedstock Conversion Rates'!B$8)/12</f>
        <v>3.671875</v>
      </c>
      <c r="O211" s="104">
        <f>('Renewable Diesel'!C220*'RD Feedstock Breakdown'!O$3*'Feedstock Conversion Rates'!B$7)/12</f>
        <v>11.9991</v>
      </c>
      <c r="P211" s="104">
        <f>('Renewable Diesel'!C220*'RD Feedstock Breakdown'!P$3*'Feedstock Conversion Rates'!B$3)/12</f>
        <v>10.4470425</v>
      </c>
      <c r="Q211" s="106">
        <f t="shared" si="119"/>
        <v>61.408267500000001</v>
      </c>
      <c r="R211" s="104">
        <f>('Renewable Diesel'!D220*'RD Feedstock Breakdown'!R$3*'Feedstock Conversion Rates'!B$7)/12</f>
        <v>2.2999999999999998</v>
      </c>
      <c r="S211" s="106">
        <f t="shared" si="148"/>
        <v>2.2999999999999998</v>
      </c>
      <c r="T211" s="104">
        <f t="shared" si="183"/>
        <v>5.8250000000000028</v>
      </c>
      <c r="U211" s="104">
        <f t="shared" si="184"/>
        <v>45</v>
      </c>
      <c r="V211" s="104">
        <f>('Renewable Diesel'!E220*'RD Feedstock Breakdown'!V$3*'Feedstock Conversion Rates'!B$6)/12-20+25-35</f>
        <v>14.250150000000012</v>
      </c>
      <c r="W211" s="104">
        <f>('Renewable Diesel'!E220*'RD Feedstock Breakdown'!W$3*'Feedstock Conversion Rates'!B$8)/12-5.825-15</f>
        <v>1.3546875000000007</v>
      </c>
      <c r="X211" s="106">
        <f t="shared" si="185"/>
        <v>66.429837500000005</v>
      </c>
      <c r="Y211" s="104">
        <f t="shared" si="186"/>
        <v>125.5</v>
      </c>
      <c r="Z211" s="104">
        <f>('Renewable Diesel'!F220*'RD Feedstock Breakdown'!Z$3*'Feedstock Conversion Rates'!B$6)/12-50-32-60+15+30+22.5-70+70-35+5+6</f>
        <v>60.960000000000008</v>
      </c>
      <c r="AA211" s="104">
        <f>('Renewable Diesel'!F220*'RD Feedstock Breakdown'!AA$3*'Feedstock Conversion Rates'!B$7)/12+80-171+75+30+20-50-6-5</f>
        <v>77.266666666666652</v>
      </c>
      <c r="AB211" s="106">
        <f t="shared" si="137"/>
        <v>263.72666666666669</v>
      </c>
      <c r="AC211" s="104">
        <f>('Renewable Diesel'!G220*'RD Feedstock Breakdown'!AC$3*'Feedstock Conversion Rates'!B$5)/12</f>
        <v>11.796875</v>
      </c>
      <c r="AD211" s="104">
        <f>('Renewable Diesel'!G220*'RD Feedstock Breakdown'!AD$3*'Feedstock Conversion Rates'!B$4)/12</f>
        <v>5.859375</v>
      </c>
      <c r="AE211" s="104">
        <f>('Renewable Diesel'!G220*'RD Feedstock Breakdown'!AE$3*'Feedstock Conversion Rates'!B$6)/12</f>
        <v>7.3281250000000009</v>
      </c>
      <c r="AF211" s="106">
        <f t="shared" si="101"/>
        <v>24.984375</v>
      </c>
      <c r="AG211" s="104">
        <f t="shared" si="188"/>
        <v>106.5</v>
      </c>
      <c r="AH211" s="104">
        <v>30</v>
      </c>
      <c r="AI211" s="104">
        <f>('Renewable Diesel'!H220*'RD Feedstock Breakdown'!AI$3*'Feedstock Conversion Rates'!B$6)/12-130-20+51-120+2.5+100-45+25</f>
        <v>12.01666666666668</v>
      </c>
      <c r="AJ211" s="106">
        <f t="shared" si="145"/>
        <v>118.51666666666668</v>
      </c>
      <c r="AK211" s="104">
        <f>('Renewable Diesel'!J220*'RD Feedstock Breakdown'!AK$3*'Feedstock Conversion Rates'!B$4)/12</f>
        <v>95.8125</v>
      </c>
      <c r="AL211" s="106">
        <f t="shared" si="157"/>
        <v>95.8125</v>
      </c>
      <c r="AM211" s="104">
        <f>('Renewable Diesel'!K220*'RD Feedstock Breakdown'!AM$3*'Feedstock Conversion Rates'!B$4)/12+5+15-10+9-27</f>
        <v>50.59375</v>
      </c>
      <c r="AN211" s="104">
        <f>('Renewable Diesel'!K220*'RD Feedstock Breakdown'!AN$3*'Feedstock Conversion Rates'!B$6)/12-5-15+10-9+27</f>
        <v>32.427083333333329</v>
      </c>
      <c r="AO211" s="106">
        <f t="shared" si="173"/>
        <v>83.020833333333329</v>
      </c>
      <c r="AP211" s="104">
        <f>('Renewable Diesel'!L220*'RD Feedstock Breakdown'!AP$3*'Feedstock Conversion Rates'!B$4)/12+15-10+2.5+12</f>
        <v>78.09375</v>
      </c>
      <c r="AQ211" s="104">
        <f>('Renewable Diesel'!L220*'RD Feedstock Breakdown'!AQ$3*'Feedstock Conversion Rates'!B$6)/12-15+10-2.5-12</f>
        <v>4.9270833333333321</v>
      </c>
      <c r="AR211" s="106">
        <f t="shared" si="162"/>
        <v>83.020833333333329</v>
      </c>
      <c r="AS211" s="104">
        <f>('Renewable Diesel'!M220*'RD Feedstock Breakdown'!AS$3*'Feedstock Conversion Rates'!B$4)/12</f>
        <v>456.25</v>
      </c>
      <c r="AT211" s="104">
        <f>('Renewable Diesel'!M220*'RD Feedstock Breakdown'!AT$3*'Feedstock Conversion Rates'!B$5)/12</f>
        <v>0</v>
      </c>
      <c r="AU211" s="106">
        <f t="shared" si="104"/>
        <v>456.25</v>
      </c>
      <c r="AV211" s="104">
        <f>'Renewable Diesel'!N220*'RD Feedstock Breakdown'!$AV$3*'Feedstock Conversion Rates'!$B$4/12-15-10+25+25-22-25-12.5</f>
        <v>44.249999999999986</v>
      </c>
      <c r="AW211" s="104">
        <f>'Renewable Diesel'!N220*'RD Feedstock Breakdown'!$AW$3*'Feedstock Conversion Rates'!$B$7/12+15+10-25-25+22+25+12.5</f>
        <v>75.900000000000006</v>
      </c>
      <c r="AX211" s="106">
        <f t="shared" si="141"/>
        <v>120.14999999999999</v>
      </c>
      <c r="AY211" s="104">
        <f>('Renewable Diesel'!O220*'RD Feedstock Breakdown'!AY$3*'Feedstock Conversion Rates'!B$4)/12+32+2-135-247+50</f>
        <v>-87.0625</v>
      </c>
      <c r="AZ211" s="104">
        <f>('Renewable Diesel'!O220*'RD Feedstock Breakdown'!AZ$3*'Feedstock Conversion Rates'!B$3)/12-32-2+135+247-50</f>
        <v>323.03125</v>
      </c>
      <c r="BA211" s="106">
        <f t="shared" si="120"/>
        <v>235.96875</v>
      </c>
      <c r="BB211" s="104">
        <f>('Renewable Diesel'!Q220*'RD Feedstock Breakdown'!BB$3*'Feedstock Conversion Rates'!B$4)/12</f>
        <v>11.156249999999998</v>
      </c>
      <c r="BC211" s="104">
        <f>('Renewable Diesel'!Q220*'RD Feedstock Breakdown'!BC$3*'Feedstock Conversion Rates'!B$3)/12</f>
        <v>1.4017500000000001</v>
      </c>
      <c r="BD211" s="104">
        <f>('Renewable Diesel'!Q220*'RD Feedstock Breakdown'!BD$3*'Feedstock Conversion Rates'!B$6)/12</f>
        <v>0.8207500000000002</v>
      </c>
      <c r="BE211" s="106">
        <f t="shared" si="189"/>
        <v>13.378749999999998</v>
      </c>
      <c r="BF211" s="104">
        <f>('Renewable Diesel'!R220*'RD Feedstock Breakdown'!BF$3*'Feedstock Conversion Rates'!B$4)/12</f>
        <v>62.5</v>
      </c>
      <c r="BG211" s="106">
        <f t="shared" si="167"/>
        <v>62.5</v>
      </c>
      <c r="BH211" s="104">
        <f>('Renewable Diesel'!T220*'RD Feedstock Breakdown'!BH$3*'Feedstock Conversion Rates'!B$7)/12</f>
        <v>27.599999999999998</v>
      </c>
      <c r="BI211" s="106">
        <f t="shared" si="144"/>
        <v>27.599999999999998</v>
      </c>
      <c r="BJ211" s="104">
        <f>('Renewable Diesel'!W220*'RD Feedstock Breakdown'!BJ$3*'Feedstock Conversion Rates'!B$4)/12</f>
        <v>7.5</v>
      </c>
      <c r="BK211" s="104">
        <f>('Renewable Diesel'!W220*'RD Feedstock Breakdown'!BK$3*'Feedstock Conversion Rates'!B$3)/12</f>
        <v>1.335</v>
      </c>
      <c r="BL211" s="104">
        <f>('Renewable Diesel'!W220*'RD Feedstock Breakdown'!BL$3*'Feedstock Conversion Rates'!B$6)/12</f>
        <v>3.1266666666666669</v>
      </c>
      <c r="BM211" s="104">
        <f>('Renewable Diesel'!W220*'RD Feedstock Breakdown'!BM$3*'Feedstock Conversion Rates'!B$7)/12</f>
        <v>1.5333333333333332</v>
      </c>
      <c r="BN211" s="106">
        <f t="shared" si="112"/>
        <v>13.495000000000001</v>
      </c>
      <c r="BO211" s="104">
        <f>('Renewable Diesel'!P220*'Feedstock Conversion Rates'!B$4)/12</f>
        <v>31.25</v>
      </c>
      <c r="BP211" s="106">
        <f t="shared" si="102"/>
        <v>31.25</v>
      </c>
      <c r="BQ211" s="104">
        <f>('Renewable Diesel'!$S220*'RD Feedstock Breakdown'!BQ$3*'Feedstock Conversion Rates'!B$4)/12+10</f>
        <v>38.125</v>
      </c>
      <c r="BR211" s="104">
        <f>('Renewable Diesel'!$S220*'RD Feedstock Breakdown'!BR$3*'Feedstock Conversion Rates'!B$7)/12-10</f>
        <v>1.5</v>
      </c>
      <c r="BS211" s="106">
        <f t="shared" si="123"/>
        <v>39.625</v>
      </c>
      <c r="BT211" s="106"/>
      <c r="BU211" s="104">
        <f>('Renewable Diesel'!Y220*'Feedstock Conversion Rates'!B$7)/12</f>
        <v>2.6833333333333331</v>
      </c>
      <c r="BV211" s="106">
        <f t="shared" si="191"/>
        <v>2.6833333333333331</v>
      </c>
      <c r="BW211" s="104">
        <f>('Renewable Diesel'!$Z220*'RD Feedstock Breakdown'!BW$3*'Feedstock Conversion Rates'!$B$4)/12</f>
        <v>53.90625</v>
      </c>
      <c r="BX211" s="104">
        <f>('Renewable Diesel'!$Z220*'RD Feedstock Breakdown'!BX$3*'Feedstock Conversion Rates'!$B$5)/12</f>
        <v>5.4265624999999993</v>
      </c>
      <c r="BY211" s="104">
        <f>('Renewable Diesel'!$Z220*'RD Feedstock Breakdown'!BY$3*'Feedstock Conversion Rates'!$B$7)/12</f>
        <v>46.287499999999994</v>
      </c>
      <c r="BZ211" s="104">
        <f>('Renewable Diesel'!$Z220*'RD Feedstock Breakdown'!BZ$3*'Feedstock Conversion Rates'!$B$3)/12</f>
        <v>11.514374999999999</v>
      </c>
      <c r="CA211" s="106">
        <f t="shared" si="127"/>
        <v>117.1346875</v>
      </c>
      <c r="CB211" s="104">
        <f>('Renewable Diesel'!AA220*'Feedstock Conversion Rates'!B$4)/12</f>
        <v>191.25</v>
      </c>
      <c r="CC211" s="106">
        <f t="shared" si="113"/>
        <v>191.25</v>
      </c>
      <c r="CD211" s="104">
        <f>('Renewable Diesel'!$AB220*'RD Feedstock Breakdown'!CD$3*'Feedstock Conversion Rates'!$B$6)/12-15</f>
        <v>17.830000000000005</v>
      </c>
      <c r="CE211" s="104">
        <f>('Renewable Diesel'!$AB220*'RD Feedstock Breakdown'!CE$3*'Feedstock Conversion Rates'!$B$4)/12+15</f>
        <v>26.25</v>
      </c>
      <c r="CF211" s="106">
        <f t="shared" si="108"/>
        <v>44.080000000000005</v>
      </c>
      <c r="CG211" s="104">
        <f>('Renewable Diesel'!AD220*'Feedstock Conversion Rates'!B$4)/12</f>
        <v>112.5</v>
      </c>
      <c r="CH211" s="106">
        <f t="shared" si="187"/>
        <v>112.5</v>
      </c>
      <c r="CI211" s="104">
        <f>('Renewable Diesel'!$AE220*'RD Feedstock Breakdown'!CI$3*'Feedstock Conversion Rates'!$B$5)/12</f>
        <v>0.34604166666666664</v>
      </c>
      <c r="CJ211" s="104">
        <f>('Renewable Diesel'!$AE220*'RD Feedstock Breakdown'!CJ$3*'Feedstock Conversion Rates'!$B$4)/12</f>
        <v>0.34375</v>
      </c>
      <c r="CK211" s="106">
        <f t="shared" si="103"/>
        <v>0.68979166666666658</v>
      </c>
      <c r="CL211" s="104">
        <f>(((CL$3*'Renewable Diesel'!$AF220)*'Feedstock Conversion Rates'!$B$3)/12)-35</f>
        <v>56.78125</v>
      </c>
      <c r="CM211" s="104">
        <f>(((CM$3*'Renewable Diesel'!$AF220)*'Feedstock Conversion Rates'!$B$6)/12)-32.5+35+30</f>
        <v>86.239583333333343</v>
      </c>
      <c r="CN211" s="104">
        <f>(((CN$3*'Renewable Diesel'!$AF220)*'Feedstock Conversion Rates'!$B$4)/12)</f>
        <v>42.96875</v>
      </c>
      <c r="CO211" s="106">
        <f t="shared" si="190"/>
        <v>185.98958333333334</v>
      </c>
      <c r="CP211" s="104">
        <f>('Renewable Diesel'!$AG220*'RD Feedstock Breakdown'!CP$3*'Feedstock Conversion Rates'!$B$3)/12</f>
        <v>6.0075000000000003</v>
      </c>
      <c r="CQ211" s="104">
        <f>('Renewable Diesel'!$AG220*'RD Feedstock Breakdown'!CQ$3*'Feedstock Conversion Rates'!$B$6)/12</f>
        <v>3.5175000000000001</v>
      </c>
      <c r="CR211" s="104">
        <f>('Renewable Diesel'!$AG220*'RD Feedstock Breakdown'!CR$3*'Feedstock Conversion Rates'!$B$4)/12</f>
        <v>2.8125</v>
      </c>
      <c r="CS211" s="106">
        <f t="shared" si="134"/>
        <v>12.3375</v>
      </c>
      <c r="CT211" s="104">
        <f>('Renewable Diesel'!AI220*'Feedstock Conversion Rates'!$B$4*'RD Feedstock Breakdown'!$CT$3)/12</f>
        <v>29.375</v>
      </c>
      <c r="CU211" s="106">
        <f t="shared" ref="CU211:CU274" si="196">CT211</f>
        <v>29.375</v>
      </c>
      <c r="CV211" s="104">
        <f>('Renewable Diesel'!AN220*'Feedstock Conversion Rates'!$B$3*'RD Feedstock Breakdown'!$CV$3)/12</f>
        <v>0.50062499999999999</v>
      </c>
      <c r="CW211" s="106">
        <f t="shared" si="161"/>
        <v>0.50062499999999999</v>
      </c>
      <c r="CX211" s="104">
        <f>('Renewable Diesel'!AO220*'RD Feedstock Breakdown'!$CX$3*'Feedstock Conversion Rates'!$B$3)/12</f>
        <v>6.3412499999999996</v>
      </c>
      <c r="CY211" s="104">
        <f>('Renewable Diesel'!AO220*'RD Feedstock Breakdown'!$CY$3*'Feedstock Conversion Rates'!$B$6)/12</f>
        <v>7.4258333333333342</v>
      </c>
      <c r="CZ211" s="106">
        <f t="shared" si="135"/>
        <v>13.767083333333334</v>
      </c>
      <c r="DA211" s="104">
        <f>('Renewable Diesel'!$AP220*'RD Feedstock Breakdown'!DA$3*'Feedstock Conversion Rates'!$B$3)/12</f>
        <v>6.3412499999999996</v>
      </c>
      <c r="DB211" s="104">
        <f>('Renewable Diesel'!$AP220*'RD Feedstock Breakdown'!DB$3*'Feedstock Conversion Rates'!$B$8)/12</f>
        <v>7.421875</v>
      </c>
      <c r="DC211" s="106">
        <f t="shared" si="165"/>
        <v>13.763124999999999</v>
      </c>
      <c r="DD211" s="104">
        <f>('Renewable Diesel'!AQ220*$DD$3*'Feedstock Conversion Rates'!$B$14)/12</f>
        <v>3.1041666666666665</v>
      </c>
      <c r="DE211" s="106">
        <f t="shared" si="166"/>
        <v>3.1041666666666665</v>
      </c>
      <c r="DF211" s="104">
        <f>('Renewable Diesel'!AR220*'Feedstock Conversion Rates'!$B$4*$DF$3)/12</f>
        <v>75</v>
      </c>
      <c r="DG211" s="106">
        <f t="shared" si="136"/>
        <v>75</v>
      </c>
      <c r="DH211" s="104">
        <f>('Renewable Diesel'!AS220*'Feedstock Conversion Rates'!$B$4*$DH$3)/12</f>
        <v>75</v>
      </c>
      <c r="DI211" s="106">
        <f t="shared" si="142"/>
        <v>75</v>
      </c>
      <c r="DJ211" s="104">
        <f>('Renewable Diesel'!AT220*'Feedstock Conversion Rates'!$B$4*0.25)/12</f>
        <v>8.59375</v>
      </c>
      <c r="DK211" s="104">
        <f>('Renewable Diesel'!$AT220*'RD Feedstock Breakdown'!DK$3*'Feedstock Conversion Rates'!$B$3)/12*0.5</f>
        <v>9.1781249999999996</v>
      </c>
      <c r="DL211" s="104">
        <f>('Renewable Diesel'!$AT220*'RD Feedstock Breakdown'!$DL$3*'Feedstock Conversion Rates'!$B$6)/12</f>
        <v>10.747916666666669</v>
      </c>
      <c r="DM211" s="104">
        <f>('Renewable Diesel'!$AT220*'RD Feedstock Breakdown'!$DM$3*'Feedstock Conversion Rates'!$B$8)/12</f>
        <v>10.7421875</v>
      </c>
      <c r="DN211" s="106">
        <f t="shared" si="110"/>
        <v>39.26197916666667</v>
      </c>
      <c r="DP211" s="104">
        <f t="shared" si="168"/>
        <v>33.470249999999993</v>
      </c>
      <c r="DQ211" s="104">
        <f t="shared" si="169"/>
        <v>857.27964250000002</v>
      </c>
      <c r="DR211" s="104">
        <f t="shared" si="174"/>
        <v>1635.734375</v>
      </c>
      <c r="DS211" s="104">
        <f t="shared" si="100"/>
        <v>151.59239583333334</v>
      </c>
      <c r="DT211" s="104">
        <f t="shared" si="170"/>
        <v>269.03923333333341</v>
      </c>
      <c r="DU211" s="104">
        <f t="shared" si="171"/>
        <v>256.72693333333336</v>
      </c>
      <c r="DV211" s="104">
        <f t="shared" si="175"/>
        <v>35.924999999999997</v>
      </c>
      <c r="DW211" s="104">
        <f t="shared" si="172"/>
        <v>2.5</v>
      </c>
      <c r="DX211" s="106">
        <f t="shared" si="176"/>
        <v>3242.2678300000002</v>
      </c>
      <c r="DY211" s="109">
        <f t="shared" si="163"/>
        <v>-30.000000000000707</v>
      </c>
      <c r="EA211" s="110">
        <f t="shared" si="150"/>
        <v>1.0323098446805361E-2</v>
      </c>
      <c r="EB211" s="110">
        <f t="shared" si="151"/>
        <v>0.26440741093865772</v>
      </c>
      <c r="EC211" s="110">
        <f t="shared" si="152"/>
        <v>0.50450316283710583</v>
      </c>
      <c r="ED211" s="110">
        <f t="shared" si="146"/>
        <v>4.6755050409679859E-2</v>
      </c>
      <c r="EE211" s="110">
        <f t="shared" si="146"/>
        <v>8.2978719661581254E-2</v>
      </c>
      <c r="EF211" s="110">
        <f t="shared" si="146"/>
        <v>7.9181285073951876E-2</v>
      </c>
      <c r="EG211" s="110">
        <f t="shared" si="146"/>
        <v>1.1080207399152461E-2</v>
      </c>
      <c r="EH211" s="111">
        <f t="shared" si="177"/>
        <v>7.7106523306558542E-4</v>
      </c>
      <c r="EI211" s="110">
        <f t="shared" si="178"/>
        <v>0.99922893476693431</v>
      </c>
      <c r="EK211" s="132">
        <f>(EA211*'Renewable Diesel'!BF220*'Feedstock Conversion Rates'!B$2)+FB211</f>
        <v>28.13805375179394</v>
      </c>
      <c r="EL211" s="132">
        <f>(EB211*'Renewable Diesel'!BF220*'Feedstock Conversion Rates'!B$3)+FC211</f>
        <v>679.15859288377499</v>
      </c>
      <c r="EM211" s="132">
        <f>(EC211*'Renewable Diesel'!BF220*'Feedstock Conversion Rates'!B$4)+FD211</f>
        <v>1213.3615172931995</v>
      </c>
      <c r="EN211" s="132">
        <f>(ED211*'Renewable Diesel'!BF220*'Feedstock Conversion Rates'!B$5)+FE211</f>
        <v>113.19846594768845</v>
      </c>
      <c r="EO211" s="132">
        <f>(EE211*'Renewable Diesel'!BF220*'Feedstock Conversion Rates'!B$6)+FF211</f>
        <v>249.59427985518428</v>
      </c>
      <c r="EP211" s="132">
        <f>(EF211*'Renewable Diesel'!BF220*'Feedstock Conversion Rates'!B$7)+FG211</f>
        <v>233.60139578539611</v>
      </c>
      <c r="EQ211" s="132">
        <f>(EG211*'Renewable Diesel'!BF220*'Feedstock Conversion Rates'!B$8)+FH211</f>
        <v>33.31073581916241</v>
      </c>
      <c r="ER211" s="132">
        <f>(EH211*'Renewable Diesel'!BF220*'Feedstock Conversion Rates'!B$9)+FI211</f>
        <v>2.287167200759006</v>
      </c>
      <c r="ES211" s="132">
        <f t="shared" si="179"/>
        <v>2552.6502085369584</v>
      </c>
      <c r="ET211" s="133">
        <f>ES211/'Renewable Diesel'!BF220</f>
        <v>7.9602415611667698</v>
      </c>
      <c r="EW211" s="73">
        <f t="shared" si="124"/>
        <v>1326.559983240888</v>
      </c>
      <c r="EX211" s="73">
        <f t="shared" si="125"/>
        <v>1226.0902252960707</v>
      </c>
      <c r="EY211" s="92">
        <f t="shared" si="164"/>
        <v>0.51967949968405602</v>
      </c>
      <c r="EZ211" s="92">
        <f t="shared" si="164"/>
        <v>0.48032050031594403</v>
      </c>
      <c r="FB211" s="102">
        <f>IF('Renewable Diesel'!$BG220&lt;1,0,(((('Renewable Diesel'!$BG220-1)*'Renewable Diesel'!$BF220)*'RD Feedstock Breakdown'!EA211)*'Feedstock Conversion Rates'!$B$2))</f>
        <v>0</v>
      </c>
      <c r="FC211" s="102">
        <f>IF('Renewable Diesel'!$BG220&lt;1,0,(((('Renewable Diesel'!$BG220-1)*'Renewable Diesel'!$BF220)*'RD Feedstock Breakdown'!EB211)*'Feedstock Conversion Rates'!$B$3))</f>
        <v>0</v>
      </c>
      <c r="FD211" s="102">
        <f>IF('Renewable Diesel'!$BG220&lt;1,0,(((('Renewable Diesel'!$BG220-1)*'Renewable Diesel'!$BF220)*'RD Feedstock Breakdown'!EC211)*'Feedstock Conversion Rates'!$B$4))</f>
        <v>0</v>
      </c>
      <c r="FE211" s="102">
        <f>IF('Renewable Diesel'!$BG220&lt;1,0,(((('Renewable Diesel'!$BG220-1)*'Renewable Diesel'!$BF220)*'RD Feedstock Breakdown'!ED211)*'Feedstock Conversion Rates'!$B$5))</f>
        <v>0</v>
      </c>
      <c r="FF211" s="102">
        <f>IF('Renewable Diesel'!$BG220&lt;1,0,(((('Renewable Diesel'!$BG220-1)*'Renewable Diesel'!$BF220)*'RD Feedstock Breakdown'!EE211)*'Feedstock Conversion Rates'!$B$6))</f>
        <v>0</v>
      </c>
      <c r="FG211" s="102">
        <f>IF('Renewable Diesel'!$BG220&lt;1,0,(((('Renewable Diesel'!$BG220-1)*'Renewable Diesel'!$BF220)*'RD Feedstock Breakdown'!EF211)*'Feedstock Conversion Rates'!$B$7))</f>
        <v>0</v>
      </c>
      <c r="FH211" s="102">
        <f>IF('Renewable Diesel'!$BG220&lt;1,0,(((('Renewable Diesel'!$BG220-1)*'Renewable Diesel'!$BF220)*'RD Feedstock Breakdown'!EG211)*'Feedstock Conversion Rates'!$B$8))</f>
        <v>0</v>
      </c>
      <c r="FI211" s="102">
        <f>IF('Renewable Diesel'!$BG220&lt;1,0,(((('Renewable Diesel'!$BG220-1)*'Renewable Diesel'!$BF220)*'RD Feedstock Breakdown'!EH211)*'Feedstock Conversion Rates'!$B$9))</f>
        <v>0</v>
      </c>
      <c r="FJ211" s="102">
        <f t="shared" si="126"/>
        <v>0</v>
      </c>
      <c r="FL211" s="3">
        <f>('Renewable Diesel'!AX220/12*$FO$80)*'RD Feedstock Breakdown'!EC211*7.5</f>
        <v>1524.1830412073282</v>
      </c>
      <c r="FM211" s="3">
        <f t="shared" si="193"/>
        <v>310.82152391412865</v>
      </c>
      <c r="FR211" s="3">
        <f>('Renewable Diesel'!AX220-'Renewable Diesel'!BI220)/12*$FO$80</f>
        <v>54.415874999999872</v>
      </c>
      <c r="FS211" s="100">
        <f t="shared" si="194"/>
        <v>0.50450316283710583</v>
      </c>
      <c r="FT211" s="3">
        <f t="shared" si="195"/>
        <v>205.89735784536398</v>
      </c>
      <c r="FY211" s="3">
        <f>'Renewable Diesel'!BF220*('Renewable Diesel'!BI220/'Renewable Diesel'!AX220)</f>
        <v>277.35593954494971</v>
      </c>
      <c r="FZ211" s="3">
        <f>('Renewable Diesel'!BJ220*'Renewable Diesel'!BG220)/12</f>
        <v>42.503885525070302</v>
      </c>
      <c r="GA211" s="3">
        <f t="shared" si="105"/>
        <v>160.82508510198187</v>
      </c>
      <c r="GD211" s="91">
        <f>'Renewable Diesel'!BB220*0.32</f>
        <v>0</v>
      </c>
      <c r="GE211" s="91">
        <f>'Renewable Diesel'!BC220</f>
        <v>109.22935493369607</v>
      </c>
      <c r="GF211" s="91">
        <f>'Renewable Diesel'!BD220</f>
        <v>0</v>
      </c>
      <c r="GG211" s="91">
        <f t="shared" si="109"/>
        <v>109.22935493369607</v>
      </c>
      <c r="GH211" s="124">
        <v>1</v>
      </c>
      <c r="GI211" s="102">
        <f>$GG211*EA211*'Feedstock Conversion Rates'!$B$2</f>
        <v>9.5844757662235107</v>
      </c>
      <c r="GJ211" s="102">
        <f>$GG211*EB211*'Feedstock Conversion Rates'!$B$3</f>
        <v>231.33721800151139</v>
      </c>
      <c r="GK211" s="102">
        <f>$GG211*EC211*'Feedstock Conversion Rates'!$B$4</f>
        <v>413.29916279029874</v>
      </c>
      <c r="GL211" s="102">
        <f>$GG211*ED211*'Feedstock Conversion Rates'!$B$5</f>
        <v>38.558031170870386</v>
      </c>
      <c r="GM211" s="102">
        <f>$GG211*EE211*'Feedstock Conversion Rates'!$B$6</f>
        <v>85.017618765032964</v>
      </c>
      <c r="GN211" s="102">
        <f>$GG211*EF211*'Feedstock Conversion Rates'!$B$7</f>
        <v>79.570070361329513</v>
      </c>
      <c r="GO211" s="102">
        <f>$GG211*EG211*'Feedstock Conversion Rates'!$B$8</f>
        <v>11.346411625696778</v>
      </c>
      <c r="GP211" s="102">
        <f>$GG211*EH211*'Feedstock Conversion Rates'!B$9</f>
        <v>0.77906236168087373</v>
      </c>
      <c r="GQ211" s="102">
        <f t="shared" si="180"/>
        <v>869.49205084264406</v>
      </c>
      <c r="GR211" s="85">
        <f t="shared" si="107"/>
        <v>7.9602415611667698</v>
      </c>
      <c r="GT211" s="103">
        <f t="shared" si="159"/>
        <v>1.1023074629532247E-2</v>
      </c>
      <c r="GU211" s="103">
        <f t="shared" si="159"/>
        <v>0.26606018741323439</v>
      </c>
      <c r="GV211" s="103">
        <f t="shared" si="159"/>
        <v>0.47533403254205875</v>
      </c>
      <c r="GW211" s="103">
        <f t="shared" si="159"/>
        <v>4.4345467141997379E-2</v>
      </c>
      <c r="GX211" s="103">
        <f t="shared" si="158"/>
        <v>9.7778488811531394E-2</v>
      </c>
      <c r="GY211" s="103">
        <f t="shared" si="158"/>
        <v>9.151328098309397E-2</v>
      </c>
      <c r="GZ211" s="103">
        <f t="shared" si="158"/>
        <v>1.304947137205075E-2</v>
      </c>
      <c r="HA211" s="103">
        <f t="shared" si="158"/>
        <v>8.9599710650128093E-4</v>
      </c>
    </row>
    <row r="212" spans="1:209" x14ac:dyDescent="0.25">
      <c r="A212" s="96">
        <v>46874</v>
      </c>
      <c r="B212" s="104">
        <f>23-20+10+85-5-4-4-1.25+2.25-5+15-6-25-45+65+15-22.5-50+40+16.5+27.5+168+80+14-30+15-50-19+22.5-10+5+11-25-50-12.5-27.5-10+10+2+4-1.5+12-26-15-50-15+10-32.5-3-5-2.5-1+5+10-50-35-9-0.5+25+15+25+20+15+85-25+12.5-52.5+10+20-150+20-20+55-25-25+25-15+10</f>
        <v>25</v>
      </c>
      <c r="C212" s="104">
        <f t="shared" si="147"/>
        <v>0</v>
      </c>
      <c r="D212" s="104">
        <f t="shared" si="192"/>
        <v>1.5</v>
      </c>
      <c r="E212" s="104">
        <f>('Renewable Diesel'!B221*E$3*'Feedstock Conversion Rates'!$B$2)/12-40+1.25+6-43+30-15+12.5-4+1.5+26+2.5+3-10+50+9-15-25-55+15+45+10-50+60-60-44+25</f>
        <v>25.679999999999993</v>
      </c>
      <c r="F212" s="104">
        <f>('Renewable Diesel'!B221*'RD Feedstock Breakdown'!F$3*'Feedstock Conversion Rates'!B$8)/12+28.5-49-5+2-6+1+6+20-20-3.75+10+2.5+5-20-20+15-10</f>
        <v>10.15625</v>
      </c>
      <c r="G212" s="104">
        <f>('Renewable Diesel'!B221*'RD Feedstock Breakdown'!G$3*'Feedstock Conversion Rates'!B$7)/12-25-15-25+4+4-20-40-20+10-17.5+20+50-12+32.5+35-75-75+22.5+5-20+15+125-10-45-10-40-40</f>
        <v>9.6570000000000107</v>
      </c>
      <c r="H212" s="104">
        <f>('Renewable Diesel'!B221*'RD Feedstock Breakdown'!H$3*'Feedstock Conversion Rates'!B$3)/12-85+4-15+70-65-80+50-22.5-5+25+27.5+15+50+15-10+5+50+75-5-25-85-12.5+30+22.5-25-30+150+90-120+25+10+70+44+5</f>
        <v>424.40022499999998</v>
      </c>
      <c r="I212" s="106">
        <f t="shared" si="106"/>
        <v>496.39347499999997</v>
      </c>
      <c r="J212" s="104">
        <f t="shared" si="181"/>
        <v>16.5</v>
      </c>
      <c r="K212" s="104">
        <f t="shared" si="182"/>
        <v>10</v>
      </c>
      <c r="L212" s="104">
        <v>1</v>
      </c>
      <c r="M212" s="104">
        <f>('Renewable Diesel'!C221*'RD Feedstock Breakdown'!M$3*'Feedstock Conversion Rates'!B$2)/12</f>
        <v>7.7902500000000003</v>
      </c>
      <c r="N212" s="104">
        <f>('Renewable Diesel'!C221*'RD Feedstock Breakdown'!N$3*'Feedstock Conversion Rates'!B$8)/12</f>
        <v>3.671875</v>
      </c>
      <c r="O212" s="104">
        <f>('Renewable Diesel'!C221*'RD Feedstock Breakdown'!O$3*'Feedstock Conversion Rates'!B$7)/12</f>
        <v>11.9991</v>
      </c>
      <c r="P212" s="104">
        <f>('Renewable Diesel'!C221*'RD Feedstock Breakdown'!P$3*'Feedstock Conversion Rates'!B$3)/12</f>
        <v>10.4470425</v>
      </c>
      <c r="Q212" s="106">
        <f t="shared" si="119"/>
        <v>61.408267500000001</v>
      </c>
      <c r="R212" s="104">
        <f>('Renewable Diesel'!D221*'RD Feedstock Breakdown'!R$3*'Feedstock Conversion Rates'!B$7)/12</f>
        <v>2.2999999999999998</v>
      </c>
      <c r="S212" s="106">
        <f t="shared" si="148"/>
        <v>2.2999999999999998</v>
      </c>
      <c r="T212" s="104">
        <f t="shared" si="183"/>
        <v>5.8250000000000028</v>
      </c>
      <c r="U212" s="104">
        <f t="shared" si="184"/>
        <v>45</v>
      </c>
      <c r="V212" s="104">
        <f>('Renewable Diesel'!E221*'RD Feedstock Breakdown'!V$3*'Feedstock Conversion Rates'!B$6)/12-20+25-35</f>
        <v>14.250150000000012</v>
      </c>
      <c r="W212" s="104">
        <f>('Renewable Diesel'!E221*'RD Feedstock Breakdown'!W$3*'Feedstock Conversion Rates'!B$8)/12-5.825-15</f>
        <v>1.3546875000000007</v>
      </c>
      <c r="X212" s="106">
        <f t="shared" si="185"/>
        <v>66.429837500000005</v>
      </c>
      <c r="Y212" s="104">
        <f t="shared" si="186"/>
        <v>125.5</v>
      </c>
      <c r="Z212" s="104">
        <f>('Renewable Diesel'!F221*'RD Feedstock Breakdown'!Z$3*'Feedstock Conversion Rates'!B$6)/12-50-32-60+15+30+22.5-70+70-35+5+6</f>
        <v>60.960000000000008</v>
      </c>
      <c r="AA212" s="104">
        <f>('Renewable Diesel'!F221*'RD Feedstock Breakdown'!AA$3*'Feedstock Conversion Rates'!B$7)/12+80-171+75+30+20-50-6-5</f>
        <v>77.266666666666652</v>
      </c>
      <c r="AB212" s="106">
        <f t="shared" si="137"/>
        <v>263.72666666666669</v>
      </c>
      <c r="AC212" s="104">
        <f>('Renewable Diesel'!G221*'RD Feedstock Breakdown'!AC$3*'Feedstock Conversion Rates'!B$5)/12</f>
        <v>11.796875</v>
      </c>
      <c r="AD212" s="104">
        <f>('Renewable Diesel'!G221*'RD Feedstock Breakdown'!AD$3*'Feedstock Conversion Rates'!B$4)/12</f>
        <v>5.859375</v>
      </c>
      <c r="AE212" s="104">
        <f>('Renewable Diesel'!G221*'RD Feedstock Breakdown'!AE$3*'Feedstock Conversion Rates'!B$6)/12</f>
        <v>7.3281250000000009</v>
      </c>
      <c r="AF212" s="106">
        <f t="shared" si="101"/>
        <v>24.984375</v>
      </c>
      <c r="AG212" s="104">
        <f t="shared" si="188"/>
        <v>106.5</v>
      </c>
      <c r="AH212" s="104">
        <v>30</v>
      </c>
      <c r="AI212" s="104">
        <f>('Renewable Diesel'!H221*'RD Feedstock Breakdown'!AI$3*'Feedstock Conversion Rates'!B$6)/12-130-20+51-120+2.5+100-45+25</f>
        <v>12.01666666666668</v>
      </c>
      <c r="AJ212" s="106">
        <f t="shared" si="145"/>
        <v>118.51666666666668</v>
      </c>
      <c r="AK212" s="104">
        <f>('Renewable Diesel'!J221*'RD Feedstock Breakdown'!AK$3*'Feedstock Conversion Rates'!B$4)/12</f>
        <v>95.8125</v>
      </c>
      <c r="AL212" s="106">
        <f t="shared" si="157"/>
        <v>95.8125</v>
      </c>
      <c r="AM212" s="104">
        <f>('Renewable Diesel'!K221*'RD Feedstock Breakdown'!AM$3*'Feedstock Conversion Rates'!B$4)/12+5+15-10+9-27</f>
        <v>50.59375</v>
      </c>
      <c r="AN212" s="104">
        <f>('Renewable Diesel'!K221*'RD Feedstock Breakdown'!AN$3*'Feedstock Conversion Rates'!B$6)/12-5-15+10-9+27</f>
        <v>32.427083333333329</v>
      </c>
      <c r="AO212" s="106">
        <f t="shared" si="173"/>
        <v>83.020833333333329</v>
      </c>
      <c r="AP212" s="104">
        <f>('Renewable Diesel'!L221*'RD Feedstock Breakdown'!AP$3*'Feedstock Conversion Rates'!B$4)/12+15-10+2.5+12</f>
        <v>78.09375</v>
      </c>
      <c r="AQ212" s="104">
        <f>('Renewable Diesel'!L221*'RD Feedstock Breakdown'!AQ$3*'Feedstock Conversion Rates'!B$6)/12-15+10-2.5-12</f>
        <v>4.9270833333333321</v>
      </c>
      <c r="AR212" s="106">
        <f t="shared" si="162"/>
        <v>83.020833333333329</v>
      </c>
      <c r="AS212" s="104">
        <f>('Renewable Diesel'!M221*'RD Feedstock Breakdown'!AS$3*'Feedstock Conversion Rates'!B$4)/12</f>
        <v>456.25</v>
      </c>
      <c r="AT212" s="104">
        <f>('Renewable Diesel'!M221*'RD Feedstock Breakdown'!AT$3*'Feedstock Conversion Rates'!B$5)/12</f>
        <v>0</v>
      </c>
      <c r="AU212" s="106">
        <f t="shared" si="104"/>
        <v>456.25</v>
      </c>
      <c r="AV212" s="104">
        <f>'Renewable Diesel'!N221*'RD Feedstock Breakdown'!$AV$3*'Feedstock Conversion Rates'!$B$4/12-15-10+25+25-22-25-12.5</f>
        <v>44.249999999999986</v>
      </c>
      <c r="AW212" s="104">
        <f>'Renewable Diesel'!N221*'RD Feedstock Breakdown'!$AW$3*'Feedstock Conversion Rates'!$B$7/12+15+10-25-25+22+25+12.5</f>
        <v>75.900000000000006</v>
      </c>
      <c r="AX212" s="106">
        <f t="shared" si="141"/>
        <v>120.14999999999999</v>
      </c>
      <c r="AY212" s="104">
        <f>('Renewable Diesel'!O221*'RD Feedstock Breakdown'!AY$3*'Feedstock Conversion Rates'!B$4)/12+32+2-135-247+50</f>
        <v>-87.0625</v>
      </c>
      <c r="AZ212" s="104">
        <f>('Renewable Diesel'!O221*'RD Feedstock Breakdown'!AZ$3*'Feedstock Conversion Rates'!B$3)/12-32-2+135+247-50</f>
        <v>323.03125</v>
      </c>
      <c r="BA212" s="106">
        <f t="shared" si="120"/>
        <v>235.96875</v>
      </c>
      <c r="BB212" s="104">
        <f>('Renewable Diesel'!Q221*'RD Feedstock Breakdown'!BB$3*'Feedstock Conversion Rates'!B$4)/12</f>
        <v>11.156249999999998</v>
      </c>
      <c r="BC212" s="104">
        <f>('Renewable Diesel'!Q221*'RD Feedstock Breakdown'!BC$3*'Feedstock Conversion Rates'!B$3)/12</f>
        <v>1.4017500000000001</v>
      </c>
      <c r="BD212" s="104">
        <f>('Renewable Diesel'!Q221*'RD Feedstock Breakdown'!BD$3*'Feedstock Conversion Rates'!B$6)/12</f>
        <v>0.8207500000000002</v>
      </c>
      <c r="BE212" s="106">
        <f t="shared" si="189"/>
        <v>13.378749999999998</v>
      </c>
      <c r="BF212" s="104">
        <f>('Renewable Diesel'!R221*'RD Feedstock Breakdown'!BF$3*'Feedstock Conversion Rates'!B$4)/12</f>
        <v>62.5</v>
      </c>
      <c r="BG212" s="106">
        <f t="shared" si="167"/>
        <v>62.5</v>
      </c>
      <c r="BH212" s="104">
        <f>('Renewable Diesel'!T221*'RD Feedstock Breakdown'!BH$3*'Feedstock Conversion Rates'!B$7)/12</f>
        <v>27.599999999999998</v>
      </c>
      <c r="BI212" s="106">
        <f t="shared" si="144"/>
        <v>27.599999999999998</v>
      </c>
      <c r="BJ212" s="104">
        <f>('Renewable Diesel'!W221*'RD Feedstock Breakdown'!BJ$3*'Feedstock Conversion Rates'!B$4)/12</f>
        <v>7.5</v>
      </c>
      <c r="BK212" s="104">
        <f>('Renewable Diesel'!W221*'RD Feedstock Breakdown'!BK$3*'Feedstock Conversion Rates'!B$3)/12</f>
        <v>1.335</v>
      </c>
      <c r="BL212" s="104">
        <f>('Renewable Diesel'!W221*'RD Feedstock Breakdown'!BL$3*'Feedstock Conversion Rates'!B$6)/12</f>
        <v>3.1266666666666669</v>
      </c>
      <c r="BM212" s="104">
        <f>('Renewable Diesel'!W221*'RD Feedstock Breakdown'!BM$3*'Feedstock Conversion Rates'!B$7)/12</f>
        <v>1.5333333333333332</v>
      </c>
      <c r="BN212" s="106">
        <f t="shared" si="112"/>
        <v>13.495000000000001</v>
      </c>
      <c r="BO212" s="104">
        <f>('Renewable Diesel'!P221*'Feedstock Conversion Rates'!B$4)/12</f>
        <v>31.25</v>
      </c>
      <c r="BP212" s="106">
        <f t="shared" si="102"/>
        <v>31.25</v>
      </c>
      <c r="BQ212" s="104">
        <f>('Renewable Diesel'!$S221*'RD Feedstock Breakdown'!BQ$3*'Feedstock Conversion Rates'!B$4)/12+10</f>
        <v>38.125</v>
      </c>
      <c r="BR212" s="104">
        <f>('Renewable Diesel'!$S221*'RD Feedstock Breakdown'!BR$3*'Feedstock Conversion Rates'!B$7)/12-10</f>
        <v>1.5</v>
      </c>
      <c r="BS212" s="106">
        <f t="shared" si="123"/>
        <v>39.625</v>
      </c>
      <c r="BT212" s="106"/>
      <c r="BU212" s="104">
        <f>('Renewable Diesel'!Y221*'Feedstock Conversion Rates'!B$7)/12</f>
        <v>2.6833333333333331</v>
      </c>
      <c r="BV212" s="106">
        <f t="shared" si="191"/>
        <v>2.6833333333333331</v>
      </c>
      <c r="BW212" s="104">
        <f>('Renewable Diesel'!$Z221*'RD Feedstock Breakdown'!BW$3*'Feedstock Conversion Rates'!$B$4)/12</f>
        <v>53.90625</v>
      </c>
      <c r="BX212" s="104">
        <f>('Renewable Diesel'!$Z221*'RD Feedstock Breakdown'!BX$3*'Feedstock Conversion Rates'!$B$5)/12</f>
        <v>5.4265624999999993</v>
      </c>
      <c r="BY212" s="104">
        <f>('Renewable Diesel'!$Z221*'RD Feedstock Breakdown'!BY$3*'Feedstock Conversion Rates'!$B$7)/12</f>
        <v>46.287499999999994</v>
      </c>
      <c r="BZ212" s="104">
        <f>('Renewable Diesel'!$Z221*'RD Feedstock Breakdown'!BZ$3*'Feedstock Conversion Rates'!$B$3)/12</f>
        <v>11.514374999999999</v>
      </c>
      <c r="CA212" s="106">
        <f t="shared" si="127"/>
        <v>117.1346875</v>
      </c>
      <c r="CB212" s="104">
        <f>('Renewable Diesel'!AA221*'Feedstock Conversion Rates'!B$4)/12</f>
        <v>191.25</v>
      </c>
      <c r="CC212" s="106">
        <f t="shared" si="113"/>
        <v>191.25</v>
      </c>
      <c r="CD212" s="104">
        <f>('Renewable Diesel'!$AB221*'RD Feedstock Breakdown'!CD$3*'Feedstock Conversion Rates'!$B$6)/12-15</f>
        <v>17.830000000000005</v>
      </c>
      <c r="CE212" s="104">
        <f>('Renewable Diesel'!$AB221*'RD Feedstock Breakdown'!CE$3*'Feedstock Conversion Rates'!$B$4)/12+15</f>
        <v>26.25</v>
      </c>
      <c r="CF212" s="106">
        <f t="shared" si="108"/>
        <v>44.080000000000005</v>
      </c>
      <c r="CG212" s="104">
        <f>('Renewable Diesel'!AD221*'Feedstock Conversion Rates'!B$4)/12</f>
        <v>112.5</v>
      </c>
      <c r="CH212" s="106">
        <f t="shared" si="187"/>
        <v>112.5</v>
      </c>
      <c r="CI212" s="104">
        <f>('Renewable Diesel'!$AE221*'RD Feedstock Breakdown'!CI$3*'Feedstock Conversion Rates'!$B$5)/12</f>
        <v>0.34604166666666664</v>
      </c>
      <c r="CJ212" s="104">
        <f>('Renewable Diesel'!$AE221*'RD Feedstock Breakdown'!CJ$3*'Feedstock Conversion Rates'!$B$4)/12</f>
        <v>0.34375</v>
      </c>
      <c r="CK212" s="106">
        <f t="shared" si="103"/>
        <v>0.68979166666666658</v>
      </c>
      <c r="CL212" s="104">
        <f>(((CL$3*'Renewable Diesel'!$AF221)*'Feedstock Conversion Rates'!$B$3)/12)-35</f>
        <v>56.78125</v>
      </c>
      <c r="CM212" s="104">
        <f>(((CM$3*'Renewable Diesel'!$AF221)*'Feedstock Conversion Rates'!$B$6)/12)-32.5+35+30</f>
        <v>86.239583333333343</v>
      </c>
      <c r="CN212" s="104">
        <f>(((CN$3*'Renewable Diesel'!$AF221)*'Feedstock Conversion Rates'!$B$4)/12)</f>
        <v>42.96875</v>
      </c>
      <c r="CO212" s="106">
        <f t="shared" si="190"/>
        <v>185.98958333333334</v>
      </c>
      <c r="CP212" s="104">
        <f>('Renewable Diesel'!$AG221*'RD Feedstock Breakdown'!CP$3*'Feedstock Conversion Rates'!$B$3)/12</f>
        <v>6.0075000000000003</v>
      </c>
      <c r="CQ212" s="104">
        <f>('Renewable Diesel'!$AG221*'RD Feedstock Breakdown'!CQ$3*'Feedstock Conversion Rates'!$B$6)/12</f>
        <v>3.5175000000000001</v>
      </c>
      <c r="CR212" s="104">
        <f>('Renewable Diesel'!$AG221*'RD Feedstock Breakdown'!CR$3*'Feedstock Conversion Rates'!$B$4)/12</f>
        <v>2.8125</v>
      </c>
      <c r="CS212" s="106">
        <f t="shared" si="134"/>
        <v>12.3375</v>
      </c>
      <c r="CT212" s="104">
        <f>('Renewable Diesel'!AI221*'Feedstock Conversion Rates'!$B$4*'RD Feedstock Breakdown'!$CT$3)/12</f>
        <v>29.375</v>
      </c>
      <c r="CU212" s="106">
        <f t="shared" si="196"/>
        <v>29.375</v>
      </c>
      <c r="CV212" s="104">
        <f>('Renewable Diesel'!AN221*'Feedstock Conversion Rates'!$B$3*'RD Feedstock Breakdown'!$CV$3)/12</f>
        <v>0.50062499999999999</v>
      </c>
      <c r="CW212" s="106">
        <f t="shared" si="161"/>
        <v>0.50062499999999999</v>
      </c>
      <c r="CX212" s="104">
        <f>('Renewable Diesel'!AO221*'RD Feedstock Breakdown'!$CX$3*'Feedstock Conversion Rates'!$B$3)/12</f>
        <v>6.3412499999999996</v>
      </c>
      <c r="CY212" s="104">
        <f>('Renewable Diesel'!AO221*'RD Feedstock Breakdown'!$CY$3*'Feedstock Conversion Rates'!$B$6)/12</f>
        <v>7.4258333333333342</v>
      </c>
      <c r="CZ212" s="106">
        <f t="shared" si="135"/>
        <v>13.767083333333334</v>
      </c>
      <c r="DA212" s="104">
        <f>('Renewable Diesel'!$AP221*'RD Feedstock Breakdown'!DA$3*'Feedstock Conversion Rates'!$B$3)/12</f>
        <v>6.3412499999999996</v>
      </c>
      <c r="DB212" s="104">
        <f>('Renewable Diesel'!$AP221*'RD Feedstock Breakdown'!DB$3*'Feedstock Conversion Rates'!$B$8)/12</f>
        <v>7.421875</v>
      </c>
      <c r="DC212" s="106">
        <f t="shared" si="165"/>
        <v>13.763124999999999</v>
      </c>
      <c r="DD212" s="104">
        <f>('Renewable Diesel'!AQ221*$DD$3*'Feedstock Conversion Rates'!$B$14)/12</f>
        <v>3.1041666666666665</v>
      </c>
      <c r="DE212" s="106">
        <f t="shared" si="166"/>
        <v>3.1041666666666665</v>
      </c>
      <c r="DF212" s="104">
        <f>('Renewable Diesel'!AR221*'Feedstock Conversion Rates'!$B$4*$DF$3)/12</f>
        <v>75</v>
      </c>
      <c r="DG212" s="106">
        <f t="shared" si="136"/>
        <v>75</v>
      </c>
      <c r="DH212" s="104">
        <f>('Renewable Diesel'!AS221*'Feedstock Conversion Rates'!$B$4*$DH$3)/12</f>
        <v>75</v>
      </c>
      <c r="DI212" s="106">
        <f t="shared" si="142"/>
        <v>75</v>
      </c>
      <c r="DJ212" s="104">
        <f>('Renewable Diesel'!AT221*'Feedstock Conversion Rates'!$B$4*0.25)/12</f>
        <v>8.59375</v>
      </c>
      <c r="DK212" s="104">
        <f>('Renewable Diesel'!$AT221*'RD Feedstock Breakdown'!DK$3*'Feedstock Conversion Rates'!$B$3)/12*0.5</f>
        <v>9.1781249999999996</v>
      </c>
      <c r="DL212" s="104">
        <f>('Renewable Diesel'!$AT221*'RD Feedstock Breakdown'!$DL$3*'Feedstock Conversion Rates'!$B$6)/12</f>
        <v>10.747916666666669</v>
      </c>
      <c r="DM212" s="104">
        <f>('Renewable Diesel'!$AT221*'RD Feedstock Breakdown'!$DM$3*'Feedstock Conversion Rates'!$B$8)/12</f>
        <v>10.7421875</v>
      </c>
      <c r="DN212" s="106">
        <f t="shared" si="110"/>
        <v>39.26197916666667</v>
      </c>
      <c r="DP212" s="104">
        <f t="shared" si="168"/>
        <v>33.470249999999993</v>
      </c>
      <c r="DQ212" s="104">
        <f t="shared" si="169"/>
        <v>857.27964250000002</v>
      </c>
      <c r="DR212" s="104">
        <f t="shared" si="174"/>
        <v>1645.734375</v>
      </c>
      <c r="DS212" s="104">
        <f t="shared" ref="DS212:DS275" si="197">AC212+C212+BX212+CI212+DD212+AG212+T212+DJ212+AT212+K212</f>
        <v>151.59239583333334</v>
      </c>
      <c r="DT212" s="104">
        <f t="shared" si="170"/>
        <v>269.03923333333341</v>
      </c>
      <c r="DU212" s="104">
        <f t="shared" si="171"/>
        <v>256.72693333333336</v>
      </c>
      <c r="DV212" s="104">
        <f t="shared" si="175"/>
        <v>25.925000000000001</v>
      </c>
      <c r="DW212" s="104">
        <f t="shared" si="172"/>
        <v>2.5</v>
      </c>
      <c r="DX212" s="106">
        <f t="shared" si="176"/>
        <v>3242.2678300000002</v>
      </c>
      <c r="DY212" s="109">
        <f t="shared" si="163"/>
        <v>-30.000000000000707</v>
      </c>
      <c r="EA212" s="110">
        <f t="shared" si="150"/>
        <v>1.0323098446805361E-2</v>
      </c>
      <c r="EB212" s="110">
        <f t="shared" si="151"/>
        <v>0.26440741093865772</v>
      </c>
      <c r="EC212" s="110">
        <f t="shared" si="152"/>
        <v>0.50758742376936816</v>
      </c>
      <c r="ED212" s="110">
        <f t="shared" si="146"/>
        <v>4.6755050409679859E-2</v>
      </c>
      <c r="EE212" s="110">
        <f t="shared" si="146"/>
        <v>8.2978719661581254E-2</v>
      </c>
      <c r="EF212" s="110">
        <f t="shared" si="146"/>
        <v>7.9181285073951876E-2</v>
      </c>
      <c r="EG212" s="110">
        <f t="shared" si="146"/>
        <v>7.9959464668901206E-3</v>
      </c>
      <c r="EH212" s="111">
        <f t="shared" si="177"/>
        <v>7.7106523306558542E-4</v>
      </c>
      <c r="EI212" s="110">
        <f t="shared" si="178"/>
        <v>0.99922893476693431</v>
      </c>
      <c r="EK212" s="132">
        <f>(EA212*'Renewable Diesel'!BF221*'Feedstock Conversion Rates'!B$2)+FB212</f>
        <v>33.350584248003308</v>
      </c>
      <c r="EL212" s="132">
        <f>(EB212*'Renewable Diesel'!BF221*'Feedstock Conversion Rates'!B$3)+FC212</f>
        <v>804.97166113635876</v>
      </c>
      <c r="EM212" s="132">
        <f>(EC212*'Renewable Diesel'!BF221*'Feedstock Conversion Rates'!B$4)+FD212</f>
        <v>1446.9268254452286</v>
      </c>
      <c r="EN212" s="132">
        <f>(ED212*'Renewable Diesel'!BF221*'Feedstock Conversion Rates'!B$5)+FE212</f>
        <v>134.16830490958986</v>
      </c>
      <c r="EO212" s="132">
        <f>(EE212*'Renewable Diesel'!BF221*'Feedstock Conversion Rates'!B$6)+FF212</f>
        <v>295.83123024631141</v>
      </c>
      <c r="EP212" s="132">
        <f>(EF212*'Renewable Diesel'!BF221*'Feedstock Conversion Rates'!B$7)+FG212</f>
        <v>276.8756893889763</v>
      </c>
      <c r="EQ212" s="132">
        <f>(EG212*'Renewable Diesel'!BF221*'Feedstock Conversion Rates'!B$8)+FH212</f>
        <v>28.491519135391727</v>
      </c>
      <c r="ER212" s="132">
        <f>(EH212*'Renewable Diesel'!BF221*'Feedstock Conversion Rates'!B$9)+FI212</f>
        <v>2.7108613513583903</v>
      </c>
      <c r="ES212" s="132">
        <f t="shared" si="179"/>
        <v>3023.3266758612185</v>
      </c>
      <c r="ET212" s="133">
        <f>ES212/'Renewable Diesel'!BF221</f>
        <v>7.9544585719187788</v>
      </c>
      <c r="EW212" s="73">
        <f t="shared" si="124"/>
        <v>1581.0951303548184</v>
      </c>
      <c r="EX212" s="73">
        <f t="shared" si="125"/>
        <v>1442.2315455063997</v>
      </c>
      <c r="EY212" s="92">
        <f t="shared" si="164"/>
        <v>0.52296536228736545</v>
      </c>
      <c r="EZ212" s="92">
        <f t="shared" si="164"/>
        <v>0.47703463771263444</v>
      </c>
      <c r="FB212" s="102">
        <f>IF('Renewable Diesel'!$BG221&lt;1,0,(((('Renewable Diesel'!$BG221-1)*'Renewable Diesel'!$BF221)*'RD Feedstock Breakdown'!EA212)*'Feedstock Conversion Rates'!$B$2))</f>
        <v>0</v>
      </c>
      <c r="FC212" s="102">
        <f>IF('Renewable Diesel'!$BG221&lt;1,0,(((('Renewable Diesel'!$BG221-1)*'Renewable Diesel'!$BF221)*'RD Feedstock Breakdown'!EB212)*'Feedstock Conversion Rates'!$B$3))</f>
        <v>0</v>
      </c>
      <c r="FD212" s="102">
        <f>IF('Renewable Diesel'!$BG221&lt;1,0,(((('Renewable Diesel'!$BG221-1)*'Renewable Diesel'!$BF221)*'RD Feedstock Breakdown'!EC212)*'Feedstock Conversion Rates'!$B$4))</f>
        <v>0</v>
      </c>
      <c r="FE212" s="102">
        <f>IF('Renewable Diesel'!$BG221&lt;1,0,(((('Renewable Diesel'!$BG221-1)*'Renewable Diesel'!$BF221)*'RD Feedstock Breakdown'!ED212)*'Feedstock Conversion Rates'!$B$5))</f>
        <v>0</v>
      </c>
      <c r="FF212" s="102">
        <f>IF('Renewable Diesel'!$BG221&lt;1,0,(((('Renewable Diesel'!$BG221-1)*'Renewable Diesel'!$BF221)*'RD Feedstock Breakdown'!EE212)*'Feedstock Conversion Rates'!$B$6))</f>
        <v>0</v>
      </c>
      <c r="FG212" s="102">
        <f>IF('Renewable Diesel'!$BG221&lt;1,0,(((('Renewable Diesel'!$BG221-1)*'Renewable Diesel'!$BF221)*'RD Feedstock Breakdown'!EF212)*'Feedstock Conversion Rates'!$B$7))</f>
        <v>0</v>
      </c>
      <c r="FH212" s="102">
        <f>IF('Renewable Diesel'!$BG221&lt;1,0,(((('Renewable Diesel'!$BG221-1)*'Renewable Diesel'!$BF221)*'RD Feedstock Breakdown'!EG212)*'Feedstock Conversion Rates'!$B$8))</f>
        <v>0</v>
      </c>
      <c r="FI212" s="102">
        <f>IF('Renewable Diesel'!$BG221&lt;1,0,(((('Renewable Diesel'!$BG221-1)*'Renewable Diesel'!$BF221)*'RD Feedstock Breakdown'!EH212)*'Feedstock Conversion Rates'!$B$9))</f>
        <v>0</v>
      </c>
      <c r="FJ212" s="102">
        <f t="shared" si="126"/>
        <v>0</v>
      </c>
      <c r="FL212" s="3">
        <f>('Renewable Diesel'!AX221/12*$FO$80)*'RD Feedstock Breakdown'!EC212*7.5</f>
        <v>1533.5010763632949</v>
      </c>
      <c r="FM212" s="3">
        <f t="shared" si="193"/>
        <v>86.574250918066355</v>
      </c>
      <c r="FR212" s="3">
        <f>('Renewable Diesel'!AX221-'Renewable Diesel'!BI221)/12*$FO$80</f>
        <v>54.415874999999872</v>
      </c>
      <c r="FS212" s="100">
        <f t="shared" si="194"/>
        <v>0.50758742376936816</v>
      </c>
      <c r="FT212" s="3">
        <f t="shared" si="195"/>
        <v>207.15610352554427</v>
      </c>
      <c r="FY212" s="3">
        <f>'Renewable Diesel'!BF221*('Renewable Diesel'!BI221/'Renewable Diesel'!AX221)</f>
        <v>328.7356940203523</v>
      </c>
      <c r="FZ212" s="3">
        <f>('Renewable Diesel'!BJ221*'Renewable Diesel'!BG221)/12</f>
        <v>52.056919376676397</v>
      </c>
      <c r="GA212" s="3">
        <f t="shared" si="105"/>
        <v>198.17578196832656</v>
      </c>
      <c r="GD212" s="91">
        <f>'Renewable Diesel'!BB221*0.32</f>
        <v>0</v>
      </c>
      <c r="GE212" s="91">
        <f>'Renewable Diesel'!BC221</f>
        <v>143.8746989010358</v>
      </c>
      <c r="GF212" s="91">
        <f>'Renewable Diesel'!BD221</f>
        <v>0</v>
      </c>
      <c r="GG212" s="91">
        <f t="shared" si="109"/>
        <v>143.8746989010358</v>
      </c>
      <c r="GH212" s="124">
        <v>1</v>
      </c>
      <c r="GI212" s="102">
        <f>$GG212*EA212*'Feedstock Conversion Rates'!$B$2</f>
        <v>12.624477786458909</v>
      </c>
      <c r="GJ212" s="102">
        <f>$GG212*EB212*'Feedstock Conversion Rates'!$B$3</f>
        <v>304.71270845437454</v>
      </c>
      <c r="GK212" s="102">
        <f>$GG212*EC212*'Feedstock Conversion Rates'!$B$4</f>
        <v>547.71740820577725</v>
      </c>
      <c r="GL212" s="102">
        <f>$GG212*ED212*'Feedstock Conversion Rates'!$B$5</f>
        <v>50.78785943845557</v>
      </c>
      <c r="GM212" s="102">
        <f>$GG212*EE212*'Feedstock Conversion Rates'!$B$6</f>
        <v>111.98348931500249</v>
      </c>
      <c r="GN212" s="102">
        <f>$GG212*EF212*'Feedstock Conversion Rates'!$B$7</f>
        <v>104.80808864722954</v>
      </c>
      <c r="GO212" s="102">
        <f>$GG212*EG212*'Feedstock Conversion Rates'!$B$8</f>
        <v>10.785134909555786</v>
      </c>
      <c r="GP212" s="102">
        <f>$GG212*EH212*'Feedstock Conversion Rates'!B$9</f>
        <v>1.0261651987234048</v>
      </c>
      <c r="GQ212" s="102">
        <f t="shared" si="180"/>
        <v>1144.4453319555778</v>
      </c>
      <c r="GR212" s="85">
        <f t="shared" si="107"/>
        <v>7.9544585719187806</v>
      </c>
      <c r="GT212" s="103">
        <f t="shared" si="159"/>
        <v>1.1031088540408266E-2</v>
      </c>
      <c r="GU212" s="103">
        <f t="shared" si="159"/>
        <v>0.2662536164429059</v>
      </c>
      <c r="GV212" s="103">
        <f t="shared" si="159"/>
        <v>0.47858765544515952</v>
      </c>
      <c r="GW212" s="103">
        <f t="shared" si="159"/>
        <v>4.4377706842205843E-2</v>
      </c>
      <c r="GX212" s="103">
        <f t="shared" si="158"/>
        <v>9.7849574975896872E-2</v>
      </c>
      <c r="GY212" s="103">
        <f t="shared" si="158"/>
        <v>9.157981226428534E-2</v>
      </c>
      <c r="GZ212" s="103">
        <f t="shared" si="158"/>
        <v>9.4238969817165685E-3</v>
      </c>
      <c r="HA212" s="103">
        <f t="shared" si="158"/>
        <v>8.9664850742144156E-4</v>
      </c>
    </row>
    <row r="213" spans="1:209" x14ac:dyDescent="0.25">
      <c r="A213" s="96">
        <v>46905</v>
      </c>
      <c r="B213" s="104">
        <f>23-20+10+85-5-4-4-1.25+2.25-5+15-6-25-45+65+15-22.5-50+40+16.5+27.5+168+80+14-30+15-50-19+22.5-10+5+11-25-50-12.5-27.5-10+10+2+4-1.5+12-26-15-50-15+10-32.5-3-5-2.5-1+5+10-50-35-9-0.5+25+15+25+20+15+85-25+12.5-52.5+10+20-150+20-20+55-25-25+25-15+10+25</f>
        <v>50</v>
      </c>
      <c r="C213" s="104">
        <f>40-10-2.5-27.5+25+25+25-70+120-15-100-10+25</f>
        <v>25</v>
      </c>
      <c r="D213" s="104">
        <f t="shared" si="192"/>
        <v>1.5</v>
      </c>
      <c r="E213" s="104">
        <f>('Renewable Diesel'!B222*E$3*'Feedstock Conversion Rates'!$B$2)/12-40+1.25+6-43+30-15+12.5-4+1.5+26+2.5+3-10+50+9-15-25-55+15+45+10-50+60-60-44+25</f>
        <v>25.679999999999993</v>
      </c>
      <c r="F213" s="104">
        <f>('Renewable Diesel'!B222*'RD Feedstock Breakdown'!F$3*'Feedstock Conversion Rates'!B$8)/12+28.5-49-5+2-6+1+6+20-20-3.75+10+2.5+5-20-20+15-10</f>
        <v>10.15625</v>
      </c>
      <c r="G213" s="104">
        <f>('Renewable Diesel'!B222*'RD Feedstock Breakdown'!G$3*'Feedstock Conversion Rates'!B$7)/12-25-15-25+4+4-20-40-20+10-17.5+20+50-12+32.5+35-75-75+22.5+5-20+15+125-10-45-10-40-40</f>
        <v>9.6570000000000107</v>
      </c>
      <c r="H213" s="104">
        <f>('Renewable Diesel'!B222*'RD Feedstock Breakdown'!H$3*'Feedstock Conversion Rates'!B$3)/12-85+4-15+70-65-80+50-22.5-5+25+27.5+15+50+15-10+5+50+75-5-25-85-12.5+30+22.5-25-30+150+90-120+25+10+70+44+5-50</f>
        <v>374.40022499999998</v>
      </c>
      <c r="I213" s="106">
        <f t="shared" si="106"/>
        <v>496.39347499999997</v>
      </c>
      <c r="J213" s="104">
        <f t="shared" si="181"/>
        <v>16.5</v>
      </c>
      <c r="K213" s="104">
        <f t="shared" si="182"/>
        <v>10</v>
      </c>
      <c r="L213" s="104">
        <v>1</v>
      </c>
      <c r="M213" s="104">
        <f>('Renewable Diesel'!C222*'RD Feedstock Breakdown'!M$3*'Feedstock Conversion Rates'!B$2)/12</f>
        <v>7.7902500000000003</v>
      </c>
      <c r="N213" s="104">
        <f>('Renewable Diesel'!C222*'RD Feedstock Breakdown'!N$3*'Feedstock Conversion Rates'!B$8)/12</f>
        <v>3.671875</v>
      </c>
      <c r="O213" s="104">
        <f>('Renewable Diesel'!C222*'RD Feedstock Breakdown'!O$3*'Feedstock Conversion Rates'!B$7)/12</f>
        <v>11.9991</v>
      </c>
      <c r="P213" s="104">
        <f>('Renewable Diesel'!C222*'RD Feedstock Breakdown'!P$3*'Feedstock Conversion Rates'!B$3)/12</f>
        <v>10.4470425</v>
      </c>
      <c r="Q213" s="106">
        <f t="shared" si="119"/>
        <v>61.408267500000001</v>
      </c>
      <c r="R213" s="104">
        <f>('Renewable Diesel'!D222*'RD Feedstock Breakdown'!R$3*'Feedstock Conversion Rates'!B$7)/12</f>
        <v>2.2999999999999998</v>
      </c>
      <c r="S213" s="106">
        <f t="shared" si="148"/>
        <v>2.2999999999999998</v>
      </c>
      <c r="T213" s="104">
        <f t="shared" si="183"/>
        <v>5.8250000000000028</v>
      </c>
      <c r="U213" s="104">
        <f t="shared" si="184"/>
        <v>45</v>
      </c>
      <c r="V213" s="104">
        <f>('Renewable Diesel'!E222*'RD Feedstock Breakdown'!V$3*'Feedstock Conversion Rates'!B$6)/12-20+25-35</f>
        <v>14.250150000000012</v>
      </c>
      <c r="W213" s="104">
        <f>('Renewable Diesel'!E222*'RD Feedstock Breakdown'!W$3*'Feedstock Conversion Rates'!B$8)/12-5.825-15</f>
        <v>1.3546875000000007</v>
      </c>
      <c r="X213" s="106">
        <f t="shared" si="185"/>
        <v>66.429837500000005</v>
      </c>
      <c r="Y213" s="104">
        <f t="shared" si="186"/>
        <v>125.5</v>
      </c>
      <c r="Z213" s="104">
        <f>('Renewable Diesel'!F222*'RD Feedstock Breakdown'!Z$3*'Feedstock Conversion Rates'!B$6)/12-50-32-60+15+30+22.5-70+70-35+5+6</f>
        <v>60.960000000000008</v>
      </c>
      <c r="AA213" s="104">
        <f>('Renewable Diesel'!F222*'RD Feedstock Breakdown'!AA$3*'Feedstock Conversion Rates'!B$7)/12+80-171+75+30+20-50-6-5</f>
        <v>77.266666666666652</v>
      </c>
      <c r="AB213" s="106">
        <f t="shared" si="137"/>
        <v>263.72666666666669</v>
      </c>
      <c r="AC213" s="104">
        <f>('Renewable Diesel'!G222*'RD Feedstock Breakdown'!AC$3*'Feedstock Conversion Rates'!B$5)/12</f>
        <v>11.796875</v>
      </c>
      <c r="AD213" s="104">
        <f>('Renewable Diesel'!G222*'RD Feedstock Breakdown'!AD$3*'Feedstock Conversion Rates'!B$4)/12</f>
        <v>5.859375</v>
      </c>
      <c r="AE213" s="104">
        <f>('Renewable Diesel'!G222*'RD Feedstock Breakdown'!AE$3*'Feedstock Conversion Rates'!B$6)/12</f>
        <v>7.3281250000000009</v>
      </c>
      <c r="AF213" s="106">
        <f t="shared" ref="AF213:AF276" si="198">SUM(AC213:AE213)</f>
        <v>24.984375</v>
      </c>
      <c r="AG213" s="104">
        <f t="shared" si="188"/>
        <v>106.5</v>
      </c>
      <c r="AH213" s="104">
        <v>30</v>
      </c>
      <c r="AI213" s="104">
        <f>('Renewable Diesel'!H222*'RD Feedstock Breakdown'!AI$3*'Feedstock Conversion Rates'!B$6)/12-130-20+51-120+2.5+100-45+25</f>
        <v>12.01666666666668</v>
      </c>
      <c r="AJ213" s="106">
        <f t="shared" si="145"/>
        <v>118.51666666666668</v>
      </c>
      <c r="AK213" s="104">
        <f>('Renewable Diesel'!J222*'RD Feedstock Breakdown'!AK$3*'Feedstock Conversion Rates'!B$4)/12</f>
        <v>95.8125</v>
      </c>
      <c r="AL213" s="106">
        <f t="shared" si="157"/>
        <v>95.8125</v>
      </c>
      <c r="AM213" s="104">
        <f>('Renewable Diesel'!K222*'RD Feedstock Breakdown'!AM$3*'Feedstock Conversion Rates'!B$4)/12+5+15-10+9-27</f>
        <v>50.59375</v>
      </c>
      <c r="AN213" s="104">
        <f>('Renewable Diesel'!K222*'RD Feedstock Breakdown'!AN$3*'Feedstock Conversion Rates'!B$6)/12-5-15+10-9+27</f>
        <v>32.427083333333329</v>
      </c>
      <c r="AO213" s="106">
        <f t="shared" si="173"/>
        <v>83.020833333333329</v>
      </c>
      <c r="AP213" s="104">
        <f>('Renewable Diesel'!L222*'RD Feedstock Breakdown'!AP$3*'Feedstock Conversion Rates'!B$4)/12+15-10+2.5+12</f>
        <v>78.09375</v>
      </c>
      <c r="AQ213" s="104">
        <f>('Renewable Diesel'!L222*'RD Feedstock Breakdown'!AQ$3*'Feedstock Conversion Rates'!B$6)/12-15+10-2.5-12</f>
        <v>4.9270833333333321</v>
      </c>
      <c r="AR213" s="106">
        <f t="shared" si="162"/>
        <v>83.020833333333329</v>
      </c>
      <c r="AS213" s="104">
        <f>('Renewable Diesel'!M222*'RD Feedstock Breakdown'!AS$3*'Feedstock Conversion Rates'!B$4)/12</f>
        <v>456.25</v>
      </c>
      <c r="AT213" s="104">
        <f>('Renewable Diesel'!M222*'RD Feedstock Breakdown'!AT$3*'Feedstock Conversion Rates'!B$5)/12</f>
        <v>0</v>
      </c>
      <c r="AU213" s="106">
        <f t="shared" si="104"/>
        <v>456.25</v>
      </c>
      <c r="AV213" s="104">
        <f>'Renewable Diesel'!N222*'RD Feedstock Breakdown'!$AV$3*'Feedstock Conversion Rates'!$B$4/12-15-10+25+25-22-25-12.5</f>
        <v>44.249999999999986</v>
      </c>
      <c r="AW213" s="104">
        <f>'Renewable Diesel'!N222*'RD Feedstock Breakdown'!$AW$3*'Feedstock Conversion Rates'!$B$7/12+15+10-25-25+22+25+12.5</f>
        <v>75.900000000000006</v>
      </c>
      <c r="AX213" s="106">
        <f t="shared" si="141"/>
        <v>120.14999999999999</v>
      </c>
      <c r="AY213" s="104">
        <f>('Renewable Diesel'!O222*'RD Feedstock Breakdown'!AY$3*'Feedstock Conversion Rates'!B$4)/12+32+2-135-247+50</f>
        <v>-87.0625</v>
      </c>
      <c r="AZ213" s="104">
        <f>('Renewable Diesel'!O222*'RD Feedstock Breakdown'!AZ$3*'Feedstock Conversion Rates'!B$3)/12-32-2+135+247-50</f>
        <v>323.03125</v>
      </c>
      <c r="BA213" s="106">
        <f t="shared" si="120"/>
        <v>235.96875</v>
      </c>
      <c r="BB213" s="104">
        <f>('Renewable Diesel'!Q222*'RD Feedstock Breakdown'!BB$3*'Feedstock Conversion Rates'!B$4)/12</f>
        <v>11.156249999999998</v>
      </c>
      <c r="BC213" s="104">
        <f>('Renewable Diesel'!Q222*'RD Feedstock Breakdown'!BC$3*'Feedstock Conversion Rates'!B$3)/12</f>
        <v>1.4017500000000001</v>
      </c>
      <c r="BD213" s="104">
        <f>('Renewable Diesel'!Q222*'RD Feedstock Breakdown'!BD$3*'Feedstock Conversion Rates'!B$6)/12</f>
        <v>0.8207500000000002</v>
      </c>
      <c r="BE213" s="106">
        <f t="shared" si="189"/>
        <v>13.378749999999998</v>
      </c>
      <c r="BF213" s="104">
        <f>('Renewable Diesel'!R222*'RD Feedstock Breakdown'!BF$3*'Feedstock Conversion Rates'!B$4)/12</f>
        <v>62.5</v>
      </c>
      <c r="BG213" s="106">
        <f t="shared" si="167"/>
        <v>62.5</v>
      </c>
      <c r="BH213" s="104">
        <f>('Renewable Diesel'!T222*'RD Feedstock Breakdown'!BH$3*'Feedstock Conversion Rates'!B$7)/12</f>
        <v>27.599999999999998</v>
      </c>
      <c r="BI213" s="106">
        <f t="shared" si="144"/>
        <v>27.599999999999998</v>
      </c>
      <c r="BJ213" s="104">
        <f>('Renewable Diesel'!W222*'RD Feedstock Breakdown'!BJ$3*'Feedstock Conversion Rates'!B$4)/12</f>
        <v>7.5</v>
      </c>
      <c r="BK213" s="104">
        <f>('Renewable Diesel'!W222*'RD Feedstock Breakdown'!BK$3*'Feedstock Conversion Rates'!B$3)/12</f>
        <v>1.335</v>
      </c>
      <c r="BL213" s="104">
        <f>('Renewable Diesel'!W222*'RD Feedstock Breakdown'!BL$3*'Feedstock Conversion Rates'!B$6)/12</f>
        <v>3.1266666666666669</v>
      </c>
      <c r="BM213" s="104">
        <f>('Renewable Diesel'!W222*'RD Feedstock Breakdown'!BM$3*'Feedstock Conversion Rates'!B$7)/12</f>
        <v>1.5333333333333332</v>
      </c>
      <c r="BN213" s="106">
        <f t="shared" si="112"/>
        <v>13.495000000000001</v>
      </c>
      <c r="BO213" s="104">
        <f>('Renewable Diesel'!P222*'Feedstock Conversion Rates'!B$4)/12</f>
        <v>31.25</v>
      </c>
      <c r="BP213" s="106">
        <f t="shared" ref="BP213:BP276" si="199">BO213</f>
        <v>31.25</v>
      </c>
      <c r="BQ213" s="104">
        <f>('Renewable Diesel'!$S222*'RD Feedstock Breakdown'!BQ$3*'Feedstock Conversion Rates'!B$4)/12+10</f>
        <v>38.125</v>
      </c>
      <c r="BR213" s="104">
        <f>('Renewable Diesel'!$S222*'RD Feedstock Breakdown'!BR$3*'Feedstock Conversion Rates'!B$7)/12-10</f>
        <v>1.5</v>
      </c>
      <c r="BS213" s="106">
        <f t="shared" si="123"/>
        <v>39.625</v>
      </c>
      <c r="BT213" s="106"/>
      <c r="BU213" s="104">
        <f>('Renewable Diesel'!Y222*'Feedstock Conversion Rates'!B$7)/12</f>
        <v>2.6833333333333331</v>
      </c>
      <c r="BV213" s="106">
        <f t="shared" si="191"/>
        <v>2.6833333333333331</v>
      </c>
      <c r="BW213" s="104">
        <f>('Renewable Diesel'!$Z222*'RD Feedstock Breakdown'!BW$3*'Feedstock Conversion Rates'!$B$4)/12</f>
        <v>53.90625</v>
      </c>
      <c r="BX213" s="104">
        <f>('Renewable Diesel'!$Z222*'RD Feedstock Breakdown'!BX$3*'Feedstock Conversion Rates'!$B$5)/12</f>
        <v>5.4265624999999993</v>
      </c>
      <c r="BY213" s="104">
        <f>('Renewable Diesel'!$Z222*'RD Feedstock Breakdown'!BY$3*'Feedstock Conversion Rates'!$B$7)/12</f>
        <v>46.287499999999994</v>
      </c>
      <c r="BZ213" s="104">
        <f>('Renewable Diesel'!$Z222*'RD Feedstock Breakdown'!BZ$3*'Feedstock Conversion Rates'!$B$3)/12</f>
        <v>11.514374999999999</v>
      </c>
      <c r="CA213" s="106">
        <f t="shared" si="127"/>
        <v>117.1346875</v>
      </c>
      <c r="CB213" s="104">
        <f>('Renewable Diesel'!AA222*'Feedstock Conversion Rates'!B$4)/12</f>
        <v>191.25</v>
      </c>
      <c r="CC213" s="106">
        <f t="shared" si="113"/>
        <v>191.25</v>
      </c>
      <c r="CD213" s="104">
        <f>('Renewable Diesel'!$AB222*'RD Feedstock Breakdown'!CD$3*'Feedstock Conversion Rates'!$B$6)/12-15</f>
        <v>17.830000000000005</v>
      </c>
      <c r="CE213" s="104">
        <f>('Renewable Diesel'!$AB222*'RD Feedstock Breakdown'!CE$3*'Feedstock Conversion Rates'!$B$4)/12+15</f>
        <v>26.25</v>
      </c>
      <c r="CF213" s="106">
        <f t="shared" si="108"/>
        <v>44.080000000000005</v>
      </c>
      <c r="CG213" s="104">
        <f>('Renewable Diesel'!AD222*'Feedstock Conversion Rates'!B$4)/12</f>
        <v>112.5</v>
      </c>
      <c r="CH213" s="106">
        <f t="shared" si="187"/>
        <v>112.5</v>
      </c>
      <c r="CI213" s="104">
        <f>('Renewable Diesel'!$AE222*'RD Feedstock Breakdown'!CI$3*'Feedstock Conversion Rates'!$B$5)/12</f>
        <v>0.34604166666666664</v>
      </c>
      <c r="CJ213" s="104">
        <f>('Renewable Diesel'!$AE222*'RD Feedstock Breakdown'!CJ$3*'Feedstock Conversion Rates'!$B$4)/12</f>
        <v>0.34375</v>
      </c>
      <c r="CK213" s="106">
        <f t="shared" ref="CK213:CK276" si="200">SUM(CI213:CJ213)</f>
        <v>0.68979166666666658</v>
      </c>
      <c r="CL213" s="104">
        <f>(((CL$3*'Renewable Diesel'!$AF222)*'Feedstock Conversion Rates'!$B$3)/12)-35</f>
        <v>56.78125</v>
      </c>
      <c r="CM213" s="104">
        <f>(((CM$3*'Renewable Diesel'!$AF222)*'Feedstock Conversion Rates'!$B$6)/12)-32.5+35+30</f>
        <v>86.239583333333343</v>
      </c>
      <c r="CN213" s="104">
        <f>(((CN$3*'Renewable Diesel'!$AF222)*'Feedstock Conversion Rates'!$B$4)/12)</f>
        <v>42.96875</v>
      </c>
      <c r="CO213" s="106">
        <f t="shared" si="190"/>
        <v>185.98958333333334</v>
      </c>
      <c r="CP213" s="104">
        <f>('Renewable Diesel'!$AG222*'RD Feedstock Breakdown'!CP$3*'Feedstock Conversion Rates'!$B$3)/12</f>
        <v>6.0075000000000003</v>
      </c>
      <c r="CQ213" s="104">
        <f>('Renewable Diesel'!$AG222*'RD Feedstock Breakdown'!CQ$3*'Feedstock Conversion Rates'!$B$6)/12</f>
        <v>3.5175000000000001</v>
      </c>
      <c r="CR213" s="104">
        <f>('Renewable Diesel'!$AG222*'RD Feedstock Breakdown'!CR$3*'Feedstock Conversion Rates'!$B$4)/12</f>
        <v>2.8125</v>
      </c>
      <c r="CS213" s="106">
        <f t="shared" si="134"/>
        <v>12.3375</v>
      </c>
      <c r="CT213" s="104">
        <f>('Renewable Diesel'!AI222*'Feedstock Conversion Rates'!$B$4*'RD Feedstock Breakdown'!$CT$3)/12</f>
        <v>29.375</v>
      </c>
      <c r="CU213" s="106">
        <f t="shared" si="196"/>
        <v>29.375</v>
      </c>
      <c r="CV213" s="104">
        <f>('Renewable Diesel'!AN222*'Feedstock Conversion Rates'!$B$3*'RD Feedstock Breakdown'!$CV$3)/12</f>
        <v>0.50062499999999999</v>
      </c>
      <c r="CW213" s="106">
        <f t="shared" si="161"/>
        <v>0.50062499999999999</v>
      </c>
      <c r="CX213" s="104">
        <f>('Renewable Diesel'!AO222*'RD Feedstock Breakdown'!$CX$3*'Feedstock Conversion Rates'!$B$3)/12</f>
        <v>6.3412499999999996</v>
      </c>
      <c r="CY213" s="104">
        <f>('Renewable Diesel'!AO222*'RD Feedstock Breakdown'!$CY$3*'Feedstock Conversion Rates'!$B$6)/12</f>
        <v>7.4258333333333342</v>
      </c>
      <c r="CZ213" s="106">
        <f t="shared" si="135"/>
        <v>13.767083333333334</v>
      </c>
      <c r="DA213" s="104">
        <f>('Renewable Diesel'!$AP222*'RD Feedstock Breakdown'!DA$3*'Feedstock Conversion Rates'!$B$3)/12</f>
        <v>6.3412499999999996</v>
      </c>
      <c r="DB213" s="104">
        <f>('Renewable Diesel'!$AP222*'RD Feedstock Breakdown'!DB$3*'Feedstock Conversion Rates'!$B$8)/12</f>
        <v>7.421875</v>
      </c>
      <c r="DC213" s="106">
        <f t="shared" si="165"/>
        <v>13.763124999999999</v>
      </c>
      <c r="DD213" s="104">
        <f>('Renewable Diesel'!AQ222*$DD$3*'Feedstock Conversion Rates'!$B$14)/12</f>
        <v>3.1041666666666665</v>
      </c>
      <c r="DE213" s="106">
        <f t="shared" si="166"/>
        <v>3.1041666666666665</v>
      </c>
      <c r="DF213" s="104">
        <f>('Renewable Diesel'!AR222*'Feedstock Conversion Rates'!$B$4*$DF$3)/12</f>
        <v>75</v>
      </c>
      <c r="DG213" s="106">
        <f t="shared" si="136"/>
        <v>75</v>
      </c>
      <c r="DH213" s="104">
        <f>('Renewable Diesel'!AS222*'Feedstock Conversion Rates'!$B$4*$DH$3)/12</f>
        <v>75</v>
      </c>
      <c r="DI213" s="106">
        <f t="shared" si="142"/>
        <v>75</v>
      </c>
      <c r="DJ213" s="104">
        <f>('Renewable Diesel'!AT222*'Feedstock Conversion Rates'!$B$4*0.25)/12</f>
        <v>8.59375</v>
      </c>
      <c r="DK213" s="104">
        <f>('Renewable Diesel'!$AT222*'RD Feedstock Breakdown'!DK$3*'Feedstock Conversion Rates'!$B$3)/12*0.5</f>
        <v>9.1781249999999996</v>
      </c>
      <c r="DL213" s="104">
        <f>('Renewable Diesel'!$AT222*'RD Feedstock Breakdown'!$DL$3*'Feedstock Conversion Rates'!$B$6)/12</f>
        <v>10.747916666666669</v>
      </c>
      <c r="DM213" s="104">
        <f>('Renewable Diesel'!$AT222*'RD Feedstock Breakdown'!$DM$3*'Feedstock Conversion Rates'!$B$8)/12</f>
        <v>10.7421875</v>
      </c>
      <c r="DN213" s="106">
        <f t="shared" si="110"/>
        <v>39.26197916666667</v>
      </c>
      <c r="DP213" s="104">
        <f t="shared" si="168"/>
        <v>33.470249999999993</v>
      </c>
      <c r="DQ213" s="104">
        <f t="shared" si="169"/>
        <v>807.27964250000002</v>
      </c>
      <c r="DR213" s="104">
        <f t="shared" si="174"/>
        <v>1670.734375</v>
      </c>
      <c r="DS213" s="104">
        <f t="shared" si="197"/>
        <v>176.59239583333334</v>
      </c>
      <c r="DT213" s="104">
        <f t="shared" si="170"/>
        <v>269.03923333333341</v>
      </c>
      <c r="DU213" s="104">
        <f t="shared" si="171"/>
        <v>256.72693333333336</v>
      </c>
      <c r="DV213" s="104">
        <f t="shared" si="175"/>
        <v>25.925000000000001</v>
      </c>
      <c r="DW213" s="104">
        <f t="shared" si="172"/>
        <v>2.5</v>
      </c>
      <c r="DX213" s="106">
        <f t="shared" si="176"/>
        <v>3242.2678300000002</v>
      </c>
      <c r="DY213" s="109">
        <f t="shared" si="163"/>
        <v>-30.000000000000707</v>
      </c>
      <c r="EA213" s="110">
        <f t="shared" si="150"/>
        <v>1.0323098446805361E-2</v>
      </c>
      <c r="EB213" s="110">
        <f t="shared" si="151"/>
        <v>0.24898610627734599</v>
      </c>
      <c r="EC213" s="110">
        <f t="shared" si="152"/>
        <v>0.51529807610002409</v>
      </c>
      <c r="ED213" s="110">
        <f t="shared" si="146"/>
        <v>5.4465702740335714E-2</v>
      </c>
      <c r="EE213" s="110">
        <f t="shared" si="146"/>
        <v>8.2978719661581254E-2</v>
      </c>
      <c r="EF213" s="110">
        <f t="shared" si="146"/>
        <v>7.9181285073951876E-2</v>
      </c>
      <c r="EG213" s="110">
        <f t="shared" si="146"/>
        <v>7.9959464668901206E-3</v>
      </c>
      <c r="EH213" s="111">
        <f t="shared" si="177"/>
        <v>7.7106523306558542E-4</v>
      </c>
      <c r="EI213" s="110">
        <f t="shared" si="178"/>
        <v>0.99922893476693442</v>
      </c>
      <c r="EK213" s="132">
        <f>(EA213*'Renewable Diesel'!BF222*'Feedstock Conversion Rates'!B$2)+FB213</f>
        <v>32.5848308934263</v>
      </c>
      <c r="EL213" s="132">
        <f>(EB213*'Renewable Diesel'!BF222*'Feedstock Conversion Rates'!B$3)+FC213</f>
        <v>740.6177330716115</v>
      </c>
      <c r="EM213" s="132">
        <f>(EC213*'Renewable Diesel'!BF222*'Feedstock Conversion Rates'!B$4)+FD213</f>
        <v>1435.1796281915672</v>
      </c>
      <c r="EN213" s="132">
        <f>(ED213*'Renewable Diesel'!BF222*'Feedstock Conversion Rates'!B$5)+FE213</f>
        <v>152.70615417456668</v>
      </c>
      <c r="EO213" s="132">
        <f>(EE213*'Renewable Diesel'!BF222*'Feedstock Conversion Rates'!B$6)+FF213</f>
        <v>289.03873284161239</v>
      </c>
      <c r="EP213" s="132">
        <f>(EF213*'Renewable Diesel'!BF222*'Feedstock Conversion Rates'!B$7)+FG213</f>
        <v>270.51842480932731</v>
      </c>
      <c r="EQ213" s="132">
        <f>(EG213*'Renewable Diesel'!BF222*'Feedstock Conversion Rates'!B$8)+FH213</f>
        <v>27.837333403811105</v>
      </c>
      <c r="ER213" s="132">
        <f>(EH213*'Renewable Diesel'!BF222*'Feedstock Conversion Rates'!B$9)+FI213</f>
        <v>2.6486180287779124</v>
      </c>
      <c r="ES213" s="132">
        <f t="shared" si="179"/>
        <v>2951.1314554147002</v>
      </c>
      <c r="ET213" s="133">
        <f>ES213/'Renewable Diesel'!BF222</f>
        <v>7.9469792391580434</v>
      </c>
      <c r="EW213" s="73">
        <f t="shared" si="124"/>
        <v>1587.8857823661338</v>
      </c>
      <c r="EX213" s="73">
        <f t="shared" si="125"/>
        <v>1363.2456730485665</v>
      </c>
      <c r="EY213" s="92">
        <f t="shared" si="164"/>
        <v>0.53805999710812613</v>
      </c>
      <c r="EZ213" s="92">
        <f t="shared" si="164"/>
        <v>0.46194000289187381</v>
      </c>
      <c r="FB213" s="102">
        <f>IF('Renewable Diesel'!$BG222&lt;1,0,(((('Renewable Diesel'!$BG222-1)*'Renewable Diesel'!$BF222)*'RD Feedstock Breakdown'!EA213)*'Feedstock Conversion Rates'!$B$2))</f>
        <v>0</v>
      </c>
      <c r="FC213" s="102">
        <f>IF('Renewable Diesel'!$BG222&lt;1,0,(((('Renewable Diesel'!$BG222-1)*'Renewable Diesel'!$BF222)*'RD Feedstock Breakdown'!EB213)*'Feedstock Conversion Rates'!$B$3))</f>
        <v>0</v>
      </c>
      <c r="FD213" s="102">
        <f>IF('Renewable Diesel'!$BG222&lt;1,0,(((('Renewable Diesel'!$BG222-1)*'Renewable Diesel'!$BF222)*'RD Feedstock Breakdown'!EC213)*'Feedstock Conversion Rates'!$B$4))</f>
        <v>0</v>
      </c>
      <c r="FE213" s="102">
        <f>IF('Renewable Diesel'!$BG222&lt;1,0,(((('Renewable Diesel'!$BG222-1)*'Renewable Diesel'!$BF222)*'RD Feedstock Breakdown'!ED213)*'Feedstock Conversion Rates'!$B$5))</f>
        <v>0</v>
      </c>
      <c r="FF213" s="102">
        <f>IF('Renewable Diesel'!$BG222&lt;1,0,(((('Renewable Diesel'!$BG222-1)*'Renewable Diesel'!$BF222)*'RD Feedstock Breakdown'!EE213)*'Feedstock Conversion Rates'!$B$6))</f>
        <v>0</v>
      </c>
      <c r="FG213" s="102">
        <f>IF('Renewable Diesel'!$BG222&lt;1,0,(((('Renewable Diesel'!$BG222-1)*'Renewable Diesel'!$BF222)*'RD Feedstock Breakdown'!EF213)*'Feedstock Conversion Rates'!$B$7))</f>
        <v>0</v>
      </c>
      <c r="FH213" s="102">
        <f>IF('Renewable Diesel'!$BG222&lt;1,0,(((('Renewable Diesel'!$BG222-1)*'Renewable Diesel'!$BF222)*'RD Feedstock Breakdown'!EG213)*'Feedstock Conversion Rates'!$B$8))</f>
        <v>0</v>
      </c>
      <c r="FI213" s="102">
        <f>IF('Renewable Diesel'!$BG222&lt;1,0,(((('Renewable Diesel'!$BG222-1)*'Renewable Diesel'!$BF222)*'RD Feedstock Breakdown'!EH213)*'Feedstock Conversion Rates'!$B$9))</f>
        <v>0</v>
      </c>
      <c r="FJ213" s="102">
        <f t="shared" si="126"/>
        <v>0</v>
      </c>
      <c r="FL213" s="3">
        <f>('Renewable Diesel'!AX222/12*$FO$80)*'RD Feedstock Breakdown'!EC213*7.5</f>
        <v>1556.7961642532121</v>
      </c>
      <c r="FM213" s="3">
        <f t="shared" si="193"/>
        <v>121.61653606164487</v>
      </c>
      <c r="FR213" s="3">
        <f>('Renewable Diesel'!AX222-'Renewable Diesel'!BI222)/12*$FO$80</f>
        <v>54.415874999999872</v>
      </c>
      <c r="FS213" s="100">
        <f t="shared" si="194"/>
        <v>0.51529807610002409</v>
      </c>
      <c r="FT213" s="3">
        <f t="shared" si="195"/>
        <v>210.30296772599499</v>
      </c>
      <c r="FY213" s="3">
        <f>'Renewable Diesel'!BF222*('Renewable Diesel'!BI222/'Renewable Diesel'!AX222)</f>
        <v>321.18768650739975</v>
      </c>
      <c r="FZ213" s="3">
        <f>('Renewable Diesel'!BJ222*'Renewable Diesel'!BG222)/12</f>
        <v>49.220956586582197</v>
      </c>
      <c r="GA213" s="3">
        <f t="shared" si="105"/>
        <v>190.22598174651461</v>
      </c>
      <c r="GD213" s="91">
        <f>'Renewable Diesel'!BB222*0.32</f>
        <v>0</v>
      </c>
      <c r="GE213" s="91">
        <f>'Renewable Diesel'!BC222</f>
        <v>137.07443203247411</v>
      </c>
      <c r="GF213" s="91">
        <f>'Renewable Diesel'!BD222</f>
        <v>0</v>
      </c>
      <c r="GG213" s="91">
        <f t="shared" si="109"/>
        <v>137.07443203247411</v>
      </c>
      <c r="GH213" s="124">
        <v>1</v>
      </c>
      <c r="GI213" s="102">
        <f>$GG213*EA213*'Feedstock Conversion Rates'!$B$2</f>
        <v>12.027779279494863</v>
      </c>
      <c r="GJ213" s="102">
        <f>$GG213*EB213*'Feedstock Conversion Rates'!$B$3</f>
        <v>273.37832910657494</v>
      </c>
      <c r="GK213" s="102">
        <f>$GG213*EC213*'Feedstock Conversion Rates'!$B$4</f>
        <v>529.75643331628066</v>
      </c>
      <c r="GL213" s="102">
        <f>$GG213*ED213*'Feedstock Conversion Rates'!$B$5</f>
        <v>56.367207276277199</v>
      </c>
      <c r="GM213" s="102">
        <f>$GG213*EE213*'Feedstock Conversion Rates'!$B$6</f>
        <v>106.69056694552768</v>
      </c>
      <c r="GN213" s="102">
        <f>$GG213*EF213*'Feedstock Conversion Rates'!$B$7</f>
        <v>99.854313047843021</v>
      </c>
      <c r="GO213" s="102">
        <f>$GG213*EG213*'Feedstock Conversion Rates'!$B$8</f>
        <v>10.275373317290919</v>
      </c>
      <c r="GP213" s="102">
        <f>$GG213*EH213*'Feedstock Conversion Rates'!B$9</f>
        <v>0.97766329216268466</v>
      </c>
      <c r="GQ213" s="102">
        <f t="shared" si="180"/>
        <v>1089.327665581452</v>
      </c>
      <c r="GR213" s="85">
        <f t="shared" si="107"/>
        <v>7.9469792391580434</v>
      </c>
      <c r="GT213" s="103">
        <f t="shared" si="159"/>
        <v>1.1041470495541651E-2</v>
      </c>
      <c r="GU213" s="103">
        <f t="shared" si="159"/>
        <v>0.25096060418207905</v>
      </c>
      <c r="GV213" s="103">
        <f t="shared" si="159"/>
        <v>0.48631504555932842</v>
      </c>
      <c r="GW213" s="103">
        <f t="shared" si="159"/>
        <v>5.1744951548797762E-2</v>
      </c>
      <c r="GX213" s="103">
        <f t="shared" si="158"/>
        <v>9.7941666512783646E-2</v>
      </c>
      <c r="GY213" s="103">
        <f t="shared" si="158"/>
        <v>9.1666002987763701E-2</v>
      </c>
      <c r="GZ213" s="103">
        <f t="shared" si="158"/>
        <v>9.4327663217900724E-3</v>
      </c>
      <c r="HA213" s="103">
        <f t="shared" si="158"/>
        <v>8.974923919157381E-4</v>
      </c>
    </row>
    <row r="214" spans="1:209" x14ac:dyDescent="0.25">
      <c r="A214" s="96">
        <v>46935</v>
      </c>
      <c r="B214" s="104">
        <f>23-20+10+85-5-4-4-1.25+2.25-5+15-6-25-45+65+15-22.5-50+40+16.5+27.5+168+80+14-30+15-50-19+22.5-10+5+11-25-50-12.5-27.5-10+10+2+4-1.5+12-26-15-50-15+10-32.5-3-5-2.5-1+5+10-50-35-9-0.5+25+15+25+20+15+85-25+12.5-52.5+10+20-150+20-20+55-25-25+25-15+10+25</f>
        <v>50</v>
      </c>
      <c r="C214" s="104">
        <f>40-10-2.5-27.5+25+25+25-70+120-15-100-10+25</f>
        <v>25</v>
      </c>
      <c r="D214" s="104">
        <f t="shared" si="192"/>
        <v>1.5</v>
      </c>
      <c r="E214" s="104">
        <f>('Renewable Diesel'!B223*E$3*'Feedstock Conversion Rates'!$B$2)/12-40+1.25+6-43+30-15+12.5-4+1.5+26+2.5+3-10+50+9-15-25-55+15+45+10-50+60-60-44+25</f>
        <v>25.679999999999993</v>
      </c>
      <c r="F214" s="104">
        <f>('Renewable Diesel'!B223*'RD Feedstock Breakdown'!F$3*'Feedstock Conversion Rates'!B$8)/12+28.5-49-5+2-6+1+6+20-20-3.75+10+2.5+5-20-20+15-10</f>
        <v>10.15625</v>
      </c>
      <c r="G214" s="104">
        <f>('Renewable Diesel'!B223*'RD Feedstock Breakdown'!G$3*'Feedstock Conversion Rates'!B$7)/12-25-15-25+4+4-20-40-20+10-17.5+20+50-12+32.5+35-75-75+22.5+5-20+15+125-10-45-10-40-40</f>
        <v>9.6570000000000107</v>
      </c>
      <c r="H214" s="104">
        <f>('Renewable Diesel'!B223*'RD Feedstock Breakdown'!H$3*'Feedstock Conversion Rates'!B$3)/12-85+4-15+70-65-80+50-22.5-5+25+27.5+15+50+15-10+5+50+75-5-25-85-12.5+30+22.5-25-30+150+90-120+25+10+70+44+5-50</f>
        <v>374.40022499999998</v>
      </c>
      <c r="I214" s="106">
        <f t="shared" si="106"/>
        <v>496.39347499999997</v>
      </c>
      <c r="J214" s="104">
        <f t="shared" si="181"/>
        <v>16.5</v>
      </c>
      <c r="K214" s="104">
        <f t="shared" si="182"/>
        <v>10</v>
      </c>
      <c r="L214" s="104">
        <v>1</v>
      </c>
      <c r="M214" s="104">
        <f>('Renewable Diesel'!C223*'RD Feedstock Breakdown'!M$3*'Feedstock Conversion Rates'!B$2)/12</f>
        <v>7.7902500000000003</v>
      </c>
      <c r="N214" s="104">
        <f>('Renewable Diesel'!C223*'RD Feedstock Breakdown'!N$3*'Feedstock Conversion Rates'!B$8)/12</f>
        <v>3.671875</v>
      </c>
      <c r="O214" s="104">
        <f>('Renewable Diesel'!C223*'RD Feedstock Breakdown'!O$3*'Feedstock Conversion Rates'!B$7)/12</f>
        <v>11.9991</v>
      </c>
      <c r="P214" s="104">
        <f>('Renewable Diesel'!C223*'RD Feedstock Breakdown'!P$3*'Feedstock Conversion Rates'!B$3)/12</f>
        <v>10.4470425</v>
      </c>
      <c r="Q214" s="106">
        <f t="shared" si="119"/>
        <v>61.408267500000001</v>
      </c>
      <c r="R214" s="104">
        <f>('Renewable Diesel'!D223*'RD Feedstock Breakdown'!R$3*'Feedstock Conversion Rates'!B$7)/12</f>
        <v>2.2999999999999998</v>
      </c>
      <c r="S214" s="106">
        <f t="shared" si="148"/>
        <v>2.2999999999999998</v>
      </c>
      <c r="T214" s="104">
        <f t="shared" si="183"/>
        <v>5.8250000000000028</v>
      </c>
      <c r="U214" s="104">
        <f t="shared" si="184"/>
        <v>45</v>
      </c>
      <c r="V214" s="104">
        <f>('Renewable Diesel'!E223*'RD Feedstock Breakdown'!V$3*'Feedstock Conversion Rates'!B$6)/12-20+25-35</f>
        <v>14.250150000000012</v>
      </c>
      <c r="W214" s="104">
        <f>('Renewable Diesel'!E223*'RD Feedstock Breakdown'!W$3*'Feedstock Conversion Rates'!B$8)/12-5.825-15</f>
        <v>1.3546875000000007</v>
      </c>
      <c r="X214" s="106">
        <f t="shared" si="185"/>
        <v>66.429837500000005</v>
      </c>
      <c r="Y214" s="104">
        <f t="shared" si="186"/>
        <v>125.5</v>
      </c>
      <c r="Z214" s="104">
        <f>('Renewable Diesel'!F223*'RD Feedstock Breakdown'!Z$3*'Feedstock Conversion Rates'!B$6)/12-50-32-60+15+30+22.5-70+70-35+5+6</f>
        <v>60.960000000000008</v>
      </c>
      <c r="AA214" s="104">
        <f>('Renewable Diesel'!F223*'RD Feedstock Breakdown'!AA$3*'Feedstock Conversion Rates'!B$7)/12+80-171+75+30+20-50-6-5</f>
        <v>77.266666666666652</v>
      </c>
      <c r="AB214" s="106">
        <f t="shared" si="137"/>
        <v>263.72666666666669</v>
      </c>
      <c r="AC214" s="104">
        <f>('Renewable Diesel'!G223*'RD Feedstock Breakdown'!AC$3*'Feedstock Conversion Rates'!B$5)/12</f>
        <v>11.796875</v>
      </c>
      <c r="AD214" s="104">
        <f>('Renewable Diesel'!G223*'RD Feedstock Breakdown'!AD$3*'Feedstock Conversion Rates'!B$4)/12</f>
        <v>5.859375</v>
      </c>
      <c r="AE214" s="104">
        <f>('Renewable Diesel'!G223*'RD Feedstock Breakdown'!AE$3*'Feedstock Conversion Rates'!B$6)/12</f>
        <v>7.3281250000000009</v>
      </c>
      <c r="AF214" s="106">
        <f t="shared" si="198"/>
        <v>24.984375</v>
      </c>
      <c r="AG214" s="104">
        <f t="shared" si="188"/>
        <v>106.5</v>
      </c>
      <c r="AH214" s="104">
        <v>30</v>
      </c>
      <c r="AI214" s="104">
        <f>('Renewable Diesel'!H223*'RD Feedstock Breakdown'!AI$3*'Feedstock Conversion Rates'!B$6)/12-130-20+51-120+2.5+100-45+25</f>
        <v>12.01666666666668</v>
      </c>
      <c r="AJ214" s="106">
        <f t="shared" si="145"/>
        <v>118.51666666666668</v>
      </c>
      <c r="AK214" s="104">
        <f>('Renewable Diesel'!J223*'RD Feedstock Breakdown'!AK$3*'Feedstock Conversion Rates'!B$4)/12</f>
        <v>95.8125</v>
      </c>
      <c r="AL214" s="106">
        <f t="shared" si="157"/>
        <v>95.8125</v>
      </c>
      <c r="AM214" s="104">
        <f>('Renewable Diesel'!K223*'RD Feedstock Breakdown'!AM$3*'Feedstock Conversion Rates'!B$4)/12+5+15-10+9-27</f>
        <v>50.59375</v>
      </c>
      <c r="AN214" s="104">
        <f>('Renewable Diesel'!K223*'RD Feedstock Breakdown'!AN$3*'Feedstock Conversion Rates'!B$6)/12-5-15+10-9+27</f>
        <v>32.427083333333329</v>
      </c>
      <c r="AO214" s="106">
        <f t="shared" si="173"/>
        <v>83.020833333333329</v>
      </c>
      <c r="AP214" s="104">
        <f>('Renewable Diesel'!L223*'RD Feedstock Breakdown'!AP$3*'Feedstock Conversion Rates'!B$4)/12+15-10+2.5+12</f>
        <v>78.09375</v>
      </c>
      <c r="AQ214" s="104">
        <f>('Renewable Diesel'!L223*'RD Feedstock Breakdown'!AQ$3*'Feedstock Conversion Rates'!B$6)/12-15+10-2.5-12</f>
        <v>4.9270833333333321</v>
      </c>
      <c r="AR214" s="106">
        <f t="shared" si="162"/>
        <v>83.020833333333329</v>
      </c>
      <c r="AS214" s="104">
        <f>('Renewable Diesel'!M223*'RD Feedstock Breakdown'!AS$3*'Feedstock Conversion Rates'!B$4)/12</f>
        <v>456.25</v>
      </c>
      <c r="AT214" s="104">
        <f>('Renewable Diesel'!M223*'RD Feedstock Breakdown'!AT$3*'Feedstock Conversion Rates'!B$5)/12</f>
        <v>0</v>
      </c>
      <c r="AU214" s="106">
        <f t="shared" ref="AU214:AU277" si="201">SUM(AS214:AT214)</f>
        <v>456.25</v>
      </c>
      <c r="AV214" s="104">
        <f>'Renewable Diesel'!N223*'RD Feedstock Breakdown'!$AV$3*'Feedstock Conversion Rates'!$B$4/12-15-10+25+25-22-25-12.5</f>
        <v>44.249999999999986</v>
      </c>
      <c r="AW214" s="104">
        <f>'Renewable Diesel'!N223*'RD Feedstock Breakdown'!$AW$3*'Feedstock Conversion Rates'!$B$7/12+15+10-25-25+22+25+12.5</f>
        <v>75.900000000000006</v>
      </c>
      <c r="AX214" s="106">
        <f t="shared" si="141"/>
        <v>120.14999999999999</v>
      </c>
      <c r="AY214" s="104">
        <f>('Renewable Diesel'!O223*'RD Feedstock Breakdown'!AY$3*'Feedstock Conversion Rates'!B$4)/12+32+2-135-247+50</f>
        <v>-87.0625</v>
      </c>
      <c r="AZ214" s="104">
        <f>('Renewable Diesel'!O223*'RD Feedstock Breakdown'!AZ$3*'Feedstock Conversion Rates'!B$3)/12-32-2+135+247-50</f>
        <v>323.03125</v>
      </c>
      <c r="BA214" s="106">
        <f t="shared" si="120"/>
        <v>235.96875</v>
      </c>
      <c r="BB214" s="104">
        <f>('Renewable Diesel'!Q223*'RD Feedstock Breakdown'!BB$3*'Feedstock Conversion Rates'!B$4)/12</f>
        <v>11.156249999999998</v>
      </c>
      <c r="BC214" s="104">
        <f>('Renewable Diesel'!Q223*'RD Feedstock Breakdown'!BC$3*'Feedstock Conversion Rates'!B$3)/12</f>
        <v>1.4017500000000001</v>
      </c>
      <c r="BD214" s="104">
        <f>('Renewable Diesel'!Q223*'RD Feedstock Breakdown'!BD$3*'Feedstock Conversion Rates'!B$6)/12</f>
        <v>0.8207500000000002</v>
      </c>
      <c r="BE214" s="106">
        <f t="shared" si="189"/>
        <v>13.378749999999998</v>
      </c>
      <c r="BF214" s="104">
        <f>('Renewable Diesel'!R223*'RD Feedstock Breakdown'!BF$3*'Feedstock Conversion Rates'!B$4)/12</f>
        <v>62.5</v>
      </c>
      <c r="BG214" s="106">
        <f t="shared" si="167"/>
        <v>62.5</v>
      </c>
      <c r="BH214" s="104">
        <f>('Renewable Diesel'!T223*'RD Feedstock Breakdown'!BH$3*'Feedstock Conversion Rates'!B$7)/12</f>
        <v>27.599999999999998</v>
      </c>
      <c r="BI214" s="106">
        <f t="shared" si="144"/>
        <v>27.599999999999998</v>
      </c>
      <c r="BJ214" s="104">
        <f>('Renewable Diesel'!W223*'RD Feedstock Breakdown'!BJ$3*'Feedstock Conversion Rates'!B$4)/12</f>
        <v>7.5</v>
      </c>
      <c r="BK214" s="104">
        <f>('Renewable Diesel'!W223*'RD Feedstock Breakdown'!BK$3*'Feedstock Conversion Rates'!B$3)/12</f>
        <v>1.335</v>
      </c>
      <c r="BL214" s="104">
        <f>('Renewable Diesel'!W223*'RD Feedstock Breakdown'!BL$3*'Feedstock Conversion Rates'!B$6)/12</f>
        <v>3.1266666666666669</v>
      </c>
      <c r="BM214" s="104">
        <f>('Renewable Diesel'!W223*'RD Feedstock Breakdown'!BM$3*'Feedstock Conversion Rates'!B$7)/12</f>
        <v>1.5333333333333332</v>
      </c>
      <c r="BN214" s="106">
        <f t="shared" si="112"/>
        <v>13.495000000000001</v>
      </c>
      <c r="BO214" s="104">
        <f>('Renewable Diesel'!P223*'Feedstock Conversion Rates'!B$4)/12</f>
        <v>31.25</v>
      </c>
      <c r="BP214" s="106">
        <f t="shared" si="199"/>
        <v>31.25</v>
      </c>
      <c r="BQ214" s="104">
        <f>('Renewable Diesel'!$S223*'RD Feedstock Breakdown'!BQ$3*'Feedstock Conversion Rates'!B$4)/12+10</f>
        <v>38.125</v>
      </c>
      <c r="BR214" s="104">
        <f>('Renewable Diesel'!$S223*'RD Feedstock Breakdown'!BR$3*'Feedstock Conversion Rates'!B$7)/12-10</f>
        <v>1.5</v>
      </c>
      <c r="BS214" s="106">
        <f t="shared" si="123"/>
        <v>39.625</v>
      </c>
      <c r="BT214" s="106"/>
      <c r="BU214" s="104">
        <f>('Renewable Diesel'!Y223*'Feedstock Conversion Rates'!B$7)/12</f>
        <v>2.6833333333333331</v>
      </c>
      <c r="BV214" s="106">
        <f t="shared" si="191"/>
        <v>2.6833333333333331</v>
      </c>
      <c r="BW214" s="104">
        <f>('Renewable Diesel'!$Z223*'RD Feedstock Breakdown'!BW$3*'Feedstock Conversion Rates'!$B$4)/12</f>
        <v>53.90625</v>
      </c>
      <c r="BX214" s="104">
        <f>('Renewable Diesel'!$Z223*'RD Feedstock Breakdown'!BX$3*'Feedstock Conversion Rates'!$B$5)/12</f>
        <v>5.4265624999999993</v>
      </c>
      <c r="BY214" s="104">
        <f>('Renewable Diesel'!$Z223*'RD Feedstock Breakdown'!BY$3*'Feedstock Conversion Rates'!$B$7)/12</f>
        <v>46.287499999999994</v>
      </c>
      <c r="BZ214" s="104">
        <f>('Renewable Diesel'!$Z223*'RD Feedstock Breakdown'!BZ$3*'Feedstock Conversion Rates'!$B$3)/12</f>
        <v>11.514374999999999</v>
      </c>
      <c r="CA214" s="106">
        <f t="shared" si="127"/>
        <v>117.1346875</v>
      </c>
      <c r="CB214" s="104">
        <f>('Renewable Diesel'!AA223*'Feedstock Conversion Rates'!B$4)/12</f>
        <v>191.25</v>
      </c>
      <c r="CC214" s="106">
        <f t="shared" si="113"/>
        <v>191.25</v>
      </c>
      <c r="CD214" s="104">
        <f>('Renewable Diesel'!$AB223*'RD Feedstock Breakdown'!CD$3*'Feedstock Conversion Rates'!$B$6)/12-15</f>
        <v>17.830000000000005</v>
      </c>
      <c r="CE214" s="104">
        <f>('Renewable Diesel'!$AB223*'RD Feedstock Breakdown'!CE$3*'Feedstock Conversion Rates'!$B$4)/12+15</f>
        <v>26.25</v>
      </c>
      <c r="CF214" s="106">
        <f t="shared" si="108"/>
        <v>44.080000000000005</v>
      </c>
      <c r="CG214" s="104">
        <f>('Renewable Diesel'!AD223*'Feedstock Conversion Rates'!B$4)/12</f>
        <v>112.5</v>
      </c>
      <c r="CH214" s="106">
        <f t="shared" si="187"/>
        <v>112.5</v>
      </c>
      <c r="CI214" s="104">
        <f>('Renewable Diesel'!$AE223*'RD Feedstock Breakdown'!CI$3*'Feedstock Conversion Rates'!$B$5)/12</f>
        <v>0.34604166666666664</v>
      </c>
      <c r="CJ214" s="104">
        <f>('Renewable Diesel'!$AE223*'RD Feedstock Breakdown'!CJ$3*'Feedstock Conversion Rates'!$B$4)/12</f>
        <v>0.34375</v>
      </c>
      <c r="CK214" s="106">
        <f t="shared" si="200"/>
        <v>0.68979166666666658</v>
      </c>
      <c r="CL214" s="104">
        <f>(((CL$3*'Renewable Diesel'!$AF223)*'Feedstock Conversion Rates'!$B$3)/12)-35</f>
        <v>56.78125</v>
      </c>
      <c r="CM214" s="104">
        <f>(((CM$3*'Renewable Diesel'!$AF223)*'Feedstock Conversion Rates'!$B$6)/12)-32.5+35+30</f>
        <v>86.239583333333343</v>
      </c>
      <c r="CN214" s="104">
        <f>(((CN$3*'Renewable Diesel'!$AF223)*'Feedstock Conversion Rates'!$B$4)/12)</f>
        <v>42.96875</v>
      </c>
      <c r="CO214" s="106">
        <f t="shared" si="190"/>
        <v>185.98958333333334</v>
      </c>
      <c r="CP214" s="104">
        <f>('Renewable Diesel'!$AG223*'RD Feedstock Breakdown'!CP$3*'Feedstock Conversion Rates'!$B$3)/12</f>
        <v>6.0075000000000003</v>
      </c>
      <c r="CQ214" s="104">
        <f>('Renewable Diesel'!$AG223*'RD Feedstock Breakdown'!CQ$3*'Feedstock Conversion Rates'!$B$6)/12</f>
        <v>3.5175000000000001</v>
      </c>
      <c r="CR214" s="104">
        <f>('Renewable Diesel'!$AG223*'RD Feedstock Breakdown'!CR$3*'Feedstock Conversion Rates'!$B$4)/12</f>
        <v>2.8125</v>
      </c>
      <c r="CS214" s="106">
        <f t="shared" si="134"/>
        <v>12.3375</v>
      </c>
      <c r="CT214" s="104">
        <f>('Renewable Diesel'!AI223*'Feedstock Conversion Rates'!$B$4*'RD Feedstock Breakdown'!$CT$3)/12</f>
        <v>29.375</v>
      </c>
      <c r="CU214" s="106">
        <f t="shared" si="196"/>
        <v>29.375</v>
      </c>
      <c r="CV214" s="104">
        <f>('Renewable Diesel'!AN223*'Feedstock Conversion Rates'!$B$3*'RD Feedstock Breakdown'!$CV$3)/12</f>
        <v>0.50062499999999999</v>
      </c>
      <c r="CW214" s="106">
        <f t="shared" si="161"/>
        <v>0.50062499999999999</v>
      </c>
      <c r="CX214" s="104">
        <f>('Renewable Diesel'!AO223*'RD Feedstock Breakdown'!$CX$3*'Feedstock Conversion Rates'!$B$3)/12</f>
        <v>6.3412499999999996</v>
      </c>
      <c r="CY214" s="104">
        <f>('Renewable Diesel'!AO223*'RD Feedstock Breakdown'!$CY$3*'Feedstock Conversion Rates'!$B$6)/12</f>
        <v>7.4258333333333342</v>
      </c>
      <c r="CZ214" s="106">
        <f t="shared" si="135"/>
        <v>13.767083333333334</v>
      </c>
      <c r="DA214" s="104">
        <f>('Renewable Diesel'!$AP223*'RD Feedstock Breakdown'!DA$3*'Feedstock Conversion Rates'!$B$3)/12</f>
        <v>6.3412499999999996</v>
      </c>
      <c r="DB214" s="104">
        <f>('Renewable Diesel'!$AP223*'RD Feedstock Breakdown'!DB$3*'Feedstock Conversion Rates'!$B$8)/12</f>
        <v>7.421875</v>
      </c>
      <c r="DC214" s="106">
        <f t="shared" si="165"/>
        <v>13.763124999999999</v>
      </c>
      <c r="DD214" s="104">
        <f>('Renewable Diesel'!AQ223*$DD$3*'Feedstock Conversion Rates'!$B$14)/12</f>
        <v>3.1041666666666665</v>
      </c>
      <c r="DE214" s="106">
        <f t="shared" si="166"/>
        <v>3.1041666666666665</v>
      </c>
      <c r="DF214" s="104">
        <f>('Renewable Diesel'!AR223*'Feedstock Conversion Rates'!$B$4*$DF$3)/12</f>
        <v>75</v>
      </c>
      <c r="DG214" s="106">
        <f t="shared" si="136"/>
        <v>75</v>
      </c>
      <c r="DH214" s="104">
        <f>('Renewable Diesel'!AS223*'Feedstock Conversion Rates'!$B$4*$DH$3)/12</f>
        <v>75</v>
      </c>
      <c r="DI214" s="106">
        <f t="shared" si="142"/>
        <v>75</v>
      </c>
      <c r="DJ214" s="104">
        <f>('Renewable Diesel'!AT223*'Feedstock Conversion Rates'!$B$4*0.25)/12</f>
        <v>8.59375</v>
      </c>
      <c r="DK214" s="104">
        <f>('Renewable Diesel'!$AT223*'RD Feedstock Breakdown'!DK$3*'Feedstock Conversion Rates'!$B$3)/12*0.5</f>
        <v>9.1781249999999996</v>
      </c>
      <c r="DL214" s="104">
        <f>('Renewable Diesel'!$AT223*'RD Feedstock Breakdown'!$DL$3*'Feedstock Conversion Rates'!$B$6)/12</f>
        <v>10.747916666666669</v>
      </c>
      <c r="DM214" s="104">
        <f>('Renewable Diesel'!$AT223*'RD Feedstock Breakdown'!$DM$3*'Feedstock Conversion Rates'!$B$8)/12</f>
        <v>10.7421875</v>
      </c>
      <c r="DN214" s="106">
        <f t="shared" si="110"/>
        <v>39.26197916666667</v>
      </c>
      <c r="DP214" s="104">
        <f t="shared" si="168"/>
        <v>33.470249999999993</v>
      </c>
      <c r="DQ214" s="104">
        <f t="shared" si="169"/>
        <v>807.27964250000002</v>
      </c>
      <c r="DR214" s="104">
        <f t="shared" si="174"/>
        <v>1670.734375</v>
      </c>
      <c r="DS214" s="104">
        <f t="shared" si="197"/>
        <v>176.59239583333334</v>
      </c>
      <c r="DT214" s="104">
        <f t="shared" si="170"/>
        <v>269.03923333333341</v>
      </c>
      <c r="DU214" s="104">
        <f t="shared" si="171"/>
        <v>256.72693333333336</v>
      </c>
      <c r="DV214" s="104">
        <f t="shared" si="175"/>
        <v>25.925000000000001</v>
      </c>
      <c r="DW214" s="104">
        <f t="shared" si="172"/>
        <v>2.5</v>
      </c>
      <c r="DX214" s="106">
        <f t="shared" si="176"/>
        <v>3242.2678300000002</v>
      </c>
      <c r="DY214" s="109">
        <f t="shared" si="163"/>
        <v>-30.000000000000707</v>
      </c>
      <c r="EA214" s="110">
        <f t="shared" si="150"/>
        <v>1.0323098446805361E-2</v>
      </c>
      <c r="EB214" s="110">
        <f t="shared" si="151"/>
        <v>0.24898610627734599</v>
      </c>
      <c r="EC214" s="110">
        <f t="shared" si="152"/>
        <v>0.51529807610002409</v>
      </c>
      <c r="ED214" s="110">
        <f t="shared" si="146"/>
        <v>5.4465702740335714E-2</v>
      </c>
      <c r="EE214" s="110">
        <f t="shared" si="146"/>
        <v>8.2978719661581254E-2</v>
      </c>
      <c r="EF214" s="110">
        <f t="shared" si="146"/>
        <v>7.9181285073951876E-2</v>
      </c>
      <c r="EG214" s="110">
        <f t="shared" si="146"/>
        <v>7.9959464668901206E-3</v>
      </c>
      <c r="EH214" s="111">
        <f t="shared" si="177"/>
        <v>7.7106523306558542E-4</v>
      </c>
      <c r="EI214" s="110">
        <f t="shared" si="178"/>
        <v>0.99922893476693442</v>
      </c>
      <c r="EK214" s="132">
        <f>(EA214*'Renewable Diesel'!BF223*'Feedstock Conversion Rates'!B$2)+FB214</f>
        <v>33.232087832599824</v>
      </c>
      <c r="EL214" s="132">
        <f>(EB214*'Renewable Diesel'!BF223*'Feedstock Conversion Rates'!B$3)+FC214</f>
        <v>755.32917866951595</v>
      </c>
      <c r="EM214" s="132">
        <f>(EC214*'Renewable Diesel'!BF223*'Feedstock Conversion Rates'!B$4)+FD214</f>
        <v>1463.6876777298835</v>
      </c>
      <c r="EN214" s="132">
        <f>(ED214*'Renewable Diesel'!BF223*'Feedstock Conversion Rates'!B$5)+FE214</f>
        <v>155.73947106570725</v>
      </c>
      <c r="EO214" s="132">
        <f>(EE214*'Renewable Diesel'!BF223*'Feedstock Conversion Rates'!B$6)+FF214</f>
        <v>294.78012601113772</v>
      </c>
      <c r="EP214" s="132">
        <f>(EF214*'Renewable Diesel'!BF223*'Feedstock Conversion Rates'!B$7)+FG214</f>
        <v>275.89193520761057</v>
      </c>
      <c r="EQ214" s="132">
        <f>(EG214*'Renewable Diesel'!BF223*'Feedstock Conversion Rates'!B$8)+FH214</f>
        <v>28.390287239067572</v>
      </c>
      <c r="ER214" s="132">
        <f>(EH214*'Renewable Diesel'!BF223*'Feedstock Conversion Rates'!B$9)+FI214</f>
        <v>2.7012295155139832</v>
      </c>
      <c r="ES214" s="132">
        <f t="shared" si="179"/>
        <v>3009.7519932710366</v>
      </c>
      <c r="ET214" s="133">
        <f>ES214/'Renewable Diesel'!BF223</f>
        <v>7.9469792391580434</v>
      </c>
      <c r="EW214" s="73">
        <f t="shared" si="124"/>
        <v>1619.4271487955907</v>
      </c>
      <c r="EX214" s="73">
        <f t="shared" si="125"/>
        <v>1390.3248444754454</v>
      </c>
      <c r="EY214" s="92">
        <f t="shared" si="164"/>
        <v>0.53805999710812613</v>
      </c>
      <c r="EZ214" s="92">
        <f t="shared" si="164"/>
        <v>0.46194000289187376</v>
      </c>
      <c r="FB214" s="102">
        <f>IF('Renewable Diesel'!$BG223&lt;1,0,(((('Renewable Diesel'!$BG223-1)*'Renewable Diesel'!$BF223)*'RD Feedstock Breakdown'!EA214)*'Feedstock Conversion Rates'!$B$2))</f>
        <v>0</v>
      </c>
      <c r="FC214" s="102">
        <f>IF('Renewable Diesel'!$BG223&lt;1,0,(((('Renewable Diesel'!$BG223-1)*'Renewable Diesel'!$BF223)*'RD Feedstock Breakdown'!EB214)*'Feedstock Conversion Rates'!$B$3))</f>
        <v>0</v>
      </c>
      <c r="FD214" s="102">
        <f>IF('Renewable Diesel'!$BG223&lt;1,0,(((('Renewable Diesel'!$BG223-1)*'Renewable Diesel'!$BF223)*'RD Feedstock Breakdown'!EC214)*'Feedstock Conversion Rates'!$B$4))</f>
        <v>0</v>
      </c>
      <c r="FE214" s="102">
        <f>IF('Renewable Diesel'!$BG223&lt;1,0,(((('Renewable Diesel'!$BG223-1)*'Renewable Diesel'!$BF223)*'RD Feedstock Breakdown'!ED214)*'Feedstock Conversion Rates'!$B$5))</f>
        <v>0</v>
      </c>
      <c r="FF214" s="102">
        <f>IF('Renewable Diesel'!$BG223&lt;1,0,(((('Renewable Diesel'!$BG223-1)*'Renewable Diesel'!$BF223)*'RD Feedstock Breakdown'!EE214)*'Feedstock Conversion Rates'!$B$6))</f>
        <v>0</v>
      </c>
      <c r="FG214" s="102">
        <f>IF('Renewable Diesel'!$BG223&lt;1,0,(((('Renewable Diesel'!$BG223-1)*'Renewable Diesel'!$BF223)*'RD Feedstock Breakdown'!EF214)*'Feedstock Conversion Rates'!$B$7))</f>
        <v>0</v>
      </c>
      <c r="FH214" s="102">
        <f>IF('Renewable Diesel'!$BG223&lt;1,0,(((('Renewable Diesel'!$BG223-1)*'Renewable Diesel'!$BF223)*'RD Feedstock Breakdown'!EG214)*'Feedstock Conversion Rates'!$B$8))</f>
        <v>0</v>
      </c>
      <c r="FI214" s="102">
        <f>IF('Renewable Diesel'!$BG223&lt;1,0,(((('Renewable Diesel'!$BG223-1)*'Renewable Diesel'!$BF223)*'RD Feedstock Breakdown'!EH214)*'Feedstock Conversion Rates'!$B$9))</f>
        <v>0</v>
      </c>
      <c r="FJ214" s="102">
        <f t="shared" si="126"/>
        <v>0</v>
      </c>
      <c r="FL214" s="3">
        <f>('Renewable Diesel'!AX223/12*$FO$80)*'RD Feedstock Breakdown'!EC214*7.5</f>
        <v>1556.7961642532121</v>
      </c>
      <c r="FM214" s="3">
        <f t="shared" si="193"/>
        <v>93.108486523328565</v>
      </c>
      <c r="FR214" s="3">
        <f>('Renewable Diesel'!AX223-'Renewable Diesel'!BI223)/12*$FO$80</f>
        <v>54.415874999999872</v>
      </c>
      <c r="FS214" s="100">
        <f t="shared" si="194"/>
        <v>0.51529807610002409</v>
      </c>
      <c r="FT214" s="3">
        <f t="shared" si="195"/>
        <v>210.30296772599499</v>
      </c>
      <c r="FY214" s="3">
        <f>'Renewable Diesel'!BF223*('Renewable Diesel'!BI223/'Renewable Diesel'!AX223)</f>
        <v>327.56767845975764</v>
      </c>
      <c r="FZ214" s="3">
        <f>('Renewable Diesel'!BJ223*'Renewable Diesel'!BG223)/12</f>
        <v>51.871958348791118</v>
      </c>
      <c r="GA214" s="3">
        <f t="shared" ref="GA214:GA228" si="202">FZ214*FS214*7.5</f>
        <v>200.47140255504485</v>
      </c>
      <c r="GD214" s="91">
        <f>'Renewable Diesel'!BB223*0.32</f>
        <v>0</v>
      </c>
      <c r="GE214" s="91">
        <f>'Renewable Diesel'!BC223</f>
        <v>149.26606301052726</v>
      </c>
      <c r="GF214" s="91">
        <f>'Renewable Diesel'!BD223</f>
        <v>0</v>
      </c>
      <c r="GG214" s="91">
        <f t="shared" si="109"/>
        <v>149.26606301052726</v>
      </c>
      <c r="GH214" s="124">
        <v>1</v>
      </c>
      <c r="GI214" s="102">
        <f>$GG214*EA214*'Feedstock Conversion Rates'!$B$2</f>
        <v>13.097550237410164</v>
      </c>
      <c r="GJ214" s="102">
        <f>$GG214*EB214*'Feedstock Conversion Rates'!$B$3</f>
        <v>297.69305838500475</v>
      </c>
      <c r="GK214" s="102">
        <f>$GG214*EC214*'Feedstock Conversion Rates'!$B$4</f>
        <v>576.8738632226225</v>
      </c>
      <c r="GL214" s="102">
        <f>$GG214*ED214*'Feedstock Conversion Rates'!$B$5</f>
        <v>61.380601679494568</v>
      </c>
      <c r="GM214" s="102">
        <f>$GG214*EE214*'Feedstock Conversion Rates'!$B$6</f>
        <v>116.1798057609108</v>
      </c>
      <c r="GN214" s="102">
        <f>$GG214*EF214*'Feedstock Conversion Rates'!$B$7</f>
        <v>108.73552392134781</v>
      </c>
      <c r="GO214" s="102">
        <f>$GG214*EG214*'Feedstock Conversion Rates'!$B$8</f>
        <v>11.189282335833971</v>
      </c>
      <c r="GP214" s="102">
        <f>$GG214*EH214*'Feedstock Conversion Rates'!B$9</f>
        <v>1.0646183128919497</v>
      </c>
      <c r="GQ214" s="102">
        <f t="shared" si="180"/>
        <v>1186.2143038555166</v>
      </c>
      <c r="GR214" s="85">
        <f t="shared" si="107"/>
        <v>7.9469792391580443</v>
      </c>
      <c r="GT214" s="103">
        <f t="shared" si="159"/>
        <v>1.1041470495541651E-2</v>
      </c>
      <c r="GU214" s="103">
        <f t="shared" si="159"/>
        <v>0.25096060418207899</v>
      </c>
      <c r="GV214" s="103">
        <f t="shared" si="159"/>
        <v>0.48631504555932831</v>
      </c>
      <c r="GW214" s="103">
        <f t="shared" si="159"/>
        <v>5.1744951548797748E-2</v>
      </c>
      <c r="GX214" s="103">
        <f t="shared" si="158"/>
        <v>9.7941666512783646E-2</v>
      </c>
      <c r="GY214" s="103">
        <f t="shared" si="158"/>
        <v>9.1666002987763687E-2</v>
      </c>
      <c r="GZ214" s="103">
        <f t="shared" si="158"/>
        <v>9.4327663217900707E-3</v>
      </c>
      <c r="HA214" s="103">
        <f t="shared" si="158"/>
        <v>8.974923919157381E-4</v>
      </c>
    </row>
    <row r="215" spans="1:209" x14ac:dyDescent="0.25">
      <c r="A215" s="96">
        <v>46966</v>
      </c>
      <c r="B215" s="104">
        <f>23-20+10+85-5-4-4-1.25+2.25-5+15-6-25-45+65+15-22.5-50+40+16.5+27.5+168+80+14-30+15-50-19+22.5-10+5+11-25-50-12.5-27.5-10+10+2+4-1.5+12-26-15-50-15+10-32.5-3-5-2.5-1+5+10-50-35-9-0.5+25+15+25+20+15+85-25+12.5-52.5+10+20-150+20-20+55-25-25+25-15+10</f>
        <v>25</v>
      </c>
      <c r="C215" s="104">
        <f t="shared" si="147"/>
        <v>0</v>
      </c>
      <c r="D215" s="104">
        <f t="shared" si="192"/>
        <v>1.5</v>
      </c>
      <c r="E215" s="104">
        <f>('Renewable Diesel'!B224*E$3*'Feedstock Conversion Rates'!$B$2)/12-40+1.25+6-43+30-15+12.5-4+1.5+26+2.5+3-10+50+9-15-25-55+15+45+10-50+60-60-44+25</f>
        <v>25.679999999999993</v>
      </c>
      <c r="F215" s="104">
        <f>('Renewable Diesel'!B224*'RD Feedstock Breakdown'!F$3*'Feedstock Conversion Rates'!B$8)/12+28.5-49-5+2-6+1+6+20-20-3.75+10+2.5+5-20-20+15-10</f>
        <v>10.15625</v>
      </c>
      <c r="G215" s="104">
        <f>('Renewable Diesel'!B224*'RD Feedstock Breakdown'!G$3*'Feedstock Conversion Rates'!B$7)/12-25-15-25+4+4-20-40-20+10-17.5+20+50-12+32.5+35-75-75+22.5+5-20+15+125-10-45-10-40-40</f>
        <v>9.6570000000000107</v>
      </c>
      <c r="H215" s="104">
        <f>('Renewable Diesel'!B224*'RD Feedstock Breakdown'!H$3*'Feedstock Conversion Rates'!B$3)/12-85+4-15+70-65-80+50-22.5-5+25+27.5+15+50+15-10+5+50+75-5-25-85-12.5+30+22.5-25-30+150+90-120+25+10+70+44+5</f>
        <v>424.40022499999998</v>
      </c>
      <c r="I215" s="106">
        <f t="shared" ref="I215:I278" si="203">SUM(B215:H215)</f>
        <v>496.39347499999997</v>
      </c>
      <c r="J215" s="104">
        <f t="shared" si="181"/>
        <v>16.5</v>
      </c>
      <c r="K215" s="104">
        <f t="shared" si="182"/>
        <v>10</v>
      </c>
      <c r="L215" s="104">
        <v>1</v>
      </c>
      <c r="M215" s="104">
        <f>('Renewable Diesel'!C224*'RD Feedstock Breakdown'!M$3*'Feedstock Conversion Rates'!B$2)/12</f>
        <v>7.7902500000000003</v>
      </c>
      <c r="N215" s="104">
        <f>('Renewable Diesel'!C224*'RD Feedstock Breakdown'!N$3*'Feedstock Conversion Rates'!B$8)/12</f>
        <v>3.671875</v>
      </c>
      <c r="O215" s="104">
        <f>('Renewable Diesel'!C224*'RD Feedstock Breakdown'!O$3*'Feedstock Conversion Rates'!B$7)/12</f>
        <v>11.9991</v>
      </c>
      <c r="P215" s="104">
        <f>('Renewable Diesel'!C224*'RD Feedstock Breakdown'!P$3*'Feedstock Conversion Rates'!B$3)/12</f>
        <v>10.4470425</v>
      </c>
      <c r="Q215" s="106">
        <f t="shared" si="119"/>
        <v>61.408267500000001</v>
      </c>
      <c r="R215" s="104">
        <f>('Renewable Diesel'!D224*'RD Feedstock Breakdown'!R$3*'Feedstock Conversion Rates'!B$7)/12</f>
        <v>2.2999999999999998</v>
      </c>
      <c r="S215" s="106">
        <f t="shared" si="148"/>
        <v>2.2999999999999998</v>
      </c>
      <c r="T215" s="104">
        <f t="shared" si="183"/>
        <v>5.8250000000000028</v>
      </c>
      <c r="U215" s="104">
        <f t="shared" si="184"/>
        <v>45</v>
      </c>
      <c r="V215" s="104">
        <f>('Renewable Diesel'!E224*'RD Feedstock Breakdown'!V$3*'Feedstock Conversion Rates'!B$6)/12-20+25-35</f>
        <v>14.250150000000012</v>
      </c>
      <c r="W215" s="104">
        <f>('Renewable Diesel'!E224*'RD Feedstock Breakdown'!W$3*'Feedstock Conversion Rates'!B$8)/12-5.825-15</f>
        <v>1.3546875000000007</v>
      </c>
      <c r="X215" s="106">
        <f t="shared" si="185"/>
        <v>66.429837500000005</v>
      </c>
      <c r="Y215" s="104">
        <f t="shared" si="186"/>
        <v>125.5</v>
      </c>
      <c r="Z215" s="104">
        <f>('Renewable Diesel'!F224*'RD Feedstock Breakdown'!Z$3*'Feedstock Conversion Rates'!B$6)/12-50-32-60+15+30+22.5-70+70-35+5+6</f>
        <v>60.960000000000008</v>
      </c>
      <c r="AA215" s="104">
        <f>('Renewable Diesel'!F224*'RD Feedstock Breakdown'!AA$3*'Feedstock Conversion Rates'!B$7)/12+80-171+75+30+20-50-6-5</f>
        <v>77.266666666666652</v>
      </c>
      <c r="AB215" s="106">
        <f t="shared" si="137"/>
        <v>263.72666666666669</v>
      </c>
      <c r="AC215" s="104">
        <f>('Renewable Diesel'!G224*'RD Feedstock Breakdown'!AC$3*'Feedstock Conversion Rates'!B$5)/12</f>
        <v>11.796875</v>
      </c>
      <c r="AD215" s="104">
        <f>('Renewable Diesel'!G224*'RD Feedstock Breakdown'!AD$3*'Feedstock Conversion Rates'!B$4)/12</f>
        <v>5.859375</v>
      </c>
      <c r="AE215" s="104">
        <f>('Renewable Diesel'!G224*'RD Feedstock Breakdown'!AE$3*'Feedstock Conversion Rates'!B$6)/12</f>
        <v>7.3281250000000009</v>
      </c>
      <c r="AF215" s="106">
        <f t="shared" si="198"/>
        <v>24.984375</v>
      </c>
      <c r="AG215" s="104">
        <f t="shared" si="188"/>
        <v>106.5</v>
      </c>
      <c r="AH215" s="104">
        <v>30</v>
      </c>
      <c r="AI215" s="104">
        <f>('Renewable Diesel'!H224*'RD Feedstock Breakdown'!AI$3*'Feedstock Conversion Rates'!B$6)/12-130-20+51-120+2.5+100-45+25</f>
        <v>12.01666666666668</v>
      </c>
      <c r="AJ215" s="106">
        <f t="shared" si="145"/>
        <v>118.51666666666668</v>
      </c>
      <c r="AK215" s="104">
        <f>('Renewable Diesel'!J224*'RD Feedstock Breakdown'!AK$3*'Feedstock Conversion Rates'!B$4)/12</f>
        <v>95.8125</v>
      </c>
      <c r="AL215" s="106">
        <f t="shared" si="157"/>
        <v>95.8125</v>
      </c>
      <c r="AM215" s="104">
        <f>('Renewable Diesel'!K224*'RD Feedstock Breakdown'!AM$3*'Feedstock Conversion Rates'!B$4)/12+5+15-10+9-27</f>
        <v>50.59375</v>
      </c>
      <c r="AN215" s="104">
        <f>('Renewable Diesel'!K224*'RD Feedstock Breakdown'!AN$3*'Feedstock Conversion Rates'!B$6)/12-5-15+10-9+27</f>
        <v>32.427083333333329</v>
      </c>
      <c r="AO215" s="106">
        <f t="shared" si="173"/>
        <v>83.020833333333329</v>
      </c>
      <c r="AP215" s="104">
        <f>('Renewable Diesel'!L224*'RD Feedstock Breakdown'!AP$3*'Feedstock Conversion Rates'!B$4)/12+15-10+2.5+12</f>
        <v>78.09375</v>
      </c>
      <c r="AQ215" s="104">
        <f>('Renewable Diesel'!L224*'RD Feedstock Breakdown'!AQ$3*'Feedstock Conversion Rates'!B$6)/12-15+10-2.5-12</f>
        <v>4.9270833333333321</v>
      </c>
      <c r="AR215" s="106">
        <f t="shared" si="162"/>
        <v>83.020833333333329</v>
      </c>
      <c r="AS215" s="104">
        <f>('Renewable Diesel'!M224*'RD Feedstock Breakdown'!AS$3*'Feedstock Conversion Rates'!B$4)/12</f>
        <v>456.25</v>
      </c>
      <c r="AT215" s="104">
        <f>('Renewable Diesel'!M224*'RD Feedstock Breakdown'!AT$3*'Feedstock Conversion Rates'!B$5)/12</f>
        <v>0</v>
      </c>
      <c r="AU215" s="106">
        <f t="shared" si="201"/>
        <v>456.25</v>
      </c>
      <c r="AV215" s="104">
        <f>'Renewable Diesel'!N224*'RD Feedstock Breakdown'!$AV$3*'Feedstock Conversion Rates'!$B$4/12-15-10+25+25-22-25-12.5</f>
        <v>44.249999999999986</v>
      </c>
      <c r="AW215" s="104">
        <f>'Renewable Diesel'!N224*'RD Feedstock Breakdown'!$AW$3*'Feedstock Conversion Rates'!$B$7/12+15+10-25-25+22+25+12.5</f>
        <v>75.900000000000006</v>
      </c>
      <c r="AX215" s="106">
        <f t="shared" si="141"/>
        <v>120.14999999999999</v>
      </c>
      <c r="AY215" s="104">
        <f>('Renewable Diesel'!O224*'RD Feedstock Breakdown'!AY$3*'Feedstock Conversion Rates'!B$4)/12+32+2-135-247+50</f>
        <v>-87.0625</v>
      </c>
      <c r="AZ215" s="104">
        <f>('Renewable Diesel'!O224*'RD Feedstock Breakdown'!AZ$3*'Feedstock Conversion Rates'!B$3)/12-32-2+135+247-50</f>
        <v>323.03125</v>
      </c>
      <c r="BA215" s="106">
        <f t="shared" si="120"/>
        <v>235.96875</v>
      </c>
      <c r="BB215" s="104">
        <f>('Renewable Diesel'!Q224*'RD Feedstock Breakdown'!BB$3*'Feedstock Conversion Rates'!B$4)/12</f>
        <v>11.156249999999998</v>
      </c>
      <c r="BC215" s="104">
        <f>('Renewable Diesel'!Q224*'RD Feedstock Breakdown'!BC$3*'Feedstock Conversion Rates'!B$3)/12</f>
        <v>1.4017500000000001</v>
      </c>
      <c r="BD215" s="104">
        <f>('Renewable Diesel'!Q224*'RD Feedstock Breakdown'!BD$3*'Feedstock Conversion Rates'!B$6)/12</f>
        <v>0.8207500000000002</v>
      </c>
      <c r="BE215" s="106">
        <f t="shared" si="189"/>
        <v>13.378749999999998</v>
      </c>
      <c r="BF215" s="104">
        <f>('Renewable Diesel'!R224*'RD Feedstock Breakdown'!BF$3*'Feedstock Conversion Rates'!B$4)/12</f>
        <v>62.5</v>
      </c>
      <c r="BG215" s="106">
        <f t="shared" si="167"/>
        <v>62.5</v>
      </c>
      <c r="BH215" s="104">
        <f>('Renewable Diesel'!T224*'RD Feedstock Breakdown'!BH$3*'Feedstock Conversion Rates'!B$7)/12</f>
        <v>27.599999999999998</v>
      </c>
      <c r="BI215" s="106">
        <f t="shared" si="144"/>
        <v>27.599999999999998</v>
      </c>
      <c r="BJ215" s="104">
        <f>('Renewable Diesel'!W224*'RD Feedstock Breakdown'!BJ$3*'Feedstock Conversion Rates'!B$4)/12</f>
        <v>7.5</v>
      </c>
      <c r="BK215" s="104">
        <f>('Renewable Diesel'!W224*'RD Feedstock Breakdown'!BK$3*'Feedstock Conversion Rates'!B$3)/12</f>
        <v>1.335</v>
      </c>
      <c r="BL215" s="104">
        <f>('Renewable Diesel'!W224*'RD Feedstock Breakdown'!BL$3*'Feedstock Conversion Rates'!B$6)/12</f>
        <v>3.1266666666666669</v>
      </c>
      <c r="BM215" s="104">
        <f>('Renewable Diesel'!W224*'RD Feedstock Breakdown'!BM$3*'Feedstock Conversion Rates'!B$7)/12</f>
        <v>1.5333333333333332</v>
      </c>
      <c r="BN215" s="106">
        <f t="shared" si="112"/>
        <v>13.495000000000001</v>
      </c>
      <c r="BO215" s="104">
        <f>('Renewable Diesel'!P224*'Feedstock Conversion Rates'!B$4)/12</f>
        <v>31.25</v>
      </c>
      <c r="BP215" s="106">
        <f t="shared" si="199"/>
        <v>31.25</v>
      </c>
      <c r="BQ215" s="104">
        <f>('Renewable Diesel'!$S224*'RD Feedstock Breakdown'!BQ$3*'Feedstock Conversion Rates'!B$4)/12+10</f>
        <v>38.125</v>
      </c>
      <c r="BR215" s="104">
        <f>('Renewable Diesel'!$S224*'RD Feedstock Breakdown'!BR$3*'Feedstock Conversion Rates'!B$7)/12-10</f>
        <v>1.5</v>
      </c>
      <c r="BS215" s="106">
        <f t="shared" si="123"/>
        <v>39.625</v>
      </c>
      <c r="BT215" s="106"/>
      <c r="BU215" s="104">
        <f>('Renewable Diesel'!Y224*'Feedstock Conversion Rates'!B$7)/12</f>
        <v>2.6833333333333331</v>
      </c>
      <c r="BV215" s="106">
        <f t="shared" si="191"/>
        <v>2.6833333333333331</v>
      </c>
      <c r="BW215" s="104">
        <f>('Renewable Diesel'!$Z224*'RD Feedstock Breakdown'!BW$3*'Feedstock Conversion Rates'!$B$4)/12</f>
        <v>53.90625</v>
      </c>
      <c r="BX215" s="104">
        <f>('Renewable Diesel'!$Z224*'RD Feedstock Breakdown'!BX$3*'Feedstock Conversion Rates'!$B$5)/12</f>
        <v>5.4265624999999993</v>
      </c>
      <c r="BY215" s="104">
        <f>('Renewable Diesel'!$Z224*'RD Feedstock Breakdown'!BY$3*'Feedstock Conversion Rates'!$B$7)/12</f>
        <v>46.287499999999994</v>
      </c>
      <c r="BZ215" s="104">
        <f>('Renewable Diesel'!$Z224*'RD Feedstock Breakdown'!BZ$3*'Feedstock Conversion Rates'!$B$3)/12</f>
        <v>11.514374999999999</v>
      </c>
      <c r="CA215" s="106">
        <f t="shared" si="127"/>
        <v>117.1346875</v>
      </c>
      <c r="CB215" s="104">
        <f>('Renewable Diesel'!AA224*'Feedstock Conversion Rates'!B$4)/12</f>
        <v>191.25</v>
      </c>
      <c r="CC215" s="106">
        <f t="shared" si="113"/>
        <v>191.25</v>
      </c>
      <c r="CD215" s="104">
        <f>('Renewable Diesel'!$AB224*'RD Feedstock Breakdown'!CD$3*'Feedstock Conversion Rates'!$B$6)/12-15</f>
        <v>17.830000000000005</v>
      </c>
      <c r="CE215" s="104">
        <f>('Renewable Diesel'!$AB224*'RD Feedstock Breakdown'!CE$3*'Feedstock Conversion Rates'!$B$4)/12+15</f>
        <v>26.25</v>
      </c>
      <c r="CF215" s="106">
        <f t="shared" si="108"/>
        <v>44.080000000000005</v>
      </c>
      <c r="CG215" s="104">
        <f>('Renewable Diesel'!AD224*'Feedstock Conversion Rates'!B$4)/12</f>
        <v>112.5</v>
      </c>
      <c r="CH215" s="106">
        <f t="shared" si="187"/>
        <v>112.5</v>
      </c>
      <c r="CI215" s="104">
        <f>('Renewable Diesel'!$AE224*'RD Feedstock Breakdown'!CI$3*'Feedstock Conversion Rates'!$B$5)/12</f>
        <v>0.34604166666666664</v>
      </c>
      <c r="CJ215" s="104">
        <f>('Renewable Diesel'!$AE224*'RD Feedstock Breakdown'!CJ$3*'Feedstock Conversion Rates'!$B$4)/12</f>
        <v>0.34375</v>
      </c>
      <c r="CK215" s="106">
        <f t="shared" si="200"/>
        <v>0.68979166666666658</v>
      </c>
      <c r="CL215" s="104">
        <f>(((CL$3*'Renewable Diesel'!$AF224)*'Feedstock Conversion Rates'!$B$3)/12)-35</f>
        <v>56.78125</v>
      </c>
      <c r="CM215" s="104">
        <f>(((CM$3*'Renewable Diesel'!$AF224)*'Feedstock Conversion Rates'!$B$6)/12)-32.5+35+30</f>
        <v>86.239583333333343</v>
      </c>
      <c r="CN215" s="104">
        <f>(((CN$3*'Renewable Diesel'!$AF224)*'Feedstock Conversion Rates'!$B$4)/12)</f>
        <v>42.96875</v>
      </c>
      <c r="CO215" s="106">
        <f t="shared" si="190"/>
        <v>185.98958333333334</v>
      </c>
      <c r="CP215" s="104">
        <f>('Renewable Diesel'!$AG224*'RD Feedstock Breakdown'!CP$3*'Feedstock Conversion Rates'!$B$3)/12</f>
        <v>6.0075000000000003</v>
      </c>
      <c r="CQ215" s="104">
        <f>('Renewable Diesel'!$AG224*'RD Feedstock Breakdown'!CQ$3*'Feedstock Conversion Rates'!$B$6)/12</f>
        <v>3.5175000000000001</v>
      </c>
      <c r="CR215" s="104">
        <f>('Renewable Diesel'!$AG224*'RD Feedstock Breakdown'!CR$3*'Feedstock Conversion Rates'!$B$4)/12</f>
        <v>2.8125</v>
      </c>
      <c r="CS215" s="106">
        <f t="shared" si="134"/>
        <v>12.3375</v>
      </c>
      <c r="CT215" s="104">
        <f>('Renewable Diesel'!AI224*'Feedstock Conversion Rates'!$B$4*'RD Feedstock Breakdown'!$CT$3)/12</f>
        <v>29.375</v>
      </c>
      <c r="CU215" s="106">
        <f t="shared" si="196"/>
        <v>29.375</v>
      </c>
      <c r="CV215" s="104">
        <f>('Renewable Diesel'!AN224*'Feedstock Conversion Rates'!$B$3*'RD Feedstock Breakdown'!$CV$3)/12</f>
        <v>0.50062499999999999</v>
      </c>
      <c r="CW215" s="106">
        <f t="shared" si="161"/>
        <v>0.50062499999999999</v>
      </c>
      <c r="CX215" s="104">
        <f>('Renewable Diesel'!AO224*'RD Feedstock Breakdown'!$CX$3*'Feedstock Conversion Rates'!$B$3)/12</f>
        <v>6.3412499999999996</v>
      </c>
      <c r="CY215" s="104">
        <f>('Renewable Diesel'!AO224*'RD Feedstock Breakdown'!$CY$3*'Feedstock Conversion Rates'!$B$6)/12</f>
        <v>7.4258333333333342</v>
      </c>
      <c r="CZ215" s="106">
        <f t="shared" si="135"/>
        <v>13.767083333333334</v>
      </c>
      <c r="DA215" s="104">
        <f>('Renewable Diesel'!$AP224*'RD Feedstock Breakdown'!DA$3*'Feedstock Conversion Rates'!$B$3)/12</f>
        <v>6.3412499999999996</v>
      </c>
      <c r="DB215" s="104">
        <f>('Renewable Diesel'!$AP224*'RD Feedstock Breakdown'!DB$3*'Feedstock Conversion Rates'!$B$8)/12</f>
        <v>7.421875</v>
      </c>
      <c r="DC215" s="106">
        <f t="shared" si="165"/>
        <v>13.763124999999999</v>
      </c>
      <c r="DD215" s="104">
        <f>('Renewable Diesel'!AQ224*$DD$3*'Feedstock Conversion Rates'!$B$14)/12</f>
        <v>3.1041666666666665</v>
      </c>
      <c r="DE215" s="106">
        <f t="shared" si="166"/>
        <v>3.1041666666666665</v>
      </c>
      <c r="DF215" s="104">
        <f>('Renewable Diesel'!AR224*'Feedstock Conversion Rates'!$B$4*$DF$3)/12</f>
        <v>75</v>
      </c>
      <c r="DG215" s="106">
        <f t="shared" si="136"/>
        <v>75</v>
      </c>
      <c r="DH215" s="104">
        <f>('Renewable Diesel'!AS224*'Feedstock Conversion Rates'!$B$4*$DH$3)/12</f>
        <v>75</v>
      </c>
      <c r="DI215" s="106">
        <f t="shared" si="142"/>
        <v>75</v>
      </c>
      <c r="DJ215" s="104">
        <f>('Renewable Diesel'!AT224*'Feedstock Conversion Rates'!$B$4*0.25)/12</f>
        <v>8.59375</v>
      </c>
      <c r="DK215" s="104">
        <f>('Renewable Diesel'!$AT224*'RD Feedstock Breakdown'!DK$3*'Feedstock Conversion Rates'!$B$3)/12*0.5</f>
        <v>9.1781249999999996</v>
      </c>
      <c r="DL215" s="104">
        <f>('Renewable Diesel'!$AT224*'RD Feedstock Breakdown'!$DL$3*'Feedstock Conversion Rates'!$B$6)/12</f>
        <v>10.747916666666669</v>
      </c>
      <c r="DM215" s="104">
        <f>('Renewable Diesel'!$AT224*'RD Feedstock Breakdown'!$DM$3*'Feedstock Conversion Rates'!$B$8)/12</f>
        <v>10.7421875</v>
      </c>
      <c r="DN215" s="106">
        <f t="shared" si="110"/>
        <v>39.26197916666667</v>
      </c>
      <c r="DP215" s="104">
        <f t="shared" si="168"/>
        <v>33.470249999999993</v>
      </c>
      <c r="DQ215" s="104">
        <f t="shared" si="169"/>
        <v>857.27964250000002</v>
      </c>
      <c r="DR215" s="104">
        <f t="shared" si="174"/>
        <v>1645.734375</v>
      </c>
      <c r="DS215" s="104">
        <f t="shared" si="197"/>
        <v>151.59239583333334</v>
      </c>
      <c r="DT215" s="104">
        <f t="shared" si="170"/>
        <v>269.03923333333341</v>
      </c>
      <c r="DU215" s="104">
        <f t="shared" si="171"/>
        <v>256.72693333333336</v>
      </c>
      <c r="DV215" s="104">
        <f t="shared" si="175"/>
        <v>25.925000000000001</v>
      </c>
      <c r="DW215" s="104">
        <f t="shared" si="172"/>
        <v>2.5</v>
      </c>
      <c r="DX215" s="106">
        <f t="shared" si="176"/>
        <v>3242.2678300000002</v>
      </c>
      <c r="DY215" s="109">
        <f t="shared" si="163"/>
        <v>-30.000000000000707</v>
      </c>
      <c r="EA215" s="110">
        <f t="shared" si="150"/>
        <v>1.0323098446805361E-2</v>
      </c>
      <c r="EB215" s="110">
        <f t="shared" si="151"/>
        <v>0.26440741093865772</v>
      </c>
      <c r="EC215" s="110">
        <f t="shared" si="152"/>
        <v>0.50758742376936816</v>
      </c>
      <c r="ED215" s="110">
        <f t="shared" si="146"/>
        <v>4.6755050409679859E-2</v>
      </c>
      <c r="EE215" s="110">
        <f t="shared" si="146"/>
        <v>8.2978719661581254E-2</v>
      </c>
      <c r="EF215" s="110">
        <f t="shared" si="146"/>
        <v>7.9181285073951876E-2</v>
      </c>
      <c r="EG215" s="110">
        <f t="shared" si="146"/>
        <v>7.9959464668901206E-3</v>
      </c>
      <c r="EH215" s="111">
        <f t="shared" si="177"/>
        <v>7.7106523306558542E-4</v>
      </c>
      <c r="EI215" s="110">
        <f t="shared" si="178"/>
        <v>0.99922893476693431</v>
      </c>
      <c r="EK215" s="132">
        <f>(EA215*'Renewable Diesel'!BF224*'Feedstock Conversion Rates'!B$2)+FB215</f>
        <v>34.69423790164565</v>
      </c>
      <c r="EL215" s="132">
        <f>(EB215*'Renewable Diesel'!BF224*'Feedstock Conversion Rates'!B$3)+FC215</f>
        <v>837.40297045080263</v>
      </c>
      <c r="EM215" s="132">
        <f>(EC215*'Renewable Diesel'!BF224*'Feedstock Conversion Rates'!B$4)+FD215</f>
        <v>1505.2217117088474</v>
      </c>
      <c r="EN215" s="132">
        <f>(ED215*'Renewable Diesel'!BF224*'Feedstock Conversion Rates'!B$5)+FE215</f>
        <v>139.57377942104651</v>
      </c>
      <c r="EO215" s="132">
        <f>(EE215*'Renewable Diesel'!BF224*'Feedstock Conversion Rates'!B$6)+FF215</f>
        <v>307.74990340735985</v>
      </c>
      <c r="EP215" s="132">
        <f>(EF215*'Renewable Diesel'!BF224*'Feedstock Conversion Rates'!B$7)+FG215</f>
        <v>288.03066733136461</v>
      </c>
      <c r="EQ215" s="132">
        <f>(EG215*'Renewable Diesel'!BF224*'Feedstock Conversion Rates'!B$8)+FH215</f>
        <v>29.639407085402127</v>
      </c>
      <c r="ER215" s="132">
        <f>(EH215*'Renewable Diesel'!BF224*'Feedstock Conversion Rates'!B$9)+FI215</f>
        <v>2.8200785912179462</v>
      </c>
      <c r="ES215" s="132">
        <f t="shared" si="179"/>
        <v>3145.1327558976868</v>
      </c>
      <c r="ET215" s="133">
        <f>ES215/'Renewable Diesel'!BF224</f>
        <v>7.9544585719187788</v>
      </c>
      <c r="EW215" s="73">
        <f t="shared" si="124"/>
        <v>1644.7954911298939</v>
      </c>
      <c r="EX215" s="73">
        <f t="shared" si="125"/>
        <v>1500.3372647677927</v>
      </c>
      <c r="EY215" s="92">
        <f t="shared" si="164"/>
        <v>0.52296536228736545</v>
      </c>
      <c r="EZ215" s="92">
        <f t="shared" si="164"/>
        <v>0.47703463771263449</v>
      </c>
      <c r="FB215" s="102">
        <f>IF('Renewable Diesel'!$BG224&lt;1,0,(((('Renewable Diesel'!$BG224-1)*'Renewable Diesel'!$BF224)*'RD Feedstock Breakdown'!EA215)*'Feedstock Conversion Rates'!$B$2))</f>
        <v>0</v>
      </c>
      <c r="FC215" s="102">
        <f>IF('Renewable Diesel'!$BG224&lt;1,0,(((('Renewable Diesel'!$BG224-1)*'Renewable Diesel'!$BF224)*'RD Feedstock Breakdown'!EB215)*'Feedstock Conversion Rates'!$B$3))</f>
        <v>0</v>
      </c>
      <c r="FD215" s="102">
        <f>IF('Renewable Diesel'!$BG224&lt;1,0,(((('Renewable Diesel'!$BG224-1)*'Renewable Diesel'!$BF224)*'RD Feedstock Breakdown'!EC215)*'Feedstock Conversion Rates'!$B$4))</f>
        <v>0</v>
      </c>
      <c r="FE215" s="102">
        <f>IF('Renewable Diesel'!$BG224&lt;1,0,(((('Renewable Diesel'!$BG224-1)*'Renewable Diesel'!$BF224)*'RD Feedstock Breakdown'!ED215)*'Feedstock Conversion Rates'!$B$5))</f>
        <v>0</v>
      </c>
      <c r="FF215" s="102">
        <f>IF('Renewable Diesel'!$BG224&lt;1,0,(((('Renewable Diesel'!$BG224-1)*'Renewable Diesel'!$BF224)*'RD Feedstock Breakdown'!EE215)*'Feedstock Conversion Rates'!$B$6))</f>
        <v>0</v>
      </c>
      <c r="FG215" s="102">
        <f>IF('Renewable Diesel'!$BG224&lt;1,0,(((('Renewable Diesel'!$BG224-1)*'Renewable Diesel'!$BF224)*'RD Feedstock Breakdown'!EF215)*'Feedstock Conversion Rates'!$B$7))</f>
        <v>0</v>
      </c>
      <c r="FH215" s="102">
        <f>IF('Renewable Diesel'!$BG224&lt;1,0,(((('Renewable Diesel'!$BG224-1)*'Renewable Diesel'!$BF224)*'RD Feedstock Breakdown'!EG215)*'Feedstock Conversion Rates'!$B$8))</f>
        <v>0</v>
      </c>
      <c r="FI215" s="102">
        <f>IF('Renewable Diesel'!$BG224&lt;1,0,(((('Renewable Diesel'!$BG224-1)*'Renewable Diesel'!$BF224)*'RD Feedstock Breakdown'!EH215)*'Feedstock Conversion Rates'!$B$9))</f>
        <v>0</v>
      </c>
      <c r="FJ215" s="102">
        <f t="shared" si="126"/>
        <v>0</v>
      </c>
      <c r="FL215" s="3">
        <f>('Renewable Diesel'!AX224/12*$FO$80)*'RD Feedstock Breakdown'!EC215*7.5</f>
        <v>1533.5010763632949</v>
      </c>
      <c r="FM215" s="3">
        <f t="shared" si="193"/>
        <v>28.279364654447591</v>
      </c>
      <c r="FR215" s="3">
        <f>('Renewable Diesel'!AX224-'Renewable Diesel'!BI224)/12*$FO$80</f>
        <v>54.415874999999872</v>
      </c>
      <c r="FS215" s="100">
        <f t="shared" si="194"/>
        <v>0.50758742376936816</v>
      </c>
      <c r="FT215" s="3">
        <f t="shared" si="195"/>
        <v>207.15610352554427</v>
      </c>
      <c r="FY215" s="3">
        <f>'Renewable Diesel'!BF224*('Renewable Diesel'!BI224/'Renewable Diesel'!AX224)</f>
        <v>341.98004719475102</v>
      </c>
      <c r="FZ215" s="3">
        <f>('Renewable Diesel'!BJ224*'Renewable Diesel'!BG224)/12</f>
        <v>52.407317476855923</v>
      </c>
      <c r="GA215" s="3">
        <f t="shared" si="202"/>
        <v>199.50971448555512</v>
      </c>
      <c r="GD215" s="91">
        <f>'Renewable Diesel'!BB224*0.32</f>
        <v>0</v>
      </c>
      <c r="GE215" s="91">
        <f>'Renewable Diesel'!BC224</f>
        <v>162.64569940454592</v>
      </c>
      <c r="GF215" s="91">
        <f>'Renewable Diesel'!BD224</f>
        <v>0</v>
      </c>
      <c r="GG215" s="91">
        <f t="shared" si="109"/>
        <v>162.64569940454592</v>
      </c>
      <c r="GH215" s="124">
        <v>1</v>
      </c>
      <c r="GI215" s="102">
        <f>$GG215*EA215*'Feedstock Conversion Rates'!$B$2</f>
        <v>14.271564318672437</v>
      </c>
      <c r="GJ215" s="102">
        <f>$GG215*EB215*'Feedstock Conversion Rates'!$B$3</f>
        <v>344.46787352170401</v>
      </c>
      <c r="GK215" s="102">
        <f>$GG215*EC215*'Feedstock Conversion Rates'!$B$4</f>
        <v>619.17683660940395</v>
      </c>
      <c r="GL215" s="102">
        <f>$GG215*ED215*'Feedstock Conversion Rates'!$B$5</f>
        <v>57.414034453057724</v>
      </c>
      <c r="GM215" s="102">
        <f>$GG215*EE215*'Feedstock Conversion Rates'!$B$6</f>
        <v>126.59371717558429</v>
      </c>
      <c r="GN215" s="102">
        <f>$GG215*EF215*'Feedstock Conversion Rates'!$B$7</f>
        <v>118.48215851355343</v>
      </c>
      <c r="GO215" s="102">
        <f>$GG215*EG215*'Feedstock Conversion Rates'!$B$8</f>
        <v>12.19224661414361</v>
      </c>
      <c r="GP215" s="102">
        <f>$GG215*EH215*'Feedstock Conversion Rates'!B$9</f>
        <v>1.1600466080959524</v>
      </c>
      <c r="GQ215" s="102">
        <f t="shared" si="180"/>
        <v>1293.7584778142154</v>
      </c>
      <c r="GR215" s="85">
        <f t="shared" ref="GR215:GR278" si="204">GQ215/GG215</f>
        <v>7.9544585719187797</v>
      </c>
      <c r="GT215" s="103">
        <f t="shared" si="159"/>
        <v>1.103108854040827E-2</v>
      </c>
      <c r="GU215" s="103">
        <f t="shared" si="159"/>
        <v>0.26625361644290602</v>
      </c>
      <c r="GV215" s="103">
        <f t="shared" si="159"/>
        <v>0.47858765544515969</v>
      </c>
      <c r="GW215" s="103">
        <f t="shared" si="159"/>
        <v>4.437770684220585E-2</v>
      </c>
      <c r="GX215" s="103">
        <f t="shared" si="158"/>
        <v>9.7849574975896886E-2</v>
      </c>
      <c r="GY215" s="103">
        <f t="shared" si="158"/>
        <v>9.1579812264285368E-2</v>
      </c>
      <c r="GZ215" s="103">
        <f t="shared" si="158"/>
        <v>9.4238969817165719E-3</v>
      </c>
      <c r="HA215" s="103">
        <f t="shared" si="158"/>
        <v>8.9664850742144178E-4</v>
      </c>
    </row>
    <row r="216" spans="1:209" x14ac:dyDescent="0.25">
      <c r="A216" s="96">
        <v>46997</v>
      </c>
      <c r="B216" s="104">
        <f>23-20+10+85-5-4-4-1.25+2.25-5+15-6-25-45+65+15-22.5-50+40+16.5+27.5+168+80+14-30+15-50-19+22.5-10+5+11-25-50-12.5-27.5-10+10+2+4-1.5+12-26-15-50-15+10-32.5-3-5-2.5-1+5+10-50-35-9-0.5+25+15+25+20+15+85-25+12.5-52.5+10+20-150+20-20+55-25-25+25-15+10-10+10</f>
        <v>25</v>
      </c>
      <c r="C216" s="104">
        <f t="shared" si="147"/>
        <v>0</v>
      </c>
      <c r="D216" s="104">
        <f t="shared" si="192"/>
        <v>1.5</v>
      </c>
      <c r="E216" s="104">
        <f>('Renewable Diesel'!B225*E$3*'Feedstock Conversion Rates'!$B$2)/12-40+1.25+6-43+30-15+12.5-4+1.5+26+2.5+3-10+50+9-15-25-55+15+45+10-50+60-60-44+25</f>
        <v>25.679999999999993</v>
      </c>
      <c r="F216" s="104">
        <f>('Renewable Diesel'!B225*'RD Feedstock Breakdown'!F$3*'Feedstock Conversion Rates'!B$8)/12+28.5-49-5+2-6+1+6+20-20-3.75+10+2.5+5-20-20+15-10+10-10</f>
        <v>10.15625</v>
      </c>
      <c r="G216" s="104">
        <f>('Renewable Diesel'!B225*'RD Feedstock Breakdown'!G$3*'Feedstock Conversion Rates'!B$7)/12-25-15-25+4+4-20-40-20+10-17.5+20+50-12+32.5+35-75-75+22.5+5-20+15+125-10-45-10-40-40</f>
        <v>9.6570000000000107</v>
      </c>
      <c r="H216" s="104">
        <f>('Renewable Diesel'!B225*'RD Feedstock Breakdown'!H$3*'Feedstock Conversion Rates'!B$3)/12-85+4-15+70-65-80+50-22.5-5+25+27.5+15+50+15-10+5+50+75-5-25-85-12.5+30+22.5-25-30+150+90-120+25+10+70+44+5</f>
        <v>424.40022499999998</v>
      </c>
      <c r="I216" s="106">
        <f t="shared" si="203"/>
        <v>496.39347499999997</v>
      </c>
      <c r="J216" s="104">
        <f>2+10+12+15-6-20-5-5+7+105+30+87+5-10-5-25-27.5+1-1-15-17.5-6-10-77.5-7.5-1+17.5+15+90+2+2.5+2.5+7.5+27.5-32-11-25+5-50-30-20-20+20-20+50-50+60</f>
        <v>76.5</v>
      </c>
      <c r="K216" s="104">
        <f t="shared" si="182"/>
        <v>10</v>
      </c>
      <c r="L216" s="104">
        <v>1</v>
      </c>
      <c r="M216" s="104">
        <f>('Renewable Diesel'!C225*'RD Feedstock Breakdown'!M$3*'Feedstock Conversion Rates'!B$2)/12</f>
        <v>7.7902500000000003</v>
      </c>
      <c r="N216" s="104">
        <f>('Renewable Diesel'!C225*'RD Feedstock Breakdown'!N$3*'Feedstock Conversion Rates'!B$8)/12</f>
        <v>3.671875</v>
      </c>
      <c r="O216" s="104">
        <f>('Renewable Diesel'!C225*'RD Feedstock Breakdown'!O$3*'Feedstock Conversion Rates'!B$7)/12</f>
        <v>11.9991</v>
      </c>
      <c r="P216" s="104">
        <f>('Renewable Diesel'!C225*'RD Feedstock Breakdown'!P$3*'Feedstock Conversion Rates'!B$3)/12</f>
        <v>10.4470425</v>
      </c>
      <c r="Q216" s="106">
        <f t="shared" si="119"/>
        <v>121.40826749999999</v>
      </c>
      <c r="R216" s="104">
        <f>('Renewable Diesel'!D225*'RD Feedstock Breakdown'!R$3*'Feedstock Conversion Rates'!B$7)/12</f>
        <v>2.2999999999999998</v>
      </c>
      <c r="S216" s="106">
        <f t="shared" si="148"/>
        <v>2.2999999999999998</v>
      </c>
      <c r="T216" s="104">
        <f t="shared" si="183"/>
        <v>5.8250000000000028</v>
      </c>
      <c r="U216" s="104">
        <f t="shared" si="184"/>
        <v>45</v>
      </c>
      <c r="V216" s="104">
        <f>('Renewable Diesel'!E225*'RD Feedstock Breakdown'!V$3*'Feedstock Conversion Rates'!B$6)/12-20+25-35</f>
        <v>14.250150000000012</v>
      </c>
      <c r="W216" s="104">
        <f>('Renewable Diesel'!E225*'RD Feedstock Breakdown'!W$3*'Feedstock Conversion Rates'!B$8)/12-5.825-15</f>
        <v>1.3546875000000007</v>
      </c>
      <c r="X216" s="106">
        <f t="shared" si="185"/>
        <v>66.429837500000005</v>
      </c>
      <c r="Y216" s="104">
        <f t="shared" si="186"/>
        <v>125.5</v>
      </c>
      <c r="Z216" s="104">
        <f>('Renewable Diesel'!F225*'RD Feedstock Breakdown'!Z$3*'Feedstock Conversion Rates'!B$6)/12-50-32-60+15+30+22.5-70+70-35+5+6</f>
        <v>60.960000000000008</v>
      </c>
      <c r="AA216" s="104">
        <f>('Renewable Diesel'!F225*'RD Feedstock Breakdown'!AA$3*'Feedstock Conversion Rates'!B$7)/12+80-171+75+30+20-50-6-5</f>
        <v>77.266666666666652</v>
      </c>
      <c r="AB216" s="106">
        <f t="shared" si="137"/>
        <v>263.72666666666669</v>
      </c>
      <c r="AC216" s="104">
        <f>('Renewable Diesel'!G225*'RD Feedstock Breakdown'!AC$3*'Feedstock Conversion Rates'!B$5)/12</f>
        <v>11.796875</v>
      </c>
      <c r="AD216" s="104">
        <f>('Renewable Diesel'!G225*'RD Feedstock Breakdown'!AD$3*'Feedstock Conversion Rates'!B$4)/12</f>
        <v>5.859375</v>
      </c>
      <c r="AE216" s="104">
        <f>('Renewable Diesel'!G225*'RD Feedstock Breakdown'!AE$3*'Feedstock Conversion Rates'!B$6)/12</f>
        <v>7.3281250000000009</v>
      </c>
      <c r="AF216" s="106">
        <f t="shared" si="198"/>
        <v>24.984375</v>
      </c>
      <c r="AG216" s="104">
        <f t="shared" si="188"/>
        <v>106.5</v>
      </c>
      <c r="AH216" s="104">
        <v>30</v>
      </c>
      <c r="AI216" s="104">
        <f>('Renewable Diesel'!H225*'RD Feedstock Breakdown'!AI$3*'Feedstock Conversion Rates'!B$6)/12-130-20+51-120+2.5+100-45+25</f>
        <v>12.01666666666668</v>
      </c>
      <c r="AJ216" s="106">
        <f t="shared" si="145"/>
        <v>118.51666666666668</v>
      </c>
      <c r="AK216" s="104">
        <f>('Renewable Diesel'!J225*'RD Feedstock Breakdown'!AK$3*'Feedstock Conversion Rates'!B$4)/12</f>
        <v>95.8125</v>
      </c>
      <c r="AL216" s="106">
        <f t="shared" si="157"/>
        <v>95.8125</v>
      </c>
      <c r="AM216" s="104">
        <f>('Renewable Diesel'!K225*'RD Feedstock Breakdown'!AM$3*'Feedstock Conversion Rates'!B$4)/12+5+15-10+9-27</f>
        <v>50.59375</v>
      </c>
      <c r="AN216" s="104">
        <f>('Renewable Diesel'!K225*'RD Feedstock Breakdown'!AN$3*'Feedstock Conversion Rates'!B$6)/12-5-15+10-9+27</f>
        <v>32.427083333333329</v>
      </c>
      <c r="AO216" s="106">
        <f t="shared" si="173"/>
        <v>83.020833333333329</v>
      </c>
      <c r="AP216" s="104">
        <f>('Renewable Diesel'!L225*'RD Feedstock Breakdown'!AP$3*'Feedstock Conversion Rates'!B$4)/12+15-10+5+9</f>
        <v>77.59375</v>
      </c>
      <c r="AQ216" s="104">
        <f>('Renewable Diesel'!L225*'RD Feedstock Breakdown'!AQ$3*'Feedstock Conversion Rates'!B$6)/12-15+10-5-9</f>
        <v>5.4270833333333321</v>
      </c>
      <c r="AR216" s="106">
        <f t="shared" si="162"/>
        <v>83.020833333333329</v>
      </c>
      <c r="AS216" s="104">
        <f>('Renewable Diesel'!M225*'RD Feedstock Breakdown'!AS$3*'Feedstock Conversion Rates'!B$4)/12</f>
        <v>456.25</v>
      </c>
      <c r="AT216" s="104">
        <f>('Renewable Diesel'!M225*'RD Feedstock Breakdown'!AT$3*'Feedstock Conversion Rates'!B$5)/12</f>
        <v>0</v>
      </c>
      <c r="AU216" s="106">
        <f t="shared" si="201"/>
        <v>456.25</v>
      </c>
      <c r="AV216" s="104">
        <f>'Renewable Diesel'!N225*'RD Feedstock Breakdown'!$AV$3*'Feedstock Conversion Rates'!$B$4/12-15-10+25+25-22-25-12.5</f>
        <v>44.249999999999986</v>
      </c>
      <c r="AW216" s="104">
        <f>'Renewable Diesel'!N225*'RD Feedstock Breakdown'!$AW$3*'Feedstock Conversion Rates'!$B$7/12+15+10-25-25+22+25+12.5</f>
        <v>75.900000000000006</v>
      </c>
      <c r="AX216" s="106">
        <f t="shared" si="141"/>
        <v>120.14999999999999</v>
      </c>
      <c r="AY216" s="104">
        <f>('Renewable Diesel'!O225*'RD Feedstock Breakdown'!AY$3*'Feedstock Conversion Rates'!B$4)/12+32+2-135-247+50</f>
        <v>-87.0625</v>
      </c>
      <c r="AZ216" s="104">
        <f>('Renewable Diesel'!O225*'RD Feedstock Breakdown'!AZ$3*'Feedstock Conversion Rates'!B$3)/12-32-2+135+247-50</f>
        <v>323.03125</v>
      </c>
      <c r="BA216" s="106">
        <f t="shared" si="120"/>
        <v>235.96875</v>
      </c>
      <c r="BB216" s="104">
        <f>('Renewable Diesel'!Q225*'RD Feedstock Breakdown'!BB$3*'Feedstock Conversion Rates'!B$4)/12</f>
        <v>11.156249999999998</v>
      </c>
      <c r="BC216" s="104">
        <f>('Renewable Diesel'!Q225*'RD Feedstock Breakdown'!BC$3*'Feedstock Conversion Rates'!B$3)/12</f>
        <v>1.4017500000000001</v>
      </c>
      <c r="BD216" s="104">
        <f>('Renewable Diesel'!Q225*'RD Feedstock Breakdown'!BD$3*'Feedstock Conversion Rates'!B$6)/12</f>
        <v>0.8207500000000002</v>
      </c>
      <c r="BE216" s="106">
        <f t="shared" si="189"/>
        <v>13.378749999999998</v>
      </c>
      <c r="BF216" s="104">
        <f>('Renewable Diesel'!R225*'RD Feedstock Breakdown'!BF$3*'Feedstock Conversion Rates'!B$4)/12</f>
        <v>62.5</v>
      </c>
      <c r="BG216" s="106">
        <f t="shared" si="167"/>
        <v>62.5</v>
      </c>
      <c r="BH216" s="104">
        <f>('Renewable Diesel'!T225*'RD Feedstock Breakdown'!BH$3*'Feedstock Conversion Rates'!B$7)/12</f>
        <v>27.599999999999998</v>
      </c>
      <c r="BI216" s="106">
        <f t="shared" si="144"/>
        <v>27.599999999999998</v>
      </c>
      <c r="BJ216" s="104">
        <f>('Renewable Diesel'!W225*'RD Feedstock Breakdown'!BJ$3*'Feedstock Conversion Rates'!B$4)/12</f>
        <v>7.5</v>
      </c>
      <c r="BK216" s="104">
        <f>('Renewable Diesel'!W225*'RD Feedstock Breakdown'!BK$3*'Feedstock Conversion Rates'!B$3)/12</f>
        <v>1.335</v>
      </c>
      <c r="BL216" s="104">
        <f>('Renewable Diesel'!W225*'RD Feedstock Breakdown'!BL$3*'Feedstock Conversion Rates'!B$6)/12</f>
        <v>3.1266666666666669</v>
      </c>
      <c r="BM216" s="104">
        <f>('Renewable Diesel'!W225*'RD Feedstock Breakdown'!BM$3*'Feedstock Conversion Rates'!B$7)/12</f>
        <v>1.5333333333333332</v>
      </c>
      <c r="BN216" s="106">
        <f t="shared" si="112"/>
        <v>13.495000000000001</v>
      </c>
      <c r="BO216" s="104">
        <f>('Renewable Diesel'!P225*'Feedstock Conversion Rates'!B$4)/12</f>
        <v>31.25</v>
      </c>
      <c r="BP216" s="106">
        <f t="shared" si="199"/>
        <v>31.25</v>
      </c>
      <c r="BQ216" s="104">
        <f>('Renewable Diesel'!$S225*'RD Feedstock Breakdown'!BQ$3*'Feedstock Conversion Rates'!B$4)/12+10</f>
        <v>38.125</v>
      </c>
      <c r="BR216" s="104">
        <f>('Renewable Diesel'!$S225*'RD Feedstock Breakdown'!BR$3*'Feedstock Conversion Rates'!B$7)/12-10</f>
        <v>1.5</v>
      </c>
      <c r="BS216" s="106">
        <f t="shared" si="123"/>
        <v>39.625</v>
      </c>
      <c r="BT216" s="106"/>
      <c r="BU216" s="104">
        <f>('Renewable Diesel'!Y225*'Feedstock Conversion Rates'!B$7)/12</f>
        <v>2.6833333333333331</v>
      </c>
      <c r="BV216" s="106">
        <f t="shared" si="191"/>
        <v>2.6833333333333331</v>
      </c>
      <c r="BW216" s="104">
        <f>('Renewable Diesel'!$Z225*'RD Feedstock Breakdown'!BW$3*'Feedstock Conversion Rates'!$B$4)/12</f>
        <v>53.90625</v>
      </c>
      <c r="BX216" s="104">
        <f>('Renewable Diesel'!$Z225*'RD Feedstock Breakdown'!BX$3*'Feedstock Conversion Rates'!$B$5)/12</f>
        <v>5.4265624999999993</v>
      </c>
      <c r="BY216" s="104">
        <f>('Renewable Diesel'!$Z225*'RD Feedstock Breakdown'!BY$3*'Feedstock Conversion Rates'!$B$7)/12</f>
        <v>46.287499999999994</v>
      </c>
      <c r="BZ216" s="104">
        <f>('Renewable Diesel'!$Z225*'RD Feedstock Breakdown'!BZ$3*'Feedstock Conversion Rates'!$B$3)/12</f>
        <v>11.514374999999999</v>
      </c>
      <c r="CA216" s="106">
        <f t="shared" si="127"/>
        <v>117.1346875</v>
      </c>
      <c r="CB216" s="104">
        <f>('Renewable Diesel'!AA225*'Feedstock Conversion Rates'!B$4)/12</f>
        <v>191.25</v>
      </c>
      <c r="CC216" s="106">
        <f t="shared" si="113"/>
        <v>191.25</v>
      </c>
      <c r="CD216" s="104">
        <f>('Renewable Diesel'!$AB225*'RD Feedstock Breakdown'!CD$3*'Feedstock Conversion Rates'!$B$6)/12-15</f>
        <v>17.830000000000005</v>
      </c>
      <c r="CE216" s="104">
        <f>('Renewable Diesel'!$AB225*'RD Feedstock Breakdown'!CE$3*'Feedstock Conversion Rates'!$B$4)/12+15</f>
        <v>26.25</v>
      </c>
      <c r="CF216" s="106">
        <f t="shared" ref="CF216:CF279" si="205">SUM(CD216:CE216)</f>
        <v>44.080000000000005</v>
      </c>
      <c r="CG216" s="104">
        <f>('Renewable Diesel'!AD225*'Feedstock Conversion Rates'!B$4)/12</f>
        <v>112.5</v>
      </c>
      <c r="CH216" s="106">
        <f t="shared" si="187"/>
        <v>112.5</v>
      </c>
      <c r="CI216" s="104">
        <f>('Renewable Diesel'!$AE225*'RD Feedstock Breakdown'!CI$3*'Feedstock Conversion Rates'!$B$5)/12</f>
        <v>0.34604166666666664</v>
      </c>
      <c r="CJ216" s="104">
        <f>('Renewable Diesel'!$AE225*'RD Feedstock Breakdown'!CJ$3*'Feedstock Conversion Rates'!$B$4)/12</f>
        <v>0.34375</v>
      </c>
      <c r="CK216" s="106">
        <f t="shared" si="200"/>
        <v>0.68979166666666658</v>
      </c>
      <c r="CL216" s="104">
        <f>(((CL$3*'Renewable Diesel'!$AF225)*'Feedstock Conversion Rates'!$B$3)/12)-35</f>
        <v>56.78125</v>
      </c>
      <c r="CM216" s="104">
        <f>(((CM$3*'Renewable Diesel'!$AF225)*'Feedstock Conversion Rates'!$B$6)/12)-32.5+35+30</f>
        <v>86.239583333333343</v>
      </c>
      <c r="CN216" s="104">
        <f>(((CN$3*'Renewable Diesel'!$AF225)*'Feedstock Conversion Rates'!$B$4)/12)</f>
        <v>42.96875</v>
      </c>
      <c r="CO216" s="106">
        <f t="shared" si="190"/>
        <v>185.98958333333334</v>
      </c>
      <c r="CP216" s="104">
        <f>('Renewable Diesel'!$AG225*'RD Feedstock Breakdown'!CP$3*'Feedstock Conversion Rates'!$B$3)/12</f>
        <v>6.0075000000000003</v>
      </c>
      <c r="CQ216" s="104">
        <f>('Renewable Diesel'!$AG225*'RD Feedstock Breakdown'!CQ$3*'Feedstock Conversion Rates'!$B$6)/12</f>
        <v>3.5175000000000001</v>
      </c>
      <c r="CR216" s="104">
        <f>('Renewable Diesel'!$AG225*'RD Feedstock Breakdown'!CR$3*'Feedstock Conversion Rates'!$B$4)/12</f>
        <v>2.8125</v>
      </c>
      <c r="CS216" s="106">
        <f t="shared" si="134"/>
        <v>12.3375</v>
      </c>
      <c r="CT216" s="104">
        <f>('Renewable Diesel'!AI225*'Feedstock Conversion Rates'!$B$4*'RD Feedstock Breakdown'!$CT$3)/12</f>
        <v>29.375</v>
      </c>
      <c r="CU216" s="106">
        <f t="shared" si="196"/>
        <v>29.375</v>
      </c>
      <c r="CV216" s="104">
        <f>('Renewable Diesel'!AN225*'Feedstock Conversion Rates'!$B$3*'RD Feedstock Breakdown'!$CV$3)/12</f>
        <v>0.50062499999999999</v>
      </c>
      <c r="CW216" s="106">
        <f t="shared" si="161"/>
        <v>0.50062499999999999</v>
      </c>
      <c r="CX216" s="104">
        <f>('Renewable Diesel'!AO225*'RD Feedstock Breakdown'!$CX$3*'Feedstock Conversion Rates'!$B$3)/12</f>
        <v>6.3412499999999996</v>
      </c>
      <c r="CY216" s="104">
        <f>('Renewable Diesel'!AO225*'RD Feedstock Breakdown'!$CY$3*'Feedstock Conversion Rates'!$B$6)/12</f>
        <v>7.4258333333333342</v>
      </c>
      <c r="CZ216" s="106">
        <f t="shared" si="135"/>
        <v>13.767083333333334</v>
      </c>
      <c r="DA216" s="104">
        <f>('Renewable Diesel'!$AP225*'RD Feedstock Breakdown'!DA$3*'Feedstock Conversion Rates'!$B$3)/12</f>
        <v>6.3412499999999996</v>
      </c>
      <c r="DB216" s="104">
        <f>('Renewable Diesel'!$AP225*'RD Feedstock Breakdown'!DB$3*'Feedstock Conversion Rates'!$B$8)/12</f>
        <v>7.421875</v>
      </c>
      <c r="DC216" s="106">
        <f t="shared" si="165"/>
        <v>13.763124999999999</v>
      </c>
      <c r="DD216" s="104">
        <f>('Renewable Diesel'!AQ225*$DD$3*'Feedstock Conversion Rates'!$B$14)/12</f>
        <v>3.1041666666666665</v>
      </c>
      <c r="DE216" s="106">
        <f t="shared" si="166"/>
        <v>3.1041666666666665</v>
      </c>
      <c r="DF216" s="104">
        <f>('Renewable Diesel'!AR225*'Feedstock Conversion Rates'!$B$4*$DF$3)/12</f>
        <v>75</v>
      </c>
      <c r="DG216" s="106">
        <f t="shared" si="136"/>
        <v>75</v>
      </c>
      <c r="DH216" s="104">
        <f>('Renewable Diesel'!AS225*'Feedstock Conversion Rates'!$B$4*$DH$3)/12</f>
        <v>75</v>
      </c>
      <c r="DI216" s="106">
        <f t="shared" si="142"/>
        <v>75</v>
      </c>
      <c r="DJ216" s="104">
        <f>('Renewable Diesel'!AT225*'Feedstock Conversion Rates'!$B$4*0.25)/12</f>
        <v>8.59375</v>
      </c>
      <c r="DK216" s="104">
        <f>('Renewable Diesel'!$AT225*'RD Feedstock Breakdown'!DK$3*'Feedstock Conversion Rates'!$B$3)/12*0.5</f>
        <v>9.1781249999999996</v>
      </c>
      <c r="DL216" s="104">
        <f>('Renewable Diesel'!$AT225*'RD Feedstock Breakdown'!$DL$3*'Feedstock Conversion Rates'!$B$6)/12</f>
        <v>10.747916666666669</v>
      </c>
      <c r="DM216" s="104">
        <f>('Renewable Diesel'!$AT225*'RD Feedstock Breakdown'!$DM$3*'Feedstock Conversion Rates'!$B$8)/12</f>
        <v>10.7421875</v>
      </c>
      <c r="DN216" s="106">
        <f t="shared" si="110"/>
        <v>39.26197916666667</v>
      </c>
      <c r="DP216" s="104">
        <f t="shared" si="168"/>
        <v>33.470249999999993</v>
      </c>
      <c r="DQ216" s="104">
        <f t="shared" si="169"/>
        <v>857.27964250000002</v>
      </c>
      <c r="DR216" s="104">
        <f t="shared" si="174"/>
        <v>1705.234375</v>
      </c>
      <c r="DS216" s="104">
        <f t="shared" si="197"/>
        <v>151.59239583333334</v>
      </c>
      <c r="DT216" s="104">
        <f t="shared" si="170"/>
        <v>269.53923333333341</v>
      </c>
      <c r="DU216" s="104">
        <f t="shared" si="171"/>
        <v>256.72693333333336</v>
      </c>
      <c r="DV216" s="104">
        <f t="shared" si="175"/>
        <v>25.925000000000001</v>
      </c>
      <c r="DW216" s="104">
        <f t="shared" si="172"/>
        <v>2.5</v>
      </c>
      <c r="DX216" s="106">
        <f t="shared" si="176"/>
        <v>3302.2678300000002</v>
      </c>
      <c r="DY216" s="109">
        <f t="shared" si="163"/>
        <v>-30.000000000000707</v>
      </c>
      <c r="EA216" s="110">
        <f t="shared" si="150"/>
        <v>1.0135534645595355E-2</v>
      </c>
      <c r="EB216" s="110">
        <f t="shared" si="151"/>
        <v>0.25960330495058603</v>
      </c>
      <c r="EC216" s="110">
        <f t="shared" si="152"/>
        <v>0.51638282016634607</v>
      </c>
      <c r="ED216" s="110">
        <f t="shared" si="146"/>
        <v>4.5905542383984442E-2</v>
      </c>
      <c r="EE216" s="110">
        <f t="shared" si="146"/>
        <v>8.1622462867687318E-2</v>
      </c>
      <c r="EF216" s="110">
        <f t="shared" si="146"/>
        <v>7.7742614030592835E-2</v>
      </c>
      <c r="EG216" s="110">
        <f t="shared" si="146"/>
        <v>7.8506654622256967E-3</v>
      </c>
      <c r="EH216" s="111">
        <f t="shared" si="177"/>
        <v>7.5705549298222727E-4</v>
      </c>
      <c r="EI216" s="110">
        <f t="shared" si="178"/>
        <v>0.99924294450701767</v>
      </c>
      <c r="EK216" s="132">
        <f>(EA216*'Renewable Diesel'!BF225*'Feedstock Conversion Rates'!B$2)+FB216</f>
        <v>37.45937639293377</v>
      </c>
      <c r="EL216" s="132">
        <f>(EB216*'Renewable Diesel'!BF225*'Feedstock Conversion Rates'!B$3)+FC216</f>
        <v>904.14417378482028</v>
      </c>
      <c r="EM216" s="132">
        <f>(EC216*'Renewable Diesel'!BF225*'Feedstock Conversion Rates'!B$4)+FD216</f>
        <v>1683.9453902555479</v>
      </c>
      <c r="EN216" s="132">
        <f>(ED216*'Renewable Diesel'!BF225*'Feedstock Conversion Rates'!B$5)+FE216</f>
        <v>150.69784074055994</v>
      </c>
      <c r="EO216" s="132">
        <f>(EE216*'Renewable Diesel'!BF225*'Feedstock Conversion Rates'!B$6)+FF216</f>
        <v>332.89516564577514</v>
      </c>
      <c r="EP216" s="132">
        <f>(EF216*'Renewable Diesel'!BF225*'Feedstock Conversion Rates'!B$7)+FG216</f>
        <v>310.98677569630962</v>
      </c>
      <c r="EQ216" s="132">
        <f>(EG216*'Renewable Diesel'!BF225*'Feedstock Conversion Rates'!B$8)+FH216</f>
        <v>32.001674434324521</v>
      </c>
      <c r="ER216" s="132">
        <f>(EH216*'Renewable Diesel'!BF225*'Feedstock Conversion Rates'!B$9)+FI216</f>
        <v>3.0448394833044223</v>
      </c>
      <c r="ES216" s="132">
        <f t="shared" si="179"/>
        <v>3455.1752364335757</v>
      </c>
      <c r="ET216" s="133">
        <f>ES216/'Renewable Diesel'!BF225</f>
        <v>7.9464860161872455</v>
      </c>
      <c r="EW216" s="73">
        <f t="shared" si="124"/>
        <v>1834.6432309961078</v>
      </c>
      <c r="EX216" s="73">
        <f t="shared" si="125"/>
        <v>1620.5320054374679</v>
      </c>
      <c r="EY216" s="92">
        <f t="shared" si="164"/>
        <v>0.53098413407530165</v>
      </c>
      <c r="EZ216" s="92">
        <f t="shared" si="164"/>
        <v>0.46901586592469835</v>
      </c>
      <c r="FB216" s="102">
        <f>IF('Renewable Diesel'!$BG225&lt;1,0,(((('Renewable Diesel'!$BG225-1)*'Renewable Diesel'!$BF225)*'RD Feedstock Breakdown'!EA216)*'Feedstock Conversion Rates'!$B$2))</f>
        <v>0</v>
      </c>
      <c r="FC216" s="102">
        <f>IF('Renewable Diesel'!$BG225&lt;1,0,(((('Renewable Diesel'!$BG225-1)*'Renewable Diesel'!$BF225)*'RD Feedstock Breakdown'!EB216)*'Feedstock Conversion Rates'!$B$3))</f>
        <v>0</v>
      </c>
      <c r="FD216" s="102">
        <f>IF('Renewable Diesel'!$BG225&lt;1,0,(((('Renewable Diesel'!$BG225-1)*'Renewable Diesel'!$BF225)*'RD Feedstock Breakdown'!EC216)*'Feedstock Conversion Rates'!$B$4))</f>
        <v>0</v>
      </c>
      <c r="FE216" s="102">
        <f>IF('Renewable Diesel'!$BG225&lt;1,0,(((('Renewable Diesel'!$BG225-1)*'Renewable Diesel'!$BF225)*'RD Feedstock Breakdown'!ED216)*'Feedstock Conversion Rates'!$B$5))</f>
        <v>0</v>
      </c>
      <c r="FF216" s="102">
        <f>IF('Renewable Diesel'!$BG225&lt;1,0,(((('Renewable Diesel'!$BG225-1)*'Renewable Diesel'!$BF225)*'RD Feedstock Breakdown'!EE216)*'Feedstock Conversion Rates'!$B$6))</f>
        <v>0</v>
      </c>
      <c r="FG216" s="102">
        <f>IF('Renewable Diesel'!$BG225&lt;1,0,(((('Renewable Diesel'!$BG225-1)*'Renewable Diesel'!$BF225)*'RD Feedstock Breakdown'!EF216)*'Feedstock Conversion Rates'!$B$7))</f>
        <v>0</v>
      </c>
      <c r="FH216" s="102">
        <f>IF('Renewable Diesel'!$BG225&lt;1,0,(((('Renewable Diesel'!$BG225-1)*'Renewable Diesel'!$BF225)*'RD Feedstock Breakdown'!EG216)*'Feedstock Conversion Rates'!$B$8))</f>
        <v>0</v>
      </c>
      <c r="FI216" s="102">
        <f>IF('Renewable Diesel'!$BG225&lt;1,0,(((('Renewable Diesel'!$BG225-1)*'Renewable Diesel'!$BF225)*'RD Feedstock Breakdown'!EH216)*'Feedstock Conversion Rates'!$B$9))</f>
        <v>0</v>
      </c>
      <c r="FJ216" s="102">
        <f t="shared" si="126"/>
        <v>0</v>
      </c>
      <c r="FL216" s="3">
        <f>('Renewable Diesel'!AX225/12*$FO$80)*'RD Feedstock Breakdown'!EC216*7.5</f>
        <v>1560.0733459078135</v>
      </c>
      <c r="FM216" s="3">
        <f t="shared" si="193"/>
        <v>-123.87204434773435</v>
      </c>
      <c r="FR216" s="3">
        <f>('Renewable Diesel'!AX225-'Renewable Diesel'!BI225)/12*$FO$80</f>
        <v>54.415874999999872</v>
      </c>
      <c r="FS216" s="100">
        <f t="shared" si="194"/>
        <v>0.51638282016634607</v>
      </c>
      <c r="FT216" s="3">
        <f t="shared" si="195"/>
        <v>210.74567245739476</v>
      </c>
      <c r="FY216" s="3">
        <f>'Renewable Diesel'!BF225*('Renewable Diesel'!BI225/'Renewable Diesel'!AX225)</f>
        <v>376.06885293625982</v>
      </c>
      <c r="FZ216" s="3">
        <f>('Renewable Diesel'!BJ225*'Renewable Diesel'!BG225)/12</f>
        <v>57.631314840318304</v>
      </c>
      <c r="GA216" s="3">
        <f t="shared" si="202"/>
        <v>223.19865665353618</v>
      </c>
      <c r="GD216" s="91">
        <f>'Renewable Diesel'!BB225*0.32</f>
        <v>0</v>
      </c>
      <c r="GE216" s="91">
        <f>'Renewable Diesel'!BC225</f>
        <v>197.81669635851759</v>
      </c>
      <c r="GF216" s="91">
        <f>'Renewable Diesel'!BD225</f>
        <v>0</v>
      </c>
      <c r="GG216" s="91">
        <f t="shared" si="109"/>
        <v>197.81669635851759</v>
      </c>
      <c r="GH216" s="124">
        <v>1</v>
      </c>
      <c r="GI216" s="102">
        <f>$GG216*EA216*'Feedstock Conversion Rates'!$B$2</f>
        <v>17.042312825061259</v>
      </c>
      <c r="GJ216" s="102">
        <f>$GG216*EB216*'Feedstock Conversion Rates'!$B$3</f>
        <v>411.3444838741126</v>
      </c>
      <c r="GK216" s="102">
        <f>$GG216*EC216*'Feedstock Conversion Rates'!$B$4</f>
        <v>766.11857656200812</v>
      </c>
      <c r="GL216" s="102">
        <f>$GG216*ED216*'Feedstock Conversion Rates'!$B$5</f>
        <v>68.560664679040116</v>
      </c>
      <c r="GM216" s="102">
        <f>$GG216*EE216*'Feedstock Conversion Rates'!$B$6</f>
        <v>151.45216224037515</v>
      </c>
      <c r="GN216" s="102">
        <f>$GG216*EF216*'Feedstock Conversion Rates'!$B$7</f>
        <v>141.48484107902632</v>
      </c>
      <c r="GO216" s="102">
        <f>$GG216*EG216*'Feedstock Conversion Rates'!$B$8</f>
        <v>14.559306618313142</v>
      </c>
      <c r="GP216" s="102">
        <f>$GG216*EH216*'Feedstock Conversion Rates'!B$9</f>
        <v>1.3852635033817711</v>
      </c>
      <c r="GQ216" s="102">
        <f t="shared" si="180"/>
        <v>1571.9476113813184</v>
      </c>
      <c r="GR216" s="85">
        <f t="shared" si="204"/>
        <v>7.9464860161872455</v>
      </c>
      <c r="GT216" s="103">
        <f t="shared" si="159"/>
        <v>1.0841527224998074E-2</v>
      </c>
      <c r="GU216" s="103">
        <f t="shared" si="159"/>
        <v>0.26167823971732213</v>
      </c>
      <c r="GV216" s="103">
        <f t="shared" si="159"/>
        <v>0.48736902617816646</v>
      </c>
      <c r="GW216" s="103">
        <f t="shared" si="159"/>
        <v>4.3615107897135172E-2</v>
      </c>
      <c r="GX216" s="103">
        <f t="shared" si="158"/>
        <v>9.6346825520024507E-2</v>
      </c>
      <c r="GY216" s="103">
        <f t="shared" si="158"/>
        <v>9.0006079117801702E-2</v>
      </c>
      <c r="GZ216" s="103">
        <f t="shared" si="158"/>
        <v>9.2619540962433442E-3</v>
      </c>
      <c r="HA216" s="103">
        <f t="shared" si="158"/>
        <v>8.8124024830859204E-4</v>
      </c>
    </row>
    <row r="217" spans="1:209" x14ac:dyDescent="0.25">
      <c r="A217" s="96">
        <v>47027</v>
      </c>
      <c r="B217" s="104">
        <f>23-20+10+85-5-4-4-1.25+2.25-5+15-6-25-45+65+15-22.5-50+40+16.5+27.5+168+80+14-30+15-50-19+22.5-10+5+11-25-50-12.5-27.5-10+10+2+4-1.5+12-26-15-50-15+10-32.5-3-5-2.5-1+5+10-50-35-9-0.5+25+15+25+20+15+85-25+12.5-52.5+10+20-150+20-20+55-25-25+20-10+100</f>
        <v>115</v>
      </c>
      <c r="C217" s="104">
        <f>40-10-2.5-27.5+25+25+25-70+120-15-100-10+10+10+10</f>
        <v>30</v>
      </c>
      <c r="D217" s="104">
        <f t="shared" si="192"/>
        <v>1.5</v>
      </c>
      <c r="E217" s="104">
        <f>('Renewable Diesel'!B226*E$3*'Feedstock Conversion Rates'!$B$2)/12-40+1.25+6-43+30-15+12.5-4+1.5+26+2.5+3-10+50+9-15-25-55+15+45+10-50+60-60-44</f>
        <v>0.67999999999999261</v>
      </c>
      <c r="F217" s="104">
        <f>('Renewable Diesel'!B226*'RD Feedstock Breakdown'!F$3*'Feedstock Conversion Rates'!B$8)/12+28.5-49-5+2-6+1+6+20-20-3.75+10+2.5+5-20-20</f>
        <v>5.15625</v>
      </c>
      <c r="G217" s="104">
        <f>('Renewable Diesel'!B226*'RD Feedstock Breakdown'!G$3*'Feedstock Conversion Rates'!B$7)/12-25-15-25+4+4-20-40-20+10-17.5+20+50-12+32.5+35-75-75+22.5+5-20+15+125-10-45-10-40-40</f>
        <v>9.6570000000000107</v>
      </c>
      <c r="H217" s="104">
        <f>('Renewable Diesel'!B226*'RD Feedstock Breakdown'!H$3*'Feedstock Conversion Rates'!B$3)/12-85+4-15+70-65-80+50-22.5-5+25+27.5+15+50+15-10+5+50+75-5-25-85-12.5+30+22.5-25-30+150+90-120+25+10+70+15+44-100</f>
        <v>334.40022499999998</v>
      </c>
      <c r="I217" s="106">
        <f t="shared" si="203"/>
        <v>496.39347499999997</v>
      </c>
      <c r="J217" s="104">
        <f>2+10+12+15-6-20-5-5+7+105+30+87+5-10-5-25-27.5+1-1-15-17.5-6-10-77.5-7.5-1+17.5+15+90+2+2.5+2.5+7.5+27.5-32-11-25+5-50-30-20-15-5+10-10</f>
        <v>16.5</v>
      </c>
      <c r="K217" s="104">
        <f>50-30-20+10+10-10</f>
        <v>10</v>
      </c>
      <c r="L217" s="104">
        <v>1</v>
      </c>
      <c r="M217" s="104">
        <f>('Renewable Diesel'!C226*'RD Feedstock Breakdown'!M$3*'Feedstock Conversion Rates'!B$2)/12</f>
        <v>7.7902500000000003</v>
      </c>
      <c r="N217" s="104">
        <f>('Renewable Diesel'!C226*'RD Feedstock Breakdown'!N$3*'Feedstock Conversion Rates'!B$8)/12</f>
        <v>3.671875</v>
      </c>
      <c r="O217" s="104">
        <f>('Renewable Diesel'!C226*'RD Feedstock Breakdown'!O$3*'Feedstock Conversion Rates'!B$7)/12</f>
        <v>11.9991</v>
      </c>
      <c r="P217" s="104">
        <f>('Renewable Diesel'!C226*'RD Feedstock Breakdown'!P$3*'Feedstock Conversion Rates'!B$3)/12</f>
        <v>10.4470425</v>
      </c>
      <c r="Q217" s="106">
        <f t="shared" si="119"/>
        <v>61.408267500000001</v>
      </c>
      <c r="R217" s="104">
        <f>('Renewable Diesel'!D226*'RD Feedstock Breakdown'!R$3*'Feedstock Conversion Rates'!B$7)/12</f>
        <v>2.2999999999999998</v>
      </c>
      <c r="S217" s="106">
        <f t="shared" si="148"/>
        <v>2.2999999999999998</v>
      </c>
      <c r="T217" s="104">
        <f>5.825+20-25+35-30</f>
        <v>5.8250000000000028</v>
      </c>
      <c r="U217" s="104">
        <v>30</v>
      </c>
      <c r="V217" s="104">
        <f>('Renewable Diesel'!E226*'RD Feedstock Breakdown'!V$3*'Feedstock Conversion Rates'!B$6)/12-20+25-35</f>
        <v>14.250150000000012</v>
      </c>
      <c r="W217" s="104">
        <f>('Renewable Diesel'!E226*'RD Feedstock Breakdown'!W$3*'Feedstock Conversion Rates'!B$8)/12-6</f>
        <v>16.1796875</v>
      </c>
      <c r="X217" s="106">
        <f t="shared" si="185"/>
        <v>66.254837500000008</v>
      </c>
      <c r="Y217" s="104">
        <f>50+32-80+171+60-15-75-50-20-30-22.5+40+70-75+50+1-2.5+30-3-5</f>
        <v>126</v>
      </c>
      <c r="Z217" s="104">
        <f>('Renewable Diesel'!F226*'RD Feedstock Breakdown'!Z$3*'Feedstock Conversion Rates'!B$6)/12-50-32-60+15+30+22.5-70+75-30+3+5</f>
        <v>67.960000000000008</v>
      </c>
      <c r="AA217" s="104">
        <f>('Renewable Diesel'!F226*'RD Feedstock Breakdown'!AA$3*'Feedstock Conversion Rates'!B$7)/12+80-171+75+30-50-1+2.5</f>
        <v>69.766666666666652</v>
      </c>
      <c r="AB217" s="106">
        <f t="shared" si="137"/>
        <v>263.72666666666669</v>
      </c>
      <c r="AC217" s="104">
        <f>('Renewable Diesel'!G226*'RD Feedstock Breakdown'!AC$3*'Feedstock Conversion Rates'!B$5)/12+2</f>
        <v>13.796875</v>
      </c>
      <c r="AD217" s="104">
        <f>('Renewable Diesel'!G226*'RD Feedstock Breakdown'!AD$3*'Feedstock Conversion Rates'!B$4)/12</f>
        <v>5.859375</v>
      </c>
      <c r="AE217" s="104">
        <f>('Renewable Diesel'!G226*'RD Feedstock Breakdown'!AE$3*'Feedstock Conversion Rates'!B$6)/12-2</f>
        <v>5.3281250000000009</v>
      </c>
      <c r="AF217" s="106">
        <f t="shared" si="198"/>
        <v>24.984375</v>
      </c>
      <c r="AG217" s="104">
        <f>130+20-51+120-2.5-100+45-20-125</f>
        <v>16.5</v>
      </c>
      <c r="AH217" s="104">
        <v>125</v>
      </c>
      <c r="AI217" s="104">
        <f>('Renewable Diesel'!H226*'RD Feedstock Breakdown'!AI$3*'Feedstock Conversion Rates'!B$6)/12-130-20+51-120+2.5+100-45+20</f>
        <v>7.0166666666666799</v>
      </c>
      <c r="AJ217" s="106">
        <f t="shared" si="145"/>
        <v>23.51666666666668</v>
      </c>
      <c r="AK217" s="104">
        <f>('Renewable Diesel'!J226*'RD Feedstock Breakdown'!AK$3*'Feedstock Conversion Rates'!B$4)/12</f>
        <v>95.8125</v>
      </c>
      <c r="AL217" s="106">
        <f t="shared" si="157"/>
        <v>95.8125</v>
      </c>
      <c r="AM217" s="104">
        <f>('Renewable Diesel'!K226*'RD Feedstock Breakdown'!AM$3*'Feedstock Conversion Rates'!B$4)/12+5+15-10+9-27</f>
        <v>50.59375</v>
      </c>
      <c r="AN217" s="104">
        <f>('Renewable Diesel'!K226*'RD Feedstock Breakdown'!AN$3*'Feedstock Conversion Rates'!B$6)/12-5-15+10-9+27</f>
        <v>32.427083333333329</v>
      </c>
      <c r="AO217" s="106">
        <f t="shared" si="173"/>
        <v>83.020833333333329</v>
      </c>
      <c r="AP217" s="104">
        <f>('Renewable Diesel'!L226*'RD Feedstock Breakdown'!AP$3*'Feedstock Conversion Rates'!B$4)/12+15-10+5+9</f>
        <v>77.59375</v>
      </c>
      <c r="AQ217" s="104">
        <f>('Renewable Diesel'!L226*'RD Feedstock Breakdown'!AQ$3*'Feedstock Conversion Rates'!B$6)/12-15+10-5-9</f>
        <v>5.4270833333333321</v>
      </c>
      <c r="AR217" s="106">
        <f t="shared" si="162"/>
        <v>83.020833333333329</v>
      </c>
      <c r="AS217" s="104">
        <f>('Renewable Diesel'!M226*'RD Feedstock Breakdown'!AS$3*'Feedstock Conversion Rates'!B$4)/12</f>
        <v>456.25</v>
      </c>
      <c r="AT217" s="104">
        <f>('Renewable Diesel'!M226*'RD Feedstock Breakdown'!AT$3*'Feedstock Conversion Rates'!B$5)/12</f>
        <v>0</v>
      </c>
      <c r="AU217" s="106">
        <f t="shared" si="201"/>
        <v>456.25</v>
      </c>
      <c r="AV217" s="104">
        <f>'Renewable Diesel'!N226*'RD Feedstock Breakdown'!$AV$3*'Feedstock Conversion Rates'!$B$4/12-15-10+25+25-22-10-30</f>
        <v>41.749999999999986</v>
      </c>
      <c r="AW217" s="104">
        <f>'Renewable Diesel'!N226*'RD Feedstock Breakdown'!$AW$3*'Feedstock Conversion Rates'!$B$7/12+15+10-25-25+22+10+30</f>
        <v>78.400000000000006</v>
      </c>
      <c r="AX217" s="106">
        <f t="shared" si="141"/>
        <v>120.14999999999999</v>
      </c>
      <c r="AY217" s="104">
        <f>('Renewable Diesel'!O226*'RD Feedstock Breakdown'!AY$3*'Feedstock Conversion Rates'!B$4)/12+32+2-135-247+50</f>
        <v>-87.0625</v>
      </c>
      <c r="AZ217" s="104">
        <f>('Renewable Diesel'!O226*'RD Feedstock Breakdown'!AZ$3*'Feedstock Conversion Rates'!B$3)/12-32-2+135+247-50</f>
        <v>323.03125</v>
      </c>
      <c r="BA217" s="106">
        <f t="shared" si="120"/>
        <v>235.96875</v>
      </c>
      <c r="BB217" s="104">
        <f>('Renewable Diesel'!Q226*'RD Feedstock Breakdown'!BB$3*'Feedstock Conversion Rates'!B$4)/12</f>
        <v>11.156249999999998</v>
      </c>
      <c r="BC217" s="104">
        <f>('Renewable Diesel'!Q226*'RD Feedstock Breakdown'!BC$3*'Feedstock Conversion Rates'!B$3)/12</f>
        <v>1.4017500000000001</v>
      </c>
      <c r="BD217" s="104">
        <f>('Renewable Diesel'!Q226*'RD Feedstock Breakdown'!BD$3*'Feedstock Conversion Rates'!B$6)/12</f>
        <v>0.8207500000000002</v>
      </c>
      <c r="BE217" s="106">
        <f t="shared" si="189"/>
        <v>13.378749999999998</v>
      </c>
      <c r="BF217" s="104">
        <f>('Renewable Diesel'!R226*'RD Feedstock Breakdown'!BF$3*'Feedstock Conversion Rates'!B$4)/12</f>
        <v>62.5</v>
      </c>
      <c r="BG217" s="106">
        <f t="shared" si="167"/>
        <v>62.5</v>
      </c>
      <c r="BH217" s="104">
        <f>('Renewable Diesel'!T226*'RD Feedstock Breakdown'!BH$3*'Feedstock Conversion Rates'!B$7)/12</f>
        <v>27.599999999999998</v>
      </c>
      <c r="BI217" s="106">
        <f t="shared" si="144"/>
        <v>27.599999999999998</v>
      </c>
      <c r="BJ217" s="104">
        <f>('Renewable Diesel'!W226*'RD Feedstock Breakdown'!BJ$3*'Feedstock Conversion Rates'!B$4)/12</f>
        <v>7.5</v>
      </c>
      <c r="BK217" s="104">
        <f>('Renewable Diesel'!W226*'RD Feedstock Breakdown'!BK$3*'Feedstock Conversion Rates'!B$3)/12</f>
        <v>1.335</v>
      </c>
      <c r="BL217" s="104">
        <f>('Renewable Diesel'!W226*'RD Feedstock Breakdown'!BL$3*'Feedstock Conversion Rates'!B$6)/12</f>
        <v>3.1266666666666669</v>
      </c>
      <c r="BM217" s="104">
        <f>('Renewable Diesel'!W226*'RD Feedstock Breakdown'!BM$3*'Feedstock Conversion Rates'!B$7)/12</f>
        <v>1.5333333333333332</v>
      </c>
      <c r="BN217" s="106">
        <f>SUM(BJ217:BM217)</f>
        <v>13.495000000000001</v>
      </c>
      <c r="BO217" s="104">
        <f>('Renewable Diesel'!P226*'Feedstock Conversion Rates'!B$4)/12</f>
        <v>31.25</v>
      </c>
      <c r="BP217" s="106">
        <f t="shared" si="199"/>
        <v>31.25</v>
      </c>
      <c r="BQ217" s="104">
        <f>('Renewable Diesel'!$S226*'RD Feedstock Breakdown'!BQ$3*'Feedstock Conversion Rates'!B$4)/12+10</f>
        <v>38.125</v>
      </c>
      <c r="BR217" s="104">
        <f>('Renewable Diesel'!$S226*'RD Feedstock Breakdown'!BR$3*'Feedstock Conversion Rates'!B$7)/12-10</f>
        <v>1.5</v>
      </c>
      <c r="BS217" s="106">
        <f t="shared" si="123"/>
        <v>39.625</v>
      </c>
      <c r="BT217" s="106"/>
      <c r="BU217" s="104">
        <f>('Renewable Diesel'!Y226*'Feedstock Conversion Rates'!B$7)/12</f>
        <v>2.6833333333333331</v>
      </c>
      <c r="BV217" s="106">
        <f t="shared" si="191"/>
        <v>2.6833333333333331</v>
      </c>
      <c r="BW217" s="104">
        <f>('Renewable Diesel'!$Z226*'RD Feedstock Breakdown'!BW$3*'Feedstock Conversion Rates'!$B$4)/12</f>
        <v>53.90625</v>
      </c>
      <c r="BX217" s="104">
        <f>('Renewable Diesel'!$Z226*'RD Feedstock Breakdown'!BX$3*'Feedstock Conversion Rates'!$B$5)/12</f>
        <v>5.4265624999999993</v>
      </c>
      <c r="BY217" s="104">
        <f>('Renewable Diesel'!$Z226*'RD Feedstock Breakdown'!BY$3*'Feedstock Conversion Rates'!$B$7)/12</f>
        <v>46.287499999999994</v>
      </c>
      <c r="BZ217" s="104">
        <f>('Renewable Diesel'!$Z226*'RD Feedstock Breakdown'!BZ$3*'Feedstock Conversion Rates'!$B$3)/12</f>
        <v>11.514374999999999</v>
      </c>
      <c r="CA217" s="106">
        <f t="shared" si="127"/>
        <v>117.1346875</v>
      </c>
      <c r="CB217" s="104">
        <f>('Renewable Diesel'!AA226*'Feedstock Conversion Rates'!B$4)/12</f>
        <v>191.25</v>
      </c>
      <c r="CC217" s="106">
        <f t="shared" si="113"/>
        <v>191.25</v>
      </c>
      <c r="CD217" s="104">
        <f>('Renewable Diesel'!$AB226*'RD Feedstock Breakdown'!CD$3*'Feedstock Conversion Rates'!$B$6)/12-15</f>
        <v>17.830000000000005</v>
      </c>
      <c r="CE217" s="104">
        <f>('Renewable Diesel'!$AB226*'RD Feedstock Breakdown'!CE$3*'Feedstock Conversion Rates'!$B$4)/12+15</f>
        <v>26.25</v>
      </c>
      <c r="CF217" s="106">
        <f t="shared" si="205"/>
        <v>44.080000000000005</v>
      </c>
      <c r="CG217" s="104">
        <f>('Renewable Diesel'!AD226*'Feedstock Conversion Rates'!B$4)/12</f>
        <v>112.5</v>
      </c>
      <c r="CH217" s="106">
        <f t="shared" si="187"/>
        <v>112.5</v>
      </c>
      <c r="CI217" s="104">
        <f>('Renewable Diesel'!$AE226*'RD Feedstock Breakdown'!CI$3*'Feedstock Conversion Rates'!$B$5)/12</f>
        <v>0.34604166666666664</v>
      </c>
      <c r="CJ217" s="104">
        <f>('Renewable Diesel'!$AE226*'RD Feedstock Breakdown'!CJ$3*'Feedstock Conversion Rates'!$B$4)/12</f>
        <v>0.34375</v>
      </c>
      <c r="CK217" s="106">
        <f t="shared" si="200"/>
        <v>0.68979166666666658</v>
      </c>
      <c r="CL217" s="104">
        <f>(((CL$3*'Renewable Diesel'!$AF226)*'Feedstock Conversion Rates'!$B$3)/12)-35</f>
        <v>56.78125</v>
      </c>
      <c r="CM217" s="104">
        <f>(((CM$3*'Renewable Diesel'!$AF226)*'Feedstock Conversion Rates'!$B$6)/12)-32.5+35+30</f>
        <v>86.239583333333343</v>
      </c>
      <c r="CN217" s="104">
        <f>(((CN$3*'Renewable Diesel'!$AF226)*'Feedstock Conversion Rates'!$B$4)/12)</f>
        <v>42.96875</v>
      </c>
      <c r="CO217" s="106">
        <f t="shared" si="190"/>
        <v>185.98958333333334</v>
      </c>
      <c r="CP217" s="104">
        <f>('Renewable Diesel'!$AG226*'RD Feedstock Breakdown'!CP$3*'Feedstock Conversion Rates'!$B$3)/12</f>
        <v>6.0075000000000003</v>
      </c>
      <c r="CQ217" s="104">
        <f>('Renewable Diesel'!$AG226*'RD Feedstock Breakdown'!CQ$3*'Feedstock Conversion Rates'!$B$6)/12</f>
        <v>3.5175000000000001</v>
      </c>
      <c r="CR217" s="104">
        <f>('Renewable Diesel'!$AG226*'RD Feedstock Breakdown'!CR$3*'Feedstock Conversion Rates'!$B$4)/12</f>
        <v>2.8125</v>
      </c>
      <c r="CS217" s="106">
        <f t="shared" si="134"/>
        <v>12.3375</v>
      </c>
      <c r="CT217" s="104">
        <f>('Renewable Diesel'!AI226*'Feedstock Conversion Rates'!$B$4*'RD Feedstock Breakdown'!$CT$3)/12</f>
        <v>29.375</v>
      </c>
      <c r="CU217" s="106">
        <f t="shared" si="196"/>
        <v>29.375</v>
      </c>
      <c r="CV217" s="104">
        <f>('Renewable Diesel'!AN226*'Feedstock Conversion Rates'!$B$3*'RD Feedstock Breakdown'!$CV$3)/12</f>
        <v>0.50062499999999999</v>
      </c>
      <c r="CW217" s="106">
        <f t="shared" si="161"/>
        <v>0.50062499999999999</v>
      </c>
      <c r="CX217" s="104">
        <f>('Renewable Diesel'!AO226*'RD Feedstock Breakdown'!$CX$3*'Feedstock Conversion Rates'!$B$3)/12</f>
        <v>6.3412499999999996</v>
      </c>
      <c r="CY217" s="104">
        <f>('Renewable Diesel'!AO226*'RD Feedstock Breakdown'!$CY$3*'Feedstock Conversion Rates'!$B$6)/12</f>
        <v>7.4258333333333342</v>
      </c>
      <c r="CZ217" s="106">
        <f t="shared" si="135"/>
        <v>13.767083333333334</v>
      </c>
      <c r="DA217" s="104">
        <f>('Renewable Diesel'!$AP226*'RD Feedstock Breakdown'!DA$3*'Feedstock Conversion Rates'!$B$3)/12</f>
        <v>6.3412499999999996</v>
      </c>
      <c r="DB217" s="104">
        <f>('Renewable Diesel'!$AP226*'RD Feedstock Breakdown'!DB$3*'Feedstock Conversion Rates'!$B$8)/12</f>
        <v>7.421875</v>
      </c>
      <c r="DC217" s="106">
        <f t="shared" si="165"/>
        <v>13.763124999999999</v>
      </c>
      <c r="DD217" s="104">
        <f>('Renewable Diesel'!AQ226*$DD$3*'Feedstock Conversion Rates'!$B$14)/12</f>
        <v>3.1041666666666665</v>
      </c>
      <c r="DE217" s="106">
        <f t="shared" si="166"/>
        <v>3.1041666666666665</v>
      </c>
      <c r="DF217" s="104">
        <f>('Renewable Diesel'!AR226*'Feedstock Conversion Rates'!$B$4*$DF$3)/12</f>
        <v>75</v>
      </c>
      <c r="DG217" s="106">
        <f t="shared" si="136"/>
        <v>75</v>
      </c>
      <c r="DH217" s="104">
        <f>('Renewable Diesel'!AS226*'Feedstock Conversion Rates'!$B$4*$DH$3)/12</f>
        <v>75</v>
      </c>
      <c r="DI217" s="106">
        <f t="shared" si="142"/>
        <v>75</v>
      </c>
      <c r="DJ217" s="104">
        <f>('Renewable Diesel'!AT226*'Feedstock Conversion Rates'!$B$4*0.25)/12</f>
        <v>8.59375</v>
      </c>
      <c r="DK217" s="104">
        <f>('Renewable Diesel'!$AT226*'RD Feedstock Breakdown'!DK$3*'Feedstock Conversion Rates'!$B$3)/12*0.5</f>
        <v>9.1781249999999996</v>
      </c>
      <c r="DL217" s="104">
        <f>('Renewable Diesel'!$AT226*'RD Feedstock Breakdown'!$DL$3*'Feedstock Conversion Rates'!$B$6)/12</f>
        <v>10.747916666666669</v>
      </c>
      <c r="DM217" s="104">
        <f>('Renewable Diesel'!$AT226*'RD Feedstock Breakdown'!$DM$3*'Feedstock Conversion Rates'!$B$8)/12</f>
        <v>10.7421875</v>
      </c>
      <c r="DN217" s="106">
        <f t="shared" si="110"/>
        <v>39.26197916666667</v>
      </c>
      <c r="DP217" s="104">
        <f t="shared" si="168"/>
        <v>8.470249999999993</v>
      </c>
      <c r="DQ217" s="104">
        <f t="shared" si="169"/>
        <v>767.27964250000002</v>
      </c>
      <c r="DR217" s="104">
        <f t="shared" si="174"/>
        <v>1813.234375</v>
      </c>
      <c r="DS217" s="104">
        <f t="shared" si="197"/>
        <v>93.592395833333327</v>
      </c>
      <c r="DT217" s="104">
        <f t="shared" si="170"/>
        <v>269.53923333333341</v>
      </c>
      <c r="DU217" s="104">
        <f t="shared" si="171"/>
        <v>251.72693333333333</v>
      </c>
      <c r="DV217" s="104">
        <f t="shared" si="175"/>
        <v>35.75</v>
      </c>
      <c r="DW217" s="104">
        <f t="shared" si="172"/>
        <v>2.5</v>
      </c>
      <c r="DX217" s="106">
        <f t="shared" si="176"/>
        <v>3242.09283</v>
      </c>
      <c r="DY217" s="109">
        <f t="shared" si="163"/>
        <v>-125.00000000000014</v>
      </c>
      <c r="EA217" s="110">
        <f t="shared" si="150"/>
        <v>2.6125871294067765E-3</v>
      </c>
      <c r="EB217" s="110">
        <f t="shared" si="151"/>
        <v>0.23666183626827245</v>
      </c>
      <c r="EC217" s="110">
        <f t="shared" si="152"/>
        <v>0.5592789812252229</v>
      </c>
      <c r="ED217" s="110">
        <f t="shared" si="146"/>
        <v>2.8867895134678585E-2</v>
      </c>
      <c r="EE217" s="110">
        <f t="shared" si="146"/>
        <v>8.3137420014384164E-2</v>
      </c>
      <c r="EF217" s="110">
        <f t="shared" si="146"/>
        <v>7.7643345373714465E-2</v>
      </c>
      <c r="EG217" s="110">
        <f t="shared" si="146"/>
        <v>1.1026828001097057E-2</v>
      </c>
      <c r="EH217" s="111">
        <f t="shared" si="177"/>
        <v>7.7110685322357038E-4</v>
      </c>
      <c r="EI217" s="110">
        <f t="shared" si="178"/>
        <v>0.99922889314677643</v>
      </c>
      <c r="EK217" s="132">
        <f>(EA217*'Renewable Diesel'!BF226*'Feedstock Conversion Rates'!B$2)+FB217</f>
        <v>10.33175483862394</v>
      </c>
      <c r="EL217" s="132">
        <f>(EB217*'Renewable Diesel'!BF226*'Feedstock Conversion Rates'!B$3)+FC217</f>
        <v>881.9523657841338</v>
      </c>
      <c r="EM217" s="132">
        <f>(EC217*'Renewable Diesel'!BF226*'Feedstock Conversion Rates'!B$4)+FD217</f>
        <v>1951.5251158430478</v>
      </c>
      <c r="EN217" s="132">
        <f>(ED217*'Renewable Diesel'!BF226*'Feedstock Conversion Rates'!B$5)+FE217</f>
        <v>101.40198442988304</v>
      </c>
      <c r="EO217" s="132">
        <f>(EE217*'Renewable Diesel'!BF226*'Feedstock Conversion Rates'!B$6)+FF217</f>
        <v>362.813772764237</v>
      </c>
      <c r="EP217" s="132">
        <f>(EF217*'Renewable Diesel'!BF226*'Feedstock Conversion Rates'!B$7)+FG217</f>
        <v>332.33528207693627</v>
      </c>
      <c r="EQ217" s="132">
        <f>(EG217*'Renewable Diesel'!BF226*'Feedstock Conversion Rates'!B$8)+FH217</f>
        <v>48.095701149630045</v>
      </c>
      <c r="ER217" s="132">
        <f>(EH217*'Renewable Diesel'!BF226*'Feedstock Conversion Rates'!B$9)+FI217</f>
        <v>3.3184912681329823</v>
      </c>
      <c r="ES217" s="132">
        <f t="shared" si="179"/>
        <v>3691.7744681546255</v>
      </c>
      <c r="ET217" s="133">
        <f>ES217/'Renewable Diesel'!BF226</f>
        <v>8.1461691276452175</v>
      </c>
      <c r="EW217" s="73">
        <f t="shared" si="124"/>
        <v>2106.1264027083098</v>
      </c>
      <c r="EX217" s="73">
        <f t="shared" si="125"/>
        <v>1681.3162586463839</v>
      </c>
      <c r="EY217" s="92">
        <f t="shared" si="164"/>
        <v>0.5704916215429271</v>
      </c>
      <c r="EZ217" s="92">
        <f t="shared" si="164"/>
        <v>0.45542225646487244</v>
      </c>
      <c r="FB217" s="102">
        <f>IF('Renewable Diesel'!$BG226&lt;1,0,(((('Renewable Diesel'!$BG226-1)*'Renewable Diesel'!$BF226)*'RD Feedstock Breakdown'!EA217)*'Feedstock Conversion Rates'!$B$2))</f>
        <v>0.2677358344945957</v>
      </c>
      <c r="FC217" s="102">
        <f>IF('Renewable Diesel'!$BG226&lt;1,0,(((('Renewable Diesel'!$BG226-1)*'Renewable Diesel'!$BF226)*'RD Feedstock Breakdown'!EB217)*'Feedstock Conversion Rates'!$B$3))</f>
        <v>22.854806015620436</v>
      </c>
      <c r="FD217" s="102">
        <f>IF('Renewable Diesel'!$BG226&lt;1,0,(((('Renewable Diesel'!$BG226-1)*'Renewable Diesel'!$BF226)*'RD Feedstock Breakdown'!EC217)*'Feedstock Conversion Rates'!$B$4))</f>
        <v>50.571583781114043</v>
      </c>
      <c r="FE217" s="102">
        <f>IF('Renewable Diesel'!$BG226&lt;1,0,(((('Renewable Diesel'!$BG226-1)*'Renewable Diesel'!$BF226)*'RD Feedstock Breakdown'!ED217)*'Feedstock Conversion Rates'!$B$5))</f>
        <v>2.6277186542648003</v>
      </c>
      <c r="FF217" s="102">
        <f>IF('Renewable Diesel'!$BG226&lt;1,0,(((('Renewable Diesel'!$BG226-1)*'Renewable Diesel'!$BF226)*'RD Feedstock Breakdown'!EE217)*'Feedstock Conversion Rates'!$B$6))</f>
        <v>9.4019118469620206</v>
      </c>
      <c r="FG217" s="102">
        <f>IF('Renewable Diesel'!$BG226&lt;1,0,(((('Renewable Diesel'!$BG226-1)*'Renewable Diesel'!$BF226)*'RD Feedstock Breakdown'!EF217)*'Feedstock Conversion Rates'!$B$7))</f>
        <v>8.6120959574294496</v>
      </c>
      <c r="FH217" s="102">
        <f>IF('Renewable Diesel'!$BG226&lt;1,0,(((('Renewable Diesel'!$BG226-1)*'Renewable Diesel'!$BF226)*'RD Feedstock Breakdown'!EG217)*'Feedstock Conversion Rates'!$B$8))</f>
        <v>1.2463461322911078</v>
      </c>
      <c r="FI217" s="102">
        <f>IF('Renewable Diesel'!$BG226&lt;1,0,(((('Renewable Diesel'!$BG226-1)*'Renewable Diesel'!$BF226)*'RD Feedstock Breakdown'!EH217)*'Feedstock Conversion Rates'!$B$9))</f>
        <v>8.5994977892346822E-2</v>
      </c>
      <c r="FJ217" s="102">
        <f t="shared" si="126"/>
        <v>95.668193200068785</v>
      </c>
      <c r="FL217" s="3">
        <f>('Renewable Diesel'!AX226/12*$FO$80)*'RD Feedstock Breakdown'!EC217*7.5</f>
        <v>1689.6693643968961</v>
      </c>
      <c r="FM217" s="3">
        <f t="shared" si="193"/>
        <v>-261.85575144615177</v>
      </c>
      <c r="FR217" s="3">
        <f>('Renewable Diesel'!AX226-'Renewable Diesel'!BI226)/12*$FO$80</f>
        <v>54.415874999999872</v>
      </c>
      <c r="FS217" s="100">
        <f t="shared" si="194"/>
        <v>0.5592789812252229</v>
      </c>
      <c r="FT217" s="3">
        <f t="shared" si="195"/>
        <v>228.25241349359254</v>
      </c>
      <c r="FY217" s="3">
        <f>'Renewable Diesel'!BF226*('Renewable Diesel'!BI226/'Renewable Diesel'!AX226)</f>
        <v>391.97119228970428</v>
      </c>
      <c r="FZ217" s="3">
        <f>('Renewable Diesel'!BJ226*'Renewable Diesel'!BG226)/12</f>
        <v>62.070572579020194</v>
      </c>
      <c r="GA217" s="3">
        <f t="shared" si="202"/>
        <v>260.360749470455</v>
      </c>
      <c r="GD217" s="91">
        <f>'Renewable Diesel'!BB226*0.32</f>
        <v>0</v>
      </c>
      <c r="GE217" s="91">
        <f>'Renewable Diesel'!BC226</f>
        <v>192.77227950451348</v>
      </c>
      <c r="GF217" s="91">
        <f>'Renewable Diesel'!BD226</f>
        <v>0</v>
      </c>
      <c r="GG217" s="91">
        <f t="shared" ref="GG217:GG280" si="206">GF217+GE217</f>
        <v>192.77227950451348</v>
      </c>
      <c r="GH217" s="124">
        <v>1</v>
      </c>
      <c r="GI217" s="102">
        <f>$GG217*EA217*'Feedstock Conversion Rates'!$B$2</f>
        <v>4.2808921988891298</v>
      </c>
      <c r="GJ217" s="102">
        <f>$GG217*EB217*'Feedstock Conversion Rates'!$B$3</f>
        <v>365.43095160976219</v>
      </c>
      <c r="GK217" s="102">
        <f>$GG217*EC217*'Feedstock Conversion Rates'!$B$4</f>
        <v>808.60113067311158</v>
      </c>
      <c r="GL217" s="102">
        <f>$GG217*ED217*'Feedstock Conversion Rates'!$B$5</f>
        <v>42.0152211195498</v>
      </c>
      <c r="GM217" s="102">
        <f>$GG217*EE217*'Feedstock Conversion Rates'!$B$6</f>
        <v>150.32941390262584</v>
      </c>
      <c r="GN217" s="102">
        <f>$GG217*EF217*'Feedstock Conversion Rates'!$B$7</f>
        <v>137.70085901963384</v>
      </c>
      <c r="GO217" s="102">
        <f>$GG217*EG217*'Feedstock Conversion Rates'!$B$8</f>
        <v>19.928125963834479</v>
      </c>
      <c r="GP217" s="102">
        <f>$GG217*EH217*'Feedstock Conversion Rates'!B$9</f>
        <v>1.3749942389965046</v>
      </c>
      <c r="GQ217" s="102">
        <f t="shared" si="180"/>
        <v>1529.6615887264034</v>
      </c>
      <c r="GR217" s="85">
        <f t="shared" si="204"/>
        <v>7.9350702946405143</v>
      </c>
      <c r="GT217" s="103">
        <f t="shared" si="159"/>
        <v>2.7985877598282385E-3</v>
      </c>
      <c r="GU217" s="103">
        <f t="shared" si="159"/>
        <v>0.23889659928901005</v>
      </c>
      <c r="GV217" s="103">
        <f t="shared" si="159"/>
        <v>0.52861439198872273</v>
      </c>
      <c r="GW217" s="103">
        <f t="shared" si="159"/>
        <v>2.746700409371701E-2</v>
      </c>
      <c r="GX217" s="103">
        <f t="shared" si="158"/>
        <v>9.8276256010187288E-2</v>
      </c>
      <c r="GY217" s="103">
        <f t="shared" si="158"/>
        <v>9.0020472524438289E-2</v>
      </c>
      <c r="GZ217" s="103">
        <f t="shared" si="158"/>
        <v>1.3027800469531718E-2</v>
      </c>
      <c r="HA217" s="103">
        <f t="shared" si="158"/>
        <v>8.9888786456442636E-4</v>
      </c>
    </row>
    <row r="218" spans="1:209" x14ac:dyDescent="0.25">
      <c r="A218" s="96">
        <v>47058</v>
      </c>
      <c r="B218" s="104">
        <f>23-20+10+85-5-4-4-1.25+2.25-5+15-6-25-45+65+15-22.5-50+40+16.5+27.5+168+80+14-30+15-50-19+22.5-10+5+11-25-50-12.5-27.5-10+10+2+4-1.5+12-26-15-50-15+10-32.5-3-5-2.5-1+5+10-50-35-9-0.5+25+15+25+20+15+85-25+12.5-52.5+10+20-150+20-20+55-25-25+20-10+100-50</f>
        <v>65</v>
      </c>
      <c r="C218" s="104">
        <f>40-10-2.5-27.5+25+25+25-70+120-15-100-10+10+10+10</f>
        <v>30</v>
      </c>
      <c r="D218" s="104">
        <f t="shared" si="192"/>
        <v>1.5</v>
      </c>
      <c r="E218" s="104">
        <f>('Renewable Diesel'!B227*E$3*'Feedstock Conversion Rates'!$B$2)/12-40+1.25+6-43+30-15+12.5-4+1.5+26+2.5+3-10+50+9-15-25-55+15+45+10-50+60-60-44</f>
        <v>0.67999999999999261</v>
      </c>
      <c r="F218" s="104">
        <f>('Renewable Diesel'!B227*'RD Feedstock Breakdown'!F$3*'Feedstock Conversion Rates'!B$8)/12+28.5-49-5+2-6+1+6+20-20-3.75+10+2.5+5-20-20</f>
        <v>5.15625</v>
      </c>
      <c r="G218" s="104">
        <f>('Renewable Diesel'!B227*'RD Feedstock Breakdown'!G$3*'Feedstock Conversion Rates'!B$7)/12-25-15-25+4+4-20-40-20+10-17.5+20+50-12+32.5+35-75-75+22.5+5-20+15+125-10-45-10-40-40</f>
        <v>9.6570000000000107</v>
      </c>
      <c r="H218" s="104">
        <f>('Renewable Diesel'!B227*'RD Feedstock Breakdown'!H$3*'Feedstock Conversion Rates'!B$3)/12-85+4-15+70-65-80+50-22.5-5+25+27.5+15+50+15-10+5+50+75-5-25-85-12.5+30+22.5-25-30+150+90-120+25+10+70+15+44-50</f>
        <v>384.40022499999998</v>
      </c>
      <c r="I218" s="106">
        <f t="shared" si="203"/>
        <v>496.39347499999997</v>
      </c>
      <c r="J218" s="104">
        <f>2+10+12+15-6-20-5-5+7+105+30+87+5-10-5-25-27.5+1-1-15-17.5-6-10-77.5-7.5-1+17.5+15+90+2+2.5+2.5+7.5+27.5-32-11-25+5-50-30-20-15-5+10-10</f>
        <v>16.5</v>
      </c>
      <c r="K218" s="104">
        <f>50-30-20+10+10-10</f>
        <v>10</v>
      </c>
      <c r="L218" s="104">
        <v>1</v>
      </c>
      <c r="M218" s="104">
        <f>('Renewable Diesel'!C227*'RD Feedstock Breakdown'!M$3*'Feedstock Conversion Rates'!B$2)/12</f>
        <v>7.7902500000000003</v>
      </c>
      <c r="N218" s="104">
        <f>('Renewable Diesel'!C227*'RD Feedstock Breakdown'!N$3*'Feedstock Conversion Rates'!B$8)/12</f>
        <v>3.671875</v>
      </c>
      <c r="O218" s="104">
        <f>('Renewable Diesel'!C227*'RD Feedstock Breakdown'!O$3*'Feedstock Conversion Rates'!B$7)/12</f>
        <v>11.9991</v>
      </c>
      <c r="P218" s="104">
        <f>('Renewable Diesel'!C227*'RD Feedstock Breakdown'!P$3*'Feedstock Conversion Rates'!B$3)/12</f>
        <v>10.4470425</v>
      </c>
      <c r="Q218" s="106">
        <f t="shared" si="119"/>
        <v>61.408267500000001</v>
      </c>
      <c r="R218" s="104">
        <f>('Renewable Diesel'!D227*'RD Feedstock Breakdown'!R$3*'Feedstock Conversion Rates'!B$7)/12</f>
        <v>2.2999999999999998</v>
      </c>
      <c r="S218" s="106">
        <f t="shared" si="148"/>
        <v>2.2999999999999998</v>
      </c>
      <c r="T218" s="104">
        <f t="shared" ref="T218:T227" si="207">5.825+20-25+35-30</f>
        <v>5.8250000000000028</v>
      </c>
      <c r="U218" s="104">
        <v>30</v>
      </c>
      <c r="V218" s="104">
        <f>('Renewable Diesel'!E227*'RD Feedstock Breakdown'!V$3*'Feedstock Conversion Rates'!B$6)/12-20+25-35</f>
        <v>14.250150000000012</v>
      </c>
      <c r="W218" s="104">
        <f>('Renewable Diesel'!E227*'RD Feedstock Breakdown'!W$3*'Feedstock Conversion Rates'!B$8)/12-6</f>
        <v>16.1796875</v>
      </c>
      <c r="X218" s="106">
        <f t="shared" si="185"/>
        <v>66.254837500000008</v>
      </c>
      <c r="Y218" s="104">
        <f t="shared" ref="Y218:Y228" si="208">50+32-80+171+60-15-75-50-20-30-22.5+40+70-75+50+1-2.5+30-3-5</f>
        <v>126</v>
      </c>
      <c r="Z218" s="104">
        <f>('Renewable Diesel'!F227*'RD Feedstock Breakdown'!Z$3*'Feedstock Conversion Rates'!B$6)/12-50-32-60+15+30+22.5-70+75-30+3+5</f>
        <v>67.960000000000008</v>
      </c>
      <c r="AA218" s="104">
        <f>('Renewable Diesel'!F227*'RD Feedstock Breakdown'!AA$3*'Feedstock Conversion Rates'!B$7)/12+80-171+75+30-50-1+2.5</f>
        <v>69.766666666666652</v>
      </c>
      <c r="AB218" s="106">
        <f t="shared" si="137"/>
        <v>263.72666666666669</v>
      </c>
      <c r="AC218" s="104">
        <f>('Renewable Diesel'!G227*'RD Feedstock Breakdown'!AC$3*'Feedstock Conversion Rates'!B$5)/12+2</f>
        <v>13.796875</v>
      </c>
      <c r="AD218" s="104">
        <f>('Renewable Diesel'!G227*'RD Feedstock Breakdown'!AD$3*'Feedstock Conversion Rates'!B$4)/12</f>
        <v>5.859375</v>
      </c>
      <c r="AE218" s="104">
        <f>('Renewable Diesel'!G227*'RD Feedstock Breakdown'!AE$3*'Feedstock Conversion Rates'!B$6)/12-2</f>
        <v>5.3281250000000009</v>
      </c>
      <c r="AF218" s="106">
        <f t="shared" si="198"/>
        <v>24.984375</v>
      </c>
      <c r="AG218" s="104">
        <f>130+20-51+120-2.5-100+45-20-125</f>
        <v>16.5</v>
      </c>
      <c r="AH218" s="104">
        <v>125</v>
      </c>
      <c r="AI218" s="104">
        <f>('Renewable Diesel'!H227*'RD Feedstock Breakdown'!AI$3*'Feedstock Conversion Rates'!B$6)/12-130-20+51-120+2.5+100-45+20</f>
        <v>7.0166666666666799</v>
      </c>
      <c r="AJ218" s="106">
        <f t="shared" si="145"/>
        <v>23.51666666666668</v>
      </c>
      <c r="AK218" s="104">
        <f>('Renewable Diesel'!J227*'RD Feedstock Breakdown'!AK$3*'Feedstock Conversion Rates'!B$4)/12</f>
        <v>95.8125</v>
      </c>
      <c r="AL218" s="106">
        <f t="shared" si="157"/>
        <v>95.8125</v>
      </c>
      <c r="AM218" s="104">
        <f>('Renewable Diesel'!K227*'RD Feedstock Breakdown'!AM$3*'Feedstock Conversion Rates'!B$4)/12+5+15-10+9-27</f>
        <v>50.59375</v>
      </c>
      <c r="AN218" s="104">
        <f>('Renewable Diesel'!K227*'RD Feedstock Breakdown'!AN$3*'Feedstock Conversion Rates'!B$6)/12-5-15+10-9+27</f>
        <v>32.427083333333329</v>
      </c>
      <c r="AO218" s="106">
        <f t="shared" si="173"/>
        <v>83.020833333333329</v>
      </c>
      <c r="AP218" s="104">
        <f>('Renewable Diesel'!L227*'RD Feedstock Breakdown'!AP$3*'Feedstock Conversion Rates'!B$4)/12+15-10+5+9</f>
        <v>77.59375</v>
      </c>
      <c r="AQ218" s="104">
        <f>('Renewable Diesel'!L227*'RD Feedstock Breakdown'!AQ$3*'Feedstock Conversion Rates'!B$6)/12-15+10-5-9</f>
        <v>5.4270833333333321</v>
      </c>
      <c r="AR218" s="106">
        <f t="shared" si="162"/>
        <v>83.020833333333329</v>
      </c>
      <c r="AS218" s="104">
        <f>('Renewable Diesel'!M227*'RD Feedstock Breakdown'!AS$3*'Feedstock Conversion Rates'!B$4)/12</f>
        <v>456.25</v>
      </c>
      <c r="AT218" s="104">
        <f>('Renewable Diesel'!M227*'RD Feedstock Breakdown'!AT$3*'Feedstock Conversion Rates'!B$5)/12</f>
        <v>0</v>
      </c>
      <c r="AU218" s="106">
        <f t="shared" si="201"/>
        <v>456.25</v>
      </c>
      <c r="AV218" s="104">
        <f>'Renewable Diesel'!N227*'RD Feedstock Breakdown'!$AV$3*'Feedstock Conversion Rates'!$B$4/12-15-10+25+25-22-10-30</f>
        <v>41.749999999999986</v>
      </c>
      <c r="AW218" s="104">
        <f>'Renewable Diesel'!N227*'RD Feedstock Breakdown'!$AW$3*'Feedstock Conversion Rates'!$B$7/12+15+10-25-25+22+10+30</f>
        <v>78.400000000000006</v>
      </c>
      <c r="AX218" s="106">
        <f t="shared" si="141"/>
        <v>120.14999999999999</v>
      </c>
      <c r="AY218" s="104">
        <f>('Renewable Diesel'!O227*'RD Feedstock Breakdown'!AY$3*'Feedstock Conversion Rates'!B$4)/12+32+2-135-247+50</f>
        <v>-87.0625</v>
      </c>
      <c r="AZ218" s="104">
        <f>('Renewable Diesel'!O227*'RD Feedstock Breakdown'!AZ$3*'Feedstock Conversion Rates'!B$3)/12-32-2+135+247-50</f>
        <v>323.03125</v>
      </c>
      <c r="BA218" s="106">
        <f t="shared" si="120"/>
        <v>235.96875</v>
      </c>
      <c r="BB218" s="104">
        <f>('Renewable Diesel'!Q227*'RD Feedstock Breakdown'!BB$3*'Feedstock Conversion Rates'!B$4)/12</f>
        <v>11.156249999999998</v>
      </c>
      <c r="BC218" s="104">
        <f>('Renewable Diesel'!Q227*'RD Feedstock Breakdown'!BC$3*'Feedstock Conversion Rates'!B$3)/12</f>
        <v>1.4017500000000001</v>
      </c>
      <c r="BD218" s="104">
        <f>('Renewable Diesel'!Q227*'RD Feedstock Breakdown'!BD$3*'Feedstock Conversion Rates'!B$6)/12</f>
        <v>0.8207500000000002</v>
      </c>
      <c r="BE218" s="106">
        <f t="shared" si="189"/>
        <v>13.378749999999998</v>
      </c>
      <c r="BF218" s="104">
        <f>('Renewable Diesel'!R227*'RD Feedstock Breakdown'!BF$3*'Feedstock Conversion Rates'!B$4)/12</f>
        <v>62.5</v>
      </c>
      <c r="BG218" s="106">
        <f t="shared" si="167"/>
        <v>62.5</v>
      </c>
      <c r="BH218" s="104">
        <f>('Renewable Diesel'!T227*'RD Feedstock Breakdown'!BH$3*'Feedstock Conversion Rates'!B$7)/12</f>
        <v>27.599999999999998</v>
      </c>
      <c r="BI218" s="106">
        <f t="shared" si="144"/>
        <v>27.599999999999998</v>
      </c>
      <c r="BJ218" s="104">
        <f>('Renewable Diesel'!W227*'RD Feedstock Breakdown'!BJ$3*'Feedstock Conversion Rates'!B$4)/12</f>
        <v>7.5</v>
      </c>
      <c r="BK218" s="104">
        <f>('Renewable Diesel'!W227*'RD Feedstock Breakdown'!BK$3*'Feedstock Conversion Rates'!B$3)/12</f>
        <v>1.335</v>
      </c>
      <c r="BL218" s="104">
        <f>('Renewable Diesel'!W227*'RD Feedstock Breakdown'!BL$3*'Feedstock Conversion Rates'!B$6)/12</f>
        <v>3.1266666666666669</v>
      </c>
      <c r="BM218" s="104">
        <f>('Renewable Diesel'!W227*'RD Feedstock Breakdown'!BM$3*'Feedstock Conversion Rates'!B$7)/12</f>
        <v>1.5333333333333332</v>
      </c>
      <c r="BN218" s="106">
        <f t="shared" ref="BN218:BN281" si="209">SUM(BJ218:BM218)</f>
        <v>13.495000000000001</v>
      </c>
      <c r="BO218" s="104">
        <f>('Renewable Diesel'!P227*'Feedstock Conversion Rates'!B$4)/12</f>
        <v>31.25</v>
      </c>
      <c r="BP218" s="106">
        <f t="shared" si="199"/>
        <v>31.25</v>
      </c>
      <c r="BQ218" s="104">
        <f>('Renewable Diesel'!$S227*'RD Feedstock Breakdown'!BQ$3*'Feedstock Conversion Rates'!B$4)/12+10</f>
        <v>38.125</v>
      </c>
      <c r="BR218" s="104">
        <f>('Renewable Diesel'!$S227*'RD Feedstock Breakdown'!BR$3*'Feedstock Conversion Rates'!B$7)/12-10</f>
        <v>1.5</v>
      </c>
      <c r="BS218" s="106">
        <f t="shared" si="123"/>
        <v>39.625</v>
      </c>
      <c r="BT218" s="106"/>
      <c r="BU218" s="104">
        <f>('Renewable Diesel'!Y227*'Feedstock Conversion Rates'!B$7)/12</f>
        <v>2.6833333333333331</v>
      </c>
      <c r="BV218" s="106">
        <f t="shared" si="191"/>
        <v>2.6833333333333331</v>
      </c>
      <c r="BW218" s="104">
        <f>('Renewable Diesel'!$Z227*'RD Feedstock Breakdown'!BW$3*'Feedstock Conversion Rates'!$B$4)/12</f>
        <v>53.90625</v>
      </c>
      <c r="BX218" s="104">
        <f>('Renewable Diesel'!$Z227*'RD Feedstock Breakdown'!BX$3*'Feedstock Conversion Rates'!$B$5)/12</f>
        <v>5.4265624999999993</v>
      </c>
      <c r="BY218" s="104">
        <f>('Renewable Diesel'!$Z227*'RD Feedstock Breakdown'!BY$3*'Feedstock Conversion Rates'!$B$7)/12</f>
        <v>46.287499999999994</v>
      </c>
      <c r="BZ218" s="104">
        <f>('Renewable Diesel'!$Z227*'RD Feedstock Breakdown'!BZ$3*'Feedstock Conversion Rates'!$B$3)/12</f>
        <v>11.514374999999999</v>
      </c>
      <c r="CA218" s="106">
        <f t="shared" si="127"/>
        <v>117.1346875</v>
      </c>
      <c r="CB218" s="104">
        <f>('Renewable Diesel'!AA227*'Feedstock Conversion Rates'!B$4)/12</f>
        <v>191.25</v>
      </c>
      <c r="CC218" s="106">
        <f t="shared" si="113"/>
        <v>191.25</v>
      </c>
      <c r="CD218" s="104">
        <f>('Renewable Diesel'!$AB227*'RD Feedstock Breakdown'!CD$3*'Feedstock Conversion Rates'!$B$6)/12-15</f>
        <v>17.830000000000005</v>
      </c>
      <c r="CE218" s="104">
        <f>('Renewable Diesel'!$AB227*'RD Feedstock Breakdown'!CE$3*'Feedstock Conversion Rates'!$B$4)/12+15</f>
        <v>26.25</v>
      </c>
      <c r="CF218" s="106">
        <f t="shared" si="205"/>
        <v>44.080000000000005</v>
      </c>
      <c r="CG218" s="104">
        <f>('Renewable Diesel'!AD227*'Feedstock Conversion Rates'!B$4)/12</f>
        <v>112.5</v>
      </c>
      <c r="CH218" s="106">
        <f t="shared" si="187"/>
        <v>112.5</v>
      </c>
      <c r="CI218" s="104">
        <f>('Renewable Diesel'!$AE227*'RD Feedstock Breakdown'!CI$3*'Feedstock Conversion Rates'!$B$5)/12</f>
        <v>0.34604166666666664</v>
      </c>
      <c r="CJ218" s="104">
        <f>('Renewable Diesel'!$AE227*'RD Feedstock Breakdown'!CJ$3*'Feedstock Conversion Rates'!$B$4)/12</f>
        <v>0.34375</v>
      </c>
      <c r="CK218" s="106">
        <f t="shared" si="200"/>
        <v>0.68979166666666658</v>
      </c>
      <c r="CL218" s="104">
        <f>(((CL$3*'Renewable Diesel'!$AF227)*'Feedstock Conversion Rates'!$B$3)/12)-35</f>
        <v>56.78125</v>
      </c>
      <c r="CM218" s="104">
        <f>(((CM$3*'Renewable Diesel'!$AF227)*'Feedstock Conversion Rates'!$B$6)/12)-32.5+35+30</f>
        <v>86.239583333333343</v>
      </c>
      <c r="CN218" s="104">
        <f>(((CN$3*'Renewable Diesel'!$AF227)*'Feedstock Conversion Rates'!$B$4)/12)</f>
        <v>42.96875</v>
      </c>
      <c r="CO218" s="106">
        <f t="shared" si="190"/>
        <v>185.98958333333334</v>
      </c>
      <c r="CP218" s="104">
        <f>('Renewable Diesel'!$AG227*'RD Feedstock Breakdown'!CP$3*'Feedstock Conversion Rates'!$B$3)/12</f>
        <v>6.0075000000000003</v>
      </c>
      <c r="CQ218" s="104">
        <f>('Renewable Diesel'!$AG227*'RD Feedstock Breakdown'!CQ$3*'Feedstock Conversion Rates'!$B$6)/12</f>
        <v>3.5175000000000001</v>
      </c>
      <c r="CR218" s="104">
        <f>('Renewable Diesel'!$AG227*'RD Feedstock Breakdown'!CR$3*'Feedstock Conversion Rates'!$B$4)/12</f>
        <v>2.8125</v>
      </c>
      <c r="CS218" s="106">
        <f t="shared" si="134"/>
        <v>12.3375</v>
      </c>
      <c r="CT218" s="104">
        <f>('Renewable Diesel'!AI227*'Feedstock Conversion Rates'!$B$4*'RD Feedstock Breakdown'!$CT$3)/12</f>
        <v>29.375</v>
      </c>
      <c r="CU218" s="106">
        <f t="shared" si="196"/>
        <v>29.375</v>
      </c>
      <c r="CV218" s="104">
        <f>('Renewable Diesel'!AN227*'Feedstock Conversion Rates'!$B$3*'RD Feedstock Breakdown'!$CV$3)/12</f>
        <v>0.50062499999999999</v>
      </c>
      <c r="CW218" s="106">
        <f t="shared" si="161"/>
        <v>0.50062499999999999</v>
      </c>
      <c r="CX218" s="104">
        <f>('Renewable Diesel'!AO227*'RD Feedstock Breakdown'!$CX$3*'Feedstock Conversion Rates'!$B$3)/12</f>
        <v>6.3412499999999996</v>
      </c>
      <c r="CY218" s="104">
        <f>('Renewable Diesel'!AO227*'RD Feedstock Breakdown'!$CY$3*'Feedstock Conversion Rates'!$B$6)/12</f>
        <v>7.4258333333333342</v>
      </c>
      <c r="CZ218" s="106">
        <f t="shared" si="135"/>
        <v>13.767083333333334</v>
      </c>
      <c r="DA218" s="104">
        <f>('Renewable Diesel'!$AP227*'RD Feedstock Breakdown'!DA$3*'Feedstock Conversion Rates'!$B$3)/12</f>
        <v>6.3412499999999996</v>
      </c>
      <c r="DB218" s="104">
        <f>('Renewable Diesel'!$AP227*'RD Feedstock Breakdown'!DB$3*'Feedstock Conversion Rates'!$B$8)/12</f>
        <v>7.421875</v>
      </c>
      <c r="DC218" s="106">
        <f t="shared" si="165"/>
        <v>13.763124999999999</v>
      </c>
      <c r="DD218" s="104">
        <f>('Renewable Diesel'!AQ227*$DD$3*'Feedstock Conversion Rates'!$B$14)/12</f>
        <v>3.1041666666666665</v>
      </c>
      <c r="DE218" s="106">
        <f t="shared" si="166"/>
        <v>3.1041666666666665</v>
      </c>
      <c r="DF218" s="104">
        <f>('Renewable Diesel'!AR227*'Feedstock Conversion Rates'!$B$4*$DF$3)/12</f>
        <v>75</v>
      </c>
      <c r="DG218" s="106">
        <f t="shared" si="136"/>
        <v>75</v>
      </c>
      <c r="DH218" s="104">
        <f>('Renewable Diesel'!AS227*'Feedstock Conversion Rates'!$B$4*$DH$3)/12</f>
        <v>75</v>
      </c>
      <c r="DI218" s="106">
        <f t="shared" si="142"/>
        <v>75</v>
      </c>
      <c r="DJ218" s="104">
        <f>('Renewable Diesel'!AT227*'Feedstock Conversion Rates'!$B$4*0.25)/12</f>
        <v>8.59375</v>
      </c>
      <c r="DK218" s="104">
        <f>('Renewable Diesel'!$AT227*'RD Feedstock Breakdown'!DK$3*'Feedstock Conversion Rates'!$B$3)/12*0.5</f>
        <v>9.1781249999999996</v>
      </c>
      <c r="DL218" s="104">
        <f>('Renewable Diesel'!$AT227*'RD Feedstock Breakdown'!$DL$3*'Feedstock Conversion Rates'!$B$6)/12</f>
        <v>10.747916666666669</v>
      </c>
      <c r="DM218" s="104">
        <f>('Renewable Diesel'!$AT227*'RD Feedstock Breakdown'!$DM$3*'Feedstock Conversion Rates'!$B$8)/12</f>
        <v>10.7421875</v>
      </c>
      <c r="DN218" s="106">
        <f t="shared" ref="DN218:DN281" si="210">SUM(DJ218:DM218)</f>
        <v>39.26197916666667</v>
      </c>
      <c r="DP218" s="104">
        <f t="shared" si="168"/>
        <v>8.470249999999993</v>
      </c>
      <c r="DQ218" s="104">
        <f t="shared" si="169"/>
        <v>817.27964250000002</v>
      </c>
      <c r="DR218" s="104">
        <f t="shared" si="174"/>
        <v>1763.234375</v>
      </c>
      <c r="DS218" s="104">
        <f t="shared" si="197"/>
        <v>93.592395833333327</v>
      </c>
      <c r="DT218" s="104">
        <f t="shared" si="170"/>
        <v>269.53923333333341</v>
      </c>
      <c r="DU218" s="104">
        <f t="shared" si="171"/>
        <v>251.72693333333333</v>
      </c>
      <c r="DV218" s="104">
        <f t="shared" si="175"/>
        <v>35.75</v>
      </c>
      <c r="DW218" s="104">
        <f t="shared" si="172"/>
        <v>2.5</v>
      </c>
      <c r="DX218" s="106">
        <f t="shared" si="176"/>
        <v>3242.09283</v>
      </c>
      <c r="DY218" s="109">
        <f t="shared" si="163"/>
        <v>-125.00000000000014</v>
      </c>
      <c r="EA218" s="110">
        <f t="shared" si="150"/>
        <v>2.6125871294067765E-3</v>
      </c>
      <c r="EB218" s="110">
        <f t="shared" si="151"/>
        <v>0.25208397333274385</v>
      </c>
      <c r="EC218" s="110">
        <f t="shared" si="152"/>
        <v>0.54385684416075153</v>
      </c>
      <c r="ED218" s="110">
        <f t="shared" si="146"/>
        <v>2.8867895134678585E-2</v>
      </c>
      <c r="EE218" s="110">
        <f t="shared" si="146"/>
        <v>8.3137420014384164E-2</v>
      </c>
      <c r="EF218" s="110">
        <f t="shared" si="146"/>
        <v>7.7643345373714465E-2</v>
      </c>
      <c r="EG218" s="110">
        <f t="shared" si="146"/>
        <v>1.1026828001097057E-2</v>
      </c>
      <c r="EH218" s="111">
        <f t="shared" si="177"/>
        <v>7.7110685322357038E-4</v>
      </c>
      <c r="EI218" s="110">
        <f t="shared" si="178"/>
        <v>0.99922889314677643</v>
      </c>
      <c r="EK218" s="132">
        <f>(EA218*'Renewable Diesel'!BF227*'Feedstock Conversion Rates'!B$2)+FB218</f>
        <v>11.342541659813225</v>
      </c>
      <c r="EL218" s="132">
        <f>(EB218*'Renewable Diesel'!BF227*'Feedstock Conversion Rates'!B$3)+FC218</f>
        <v>1031.3318403494011</v>
      </c>
      <c r="EM218" s="132">
        <f>(EC218*'Renewable Diesel'!BF227*'Feedstock Conversion Rates'!B$4)+FD218</f>
        <v>2083.3706229018435</v>
      </c>
      <c r="EN218" s="132">
        <f>(ED218*'Renewable Diesel'!BF227*'Feedstock Conversion Rates'!B$5)+FE218</f>
        <v>111.32244722687079</v>
      </c>
      <c r="EO218" s="132">
        <f>(EE218*'Renewable Diesel'!BF227*'Feedstock Conversion Rates'!B$6)+FF218</f>
        <v>398.30894137635806</v>
      </c>
      <c r="EP218" s="132">
        <f>(EF218*'Renewable Diesel'!BF227*'Feedstock Conversion Rates'!B$7)+FG218</f>
        <v>364.84864777196765</v>
      </c>
      <c r="EQ218" s="132">
        <f>(EG218*'Renewable Diesel'!BF227*'Feedstock Conversion Rates'!B$8)+FH218</f>
        <v>52.801049044274741</v>
      </c>
      <c r="ER218" s="132">
        <f>(EH218*'Renewable Diesel'!BF227*'Feedstock Conversion Rates'!B$9)+FI218</f>
        <v>3.6431493046865557</v>
      </c>
      <c r="ES218" s="132">
        <f t="shared" si="179"/>
        <v>4056.9692396352157</v>
      </c>
      <c r="ET218" s="133">
        <f>ES218/'Renewable Diesel'!BF227</f>
        <v>8.4048818044128915</v>
      </c>
      <c r="EW218" s="73">
        <f t="shared" si="124"/>
        <v>2315.3170349996344</v>
      </c>
      <c r="EX218" s="73">
        <f t="shared" si="125"/>
        <v>1964.6299511390871</v>
      </c>
      <c r="EY218" s="92">
        <f t="shared" si="164"/>
        <v>0.57070115602055127</v>
      </c>
      <c r="EZ218" s="92">
        <f t="shared" si="164"/>
        <v>0.48426049967185303</v>
      </c>
      <c r="FB218" s="102">
        <f>IF('Renewable Diesel'!$BG227&lt;1,0,(((('Renewable Diesel'!$BG227-1)*'Renewable Diesel'!$BF227)*'RD Feedstock Breakdown'!EA218)*'Feedstock Conversion Rates'!$B$2))</f>
        <v>0.62340486938340667</v>
      </c>
      <c r="FC218" s="102">
        <f>IF('Renewable Diesel'!$BG227&lt;1,0,(((('Renewable Diesel'!$BG227-1)*'Renewable Diesel'!$BF227)*'RD Feedstock Breakdown'!EB218)*'Feedstock Conversion Rates'!$B$3))</f>
        <v>56.683705513897486</v>
      </c>
      <c r="FD218" s="102">
        <f>IF('Renewable Diesel'!$BG227&lt;1,0,(((('Renewable Diesel'!$BG227-1)*'Renewable Diesel'!$BF227)*'RD Feedstock Breakdown'!EC218)*'Feedstock Conversion Rates'!$B$4))</f>
        <v>114.50549885560105</v>
      </c>
      <c r="FE218" s="102">
        <f>IF('Renewable Diesel'!$BG227&lt;1,0,(((('Renewable Diesel'!$BG227-1)*'Renewable Diesel'!$BF227)*'RD Feedstock Breakdown'!ED218)*'Feedstock Conversion Rates'!$B$5))</f>
        <v>6.1184660153191226</v>
      </c>
      <c r="FF218" s="102">
        <f>IF('Renewable Diesel'!$BG227&lt;1,0,(((('Renewable Diesel'!$BG227-1)*'Renewable Diesel'!$BF227)*'RD Feedstock Breakdown'!EE218)*'Feedstock Conversion Rates'!$B$6))</f>
        <v>21.891718895133447</v>
      </c>
      <c r="FG218" s="102">
        <f>IF('Renewable Diesel'!$BG227&lt;1,0,(((('Renewable Diesel'!$BG227-1)*'Renewable Diesel'!$BF227)*'RD Feedstock Breakdown'!EF218)*'Feedstock Conversion Rates'!$B$7))</f>
        <v>20.052685758682188</v>
      </c>
      <c r="FH218" s="102">
        <f>IF('Renewable Diesel'!$BG227&lt;1,0,(((('Renewable Diesel'!$BG227-1)*'Renewable Diesel'!$BF227)*'RD Feedstock Breakdown'!EG218)*'Feedstock Conversion Rates'!$B$8))</f>
        <v>2.902033077769183</v>
      </c>
      <c r="FI218" s="102">
        <f>IF('Renewable Diesel'!$BG227&lt;1,0,(((('Renewable Diesel'!$BG227-1)*'Renewable Diesel'!$BF227)*'RD Feedstock Breakdown'!EH218)*'Feedstock Conversion Rates'!$B$9))</f>
        <v>0.20023351772020467</v>
      </c>
      <c r="FJ218" s="102">
        <f t="shared" si="126"/>
        <v>222.97774650350607</v>
      </c>
      <c r="FL218" s="3">
        <f>('Renewable Diesel'!AX227/12*$FO$80)*'RD Feedstock Breakdown'!EC218*7.5</f>
        <v>1643.076673796794</v>
      </c>
      <c r="FM218" s="3">
        <f t="shared" si="193"/>
        <v>-440.29394910504948</v>
      </c>
      <c r="FR218" s="3">
        <f>('Renewable Diesel'!AX227-'Renewable Diesel'!BI227)/12*$FO$80</f>
        <v>54.415874999999872</v>
      </c>
      <c r="FS218" s="100">
        <f t="shared" si="194"/>
        <v>0.54385684416075153</v>
      </c>
      <c r="FT218" s="3">
        <f t="shared" si="195"/>
        <v>221.95834537309401</v>
      </c>
      <c r="FY218" s="3">
        <f>'Renewable Diesel'!BF227*('Renewable Diesel'!BI227/'Renewable Diesel'!AX227)</f>
        <v>417.48657532713958</v>
      </c>
      <c r="FZ218" s="3">
        <f>('Renewable Diesel'!BJ227*'Renewable Diesel'!BG227)/12</f>
        <v>63.978444575846432</v>
      </c>
      <c r="GA218" s="3">
        <f t="shared" si="202"/>
        <v>260.96336221000041</v>
      </c>
      <c r="GD218" s="91">
        <f>'Renewable Diesel'!BB227*0.32</f>
        <v>0</v>
      </c>
      <c r="GE218" s="91">
        <f>'Renewable Diesel'!BC227</f>
        <v>166.28843847560069</v>
      </c>
      <c r="GF218" s="91">
        <f>'Renewable Diesel'!BD227</f>
        <v>0</v>
      </c>
      <c r="GG218" s="91">
        <f t="shared" si="206"/>
        <v>166.28843847560069</v>
      </c>
      <c r="GH218" s="124">
        <v>1</v>
      </c>
      <c r="GI218" s="102">
        <f>$GG218*EA218*'Feedstock Conversion Rates'!$B$2</f>
        <v>3.6927657901092918</v>
      </c>
      <c r="GJ218" s="102">
        <f>$GG218*EB218*'Feedstock Conversion Rates'!$B$3</f>
        <v>335.76838882471782</v>
      </c>
      <c r="GK218" s="102">
        <f>$GG218*EC218*'Feedstock Conversion Rates'!$B$4</f>
        <v>678.27829027319603</v>
      </c>
      <c r="GL218" s="102">
        <f>$GG218*ED218*'Feedstock Conversion Rates'!$B$5</f>
        <v>36.242998890374345</v>
      </c>
      <c r="GM218" s="102">
        <f>$GG218*EE218*'Feedstock Conversion Rates'!$B$6</f>
        <v>129.67654664391006</v>
      </c>
      <c r="GN218" s="102">
        <f>$GG218*EF218*'Feedstock Conversion Rates'!$B$7</f>
        <v>118.78295407399393</v>
      </c>
      <c r="GO218" s="102">
        <f>$GG218*EG218*'Feedstock Conversion Rates'!$B$8</f>
        <v>17.190318840388677</v>
      </c>
      <c r="GP218" s="102">
        <f>$GG218*EH218*'Feedstock Conversion Rates'!B$9</f>
        <v>1.1860919293135308</v>
      </c>
      <c r="GQ218" s="102">
        <f t="shared" si="180"/>
        <v>1320.8183552660039</v>
      </c>
      <c r="GR218" s="85">
        <f t="shared" si="204"/>
        <v>7.9429355845433962</v>
      </c>
      <c r="GT218" s="103">
        <f t="shared" si="159"/>
        <v>2.7958165294921229E-3</v>
      </c>
      <c r="GU218" s="103">
        <f t="shared" si="159"/>
        <v>0.25421238846812994</v>
      </c>
      <c r="GV218" s="103">
        <f t="shared" si="159"/>
        <v>0.51352881913622073</v>
      </c>
      <c r="GW218" s="103">
        <f t="shared" si="159"/>
        <v>2.7439805591644172E-2</v>
      </c>
      <c r="GX218" s="103">
        <f t="shared" si="158"/>
        <v>9.8178940447715149E-2</v>
      </c>
      <c r="GY218" s="103">
        <f t="shared" si="158"/>
        <v>8.9931332041544687E-2</v>
      </c>
      <c r="GZ218" s="103">
        <f t="shared" si="158"/>
        <v>1.3014900021529956E-2</v>
      </c>
      <c r="HA218" s="103">
        <f t="shared" si="158"/>
        <v>8.9799776372327905E-4</v>
      </c>
    </row>
    <row r="219" spans="1:209" x14ac:dyDescent="0.25">
      <c r="A219" s="96">
        <v>47088</v>
      </c>
      <c r="B219" s="104">
        <f>23-20+10+85-5-4-4-1.25+2.25-5+15-6-25-45+65+15-22.5-50+40+16.5+27.5+168+80+14-30+15-50-19+22.5-10+5+11-25-50-12.5-27.5-10+10+2+4-1.5+12-26-15-50-15+10-32.5-3-5-2.5-1+5+10-50-35-9-0.5+25+15+25+20+15+85-25+12.5-52.5+10+20-150+20-20+55-25-25+20-10+100</f>
        <v>115</v>
      </c>
      <c r="C219" s="104">
        <f>40-10-2.5-27.5+25+25+25-70+120-15-100-10+10+10+10</f>
        <v>30</v>
      </c>
      <c r="D219" s="104">
        <f t="shared" si="192"/>
        <v>1.5</v>
      </c>
      <c r="E219" s="104">
        <f>('Renewable Diesel'!B228*E$3*'Feedstock Conversion Rates'!$B$2)/12-40+1.25+6-43+30-15+12.5-4+1.5+26+2.5+3-10+50+9-15-25-55+15+45+10-50+60-60-44</f>
        <v>0.67999999999999261</v>
      </c>
      <c r="F219" s="104">
        <f>('Renewable Diesel'!B228*'RD Feedstock Breakdown'!F$3*'Feedstock Conversion Rates'!B$8)/12+28.5-49-5+2-6+1+6+20-20-3.75+10+2.5+5-20-20</f>
        <v>5.15625</v>
      </c>
      <c r="G219" s="104">
        <f>('Renewable Diesel'!B228*'RD Feedstock Breakdown'!G$3*'Feedstock Conversion Rates'!B$7)/12-25-15-25+4+4-20-40-20+10-17.5+20+50-12+32.5+35-75-75+22.5+5-20+15+125-10-45-10-40-40</f>
        <v>9.6570000000000107</v>
      </c>
      <c r="H219" s="104">
        <f>('Renewable Diesel'!B228*'RD Feedstock Breakdown'!H$3*'Feedstock Conversion Rates'!B$3)/12-85+4-15+70-65-80+50-22.5-5+25+27.5+15+50+15-10+5+50+75-5-25-85-12.5+30+22.5-25-30+150+90-120+25+10+70+15+44-100</f>
        <v>334.40022499999998</v>
      </c>
      <c r="I219" s="106">
        <f t="shared" si="203"/>
        <v>496.39347499999997</v>
      </c>
      <c r="J219" s="104">
        <f>2+10+12+15-6-20-5-5+7+105+30+87+5-10-5-25-27.5+1-1-15-17.5-6-10-77.5-7.5-1+17.5+15+90+2+2.5+2.5+7.5+27.5-32-11-25+5-50-30-20-15-5+10-10+20+30</f>
        <v>66.5</v>
      </c>
      <c r="K219" s="104">
        <f>50-30-20+10+10-10</f>
        <v>10</v>
      </c>
      <c r="L219" s="104">
        <v>1</v>
      </c>
      <c r="M219" s="104">
        <f>('Renewable Diesel'!C228*'RD Feedstock Breakdown'!M$3*'Feedstock Conversion Rates'!B$2)/12</f>
        <v>7.7902500000000003</v>
      </c>
      <c r="N219" s="104">
        <f>('Renewable Diesel'!C228*'RD Feedstock Breakdown'!N$3*'Feedstock Conversion Rates'!B$8)/12</f>
        <v>3.671875</v>
      </c>
      <c r="O219" s="104">
        <f>('Renewable Diesel'!C228*'RD Feedstock Breakdown'!O$3*'Feedstock Conversion Rates'!B$7)/12</f>
        <v>11.9991</v>
      </c>
      <c r="P219" s="104">
        <f>('Renewable Diesel'!C228*'RD Feedstock Breakdown'!P$3*'Feedstock Conversion Rates'!B$3)/12</f>
        <v>10.4470425</v>
      </c>
      <c r="Q219" s="106">
        <f t="shared" si="119"/>
        <v>111.40826749999999</v>
      </c>
      <c r="R219" s="104">
        <f>('Renewable Diesel'!D228*'RD Feedstock Breakdown'!R$3*'Feedstock Conversion Rates'!B$7)/12</f>
        <v>2.2999999999999998</v>
      </c>
      <c r="S219" s="106">
        <f t="shared" si="148"/>
        <v>2.2999999999999998</v>
      </c>
      <c r="T219" s="104">
        <f t="shared" si="207"/>
        <v>5.8250000000000028</v>
      </c>
      <c r="U219" s="104">
        <v>30</v>
      </c>
      <c r="V219" s="104">
        <f>('Renewable Diesel'!E228*'RD Feedstock Breakdown'!V$3*'Feedstock Conversion Rates'!B$6)/12-20+25-35</f>
        <v>14.250150000000012</v>
      </c>
      <c r="W219" s="104">
        <f>('Renewable Diesel'!E228*'RD Feedstock Breakdown'!W$3*'Feedstock Conversion Rates'!B$8)/12-6</f>
        <v>16.1796875</v>
      </c>
      <c r="X219" s="106">
        <f t="shared" si="185"/>
        <v>66.254837500000008</v>
      </c>
      <c r="Y219" s="104">
        <f t="shared" si="208"/>
        <v>126</v>
      </c>
      <c r="Z219" s="104">
        <f>('Renewable Diesel'!F228*'RD Feedstock Breakdown'!Z$3*'Feedstock Conversion Rates'!B$6)/12-50-32-60+15+30+22.5-70+75-30+3+5</f>
        <v>67.960000000000008</v>
      </c>
      <c r="AA219" s="104">
        <f>('Renewable Diesel'!F228*'RD Feedstock Breakdown'!AA$3*'Feedstock Conversion Rates'!B$7)/12+80-171+75+30-50-1+2.5</f>
        <v>69.766666666666652</v>
      </c>
      <c r="AB219" s="106">
        <f t="shared" si="137"/>
        <v>263.72666666666669</v>
      </c>
      <c r="AC219" s="104">
        <f>('Renewable Diesel'!G228*'RD Feedstock Breakdown'!AC$3*'Feedstock Conversion Rates'!B$5)/12+2</f>
        <v>13.796875</v>
      </c>
      <c r="AD219" s="104">
        <f>('Renewable Diesel'!G228*'RD Feedstock Breakdown'!AD$3*'Feedstock Conversion Rates'!B$4)/12</f>
        <v>5.859375</v>
      </c>
      <c r="AE219" s="104">
        <f>('Renewable Diesel'!G228*'RD Feedstock Breakdown'!AE$3*'Feedstock Conversion Rates'!B$6)/12-2</f>
        <v>5.3281250000000009</v>
      </c>
      <c r="AF219" s="106">
        <f t="shared" si="198"/>
        <v>24.984375</v>
      </c>
      <c r="AG219" s="104">
        <f t="shared" ref="AG219:AG228" si="211">130+20-51+120-2.5-100+45-20-125</f>
        <v>16.5</v>
      </c>
      <c r="AH219" s="104">
        <v>125</v>
      </c>
      <c r="AI219" s="104">
        <f>('Renewable Diesel'!H228*'RD Feedstock Breakdown'!AI$3*'Feedstock Conversion Rates'!B$6)/12-130-20+51-120+2.5+100-45+20</f>
        <v>7.0166666666666799</v>
      </c>
      <c r="AJ219" s="106">
        <f t="shared" si="145"/>
        <v>23.51666666666668</v>
      </c>
      <c r="AK219" s="104">
        <f>('Renewable Diesel'!J228*'RD Feedstock Breakdown'!AK$3*'Feedstock Conversion Rates'!B$4)/12</f>
        <v>95.8125</v>
      </c>
      <c r="AL219" s="106">
        <f t="shared" si="157"/>
        <v>95.8125</v>
      </c>
      <c r="AM219" s="104">
        <f>('Renewable Diesel'!K228*'RD Feedstock Breakdown'!AM$3*'Feedstock Conversion Rates'!B$4)/12+5+15-10+9-27</f>
        <v>50.59375</v>
      </c>
      <c r="AN219" s="104">
        <f>('Renewable Diesel'!K228*'RD Feedstock Breakdown'!AN$3*'Feedstock Conversion Rates'!B$6)/12-5-15+10-9+27</f>
        <v>32.427083333333329</v>
      </c>
      <c r="AO219" s="106">
        <f t="shared" si="173"/>
        <v>83.020833333333329</v>
      </c>
      <c r="AP219" s="104">
        <f>('Renewable Diesel'!L228*'RD Feedstock Breakdown'!AP$3*'Feedstock Conversion Rates'!B$4)/12+15-10+5+9</f>
        <v>77.59375</v>
      </c>
      <c r="AQ219" s="104">
        <f>('Renewable Diesel'!L228*'RD Feedstock Breakdown'!AQ$3*'Feedstock Conversion Rates'!B$6)/12-15+10-5-9</f>
        <v>5.4270833333333321</v>
      </c>
      <c r="AR219" s="106">
        <f t="shared" si="162"/>
        <v>83.020833333333329</v>
      </c>
      <c r="AS219" s="104">
        <f>('Renewable Diesel'!M228*'RD Feedstock Breakdown'!AS$3*'Feedstock Conversion Rates'!B$4)/12</f>
        <v>456.25</v>
      </c>
      <c r="AT219" s="104">
        <f>('Renewable Diesel'!M228*'RD Feedstock Breakdown'!AT$3*'Feedstock Conversion Rates'!B$5)/12</f>
        <v>0</v>
      </c>
      <c r="AU219" s="106">
        <f t="shared" si="201"/>
        <v>456.25</v>
      </c>
      <c r="AV219" s="104">
        <f>'Renewable Diesel'!N228*'RD Feedstock Breakdown'!$AV$3*'Feedstock Conversion Rates'!$B$4/12-15-10+25+25-22-10-30</f>
        <v>41.749999999999986</v>
      </c>
      <c r="AW219" s="104">
        <f>'Renewable Diesel'!N228*'RD Feedstock Breakdown'!$AW$3*'Feedstock Conversion Rates'!$B$7/12+15+10-25-25+22+10+30</f>
        <v>78.400000000000006</v>
      </c>
      <c r="AX219" s="106">
        <f t="shared" si="141"/>
        <v>120.14999999999999</v>
      </c>
      <c r="AY219" s="104">
        <f>('Renewable Diesel'!O228*'RD Feedstock Breakdown'!AY$3*'Feedstock Conversion Rates'!B$4)/12+32+2-135-247+50</f>
        <v>-87.0625</v>
      </c>
      <c r="AZ219" s="104">
        <f>('Renewable Diesel'!O228*'RD Feedstock Breakdown'!AZ$3*'Feedstock Conversion Rates'!B$3)/12-32-2+135+247-50</f>
        <v>323.03125</v>
      </c>
      <c r="BA219" s="106">
        <f t="shared" si="120"/>
        <v>235.96875</v>
      </c>
      <c r="BB219" s="104">
        <f>('Renewable Diesel'!Q228*'RD Feedstock Breakdown'!BB$3*'Feedstock Conversion Rates'!B$4)/12</f>
        <v>11.156249999999998</v>
      </c>
      <c r="BC219" s="104">
        <f>('Renewable Diesel'!Q228*'RD Feedstock Breakdown'!BC$3*'Feedstock Conversion Rates'!B$3)/12</f>
        <v>1.4017500000000001</v>
      </c>
      <c r="BD219" s="104">
        <f>('Renewable Diesel'!Q228*'RD Feedstock Breakdown'!BD$3*'Feedstock Conversion Rates'!B$6)/12</f>
        <v>0.8207500000000002</v>
      </c>
      <c r="BE219" s="106">
        <f t="shared" si="189"/>
        <v>13.378749999999998</v>
      </c>
      <c r="BF219" s="104">
        <f>('Renewable Diesel'!R228*'RD Feedstock Breakdown'!BF$3*'Feedstock Conversion Rates'!B$4)/12</f>
        <v>62.5</v>
      </c>
      <c r="BG219" s="106">
        <f t="shared" si="167"/>
        <v>62.5</v>
      </c>
      <c r="BH219" s="104">
        <f>('Renewable Diesel'!T228*'RD Feedstock Breakdown'!BH$3*'Feedstock Conversion Rates'!B$7)/12</f>
        <v>27.599999999999998</v>
      </c>
      <c r="BI219" s="106">
        <f t="shared" si="144"/>
        <v>27.599999999999998</v>
      </c>
      <c r="BJ219" s="104">
        <f>('Renewable Diesel'!W228*'RD Feedstock Breakdown'!BJ$3*'Feedstock Conversion Rates'!B$4)/12</f>
        <v>7.5</v>
      </c>
      <c r="BK219" s="104">
        <f>('Renewable Diesel'!W228*'RD Feedstock Breakdown'!BK$3*'Feedstock Conversion Rates'!B$3)/12</f>
        <v>1.335</v>
      </c>
      <c r="BL219" s="104">
        <f>('Renewable Diesel'!W228*'RD Feedstock Breakdown'!BL$3*'Feedstock Conversion Rates'!B$6)/12</f>
        <v>3.1266666666666669</v>
      </c>
      <c r="BM219" s="104">
        <f>('Renewable Diesel'!W228*'RD Feedstock Breakdown'!BM$3*'Feedstock Conversion Rates'!B$7)/12</f>
        <v>1.5333333333333332</v>
      </c>
      <c r="BN219" s="106">
        <f t="shared" si="209"/>
        <v>13.495000000000001</v>
      </c>
      <c r="BO219" s="104">
        <f>('Renewable Diesel'!P228*'Feedstock Conversion Rates'!B$4)/12</f>
        <v>31.25</v>
      </c>
      <c r="BP219" s="106">
        <f t="shared" si="199"/>
        <v>31.25</v>
      </c>
      <c r="BQ219" s="104">
        <f>('Renewable Diesel'!$S228*'RD Feedstock Breakdown'!BQ$3*'Feedstock Conversion Rates'!B$4)/12+10</f>
        <v>38.125</v>
      </c>
      <c r="BR219" s="104">
        <f>('Renewable Diesel'!$S228*'RD Feedstock Breakdown'!BR$3*'Feedstock Conversion Rates'!B$7)/12-10</f>
        <v>1.5</v>
      </c>
      <c r="BS219" s="106">
        <f t="shared" si="123"/>
        <v>39.625</v>
      </c>
      <c r="BT219" s="106"/>
      <c r="BU219" s="104">
        <f>('Renewable Diesel'!Y228*'Feedstock Conversion Rates'!B$7)/12</f>
        <v>2.6833333333333331</v>
      </c>
      <c r="BV219" s="106">
        <f t="shared" si="191"/>
        <v>2.6833333333333331</v>
      </c>
      <c r="BW219" s="104">
        <f>('Renewable Diesel'!$Z228*'RD Feedstock Breakdown'!BW$3*'Feedstock Conversion Rates'!$B$4)/12</f>
        <v>53.90625</v>
      </c>
      <c r="BX219" s="104">
        <f>('Renewable Diesel'!$Z228*'RD Feedstock Breakdown'!BX$3*'Feedstock Conversion Rates'!$B$5)/12</f>
        <v>5.4265624999999993</v>
      </c>
      <c r="BY219" s="104">
        <f>('Renewable Diesel'!$Z228*'RD Feedstock Breakdown'!BY$3*'Feedstock Conversion Rates'!$B$7)/12</f>
        <v>46.287499999999994</v>
      </c>
      <c r="BZ219" s="104">
        <f>('Renewable Diesel'!$Z228*'RD Feedstock Breakdown'!BZ$3*'Feedstock Conversion Rates'!$B$3)/12</f>
        <v>11.514374999999999</v>
      </c>
      <c r="CA219" s="106">
        <f t="shared" si="127"/>
        <v>117.1346875</v>
      </c>
      <c r="CB219" s="104">
        <f>('Renewable Diesel'!AA228*'Feedstock Conversion Rates'!B$4)/12</f>
        <v>191.25</v>
      </c>
      <c r="CC219" s="106">
        <f t="shared" si="113"/>
        <v>191.25</v>
      </c>
      <c r="CD219" s="104">
        <f>('Renewable Diesel'!$AB228*'RD Feedstock Breakdown'!CD$3*'Feedstock Conversion Rates'!$B$6)/12-15</f>
        <v>17.830000000000005</v>
      </c>
      <c r="CE219" s="104">
        <f>('Renewable Diesel'!$AB228*'RD Feedstock Breakdown'!CE$3*'Feedstock Conversion Rates'!$B$4)/12+15</f>
        <v>26.25</v>
      </c>
      <c r="CF219" s="106">
        <f t="shared" si="205"/>
        <v>44.080000000000005</v>
      </c>
      <c r="CG219" s="104">
        <f>('Renewable Diesel'!AD228*'Feedstock Conversion Rates'!B$4)/12</f>
        <v>112.5</v>
      </c>
      <c r="CH219" s="106">
        <f t="shared" si="187"/>
        <v>112.5</v>
      </c>
      <c r="CI219" s="104">
        <f>('Renewable Diesel'!$AE228*'RD Feedstock Breakdown'!CI$3*'Feedstock Conversion Rates'!$B$5)/12</f>
        <v>0.34604166666666664</v>
      </c>
      <c r="CJ219" s="104">
        <f>('Renewable Diesel'!$AE228*'RD Feedstock Breakdown'!CJ$3*'Feedstock Conversion Rates'!$B$4)/12</f>
        <v>0.34375</v>
      </c>
      <c r="CK219" s="106">
        <f t="shared" si="200"/>
        <v>0.68979166666666658</v>
      </c>
      <c r="CL219" s="104">
        <f>(((CL$3*'Renewable Diesel'!$AF228)*'Feedstock Conversion Rates'!$B$3)/12)-35</f>
        <v>56.78125</v>
      </c>
      <c r="CM219" s="104">
        <f>(((CM$3*'Renewable Diesel'!$AF228)*'Feedstock Conversion Rates'!$B$6)/12)-32.5+35+30</f>
        <v>86.239583333333343</v>
      </c>
      <c r="CN219" s="104">
        <f>(((CN$3*'Renewable Diesel'!$AF228)*'Feedstock Conversion Rates'!$B$4)/12)</f>
        <v>42.96875</v>
      </c>
      <c r="CO219" s="106">
        <f t="shared" si="190"/>
        <v>185.98958333333334</v>
      </c>
      <c r="CP219" s="104">
        <f>('Renewable Diesel'!$AG228*'RD Feedstock Breakdown'!CP$3*'Feedstock Conversion Rates'!$B$3)/12</f>
        <v>6.0075000000000003</v>
      </c>
      <c r="CQ219" s="104">
        <f>('Renewable Diesel'!$AG228*'RD Feedstock Breakdown'!CQ$3*'Feedstock Conversion Rates'!$B$6)/12</f>
        <v>3.5175000000000001</v>
      </c>
      <c r="CR219" s="104">
        <f>('Renewable Diesel'!$AG228*'RD Feedstock Breakdown'!CR$3*'Feedstock Conversion Rates'!$B$4)/12</f>
        <v>2.8125</v>
      </c>
      <c r="CS219" s="106">
        <f t="shared" si="134"/>
        <v>12.3375</v>
      </c>
      <c r="CT219" s="104">
        <f>('Renewable Diesel'!AI228*'Feedstock Conversion Rates'!$B$4*'RD Feedstock Breakdown'!$CT$3)/12</f>
        <v>29.375</v>
      </c>
      <c r="CU219" s="106">
        <f t="shared" si="196"/>
        <v>29.375</v>
      </c>
      <c r="CV219" s="104">
        <f>('Renewable Diesel'!AN228*'Feedstock Conversion Rates'!$B$3*'RD Feedstock Breakdown'!$CV$3)/12</f>
        <v>0.50062499999999999</v>
      </c>
      <c r="CW219" s="106">
        <f t="shared" si="161"/>
        <v>0.50062499999999999</v>
      </c>
      <c r="CX219" s="104">
        <f>('Renewable Diesel'!AO228*'RD Feedstock Breakdown'!$CX$3*'Feedstock Conversion Rates'!$B$3)/12</f>
        <v>6.3412499999999996</v>
      </c>
      <c r="CY219" s="104">
        <f>('Renewable Diesel'!AO228*'RD Feedstock Breakdown'!$CY$3*'Feedstock Conversion Rates'!$B$6)/12</f>
        <v>7.4258333333333342</v>
      </c>
      <c r="CZ219" s="106">
        <f t="shared" si="135"/>
        <v>13.767083333333334</v>
      </c>
      <c r="DA219" s="104">
        <f>('Renewable Diesel'!$AP228*'RD Feedstock Breakdown'!DA$3*'Feedstock Conversion Rates'!$B$3)/12</f>
        <v>6.3412499999999996</v>
      </c>
      <c r="DB219" s="104">
        <f>('Renewable Diesel'!$AP228*'RD Feedstock Breakdown'!DB$3*'Feedstock Conversion Rates'!$B$8)/12</f>
        <v>7.421875</v>
      </c>
      <c r="DC219" s="106">
        <f t="shared" si="165"/>
        <v>13.763124999999999</v>
      </c>
      <c r="DD219" s="104">
        <f>('Renewable Diesel'!AQ228*$DD$3*'Feedstock Conversion Rates'!$B$14)/12</f>
        <v>3.1041666666666665</v>
      </c>
      <c r="DE219" s="106">
        <f t="shared" si="166"/>
        <v>3.1041666666666665</v>
      </c>
      <c r="DF219" s="104">
        <f>('Renewable Diesel'!AR228*'Feedstock Conversion Rates'!$B$4*$DF$3)/12</f>
        <v>75</v>
      </c>
      <c r="DG219" s="106">
        <f t="shared" si="136"/>
        <v>75</v>
      </c>
      <c r="DH219" s="104">
        <f>('Renewable Diesel'!AS228*'Feedstock Conversion Rates'!$B$4*$DH$3)/12</f>
        <v>75</v>
      </c>
      <c r="DI219" s="106">
        <f t="shared" si="142"/>
        <v>75</v>
      </c>
      <c r="DJ219" s="104">
        <f>('Renewable Diesel'!AT228*'Feedstock Conversion Rates'!$B$4*0.25)/12</f>
        <v>8.59375</v>
      </c>
      <c r="DK219" s="104">
        <f>('Renewable Diesel'!$AT228*'RD Feedstock Breakdown'!DK$3*'Feedstock Conversion Rates'!$B$3)/12*0.5</f>
        <v>9.1781249999999996</v>
      </c>
      <c r="DL219" s="104">
        <f>('Renewable Diesel'!$AT228*'RD Feedstock Breakdown'!$DL$3*'Feedstock Conversion Rates'!$B$6)/12</f>
        <v>10.747916666666669</v>
      </c>
      <c r="DM219" s="104">
        <f>('Renewable Diesel'!$AT228*'RD Feedstock Breakdown'!$DM$3*'Feedstock Conversion Rates'!$B$8)/12</f>
        <v>10.7421875</v>
      </c>
      <c r="DN219" s="106">
        <f t="shared" si="210"/>
        <v>39.26197916666667</v>
      </c>
      <c r="DP219" s="104">
        <f t="shared" si="168"/>
        <v>8.470249999999993</v>
      </c>
      <c r="DQ219" s="104">
        <f t="shared" si="169"/>
        <v>767.27964250000002</v>
      </c>
      <c r="DR219" s="104">
        <f t="shared" si="174"/>
        <v>1863.234375</v>
      </c>
      <c r="DS219" s="104">
        <f t="shared" si="197"/>
        <v>93.592395833333327</v>
      </c>
      <c r="DT219" s="104">
        <f t="shared" si="170"/>
        <v>269.53923333333341</v>
      </c>
      <c r="DU219" s="104">
        <f t="shared" si="171"/>
        <v>251.72693333333333</v>
      </c>
      <c r="DV219" s="104">
        <f t="shared" si="175"/>
        <v>35.75</v>
      </c>
      <c r="DW219" s="104">
        <f t="shared" si="172"/>
        <v>2.5</v>
      </c>
      <c r="DX219" s="106">
        <f t="shared" si="176"/>
        <v>3292.09283</v>
      </c>
      <c r="DY219" s="109">
        <f t="shared" si="163"/>
        <v>-125.00000000000014</v>
      </c>
      <c r="EA219" s="110">
        <f t="shared" si="150"/>
        <v>2.5729073988475571E-3</v>
      </c>
      <c r="EB219" s="110">
        <f t="shared" si="151"/>
        <v>0.23306743828970339</v>
      </c>
      <c r="EC219" s="110">
        <f t="shared" si="152"/>
        <v>0.56597261110647357</v>
      </c>
      <c r="ED219" s="110">
        <f t="shared" si="146"/>
        <v>2.842945222578469E-2</v>
      </c>
      <c r="EE219" s="110">
        <f t="shared" si="146"/>
        <v>8.187473660435432E-2</v>
      </c>
      <c r="EF219" s="110">
        <f t="shared" si="146"/>
        <v>7.6464105458816406E-2</v>
      </c>
      <c r="EG219" s="110">
        <f t="shared" si="146"/>
        <v>1.0859353562031845E-2</v>
      </c>
      <c r="EH219" s="111">
        <f t="shared" si="177"/>
        <v>7.5939535398824101E-4</v>
      </c>
      <c r="EI219" s="110">
        <f t="shared" si="178"/>
        <v>0.99924060464601172</v>
      </c>
      <c r="EK219" s="132">
        <f>(EA219*'Renewable Diesel'!BF228*'Feedstock Conversion Rates'!B$2)+FB219</f>
        <v>12.812047493798556</v>
      </c>
      <c r="EL219" s="132">
        <f>(EB219*'Renewable Diesel'!BF228*'Feedstock Conversion Rates'!B$3)+FC219</f>
        <v>1093.6782544870455</v>
      </c>
      <c r="EM219" s="132">
        <f>(EC219*'Renewable Diesel'!BF228*'Feedstock Conversion Rates'!B$4)+FD219</f>
        <v>2486.7500582049024</v>
      </c>
      <c r="EN219" s="132">
        <f>(ED219*'Renewable Diesel'!BF228*'Feedstock Conversion Rates'!B$5)+FE219</f>
        <v>125.7450511334545</v>
      </c>
      <c r="EO219" s="132">
        <f>(EE219*'Renewable Diesel'!BF228*'Feedstock Conversion Rates'!B$6)+FF219</f>
        <v>449.91265865913135</v>
      </c>
      <c r="EP219" s="132">
        <f>(EF219*'Renewable Diesel'!BF228*'Feedstock Conversion Rates'!B$7)+FG219</f>
        <v>412.11734931195349</v>
      </c>
      <c r="EQ219" s="132">
        <f>(EG219*'Renewable Diesel'!BF228*'Feedstock Conversion Rates'!B$8)+FH219</f>
        <v>59.64179531951347</v>
      </c>
      <c r="ER219" s="132">
        <f>(EH219*'Renewable Diesel'!BF228*'Feedstock Conversion Rates'!B$9)+FI219</f>
        <v>4.1151448518825147</v>
      </c>
      <c r="ES219" s="132">
        <f t="shared" si="179"/>
        <v>4644.7723594616809</v>
      </c>
      <c r="ET219" s="133">
        <f>ES219/'Renewable Diesel'!BF228</f>
        <v>9.1334984037009868</v>
      </c>
      <c r="EW219" s="73">
        <f t="shared" si="124"/>
        <v>2957.1768839093393</v>
      </c>
      <c r="EX219" s="73">
        <f t="shared" si="125"/>
        <v>2300.4074856551915</v>
      </c>
      <c r="EY219" s="92">
        <f t="shared" si="164"/>
        <v>0.63666777509244166</v>
      </c>
      <c r="EZ219" s="92">
        <f t="shared" si="164"/>
        <v>0.49526807938587625</v>
      </c>
      <c r="FB219" s="102">
        <f>IF('Renewable Diesel'!$BG228&lt;1,0,(((('Renewable Diesel'!$BG228-1)*'Renewable Diesel'!$BF228)*'RD Feedstock Breakdown'!EA219)*'Feedstock Conversion Rates'!$B$2))</f>
        <v>1.6903684337111025</v>
      </c>
      <c r="FC219" s="102">
        <f>IF('Renewable Diesel'!$BG228&lt;1,0,(((('Renewable Diesel'!$BG228-1)*'Renewable Diesel'!$BF228)*'RD Feedstock Breakdown'!EB219)*'Feedstock Conversion Rates'!$B$3))</f>
        <v>144.29537503010343</v>
      </c>
      <c r="FD219" s="102">
        <f>IF('Renewable Diesel'!$BG228&lt;1,0,(((('Renewable Diesel'!$BG228-1)*'Renewable Diesel'!$BF228)*'RD Feedstock Breakdown'!EC219)*'Feedstock Conversion Rates'!$B$4))</f>
        <v>328.0914938032704</v>
      </c>
      <c r="FE219" s="102">
        <f>IF('Renewable Diesel'!$BG228&lt;1,0,(((('Renewable Diesel'!$BG228-1)*'Renewable Diesel'!$BF228)*'RD Feedstock Breakdown'!ED219)*'Feedstock Conversion Rates'!$B$5))</f>
        <v>16.59028076771208</v>
      </c>
      <c r="FF219" s="102">
        <f>IF('Renewable Diesel'!$BG228&lt;1,0,(((('Renewable Diesel'!$BG228-1)*'Renewable Diesel'!$BF228)*'RD Feedstock Breakdown'!EE219)*'Feedstock Conversion Rates'!$B$6))</f>
        <v>59.359611060804212</v>
      </c>
      <c r="FG219" s="102">
        <f>IF('Renewable Diesel'!$BG228&lt;1,0,(((('Renewable Diesel'!$BG228-1)*'Renewable Diesel'!$BF228)*'RD Feedstock Breakdown'!EF219)*'Feedstock Conversion Rates'!$B$7))</f>
        <v>54.37305462681195</v>
      </c>
      <c r="FH219" s="102">
        <f>IF('Renewable Diesel'!$BG228&lt;1,0,(((('Renewable Diesel'!$BG228-1)*'Renewable Diesel'!$BF228)*'RD Feedstock Breakdown'!EG219)*'Feedstock Conversion Rates'!$B$8))</f>
        <v>7.8688912281009422</v>
      </c>
      <c r="FI219" s="102">
        <f>IF('Renewable Diesel'!$BG228&lt;1,0,(((('Renewable Diesel'!$BG228-1)*'Renewable Diesel'!$BF228)*'RD Feedstock Breakdown'!EH219)*'Feedstock Conversion Rates'!$B$9))</f>
        <v>0.54293515233516998</v>
      </c>
      <c r="FJ219" s="102">
        <f t="shared" si="126"/>
        <v>612.81201010284929</v>
      </c>
      <c r="FL219" s="3">
        <f>('Renewable Diesel'!AX228/12*$FO$80)*'RD Feedstock Breakdown'!EC219*7.5</f>
        <v>1709.8918682395829</v>
      </c>
      <c r="FM219" s="3">
        <f t="shared" si="193"/>
        <v>-776.85818996531953</v>
      </c>
      <c r="FR219" s="3">
        <f>('Renewable Diesel'!AX228-'Renewable Diesel'!BI228)/12*$FO$80</f>
        <v>54.415874999999872</v>
      </c>
      <c r="FS219" s="100">
        <f t="shared" si="194"/>
        <v>0.56597261110647357</v>
      </c>
      <c r="FT219" s="3">
        <f t="shared" si="195"/>
        <v>230.98421144545054</v>
      </c>
      <c r="FY219" s="3">
        <f>'Renewable Diesel'!BF228*('Renewable Diesel'!BI228/'Renewable Diesel'!AX228)</f>
        <v>439.84502827343215</v>
      </c>
      <c r="FZ219" s="3">
        <f>('Renewable Diesel'!BJ228*'Renewable Diesel'!BG228)/12</f>
        <v>69.651630752468378</v>
      </c>
      <c r="GA219" s="3">
        <f t="shared" si="202"/>
        <v>295.65686493598861</v>
      </c>
      <c r="GD219" s="91">
        <f>'Renewable Diesel'!BB228*0.32</f>
        <v>0</v>
      </c>
      <c r="GE219" s="91">
        <f>'Renewable Diesel'!BC228</f>
        <v>149.52865070780086</v>
      </c>
      <c r="GF219" s="91">
        <f>'Renewable Diesel'!BD228</f>
        <v>0</v>
      </c>
      <c r="GG219" s="91">
        <f t="shared" si="206"/>
        <v>149.52865070780086</v>
      </c>
      <c r="GH219" s="124">
        <v>1</v>
      </c>
      <c r="GI219" s="102">
        <f>$GG219*EA219*'Feedstock Conversion Rates'!$B$2</f>
        <v>3.2701486598392391</v>
      </c>
      <c r="GJ219" s="102">
        <f>$GG219*EB219*'Feedstock Conversion Rates'!$B$3</f>
        <v>279.15057916677773</v>
      </c>
      <c r="GK219" s="102">
        <f>$GG219*EC219*'Feedstock Conversion Rates'!$B$4</f>
        <v>634.71840657241432</v>
      </c>
      <c r="GL219" s="102">
        <f>$GG219*ED219*'Feedstock Conversion Rates'!$B$5</f>
        <v>32.095183119210205</v>
      </c>
      <c r="GM219" s="102">
        <f>$GG219*EE219*'Feedstock Conversion Rates'!$B$6</f>
        <v>114.83576520232343</v>
      </c>
      <c r="GN219" s="102">
        <f>$GG219*EF219*'Feedstock Conversion Rates'!$B$7</f>
        <v>105.18888555488942</v>
      </c>
      <c r="GO219" s="102">
        <f>$GG219*EG219*'Feedstock Conversion Rates'!$B$8</f>
        <v>15.222979553339746</v>
      </c>
      <c r="GP219" s="102">
        <f>$GG219*EH219*'Feedstock Conversion Rates'!B$9</f>
        <v>1.0503501043796188</v>
      </c>
      <c r="GQ219" s="102">
        <f t="shared" si="180"/>
        <v>1185.5322979331736</v>
      </c>
      <c r="GR219" s="85">
        <f t="shared" si="204"/>
        <v>7.9284624874323484</v>
      </c>
      <c r="GT219" s="103">
        <f t="shared" si="159"/>
        <v>2.7583800673674874E-3</v>
      </c>
      <c r="GU219" s="103">
        <f t="shared" si="159"/>
        <v>0.23546433922841387</v>
      </c>
      <c r="GV219" s="103">
        <f t="shared" si="159"/>
        <v>0.53538685338135961</v>
      </c>
      <c r="GW219" s="103">
        <f t="shared" si="159"/>
        <v>2.7072381895595868E-2</v>
      </c>
      <c r="GX219" s="103">
        <f t="shared" si="158"/>
        <v>9.6864307621584975E-2</v>
      </c>
      <c r="GY219" s="103">
        <f t="shared" si="158"/>
        <v>8.8727136104409007E-2</v>
      </c>
      <c r="GZ219" s="103">
        <f t="shared" si="158"/>
        <v>1.2840628281388117E-2</v>
      </c>
      <c r="HA219" s="103">
        <f t="shared" si="158"/>
        <v>8.8597341988132467E-4</v>
      </c>
    </row>
    <row r="220" spans="1:209" x14ac:dyDescent="0.25">
      <c r="A220" s="96">
        <v>47119</v>
      </c>
      <c r="B220" s="104">
        <f>23-20+10+85-5-4-4-1.25+2.25-5+15-6-25-45+65+15-22.5-50+40+16.5+27.5+168+80+14-30+15-50-19+22.5-10+5+11-25-50-12.5-27.5-10+10+2+4-1.5+12-26-15-50-15+10-32.5-3-5-2.5-1+5+10-50-35-9-0.5+25+15+25+20+15+85-25+12.5-52.5+10+20-150+20-20+55-25-25+20-10</f>
        <v>15</v>
      </c>
      <c r="C220" s="104">
        <f t="shared" ref="C220:C229" si="212">40-10-2.5-27.5+25+25+25-70+120-15-100-10+10+10+10</f>
        <v>30</v>
      </c>
      <c r="D220" s="104">
        <f t="shared" si="192"/>
        <v>1.5</v>
      </c>
      <c r="E220" s="104">
        <f>('Renewable Diesel'!B229*E$3*'Feedstock Conversion Rates'!$B$2)/12-40+1.25+6-43+30-15+12.5-4+1.5+26+2.5+3-10+50+9-15-25-55+15+45+10-50+60-60-44</f>
        <v>0.67999999999999261</v>
      </c>
      <c r="F220" s="104">
        <f>('Renewable Diesel'!B229*'RD Feedstock Breakdown'!F$3*'Feedstock Conversion Rates'!B$8)/12+28.5-49-5+2-6+1+6+20-20-3.75+10+2.5+5-20-20</f>
        <v>5.15625</v>
      </c>
      <c r="G220" s="104">
        <f>('Renewable Diesel'!B229*'RD Feedstock Breakdown'!G$3*'Feedstock Conversion Rates'!B$7)/12-25-15-25+4+4-20-40-20+10-17.5+20+50-12+32.5+35-75-75+22.5+5-20+15+125-10-45-10-40-40</f>
        <v>9.6570000000000107</v>
      </c>
      <c r="H220" s="104">
        <f>('Renewable Diesel'!B229*'RD Feedstock Breakdown'!H$3*'Feedstock Conversion Rates'!B$3)/12-85+4-15+70-65-80+50-22.5-5+25+27.5+15+50+15-10+5+50+75-5-25-85-12.5+30+22.5-25-30+150+90-120+25+10+70+15+44</f>
        <v>434.40022499999998</v>
      </c>
      <c r="I220" s="106">
        <f t="shared" si="203"/>
        <v>496.39347499999997</v>
      </c>
      <c r="J220" s="104">
        <f>2+10+12+15-6-20-5-5+7+105+30+87+5-10-5-25-27.5+1-1-15-17.5-6-10-77.5-7.5-1+17.5+15+90+2+2.5+2.5+7.5+27.5-32-11-25+5-50-30-20-15-5+10-10-15+30</f>
        <v>31.5</v>
      </c>
      <c r="K220" s="104">
        <f>50-30-20+10+10-10-10</f>
        <v>0</v>
      </c>
      <c r="L220" s="104">
        <v>1</v>
      </c>
      <c r="M220" s="104">
        <f>('Renewable Diesel'!C229*'RD Feedstock Breakdown'!M$3*'Feedstock Conversion Rates'!B$2)/12</f>
        <v>7.7902500000000003</v>
      </c>
      <c r="N220" s="104">
        <f>('Renewable Diesel'!C229*'RD Feedstock Breakdown'!N$3*'Feedstock Conversion Rates'!B$8)/12</f>
        <v>3.671875</v>
      </c>
      <c r="O220" s="104">
        <f>('Renewable Diesel'!C229*'RD Feedstock Breakdown'!O$3*'Feedstock Conversion Rates'!B$7)/12</f>
        <v>11.9991</v>
      </c>
      <c r="P220" s="104">
        <f>('Renewable Diesel'!C229*'RD Feedstock Breakdown'!P$3*'Feedstock Conversion Rates'!B$3)/12</f>
        <v>10.4470425</v>
      </c>
      <c r="Q220" s="106">
        <f t="shared" si="119"/>
        <v>66.408267499999994</v>
      </c>
      <c r="R220" s="104">
        <f>('Renewable Diesel'!D229*'RD Feedstock Breakdown'!R$3*'Feedstock Conversion Rates'!B$7)/12</f>
        <v>2.2999999999999998</v>
      </c>
      <c r="S220" s="106">
        <f t="shared" si="148"/>
        <v>2.2999999999999998</v>
      </c>
      <c r="T220" s="104">
        <f t="shared" si="207"/>
        <v>5.8250000000000028</v>
      </c>
      <c r="U220" s="104">
        <v>30</v>
      </c>
      <c r="V220" s="104">
        <f>('Renewable Diesel'!E229*'RD Feedstock Breakdown'!V$3*'Feedstock Conversion Rates'!B$6)/12-20+25-35</f>
        <v>14.250150000000012</v>
      </c>
      <c r="W220" s="104">
        <f>('Renewable Diesel'!E229*'RD Feedstock Breakdown'!W$3*'Feedstock Conversion Rates'!B$8)/12-6</f>
        <v>16.1796875</v>
      </c>
      <c r="X220" s="106">
        <f t="shared" si="185"/>
        <v>66.254837500000008</v>
      </c>
      <c r="Y220" s="104">
        <f t="shared" si="208"/>
        <v>126</v>
      </c>
      <c r="Z220" s="104">
        <f>('Renewable Diesel'!F229*'RD Feedstock Breakdown'!Z$3*'Feedstock Conversion Rates'!B$6)/12-50-32-60+15+30+22.5-70+75-30+3+5</f>
        <v>67.960000000000008</v>
      </c>
      <c r="AA220" s="104">
        <f>('Renewable Diesel'!F229*'RD Feedstock Breakdown'!AA$3*'Feedstock Conversion Rates'!B$7)/12+80-171+75+30-50-1+2.5</f>
        <v>69.766666666666652</v>
      </c>
      <c r="AB220" s="106">
        <f t="shared" si="137"/>
        <v>263.72666666666669</v>
      </c>
      <c r="AC220" s="104">
        <f>('Renewable Diesel'!G229*'RD Feedstock Breakdown'!AC$3*'Feedstock Conversion Rates'!B$5)/12+2</f>
        <v>13.796875</v>
      </c>
      <c r="AD220" s="104">
        <f>('Renewable Diesel'!G229*'RD Feedstock Breakdown'!AD$3*'Feedstock Conversion Rates'!B$4)/12</f>
        <v>5.859375</v>
      </c>
      <c r="AE220" s="104">
        <f>('Renewable Diesel'!G229*'RD Feedstock Breakdown'!AE$3*'Feedstock Conversion Rates'!B$6)/12-2</f>
        <v>5.3281250000000009</v>
      </c>
      <c r="AF220" s="106">
        <f t="shared" si="198"/>
        <v>24.984375</v>
      </c>
      <c r="AG220" s="104">
        <f t="shared" si="211"/>
        <v>16.5</v>
      </c>
      <c r="AH220" s="104">
        <v>125</v>
      </c>
      <c r="AI220" s="104">
        <f>('Renewable Diesel'!H229*'RD Feedstock Breakdown'!AI$3*'Feedstock Conversion Rates'!B$6)/12-130-20+51-120+2.5+100-45+20</f>
        <v>7.0166666666666799</v>
      </c>
      <c r="AJ220" s="106">
        <f t="shared" si="145"/>
        <v>23.51666666666668</v>
      </c>
      <c r="AK220" s="104">
        <f>('Renewable Diesel'!J229*'RD Feedstock Breakdown'!AK$3*'Feedstock Conversion Rates'!B$4)/12</f>
        <v>95.8125</v>
      </c>
      <c r="AL220" s="106">
        <f t="shared" si="157"/>
        <v>95.8125</v>
      </c>
      <c r="AM220" s="104">
        <f>('Renewable Diesel'!K229*'RD Feedstock Breakdown'!AM$3*'Feedstock Conversion Rates'!B$4)/12+5+15-10+9-27</f>
        <v>50.59375</v>
      </c>
      <c r="AN220" s="104">
        <f>('Renewable Diesel'!K229*'RD Feedstock Breakdown'!AN$3*'Feedstock Conversion Rates'!B$6)/12-5-15+10-9+27</f>
        <v>32.427083333333329</v>
      </c>
      <c r="AO220" s="106">
        <f t="shared" si="173"/>
        <v>83.020833333333329</v>
      </c>
      <c r="AP220" s="104">
        <f>('Renewable Diesel'!L229*'RD Feedstock Breakdown'!AP$3*'Feedstock Conversion Rates'!B$4)/12+15-10+5+9</f>
        <v>77.59375</v>
      </c>
      <c r="AQ220" s="104">
        <f>('Renewable Diesel'!L229*'RD Feedstock Breakdown'!AQ$3*'Feedstock Conversion Rates'!B$6)/12-15+10-5-9</f>
        <v>5.4270833333333321</v>
      </c>
      <c r="AR220" s="106">
        <f t="shared" si="162"/>
        <v>83.020833333333329</v>
      </c>
      <c r="AS220" s="104">
        <f>('Renewable Diesel'!M229*'RD Feedstock Breakdown'!AS$3*'Feedstock Conversion Rates'!B$4)/12</f>
        <v>456.25</v>
      </c>
      <c r="AT220" s="104">
        <f>('Renewable Diesel'!M229*'RD Feedstock Breakdown'!AT$3*'Feedstock Conversion Rates'!B$5)/12</f>
        <v>0</v>
      </c>
      <c r="AU220" s="106">
        <f t="shared" si="201"/>
        <v>456.25</v>
      </c>
      <c r="AV220" s="104">
        <f>'Renewable Diesel'!N229*'RD Feedstock Breakdown'!$AV$3*'Feedstock Conversion Rates'!$B$4/12-15-10+25+25-22-10-30</f>
        <v>41.749999999999986</v>
      </c>
      <c r="AW220" s="104">
        <f>'Renewable Diesel'!N229*'RD Feedstock Breakdown'!$AW$3*'Feedstock Conversion Rates'!$B$7/12+15+10-25-25+22+10+30</f>
        <v>78.400000000000006</v>
      </c>
      <c r="AX220" s="106">
        <f t="shared" si="141"/>
        <v>120.14999999999999</v>
      </c>
      <c r="AY220" s="104">
        <f>('Renewable Diesel'!O229*'RD Feedstock Breakdown'!AY$3*'Feedstock Conversion Rates'!B$4)/12+32+2-135-247+50</f>
        <v>-87.0625</v>
      </c>
      <c r="AZ220" s="104">
        <f>('Renewable Diesel'!O229*'RD Feedstock Breakdown'!AZ$3*'Feedstock Conversion Rates'!B$3)/12-32-2+135+247-50</f>
        <v>323.03125</v>
      </c>
      <c r="BA220" s="106">
        <f t="shared" si="120"/>
        <v>235.96875</v>
      </c>
      <c r="BB220" s="104">
        <f>('Renewable Diesel'!Q229*'RD Feedstock Breakdown'!BB$3*'Feedstock Conversion Rates'!B$4)/12</f>
        <v>11.156249999999998</v>
      </c>
      <c r="BC220" s="104">
        <f>('Renewable Diesel'!Q229*'RD Feedstock Breakdown'!BC$3*'Feedstock Conversion Rates'!B$3)/12</f>
        <v>1.4017500000000001</v>
      </c>
      <c r="BD220" s="104">
        <f>('Renewable Diesel'!Q229*'RD Feedstock Breakdown'!BD$3*'Feedstock Conversion Rates'!B$6)/12</f>
        <v>0.8207500000000002</v>
      </c>
      <c r="BE220" s="106">
        <f t="shared" si="189"/>
        <v>13.378749999999998</v>
      </c>
      <c r="BF220" s="104">
        <f>('Renewable Diesel'!R229*'RD Feedstock Breakdown'!BF$3*'Feedstock Conversion Rates'!B$4)/12</f>
        <v>62.5</v>
      </c>
      <c r="BG220" s="106">
        <f t="shared" si="167"/>
        <v>62.5</v>
      </c>
      <c r="BH220" s="104">
        <f>('Renewable Diesel'!T229*'RD Feedstock Breakdown'!BH$3*'Feedstock Conversion Rates'!B$7)/12</f>
        <v>27.599999999999998</v>
      </c>
      <c r="BI220" s="106">
        <f t="shared" si="144"/>
        <v>27.599999999999998</v>
      </c>
      <c r="BJ220" s="104">
        <f>('Renewable Diesel'!W229*'RD Feedstock Breakdown'!BJ$3*'Feedstock Conversion Rates'!B$4)/12</f>
        <v>7.5</v>
      </c>
      <c r="BK220" s="104">
        <f>('Renewable Diesel'!W229*'RD Feedstock Breakdown'!BK$3*'Feedstock Conversion Rates'!B$3)/12</f>
        <v>1.335</v>
      </c>
      <c r="BL220" s="104">
        <f>('Renewable Diesel'!W229*'RD Feedstock Breakdown'!BL$3*'Feedstock Conversion Rates'!B$6)/12</f>
        <v>3.1266666666666669</v>
      </c>
      <c r="BM220" s="104">
        <f>('Renewable Diesel'!W229*'RD Feedstock Breakdown'!BM$3*'Feedstock Conversion Rates'!B$7)/12</f>
        <v>1.5333333333333332</v>
      </c>
      <c r="BN220" s="106">
        <f t="shared" si="209"/>
        <v>13.495000000000001</v>
      </c>
      <c r="BO220" s="104">
        <f>('Renewable Diesel'!P229*'Feedstock Conversion Rates'!B$4)/12</f>
        <v>31.25</v>
      </c>
      <c r="BP220" s="106">
        <f t="shared" si="199"/>
        <v>31.25</v>
      </c>
      <c r="BQ220" s="104">
        <f>('Renewable Diesel'!$S229*'RD Feedstock Breakdown'!BQ$3*'Feedstock Conversion Rates'!B$4)/12+10</f>
        <v>38.125</v>
      </c>
      <c r="BR220" s="104">
        <f>('Renewable Diesel'!$S229*'RD Feedstock Breakdown'!BR$3*'Feedstock Conversion Rates'!B$7)/12-10</f>
        <v>1.5</v>
      </c>
      <c r="BS220" s="106">
        <f t="shared" si="123"/>
        <v>39.625</v>
      </c>
      <c r="BT220" s="106"/>
      <c r="BU220" s="104">
        <f>('Renewable Diesel'!Y229*'Feedstock Conversion Rates'!B$7)/12</f>
        <v>2.6833333333333331</v>
      </c>
      <c r="BV220" s="106">
        <f t="shared" si="191"/>
        <v>2.6833333333333331</v>
      </c>
      <c r="BW220" s="104">
        <f>('Renewable Diesel'!$Z229*'RD Feedstock Breakdown'!BW$3*'Feedstock Conversion Rates'!$B$4)/12</f>
        <v>53.90625</v>
      </c>
      <c r="BX220" s="104">
        <f>('Renewable Diesel'!$Z229*'RD Feedstock Breakdown'!BX$3*'Feedstock Conversion Rates'!$B$5)/12</f>
        <v>5.4265624999999993</v>
      </c>
      <c r="BY220" s="104">
        <f>('Renewable Diesel'!$Z229*'RD Feedstock Breakdown'!BY$3*'Feedstock Conversion Rates'!$B$7)/12</f>
        <v>46.287499999999994</v>
      </c>
      <c r="BZ220" s="104">
        <f>('Renewable Diesel'!$Z229*'RD Feedstock Breakdown'!BZ$3*'Feedstock Conversion Rates'!$B$3)/12</f>
        <v>11.514374999999999</v>
      </c>
      <c r="CA220" s="106">
        <f t="shared" si="127"/>
        <v>117.1346875</v>
      </c>
      <c r="CB220" s="104">
        <f>('Renewable Diesel'!AA229*'Feedstock Conversion Rates'!B$4)/12</f>
        <v>191.25</v>
      </c>
      <c r="CC220" s="106">
        <f t="shared" ref="CC220:CC283" si="213">CB220</f>
        <v>191.25</v>
      </c>
      <c r="CD220" s="104">
        <f>('Renewable Diesel'!$AB229*'RD Feedstock Breakdown'!CD$3*'Feedstock Conversion Rates'!$B$6)/12-15</f>
        <v>17.830000000000005</v>
      </c>
      <c r="CE220" s="104">
        <f>('Renewable Diesel'!$AB229*'RD Feedstock Breakdown'!CE$3*'Feedstock Conversion Rates'!$B$4)/12+15</f>
        <v>26.25</v>
      </c>
      <c r="CF220" s="106">
        <f t="shared" si="205"/>
        <v>44.080000000000005</v>
      </c>
      <c r="CG220" s="104">
        <f>('Renewable Diesel'!AD229*'Feedstock Conversion Rates'!B$4)/12</f>
        <v>112.5</v>
      </c>
      <c r="CH220" s="106">
        <f t="shared" si="187"/>
        <v>112.5</v>
      </c>
      <c r="CI220" s="104">
        <f>('Renewable Diesel'!$AE229*'RD Feedstock Breakdown'!CI$3*'Feedstock Conversion Rates'!$B$5)/12</f>
        <v>0.34604166666666664</v>
      </c>
      <c r="CJ220" s="104">
        <f>('Renewable Diesel'!$AE229*'RD Feedstock Breakdown'!CJ$3*'Feedstock Conversion Rates'!$B$4)/12</f>
        <v>0.34375</v>
      </c>
      <c r="CK220" s="106">
        <f t="shared" si="200"/>
        <v>0.68979166666666658</v>
      </c>
      <c r="CL220" s="104">
        <f>(((CL$3*'Renewable Diesel'!$AF229)*'Feedstock Conversion Rates'!$B$3)/12)-35</f>
        <v>56.78125</v>
      </c>
      <c r="CM220" s="104">
        <f>(((CM$3*'Renewable Diesel'!$AF229)*'Feedstock Conversion Rates'!$B$6)/12)-32.5+35+30</f>
        <v>86.239583333333343</v>
      </c>
      <c r="CN220" s="104">
        <f>(((CN$3*'Renewable Diesel'!$AF229)*'Feedstock Conversion Rates'!$B$4)/12)</f>
        <v>42.96875</v>
      </c>
      <c r="CO220" s="106">
        <f t="shared" si="190"/>
        <v>185.98958333333334</v>
      </c>
      <c r="CP220" s="104">
        <f>('Renewable Diesel'!$AG229*'RD Feedstock Breakdown'!CP$3*'Feedstock Conversion Rates'!$B$3)/12</f>
        <v>6.0075000000000003</v>
      </c>
      <c r="CQ220" s="104">
        <f>('Renewable Diesel'!$AG229*'RD Feedstock Breakdown'!CQ$3*'Feedstock Conversion Rates'!$B$6)/12</f>
        <v>3.5175000000000001</v>
      </c>
      <c r="CR220" s="104">
        <f>('Renewable Diesel'!$AG229*'RD Feedstock Breakdown'!CR$3*'Feedstock Conversion Rates'!$B$4)/12</f>
        <v>2.8125</v>
      </c>
      <c r="CS220" s="106">
        <f t="shared" si="134"/>
        <v>12.3375</v>
      </c>
      <c r="CT220" s="104">
        <f>('Renewable Diesel'!AI229*'Feedstock Conversion Rates'!$B$4*'RD Feedstock Breakdown'!$CT$3)/12</f>
        <v>29.375</v>
      </c>
      <c r="CU220" s="106">
        <f t="shared" si="196"/>
        <v>29.375</v>
      </c>
      <c r="CV220" s="104">
        <f>('Renewable Diesel'!AN229*'Feedstock Conversion Rates'!$B$3*'RD Feedstock Breakdown'!$CV$3)/12</f>
        <v>0.50062499999999999</v>
      </c>
      <c r="CW220" s="106">
        <f t="shared" si="161"/>
        <v>0.50062499999999999</v>
      </c>
      <c r="CX220" s="104">
        <f>('Renewable Diesel'!AO229*'RD Feedstock Breakdown'!$CX$3*'Feedstock Conversion Rates'!$B$3)/12</f>
        <v>6.3412499999999996</v>
      </c>
      <c r="CY220" s="104">
        <f>('Renewable Diesel'!AO229*'RD Feedstock Breakdown'!$CY$3*'Feedstock Conversion Rates'!$B$6)/12</f>
        <v>7.4258333333333342</v>
      </c>
      <c r="CZ220" s="106">
        <f t="shared" si="135"/>
        <v>13.767083333333334</v>
      </c>
      <c r="DA220" s="104">
        <f>('Renewable Diesel'!$AP229*'RD Feedstock Breakdown'!DA$3*'Feedstock Conversion Rates'!$B$3)/12</f>
        <v>6.3412499999999996</v>
      </c>
      <c r="DB220" s="104">
        <f>('Renewable Diesel'!$AP229*'RD Feedstock Breakdown'!DB$3*'Feedstock Conversion Rates'!$B$8)/12</f>
        <v>7.421875</v>
      </c>
      <c r="DC220" s="106">
        <f t="shared" si="165"/>
        <v>13.763124999999999</v>
      </c>
      <c r="DD220" s="104">
        <f>('Renewable Diesel'!AQ229*$DD$3*'Feedstock Conversion Rates'!$B$14)/12</f>
        <v>3.1041666666666665</v>
      </c>
      <c r="DE220" s="106">
        <f t="shared" si="166"/>
        <v>3.1041666666666665</v>
      </c>
      <c r="DF220" s="104">
        <f>('Renewable Diesel'!AR229*'Feedstock Conversion Rates'!$B$4*$DF$3)/12</f>
        <v>75</v>
      </c>
      <c r="DG220" s="106">
        <f t="shared" si="136"/>
        <v>75</v>
      </c>
      <c r="DH220" s="104">
        <f>('Renewable Diesel'!AS229*'Feedstock Conversion Rates'!$B$4*$DH$3)/12</f>
        <v>75</v>
      </c>
      <c r="DI220" s="106">
        <f t="shared" si="142"/>
        <v>75</v>
      </c>
      <c r="DJ220" s="104">
        <f>('Renewable Diesel'!AT229*'Feedstock Conversion Rates'!$B$4*0.25)/12</f>
        <v>8.59375</v>
      </c>
      <c r="DK220" s="104">
        <f>('Renewable Diesel'!$AT229*'RD Feedstock Breakdown'!DK$3*'Feedstock Conversion Rates'!$B$3)/12*0.5</f>
        <v>9.1781249999999996</v>
      </c>
      <c r="DL220" s="104">
        <f>('Renewable Diesel'!$AT229*'RD Feedstock Breakdown'!$DL$3*'Feedstock Conversion Rates'!$B$6)/12</f>
        <v>10.747916666666669</v>
      </c>
      <c r="DM220" s="104">
        <f>('Renewable Diesel'!$AT229*'RD Feedstock Breakdown'!$DM$3*'Feedstock Conversion Rates'!$B$8)/12</f>
        <v>10.7421875</v>
      </c>
      <c r="DN220" s="106">
        <f t="shared" si="210"/>
        <v>39.26197916666667</v>
      </c>
      <c r="DP220" s="104">
        <f t="shared" si="168"/>
        <v>8.470249999999993</v>
      </c>
      <c r="DQ220" s="104">
        <f t="shared" si="169"/>
        <v>867.27964250000002</v>
      </c>
      <c r="DR220" s="104">
        <f t="shared" si="174"/>
        <v>1728.234375</v>
      </c>
      <c r="DS220" s="104">
        <f t="shared" si="197"/>
        <v>83.592395833333327</v>
      </c>
      <c r="DT220" s="104">
        <f t="shared" si="170"/>
        <v>269.53923333333341</v>
      </c>
      <c r="DU220" s="104">
        <f t="shared" si="171"/>
        <v>251.72693333333333</v>
      </c>
      <c r="DV220" s="104">
        <f t="shared" si="175"/>
        <v>35.75</v>
      </c>
      <c r="DW220" s="104">
        <f t="shared" si="172"/>
        <v>2.5</v>
      </c>
      <c r="DX220" s="106">
        <f t="shared" si="176"/>
        <v>3247.09283</v>
      </c>
      <c r="DY220" s="109">
        <f t="shared" si="163"/>
        <v>-125.00000000000014</v>
      </c>
      <c r="EA220" s="110">
        <f t="shared" si="150"/>
        <v>2.6085641659958311E-3</v>
      </c>
      <c r="EB220" s="110">
        <f t="shared" si="151"/>
        <v>0.26709419407020774</v>
      </c>
      <c r="EC220" s="110">
        <f t="shared" si="152"/>
        <v>0.53224051959118146</v>
      </c>
      <c r="ED220" s="110">
        <f t="shared" si="146"/>
        <v>2.5743765334030604E-2</v>
      </c>
      <c r="EE220" s="110">
        <f t="shared" si="146"/>
        <v>8.3009401777199399E-2</v>
      </c>
      <c r="EF220" s="110">
        <f t="shared" si="146"/>
        <v>7.7523787126632077E-2</v>
      </c>
      <c r="EG220" s="110">
        <f t="shared" si="146"/>
        <v>1.1009848461893219E-2</v>
      </c>
      <c r="EH220" s="111">
        <f t="shared" si="177"/>
        <v>7.6991947285966569E-4</v>
      </c>
      <c r="EI220" s="110">
        <f t="shared" si="178"/>
        <v>0.99923008052714024</v>
      </c>
      <c r="EK220" s="132">
        <f>(EA220*'Renewable Diesel'!BF229*'Feedstock Conversion Rates'!B$2)+FB220</f>
        <v>6.7847630283640461</v>
      </c>
      <c r="EL220" s="132">
        <f>(EB220*'Renewable Diesel'!BF229*'Feedstock Conversion Rates'!B$3)+FC220</f>
        <v>654.65305313276349</v>
      </c>
      <c r="EM220" s="132">
        <f>(EC220*'Renewable Diesel'!BF229*'Feedstock Conversion Rates'!B$4)+FD220</f>
        <v>1221.4717627802347</v>
      </c>
      <c r="EN220" s="132">
        <f>(ED220*'Renewable Diesel'!BF229*'Feedstock Conversion Rates'!B$5)+FE220</f>
        <v>59.474836045229829</v>
      </c>
      <c r="EO220" s="132">
        <f>(EE220*'Renewable Diesel'!BF229*'Feedstock Conversion Rates'!B$6)+FF220</f>
        <v>238.25627979766548</v>
      </c>
      <c r="EP220" s="132">
        <f>(EF220*'Renewable Diesel'!BF229*'Feedstock Conversion Rates'!B$7)+FG220</f>
        <v>218.24135106528007</v>
      </c>
      <c r="EQ220" s="132">
        <f>(EG220*'Renewable Diesel'!BF229*'Feedstock Conversion Rates'!B$8)+FH220</f>
        <v>31.583979689815941</v>
      </c>
      <c r="ER220" s="132">
        <f>(EH220*'Renewable Diesel'!BF229*'Feedstock Conversion Rates'!B$9)+FI220</f>
        <v>2.1792209762670205</v>
      </c>
      <c r="ES220" s="132">
        <f t="shared" si="179"/>
        <v>2432.6452465156203</v>
      </c>
      <c r="ET220" s="133">
        <f>ES220/'Renewable Diesel'!BF229</f>
        <v>7.9499527298084658</v>
      </c>
      <c r="EW220" s="73">
        <f t="shared" si="124"/>
        <v>1280.9465988254644</v>
      </c>
      <c r="EX220" s="73">
        <f t="shared" si="125"/>
        <v>1151.6986476901561</v>
      </c>
      <c r="EY220" s="92">
        <f t="shared" si="164"/>
        <v>0.52656531019482511</v>
      </c>
      <c r="EZ220" s="92">
        <f t="shared" si="164"/>
        <v>0.473434689805175</v>
      </c>
      <c r="FB220" s="102">
        <f>IF('Renewable Diesel'!$BG229&lt;1,0,(((('Renewable Diesel'!$BG229-1)*'Renewable Diesel'!$BF229)*'RD Feedstock Breakdown'!EA220)*'Feedstock Conversion Rates'!$B$2))</f>
        <v>0</v>
      </c>
      <c r="FC220" s="102">
        <f>IF('Renewable Diesel'!$BG229&lt;1,0,(((('Renewable Diesel'!$BG229-1)*'Renewable Diesel'!$BF229)*'RD Feedstock Breakdown'!EB220)*'Feedstock Conversion Rates'!$B$3))</f>
        <v>0</v>
      </c>
      <c r="FD220" s="102">
        <f>IF('Renewable Diesel'!$BG229&lt;1,0,(((('Renewable Diesel'!$BG229-1)*'Renewable Diesel'!$BF229)*'RD Feedstock Breakdown'!EC220)*'Feedstock Conversion Rates'!$B$4))</f>
        <v>0</v>
      </c>
      <c r="FE220" s="102">
        <f>IF('Renewable Diesel'!$BG229&lt;1,0,(((('Renewable Diesel'!$BG229-1)*'Renewable Diesel'!$BF229)*'RD Feedstock Breakdown'!ED220)*'Feedstock Conversion Rates'!$B$5))</f>
        <v>0</v>
      </c>
      <c r="FF220" s="102">
        <f>IF('Renewable Diesel'!$BG229&lt;1,0,(((('Renewable Diesel'!$BG229-1)*'Renewable Diesel'!$BF229)*'RD Feedstock Breakdown'!EE220)*'Feedstock Conversion Rates'!$B$6))</f>
        <v>0</v>
      </c>
      <c r="FG220" s="102">
        <f>IF('Renewable Diesel'!$BG229&lt;1,0,(((('Renewable Diesel'!$BG229-1)*'Renewable Diesel'!$BF229)*'RD Feedstock Breakdown'!EF220)*'Feedstock Conversion Rates'!$B$7))</f>
        <v>0</v>
      </c>
      <c r="FH220" s="102">
        <f>IF('Renewable Diesel'!$BG229&lt;1,0,(((('Renewable Diesel'!$BG229-1)*'Renewable Diesel'!$BF229)*'RD Feedstock Breakdown'!EG220)*'Feedstock Conversion Rates'!$B$8))</f>
        <v>0</v>
      </c>
      <c r="FI220" s="102">
        <f>IF('Renewable Diesel'!$BG229&lt;1,0,(((('Renewable Diesel'!$BG229-1)*'Renewable Diesel'!$BF229)*'RD Feedstock Breakdown'!EH220)*'Feedstock Conversion Rates'!$B$9))</f>
        <v>0</v>
      </c>
      <c r="FJ220" s="102">
        <f t="shared" si="126"/>
        <v>0</v>
      </c>
      <c r="FL220" s="3">
        <f>('Renewable Diesel'!AX229/12*$FO$80)*'RD Feedstock Breakdown'!EC220*7.5</f>
        <v>1607.9819385913077</v>
      </c>
      <c r="FM220" s="3">
        <f t="shared" si="193"/>
        <v>386.51017581107294</v>
      </c>
      <c r="FR220" s="3">
        <f>('Renewable Diesel'!AX229-'Renewable Diesel'!BI229)/12*$FO$80</f>
        <v>54.415874999999872</v>
      </c>
      <c r="FS220" s="100">
        <f t="shared" si="194"/>
        <v>0.53224051959118146</v>
      </c>
      <c r="FT220" s="3">
        <f t="shared" si="195"/>
        <v>217.21750188006536</v>
      </c>
      <c r="FY220" s="3">
        <f>'Renewable Diesel'!BF229*('Renewable Diesel'!BI229/'Renewable Diesel'!AX229)</f>
        <v>264.65898608554704</v>
      </c>
      <c r="FZ220" s="3">
        <f>('Renewable Diesel'!BJ229*'Renewable Diesel'!BG229)/12</f>
        <v>40.558119167079134</v>
      </c>
      <c r="GA220" s="3">
        <f t="shared" si="202"/>
        <v>161.90005814345443</v>
      </c>
      <c r="GD220" s="91">
        <f>'Renewable Diesel'!BB229*0.32</f>
        <v>0</v>
      </c>
      <c r="GE220" s="91">
        <f>'Renewable Diesel'!BC229</f>
        <v>117.38533087423706</v>
      </c>
      <c r="GF220" s="91">
        <f>'Renewable Diesel'!BD229</f>
        <v>0</v>
      </c>
      <c r="GG220" s="91">
        <f t="shared" si="206"/>
        <v>117.38533087423706</v>
      </c>
      <c r="GH220" s="124">
        <v>1</v>
      </c>
      <c r="GI220" s="102">
        <f>$GG220*EA220*'Feedstock Conversion Rates'!$B$2</f>
        <v>2.6027609257228406</v>
      </c>
      <c r="GJ220" s="102">
        <f>$GG220*EB220*'Feedstock Conversion Rates'!$B$3</f>
        <v>251.13705216760735</v>
      </c>
      <c r="GK220" s="102">
        <f>$GG220*EC220*'Feedstock Conversion Rates'!$B$4</f>
        <v>468.57922122665013</v>
      </c>
      <c r="GL220" s="102">
        <f>$GG220*ED220*'Feedstock Conversion Rates'!$B$5</f>
        <v>22.815650108213415</v>
      </c>
      <c r="GM220" s="102">
        <f>$GG220*EE220*'Feedstock Conversion Rates'!$B$6</f>
        <v>91.399527555051137</v>
      </c>
      <c r="GN220" s="102">
        <f>$GG220*EF220*'Feedstock Conversion Rates'!$B$7</f>
        <v>83.721429702849349</v>
      </c>
      <c r="GO220" s="102">
        <f>$GG220*EG220*'Feedstock Conversion Rates'!$B$8</f>
        <v>12.116200355386363</v>
      </c>
      <c r="GP220" s="102">
        <f>$GG220*EH220*'Feedstock Conversion Rates'!B$9</f>
        <v>0.83598958163038783</v>
      </c>
      <c r="GQ220" s="102">
        <f t="shared" si="180"/>
        <v>933.20783162311102</v>
      </c>
      <c r="GR220" s="85">
        <f t="shared" si="204"/>
        <v>7.9499527298084676</v>
      </c>
      <c r="GT220" s="103">
        <f t="shared" si="159"/>
        <v>2.7890474528014914E-3</v>
      </c>
      <c r="GU220" s="103">
        <f t="shared" si="159"/>
        <v>0.26911159942883184</v>
      </c>
      <c r="GV220" s="103">
        <f t="shared" si="159"/>
        <v>0.50211668328121406</v>
      </c>
      <c r="GW220" s="103">
        <f t="shared" si="159"/>
        <v>2.4448626913611066E-2</v>
      </c>
      <c r="GX220" s="103">
        <f t="shared" si="158"/>
        <v>9.7941235015228764E-2</v>
      </c>
      <c r="GY220" s="103">
        <f t="shared" si="158"/>
        <v>8.9713595263376883E-2</v>
      </c>
      <c r="GZ220" s="103">
        <f t="shared" si="158"/>
        <v>1.2983389063841099E-2</v>
      </c>
      <c r="HA220" s="103">
        <f t="shared" si="158"/>
        <v>8.9582358109486376E-4</v>
      </c>
    </row>
    <row r="221" spans="1:209" x14ac:dyDescent="0.25">
      <c r="A221" s="96">
        <v>47150</v>
      </c>
      <c r="B221" s="104">
        <f>23-20+10+85-5-4-4-1.25+2.25-5+15-6-25-45+65+15-22.5-50+40+16.5+27.5+168+80+14-30+15-50-19+22.5-10+5+11-25-50-12.5-27.5-10+10+2+4-1.5+12-26-15-50-15+10-32.5-3-5-2.5-1+5+10-50-35-9-0.5+25+15+25+20+15+85-25+12.5-52.5+10+20-150+20-20+55-25-25+20-10</f>
        <v>15</v>
      </c>
      <c r="C221" s="104">
        <f t="shared" si="212"/>
        <v>30</v>
      </c>
      <c r="D221" s="104">
        <f t="shared" si="192"/>
        <v>1.5</v>
      </c>
      <c r="E221" s="104">
        <f>('Renewable Diesel'!B230*E$3*'Feedstock Conversion Rates'!$B$2)/12-40+1.25+6-43+30-15+12.5-4+1.5+26+2.5+3-10+50+9-15-25-55+15+45+10-50+60-60-44</f>
        <v>0.67999999999999261</v>
      </c>
      <c r="F221" s="104">
        <f>('Renewable Diesel'!B230*'RD Feedstock Breakdown'!F$3*'Feedstock Conversion Rates'!B$8)/12+28.5-49-5+2-6+1+6+20-20-3.75+10+2.5+5-20-20</f>
        <v>5.15625</v>
      </c>
      <c r="G221" s="104">
        <f>('Renewable Diesel'!B230*'RD Feedstock Breakdown'!G$3*'Feedstock Conversion Rates'!B$7)/12-25-15-25+4+4-20-40-20+10-17.5+20+50-12+32.5+35-75-75+22.5+5-20+15+125-10-45-10-40-40</f>
        <v>9.6570000000000107</v>
      </c>
      <c r="H221" s="104">
        <f>('Renewable Diesel'!B230*'RD Feedstock Breakdown'!H$3*'Feedstock Conversion Rates'!B$3)/12-85+4-15+70-65-80+50-22.5-5+25+27.5+15+50+15-10+5+50+75-5-25-85-12.5+30+22.5-25-30+150+90-120+25+10+70+15+44</f>
        <v>434.40022499999998</v>
      </c>
      <c r="I221" s="106">
        <f t="shared" si="203"/>
        <v>496.39347499999997</v>
      </c>
      <c r="J221" s="104">
        <f t="shared" ref="J221:J228" si="214">2+10+12+15-6-20-5-5+7+105+30+87+5-10-5-25-27.5+1-1-15-17.5-6-10-77.5-7.5-1+17.5+15+90+2+2.5+2.5+7.5+27.5-32-11-25+5-50-30-20-15-5+10-10-15</f>
        <v>1.5</v>
      </c>
      <c r="K221" s="104">
        <f t="shared" ref="K221:K228" si="215">50-30-20+10+10-10-10</f>
        <v>0</v>
      </c>
      <c r="L221" s="104">
        <v>1</v>
      </c>
      <c r="M221" s="104">
        <f>('Renewable Diesel'!C230*'RD Feedstock Breakdown'!M$3*'Feedstock Conversion Rates'!B$2)/12</f>
        <v>7.7902500000000003</v>
      </c>
      <c r="N221" s="104">
        <f>('Renewable Diesel'!C230*'RD Feedstock Breakdown'!N$3*'Feedstock Conversion Rates'!B$8)/12</f>
        <v>3.671875</v>
      </c>
      <c r="O221" s="104">
        <f>('Renewable Diesel'!C230*'RD Feedstock Breakdown'!O$3*'Feedstock Conversion Rates'!B$7)/12</f>
        <v>11.9991</v>
      </c>
      <c r="P221" s="104">
        <f>('Renewable Diesel'!C230*'RD Feedstock Breakdown'!P$3*'Feedstock Conversion Rates'!B$3)/12</f>
        <v>10.4470425</v>
      </c>
      <c r="Q221" s="106">
        <f t="shared" si="119"/>
        <v>36.408267500000001</v>
      </c>
      <c r="R221" s="104">
        <f>('Renewable Diesel'!D230*'RD Feedstock Breakdown'!R$3*'Feedstock Conversion Rates'!B$7)/12</f>
        <v>2.2999999999999998</v>
      </c>
      <c r="S221" s="106">
        <f t="shared" si="148"/>
        <v>2.2999999999999998</v>
      </c>
      <c r="T221" s="104">
        <f t="shared" si="207"/>
        <v>5.8250000000000028</v>
      </c>
      <c r="U221" s="104">
        <v>30</v>
      </c>
      <c r="V221" s="104">
        <f>('Renewable Diesel'!E230*'RD Feedstock Breakdown'!V$3*'Feedstock Conversion Rates'!B$6)/12-20+25-35</f>
        <v>14.250150000000012</v>
      </c>
      <c r="W221" s="104">
        <f>('Renewable Diesel'!E230*'RD Feedstock Breakdown'!W$3*'Feedstock Conversion Rates'!B$8)/12-6</f>
        <v>16.1796875</v>
      </c>
      <c r="X221" s="106">
        <f t="shared" si="185"/>
        <v>66.254837500000008</v>
      </c>
      <c r="Y221" s="104">
        <f t="shared" si="208"/>
        <v>126</v>
      </c>
      <c r="Z221" s="104">
        <f>('Renewable Diesel'!F230*'RD Feedstock Breakdown'!Z$3*'Feedstock Conversion Rates'!B$6)/12-50-32-60+15+30+22.5-70+75-30+3+5</f>
        <v>67.960000000000008</v>
      </c>
      <c r="AA221" s="104">
        <f>('Renewable Diesel'!F230*'RD Feedstock Breakdown'!AA$3*'Feedstock Conversion Rates'!B$7)/12+80-171+75+30-50-1+2.5</f>
        <v>69.766666666666652</v>
      </c>
      <c r="AB221" s="106">
        <f t="shared" si="137"/>
        <v>263.72666666666669</v>
      </c>
      <c r="AC221" s="104">
        <f>('Renewable Diesel'!G230*'RD Feedstock Breakdown'!AC$3*'Feedstock Conversion Rates'!B$5)/12+2</f>
        <v>13.796875</v>
      </c>
      <c r="AD221" s="104">
        <f>('Renewable Diesel'!G230*'RD Feedstock Breakdown'!AD$3*'Feedstock Conversion Rates'!B$4)/12</f>
        <v>5.859375</v>
      </c>
      <c r="AE221" s="104">
        <f>('Renewable Diesel'!G230*'RD Feedstock Breakdown'!AE$3*'Feedstock Conversion Rates'!B$6)/12-2</f>
        <v>5.3281250000000009</v>
      </c>
      <c r="AF221" s="106">
        <f t="shared" si="198"/>
        <v>24.984375</v>
      </c>
      <c r="AG221" s="104">
        <f t="shared" si="211"/>
        <v>16.5</v>
      </c>
      <c r="AH221" s="104">
        <v>125</v>
      </c>
      <c r="AI221" s="104">
        <f>('Renewable Diesel'!H230*'RD Feedstock Breakdown'!AI$3*'Feedstock Conversion Rates'!B$6)/12-130-20+51-120+2.5+100-45+20</f>
        <v>7.0166666666666799</v>
      </c>
      <c r="AJ221" s="106">
        <f t="shared" si="145"/>
        <v>23.51666666666668</v>
      </c>
      <c r="AK221" s="104">
        <f>('Renewable Diesel'!J230*'RD Feedstock Breakdown'!AK$3*'Feedstock Conversion Rates'!B$4)/12</f>
        <v>95.8125</v>
      </c>
      <c r="AL221" s="106">
        <f t="shared" si="157"/>
        <v>95.8125</v>
      </c>
      <c r="AM221" s="104">
        <f>('Renewable Diesel'!K230*'RD Feedstock Breakdown'!AM$3*'Feedstock Conversion Rates'!B$4)/12+5+15-10+9-27</f>
        <v>50.59375</v>
      </c>
      <c r="AN221" s="104">
        <f>('Renewable Diesel'!K230*'RD Feedstock Breakdown'!AN$3*'Feedstock Conversion Rates'!B$6)/12-5-15+10-9+27</f>
        <v>32.427083333333329</v>
      </c>
      <c r="AO221" s="106">
        <f t="shared" si="173"/>
        <v>83.020833333333329</v>
      </c>
      <c r="AP221" s="104">
        <f>('Renewable Diesel'!L230*'RD Feedstock Breakdown'!AP$3*'Feedstock Conversion Rates'!B$4)/12+15-10+5+9</f>
        <v>77.59375</v>
      </c>
      <c r="AQ221" s="104">
        <f>('Renewable Diesel'!L230*'RD Feedstock Breakdown'!AQ$3*'Feedstock Conversion Rates'!B$6)/12-15+10-5-9</f>
        <v>5.4270833333333321</v>
      </c>
      <c r="AR221" s="106">
        <f t="shared" si="162"/>
        <v>83.020833333333329</v>
      </c>
      <c r="AS221" s="104">
        <f>('Renewable Diesel'!M230*'RD Feedstock Breakdown'!AS$3*'Feedstock Conversion Rates'!B$4)/12</f>
        <v>456.25</v>
      </c>
      <c r="AT221" s="104">
        <f>('Renewable Diesel'!M230*'RD Feedstock Breakdown'!AT$3*'Feedstock Conversion Rates'!B$5)/12</f>
        <v>0</v>
      </c>
      <c r="AU221" s="106">
        <f t="shared" si="201"/>
        <v>456.25</v>
      </c>
      <c r="AV221" s="104">
        <f>'Renewable Diesel'!N230*'RD Feedstock Breakdown'!$AV$3*'Feedstock Conversion Rates'!$B$4/12-15-10+25+25-22-10-30</f>
        <v>41.749999999999986</v>
      </c>
      <c r="AW221" s="104">
        <f>'Renewable Diesel'!N230*'RD Feedstock Breakdown'!$AW$3*'Feedstock Conversion Rates'!$B$7/12+15+10-25-25+22+10+30</f>
        <v>78.400000000000006</v>
      </c>
      <c r="AX221" s="106">
        <f t="shared" si="141"/>
        <v>120.14999999999999</v>
      </c>
      <c r="AY221" s="104">
        <f>('Renewable Diesel'!O230*'RD Feedstock Breakdown'!AY$3*'Feedstock Conversion Rates'!B$4)/12+32+2-135-247+50</f>
        <v>-87.0625</v>
      </c>
      <c r="AZ221" s="104">
        <f>('Renewable Diesel'!O230*'RD Feedstock Breakdown'!AZ$3*'Feedstock Conversion Rates'!B$3)/12-32-2+135+247-50</f>
        <v>323.03125</v>
      </c>
      <c r="BA221" s="106">
        <f t="shared" si="120"/>
        <v>235.96875</v>
      </c>
      <c r="BB221" s="104">
        <f>('Renewable Diesel'!Q230*'RD Feedstock Breakdown'!BB$3*'Feedstock Conversion Rates'!B$4)/12</f>
        <v>11.156249999999998</v>
      </c>
      <c r="BC221" s="104">
        <f>('Renewable Diesel'!Q230*'RD Feedstock Breakdown'!BC$3*'Feedstock Conversion Rates'!B$3)/12</f>
        <v>1.4017500000000001</v>
      </c>
      <c r="BD221" s="104">
        <f>('Renewable Diesel'!Q230*'RD Feedstock Breakdown'!BD$3*'Feedstock Conversion Rates'!B$6)/12</f>
        <v>0.8207500000000002</v>
      </c>
      <c r="BE221" s="106">
        <f t="shared" si="189"/>
        <v>13.378749999999998</v>
      </c>
      <c r="BF221" s="104">
        <f>('Renewable Diesel'!R230*'RD Feedstock Breakdown'!BF$3*'Feedstock Conversion Rates'!B$4)/12</f>
        <v>62.5</v>
      </c>
      <c r="BG221" s="106">
        <f t="shared" si="167"/>
        <v>62.5</v>
      </c>
      <c r="BH221" s="104">
        <f>('Renewable Diesel'!T230*'RD Feedstock Breakdown'!BH$3*'Feedstock Conversion Rates'!B$7)/12</f>
        <v>27.599999999999998</v>
      </c>
      <c r="BI221" s="106">
        <f t="shared" si="144"/>
        <v>27.599999999999998</v>
      </c>
      <c r="BJ221" s="104">
        <f>('Renewable Diesel'!W230*'RD Feedstock Breakdown'!BJ$3*'Feedstock Conversion Rates'!B$4)/12</f>
        <v>7.5</v>
      </c>
      <c r="BK221" s="104">
        <f>('Renewable Diesel'!W230*'RD Feedstock Breakdown'!BK$3*'Feedstock Conversion Rates'!B$3)/12</f>
        <v>1.335</v>
      </c>
      <c r="BL221" s="104">
        <f>('Renewable Diesel'!W230*'RD Feedstock Breakdown'!BL$3*'Feedstock Conversion Rates'!B$6)/12</f>
        <v>3.1266666666666669</v>
      </c>
      <c r="BM221" s="104">
        <f>('Renewable Diesel'!W230*'RD Feedstock Breakdown'!BM$3*'Feedstock Conversion Rates'!B$7)/12</f>
        <v>1.5333333333333332</v>
      </c>
      <c r="BN221" s="106">
        <f t="shared" si="209"/>
        <v>13.495000000000001</v>
      </c>
      <c r="BO221" s="104">
        <f>('Renewable Diesel'!P230*'Feedstock Conversion Rates'!B$4)/12</f>
        <v>31.25</v>
      </c>
      <c r="BP221" s="106">
        <f t="shared" si="199"/>
        <v>31.25</v>
      </c>
      <c r="BQ221" s="104">
        <f>('Renewable Diesel'!$S230*'RD Feedstock Breakdown'!BQ$3*'Feedstock Conversion Rates'!B$4)/12+10</f>
        <v>38.125</v>
      </c>
      <c r="BR221" s="104">
        <f>('Renewable Diesel'!$S230*'RD Feedstock Breakdown'!BR$3*'Feedstock Conversion Rates'!B$7)/12-10</f>
        <v>1.5</v>
      </c>
      <c r="BS221" s="106">
        <f t="shared" si="123"/>
        <v>39.625</v>
      </c>
      <c r="BT221" s="106"/>
      <c r="BU221" s="104">
        <f>('Renewable Diesel'!Y230*'Feedstock Conversion Rates'!B$7)/12</f>
        <v>2.6833333333333331</v>
      </c>
      <c r="BV221" s="106">
        <f t="shared" si="191"/>
        <v>2.6833333333333331</v>
      </c>
      <c r="BW221" s="104">
        <f>('Renewable Diesel'!$Z230*'RD Feedstock Breakdown'!BW$3*'Feedstock Conversion Rates'!$B$4)/12</f>
        <v>53.90625</v>
      </c>
      <c r="BX221" s="104">
        <f>('Renewable Diesel'!$Z230*'RD Feedstock Breakdown'!BX$3*'Feedstock Conversion Rates'!$B$5)/12</f>
        <v>5.4265624999999993</v>
      </c>
      <c r="BY221" s="104">
        <f>('Renewable Diesel'!$Z230*'RD Feedstock Breakdown'!BY$3*'Feedstock Conversion Rates'!$B$7)/12</f>
        <v>46.287499999999994</v>
      </c>
      <c r="BZ221" s="104">
        <f>('Renewable Diesel'!$Z230*'RD Feedstock Breakdown'!BZ$3*'Feedstock Conversion Rates'!$B$3)/12</f>
        <v>11.514374999999999</v>
      </c>
      <c r="CA221" s="106">
        <f t="shared" si="127"/>
        <v>117.1346875</v>
      </c>
      <c r="CB221" s="104">
        <f>('Renewable Diesel'!AA230*'Feedstock Conversion Rates'!B$4)/12</f>
        <v>191.25</v>
      </c>
      <c r="CC221" s="106">
        <f t="shared" si="213"/>
        <v>191.25</v>
      </c>
      <c r="CD221" s="104">
        <f>('Renewable Diesel'!$AB230*'RD Feedstock Breakdown'!CD$3*'Feedstock Conversion Rates'!$B$6)/12-15</f>
        <v>17.830000000000005</v>
      </c>
      <c r="CE221" s="104">
        <f>('Renewable Diesel'!$AB230*'RD Feedstock Breakdown'!CE$3*'Feedstock Conversion Rates'!$B$4)/12+15</f>
        <v>26.25</v>
      </c>
      <c r="CF221" s="106">
        <f t="shared" si="205"/>
        <v>44.080000000000005</v>
      </c>
      <c r="CG221" s="104">
        <f>('Renewable Diesel'!AD230*'Feedstock Conversion Rates'!B$4)/12</f>
        <v>112.5</v>
      </c>
      <c r="CH221" s="106">
        <f t="shared" si="187"/>
        <v>112.5</v>
      </c>
      <c r="CI221" s="104">
        <f>('Renewable Diesel'!$AE230*'RD Feedstock Breakdown'!CI$3*'Feedstock Conversion Rates'!$B$5)/12</f>
        <v>0.34604166666666664</v>
      </c>
      <c r="CJ221" s="104">
        <f>('Renewable Diesel'!$AE230*'RD Feedstock Breakdown'!CJ$3*'Feedstock Conversion Rates'!$B$4)/12</f>
        <v>0.34375</v>
      </c>
      <c r="CK221" s="106">
        <f t="shared" si="200"/>
        <v>0.68979166666666658</v>
      </c>
      <c r="CL221" s="104">
        <f>(((CL$3*'Renewable Diesel'!$AF230)*'Feedstock Conversion Rates'!$B$3)/12)-35</f>
        <v>56.78125</v>
      </c>
      <c r="CM221" s="104">
        <f>(((CM$3*'Renewable Diesel'!$AF230)*'Feedstock Conversion Rates'!$B$6)/12)-32.5+35+30</f>
        <v>86.239583333333343</v>
      </c>
      <c r="CN221" s="104">
        <f>(((CN$3*'Renewable Diesel'!$AF230)*'Feedstock Conversion Rates'!$B$4)/12)</f>
        <v>42.96875</v>
      </c>
      <c r="CO221" s="106">
        <f t="shared" si="190"/>
        <v>185.98958333333334</v>
      </c>
      <c r="CP221" s="104">
        <f>('Renewable Diesel'!$AG230*'RD Feedstock Breakdown'!CP$3*'Feedstock Conversion Rates'!$B$3)/12</f>
        <v>6.0075000000000003</v>
      </c>
      <c r="CQ221" s="104">
        <f>('Renewable Diesel'!$AG230*'RD Feedstock Breakdown'!CQ$3*'Feedstock Conversion Rates'!$B$6)/12</f>
        <v>3.5175000000000001</v>
      </c>
      <c r="CR221" s="104">
        <f>('Renewable Diesel'!$AG230*'RD Feedstock Breakdown'!CR$3*'Feedstock Conversion Rates'!$B$4)/12</f>
        <v>2.8125</v>
      </c>
      <c r="CS221" s="106">
        <f t="shared" si="134"/>
        <v>12.3375</v>
      </c>
      <c r="CT221" s="104">
        <f>('Renewable Diesel'!AI230*'Feedstock Conversion Rates'!$B$4*'RD Feedstock Breakdown'!$CT$3)/12</f>
        <v>29.375</v>
      </c>
      <c r="CU221" s="106">
        <f t="shared" si="196"/>
        <v>29.375</v>
      </c>
      <c r="CV221" s="104">
        <f>('Renewable Diesel'!AN230*'Feedstock Conversion Rates'!$B$3*'RD Feedstock Breakdown'!$CV$3)/12</f>
        <v>0.50062499999999999</v>
      </c>
      <c r="CW221" s="106">
        <f t="shared" si="161"/>
        <v>0.50062499999999999</v>
      </c>
      <c r="CX221" s="104">
        <f>('Renewable Diesel'!AO230*'RD Feedstock Breakdown'!$CX$3*'Feedstock Conversion Rates'!$B$3)/12</f>
        <v>6.3412499999999996</v>
      </c>
      <c r="CY221" s="104">
        <f>('Renewable Diesel'!AO230*'RD Feedstock Breakdown'!$CY$3*'Feedstock Conversion Rates'!$B$6)/12</f>
        <v>7.4258333333333342</v>
      </c>
      <c r="CZ221" s="106">
        <f t="shared" si="135"/>
        <v>13.767083333333334</v>
      </c>
      <c r="DA221" s="104">
        <f>('Renewable Diesel'!$AP230*'RD Feedstock Breakdown'!DA$3*'Feedstock Conversion Rates'!$B$3)/12</f>
        <v>6.3412499999999996</v>
      </c>
      <c r="DB221" s="104">
        <f>('Renewable Diesel'!$AP230*'RD Feedstock Breakdown'!DB$3*'Feedstock Conversion Rates'!$B$8)/12</f>
        <v>7.421875</v>
      </c>
      <c r="DC221" s="106">
        <f t="shared" si="165"/>
        <v>13.763124999999999</v>
      </c>
      <c r="DD221" s="104">
        <f>('Renewable Diesel'!AQ230*$DD$3*'Feedstock Conversion Rates'!$B$14)/12</f>
        <v>3.1041666666666665</v>
      </c>
      <c r="DE221" s="106">
        <f t="shared" si="166"/>
        <v>3.1041666666666665</v>
      </c>
      <c r="DF221" s="104">
        <f>('Renewable Diesel'!AR230*'Feedstock Conversion Rates'!$B$4*$DF$3)/12</f>
        <v>75</v>
      </c>
      <c r="DG221" s="106">
        <f t="shared" si="136"/>
        <v>75</v>
      </c>
      <c r="DH221" s="104">
        <f>('Renewable Diesel'!AS230*'Feedstock Conversion Rates'!$B$4*$DH$3)/12</f>
        <v>75</v>
      </c>
      <c r="DI221" s="106">
        <f t="shared" si="142"/>
        <v>75</v>
      </c>
      <c r="DJ221" s="104">
        <f>('Renewable Diesel'!AT230*'Feedstock Conversion Rates'!$B$4*0.25)/12</f>
        <v>8.59375</v>
      </c>
      <c r="DK221" s="104">
        <f>('Renewable Diesel'!$AT230*'RD Feedstock Breakdown'!DK$3*'Feedstock Conversion Rates'!$B$3)/12*0.5</f>
        <v>9.1781249999999996</v>
      </c>
      <c r="DL221" s="104">
        <f>('Renewable Diesel'!$AT230*'RD Feedstock Breakdown'!$DL$3*'Feedstock Conversion Rates'!$B$6)/12</f>
        <v>10.747916666666669</v>
      </c>
      <c r="DM221" s="104">
        <f>('Renewable Diesel'!$AT230*'RD Feedstock Breakdown'!$DM$3*'Feedstock Conversion Rates'!$B$8)/12</f>
        <v>10.7421875</v>
      </c>
      <c r="DN221" s="106">
        <f t="shared" si="210"/>
        <v>39.26197916666667</v>
      </c>
      <c r="DP221" s="104">
        <f t="shared" si="168"/>
        <v>8.470249999999993</v>
      </c>
      <c r="DQ221" s="104">
        <f t="shared" si="169"/>
        <v>867.27964250000002</v>
      </c>
      <c r="DR221" s="104">
        <f t="shared" si="174"/>
        <v>1698.234375</v>
      </c>
      <c r="DS221" s="104">
        <f t="shared" si="197"/>
        <v>83.592395833333327</v>
      </c>
      <c r="DT221" s="104">
        <f t="shared" si="170"/>
        <v>269.53923333333341</v>
      </c>
      <c r="DU221" s="104">
        <f t="shared" si="171"/>
        <v>251.72693333333333</v>
      </c>
      <c r="DV221" s="104">
        <f t="shared" si="175"/>
        <v>35.75</v>
      </c>
      <c r="DW221" s="104">
        <f t="shared" si="172"/>
        <v>2.5</v>
      </c>
      <c r="DX221" s="106">
        <f t="shared" si="176"/>
        <v>3217.09283</v>
      </c>
      <c r="DY221" s="109">
        <f t="shared" si="163"/>
        <v>-125.00000000000014</v>
      </c>
      <c r="EA221" s="110">
        <f t="shared" si="150"/>
        <v>2.6328895209405544E-3</v>
      </c>
      <c r="EB221" s="110">
        <f t="shared" si="151"/>
        <v>0.2695848980211118</v>
      </c>
      <c r="EC221" s="110">
        <f t="shared" si="152"/>
        <v>0.52787857383649073</v>
      </c>
      <c r="ED221" s="110">
        <f t="shared" si="146"/>
        <v>2.5983830821982631E-2</v>
      </c>
      <c r="EE221" s="110">
        <f t="shared" si="146"/>
        <v>8.3783480171858576E-2</v>
      </c>
      <c r="EF221" s="110">
        <f t="shared" si="146"/>
        <v>7.8246711125626214E-2</v>
      </c>
      <c r="EG221" s="110">
        <f t="shared" si="146"/>
        <v>1.111251738421238E-2</v>
      </c>
      <c r="EH221" s="111">
        <f t="shared" si="177"/>
        <v>7.7709911777708947E-4</v>
      </c>
      <c r="EI221" s="110">
        <f t="shared" si="178"/>
        <v>0.99922290088222276</v>
      </c>
      <c r="EK221" s="132">
        <f>(EA221*'Renewable Diesel'!BF230*'Feedstock Conversion Rates'!B$2)+FB221</f>
        <v>9.6360565359546673</v>
      </c>
      <c r="EL221" s="132">
        <f>(EB221*'Renewable Diesel'!BF230*'Feedstock Conversion Rates'!B$3)+FC221</f>
        <v>929.77069428225923</v>
      </c>
      <c r="EM221" s="132">
        <f>(EC221*'Renewable Diesel'!BF230*'Feedstock Conversion Rates'!B$4)+FD221</f>
        <v>1704.6808239358502</v>
      </c>
      <c r="EN221" s="132">
        <f>(ED221*'Renewable Diesel'!BF230*'Feedstock Conversion Rates'!B$5)+FE221</f>
        <v>84.469108235996373</v>
      </c>
      <c r="EO221" s="132">
        <f>(EE221*'Renewable Diesel'!BF230*'Feedstock Conversion Rates'!B$6)+FF221</f>
        <v>338.38337058768548</v>
      </c>
      <c r="EP221" s="132">
        <f>(EF221*'Renewable Diesel'!BF230*'Feedstock Conversion Rates'!B$7)+FG221</f>
        <v>309.9571773629425</v>
      </c>
      <c r="EQ221" s="132">
        <f>(EG221*'Renewable Diesel'!BF230*'Feedstock Conversion Rates'!B$8)+FH221</f>
        <v>44.857132467144481</v>
      </c>
      <c r="ER221" s="132">
        <f>(EH221*'Renewable Diesel'!BF230*'Feedstock Conversion Rates'!B$9)+FI221</f>
        <v>3.0950375781526258</v>
      </c>
      <c r="ES221" s="132">
        <f t="shared" si="179"/>
        <v>3424.8494009859851</v>
      </c>
      <c r="ET221" s="133">
        <f>ES221/'Renewable Diesel'!BF230</f>
        <v>7.9541486242409718</v>
      </c>
      <c r="EW221" s="73">
        <f t="shared" si="124"/>
        <v>1789.1499321718466</v>
      </c>
      <c r="EX221" s="73">
        <f t="shared" si="125"/>
        <v>1635.699468814139</v>
      </c>
      <c r="EY221" s="92">
        <f t="shared" si="164"/>
        <v>0.52240251254749059</v>
      </c>
      <c r="EZ221" s="92">
        <f t="shared" si="164"/>
        <v>0.47759748745250957</v>
      </c>
      <c r="FB221" s="102">
        <f>IF('Renewable Diesel'!$BG230&lt;1,0,(((('Renewable Diesel'!$BG230-1)*'Renewable Diesel'!$BF230)*'RD Feedstock Breakdown'!EA221)*'Feedstock Conversion Rates'!$B$2))</f>
        <v>0</v>
      </c>
      <c r="FC221" s="102">
        <f>IF('Renewable Diesel'!$BG230&lt;1,0,(((('Renewable Diesel'!$BG230-1)*'Renewable Diesel'!$BF230)*'RD Feedstock Breakdown'!EB221)*'Feedstock Conversion Rates'!$B$3))</f>
        <v>0</v>
      </c>
      <c r="FD221" s="102">
        <f>IF('Renewable Diesel'!$BG230&lt;1,0,(((('Renewable Diesel'!$BG230-1)*'Renewable Diesel'!$BF230)*'RD Feedstock Breakdown'!EC221)*'Feedstock Conversion Rates'!$B$4))</f>
        <v>0</v>
      </c>
      <c r="FE221" s="102">
        <f>IF('Renewable Diesel'!$BG230&lt;1,0,(((('Renewable Diesel'!$BG230-1)*'Renewable Diesel'!$BF230)*'RD Feedstock Breakdown'!ED221)*'Feedstock Conversion Rates'!$B$5))</f>
        <v>0</v>
      </c>
      <c r="FF221" s="102">
        <f>IF('Renewable Diesel'!$BG230&lt;1,0,(((('Renewable Diesel'!$BG230-1)*'Renewable Diesel'!$BF230)*'RD Feedstock Breakdown'!EE221)*'Feedstock Conversion Rates'!$B$6))</f>
        <v>0</v>
      </c>
      <c r="FG221" s="102">
        <f>IF('Renewable Diesel'!$BG230&lt;1,0,(((('Renewable Diesel'!$BG230-1)*'Renewable Diesel'!$BF230)*'RD Feedstock Breakdown'!EF221)*'Feedstock Conversion Rates'!$B$7))</f>
        <v>0</v>
      </c>
      <c r="FH221" s="102">
        <f>IF('Renewable Diesel'!$BG230&lt;1,0,(((('Renewable Diesel'!$BG230-1)*'Renewable Diesel'!$BF230)*'RD Feedstock Breakdown'!EG221)*'Feedstock Conversion Rates'!$B$8))</f>
        <v>0</v>
      </c>
      <c r="FI221" s="102">
        <f>IF('Renewable Diesel'!$BG230&lt;1,0,(((('Renewable Diesel'!$BG230-1)*'Renewable Diesel'!$BF230)*'RD Feedstock Breakdown'!EH221)*'Feedstock Conversion Rates'!$B$9))</f>
        <v>0</v>
      </c>
      <c r="FJ221" s="102">
        <f t="shared" si="126"/>
        <v>0</v>
      </c>
      <c r="FL221" s="3">
        <f>('Renewable Diesel'!AX230/12*$FO$80)*'RD Feedstock Breakdown'!EC221*7.5</f>
        <v>1594.8038175492545</v>
      </c>
      <c r="FM221" s="3">
        <f t="shared" si="193"/>
        <v>-109.87700638659567</v>
      </c>
      <c r="FR221" s="3">
        <f>('Renewable Diesel'!AX230-'Renewable Diesel'!BI230)/12*$FO$80</f>
        <v>54.415874999999872</v>
      </c>
      <c r="FS221" s="100">
        <f t="shared" si="194"/>
        <v>0.52787857383649073</v>
      </c>
      <c r="FT221" s="3">
        <f t="shared" si="195"/>
        <v>215.43730866798512</v>
      </c>
      <c r="FY221" s="3">
        <f>'Renewable Diesel'!BF230*('Renewable Diesel'!BI230/'Renewable Diesel'!AX230)</f>
        <v>372.40901728969385</v>
      </c>
      <c r="FZ221" s="3">
        <f>('Renewable Diesel'!BJ230*'Renewable Diesel'!BG230)/12</f>
        <v>57.070457064503472</v>
      </c>
      <c r="GA221" s="3">
        <f t="shared" si="202"/>
        <v>225.9470361255508</v>
      </c>
      <c r="GD221" s="91">
        <f>'Renewable Diesel'!BB230*0.32</f>
        <v>0</v>
      </c>
      <c r="GE221" s="91">
        <f>'Renewable Diesel'!BC230</f>
        <v>222.5938807394669</v>
      </c>
      <c r="GF221" s="91">
        <f>'Renewable Diesel'!BD230</f>
        <v>0</v>
      </c>
      <c r="GG221" s="91">
        <f t="shared" si="206"/>
        <v>222.5938807394669</v>
      </c>
      <c r="GH221" s="124">
        <v>1</v>
      </c>
      <c r="GI221" s="102">
        <f>$GG221*EA221*'Feedstock Conversion Rates'!$B$2</f>
        <v>4.9815533162076884</v>
      </c>
      <c r="GJ221" s="102">
        <f>$GG221*EB221*'Feedstock Conversion Rates'!$B$3</f>
        <v>480.66366860057434</v>
      </c>
      <c r="GK221" s="102">
        <f>$GG221*EC221*'Feedstock Conversion Rates'!$B$4</f>
        <v>881.26905232109766</v>
      </c>
      <c r="GL221" s="102">
        <f>$GG221*ED221*'Feedstock Conversion Rates'!$B$5</f>
        <v>43.66800513052879</v>
      </c>
      <c r="GM221" s="102">
        <f>$GG221*EE221*'Feedstock Conversion Rates'!$B$6</f>
        <v>174.93409213726824</v>
      </c>
      <c r="GN221" s="102">
        <f>$GG221*EF221*'Feedstock Conversion Rates'!$B$7</f>
        <v>160.23859957788906</v>
      </c>
      <c r="GO221" s="102">
        <f>$GG221*EG221*'Feedstock Conversion Rates'!$B$8</f>
        <v>23.189797212530841</v>
      </c>
      <c r="GP221" s="102">
        <f>$GG221*EH221*'Feedstock Conversion Rates'!B$9</f>
        <v>1.6000419521932701</v>
      </c>
      <c r="GQ221" s="102">
        <f t="shared" si="180"/>
        <v>1770.5448102482901</v>
      </c>
      <c r="GR221" s="85">
        <f t="shared" si="204"/>
        <v>7.9541486242409745</v>
      </c>
      <c r="GT221" s="103">
        <f t="shared" si="159"/>
        <v>2.8135708779429914E-3</v>
      </c>
      <c r="GU221" s="103">
        <f t="shared" si="159"/>
        <v>0.27147783316095181</v>
      </c>
      <c r="GV221" s="103">
        <f t="shared" si="159"/>
        <v>0.49773891472281578</v>
      </c>
      <c r="GW221" s="103">
        <f t="shared" si="159"/>
        <v>2.4663597824674692E-2</v>
      </c>
      <c r="GX221" s="103">
        <f t="shared" si="158"/>
        <v>9.8802408797965743E-2</v>
      </c>
      <c r="GY221" s="103">
        <f t="shared" si="158"/>
        <v>9.0502425383641227E-2</v>
      </c>
      <c r="GZ221" s="103">
        <f t="shared" si="158"/>
        <v>1.3097548889078299E-2</v>
      </c>
      <c r="HA221" s="103">
        <f t="shared" si="158"/>
        <v>9.0370034292941177E-4</v>
      </c>
    </row>
    <row r="222" spans="1:209" x14ac:dyDescent="0.25">
      <c r="A222" s="96">
        <v>47178</v>
      </c>
      <c r="B222" s="104">
        <f>23-20+10+85-5-4-4-1.25+2.25-5+15-6-25-45+65+15-22.5-50+40+16.5+27.5+168+80+14-30+15-50-19+22.5-10+5+11-25-50-12.5-27.5-10+10+2+4-1.5+12-26-15-50-15+10-32.5-3-5-2.5-1+5+10-50-35-9-0.5+25+15+25+20+15+85-25+12.5-52.5+10+20-150+20-20+55-25-25+20-10</f>
        <v>15</v>
      </c>
      <c r="C222" s="104">
        <f t="shared" si="212"/>
        <v>30</v>
      </c>
      <c r="D222" s="104">
        <f t="shared" si="192"/>
        <v>1.5</v>
      </c>
      <c r="E222" s="104">
        <f>('Renewable Diesel'!B231*E$3*'Feedstock Conversion Rates'!$B$2)/12-40+1.25+6-43+30-15+12.5-4+1.5+26+2.5+3-10+50+9-15-25-55+15+45+10-50+60-60-44</f>
        <v>0.67999999999999261</v>
      </c>
      <c r="F222" s="104">
        <f>('Renewable Diesel'!B231*'RD Feedstock Breakdown'!F$3*'Feedstock Conversion Rates'!B$8)/12+28.5-49-5+2-6+1+6+20-20-3.75+10+2.5+5-20-20</f>
        <v>5.15625</v>
      </c>
      <c r="G222" s="104">
        <f>('Renewable Diesel'!B231*'RD Feedstock Breakdown'!G$3*'Feedstock Conversion Rates'!B$7)/12-25-15-25+4+4-20-40-20+10-17.5+20+50-12+32.5+35-75-75+22.5+5-20+15+125-10-45-10-40-40</f>
        <v>9.6570000000000107</v>
      </c>
      <c r="H222" s="104">
        <f>('Renewable Diesel'!B231*'RD Feedstock Breakdown'!H$3*'Feedstock Conversion Rates'!B$3)/12-85+4-15+70-65-80+50-22.5-5+25+27.5+15+50+15-10+5+50+75-5-25-85-12.5+30+22.5-25-30+150+90-120+25+10+70+15+44</f>
        <v>434.40022499999998</v>
      </c>
      <c r="I222" s="106">
        <f t="shared" si="203"/>
        <v>496.39347499999997</v>
      </c>
      <c r="J222" s="104">
        <f t="shared" si="214"/>
        <v>1.5</v>
      </c>
      <c r="K222" s="104">
        <f t="shared" si="215"/>
        <v>0</v>
      </c>
      <c r="L222" s="104">
        <v>1</v>
      </c>
      <c r="M222" s="104">
        <f>('Renewable Diesel'!C231*'RD Feedstock Breakdown'!M$3*'Feedstock Conversion Rates'!B$2)/12</f>
        <v>7.7902500000000003</v>
      </c>
      <c r="N222" s="104">
        <f>('Renewable Diesel'!C231*'RD Feedstock Breakdown'!N$3*'Feedstock Conversion Rates'!B$8)/12</f>
        <v>3.671875</v>
      </c>
      <c r="O222" s="104">
        <f>('Renewable Diesel'!C231*'RD Feedstock Breakdown'!O$3*'Feedstock Conversion Rates'!B$7)/12</f>
        <v>11.9991</v>
      </c>
      <c r="P222" s="104">
        <f>('Renewable Diesel'!C231*'RD Feedstock Breakdown'!P$3*'Feedstock Conversion Rates'!B$3)/12</f>
        <v>10.4470425</v>
      </c>
      <c r="Q222" s="106">
        <f t="shared" si="119"/>
        <v>36.408267500000001</v>
      </c>
      <c r="R222" s="104">
        <f>('Renewable Diesel'!D231*'RD Feedstock Breakdown'!R$3*'Feedstock Conversion Rates'!B$7)/12</f>
        <v>2.2999999999999998</v>
      </c>
      <c r="S222" s="106">
        <f t="shared" si="148"/>
        <v>2.2999999999999998</v>
      </c>
      <c r="T222" s="104">
        <f t="shared" si="207"/>
        <v>5.8250000000000028</v>
      </c>
      <c r="U222" s="104">
        <v>30</v>
      </c>
      <c r="V222" s="104">
        <f>('Renewable Diesel'!E231*'RD Feedstock Breakdown'!V$3*'Feedstock Conversion Rates'!B$6)/12-20+25-35</f>
        <v>14.250150000000012</v>
      </c>
      <c r="W222" s="104">
        <f>('Renewable Diesel'!E231*'RD Feedstock Breakdown'!W$3*'Feedstock Conversion Rates'!B$8)/12-6</f>
        <v>16.1796875</v>
      </c>
      <c r="X222" s="106">
        <f t="shared" si="185"/>
        <v>66.254837500000008</v>
      </c>
      <c r="Y222" s="104">
        <f t="shared" si="208"/>
        <v>126</v>
      </c>
      <c r="Z222" s="104">
        <f>('Renewable Diesel'!F231*'RD Feedstock Breakdown'!Z$3*'Feedstock Conversion Rates'!B$6)/12-50-32-60+15+30+22.5-70+75-30+3+5</f>
        <v>67.960000000000008</v>
      </c>
      <c r="AA222" s="104">
        <f>('Renewable Diesel'!F231*'RD Feedstock Breakdown'!AA$3*'Feedstock Conversion Rates'!B$7)/12+80-171+75+30-50-1+2.5</f>
        <v>69.766666666666652</v>
      </c>
      <c r="AB222" s="106">
        <f t="shared" si="137"/>
        <v>263.72666666666669</v>
      </c>
      <c r="AC222" s="104">
        <f>('Renewable Diesel'!G231*'RD Feedstock Breakdown'!AC$3*'Feedstock Conversion Rates'!B$5)/12+2</f>
        <v>13.796875</v>
      </c>
      <c r="AD222" s="104">
        <f>('Renewable Diesel'!G231*'RD Feedstock Breakdown'!AD$3*'Feedstock Conversion Rates'!B$4)/12</f>
        <v>5.859375</v>
      </c>
      <c r="AE222" s="104">
        <f>('Renewable Diesel'!G231*'RD Feedstock Breakdown'!AE$3*'Feedstock Conversion Rates'!B$6)/12-2</f>
        <v>5.3281250000000009</v>
      </c>
      <c r="AF222" s="106">
        <f t="shared" si="198"/>
        <v>24.984375</v>
      </c>
      <c r="AG222" s="104">
        <f t="shared" si="211"/>
        <v>16.5</v>
      </c>
      <c r="AH222" s="104">
        <v>125</v>
      </c>
      <c r="AI222" s="104">
        <f>('Renewable Diesel'!H231*'RD Feedstock Breakdown'!AI$3*'Feedstock Conversion Rates'!B$6)/12-130-20+51-120+2.5+100-45+20</f>
        <v>7.0166666666666799</v>
      </c>
      <c r="AJ222" s="106">
        <f t="shared" si="145"/>
        <v>23.51666666666668</v>
      </c>
      <c r="AK222" s="104">
        <f>('Renewable Diesel'!J231*'RD Feedstock Breakdown'!AK$3*'Feedstock Conversion Rates'!B$4)/12</f>
        <v>95.8125</v>
      </c>
      <c r="AL222" s="106">
        <f t="shared" si="157"/>
        <v>95.8125</v>
      </c>
      <c r="AM222" s="104">
        <f>('Renewable Diesel'!K231*'RD Feedstock Breakdown'!AM$3*'Feedstock Conversion Rates'!B$4)/12+5+15-10+9-27</f>
        <v>50.59375</v>
      </c>
      <c r="AN222" s="104">
        <f>('Renewable Diesel'!K231*'RD Feedstock Breakdown'!AN$3*'Feedstock Conversion Rates'!B$6)/12-5-15+10-9+27</f>
        <v>32.427083333333329</v>
      </c>
      <c r="AO222" s="106">
        <f t="shared" si="173"/>
        <v>83.020833333333329</v>
      </c>
      <c r="AP222" s="104">
        <f>('Renewable Diesel'!L231*'RD Feedstock Breakdown'!AP$3*'Feedstock Conversion Rates'!B$4)/12+15-10+5+9</f>
        <v>77.59375</v>
      </c>
      <c r="AQ222" s="104">
        <f>('Renewable Diesel'!L231*'RD Feedstock Breakdown'!AQ$3*'Feedstock Conversion Rates'!B$6)/12-15+10-5-9</f>
        <v>5.4270833333333321</v>
      </c>
      <c r="AR222" s="106">
        <f t="shared" si="162"/>
        <v>83.020833333333329</v>
      </c>
      <c r="AS222" s="104">
        <f>('Renewable Diesel'!M231*'RD Feedstock Breakdown'!AS$3*'Feedstock Conversion Rates'!B$4)/12</f>
        <v>456.25</v>
      </c>
      <c r="AT222" s="104">
        <f>('Renewable Diesel'!M231*'RD Feedstock Breakdown'!AT$3*'Feedstock Conversion Rates'!B$5)/12</f>
        <v>0</v>
      </c>
      <c r="AU222" s="106">
        <f t="shared" si="201"/>
        <v>456.25</v>
      </c>
      <c r="AV222" s="104">
        <f>'Renewable Diesel'!N231*'RD Feedstock Breakdown'!$AV$3*'Feedstock Conversion Rates'!$B$4/12-15-10+25+25-22-10-30</f>
        <v>41.749999999999986</v>
      </c>
      <c r="AW222" s="104">
        <f>'Renewable Diesel'!N231*'RD Feedstock Breakdown'!$AW$3*'Feedstock Conversion Rates'!$B$7/12+15+10-25-25+22+10+30</f>
        <v>78.400000000000006</v>
      </c>
      <c r="AX222" s="106">
        <f t="shared" si="141"/>
        <v>120.14999999999999</v>
      </c>
      <c r="AY222" s="104">
        <f>('Renewable Diesel'!O231*'RD Feedstock Breakdown'!AY$3*'Feedstock Conversion Rates'!B$4)/12+32+2-135-247+50</f>
        <v>-87.0625</v>
      </c>
      <c r="AZ222" s="104">
        <f>('Renewable Diesel'!O231*'RD Feedstock Breakdown'!AZ$3*'Feedstock Conversion Rates'!B$3)/12-32-2+135+247-50</f>
        <v>323.03125</v>
      </c>
      <c r="BA222" s="106">
        <f t="shared" si="120"/>
        <v>235.96875</v>
      </c>
      <c r="BB222" s="104">
        <f>('Renewable Diesel'!Q231*'RD Feedstock Breakdown'!BB$3*'Feedstock Conversion Rates'!B$4)/12</f>
        <v>11.156249999999998</v>
      </c>
      <c r="BC222" s="104">
        <f>('Renewable Diesel'!Q231*'RD Feedstock Breakdown'!BC$3*'Feedstock Conversion Rates'!B$3)/12</f>
        <v>1.4017500000000001</v>
      </c>
      <c r="BD222" s="104">
        <f>('Renewable Diesel'!Q231*'RD Feedstock Breakdown'!BD$3*'Feedstock Conversion Rates'!B$6)/12</f>
        <v>0.8207500000000002</v>
      </c>
      <c r="BE222" s="106">
        <f t="shared" si="189"/>
        <v>13.378749999999998</v>
      </c>
      <c r="BF222" s="104">
        <f>('Renewable Diesel'!R231*'RD Feedstock Breakdown'!BF$3*'Feedstock Conversion Rates'!B$4)/12</f>
        <v>62.5</v>
      </c>
      <c r="BG222" s="106">
        <f t="shared" si="167"/>
        <v>62.5</v>
      </c>
      <c r="BH222" s="104">
        <f>('Renewable Diesel'!T231*'RD Feedstock Breakdown'!BH$3*'Feedstock Conversion Rates'!B$7)/12</f>
        <v>27.599999999999998</v>
      </c>
      <c r="BI222" s="106">
        <f t="shared" si="144"/>
        <v>27.599999999999998</v>
      </c>
      <c r="BJ222" s="104">
        <f>('Renewable Diesel'!W231*'RD Feedstock Breakdown'!BJ$3*'Feedstock Conversion Rates'!B$4)/12</f>
        <v>7.5</v>
      </c>
      <c r="BK222" s="104">
        <f>('Renewable Diesel'!W231*'RD Feedstock Breakdown'!BK$3*'Feedstock Conversion Rates'!B$3)/12</f>
        <v>1.335</v>
      </c>
      <c r="BL222" s="104">
        <f>('Renewable Diesel'!W231*'RD Feedstock Breakdown'!BL$3*'Feedstock Conversion Rates'!B$6)/12</f>
        <v>3.1266666666666669</v>
      </c>
      <c r="BM222" s="104">
        <f>('Renewable Diesel'!W231*'RD Feedstock Breakdown'!BM$3*'Feedstock Conversion Rates'!B$7)/12</f>
        <v>1.5333333333333332</v>
      </c>
      <c r="BN222" s="106">
        <f t="shared" si="209"/>
        <v>13.495000000000001</v>
      </c>
      <c r="BO222" s="104">
        <f>('Renewable Diesel'!P231*'Feedstock Conversion Rates'!B$4)/12</f>
        <v>31.25</v>
      </c>
      <c r="BP222" s="106">
        <f t="shared" si="199"/>
        <v>31.25</v>
      </c>
      <c r="BQ222" s="104">
        <f>('Renewable Diesel'!$S231*'RD Feedstock Breakdown'!BQ$3*'Feedstock Conversion Rates'!B$4)/12+10</f>
        <v>38.125</v>
      </c>
      <c r="BR222" s="104">
        <f>('Renewable Diesel'!$S231*'RD Feedstock Breakdown'!BR$3*'Feedstock Conversion Rates'!B$7)/12-10</f>
        <v>1.5</v>
      </c>
      <c r="BS222" s="106">
        <f t="shared" si="123"/>
        <v>39.625</v>
      </c>
      <c r="BT222" s="106"/>
      <c r="BU222" s="104">
        <f>('Renewable Diesel'!Y231*'Feedstock Conversion Rates'!B$7)/12</f>
        <v>2.6833333333333331</v>
      </c>
      <c r="BV222" s="106">
        <f t="shared" si="191"/>
        <v>2.6833333333333331</v>
      </c>
      <c r="BW222" s="104">
        <f>('Renewable Diesel'!$Z231*'RD Feedstock Breakdown'!BW$3*'Feedstock Conversion Rates'!$B$4)/12</f>
        <v>53.90625</v>
      </c>
      <c r="BX222" s="104">
        <f>('Renewable Diesel'!$Z231*'RD Feedstock Breakdown'!BX$3*'Feedstock Conversion Rates'!$B$5)/12</f>
        <v>5.4265624999999993</v>
      </c>
      <c r="BY222" s="104">
        <f>('Renewable Diesel'!$Z231*'RD Feedstock Breakdown'!BY$3*'Feedstock Conversion Rates'!$B$7)/12</f>
        <v>46.287499999999994</v>
      </c>
      <c r="BZ222" s="104">
        <f>('Renewable Diesel'!$Z231*'RD Feedstock Breakdown'!BZ$3*'Feedstock Conversion Rates'!$B$3)/12</f>
        <v>11.514374999999999</v>
      </c>
      <c r="CA222" s="106">
        <f t="shared" si="127"/>
        <v>117.1346875</v>
      </c>
      <c r="CB222" s="104">
        <f>('Renewable Diesel'!AA231*'Feedstock Conversion Rates'!B$4)/12</f>
        <v>191.25</v>
      </c>
      <c r="CC222" s="106">
        <f t="shared" si="213"/>
        <v>191.25</v>
      </c>
      <c r="CD222" s="104">
        <f>('Renewable Diesel'!$AB231*'RD Feedstock Breakdown'!CD$3*'Feedstock Conversion Rates'!$B$6)/12-15</f>
        <v>17.830000000000005</v>
      </c>
      <c r="CE222" s="104">
        <f>('Renewable Diesel'!$AB231*'RD Feedstock Breakdown'!CE$3*'Feedstock Conversion Rates'!$B$4)/12+15</f>
        <v>26.25</v>
      </c>
      <c r="CF222" s="106">
        <f t="shared" si="205"/>
        <v>44.080000000000005</v>
      </c>
      <c r="CG222" s="104">
        <f>('Renewable Diesel'!AD231*'Feedstock Conversion Rates'!B$4)/12</f>
        <v>112.5</v>
      </c>
      <c r="CH222" s="106">
        <f t="shared" si="187"/>
        <v>112.5</v>
      </c>
      <c r="CI222" s="104">
        <f>('Renewable Diesel'!$AE231*'RD Feedstock Breakdown'!CI$3*'Feedstock Conversion Rates'!$B$5)/12</f>
        <v>0.34604166666666664</v>
      </c>
      <c r="CJ222" s="104">
        <f>('Renewable Diesel'!$AE231*'RD Feedstock Breakdown'!CJ$3*'Feedstock Conversion Rates'!$B$4)/12</f>
        <v>0.34375</v>
      </c>
      <c r="CK222" s="106">
        <f t="shared" si="200"/>
        <v>0.68979166666666658</v>
      </c>
      <c r="CL222" s="104">
        <f>(((CL$3*'Renewable Diesel'!$AF231)*'Feedstock Conversion Rates'!$B$3)/12)-35</f>
        <v>56.78125</v>
      </c>
      <c r="CM222" s="104">
        <f>(((CM$3*'Renewable Diesel'!$AF231)*'Feedstock Conversion Rates'!$B$6)/12)-32.5+35+30</f>
        <v>86.239583333333343</v>
      </c>
      <c r="CN222" s="104">
        <f>(((CN$3*'Renewable Diesel'!$AF231)*'Feedstock Conversion Rates'!$B$4)/12)</f>
        <v>42.96875</v>
      </c>
      <c r="CO222" s="106">
        <f t="shared" si="190"/>
        <v>185.98958333333334</v>
      </c>
      <c r="CP222" s="104">
        <f>('Renewable Diesel'!$AG231*'RD Feedstock Breakdown'!CP$3*'Feedstock Conversion Rates'!$B$3)/12</f>
        <v>6.0075000000000003</v>
      </c>
      <c r="CQ222" s="104">
        <f>('Renewable Diesel'!$AG231*'RD Feedstock Breakdown'!CQ$3*'Feedstock Conversion Rates'!$B$6)/12</f>
        <v>3.5175000000000001</v>
      </c>
      <c r="CR222" s="104">
        <f>('Renewable Diesel'!$AG231*'RD Feedstock Breakdown'!CR$3*'Feedstock Conversion Rates'!$B$4)/12</f>
        <v>2.8125</v>
      </c>
      <c r="CS222" s="106">
        <f t="shared" si="134"/>
        <v>12.3375</v>
      </c>
      <c r="CT222" s="104">
        <f>('Renewable Diesel'!AI231*'Feedstock Conversion Rates'!$B$4*'RD Feedstock Breakdown'!$CT$3)/12</f>
        <v>29.375</v>
      </c>
      <c r="CU222" s="106">
        <f t="shared" si="196"/>
        <v>29.375</v>
      </c>
      <c r="CV222" s="104">
        <f>('Renewable Diesel'!AN231*'Feedstock Conversion Rates'!$B$3*'RD Feedstock Breakdown'!$CV$3)/12</f>
        <v>0.50062499999999999</v>
      </c>
      <c r="CW222" s="106">
        <f t="shared" si="161"/>
        <v>0.50062499999999999</v>
      </c>
      <c r="CX222" s="104">
        <f>('Renewable Diesel'!AO231*'RD Feedstock Breakdown'!$CX$3*'Feedstock Conversion Rates'!$B$3)/12</f>
        <v>6.3412499999999996</v>
      </c>
      <c r="CY222" s="104">
        <f>('Renewable Diesel'!AO231*'RD Feedstock Breakdown'!$CY$3*'Feedstock Conversion Rates'!$B$6)/12</f>
        <v>7.4258333333333342</v>
      </c>
      <c r="CZ222" s="106">
        <f t="shared" si="135"/>
        <v>13.767083333333334</v>
      </c>
      <c r="DA222" s="104">
        <f>('Renewable Diesel'!$AP231*'RD Feedstock Breakdown'!DA$3*'Feedstock Conversion Rates'!$B$3)/12</f>
        <v>6.3412499999999996</v>
      </c>
      <c r="DB222" s="104">
        <f>('Renewable Diesel'!$AP231*'RD Feedstock Breakdown'!DB$3*'Feedstock Conversion Rates'!$B$8)/12</f>
        <v>7.421875</v>
      </c>
      <c r="DC222" s="106">
        <f t="shared" si="165"/>
        <v>13.763124999999999</v>
      </c>
      <c r="DD222" s="104">
        <f>('Renewable Diesel'!AQ231*$DD$3*'Feedstock Conversion Rates'!$B$14)/12</f>
        <v>3.1041666666666665</v>
      </c>
      <c r="DE222" s="106">
        <f t="shared" si="166"/>
        <v>3.1041666666666665</v>
      </c>
      <c r="DF222" s="104">
        <f>('Renewable Diesel'!AR231*'Feedstock Conversion Rates'!$B$4*$DF$3)/12</f>
        <v>75</v>
      </c>
      <c r="DG222" s="106">
        <f t="shared" si="136"/>
        <v>75</v>
      </c>
      <c r="DH222" s="104">
        <f>('Renewable Diesel'!AS231*'Feedstock Conversion Rates'!$B$4*$DH$3)/12</f>
        <v>75</v>
      </c>
      <c r="DI222" s="106">
        <f t="shared" si="142"/>
        <v>75</v>
      </c>
      <c r="DJ222" s="104">
        <f>('Renewable Diesel'!AT231*'Feedstock Conversion Rates'!$B$4*0.25)/12</f>
        <v>8.59375</v>
      </c>
      <c r="DK222" s="104">
        <f>('Renewable Diesel'!$AT231*'RD Feedstock Breakdown'!DK$3*'Feedstock Conversion Rates'!$B$3)/12*0.5</f>
        <v>9.1781249999999996</v>
      </c>
      <c r="DL222" s="104">
        <f>('Renewable Diesel'!$AT231*'RD Feedstock Breakdown'!$DL$3*'Feedstock Conversion Rates'!$B$6)/12</f>
        <v>10.747916666666669</v>
      </c>
      <c r="DM222" s="104">
        <f>('Renewable Diesel'!$AT231*'RD Feedstock Breakdown'!$DM$3*'Feedstock Conversion Rates'!$B$8)/12</f>
        <v>10.7421875</v>
      </c>
      <c r="DN222" s="106">
        <f t="shared" si="210"/>
        <v>39.26197916666667</v>
      </c>
      <c r="DP222" s="104">
        <f t="shared" si="168"/>
        <v>8.470249999999993</v>
      </c>
      <c r="DQ222" s="104">
        <f t="shared" si="169"/>
        <v>867.27964250000002</v>
      </c>
      <c r="DR222" s="104">
        <f t="shared" si="174"/>
        <v>1698.234375</v>
      </c>
      <c r="DS222" s="104">
        <f t="shared" si="197"/>
        <v>83.592395833333327</v>
      </c>
      <c r="DT222" s="104">
        <f t="shared" si="170"/>
        <v>269.53923333333341</v>
      </c>
      <c r="DU222" s="104">
        <f t="shared" si="171"/>
        <v>251.72693333333333</v>
      </c>
      <c r="DV222" s="104">
        <f t="shared" si="175"/>
        <v>35.75</v>
      </c>
      <c r="DW222" s="104">
        <f t="shared" si="172"/>
        <v>2.5</v>
      </c>
      <c r="DX222" s="106">
        <f t="shared" si="176"/>
        <v>3217.09283</v>
      </c>
      <c r="DY222" s="109">
        <f t="shared" si="163"/>
        <v>-125.00000000000014</v>
      </c>
      <c r="EA222" s="110">
        <f t="shared" si="150"/>
        <v>2.6328895209405544E-3</v>
      </c>
      <c r="EB222" s="110">
        <f t="shared" si="151"/>
        <v>0.2695848980211118</v>
      </c>
      <c r="EC222" s="110">
        <f t="shared" si="152"/>
        <v>0.52787857383649073</v>
      </c>
      <c r="ED222" s="110">
        <f t="shared" si="146"/>
        <v>2.5983830821982631E-2</v>
      </c>
      <c r="EE222" s="110">
        <f t="shared" si="146"/>
        <v>8.3783480171858576E-2</v>
      </c>
      <c r="EF222" s="110">
        <f t="shared" si="146"/>
        <v>7.8246711125626214E-2</v>
      </c>
      <c r="EG222" s="110">
        <f t="shared" si="146"/>
        <v>1.111251738421238E-2</v>
      </c>
      <c r="EH222" s="111">
        <f t="shared" si="177"/>
        <v>7.7709911777708947E-4</v>
      </c>
      <c r="EI222" s="110">
        <f t="shared" si="178"/>
        <v>0.99922290088222276</v>
      </c>
      <c r="EK222" s="132">
        <f>(EA222*'Renewable Diesel'!BF231*'Feedstock Conversion Rates'!B$2)+FB222</f>
        <v>6.8936377141524883</v>
      </c>
      <c r="EL222" s="132">
        <f>(EB222*'Renewable Diesel'!BF231*'Feedstock Conversion Rates'!B$3)+FC222</f>
        <v>665.15823145104878</v>
      </c>
      <c r="EM222" s="132">
        <f>(EC222*'Renewable Diesel'!BF231*'Feedstock Conversion Rates'!B$4)+FD222</f>
        <v>1219.5291688699574</v>
      </c>
      <c r="EN222" s="132">
        <f>(ED222*'Renewable Diesel'!BF231*'Feedstock Conversion Rates'!B$5)+FE222</f>
        <v>60.429225175649457</v>
      </c>
      <c r="EO222" s="132">
        <f>(EE222*'Renewable Diesel'!BF231*'Feedstock Conversion Rates'!B$6)+FF222</f>
        <v>242.07956404379908</v>
      </c>
      <c r="EP222" s="132">
        <f>(EF222*'Renewable Diesel'!BF231*'Feedstock Conversion Rates'!B$7)+FG222</f>
        <v>221.74345694929457</v>
      </c>
      <c r="EQ222" s="132">
        <f>(EG222*'Renewable Diesel'!BF231*'Feedstock Conversion Rates'!B$8)+FH222</f>
        <v>32.090805919457509</v>
      </c>
      <c r="ER222" s="132">
        <f>(EH222*'Renewable Diesel'!BF231*'Feedstock Conversion Rates'!B$9)+FI222</f>
        <v>2.2141908046991663</v>
      </c>
      <c r="ES222" s="132">
        <f t="shared" si="179"/>
        <v>2450.1382809280585</v>
      </c>
      <c r="ET222" s="133">
        <f>ES222/'Renewable Diesel'!BF231</f>
        <v>7.9541486242409736</v>
      </c>
      <c r="EW222" s="73">
        <f t="shared" si="124"/>
        <v>1279.9583940456068</v>
      </c>
      <c r="EX222" s="73">
        <f t="shared" si="125"/>
        <v>1170.1798868824517</v>
      </c>
      <c r="EY222" s="92">
        <f t="shared" si="164"/>
        <v>0.52240251254749048</v>
      </c>
      <c r="EZ222" s="92">
        <f t="shared" si="164"/>
        <v>0.47759748745250952</v>
      </c>
      <c r="FB222" s="102">
        <f>IF('Renewable Diesel'!$BG231&lt;1,0,(((('Renewable Diesel'!$BG231-1)*'Renewable Diesel'!$BF231)*'RD Feedstock Breakdown'!EA222)*'Feedstock Conversion Rates'!$B$2))</f>
        <v>0</v>
      </c>
      <c r="FC222" s="102">
        <f>IF('Renewable Diesel'!$BG231&lt;1,0,(((('Renewable Diesel'!$BG231-1)*'Renewable Diesel'!$BF231)*'RD Feedstock Breakdown'!EB222)*'Feedstock Conversion Rates'!$B$3))</f>
        <v>0</v>
      </c>
      <c r="FD222" s="102">
        <f>IF('Renewable Diesel'!$BG231&lt;1,0,(((('Renewable Diesel'!$BG231-1)*'Renewable Diesel'!$BF231)*'RD Feedstock Breakdown'!EC222)*'Feedstock Conversion Rates'!$B$4))</f>
        <v>0</v>
      </c>
      <c r="FE222" s="102">
        <f>IF('Renewable Diesel'!$BG231&lt;1,0,(((('Renewable Diesel'!$BG231-1)*'Renewable Diesel'!$BF231)*'RD Feedstock Breakdown'!ED222)*'Feedstock Conversion Rates'!$B$5))</f>
        <v>0</v>
      </c>
      <c r="FF222" s="102">
        <f>IF('Renewable Diesel'!$BG231&lt;1,0,(((('Renewable Diesel'!$BG231-1)*'Renewable Diesel'!$BF231)*'RD Feedstock Breakdown'!EE222)*'Feedstock Conversion Rates'!$B$6))</f>
        <v>0</v>
      </c>
      <c r="FG222" s="102">
        <f>IF('Renewable Diesel'!$BG231&lt;1,0,(((('Renewable Diesel'!$BG231-1)*'Renewable Diesel'!$BF231)*'RD Feedstock Breakdown'!EF222)*'Feedstock Conversion Rates'!$B$7))</f>
        <v>0</v>
      </c>
      <c r="FH222" s="102">
        <f>IF('Renewable Diesel'!$BG231&lt;1,0,(((('Renewable Diesel'!$BG231-1)*'Renewable Diesel'!$BF231)*'RD Feedstock Breakdown'!EG222)*'Feedstock Conversion Rates'!$B$8))</f>
        <v>0</v>
      </c>
      <c r="FI222" s="102">
        <f>IF('Renewable Diesel'!$BG231&lt;1,0,(((('Renewable Diesel'!$BG231-1)*'Renewable Diesel'!$BF231)*'RD Feedstock Breakdown'!EH222)*'Feedstock Conversion Rates'!$B$9))</f>
        <v>0</v>
      </c>
      <c r="FJ222" s="102">
        <f t="shared" si="126"/>
        <v>0</v>
      </c>
      <c r="FL222" s="3">
        <f>('Renewable Diesel'!AX231/12*$FO$80)*'RD Feedstock Breakdown'!EC222*7.5</f>
        <v>1594.8038175492545</v>
      </c>
      <c r="FM222" s="3">
        <f t="shared" si="193"/>
        <v>375.27464867929712</v>
      </c>
      <c r="FR222" s="3">
        <f>('Renewable Diesel'!AX231-'Renewable Diesel'!BI231)/12*$FO$80</f>
        <v>54.415874999999872</v>
      </c>
      <c r="FS222" s="100">
        <f t="shared" si="194"/>
        <v>0.52787857383649073</v>
      </c>
      <c r="FT222" s="3">
        <f t="shared" si="195"/>
        <v>215.43730866798512</v>
      </c>
      <c r="FY222" s="3">
        <f>'Renewable Diesel'!BF231*('Renewable Diesel'!BI231/'Renewable Diesel'!AX231)</f>
        <v>266.42152182270854</v>
      </c>
      <c r="FZ222" s="3">
        <f>('Renewable Diesel'!BJ231*'Renewable Diesel'!BG231)/12</f>
        <v>45.202674326037489</v>
      </c>
      <c r="GA222" s="3">
        <f t="shared" si="202"/>
        <v>178.9614244261802</v>
      </c>
      <c r="GD222" s="91">
        <f>'Renewable Diesel'!BB231*0.32</f>
        <v>0</v>
      </c>
      <c r="GE222" s="91">
        <f>'Renewable Diesel'!BC231</f>
        <v>88.975887423838913</v>
      </c>
      <c r="GF222" s="91">
        <f>'Renewable Diesel'!BD231</f>
        <v>0</v>
      </c>
      <c r="GG222" s="91">
        <f t="shared" si="206"/>
        <v>88.975887423838913</v>
      </c>
      <c r="GH222" s="124">
        <v>1</v>
      </c>
      <c r="GI222" s="102">
        <f>$GG222*EA222*'Feedstock Conversion Rates'!$B$2</f>
        <v>1.9912412937242012</v>
      </c>
      <c r="GJ222" s="102">
        <f>$GG222*EB222*'Feedstock Conversion Rates'!$B$3</f>
        <v>192.13230985532323</v>
      </c>
      <c r="GK222" s="102">
        <f>$GG222*EC222*'Feedstock Conversion Rates'!$B$4</f>
        <v>352.26348419349176</v>
      </c>
      <c r="GL222" s="102">
        <f>$GG222*ED222*'Feedstock Conversion Rates'!$B$5</f>
        <v>17.455104765728858</v>
      </c>
      <c r="GM222" s="102">
        <f>$GG222*EE222*'Feedstock Conversion Rates'!$B$6</f>
        <v>69.925175107643071</v>
      </c>
      <c r="GN222" s="102">
        <f>$GG222*EF222*'Feedstock Conversion Rates'!$B$7</f>
        <v>64.051049155674121</v>
      </c>
      <c r="GO222" s="102">
        <f>$GG222*EG222*'Feedstock Conversion Rates'!$B$8</f>
        <v>9.2694946478731275</v>
      </c>
      <c r="GP222" s="102">
        <f>$GG222*EH222*'Feedstock Conversion Rates'!B$9</f>
        <v>0.63957352348961438</v>
      </c>
      <c r="GQ222" s="102">
        <f t="shared" si="180"/>
        <v>707.72743254294801</v>
      </c>
      <c r="GR222" s="85">
        <f t="shared" si="204"/>
        <v>7.9541486242409736</v>
      </c>
      <c r="GT222" s="103">
        <f t="shared" si="159"/>
        <v>2.8135708779429909E-3</v>
      </c>
      <c r="GU222" s="103">
        <f t="shared" si="159"/>
        <v>0.27147783316095181</v>
      </c>
      <c r="GV222" s="103">
        <f t="shared" si="159"/>
        <v>0.49773891472281573</v>
      </c>
      <c r="GW222" s="103">
        <f t="shared" si="159"/>
        <v>2.4663597824674692E-2</v>
      </c>
      <c r="GX222" s="103">
        <f t="shared" si="158"/>
        <v>9.8802408797965743E-2</v>
      </c>
      <c r="GY222" s="103">
        <f t="shared" si="158"/>
        <v>9.0502425383641227E-2</v>
      </c>
      <c r="GZ222" s="103">
        <f t="shared" si="158"/>
        <v>1.3097548889078301E-2</v>
      </c>
      <c r="HA222" s="103">
        <f t="shared" si="158"/>
        <v>9.0370034292941187E-4</v>
      </c>
    </row>
    <row r="223" spans="1:209" x14ac:dyDescent="0.25">
      <c r="A223" s="96">
        <v>47209</v>
      </c>
      <c r="B223" s="104">
        <f>23-20+10+85-5-4-4-1.25+2.25-5+15-6-25-45+65+15-22.5-50+40+16.5+27.5+168+80+14-30+15-50-19+22.5-10+5+11-25-50-12.5-27.5-10+10+2+4-1.5+12-26-15-50-15+10-32.5-3-5-2.5-1+5+10-50-35-9-0.5+25+15+25+20+15+85-25+12.5-52.5+10+20-150+20-20+55-25-25+20-10+5</f>
        <v>20</v>
      </c>
      <c r="C223" s="104">
        <f t="shared" si="212"/>
        <v>30</v>
      </c>
      <c r="D223" s="104">
        <f t="shared" si="192"/>
        <v>1.5</v>
      </c>
      <c r="E223" s="104">
        <f>('Renewable Diesel'!B232*E$3*'Feedstock Conversion Rates'!$B$2)/12-40+1.25+6-43+30-15+12.5-4+1.5+26+2.5+3-10+50+9-15-25-55+15+45+10-50+60-60-44</f>
        <v>0.67999999999999261</v>
      </c>
      <c r="F223" s="104">
        <f>('Renewable Diesel'!B232*'RD Feedstock Breakdown'!F$3*'Feedstock Conversion Rates'!B$8)/12+28.5-49-5+2-6+1+6+20-20-3.75+10+2.5+5-20-20-5</f>
        <v>0.15625</v>
      </c>
      <c r="G223" s="104">
        <f>('Renewable Diesel'!B232*'RD Feedstock Breakdown'!G$3*'Feedstock Conversion Rates'!B$7)/12-25-15-25+4+4-20-40-20+10-17.5+20+50-12+32.5+35-75-75+22.5+5-20+15+125-10-45-10-40-40</f>
        <v>9.6570000000000107</v>
      </c>
      <c r="H223" s="104">
        <f>('Renewable Diesel'!B232*'RD Feedstock Breakdown'!H$3*'Feedstock Conversion Rates'!B$3)/12-85+4-15+70-65-80+50-22.5-5+25+27.5+15+50+15-10+5+50+75-5-25-85-12.5+30+22.5-25-30+150+90-120+25+10+70+15+44</f>
        <v>434.40022499999998</v>
      </c>
      <c r="I223" s="106">
        <f t="shared" si="203"/>
        <v>496.39347499999997</v>
      </c>
      <c r="J223" s="104">
        <f t="shared" si="214"/>
        <v>1.5</v>
      </c>
      <c r="K223" s="104">
        <f t="shared" si="215"/>
        <v>0</v>
      </c>
      <c r="L223" s="104">
        <v>1</v>
      </c>
      <c r="M223" s="104">
        <f>('Renewable Diesel'!C232*'RD Feedstock Breakdown'!M$3*'Feedstock Conversion Rates'!B$2)/12</f>
        <v>7.7902500000000003</v>
      </c>
      <c r="N223" s="104">
        <f>('Renewable Diesel'!C232*'RD Feedstock Breakdown'!N$3*'Feedstock Conversion Rates'!B$8)/12</f>
        <v>3.671875</v>
      </c>
      <c r="O223" s="104">
        <f>('Renewable Diesel'!C232*'RD Feedstock Breakdown'!O$3*'Feedstock Conversion Rates'!B$7)/12</f>
        <v>11.9991</v>
      </c>
      <c r="P223" s="104">
        <f>('Renewable Diesel'!C232*'RD Feedstock Breakdown'!P$3*'Feedstock Conversion Rates'!B$3)/12</f>
        <v>10.4470425</v>
      </c>
      <c r="Q223" s="106">
        <f t="shared" si="119"/>
        <v>36.408267500000001</v>
      </c>
      <c r="R223" s="104">
        <f>('Renewable Diesel'!D232*'RD Feedstock Breakdown'!R$3*'Feedstock Conversion Rates'!B$7)/12</f>
        <v>2.2999999999999998</v>
      </c>
      <c r="S223" s="106">
        <f t="shared" si="148"/>
        <v>2.2999999999999998</v>
      </c>
      <c r="T223" s="104">
        <f t="shared" si="207"/>
        <v>5.8250000000000028</v>
      </c>
      <c r="U223" s="104">
        <v>30</v>
      </c>
      <c r="V223" s="104">
        <f>('Renewable Diesel'!E232*'RD Feedstock Breakdown'!V$3*'Feedstock Conversion Rates'!B$6)/12-20+25-35</f>
        <v>14.250150000000012</v>
      </c>
      <c r="W223" s="104">
        <f>('Renewable Diesel'!E232*'RD Feedstock Breakdown'!W$3*'Feedstock Conversion Rates'!B$8)/12-6</f>
        <v>16.1796875</v>
      </c>
      <c r="X223" s="106">
        <f t="shared" si="185"/>
        <v>66.254837500000008</v>
      </c>
      <c r="Y223" s="104">
        <f t="shared" si="208"/>
        <v>126</v>
      </c>
      <c r="Z223" s="104">
        <f>('Renewable Diesel'!F232*'RD Feedstock Breakdown'!Z$3*'Feedstock Conversion Rates'!B$6)/12-50-32-60+15+30+22.5-70+75-30+3+5</f>
        <v>67.960000000000008</v>
      </c>
      <c r="AA223" s="104">
        <f>('Renewable Diesel'!F232*'RD Feedstock Breakdown'!AA$3*'Feedstock Conversion Rates'!B$7)/12+80-171+75+30-50-1+2.5</f>
        <v>69.766666666666652</v>
      </c>
      <c r="AB223" s="106">
        <f t="shared" si="137"/>
        <v>263.72666666666669</v>
      </c>
      <c r="AC223" s="104">
        <f>('Renewable Diesel'!G232*'RD Feedstock Breakdown'!AC$3*'Feedstock Conversion Rates'!B$5)/12+2</f>
        <v>13.796875</v>
      </c>
      <c r="AD223" s="104">
        <f>('Renewable Diesel'!G232*'RD Feedstock Breakdown'!AD$3*'Feedstock Conversion Rates'!B$4)/12</f>
        <v>5.859375</v>
      </c>
      <c r="AE223" s="104">
        <f>('Renewable Diesel'!G232*'RD Feedstock Breakdown'!AE$3*'Feedstock Conversion Rates'!B$6)/12-2</f>
        <v>5.3281250000000009</v>
      </c>
      <c r="AF223" s="106">
        <f t="shared" si="198"/>
        <v>24.984375</v>
      </c>
      <c r="AG223" s="104">
        <f t="shared" si="211"/>
        <v>16.5</v>
      </c>
      <c r="AH223" s="104">
        <v>125</v>
      </c>
      <c r="AI223" s="104">
        <f>('Renewable Diesel'!H232*'RD Feedstock Breakdown'!AI$3*'Feedstock Conversion Rates'!B$6)/12-130-20+51-120+2.5+100-45+20</f>
        <v>7.0166666666666799</v>
      </c>
      <c r="AJ223" s="106">
        <f t="shared" si="145"/>
        <v>23.51666666666668</v>
      </c>
      <c r="AK223" s="104">
        <f>('Renewable Diesel'!J232*'RD Feedstock Breakdown'!AK$3*'Feedstock Conversion Rates'!B$4)/12</f>
        <v>95.8125</v>
      </c>
      <c r="AL223" s="106">
        <f t="shared" si="157"/>
        <v>95.8125</v>
      </c>
      <c r="AM223" s="104">
        <f>('Renewable Diesel'!K232*'RD Feedstock Breakdown'!AM$3*'Feedstock Conversion Rates'!B$4)/12+5+15-10+9-27</f>
        <v>50.59375</v>
      </c>
      <c r="AN223" s="104">
        <f>('Renewable Diesel'!K232*'RD Feedstock Breakdown'!AN$3*'Feedstock Conversion Rates'!B$6)/12-5-15+10-9+27</f>
        <v>32.427083333333329</v>
      </c>
      <c r="AO223" s="106">
        <f t="shared" si="173"/>
        <v>83.020833333333329</v>
      </c>
      <c r="AP223" s="104">
        <f>('Renewable Diesel'!L232*'RD Feedstock Breakdown'!AP$3*'Feedstock Conversion Rates'!B$4)/12+15-10+5+9</f>
        <v>77.59375</v>
      </c>
      <c r="AQ223" s="104">
        <f>('Renewable Diesel'!L232*'RD Feedstock Breakdown'!AQ$3*'Feedstock Conversion Rates'!B$6)/12-15+10-5-9</f>
        <v>5.4270833333333321</v>
      </c>
      <c r="AR223" s="106">
        <f t="shared" si="162"/>
        <v>83.020833333333329</v>
      </c>
      <c r="AS223" s="104">
        <f>('Renewable Diesel'!M232*'RD Feedstock Breakdown'!AS$3*'Feedstock Conversion Rates'!B$4)/12</f>
        <v>456.25</v>
      </c>
      <c r="AT223" s="104">
        <f>('Renewable Diesel'!M232*'RD Feedstock Breakdown'!AT$3*'Feedstock Conversion Rates'!B$5)/12</f>
        <v>0</v>
      </c>
      <c r="AU223" s="106">
        <f t="shared" si="201"/>
        <v>456.25</v>
      </c>
      <c r="AV223" s="104">
        <f>'Renewable Diesel'!N232*'RD Feedstock Breakdown'!$AV$3*'Feedstock Conversion Rates'!$B$4/12-15-10+25+25-22-10-30</f>
        <v>41.749999999999986</v>
      </c>
      <c r="AW223" s="104">
        <f>'Renewable Diesel'!N232*'RD Feedstock Breakdown'!$AW$3*'Feedstock Conversion Rates'!$B$7/12+15+10-25-25+22+10+30</f>
        <v>78.400000000000006</v>
      </c>
      <c r="AX223" s="106">
        <f t="shared" si="141"/>
        <v>120.14999999999999</v>
      </c>
      <c r="AY223" s="104">
        <f>('Renewable Diesel'!O232*'RD Feedstock Breakdown'!AY$3*'Feedstock Conversion Rates'!B$4)/12+32+2-135-247+50</f>
        <v>-87.0625</v>
      </c>
      <c r="AZ223" s="104">
        <f>('Renewable Diesel'!O232*'RD Feedstock Breakdown'!AZ$3*'Feedstock Conversion Rates'!B$3)/12-32-2+135+247-50</f>
        <v>323.03125</v>
      </c>
      <c r="BA223" s="106">
        <f t="shared" si="120"/>
        <v>235.96875</v>
      </c>
      <c r="BB223" s="104">
        <f>('Renewable Diesel'!Q232*'RD Feedstock Breakdown'!BB$3*'Feedstock Conversion Rates'!B$4)/12</f>
        <v>11.156249999999998</v>
      </c>
      <c r="BC223" s="104">
        <f>('Renewable Diesel'!Q232*'RD Feedstock Breakdown'!BC$3*'Feedstock Conversion Rates'!B$3)/12</f>
        <v>1.4017500000000001</v>
      </c>
      <c r="BD223" s="104">
        <f>('Renewable Diesel'!Q232*'RD Feedstock Breakdown'!BD$3*'Feedstock Conversion Rates'!B$6)/12</f>
        <v>0.8207500000000002</v>
      </c>
      <c r="BE223" s="106">
        <f t="shared" si="189"/>
        <v>13.378749999999998</v>
      </c>
      <c r="BF223" s="104">
        <f>('Renewable Diesel'!R232*'RD Feedstock Breakdown'!BF$3*'Feedstock Conversion Rates'!B$4)/12</f>
        <v>62.5</v>
      </c>
      <c r="BG223" s="106">
        <f t="shared" si="167"/>
        <v>62.5</v>
      </c>
      <c r="BH223" s="104">
        <f>('Renewable Diesel'!T232*'RD Feedstock Breakdown'!BH$3*'Feedstock Conversion Rates'!B$7)/12</f>
        <v>27.599999999999998</v>
      </c>
      <c r="BI223" s="106">
        <f t="shared" si="144"/>
        <v>27.599999999999998</v>
      </c>
      <c r="BJ223" s="104">
        <f>('Renewable Diesel'!W232*'RD Feedstock Breakdown'!BJ$3*'Feedstock Conversion Rates'!B$4)/12</f>
        <v>7.5</v>
      </c>
      <c r="BK223" s="104">
        <f>('Renewable Diesel'!W232*'RD Feedstock Breakdown'!BK$3*'Feedstock Conversion Rates'!B$3)/12</f>
        <v>1.335</v>
      </c>
      <c r="BL223" s="104">
        <f>('Renewable Diesel'!W232*'RD Feedstock Breakdown'!BL$3*'Feedstock Conversion Rates'!B$6)/12</f>
        <v>3.1266666666666669</v>
      </c>
      <c r="BM223" s="104">
        <f>('Renewable Diesel'!W232*'RD Feedstock Breakdown'!BM$3*'Feedstock Conversion Rates'!B$7)/12</f>
        <v>1.5333333333333332</v>
      </c>
      <c r="BN223" s="106">
        <f t="shared" si="209"/>
        <v>13.495000000000001</v>
      </c>
      <c r="BO223" s="104">
        <f>('Renewable Diesel'!P232*'Feedstock Conversion Rates'!B$4)/12</f>
        <v>31.25</v>
      </c>
      <c r="BP223" s="106">
        <f t="shared" si="199"/>
        <v>31.25</v>
      </c>
      <c r="BQ223" s="104">
        <f>('Renewable Diesel'!$S232*'RD Feedstock Breakdown'!BQ$3*'Feedstock Conversion Rates'!B$4)/12+10</f>
        <v>38.125</v>
      </c>
      <c r="BR223" s="104">
        <f>('Renewable Diesel'!$S232*'RD Feedstock Breakdown'!BR$3*'Feedstock Conversion Rates'!B$7)/12-10</f>
        <v>1.5</v>
      </c>
      <c r="BS223" s="106">
        <f t="shared" si="123"/>
        <v>39.625</v>
      </c>
      <c r="BT223" s="106"/>
      <c r="BU223" s="104">
        <f>('Renewable Diesel'!Y232*'Feedstock Conversion Rates'!B$7)/12</f>
        <v>2.6833333333333331</v>
      </c>
      <c r="BV223" s="106">
        <f t="shared" si="191"/>
        <v>2.6833333333333331</v>
      </c>
      <c r="BW223" s="104">
        <f>('Renewable Diesel'!$Z232*'RD Feedstock Breakdown'!BW$3*'Feedstock Conversion Rates'!$B$4)/12</f>
        <v>53.90625</v>
      </c>
      <c r="BX223" s="104">
        <f>('Renewable Diesel'!$Z232*'RD Feedstock Breakdown'!BX$3*'Feedstock Conversion Rates'!$B$5)/12</f>
        <v>5.4265624999999993</v>
      </c>
      <c r="BY223" s="104">
        <f>('Renewable Diesel'!$Z232*'RD Feedstock Breakdown'!BY$3*'Feedstock Conversion Rates'!$B$7)/12</f>
        <v>46.287499999999994</v>
      </c>
      <c r="BZ223" s="104">
        <f>('Renewable Diesel'!$Z232*'RD Feedstock Breakdown'!BZ$3*'Feedstock Conversion Rates'!$B$3)/12</f>
        <v>11.514374999999999</v>
      </c>
      <c r="CA223" s="106">
        <f t="shared" si="127"/>
        <v>117.1346875</v>
      </c>
      <c r="CB223" s="104">
        <f>('Renewable Diesel'!AA232*'Feedstock Conversion Rates'!B$4)/12</f>
        <v>191.25</v>
      </c>
      <c r="CC223" s="106">
        <f t="shared" si="213"/>
        <v>191.25</v>
      </c>
      <c r="CD223" s="104">
        <f>('Renewable Diesel'!$AB232*'RD Feedstock Breakdown'!CD$3*'Feedstock Conversion Rates'!$B$6)/12-15</f>
        <v>17.830000000000005</v>
      </c>
      <c r="CE223" s="104">
        <f>('Renewable Diesel'!$AB232*'RD Feedstock Breakdown'!CE$3*'Feedstock Conversion Rates'!$B$4)/12+15</f>
        <v>26.25</v>
      </c>
      <c r="CF223" s="106">
        <f t="shared" si="205"/>
        <v>44.080000000000005</v>
      </c>
      <c r="CG223" s="104">
        <f>('Renewable Diesel'!AD232*'Feedstock Conversion Rates'!B$4)/12</f>
        <v>112.5</v>
      </c>
      <c r="CH223" s="106">
        <f t="shared" si="187"/>
        <v>112.5</v>
      </c>
      <c r="CI223" s="104">
        <f>('Renewable Diesel'!$AE232*'RD Feedstock Breakdown'!CI$3*'Feedstock Conversion Rates'!$B$5)/12</f>
        <v>0.34604166666666664</v>
      </c>
      <c r="CJ223" s="104">
        <f>('Renewable Diesel'!$AE232*'RD Feedstock Breakdown'!CJ$3*'Feedstock Conversion Rates'!$B$4)/12</f>
        <v>0.34375</v>
      </c>
      <c r="CK223" s="106">
        <f t="shared" si="200"/>
        <v>0.68979166666666658</v>
      </c>
      <c r="CL223" s="104">
        <f>(((CL$3*'Renewable Diesel'!$AF232)*'Feedstock Conversion Rates'!$B$3)/12)-35</f>
        <v>56.78125</v>
      </c>
      <c r="CM223" s="104">
        <f>(((CM$3*'Renewable Diesel'!$AF232)*'Feedstock Conversion Rates'!$B$6)/12)-32.5+35+30</f>
        <v>86.239583333333343</v>
      </c>
      <c r="CN223" s="104">
        <f>(((CN$3*'Renewable Diesel'!$AF232)*'Feedstock Conversion Rates'!$B$4)/12)</f>
        <v>42.96875</v>
      </c>
      <c r="CO223" s="106">
        <f t="shared" si="190"/>
        <v>185.98958333333334</v>
      </c>
      <c r="CP223" s="104">
        <f>('Renewable Diesel'!$AG232*'RD Feedstock Breakdown'!CP$3*'Feedstock Conversion Rates'!$B$3)/12</f>
        <v>6.0075000000000003</v>
      </c>
      <c r="CQ223" s="104">
        <f>('Renewable Diesel'!$AG232*'RD Feedstock Breakdown'!CQ$3*'Feedstock Conversion Rates'!$B$6)/12</f>
        <v>3.5175000000000001</v>
      </c>
      <c r="CR223" s="104">
        <f>('Renewable Diesel'!$AG232*'RD Feedstock Breakdown'!CR$3*'Feedstock Conversion Rates'!$B$4)/12</f>
        <v>2.8125</v>
      </c>
      <c r="CS223" s="106">
        <f t="shared" si="134"/>
        <v>12.3375</v>
      </c>
      <c r="CT223" s="104">
        <f>('Renewable Diesel'!AI232*'Feedstock Conversion Rates'!$B$4*'RD Feedstock Breakdown'!$CT$3)/12</f>
        <v>29.375</v>
      </c>
      <c r="CU223" s="106">
        <f t="shared" si="196"/>
        <v>29.375</v>
      </c>
      <c r="CV223" s="104">
        <f>('Renewable Diesel'!AN232*'Feedstock Conversion Rates'!$B$3*'RD Feedstock Breakdown'!$CV$3)/12</f>
        <v>0.50062499999999999</v>
      </c>
      <c r="CW223" s="106">
        <f t="shared" si="161"/>
        <v>0.50062499999999999</v>
      </c>
      <c r="CX223" s="104">
        <f>('Renewable Diesel'!AO232*'RD Feedstock Breakdown'!$CX$3*'Feedstock Conversion Rates'!$B$3)/12</f>
        <v>6.3412499999999996</v>
      </c>
      <c r="CY223" s="104">
        <f>('Renewable Diesel'!AO232*'RD Feedstock Breakdown'!$CY$3*'Feedstock Conversion Rates'!$B$6)/12</f>
        <v>7.4258333333333342</v>
      </c>
      <c r="CZ223" s="106">
        <f t="shared" si="135"/>
        <v>13.767083333333334</v>
      </c>
      <c r="DA223" s="104">
        <f>('Renewable Diesel'!$AP232*'RD Feedstock Breakdown'!DA$3*'Feedstock Conversion Rates'!$B$3)/12</f>
        <v>6.3412499999999996</v>
      </c>
      <c r="DB223" s="104">
        <f>('Renewable Diesel'!$AP232*'RD Feedstock Breakdown'!DB$3*'Feedstock Conversion Rates'!$B$8)/12</f>
        <v>7.421875</v>
      </c>
      <c r="DC223" s="106">
        <f t="shared" si="165"/>
        <v>13.763124999999999</v>
      </c>
      <c r="DD223" s="104">
        <f>('Renewable Diesel'!AQ232*$DD$3*'Feedstock Conversion Rates'!$B$14)/12</f>
        <v>3.1041666666666665</v>
      </c>
      <c r="DE223" s="106">
        <f t="shared" si="166"/>
        <v>3.1041666666666665</v>
      </c>
      <c r="DF223" s="104">
        <f>('Renewable Diesel'!AR232*'Feedstock Conversion Rates'!$B$4*$DF$3)/12</f>
        <v>75</v>
      </c>
      <c r="DG223" s="106">
        <f t="shared" si="136"/>
        <v>75</v>
      </c>
      <c r="DH223" s="104">
        <f>('Renewable Diesel'!AS232*'Feedstock Conversion Rates'!$B$4*$DH$3)/12</f>
        <v>75</v>
      </c>
      <c r="DI223" s="106">
        <f t="shared" si="142"/>
        <v>75</v>
      </c>
      <c r="DJ223" s="104">
        <f>('Renewable Diesel'!AT232*'Feedstock Conversion Rates'!$B$4*0.25)/12</f>
        <v>8.59375</v>
      </c>
      <c r="DK223" s="104">
        <f>('Renewable Diesel'!$AT232*'RD Feedstock Breakdown'!DK$3*'Feedstock Conversion Rates'!$B$3)/12*0.5</f>
        <v>9.1781249999999996</v>
      </c>
      <c r="DL223" s="104">
        <f>('Renewable Diesel'!$AT232*'RD Feedstock Breakdown'!$DL$3*'Feedstock Conversion Rates'!$B$6)/12</f>
        <v>10.747916666666669</v>
      </c>
      <c r="DM223" s="104">
        <f>('Renewable Diesel'!$AT232*'RD Feedstock Breakdown'!$DM$3*'Feedstock Conversion Rates'!$B$8)/12</f>
        <v>10.7421875</v>
      </c>
      <c r="DN223" s="106">
        <f t="shared" si="210"/>
        <v>39.26197916666667</v>
      </c>
      <c r="DP223" s="104">
        <f t="shared" si="168"/>
        <v>8.470249999999993</v>
      </c>
      <c r="DQ223" s="104">
        <f t="shared" si="169"/>
        <v>867.27964250000002</v>
      </c>
      <c r="DR223" s="104">
        <f t="shared" si="174"/>
        <v>1703.234375</v>
      </c>
      <c r="DS223" s="104">
        <f t="shared" si="197"/>
        <v>83.592395833333327</v>
      </c>
      <c r="DT223" s="104">
        <f t="shared" si="170"/>
        <v>269.53923333333341</v>
      </c>
      <c r="DU223" s="104">
        <f t="shared" si="171"/>
        <v>251.72693333333333</v>
      </c>
      <c r="DV223" s="104">
        <f t="shared" si="175"/>
        <v>30.75</v>
      </c>
      <c r="DW223" s="104">
        <f t="shared" si="172"/>
        <v>2.5</v>
      </c>
      <c r="DX223" s="106">
        <f t="shared" si="176"/>
        <v>3217.09283</v>
      </c>
      <c r="DY223" s="109">
        <f t="shared" si="163"/>
        <v>-125.00000000000014</v>
      </c>
      <c r="EA223" s="110">
        <f t="shared" si="150"/>
        <v>2.6328895209405544E-3</v>
      </c>
      <c r="EB223" s="110">
        <f t="shared" si="151"/>
        <v>0.2695848980211118</v>
      </c>
      <c r="EC223" s="110">
        <f t="shared" si="152"/>
        <v>0.52943277207204498</v>
      </c>
      <c r="ED223" s="110">
        <f t="shared" si="146"/>
        <v>2.5983830821982631E-2</v>
      </c>
      <c r="EE223" s="110">
        <f t="shared" si="146"/>
        <v>8.3783480171858576E-2</v>
      </c>
      <c r="EF223" s="110">
        <f t="shared" si="146"/>
        <v>7.8246711125626214E-2</v>
      </c>
      <c r="EG223" s="110">
        <f t="shared" si="146"/>
        <v>9.5583191486581995E-3</v>
      </c>
      <c r="EH223" s="111">
        <f t="shared" si="177"/>
        <v>7.7709911777708947E-4</v>
      </c>
      <c r="EI223" s="110">
        <f t="shared" si="178"/>
        <v>0.99922290088222288</v>
      </c>
      <c r="EK223" s="132">
        <f>(EA223*'Renewable Diesel'!BF232*'Feedstock Conversion Rates'!B$2)+FB223</f>
        <v>7.9592747099919618</v>
      </c>
      <c r="EL223" s="132">
        <f>(EB223*'Renewable Diesel'!BF232*'Feedstock Conversion Rates'!B$3)+FC223</f>
        <v>767.98017378582006</v>
      </c>
      <c r="EM223" s="132">
        <f>(EC223*'Renewable Diesel'!BF232*'Feedstock Conversion Rates'!B$4)+FD223</f>
        <v>1412.1928777843364</v>
      </c>
      <c r="EN223" s="132">
        <f>(ED223*'Renewable Diesel'!BF232*'Feedstock Conversion Rates'!B$5)+FE223</f>
        <v>69.770536780244413</v>
      </c>
      <c r="EO223" s="132">
        <f>(EE223*'Renewable Diesel'!BF232*'Feedstock Conversion Rates'!B$6)+FF223</f>
        <v>279.50087193355932</v>
      </c>
      <c r="EP223" s="132">
        <f>(EF223*'Renewable Diesel'!BF232*'Feedstock Conversion Rates'!B$7)+FG223</f>
        <v>256.02115489466104</v>
      </c>
      <c r="EQ223" s="132">
        <f>(EG223*'Renewable Diesel'!BF232*'Feedstock Conversion Rates'!B$8)+FH223</f>
        <v>31.869462322139562</v>
      </c>
      <c r="ER223" s="132">
        <f>(EH223*'Renewable Diesel'!BF232*'Feedstock Conversion Rates'!B$9)+FI223</f>
        <v>2.55646635429629</v>
      </c>
      <c r="ES223" s="132">
        <f t="shared" si="179"/>
        <v>2827.8508185650489</v>
      </c>
      <c r="ET223" s="133">
        <f>ES223/'Renewable Diesel'!BF232</f>
        <v>7.9512345025493092</v>
      </c>
      <c r="EW223" s="73">
        <f t="shared" si="124"/>
        <v>1481.9634145645807</v>
      </c>
      <c r="EX223" s="73">
        <f t="shared" si="125"/>
        <v>1345.8874040004682</v>
      </c>
      <c r="EY223" s="92">
        <f t="shared" si="164"/>
        <v>0.52405996979592473</v>
      </c>
      <c r="EZ223" s="92">
        <f t="shared" si="164"/>
        <v>0.47594003020407522</v>
      </c>
      <c r="FB223" s="102">
        <f>IF('Renewable Diesel'!$BG232&lt;1,0,(((('Renewable Diesel'!$BG232-1)*'Renewable Diesel'!$BF232)*'RD Feedstock Breakdown'!EA223)*'Feedstock Conversion Rates'!$B$2))</f>
        <v>0</v>
      </c>
      <c r="FC223" s="102">
        <f>IF('Renewable Diesel'!$BG232&lt;1,0,(((('Renewable Diesel'!$BG232-1)*'Renewable Diesel'!$BF232)*'RD Feedstock Breakdown'!EB223)*'Feedstock Conversion Rates'!$B$3))</f>
        <v>0</v>
      </c>
      <c r="FD223" s="102">
        <f>IF('Renewable Diesel'!$BG232&lt;1,0,(((('Renewable Diesel'!$BG232-1)*'Renewable Diesel'!$BF232)*'RD Feedstock Breakdown'!EC223)*'Feedstock Conversion Rates'!$B$4))</f>
        <v>0</v>
      </c>
      <c r="FE223" s="102">
        <f>IF('Renewable Diesel'!$BG232&lt;1,0,(((('Renewable Diesel'!$BG232-1)*'Renewable Diesel'!$BF232)*'RD Feedstock Breakdown'!ED223)*'Feedstock Conversion Rates'!$B$5))</f>
        <v>0</v>
      </c>
      <c r="FF223" s="102">
        <f>IF('Renewable Diesel'!$BG232&lt;1,0,(((('Renewable Diesel'!$BG232-1)*'Renewable Diesel'!$BF232)*'RD Feedstock Breakdown'!EE223)*'Feedstock Conversion Rates'!$B$6))</f>
        <v>0</v>
      </c>
      <c r="FG223" s="102">
        <f>IF('Renewable Diesel'!$BG232&lt;1,0,(((('Renewable Diesel'!$BG232-1)*'Renewable Diesel'!$BF232)*'RD Feedstock Breakdown'!EF223)*'Feedstock Conversion Rates'!$B$7))</f>
        <v>0</v>
      </c>
      <c r="FH223" s="102">
        <f>IF('Renewable Diesel'!$BG232&lt;1,0,(((('Renewable Diesel'!$BG232-1)*'Renewable Diesel'!$BF232)*'RD Feedstock Breakdown'!EG223)*'Feedstock Conversion Rates'!$B$8))</f>
        <v>0</v>
      </c>
      <c r="FI223" s="102">
        <f>IF('Renewable Diesel'!$BG232&lt;1,0,(((('Renewable Diesel'!$BG232-1)*'Renewable Diesel'!$BF232)*'RD Feedstock Breakdown'!EH223)*'Feedstock Conversion Rates'!$B$9))</f>
        <v>0</v>
      </c>
      <c r="FJ223" s="102">
        <f t="shared" si="126"/>
        <v>0</v>
      </c>
      <c r="FL223" s="3">
        <f>('Renewable Diesel'!AX232/12*$FO$80)*'RD Feedstock Breakdown'!EC223*7.5</f>
        <v>1599.4992937480251</v>
      </c>
      <c r="FM223" s="3">
        <f t="shared" si="193"/>
        <v>187.30641596368878</v>
      </c>
      <c r="FR223" s="3">
        <f>('Renewable Diesel'!AX232-'Renewable Diesel'!BI232)/12*$FO$80</f>
        <v>54.415874999999872</v>
      </c>
      <c r="FS223" s="100">
        <f t="shared" si="194"/>
        <v>0.52943277207204498</v>
      </c>
      <c r="FT223" s="3">
        <f t="shared" si="195"/>
        <v>216.07160659481866</v>
      </c>
      <c r="FY223" s="3">
        <f>'Renewable Diesel'!BF232*('Renewable Diesel'!BI232/'Renewable Diesel'!AX232)</f>
        <v>307.60567479310231</v>
      </c>
      <c r="FZ223" s="3">
        <f>('Renewable Diesel'!BJ232*'Renewable Diesel'!BG232)/12</f>
        <v>47.139557961941939</v>
      </c>
      <c r="GA223" s="3">
        <f t="shared" si="202"/>
        <v>187.1792013453132</v>
      </c>
      <c r="GD223" s="91">
        <f>'Renewable Diesel'!BB232*0.32</f>
        <v>0</v>
      </c>
      <c r="GE223" s="91">
        <f>'Renewable Diesel'!BC232</f>
        <v>142.95585488060638</v>
      </c>
      <c r="GF223" s="91">
        <f>'Renewable Diesel'!BD232</f>
        <v>0</v>
      </c>
      <c r="GG223" s="91">
        <f t="shared" si="206"/>
        <v>142.95585488060638</v>
      </c>
      <c r="GH223" s="124">
        <v>1</v>
      </c>
      <c r="GI223" s="102">
        <f>$GG223*EA223*'Feedstock Conversion Rates'!$B$2</f>
        <v>3.1992892643141007</v>
      </c>
      <c r="GJ223" s="102">
        <f>$GG223*EB223*'Feedstock Conversion Rates'!$B$3</f>
        <v>308.6953038716681</v>
      </c>
      <c r="GK223" s="102">
        <f>$GG223*EC223*'Feedstock Conversion Rates'!$B$4</f>
        <v>567.64135900026315</v>
      </c>
      <c r="GL223" s="102">
        <f>$GG223*ED223*'Feedstock Conversion Rates'!$B$5</f>
        <v>28.0447826491333</v>
      </c>
      <c r="GM223" s="102">
        <f>$GG223*EE223*'Feedstock Conversion Rates'!$B$6</f>
        <v>112.34744012804273</v>
      </c>
      <c r="GN223" s="102">
        <f>$GG223*EF223*'Feedstock Conversion Rates'!$B$7</f>
        <v>102.90959442114969</v>
      </c>
      <c r="GO223" s="102">
        <f>$GG223*EG223*'Feedstock Conversion Rates'!$B$8</f>
        <v>12.810165797982213</v>
      </c>
      <c r="GP223" s="102">
        <f>$GG223*EH223*'Feedstock Conversion Rates'!B$9</f>
        <v>1.0275905355562969</v>
      </c>
      <c r="GQ223" s="102">
        <f t="shared" si="180"/>
        <v>1136.6755256681095</v>
      </c>
      <c r="GR223" s="85">
        <f t="shared" si="204"/>
        <v>7.9512345025493092</v>
      </c>
      <c r="GT223" s="103">
        <f t="shared" si="159"/>
        <v>2.814602049633855E-3</v>
      </c>
      <c r="GU223" s="103">
        <f t="shared" si="159"/>
        <v>0.27157732959036368</v>
      </c>
      <c r="GV223" s="103">
        <f t="shared" si="159"/>
        <v>0.49938733278049396</v>
      </c>
      <c r="GW223" s="103">
        <f t="shared" si="159"/>
        <v>2.4672637015430834E-2</v>
      </c>
      <c r="GX223" s="103">
        <f t="shared" si="158"/>
        <v>9.8838619809296702E-2</v>
      </c>
      <c r="GY223" s="103">
        <f t="shared" si="158"/>
        <v>9.0535594457056681E-2</v>
      </c>
      <c r="GZ223" s="103">
        <f t="shared" si="158"/>
        <v>1.1269852749273121E-2</v>
      </c>
      <c r="HA223" s="103">
        <f t="shared" si="158"/>
        <v>9.0403154845117707E-4</v>
      </c>
    </row>
    <row r="224" spans="1:209" x14ac:dyDescent="0.25">
      <c r="A224" s="96">
        <v>47239</v>
      </c>
      <c r="B224" s="104">
        <f>23-20+10+85-5-4-4-1.25+2.25-5+15-6-25-45+65+15-22.5-50+40+16.5+27.5+168+80+14-30+15-50-19+22.5-10+5+11-25-50-12.5-27.5-10+10+2+4-1.5+12-26-15-50-15+10-32.5-3-5-2.5-1+5+10-50-35-9-0.5+25+15+25+20+15+85-25+12.5-52.5+10+20-150+20-20+55-25-25+20-10+5</f>
        <v>20</v>
      </c>
      <c r="C224" s="104">
        <f t="shared" si="212"/>
        <v>30</v>
      </c>
      <c r="D224" s="104">
        <f t="shared" si="192"/>
        <v>1.5</v>
      </c>
      <c r="E224" s="104">
        <f>('Renewable Diesel'!B233*E$3*'Feedstock Conversion Rates'!$B$2)/12-40+1.25+6-43+30-15+12.5-4+1.5+26+2.5+3-10+50+9-15-25-55+15+45+10-50+60-60-44</f>
        <v>0.67999999999999261</v>
      </c>
      <c r="F224" s="104">
        <f>('Renewable Diesel'!B233*'RD Feedstock Breakdown'!F$3*'Feedstock Conversion Rates'!B$8)/12+28.5-49-5+2-6+1+6+20-20-3.75+10+2.5+5-20-20-5</f>
        <v>0.15625</v>
      </c>
      <c r="G224" s="104">
        <f>('Renewable Diesel'!B233*'RD Feedstock Breakdown'!G$3*'Feedstock Conversion Rates'!B$7)/12-25-15-25+4+4-20-40-20+10-17.5+20+50-12+32.5+35-75-75+22.5+5-20+15+125-10-45-10-40-40</f>
        <v>9.6570000000000107</v>
      </c>
      <c r="H224" s="104">
        <f>('Renewable Diesel'!B233*'RD Feedstock Breakdown'!H$3*'Feedstock Conversion Rates'!B$3)/12-85+4-15+70-65-80+50-22.5-5+25+27.5+15+50+15-10+5+50+75-5-25-85-12.5+30+22.5-25-30+150+90-120+25+10+70+15+44</f>
        <v>434.40022499999998</v>
      </c>
      <c r="I224" s="106">
        <f t="shared" si="203"/>
        <v>496.39347499999997</v>
      </c>
      <c r="J224" s="104">
        <f>2+10+12+15-6-20-5-5+7+105+30+87+5-10-5-25-27.5+1-1-15-17.5-6-10-77.5-7.5-1+17.5+15+90+2+2.5+2.5+7.5+27.5-32-11-25+5-50-30-20-15-5+10-10-15+30</f>
        <v>31.5</v>
      </c>
      <c r="K224" s="104">
        <f t="shared" si="215"/>
        <v>0</v>
      </c>
      <c r="L224" s="104">
        <v>1</v>
      </c>
      <c r="M224" s="104">
        <f>('Renewable Diesel'!C233*'RD Feedstock Breakdown'!M$3*'Feedstock Conversion Rates'!B$2)/12</f>
        <v>7.7902500000000003</v>
      </c>
      <c r="N224" s="104">
        <f>('Renewable Diesel'!C233*'RD Feedstock Breakdown'!N$3*'Feedstock Conversion Rates'!B$8)/12</f>
        <v>3.671875</v>
      </c>
      <c r="O224" s="104">
        <f>('Renewable Diesel'!C233*'RD Feedstock Breakdown'!O$3*'Feedstock Conversion Rates'!B$7)/12</f>
        <v>11.9991</v>
      </c>
      <c r="P224" s="104">
        <f>('Renewable Diesel'!C233*'RD Feedstock Breakdown'!P$3*'Feedstock Conversion Rates'!B$3)/12</f>
        <v>10.4470425</v>
      </c>
      <c r="Q224" s="106">
        <f t="shared" si="119"/>
        <v>66.408267499999994</v>
      </c>
      <c r="R224" s="104">
        <f>('Renewable Diesel'!D233*'RD Feedstock Breakdown'!R$3*'Feedstock Conversion Rates'!B$7)/12</f>
        <v>2.2999999999999998</v>
      </c>
      <c r="S224" s="106">
        <f t="shared" si="148"/>
        <v>2.2999999999999998</v>
      </c>
      <c r="T224" s="104">
        <f t="shared" si="207"/>
        <v>5.8250000000000028</v>
      </c>
      <c r="U224" s="104">
        <v>30</v>
      </c>
      <c r="V224" s="104">
        <f>('Renewable Diesel'!E233*'RD Feedstock Breakdown'!V$3*'Feedstock Conversion Rates'!B$6)/12-20+25-35</f>
        <v>14.250150000000012</v>
      </c>
      <c r="W224" s="104">
        <f>('Renewable Diesel'!E233*'RD Feedstock Breakdown'!W$3*'Feedstock Conversion Rates'!B$8)/12-6</f>
        <v>16.1796875</v>
      </c>
      <c r="X224" s="106">
        <f t="shared" si="185"/>
        <v>66.254837500000008</v>
      </c>
      <c r="Y224" s="104">
        <f t="shared" si="208"/>
        <v>126</v>
      </c>
      <c r="Z224" s="104">
        <f>('Renewable Diesel'!F233*'RD Feedstock Breakdown'!Z$3*'Feedstock Conversion Rates'!B$6)/12-50-32-60+15+30+22.5-70+75-30+3+5</f>
        <v>67.960000000000008</v>
      </c>
      <c r="AA224" s="104">
        <f>('Renewable Diesel'!F233*'RD Feedstock Breakdown'!AA$3*'Feedstock Conversion Rates'!B$7)/12+80-171+75+30-50-1+2.5</f>
        <v>69.766666666666652</v>
      </c>
      <c r="AB224" s="106">
        <f t="shared" si="137"/>
        <v>263.72666666666669</v>
      </c>
      <c r="AC224" s="104">
        <f>('Renewable Diesel'!G233*'RD Feedstock Breakdown'!AC$3*'Feedstock Conversion Rates'!B$5)/12+2</f>
        <v>13.796875</v>
      </c>
      <c r="AD224" s="104">
        <f>('Renewable Diesel'!G233*'RD Feedstock Breakdown'!AD$3*'Feedstock Conversion Rates'!B$4)/12</f>
        <v>5.859375</v>
      </c>
      <c r="AE224" s="104">
        <f>('Renewable Diesel'!G233*'RD Feedstock Breakdown'!AE$3*'Feedstock Conversion Rates'!B$6)/12-2</f>
        <v>5.3281250000000009</v>
      </c>
      <c r="AF224" s="106">
        <f t="shared" si="198"/>
        <v>24.984375</v>
      </c>
      <c r="AG224" s="104">
        <f t="shared" si="211"/>
        <v>16.5</v>
      </c>
      <c r="AH224" s="104">
        <v>125</v>
      </c>
      <c r="AI224" s="104">
        <f>('Renewable Diesel'!H233*'RD Feedstock Breakdown'!AI$3*'Feedstock Conversion Rates'!B$6)/12-130-20+51-120+2.5+100-45+20</f>
        <v>7.0166666666666799</v>
      </c>
      <c r="AJ224" s="106">
        <f t="shared" si="145"/>
        <v>23.51666666666668</v>
      </c>
      <c r="AK224" s="104">
        <f>('Renewable Diesel'!J233*'RD Feedstock Breakdown'!AK$3*'Feedstock Conversion Rates'!B$4)/12</f>
        <v>95.8125</v>
      </c>
      <c r="AL224" s="106">
        <f t="shared" si="157"/>
        <v>95.8125</v>
      </c>
      <c r="AM224" s="104">
        <f>('Renewable Diesel'!K233*'RD Feedstock Breakdown'!AM$3*'Feedstock Conversion Rates'!B$4)/12+5+15-10+9-27</f>
        <v>50.59375</v>
      </c>
      <c r="AN224" s="104">
        <f>('Renewable Diesel'!K233*'RD Feedstock Breakdown'!AN$3*'Feedstock Conversion Rates'!B$6)/12-5-15+10-9+27</f>
        <v>32.427083333333329</v>
      </c>
      <c r="AO224" s="106">
        <f t="shared" si="173"/>
        <v>83.020833333333329</v>
      </c>
      <c r="AP224" s="104">
        <f>('Renewable Diesel'!L233*'RD Feedstock Breakdown'!AP$3*'Feedstock Conversion Rates'!B$4)/12+15-10+5+9</f>
        <v>77.59375</v>
      </c>
      <c r="AQ224" s="104">
        <f>('Renewable Diesel'!L233*'RD Feedstock Breakdown'!AQ$3*'Feedstock Conversion Rates'!B$6)/12-15+10-5-9</f>
        <v>5.4270833333333321</v>
      </c>
      <c r="AR224" s="106">
        <f t="shared" si="162"/>
        <v>83.020833333333329</v>
      </c>
      <c r="AS224" s="104">
        <f>('Renewable Diesel'!M233*'RD Feedstock Breakdown'!AS$3*'Feedstock Conversion Rates'!B$4)/12</f>
        <v>456.25</v>
      </c>
      <c r="AT224" s="104">
        <f>('Renewable Diesel'!M233*'RD Feedstock Breakdown'!AT$3*'Feedstock Conversion Rates'!B$5)/12</f>
        <v>0</v>
      </c>
      <c r="AU224" s="106">
        <f t="shared" si="201"/>
        <v>456.25</v>
      </c>
      <c r="AV224" s="104">
        <f>'Renewable Diesel'!N233*'RD Feedstock Breakdown'!$AV$3*'Feedstock Conversion Rates'!$B$4/12-15-10+25+25-22-10-30</f>
        <v>41.749999999999986</v>
      </c>
      <c r="AW224" s="104">
        <f>'Renewable Diesel'!N233*'RD Feedstock Breakdown'!$AW$3*'Feedstock Conversion Rates'!$B$7/12+15+10-25-25+22+10+30</f>
        <v>78.400000000000006</v>
      </c>
      <c r="AX224" s="106">
        <f t="shared" si="141"/>
        <v>120.14999999999999</v>
      </c>
      <c r="AY224" s="104">
        <f>('Renewable Diesel'!O233*'RD Feedstock Breakdown'!AY$3*'Feedstock Conversion Rates'!B$4)/12+32+2-135-247+50</f>
        <v>-87.0625</v>
      </c>
      <c r="AZ224" s="104">
        <f>('Renewable Diesel'!O233*'RD Feedstock Breakdown'!AZ$3*'Feedstock Conversion Rates'!B$3)/12-32-2+135+247-50</f>
        <v>323.03125</v>
      </c>
      <c r="BA224" s="106">
        <f t="shared" si="120"/>
        <v>235.96875</v>
      </c>
      <c r="BB224" s="104">
        <f>('Renewable Diesel'!Q233*'RD Feedstock Breakdown'!BB$3*'Feedstock Conversion Rates'!B$4)/12</f>
        <v>11.156249999999998</v>
      </c>
      <c r="BC224" s="104">
        <f>('Renewable Diesel'!Q233*'RD Feedstock Breakdown'!BC$3*'Feedstock Conversion Rates'!B$3)/12</f>
        <v>1.4017500000000001</v>
      </c>
      <c r="BD224" s="104">
        <f>('Renewable Diesel'!Q233*'RD Feedstock Breakdown'!BD$3*'Feedstock Conversion Rates'!B$6)/12</f>
        <v>0.8207500000000002</v>
      </c>
      <c r="BE224" s="106">
        <f t="shared" si="189"/>
        <v>13.378749999999998</v>
      </c>
      <c r="BF224" s="104">
        <f>('Renewable Diesel'!R233*'RD Feedstock Breakdown'!BF$3*'Feedstock Conversion Rates'!B$4)/12</f>
        <v>62.5</v>
      </c>
      <c r="BG224" s="106">
        <f t="shared" si="167"/>
        <v>62.5</v>
      </c>
      <c r="BH224" s="104">
        <f>('Renewable Diesel'!T233*'RD Feedstock Breakdown'!BH$3*'Feedstock Conversion Rates'!B$7)/12</f>
        <v>27.599999999999998</v>
      </c>
      <c r="BI224" s="106">
        <f t="shared" si="144"/>
        <v>27.599999999999998</v>
      </c>
      <c r="BJ224" s="104">
        <f>('Renewable Diesel'!W233*'RD Feedstock Breakdown'!BJ$3*'Feedstock Conversion Rates'!B$4)/12</f>
        <v>7.5</v>
      </c>
      <c r="BK224" s="104">
        <f>('Renewable Diesel'!W233*'RD Feedstock Breakdown'!BK$3*'Feedstock Conversion Rates'!B$3)/12</f>
        <v>1.335</v>
      </c>
      <c r="BL224" s="104">
        <f>('Renewable Diesel'!W233*'RD Feedstock Breakdown'!BL$3*'Feedstock Conversion Rates'!B$6)/12</f>
        <v>3.1266666666666669</v>
      </c>
      <c r="BM224" s="104">
        <f>('Renewable Diesel'!W233*'RD Feedstock Breakdown'!BM$3*'Feedstock Conversion Rates'!B$7)/12</f>
        <v>1.5333333333333332</v>
      </c>
      <c r="BN224" s="106">
        <f t="shared" si="209"/>
        <v>13.495000000000001</v>
      </c>
      <c r="BO224" s="104">
        <f>('Renewable Diesel'!P233*'Feedstock Conversion Rates'!B$4)/12</f>
        <v>31.25</v>
      </c>
      <c r="BP224" s="106">
        <f t="shared" si="199"/>
        <v>31.25</v>
      </c>
      <c r="BQ224" s="104">
        <f>('Renewable Diesel'!$S233*'RD Feedstock Breakdown'!BQ$3*'Feedstock Conversion Rates'!B$4)/12+10</f>
        <v>38.125</v>
      </c>
      <c r="BR224" s="104">
        <f>('Renewable Diesel'!$S233*'RD Feedstock Breakdown'!BR$3*'Feedstock Conversion Rates'!B$7)/12-10</f>
        <v>1.5</v>
      </c>
      <c r="BS224" s="106">
        <f t="shared" si="123"/>
        <v>39.625</v>
      </c>
      <c r="BT224" s="106"/>
      <c r="BU224" s="104">
        <f>('Renewable Diesel'!Y233*'Feedstock Conversion Rates'!B$7)/12</f>
        <v>2.6833333333333331</v>
      </c>
      <c r="BV224" s="106">
        <f t="shared" si="191"/>
        <v>2.6833333333333331</v>
      </c>
      <c r="BW224" s="104">
        <f>('Renewable Diesel'!$Z233*'RD Feedstock Breakdown'!BW$3*'Feedstock Conversion Rates'!$B$4)/12</f>
        <v>53.90625</v>
      </c>
      <c r="BX224" s="104">
        <f>('Renewable Diesel'!$Z233*'RD Feedstock Breakdown'!BX$3*'Feedstock Conversion Rates'!$B$5)/12</f>
        <v>5.4265624999999993</v>
      </c>
      <c r="BY224" s="104">
        <f>('Renewable Diesel'!$Z233*'RD Feedstock Breakdown'!BY$3*'Feedstock Conversion Rates'!$B$7)/12</f>
        <v>46.287499999999994</v>
      </c>
      <c r="BZ224" s="104">
        <f>('Renewable Diesel'!$Z233*'RD Feedstock Breakdown'!BZ$3*'Feedstock Conversion Rates'!$B$3)/12</f>
        <v>11.514374999999999</v>
      </c>
      <c r="CA224" s="106">
        <f t="shared" si="127"/>
        <v>117.1346875</v>
      </c>
      <c r="CB224" s="104">
        <f>('Renewable Diesel'!AA233*'Feedstock Conversion Rates'!B$4)/12</f>
        <v>191.25</v>
      </c>
      <c r="CC224" s="106">
        <f t="shared" si="213"/>
        <v>191.25</v>
      </c>
      <c r="CD224" s="104">
        <f>('Renewable Diesel'!$AB233*'RD Feedstock Breakdown'!CD$3*'Feedstock Conversion Rates'!$B$6)/12-15</f>
        <v>17.830000000000005</v>
      </c>
      <c r="CE224" s="104">
        <f>('Renewable Diesel'!$AB233*'RD Feedstock Breakdown'!CE$3*'Feedstock Conversion Rates'!$B$4)/12+15</f>
        <v>26.25</v>
      </c>
      <c r="CF224" s="106">
        <f t="shared" si="205"/>
        <v>44.080000000000005</v>
      </c>
      <c r="CG224" s="104">
        <f>('Renewable Diesel'!AD233*'Feedstock Conversion Rates'!B$4)/12</f>
        <v>112.5</v>
      </c>
      <c r="CH224" s="106">
        <f t="shared" si="187"/>
        <v>112.5</v>
      </c>
      <c r="CI224" s="104">
        <f>('Renewable Diesel'!$AE233*'RD Feedstock Breakdown'!CI$3*'Feedstock Conversion Rates'!$B$5)/12</f>
        <v>0.34604166666666664</v>
      </c>
      <c r="CJ224" s="104">
        <f>('Renewable Diesel'!$AE233*'RD Feedstock Breakdown'!CJ$3*'Feedstock Conversion Rates'!$B$4)/12</f>
        <v>0.34375</v>
      </c>
      <c r="CK224" s="106">
        <f t="shared" si="200"/>
        <v>0.68979166666666658</v>
      </c>
      <c r="CL224" s="104">
        <f>(((CL$3*'Renewable Diesel'!$AF233)*'Feedstock Conversion Rates'!$B$3)/12)-35</f>
        <v>56.78125</v>
      </c>
      <c r="CM224" s="104">
        <f>(((CM$3*'Renewable Diesel'!$AF233)*'Feedstock Conversion Rates'!$B$6)/12)-32.5+35+30</f>
        <v>86.239583333333343</v>
      </c>
      <c r="CN224" s="104">
        <f>(((CN$3*'Renewable Diesel'!$AF233)*'Feedstock Conversion Rates'!$B$4)/12)</f>
        <v>42.96875</v>
      </c>
      <c r="CO224" s="106">
        <f t="shared" si="190"/>
        <v>185.98958333333334</v>
      </c>
      <c r="CP224" s="104">
        <f>('Renewable Diesel'!$AG233*'RD Feedstock Breakdown'!CP$3*'Feedstock Conversion Rates'!$B$3)/12</f>
        <v>6.0075000000000003</v>
      </c>
      <c r="CQ224" s="104">
        <f>('Renewable Diesel'!$AG233*'RD Feedstock Breakdown'!CQ$3*'Feedstock Conversion Rates'!$B$6)/12</f>
        <v>3.5175000000000001</v>
      </c>
      <c r="CR224" s="104">
        <f>('Renewable Diesel'!$AG233*'RD Feedstock Breakdown'!CR$3*'Feedstock Conversion Rates'!$B$4)/12</f>
        <v>2.8125</v>
      </c>
      <c r="CS224" s="106">
        <f t="shared" si="134"/>
        <v>12.3375</v>
      </c>
      <c r="CT224" s="104">
        <f>('Renewable Diesel'!AI233*'Feedstock Conversion Rates'!$B$4*'RD Feedstock Breakdown'!$CT$3)/12</f>
        <v>29.375</v>
      </c>
      <c r="CU224" s="106">
        <f t="shared" si="196"/>
        <v>29.375</v>
      </c>
      <c r="CV224" s="104">
        <f>('Renewable Diesel'!AN233*'Feedstock Conversion Rates'!$B$3*'RD Feedstock Breakdown'!$CV$3)/12</f>
        <v>0.50062499999999999</v>
      </c>
      <c r="CW224" s="106">
        <f t="shared" si="161"/>
        <v>0.50062499999999999</v>
      </c>
      <c r="CX224" s="104">
        <f>('Renewable Diesel'!AO233*'RD Feedstock Breakdown'!$CX$3*'Feedstock Conversion Rates'!$B$3)/12</f>
        <v>6.3412499999999996</v>
      </c>
      <c r="CY224" s="104">
        <f>('Renewable Diesel'!AO233*'RD Feedstock Breakdown'!$CY$3*'Feedstock Conversion Rates'!$B$6)/12</f>
        <v>7.4258333333333342</v>
      </c>
      <c r="CZ224" s="106">
        <f t="shared" si="135"/>
        <v>13.767083333333334</v>
      </c>
      <c r="DA224" s="104">
        <f>('Renewable Diesel'!$AP233*'RD Feedstock Breakdown'!DA$3*'Feedstock Conversion Rates'!$B$3)/12</f>
        <v>6.3412499999999996</v>
      </c>
      <c r="DB224" s="104">
        <f>('Renewable Diesel'!$AP233*'RD Feedstock Breakdown'!DB$3*'Feedstock Conversion Rates'!$B$8)/12</f>
        <v>7.421875</v>
      </c>
      <c r="DC224" s="106">
        <f t="shared" si="165"/>
        <v>13.763124999999999</v>
      </c>
      <c r="DD224" s="104">
        <f>('Renewable Diesel'!AQ233*$DD$3*'Feedstock Conversion Rates'!$B$14)/12</f>
        <v>3.1041666666666665</v>
      </c>
      <c r="DE224" s="106">
        <f t="shared" si="166"/>
        <v>3.1041666666666665</v>
      </c>
      <c r="DF224" s="104">
        <f>('Renewable Diesel'!AR233*'Feedstock Conversion Rates'!$B$4*$DF$3)/12</f>
        <v>75</v>
      </c>
      <c r="DG224" s="106">
        <f t="shared" si="136"/>
        <v>75</v>
      </c>
      <c r="DH224" s="104">
        <f>('Renewable Diesel'!AS233*'Feedstock Conversion Rates'!$B$4*$DH$3)/12</f>
        <v>75</v>
      </c>
      <c r="DI224" s="106">
        <f t="shared" si="142"/>
        <v>75</v>
      </c>
      <c r="DJ224" s="104">
        <f>('Renewable Diesel'!AT233*'Feedstock Conversion Rates'!$B$4*0.25)/12</f>
        <v>8.59375</v>
      </c>
      <c r="DK224" s="104">
        <f>('Renewable Diesel'!$AT233*'RD Feedstock Breakdown'!DK$3*'Feedstock Conversion Rates'!$B$3)/12*0.5</f>
        <v>9.1781249999999996</v>
      </c>
      <c r="DL224" s="104">
        <f>('Renewable Diesel'!$AT233*'RD Feedstock Breakdown'!$DL$3*'Feedstock Conversion Rates'!$B$6)/12</f>
        <v>10.747916666666669</v>
      </c>
      <c r="DM224" s="104">
        <f>('Renewable Diesel'!$AT233*'RD Feedstock Breakdown'!$DM$3*'Feedstock Conversion Rates'!$B$8)/12</f>
        <v>10.7421875</v>
      </c>
      <c r="DN224" s="106">
        <f t="shared" si="210"/>
        <v>39.26197916666667</v>
      </c>
      <c r="DP224" s="104">
        <f t="shared" si="168"/>
        <v>8.470249999999993</v>
      </c>
      <c r="DQ224" s="104">
        <f t="shared" si="169"/>
        <v>867.27964250000002</v>
      </c>
      <c r="DR224" s="104">
        <f t="shared" si="174"/>
        <v>1733.234375</v>
      </c>
      <c r="DS224" s="104">
        <f t="shared" si="197"/>
        <v>83.592395833333327</v>
      </c>
      <c r="DT224" s="104">
        <f t="shared" si="170"/>
        <v>269.53923333333341</v>
      </c>
      <c r="DU224" s="104">
        <f t="shared" si="171"/>
        <v>251.72693333333333</v>
      </c>
      <c r="DV224" s="104">
        <f t="shared" si="175"/>
        <v>30.75</v>
      </c>
      <c r="DW224" s="104">
        <f t="shared" si="172"/>
        <v>2.5</v>
      </c>
      <c r="DX224" s="106">
        <f t="shared" si="176"/>
        <v>3247.09283</v>
      </c>
      <c r="DY224" s="109">
        <f t="shared" si="163"/>
        <v>-125.00000000000014</v>
      </c>
      <c r="EA224" s="110">
        <f t="shared" si="150"/>
        <v>2.6085641659958311E-3</v>
      </c>
      <c r="EB224" s="110">
        <f t="shared" si="151"/>
        <v>0.26709419407020774</v>
      </c>
      <c r="EC224" s="110">
        <f t="shared" si="152"/>
        <v>0.53378035853690087</v>
      </c>
      <c r="ED224" s="110">
        <f t="shared" si="146"/>
        <v>2.5743765334030604E-2</v>
      </c>
      <c r="EE224" s="110">
        <f t="shared" si="146"/>
        <v>8.3009401777199399E-2</v>
      </c>
      <c r="EF224" s="110">
        <f t="shared" si="146"/>
        <v>7.7523787126632077E-2</v>
      </c>
      <c r="EG224" s="110">
        <f t="shared" si="146"/>
        <v>9.4700095161738881E-3</v>
      </c>
      <c r="EH224" s="111">
        <f t="shared" si="177"/>
        <v>7.6991947285966569E-4</v>
      </c>
      <c r="EI224" s="110">
        <f t="shared" si="178"/>
        <v>0.99923008052714046</v>
      </c>
      <c r="EK224" s="132">
        <f>(EA224*'Renewable Diesel'!BF233*'Feedstock Conversion Rates'!B$2)+FB224</f>
        <v>9.437564506432917</v>
      </c>
      <c r="EL224" s="132">
        <f>(EB224*'Renewable Diesel'!BF233*'Feedstock Conversion Rates'!B$3)+FC224</f>
        <v>910.61845379785359</v>
      </c>
      <c r="EM224" s="132">
        <f>(EC224*'Renewable Diesel'!BF233*'Feedstock Conversion Rates'!B$4)+FD224</f>
        <v>1703.9754593148116</v>
      </c>
      <c r="EN224" s="132">
        <f>(ED224*'Renewable Diesel'!BF233*'Feedstock Conversion Rates'!B$5)+FE224</f>
        <v>82.729138709759653</v>
      </c>
      <c r="EO224" s="132">
        <f>(EE224*'Renewable Diesel'!BF233*'Feedstock Conversion Rates'!B$6)+FF224</f>
        <v>331.41305013203595</v>
      </c>
      <c r="EP224" s="132">
        <f>(EF224*'Renewable Diesel'!BF233*'Feedstock Conversion Rates'!B$7)+FG224</f>
        <v>303.57240481931518</v>
      </c>
      <c r="EQ224" s="132">
        <f>(EG224*'Renewable Diesel'!BF233*'Feedstock Conversion Rates'!B$8)+FH224</f>
        <v>37.788632433171692</v>
      </c>
      <c r="ER224" s="132">
        <f>(EH224*'Renewable Diesel'!BF233*'Feedstock Conversion Rates'!B$9)+FI224</f>
        <v>3.0312832520918214</v>
      </c>
      <c r="ES224" s="132">
        <f t="shared" si="179"/>
        <v>3382.5659869654723</v>
      </c>
      <c r="ET224" s="133">
        <f>ES224/'Renewable Diesel'!BF233</f>
        <v>7.9470655317852437</v>
      </c>
      <c r="EW224" s="73">
        <f t="shared" si="124"/>
        <v>1786.7045980245712</v>
      </c>
      <c r="EX224" s="73">
        <f t="shared" si="125"/>
        <v>1595.861388940901</v>
      </c>
      <c r="EY224" s="92">
        <f t="shared" si="164"/>
        <v>0.52820982795591775</v>
      </c>
      <c r="EZ224" s="92">
        <f t="shared" si="164"/>
        <v>0.47179017204408219</v>
      </c>
      <c r="FB224" s="102">
        <f>IF('Renewable Diesel'!$BG233&lt;1,0,(((('Renewable Diesel'!$BG233-1)*'Renewable Diesel'!$BF233)*'RD Feedstock Breakdown'!EA224)*'Feedstock Conversion Rates'!$B$2))</f>
        <v>0</v>
      </c>
      <c r="FC224" s="102">
        <f>IF('Renewable Diesel'!$BG233&lt;1,0,(((('Renewable Diesel'!$BG233-1)*'Renewable Diesel'!$BF233)*'RD Feedstock Breakdown'!EB224)*'Feedstock Conversion Rates'!$B$3))</f>
        <v>0</v>
      </c>
      <c r="FD224" s="102">
        <f>IF('Renewable Diesel'!$BG233&lt;1,0,(((('Renewable Diesel'!$BG233-1)*'Renewable Diesel'!$BF233)*'RD Feedstock Breakdown'!EC224)*'Feedstock Conversion Rates'!$B$4))</f>
        <v>0</v>
      </c>
      <c r="FE224" s="102">
        <f>IF('Renewable Diesel'!$BG233&lt;1,0,(((('Renewable Diesel'!$BG233-1)*'Renewable Diesel'!$BF233)*'RD Feedstock Breakdown'!ED224)*'Feedstock Conversion Rates'!$B$5))</f>
        <v>0</v>
      </c>
      <c r="FF224" s="102">
        <f>IF('Renewable Diesel'!$BG233&lt;1,0,(((('Renewable Diesel'!$BG233-1)*'Renewable Diesel'!$BF233)*'RD Feedstock Breakdown'!EE224)*'Feedstock Conversion Rates'!$B$6))</f>
        <v>0</v>
      </c>
      <c r="FG224" s="102">
        <f>IF('Renewable Diesel'!$BG233&lt;1,0,(((('Renewable Diesel'!$BG233-1)*'Renewable Diesel'!$BF233)*'RD Feedstock Breakdown'!EF224)*'Feedstock Conversion Rates'!$B$7))</f>
        <v>0</v>
      </c>
      <c r="FH224" s="102">
        <f>IF('Renewable Diesel'!$BG233&lt;1,0,(((('Renewable Diesel'!$BG233-1)*'Renewable Diesel'!$BF233)*'RD Feedstock Breakdown'!EG224)*'Feedstock Conversion Rates'!$B$8))</f>
        <v>0</v>
      </c>
      <c r="FI224" s="102">
        <f>IF('Renewable Diesel'!$BG233&lt;1,0,(((('Renewable Diesel'!$BG233-1)*'Renewable Diesel'!$BF233)*'RD Feedstock Breakdown'!EH224)*'Feedstock Conversion Rates'!$B$9))</f>
        <v>0</v>
      </c>
      <c r="FJ224" s="102">
        <f t="shared" si="126"/>
        <v>0</v>
      </c>
      <c r="FL224" s="3">
        <f>('Renewable Diesel'!AX233/12*$FO$80)*'RD Feedstock Breakdown'!EC224*7.5</f>
        <v>1612.6340331273607</v>
      </c>
      <c r="FM224" s="3">
        <f t="shared" si="193"/>
        <v>-91.341426187450907</v>
      </c>
      <c r="FR224" s="3">
        <f>('Renewable Diesel'!AX233-'Renewable Diesel'!BI233)/12*$FO$80</f>
        <v>54.415874999999872</v>
      </c>
      <c r="FS224" s="100">
        <f t="shared" si="194"/>
        <v>0.53378035853690087</v>
      </c>
      <c r="FT224" s="3">
        <f t="shared" si="195"/>
        <v>217.84593950699335</v>
      </c>
      <c r="FY224" s="3">
        <f>'Renewable Diesel'!BF233*('Renewable Diesel'!BI233/'Renewable Diesel'!AX233)</f>
        <v>368.13905554955545</v>
      </c>
      <c r="FZ224" s="3">
        <f>('Renewable Diesel'!BJ233*'Renewable Diesel'!BG233)/12</f>
        <v>58.296636120574505</v>
      </c>
      <c r="GA224" s="3">
        <f t="shared" si="202"/>
        <v>233.38199497451629</v>
      </c>
      <c r="GD224" s="91">
        <f>'Renewable Diesel'!BB233*0.32</f>
        <v>0</v>
      </c>
      <c r="GE224" s="91">
        <f>'Renewable Diesel'!BC233</f>
        <v>188.03837830701107</v>
      </c>
      <c r="GF224" s="91">
        <f>'Renewable Diesel'!BD233</f>
        <v>0</v>
      </c>
      <c r="GG224" s="91">
        <f t="shared" si="206"/>
        <v>188.03837830701107</v>
      </c>
      <c r="GH224" s="124">
        <v>1</v>
      </c>
      <c r="GI224" s="102">
        <f>$GG224*EA224*'Feedstock Conversion Rates'!$B$2</f>
        <v>4.1693364916109132</v>
      </c>
      <c r="GJ224" s="102">
        <f>$GG224*EB224*'Feedstock Conversion Rates'!$B$3</f>
        <v>402.29391245652141</v>
      </c>
      <c r="GK224" s="102">
        <f>$GG224*EC224*'Feedstock Conversion Rates'!$B$4</f>
        <v>752.7839474356033</v>
      </c>
      <c r="GL224" s="102">
        <f>$GG224*ED224*'Feedstock Conversion Rates'!$B$5</f>
        <v>36.548159931201596</v>
      </c>
      <c r="GM224" s="102">
        <f>$GG224*EE224*'Feedstock Conversion Rates'!$B$6</f>
        <v>146.41198190165676</v>
      </c>
      <c r="GN224" s="102">
        <f>$GG224*EF224*'Feedstock Conversion Rates'!$B$7</f>
        <v>134.11251434589047</v>
      </c>
      <c r="GO224" s="102">
        <f>$GG224*EG224*'Feedstock Conversion Rates'!$B$8</f>
        <v>16.694299049749691</v>
      </c>
      <c r="GP224" s="102">
        <f>$GG224*EH224*'Feedstock Conversion Rates'!B$9</f>
        <v>1.3391632842075634</v>
      </c>
      <c r="GQ224" s="102">
        <f t="shared" si="180"/>
        <v>1494.3533148964418</v>
      </c>
      <c r="GR224" s="85">
        <f t="shared" si="204"/>
        <v>7.9470655317852437</v>
      </c>
      <c r="GT224" s="103">
        <f t="shared" si="159"/>
        <v>2.790060723959278E-3</v>
      </c>
      <c r="GU224" s="103">
        <f t="shared" si="159"/>
        <v>0.26920936865884376</v>
      </c>
      <c r="GV224" s="103">
        <f t="shared" si="159"/>
        <v>0.503752318766577</v>
      </c>
      <c r="GW224" s="103">
        <f t="shared" si="159"/>
        <v>2.4457509189340792E-2</v>
      </c>
      <c r="GX224" s="103">
        <f t="shared" si="158"/>
        <v>9.797681742473538E-2</v>
      </c>
      <c r="GY224" s="103">
        <f t="shared" si="158"/>
        <v>8.9746188541218214E-2</v>
      </c>
      <c r="GZ224" s="103">
        <f t="shared" si="158"/>
        <v>1.117158765824172E-2</v>
      </c>
      <c r="HA224" s="103">
        <f t="shared" si="158"/>
        <v>8.9614903708388853E-4</v>
      </c>
    </row>
    <row r="225" spans="1:209" x14ac:dyDescent="0.25">
      <c r="A225" s="96">
        <v>47270</v>
      </c>
      <c r="B225" s="104">
        <f>23-20+10+85-5-4-4-1.25+2.25-5+15-6-25-45+65+15-22.5-50+40+16.5+27.5+168+80+14-30+15-50-19+22.5-10+5+11-25-50-12.5-27.5-10+10+2+4-1.5+12-26-15-50-15+10-32.5-3-5-2.5-1+5+10-50-35-9-0.5+25+15+25+20+15+85-25+12.5-52.5+10+20-150+20-20+55-25-25+20-10+5</f>
        <v>20</v>
      </c>
      <c r="C225" s="104">
        <f t="shared" si="212"/>
        <v>30</v>
      </c>
      <c r="D225" s="104">
        <f t="shared" si="192"/>
        <v>1.5</v>
      </c>
      <c r="E225" s="104">
        <f>('Renewable Diesel'!B234*E$3*'Feedstock Conversion Rates'!$B$2)/12-40+1.25+6-43+30-15+12.5-4+1.5+26+2.5+3-10+50+9-15-25-55+15+45+10-50+60-60-44</f>
        <v>0.67999999999999261</v>
      </c>
      <c r="F225" s="104">
        <f>('Renewable Diesel'!B234*'RD Feedstock Breakdown'!F$3*'Feedstock Conversion Rates'!B$8)/12+28.5-49-5+2-6+1+6+20-20-3.75+10+2.5+5-20-20-5</f>
        <v>0.15625</v>
      </c>
      <c r="G225" s="104">
        <f>('Renewable Diesel'!B234*'RD Feedstock Breakdown'!G$3*'Feedstock Conversion Rates'!B$7)/12-25-15-25+4+4-20-40-20+10-17.5+20+50-12+32.5+35-75-75+22.5+5-20+15+125-10-45-10-40-40</f>
        <v>9.6570000000000107</v>
      </c>
      <c r="H225" s="104">
        <f>('Renewable Diesel'!B234*'RD Feedstock Breakdown'!H$3*'Feedstock Conversion Rates'!B$3)/12-85+4-15+70-65-80+50-22.5-5+25+27.5+15+50+15-10+5+50+75-5-25-85-12.5+30+22.5-25-30+150+90-120+25+10+70+15+44</f>
        <v>434.40022499999998</v>
      </c>
      <c r="I225" s="106">
        <f t="shared" si="203"/>
        <v>496.39347499999997</v>
      </c>
      <c r="J225" s="104">
        <f t="shared" si="214"/>
        <v>1.5</v>
      </c>
      <c r="K225" s="104">
        <f t="shared" si="215"/>
        <v>0</v>
      </c>
      <c r="L225" s="104">
        <v>1</v>
      </c>
      <c r="M225" s="104">
        <f>('Renewable Diesel'!C234*'RD Feedstock Breakdown'!M$3*'Feedstock Conversion Rates'!B$2)/12</f>
        <v>7.7902500000000003</v>
      </c>
      <c r="N225" s="104">
        <f>('Renewable Diesel'!C234*'RD Feedstock Breakdown'!N$3*'Feedstock Conversion Rates'!B$8)/12</f>
        <v>3.671875</v>
      </c>
      <c r="O225" s="104">
        <f>('Renewable Diesel'!C234*'RD Feedstock Breakdown'!O$3*'Feedstock Conversion Rates'!B$7)/12</f>
        <v>11.9991</v>
      </c>
      <c r="P225" s="104">
        <f>('Renewable Diesel'!C234*'RD Feedstock Breakdown'!P$3*'Feedstock Conversion Rates'!B$3)/12</f>
        <v>10.4470425</v>
      </c>
      <c r="Q225" s="106">
        <f t="shared" ref="Q225:Q288" si="216">SUM(J225:P225)</f>
        <v>36.408267500000001</v>
      </c>
      <c r="R225" s="104">
        <f>('Renewable Diesel'!D234*'RD Feedstock Breakdown'!R$3*'Feedstock Conversion Rates'!B$7)/12</f>
        <v>2.2999999999999998</v>
      </c>
      <c r="S225" s="106">
        <f t="shared" si="148"/>
        <v>2.2999999999999998</v>
      </c>
      <c r="T225" s="104">
        <f t="shared" si="207"/>
        <v>5.8250000000000028</v>
      </c>
      <c r="U225" s="104">
        <v>30</v>
      </c>
      <c r="V225" s="104">
        <f>('Renewable Diesel'!E234*'RD Feedstock Breakdown'!V$3*'Feedstock Conversion Rates'!B$6)/12-20+25-35</f>
        <v>14.250150000000012</v>
      </c>
      <c r="W225" s="104">
        <f>('Renewable Diesel'!E234*'RD Feedstock Breakdown'!W$3*'Feedstock Conversion Rates'!B$8)/12-6</f>
        <v>16.1796875</v>
      </c>
      <c r="X225" s="106">
        <f t="shared" si="185"/>
        <v>66.254837500000008</v>
      </c>
      <c r="Y225" s="104">
        <f t="shared" si="208"/>
        <v>126</v>
      </c>
      <c r="Z225" s="104">
        <f>('Renewable Diesel'!F234*'RD Feedstock Breakdown'!Z$3*'Feedstock Conversion Rates'!B$6)/12-50-32-60+15+30+22.5-70+75-30+3+5</f>
        <v>67.960000000000008</v>
      </c>
      <c r="AA225" s="104">
        <f>('Renewable Diesel'!F234*'RD Feedstock Breakdown'!AA$3*'Feedstock Conversion Rates'!B$7)/12+80-171+75+30-50-1+2.5</f>
        <v>69.766666666666652</v>
      </c>
      <c r="AB225" s="106">
        <f t="shared" si="137"/>
        <v>263.72666666666669</v>
      </c>
      <c r="AC225" s="104">
        <f>('Renewable Diesel'!G234*'RD Feedstock Breakdown'!AC$3*'Feedstock Conversion Rates'!B$5)/12+2</f>
        <v>13.796875</v>
      </c>
      <c r="AD225" s="104">
        <f>('Renewable Diesel'!G234*'RD Feedstock Breakdown'!AD$3*'Feedstock Conversion Rates'!B$4)/12</f>
        <v>5.859375</v>
      </c>
      <c r="AE225" s="104">
        <f>('Renewable Diesel'!G234*'RD Feedstock Breakdown'!AE$3*'Feedstock Conversion Rates'!B$6)/12-2</f>
        <v>5.3281250000000009</v>
      </c>
      <c r="AF225" s="106">
        <f t="shared" si="198"/>
        <v>24.984375</v>
      </c>
      <c r="AG225" s="104">
        <f t="shared" si="211"/>
        <v>16.5</v>
      </c>
      <c r="AH225" s="104">
        <v>125</v>
      </c>
      <c r="AI225" s="104">
        <f>('Renewable Diesel'!H234*'RD Feedstock Breakdown'!AI$3*'Feedstock Conversion Rates'!B$6)/12-130-20+51-120+2.5+100-45+20</f>
        <v>7.0166666666666799</v>
      </c>
      <c r="AJ225" s="106">
        <f t="shared" si="145"/>
        <v>23.51666666666668</v>
      </c>
      <c r="AK225" s="104">
        <f>('Renewable Diesel'!J234*'RD Feedstock Breakdown'!AK$3*'Feedstock Conversion Rates'!B$4)/12</f>
        <v>95.8125</v>
      </c>
      <c r="AL225" s="106">
        <f t="shared" si="157"/>
        <v>95.8125</v>
      </c>
      <c r="AM225" s="104">
        <f>('Renewable Diesel'!K234*'RD Feedstock Breakdown'!AM$3*'Feedstock Conversion Rates'!B$4)/12+5+15-10+9-27</f>
        <v>50.59375</v>
      </c>
      <c r="AN225" s="104">
        <f>('Renewable Diesel'!K234*'RD Feedstock Breakdown'!AN$3*'Feedstock Conversion Rates'!B$6)/12-5-15+10-9+27</f>
        <v>32.427083333333329</v>
      </c>
      <c r="AO225" s="106">
        <f t="shared" si="173"/>
        <v>83.020833333333329</v>
      </c>
      <c r="AP225" s="104">
        <f>('Renewable Diesel'!L234*'RD Feedstock Breakdown'!AP$3*'Feedstock Conversion Rates'!B$4)/12+15-10+5+9</f>
        <v>77.59375</v>
      </c>
      <c r="AQ225" s="104">
        <f>('Renewable Diesel'!L234*'RD Feedstock Breakdown'!AQ$3*'Feedstock Conversion Rates'!B$6)/12-15+10-5-9</f>
        <v>5.4270833333333321</v>
      </c>
      <c r="AR225" s="106">
        <f t="shared" si="162"/>
        <v>83.020833333333329</v>
      </c>
      <c r="AS225" s="104">
        <f>('Renewable Diesel'!M234*'RD Feedstock Breakdown'!AS$3*'Feedstock Conversion Rates'!B$4)/12</f>
        <v>456.25</v>
      </c>
      <c r="AT225" s="104">
        <f>('Renewable Diesel'!M234*'RD Feedstock Breakdown'!AT$3*'Feedstock Conversion Rates'!B$5)/12</f>
        <v>0</v>
      </c>
      <c r="AU225" s="106">
        <f t="shared" si="201"/>
        <v>456.25</v>
      </c>
      <c r="AV225" s="104">
        <f>'Renewable Diesel'!N234*'RD Feedstock Breakdown'!$AV$3*'Feedstock Conversion Rates'!$B$4/12-15-10+25+25-22-10-30</f>
        <v>41.749999999999986</v>
      </c>
      <c r="AW225" s="104">
        <f>'Renewable Diesel'!N234*'RD Feedstock Breakdown'!$AW$3*'Feedstock Conversion Rates'!$B$7/12+15+10-25-25+22+10+30</f>
        <v>78.400000000000006</v>
      </c>
      <c r="AX225" s="106">
        <f t="shared" si="141"/>
        <v>120.14999999999999</v>
      </c>
      <c r="AY225" s="104">
        <f>('Renewable Diesel'!O234*'RD Feedstock Breakdown'!AY$3*'Feedstock Conversion Rates'!B$4)/12+32+2-135-247+50</f>
        <v>-87.0625</v>
      </c>
      <c r="AZ225" s="104">
        <f>('Renewable Diesel'!O234*'RD Feedstock Breakdown'!AZ$3*'Feedstock Conversion Rates'!B$3)/12-32-2+135+247-50</f>
        <v>323.03125</v>
      </c>
      <c r="BA225" s="106">
        <f t="shared" ref="BA225:BA288" si="217">SUM(AY225:AZ225)</f>
        <v>235.96875</v>
      </c>
      <c r="BB225" s="104">
        <f>('Renewable Diesel'!Q234*'RD Feedstock Breakdown'!BB$3*'Feedstock Conversion Rates'!B$4)/12</f>
        <v>11.156249999999998</v>
      </c>
      <c r="BC225" s="104">
        <f>('Renewable Diesel'!Q234*'RD Feedstock Breakdown'!BC$3*'Feedstock Conversion Rates'!B$3)/12</f>
        <v>1.4017500000000001</v>
      </c>
      <c r="BD225" s="104">
        <f>('Renewable Diesel'!Q234*'RD Feedstock Breakdown'!BD$3*'Feedstock Conversion Rates'!B$6)/12</f>
        <v>0.8207500000000002</v>
      </c>
      <c r="BE225" s="106">
        <f t="shared" si="189"/>
        <v>13.378749999999998</v>
      </c>
      <c r="BF225" s="104">
        <f>('Renewable Diesel'!R234*'RD Feedstock Breakdown'!BF$3*'Feedstock Conversion Rates'!B$4)/12</f>
        <v>62.5</v>
      </c>
      <c r="BG225" s="106">
        <f t="shared" si="167"/>
        <v>62.5</v>
      </c>
      <c r="BH225" s="104">
        <f>('Renewable Diesel'!T234*'RD Feedstock Breakdown'!BH$3*'Feedstock Conversion Rates'!B$7)/12</f>
        <v>27.599999999999998</v>
      </c>
      <c r="BI225" s="106">
        <f t="shared" si="144"/>
        <v>27.599999999999998</v>
      </c>
      <c r="BJ225" s="104">
        <f>('Renewable Diesel'!W234*'RD Feedstock Breakdown'!BJ$3*'Feedstock Conversion Rates'!B$4)/12</f>
        <v>7.5</v>
      </c>
      <c r="BK225" s="104">
        <f>('Renewable Diesel'!W234*'RD Feedstock Breakdown'!BK$3*'Feedstock Conversion Rates'!B$3)/12</f>
        <v>1.335</v>
      </c>
      <c r="BL225" s="104">
        <f>('Renewable Diesel'!W234*'RD Feedstock Breakdown'!BL$3*'Feedstock Conversion Rates'!B$6)/12</f>
        <v>3.1266666666666669</v>
      </c>
      <c r="BM225" s="104">
        <f>('Renewable Diesel'!W234*'RD Feedstock Breakdown'!BM$3*'Feedstock Conversion Rates'!B$7)/12</f>
        <v>1.5333333333333332</v>
      </c>
      <c r="BN225" s="106">
        <f t="shared" si="209"/>
        <v>13.495000000000001</v>
      </c>
      <c r="BO225" s="104">
        <f>('Renewable Diesel'!P234*'Feedstock Conversion Rates'!B$4)/12</f>
        <v>31.25</v>
      </c>
      <c r="BP225" s="106">
        <f t="shared" si="199"/>
        <v>31.25</v>
      </c>
      <c r="BQ225" s="104">
        <f>('Renewable Diesel'!$S234*'RD Feedstock Breakdown'!BQ$3*'Feedstock Conversion Rates'!B$4)/12+10</f>
        <v>38.125</v>
      </c>
      <c r="BR225" s="104">
        <f>('Renewable Diesel'!$S234*'RD Feedstock Breakdown'!BR$3*'Feedstock Conversion Rates'!B$7)/12-10</f>
        <v>1.5</v>
      </c>
      <c r="BS225" s="106">
        <f t="shared" si="123"/>
        <v>39.625</v>
      </c>
      <c r="BT225" s="106"/>
      <c r="BU225" s="104">
        <f>('Renewable Diesel'!Y234*'Feedstock Conversion Rates'!B$7)/12</f>
        <v>2.6833333333333331</v>
      </c>
      <c r="BV225" s="106">
        <f t="shared" si="191"/>
        <v>2.6833333333333331</v>
      </c>
      <c r="BW225" s="104">
        <f>('Renewable Diesel'!$Z234*'RD Feedstock Breakdown'!BW$3*'Feedstock Conversion Rates'!$B$4)/12</f>
        <v>53.90625</v>
      </c>
      <c r="BX225" s="104">
        <f>('Renewable Diesel'!$Z234*'RD Feedstock Breakdown'!BX$3*'Feedstock Conversion Rates'!$B$5)/12</f>
        <v>5.4265624999999993</v>
      </c>
      <c r="BY225" s="104">
        <f>('Renewable Diesel'!$Z234*'RD Feedstock Breakdown'!BY$3*'Feedstock Conversion Rates'!$B$7)/12</f>
        <v>46.287499999999994</v>
      </c>
      <c r="BZ225" s="104">
        <f>('Renewable Diesel'!$Z234*'RD Feedstock Breakdown'!BZ$3*'Feedstock Conversion Rates'!$B$3)/12</f>
        <v>11.514374999999999</v>
      </c>
      <c r="CA225" s="106">
        <f t="shared" si="127"/>
        <v>117.1346875</v>
      </c>
      <c r="CB225" s="104">
        <f>('Renewable Diesel'!AA234*'Feedstock Conversion Rates'!B$4)/12</f>
        <v>191.25</v>
      </c>
      <c r="CC225" s="106">
        <f t="shared" si="213"/>
        <v>191.25</v>
      </c>
      <c r="CD225" s="104">
        <f>('Renewable Diesel'!$AB234*'RD Feedstock Breakdown'!CD$3*'Feedstock Conversion Rates'!$B$6)/12-15</f>
        <v>17.830000000000005</v>
      </c>
      <c r="CE225" s="104">
        <f>('Renewable Diesel'!$AB234*'RD Feedstock Breakdown'!CE$3*'Feedstock Conversion Rates'!$B$4)/12+15</f>
        <v>26.25</v>
      </c>
      <c r="CF225" s="106">
        <f t="shared" si="205"/>
        <v>44.080000000000005</v>
      </c>
      <c r="CG225" s="104">
        <f>('Renewable Diesel'!AD234*'Feedstock Conversion Rates'!B$4)/12</f>
        <v>112.5</v>
      </c>
      <c r="CH225" s="106">
        <f t="shared" si="187"/>
        <v>112.5</v>
      </c>
      <c r="CI225" s="104">
        <f>('Renewable Diesel'!$AE234*'RD Feedstock Breakdown'!CI$3*'Feedstock Conversion Rates'!$B$5)/12</f>
        <v>0.34604166666666664</v>
      </c>
      <c r="CJ225" s="104">
        <f>('Renewable Diesel'!$AE234*'RD Feedstock Breakdown'!CJ$3*'Feedstock Conversion Rates'!$B$4)/12</f>
        <v>0.34375</v>
      </c>
      <c r="CK225" s="106">
        <f t="shared" si="200"/>
        <v>0.68979166666666658</v>
      </c>
      <c r="CL225" s="104">
        <f>(((CL$3*'Renewable Diesel'!$AF234)*'Feedstock Conversion Rates'!$B$3)/12)-35</f>
        <v>56.78125</v>
      </c>
      <c r="CM225" s="104">
        <f>(((CM$3*'Renewable Diesel'!$AF234)*'Feedstock Conversion Rates'!$B$6)/12)-32.5+35+30</f>
        <v>86.239583333333343</v>
      </c>
      <c r="CN225" s="104">
        <f>(((CN$3*'Renewable Diesel'!$AF234)*'Feedstock Conversion Rates'!$B$4)/12)</f>
        <v>42.96875</v>
      </c>
      <c r="CO225" s="106">
        <f t="shared" si="190"/>
        <v>185.98958333333334</v>
      </c>
      <c r="CP225" s="104">
        <f>('Renewable Diesel'!$AG234*'RD Feedstock Breakdown'!CP$3*'Feedstock Conversion Rates'!$B$3)/12</f>
        <v>6.0075000000000003</v>
      </c>
      <c r="CQ225" s="104">
        <f>('Renewable Diesel'!$AG234*'RD Feedstock Breakdown'!CQ$3*'Feedstock Conversion Rates'!$B$6)/12</f>
        <v>3.5175000000000001</v>
      </c>
      <c r="CR225" s="104">
        <f>('Renewable Diesel'!$AG234*'RD Feedstock Breakdown'!CR$3*'Feedstock Conversion Rates'!$B$4)/12</f>
        <v>2.8125</v>
      </c>
      <c r="CS225" s="106">
        <f t="shared" si="134"/>
        <v>12.3375</v>
      </c>
      <c r="CT225" s="104">
        <f>('Renewable Diesel'!AI234*'Feedstock Conversion Rates'!$B$4*'RD Feedstock Breakdown'!$CT$3)/12</f>
        <v>29.375</v>
      </c>
      <c r="CU225" s="106">
        <f t="shared" si="196"/>
        <v>29.375</v>
      </c>
      <c r="CV225" s="104">
        <f>('Renewable Diesel'!AN234*'Feedstock Conversion Rates'!$B$3*'RD Feedstock Breakdown'!$CV$3)/12</f>
        <v>0.50062499999999999</v>
      </c>
      <c r="CW225" s="106">
        <f t="shared" si="161"/>
        <v>0.50062499999999999</v>
      </c>
      <c r="CX225" s="104">
        <f>('Renewable Diesel'!AO234*'RD Feedstock Breakdown'!$CX$3*'Feedstock Conversion Rates'!$B$3)/12</f>
        <v>6.3412499999999996</v>
      </c>
      <c r="CY225" s="104">
        <f>('Renewable Diesel'!AO234*'RD Feedstock Breakdown'!$CY$3*'Feedstock Conversion Rates'!$B$6)/12</f>
        <v>7.4258333333333342</v>
      </c>
      <c r="CZ225" s="106">
        <f t="shared" si="135"/>
        <v>13.767083333333334</v>
      </c>
      <c r="DA225" s="104">
        <f>('Renewable Diesel'!$AP234*'RD Feedstock Breakdown'!DA$3*'Feedstock Conversion Rates'!$B$3)/12</f>
        <v>6.3412499999999996</v>
      </c>
      <c r="DB225" s="104">
        <f>('Renewable Diesel'!$AP234*'RD Feedstock Breakdown'!DB$3*'Feedstock Conversion Rates'!$B$8)/12</f>
        <v>7.421875</v>
      </c>
      <c r="DC225" s="106">
        <f t="shared" si="165"/>
        <v>13.763124999999999</v>
      </c>
      <c r="DD225" s="104">
        <f>('Renewable Diesel'!AQ234*$DD$3*'Feedstock Conversion Rates'!$B$14)/12</f>
        <v>3.1041666666666665</v>
      </c>
      <c r="DE225" s="106">
        <f t="shared" si="166"/>
        <v>3.1041666666666665</v>
      </c>
      <c r="DF225" s="104">
        <f>('Renewable Diesel'!AR234*'Feedstock Conversion Rates'!$B$4*$DF$3)/12</f>
        <v>75</v>
      </c>
      <c r="DG225" s="106">
        <f t="shared" si="136"/>
        <v>75</v>
      </c>
      <c r="DH225" s="104">
        <f>('Renewable Diesel'!AS234*'Feedstock Conversion Rates'!$B$4*$DH$3)/12</f>
        <v>75</v>
      </c>
      <c r="DI225" s="106">
        <f t="shared" si="142"/>
        <v>75</v>
      </c>
      <c r="DJ225" s="104">
        <f>('Renewable Diesel'!AT234*'Feedstock Conversion Rates'!$B$4*0.25)/12</f>
        <v>8.59375</v>
      </c>
      <c r="DK225" s="104">
        <f>('Renewable Diesel'!$AT234*'RD Feedstock Breakdown'!DK$3*'Feedstock Conversion Rates'!$B$3)/12*0.5</f>
        <v>9.1781249999999996</v>
      </c>
      <c r="DL225" s="104">
        <f>('Renewable Diesel'!$AT234*'RD Feedstock Breakdown'!$DL$3*'Feedstock Conversion Rates'!$B$6)/12</f>
        <v>10.747916666666669</v>
      </c>
      <c r="DM225" s="104">
        <f>('Renewable Diesel'!$AT234*'RD Feedstock Breakdown'!$DM$3*'Feedstock Conversion Rates'!$B$8)/12</f>
        <v>10.7421875</v>
      </c>
      <c r="DN225" s="106">
        <f t="shared" si="210"/>
        <v>39.26197916666667</v>
      </c>
      <c r="DP225" s="104">
        <f t="shared" si="168"/>
        <v>8.470249999999993</v>
      </c>
      <c r="DQ225" s="104">
        <f t="shared" si="169"/>
        <v>867.27964250000002</v>
      </c>
      <c r="DR225" s="104">
        <f t="shared" si="174"/>
        <v>1703.234375</v>
      </c>
      <c r="DS225" s="104">
        <f t="shared" si="197"/>
        <v>83.592395833333327</v>
      </c>
      <c r="DT225" s="104">
        <f t="shared" si="170"/>
        <v>269.53923333333341</v>
      </c>
      <c r="DU225" s="104">
        <f t="shared" si="171"/>
        <v>251.72693333333333</v>
      </c>
      <c r="DV225" s="104">
        <f t="shared" si="175"/>
        <v>30.75</v>
      </c>
      <c r="DW225" s="104">
        <f t="shared" si="172"/>
        <v>2.5</v>
      </c>
      <c r="DX225" s="106">
        <f t="shared" si="176"/>
        <v>3217.09283</v>
      </c>
      <c r="DY225" s="109">
        <f t="shared" si="163"/>
        <v>-125.00000000000014</v>
      </c>
      <c r="EA225" s="110">
        <f t="shared" ref="EA225:EA256" si="218">DP225/$DX225</f>
        <v>2.6328895209405544E-3</v>
      </c>
      <c r="EB225" s="110">
        <f t="shared" ref="EB225:EB256" si="219">DQ225/$DX225</f>
        <v>0.2695848980211118</v>
      </c>
      <c r="EC225" s="110">
        <f t="shared" ref="EC225:EC256" si="220">DR225/$DX225</f>
        <v>0.52943277207204498</v>
      </c>
      <c r="ED225" s="110">
        <f t="shared" si="146"/>
        <v>2.5983830821982631E-2</v>
      </c>
      <c r="EE225" s="110">
        <f t="shared" si="146"/>
        <v>8.3783480171858576E-2</v>
      </c>
      <c r="EF225" s="110">
        <f t="shared" si="146"/>
        <v>7.8246711125626214E-2</v>
      </c>
      <c r="EG225" s="110">
        <f t="shared" si="146"/>
        <v>9.5583191486581995E-3</v>
      </c>
      <c r="EH225" s="111">
        <f t="shared" si="177"/>
        <v>7.7709911777708947E-4</v>
      </c>
      <c r="EI225" s="110">
        <f t="shared" si="178"/>
        <v>0.99922290088222288</v>
      </c>
      <c r="EK225" s="132">
        <f>(EA225*'Renewable Diesel'!BF234*'Feedstock Conversion Rates'!B$2)+FB225</f>
        <v>9.2891827911250502</v>
      </c>
      <c r="EL225" s="132">
        <f>(EB225*'Renewable Diesel'!BF234*'Feedstock Conversion Rates'!B$3)+FC225</f>
        <v>896.3012930437817</v>
      </c>
      <c r="EM225" s="132">
        <f>(EC225*'Renewable Diesel'!BF234*'Feedstock Conversion Rates'!B$4)+FD225</f>
        <v>1648.1549206481488</v>
      </c>
      <c r="EN225" s="132">
        <f>(ED225*'Renewable Diesel'!BF234*'Feedstock Conversion Rates'!B$5)+FE225</f>
        <v>81.428433268294413</v>
      </c>
      <c r="EO225" s="132">
        <f>(EE225*'Renewable Diesel'!BF234*'Feedstock Conversion Rates'!B$6)+FF225</f>
        <v>326.20242223958718</v>
      </c>
      <c r="EP225" s="132">
        <f>(EF225*'Renewable Diesel'!BF234*'Feedstock Conversion Rates'!B$7)+FG225</f>
        <v>298.79950031450147</v>
      </c>
      <c r="EQ225" s="132">
        <f>(EG225*'Renewable Diesel'!BF234*'Feedstock Conversion Rates'!B$8)+FH225</f>
        <v>37.194502231915799</v>
      </c>
      <c r="ER225" s="132">
        <f>(EH225*'Renewable Diesel'!BF234*'Feedstock Conversion Rates'!B$9)+FI225</f>
        <v>2.9836240272756305</v>
      </c>
      <c r="ES225" s="132">
        <f t="shared" si="179"/>
        <v>3300.3538785646306</v>
      </c>
      <c r="ET225" s="133">
        <f>ES225/'Renewable Diesel'!BF234</f>
        <v>7.951234502549311</v>
      </c>
      <c r="EW225" s="73">
        <f t="shared" si="124"/>
        <v>1729.5833539164432</v>
      </c>
      <c r="EX225" s="73">
        <f t="shared" si="125"/>
        <v>1570.7705246481871</v>
      </c>
      <c r="EY225" s="92">
        <f t="shared" si="164"/>
        <v>0.52405996979592473</v>
      </c>
      <c r="EZ225" s="92">
        <f t="shared" si="164"/>
        <v>0.47594003020407522</v>
      </c>
      <c r="FB225" s="102">
        <f>IF('Renewable Diesel'!$BG234&lt;1,0,(((('Renewable Diesel'!$BG234-1)*'Renewable Diesel'!$BF234)*'RD Feedstock Breakdown'!EA225)*'Feedstock Conversion Rates'!$B$2))</f>
        <v>0</v>
      </c>
      <c r="FC225" s="102">
        <f>IF('Renewable Diesel'!$BG234&lt;1,0,(((('Renewable Diesel'!$BG234-1)*'Renewable Diesel'!$BF234)*'RD Feedstock Breakdown'!EB225)*'Feedstock Conversion Rates'!$B$3))</f>
        <v>0</v>
      </c>
      <c r="FD225" s="102">
        <f>IF('Renewable Diesel'!$BG234&lt;1,0,(((('Renewable Diesel'!$BG234-1)*'Renewable Diesel'!$BF234)*'RD Feedstock Breakdown'!EC225)*'Feedstock Conversion Rates'!$B$4))</f>
        <v>0</v>
      </c>
      <c r="FE225" s="102">
        <f>IF('Renewable Diesel'!$BG234&lt;1,0,(((('Renewable Diesel'!$BG234-1)*'Renewable Diesel'!$BF234)*'RD Feedstock Breakdown'!ED225)*'Feedstock Conversion Rates'!$B$5))</f>
        <v>0</v>
      </c>
      <c r="FF225" s="102">
        <f>IF('Renewable Diesel'!$BG234&lt;1,0,(((('Renewable Diesel'!$BG234-1)*'Renewable Diesel'!$BF234)*'RD Feedstock Breakdown'!EE225)*'Feedstock Conversion Rates'!$B$6))</f>
        <v>0</v>
      </c>
      <c r="FG225" s="102">
        <f>IF('Renewable Diesel'!$BG234&lt;1,0,(((('Renewable Diesel'!$BG234-1)*'Renewable Diesel'!$BF234)*'RD Feedstock Breakdown'!EF225)*'Feedstock Conversion Rates'!$B$7))</f>
        <v>0</v>
      </c>
      <c r="FH225" s="102">
        <f>IF('Renewable Diesel'!$BG234&lt;1,0,(((('Renewable Diesel'!$BG234-1)*'Renewable Diesel'!$BF234)*'RD Feedstock Breakdown'!EG225)*'Feedstock Conversion Rates'!$B$8))</f>
        <v>0</v>
      </c>
      <c r="FI225" s="102">
        <f>IF('Renewable Diesel'!$BG234&lt;1,0,(((('Renewable Diesel'!$BG234-1)*'Renewable Diesel'!$BF234)*'RD Feedstock Breakdown'!EH225)*'Feedstock Conversion Rates'!$B$9))</f>
        <v>0</v>
      </c>
      <c r="FJ225" s="102">
        <f t="shared" si="126"/>
        <v>0</v>
      </c>
      <c r="FL225" s="3">
        <f>('Renewable Diesel'!AX234/12*$FO$80)*'RD Feedstock Breakdown'!EC225*7.5</f>
        <v>1599.4992937480251</v>
      </c>
      <c r="FM225" s="3">
        <f t="shared" si="193"/>
        <v>-48.655626900123707</v>
      </c>
      <c r="FR225" s="3">
        <f>('Renewable Diesel'!AX234-'Renewable Diesel'!BI234)/12*$FO$80</f>
        <v>54.415874999999872</v>
      </c>
      <c r="FS225" s="100">
        <f t="shared" si="194"/>
        <v>0.52943277207204498</v>
      </c>
      <c r="FT225" s="3">
        <f t="shared" si="195"/>
        <v>216.07160659481866</v>
      </c>
      <c r="FY225" s="3">
        <f>'Renewable Diesel'!BF234*('Renewable Diesel'!BI234/'Renewable Diesel'!AX234)</f>
        <v>359.00323143179719</v>
      </c>
      <c r="FZ225" s="3">
        <f>('Renewable Diesel'!BJ234*'Renewable Diesel'!BG234)/12</f>
        <v>55.016064472758387</v>
      </c>
      <c r="GA225" s="3">
        <f t="shared" si="202"/>
        <v>218.45480641730117</v>
      </c>
      <c r="GD225" s="91">
        <f>'Renewable Diesel'!BB234*0.32</f>
        <v>0</v>
      </c>
      <c r="GE225" s="91">
        <f>'Renewable Diesel'!BC234</f>
        <v>179.41367029720334</v>
      </c>
      <c r="GF225" s="91">
        <f>'Renewable Diesel'!BD234</f>
        <v>0</v>
      </c>
      <c r="GG225" s="91">
        <f t="shared" si="206"/>
        <v>179.41367029720334</v>
      </c>
      <c r="GH225" s="124">
        <v>1</v>
      </c>
      <c r="GI225" s="102">
        <f>$GG225*EA225*'Feedstock Conversion Rates'!$B$2</f>
        <v>4.015199165731417</v>
      </c>
      <c r="GJ225" s="102">
        <f>$GG225*EB225*'Feedstock Conversion Rates'!$B$3</f>
        <v>387.42140024542618</v>
      </c>
      <c r="GK225" s="102">
        <f>$GG225*EC225*'Feedstock Conversion Rates'!$B$4</f>
        <v>712.40607609801214</v>
      </c>
      <c r="GL225" s="102">
        <f>$GG225*ED225*'Feedstock Conversion Rates'!$B$5</f>
        <v>35.197001143958936</v>
      </c>
      <c r="GM225" s="102">
        <f>$GG225*EE225*'Feedstock Conversion Rates'!$B$6</f>
        <v>140.99923783255932</v>
      </c>
      <c r="GN225" s="102">
        <f>$GG225*EF225*'Feedstock Conversion Rates'!$B$7</f>
        <v>129.15447261194925</v>
      </c>
      <c r="GO225" s="102">
        <f>$GG225*EG225*'Feedstock Conversion Rates'!$B$8</f>
        <v>16.077123003120072</v>
      </c>
      <c r="GP225" s="102">
        <f>$GG225*EH225*'Feedstock Conversion Rates'!B$9</f>
        <v>1.2896553953722334</v>
      </c>
      <c r="GQ225" s="102">
        <f t="shared" si="180"/>
        <v>1426.5601654961295</v>
      </c>
      <c r="GR225" s="85">
        <f t="shared" si="204"/>
        <v>7.9512345025493101</v>
      </c>
      <c r="GT225" s="103">
        <f t="shared" si="159"/>
        <v>2.8146020496338546E-3</v>
      </c>
      <c r="GU225" s="103">
        <f t="shared" si="159"/>
        <v>0.27157732959036368</v>
      </c>
      <c r="GV225" s="103">
        <f t="shared" si="159"/>
        <v>0.49938733278049391</v>
      </c>
      <c r="GW225" s="103">
        <f t="shared" si="159"/>
        <v>2.4672637015430834E-2</v>
      </c>
      <c r="GX225" s="103">
        <f t="shared" si="158"/>
        <v>9.8838619809296688E-2</v>
      </c>
      <c r="GY225" s="103">
        <f t="shared" si="158"/>
        <v>9.0535594457056681E-2</v>
      </c>
      <c r="GZ225" s="103">
        <f t="shared" si="158"/>
        <v>1.126985274927312E-2</v>
      </c>
      <c r="HA225" s="103">
        <f t="shared" si="158"/>
        <v>9.0403154845117696E-4</v>
      </c>
    </row>
    <row r="226" spans="1:209" x14ac:dyDescent="0.25">
      <c r="A226" s="96">
        <v>47300</v>
      </c>
      <c r="B226" s="104">
        <f>23-20+10+85-5-4-4-1.25+2.25-5+15-6-25-45+65+15-22.5-50+40+16.5+27.5+168+80+14-30+15-50-19+22.5-10+5+11-25-50-12.5-27.5-10+10+2+4-1.5+12-26-15-50-15+10-32.5-3-5-2.5-1+5+10-50-35-9-0.5+25+15+25+20+15+85-25+12.5-52.5+10+20-150+20-20+55-25-25+20-10+150</f>
        <v>165</v>
      </c>
      <c r="C226" s="104">
        <f t="shared" si="212"/>
        <v>30</v>
      </c>
      <c r="D226" s="104">
        <f t="shared" si="192"/>
        <v>1.5</v>
      </c>
      <c r="E226" s="104">
        <f>('Renewable Diesel'!B235*E$3*'Feedstock Conversion Rates'!$B$2)/12-40+1.25+6-43+30-15+12.5-4+1.5+26+2.5+3-10+50+9-15-25-55+15+45+10-50+60-60-44</f>
        <v>0.67999999999999261</v>
      </c>
      <c r="F226" s="104">
        <f>('Renewable Diesel'!B235*'RD Feedstock Breakdown'!F$3*'Feedstock Conversion Rates'!B$8)/12+28.5-49-5+2-6+1+6+20-20-3.75+10+2.5+5-20-20-5</f>
        <v>0.15625</v>
      </c>
      <c r="G226" s="104">
        <f>('Renewable Diesel'!B235*'RD Feedstock Breakdown'!G$3*'Feedstock Conversion Rates'!B$7)/12-25-15-25+4+4-20-40-20+10-17.5+20+50-12+32.5+35-75-75+22.5+5-20+15+125-10-45-10-40-40</f>
        <v>9.6570000000000107</v>
      </c>
      <c r="H226" s="104">
        <f>('Renewable Diesel'!B235*'RD Feedstock Breakdown'!H$3*'Feedstock Conversion Rates'!B$3)/12-85+4-15+70-65-80+50-22.5-5+25+27.5+15+50+15-10+5+50+75-5-25-85-12.5+30+22.5-25-30+150+90-120+25+10+70+15+44-150</f>
        <v>284.40022499999998</v>
      </c>
      <c r="I226" s="106">
        <f t="shared" si="203"/>
        <v>491.39347499999997</v>
      </c>
      <c r="J226" s="104">
        <f t="shared" si="214"/>
        <v>1.5</v>
      </c>
      <c r="K226" s="104">
        <f t="shared" si="215"/>
        <v>0</v>
      </c>
      <c r="L226" s="104">
        <v>1</v>
      </c>
      <c r="M226" s="104">
        <f>('Renewable Diesel'!C235*'RD Feedstock Breakdown'!M$3*'Feedstock Conversion Rates'!B$2)/12</f>
        <v>7.7902500000000003</v>
      </c>
      <c r="N226" s="104">
        <f>('Renewable Diesel'!C235*'RD Feedstock Breakdown'!N$3*'Feedstock Conversion Rates'!B$8)/12</f>
        <v>3.671875</v>
      </c>
      <c r="O226" s="104">
        <f>('Renewable Diesel'!C235*'RD Feedstock Breakdown'!O$3*'Feedstock Conversion Rates'!B$7)/12</f>
        <v>11.9991</v>
      </c>
      <c r="P226" s="104">
        <f>('Renewable Diesel'!C235*'RD Feedstock Breakdown'!P$3*'Feedstock Conversion Rates'!B$3)/12</f>
        <v>10.4470425</v>
      </c>
      <c r="Q226" s="106">
        <f t="shared" si="216"/>
        <v>36.408267500000001</v>
      </c>
      <c r="R226" s="104">
        <f>('Renewable Diesel'!D235*'RD Feedstock Breakdown'!R$3*'Feedstock Conversion Rates'!B$7)/12</f>
        <v>2.2999999999999998</v>
      </c>
      <c r="S226" s="106">
        <f t="shared" si="148"/>
        <v>2.2999999999999998</v>
      </c>
      <c r="T226" s="104">
        <f t="shared" si="207"/>
        <v>5.8250000000000028</v>
      </c>
      <c r="U226" s="104">
        <v>30</v>
      </c>
      <c r="V226" s="104">
        <f>('Renewable Diesel'!E235*'RD Feedstock Breakdown'!V$3*'Feedstock Conversion Rates'!B$6)/12-20+25-35</f>
        <v>14.250150000000012</v>
      </c>
      <c r="W226" s="104">
        <f>('Renewable Diesel'!E235*'RD Feedstock Breakdown'!W$3*'Feedstock Conversion Rates'!B$8)/12-6</f>
        <v>16.1796875</v>
      </c>
      <c r="X226" s="106">
        <f t="shared" si="185"/>
        <v>66.254837500000008</v>
      </c>
      <c r="Y226" s="104">
        <f t="shared" si="208"/>
        <v>126</v>
      </c>
      <c r="Z226" s="104">
        <f>('Renewable Diesel'!F235*'RD Feedstock Breakdown'!Z$3*'Feedstock Conversion Rates'!B$6)/12-50-32-60+15+30+22.5-70+75-30+3+5</f>
        <v>67.960000000000008</v>
      </c>
      <c r="AA226" s="104">
        <f>('Renewable Diesel'!F235*'RD Feedstock Breakdown'!AA$3*'Feedstock Conversion Rates'!B$7)/12+80-171+75+30-50-1+2.5</f>
        <v>69.766666666666652</v>
      </c>
      <c r="AB226" s="106">
        <f t="shared" si="137"/>
        <v>263.72666666666669</v>
      </c>
      <c r="AC226" s="104">
        <f>('Renewable Diesel'!G235*'RD Feedstock Breakdown'!AC$3*'Feedstock Conversion Rates'!B$5)/12+2</f>
        <v>13.796875</v>
      </c>
      <c r="AD226" s="104">
        <f>('Renewable Diesel'!G235*'RD Feedstock Breakdown'!AD$3*'Feedstock Conversion Rates'!B$4)/12</f>
        <v>5.859375</v>
      </c>
      <c r="AE226" s="104">
        <f>('Renewable Diesel'!G235*'RD Feedstock Breakdown'!AE$3*'Feedstock Conversion Rates'!B$6)/12-2</f>
        <v>5.3281250000000009</v>
      </c>
      <c r="AF226" s="106">
        <f t="shared" si="198"/>
        <v>24.984375</v>
      </c>
      <c r="AG226" s="104">
        <f t="shared" si="211"/>
        <v>16.5</v>
      </c>
      <c r="AH226" s="104">
        <v>125</v>
      </c>
      <c r="AI226" s="104">
        <f>('Renewable Diesel'!H235*'RD Feedstock Breakdown'!AI$3*'Feedstock Conversion Rates'!B$6)/12-130-20+51-120+2.5+100-45+20</f>
        <v>7.0166666666666799</v>
      </c>
      <c r="AJ226" s="106">
        <f t="shared" si="145"/>
        <v>23.51666666666668</v>
      </c>
      <c r="AK226" s="104">
        <f>('Renewable Diesel'!J235*'RD Feedstock Breakdown'!AK$3*'Feedstock Conversion Rates'!B$4)/12</f>
        <v>95.8125</v>
      </c>
      <c r="AL226" s="106">
        <f t="shared" si="157"/>
        <v>95.8125</v>
      </c>
      <c r="AM226" s="104">
        <f>('Renewable Diesel'!K235*'RD Feedstock Breakdown'!AM$3*'Feedstock Conversion Rates'!B$4)/12+5+15-10+9-27</f>
        <v>50.59375</v>
      </c>
      <c r="AN226" s="104">
        <f>('Renewable Diesel'!K235*'RD Feedstock Breakdown'!AN$3*'Feedstock Conversion Rates'!B$6)/12-5-15+10-9+27</f>
        <v>32.427083333333329</v>
      </c>
      <c r="AO226" s="106">
        <f t="shared" si="173"/>
        <v>83.020833333333329</v>
      </c>
      <c r="AP226" s="104">
        <f>('Renewable Diesel'!L235*'RD Feedstock Breakdown'!AP$3*'Feedstock Conversion Rates'!B$4)/12+15-10+5+9</f>
        <v>77.59375</v>
      </c>
      <c r="AQ226" s="104">
        <f>('Renewable Diesel'!L235*'RD Feedstock Breakdown'!AQ$3*'Feedstock Conversion Rates'!B$6)/12-15+10-5-9</f>
        <v>5.4270833333333321</v>
      </c>
      <c r="AR226" s="106">
        <f t="shared" si="162"/>
        <v>83.020833333333329</v>
      </c>
      <c r="AS226" s="104">
        <f>('Renewable Diesel'!M235*'RD Feedstock Breakdown'!AS$3*'Feedstock Conversion Rates'!B$4)/12</f>
        <v>456.25</v>
      </c>
      <c r="AT226" s="104">
        <f>('Renewable Diesel'!M235*'RD Feedstock Breakdown'!AT$3*'Feedstock Conversion Rates'!B$5)/12</f>
        <v>0</v>
      </c>
      <c r="AU226" s="106">
        <f t="shared" si="201"/>
        <v>456.25</v>
      </c>
      <c r="AV226" s="104">
        <f>'Renewable Diesel'!N235*'RD Feedstock Breakdown'!$AV$3*'Feedstock Conversion Rates'!$B$4/12-15-10+25+25-22-10-30</f>
        <v>41.749999999999986</v>
      </c>
      <c r="AW226" s="104">
        <f>'Renewable Diesel'!N235*'RD Feedstock Breakdown'!$AW$3*'Feedstock Conversion Rates'!$B$7/12+15+10-25-25+22+10+30</f>
        <v>78.400000000000006</v>
      </c>
      <c r="AX226" s="106">
        <f t="shared" si="141"/>
        <v>120.14999999999999</v>
      </c>
      <c r="AY226" s="104">
        <f>('Renewable Diesel'!O235*'RD Feedstock Breakdown'!AY$3*'Feedstock Conversion Rates'!B$4)/12+32+2-135-247+50</f>
        <v>-87.0625</v>
      </c>
      <c r="AZ226" s="104">
        <f>('Renewable Diesel'!O235*'RD Feedstock Breakdown'!AZ$3*'Feedstock Conversion Rates'!B$3)/12-32-2+135+247-50</f>
        <v>323.03125</v>
      </c>
      <c r="BA226" s="106">
        <f t="shared" si="217"/>
        <v>235.96875</v>
      </c>
      <c r="BB226" s="104">
        <f>('Renewable Diesel'!Q235*'RD Feedstock Breakdown'!BB$3*'Feedstock Conversion Rates'!B$4)/12</f>
        <v>11.156249999999998</v>
      </c>
      <c r="BC226" s="104">
        <f>('Renewable Diesel'!Q235*'RD Feedstock Breakdown'!BC$3*'Feedstock Conversion Rates'!B$3)/12</f>
        <v>1.4017500000000001</v>
      </c>
      <c r="BD226" s="104">
        <f>('Renewable Diesel'!Q235*'RD Feedstock Breakdown'!BD$3*'Feedstock Conversion Rates'!B$6)/12</f>
        <v>0.8207500000000002</v>
      </c>
      <c r="BE226" s="106">
        <f t="shared" si="189"/>
        <v>13.378749999999998</v>
      </c>
      <c r="BF226" s="104">
        <f>('Renewable Diesel'!R235*'RD Feedstock Breakdown'!BF$3*'Feedstock Conversion Rates'!B$4)/12</f>
        <v>62.5</v>
      </c>
      <c r="BG226" s="106">
        <f t="shared" si="167"/>
        <v>62.5</v>
      </c>
      <c r="BH226" s="104">
        <f>('Renewable Diesel'!T235*'RD Feedstock Breakdown'!BH$3*'Feedstock Conversion Rates'!B$7)/12</f>
        <v>27.599999999999998</v>
      </c>
      <c r="BI226" s="106">
        <f t="shared" si="144"/>
        <v>27.599999999999998</v>
      </c>
      <c r="BJ226" s="104">
        <f>('Renewable Diesel'!W235*'RD Feedstock Breakdown'!BJ$3*'Feedstock Conversion Rates'!B$4)/12</f>
        <v>7.5</v>
      </c>
      <c r="BK226" s="104">
        <f>('Renewable Diesel'!W235*'RD Feedstock Breakdown'!BK$3*'Feedstock Conversion Rates'!B$3)/12</f>
        <v>1.335</v>
      </c>
      <c r="BL226" s="104">
        <f>('Renewable Diesel'!W235*'RD Feedstock Breakdown'!BL$3*'Feedstock Conversion Rates'!B$6)/12</f>
        <v>3.1266666666666669</v>
      </c>
      <c r="BM226" s="104">
        <f>('Renewable Diesel'!W235*'RD Feedstock Breakdown'!BM$3*'Feedstock Conversion Rates'!B$7)/12</f>
        <v>1.5333333333333332</v>
      </c>
      <c r="BN226" s="106">
        <f t="shared" si="209"/>
        <v>13.495000000000001</v>
      </c>
      <c r="BO226" s="104">
        <f>('Renewable Diesel'!P235*'Feedstock Conversion Rates'!B$4)/12</f>
        <v>31.25</v>
      </c>
      <c r="BP226" s="106">
        <f t="shared" si="199"/>
        <v>31.25</v>
      </c>
      <c r="BQ226" s="104">
        <f>('Renewable Diesel'!$S235*'RD Feedstock Breakdown'!BQ$3*'Feedstock Conversion Rates'!B$4)/12+10</f>
        <v>38.125</v>
      </c>
      <c r="BR226" s="104">
        <f>('Renewable Diesel'!$S235*'RD Feedstock Breakdown'!BR$3*'Feedstock Conversion Rates'!B$7)/12-10</f>
        <v>1.5</v>
      </c>
      <c r="BS226" s="106">
        <f t="shared" si="123"/>
        <v>39.625</v>
      </c>
      <c r="BT226" s="106"/>
      <c r="BU226" s="104">
        <f>('Renewable Diesel'!Y235*'Feedstock Conversion Rates'!B$7)/12</f>
        <v>2.6833333333333331</v>
      </c>
      <c r="BV226" s="106">
        <f t="shared" si="191"/>
        <v>2.6833333333333331</v>
      </c>
      <c r="BW226" s="104">
        <f>('Renewable Diesel'!$Z235*'RD Feedstock Breakdown'!BW$3*'Feedstock Conversion Rates'!$B$4)/12</f>
        <v>53.90625</v>
      </c>
      <c r="BX226" s="104">
        <f>('Renewable Diesel'!$Z235*'RD Feedstock Breakdown'!BX$3*'Feedstock Conversion Rates'!$B$5)/12</f>
        <v>5.4265624999999993</v>
      </c>
      <c r="BY226" s="104">
        <f>('Renewable Diesel'!$Z235*'RD Feedstock Breakdown'!BY$3*'Feedstock Conversion Rates'!$B$7)/12</f>
        <v>46.287499999999994</v>
      </c>
      <c r="BZ226" s="104">
        <f>('Renewable Diesel'!$Z235*'RD Feedstock Breakdown'!BZ$3*'Feedstock Conversion Rates'!$B$3)/12</f>
        <v>11.514374999999999</v>
      </c>
      <c r="CA226" s="106">
        <f t="shared" si="127"/>
        <v>117.1346875</v>
      </c>
      <c r="CB226" s="104">
        <f>('Renewable Diesel'!AA235*'Feedstock Conversion Rates'!B$4)/12</f>
        <v>191.25</v>
      </c>
      <c r="CC226" s="106">
        <f t="shared" si="213"/>
        <v>191.25</v>
      </c>
      <c r="CD226" s="104">
        <f>('Renewable Diesel'!$AB235*'RD Feedstock Breakdown'!CD$3*'Feedstock Conversion Rates'!$B$6)/12-15</f>
        <v>17.830000000000005</v>
      </c>
      <c r="CE226" s="104">
        <f>('Renewable Diesel'!$AB235*'RD Feedstock Breakdown'!CE$3*'Feedstock Conversion Rates'!$B$4)/12+15</f>
        <v>26.25</v>
      </c>
      <c r="CF226" s="106">
        <f t="shared" si="205"/>
        <v>44.080000000000005</v>
      </c>
      <c r="CG226" s="104">
        <f>('Renewable Diesel'!AD235*'Feedstock Conversion Rates'!B$4)/12</f>
        <v>112.5</v>
      </c>
      <c r="CH226" s="106">
        <f t="shared" si="187"/>
        <v>112.5</v>
      </c>
      <c r="CI226" s="104">
        <f>('Renewable Diesel'!$AE235*'RD Feedstock Breakdown'!CI$3*'Feedstock Conversion Rates'!$B$5)/12</f>
        <v>0.34604166666666664</v>
      </c>
      <c r="CJ226" s="104">
        <f>('Renewable Diesel'!$AE235*'RD Feedstock Breakdown'!CJ$3*'Feedstock Conversion Rates'!$B$4)/12</f>
        <v>0.34375</v>
      </c>
      <c r="CK226" s="106">
        <f t="shared" si="200"/>
        <v>0.68979166666666658</v>
      </c>
      <c r="CL226" s="104">
        <f>(((CL$3*'Renewable Diesel'!$AF235)*'Feedstock Conversion Rates'!$B$3)/12)-35</f>
        <v>56.78125</v>
      </c>
      <c r="CM226" s="104">
        <f>(((CM$3*'Renewable Diesel'!$AF235)*'Feedstock Conversion Rates'!$B$6)/12)-32.5+35+30</f>
        <v>86.239583333333343</v>
      </c>
      <c r="CN226" s="104">
        <f>(((CN$3*'Renewable Diesel'!$AF235)*'Feedstock Conversion Rates'!$B$4)/12)</f>
        <v>42.96875</v>
      </c>
      <c r="CO226" s="106">
        <f t="shared" si="190"/>
        <v>185.98958333333334</v>
      </c>
      <c r="CP226" s="104">
        <f>('Renewable Diesel'!$AG235*'RD Feedstock Breakdown'!CP$3*'Feedstock Conversion Rates'!$B$3)/12</f>
        <v>6.0075000000000003</v>
      </c>
      <c r="CQ226" s="104">
        <f>('Renewable Diesel'!$AG235*'RD Feedstock Breakdown'!CQ$3*'Feedstock Conversion Rates'!$B$6)/12</f>
        <v>3.5175000000000001</v>
      </c>
      <c r="CR226" s="104">
        <f>('Renewable Diesel'!$AG235*'RD Feedstock Breakdown'!CR$3*'Feedstock Conversion Rates'!$B$4)/12</f>
        <v>2.8125</v>
      </c>
      <c r="CS226" s="106">
        <f t="shared" si="134"/>
        <v>12.3375</v>
      </c>
      <c r="CT226" s="104">
        <f>('Renewable Diesel'!AI235*'Feedstock Conversion Rates'!$B$4*'RD Feedstock Breakdown'!$CT$3)/12</f>
        <v>29.375</v>
      </c>
      <c r="CU226" s="106">
        <f t="shared" si="196"/>
        <v>29.375</v>
      </c>
      <c r="CV226" s="104">
        <f>('Renewable Diesel'!AN235*'Feedstock Conversion Rates'!$B$3*'RD Feedstock Breakdown'!$CV$3)/12</f>
        <v>0.50062499999999999</v>
      </c>
      <c r="CW226" s="106">
        <f t="shared" si="161"/>
        <v>0.50062499999999999</v>
      </c>
      <c r="CX226" s="104">
        <f>('Renewable Diesel'!AO235*'RD Feedstock Breakdown'!$CX$3*'Feedstock Conversion Rates'!$B$3)/12</f>
        <v>6.3412499999999996</v>
      </c>
      <c r="CY226" s="104">
        <f>('Renewable Diesel'!AO235*'RD Feedstock Breakdown'!$CY$3*'Feedstock Conversion Rates'!$B$6)/12</f>
        <v>7.4258333333333342</v>
      </c>
      <c r="CZ226" s="106">
        <f t="shared" si="135"/>
        <v>13.767083333333334</v>
      </c>
      <c r="DA226" s="104">
        <f>('Renewable Diesel'!$AP235*'RD Feedstock Breakdown'!DA$3*'Feedstock Conversion Rates'!$B$3)/12</f>
        <v>6.3412499999999996</v>
      </c>
      <c r="DB226" s="104">
        <f>('Renewable Diesel'!$AP235*'RD Feedstock Breakdown'!DB$3*'Feedstock Conversion Rates'!$B$8)/12</f>
        <v>7.421875</v>
      </c>
      <c r="DC226" s="106">
        <f t="shared" si="165"/>
        <v>13.763124999999999</v>
      </c>
      <c r="DD226" s="104">
        <f>('Renewable Diesel'!AQ235*$DD$3*'Feedstock Conversion Rates'!$B$14)/12</f>
        <v>3.1041666666666665</v>
      </c>
      <c r="DE226" s="106">
        <f t="shared" si="166"/>
        <v>3.1041666666666665</v>
      </c>
      <c r="DF226" s="104">
        <f>('Renewable Diesel'!AR235*'Feedstock Conversion Rates'!$B$4*$DF$3)/12</f>
        <v>75</v>
      </c>
      <c r="DG226" s="106">
        <f t="shared" si="136"/>
        <v>75</v>
      </c>
      <c r="DH226" s="104">
        <f>('Renewable Diesel'!AS235*'Feedstock Conversion Rates'!$B$4*$DH$3)/12</f>
        <v>75</v>
      </c>
      <c r="DI226" s="106">
        <f t="shared" si="142"/>
        <v>75</v>
      </c>
      <c r="DJ226" s="104">
        <f>('Renewable Diesel'!AT235*'Feedstock Conversion Rates'!$B$4*0.25)/12</f>
        <v>8.59375</v>
      </c>
      <c r="DK226" s="104">
        <f>('Renewable Diesel'!$AT235*'RD Feedstock Breakdown'!DK$3*'Feedstock Conversion Rates'!$B$3)/12*0.5</f>
        <v>9.1781249999999996</v>
      </c>
      <c r="DL226" s="104">
        <f>('Renewable Diesel'!$AT235*'RD Feedstock Breakdown'!$DL$3*'Feedstock Conversion Rates'!$B$6)/12</f>
        <v>10.747916666666669</v>
      </c>
      <c r="DM226" s="104">
        <f>('Renewable Diesel'!$AT235*'RD Feedstock Breakdown'!$DM$3*'Feedstock Conversion Rates'!$B$8)/12</f>
        <v>10.7421875</v>
      </c>
      <c r="DN226" s="106">
        <f t="shared" si="210"/>
        <v>39.26197916666667</v>
      </c>
      <c r="DP226" s="104">
        <f t="shared" si="168"/>
        <v>8.470249999999993</v>
      </c>
      <c r="DQ226" s="104">
        <f t="shared" si="169"/>
        <v>717.27964250000002</v>
      </c>
      <c r="DR226" s="104">
        <f t="shared" si="174"/>
        <v>1848.234375</v>
      </c>
      <c r="DS226" s="104">
        <f t="shared" si="197"/>
        <v>83.592395833333327</v>
      </c>
      <c r="DT226" s="104">
        <f t="shared" si="170"/>
        <v>269.53923333333341</v>
      </c>
      <c r="DU226" s="104">
        <f t="shared" si="171"/>
        <v>251.72693333333333</v>
      </c>
      <c r="DV226" s="104">
        <f t="shared" si="175"/>
        <v>30.75</v>
      </c>
      <c r="DW226" s="104">
        <f t="shared" si="172"/>
        <v>2.5</v>
      </c>
      <c r="DX226" s="106">
        <f t="shared" si="176"/>
        <v>3212.09283</v>
      </c>
      <c r="DY226" s="109">
        <f t="shared" si="163"/>
        <v>-125.00000000000014</v>
      </c>
      <c r="EA226" s="110">
        <f t="shared" si="218"/>
        <v>2.6369879229175305E-3</v>
      </c>
      <c r="EB226" s="110">
        <f t="shared" si="219"/>
        <v>0.22330601276551526</v>
      </c>
      <c r="EC226" s="110">
        <f t="shared" si="220"/>
        <v>0.5753988047101366</v>
      </c>
      <c r="ED226" s="110">
        <f t="shared" si="146"/>
        <v>2.6024277708478719E-2</v>
      </c>
      <c r="EE226" s="110">
        <f t="shared" si="146"/>
        <v>8.3913899005631606E-2</v>
      </c>
      <c r="EF226" s="110">
        <f t="shared" si="146"/>
        <v>7.8368511327654669E-2</v>
      </c>
      <c r="EG226" s="110">
        <f t="shared" si="146"/>
        <v>9.5731977957810143E-3</v>
      </c>
      <c r="EH226" s="111">
        <f t="shared" si="177"/>
        <v>7.7830876388463525E-4</v>
      </c>
      <c r="EI226" s="110">
        <f t="shared" si="178"/>
        <v>0.99922169123611537</v>
      </c>
      <c r="EK226" s="132">
        <f>(EA226*'Renewable Diesel'!BF235*'Feedstock Conversion Rates'!B$2)+FB226</f>
        <v>9.5451880120453101</v>
      </c>
      <c r="EL226" s="132">
        <f>(EB226*'Renewable Diesel'!BF235*'Feedstock Conversion Rates'!B$3)+FC226</f>
        <v>761.71122179461986</v>
      </c>
      <c r="EM226" s="132">
        <f>(EC226*'Renewable Diesel'!BF235*'Feedstock Conversion Rates'!B$4)+FD226</f>
        <v>1837.7551117180101</v>
      </c>
      <c r="EN226" s="132">
        <f>(ED226*'Renewable Diesel'!BF235*'Feedstock Conversion Rates'!B$5)+FE226</f>
        <v>83.672560067904456</v>
      </c>
      <c r="EO226" s="132">
        <f>(EE226*'Renewable Diesel'!BF235*'Feedstock Conversion Rates'!B$6)+FF226</f>
        <v>335.19239746646673</v>
      </c>
      <c r="EP226" s="132">
        <f>(EF226*'Renewable Diesel'!BF235*'Feedstock Conversion Rates'!B$7)+FG226</f>
        <v>307.03426475061099</v>
      </c>
      <c r="EQ226" s="132">
        <f>(EG226*'Renewable Diesel'!BF235*'Feedstock Conversion Rates'!B$8)+FH226</f>
        <v>38.219564067279627</v>
      </c>
      <c r="ER226" s="132">
        <f>(EH226*'Renewable Diesel'!BF235*'Feedstock Conversion Rates'!B$9)+FI226</f>
        <v>3.0658512097329997</v>
      </c>
      <c r="ES226" s="132">
        <f t="shared" si="179"/>
        <v>3376.1961590866699</v>
      </c>
      <c r="ET226" s="133">
        <f>ES226/'Renewable Diesel'!BF235</f>
        <v>7.9281206539102422</v>
      </c>
      <c r="EW226" s="73">
        <f t="shared" si="124"/>
        <v>1921.4276717859145</v>
      </c>
      <c r="EX226" s="73">
        <f t="shared" si="125"/>
        <v>1454.7684873007556</v>
      </c>
      <c r="EY226" s="92">
        <f t="shared" si="164"/>
        <v>0.56911020013295077</v>
      </c>
      <c r="EZ226" s="92">
        <f t="shared" si="164"/>
        <v>0.43088979986704928</v>
      </c>
      <c r="FB226" s="102">
        <f>IF('Renewable Diesel'!$BG235&lt;1,0,(((('Renewable Diesel'!$BG235-1)*'Renewable Diesel'!$BF235)*'RD Feedstock Breakdown'!EA226)*'Feedstock Conversion Rates'!$B$2))</f>
        <v>0</v>
      </c>
      <c r="FC226" s="102">
        <f>IF('Renewable Diesel'!$BG235&lt;1,0,(((('Renewable Diesel'!$BG235-1)*'Renewable Diesel'!$BF235)*'RD Feedstock Breakdown'!EB226)*'Feedstock Conversion Rates'!$B$3))</f>
        <v>0</v>
      </c>
      <c r="FD226" s="102">
        <f>IF('Renewable Diesel'!$BG235&lt;1,0,(((('Renewable Diesel'!$BG235-1)*'Renewable Diesel'!$BF235)*'RD Feedstock Breakdown'!EC226)*'Feedstock Conversion Rates'!$B$4))</f>
        <v>0</v>
      </c>
      <c r="FE226" s="102">
        <f>IF('Renewable Diesel'!$BG235&lt;1,0,(((('Renewable Diesel'!$BG235-1)*'Renewable Diesel'!$BF235)*'RD Feedstock Breakdown'!ED226)*'Feedstock Conversion Rates'!$B$5))</f>
        <v>0</v>
      </c>
      <c r="FF226" s="102">
        <f>IF('Renewable Diesel'!$BG235&lt;1,0,(((('Renewable Diesel'!$BG235-1)*'Renewable Diesel'!$BF235)*'RD Feedstock Breakdown'!EE226)*'Feedstock Conversion Rates'!$B$6))</f>
        <v>0</v>
      </c>
      <c r="FG226" s="102">
        <f>IF('Renewable Diesel'!$BG235&lt;1,0,(((('Renewable Diesel'!$BG235-1)*'Renewable Diesel'!$BF235)*'RD Feedstock Breakdown'!EF226)*'Feedstock Conversion Rates'!$B$7))</f>
        <v>0</v>
      </c>
      <c r="FH226" s="102">
        <f>IF('Renewable Diesel'!$BG235&lt;1,0,(((('Renewable Diesel'!$BG235-1)*'Renewable Diesel'!$BF235)*'RD Feedstock Breakdown'!EG226)*'Feedstock Conversion Rates'!$B$8))</f>
        <v>0</v>
      </c>
      <c r="FI226" s="102">
        <f>IF('Renewable Diesel'!$BG235&lt;1,0,(((('Renewable Diesel'!$BG235-1)*'Renewable Diesel'!$BF235)*'RD Feedstock Breakdown'!EH226)*'Feedstock Conversion Rates'!$B$9))</f>
        <v>0</v>
      </c>
      <c r="FJ226" s="102">
        <f t="shared" si="126"/>
        <v>0</v>
      </c>
      <c r="FL226" s="3">
        <f>('Renewable Diesel'!AX235/12*$FO$80)*'RD Feedstock Breakdown'!EC226*7.5</f>
        <v>1738.3698749046848</v>
      </c>
      <c r="FM226" s="3">
        <f t="shared" si="193"/>
        <v>-99.385236813325264</v>
      </c>
      <c r="FR226" s="3">
        <f>('Renewable Diesel'!AX235-'Renewable Diesel'!BI235)/12*$FO$80</f>
        <v>54.415874999999872</v>
      </c>
      <c r="FS226" s="100">
        <f t="shared" si="194"/>
        <v>0.5753988047101366</v>
      </c>
      <c r="FT226" s="3">
        <f t="shared" si="195"/>
        <v>234.83122074192099</v>
      </c>
      <c r="FY226" s="3">
        <f>'Renewable Diesel'!BF235*('Renewable Diesel'!BI235/'Renewable Diesel'!AX235)</f>
        <v>368.3238411694291</v>
      </c>
      <c r="FZ226" s="3">
        <f>('Renewable Diesel'!BJ235*'Renewable Diesel'!BG235)/12</f>
        <v>58.3258978353524</v>
      </c>
      <c r="GA226" s="3">
        <f t="shared" si="202"/>
        <v>251.70488923580487</v>
      </c>
      <c r="GD226" s="91">
        <f>'Renewable Diesel'!BB235*0.32</f>
        <v>0</v>
      </c>
      <c r="GE226" s="91">
        <f>'Renewable Diesel'!BC235</f>
        <v>195.03361743180668</v>
      </c>
      <c r="GF226" s="91">
        <f>'Renewable Diesel'!BD235</f>
        <v>0</v>
      </c>
      <c r="GG226" s="91">
        <f t="shared" si="206"/>
        <v>195.03361743180668</v>
      </c>
      <c r="GH226" s="124">
        <v>1</v>
      </c>
      <c r="GI226" s="102">
        <f>$GG226*EA226*'Feedstock Conversion Rates'!$B$2</f>
        <v>4.3715609967100333</v>
      </c>
      <c r="GJ226" s="102">
        <f>$GG226*EB226*'Feedstock Conversion Rates'!$B$3</f>
        <v>348.85295750609248</v>
      </c>
      <c r="GK226" s="102">
        <f>$GG226*EC226*'Feedstock Conversion Rates'!$B$4</f>
        <v>841.66582761416714</v>
      </c>
      <c r="GL226" s="102">
        <f>$GG226*ED226*'Feedstock Conversion Rates'!$B$5</f>
        <v>38.320848120135722</v>
      </c>
      <c r="GM226" s="102">
        <f>$GG226*EE226*'Feedstock Conversion Rates'!$B$6</f>
        <v>153.51337336771331</v>
      </c>
      <c r="GN226" s="102">
        <f>$GG226*EF226*'Feedstock Conversion Rates'!$B$7</f>
        <v>140.61734716419767</v>
      </c>
      <c r="GO226" s="102">
        <f>$GG226*EG226*'Feedstock Conversion Rates'!$B$8</f>
        <v>17.504019342200337</v>
      </c>
      <c r="GP226" s="102">
        <f>$GG226*EH226*'Feedstock Conversion Rates'!B$9</f>
        <v>1.4041164567185092</v>
      </c>
      <c r="GQ226" s="102">
        <f t="shared" si="180"/>
        <v>1546.2500505679354</v>
      </c>
      <c r="GR226" s="85">
        <f t="shared" si="204"/>
        <v>7.928120653910244</v>
      </c>
      <c r="GT226" s="103">
        <f t="shared" si="159"/>
        <v>2.8272018455904762E-3</v>
      </c>
      <c r="GU226" s="103">
        <f t="shared" si="159"/>
        <v>0.22561225293280304</v>
      </c>
      <c r="GV226" s="103">
        <f t="shared" si="159"/>
        <v>0.54432711404279321</v>
      </c>
      <c r="GW226" s="103">
        <f t="shared" si="159"/>
        <v>2.4783086090157627E-2</v>
      </c>
      <c r="GX226" s="103">
        <f t="shared" si="158"/>
        <v>9.9281078963475614E-2</v>
      </c>
      <c r="GY226" s="103">
        <f t="shared" si="158"/>
        <v>9.0940884440100192E-2</v>
      </c>
      <c r="GZ226" s="103">
        <f t="shared" si="158"/>
        <v>1.1320303165565712E-2</v>
      </c>
      <c r="HA226" s="103">
        <f t="shared" si="158"/>
        <v>9.0807851951421419E-4</v>
      </c>
    </row>
    <row r="227" spans="1:209" x14ac:dyDescent="0.25">
      <c r="A227" s="96">
        <v>47331</v>
      </c>
      <c r="B227" s="104">
        <f>23-20+10+85-5-4-4-1.25+2.25-5+15-6-25-45+65+15-22.5-50+40+16.5+27.5+168+80+14-30+15-50-19+22.5-10+5+11-25-50-12.5-27.5-10+10+2+4-1.5+12-26-15-50-15+10-32.5-3-5-2.5-1+5+10-50-35-9-0.5+25+15+25+20+15+85-25+12.5-52.5+10+20-150+20-20+55-25-25+20-10+200+5</f>
        <v>220</v>
      </c>
      <c r="C227" s="104">
        <f t="shared" si="212"/>
        <v>30</v>
      </c>
      <c r="D227" s="104">
        <f t="shared" si="192"/>
        <v>1.5</v>
      </c>
      <c r="E227" s="104">
        <f>('Renewable Diesel'!B236*E$3*'Feedstock Conversion Rates'!$B$2)/12-40+1.25+6-43+30-15+12.5-4+1.5+26+2.5+3-10+50+9-15-25-55+15+45+10-50+60-60-44</f>
        <v>0.67999999999999261</v>
      </c>
      <c r="F227" s="104">
        <f>('Renewable Diesel'!B236*'RD Feedstock Breakdown'!F$3*'Feedstock Conversion Rates'!B$8)/12+28.5-49-5+2-6+1+6+20-20-3.75+10+2.5+5-20-20-5</f>
        <v>0.15625</v>
      </c>
      <c r="G227" s="104">
        <f>('Renewable Diesel'!B236*'RD Feedstock Breakdown'!G$3*'Feedstock Conversion Rates'!B$7)/12-25-15-25+4+4-20-40-20+10-17.5+20+50-12+32.5+35-75-75+22.5+5-20+15+125-10-45-10-40-40</f>
        <v>9.6570000000000107</v>
      </c>
      <c r="H227" s="104">
        <f>('Renewable Diesel'!B236*'RD Feedstock Breakdown'!H$3*'Feedstock Conversion Rates'!B$3)/12-85+4-15+70-65-80+50-22.5-5+25+27.5+15+50+15-10+5+50+75-5-25-85-12.5+30+22.5-25-30+150+90-120+25+10+70+15+44-200</f>
        <v>234.40022499999998</v>
      </c>
      <c r="I227" s="106">
        <f t="shared" si="203"/>
        <v>496.39347499999997</v>
      </c>
      <c r="J227" s="104">
        <f t="shared" si="214"/>
        <v>1.5</v>
      </c>
      <c r="K227" s="104">
        <f t="shared" si="215"/>
        <v>0</v>
      </c>
      <c r="L227" s="104">
        <v>1</v>
      </c>
      <c r="M227" s="104">
        <f>('Renewable Diesel'!C236*'RD Feedstock Breakdown'!M$3*'Feedstock Conversion Rates'!B$2)/12</f>
        <v>7.7902500000000003</v>
      </c>
      <c r="N227" s="104">
        <f>('Renewable Diesel'!C236*'RD Feedstock Breakdown'!N$3*'Feedstock Conversion Rates'!B$8)/12</f>
        <v>3.671875</v>
      </c>
      <c r="O227" s="104">
        <f>('Renewable Diesel'!C236*'RD Feedstock Breakdown'!O$3*'Feedstock Conversion Rates'!B$7)/12</f>
        <v>11.9991</v>
      </c>
      <c r="P227" s="104">
        <f>('Renewable Diesel'!C236*'RD Feedstock Breakdown'!P$3*'Feedstock Conversion Rates'!B$3)/12</f>
        <v>10.4470425</v>
      </c>
      <c r="Q227" s="106">
        <f t="shared" si="216"/>
        <v>36.408267500000001</v>
      </c>
      <c r="R227" s="104">
        <f>('Renewable Diesel'!D236*'RD Feedstock Breakdown'!R$3*'Feedstock Conversion Rates'!B$7)/12</f>
        <v>2.2999999999999998</v>
      </c>
      <c r="S227" s="106">
        <f t="shared" si="148"/>
        <v>2.2999999999999998</v>
      </c>
      <c r="T227" s="104">
        <f t="shared" si="207"/>
        <v>5.8250000000000028</v>
      </c>
      <c r="U227" s="104">
        <v>30</v>
      </c>
      <c r="V227" s="104">
        <f>('Renewable Diesel'!E236*'RD Feedstock Breakdown'!V$3*'Feedstock Conversion Rates'!B$6)/12-20+25-35</f>
        <v>14.250150000000012</v>
      </c>
      <c r="W227" s="104">
        <f>('Renewable Diesel'!E236*'RD Feedstock Breakdown'!W$3*'Feedstock Conversion Rates'!B$8)/12-6</f>
        <v>16.1796875</v>
      </c>
      <c r="X227" s="106">
        <f t="shared" si="185"/>
        <v>66.254837500000008</v>
      </c>
      <c r="Y227" s="104">
        <f t="shared" si="208"/>
        <v>126</v>
      </c>
      <c r="Z227" s="104">
        <f>('Renewable Diesel'!F236*'RD Feedstock Breakdown'!Z$3*'Feedstock Conversion Rates'!B$6)/12-50-32-60+15+30+22.5-70+75-30+3+5</f>
        <v>67.960000000000008</v>
      </c>
      <c r="AA227" s="104">
        <f>('Renewable Diesel'!F236*'RD Feedstock Breakdown'!AA$3*'Feedstock Conversion Rates'!B$7)/12+80-171+75+30-50-1+2.5</f>
        <v>69.766666666666652</v>
      </c>
      <c r="AB227" s="106">
        <f t="shared" si="137"/>
        <v>263.72666666666669</v>
      </c>
      <c r="AC227" s="104">
        <f>('Renewable Diesel'!G236*'RD Feedstock Breakdown'!AC$3*'Feedstock Conversion Rates'!B$5)/12+2</f>
        <v>13.796875</v>
      </c>
      <c r="AD227" s="104">
        <f>('Renewable Diesel'!G236*'RD Feedstock Breakdown'!AD$3*'Feedstock Conversion Rates'!B$4)/12</f>
        <v>5.859375</v>
      </c>
      <c r="AE227" s="104">
        <f>('Renewable Diesel'!G236*'RD Feedstock Breakdown'!AE$3*'Feedstock Conversion Rates'!B$6)/12-2</f>
        <v>5.3281250000000009</v>
      </c>
      <c r="AF227" s="106">
        <f t="shared" si="198"/>
        <v>24.984375</v>
      </c>
      <c r="AG227" s="104">
        <f t="shared" si="211"/>
        <v>16.5</v>
      </c>
      <c r="AH227" s="104">
        <v>125</v>
      </c>
      <c r="AI227" s="104">
        <f>('Renewable Diesel'!H236*'RD Feedstock Breakdown'!AI$3*'Feedstock Conversion Rates'!B$6)/12-130-20+51-120+2.5+100-45+20</f>
        <v>7.0166666666666799</v>
      </c>
      <c r="AJ227" s="106">
        <f t="shared" si="145"/>
        <v>23.51666666666668</v>
      </c>
      <c r="AK227" s="104">
        <f>('Renewable Diesel'!J236*'RD Feedstock Breakdown'!AK$3*'Feedstock Conversion Rates'!B$4)/12</f>
        <v>95.8125</v>
      </c>
      <c r="AL227" s="106">
        <f t="shared" si="157"/>
        <v>95.8125</v>
      </c>
      <c r="AM227" s="104">
        <f>('Renewable Diesel'!K236*'RD Feedstock Breakdown'!AM$3*'Feedstock Conversion Rates'!B$4)/12+5+15-10+9-27</f>
        <v>50.59375</v>
      </c>
      <c r="AN227" s="104">
        <f>('Renewable Diesel'!K236*'RD Feedstock Breakdown'!AN$3*'Feedstock Conversion Rates'!B$6)/12-5-15+10-9+27</f>
        <v>32.427083333333329</v>
      </c>
      <c r="AO227" s="106">
        <f t="shared" si="173"/>
        <v>83.020833333333329</v>
      </c>
      <c r="AP227" s="104">
        <f>('Renewable Diesel'!L236*'RD Feedstock Breakdown'!AP$3*'Feedstock Conversion Rates'!B$4)/12+15-10+5+9</f>
        <v>77.59375</v>
      </c>
      <c r="AQ227" s="104">
        <f>('Renewable Diesel'!L236*'RD Feedstock Breakdown'!AQ$3*'Feedstock Conversion Rates'!B$6)/12-15+10-5-9</f>
        <v>5.4270833333333321</v>
      </c>
      <c r="AR227" s="106">
        <f t="shared" si="162"/>
        <v>83.020833333333329</v>
      </c>
      <c r="AS227" s="104">
        <f>('Renewable Diesel'!M236*'RD Feedstock Breakdown'!AS$3*'Feedstock Conversion Rates'!B$4)/12</f>
        <v>456.25</v>
      </c>
      <c r="AT227" s="104">
        <f>('Renewable Diesel'!M236*'RD Feedstock Breakdown'!AT$3*'Feedstock Conversion Rates'!B$5)/12</f>
        <v>0</v>
      </c>
      <c r="AU227" s="106">
        <f t="shared" si="201"/>
        <v>456.25</v>
      </c>
      <c r="AV227" s="104">
        <f>'Renewable Diesel'!N236*'RD Feedstock Breakdown'!$AV$3*'Feedstock Conversion Rates'!$B$4/12-15-10+25+25-22-10-30</f>
        <v>41.749999999999986</v>
      </c>
      <c r="AW227" s="104">
        <f>'Renewable Diesel'!N236*'RD Feedstock Breakdown'!$AW$3*'Feedstock Conversion Rates'!$B$7/12+15+10-25-25+22+10+30</f>
        <v>78.400000000000006</v>
      </c>
      <c r="AX227" s="106">
        <f t="shared" si="141"/>
        <v>120.14999999999999</v>
      </c>
      <c r="AY227" s="104">
        <f>('Renewable Diesel'!O236*'RD Feedstock Breakdown'!AY$3*'Feedstock Conversion Rates'!B$4)/12+32+2-135-247+50</f>
        <v>-87.0625</v>
      </c>
      <c r="AZ227" s="104">
        <f>('Renewable Diesel'!O236*'RD Feedstock Breakdown'!AZ$3*'Feedstock Conversion Rates'!B$3)/12-32-2+135+247-50</f>
        <v>323.03125</v>
      </c>
      <c r="BA227" s="106">
        <f t="shared" si="217"/>
        <v>235.96875</v>
      </c>
      <c r="BB227" s="104">
        <f>('Renewable Diesel'!Q236*'RD Feedstock Breakdown'!BB$3*'Feedstock Conversion Rates'!B$4)/12</f>
        <v>11.156249999999998</v>
      </c>
      <c r="BC227" s="104">
        <f>('Renewable Diesel'!Q236*'RD Feedstock Breakdown'!BC$3*'Feedstock Conversion Rates'!B$3)/12</f>
        <v>1.4017500000000001</v>
      </c>
      <c r="BD227" s="104">
        <f>('Renewable Diesel'!Q236*'RD Feedstock Breakdown'!BD$3*'Feedstock Conversion Rates'!B$6)/12</f>
        <v>0.8207500000000002</v>
      </c>
      <c r="BE227" s="106">
        <f t="shared" si="189"/>
        <v>13.378749999999998</v>
      </c>
      <c r="BF227" s="104">
        <f>('Renewable Diesel'!R236*'RD Feedstock Breakdown'!BF$3*'Feedstock Conversion Rates'!B$4)/12</f>
        <v>62.5</v>
      </c>
      <c r="BG227" s="106">
        <f t="shared" si="167"/>
        <v>62.5</v>
      </c>
      <c r="BH227" s="104">
        <f>('Renewable Diesel'!T236*'RD Feedstock Breakdown'!BH$3*'Feedstock Conversion Rates'!B$7)/12</f>
        <v>27.599999999999998</v>
      </c>
      <c r="BI227" s="106">
        <f t="shared" si="144"/>
        <v>27.599999999999998</v>
      </c>
      <c r="BJ227" s="104">
        <f>('Renewable Diesel'!W236*'RD Feedstock Breakdown'!BJ$3*'Feedstock Conversion Rates'!B$4)/12</f>
        <v>7.5</v>
      </c>
      <c r="BK227" s="104">
        <f>('Renewable Diesel'!W236*'RD Feedstock Breakdown'!BK$3*'Feedstock Conversion Rates'!B$3)/12</f>
        <v>1.335</v>
      </c>
      <c r="BL227" s="104">
        <f>('Renewable Diesel'!W236*'RD Feedstock Breakdown'!BL$3*'Feedstock Conversion Rates'!B$6)/12</f>
        <v>3.1266666666666669</v>
      </c>
      <c r="BM227" s="104">
        <f>('Renewable Diesel'!W236*'RD Feedstock Breakdown'!BM$3*'Feedstock Conversion Rates'!B$7)/12</f>
        <v>1.5333333333333332</v>
      </c>
      <c r="BN227" s="106">
        <f t="shared" si="209"/>
        <v>13.495000000000001</v>
      </c>
      <c r="BO227" s="104">
        <f>('Renewable Diesel'!P236*'Feedstock Conversion Rates'!B$4)/12</f>
        <v>31.25</v>
      </c>
      <c r="BP227" s="106">
        <f t="shared" si="199"/>
        <v>31.25</v>
      </c>
      <c r="BQ227" s="104">
        <f>('Renewable Diesel'!$S236*'RD Feedstock Breakdown'!BQ$3*'Feedstock Conversion Rates'!B$4)/12+10</f>
        <v>38.125</v>
      </c>
      <c r="BR227" s="104">
        <f>('Renewable Diesel'!$S236*'RD Feedstock Breakdown'!BR$3*'Feedstock Conversion Rates'!B$7)/12-10</f>
        <v>1.5</v>
      </c>
      <c r="BS227" s="106">
        <f t="shared" si="123"/>
        <v>39.625</v>
      </c>
      <c r="BT227" s="106"/>
      <c r="BU227" s="104">
        <f>('Renewable Diesel'!Y236*'Feedstock Conversion Rates'!B$7)/12</f>
        <v>2.6833333333333331</v>
      </c>
      <c r="BV227" s="106">
        <f t="shared" si="191"/>
        <v>2.6833333333333331</v>
      </c>
      <c r="BW227" s="104">
        <f>('Renewable Diesel'!$Z236*'RD Feedstock Breakdown'!BW$3*'Feedstock Conversion Rates'!$B$4)/12</f>
        <v>53.90625</v>
      </c>
      <c r="BX227" s="104">
        <f>('Renewable Diesel'!$Z236*'RD Feedstock Breakdown'!BX$3*'Feedstock Conversion Rates'!$B$5)/12</f>
        <v>5.4265624999999993</v>
      </c>
      <c r="BY227" s="104">
        <f>('Renewable Diesel'!$Z236*'RD Feedstock Breakdown'!BY$3*'Feedstock Conversion Rates'!$B$7)/12</f>
        <v>46.287499999999994</v>
      </c>
      <c r="BZ227" s="104">
        <f>('Renewable Diesel'!$Z236*'RD Feedstock Breakdown'!BZ$3*'Feedstock Conversion Rates'!$B$3)/12</f>
        <v>11.514374999999999</v>
      </c>
      <c r="CA227" s="106">
        <f t="shared" si="127"/>
        <v>117.1346875</v>
      </c>
      <c r="CB227" s="104">
        <f>('Renewable Diesel'!AA236*'Feedstock Conversion Rates'!B$4)/12</f>
        <v>191.25</v>
      </c>
      <c r="CC227" s="106">
        <f t="shared" si="213"/>
        <v>191.25</v>
      </c>
      <c r="CD227" s="104">
        <f>('Renewable Diesel'!$AB236*'RD Feedstock Breakdown'!CD$3*'Feedstock Conversion Rates'!$B$6)/12-15</f>
        <v>17.830000000000005</v>
      </c>
      <c r="CE227" s="104">
        <f>('Renewable Diesel'!$AB236*'RD Feedstock Breakdown'!CE$3*'Feedstock Conversion Rates'!$B$4)/12+15</f>
        <v>26.25</v>
      </c>
      <c r="CF227" s="106">
        <f t="shared" si="205"/>
        <v>44.080000000000005</v>
      </c>
      <c r="CG227" s="104">
        <f>('Renewable Diesel'!AD236*'Feedstock Conversion Rates'!B$4)/12</f>
        <v>112.5</v>
      </c>
      <c r="CH227" s="106">
        <f t="shared" si="187"/>
        <v>112.5</v>
      </c>
      <c r="CI227" s="104">
        <f>('Renewable Diesel'!$AE236*'RD Feedstock Breakdown'!CI$3*'Feedstock Conversion Rates'!$B$5)/12</f>
        <v>0.34604166666666664</v>
      </c>
      <c r="CJ227" s="104">
        <f>('Renewable Diesel'!$AE236*'RD Feedstock Breakdown'!CJ$3*'Feedstock Conversion Rates'!$B$4)/12</f>
        <v>0.34375</v>
      </c>
      <c r="CK227" s="106">
        <f t="shared" si="200"/>
        <v>0.68979166666666658</v>
      </c>
      <c r="CL227" s="104">
        <f>(((CL$3*'Renewable Diesel'!$AF236)*'Feedstock Conversion Rates'!$B$3)/12)-35</f>
        <v>56.78125</v>
      </c>
      <c r="CM227" s="104">
        <f>(((CM$3*'Renewable Diesel'!$AF236)*'Feedstock Conversion Rates'!$B$6)/12)-32.5+35+30</f>
        <v>86.239583333333343</v>
      </c>
      <c r="CN227" s="104">
        <f>(((CN$3*'Renewable Diesel'!$AF236)*'Feedstock Conversion Rates'!$B$4)/12)</f>
        <v>42.96875</v>
      </c>
      <c r="CO227" s="106">
        <f t="shared" si="190"/>
        <v>185.98958333333334</v>
      </c>
      <c r="CP227" s="104">
        <f>('Renewable Diesel'!$AG236*'RD Feedstock Breakdown'!CP$3*'Feedstock Conversion Rates'!$B$3)/12</f>
        <v>6.0075000000000003</v>
      </c>
      <c r="CQ227" s="104">
        <f>('Renewable Diesel'!$AG236*'RD Feedstock Breakdown'!CQ$3*'Feedstock Conversion Rates'!$B$6)/12</f>
        <v>3.5175000000000001</v>
      </c>
      <c r="CR227" s="104">
        <f>('Renewable Diesel'!$AG236*'RD Feedstock Breakdown'!CR$3*'Feedstock Conversion Rates'!$B$4)/12</f>
        <v>2.8125</v>
      </c>
      <c r="CS227" s="106">
        <f t="shared" si="134"/>
        <v>12.3375</v>
      </c>
      <c r="CT227" s="104">
        <f>('Renewable Diesel'!AI236*'Feedstock Conversion Rates'!$B$4*'RD Feedstock Breakdown'!$CT$3)/12</f>
        <v>29.375</v>
      </c>
      <c r="CU227" s="106">
        <f t="shared" si="196"/>
        <v>29.375</v>
      </c>
      <c r="CV227" s="104">
        <f>('Renewable Diesel'!AN236*'Feedstock Conversion Rates'!$B$3*'RD Feedstock Breakdown'!$CV$3)/12</f>
        <v>0.50062499999999999</v>
      </c>
      <c r="CW227" s="106">
        <f t="shared" si="161"/>
        <v>0.50062499999999999</v>
      </c>
      <c r="CX227" s="104">
        <f>('Renewable Diesel'!AO236*'RD Feedstock Breakdown'!$CX$3*'Feedstock Conversion Rates'!$B$3)/12</f>
        <v>6.3412499999999996</v>
      </c>
      <c r="CY227" s="104">
        <f>('Renewable Diesel'!AO236*'RD Feedstock Breakdown'!$CY$3*'Feedstock Conversion Rates'!$B$6)/12</f>
        <v>7.4258333333333342</v>
      </c>
      <c r="CZ227" s="106">
        <f t="shared" si="135"/>
        <v>13.767083333333334</v>
      </c>
      <c r="DA227" s="104">
        <f>('Renewable Diesel'!$AP236*'RD Feedstock Breakdown'!DA$3*'Feedstock Conversion Rates'!$B$3)/12</f>
        <v>6.3412499999999996</v>
      </c>
      <c r="DB227" s="104">
        <f>('Renewable Diesel'!$AP236*'RD Feedstock Breakdown'!DB$3*'Feedstock Conversion Rates'!$B$8)/12</f>
        <v>7.421875</v>
      </c>
      <c r="DC227" s="106">
        <f t="shared" si="165"/>
        <v>13.763124999999999</v>
      </c>
      <c r="DD227" s="104">
        <f>('Renewable Diesel'!AQ236*$DD$3*'Feedstock Conversion Rates'!$B$14)/12</f>
        <v>3.1041666666666665</v>
      </c>
      <c r="DE227" s="106">
        <f t="shared" si="166"/>
        <v>3.1041666666666665</v>
      </c>
      <c r="DF227" s="104">
        <f>('Renewable Diesel'!AR236*'Feedstock Conversion Rates'!$B$4*$DF$3)/12</f>
        <v>75</v>
      </c>
      <c r="DG227" s="106">
        <f t="shared" si="136"/>
        <v>75</v>
      </c>
      <c r="DH227" s="104">
        <f>('Renewable Diesel'!AS236*'Feedstock Conversion Rates'!$B$4*$DH$3)/12</f>
        <v>75</v>
      </c>
      <c r="DI227" s="106">
        <f t="shared" si="142"/>
        <v>75</v>
      </c>
      <c r="DJ227" s="104">
        <f>('Renewable Diesel'!AT236*'Feedstock Conversion Rates'!$B$4*0.25)/12</f>
        <v>8.59375</v>
      </c>
      <c r="DK227" s="104">
        <f>('Renewable Diesel'!$AT236*'RD Feedstock Breakdown'!DK$3*'Feedstock Conversion Rates'!$B$3)/12*0.5</f>
        <v>9.1781249999999996</v>
      </c>
      <c r="DL227" s="104">
        <f>('Renewable Diesel'!$AT236*'RD Feedstock Breakdown'!$DL$3*'Feedstock Conversion Rates'!$B$6)/12</f>
        <v>10.747916666666669</v>
      </c>
      <c r="DM227" s="104">
        <f>('Renewable Diesel'!$AT236*'RD Feedstock Breakdown'!$DM$3*'Feedstock Conversion Rates'!$B$8)/12</f>
        <v>10.7421875</v>
      </c>
      <c r="DN227" s="106">
        <f t="shared" si="210"/>
        <v>39.26197916666667</v>
      </c>
      <c r="DP227" s="104">
        <f t="shared" si="168"/>
        <v>8.470249999999993</v>
      </c>
      <c r="DQ227" s="104">
        <f t="shared" si="169"/>
        <v>667.27964250000002</v>
      </c>
      <c r="DR227" s="104">
        <f t="shared" si="174"/>
        <v>1903.234375</v>
      </c>
      <c r="DS227" s="104">
        <f t="shared" si="197"/>
        <v>83.592395833333327</v>
      </c>
      <c r="DT227" s="104">
        <f t="shared" si="170"/>
        <v>269.53923333333341</v>
      </c>
      <c r="DU227" s="104">
        <f t="shared" si="171"/>
        <v>251.72693333333333</v>
      </c>
      <c r="DV227" s="104">
        <f t="shared" si="175"/>
        <v>30.75</v>
      </c>
      <c r="DW227" s="104">
        <f t="shared" si="172"/>
        <v>2.5</v>
      </c>
      <c r="DX227" s="106">
        <f t="shared" si="176"/>
        <v>3217.09283</v>
      </c>
      <c r="DY227" s="109">
        <f t="shared" si="163"/>
        <v>-125.00000000000014</v>
      </c>
      <c r="EA227" s="110">
        <f t="shared" si="218"/>
        <v>2.6328895209405544E-3</v>
      </c>
      <c r="EB227" s="110">
        <f t="shared" si="219"/>
        <v>0.20741696859894465</v>
      </c>
      <c r="EC227" s="110">
        <f t="shared" si="220"/>
        <v>0.59160070149421207</v>
      </c>
      <c r="ED227" s="110">
        <f t="shared" si="146"/>
        <v>2.5983830821982631E-2</v>
      </c>
      <c r="EE227" s="110">
        <f t="shared" si="146"/>
        <v>8.3783480171858576E-2</v>
      </c>
      <c r="EF227" s="110">
        <f t="shared" si="146"/>
        <v>7.8246711125626214E-2</v>
      </c>
      <c r="EG227" s="110">
        <f t="shared" si="146"/>
        <v>9.5583191486581995E-3</v>
      </c>
      <c r="EH227" s="111">
        <f t="shared" si="177"/>
        <v>7.7709911777708947E-4</v>
      </c>
      <c r="EI227" s="110">
        <f t="shared" si="178"/>
        <v>0.99922290088222288</v>
      </c>
      <c r="EK227" s="132">
        <f>(EA227*'Renewable Diesel'!BF236*'Feedstock Conversion Rates'!B$2)+FB227</f>
        <v>9.9940120493585454</v>
      </c>
      <c r="EL227" s="132">
        <f>(EB227*'Renewable Diesel'!BF236*'Feedstock Conversion Rates'!B$3)+FC227</f>
        <v>741.93371342769194</v>
      </c>
      <c r="EM227" s="132">
        <f>(EC227*'Renewable Diesel'!BF236*'Feedstock Conversion Rates'!B$4)+FD227</f>
        <v>1981.427794148384</v>
      </c>
      <c r="EN227" s="132">
        <f>(ED227*'Renewable Diesel'!BF236*'Feedstock Conversion Rates'!B$5)+FE227</f>
        <v>87.606925339140659</v>
      </c>
      <c r="EO227" s="132">
        <f>(EE227*'Renewable Diesel'!BF236*'Feedstock Conversion Rates'!B$6)+FF227</f>
        <v>350.95347047181298</v>
      </c>
      <c r="EP227" s="132">
        <f>(EF227*'Renewable Diesel'!BF236*'Feedstock Conversion Rates'!B$7)+FG227</f>
        <v>321.47131492971391</v>
      </c>
      <c r="EQ227" s="132">
        <f>(EG227*'Renewable Diesel'!BF236*'Feedstock Conversion Rates'!B$8)+FH227</f>
        <v>40.016685195473372</v>
      </c>
      <c r="ER227" s="132">
        <f>(EH227*'Renewable Diesel'!BF236*'Feedstock Conversion Rates'!B$9)+FI227</f>
        <v>3.2100105197452895</v>
      </c>
      <c r="ES227" s="132">
        <f t="shared" si="179"/>
        <v>3536.6139260813206</v>
      </c>
      <c r="ET227" s="133">
        <f>ES227/'Renewable Diesel'!BF236</f>
        <v>7.9195288585440036</v>
      </c>
      <c r="EW227" s="73">
        <f t="shared" si="124"/>
        <v>2069.0347194875249</v>
      </c>
      <c r="EX227" s="73">
        <f t="shared" si="125"/>
        <v>1467.5792065937962</v>
      </c>
      <c r="EY227" s="92">
        <f t="shared" si="164"/>
        <v>0.5850326789218071</v>
      </c>
      <c r="EZ227" s="92">
        <f t="shared" si="164"/>
        <v>0.41496732107819306</v>
      </c>
      <c r="FB227" s="102">
        <f>IF('Renewable Diesel'!$BG236&lt;1,0,(((('Renewable Diesel'!$BG236-1)*'Renewable Diesel'!$BF236)*'RD Feedstock Breakdown'!EA227)*'Feedstock Conversion Rates'!$B$2))</f>
        <v>0</v>
      </c>
      <c r="FC227" s="102">
        <f>IF('Renewable Diesel'!$BG236&lt;1,0,(((('Renewable Diesel'!$BG236-1)*'Renewable Diesel'!$BF236)*'RD Feedstock Breakdown'!EB227)*'Feedstock Conversion Rates'!$B$3))</f>
        <v>0</v>
      </c>
      <c r="FD227" s="102">
        <f>IF('Renewable Diesel'!$BG236&lt;1,0,(((('Renewable Diesel'!$BG236-1)*'Renewable Diesel'!$BF236)*'RD Feedstock Breakdown'!EC227)*'Feedstock Conversion Rates'!$B$4))</f>
        <v>0</v>
      </c>
      <c r="FE227" s="102">
        <f>IF('Renewable Diesel'!$BG236&lt;1,0,(((('Renewable Diesel'!$BG236-1)*'Renewable Diesel'!$BF236)*'RD Feedstock Breakdown'!ED227)*'Feedstock Conversion Rates'!$B$5))</f>
        <v>0</v>
      </c>
      <c r="FF227" s="102">
        <f>IF('Renewable Diesel'!$BG236&lt;1,0,(((('Renewable Diesel'!$BG236-1)*'Renewable Diesel'!$BF236)*'RD Feedstock Breakdown'!EE227)*'Feedstock Conversion Rates'!$B$6))</f>
        <v>0</v>
      </c>
      <c r="FG227" s="102">
        <f>IF('Renewable Diesel'!$BG236&lt;1,0,(((('Renewable Diesel'!$BG236-1)*'Renewable Diesel'!$BF236)*'RD Feedstock Breakdown'!EF227)*'Feedstock Conversion Rates'!$B$7))</f>
        <v>0</v>
      </c>
      <c r="FH227" s="102">
        <f>IF('Renewable Diesel'!$BG236&lt;1,0,(((('Renewable Diesel'!$BG236-1)*'Renewable Diesel'!$BF236)*'RD Feedstock Breakdown'!EG227)*'Feedstock Conversion Rates'!$B$8))</f>
        <v>0</v>
      </c>
      <c r="FI227" s="102">
        <f>IF('Renewable Diesel'!$BG236&lt;1,0,(((('Renewable Diesel'!$BG236-1)*'Renewable Diesel'!$BF236)*'RD Feedstock Breakdown'!EH227)*'Feedstock Conversion Rates'!$B$9))</f>
        <v>0</v>
      </c>
      <c r="FJ227" s="102">
        <f t="shared" si="126"/>
        <v>0</v>
      </c>
      <c r="FL227" s="3">
        <f>('Renewable Diesel'!AX236/12*$FO$80)*'RD Feedstock Breakdown'!EC227*7.5</f>
        <v>1787.318341698842</v>
      </c>
      <c r="FM227" s="3">
        <f t="shared" si="193"/>
        <v>-194.109452449542</v>
      </c>
      <c r="FR227" s="3">
        <f>('Renewable Diesel'!AX236-'Renewable Diesel'!BI236)/12*$FO$80</f>
        <v>54.415874999999872</v>
      </c>
      <c r="FS227" s="100">
        <f t="shared" si="194"/>
        <v>0.59160070149421207</v>
      </c>
      <c r="FT227" s="3">
        <f t="shared" si="195"/>
        <v>241.4435236681596</v>
      </c>
      <c r="FY227" s="3">
        <f>'Renewable Diesel'!BF236*('Renewable Diesel'!BI236/'Renewable Diesel'!AX236)</f>
        <v>386.24308524921304</v>
      </c>
      <c r="FZ227" s="3">
        <f>('Renewable Diesel'!BJ236*'Renewable Diesel'!BG236)/12</f>
        <v>59.190482479723222</v>
      </c>
      <c r="GA227" s="3">
        <f t="shared" si="202"/>
        <v>262.62848217588845</v>
      </c>
      <c r="GD227" s="91">
        <f>'Renewable Diesel'!BB236*0.32</f>
        <v>0</v>
      </c>
      <c r="GE227" s="91">
        <f>'Renewable Diesel'!BC236</f>
        <v>212.44847447981218</v>
      </c>
      <c r="GF227" s="91">
        <f>'Renewable Diesel'!BD236</f>
        <v>0</v>
      </c>
      <c r="GG227" s="91">
        <f t="shared" si="206"/>
        <v>212.44847447981218</v>
      </c>
      <c r="GH227" s="124">
        <v>1</v>
      </c>
      <c r="GI227" s="102">
        <f>$GG227*EA227*'Feedstock Conversion Rates'!$B$2</f>
        <v>4.7545035786804863</v>
      </c>
      <c r="GJ227" s="102">
        <f>$GG227*EB227*'Feedstock Conversion Rates'!$B$3</f>
        <v>352.96400266618389</v>
      </c>
      <c r="GK227" s="102">
        <f>$GG227*EC227*'Feedstock Conversion Rates'!$B$4</f>
        <v>942.63499900224076</v>
      </c>
      <c r="GL227" s="102">
        <f>$GG227*ED227*'Feedstock Conversion Rates'!$B$5</f>
        <v>41.677700405501589</v>
      </c>
      <c r="GM227" s="102">
        <f>$GG227*EE227*'Feedstock Conversion Rates'!$B$6</f>
        <v>166.96092851075448</v>
      </c>
      <c r="GN227" s="102">
        <f>$GG227*EF227*'Feedstock Conversion Rates'!$B$7</f>
        <v>152.93522858765687</v>
      </c>
      <c r="GO227" s="102">
        <f>$GG227*EG227*'Feedstock Conversion Rates'!$B$8</f>
        <v>19.037346766158855</v>
      </c>
      <c r="GP227" s="102">
        <f>$GG227*EH227*'Feedstock Conversion Rates'!B$9</f>
        <v>1.5271150793449926</v>
      </c>
      <c r="GQ227" s="102">
        <f t="shared" si="180"/>
        <v>1682.4918245965221</v>
      </c>
      <c r="GR227" s="85">
        <f t="shared" si="204"/>
        <v>7.9195288585440045</v>
      </c>
      <c r="GT227" s="103">
        <f t="shared" si="159"/>
        <v>2.8258702414917609E-3</v>
      </c>
      <c r="GU227" s="103">
        <f t="shared" si="159"/>
        <v>0.20978645928982634</v>
      </c>
      <c r="GV227" s="103">
        <f t="shared" si="159"/>
        <v>0.56026126559532841</v>
      </c>
      <c r="GW227" s="103">
        <f t="shared" si="159"/>
        <v>2.4771413326478611E-2</v>
      </c>
      <c r="GX227" s="103">
        <f t="shared" si="158"/>
        <v>9.9234317855180887E-2</v>
      </c>
      <c r="GY227" s="103">
        <f t="shared" si="158"/>
        <v>9.0898051539912983E-2</v>
      </c>
      <c r="GZ227" s="103">
        <f t="shared" si="158"/>
        <v>1.1314971334689368E-2</v>
      </c>
      <c r="HA227" s="103">
        <f t="shared" si="158"/>
        <v>9.0765081709161342E-4</v>
      </c>
    </row>
    <row r="228" spans="1:209" x14ac:dyDescent="0.25">
      <c r="A228" s="96">
        <v>47362</v>
      </c>
      <c r="B228" s="104">
        <f>23-20+10+85-5-4-4-1.25+2.25-5+15-6-25-45+65+15-22.5-50+40+16.5+27.5+168+80+14-30+15-50-19+22.5-10+5+11-25-50-12.5-27.5-10+10+2+4-1.5+12-26-15-50-15+10-32.5-3-5-2.5-1+5+10-50-35-9-0.5+25+15+25+20+15+85-25+12.5-52.5+10+20-150+20-20+55-25-25+20-10+200+5</f>
        <v>220</v>
      </c>
      <c r="C228" s="104">
        <f t="shared" si="212"/>
        <v>30</v>
      </c>
      <c r="D228" s="104">
        <f t="shared" si="192"/>
        <v>1.5</v>
      </c>
      <c r="E228" s="104">
        <f>('Renewable Diesel'!B237*E$3*'Feedstock Conversion Rates'!$B$2)/12-40+1.25+6-43+30-15+12.5-4+1.5+26+2.5+3-10+50+9-15-25-55+15+45+10-50+60-60-44</f>
        <v>0.67999999999999261</v>
      </c>
      <c r="F228" s="104">
        <f>('Renewable Diesel'!B237*'RD Feedstock Breakdown'!F$3*'Feedstock Conversion Rates'!B$8)/12+28.5-49-5+2-6+1+6+20-20-3.75+10+2.5+5-20-20-5</f>
        <v>0.15625</v>
      </c>
      <c r="G228" s="104">
        <f>('Renewable Diesel'!B237*'RD Feedstock Breakdown'!G$3*'Feedstock Conversion Rates'!B$7)/12-25-15-25+4+4-20-40-20+10-17.5+20+50-12+32.5+35-75-75+22.5+5-20+15+125-10-45-10-40-40</f>
        <v>9.6570000000000107</v>
      </c>
      <c r="H228" s="104">
        <f>('Renewable Diesel'!B237*'RD Feedstock Breakdown'!H$3*'Feedstock Conversion Rates'!B$3)/12-85+4-15+70-65-80+50-22.5-5+25+27.5+15+50+15-10+5+50+75-5-25-85-12.5+30+22.5-25-30+150+90-120+25+10+70+15+44-200</f>
        <v>234.40022499999998</v>
      </c>
      <c r="I228" s="106">
        <f t="shared" si="203"/>
        <v>496.39347499999997</v>
      </c>
      <c r="J228" s="104">
        <f t="shared" si="214"/>
        <v>1.5</v>
      </c>
      <c r="K228" s="104">
        <f t="shared" si="215"/>
        <v>0</v>
      </c>
      <c r="L228" s="104">
        <v>1</v>
      </c>
      <c r="M228" s="104">
        <f>('Renewable Diesel'!C237*'RD Feedstock Breakdown'!M$3*'Feedstock Conversion Rates'!B$2)/12</f>
        <v>7.7902500000000003</v>
      </c>
      <c r="N228" s="104">
        <f>('Renewable Diesel'!C237*'RD Feedstock Breakdown'!N$3*'Feedstock Conversion Rates'!B$8)/12</f>
        <v>3.671875</v>
      </c>
      <c r="O228" s="104">
        <f>('Renewable Diesel'!C237*'RD Feedstock Breakdown'!O$3*'Feedstock Conversion Rates'!B$7)/12</f>
        <v>11.9991</v>
      </c>
      <c r="P228" s="104">
        <f>('Renewable Diesel'!C237*'RD Feedstock Breakdown'!P$3*'Feedstock Conversion Rates'!B$3)/12</f>
        <v>10.4470425</v>
      </c>
      <c r="Q228" s="106">
        <f t="shared" si="216"/>
        <v>36.408267500000001</v>
      </c>
      <c r="R228" s="104">
        <f>('Renewable Diesel'!D237*'RD Feedstock Breakdown'!R$3*'Feedstock Conversion Rates'!B$7)/12</f>
        <v>2.2999999999999998</v>
      </c>
      <c r="S228" s="106">
        <f t="shared" si="148"/>
        <v>2.2999999999999998</v>
      </c>
      <c r="T228" s="104">
        <f>5.825+20-25+35-30-5</f>
        <v>0.82500000000000284</v>
      </c>
      <c r="U228" s="104">
        <v>30</v>
      </c>
      <c r="V228" s="104">
        <f>('Renewable Diesel'!E237*'RD Feedstock Breakdown'!V$3*'Feedstock Conversion Rates'!B$6)/12-20+25-35+15</f>
        <v>29.250150000000012</v>
      </c>
      <c r="W228" s="104">
        <f>('Renewable Diesel'!E237*'RD Feedstock Breakdown'!W$3*'Feedstock Conversion Rates'!B$8)/12-6-10</f>
        <v>6.1796875</v>
      </c>
      <c r="X228" s="106">
        <f t="shared" si="185"/>
        <v>66.254837500000008</v>
      </c>
      <c r="Y228" s="104">
        <f t="shared" si="208"/>
        <v>126</v>
      </c>
      <c r="Z228" s="104">
        <f>('Renewable Diesel'!F237*'RD Feedstock Breakdown'!Z$3*'Feedstock Conversion Rates'!B$6)/12-50-32-60+15+30+22.5-70+75-30+3+5</f>
        <v>67.960000000000008</v>
      </c>
      <c r="AA228" s="104">
        <f>('Renewable Diesel'!F237*'RD Feedstock Breakdown'!AA$3*'Feedstock Conversion Rates'!B$7)/12+80-171+75+30-50-1+2.5</f>
        <v>69.766666666666652</v>
      </c>
      <c r="AB228" s="106">
        <f t="shared" si="137"/>
        <v>263.72666666666669</v>
      </c>
      <c r="AC228" s="104">
        <f>('Renewable Diesel'!G237*'RD Feedstock Breakdown'!AC$3*'Feedstock Conversion Rates'!B$5)/12+2</f>
        <v>13.796875</v>
      </c>
      <c r="AD228" s="104">
        <f>('Renewable Diesel'!G237*'RD Feedstock Breakdown'!AD$3*'Feedstock Conversion Rates'!B$4)/12</f>
        <v>5.859375</v>
      </c>
      <c r="AE228" s="104">
        <f>('Renewable Diesel'!G237*'RD Feedstock Breakdown'!AE$3*'Feedstock Conversion Rates'!B$6)/12-2</f>
        <v>5.3281250000000009</v>
      </c>
      <c r="AF228" s="106">
        <f t="shared" si="198"/>
        <v>24.984375</v>
      </c>
      <c r="AG228" s="104">
        <f t="shared" si="211"/>
        <v>16.5</v>
      </c>
      <c r="AH228" s="104">
        <v>125</v>
      </c>
      <c r="AI228" s="104">
        <f>('Renewable Diesel'!H237*'RD Feedstock Breakdown'!AI$3*'Feedstock Conversion Rates'!B$6)/12-130-20+51-120+2.5+100-45+20</f>
        <v>7.0166666666666799</v>
      </c>
      <c r="AJ228" s="106">
        <f t="shared" si="145"/>
        <v>23.51666666666668</v>
      </c>
      <c r="AK228" s="104">
        <f>('Renewable Diesel'!J237*'RD Feedstock Breakdown'!AK$3*'Feedstock Conversion Rates'!B$4)/12</f>
        <v>95.8125</v>
      </c>
      <c r="AL228" s="106">
        <f t="shared" si="157"/>
        <v>95.8125</v>
      </c>
      <c r="AM228" s="104">
        <f>('Renewable Diesel'!K237*'RD Feedstock Breakdown'!AM$3*'Feedstock Conversion Rates'!B$4)/12+5+15-10+9-27</f>
        <v>50.59375</v>
      </c>
      <c r="AN228" s="104">
        <f>('Renewable Diesel'!K237*'RD Feedstock Breakdown'!AN$3*'Feedstock Conversion Rates'!B$6)/12-5-15+10-9+27</f>
        <v>32.427083333333329</v>
      </c>
      <c r="AO228" s="106">
        <f t="shared" si="173"/>
        <v>83.020833333333329</v>
      </c>
      <c r="AP228" s="104">
        <f>('Renewable Diesel'!L237*'RD Feedstock Breakdown'!AP$3*'Feedstock Conversion Rates'!B$4)/12+15-10+5+9</f>
        <v>77.59375</v>
      </c>
      <c r="AQ228" s="104">
        <f>('Renewable Diesel'!L237*'RD Feedstock Breakdown'!AQ$3*'Feedstock Conversion Rates'!B$6)/12-15+10-5-9</f>
        <v>5.4270833333333321</v>
      </c>
      <c r="AR228" s="106">
        <f t="shared" si="162"/>
        <v>83.020833333333329</v>
      </c>
      <c r="AS228" s="104">
        <f>('Renewable Diesel'!M237*'RD Feedstock Breakdown'!AS$3*'Feedstock Conversion Rates'!B$4)/12-100</f>
        <v>356.25</v>
      </c>
      <c r="AT228" s="104">
        <f>('Renewable Diesel'!M237*'RD Feedstock Breakdown'!AT$3*'Feedstock Conversion Rates'!B$5)/12+100</f>
        <v>100</v>
      </c>
      <c r="AU228" s="106">
        <f t="shared" si="201"/>
        <v>456.25</v>
      </c>
      <c r="AV228" s="104">
        <f>'Renewable Diesel'!N237*'RD Feedstock Breakdown'!$AV$3*'Feedstock Conversion Rates'!$B$4/12-15-10+25+25-22-10-30</f>
        <v>41.749999999999986</v>
      </c>
      <c r="AW228" s="104">
        <f>'Renewable Diesel'!N237*'RD Feedstock Breakdown'!$AW$3*'Feedstock Conversion Rates'!$B$7/12+15+10-25-25+22+10+30</f>
        <v>78.400000000000006</v>
      </c>
      <c r="AX228" s="106">
        <f t="shared" si="141"/>
        <v>120.14999999999999</v>
      </c>
      <c r="AY228" s="104">
        <f>('Renewable Diesel'!O237*'RD Feedstock Breakdown'!AY$3*'Feedstock Conversion Rates'!B$4)/12+32+2-135-247+50</f>
        <v>-87.0625</v>
      </c>
      <c r="AZ228" s="104">
        <f>('Renewable Diesel'!O237*'RD Feedstock Breakdown'!AZ$3*'Feedstock Conversion Rates'!B$3)/12-32-2+135+247-50</f>
        <v>323.03125</v>
      </c>
      <c r="BA228" s="106">
        <f t="shared" si="217"/>
        <v>235.96875</v>
      </c>
      <c r="BB228" s="104">
        <f>('Renewable Diesel'!Q237*'RD Feedstock Breakdown'!BB$3*'Feedstock Conversion Rates'!B$4)/12</f>
        <v>11.156249999999998</v>
      </c>
      <c r="BC228" s="104">
        <f>('Renewable Diesel'!Q237*'RD Feedstock Breakdown'!BC$3*'Feedstock Conversion Rates'!B$3)/12</f>
        <v>1.4017500000000001</v>
      </c>
      <c r="BD228" s="104">
        <f>('Renewable Diesel'!Q237*'RD Feedstock Breakdown'!BD$3*'Feedstock Conversion Rates'!B$6)/12</f>
        <v>0.8207500000000002</v>
      </c>
      <c r="BE228" s="106">
        <f t="shared" si="189"/>
        <v>13.378749999999998</v>
      </c>
      <c r="BF228" s="104">
        <f>('Renewable Diesel'!R237*'RD Feedstock Breakdown'!BF$3*'Feedstock Conversion Rates'!B$4)/12</f>
        <v>62.5</v>
      </c>
      <c r="BG228" s="106">
        <f t="shared" si="167"/>
        <v>62.5</v>
      </c>
      <c r="BH228" s="104">
        <f>('Renewable Diesel'!T237*'RD Feedstock Breakdown'!BH$3*'Feedstock Conversion Rates'!B$7)/12</f>
        <v>27.599999999999998</v>
      </c>
      <c r="BI228" s="106">
        <f t="shared" si="144"/>
        <v>27.599999999999998</v>
      </c>
      <c r="BJ228" s="104">
        <f>('Renewable Diesel'!W237*'RD Feedstock Breakdown'!BJ$3*'Feedstock Conversion Rates'!B$4)/12</f>
        <v>7.5</v>
      </c>
      <c r="BK228" s="104">
        <f>('Renewable Diesel'!W237*'RD Feedstock Breakdown'!BK$3*'Feedstock Conversion Rates'!B$3)/12</f>
        <v>1.335</v>
      </c>
      <c r="BL228" s="104">
        <f>('Renewable Diesel'!W237*'RD Feedstock Breakdown'!BL$3*'Feedstock Conversion Rates'!B$6)/12</f>
        <v>3.1266666666666669</v>
      </c>
      <c r="BM228" s="104">
        <f>('Renewable Diesel'!W237*'RD Feedstock Breakdown'!BM$3*'Feedstock Conversion Rates'!B$7)/12</f>
        <v>1.5333333333333332</v>
      </c>
      <c r="BN228" s="106">
        <f t="shared" si="209"/>
        <v>13.495000000000001</v>
      </c>
      <c r="BO228" s="104">
        <f>('Renewable Diesel'!P237*'Feedstock Conversion Rates'!B$4)/12</f>
        <v>31.25</v>
      </c>
      <c r="BP228" s="106">
        <f t="shared" si="199"/>
        <v>31.25</v>
      </c>
      <c r="BQ228" s="104">
        <f>('Renewable Diesel'!$S237*'RD Feedstock Breakdown'!BQ$3*'Feedstock Conversion Rates'!B$4)/12+10</f>
        <v>38.125</v>
      </c>
      <c r="BR228" s="104">
        <f>('Renewable Diesel'!$S237*'RD Feedstock Breakdown'!BR$3*'Feedstock Conversion Rates'!B$7)/12-10</f>
        <v>1.5</v>
      </c>
      <c r="BS228" s="106">
        <f t="shared" si="123"/>
        <v>39.625</v>
      </c>
      <c r="BT228" s="106"/>
      <c r="BU228" s="104">
        <f>('Renewable Diesel'!Y237*'Feedstock Conversion Rates'!B$7)/12</f>
        <v>2.6833333333333331</v>
      </c>
      <c r="BV228" s="106">
        <f t="shared" si="191"/>
        <v>2.6833333333333331</v>
      </c>
      <c r="BW228" s="104">
        <f>('Renewable Diesel'!$Z237*'RD Feedstock Breakdown'!BW$3*'Feedstock Conversion Rates'!$B$4)/12</f>
        <v>53.90625</v>
      </c>
      <c r="BX228" s="104">
        <f>('Renewable Diesel'!$Z237*'RD Feedstock Breakdown'!BX$3*'Feedstock Conversion Rates'!$B$5)/12</f>
        <v>5.4265624999999993</v>
      </c>
      <c r="BY228" s="104">
        <f>('Renewable Diesel'!$Z237*'RD Feedstock Breakdown'!BY$3*'Feedstock Conversion Rates'!$B$7)/12</f>
        <v>46.287499999999994</v>
      </c>
      <c r="BZ228" s="104">
        <f>('Renewable Diesel'!$Z237*'RD Feedstock Breakdown'!BZ$3*'Feedstock Conversion Rates'!$B$3)/12</f>
        <v>11.514374999999999</v>
      </c>
      <c r="CA228" s="106">
        <f t="shared" si="127"/>
        <v>117.1346875</v>
      </c>
      <c r="CB228" s="104">
        <f>('Renewable Diesel'!AA237*'Feedstock Conversion Rates'!B$4)/12</f>
        <v>191.25</v>
      </c>
      <c r="CC228" s="106">
        <f t="shared" si="213"/>
        <v>191.25</v>
      </c>
      <c r="CD228" s="104">
        <f>('Renewable Diesel'!$AB237*'RD Feedstock Breakdown'!CD$3*'Feedstock Conversion Rates'!$B$6)/12-15</f>
        <v>17.830000000000005</v>
      </c>
      <c r="CE228" s="104">
        <f>('Renewable Diesel'!$AB237*'RD Feedstock Breakdown'!CE$3*'Feedstock Conversion Rates'!$B$4)/12+15</f>
        <v>26.25</v>
      </c>
      <c r="CF228" s="106">
        <f t="shared" si="205"/>
        <v>44.080000000000005</v>
      </c>
      <c r="CG228" s="104">
        <f>('Renewable Diesel'!AD237*'Feedstock Conversion Rates'!B$4)/12</f>
        <v>112.5</v>
      </c>
      <c r="CH228" s="106">
        <f t="shared" si="187"/>
        <v>112.5</v>
      </c>
      <c r="CI228" s="104">
        <f>('Renewable Diesel'!$AE237*'RD Feedstock Breakdown'!CI$3*'Feedstock Conversion Rates'!$B$5)/12</f>
        <v>0.34604166666666664</v>
      </c>
      <c r="CJ228" s="104">
        <f>('Renewable Diesel'!$AE237*'RD Feedstock Breakdown'!CJ$3*'Feedstock Conversion Rates'!$B$4)/12</f>
        <v>0.34375</v>
      </c>
      <c r="CK228" s="106">
        <f t="shared" si="200"/>
        <v>0.68979166666666658</v>
      </c>
      <c r="CL228" s="104">
        <f>(((CL$3*'Renewable Diesel'!$AF237)*'Feedstock Conversion Rates'!$B$3)/12)-35</f>
        <v>56.78125</v>
      </c>
      <c r="CM228" s="104">
        <f>(((CM$3*'Renewable Diesel'!$AF237)*'Feedstock Conversion Rates'!$B$6)/12)-32.5+35+30</f>
        <v>86.239583333333343</v>
      </c>
      <c r="CN228" s="104">
        <f>(((CN$3*'Renewable Diesel'!$AF237)*'Feedstock Conversion Rates'!$B$4)/12)</f>
        <v>42.96875</v>
      </c>
      <c r="CO228" s="106">
        <f t="shared" si="190"/>
        <v>185.98958333333334</v>
      </c>
      <c r="CP228" s="104">
        <f>('Renewable Diesel'!$AG237*'RD Feedstock Breakdown'!CP$3*'Feedstock Conversion Rates'!$B$3)/12</f>
        <v>6.0075000000000003</v>
      </c>
      <c r="CQ228" s="104">
        <f>('Renewable Diesel'!$AG237*'RD Feedstock Breakdown'!CQ$3*'Feedstock Conversion Rates'!$B$6)/12</f>
        <v>3.5175000000000001</v>
      </c>
      <c r="CR228" s="104">
        <f>('Renewable Diesel'!$AG237*'RD Feedstock Breakdown'!CR$3*'Feedstock Conversion Rates'!$B$4)/12</f>
        <v>2.8125</v>
      </c>
      <c r="CS228" s="106">
        <f t="shared" si="134"/>
        <v>12.3375</v>
      </c>
      <c r="CT228" s="104">
        <f>('Renewable Diesel'!AI237*'Feedstock Conversion Rates'!$B$4*'RD Feedstock Breakdown'!$CT$3)/12</f>
        <v>29.375</v>
      </c>
      <c r="CU228" s="106">
        <f t="shared" si="196"/>
        <v>29.375</v>
      </c>
      <c r="CV228" s="104">
        <f>('Renewable Diesel'!AN237*'Feedstock Conversion Rates'!$B$3*'RD Feedstock Breakdown'!$CV$3)/12</f>
        <v>0.50062499999999999</v>
      </c>
      <c r="CW228" s="106">
        <f t="shared" si="161"/>
        <v>0.50062499999999999</v>
      </c>
      <c r="CX228" s="104">
        <f>('Renewable Diesel'!AO237*'RD Feedstock Breakdown'!$CX$3*'Feedstock Conversion Rates'!$B$3)/12</f>
        <v>6.3412499999999996</v>
      </c>
      <c r="CY228" s="104">
        <f>('Renewable Diesel'!AO237*'RD Feedstock Breakdown'!$CY$3*'Feedstock Conversion Rates'!$B$6)/12</f>
        <v>7.4258333333333342</v>
      </c>
      <c r="CZ228" s="106">
        <f t="shared" si="135"/>
        <v>13.767083333333334</v>
      </c>
      <c r="DA228" s="104">
        <f>('Renewable Diesel'!$AP237*'RD Feedstock Breakdown'!DA$3*'Feedstock Conversion Rates'!$B$3)/12</f>
        <v>6.3412499999999996</v>
      </c>
      <c r="DB228" s="104">
        <f>('Renewable Diesel'!$AP237*'RD Feedstock Breakdown'!DB$3*'Feedstock Conversion Rates'!$B$8)/12</f>
        <v>7.421875</v>
      </c>
      <c r="DC228" s="106">
        <f t="shared" si="165"/>
        <v>13.763124999999999</v>
      </c>
      <c r="DD228" s="104">
        <f>('Renewable Diesel'!AQ237*$DD$3*'Feedstock Conversion Rates'!$B$14)/12</f>
        <v>3.1041666666666665</v>
      </c>
      <c r="DE228" s="106">
        <f t="shared" si="166"/>
        <v>3.1041666666666665</v>
      </c>
      <c r="DF228" s="104">
        <f>('Renewable Diesel'!AR237*'Feedstock Conversion Rates'!$B$4*$DF$3)/12</f>
        <v>75</v>
      </c>
      <c r="DG228" s="106">
        <f t="shared" si="136"/>
        <v>75</v>
      </c>
      <c r="DH228" s="104">
        <f>('Renewable Diesel'!AS237*'Feedstock Conversion Rates'!$B$4*$DH$3)/12</f>
        <v>75</v>
      </c>
      <c r="DI228" s="106">
        <f t="shared" si="142"/>
        <v>75</v>
      </c>
      <c r="DJ228" s="104">
        <f>('Renewable Diesel'!AT237*'Feedstock Conversion Rates'!$B$4*0.25)/12</f>
        <v>8.59375</v>
      </c>
      <c r="DK228" s="104">
        <f>('Renewable Diesel'!$AT237*'RD Feedstock Breakdown'!DK$3*'Feedstock Conversion Rates'!$B$3)/12*0.5</f>
        <v>9.1781249999999996</v>
      </c>
      <c r="DL228" s="104">
        <f>('Renewable Diesel'!$AT237*'RD Feedstock Breakdown'!$DL$3*'Feedstock Conversion Rates'!$B$6)/12</f>
        <v>10.747916666666669</v>
      </c>
      <c r="DM228" s="104">
        <f>('Renewable Diesel'!$AT237*'RD Feedstock Breakdown'!$DM$3*'Feedstock Conversion Rates'!$B$8)/12</f>
        <v>10.7421875</v>
      </c>
      <c r="DN228" s="106">
        <f t="shared" si="210"/>
        <v>39.26197916666667</v>
      </c>
      <c r="DP228" s="104">
        <f t="shared" si="168"/>
        <v>8.470249999999993</v>
      </c>
      <c r="DQ228" s="104">
        <f t="shared" si="169"/>
        <v>667.27964250000002</v>
      </c>
      <c r="DR228" s="104">
        <f t="shared" si="174"/>
        <v>1803.234375</v>
      </c>
      <c r="DS228" s="104">
        <f t="shared" si="197"/>
        <v>178.59239583333334</v>
      </c>
      <c r="DT228" s="104">
        <f t="shared" si="170"/>
        <v>284.53923333333341</v>
      </c>
      <c r="DU228" s="104">
        <f t="shared" si="171"/>
        <v>251.72693333333333</v>
      </c>
      <c r="DV228" s="104">
        <f t="shared" si="175"/>
        <v>20.75</v>
      </c>
      <c r="DW228" s="104">
        <f t="shared" si="172"/>
        <v>2.5</v>
      </c>
      <c r="DX228" s="106">
        <f t="shared" si="176"/>
        <v>3217.09283</v>
      </c>
      <c r="DY228" s="109">
        <f t="shared" si="163"/>
        <v>-125.00000000000014</v>
      </c>
      <c r="EA228" s="110">
        <f t="shared" si="218"/>
        <v>2.6328895209405544E-3</v>
      </c>
      <c r="EB228" s="110">
        <f t="shared" si="219"/>
        <v>0.20741696859894465</v>
      </c>
      <c r="EC228" s="110">
        <f t="shared" si="220"/>
        <v>0.56051673678312852</v>
      </c>
      <c r="ED228" s="110">
        <f t="shared" si="146"/>
        <v>5.5513597297512034E-2</v>
      </c>
      <c r="EE228" s="110">
        <f t="shared" si="146"/>
        <v>8.8446074878521116E-2</v>
      </c>
      <c r="EF228" s="110">
        <f t="shared" si="146"/>
        <v>7.8246711125626214E-2</v>
      </c>
      <c r="EG228" s="110">
        <f t="shared" si="146"/>
        <v>6.449922677549842E-3</v>
      </c>
      <c r="EH228" s="111">
        <f t="shared" si="177"/>
        <v>7.7709911777708947E-4</v>
      </c>
      <c r="EI228" s="110">
        <f t="shared" si="178"/>
        <v>0.99922290088222288</v>
      </c>
      <c r="EK228" s="132">
        <f>(EA228*'Renewable Diesel'!BF237*'Feedstock Conversion Rates'!B$2)+FB228</f>
        <v>12.162063278435923</v>
      </c>
      <c r="EL228" s="132">
        <f>(EB228*'Renewable Diesel'!BF237*'Feedstock Conversion Rates'!B$3)+FC228</f>
        <v>902.88512026475814</v>
      </c>
      <c r="EM228" s="132">
        <f>(EC228*'Renewable Diesel'!BF237*'Feedstock Conversion Rates'!B$4)+FD228</f>
        <v>2284.5756592295393</v>
      </c>
      <c r="EN228" s="132">
        <f>(ED228*'Renewable Diesel'!BF237*'Feedstock Conversion Rates'!B$5)+FE228</f>
        <v>227.77288321932591</v>
      </c>
      <c r="EO228" s="132">
        <f>(EE228*'Renewable Diesel'!BF237*'Feedstock Conversion Rates'!B$6)+FF228</f>
        <v>450.85521720704742</v>
      </c>
      <c r="EP228" s="132">
        <f>(EF228*'Renewable Diesel'!BF237*'Feedstock Conversion Rates'!B$7)+FG228</f>
        <v>391.20970187624766</v>
      </c>
      <c r="EQ228" s="132">
        <f>(EG228*'Renewable Diesel'!BF237*'Feedstock Conversion Rates'!B$8)+FH228</f>
        <v>32.861053439748325</v>
      </c>
      <c r="ER228" s="132">
        <f>(EH228*'Renewable Diesel'!BF237*'Feedstock Conversion Rates'!B$9)+FI228</f>
        <v>3.9063742241628536</v>
      </c>
      <c r="ES228" s="132">
        <f t="shared" si="179"/>
        <v>4306.2280727392663</v>
      </c>
      <c r="ET228" s="133">
        <f>ES228/'Renewable Diesel'!BF237</f>
        <v>8.6488708517813144</v>
      </c>
      <c r="EW228" s="73">
        <f t="shared" si="124"/>
        <v>2722.9277049638849</v>
      </c>
      <c r="EX228" s="73">
        <f t="shared" si="125"/>
        <v>1944.2383052608432</v>
      </c>
      <c r="EY228" s="92">
        <f t="shared" si="164"/>
        <v>0.63232315125189908</v>
      </c>
      <c r="EZ228" s="92">
        <f t="shared" si="164"/>
        <v>0.45149450340749825</v>
      </c>
      <c r="FB228" s="102">
        <f>IF('Renewable Diesel'!$BG237&lt;1,0,(((('Renewable Diesel'!$BG237-1)*'Renewable Diesel'!$BF237)*'RD Feedstock Breakdown'!EA228)*'Feedstock Conversion Rates'!$B$2))</f>
        <v>1.0193956198176828</v>
      </c>
      <c r="FC228" s="102">
        <f>IF('Renewable Diesel'!$BG237&lt;1,0,(((('Renewable Diesel'!$BG237-1)*'Renewable Diesel'!$BF237)*'RD Feedstock Breakdown'!EB228)*'Feedstock Conversion Rates'!$B$3))</f>
        <v>75.677713207460158</v>
      </c>
      <c r="FD228" s="102">
        <f>IF('Renewable Diesel'!$BG237&lt;1,0,(((('Renewable Diesel'!$BG237-1)*'Renewable Diesel'!$BF237)*'RD Feedstock Breakdown'!EC228)*'Feedstock Conversion Rates'!$B$4))</f>
        <v>191.48777364856707</v>
      </c>
      <c r="FE228" s="102">
        <f>IF('Renewable Diesel'!$BG237&lt;1,0,(((('Renewable Diesel'!$BG237-1)*'Renewable Diesel'!$BF237)*'RD Feedstock Breakdown'!ED228)*'Feedstock Conversion Rates'!$B$5))</f>
        <v>19.091388866452753</v>
      </c>
      <c r="FF228" s="102">
        <f>IF('Renewable Diesel'!$BG237&lt;1,0,(((('Renewable Diesel'!$BG237-1)*'Renewable Diesel'!$BF237)*'RD Feedstock Breakdown'!EE228)*'Feedstock Conversion Rates'!$B$6))</f>
        <v>37.789626897247985</v>
      </c>
      <c r="FG228" s="102">
        <f>IF('Renewable Diesel'!$BG237&lt;1,0,(((('Renewable Diesel'!$BG237-1)*'Renewable Diesel'!$BF237)*'RD Feedstock Breakdown'!EF228)*'Feedstock Conversion Rates'!$B$7))</f>
        <v>32.790279691269205</v>
      </c>
      <c r="FH228" s="102">
        <f>IF('Renewable Diesel'!$BG237&lt;1,0,(((('Renewable Diesel'!$BG237-1)*'Renewable Diesel'!$BF237)*'RD Feedstock Breakdown'!EG228)*'Feedstock Conversion Rates'!$B$8))</f>
        <v>2.7543364289568339</v>
      </c>
      <c r="FI228" s="102">
        <f>IF('Renewable Diesel'!$BG237&lt;1,0,(((('Renewable Diesel'!$BG237-1)*'Renewable Diesel'!$BF237)*'RD Feedstock Breakdown'!EH228)*'Feedstock Conversion Rates'!$B$9))</f>
        <v>0.3274231256912542</v>
      </c>
      <c r="FJ228" s="102">
        <f t="shared" si="126"/>
        <v>360.93793748546295</v>
      </c>
      <c r="FL228" s="3">
        <f>('Renewable Diesel'!AX237/12*$FO$80)*'RD Feedstock Breakdown'!EC228*7.5</f>
        <v>1693.4088177234337</v>
      </c>
      <c r="FM228" s="3">
        <f t="shared" si="193"/>
        <v>-591.16684150610558</v>
      </c>
      <c r="FR228" s="3">
        <f>('Renewable Diesel'!AX237-'Renewable Diesel'!BI237)/12*$FO$80</f>
        <v>54.415874999999872</v>
      </c>
      <c r="FS228" s="100">
        <f t="shared" si="194"/>
        <v>0.56051673678312852</v>
      </c>
      <c r="FT228" s="3">
        <f t="shared" si="195"/>
        <v>228.75756513148914</v>
      </c>
      <c r="FY228" s="3">
        <f>'Renewable Diesel'!BF237*('Renewable Diesel'!BI237/'Renewable Diesel'!AX237)</f>
        <v>430.63569596632288</v>
      </c>
      <c r="FZ228" s="3">
        <f>('Renewable Diesel'!BJ237*'Renewable Diesel'!BG237)/12</f>
        <v>65.993504066983135</v>
      </c>
      <c r="GA228" s="3">
        <f t="shared" si="202"/>
        <v>277.42847661382132</v>
      </c>
      <c r="GD228" s="91">
        <f>'Renewable Diesel'!BB237*0.32</f>
        <v>0</v>
      </c>
      <c r="GE228" s="91">
        <f>'Renewable Diesel'!BC237</f>
        <v>259.50754987836723</v>
      </c>
      <c r="GF228" s="91">
        <f>'Renewable Diesel'!BD237</f>
        <v>0</v>
      </c>
      <c r="GG228" s="91">
        <f t="shared" si="206"/>
        <v>259.50754987836723</v>
      </c>
      <c r="GH228" s="124">
        <v>1</v>
      </c>
      <c r="GI228" s="102">
        <f>$GG228*EA228*'Feedstock Conversion Rates'!$B$2</f>
        <v>5.8076650237775462</v>
      </c>
      <c r="GJ228" s="102">
        <f>$GG228*EB228*'Feedstock Conversion Rates'!$B$3</f>
        <v>431.14841728772598</v>
      </c>
      <c r="GK228" s="102">
        <f>$GG228*EC228*'Feedstock Conversion Rates'!$B$4</f>
        <v>1090.9374377130553</v>
      </c>
      <c r="GL228" s="102">
        <f>$GG228*ED228*'Feedstock Conversion Rates'!$B$5</f>
        <v>108.76679202806829</v>
      </c>
      <c r="GM228" s="102">
        <f>$GG228*EE228*'Feedstock Conversion Rates'!$B$6</f>
        <v>215.29373888422438</v>
      </c>
      <c r="GN228" s="102">
        <f>$GG228*EF228*'Feedstock Conversion Rates'!$B$7</f>
        <v>186.81163307031505</v>
      </c>
      <c r="GO228" s="102">
        <f>$GG228*EG228*'Feedstock Conversion Rates'!$B$8</f>
        <v>15.691909040211351</v>
      </c>
      <c r="GP228" s="102">
        <f>$GG228*EH228*'Feedstock Conversion Rates'!B$9</f>
        <v>1.8653835646195023</v>
      </c>
      <c r="GQ228" s="102">
        <f t="shared" si="180"/>
        <v>2056.3229766119975</v>
      </c>
      <c r="GR228" s="85">
        <f t="shared" si="204"/>
        <v>7.923942781532979</v>
      </c>
      <c r="GT228" s="103">
        <f t="shared" si="159"/>
        <v>2.8242961294661344E-3</v>
      </c>
      <c r="GU228" s="103">
        <f t="shared" si="159"/>
        <v>0.20966960063738968</v>
      </c>
      <c r="GV228" s="103">
        <f t="shared" si="159"/>
        <v>0.53052825364548817</v>
      </c>
      <c r="GW228" s="103">
        <f t="shared" si="159"/>
        <v>5.2893827120131055E-2</v>
      </c>
      <c r="GX228" s="103">
        <f t="shared" si="158"/>
        <v>0.10469840649203017</v>
      </c>
      <c r="GY228" s="103">
        <f t="shared" si="158"/>
        <v>9.084741803454742E-2</v>
      </c>
      <c r="GZ228" s="103">
        <f t="shared" si="158"/>
        <v>7.6310527182190876E-3</v>
      </c>
      <c r="HA228" s="103">
        <f t="shared" si="158"/>
        <v>9.0714522272805241E-4</v>
      </c>
    </row>
    <row r="229" spans="1:209" x14ac:dyDescent="0.25">
      <c r="A229" s="96">
        <v>47392</v>
      </c>
      <c r="B229" s="104">
        <f>23-20+10+85-5-4-4-1.25+2.25-5+15-6-25-45+65+15-22.5-50+40+16.5+27.5+168+80+14-30+15-50-19+22.5-10+5+11-25-50-12.5-27.5-10+10+2+4-1.5+12-26-15-50-15+10-32.5-3-5-2.5-1+5+10-50-35-9-0.5+25+15+25+20+15+85-25+12.5-52.5+10+20-150+20-20+55-25-25+20-10+200-80-100</f>
        <v>35</v>
      </c>
      <c r="C229" s="104">
        <f t="shared" si="212"/>
        <v>30</v>
      </c>
      <c r="D229" s="104">
        <f t="shared" si="192"/>
        <v>1.5</v>
      </c>
      <c r="E229" s="104">
        <f>('Renewable Diesel'!B238*E$3*'Feedstock Conversion Rates'!$B$2)/12-40+1.25+6-43+30-15+12.5-4+1.5+26+2.5+3-10+50+9-15-25-55+15+45+10-50+60-60-44+80+100</f>
        <v>180.68</v>
      </c>
      <c r="F229" s="104">
        <f>('Renewable Diesel'!B238*'RD Feedstock Breakdown'!F$3*'Feedstock Conversion Rates'!B$8)/12+28.5-49-5+2-6+1+6+20-20-3.75+10+2.5+5-20-20</f>
        <v>5.15625</v>
      </c>
      <c r="G229" s="104">
        <f>('Renewable Diesel'!B238*'RD Feedstock Breakdown'!G$3*'Feedstock Conversion Rates'!B$7)/12-25-15-25+4+4-20-40-20+10-17.5+20+50-12+32.5+35-75-75+22.5+5-20+15+125-10-45-10-40-40</f>
        <v>9.6570000000000107</v>
      </c>
      <c r="H229" s="104">
        <f>('Renewable Diesel'!B238*'RD Feedstock Breakdown'!H$3*'Feedstock Conversion Rates'!B$3)/12-85+4-15+70-65-80+50-22.5-5+25+27.5+15+50+15-10+5+50+75-5-25-85-12.5+30+22.5-25-30+150+90-120+25+10+70+15+44-200</f>
        <v>234.40022499999998</v>
      </c>
      <c r="I229" s="106">
        <f t="shared" si="203"/>
        <v>496.39347499999997</v>
      </c>
      <c r="J229" s="104">
        <f>47.5+60+38+97+19-6.25-35-29-20-5-25-4-3-50-10-1-20+2.5+20+100+20+1-45-75+15+20-25-10-26-5-30-6-10+100+15</f>
        <v>114.75</v>
      </c>
      <c r="K229" s="104"/>
      <c r="L229" s="104">
        <v>1</v>
      </c>
      <c r="M229" s="104">
        <f>('Renewable Diesel'!C238*'RD Feedstock Breakdown'!M$3*'Feedstock Conversion Rates'!B$2)/12</f>
        <v>7.7902500000000003</v>
      </c>
      <c r="N229" s="104">
        <f>('Renewable Diesel'!C238*'RD Feedstock Breakdown'!N$3*'Feedstock Conversion Rates'!B$8)/12</f>
        <v>3.671875</v>
      </c>
      <c r="O229" s="104">
        <f>('Renewable Diesel'!C238*'RD Feedstock Breakdown'!O$3*'Feedstock Conversion Rates'!B$7)/12</f>
        <v>11.9991</v>
      </c>
      <c r="P229" s="104">
        <f>('Renewable Diesel'!C238*'RD Feedstock Breakdown'!P$3*'Feedstock Conversion Rates'!B$3)/12</f>
        <v>10.4470425</v>
      </c>
      <c r="Q229" s="106">
        <f t="shared" si="216"/>
        <v>149.65826750000002</v>
      </c>
      <c r="R229" s="104">
        <f>('Renewable Diesel'!D238*'RD Feedstock Breakdown'!R$3*'Feedstock Conversion Rates'!B$7)/12</f>
        <v>2.2999999999999998</v>
      </c>
      <c r="S229" s="106">
        <f t="shared" si="148"/>
        <v>2.2999999999999998</v>
      </c>
      <c r="T229" s="104">
        <f t="shared" ref="T229:T276" si="221">5.825+20-25+35-30-5</f>
        <v>0.82500000000000284</v>
      </c>
      <c r="U229" s="104">
        <v>30</v>
      </c>
      <c r="V229" s="104">
        <f>('Renewable Diesel'!E238*'RD Feedstock Breakdown'!V$3*'Feedstock Conversion Rates'!B$6)/12-20+25-35+15+6</f>
        <v>35.250150000000012</v>
      </c>
      <c r="W229" s="104">
        <f>('Renewable Diesel'!E238*'RD Feedstock Breakdown'!W$3*'Feedstock Conversion Rates'!B$8)/12-6-10-6</f>
        <v>0.1796875</v>
      </c>
      <c r="X229" s="106">
        <f t="shared" si="185"/>
        <v>66.254837500000008</v>
      </c>
      <c r="Y229" s="104">
        <f>50+32-80+171+60-15-75-30-15-5-50+75-65+52.5+3+30-3-2-7</f>
        <v>126.5</v>
      </c>
      <c r="Z229" s="104">
        <f>('Renewable Diesel'!F238*'RD Feedstock Breakdown'!Z$3*'Feedstock Conversion Rates'!B$6)/12-50-32-60+15+15+50-75+65-6-30+9+2+7</f>
        <v>69.460000000000008</v>
      </c>
      <c r="AA229" s="104">
        <f>('Renewable Diesel'!F238*'RD Feedstock Breakdown'!AA$3*'Feedstock Conversion Rates'!B$7)/12+80-171+75+30+5-52.5-3</f>
        <v>67.766666666666652</v>
      </c>
      <c r="AB229" s="106">
        <f t="shared" si="137"/>
        <v>263.72666666666669</v>
      </c>
      <c r="AC229" s="104">
        <f>('Renewable Diesel'!G238*'RD Feedstock Breakdown'!AC$3*'Feedstock Conversion Rates'!B$5)/12</f>
        <v>11.796875</v>
      </c>
      <c r="AD229" s="104">
        <f>('Renewable Diesel'!G238*'RD Feedstock Breakdown'!AD$3*'Feedstock Conversion Rates'!B$4)/12</f>
        <v>5.859375</v>
      </c>
      <c r="AE229" s="104">
        <f>('Renewable Diesel'!G238*'RD Feedstock Breakdown'!AE$3*'Feedstock Conversion Rates'!B$6)/12</f>
        <v>7.3281250000000009</v>
      </c>
      <c r="AF229" s="106">
        <f t="shared" si="198"/>
        <v>24.984375</v>
      </c>
      <c r="AG229" s="104">
        <f>130+20-51+120-105+42.5-20+5-135</f>
        <v>6.5</v>
      </c>
      <c r="AH229" s="104">
        <v>135</v>
      </c>
      <c r="AI229" s="104">
        <f>('Renewable Diesel'!H238*'RD Feedstock Breakdown'!AI$3*'Feedstock Conversion Rates'!B$6)/12-130-20+51-120+105-42.5+20-5</f>
        <v>7.0166666666666799</v>
      </c>
      <c r="AJ229" s="106">
        <f t="shared" si="145"/>
        <v>13.51666666666668</v>
      </c>
      <c r="AK229" s="104">
        <f>('Renewable Diesel'!J238*'RD Feedstock Breakdown'!AK$3*'Feedstock Conversion Rates'!B$4)/12</f>
        <v>95.8125</v>
      </c>
      <c r="AL229" s="106">
        <f t="shared" si="157"/>
        <v>95.8125</v>
      </c>
      <c r="AM229" s="104">
        <f>('Renewable Diesel'!K238*'RD Feedstock Breakdown'!AM$3*'Feedstock Conversion Rates'!B$4)/12+5+15-10+9-27</f>
        <v>50.59375</v>
      </c>
      <c r="AN229" s="104">
        <f>('Renewable Diesel'!K238*'RD Feedstock Breakdown'!AN$3*'Feedstock Conversion Rates'!B$6)/12-5-15+10-9+27</f>
        <v>32.427083333333329</v>
      </c>
      <c r="AO229" s="106">
        <f t="shared" si="173"/>
        <v>83.020833333333329</v>
      </c>
      <c r="AP229" s="104">
        <f>('Renewable Diesel'!L238*'RD Feedstock Breakdown'!AP$3*'Feedstock Conversion Rates'!B$4)/12+15-10+14</f>
        <v>77.59375</v>
      </c>
      <c r="AQ229" s="104">
        <f>('Renewable Diesel'!L238*'RD Feedstock Breakdown'!AQ$3*'Feedstock Conversion Rates'!B$6)/12-15+10-14</f>
        <v>5.4270833333333321</v>
      </c>
      <c r="AR229" s="106">
        <f t="shared" si="162"/>
        <v>83.020833333333329</v>
      </c>
      <c r="AS229" s="104">
        <f>('Renewable Diesel'!M238*'RD Feedstock Breakdown'!AS$3*'Feedstock Conversion Rates'!B$4)/12-110</f>
        <v>346.25</v>
      </c>
      <c r="AT229" s="104">
        <f>('Renewable Diesel'!M238*'RD Feedstock Breakdown'!AT$3*'Feedstock Conversion Rates'!B$5)/12+110</f>
        <v>110</v>
      </c>
      <c r="AU229" s="106">
        <f t="shared" si="201"/>
        <v>456.25</v>
      </c>
      <c r="AV229" s="104">
        <f>'Renewable Diesel'!N238*'RD Feedstock Breakdown'!$AV$3*'Feedstock Conversion Rates'!$B$4/12-15-10+25+25-22-40</f>
        <v>41.749999999999986</v>
      </c>
      <c r="AW229" s="104">
        <f>'Renewable Diesel'!N238*'RD Feedstock Breakdown'!$AW$3*'Feedstock Conversion Rates'!$B$7/12+15+10-25-25+22+40</f>
        <v>78.400000000000006</v>
      </c>
      <c r="AX229" s="106">
        <f t="shared" si="141"/>
        <v>120.14999999999999</v>
      </c>
      <c r="AY229" s="104">
        <f>('Renewable Diesel'!O238*'RD Feedstock Breakdown'!AY$3*'Feedstock Conversion Rates'!B$4)/12+32+2-135-247+50</f>
        <v>-87.0625</v>
      </c>
      <c r="AZ229" s="104">
        <f>('Renewable Diesel'!O238*'RD Feedstock Breakdown'!AZ$3*'Feedstock Conversion Rates'!B$3)/12-32-2+135+247-50</f>
        <v>323.03125</v>
      </c>
      <c r="BA229" s="106">
        <f t="shared" si="217"/>
        <v>235.96875</v>
      </c>
      <c r="BB229" s="104">
        <f>('Renewable Diesel'!Q238*'RD Feedstock Breakdown'!BB$3*'Feedstock Conversion Rates'!B$4)/12</f>
        <v>11.156249999999998</v>
      </c>
      <c r="BC229" s="104">
        <f>('Renewable Diesel'!Q238*'RD Feedstock Breakdown'!BC$3*'Feedstock Conversion Rates'!B$3)/12</f>
        <v>1.4017500000000001</v>
      </c>
      <c r="BD229" s="104">
        <f>('Renewable Diesel'!Q238*'RD Feedstock Breakdown'!BD$3*'Feedstock Conversion Rates'!B$6)/12</f>
        <v>0.8207500000000002</v>
      </c>
      <c r="BE229" s="106">
        <f t="shared" si="189"/>
        <v>13.378749999999998</v>
      </c>
      <c r="BF229" s="104">
        <f>('Renewable Diesel'!R238*'RD Feedstock Breakdown'!BF$3*'Feedstock Conversion Rates'!B$4)/12</f>
        <v>62.5</v>
      </c>
      <c r="BG229" s="106">
        <f t="shared" si="167"/>
        <v>62.5</v>
      </c>
      <c r="BH229" s="104">
        <f>('Renewable Diesel'!T238*'RD Feedstock Breakdown'!BH$3*'Feedstock Conversion Rates'!B$7)/12</f>
        <v>27.599999999999998</v>
      </c>
      <c r="BI229" s="106">
        <f t="shared" si="144"/>
        <v>27.599999999999998</v>
      </c>
      <c r="BJ229" s="104">
        <f>('Renewable Diesel'!W238*'RD Feedstock Breakdown'!BJ$3*'Feedstock Conversion Rates'!B$4)/12</f>
        <v>7.5</v>
      </c>
      <c r="BK229" s="104">
        <f>('Renewable Diesel'!W238*'RD Feedstock Breakdown'!BK$3*'Feedstock Conversion Rates'!B$3)/12</f>
        <v>1.335</v>
      </c>
      <c r="BL229" s="104">
        <f>('Renewable Diesel'!W238*'RD Feedstock Breakdown'!BL$3*'Feedstock Conversion Rates'!B$6)/12</f>
        <v>3.1266666666666669</v>
      </c>
      <c r="BM229" s="104">
        <f>('Renewable Diesel'!W238*'RD Feedstock Breakdown'!BM$3*'Feedstock Conversion Rates'!B$7)/12</f>
        <v>1.5333333333333332</v>
      </c>
      <c r="BN229" s="106">
        <f t="shared" si="209"/>
        <v>13.495000000000001</v>
      </c>
      <c r="BO229" s="104">
        <f>('Renewable Diesel'!P238*'Feedstock Conversion Rates'!B$4)/12</f>
        <v>31.25</v>
      </c>
      <c r="BP229" s="106">
        <f t="shared" si="199"/>
        <v>31.25</v>
      </c>
      <c r="BQ229" s="104">
        <f>('Renewable Diesel'!$S238*'RD Feedstock Breakdown'!BQ$3*'Feedstock Conversion Rates'!B$4)/12+10</f>
        <v>38.125</v>
      </c>
      <c r="BR229" s="104">
        <f>('Renewable Diesel'!$S238*'RD Feedstock Breakdown'!BR$3*'Feedstock Conversion Rates'!B$7)/12-10</f>
        <v>1.5</v>
      </c>
      <c r="BS229" s="106">
        <f t="shared" ref="BS229:BS292" si="222">SUM(BQ229:BR229)</f>
        <v>39.625</v>
      </c>
      <c r="BT229" s="106"/>
      <c r="BU229" s="104">
        <f>('Renewable Diesel'!Y238*'Feedstock Conversion Rates'!B$7)/12</f>
        <v>2.6833333333333331</v>
      </c>
      <c r="BV229" s="106">
        <f t="shared" si="191"/>
        <v>2.6833333333333331</v>
      </c>
      <c r="BW229" s="104">
        <f>('Renewable Diesel'!$Z238*'RD Feedstock Breakdown'!BW$3*'Feedstock Conversion Rates'!$B$4)/12</f>
        <v>53.90625</v>
      </c>
      <c r="BX229" s="104">
        <f>('Renewable Diesel'!$Z238*'RD Feedstock Breakdown'!BX$3*'Feedstock Conversion Rates'!$B$5)/12</f>
        <v>5.4265624999999993</v>
      </c>
      <c r="BY229" s="104">
        <f>('Renewable Diesel'!$Z238*'RD Feedstock Breakdown'!BY$3*'Feedstock Conversion Rates'!$B$7)/12</f>
        <v>46.287499999999994</v>
      </c>
      <c r="BZ229" s="104">
        <f>('Renewable Diesel'!$Z238*'RD Feedstock Breakdown'!BZ$3*'Feedstock Conversion Rates'!$B$3)/12</f>
        <v>11.514374999999999</v>
      </c>
      <c r="CA229" s="106">
        <f t="shared" si="127"/>
        <v>117.1346875</v>
      </c>
      <c r="CB229" s="104">
        <f>('Renewable Diesel'!AA238*'Feedstock Conversion Rates'!B$4)/12</f>
        <v>191.25</v>
      </c>
      <c r="CC229" s="106">
        <f t="shared" si="213"/>
        <v>191.25</v>
      </c>
      <c r="CD229" s="104">
        <f>('Renewable Diesel'!$AB238*'RD Feedstock Breakdown'!CD$3*'Feedstock Conversion Rates'!$B$6)/12-15</f>
        <v>17.830000000000005</v>
      </c>
      <c r="CE229" s="104">
        <f>('Renewable Diesel'!$AB238*'RD Feedstock Breakdown'!CE$3*'Feedstock Conversion Rates'!$B$4)/12+15</f>
        <v>26.25</v>
      </c>
      <c r="CF229" s="106">
        <f t="shared" si="205"/>
        <v>44.080000000000005</v>
      </c>
      <c r="CG229" s="104">
        <f>('Renewable Diesel'!AD238*'Feedstock Conversion Rates'!B$4)/12</f>
        <v>112.5</v>
      </c>
      <c r="CH229" s="106">
        <f t="shared" si="187"/>
        <v>112.5</v>
      </c>
      <c r="CI229" s="104">
        <f>('Renewable Diesel'!$AE238*'RD Feedstock Breakdown'!CI$3*'Feedstock Conversion Rates'!$B$5)/12</f>
        <v>0.34604166666666664</v>
      </c>
      <c r="CJ229" s="104">
        <f>('Renewable Diesel'!$AE238*'RD Feedstock Breakdown'!CJ$3*'Feedstock Conversion Rates'!$B$4)/12</f>
        <v>0.34375</v>
      </c>
      <c r="CK229" s="106">
        <f t="shared" si="200"/>
        <v>0.68979166666666658</v>
      </c>
      <c r="CL229" s="104">
        <f>(((CL$3*'Renewable Diesel'!$AF238)*'Feedstock Conversion Rates'!$B$3)/12)-25</f>
        <v>66.78125</v>
      </c>
      <c r="CM229" s="104">
        <f>(((CM$3*'Renewable Diesel'!$AF238)*'Feedstock Conversion Rates'!$B$6)/12)+25</f>
        <v>78.739583333333343</v>
      </c>
      <c r="CN229" s="104">
        <f>(((CN$3*'Renewable Diesel'!$AF238)*'Feedstock Conversion Rates'!$B$4)/12)</f>
        <v>42.96875</v>
      </c>
      <c r="CO229" s="106">
        <f t="shared" si="190"/>
        <v>188.48958333333334</v>
      </c>
      <c r="CP229" s="104">
        <f>('Renewable Diesel'!$AG238*'RD Feedstock Breakdown'!CP$3*'Feedstock Conversion Rates'!$B$3)/12</f>
        <v>6.0075000000000003</v>
      </c>
      <c r="CQ229" s="104">
        <f>('Renewable Diesel'!$AG238*'RD Feedstock Breakdown'!CQ$3*'Feedstock Conversion Rates'!$B$6)/12</f>
        <v>3.5175000000000001</v>
      </c>
      <c r="CR229" s="104">
        <f>('Renewable Diesel'!$AG238*'RD Feedstock Breakdown'!CR$3*'Feedstock Conversion Rates'!$B$4)/12</f>
        <v>2.8125</v>
      </c>
      <c r="CS229" s="106">
        <f t="shared" si="134"/>
        <v>12.3375</v>
      </c>
      <c r="CT229" s="104">
        <f>('Renewable Diesel'!AI238*'Feedstock Conversion Rates'!$B$4*'RD Feedstock Breakdown'!$CT$3)/12</f>
        <v>29.375</v>
      </c>
      <c r="CU229" s="106">
        <f t="shared" si="196"/>
        <v>29.375</v>
      </c>
      <c r="CV229" s="104">
        <f>('Renewable Diesel'!AN238*'Feedstock Conversion Rates'!$B$3*'RD Feedstock Breakdown'!$CV$3)/12</f>
        <v>0.50062499999999999</v>
      </c>
      <c r="CW229" s="106">
        <f t="shared" si="161"/>
        <v>0.50062499999999999</v>
      </c>
      <c r="CX229" s="104">
        <f>('Renewable Diesel'!AO238*'RD Feedstock Breakdown'!$CX$3*'Feedstock Conversion Rates'!$B$3)/12</f>
        <v>6.3412499999999996</v>
      </c>
      <c r="CY229" s="104">
        <f>('Renewable Diesel'!AO238*'RD Feedstock Breakdown'!$CY$3*'Feedstock Conversion Rates'!$B$6)/12</f>
        <v>7.4258333333333342</v>
      </c>
      <c r="CZ229" s="106">
        <f t="shared" si="135"/>
        <v>13.767083333333334</v>
      </c>
      <c r="DA229" s="104">
        <f>('Renewable Diesel'!$AP238*'RD Feedstock Breakdown'!DA$3*'Feedstock Conversion Rates'!$B$3)/12</f>
        <v>6.3412499999999996</v>
      </c>
      <c r="DB229" s="104">
        <f>('Renewable Diesel'!$AP238*'RD Feedstock Breakdown'!DB$3*'Feedstock Conversion Rates'!$B$8)/12</f>
        <v>7.421875</v>
      </c>
      <c r="DC229" s="106">
        <f t="shared" si="165"/>
        <v>13.763124999999999</v>
      </c>
      <c r="DD229" s="104">
        <f>('Renewable Diesel'!AQ238*$DD$3*'Feedstock Conversion Rates'!$B$14)/12</f>
        <v>3.1041666666666665</v>
      </c>
      <c r="DE229" s="106">
        <f t="shared" si="166"/>
        <v>3.1041666666666665</v>
      </c>
      <c r="DF229" s="104">
        <f>('Renewable Diesel'!AR238*'Feedstock Conversion Rates'!$B$4*$DF$3)/12</f>
        <v>75</v>
      </c>
      <c r="DG229" s="106">
        <f t="shared" si="136"/>
        <v>75</v>
      </c>
      <c r="DH229" s="104">
        <f>('Renewable Diesel'!AS238*'Feedstock Conversion Rates'!$B$4*$DH$3)/12</f>
        <v>75</v>
      </c>
      <c r="DI229" s="106">
        <f t="shared" si="142"/>
        <v>75</v>
      </c>
      <c r="DJ229" s="104">
        <f>('Renewable Diesel'!AT238*'Feedstock Conversion Rates'!$B$4*0.25)/12</f>
        <v>8.59375</v>
      </c>
      <c r="DK229" s="104">
        <f>('Renewable Diesel'!$AT238*'RD Feedstock Breakdown'!DK$3*'Feedstock Conversion Rates'!$B$3)/12*0.5</f>
        <v>9.1781249999999996</v>
      </c>
      <c r="DL229" s="104">
        <f>('Renewable Diesel'!$AT238*'RD Feedstock Breakdown'!$DL$3*'Feedstock Conversion Rates'!$B$6)/12</f>
        <v>10.747916666666669</v>
      </c>
      <c r="DM229" s="104">
        <f>('Renewable Diesel'!$AT238*'RD Feedstock Breakdown'!$DM$3*'Feedstock Conversion Rates'!$B$8)/12</f>
        <v>10.7421875</v>
      </c>
      <c r="DN229" s="106">
        <f t="shared" si="210"/>
        <v>39.26197916666667</v>
      </c>
      <c r="DP229" s="104">
        <f t="shared" si="168"/>
        <v>188.47025000000002</v>
      </c>
      <c r="DQ229" s="104">
        <f t="shared" si="169"/>
        <v>677.27964250000002</v>
      </c>
      <c r="DR229" s="104">
        <f t="shared" si="174"/>
        <v>1731.984375</v>
      </c>
      <c r="DS229" s="104">
        <f t="shared" si="197"/>
        <v>176.59239583333334</v>
      </c>
      <c r="DT229" s="104">
        <f t="shared" si="170"/>
        <v>286.53923333333341</v>
      </c>
      <c r="DU229" s="104">
        <f t="shared" si="171"/>
        <v>249.72693333333333</v>
      </c>
      <c r="DV229" s="104">
        <f t="shared" si="175"/>
        <v>19.75</v>
      </c>
      <c r="DW229" s="104">
        <f t="shared" si="172"/>
        <v>2.5</v>
      </c>
      <c r="DX229" s="106">
        <f t="shared" si="176"/>
        <v>3332.84283</v>
      </c>
      <c r="DY229" s="109">
        <f t="shared" si="163"/>
        <v>-135.00000000000014</v>
      </c>
      <c r="EA229" s="110">
        <f t="shared" si="218"/>
        <v>5.654939630021498E-2</v>
      </c>
      <c r="EB229" s="110">
        <f t="shared" si="219"/>
        <v>0.20321379586327509</v>
      </c>
      <c r="EC229" s="110">
        <f t="shared" si="220"/>
        <v>0.51967178272249936</v>
      </c>
      <c r="ED229" s="110">
        <f t="shared" si="146"/>
        <v>5.298551562160924E-2</v>
      </c>
      <c r="EE229" s="110">
        <f t="shared" si="146"/>
        <v>8.5974421222057271E-2</v>
      </c>
      <c r="EF229" s="110">
        <f t="shared" si="146"/>
        <v>7.4929105892861239E-2</v>
      </c>
      <c r="EG229" s="110">
        <f t="shared" si="146"/>
        <v>5.9258719979903762E-3</v>
      </c>
      <c r="EH229" s="111">
        <f t="shared" si="177"/>
        <v>7.5011037949245267E-4</v>
      </c>
      <c r="EI229" s="110">
        <f t="shared" si="178"/>
        <v>0.99924988962050754</v>
      </c>
      <c r="EK229" s="132">
        <f>(EA229*'Renewable Diesel'!BF238*'Feedstock Conversion Rates'!B$2)+FB229</f>
        <v>288.05094898877945</v>
      </c>
      <c r="EL229" s="132">
        <f>(EB229*'Renewable Diesel'!BF238*'Feedstock Conversion Rates'!B$3)+FC229</f>
        <v>975.4569693505407</v>
      </c>
      <c r="EM229" s="132">
        <f>(EC229*'Renewable Diesel'!BF238*'Feedstock Conversion Rates'!B$4)+FD229</f>
        <v>2335.6771451095206</v>
      </c>
      <c r="EN229" s="132">
        <f>(ED229*'Renewable Diesel'!BF238*'Feedstock Conversion Rates'!B$5)+FE229</f>
        <v>239.7322869041688</v>
      </c>
      <c r="EO229" s="132">
        <f>(EE229*'Renewable Diesel'!BF238*'Feedstock Conversion Rates'!B$6)+FF229</f>
        <v>483.27520190128052</v>
      </c>
      <c r="EP229" s="132">
        <f>(EF229*'Renewable Diesel'!BF238*'Feedstock Conversion Rates'!B$7)+FG229</f>
        <v>413.10532142151237</v>
      </c>
      <c r="EQ229" s="132">
        <f>(EG229*'Renewable Diesel'!BF238*'Feedstock Conversion Rates'!B$8)+FH229</f>
        <v>33.292465193221673</v>
      </c>
      <c r="ER229" s="132">
        <f>(EH229*'Renewable Diesel'!BF238*'Feedstock Conversion Rates'!B$9)+FI229</f>
        <v>4.1580462857357032</v>
      </c>
      <c r="ES229" s="132">
        <f t="shared" si="179"/>
        <v>4772.7483851547595</v>
      </c>
      <c r="ET229" s="133">
        <f>ES229/'Renewable Diesel'!BF238</f>
        <v>9.2793549144950873</v>
      </c>
      <c r="EW229" s="73">
        <f t="shared" ref="EW229:EW292" si="223">EN229+EM229+FD229+FE229</f>
        <v>2940.3997686161506</v>
      </c>
      <c r="EX229" s="73">
        <f t="shared" ref="EX229:EX292" si="224">EQ229+EO229+EL229+EK229+ER229+EP229+FB229+FC229+FF229+FG229+FH229+FI229</f>
        <v>2508.7486552906726</v>
      </c>
      <c r="EY229" s="92">
        <f t="shared" si="164"/>
        <v>0.61608103577427664</v>
      </c>
      <c r="EZ229" s="92">
        <f t="shared" si="164"/>
        <v>0.52564025019502991</v>
      </c>
      <c r="FB229" s="102">
        <f>IF('Renewable Diesel'!$BG238&lt;1,0,(((('Renewable Diesel'!$BG238-1)*'Renewable Diesel'!$BF238)*'RD Feedstock Breakdown'!EA229)*'Feedstock Conversion Rates'!$B$2))</f>
        <v>40.822950915368899</v>
      </c>
      <c r="FC229" s="102">
        <f>IF('Renewable Diesel'!$BG238&lt;1,0,(((('Renewable Diesel'!$BG238-1)*'Renewable Diesel'!$BF238)*'RD Feedstock Breakdown'!EB229)*'Feedstock Conversion Rates'!$B$3))</f>
        <v>138.24301610408094</v>
      </c>
      <c r="FD229" s="102">
        <f>IF('Renewable Diesel'!$BG238&lt;1,0,(((('Renewable Diesel'!$BG238-1)*'Renewable Diesel'!$BF238)*'RD Feedstock Breakdown'!EC229)*'Feedstock Conversion Rates'!$B$4))</f>
        <v>331.01516861403957</v>
      </c>
      <c r="FE229" s="102">
        <f>IF('Renewable Diesel'!$BG238&lt;1,0,(((('Renewable Diesel'!$BG238-1)*'Renewable Diesel'!$BF238)*'RD Feedstock Breakdown'!ED229)*'Feedstock Conversion Rates'!$B$5))</f>
        <v>33.975167988421518</v>
      </c>
      <c r="FF229" s="102">
        <f>IF('Renewable Diesel'!$BG238&lt;1,0,(((('Renewable Diesel'!$BG238-1)*'Renewable Diesel'!$BF238)*'RD Feedstock Breakdown'!EE229)*'Feedstock Conversion Rates'!$B$6))</f>
        <v>68.490383090525654</v>
      </c>
      <c r="FG229" s="102">
        <f>IF('Renewable Diesel'!$BG238&lt;1,0,(((('Renewable Diesel'!$BG238-1)*'Renewable Diesel'!$BF238)*'RD Feedstock Breakdown'!EF229)*'Feedstock Conversion Rates'!$B$7))</f>
        <v>58.545817392620386</v>
      </c>
      <c r="FH229" s="102">
        <f>IF('Renewable Diesel'!$BG238&lt;1,0,(((('Renewable Diesel'!$BG238-1)*'Renewable Diesel'!$BF238)*'RD Feedstock Breakdown'!EG229)*'Feedstock Conversion Rates'!$B$8))</f>
        <v>4.7182509802717485</v>
      </c>
      <c r="FI229" s="102">
        <f>IF('Renewable Diesel'!$BG238&lt;1,0,(((('Renewable Diesel'!$BG238-1)*'Renewable Diesel'!$BF238)*'RD Feedstock Breakdown'!EH229)*'Feedstock Conversion Rates'!$B$9))</f>
        <v>0.58928366673436172</v>
      </c>
      <c r="FJ229" s="102">
        <f t="shared" ref="FJ229:FJ292" si="225">SUM(FB229:FI229)</f>
        <v>676.4000387520631</v>
      </c>
      <c r="GD229" s="91">
        <f>'Renewable Diesel'!BB238*0.32</f>
        <v>0</v>
      </c>
      <c r="GE229" s="91">
        <f>'Renewable Diesel'!BC238</f>
        <v>252.3845124317161</v>
      </c>
      <c r="GF229" s="91">
        <f>'Renewable Diesel'!BD238</f>
        <v>0</v>
      </c>
      <c r="GG229" s="91">
        <f t="shared" si="206"/>
        <v>252.3845124317161</v>
      </c>
      <c r="GH229" s="124">
        <v>1</v>
      </c>
      <c r="GI229" s="102">
        <f>$GG229*EA229*'Feedstock Conversion Rates'!$B$2</f>
        <v>121.31363041507001</v>
      </c>
      <c r="GJ229" s="102">
        <f>$GG229*EB229*'Feedstock Conversion Rates'!$B$3</f>
        <v>410.81699845469126</v>
      </c>
      <c r="GK229" s="102">
        <f>$GG229*EC229*'Feedstock Conversion Rates'!$B$4</f>
        <v>983.67832130204044</v>
      </c>
      <c r="GL229" s="102">
        <f>$GG229*ED229*'Feedstock Conversion Rates'!$B$5</f>
        <v>100.96406262207708</v>
      </c>
      <c r="GM229" s="102">
        <f>$GG229*EE229*'Feedstock Conversion Rates'!$B$6</f>
        <v>203.53298414060779</v>
      </c>
      <c r="GN229" s="102">
        <f>$GG229*EF229*'Feedstock Conversion Rates'!$B$7</f>
        <v>173.98070189097072</v>
      </c>
      <c r="GO229" s="102">
        <f>$GG229*EG229*'Feedstock Conversion Rates'!$B$8</f>
        <v>14.021234202614629</v>
      </c>
      <c r="GP229" s="102">
        <f>$GG229*EH229*'Feedstock Conversion Rates'!B$9</f>
        <v>1.7511752421830931</v>
      </c>
      <c r="GQ229" s="102">
        <f t="shared" si="180"/>
        <v>2010.0591082702551</v>
      </c>
      <c r="GR229" s="85">
        <f t="shared" si="204"/>
        <v>7.9642728030472423</v>
      </c>
      <c r="GT229" s="103">
        <f>(GI229+FB229+EK229)/SUM($ES229,$FJ229,$GQ229)</f>
        <v>6.0353265193015031E-2</v>
      </c>
      <c r="GU229" s="103">
        <f t="shared" si="159"/>
        <v>0.20438055615599163</v>
      </c>
      <c r="GV229" s="103">
        <f t="shared" si="159"/>
        <v>0.48937780847078638</v>
      </c>
      <c r="GW229" s="103">
        <f t="shared" si="159"/>
        <v>5.0229399825441529E-2</v>
      </c>
      <c r="GX229" s="103">
        <f t="shared" si="158"/>
        <v>0.10125721343376663</v>
      </c>
      <c r="GY229" s="103">
        <f t="shared" si="158"/>
        <v>8.655501779780439E-2</v>
      </c>
      <c r="GZ229" s="103">
        <f t="shared" si="158"/>
        <v>6.9755332790589052E-3</v>
      </c>
      <c r="HA229" s="103">
        <f t="shared" si="158"/>
        <v>8.7120584413562707E-4</v>
      </c>
    </row>
    <row r="230" spans="1:209" x14ac:dyDescent="0.25">
      <c r="A230" s="96">
        <v>47423</v>
      </c>
      <c r="B230" s="104">
        <f t="shared" ref="B230:B239" si="226">23-20+10+85-5-4-4-1.25+2.25-5+15-6-25-45+65+15-22.5-50+40+16.5+27.5+168+80+14-30+15-50-19+22.5-10+5+11-25-50-12.5-27.5-10+10+2+4-1.5+12-26-15-50-15+10-32.5-3-5-2.5-1+5+10-50-35-9-0.5+25+15+25+20+15+85-25+12.5-52.5+10+20-150+20-20+55-25-25</f>
        <v>5</v>
      </c>
      <c r="C230" s="104">
        <f t="shared" si="147"/>
        <v>0</v>
      </c>
      <c r="D230" s="104">
        <f t="shared" si="192"/>
        <v>1.5</v>
      </c>
      <c r="E230" s="104">
        <f>('Renewable Diesel'!B239*E$3*'Feedstock Conversion Rates'!$B$2)/12-40+1.25+6-43+30-15+12.5-4+1.5+26+2.5+3-10+50+9-15-25-55+15+45+10-50+60-60</f>
        <v>44.679999999999993</v>
      </c>
      <c r="F230" s="104">
        <f>('Renewable Diesel'!B239*'RD Feedstock Breakdown'!F$3*'Feedstock Conversion Rates'!B$8)/12+28.5-49-5+2-6+1+6+20-20-3.75+10+2.5+5-20-20</f>
        <v>5.15625</v>
      </c>
      <c r="G230" s="104">
        <f>('Renewable Diesel'!B239*'RD Feedstock Breakdown'!G$3*'Feedstock Conversion Rates'!B$7)/12-25-15-25+4+4-20-40-20+10-17.5+20+50-12+32.5+35-75-75+22.5+5-20+15+125-10-45-10-40-40</f>
        <v>9.6570000000000107</v>
      </c>
      <c r="H230" s="104">
        <f>('Renewable Diesel'!B239*'RD Feedstock Breakdown'!H$3*'Feedstock Conversion Rates'!B$3)/12-85+4-15+70-65-80+50-22.5-5+25+27.5+15+50+15-10+5+50+75-5-25-85-12.5+30+22.5-25-30+150+90-120+25+10+70+55</f>
        <v>430.40022499999998</v>
      </c>
      <c r="I230" s="106">
        <f t="shared" si="203"/>
        <v>496.39347499999997</v>
      </c>
      <c r="J230" s="104">
        <f>47.5+60+38+97+19-6.25-35-29-20-5-25-4-3-50-10-1-20+2.5+20+100+20+1-45-75+15+20-25-10-26-5-30-6+10</f>
        <v>19.75</v>
      </c>
      <c r="K230" s="104"/>
      <c r="L230" s="104">
        <v>1</v>
      </c>
      <c r="M230" s="104">
        <f>('Renewable Diesel'!C239*'RD Feedstock Breakdown'!M$3*'Feedstock Conversion Rates'!B$2)/12</f>
        <v>7.7902500000000003</v>
      </c>
      <c r="N230" s="104">
        <f>('Renewable Diesel'!C239*'RD Feedstock Breakdown'!N$3*'Feedstock Conversion Rates'!B$8)/12</f>
        <v>3.671875</v>
      </c>
      <c r="O230" s="104">
        <f>('Renewable Diesel'!C239*'RD Feedstock Breakdown'!O$3*'Feedstock Conversion Rates'!B$7)/12</f>
        <v>11.9991</v>
      </c>
      <c r="P230" s="104">
        <f>('Renewable Diesel'!C239*'RD Feedstock Breakdown'!P$3*'Feedstock Conversion Rates'!B$3)/12</f>
        <v>10.4470425</v>
      </c>
      <c r="Q230" s="106">
        <f t="shared" si="216"/>
        <v>54.658267500000001</v>
      </c>
      <c r="R230" s="104">
        <f>('Renewable Diesel'!D239*'RD Feedstock Breakdown'!R$3*'Feedstock Conversion Rates'!B$7)/12</f>
        <v>2.2999999999999998</v>
      </c>
      <c r="S230" s="106">
        <f t="shared" si="148"/>
        <v>2.2999999999999998</v>
      </c>
      <c r="T230" s="104">
        <f t="shared" si="221"/>
        <v>0.82500000000000284</v>
      </c>
      <c r="U230" s="104">
        <f>30+6</f>
        <v>36</v>
      </c>
      <c r="V230" s="104">
        <f>('Renewable Diesel'!E239*'RD Feedstock Breakdown'!V$3*'Feedstock Conversion Rates'!B$6)/12-20+25-35+15</f>
        <v>29.250150000000012</v>
      </c>
      <c r="W230" s="104">
        <f>('Renewable Diesel'!E239*'RD Feedstock Breakdown'!W$3*'Feedstock Conversion Rates'!B$8)/12-6-10-6</f>
        <v>0.1796875</v>
      </c>
      <c r="X230" s="106">
        <f t="shared" si="185"/>
        <v>66.254837500000008</v>
      </c>
      <c r="Y230" s="104">
        <f t="shared" ref="Y230:Y240" si="227">50+32-80+171+60-15-75-30-15-5-50+75-65+52.5+3+30-3-2-7</f>
        <v>126.5</v>
      </c>
      <c r="Z230" s="104">
        <f>('Renewable Diesel'!F239*'RD Feedstock Breakdown'!Z$3*'Feedstock Conversion Rates'!B$6)/12-50-32-60+15+15+50-75+65-6-30+9+2+7</f>
        <v>69.460000000000008</v>
      </c>
      <c r="AA230" s="104">
        <f>('Renewable Diesel'!F239*'RD Feedstock Breakdown'!AA$3*'Feedstock Conversion Rates'!B$7)/12+80-171+75+30+5-52.5-3</f>
        <v>67.766666666666652</v>
      </c>
      <c r="AB230" s="106">
        <f t="shared" si="137"/>
        <v>263.72666666666669</v>
      </c>
      <c r="AC230" s="104">
        <f>('Renewable Diesel'!G239*'RD Feedstock Breakdown'!AC$3*'Feedstock Conversion Rates'!B$5)/12</f>
        <v>11.796875</v>
      </c>
      <c r="AD230" s="104">
        <f>('Renewable Diesel'!G239*'RD Feedstock Breakdown'!AD$3*'Feedstock Conversion Rates'!B$4)/12</f>
        <v>5.859375</v>
      </c>
      <c r="AE230" s="104">
        <f>('Renewable Diesel'!G239*'RD Feedstock Breakdown'!AE$3*'Feedstock Conversion Rates'!B$6)/12</f>
        <v>7.3281250000000009</v>
      </c>
      <c r="AF230" s="106">
        <f t="shared" si="198"/>
        <v>24.984375</v>
      </c>
      <c r="AG230" s="104">
        <f>130+20-51+120-105+42.5-20+5-135</f>
        <v>6.5</v>
      </c>
      <c r="AH230" s="104">
        <v>135</v>
      </c>
      <c r="AI230" s="104">
        <f>('Renewable Diesel'!H239*'RD Feedstock Breakdown'!AI$3*'Feedstock Conversion Rates'!B$6)/12-130-20+51-120+105-42.5+20-5</f>
        <v>7.0166666666666799</v>
      </c>
      <c r="AJ230" s="106">
        <f t="shared" si="145"/>
        <v>13.51666666666668</v>
      </c>
      <c r="AK230" s="104">
        <f>('Renewable Diesel'!J239*'RD Feedstock Breakdown'!AK$3*'Feedstock Conversion Rates'!B$4)/12</f>
        <v>95.8125</v>
      </c>
      <c r="AL230" s="106">
        <f t="shared" si="157"/>
        <v>95.8125</v>
      </c>
      <c r="AM230" s="104">
        <f>('Renewable Diesel'!K239*'RD Feedstock Breakdown'!AM$3*'Feedstock Conversion Rates'!B$4)/12+5+15-10+9-27</f>
        <v>50.59375</v>
      </c>
      <c r="AN230" s="104">
        <f>('Renewable Diesel'!K239*'RD Feedstock Breakdown'!AN$3*'Feedstock Conversion Rates'!B$6)/12-5-15+10-9+27</f>
        <v>32.427083333333329</v>
      </c>
      <c r="AO230" s="106">
        <f t="shared" si="173"/>
        <v>83.020833333333329</v>
      </c>
      <c r="AP230" s="104">
        <f>('Renewable Diesel'!L239*'RD Feedstock Breakdown'!AP$3*'Feedstock Conversion Rates'!B$4)/12+15-10+14</f>
        <v>77.59375</v>
      </c>
      <c r="AQ230" s="104">
        <f>('Renewable Diesel'!L239*'RD Feedstock Breakdown'!AQ$3*'Feedstock Conversion Rates'!B$6)/12-15+10-14</f>
        <v>5.4270833333333321</v>
      </c>
      <c r="AR230" s="106">
        <f t="shared" si="162"/>
        <v>83.020833333333329</v>
      </c>
      <c r="AS230" s="104">
        <f>('Renewable Diesel'!M239*'RD Feedstock Breakdown'!AS$3*'Feedstock Conversion Rates'!B$4)/12-90-50</f>
        <v>316.25</v>
      </c>
      <c r="AT230" s="104">
        <f>('Renewable Diesel'!M239*'RD Feedstock Breakdown'!AT$3*'Feedstock Conversion Rates'!B$5)/12+90+50</f>
        <v>140</v>
      </c>
      <c r="AU230" s="106">
        <f t="shared" si="201"/>
        <v>456.25</v>
      </c>
      <c r="AV230" s="104">
        <f>'Renewable Diesel'!N239*'RD Feedstock Breakdown'!$AV$3*'Feedstock Conversion Rates'!$B$4/12-15-10+25+25-22-40</f>
        <v>41.749999999999986</v>
      </c>
      <c r="AW230" s="104">
        <f>'Renewable Diesel'!N239*'RD Feedstock Breakdown'!$AW$3*'Feedstock Conversion Rates'!$B$7/12+15+10-25-25+22+40</f>
        <v>78.400000000000006</v>
      </c>
      <c r="AX230" s="106">
        <f t="shared" si="141"/>
        <v>120.14999999999999</v>
      </c>
      <c r="AY230" s="104">
        <f>('Renewable Diesel'!O239*'RD Feedstock Breakdown'!AY$3*'Feedstock Conversion Rates'!B$4)/12+32+2-135-247+50</f>
        <v>-87.0625</v>
      </c>
      <c r="AZ230" s="104">
        <f>('Renewable Diesel'!O239*'RD Feedstock Breakdown'!AZ$3*'Feedstock Conversion Rates'!B$3)/12-32-2+135+247-50</f>
        <v>323.03125</v>
      </c>
      <c r="BA230" s="106">
        <f t="shared" si="217"/>
        <v>235.96875</v>
      </c>
      <c r="BB230" s="104">
        <f>('Renewable Diesel'!Q239*'RD Feedstock Breakdown'!BB$3*'Feedstock Conversion Rates'!B$4)/12</f>
        <v>11.156249999999998</v>
      </c>
      <c r="BC230" s="104">
        <f>('Renewable Diesel'!Q239*'RD Feedstock Breakdown'!BC$3*'Feedstock Conversion Rates'!B$3)/12</f>
        <v>1.4017500000000001</v>
      </c>
      <c r="BD230" s="104">
        <f>('Renewable Diesel'!Q239*'RD Feedstock Breakdown'!BD$3*'Feedstock Conversion Rates'!B$6)/12</f>
        <v>0.8207500000000002</v>
      </c>
      <c r="BE230" s="106">
        <f t="shared" si="189"/>
        <v>13.378749999999998</v>
      </c>
      <c r="BF230" s="104">
        <f>('Renewable Diesel'!R239*'RD Feedstock Breakdown'!BF$3*'Feedstock Conversion Rates'!B$4)/12</f>
        <v>62.5</v>
      </c>
      <c r="BG230" s="106">
        <f t="shared" si="167"/>
        <v>62.5</v>
      </c>
      <c r="BH230" s="104">
        <f>('Renewable Diesel'!T239*'RD Feedstock Breakdown'!BH$3*'Feedstock Conversion Rates'!B$7)/12</f>
        <v>27.599999999999998</v>
      </c>
      <c r="BI230" s="106">
        <f t="shared" si="144"/>
        <v>27.599999999999998</v>
      </c>
      <c r="BJ230" s="104">
        <f>('Renewable Diesel'!W239*'RD Feedstock Breakdown'!BJ$3*'Feedstock Conversion Rates'!B$4)/12</f>
        <v>7.5</v>
      </c>
      <c r="BK230" s="104">
        <f>('Renewable Diesel'!W239*'RD Feedstock Breakdown'!BK$3*'Feedstock Conversion Rates'!B$3)/12</f>
        <v>1.335</v>
      </c>
      <c r="BL230" s="104">
        <f>('Renewable Diesel'!W239*'RD Feedstock Breakdown'!BL$3*'Feedstock Conversion Rates'!B$6)/12</f>
        <v>3.1266666666666669</v>
      </c>
      <c r="BM230" s="104">
        <f>('Renewable Diesel'!W239*'RD Feedstock Breakdown'!BM$3*'Feedstock Conversion Rates'!B$7)/12</f>
        <v>1.5333333333333332</v>
      </c>
      <c r="BN230" s="106">
        <f t="shared" si="209"/>
        <v>13.495000000000001</v>
      </c>
      <c r="BO230" s="104">
        <f>('Renewable Diesel'!P239*'Feedstock Conversion Rates'!B$4)/12</f>
        <v>31.25</v>
      </c>
      <c r="BP230" s="106">
        <f t="shared" si="199"/>
        <v>31.25</v>
      </c>
      <c r="BQ230" s="104">
        <f>('Renewable Diesel'!$S239*'RD Feedstock Breakdown'!BQ$3*'Feedstock Conversion Rates'!B$4)/12+10</f>
        <v>38.125</v>
      </c>
      <c r="BR230" s="104">
        <f>('Renewable Diesel'!$S239*'RD Feedstock Breakdown'!BR$3*'Feedstock Conversion Rates'!B$7)/12-10</f>
        <v>1.5</v>
      </c>
      <c r="BS230" s="106">
        <f t="shared" si="222"/>
        <v>39.625</v>
      </c>
      <c r="BT230" s="106"/>
      <c r="BU230" s="104">
        <f>('Renewable Diesel'!Y239*'Feedstock Conversion Rates'!B$7)/12</f>
        <v>2.6833333333333331</v>
      </c>
      <c r="BV230" s="106">
        <f t="shared" si="191"/>
        <v>2.6833333333333331</v>
      </c>
      <c r="BW230" s="104">
        <f>('Renewable Diesel'!$Z239*'RD Feedstock Breakdown'!BW$3*'Feedstock Conversion Rates'!$B$4)/12</f>
        <v>53.90625</v>
      </c>
      <c r="BX230" s="104">
        <f>('Renewable Diesel'!$Z239*'RD Feedstock Breakdown'!BX$3*'Feedstock Conversion Rates'!$B$5)/12</f>
        <v>5.4265624999999993</v>
      </c>
      <c r="BY230" s="104">
        <f>('Renewable Diesel'!$Z239*'RD Feedstock Breakdown'!BY$3*'Feedstock Conversion Rates'!$B$7)/12</f>
        <v>46.287499999999994</v>
      </c>
      <c r="BZ230" s="104">
        <f>('Renewable Diesel'!$Z239*'RD Feedstock Breakdown'!BZ$3*'Feedstock Conversion Rates'!$B$3)/12</f>
        <v>11.514374999999999</v>
      </c>
      <c r="CA230" s="106">
        <f t="shared" ref="CA230:CA293" si="228">SUM(BW230:BZ230)</f>
        <v>117.1346875</v>
      </c>
      <c r="CB230" s="104">
        <f>('Renewable Diesel'!AA239*'Feedstock Conversion Rates'!B$4)/12</f>
        <v>191.25</v>
      </c>
      <c r="CC230" s="106">
        <f t="shared" si="213"/>
        <v>191.25</v>
      </c>
      <c r="CD230" s="104">
        <f>('Renewable Diesel'!$AB239*'RD Feedstock Breakdown'!CD$3*'Feedstock Conversion Rates'!$B$6)/12-15</f>
        <v>17.830000000000005</v>
      </c>
      <c r="CE230" s="104">
        <f>('Renewable Diesel'!$AB239*'RD Feedstock Breakdown'!CE$3*'Feedstock Conversion Rates'!$B$4)/12+15</f>
        <v>26.25</v>
      </c>
      <c r="CF230" s="106">
        <f t="shared" si="205"/>
        <v>44.080000000000005</v>
      </c>
      <c r="CG230" s="104">
        <f>('Renewable Diesel'!AD239*'Feedstock Conversion Rates'!B$4)/12</f>
        <v>112.5</v>
      </c>
      <c r="CH230" s="106">
        <f t="shared" si="187"/>
        <v>112.5</v>
      </c>
      <c r="CI230" s="104">
        <f>('Renewable Diesel'!$AE239*'RD Feedstock Breakdown'!CI$3*'Feedstock Conversion Rates'!$B$5)/12</f>
        <v>0.34604166666666664</v>
      </c>
      <c r="CJ230" s="104">
        <f>('Renewable Diesel'!$AE239*'RD Feedstock Breakdown'!CJ$3*'Feedstock Conversion Rates'!$B$4)/12</f>
        <v>0.34375</v>
      </c>
      <c r="CK230" s="106">
        <f t="shared" si="200"/>
        <v>0.68979166666666658</v>
      </c>
      <c r="CL230" s="104">
        <f>(((CL$3*'Renewable Diesel'!$AF239)*'Feedstock Conversion Rates'!$B$3)/12)-25</f>
        <v>66.78125</v>
      </c>
      <c r="CM230" s="104">
        <f>(((CM$3*'Renewable Diesel'!$AF239)*'Feedstock Conversion Rates'!$B$6)/12)+25</f>
        <v>78.739583333333343</v>
      </c>
      <c r="CN230" s="104">
        <f>(((CN$3*'Renewable Diesel'!$AF239)*'Feedstock Conversion Rates'!$B$4)/12)</f>
        <v>42.96875</v>
      </c>
      <c r="CO230" s="106">
        <f t="shared" si="190"/>
        <v>188.48958333333334</v>
      </c>
      <c r="CP230" s="104">
        <f>('Renewable Diesel'!$AG239*'RD Feedstock Breakdown'!CP$3*'Feedstock Conversion Rates'!$B$3)/12</f>
        <v>6.0075000000000003</v>
      </c>
      <c r="CQ230" s="104">
        <f>('Renewable Diesel'!$AG239*'RD Feedstock Breakdown'!CQ$3*'Feedstock Conversion Rates'!$B$6)/12</f>
        <v>3.5175000000000001</v>
      </c>
      <c r="CR230" s="104">
        <f>('Renewable Diesel'!$AG239*'RD Feedstock Breakdown'!CR$3*'Feedstock Conversion Rates'!$B$4)/12</f>
        <v>2.8125</v>
      </c>
      <c r="CS230" s="106">
        <f t="shared" si="134"/>
        <v>12.3375</v>
      </c>
      <c r="CT230" s="104">
        <f>('Renewable Diesel'!AI239*'Feedstock Conversion Rates'!$B$4*'RD Feedstock Breakdown'!$CT$3)/12</f>
        <v>29.375</v>
      </c>
      <c r="CU230" s="106">
        <f t="shared" si="196"/>
        <v>29.375</v>
      </c>
      <c r="CV230" s="104">
        <f>('Renewable Diesel'!AN239*'Feedstock Conversion Rates'!$B$3*'RD Feedstock Breakdown'!$CV$3)/12</f>
        <v>0.50062499999999999</v>
      </c>
      <c r="CW230" s="106">
        <f t="shared" si="161"/>
        <v>0.50062499999999999</v>
      </c>
      <c r="CX230" s="104">
        <f>('Renewable Diesel'!AO239*'RD Feedstock Breakdown'!$CX$3*'Feedstock Conversion Rates'!$B$3)/12</f>
        <v>6.3412499999999996</v>
      </c>
      <c r="CY230" s="104">
        <f>('Renewable Diesel'!AO239*'RD Feedstock Breakdown'!$CY$3*'Feedstock Conversion Rates'!$B$6)/12</f>
        <v>7.4258333333333342</v>
      </c>
      <c r="CZ230" s="106">
        <f t="shared" si="135"/>
        <v>13.767083333333334</v>
      </c>
      <c r="DA230" s="104">
        <f>('Renewable Diesel'!$AP239*'RD Feedstock Breakdown'!DA$3*'Feedstock Conversion Rates'!$B$3)/12</f>
        <v>6.3412499999999996</v>
      </c>
      <c r="DB230" s="104">
        <f>('Renewable Diesel'!$AP239*'RD Feedstock Breakdown'!DB$3*'Feedstock Conversion Rates'!$B$8)/12</f>
        <v>7.421875</v>
      </c>
      <c r="DC230" s="106">
        <f t="shared" si="165"/>
        <v>13.763124999999999</v>
      </c>
      <c r="DD230" s="104">
        <f>('Renewable Diesel'!AQ239*$DD$3*'Feedstock Conversion Rates'!$B$14)/12</f>
        <v>3.1041666666666665</v>
      </c>
      <c r="DE230" s="106">
        <f t="shared" si="166"/>
        <v>3.1041666666666665</v>
      </c>
      <c r="DF230" s="104">
        <f>('Renewable Diesel'!AR239*'Feedstock Conversion Rates'!$B$4*$DF$3)/12</f>
        <v>75</v>
      </c>
      <c r="DG230" s="106">
        <f t="shared" si="136"/>
        <v>75</v>
      </c>
      <c r="DH230" s="104">
        <f>('Renewable Diesel'!AS239*'Feedstock Conversion Rates'!$B$4*$DH$3)/12</f>
        <v>75</v>
      </c>
      <c r="DI230" s="106">
        <f t="shared" si="142"/>
        <v>75</v>
      </c>
      <c r="DJ230" s="104">
        <f>('Renewable Diesel'!AT239*'Feedstock Conversion Rates'!$B$4*0.25)/12</f>
        <v>8.59375</v>
      </c>
      <c r="DK230" s="104">
        <f>('Renewable Diesel'!$AT239*'RD Feedstock Breakdown'!DK$3*'Feedstock Conversion Rates'!$B$3)/12*0.5</f>
        <v>9.1781249999999996</v>
      </c>
      <c r="DL230" s="104">
        <f>('Renewable Diesel'!$AT239*'RD Feedstock Breakdown'!$DL$3*'Feedstock Conversion Rates'!$B$6)/12</f>
        <v>10.747916666666669</v>
      </c>
      <c r="DM230" s="104">
        <f>('Renewable Diesel'!$AT239*'RD Feedstock Breakdown'!$DM$3*'Feedstock Conversion Rates'!$B$8)/12</f>
        <v>10.7421875</v>
      </c>
      <c r="DN230" s="106">
        <f t="shared" si="210"/>
        <v>39.26197916666667</v>
      </c>
      <c r="DP230" s="104">
        <f t="shared" si="168"/>
        <v>52.470249999999993</v>
      </c>
      <c r="DQ230" s="104">
        <f t="shared" si="169"/>
        <v>873.27964250000002</v>
      </c>
      <c r="DR230" s="104">
        <f t="shared" si="174"/>
        <v>1582.984375</v>
      </c>
      <c r="DS230" s="104">
        <f t="shared" si="197"/>
        <v>176.59239583333334</v>
      </c>
      <c r="DT230" s="104">
        <f t="shared" si="170"/>
        <v>280.53923333333341</v>
      </c>
      <c r="DU230" s="104">
        <f t="shared" si="171"/>
        <v>249.72693333333333</v>
      </c>
      <c r="DV230" s="104">
        <f t="shared" si="175"/>
        <v>19.75</v>
      </c>
      <c r="DW230" s="104">
        <f t="shared" si="172"/>
        <v>2.5</v>
      </c>
      <c r="DX230" s="106">
        <f t="shared" si="176"/>
        <v>3237.84283</v>
      </c>
      <c r="DY230" s="109">
        <f t="shared" si="163"/>
        <v>-135.00000000000014</v>
      </c>
      <c r="EA230" s="110">
        <f t="shared" si="218"/>
        <v>1.6205310990959988E-2</v>
      </c>
      <c r="EB230" s="110">
        <f t="shared" si="219"/>
        <v>0.26971032516115057</v>
      </c>
      <c r="EC230" s="110">
        <f t="shared" si="220"/>
        <v>0.48890093130307993</v>
      </c>
      <c r="ED230" s="110">
        <f t="shared" si="146"/>
        <v>5.4540138328250276E-2</v>
      </c>
      <c r="EE230" s="110">
        <f t="shared" si="146"/>
        <v>8.6643870027914044E-2</v>
      </c>
      <c r="EF230" s="110">
        <f t="shared" si="146"/>
        <v>7.7127565000841419E-2</v>
      </c>
      <c r="EG230" s="110">
        <f t="shared" si="146"/>
        <v>6.0997401779381609E-3</v>
      </c>
      <c r="EH230" s="111">
        <f t="shared" si="177"/>
        <v>7.7211900986559005E-4</v>
      </c>
      <c r="EI230" s="110">
        <f t="shared" si="178"/>
        <v>0.99922788099013438</v>
      </c>
      <c r="EK230" s="132">
        <f>(EA230*'Renewable Diesel'!BF239*'Feedstock Conversion Rates'!B$2)+FB230</f>
        <v>86.998988343342049</v>
      </c>
      <c r="EL230" s="132">
        <f>(EB230*'Renewable Diesel'!BF239*'Feedstock Conversion Rates'!B$3)+FC230</f>
        <v>1364.4825803777699</v>
      </c>
      <c r="EM230" s="132">
        <f>(EC230*'Renewable Diesel'!BF239*'Feedstock Conversion Rates'!B$4)+FD230</f>
        <v>2315.9012379561464</v>
      </c>
      <c r="EN230" s="132">
        <f>(ED230*'Renewable Diesel'!BF239*'Feedstock Conversion Rates'!B$5)+FE230</f>
        <v>260.07648903349758</v>
      </c>
      <c r="EO230" s="132">
        <f>(EE230*'Renewable Diesel'!BF239*'Feedstock Conversion Rates'!B$6)+FF230</f>
        <v>513.3086555703369</v>
      </c>
      <c r="EP230" s="132">
        <f>(EF230*'Renewable Diesel'!BF239*'Feedstock Conversion Rates'!B$7)+FG230</f>
        <v>448.16233551098355</v>
      </c>
      <c r="EQ230" s="132">
        <f>(EG230*'Renewable Diesel'!BF239*'Feedstock Conversion Rates'!B$8)+FH230</f>
        <v>36.117736040219832</v>
      </c>
      <c r="ER230" s="132">
        <f>(EH230*'Renewable Diesel'!BF239*'Feedstock Conversion Rates'!B$9)+FI230</f>
        <v>4.5109071172595234</v>
      </c>
      <c r="ES230" s="132">
        <f t="shared" si="179"/>
        <v>5029.558929949555</v>
      </c>
      <c r="ET230" s="133">
        <f>ES230/'Renewable Diesel'!BF239</f>
        <v>9.3702500477756789</v>
      </c>
      <c r="EW230" s="73">
        <f t="shared" si="223"/>
        <v>2962.7681673657476</v>
      </c>
      <c r="EX230" s="73">
        <f t="shared" si="224"/>
        <v>2821.9934543734539</v>
      </c>
      <c r="EY230" s="92">
        <f t="shared" si="164"/>
        <v>0.58907117077867965</v>
      </c>
      <c r="EZ230" s="92">
        <f t="shared" si="164"/>
        <v>0.56108169596528767</v>
      </c>
      <c r="FB230" s="102">
        <f>IF('Renewable Diesel'!$BG239&lt;1,0,(((('Renewable Diesel'!$BG239-1)*'Renewable Diesel'!$BF239)*'RD Feedstock Breakdown'!EA230)*'Feedstock Conversion Rates'!$B$2))</f>
        <v>13.063147503577795</v>
      </c>
      <c r="FC230" s="102">
        <f>IF('Renewable Diesel'!$BG239&lt;1,0,(((('Renewable Diesel'!$BG239-1)*'Renewable Diesel'!$BF239)*'RD Feedstock Breakdown'!EB230)*'Feedstock Conversion Rates'!$B$3))</f>
        <v>204.88097106592775</v>
      </c>
      <c r="FD230" s="102">
        <f>IF('Renewable Diesel'!$BG239&lt;1,0,(((('Renewable Diesel'!$BG239-1)*'Renewable Diesel'!$BF239)*'RD Feedstock Breakdown'!EC230)*'Feedstock Conversion Rates'!$B$4))</f>
        <v>347.73920997501784</v>
      </c>
      <c r="FE230" s="102">
        <f>IF('Renewable Diesel'!$BG239&lt;1,0,(((('Renewable Diesel'!$BG239-1)*'Renewable Diesel'!$BF239)*'RD Feedstock Breakdown'!ED230)*'Feedstock Conversion Rates'!$B$5))</f>
        <v>39.051230401085611</v>
      </c>
      <c r="FF230" s="102">
        <f>IF('Renewable Diesel'!$BG239&lt;1,0,(((('Renewable Diesel'!$BG239-1)*'Renewable Diesel'!$BF239)*'RD Feedstock Breakdown'!EE230)*'Feedstock Conversion Rates'!$B$6))</f>
        <v>77.074766158377756</v>
      </c>
      <c r="FG230" s="102">
        <f>IF('Renewable Diesel'!$BG239&lt;1,0,(((('Renewable Diesel'!$BG239-1)*'Renewable Diesel'!$BF239)*'RD Feedstock Breakdown'!EF230)*'Feedstock Conversion Rates'!$B$7))</f>
        <v>67.292859443645838</v>
      </c>
      <c r="FH230" s="102">
        <f>IF('Renewable Diesel'!$BG239&lt;1,0,(((('Renewable Diesel'!$BG239-1)*'Renewable Diesel'!$BF239)*'RD Feedstock Breakdown'!EG230)*'Feedstock Conversion Rates'!$B$8))</f>
        <v>5.4231816067409095</v>
      </c>
      <c r="FI230" s="102">
        <f>IF('Renewable Diesel'!$BG239&lt;1,0,(((('Renewable Diesel'!$BG239-1)*'Renewable Diesel'!$BF239)*'RD Feedstock Breakdown'!EH230)*'Feedstock Conversion Rates'!$B$9))</f>
        <v>0.6773256352722824</v>
      </c>
      <c r="FJ230" s="102">
        <f t="shared" si="225"/>
        <v>755.20269178964577</v>
      </c>
      <c r="GD230" s="91">
        <f>'Renewable Diesel'!BB239*0.32</f>
        <v>0</v>
      </c>
      <c r="GE230" s="91">
        <f>'Renewable Diesel'!BC239</f>
        <v>218.48747243177388</v>
      </c>
      <c r="GF230" s="91">
        <f>'Renewable Diesel'!BD239</f>
        <v>0</v>
      </c>
      <c r="GG230" s="91">
        <f t="shared" si="206"/>
        <v>218.48747243177388</v>
      </c>
      <c r="GH230" s="124">
        <v>1</v>
      </c>
      <c r="GI230" s="102">
        <f>$GG230*EA230*'Feedstock Conversion Rates'!$B$2</f>
        <v>30.095588226278387</v>
      </c>
      <c r="GJ230" s="102">
        <f>$GG230*EB230*'Feedstock Conversion Rates'!$B$3</f>
        <v>472.01590113802536</v>
      </c>
      <c r="GK230" s="102">
        <f>$GG230*EC230*'Feedstock Conversion Rates'!$B$4</f>
        <v>801.14046562462693</v>
      </c>
      <c r="GL230" s="102">
        <f>$GG230*ED230*'Feedstock Conversion Rates'!$B$5</f>
        <v>89.968344119111293</v>
      </c>
      <c r="GM230" s="102">
        <f>$GG230*EE230*'Feedstock Conversion Rates'!$B$6</f>
        <v>177.56902953931493</v>
      </c>
      <c r="GN230" s="102">
        <f>$GG230*EF230*'Feedstock Conversion Rates'!$B$7</f>
        <v>155.03294193303091</v>
      </c>
      <c r="GO230" s="102">
        <f>$GG230*EG230*'Feedstock Conversion Rates'!$B$8</f>
        <v>12.49422013095232</v>
      </c>
      <c r="GP230" s="102">
        <f>$GG230*EH230*'Feedstock Conversion Rates'!B$9</f>
        <v>1.5604595606590241</v>
      </c>
      <c r="GQ230" s="102">
        <f t="shared" si="180"/>
        <v>1739.8769502719992</v>
      </c>
      <c r="GR230" s="85">
        <f t="shared" si="204"/>
        <v>7.9632801409943674</v>
      </c>
      <c r="GT230" s="103">
        <f t="shared" si="159"/>
        <v>1.7297538323944966E-2</v>
      </c>
      <c r="GU230" s="103">
        <f t="shared" si="159"/>
        <v>0.27129269174135218</v>
      </c>
      <c r="GV230" s="103">
        <f t="shared" si="159"/>
        <v>0.46045811774182238</v>
      </c>
      <c r="GW230" s="103">
        <f t="shared" si="159"/>
        <v>5.1709601707779586E-2</v>
      </c>
      <c r="GX230" s="103">
        <f t="shared" si="158"/>
        <v>0.10205838379062103</v>
      </c>
      <c r="GY230" s="103">
        <f t="shared" si="158"/>
        <v>8.9105693312848511E-2</v>
      </c>
      <c r="GZ230" s="103">
        <f t="shared" si="158"/>
        <v>7.1810941164540815E-3</v>
      </c>
      <c r="HA230" s="103">
        <f t="shared" si="158"/>
        <v>8.9687926517738738E-4</v>
      </c>
    </row>
    <row r="231" spans="1:209" x14ac:dyDescent="0.25">
      <c r="A231" s="96">
        <v>47453</v>
      </c>
      <c r="B231" s="104">
        <f t="shared" si="226"/>
        <v>5</v>
      </c>
      <c r="C231" s="104">
        <f t="shared" si="147"/>
        <v>0</v>
      </c>
      <c r="D231" s="104">
        <f t="shared" si="192"/>
        <v>1.5</v>
      </c>
      <c r="E231" s="104">
        <f>('Renewable Diesel'!B240*E$3*'Feedstock Conversion Rates'!$B$2)/12-40+1.25+6-43+30-15+12.5-4+1.5+26+2.5+3-10+50+9-15-25-55+15+45+10-50+60-60</f>
        <v>44.679999999999993</v>
      </c>
      <c r="F231" s="104">
        <f>('Renewable Diesel'!B240*'RD Feedstock Breakdown'!F$3*'Feedstock Conversion Rates'!B$8)/12+28.5-49-5+2-6+1+6+20-20-3.75+10+2.5+5-20-20</f>
        <v>5.15625</v>
      </c>
      <c r="G231" s="104">
        <f>('Renewable Diesel'!B240*'RD Feedstock Breakdown'!G$3*'Feedstock Conversion Rates'!B$7)/12-25-15-25+4+4-20-40-20+10-17.5+20+50-12+32.5+35-75-75+22.5+5-20+15+125-10-45-10-40-40</f>
        <v>9.6570000000000107</v>
      </c>
      <c r="H231" s="104">
        <f>('Renewable Diesel'!B240*'RD Feedstock Breakdown'!H$3*'Feedstock Conversion Rates'!B$3)/12-85+4-15+70-65-80+50-22.5-5+25+27.5+15+50+15-10+5+50+75-5-25-85-12.5+30+22.5-25-30+150+90-120+25+10+70+55</f>
        <v>430.40022499999998</v>
      </c>
      <c r="I231" s="106">
        <f t="shared" si="203"/>
        <v>496.39347499999997</v>
      </c>
      <c r="J231" s="104">
        <f>47.5+60+38+97+19-6.25-35-29-20-5-25-4-3-50-10-1-20+2.5+20+100+20+1-45-75+15+20-25-10-26-5-30-6-10</f>
        <v>-0.25</v>
      </c>
      <c r="K231" s="104"/>
      <c r="L231" s="104">
        <v>1</v>
      </c>
      <c r="M231" s="104">
        <f>('Renewable Diesel'!C240*'RD Feedstock Breakdown'!M$3*'Feedstock Conversion Rates'!B$2)/12</f>
        <v>7.7902500000000003</v>
      </c>
      <c r="N231" s="104">
        <f>('Renewable Diesel'!C240*'RD Feedstock Breakdown'!N$3*'Feedstock Conversion Rates'!B$8)/12</f>
        <v>3.671875</v>
      </c>
      <c r="O231" s="104">
        <f>('Renewable Diesel'!C240*'RD Feedstock Breakdown'!O$3*'Feedstock Conversion Rates'!B$7)/12</f>
        <v>11.9991</v>
      </c>
      <c r="P231" s="104">
        <f>('Renewable Diesel'!C240*'RD Feedstock Breakdown'!P$3*'Feedstock Conversion Rates'!B$3)/12</f>
        <v>10.4470425</v>
      </c>
      <c r="Q231" s="106">
        <f t="shared" si="216"/>
        <v>34.658267500000001</v>
      </c>
      <c r="R231" s="104">
        <f>('Renewable Diesel'!D240*'RD Feedstock Breakdown'!R$3*'Feedstock Conversion Rates'!B$7)/12</f>
        <v>2.2999999999999998</v>
      </c>
      <c r="S231" s="106">
        <f t="shared" si="148"/>
        <v>2.2999999999999998</v>
      </c>
      <c r="T231" s="104">
        <f t="shared" si="221"/>
        <v>0.82500000000000284</v>
      </c>
      <c r="U231" s="104">
        <f t="shared" ref="U231:U240" si="229">30+6</f>
        <v>36</v>
      </c>
      <c r="V231" s="104">
        <f>('Renewable Diesel'!E240*'RD Feedstock Breakdown'!V$3*'Feedstock Conversion Rates'!B$6)/12-20+25-35+15</f>
        <v>29.250150000000012</v>
      </c>
      <c r="W231" s="104">
        <f>('Renewable Diesel'!E240*'RD Feedstock Breakdown'!W$3*'Feedstock Conversion Rates'!B$8)/12-6-10-6</f>
        <v>0.1796875</v>
      </c>
      <c r="X231" s="106">
        <f t="shared" si="185"/>
        <v>66.254837500000008</v>
      </c>
      <c r="Y231" s="104">
        <f t="shared" si="227"/>
        <v>126.5</v>
      </c>
      <c r="Z231" s="104">
        <f>('Renewable Diesel'!F240*'RD Feedstock Breakdown'!Z$3*'Feedstock Conversion Rates'!B$6)/12-50-32-60+15+15+50-75+65-6-30+9+2+7</f>
        <v>69.460000000000008</v>
      </c>
      <c r="AA231" s="104">
        <f>('Renewable Diesel'!F240*'RD Feedstock Breakdown'!AA$3*'Feedstock Conversion Rates'!B$7)/12+80-171+75+30+5-52.5-3</f>
        <v>67.766666666666652</v>
      </c>
      <c r="AB231" s="106">
        <f t="shared" si="137"/>
        <v>263.72666666666669</v>
      </c>
      <c r="AC231" s="104">
        <f>('Renewable Diesel'!G240*'RD Feedstock Breakdown'!AC$3*'Feedstock Conversion Rates'!B$5)/12</f>
        <v>11.796875</v>
      </c>
      <c r="AD231" s="104">
        <f>('Renewable Diesel'!G240*'RD Feedstock Breakdown'!AD$3*'Feedstock Conversion Rates'!B$4)/12</f>
        <v>5.859375</v>
      </c>
      <c r="AE231" s="104">
        <f>('Renewable Diesel'!G240*'RD Feedstock Breakdown'!AE$3*'Feedstock Conversion Rates'!B$6)/12</f>
        <v>7.3281250000000009</v>
      </c>
      <c r="AF231" s="106">
        <f t="shared" si="198"/>
        <v>24.984375</v>
      </c>
      <c r="AG231" s="104">
        <f t="shared" ref="AG231:AG288" si="230">130+20-51+120-105+42.5-20+5-135</f>
        <v>6.5</v>
      </c>
      <c r="AH231" s="104">
        <v>135</v>
      </c>
      <c r="AI231" s="104">
        <f>('Renewable Diesel'!H240*'RD Feedstock Breakdown'!AI$3*'Feedstock Conversion Rates'!B$6)/12-130-20+51-120+105-42.5+20-5</f>
        <v>7.0166666666666799</v>
      </c>
      <c r="AJ231" s="106">
        <f t="shared" si="145"/>
        <v>13.51666666666668</v>
      </c>
      <c r="AK231" s="104">
        <f>('Renewable Diesel'!J240*'RD Feedstock Breakdown'!AK$3*'Feedstock Conversion Rates'!B$4)/12</f>
        <v>95.8125</v>
      </c>
      <c r="AL231" s="106">
        <f t="shared" si="157"/>
        <v>95.8125</v>
      </c>
      <c r="AM231" s="104">
        <f>('Renewable Diesel'!K240*'RD Feedstock Breakdown'!AM$3*'Feedstock Conversion Rates'!B$4)/12+5+15-10+9-27</f>
        <v>50.59375</v>
      </c>
      <c r="AN231" s="104">
        <f>('Renewable Diesel'!K240*'RD Feedstock Breakdown'!AN$3*'Feedstock Conversion Rates'!B$6)/12-5-15+10-9+27</f>
        <v>32.427083333333329</v>
      </c>
      <c r="AO231" s="106">
        <f t="shared" si="173"/>
        <v>83.020833333333329</v>
      </c>
      <c r="AP231" s="104">
        <f>('Renewable Diesel'!L240*'RD Feedstock Breakdown'!AP$3*'Feedstock Conversion Rates'!B$4)/12+15-10+14</f>
        <v>77.59375</v>
      </c>
      <c r="AQ231" s="104">
        <f>('Renewable Diesel'!L240*'RD Feedstock Breakdown'!AQ$3*'Feedstock Conversion Rates'!B$6)/12-15+10-14</f>
        <v>5.4270833333333321</v>
      </c>
      <c r="AR231" s="106">
        <f t="shared" si="162"/>
        <v>83.020833333333329</v>
      </c>
      <c r="AS231" s="104">
        <f>('Renewable Diesel'!M240*'RD Feedstock Breakdown'!AS$3*'Feedstock Conversion Rates'!B$4)/12-90</f>
        <v>366.25</v>
      </c>
      <c r="AT231" s="104">
        <f>('Renewable Diesel'!M240*'RD Feedstock Breakdown'!AT$3*'Feedstock Conversion Rates'!B$5)/12+90</f>
        <v>90</v>
      </c>
      <c r="AU231" s="106">
        <f t="shared" si="201"/>
        <v>456.25</v>
      </c>
      <c r="AV231" s="104">
        <f>'Renewable Diesel'!N240*'RD Feedstock Breakdown'!$AV$3*'Feedstock Conversion Rates'!$B$4/12-15-10+25+25-22-40</f>
        <v>41.749999999999986</v>
      </c>
      <c r="AW231" s="104">
        <f>'Renewable Diesel'!N240*'RD Feedstock Breakdown'!$AW$3*'Feedstock Conversion Rates'!$B$7/12+15+10-25-25+22+40</f>
        <v>78.400000000000006</v>
      </c>
      <c r="AX231" s="106">
        <f t="shared" si="141"/>
        <v>120.14999999999999</v>
      </c>
      <c r="AY231" s="104">
        <f>('Renewable Diesel'!O240*'RD Feedstock Breakdown'!AY$3*'Feedstock Conversion Rates'!B$4)/12+32+2-135-247+50</f>
        <v>-87.0625</v>
      </c>
      <c r="AZ231" s="104">
        <f>('Renewable Diesel'!O240*'RD Feedstock Breakdown'!AZ$3*'Feedstock Conversion Rates'!B$3)/12-32-2+135+247-50</f>
        <v>323.03125</v>
      </c>
      <c r="BA231" s="106">
        <f t="shared" si="217"/>
        <v>235.96875</v>
      </c>
      <c r="BB231" s="104">
        <f>('Renewable Diesel'!Q240*'RD Feedstock Breakdown'!BB$3*'Feedstock Conversion Rates'!B$4)/12</f>
        <v>11.156249999999998</v>
      </c>
      <c r="BC231" s="104">
        <f>('Renewable Diesel'!Q240*'RD Feedstock Breakdown'!BC$3*'Feedstock Conversion Rates'!B$3)/12</f>
        <v>1.4017500000000001</v>
      </c>
      <c r="BD231" s="104">
        <f>('Renewable Diesel'!Q240*'RD Feedstock Breakdown'!BD$3*'Feedstock Conversion Rates'!B$6)/12</f>
        <v>0.8207500000000002</v>
      </c>
      <c r="BE231" s="106">
        <f t="shared" si="189"/>
        <v>13.378749999999998</v>
      </c>
      <c r="BF231" s="104">
        <f>('Renewable Diesel'!R240*'RD Feedstock Breakdown'!BF$3*'Feedstock Conversion Rates'!B$4)/12</f>
        <v>62.5</v>
      </c>
      <c r="BG231" s="106">
        <f t="shared" si="167"/>
        <v>62.5</v>
      </c>
      <c r="BH231" s="104">
        <f>('Renewable Diesel'!T240*'RD Feedstock Breakdown'!BH$3*'Feedstock Conversion Rates'!B$7)/12</f>
        <v>27.599999999999998</v>
      </c>
      <c r="BI231" s="106">
        <f t="shared" si="144"/>
        <v>27.599999999999998</v>
      </c>
      <c r="BJ231" s="104">
        <f>('Renewable Diesel'!W240*'RD Feedstock Breakdown'!BJ$3*'Feedstock Conversion Rates'!B$4)/12</f>
        <v>7.5</v>
      </c>
      <c r="BK231" s="104">
        <f>('Renewable Diesel'!W240*'RD Feedstock Breakdown'!BK$3*'Feedstock Conversion Rates'!B$3)/12</f>
        <v>1.335</v>
      </c>
      <c r="BL231" s="104">
        <f>('Renewable Diesel'!W240*'RD Feedstock Breakdown'!BL$3*'Feedstock Conversion Rates'!B$6)/12</f>
        <v>3.1266666666666669</v>
      </c>
      <c r="BM231" s="104">
        <f>('Renewable Diesel'!W240*'RD Feedstock Breakdown'!BM$3*'Feedstock Conversion Rates'!B$7)/12</f>
        <v>1.5333333333333332</v>
      </c>
      <c r="BN231" s="106">
        <f t="shared" si="209"/>
        <v>13.495000000000001</v>
      </c>
      <c r="BO231" s="104">
        <f>('Renewable Diesel'!P240*'Feedstock Conversion Rates'!B$4)/12</f>
        <v>31.25</v>
      </c>
      <c r="BP231" s="106">
        <f t="shared" si="199"/>
        <v>31.25</v>
      </c>
      <c r="BQ231" s="104">
        <f>('Renewable Diesel'!$S240*'RD Feedstock Breakdown'!BQ$3*'Feedstock Conversion Rates'!B$4)/12+10</f>
        <v>38.125</v>
      </c>
      <c r="BR231" s="104">
        <f>('Renewable Diesel'!$S240*'RD Feedstock Breakdown'!BR$3*'Feedstock Conversion Rates'!B$7)/12-10</f>
        <v>1.5</v>
      </c>
      <c r="BS231" s="106">
        <f t="shared" si="222"/>
        <v>39.625</v>
      </c>
      <c r="BT231" s="106"/>
      <c r="BU231" s="104">
        <f>('Renewable Diesel'!Y240*'Feedstock Conversion Rates'!B$7)/12</f>
        <v>2.6833333333333331</v>
      </c>
      <c r="BV231" s="106">
        <f t="shared" si="191"/>
        <v>2.6833333333333331</v>
      </c>
      <c r="BW231" s="104">
        <f>('Renewable Diesel'!$Z240*'RD Feedstock Breakdown'!BW$3*'Feedstock Conversion Rates'!$B$4)/12</f>
        <v>53.90625</v>
      </c>
      <c r="BX231" s="104">
        <f>('Renewable Diesel'!$Z240*'RD Feedstock Breakdown'!BX$3*'Feedstock Conversion Rates'!$B$5)/12</f>
        <v>5.4265624999999993</v>
      </c>
      <c r="BY231" s="104">
        <f>('Renewable Diesel'!$Z240*'RD Feedstock Breakdown'!BY$3*'Feedstock Conversion Rates'!$B$7)/12</f>
        <v>46.287499999999994</v>
      </c>
      <c r="BZ231" s="104">
        <f>('Renewable Diesel'!$Z240*'RD Feedstock Breakdown'!BZ$3*'Feedstock Conversion Rates'!$B$3)/12</f>
        <v>11.514374999999999</v>
      </c>
      <c r="CA231" s="106">
        <f t="shared" si="228"/>
        <v>117.1346875</v>
      </c>
      <c r="CB231" s="104">
        <f>('Renewable Diesel'!AA240*'Feedstock Conversion Rates'!B$4)/12</f>
        <v>191.25</v>
      </c>
      <c r="CC231" s="106">
        <f t="shared" si="213"/>
        <v>191.25</v>
      </c>
      <c r="CD231" s="104">
        <f>('Renewable Diesel'!$AB240*'RD Feedstock Breakdown'!CD$3*'Feedstock Conversion Rates'!$B$6)/12-15</f>
        <v>17.830000000000005</v>
      </c>
      <c r="CE231" s="104">
        <f>('Renewable Diesel'!$AB240*'RD Feedstock Breakdown'!CE$3*'Feedstock Conversion Rates'!$B$4)/12+15</f>
        <v>26.25</v>
      </c>
      <c r="CF231" s="106">
        <f t="shared" si="205"/>
        <v>44.080000000000005</v>
      </c>
      <c r="CG231" s="104">
        <f>('Renewable Diesel'!AD240*'Feedstock Conversion Rates'!B$4)/12</f>
        <v>112.5</v>
      </c>
      <c r="CH231" s="106">
        <f t="shared" si="187"/>
        <v>112.5</v>
      </c>
      <c r="CI231" s="104">
        <f>('Renewable Diesel'!$AE240*'RD Feedstock Breakdown'!CI$3*'Feedstock Conversion Rates'!$B$5)/12</f>
        <v>0.34604166666666664</v>
      </c>
      <c r="CJ231" s="104">
        <f>('Renewable Diesel'!$AE240*'RD Feedstock Breakdown'!CJ$3*'Feedstock Conversion Rates'!$B$4)/12</f>
        <v>0.34375</v>
      </c>
      <c r="CK231" s="106">
        <f t="shared" si="200"/>
        <v>0.68979166666666658</v>
      </c>
      <c r="CL231" s="104">
        <f>(((CL$3*'Renewable Diesel'!$AF240)*'Feedstock Conversion Rates'!$B$3)/12)-25</f>
        <v>66.78125</v>
      </c>
      <c r="CM231" s="104">
        <f>(((CM$3*'Renewable Diesel'!$AF240)*'Feedstock Conversion Rates'!$B$6)/12)+25</f>
        <v>78.739583333333343</v>
      </c>
      <c r="CN231" s="104">
        <f>(((CN$3*'Renewable Diesel'!$AF240)*'Feedstock Conversion Rates'!$B$4)/12)</f>
        <v>42.96875</v>
      </c>
      <c r="CO231" s="106">
        <f t="shared" si="190"/>
        <v>188.48958333333334</v>
      </c>
      <c r="CP231" s="104">
        <f>('Renewable Diesel'!$AG240*'RD Feedstock Breakdown'!CP$3*'Feedstock Conversion Rates'!$B$3)/12</f>
        <v>6.0075000000000003</v>
      </c>
      <c r="CQ231" s="104">
        <f>('Renewable Diesel'!$AG240*'RD Feedstock Breakdown'!CQ$3*'Feedstock Conversion Rates'!$B$6)/12</f>
        <v>3.5175000000000001</v>
      </c>
      <c r="CR231" s="104">
        <f>('Renewable Diesel'!$AG240*'RD Feedstock Breakdown'!CR$3*'Feedstock Conversion Rates'!$B$4)/12</f>
        <v>2.8125</v>
      </c>
      <c r="CS231" s="106">
        <f t="shared" si="134"/>
        <v>12.3375</v>
      </c>
      <c r="CT231" s="104">
        <f>('Renewable Diesel'!AI240*'Feedstock Conversion Rates'!$B$4*'RD Feedstock Breakdown'!$CT$3)/12</f>
        <v>29.375</v>
      </c>
      <c r="CU231" s="106">
        <f t="shared" si="196"/>
        <v>29.375</v>
      </c>
      <c r="CV231" s="104">
        <f>('Renewable Diesel'!AN240*'Feedstock Conversion Rates'!$B$3*'RD Feedstock Breakdown'!$CV$3)/12</f>
        <v>0.50062499999999999</v>
      </c>
      <c r="CW231" s="106">
        <f t="shared" si="161"/>
        <v>0.50062499999999999</v>
      </c>
      <c r="CX231" s="104">
        <f>('Renewable Diesel'!AO240*'RD Feedstock Breakdown'!$CX$3*'Feedstock Conversion Rates'!$B$3)/12</f>
        <v>6.3412499999999996</v>
      </c>
      <c r="CY231" s="104">
        <f>('Renewable Diesel'!AO240*'RD Feedstock Breakdown'!$CY$3*'Feedstock Conversion Rates'!$B$6)/12</f>
        <v>7.4258333333333342</v>
      </c>
      <c r="CZ231" s="106">
        <f t="shared" si="135"/>
        <v>13.767083333333334</v>
      </c>
      <c r="DA231" s="104">
        <f>('Renewable Diesel'!$AP240*'RD Feedstock Breakdown'!DA$3*'Feedstock Conversion Rates'!$B$3)/12</f>
        <v>6.3412499999999996</v>
      </c>
      <c r="DB231" s="104">
        <f>('Renewable Diesel'!$AP240*'RD Feedstock Breakdown'!DB$3*'Feedstock Conversion Rates'!$B$8)/12</f>
        <v>7.421875</v>
      </c>
      <c r="DC231" s="106">
        <f t="shared" si="165"/>
        <v>13.763124999999999</v>
      </c>
      <c r="DD231" s="104">
        <f>('Renewable Diesel'!AQ240*$DD$3*'Feedstock Conversion Rates'!$B$14)/12</f>
        <v>3.1041666666666665</v>
      </c>
      <c r="DE231" s="106">
        <f t="shared" si="166"/>
        <v>3.1041666666666665</v>
      </c>
      <c r="DF231" s="104">
        <f>('Renewable Diesel'!AR240*'Feedstock Conversion Rates'!$B$4*$DF$3)/12</f>
        <v>75</v>
      </c>
      <c r="DG231" s="106">
        <f t="shared" si="136"/>
        <v>75</v>
      </c>
      <c r="DH231" s="104">
        <f>('Renewable Diesel'!AS240*'Feedstock Conversion Rates'!$B$4*$DH$3)/12</f>
        <v>75</v>
      </c>
      <c r="DI231" s="106">
        <f t="shared" si="142"/>
        <v>75</v>
      </c>
      <c r="DJ231" s="104">
        <f>('Renewable Diesel'!AT240*'Feedstock Conversion Rates'!$B$4*0.25)/12</f>
        <v>8.59375</v>
      </c>
      <c r="DK231" s="104">
        <f>('Renewable Diesel'!$AT240*'RD Feedstock Breakdown'!DK$3*'Feedstock Conversion Rates'!$B$3)/12*0.5</f>
        <v>9.1781249999999996</v>
      </c>
      <c r="DL231" s="104">
        <f>('Renewable Diesel'!$AT240*'RD Feedstock Breakdown'!$DL$3*'Feedstock Conversion Rates'!$B$6)/12</f>
        <v>10.747916666666669</v>
      </c>
      <c r="DM231" s="104">
        <f>('Renewable Diesel'!$AT240*'RD Feedstock Breakdown'!$DM$3*'Feedstock Conversion Rates'!$B$8)/12</f>
        <v>10.7421875</v>
      </c>
      <c r="DN231" s="106">
        <f t="shared" si="210"/>
        <v>39.26197916666667</v>
      </c>
      <c r="DP231" s="104">
        <f t="shared" si="168"/>
        <v>52.470249999999993</v>
      </c>
      <c r="DQ231" s="104">
        <f t="shared" si="169"/>
        <v>873.27964250000002</v>
      </c>
      <c r="DR231" s="104">
        <f t="shared" si="174"/>
        <v>1612.984375</v>
      </c>
      <c r="DS231" s="104">
        <f t="shared" si="197"/>
        <v>126.59239583333334</v>
      </c>
      <c r="DT231" s="104">
        <f t="shared" si="170"/>
        <v>280.53923333333341</v>
      </c>
      <c r="DU231" s="104">
        <f t="shared" si="171"/>
        <v>249.72693333333333</v>
      </c>
      <c r="DV231" s="104">
        <f t="shared" si="175"/>
        <v>19.75</v>
      </c>
      <c r="DW231" s="104">
        <f t="shared" si="172"/>
        <v>2.5</v>
      </c>
      <c r="DX231" s="106">
        <f t="shared" si="176"/>
        <v>3217.84283</v>
      </c>
      <c r="DY231" s="109">
        <f t="shared" si="163"/>
        <v>-135.00000000000014</v>
      </c>
      <c r="EA231" s="110">
        <f t="shared" si="218"/>
        <v>1.6306032572759307E-2</v>
      </c>
      <c r="EB231" s="110">
        <f t="shared" si="219"/>
        <v>0.27138666760178587</v>
      </c>
      <c r="EC231" s="110">
        <f t="shared" si="220"/>
        <v>0.50126263469493315</v>
      </c>
      <c r="ED231" s="110">
        <f t="shared" si="146"/>
        <v>3.9340764145815457E-2</v>
      </c>
      <c r="EE231" s="110">
        <f t="shared" si="146"/>
        <v>8.7182391482225813E-2</v>
      </c>
      <c r="EF231" s="110">
        <f t="shared" si="146"/>
        <v>7.7606939346174755E-2</v>
      </c>
      <c r="EG231" s="110">
        <f t="shared" si="146"/>
        <v>6.1376521612150955E-3</v>
      </c>
      <c r="EH231" s="111">
        <f t="shared" si="177"/>
        <v>7.7691799509051846E-4</v>
      </c>
      <c r="EI231" s="110">
        <f t="shared" si="178"/>
        <v>0.9992230820049095</v>
      </c>
      <c r="EK231" s="132">
        <f>(EA231*'Renewable Diesel'!BF240*'Feedstock Conversion Rates'!B$2)+FB231</f>
        <v>97.593199517102079</v>
      </c>
      <c r="EL231" s="132">
        <f>(EB231*'Renewable Diesel'!BF240*'Feedstock Conversion Rates'!B$3)+FC231</f>
        <v>1530.6410251448501</v>
      </c>
      <c r="EM231" s="132">
        <f>(EC231*'Renewable Diesel'!BF240*'Feedstock Conversion Rates'!B$4)+FD231</f>
        <v>2647.1522534031451</v>
      </c>
      <c r="EN231" s="132">
        <f>(ED231*'Renewable Diesel'!BF240*'Feedstock Conversion Rates'!B$5)+FE231</f>
        <v>209.14239060739243</v>
      </c>
      <c r="EO231" s="132">
        <f>(EE231*'Renewable Diesel'!BF240*'Feedstock Conversion Rates'!B$6)+FF231</f>
        <v>575.81628235985215</v>
      </c>
      <c r="EP231" s="132">
        <f>(EF231*'Renewable Diesel'!BF240*'Feedstock Conversion Rates'!B$7)+FG231</f>
        <v>502.73683704186499</v>
      </c>
      <c r="EQ231" s="132">
        <f>(EG231*'Renewable Diesel'!BF240*'Feedstock Conversion Rates'!B$8)+FH231</f>
        <v>40.515935720635945</v>
      </c>
      <c r="ER231" s="132">
        <f>(EH231*'Renewable Diesel'!BF240*'Feedstock Conversion Rates'!B$9)+FI231</f>
        <v>5.0602181321975701</v>
      </c>
      <c r="ES231" s="132">
        <f t="shared" si="179"/>
        <v>5608.6581419270406</v>
      </c>
      <c r="ET231" s="133">
        <f>ES231/'Renewable Diesel'!BF240</f>
        <v>10.059890640216784</v>
      </c>
      <c r="EW231" s="73">
        <f t="shared" si="223"/>
        <v>3450.9861884441898</v>
      </c>
      <c r="EX231" s="73">
        <f t="shared" si="224"/>
        <v>3325.4161774959898</v>
      </c>
      <c r="EY231" s="92">
        <f t="shared" si="164"/>
        <v>0.61529622614126545</v>
      </c>
      <c r="EZ231" s="92">
        <f t="shared" si="164"/>
        <v>0.59290762484472492</v>
      </c>
      <c r="FB231" s="102">
        <f>IF('Renewable Diesel'!$BG240&lt;1,0,(((('Renewable Diesel'!$BG240-1)*'Renewable Diesel'!$BF240)*'RD Feedstock Breakdown'!EA231)*'Feedstock Conversion Rates'!$B$2))</f>
        <v>20.319279969504752</v>
      </c>
      <c r="FC231" s="102">
        <f>IF('Renewable Diesel'!$BG240&lt;1,0,(((('Renewable Diesel'!$BG240-1)*'Renewable Diesel'!$BF240)*'RD Feedstock Breakdown'!EB231)*'Feedstock Conversion Rates'!$B$3))</f>
        <v>318.68535591230199</v>
      </c>
      <c r="FD231" s="102">
        <f>IF('Renewable Diesel'!$BG240&lt;1,0,(((('Renewable Diesel'!$BG240-1)*'Renewable Diesel'!$BF240)*'RD Feedstock Breakdown'!EC231)*'Feedstock Conversion Rates'!$B$4))</f>
        <v>551.14729330477712</v>
      </c>
      <c r="FE231" s="102">
        <f>IF('Renewable Diesel'!$BG240&lt;1,0,(((('Renewable Diesel'!$BG240-1)*'Renewable Diesel'!$BF240)*'RD Feedstock Breakdown'!ED231)*'Feedstock Conversion Rates'!$B$5))</f>
        <v>43.544251128875331</v>
      </c>
      <c r="FF231" s="102">
        <f>IF('Renewable Diesel'!$BG240&lt;1,0,(((('Renewable Diesel'!$BG240-1)*'Renewable Diesel'!$BF240)*'RD Feedstock Breakdown'!EE231)*'Feedstock Conversion Rates'!$B$6))</f>
        <v>119.88716744775765</v>
      </c>
      <c r="FG231" s="102">
        <f>IF('Renewable Diesel'!$BG240&lt;1,0,(((('Renewable Diesel'!$BG240-1)*'Renewable Diesel'!$BF240)*'RD Feedstock Breakdown'!EF231)*'Feedstock Conversion Rates'!$B$7))</f>
        <v>104.67174550463261</v>
      </c>
      <c r="FH231" s="102">
        <f>IF('Renewable Diesel'!$BG240&lt;1,0,(((('Renewable Diesel'!$BG240-1)*'Renewable Diesel'!$BF240)*'RD Feedstock Breakdown'!EG231)*'Feedstock Conversion Rates'!$B$8))</f>
        <v>8.4355738433372522</v>
      </c>
      <c r="FI231" s="102">
        <f>IF('Renewable Diesel'!$BG240&lt;1,0,(((('Renewable Diesel'!$BG240-1)*'Renewable Diesel'!$BF240)*'RD Feedstock Breakdown'!EH231)*'Feedstock Conversion Rates'!$B$9))</f>
        <v>1.0535569019526696</v>
      </c>
      <c r="FJ231" s="102">
        <f t="shared" si="225"/>
        <v>1167.7442240131393</v>
      </c>
      <c r="GD231" s="91">
        <f>'Renewable Diesel'!BB240*0.32</f>
        <v>0</v>
      </c>
      <c r="GE231" s="91">
        <f>'Renewable Diesel'!BC240</f>
        <v>196.39421384245372</v>
      </c>
      <c r="GF231" s="91">
        <f>'Renewable Diesel'!BD240</f>
        <v>0</v>
      </c>
      <c r="GG231" s="91">
        <f t="shared" si="206"/>
        <v>196.39421384245372</v>
      </c>
      <c r="GH231" s="124">
        <v>1</v>
      </c>
      <c r="GI231" s="102">
        <f>$GG231*EA231*'Feedstock Conversion Rates'!$B$2</f>
        <v>27.22048880814031</v>
      </c>
      <c r="GJ231" s="102">
        <f>$GG231*EB231*'Feedstock Conversion Rates'!$B$3</f>
        <v>426.92315756011811</v>
      </c>
      <c r="GK231" s="102">
        <f>$GG231*EC231*'Feedstock Conversion Rates'!$B$4</f>
        <v>738.33810802131347</v>
      </c>
      <c r="GL231" s="102">
        <f>$GG231*ED231*'Feedstock Conversion Rates'!$B$5</f>
        <v>58.333553270160067</v>
      </c>
      <c r="GM231" s="102">
        <f>$GG231*EE231*'Feedstock Conversion Rates'!$B$6</f>
        <v>160.60545967421254</v>
      </c>
      <c r="GN231" s="102">
        <f>$GG231*EF231*'Feedstock Conversion Rates'!$B$7</f>
        <v>140.22229534282101</v>
      </c>
      <c r="GO231" s="102">
        <f>$GG231*EG231*'Feedstock Conversion Rates'!$B$8</f>
        <v>11.300619103502585</v>
      </c>
      <c r="GP231" s="102">
        <f>$GG231*EH231*'Feedstock Conversion Rates'!B$9</f>
        <v>1.4113853395091838</v>
      </c>
      <c r="GQ231" s="102">
        <f t="shared" si="180"/>
        <v>1564.3550671197777</v>
      </c>
      <c r="GR231" s="85">
        <f t="shared" si="204"/>
        <v>7.9653826684257307</v>
      </c>
      <c r="GT231" s="103">
        <f t="shared" si="159"/>
        <v>1.7400454270434584E-2</v>
      </c>
      <c r="GU231" s="103">
        <f t="shared" si="159"/>
        <v>0.2729068141455574</v>
      </c>
      <c r="GV231" s="103">
        <f t="shared" si="159"/>
        <v>0.47197603890573864</v>
      </c>
      <c r="GW231" s="103">
        <f t="shared" si="159"/>
        <v>3.7289202749578629E-2</v>
      </c>
      <c r="GX231" s="103">
        <f t="shared" si="158"/>
        <v>0.10266560517486119</v>
      </c>
      <c r="GY231" s="103">
        <f t="shared" si="158"/>
        <v>8.9635849488436295E-2</v>
      </c>
      <c r="GZ231" s="103">
        <f t="shared" si="158"/>
        <v>7.2238197970674219E-3</v>
      </c>
      <c r="HA231" s="103">
        <f t="shared" si="158"/>
        <v>9.0221546832572027E-4</v>
      </c>
    </row>
    <row r="232" spans="1:209" x14ac:dyDescent="0.25">
      <c r="A232" s="96">
        <v>47484</v>
      </c>
      <c r="B232" s="104">
        <f t="shared" si="226"/>
        <v>5</v>
      </c>
      <c r="C232" s="104">
        <f t="shared" si="147"/>
        <v>0</v>
      </c>
      <c r="D232" s="104">
        <f t="shared" si="192"/>
        <v>1.5</v>
      </c>
      <c r="E232" s="104">
        <f>('Renewable Diesel'!B241*E$3*'Feedstock Conversion Rates'!$B$2)/12-40+1.25+6-43+30-15+12.5-4+1.5+26+2.5+3-10+50+9-15-25-55+15+45+10-50+60-60</f>
        <v>44.679999999999993</v>
      </c>
      <c r="F232" s="104">
        <f>('Renewable Diesel'!B241*'RD Feedstock Breakdown'!F$3*'Feedstock Conversion Rates'!B$8)/12+28.5-49-5+2-6+1+6+20-20-3.75+10+2.5+5-20-20</f>
        <v>5.15625</v>
      </c>
      <c r="G232" s="104">
        <f>('Renewable Diesel'!B241*'RD Feedstock Breakdown'!G$3*'Feedstock Conversion Rates'!B$7)/12-25-15-25+4+4-20-40-20+10-17.5+20+50-12+32.5+35-75-75+22.5+5-20+15+125-10-45-10-40-40</f>
        <v>9.6570000000000107</v>
      </c>
      <c r="H232" s="104">
        <f>('Renewable Diesel'!B241*'RD Feedstock Breakdown'!H$3*'Feedstock Conversion Rates'!B$3)/12-85+4-15+70-65-80+50-22.5-5+25+27.5+15+50+15-10+5+50+75-5-25-85-12.5+30+22.5-25-30+150+90-120+25+10+70+55</f>
        <v>430.40022499999998</v>
      </c>
      <c r="I232" s="106">
        <f t="shared" si="203"/>
        <v>496.39347499999997</v>
      </c>
      <c r="J232" s="104">
        <f>47.5+60+38+97+19-6.25-35-29-20-5-25-4-3-50-10-1-20+2.5+20+100+20+1-45-75+15+20-25-10-26-5-30-6-10</f>
        <v>-0.25</v>
      </c>
      <c r="K232" s="104"/>
      <c r="L232" s="104">
        <v>1</v>
      </c>
      <c r="M232" s="104">
        <f>('Renewable Diesel'!C241*'RD Feedstock Breakdown'!M$3*'Feedstock Conversion Rates'!B$2)/12</f>
        <v>7.7902500000000003</v>
      </c>
      <c r="N232" s="104">
        <f>('Renewable Diesel'!C241*'RD Feedstock Breakdown'!N$3*'Feedstock Conversion Rates'!B$8)/12</f>
        <v>3.671875</v>
      </c>
      <c r="O232" s="104">
        <f>('Renewable Diesel'!C241*'RD Feedstock Breakdown'!O$3*'Feedstock Conversion Rates'!B$7)/12</f>
        <v>11.9991</v>
      </c>
      <c r="P232" s="104">
        <f>('Renewable Diesel'!C241*'RD Feedstock Breakdown'!P$3*'Feedstock Conversion Rates'!B$3)/12</f>
        <v>10.4470425</v>
      </c>
      <c r="Q232" s="106">
        <f t="shared" si="216"/>
        <v>34.658267500000001</v>
      </c>
      <c r="R232" s="104">
        <f>('Renewable Diesel'!D241*'RD Feedstock Breakdown'!R$3*'Feedstock Conversion Rates'!B$7)/12</f>
        <v>2.2999999999999998</v>
      </c>
      <c r="S232" s="106">
        <f t="shared" si="148"/>
        <v>2.2999999999999998</v>
      </c>
      <c r="T232" s="104">
        <f t="shared" si="221"/>
        <v>0.82500000000000284</v>
      </c>
      <c r="U232" s="104">
        <f t="shared" si="229"/>
        <v>36</v>
      </c>
      <c r="V232" s="104">
        <f>('Renewable Diesel'!E241*'RD Feedstock Breakdown'!V$3*'Feedstock Conversion Rates'!B$6)/12-20+25-35+15</f>
        <v>29.250150000000012</v>
      </c>
      <c r="W232" s="104">
        <f>('Renewable Diesel'!E241*'RD Feedstock Breakdown'!W$3*'Feedstock Conversion Rates'!B$8)/12-6-10-6</f>
        <v>0.1796875</v>
      </c>
      <c r="X232" s="106">
        <f t="shared" si="185"/>
        <v>66.254837500000008</v>
      </c>
      <c r="Y232" s="104">
        <f t="shared" si="227"/>
        <v>126.5</v>
      </c>
      <c r="Z232" s="104">
        <f>('Renewable Diesel'!F241*'RD Feedstock Breakdown'!Z$3*'Feedstock Conversion Rates'!B$6)/12-50-32-60+15+15+50-75+65-6-30+9+2+7</f>
        <v>69.460000000000008</v>
      </c>
      <c r="AA232" s="104">
        <f>('Renewable Diesel'!F241*'RD Feedstock Breakdown'!AA$3*'Feedstock Conversion Rates'!B$7)/12+80-171+75+30+5-52.5-3</f>
        <v>67.766666666666652</v>
      </c>
      <c r="AB232" s="106">
        <f t="shared" si="137"/>
        <v>263.72666666666669</v>
      </c>
      <c r="AC232" s="104">
        <f>('Renewable Diesel'!G241*'RD Feedstock Breakdown'!AC$3*'Feedstock Conversion Rates'!B$5)/12</f>
        <v>11.796875</v>
      </c>
      <c r="AD232" s="104">
        <f>('Renewable Diesel'!G241*'RD Feedstock Breakdown'!AD$3*'Feedstock Conversion Rates'!B$4)/12</f>
        <v>5.859375</v>
      </c>
      <c r="AE232" s="104">
        <f>('Renewable Diesel'!G241*'RD Feedstock Breakdown'!AE$3*'Feedstock Conversion Rates'!B$6)/12</f>
        <v>7.3281250000000009</v>
      </c>
      <c r="AF232" s="106">
        <f t="shared" si="198"/>
        <v>24.984375</v>
      </c>
      <c r="AG232" s="104">
        <f t="shared" si="230"/>
        <v>6.5</v>
      </c>
      <c r="AH232" s="104">
        <v>135</v>
      </c>
      <c r="AI232" s="104">
        <f>('Renewable Diesel'!H241*'RD Feedstock Breakdown'!AI$3*'Feedstock Conversion Rates'!B$6)/12-130-20+51-120+105-42.5+20-5</f>
        <v>7.0166666666666799</v>
      </c>
      <c r="AJ232" s="106">
        <f t="shared" si="145"/>
        <v>13.51666666666668</v>
      </c>
      <c r="AK232" s="104">
        <f>('Renewable Diesel'!J241*'RD Feedstock Breakdown'!AK$3*'Feedstock Conversion Rates'!B$4)/12</f>
        <v>95.8125</v>
      </c>
      <c r="AL232" s="106">
        <f t="shared" si="157"/>
        <v>95.8125</v>
      </c>
      <c r="AM232" s="104">
        <f>('Renewable Diesel'!K241*'RD Feedstock Breakdown'!AM$3*'Feedstock Conversion Rates'!B$4)/12+5+15-10+9-27</f>
        <v>50.59375</v>
      </c>
      <c r="AN232" s="104">
        <f>('Renewable Diesel'!K241*'RD Feedstock Breakdown'!AN$3*'Feedstock Conversion Rates'!B$6)/12-5-15+10-9+27</f>
        <v>32.427083333333329</v>
      </c>
      <c r="AO232" s="106">
        <f t="shared" si="173"/>
        <v>83.020833333333329</v>
      </c>
      <c r="AP232" s="104">
        <f>('Renewable Diesel'!L241*'RD Feedstock Breakdown'!AP$3*'Feedstock Conversion Rates'!B$4)/12+15-10+14</f>
        <v>77.59375</v>
      </c>
      <c r="AQ232" s="104">
        <f>('Renewable Diesel'!L241*'RD Feedstock Breakdown'!AQ$3*'Feedstock Conversion Rates'!B$6)/12-15+10-14</f>
        <v>5.4270833333333321</v>
      </c>
      <c r="AR232" s="106">
        <f t="shared" si="162"/>
        <v>83.020833333333329</v>
      </c>
      <c r="AS232" s="104">
        <f>('Renewable Diesel'!M241*'RD Feedstock Breakdown'!AS$3*'Feedstock Conversion Rates'!B$4)/12-90</f>
        <v>366.25</v>
      </c>
      <c r="AT232" s="104">
        <f>('Renewable Diesel'!M241*'RD Feedstock Breakdown'!AT$3*'Feedstock Conversion Rates'!B$5)/12+90</f>
        <v>90</v>
      </c>
      <c r="AU232" s="106">
        <f t="shared" si="201"/>
        <v>456.25</v>
      </c>
      <c r="AV232" s="104">
        <f>'Renewable Diesel'!N241*'RD Feedstock Breakdown'!$AV$3*'Feedstock Conversion Rates'!$B$4/12-15-10+25+25-22-40</f>
        <v>41.749999999999986</v>
      </c>
      <c r="AW232" s="104">
        <f>'Renewable Diesel'!N241*'RD Feedstock Breakdown'!$AW$3*'Feedstock Conversion Rates'!$B$7/12+15+10-25-25+22+40</f>
        <v>78.400000000000006</v>
      </c>
      <c r="AX232" s="106">
        <f t="shared" si="141"/>
        <v>120.14999999999999</v>
      </c>
      <c r="AY232" s="104">
        <f>('Renewable Diesel'!O241*'RD Feedstock Breakdown'!AY$3*'Feedstock Conversion Rates'!B$4)/12+32+2-135-247+50</f>
        <v>-87.0625</v>
      </c>
      <c r="AZ232" s="104">
        <f>('Renewable Diesel'!O241*'RD Feedstock Breakdown'!AZ$3*'Feedstock Conversion Rates'!B$3)/12-32-2+135+247-50</f>
        <v>323.03125</v>
      </c>
      <c r="BA232" s="106">
        <f t="shared" si="217"/>
        <v>235.96875</v>
      </c>
      <c r="BB232" s="104">
        <f>('Renewable Diesel'!Q241*'RD Feedstock Breakdown'!BB$3*'Feedstock Conversion Rates'!B$4)/12-10</f>
        <v>1.1562499999999982</v>
      </c>
      <c r="BC232" s="104">
        <f>('Renewable Diesel'!Q241*'RD Feedstock Breakdown'!BC$3*'Feedstock Conversion Rates'!B$3)/12+10</f>
        <v>11.40175</v>
      </c>
      <c r="BD232" s="104">
        <f>('Renewable Diesel'!Q241*'RD Feedstock Breakdown'!BD$3*'Feedstock Conversion Rates'!B$6)/12</f>
        <v>0.8207500000000002</v>
      </c>
      <c r="BE232" s="106">
        <f t="shared" si="189"/>
        <v>13.378749999999998</v>
      </c>
      <c r="BF232" s="104">
        <f>('Renewable Diesel'!R241*'RD Feedstock Breakdown'!BF$3*'Feedstock Conversion Rates'!B$4)/12</f>
        <v>62.5</v>
      </c>
      <c r="BG232" s="106">
        <f t="shared" si="167"/>
        <v>62.5</v>
      </c>
      <c r="BH232" s="104">
        <f>('Renewable Diesel'!T241*'RD Feedstock Breakdown'!BH$3*'Feedstock Conversion Rates'!B$7)/12</f>
        <v>27.599999999999998</v>
      </c>
      <c r="BI232" s="106">
        <f t="shared" si="144"/>
        <v>27.599999999999998</v>
      </c>
      <c r="BJ232" s="104">
        <f>('Renewable Diesel'!W241*'RD Feedstock Breakdown'!BJ$3*'Feedstock Conversion Rates'!B$4)/12</f>
        <v>7.5</v>
      </c>
      <c r="BK232" s="104">
        <f>('Renewable Diesel'!W241*'RD Feedstock Breakdown'!BK$3*'Feedstock Conversion Rates'!B$3)/12</f>
        <v>1.335</v>
      </c>
      <c r="BL232" s="104">
        <f>('Renewable Diesel'!W241*'RD Feedstock Breakdown'!BL$3*'Feedstock Conversion Rates'!B$6)/12</f>
        <v>3.1266666666666669</v>
      </c>
      <c r="BM232" s="104">
        <f>('Renewable Diesel'!W241*'RD Feedstock Breakdown'!BM$3*'Feedstock Conversion Rates'!B$7)/12</f>
        <v>1.5333333333333332</v>
      </c>
      <c r="BN232" s="106">
        <f t="shared" si="209"/>
        <v>13.495000000000001</v>
      </c>
      <c r="BO232" s="104">
        <f>('Renewable Diesel'!P241*'Feedstock Conversion Rates'!B$4)/12</f>
        <v>31.25</v>
      </c>
      <c r="BP232" s="106">
        <f t="shared" si="199"/>
        <v>31.25</v>
      </c>
      <c r="BQ232" s="104">
        <f>('Renewable Diesel'!$S241*'RD Feedstock Breakdown'!BQ$3*'Feedstock Conversion Rates'!B$4)/12+10</f>
        <v>38.125</v>
      </c>
      <c r="BR232" s="104">
        <f>('Renewable Diesel'!$S241*'RD Feedstock Breakdown'!BR$3*'Feedstock Conversion Rates'!B$7)/12-10</f>
        <v>1.5</v>
      </c>
      <c r="BS232" s="106">
        <f t="shared" si="222"/>
        <v>39.625</v>
      </c>
      <c r="BT232" s="106"/>
      <c r="BU232" s="104">
        <f>('Renewable Diesel'!Y241*'Feedstock Conversion Rates'!B$7)/12</f>
        <v>2.6833333333333331</v>
      </c>
      <c r="BV232" s="106">
        <f t="shared" si="191"/>
        <v>2.6833333333333331</v>
      </c>
      <c r="BW232" s="104">
        <f>('Renewable Diesel'!$Z241*'RD Feedstock Breakdown'!BW$3*'Feedstock Conversion Rates'!$B$4)/12</f>
        <v>53.90625</v>
      </c>
      <c r="BX232" s="104">
        <f>('Renewable Diesel'!$Z241*'RD Feedstock Breakdown'!BX$3*'Feedstock Conversion Rates'!$B$5)/12</f>
        <v>5.4265624999999993</v>
      </c>
      <c r="BY232" s="104">
        <f>('Renewable Diesel'!$Z241*'RD Feedstock Breakdown'!BY$3*'Feedstock Conversion Rates'!$B$7)/12</f>
        <v>46.287499999999994</v>
      </c>
      <c r="BZ232" s="104">
        <f>('Renewable Diesel'!$Z241*'RD Feedstock Breakdown'!BZ$3*'Feedstock Conversion Rates'!$B$3)/12</f>
        <v>11.514374999999999</v>
      </c>
      <c r="CA232" s="106">
        <f t="shared" si="228"/>
        <v>117.1346875</v>
      </c>
      <c r="CB232" s="104">
        <f>('Renewable Diesel'!AA241*'Feedstock Conversion Rates'!B$4)/12</f>
        <v>191.25</v>
      </c>
      <c r="CC232" s="106">
        <f t="shared" si="213"/>
        <v>191.25</v>
      </c>
      <c r="CD232" s="104">
        <f>('Renewable Diesel'!$AB241*'RD Feedstock Breakdown'!CD$3*'Feedstock Conversion Rates'!$B$6)/12-15</f>
        <v>17.830000000000005</v>
      </c>
      <c r="CE232" s="104">
        <f>('Renewable Diesel'!$AB241*'RD Feedstock Breakdown'!CE$3*'Feedstock Conversion Rates'!$B$4)/12+15</f>
        <v>26.25</v>
      </c>
      <c r="CF232" s="106">
        <f t="shared" si="205"/>
        <v>44.080000000000005</v>
      </c>
      <c r="CG232" s="104">
        <f>('Renewable Diesel'!AD241*'Feedstock Conversion Rates'!B$4)/12</f>
        <v>112.5</v>
      </c>
      <c r="CH232" s="106">
        <f t="shared" si="187"/>
        <v>112.5</v>
      </c>
      <c r="CI232" s="104">
        <f>('Renewable Diesel'!$AE241*'RD Feedstock Breakdown'!CI$3*'Feedstock Conversion Rates'!$B$5)/12</f>
        <v>0.34604166666666664</v>
      </c>
      <c r="CJ232" s="104">
        <f>('Renewable Diesel'!$AE241*'RD Feedstock Breakdown'!CJ$3*'Feedstock Conversion Rates'!$B$4)/12</f>
        <v>0.34375</v>
      </c>
      <c r="CK232" s="106">
        <f t="shared" si="200"/>
        <v>0.68979166666666658</v>
      </c>
      <c r="CL232" s="104">
        <f>(((CL$3*'Renewable Diesel'!$AF241)*'Feedstock Conversion Rates'!$B$3)/12)-25+100</f>
        <v>166.78125</v>
      </c>
      <c r="CM232" s="104">
        <f>(((CM$3*'Renewable Diesel'!$AF241)*'Feedstock Conversion Rates'!$B$6)/12)+25-70</f>
        <v>8.7395833333333428</v>
      </c>
      <c r="CN232" s="104">
        <f>(((CN$3*'Renewable Diesel'!$AF241)*'Feedstock Conversion Rates'!$B$4)/12)-30</f>
        <v>12.96875</v>
      </c>
      <c r="CO232" s="106">
        <f t="shared" si="190"/>
        <v>188.48958333333334</v>
      </c>
      <c r="CP232" s="104">
        <f>('Renewable Diesel'!$AG241*'RD Feedstock Breakdown'!CP$3*'Feedstock Conversion Rates'!$B$3)/12</f>
        <v>6.0075000000000003</v>
      </c>
      <c r="CQ232" s="104">
        <f>('Renewable Diesel'!$AG241*'RD Feedstock Breakdown'!CQ$3*'Feedstock Conversion Rates'!$B$6)/12</f>
        <v>3.5175000000000001</v>
      </c>
      <c r="CR232" s="104">
        <f>('Renewable Diesel'!$AG241*'RD Feedstock Breakdown'!CR$3*'Feedstock Conversion Rates'!$B$4)/12</f>
        <v>2.8125</v>
      </c>
      <c r="CS232" s="106">
        <f t="shared" si="134"/>
        <v>12.3375</v>
      </c>
      <c r="CT232" s="104">
        <f>('Renewable Diesel'!AI241*'Feedstock Conversion Rates'!$B$4*'RD Feedstock Breakdown'!$CT$3)/12</f>
        <v>29.375</v>
      </c>
      <c r="CU232" s="106">
        <f t="shared" si="196"/>
        <v>29.375</v>
      </c>
      <c r="CV232" s="104">
        <f>('Renewable Diesel'!AN241*'Feedstock Conversion Rates'!$B$3*'RD Feedstock Breakdown'!$CV$3)/12</f>
        <v>0.50062499999999999</v>
      </c>
      <c r="CW232" s="106">
        <f t="shared" si="161"/>
        <v>0.50062499999999999</v>
      </c>
      <c r="CX232" s="104">
        <f>('Renewable Diesel'!AO241*'RD Feedstock Breakdown'!$CX$3*'Feedstock Conversion Rates'!$B$3)/12</f>
        <v>6.3412499999999996</v>
      </c>
      <c r="CY232" s="104">
        <f>('Renewable Diesel'!AO241*'RD Feedstock Breakdown'!$CY$3*'Feedstock Conversion Rates'!$B$6)/12</f>
        <v>7.4258333333333342</v>
      </c>
      <c r="CZ232" s="106">
        <f t="shared" si="135"/>
        <v>13.767083333333334</v>
      </c>
      <c r="DA232" s="104">
        <f>('Renewable Diesel'!$AP241*'RD Feedstock Breakdown'!DA$3*'Feedstock Conversion Rates'!$B$3)/12</f>
        <v>6.3412499999999996</v>
      </c>
      <c r="DB232" s="104">
        <f>('Renewable Diesel'!$AP241*'RD Feedstock Breakdown'!DB$3*'Feedstock Conversion Rates'!$B$8)/12</f>
        <v>7.421875</v>
      </c>
      <c r="DC232" s="106">
        <f t="shared" si="165"/>
        <v>13.763124999999999</v>
      </c>
      <c r="DD232" s="104">
        <f>('Renewable Diesel'!AQ241*$DD$3*'Feedstock Conversion Rates'!$B$14)/12</f>
        <v>3.1041666666666665</v>
      </c>
      <c r="DE232" s="106">
        <f t="shared" si="166"/>
        <v>3.1041666666666665</v>
      </c>
      <c r="DF232" s="104">
        <f>('Renewable Diesel'!AR241*'Feedstock Conversion Rates'!$B$4*$DF$3)/12</f>
        <v>75</v>
      </c>
      <c r="DG232" s="106">
        <f t="shared" si="136"/>
        <v>75</v>
      </c>
      <c r="DH232" s="104">
        <f>('Renewable Diesel'!AS241*'Feedstock Conversion Rates'!$B$4*$DH$3)/12</f>
        <v>75</v>
      </c>
      <c r="DI232" s="106">
        <f t="shared" si="142"/>
        <v>75</v>
      </c>
      <c r="DJ232" s="104">
        <f>('Renewable Diesel'!AT241*'Feedstock Conversion Rates'!$B$4*0.25)/12</f>
        <v>8.59375</v>
      </c>
      <c r="DK232" s="104">
        <f>('Renewable Diesel'!$AT241*'RD Feedstock Breakdown'!DK$3*'Feedstock Conversion Rates'!$B$3)/12*0.5</f>
        <v>9.1781249999999996</v>
      </c>
      <c r="DL232" s="104">
        <f>('Renewable Diesel'!$AT241*'RD Feedstock Breakdown'!$DL$3*'Feedstock Conversion Rates'!$B$6)/12</f>
        <v>10.747916666666669</v>
      </c>
      <c r="DM232" s="104">
        <f>('Renewable Diesel'!$AT241*'RD Feedstock Breakdown'!$DM$3*'Feedstock Conversion Rates'!$B$8)/12</f>
        <v>10.7421875</v>
      </c>
      <c r="DN232" s="106">
        <f t="shared" si="210"/>
        <v>39.26197916666667</v>
      </c>
      <c r="DP232" s="104">
        <f t="shared" si="168"/>
        <v>52.470249999999993</v>
      </c>
      <c r="DQ232" s="104">
        <f t="shared" si="169"/>
        <v>983.27964250000002</v>
      </c>
      <c r="DR232" s="104">
        <f t="shared" si="174"/>
        <v>1572.984375</v>
      </c>
      <c r="DS232" s="104">
        <f t="shared" si="197"/>
        <v>126.59239583333334</v>
      </c>
      <c r="DT232" s="104">
        <f t="shared" si="170"/>
        <v>210.53923333333344</v>
      </c>
      <c r="DU232" s="104">
        <f t="shared" si="171"/>
        <v>249.72693333333333</v>
      </c>
      <c r="DV232" s="104">
        <f t="shared" si="175"/>
        <v>19.75</v>
      </c>
      <c r="DW232" s="104">
        <f t="shared" si="172"/>
        <v>2.5</v>
      </c>
      <c r="DX232" s="106">
        <f t="shared" si="176"/>
        <v>3217.84283</v>
      </c>
      <c r="DY232" s="109">
        <f t="shared" si="163"/>
        <v>-135.00000000000014</v>
      </c>
      <c r="EA232" s="110">
        <f t="shared" si="218"/>
        <v>1.6306032572759307E-2</v>
      </c>
      <c r="EB232" s="110">
        <f t="shared" si="219"/>
        <v>0.30557105938576867</v>
      </c>
      <c r="EC232" s="110">
        <f t="shared" si="220"/>
        <v>0.4888319467734849</v>
      </c>
      <c r="ED232" s="110">
        <f t="shared" si="146"/>
        <v>3.9340764145815457E-2</v>
      </c>
      <c r="EE232" s="110">
        <f t="shared" si="146"/>
        <v>6.5428687619691311E-2</v>
      </c>
      <c r="EF232" s="110">
        <f t="shared" si="146"/>
        <v>7.7606939346174755E-2</v>
      </c>
      <c r="EG232" s="110">
        <f t="shared" si="146"/>
        <v>6.1376521612150955E-3</v>
      </c>
      <c r="EH232" s="111">
        <f t="shared" si="177"/>
        <v>7.7691799509051846E-4</v>
      </c>
      <c r="EI232" s="110">
        <f t="shared" si="178"/>
        <v>0.9992230820049095</v>
      </c>
      <c r="EK232" s="132">
        <f>(EA232*'Renewable Diesel'!BF241*'Feedstock Conversion Rates'!B$2)+FB232</f>
        <v>49.445662807626825</v>
      </c>
      <c r="EL232" s="132">
        <f>(EB232*'Renewable Diesel'!BF241*'Feedstock Conversion Rates'!B$3)+FC232</f>
        <v>873.18387607489046</v>
      </c>
      <c r="EM232" s="132">
        <f>(EC232*'Renewable Diesel'!BF241*'Feedstock Conversion Rates'!B$4)+FD232</f>
        <v>1307.9219121857957</v>
      </c>
      <c r="EN232" s="132">
        <f>(ED232*'Renewable Diesel'!BF241*'Feedstock Conversion Rates'!B$5)+FE232</f>
        <v>105.96213850886127</v>
      </c>
      <c r="EO232" s="132">
        <f>(EE232*'Renewable Diesel'!BF241*'Feedstock Conversion Rates'!B$6)+FF232</f>
        <v>218.94348128247117</v>
      </c>
      <c r="EP232" s="132">
        <f>(EF232*'Renewable Diesel'!BF241*'Feedstock Conversion Rates'!B$7)+FG232</f>
        <v>254.71197018178287</v>
      </c>
      <c r="EQ232" s="132">
        <f>(EG232*'Renewable Diesel'!BF241*'Feedstock Conversion Rates'!B$8)+FH232</f>
        <v>20.52742717618338</v>
      </c>
      <c r="ER232" s="132">
        <f>(EH232*'Renewable Diesel'!BF241*'Feedstock Conversion Rates'!B$9)+FI232</f>
        <v>2.5637630566034941</v>
      </c>
      <c r="ES232" s="132">
        <f t="shared" si="179"/>
        <v>2833.2602312742147</v>
      </c>
      <c r="ET232" s="133">
        <f>ES232/'Renewable Diesel'!BF241</f>
        <v>7.941919744973994</v>
      </c>
      <c r="EW232" s="73">
        <f t="shared" si="223"/>
        <v>1413.8840506946569</v>
      </c>
      <c r="EX232" s="73">
        <f t="shared" si="224"/>
        <v>1419.376180579558</v>
      </c>
      <c r="EY232" s="92">
        <f t="shared" si="164"/>
        <v>0.49903077560185305</v>
      </c>
      <c r="EZ232" s="92">
        <f t="shared" si="164"/>
        <v>0.50096922439814706</v>
      </c>
      <c r="FB232" s="102">
        <f>IF('Renewable Diesel'!$BG241&lt;1,0,(((('Renewable Diesel'!$BG241-1)*'Renewable Diesel'!$BF241)*'RD Feedstock Breakdown'!EA232)*'Feedstock Conversion Rates'!$B$2))</f>
        <v>0</v>
      </c>
      <c r="FC232" s="102">
        <f>IF('Renewable Diesel'!$BG241&lt;1,0,(((('Renewable Diesel'!$BG241-1)*'Renewable Diesel'!$BF241)*'RD Feedstock Breakdown'!EB232)*'Feedstock Conversion Rates'!$B$3))</f>
        <v>0</v>
      </c>
      <c r="FD232" s="102">
        <f>IF('Renewable Diesel'!$BG241&lt;1,0,(((('Renewable Diesel'!$BG241-1)*'Renewable Diesel'!$BF241)*'RD Feedstock Breakdown'!EC232)*'Feedstock Conversion Rates'!$B$4))</f>
        <v>0</v>
      </c>
      <c r="FE232" s="102">
        <f>IF('Renewable Diesel'!$BG241&lt;1,0,(((('Renewable Diesel'!$BG241-1)*'Renewable Diesel'!$BF241)*'RD Feedstock Breakdown'!ED232)*'Feedstock Conversion Rates'!$B$5))</f>
        <v>0</v>
      </c>
      <c r="FF232" s="102">
        <f>IF('Renewable Diesel'!$BG241&lt;1,0,(((('Renewable Diesel'!$BG241-1)*'Renewable Diesel'!$BF241)*'RD Feedstock Breakdown'!EE232)*'Feedstock Conversion Rates'!$B$6))</f>
        <v>0</v>
      </c>
      <c r="FG232" s="102">
        <f>IF('Renewable Diesel'!$BG241&lt;1,0,(((('Renewable Diesel'!$BG241-1)*'Renewable Diesel'!$BF241)*'RD Feedstock Breakdown'!EF232)*'Feedstock Conversion Rates'!$B$7))</f>
        <v>0</v>
      </c>
      <c r="FH232" s="102">
        <f>IF('Renewable Diesel'!$BG241&lt;1,0,(((('Renewable Diesel'!$BG241-1)*'Renewable Diesel'!$BF241)*'RD Feedstock Breakdown'!EG232)*'Feedstock Conversion Rates'!$B$8))</f>
        <v>0</v>
      </c>
      <c r="FI232" s="102">
        <f>IF('Renewable Diesel'!$BG241&lt;1,0,(((('Renewable Diesel'!$BG241-1)*'Renewable Diesel'!$BF241)*'RD Feedstock Breakdown'!EH232)*'Feedstock Conversion Rates'!$B$9))</f>
        <v>0</v>
      </c>
      <c r="FJ232" s="102">
        <f t="shared" si="225"/>
        <v>0</v>
      </c>
      <c r="GD232" s="91">
        <f>'Renewable Diesel'!BB241*0.32</f>
        <v>0</v>
      </c>
      <c r="GE232" s="91">
        <f>'Renewable Diesel'!BC241</f>
        <v>159.26172544323626</v>
      </c>
      <c r="GF232" s="91">
        <f>'Renewable Diesel'!BD241</f>
        <v>0</v>
      </c>
      <c r="GG232" s="91">
        <f t="shared" si="206"/>
        <v>159.26172544323626</v>
      </c>
      <c r="GH232" s="124">
        <v>1</v>
      </c>
      <c r="GI232" s="102">
        <f>$GG232*EA232*'Feedstock Conversion Rates'!$B$2</f>
        <v>22.073878502705711</v>
      </c>
      <c r="GJ232" s="102">
        <f>$GG232*EB232*'Feedstock Conversion Rates'!$B$3</f>
        <v>389.812851047994</v>
      </c>
      <c r="GK232" s="102">
        <f>$GG232*EC232*'Feedstock Conversion Rates'!$B$4</f>
        <v>583.89164471191077</v>
      </c>
      <c r="GL232" s="102">
        <f>$GG232*ED232*'Feedstock Conversion Rates'!$B$5</f>
        <v>47.304358734790711</v>
      </c>
      <c r="GM232" s="102">
        <f>$GG232*EE232*'Feedstock Conversion Rates'!$B$6</f>
        <v>97.742279714030389</v>
      </c>
      <c r="GN232" s="102">
        <f>$GG232*EF232*'Feedstock Conversion Rates'!$B$7</f>
        <v>113.71029861309142</v>
      </c>
      <c r="GO232" s="102">
        <f>$GG232*EG232*'Feedstock Conversion Rates'!$B$8</f>
        <v>9.1639975628017893</v>
      </c>
      <c r="GP232" s="102">
        <f>$GG232*EH232*'Feedstock Conversion Rates'!B$9</f>
        <v>1.1445330289406455</v>
      </c>
      <c r="GQ232" s="102">
        <f t="shared" si="180"/>
        <v>1264.8438419162655</v>
      </c>
      <c r="GR232" s="85">
        <f t="shared" si="204"/>
        <v>7.9419197449739967</v>
      </c>
      <c r="GT232" s="103">
        <f t="shared" si="159"/>
        <v>1.7451860673380289E-2</v>
      </c>
      <c r="GU232" s="103">
        <f t="shared" si="159"/>
        <v>0.30819049603579463</v>
      </c>
      <c r="GV232" s="103">
        <f t="shared" si="159"/>
        <v>0.46163140884435383</v>
      </c>
      <c r="GW232" s="103">
        <f t="shared" si="159"/>
        <v>3.7399366757499171E-2</v>
      </c>
      <c r="GX232" s="103">
        <f t="shared" si="158"/>
        <v>7.7276163645583915E-2</v>
      </c>
      <c r="GY232" s="103">
        <f t="shared" si="158"/>
        <v>8.9900661919512459E-2</v>
      </c>
      <c r="GZ232" s="103">
        <f t="shared" si="158"/>
        <v>7.2451612279015708E-3</v>
      </c>
      <c r="HA232" s="103">
        <f t="shared" si="158"/>
        <v>9.0488089597420471E-4</v>
      </c>
    </row>
    <row r="233" spans="1:209" x14ac:dyDescent="0.25">
      <c r="A233" s="96">
        <v>47515</v>
      </c>
      <c r="B233" s="104">
        <f t="shared" si="226"/>
        <v>5</v>
      </c>
      <c r="C233" s="104">
        <f t="shared" si="147"/>
        <v>0</v>
      </c>
      <c r="D233" s="104">
        <f t="shared" si="192"/>
        <v>1.5</v>
      </c>
      <c r="E233" s="104">
        <f>('Renewable Diesel'!B242*E$3*'Feedstock Conversion Rates'!$B$2)/12-40+1.25+6-43+30-15+12.5-4+1.5+26+2.5+3-10+50+9-15-25-55+15+45+10-50+60-60</f>
        <v>44.679999999999993</v>
      </c>
      <c r="F233" s="104">
        <f>('Renewable Diesel'!B242*'RD Feedstock Breakdown'!F$3*'Feedstock Conversion Rates'!B$8)/12+28.5-49-5+2-6+1+6+20-20-3.75+10+2.5+5-20-20</f>
        <v>5.15625</v>
      </c>
      <c r="G233" s="104">
        <f>('Renewable Diesel'!B242*'RD Feedstock Breakdown'!G$3*'Feedstock Conversion Rates'!B$7)/12-25-15-25+4+4-20-40-20+10-17.5+20+50-12+32.5+35-75-75+22.5+5-20+15+125-10-45-10-40-40</f>
        <v>9.6570000000000107</v>
      </c>
      <c r="H233" s="104">
        <f>('Renewable Diesel'!B242*'RD Feedstock Breakdown'!H$3*'Feedstock Conversion Rates'!B$3)/12-85+4-15+70-65-80+50-22.5-5+25+27.5+15+50+15-10+5+50+75-5-25-85-12.5+30+22.5-25-30+150+90-120+25+10+70+55</f>
        <v>430.40022499999998</v>
      </c>
      <c r="I233" s="106">
        <f t="shared" si="203"/>
        <v>496.39347499999997</v>
      </c>
      <c r="J233" s="104">
        <f>47.5+60+38+97+19-6.25-35-29-20-5-25-4-3-50-10-1-20+2.5+20+100+20+1-45-75+15+20-25-10-26-5-30-6-10</f>
        <v>-0.25</v>
      </c>
      <c r="K233" s="104"/>
      <c r="L233" s="104">
        <v>1</v>
      </c>
      <c r="M233" s="104">
        <f>('Renewable Diesel'!C242*'RD Feedstock Breakdown'!M$3*'Feedstock Conversion Rates'!B$2)/12</f>
        <v>7.7902500000000003</v>
      </c>
      <c r="N233" s="104">
        <f>('Renewable Diesel'!C242*'RD Feedstock Breakdown'!N$3*'Feedstock Conversion Rates'!B$8)/12</f>
        <v>3.671875</v>
      </c>
      <c r="O233" s="104">
        <f>('Renewable Diesel'!C242*'RD Feedstock Breakdown'!O$3*'Feedstock Conversion Rates'!B$7)/12</f>
        <v>11.9991</v>
      </c>
      <c r="P233" s="104">
        <f>('Renewable Diesel'!C242*'RD Feedstock Breakdown'!P$3*'Feedstock Conversion Rates'!B$3)/12</f>
        <v>10.4470425</v>
      </c>
      <c r="Q233" s="106">
        <f t="shared" si="216"/>
        <v>34.658267500000001</v>
      </c>
      <c r="R233" s="104">
        <f>('Renewable Diesel'!D242*'RD Feedstock Breakdown'!R$3*'Feedstock Conversion Rates'!B$7)/12</f>
        <v>2.2999999999999998</v>
      </c>
      <c r="S233" s="106">
        <f t="shared" si="148"/>
        <v>2.2999999999999998</v>
      </c>
      <c r="T233" s="104">
        <f t="shared" si="221"/>
        <v>0.82500000000000284</v>
      </c>
      <c r="U233" s="104">
        <f t="shared" si="229"/>
        <v>36</v>
      </c>
      <c r="V233" s="104">
        <f>('Renewable Diesel'!E242*'RD Feedstock Breakdown'!V$3*'Feedstock Conversion Rates'!B$6)/12-20+25-35+15</f>
        <v>29.250150000000012</v>
      </c>
      <c r="W233" s="104">
        <f>('Renewable Diesel'!E242*'RD Feedstock Breakdown'!W$3*'Feedstock Conversion Rates'!B$8)/12-6-10-6</f>
        <v>0.1796875</v>
      </c>
      <c r="X233" s="106">
        <f t="shared" si="185"/>
        <v>66.254837500000008</v>
      </c>
      <c r="Y233" s="104">
        <f t="shared" si="227"/>
        <v>126.5</v>
      </c>
      <c r="Z233" s="104">
        <f>('Renewable Diesel'!F242*'RD Feedstock Breakdown'!Z$3*'Feedstock Conversion Rates'!B$6)/12-50-32-60+15+15+50-75+65-6-30+9+2+7</f>
        <v>69.460000000000008</v>
      </c>
      <c r="AA233" s="104">
        <f>('Renewable Diesel'!F242*'RD Feedstock Breakdown'!AA$3*'Feedstock Conversion Rates'!B$7)/12+80-171+75+30+5-52.5-3</f>
        <v>67.766666666666652</v>
      </c>
      <c r="AB233" s="106">
        <f t="shared" si="137"/>
        <v>263.72666666666669</v>
      </c>
      <c r="AC233" s="104">
        <f>('Renewable Diesel'!G242*'RD Feedstock Breakdown'!AC$3*'Feedstock Conversion Rates'!B$5)/12</f>
        <v>11.796875</v>
      </c>
      <c r="AD233" s="104">
        <f>('Renewable Diesel'!G242*'RD Feedstock Breakdown'!AD$3*'Feedstock Conversion Rates'!B$4)/12</f>
        <v>5.859375</v>
      </c>
      <c r="AE233" s="104">
        <f>('Renewable Diesel'!G242*'RD Feedstock Breakdown'!AE$3*'Feedstock Conversion Rates'!B$6)/12</f>
        <v>7.3281250000000009</v>
      </c>
      <c r="AF233" s="106">
        <f t="shared" si="198"/>
        <v>24.984375</v>
      </c>
      <c r="AG233" s="104">
        <f t="shared" si="230"/>
        <v>6.5</v>
      </c>
      <c r="AH233" s="104">
        <v>135</v>
      </c>
      <c r="AI233" s="104">
        <f>('Renewable Diesel'!H242*'RD Feedstock Breakdown'!AI$3*'Feedstock Conversion Rates'!B$6)/12-130-20+51-120+105-42.5+20-5</f>
        <v>7.0166666666666799</v>
      </c>
      <c r="AJ233" s="106">
        <f t="shared" si="145"/>
        <v>13.51666666666668</v>
      </c>
      <c r="AK233" s="104">
        <f>('Renewable Diesel'!J242*'RD Feedstock Breakdown'!AK$3*'Feedstock Conversion Rates'!B$4)/12</f>
        <v>95.8125</v>
      </c>
      <c r="AL233" s="106">
        <f t="shared" si="157"/>
        <v>95.8125</v>
      </c>
      <c r="AM233" s="104">
        <f>('Renewable Diesel'!K242*'RD Feedstock Breakdown'!AM$3*'Feedstock Conversion Rates'!B$4)/12+5+15-10+9-27</f>
        <v>50.59375</v>
      </c>
      <c r="AN233" s="104">
        <f>('Renewable Diesel'!K242*'RD Feedstock Breakdown'!AN$3*'Feedstock Conversion Rates'!B$6)/12-5-15+10-9+27</f>
        <v>32.427083333333329</v>
      </c>
      <c r="AO233" s="106">
        <f t="shared" si="173"/>
        <v>83.020833333333329</v>
      </c>
      <c r="AP233" s="104">
        <f>('Renewable Diesel'!L242*'RD Feedstock Breakdown'!AP$3*'Feedstock Conversion Rates'!B$4)/12+15-10+14</f>
        <v>77.59375</v>
      </c>
      <c r="AQ233" s="104">
        <f>('Renewable Diesel'!L242*'RD Feedstock Breakdown'!AQ$3*'Feedstock Conversion Rates'!B$6)/12-15+10-14</f>
        <v>5.4270833333333321</v>
      </c>
      <c r="AR233" s="106">
        <f t="shared" si="162"/>
        <v>83.020833333333329</v>
      </c>
      <c r="AS233" s="104">
        <f>('Renewable Diesel'!M242*'RD Feedstock Breakdown'!AS$3*'Feedstock Conversion Rates'!B$4)/12-90-30</f>
        <v>336.25</v>
      </c>
      <c r="AT233" s="104">
        <f>('Renewable Diesel'!M242*'RD Feedstock Breakdown'!AT$3*'Feedstock Conversion Rates'!B$5)/12+90+40</f>
        <v>130</v>
      </c>
      <c r="AU233" s="106">
        <f t="shared" si="201"/>
        <v>466.25</v>
      </c>
      <c r="AV233" s="104">
        <f>'Renewable Diesel'!N242*'RD Feedstock Breakdown'!$AV$3*'Feedstock Conversion Rates'!$B$4/12-15-10+25+25-22-40</f>
        <v>41.749999999999986</v>
      </c>
      <c r="AW233" s="104">
        <f>'Renewable Diesel'!N242*'RD Feedstock Breakdown'!$AW$3*'Feedstock Conversion Rates'!$B$7/12+15+10-25-25+22+40</f>
        <v>78.400000000000006</v>
      </c>
      <c r="AX233" s="106">
        <f t="shared" si="141"/>
        <v>120.14999999999999</v>
      </c>
      <c r="AY233" s="104">
        <f>('Renewable Diesel'!O242*'RD Feedstock Breakdown'!AY$3*'Feedstock Conversion Rates'!B$4)/12+32+2-135-247+50</f>
        <v>-87.0625</v>
      </c>
      <c r="AZ233" s="104">
        <f>('Renewable Diesel'!O242*'RD Feedstock Breakdown'!AZ$3*'Feedstock Conversion Rates'!B$3)/12-32-2+135+247-50</f>
        <v>323.03125</v>
      </c>
      <c r="BA233" s="106">
        <f t="shared" si="217"/>
        <v>235.96875</v>
      </c>
      <c r="BB233" s="104">
        <f>('Renewable Diesel'!Q242*'RD Feedstock Breakdown'!BB$3*'Feedstock Conversion Rates'!B$4)/12-10</f>
        <v>1.1562499999999982</v>
      </c>
      <c r="BC233" s="104">
        <f>('Renewable Diesel'!Q242*'RD Feedstock Breakdown'!BC$3*'Feedstock Conversion Rates'!B$3)/12+10</f>
        <v>11.40175</v>
      </c>
      <c r="BD233" s="104">
        <f>('Renewable Diesel'!Q242*'RD Feedstock Breakdown'!BD$3*'Feedstock Conversion Rates'!B$6)/12</f>
        <v>0.8207500000000002</v>
      </c>
      <c r="BE233" s="106">
        <f t="shared" si="189"/>
        <v>13.378749999999998</v>
      </c>
      <c r="BF233" s="104">
        <f>('Renewable Diesel'!R242*'RD Feedstock Breakdown'!BF$3*'Feedstock Conversion Rates'!B$4)/12</f>
        <v>62.5</v>
      </c>
      <c r="BG233" s="106">
        <f t="shared" si="167"/>
        <v>62.5</v>
      </c>
      <c r="BH233" s="104">
        <f>('Renewable Diesel'!T242*'RD Feedstock Breakdown'!BH$3*'Feedstock Conversion Rates'!B$7)/12</f>
        <v>27.599999999999998</v>
      </c>
      <c r="BI233" s="106">
        <f t="shared" si="144"/>
        <v>27.599999999999998</v>
      </c>
      <c r="BJ233" s="104">
        <f>('Renewable Diesel'!W242*'RD Feedstock Breakdown'!BJ$3*'Feedstock Conversion Rates'!B$4)/12</f>
        <v>7.5</v>
      </c>
      <c r="BK233" s="104">
        <f>('Renewable Diesel'!W242*'RD Feedstock Breakdown'!BK$3*'Feedstock Conversion Rates'!B$3)/12</f>
        <v>1.335</v>
      </c>
      <c r="BL233" s="104">
        <f>('Renewable Diesel'!W242*'RD Feedstock Breakdown'!BL$3*'Feedstock Conversion Rates'!B$6)/12</f>
        <v>3.1266666666666669</v>
      </c>
      <c r="BM233" s="104">
        <f>('Renewable Diesel'!W242*'RD Feedstock Breakdown'!BM$3*'Feedstock Conversion Rates'!B$7)/12</f>
        <v>1.5333333333333332</v>
      </c>
      <c r="BN233" s="106">
        <f t="shared" si="209"/>
        <v>13.495000000000001</v>
      </c>
      <c r="BO233" s="104">
        <f>('Renewable Diesel'!P242*'Feedstock Conversion Rates'!B$4)/12</f>
        <v>31.25</v>
      </c>
      <c r="BP233" s="106">
        <f t="shared" si="199"/>
        <v>31.25</v>
      </c>
      <c r="BQ233" s="104">
        <f>('Renewable Diesel'!$S242*'RD Feedstock Breakdown'!BQ$3*'Feedstock Conversion Rates'!B$4)/12+10</f>
        <v>38.125</v>
      </c>
      <c r="BR233" s="104">
        <f>('Renewable Diesel'!$S242*'RD Feedstock Breakdown'!BR$3*'Feedstock Conversion Rates'!B$7)/12-10</f>
        <v>1.5</v>
      </c>
      <c r="BS233" s="106">
        <f t="shared" si="222"/>
        <v>39.625</v>
      </c>
      <c r="BT233" s="106"/>
      <c r="BU233" s="104">
        <f>('Renewable Diesel'!Y242*'Feedstock Conversion Rates'!B$7)/12</f>
        <v>2.6833333333333331</v>
      </c>
      <c r="BV233" s="106">
        <f t="shared" si="191"/>
        <v>2.6833333333333331</v>
      </c>
      <c r="BW233" s="104">
        <f>('Renewable Diesel'!$Z242*'RD Feedstock Breakdown'!BW$3*'Feedstock Conversion Rates'!$B$4)/12</f>
        <v>53.90625</v>
      </c>
      <c r="BX233" s="104">
        <f>('Renewable Diesel'!$Z242*'RD Feedstock Breakdown'!BX$3*'Feedstock Conversion Rates'!$B$5)/12</f>
        <v>5.4265624999999993</v>
      </c>
      <c r="BY233" s="104">
        <f>('Renewable Diesel'!$Z242*'RD Feedstock Breakdown'!BY$3*'Feedstock Conversion Rates'!$B$7)/12</f>
        <v>46.287499999999994</v>
      </c>
      <c r="BZ233" s="104">
        <f>('Renewable Diesel'!$Z242*'RD Feedstock Breakdown'!BZ$3*'Feedstock Conversion Rates'!$B$3)/12</f>
        <v>11.514374999999999</v>
      </c>
      <c r="CA233" s="106">
        <f t="shared" si="228"/>
        <v>117.1346875</v>
      </c>
      <c r="CB233" s="104">
        <f>('Renewable Diesel'!AA242*'Feedstock Conversion Rates'!B$4)/12</f>
        <v>191.25</v>
      </c>
      <c r="CC233" s="106">
        <f t="shared" si="213"/>
        <v>191.25</v>
      </c>
      <c r="CD233" s="104">
        <f>('Renewable Diesel'!$AB242*'RD Feedstock Breakdown'!CD$3*'Feedstock Conversion Rates'!$B$6)/12-15</f>
        <v>17.830000000000005</v>
      </c>
      <c r="CE233" s="104">
        <f>('Renewable Diesel'!$AB242*'RD Feedstock Breakdown'!CE$3*'Feedstock Conversion Rates'!$B$4)/12+15</f>
        <v>26.25</v>
      </c>
      <c r="CF233" s="106">
        <f t="shared" si="205"/>
        <v>44.080000000000005</v>
      </c>
      <c r="CG233" s="104">
        <f>('Renewable Diesel'!AD242*'Feedstock Conversion Rates'!B$4)/12</f>
        <v>112.5</v>
      </c>
      <c r="CH233" s="106">
        <f t="shared" si="187"/>
        <v>112.5</v>
      </c>
      <c r="CI233" s="104">
        <f>('Renewable Diesel'!$AE242*'RD Feedstock Breakdown'!CI$3*'Feedstock Conversion Rates'!$B$5)/12</f>
        <v>0.34604166666666664</v>
      </c>
      <c r="CJ233" s="104">
        <f>('Renewable Diesel'!$AE242*'RD Feedstock Breakdown'!CJ$3*'Feedstock Conversion Rates'!$B$4)/12</f>
        <v>0.34375</v>
      </c>
      <c r="CK233" s="106">
        <f t="shared" si="200"/>
        <v>0.68979166666666658</v>
      </c>
      <c r="CL233" s="104">
        <f>(((CL$3*'Renewable Diesel'!$AF242)*'Feedstock Conversion Rates'!$B$3)/12)-25</f>
        <v>66.78125</v>
      </c>
      <c r="CM233" s="104">
        <f>(((CM$3*'Renewable Diesel'!$AF242)*'Feedstock Conversion Rates'!$B$6)/12)+25</f>
        <v>78.739583333333343</v>
      </c>
      <c r="CN233" s="104">
        <f>(((CN$3*'Renewable Diesel'!$AF242)*'Feedstock Conversion Rates'!$B$4)/12)</f>
        <v>42.96875</v>
      </c>
      <c r="CO233" s="106">
        <f t="shared" si="190"/>
        <v>188.48958333333334</v>
      </c>
      <c r="CP233" s="104">
        <f>('Renewable Diesel'!$AG242*'RD Feedstock Breakdown'!CP$3*'Feedstock Conversion Rates'!$B$3)/12</f>
        <v>6.0075000000000003</v>
      </c>
      <c r="CQ233" s="104">
        <f>('Renewable Diesel'!$AG242*'RD Feedstock Breakdown'!CQ$3*'Feedstock Conversion Rates'!$B$6)/12</f>
        <v>3.5175000000000001</v>
      </c>
      <c r="CR233" s="104">
        <f>('Renewable Diesel'!$AG242*'RD Feedstock Breakdown'!CR$3*'Feedstock Conversion Rates'!$B$4)/12</f>
        <v>2.8125</v>
      </c>
      <c r="CS233" s="106">
        <f t="shared" si="134"/>
        <v>12.3375</v>
      </c>
      <c r="CT233" s="104">
        <f>('Renewable Diesel'!AI242*'Feedstock Conversion Rates'!$B$4*'RD Feedstock Breakdown'!$CT$3)/12</f>
        <v>29.375</v>
      </c>
      <c r="CU233" s="106">
        <f t="shared" si="196"/>
        <v>29.375</v>
      </c>
      <c r="CV233" s="104">
        <f>('Renewable Diesel'!AN242*'Feedstock Conversion Rates'!$B$3*'RD Feedstock Breakdown'!$CV$3)/12</f>
        <v>0.50062499999999999</v>
      </c>
      <c r="CW233" s="106">
        <f t="shared" si="161"/>
        <v>0.50062499999999999</v>
      </c>
      <c r="CX233" s="104">
        <f>('Renewable Diesel'!AO242*'RD Feedstock Breakdown'!$CX$3*'Feedstock Conversion Rates'!$B$3)/12</f>
        <v>6.3412499999999996</v>
      </c>
      <c r="CY233" s="104">
        <f>('Renewable Diesel'!AO242*'RD Feedstock Breakdown'!$CY$3*'Feedstock Conversion Rates'!$B$6)/12</f>
        <v>7.4258333333333342</v>
      </c>
      <c r="CZ233" s="106">
        <f t="shared" si="135"/>
        <v>13.767083333333334</v>
      </c>
      <c r="DA233" s="104">
        <f>('Renewable Diesel'!$AP242*'RD Feedstock Breakdown'!DA$3*'Feedstock Conversion Rates'!$B$3)/12</f>
        <v>6.3412499999999996</v>
      </c>
      <c r="DB233" s="104">
        <f>('Renewable Diesel'!$AP242*'RD Feedstock Breakdown'!DB$3*'Feedstock Conversion Rates'!$B$8)/12</f>
        <v>7.421875</v>
      </c>
      <c r="DC233" s="106">
        <f t="shared" si="165"/>
        <v>13.763124999999999</v>
      </c>
      <c r="DD233" s="104">
        <f>('Renewable Diesel'!AQ242*$DD$3*'Feedstock Conversion Rates'!$B$14)/12</f>
        <v>3.1041666666666665</v>
      </c>
      <c r="DE233" s="106">
        <f t="shared" si="166"/>
        <v>3.1041666666666665</v>
      </c>
      <c r="DF233" s="104">
        <f>('Renewable Diesel'!AR242*'Feedstock Conversion Rates'!$B$4*$DF$3)/12</f>
        <v>75</v>
      </c>
      <c r="DG233" s="106">
        <f t="shared" si="136"/>
        <v>75</v>
      </c>
      <c r="DH233" s="104">
        <f>('Renewable Diesel'!AS242*'Feedstock Conversion Rates'!$B$4*$DH$3)/12</f>
        <v>75</v>
      </c>
      <c r="DI233" s="106">
        <f t="shared" si="142"/>
        <v>75</v>
      </c>
      <c r="DJ233" s="104">
        <f>('Renewable Diesel'!AT242*'Feedstock Conversion Rates'!$B$4*0.25)/12</f>
        <v>8.59375</v>
      </c>
      <c r="DK233" s="104">
        <f>('Renewable Diesel'!$AT242*'RD Feedstock Breakdown'!DK$3*'Feedstock Conversion Rates'!$B$3)/12*0.5</f>
        <v>9.1781249999999996</v>
      </c>
      <c r="DL233" s="104">
        <f>('Renewable Diesel'!$AT242*'RD Feedstock Breakdown'!$DL$3*'Feedstock Conversion Rates'!$B$6)/12</f>
        <v>10.747916666666669</v>
      </c>
      <c r="DM233" s="104">
        <f>('Renewable Diesel'!$AT242*'RD Feedstock Breakdown'!$DM$3*'Feedstock Conversion Rates'!$B$8)/12</f>
        <v>10.7421875</v>
      </c>
      <c r="DN233" s="106">
        <f t="shared" si="210"/>
        <v>39.26197916666667</v>
      </c>
      <c r="DP233" s="104">
        <f t="shared" si="168"/>
        <v>52.470249999999993</v>
      </c>
      <c r="DQ233" s="104">
        <f t="shared" si="169"/>
        <v>883.27964250000002</v>
      </c>
      <c r="DR233" s="104">
        <f t="shared" si="174"/>
        <v>1572.984375</v>
      </c>
      <c r="DS233" s="104">
        <f t="shared" si="197"/>
        <v>166.59239583333334</v>
      </c>
      <c r="DT233" s="104">
        <f t="shared" si="170"/>
        <v>280.53923333333341</v>
      </c>
      <c r="DU233" s="104">
        <f t="shared" si="171"/>
        <v>249.72693333333333</v>
      </c>
      <c r="DV233" s="104">
        <f t="shared" si="175"/>
        <v>19.75</v>
      </c>
      <c r="DW233" s="104">
        <f t="shared" si="172"/>
        <v>2.5</v>
      </c>
      <c r="DX233" s="106">
        <f t="shared" si="176"/>
        <v>3227.84283</v>
      </c>
      <c r="DY233" s="109">
        <f t="shared" si="163"/>
        <v>-135.00000000000014</v>
      </c>
      <c r="EA233" s="110">
        <f t="shared" si="218"/>
        <v>1.6255515761899719E-2</v>
      </c>
      <c r="EB233" s="110">
        <f t="shared" si="219"/>
        <v>0.2736439439648925</v>
      </c>
      <c r="EC233" s="110">
        <f t="shared" si="220"/>
        <v>0.4873175237593585</v>
      </c>
      <c r="ED233" s="110">
        <f t="shared" si="146"/>
        <v>5.161106181657963E-2</v>
      </c>
      <c r="EE233" s="110">
        <f t="shared" si="146"/>
        <v>8.691229657341569E-2</v>
      </c>
      <c r="EF233" s="110">
        <f t="shared" si="146"/>
        <v>7.736650961203502E-2</v>
      </c>
      <c r="EG233" s="110">
        <f t="shared" si="146"/>
        <v>6.1186374430752567E-3</v>
      </c>
      <c r="EH233" s="111">
        <f t="shared" si="177"/>
        <v>7.745110687437033E-4</v>
      </c>
      <c r="EI233" s="110">
        <f t="shared" si="178"/>
        <v>0.99922548893125629</v>
      </c>
      <c r="EK233" s="132">
        <f>(EA233*'Renewable Diesel'!BF242*'Feedstock Conversion Rates'!B$2)+FB233</f>
        <v>81.885285408867333</v>
      </c>
      <c r="EL233" s="132">
        <f>(EB233*'Renewable Diesel'!BF242*'Feedstock Conversion Rates'!B$3)+FC233</f>
        <v>1298.986223357063</v>
      </c>
      <c r="EM233" s="132">
        <f>(EC233*'Renewable Diesel'!BF242*'Feedstock Conversion Rates'!B$4)+FD233</f>
        <v>2166.0051254348973</v>
      </c>
      <c r="EN233" s="132">
        <f>(ED233*'Renewable Diesel'!BF242*'Feedstock Conversion Rates'!B$5)+FE233</f>
        <v>230.92764867527845</v>
      </c>
      <c r="EO233" s="132">
        <f>(EE233*'Renewable Diesel'!BF242*'Feedstock Conversion Rates'!B$6)+FF233</f>
        <v>483.13694865436582</v>
      </c>
      <c r="EP233" s="132">
        <f>(EF233*'Renewable Diesel'!BF242*'Feedstock Conversion Rates'!B$7)+FG233</f>
        <v>421.81985620330374</v>
      </c>
      <c r="EQ233" s="132">
        <f>(EG233*'Renewable Diesel'!BF242*'Feedstock Conversion Rates'!B$8)+FH233</f>
        <v>33.994776034678686</v>
      </c>
      <c r="ER233" s="132">
        <f>(EH233*'Renewable Diesel'!BF242*'Feedstock Conversion Rates'!B$9)+FI233</f>
        <v>4.2457610574957343</v>
      </c>
      <c r="ES233" s="132">
        <f t="shared" si="179"/>
        <v>4721.0016248259499</v>
      </c>
      <c r="ET233" s="133">
        <f>ES233/'Renewable Diesel'!BF242</f>
        <v>9.0799046670676944</v>
      </c>
      <c r="EW233" s="73">
        <f t="shared" si="223"/>
        <v>2690.9466347809425</v>
      </c>
      <c r="EX233" s="73">
        <f t="shared" si="224"/>
        <v>2609.1450375175855</v>
      </c>
      <c r="EY233" s="92">
        <f t="shared" si="164"/>
        <v>0.56999485461523225</v>
      </c>
      <c r="EZ233" s="92">
        <f t="shared" si="164"/>
        <v>0.5526676847127282</v>
      </c>
      <c r="FB233" s="102">
        <f>IF('Renewable Diesel'!$BG242&lt;1,0,(((('Renewable Diesel'!$BG242-1)*'Renewable Diesel'!$BF242)*'RD Feedstock Breakdown'!EA233)*'Feedstock Conversion Rates'!$B$2))</f>
        <v>10.044257041846455</v>
      </c>
      <c r="FC233" s="102">
        <f>IF('Renewable Diesel'!$BG242&lt;1,0,(((('Renewable Diesel'!$BG242-1)*'Renewable Diesel'!$BF242)*'RD Feedstock Breakdown'!EB233)*'Feedstock Conversion Rates'!$B$3))</f>
        <v>159.33694870901456</v>
      </c>
      <c r="FD233" s="102">
        <f>IF('Renewable Diesel'!$BG242&lt;1,0,(((('Renewable Diesel'!$BG242-1)*'Renewable Diesel'!$BF242)*'RD Feedstock Breakdown'!EC233)*'Feedstock Conversion Rates'!$B$4))</f>
        <v>265.68768888322199</v>
      </c>
      <c r="FE233" s="102">
        <f>IF('Renewable Diesel'!$BG242&lt;1,0,(((('Renewable Diesel'!$BG242-1)*'Renewable Diesel'!$BF242)*'RD Feedstock Breakdown'!ED233)*'Feedstock Conversion Rates'!$B$5))</f>
        <v>28.326171787544773</v>
      </c>
      <c r="FF233" s="102">
        <f>IF('Renewable Diesel'!$BG242&lt;1,0,(((('Renewable Diesel'!$BG242-1)*'Renewable Diesel'!$BF242)*'RD Feedstock Breakdown'!EE233)*'Feedstock Conversion Rates'!$B$6))</f>
        <v>59.262804965106952</v>
      </c>
      <c r="FG233" s="102">
        <f>IF('Renewable Diesel'!$BG242&lt;1,0,(((('Renewable Diesel'!$BG242-1)*'Renewable Diesel'!$BF242)*'RD Feedstock Breakdown'!EF233)*'Feedstock Conversion Rates'!$B$7))</f>
        <v>51.741494700852364</v>
      </c>
      <c r="FH233" s="102">
        <f>IF('Renewable Diesel'!$BG242&lt;1,0,(((('Renewable Diesel'!$BG242-1)*'Renewable Diesel'!$BF242)*'RD Feedstock Breakdown'!EG233)*'Feedstock Conversion Rates'!$B$8))</f>
        <v>4.1698855522989815</v>
      </c>
      <c r="FI233" s="102">
        <f>IF('Renewable Diesel'!$BG242&lt;1,0,(((('Renewable Diesel'!$BG242-1)*'Renewable Diesel'!$BF242)*'RD Feedstock Breakdown'!EH233)*'Feedstock Conversion Rates'!$B$9))</f>
        <v>0.52079583269219343</v>
      </c>
      <c r="FJ233" s="102">
        <f t="shared" si="225"/>
        <v>579.09004747257825</v>
      </c>
      <c r="GD233" s="91">
        <f>'Renewable Diesel'!BB242*0.32</f>
        <v>0</v>
      </c>
      <c r="GE233" s="91">
        <f>'Renewable Diesel'!BC242</f>
        <v>302.17166315545495</v>
      </c>
      <c r="GF233" s="91">
        <f>'Renewable Diesel'!BD242</f>
        <v>0</v>
      </c>
      <c r="GG233" s="91">
        <f t="shared" si="206"/>
        <v>302.17166315545495</v>
      </c>
      <c r="GH233" s="124">
        <v>1</v>
      </c>
      <c r="GI233" s="102">
        <f>$GG233*EA233*'Feedstock Conversion Rates'!$B$2</f>
        <v>41.751627982395078</v>
      </c>
      <c r="GJ233" s="102">
        <f>$GG233*EB233*'Feedstock Conversion Rates'!$B$3</f>
        <v>662.32643973892039</v>
      </c>
      <c r="GK233" s="102">
        <f>$GG233*EC233*'Feedstock Conversion Rates'!$B$4</f>
        <v>1104.4015997937247</v>
      </c>
      <c r="GL233" s="102">
        <f>$GG233*ED233*'Feedstock Conversion Rates'!$B$5</f>
        <v>117.74527291682821</v>
      </c>
      <c r="GM233" s="102">
        <f>$GG233*EE233*'Feedstock Conversion Rates'!$B$6</f>
        <v>246.34162345585722</v>
      </c>
      <c r="GN233" s="102">
        <f>$GG233*EF233*'Feedstock Conversion Rates'!$B$7</f>
        <v>215.07729531441024</v>
      </c>
      <c r="GO233" s="102">
        <f>$GG233*EG233*'Feedstock Conversion Rates'!$B$8</f>
        <v>17.333239241430849</v>
      </c>
      <c r="GP233" s="102">
        <f>$GG233*EH233*'Feedstock Conversion Rates'!B$9</f>
        <v>2.1648265044149921</v>
      </c>
      <c r="GQ233" s="102">
        <f t="shared" si="180"/>
        <v>2407.1419249479818</v>
      </c>
      <c r="GR233" s="85">
        <f t="shared" si="204"/>
        <v>7.9661405037493731</v>
      </c>
      <c r="GT233" s="103">
        <f t="shared" si="159"/>
        <v>1.7344896680031582E-2</v>
      </c>
      <c r="GU233" s="103">
        <f t="shared" si="159"/>
        <v>0.27515055629851709</v>
      </c>
      <c r="GV233" s="103">
        <f t="shared" si="159"/>
        <v>0.45880202922293034</v>
      </c>
      <c r="GW233" s="103">
        <f t="shared" si="159"/>
        <v>4.891496911607017E-2</v>
      </c>
      <c r="GX233" s="103">
        <f t="shared" si="158"/>
        <v>0.10233780605237087</v>
      </c>
      <c r="GY233" s="103">
        <f t="shared" si="158"/>
        <v>8.934965283322796E-2</v>
      </c>
      <c r="GZ233" s="103">
        <f t="shared" si="158"/>
        <v>7.2007549957011458E-3</v>
      </c>
      <c r="HA233" s="103">
        <f t="shared" si="158"/>
        <v>8.9933480115086028E-4</v>
      </c>
    </row>
    <row r="234" spans="1:209" x14ac:dyDescent="0.25">
      <c r="A234" s="96">
        <v>47543</v>
      </c>
      <c r="B234" s="104">
        <f t="shared" si="226"/>
        <v>5</v>
      </c>
      <c r="C234" s="104">
        <f t="shared" si="147"/>
        <v>0</v>
      </c>
      <c r="D234" s="104">
        <f t="shared" si="192"/>
        <v>1.5</v>
      </c>
      <c r="E234" s="104">
        <f>('Renewable Diesel'!B243*E$3*'Feedstock Conversion Rates'!$B$2)/12-40+1.25+6-43+30-15+12.5-4+1.5+26+2.5+3-10+50+9-15-25-55+15+45+10-50+60-60</f>
        <v>44.679999999999993</v>
      </c>
      <c r="F234" s="104">
        <f>('Renewable Diesel'!B243*'RD Feedstock Breakdown'!F$3*'Feedstock Conversion Rates'!B$8)/12+28.5-49-5+2-6+1+6+20-20-3.75+10+2.5+5-20-20</f>
        <v>5.15625</v>
      </c>
      <c r="G234" s="104">
        <f>('Renewable Diesel'!B243*'RD Feedstock Breakdown'!G$3*'Feedstock Conversion Rates'!B$7)/12-25-15-25+4+4-20-40-20+10-17.5+20+50-12+32.5+35-75-75+22.5+5-20+15+125-10-45-10-40-40</f>
        <v>9.6570000000000107</v>
      </c>
      <c r="H234" s="104">
        <f>('Renewable Diesel'!B243*'RD Feedstock Breakdown'!H$3*'Feedstock Conversion Rates'!B$3)/12-85+4-15+70-65-80+50-22.5-5+25+27.5+15+50+15-10+5+50+75-5-25-85-12.5+30+22.5-25-30+150+90-120+25+10+70+55</f>
        <v>430.40022499999998</v>
      </c>
      <c r="I234" s="106">
        <f t="shared" si="203"/>
        <v>496.39347499999997</v>
      </c>
      <c r="J234" s="104">
        <f>47.5+60+38+97+19-6.25-35-29-20-5-25-4-3-50-10-1-20+2.5+20+100+20+1-45-75+15+20-25-10-26-5-30-6-10</f>
        <v>-0.25</v>
      </c>
      <c r="K234" s="104"/>
      <c r="L234" s="104">
        <v>1</v>
      </c>
      <c r="M234" s="104">
        <f>('Renewable Diesel'!C243*'RD Feedstock Breakdown'!M$3*'Feedstock Conversion Rates'!B$2)/12</f>
        <v>7.7902500000000003</v>
      </c>
      <c r="N234" s="104">
        <f>('Renewable Diesel'!C243*'RD Feedstock Breakdown'!N$3*'Feedstock Conversion Rates'!B$8)/12</f>
        <v>3.671875</v>
      </c>
      <c r="O234" s="104">
        <f>('Renewable Diesel'!C243*'RD Feedstock Breakdown'!O$3*'Feedstock Conversion Rates'!B$7)/12</f>
        <v>11.9991</v>
      </c>
      <c r="P234" s="104">
        <f>('Renewable Diesel'!C243*'RD Feedstock Breakdown'!P$3*'Feedstock Conversion Rates'!B$3)/12</f>
        <v>10.4470425</v>
      </c>
      <c r="Q234" s="106">
        <f t="shared" si="216"/>
        <v>34.658267500000001</v>
      </c>
      <c r="R234" s="104">
        <f>('Renewable Diesel'!D243*'RD Feedstock Breakdown'!R$3*'Feedstock Conversion Rates'!B$7)/12</f>
        <v>2.2999999999999998</v>
      </c>
      <c r="S234" s="106">
        <f t="shared" si="148"/>
        <v>2.2999999999999998</v>
      </c>
      <c r="T234" s="104">
        <f t="shared" si="221"/>
        <v>0.82500000000000284</v>
      </c>
      <c r="U234" s="104">
        <f t="shared" si="229"/>
        <v>36</v>
      </c>
      <c r="V234" s="104">
        <f>('Renewable Diesel'!E243*'RD Feedstock Breakdown'!V$3*'Feedstock Conversion Rates'!B$6)/12-20+25-35+15</f>
        <v>29.250150000000012</v>
      </c>
      <c r="W234" s="104">
        <f>('Renewable Diesel'!E243*'RD Feedstock Breakdown'!W$3*'Feedstock Conversion Rates'!B$8)/12-6-10-6</f>
        <v>0.1796875</v>
      </c>
      <c r="X234" s="106">
        <f t="shared" si="185"/>
        <v>66.254837500000008</v>
      </c>
      <c r="Y234" s="104">
        <f t="shared" si="227"/>
        <v>126.5</v>
      </c>
      <c r="Z234" s="104">
        <f>('Renewable Diesel'!F243*'RD Feedstock Breakdown'!Z$3*'Feedstock Conversion Rates'!B$6)/12-50-32-60+15+15+50-75+65-6-30+9+2+7</f>
        <v>69.460000000000008</v>
      </c>
      <c r="AA234" s="104">
        <f>('Renewable Diesel'!F243*'RD Feedstock Breakdown'!AA$3*'Feedstock Conversion Rates'!B$7)/12+80-171+75+30+5-52.5-3</f>
        <v>67.766666666666652</v>
      </c>
      <c r="AB234" s="106">
        <f t="shared" si="137"/>
        <v>263.72666666666669</v>
      </c>
      <c r="AC234" s="104">
        <f>('Renewable Diesel'!G243*'RD Feedstock Breakdown'!AC$3*'Feedstock Conversion Rates'!B$5)/12</f>
        <v>11.796875</v>
      </c>
      <c r="AD234" s="104">
        <f>('Renewable Diesel'!G243*'RD Feedstock Breakdown'!AD$3*'Feedstock Conversion Rates'!B$4)/12</f>
        <v>5.859375</v>
      </c>
      <c r="AE234" s="104">
        <f>('Renewable Diesel'!G243*'RD Feedstock Breakdown'!AE$3*'Feedstock Conversion Rates'!B$6)/12</f>
        <v>7.3281250000000009</v>
      </c>
      <c r="AF234" s="106">
        <f t="shared" si="198"/>
        <v>24.984375</v>
      </c>
      <c r="AG234" s="104">
        <f t="shared" si="230"/>
        <v>6.5</v>
      </c>
      <c r="AH234" s="104">
        <v>135</v>
      </c>
      <c r="AI234" s="104">
        <f>('Renewable Diesel'!H243*'RD Feedstock Breakdown'!AI$3*'Feedstock Conversion Rates'!B$6)/12-130-20+51-120+105-42.5+20-5</f>
        <v>7.0166666666666799</v>
      </c>
      <c r="AJ234" s="106">
        <f t="shared" si="145"/>
        <v>13.51666666666668</v>
      </c>
      <c r="AK234" s="104">
        <f>('Renewable Diesel'!J243*'RD Feedstock Breakdown'!AK$3*'Feedstock Conversion Rates'!B$4)/12</f>
        <v>95.8125</v>
      </c>
      <c r="AL234" s="106">
        <f t="shared" si="157"/>
        <v>95.8125</v>
      </c>
      <c r="AM234" s="104">
        <f>('Renewable Diesel'!K243*'RD Feedstock Breakdown'!AM$3*'Feedstock Conversion Rates'!B$4)/12+5+15-10+9-27</f>
        <v>50.59375</v>
      </c>
      <c r="AN234" s="104">
        <f>('Renewable Diesel'!K243*'RD Feedstock Breakdown'!AN$3*'Feedstock Conversion Rates'!B$6)/12-5-15+10-9+27</f>
        <v>32.427083333333329</v>
      </c>
      <c r="AO234" s="106">
        <f t="shared" si="173"/>
        <v>83.020833333333329</v>
      </c>
      <c r="AP234" s="104">
        <f>('Renewable Diesel'!L243*'RD Feedstock Breakdown'!AP$3*'Feedstock Conversion Rates'!B$4)/12+15-10+14</f>
        <v>77.59375</v>
      </c>
      <c r="AQ234" s="104">
        <f>('Renewable Diesel'!L243*'RD Feedstock Breakdown'!AQ$3*'Feedstock Conversion Rates'!B$6)/12-15+10-14</f>
        <v>5.4270833333333321</v>
      </c>
      <c r="AR234" s="106">
        <f t="shared" si="162"/>
        <v>83.020833333333329</v>
      </c>
      <c r="AS234" s="104">
        <f>('Renewable Diesel'!M243*'RD Feedstock Breakdown'!AS$3*'Feedstock Conversion Rates'!B$4)/12-90</f>
        <v>366.25</v>
      </c>
      <c r="AT234" s="104">
        <f>('Renewable Diesel'!M243*'RD Feedstock Breakdown'!AT$3*'Feedstock Conversion Rates'!B$5)/12+90</f>
        <v>90</v>
      </c>
      <c r="AU234" s="106">
        <f t="shared" si="201"/>
        <v>456.25</v>
      </c>
      <c r="AV234" s="104">
        <f>'Renewable Diesel'!N243*'RD Feedstock Breakdown'!$AV$3*'Feedstock Conversion Rates'!$B$4/12-15-10+25+25-22-40</f>
        <v>41.749999999999986</v>
      </c>
      <c r="AW234" s="104">
        <f>'Renewable Diesel'!N243*'RD Feedstock Breakdown'!$AW$3*'Feedstock Conversion Rates'!$B$7/12+15+10-25-25+22+40</f>
        <v>78.400000000000006</v>
      </c>
      <c r="AX234" s="106">
        <f t="shared" si="141"/>
        <v>120.14999999999999</v>
      </c>
      <c r="AY234" s="104">
        <f>('Renewable Diesel'!O243*'RD Feedstock Breakdown'!AY$3*'Feedstock Conversion Rates'!B$4)/12+32+2-135-247+50</f>
        <v>-87.0625</v>
      </c>
      <c r="AZ234" s="104">
        <f>('Renewable Diesel'!O243*'RD Feedstock Breakdown'!AZ$3*'Feedstock Conversion Rates'!B$3)/12-32-2+135+247-50</f>
        <v>323.03125</v>
      </c>
      <c r="BA234" s="106">
        <f t="shared" si="217"/>
        <v>235.96875</v>
      </c>
      <c r="BB234" s="104">
        <f>('Renewable Diesel'!Q243*'RD Feedstock Breakdown'!BB$3*'Feedstock Conversion Rates'!B$4)/12-10</f>
        <v>1.1562499999999982</v>
      </c>
      <c r="BC234" s="104">
        <f>('Renewable Diesel'!Q243*'RD Feedstock Breakdown'!BC$3*'Feedstock Conversion Rates'!B$3)/12+10</f>
        <v>11.40175</v>
      </c>
      <c r="BD234" s="104">
        <f>('Renewable Diesel'!Q243*'RD Feedstock Breakdown'!BD$3*'Feedstock Conversion Rates'!B$6)/12</f>
        <v>0.8207500000000002</v>
      </c>
      <c r="BE234" s="106">
        <f t="shared" si="189"/>
        <v>13.378749999999998</v>
      </c>
      <c r="BF234" s="104">
        <f>('Renewable Diesel'!R243*'RD Feedstock Breakdown'!BF$3*'Feedstock Conversion Rates'!B$4)/12</f>
        <v>62.5</v>
      </c>
      <c r="BG234" s="106">
        <f t="shared" si="167"/>
        <v>62.5</v>
      </c>
      <c r="BH234" s="104">
        <f>('Renewable Diesel'!T243*'RD Feedstock Breakdown'!BH$3*'Feedstock Conversion Rates'!B$7)/12</f>
        <v>27.599999999999998</v>
      </c>
      <c r="BI234" s="106">
        <f t="shared" si="144"/>
        <v>27.599999999999998</v>
      </c>
      <c r="BJ234" s="104">
        <f>('Renewable Diesel'!W243*'RD Feedstock Breakdown'!BJ$3*'Feedstock Conversion Rates'!B$4)/12</f>
        <v>7.5</v>
      </c>
      <c r="BK234" s="104">
        <f>('Renewable Diesel'!W243*'RD Feedstock Breakdown'!BK$3*'Feedstock Conversion Rates'!B$3)/12</f>
        <v>1.335</v>
      </c>
      <c r="BL234" s="104">
        <f>('Renewable Diesel'!W243*'RD Feedstock Breakdown'!BL$3*'Feedstock Conversion Rates'!B$6)/12</f>
        <v>3.1266666666666669</v>
      </c>
      <c r="BM234" s="104">
        <f>('Renewable Diesel'!W243*'RD Feedstock Breakdown'!BM$3*'Feedstock Conversion Rates'!B$7)/12</f>
        <v>1.5333333333333332</v>
      </c>
      <c r="BN234" s="106">
        <f t="shared" si="209"/>
        <v>13.495000000000001</v>
      </c>
      <c r="BO234" s="104">
        <f>('Renewable Diesel'!P243*'Feedstock Conversion Rates'!B$4)/12</f>
        <v>31.25</v>
      </c>
      <c r="BP234" s="106">
        <f t="shared" si="199"/>
        <v>31.25</v>
      </c>
      <c r="BQ234" s="104">
        <f>('Renewable Diesel'!$S243*'RD Feedstock Breakdown'!BQ$3*'Feedstock Conversion Rates'!B$4)/12+10</f>
        <v>38.125</v>
      </c>
      <c r="BR234" s="104">
        <f>('Renewable Diesel'!$S243*'RD Feedstock Breakdown'!BR$3*'Feedstock Conversion Rates'!B$7)/12-10</f>
        <v>1.5</v>
      </c>
      <c r="BS234" s="106">
        <f t="shared" si="222"/>
        <v>39.625</v>
      </c>
      <c r="BT234" s="106"/>
      <c r="BU234" s="104">
        <f>('Renewable Diesel'!Y243*'Feedstock Conversion Rates'!B$7)/12</f>
        <v>2.6833333333333331</v>
      </c>
      <c r="BV234" s="106">
        <f t="shared" si="191"/>
        <v>2.6833333333333331</v>
      </c>
      <c r="BW234" s="104">
        <f>('Renewable Diesel'!$Z243*'RD Feedstock Breakdown'!BW$3*'Feedstock Conversion Rates'!$B$4)/12</f>
        <v>53.90625</v>
      </c>
      <c r="BX234" s="104">
        <f>('Renewable Diesel'!$Z243*'RD Feedstock Breakdown'!BX$3*'Feedstock Conversion Rates'!$B$5)/12</f>
        <v>5.4265624999999993</v>
      </c>
      <c r="BY234" s="104">
        <f>('Renewable Diesel'!$Z243*'RD Feedstock Breakdown'!BY$3*'Feedstock Conversion Rates'!$B$7)/12</f>
        <v>46.287499999999994</v>
      </c>
      <c r="BZ234" s="104">
        <f>('Renewable Diesel'!$Z243*'RD Feedstock Breakdown'!BZ$3*'Feedstock Conversion Rates'!$B$3)/12</f>
        <v>11.514374999999999</v>
      </c>
      <c r="CA234" s="106">
        <f t="shared" si="228"/>
        <v>117.1346875</v>
      </c>
      <c r="CB234" s="104">
        <f>('Renewable Diesel'!AA243*'Feedstock Conversion Rates'!B$4)/12</f>
        <v>191.25</v>
      </c>
      <c r="CC234" s="106">
        <f t="shared" si="213"/>
        <v>191.25</v>
      </c>
      <c r="CD234" s="104">
        <f>('Renewable Diesel'!$AB243*'RD Feedstock Breakdown'!CD$3*'Feedstock Conversion Rates'!$B$6)/12-15</f>
        <v>17.830000000000005</v>
      </c>
      <c r="CE234" s="104">
        <f>('Renewable Diesel'!$AB243*'RD Feedstock Breakdown'!CE$3*'Feedstock Conversion Rates'!$B$4)/12+15</f>
        <v>26.25</v>
      </c>
      <c r="CF234" s="106">
        <f t="shared" si="205"/>
        <v>44.080000000000005</v>
      </c>
      <c r="CG234" s="104">
        <f>('Renewable Diesel'!AD243*'Feedstock Conversion Rates'!B$4)/12</f>
        <v>112.5</v>
      </c>
      <c r="CH234" s="106">
        <f t="shared" si="187"/>
        <v>112.5</v>
      </c>
      <c r="CI234" s="104">
        <f>('Renewable Diesel'!$AE243*'RD Feedstock Breakdown'!CI$3*'Feedstock Conversion Rates'!$B$5)/12</f>
        <v>0.34604166666666664</v>
      </c>
      <c r="CJ234" s="104">
        <f>('Renewable Diesel'!$AE243*'RD Feedstock Breakdown'!CJ$3*'Feedstock Conversion Rates'!$B$4)/12</f>
        <v>0.34375</v>
      </c>
      <c r="CK234" s="106">
        <f t="shared" si="200"/>
        <v>0.68979166666666658</v>
      </c>
      <c r="CL234" s="104">
        <f>(((CL$3*'Renewable Diesel'!$AF243)*'Feedstock Conversion Rates'!$B$3)/12)-25</f>
        <v>66.78125</v>
      </c>
      <c r="CM234" s="104">
        <f>(((CM$3*'Renewable Diesel'!$AF243)*'Feedstock Conversion Rates'!$B$6)/12)+25</f>
        <v>78.739583333333343</v>
      </c>
      <c r="CN234" s="104">
        <f>(((CN$3*'Renewable Diesel'!$AF243)*'Feedstock Conversion Rates'!$B$4)/12)</f>
        <v>42.96875</v>
      </c>
      <c r="CO234" s="106">
        <f t="shared" si="190"/>
        <v>188.48958333333334</v>
      </c>
      <c r="CP234" s="104">
        <f>('Renewable Diesel'!$AG243*'RD Feedstock Breakdown'!CP$3*'Feedstock Conversion Rates'!$B$3)/12</f>
        <v>6.0075000000000003</v>
      </c>
      <c r="CQ234" s="104">
        <f>('Renewable Diesel'!$AG243*'RD Feedstock Breakdown'!CQ$3*'Feedstock Conversion Rates'!$B$6)/12</f>
        <v>3.5175000000000001</v>
      </c>
      <c r="CR234" s="104">
        <f>('Renewable Diesel'!$AG243*'RD Feedstock Breakdown'!CR$3*'Feedstock Conversion Rates'!$B$4)/12</f>
        <v>2.8125</v>
      </c>
      <c r="CS234" s="106">
        <f t="shared" si="134"/>
        <v>12.3375</v>
      </c>
      <c r="CT234" s="104">
        <f>('Renewable Diesel'!AI243*'Feedstock Conversion Rates'!$B$4*'RD Feedstock Breakdown'!$CT$3)/12</f>
        <v>29.375</v>
      </c>
      <c r="CU234" s="106">
        <f t="shared" si="196"/>
        <v>29.375</v>
      </c>
      <c r="CV234" s="104">
        <f>('Renewable Diesel'!AN243*'Feedstock Conversion Rates'!$B$3*'RD Feedstock Breakdown'!$CV$3)/12</f>
        <v>0.50062499999999999</v>
      </c>
      <c r="CW234" s="106">
        <f t="shared" si="161"/>
        <v>0.50062499999999999</v>
      </c>
      <c r="CX234" s="104">
        <f>('Renewable Diesel'!AO243*'RD Feedstock Breakdown'!$CX$3*'Feedstock Conversion Rates'!$B$3)/12</f>
        <v>6.3412499999999996</v>
      </c>
      <c r="CY234" s="104">
        <f>('Renewable Diesel'!AO243*'RD Feedstock Breakdown'!$CY$3*'Feedstock Conversion Rates'!$B$6)/12</f>
        <v>7.4258333333333342</v>
      </c>
      <c r="CZ234" s="106">
        <f t="shared" si="135"/>
        <v>13.767083333333334</v>
      </c>
      <c r="DA234" s="104">
        <f>('Renewable Diesel'!$AP243*'RD Feedstock Breakdown'!DA$3*'Feedstock Conversion Rates'!$B$3)/12</f>
        <v>6.3412499999999996</v>
      </c>
      <c r="DB234" s="104">
        <f>('Renewable Diesel'!$AP243*'RD Feedstock Breakdown'!DB$3*'Feedstock Conversion Rates'!$B$8)/12</f>
        <v>7.421875</v>
      </c>
      <c r="DC234" s="106">
        <f t="shared" si="165"/>
        <v>13.763124999999999</v>
      </c>
      <c r="DD234" s="104">
        <f>('Renewable Diesel'!AQ243*$DD$3*'Feedstock Conversion Rates'!$B$14)/12</f>
        <v>3.1041666666666665</v>
      </c>
      <c r="DE234" s="106">
        <f t="shared" si="166"/>
        <v>3.1041666666666665</v>
      </c>
      <c r="DF234" s="104">
        <f>('Renewable Diesel'!AR243*'Feedstock Conversion Rates'!$B$4*$DF$3)/12</f>
        <v>75</v>
      </c>
      <c r="DG234" s="106">
        <f t="shared" si="136"/>
        <v>75</v>
      </c>
      <c r="DH234" s="104">
        <f>('Renewable Diesel'!AS243*'Feedstock Conversion Rates'!$B$4*$DH$3)/12</f>
        <v>75</v>
      </c>
      <c r="DI234" s="106">
        <f t="shared" si="142"/>
        <v>75</v>
      </c>
      <c r="DJ234" s="104">
        <f>('Renewable Diesel'!AT243*'Feedstock Conversion Rates'!$B$4*0.25)/12</f>
        <v>8.59375</v>
      </c>
      <c r="DK234" s="104">
        <f>('Renewable Diesel'!$AT243*'RD Feedstock Breakdown'!DK$3*'Feedstock Conversion Rates'!$B$3)/12*0.5</f>
        <v>9.1781249999999996</v>
      </c>
      <c r="DL234" s="104">
        <f>('Renewable Diesel'!$AT243*'RD Feedstock Breakdown'!$DL$3*'Feedstock Conversion Rates'!$B$6)/12</f>
        <v>10.747916666666669</v>
      </c>
      <c r="DM234" s="104">
        <f>('Renewable Diesel'!$AT243*'RD Feedstock Breakdown'!$DM$3*'Feedstock Conversion Rates'!$B$8)/12</f>
        <v>10.7421875</v>
      </c>
      <c r="DN234" s="106">
        <f t="shared" si="210"/>
        <v>39.26197916666667</v>
      </c>
      <c r="DP234" s="104">
        <f t="shared" si="168"/>
        <v>52.470249999999993</v>
      </c>
      <c r="DQ234" s="104">
        <f t="shared" si="169"/>
        <v>883.27964250000002</v>
      </c>
      <c r="DR234" s="104">
        <f t="shared" si="174"/>
        <v>1602.984375</v>
      </c>
      <c r="DS234" s="104">
        <f t="shared" si="197"/>
        <v>126.59239583333334</v>
      </c>
      <c r="DT234" s="104">
        <f t="shared" si="170"/>
        <v>280.53923333333341</v>
      </c>
      <c r="DU234" s="104">
        <f t="shared" si="171"/>
        <v>249.72693333333333</v>
      </c>
      <c r="DV234" s="104">
        <f t="shared" si="175"/>
        <v>19.75</v>
      </c>
      <c r="DW234" s="104">
        <f t="shared" si="172"/>
        <v>2.5</v>
      </c>
      <c r="DX234" s="106">
        <f t="shared" si="176"/>
        <v>3217.84283</v>
      </c>
      <c r="DY234" s="109">
        <f t="shared" si="163"/>
        <v>-135.00000000000014</v>
      </c>
      <c r="EA234" s="110">
        <f t="shared" si="218"/>
        <v>1.6306032572759307E-2</v>
      </c>
      <c r="EB234" s="110">
        <f t="shared" si="219"/>
        <v>0.27449433958214797</v>
      </c>
      <c r="EC234" s="110">
        <f t="shared" si="220"/>
        <v>0.4981549627145711</v>
      </c>
      <c r="ED234" s="110">
        <f t="shared" si="146"/>
        <v>3.9340764145815457E-2</v>
      </c>
      <c r="EE234" s="110">
        <f t="shared" si="146"/>
        <v>8.7182391482225813E-2</v>
      </c>
      <c r="EF234" s="110">
        <f t="shared" si="146"/>
        <v>7.7606939346174755E-2</v>
      </c>
      <c r="EG234" s="110">
        <f t="shared" si="146"/>
        <v>6.1376521612150955E-3</v>
      </c>
      <c r="EH234" s="111">
        <f t="shared" si="177"/>
        <v>7.7691799509051846E-4</v>
      </c>
      <c r="EI234" s="110">
        <f t="shared" si="178"/>
        <v>0.99922308200490961</v>
      </c>
      <c r="EK234" s="132">
        <f>(EA234*'Renewable Diesel'!BF243*'Feedstock Conversion Rates'!B$2)+FB234</f>
        <v>48.415276024819732</v>
      </c>
      <c r="EL234" s="132">
        <f>(EB234*'Renewable Diesel'!BF243*'Feedstock Conversion Rates'!B$3)+FC234</f>
        <v>768.03513894158004</v>
      </c>
      <c r="EM234" s="132">
        <f>(EC234*'Renewable Diesel'!BF243*'Feedstock Conversion Rates'!B$4)+FD234</f>
        <v>1305.0913329166331</v>
      </c>
      <c r="EN234" s="132">
        <f>(ED234*'Renewable Diesel'!BF243*'Feedstock Conversion Rates'!B$5)+FE234</f>
        <v>103.7540179013514</v>
      </c>
      <c r="EO234" s="132">
        <f>(EE234*'Renewable Diesel'!BF243*'Feedstock Conversion Rates'!B$6)+FF234</f>
        <v>285.65826705120401</v>
      </c>
      <c r="EP234" s="132">
        <f>(EF234*'Renewable Diesel'!BF243*'Feedstock Conversion Rates'!B$7)+FG234</f>
        <v>249.40408608041773</v>
      </c>
      <c r="EQ234" s="132">
        <f>(EG234*'Renewable Diesel'!BF243*'Feedstock Conversion Rates'!B$8)+FH234</f>
        <v>20.099660847523467</v>
      </c>
      <c r="ER234" s="132">
        <f>(EH234*'Renewable Diesel'!BF243*'Feedstock Conversion Rates'!B$9)+FI234</f>
        <v>2.5103373885514539</v>
      </c>
      <c r="ES234" s="132">
        <f t="shared" si="179"/>
        <v>2782.9681171520801</v>
      </c>
      <c r="ET234" s="133">
        <f>ES234/'Renewable Diesel'!BF243</f>
        <v>7.9669675811357124</v>
      </c>
      <c r="EW234" s="73">
        <f t="shared" si="223"/>
        <v>1408.8453508179846</v>
      </c>
      <c r="EX234" s="73">
        <f t="shared" si="224"/>
        <v>1374.1227663340967</v>
      </c>
      <c r="EY234" s="92">
        <f t="shared" si="164"/>
        <v>0.50623840860229152</v>
      </c>
      <c r="EZ234" s="92">
        <f t="shared" si="164"/>
        <v>0.49376159139770892</v>
      </c>
      <c r="FB234" s="102">
        <f>IF('Renewable Diesel'!$BG243&lt;1,0,(((('Renewable Diesel'!$BG243-1)*'Renewable Diesel'!$BF243)*'RD Feedstock Breakdown'!EA234)*'Feedstock Conversion Rates'!$B$2))</f>
        <v>0</v>
      </c>
      <c r="FC234" s="102">
        <f>IF('Renewable Diesel'!$BG243&lt;1,0,(((('Renewable Diesel'!$BG243-1)*'Renewable Diesel'!$BF243)*'RD Feedstock Breakdown'!EB234)*'Feedstock Conversion Rates'!$B$3))</f>
        <v>0</v>
      </c>
      <c r="FD234" s="102">
        <f>IF('Renewable Diesel'!$BG243&lt;1,0,(((('Renewable Diesel'!$BG243-1)*'Renewable Diesel'!$BF243)*'RD Feedstock Breakdown'!EC234)*'Feedstock Conversion Rates'!$B$4))</f>
        <v>0</v>
      </c>
      <c r="FE234" s="102">
        <f>IF('Renewable Diesel'!$BG243&lt;1,0,(((('Renewable Diesel'!$BG243-1)*'Renewable Diesel'!$BF243)*'RD Feedstock Breakdown'!ED234)*'Feedstock Conversion Rates'!$B$5))</f>
        <v>0</v>
      </c>
      <c r="FF234" s="102">
        <f>IF('Renewable Diesel'!$BG243&lt;1,0,(((('Renewable Diesel'!$BG243-1)*'Renewable Diesel'!$BF243)*'RD Feedstock Breakdown'!EE234)*'Feedstock Conversion Rates'!$B$6))</f>
        <v>0</v>
      </c>
      <c r="FG234" s="102">
        <f>IF('Renewable Diesel'!$BG243&lt;1,0,(((('Renewable Diesel'!$BG243-1)*'Renewable Diesel'!$BF243)*'RD Feedstock Breakdown'!EF234)*'Feedstock Conversion Rates'!$B$7))</f>
        <v>0</v>
      </c>
      <c r="FH234" s="102">
        <f>IF('Renewable Diesel'!$BG243&lt;1,0,(((('Renewable Diesel'!$BG243-1)*'Renewable Diesel'!$BF243)*'RD Feedstock Breakdown'!EG234)*'Feedstock Conversion Rates'!$B$8))</f>
        <v>0</v>
      </c>
      <c r="FI234" s="102">
        <f>IF('Renewable Diesel'!$BG243&lt;1,0,(((('Renewable Diesel'!$BG243-1)*'Renewable Diesel'!$BF243)*'RD Feedstock Breakdown'!EH234)*'Feedstock Conversion Rates'!$B$9))</f>
        <v>0</v>
      </c>
      <c r="FJ234" s="102">
        <f t="shared" si="225"/>
        <v>0</v>
      </c>
      <c r="GD234" s="91">
        <f>'Renewable Diesel'!BB243*0.32</f>
        <v>0</v>
      </c>
      <c r="GE234" s="91">
        <f>'Renewable Diesel'!BC243</f>
        <v>119.9473980919919</v>
      </c>
      <c r="GF234" s="91">
        <f>'Renewable Diesel'!BD243</f>
        <v>0</v>
      </c>
      <c r="GG234" s="91">
        <f t="shared" si="206"/>
        <v>119.9473980919919</v>
      </c>
      <c r="GH234" s="124">
        <v>1</v>
      </c>
      <c r="GI234" s="102">
        <f>$GG234*EA234*'Feedstock Conversion Rates'!$B$2</f>
        <v>16.624862532598854</v>
      </c>
      <c r="GJ234" s="102">
        <f>$GG234*EB234*'Feedstock Conversion Rates'!$B$3</f>
        <v>263.72830340910508</v>
      </c>
      <c r="GK234" s="102">
        <f>$GG234*EC234*'Feedstock Conversion Rates'!$B$4</f>
        <v>448.14293718169534</v>
      </c>
      <c r="GL234" s="102">
        <f>$GG234*ED234*'Feedstock Conversion Rates'!$B$5</f>
        <v>35.627108351721724</v>
      </c>
      <c r="GM234" s="102">
        <f>$GG234*EE234*'Feedstock Conversion Rates'!$B$6</f>
        <v>98.089483546311371</v>
      </c>
      <c r="GN234" s="102">
        <f>$GG234*EF234*'Feedstock Conversion Rates'!$B$7</f>
        <v>85.640504125801556</v>
      </c>
      <c r="GO234" s="102">
        <f>$GG234*EG234*'Feedstock Conversion Rates'!$B$8</f>
        <v>6.9018319418572638</v>
      </c>
      <c r="GP234" s="102">
        <f>$GG234*EH234*'Feedstock Conversion Rates'!B$9</f>
        <v>0.86200095138808031</v>
      </c>
      <c r="GQ234" s="102">
        <f t="shared" si="180"/>
        <v>955.61703204047922</v>
      </c>
      <c r="GR234" s="85">
        <f t="shared" si="204"/>
        <v>7.9669675811357132</v>
      </c>
      <c r="GT234" s="103">
        <f t="shared" si="159"/>
        <v>1.7396992702296915E-2</v>
      </c>
      <c r="GU234" s="103">
        <f t="shared" si="159"/>
        <v>0.27597698091041745</v>
      </c>
      <c r="GV234" s="103">
        <f t="shared" si="159"/>
        <v>0.46895662399905025</v>
      </c>
      <c r="GW234" s="103">
        <f t="shared" si="159"/>
        <v>3.7281784603241129E-2</v>
      </c>
      <c r="GX234" s="103">
        <f t="shared" si="158"/>
        <v>0.10264518134096672</v>
      </c>
      <c r="GY234" s="103">
        <f t="shared" si="158"/>
        <v>8.9618017735554445E-2</v>
      </c>
      <c r="GZ234" s="103">
        <f t="shared" si="158"/>
        <v>7.222382722836305E-3</v>
      </c>
      <c r="HA234" s="103">
        <f t="shared" si="158"/>
        <v>9.0203598563693929E-4</v>
      </c>
    </row>
    <row r="235" spans="1:209" x14ac:dyDescent="0.25">
      <c r="A235" s="96">
        <v>47574</v>
      </c>
      <c r="B235" s="104">
        <f t="shared" si="226"/>
        <v>5</v>
      </c>
      <c r="C235" s="104">
        <f t="shared" si="147"/>
        <v>0</v>
      </c>
      <c r="D235" s="104">
        <f t="shared" si="192"/>
        <v>1.5</v>
      </c>
      <c r="E235" s="104">
        <f>('Renewable Diesel'!B244*E$3*'Feedstock Conversion Rates'!$B$2)/12-40+1.25+6-43+30-15+12.5-4+1.5+26+2.5+3-10+50+9-15-25-55+15+45+10-50+60-60</f>
        <v>44.679999999999993</v>
      </c>
      <c r="F235" s="104">
        <f>('Renewable Diesel'!B244*'RD Feedstock Breakdown'!F$3*'Feedstock Conversion Rates'!B$8)/12+28.5-49-5+2-6+1+6+20-20-3.75+10+2.5+5-20-20</f>
        <v>5.15625</v>
      </c>
      <c r="G235" s="104">
        <f>('Renewable Diesel'!B244*'RD Feedstock Breakdown'!G$3*'Feedstock Conversion Rates'!B$7)/12-25-15-25+4+4-20-40-20+10-17.5+20+50-12+32.5+35-75-75+22.5+5-20+15+125-10-45-10-40-40</f>
        <v>9.6570000000000107</v>
      </c>
      <c r="H235" s="104">
        <f>('Renewable Diesel'!B244*'RD Feedstock Breakdown'!H$3*'Feedstock Conversion Rates'!B$3)/12-85+4-15+70-65-80+50-22.5-5+25+27.5+15+50+15-10+5+50+75-5-25-85-12.5+30+22.5-25-30+150+90-120+25+10+70+55</f>
        <v>430.40022499999998</v>
      </c>
      <c r="I235" s="106">
        <f t="shared" si="203"/>
        <v>496.39347499999997</v>
      </c>
      <c r="J235" s="104">
        <f>47.5+60+38+97+19-6.25-35-29-20-5-25-4-3-50-10-1-20+2.5+20+100+20+1-45-75+15+20-25-10-26-5-30-6-10</f>
        <v>-0.25</v>
      </c>
      <c r="K235" s="104"/>
      <c r="L235" s="104">
        <v>1</v>
      </c>
      <c r="M235" s="104">
        <f>('Renewable Diesel'!C244*'RD Feedstock Breakdown'!M$3*'Feedstock Conversion Rates'!B$2)/12</f>
        <v>7.7902500000000003</v>
      </c>
      <c r="N235" s="104">
        <f>('Renewable Diesel'!C244*'RD Feedstock Breakdown'!N$3*'Feedstock Conversion Rates'!B$8)/12</f>
        <v>3.671875</v>
      </c>
      <c r="O235" s="104">
        <f>('Renewable Diesel'!C244*'RD Feedstock Breakdown'!O$3*'Feedstock Conversion Rates'!B$7)/12</f>
        <v>11.9991</v>
      </c>
      <c r="P235" s="104">
        <f>('Renewable Diesel'!C244*'RD Feedstock Breakdown'!P$3*'Feedstock Conversion Rates'!B$3)/12</f>
        <v>10.4470425</v>
      </c>
      <c r="Q235" s="106">
        <f t="shared" si="216"/>
        <v>34.658267500000001</v>
      </c>
      <c r="R235" s="104">
        <f>('Renewable Diesel'!D244*'RD Feedstock Breakdown'!R$3*'Feedstock Conversion Rates'!B$7)/12</f>
        <v>2.2999999999999998</v>
      </c>
      <c r="S235" s="106">
        <f t="shared" si="148"/>
        <v>2.2999999999999998</v>
      </c>
      <c r="T235" s="104">
        <f t="shared" si="221"/>
        <v>0.82500000000000284</v>
      </c>
      <c r="U235" s="104">
        <f t="shared" si="229"/>
        <v>36</v>
      </c>
      <c r="V235" s="104">
        <f>('Renewable Diesel'!E244*'RD Feedstock Breakdown'!V$3*'Feedstock Conversion Rates'!B$6)/12-20+25-35+15</f>
        <v>29.250150000000012</v>
      </c>
      <c r="W235" s="104">
        <f>('Renewable Diesel'!E244*'RD Feedstock Breakdown'!W$3*'Feedstock Conversion Rates'!B$8)/12-6-10-6</f>
        <v>0.1796875</v>
      </c>
      <c r="X235" s="106">
        <f t="shared" si="185"/>
        <v>66.254837500000008</v>
      </c>
      <c r="Y235" s="104">
        <f t="shared" si="227"/>
        <v>126.5</v>
      </c>
      <c r="Z235" s="104">
        <f>('Renewable Diesel'!F244*'RD Feedstock Breakdown'!Z$3*'Feedstock Conversion Rates'!B$6)/12-50-32-60+15+15+50-75+65-6-30+9+2+7</f>
        <v>69.460000000000008</v>
      </c>
      <c r="AA235" s="104">
        <f>('Renewable Diesel'!F244*'RD Feedstock Breakdown'!AA$3*'Feedstock Conversion Rates'!B$7)/12+80-171+75+30+5-52.5-3</f>
        <v>67.766666666666652</v>
      </c>
      <c r="AB235" s="106">
        <f t="shared" si="137"/>
        <v>263.72666666666669</v>
      </c>
      <c r="AC235" s="104">
        <f>('Renewable Diesel'!G244*'RD Feedstock Breakdown'!AC$3*'Feedstock Conversion Rates'!B$5)/12</f>
        <v>11.796875</v>
      </c>
      <c r="AD235" s="104">
        <f>('Renewable Diesel'!G244*'RD Feedstock Breakdown'!AD$3*'Feedstock Conversion Rates'!B$4)/12</f>
        <v>5.859375</v>
      </c>
      <c r="AE235" s="104">
        <f>('Renewable Diesel'!G244*'RD Feedstock Breakdown'!AE$3*'Feedstock Conversion Rates'!B$6)/12</f>
        <v>7.3281250000000009</v>
      </c>
      <c r="AF235" s="106">
        <f t="shared" si="198"/>
        <v>24.984375</v>
      </c>
      <c r="AG235" s="104">
        <f t="shared" si="230"/>
        <v>6.5</v>
      </c>
      <c r="AH235" s="104">
        <v>135</v>
      </c>
      <c r="AI235" s="104">
        <f>('Renewable Diesel'!H244*'RD Feedstock Breakdown'!AI$3*'Feedstock Conversion Rates'!B$6)/12-130-20+51-120+105-42.5+20-5</f>
        <v>7.0166666666666799</v>
      </c>
      <c r="AJ235" s="106">
        <f t="shared" si="145"/>
        <v>13.51666666666668</v>
      </c>
      <c r="AK235" s="104">
        <f>('Renewable Diesel'!J244*'RD Feedstock Breakdown'!AK$3*'Feedstock Conversion Rates'!B$4)/12</f>
        <v>95.8125</v>
      </c>
      <c r="AL235" s="106">
        <f t="shared" si="157"/>
        <v>95.8125</v>
      </c>
      <c r="AM235" s="104">
        <f>('Renewable Diesel'!K244*'RD Feedstock Breakdown'!AM$3*'Feedstock Conversion Rates'!B$4)/12+5+15-10+9-27</f>
        <v>50.59375</v>
      </c>
      <c r="AN235" s="104">
        <f>('Renewable Diesel'!K244*'RD Feedstock Breakdown'!AN$3*'Feedstock Conversion Rates'!B$6)/12-5-15+10-9+27</f>
        <v>32.427083333333329</v>
      </c>
      <c r="AO235" s="106">
        <f t="shared" si="173"/>
        <v>83.020833333333329</v>
      </c>
      <c r="AP235" s="104">
        <f>('Renewable Diesel'!L244*'RD Feedstock Breakdown'!AP$3*'Feedstock Conversion Rates'!B$4)/12+15-10+14</f>
        <v>77.59375</v>
      </c>
      <c r="AQ235" s="104">
        <f>('Renewable Diesel'!L244*'RD Feedstock Breakdown'!AQ$3*'Feedstock Conversion Rates'!B$6)/12-15+10-14</f>
        <v>5.4270833333333321</v>
      </c>
      <c r="AR235" s="106">
        <f t="shared" si="162"/>
        <v>83.020833333333329</v>
      </c>
      <c r="AS235" s="104">
        <f>('Renewable Diesel'!M244*'RD Feedstock Breakdown'!AS$3*'Feedstock Conversion Rates'!B$4)/12-90</f>
        <v>366.25</v>
      </c>
      <c r="AT235" s="104">
        <f>('Renewable Diesel'!M244*'RD Feedstock Breakdown'!AT$3*'Feedstock Conversion Rates'!B$5)/12+90</f>
        <v>90</v>
      </c>
      <c r="AU235" s="106">
        <f t="shared" si="201"/>
        <v>456.25</v>
      </c>
      <c r="AV235" s="104">
        <f>'Renewable Diesel'!N244*'RD Feedstock Breakdown'!$AV$3*'Feedstock Conversion Rates'!$B$4/12-15-10+25+25-22-40</f>
        <v>41.749999999999986</v>
      </c>
      <c r="AW235" s="104">
        <f>'Renewable Diesel'!N244*'RD Feedstock Breakdown'!$AW$3*'Feedstock Conversion Rates'!$B$7/12+15+10-25-25+22+40</f>
        <v>78.400000000000006</v>
      </c>
      <c r="AX235" s="106">
        <f t="shared" si="141"/>
        <v>120.14999999999999</v>
      </c>
      <c r="AY235" s="104">
        <f>('Renewable Diesel'!O244*'RD Feedstock Breakdown'!AY$3*'Feedstock Conversion Rates'!B$4)/12+32+2-135-247+50</f>
        <v>-87.0625</v>
      </c>
      <c r="AZ235" s="104">
        <f>('Renewable Diesel'!O244*'RD Feedstock Breakdown'!AZ$3*'Feedstock Conversion Rates'!B$3)/12-32-2+135+247-50</f>
        <v>323.03125</v>
      </c>
      <c r="BA235" s="106">
        <f t="shared" si="217"/>
        <v>235.96875</v>
      </c>
      <c r="BB235" s="104">
        <f>('Renewable Diesel'!Q244*'RD Feedstock Breakdown'!BB$3*'Feedstock Conversion Rates'!B$4)/12-10</f>
        <v>1.1562499999999982</v>
      </c>
      <c r="BC235" s="104">
        <f>('Renewable Diesel'!Q244*'RD Feedstock Breakdown'!BC$3*'Feedstock Conversion Rates'!B$3)/12+10</f>
        <v>11.40175</v>
      </c>
      <c r="BD235" s="104">
        <f>('Renewable Diesel'!Q244*'RD Feedstock Breakdown'!BD$3*'Feedstock Conversion Rates'!B$6)/12</f>
        <v>0.8207500000000002</v>
      </c>
      <c r="BE235" s="106">
        <f t="shared" si="189"/>
        <v>13.378749999999998</v>
      </c>
      <c r="BF235" s="104">
        <f>('Renewable Diesel'!R244*'RD Feedstock Breakdown'!BF$3*'Feedstock Conversion Rates'!B$4)/12</f>
        <v>62.5</v>
      </c>
      <c r="BG235" s="106">
        <f t="shared" si="167"/>
        <v>62.5</v>
      </c>
      <c r="BH235" s="104">
        <f>('Renewable Diesel'!T244*'RD Feedstock Breakdown'!BH$3*'Feedstock Conversion Rates'!B$7)/12</f>
        <v>27.599999999999998</v>
      </c>
      <c r="BI235" s="106">
        <f t="shared" si="144"/>
        <v>27.599999999999998</v>
      </c>
      <c r="BJ235" s="104">
        <f>('Renewable Diesel'!W244*'RD Feedstock Breakdown'!BJ$3*'Feedstock Conversion Rates'!B$4)/12</f>
        <v>7.5</v>
      </c>
      <c r="BK235" s="104">
        <f>('Renewable Diesel'!W244*'RD Feedstock Breakdown'!BK$3*'Feedstock Conversion Rates'!B$3)/12</f>
        <v>1.335</v>
      </c>
      <c r="BL235" s="104">
        <f>('Renewable Diesel'!W244*'RD Feedstock Breakdown'!BL$3*'Feedstock Conversion Rates'!B$6)/12</f>
        <v>3.1266666666666669</v>
      </c>
      <c r="BM235" s="104">
        <f>('Renewable Diesel'!W244*'RD Feedstock Breakdown'!BM$3*'Feedstock Conversion Rates'!B$7)/12</f>
        <v>1.5333333333333332</v>
      </c>
      <c r="BN235" s="106">
        <f t="shared" si="209"/>
        <v>13.495000000000001</v>
      </c>
      <c r="BO235" s="104">
        <f>('Renewable Diesel'!P244*'Feedstock Conversion Rates'!B$4)/12</f>
        <v>31.25</v>
      </c>
      <c r="BP235" s="106">
        <f t="shared" si="199"/>
        <v>31.25</v>
      </c>
      <c r="BQ235" s="104">
        <f>('Renewable Diesel'!$S244*'RD Feedstock Breakdown'!BQ$3*'Feedstock Conversion Rates'!B$4)/12+10</f>
        <v>38.125</v>
      </c>
      <c r="BR235" s="104">
        <f>('Renewable Diesel'!$S244*'RD Feedstock Breakdown'!BR$3*'Feedstock Conversion Rates'!B$7)/12-10</f>
        <v>1.5</v>
      </c>
      <c r="BS235" s="106">
        <f t="shared" si="222"/>
        <v>39.625</v>
      </c>
      <c r="BT235" s="106"/>
      <c r="BU235" s="104">
        <f>('Renewable Diesel'!Y244*'Feedstock Conversion Rates'!B$7)/12</f>
        <v>2.6833333333333331</v>
      </c>
      <c r="BV235" s="106">
        <f t="shared" si="191"/>
        <v>2.6833333333333331</v>
      </c>
      <c r="BW235" s="104">
        <f>('Renewable Diesel'!$Z244*'RD Feedstock Breakdown'!BW$3*'Feedstock Conversion Rates'!$B$4)/12</f>
        <v>53.90625</v>
      </c>
      <c r="BX235" s="104">
        <f>('Renewable Diesel'!$Z244*'RD Feedstock Breakdown'!BX$3*'Feedstock Conversion Rates'!$B$5)/12</f>
        <v>5.4265624999999993</v>
      </c>
      <c r="BY235" s="104">
        <f>('Renewable Diesel'!$Z244*'RD Feedstock Breakdown'!BY$3*'Feedstock Conversion Rates'!$B$7)/12</f>
        <v>46.287499999999994</v>
      </c>
      <c r="BZ235" s="104">
        <f>('Renewable Diesel'!$Z244*'RD Feedstock Breakdown'!BZ$3*'Feedstock Conversion Rates'!$B$3)/12</f>
        <v>11.514374999999999</v>
      </c>
      <c r="CA235" s="106">
        <f t="shared" si="228"/>
        <v>117.1346875</v>
      </c>
      <c r="CB235" s="104">
        <f>('Renewable Diesel'!AA244*'Feedstock Conversion Rates'!B$4)/12</f>
        <v>191.25</v>
      </c>
      <c r="CC235" s="106">
        <f t="shared" si="213"/>
        <v>191.25</v>
      </c>
      <c r="CD235" s="104">
        <f>('Renewable Diesel'!$AB244*'RD Feedstock Breakdown'!CD$3*'Feedstock Conversion Rates'!$B$6)/12-15</f>
        <v>17.830000000000005</v>
      </c>
      <c r="CE235" s="104">
        <f>('Renewable Diesel'!$AB244*'RD Feedstock Breakdown'!CE$3*'Feedstock Conversion Rates'!$B$4)/12+15</f>
        <v>26.25</v>
      </c>
      <c r="CF235" s="106">
        <f t="shared" si="205"/>
        <v>44.080000000000005</v>
      </c>
      <c r="CG235" s="104">
        <f>('Renewable Diesel'!AD244*'Feedstock Conversion Rates'!B$4)/12</f>
        <v>112.5</v>
      </c>
      <c r="CH235" s="106">
        <f t="shared" si="187"/>
        <v>112.5</v>
      </c>
      <c r="CI235" s="104">
        <f>('Renewable Diesel'!$AE244*'RD Feedstock Breakdown'!CI$3*'Feedstock Conversion Rates'!$B$5)/12</f>
        <v>0.34604166666666664</v>
      </c>
      <c r="CJ235" s="104">
        <f>('Renewable Diesel'!$AE244*'RD Feedstock Breakdown'!CJ$3*'Feedstock Conversion Rates'!$B$4)/12</f>
        <v>0.34375</v>
      </c>
      <c r="CK235" s="106">
        <f t="shared" si="200"/>
        <v>0.68979166666666658</v>
      </c>
      <c r="CL235" s="104">
        <f>(((CL$3*'Renewable Diesel'!$AF244)*'Feedstock Conversion Rates'!$B$3)/12)-25</f>
        <v>66.78125</v>
      </c>
      <c r="CM235" s="104">
        <f>(((CM$3*'Renewable Diesel'!$AF244)*'Feedstock Conversion Rates'!$B$6)/12)+25</f>
        <v>78.739583333333343</v>
      </c>
      <c r="CN235" s="104">
        <f>(((CN$3*'Renewable Diesel'!$AF244)*'Feedstock Conversion Rates'!$B$4)/12)</f>
        <v>42.96875</v>
      </c>
      <c r="CO235" s="106">
        <f t="shared" si="190"/>
        <v>188.48958333333334</v>
      </c>
      <c r="CP235" s="104">
        <f>('Renewable Diesel'!$AG244*'RD Feedstock Breakdown'!CP$3*'Feedstock Conversion Rates'!$B$3)/12</f>
        <v>6.0075000000000003</v>
      </c>
      <c r="CQ235" s="104">
        <f>('Renewable Diesel'!$AG244*'RD Feedstock Breakdown'!CQ$3*'Feedstock Conversion Rates'!$B$6)/12</f>
        <v>3.5175000000000001</v>
      </c>
      <c r="CR235" s="104">
        <f>('Renewable Diesel'!$AG244*'RD Feedstock Breakdown'!CR$3*'Feedstock Conversion Rates'!$B$4)/12</f>
        <v>2.8125</v>
      </c>
      <c r="CS235" s="106">
        <f t="shared" si="134"/>
        <v>12.3375</v>
      </c>
      <c r="CT235" s="104">
        <f>('Renewable Diesel'!AI244*'Feedstock Conversion Rates'!$B$4*'RD Feedstock Breakdown'!$CT$3)/12</f>
        <v>29.375</v>
      </c>
      <c r="CU235" s="106">
        <f t="shared" si="196"/>
        <v>29.375</v>
      </c>
      <c r="CV235" s="104">
        <f>('Renewable Diesel'!AN244*'Feedstock Conversion Rates'!$B$3*'RD Feedstock Breakdown'!$CV$3)/12</f>
        <v>0.50062499999999999</v>
      </c>
      <c r="CW235" s="106">
        <f t="shared" si="161"/>
        <v>0.50062499999999999</v>
      </c>
      <c r="CX235" s="104">
        <f>('Renewable Diesel'!AO244*'RD Feedstock Breakdown'!$CX$3*'Feedstock Conversion Rates'!$B$3)/12</f>
        <v>6.3412499999999996</v>
      </c>
      <c r="CY235" s="104">
        <f>('Renewable Diesel'!AO244*'RD Feedstock Breakdown'!$CY$3*'Feedstock Conversion Rates'!$B$6)/12</f>
        <v>7.4258333333333342</v>
      </c>
      <c r="CZ235" s="106">
        <f t="shared" si="135"/>
        <v>13.767083333333334</v>
      </c>
      <c r="DA235" s="104">
        <f>('Renewable Diesel'!$AP244*'RD Feedstock Breakdown'!DA$3*'Feedstock Conversion Rates'!$B$3)/12</f>
        <v>6.3412499999999996</v>
      </c>
      <c r="DB235" s="104">
        <f>('Renewable Diesel'!$AP244*'RD Feedstock Breakdown'!DB$3*'Feedstock Conversion Rates'!$B$8)/12</f>
        <v>7.421875</v>
      </c>
      <c r="DC235" s="106">
        <f t="shared" si="165"/>
        <v>13.763124999999999</v>
      </c>
      <c r="DD235" s="104">
        <f>('Renewable Diesel'!AQ244*$DD$3*'Feedstock Conversion Rates'!$B$14)/12</f>
        <v>3.1041666666666665</v>
      </c>
      <c r="DE235" s="106">
        <f t="shared" si="166"/>
        <v>3.1041666666666665</v>
      </c>
      <c r="DF235" s="104">
        <f>('Renewable Diesel'!AR244*'Feedstock Conversion Rates'!$B$4*$DF$3)/12</f>
        <v>75</v>
      </c>
      <c r="DG235" s="106">
        <f t="shared" si="136"/>
        <v>75</v>
      </c>
      <c r="DH235" s="104">
        <f>('Renewable Diesel'!AS244*'Feedstock Conversion Rates'!$B$4*$DH$3)/12</f>
        <v>75</v>
      </c>
      <c r="DI235" s="106">
        <f t="shared" si="142"/>
        <v>75</v>
      </c>
      <c r="DJ235" s="104">
        <f>('Renewable Diesel'!AT244*'Feedstock Conversion Rates'!$B$4*0.25)/12</f>
        <v>8.59375</v>
      </c>
      <c r="DK235" s="104">
        <f>('Renewable Diesel'!$AT244*'RD Feedstock Breakdown'!DK$3*'Feedstock Conversion Rates'!$B$3)/12*0.5</f>
        <v>9.1781249999999996</v>
      </c>
      <c r="DL235" s="104">
        <f>('Renewable Diesel'!$AT244*'RD Feedstock Breakdown'!$DL$3*'Feedstock Conversion Rates'!$B$6)/12</f>
        <v>10.747916666666669</v>
      </c>
      <c r="DM235" s="104">
        <f>('Renewable Diesel'!$AT244*'RD Feedstock Breakdown'!$DM$3*'Feedstock Conversion Rates'!$B$8)/12</f>
        <v>10.7421875</v>
      </c>
      <c r="DN235" s="106">
        <f t="shared" si="210"/>
        <v>39.26197916666667</v>
      </c>
      <c r="DP235" s="104">
        <f t="shared" si="168"/>
        <v>52.470249999999993</v>
      </c>
      <c r="DQ235" s="104">
        <f t="shared" si="169"/>
        <v>883.27964250000002</v>
      </c>
      <c r="DR235" s="104">
        <f t="shared" si="174"/>
        <v>1602.984375</v>
      </c>
      <c r="DS235" s="104">
        <f t="shared" si="197"/>
        <v>126.59239583333334</v>
      </c>
      <c r="DT235" s="104">
        <f t="shared" si="170"/>
        <v>280.53923333333341</v>
      </c>
      <c r="DU235" s="104">
        <f t="shared" si="171"/>
        <v>249.72693333333333</v>
      </c>
      <c r="DV235" s="104">
        <f t="shared" si="175"/>
        <v>19.75</v>
      </c>
      <c r="DW235" s="104">
        <f t="shared" si="172"/>
        <v>2.5</v>
      </c>
      <c r="DX235" s="106">
        <f t="shared" si="176"/>
        <v>3217.84283</v>
      </c>
      <c r="DY235" s="109">
        <f t="shared" si="163"/>
        <v>-135.00000000000014</v>
      </c>
      <c r="EA235" s="110">
        <f t="shared" si="218"/>
        <v>1.6306032572759307E-2</v>
      </c>
      <c r="EB235" s="110">
        <f t="shared" si="219"/>
        <v>0.27449433958214797</v>
      </c>
      <c r="EC235" s="110">
        <f t="shared" si="220"/>
        <v>0.4981549627145711</v>
      </c>
      <c r="ED235" s="110">
        <f t="shared" si="146"/>
        <v>3.9340764145815457E-2</v>
      </c>
      <c r="EE235" s="110">
        <f t="shared" si="146"/>
        <v>8.7182391482225813E-2</v>
      </c>
      <c r="EF235" s="110">
        <f t="shared" si="146"/>
        <v>7.7606939346174755E-2</v>
      </c>
      <c r="EG235" s="110">
        <f t="shared" si="146"/>
        <v>6.1376521612150955E-3</v>
      </c>
      <c r="EH235" s="111">
        <f t="shared" si="177"/>
        <v>7.7691799509051846E-4</v>
      </c>
      <c r="EI235" s="110">
        <f t="shared" si="178"/>
        <v>0.99922308200490961</v>
      </c>
      <c r="EK235" s="132">
        <f>(EA235*'Renewable Diesel'!BF244*'Feedstock Conversion Rates'!B$2)+FB235</f>
        <v>57.625273583223141</v>
      </c>
      <c r="EL235" s="132">
        <f>(EB235*'Renewable Diesel'!BF244*'Feedstock Conversion Rates'!B$3)+FC235</f>
        <v>914.13782254073465</v>
      </c>
      <c r="EM235" s="132">
        <f>(EC235*'Renewable Diesel'!BF244*'Feedstock Conversion Rates'!B$4)+FD235</f>
        <v>1553.3577681527706</v>
      </c>
      <c r="EN235" s="132">
        <f>(ED235*'Renewable Diesel'!BF244*'Feedstock Conversion Rates'!B$5)+FE235</f>
        <v>123.49105814989035</v>
      </c>
      <c r="EO235" s="132">
        <f>(EE235*'Renewable Diesel'!BF244*'Feedstock Conversion Rates'!B$6)+FF235</f>
        <v>339.99880082675492</v>
      </c>
      <c r="EP235" s="132">
        <f>(EF235*'Renewable Diesel'!BF244*'Feedstock Conversion Rates'!B$7)+FG235</f>
        <v>296.84801726195093</v>
      </c>
      <c r="EQ235" s="132">
        <f>(EG235*'Renewable Diesel'!BF244*'Feedstock Conversion Rates'!B$8)+FH235</f>
        <v>23.923202558522458</v>
      </c>
      <c r="ER235" s="132">
        <f>(EH235*'Renewable Diesel'!BF244*'Feedstock Conversion Rates'!B$9)+FI235</f>
        <v>2.9878767752416238</v>
      </c>
      <c r="ES235" s="132">
        <f t="shared" si="179"/>
        <v>3312.3698198490888</v>
      </c>
      <c r="ET235" s="133">
        <f>ES235/'Renewable Diesel'!BF244</f>
        <v>7.9669675811357141</v>
      </c>
      <c r="EW235" s="73">
        <f t="shared" si="223"/>
        <v>1676.8488263026609</v>
      </c>
      <c r="EX235" s="73">
        <f t="shared" si="224"/>
        <v>1635.5209935464277</v>
      </c>
      <c r="EY235" s="92">
        <f t="shared" si="164"/>
        <v>0.5062384086022913</v>
      </c>
      <c r="EZ235" s="92">
        <f t="shared" si="164"/>
        <v>0.4937615913977087</v>
      </c>
      <c r="FB235" s="102">
        <f>IF('Renewable Diesel'!$BG244&lt;1,0,(((('Renewable Diesel'!$BG244-1)*'Renewable Diesel'!$BF244)*'RD Feedstock Breakdown'!EA235)*'Feedstock Conversion Rates'!$B$2))</f>
        <v>0</v>
      </c>
      <c r="FC235" s="102">
        <f>IF('Renewable Diesel'!$BG244&lt;1,0,(((('Renewable Diesel'!$BG244-1)*'Renewable Diesel'!$BF244)*'RD Feedstock Breakdown'!EB235)*'Feedstock Conversion Rates'!$B$3))</f>
        <v>0</v>
      </c>
      <c r="FD235" s="102">
        <f>IF('Renewable Diesel'!$BG244&lt;1,0,(((('Renewable Diesel'!$BG244-1)*'Renewable Diesel'!$BF244)*'RD Feedstock Breakdown'!EC235)*'Feedstock Conversion Rates'!$B$4))</f>
        <v>0</v>
      </c>
      <c r="FE235" s="102">
        <f>IF('Renewable Diesel'!$BG244&lt;1,0,(((('Renewable Diesel'!$BG244-1)*'Renewable Diesel'!$BF244)*'RD Feedstock Breakdown'!ED235)*'Feedstock Conversion Rates'!$B$5))</f>
        <v>0</v>
      </c>
      <c r="FF235" s="102">
        <f>IF('Renewable Diesel'!$BG244&lt;1,0,(((('Renewable Diesel'!$BG244-1)*'Renewable Diesel'!$BF244)*'RD Feedstock Breakdown'!EE235)*'Feedstock Conversion Rates'!$B$6))</f>
        <v>0</v>
      </c>
      <c r="FG235" s="102">
        <f>IF('Renewable Diesel'!$BG244&lt;1,0,(((('Renewable Diesel'!$BG244-1)*'Renewable Diesel'!$BF244)*'RD Feedstock Breakdown'!EF235)*'Feedstock Conversion Rates'!$B$7))</f>
        <v>0</v>
      </c>
      <c r="FH235" s="102">
        <f>IF('Renewable Diesel'!$BG244&lt;1,0,(((('Renewable Diesel'!$BG244-1)*'Renewable Diesel'!$BF244)*'RD Feedstock Breakdown'!EG235)*'Feedstock Conversion Rates'!$B$8))</f>
        <v>0</v>
      </c>
      <c r="FI235" s="102">
        <f>IF('Renewable Diesel'!$BG244&lt;1,0,(((('Renewable Diesel'!$BG244-1)*'Renewable Diesel'!$BF244)*'RD Feedstock Breakdown'!EH235)*'Feedstock Conversion Rates'!$B$9))</f>
        <v>0</v>
      </c>
      <c r="FJ235" s="102">
        <f t="shared" si="225"/>
        <v>0</v>
      </c>
      <c r="GD235" s="91">
        <f>'Renewable Diesel'!BB244*0.32</f>
        <v>0</v>
      </c>
      <c r="GE235" s="91">
        <f>'Renewable Diesel'!BC244</f>
        <v>193.05989522712349</v>
      </c>
      <c r="GF235" s="91">
        <f>'Renewable Diesel'!BD244</f>
        <v>0</v>
      </c>
      <c r="GG235" s="91">
        <f t="shared" si="206"/>
        <v>193.05989522712349</v>
      </c>
      <c r="GH235" s="124">
        <v>1</v>
      </c>
      <c r="GI235" s="102">
        <f>$GG235*EA235*'Feedstock Conversion Rates'!$B$2</f>
        <v>26.758347990569288</v>
      </c>
      <c r="GJ235" s="102">
        <f>$GG235*EB235*'Feedstock Conversion Rates'!$B$3</f>
        <v>424.48072600574523</v>
      </c>
      <c r="GK235" s="102">
        <f>$GG235*EC235*'Feedstock Conversion Rates'!$B$4</f>
        <v>721.30308681410031</v>
      </c>
      <c r="GL235" s="102">
        <f>$GG235*ED235*'Feedstock Conversion Rates'!$B$5</f>
        <v>57.343184721303118</v>
      </c>
      <c r="GM235" s="102">
        <f>$GG235*EE235*'Feedstock Conversion Rates'!$B$6</f>
        <v>157.8787511656565</v>
      </c>
      <c r="GN235" s="102">
        <f>$GG235*EF235*'Feedstock Conversion Rates'!$B$7</f>
        <v>137.84164572744606</v>
      </c>
      <c r="GO235" s="102">
        <f>$GG235*EG235*'Feedstock Conversion Rates'!$B$8</f>
        <v>11.108760779856697</v>
      </c>
      <c r="GP235" s="102">
        <f>$GG235*EH235*'Feedstock Conversion Rates'!B$9</f>
        <v>1.3874232872732415</v>
      </c>
      <c r="GQ235" s="102">
        <f t="shared" si="180"/>
        <v>1538.1019264919505</v>
      </c>
      <c r="GR235" s="85">
        <f t="shared" si="204"/>
        <v>7.9669675811357141</v>
      </c>
      <c r="GT235" s="103">
        <f t="shared" si="159"/>
        <v>1.7396992702296912E-2</v>
      </c>
      <c r="GU235" s="103">
        <f t="shared" si="159"/>
        <v>0.27597698091041734</v>
      </c>
      <c r="GV235" s="103">
        <f t="shared" si="159"/>
        <v>0.46895662399905008</v>
      </c>
      <c r="GW235" s="103">
        <f t="shared" si="159"/>
        <v>3.7281784603241122E-2</v>
      </c>
      <c r="GX235" s="103">
        <f t="shared" si="158"/>
        <v>0.1026451813409667</v>
      </c>
      <c r="GY235" s="103">
        <f t="shared" si="158"/>
        <v>8.9618017735554431E-2</v>
      </c>
      <c r="GZ235" s="103">
        <f t="shared" si="158"/>
        <v>7.2223827228363032E-3</v>
      </c>
      <c r="HA235" s="103">
        <f t="shared" si="158"/>
        <v>9.0203598563693918E-4</v>
      </c>
    </row>
    <row r="236" spans="1:209" x14ac:dyDescent="0.25">
      <c r="A236" s="96">
        <v>47604</v>
      </c>
      <c r="B236" s="104">
        <f t="shared" si="226"/>
        <v>5</v>
      </c>
      <c r="C236" s="104">
        <f t="shared" si="147"/>
        <v>0</v>
      </c>
      <c r="D236" s="104">
        <f t="shared" si="192"/>
        <v>1.5</v>
      </c>
      <c r="E236" s="104">
        <f>('Renewable Diesel'!B245*E$3*'Feedstock Conversion Rates'!$B$2)/12-40+1.25+6-43+30-15+12.5-4+1.5+26+2.5+3-10+50+9-15-25-55+15+45+10-50+60-60</f>
        <v>44.679999999999993</v>
      </c>
      <c r="F236" s="104">
        <f>('Renewable Diesel'!B245*'RD Feedstock Breakdown'!F$3*'Feedstock Conversion Rates'!B$8)/12+28.5-49-5+2-6+1+6+20-20-3.75+10+2.5+5-20-20</f>
        <v>5.15625</v>
      </c>
      <c r="G236" s="104">
        <f>('Renewable Diesel'!B245*'RD Feedstock Breakdown'!G$3*'Feedstock Conversion Rates'!B$7)/12-25-15-25+4+4-20-40-20+10-17.5+20+50-12+32.5+35-75-75+22.5+5-20+15+125-10-45-10-40-40</f>
        <v>9.6570000000000107</v>
      </c>
      <c r="H236" s="104">
        <f>('Renewable Diesel'!B245*'RD Feedstock Breakdown'!H$3*'Feedstock Conversion Rates'!B$3)/12-85+4-15+70-65-80+50-22.5-5+25+27.5+15+50+15-10+5+50+75-5-25-85-12.5+30+22.5-25-30+150+90-120+25+10+70+55</f>
        <v>430.40022499999998</v>
      </c>
      <c r="I236" s="106">
        <f t="shared" si="203"/>
        <v>496.39347499999997</v>
      </c>
      <c r="J236" s="104">
        <f>47.5+60+38+97+19-6.25-35-29-20-5-25-4-3-50-10-1-20+2.5+20+100+20+1-45-75+15+20-25-10-26-5-30-6</f>
        <v>9.75</v>
      </c>
      <c r="K236" s="104"/>
      <c r="L236" s="104">
        <v>1</v>
      </c>
      <c r="M236" s="104">
        <f>('Renewable Diesel'!C245*'RD Feedstock Breakdown'!M$3*'Feedstock Conversion Rates'!B$2)/12</f>
        <v>7.7902500000000003</v>
      </c>
      <c r="N236" s="104">
        <f>('Renewable Diesel'!C245*'RD Feedstock Breakdown'!N$3*'Feedstock Conversion Rates'!B$8)/12</f>
        <v>3.671875</v>
      </c>
      <c r="O236" s="104">
        <f>('Renewable Diesel'!C245*'RD Feedstock Breakdown'!O$3*'Feedstock Conversion Rates'!B$7)/12</f>
        <v>11.9991</v>
      </c>
      <c r="P236" s="104">
        <f>('Renewable Diesel'!C245*'RD Feedstock Breakdown'!P$3*'Feedstock Conversion Rates'!B$3)/12</f>
        <v>10.4470425</v>
      </c>
      <c r="Q236" s="106">
        <f t="shared" si="216"/>
        <v>44.658267500000001</v>
      </c>
      <c r="R236" s="104">
        <f>('Renewable Diesel'!D245*'RD Feedstock Breakdown'!R$3*'Feedstock Conversion Rates'!B$7)/12</f>
        <v>2.2999999999999998</v>
      </c>
      <c r="S236" s="106">
        <f t="shared" si="148"/>
        <v>2.2999999999999998</v>
      </c>
      <c r="T236" s="104">
        <f t="shared" si="221"/>
        <v>0.82500000000000284</v>
      </c>
      <c r="U236" s="104">
        <f t="shared" si="229"/>
        <v>36</v>
      </c>
      <c r="V236" s="104">
        <f>('Renewable Diesel'!E245*'RD Feedstock Breakdown'!V$3*'Feedstock Conversion Rates'!B$6)/12-20+25-35+15</f>
        <v>29.250150000000012</v>
      </c>
      <c r="W236" s="104">
        <f>('Renewable Diesel'!E245*'RD Feedstock Breakdown'!W$3*'Feedstock Conversion Rates'!B$8)/12-6-10-6</f>
        <v>0.1796875</v>
      </c>
      <c r="X236" s="106">
        <f t="shared" si="185"/>
        <v>66.254837500000008</v>
      </c>
      <c r="Y236" s="104">
        <f t="shared" si="227"/>
        <v>126.5</v>
      </c>
      <c r="Z236" s="104">
        <f>('Renewable Diesel'!F245*'RD Feedstock Breakdown'!Z$3*'Feedstock Conversion Rates'!B$6)/12-50-32-60+15+15+50-75+65-6-30+9+2+7</f>
        <v>69.460000000000008</v>
      </c>
      <c r="AA236" s="104">
        <f>('Renewable Diesel'!F245*'RD Feedstock Breakdown'!AA$3*'Feedstock Conversion Rates'!B$7)/12+80-171+75+30+5-52.5-3</f>
        <v>67.766666666666652</v>
      </c>
      <c r="AB236" s="106">
        <f t="shared" si="137"/>
        <v>263.72666666666669</v>
      </c>
      <c r="AC236" s="104">
        <f>('Renewable Diesel'!G245*'RD Feedstock Breakdown'!AC$3*'Feedstock Conversion Rates'!B$5)/12</f>
        <v>11.796875</v>
      </c>
      <c r="AD236" s="104">
        <f>('Renewable Diesel'!G245*'RD Feedstock Breakdown'!AD$3*'Feedstock Conversion Rates'!B$4)/12</f>
        <v>5.859375</v>
      </c>
      <c r="AE236" s="104">
        <f>('Renewable Diesel'!G245*'RD Feedstock Breakdown'!AE$3*'Feedstock Conversion Rates'!B$6)/12</f>
        <v>7.3281250000000009</v>
      </c>
      <c r="AF236" s="106">
        <f t="shared" si="198"/>
        <v>24.984375</v>
      </c>
      <c r="AG236" s="104">
        <f t="shared" si="230"/>
        <v>6.5</v>
      </c>
      <c r="AH236" s="104">
        <v>135</v>
      </c>
      <c r="AI236" s="104">
        <f>('Renewable Diesel'!H245*'RD Feedstock Breakdown'!AI$3*'Feedstock Conversion Rates'!B$6)/12-130-20+51-120+105-42.5+20-5</f>
        <v>7.0166666666666799</v>
      </c>
      <c r="AJ236" s="106">
        <f t="shared" si="145"/>
        <v>13.51666666666668</v>
      </c>
      <c r="AK236" s="104">
        <f>('Renewable Diesel'!J245*'RD Feedstock Breakdown'!AK$3*'Feedstock Conversion Rates'!B$4)/12</f>
        <v>95.8125</v>
      </c>
      <c r="AL236" s="106">
        <f t="shared" si="157"/>
        <v>95.8125</v>
      </c>
      <c r="AM236" s="104">
        <f>('Renewable Diesel'!K245*'RD Feedstock Breakdown'!AM$3*'Feedstock Conversion Rates'!B$4)/12+5+15-10+9-27</f>
        <v>50.59375</v>
      </c>
      <c r="AN236" s="104">
        <f>('Renewable Diesel'!K245*'RD Feedstock Breakdown'!AN$3*'Feedstock Conversion Rates'!B$6)/12-5-15+10-9+27</f>
        <v>32.427083333333329</v>
      </c>
      <c r="AO236" s="106">
        <f t="shared" si="173"/>
        <v>83.020833333333329</v>
      </c>
      <c r="AP236" s="104">
        <f>('Renewable Diesel'!L245*'RD Feedstock Breakdown'!AP$3*'Feedstock Conversion Rates'!B$4)/12+15-10+14</f>
        <v>77.59375</v>
      </c>
      <c r="AQ236" s="104">
        <f>('Renewable Diesel'!L245*'RD Feedstock Breakdown'!AQ$3*'Feedstock Conversion Rates'!B$6)/12-15+10-14</f>
        <v>5.4270833333333321</v>
      </c>
      <c r="AR236" s="106">
        <f t="shared" si="162"/>
        <v>83.020833333333329</v>
      </c>
      <c r="AS236" s="104">
        <f>('Renewable Diesel'!M245*'RD Feedstock Breakdown'!AS$3*'Feedstock Conversion Rates'!B$4)/12-90</f>
        <v>366.25</v>
      </c>
      <c r="AT236" s="104">
        <f>('Renewable Diesel'!M245*'RD Feedstock Breakdown'!AT$3*'Feedstock Conversion Rates'!B$5)/12+90</f>
        <v>90</v>
      </c>
      <c r="AU236" s="106">
        <f t="shared" si="201"/>
        <v>456.25</v>
      </c>
      <c r="AV236" s="104">
        <f>'Renewable Diesel'!N245*'RD Feedstock Breakdown'!$AV$3*'Feedstock Conversion Rates'!$B$4/12-15-10+25+25-22-40</f>
        <v>41.749999999999986</v>
      </c>
      <c r="AW236" s="104">
        <f>'Renewable Diesel'!N245*'RD Feedstock Breakdown'!$AW$3*'Feedstock Conversion Rates'!$B$7/12+15+10-25-25+22+40</f>
        <v>78.400000000000006</v>
      </c>
      <c r="AX236" s="106">
        <f t="shared" si="141"/>
        <v>120.14999999999999</v>
      </c>
      <c r="AY236" s="104">
        <f>('Renewable Diesel'!O245*'RD Feedstock Breakdown'!AY$3*'Feedstock Conversion Rates'!B$4)/12+32+2-135-247+50</f>
        <v>-87.0625</v>
      </c>
      <c r="AZ236" s="104">
        <f>('Renewable Diesel'!O245*'RD Feedstock Breakdown'!AZ$3*'Feedstock Conversion Rates'!B$3)/12-32-2+135+247-50</f>
        <v>323.03125</v>
      </c>
      <c r="BA236" s="106">
        <f t="shared" si="217"/>
        <v>235.96875</v>
      </c>
      <c r="BB236" s="104">
        <f>('Renewable Diesel'!Q245*'RD Feedstock Breakdown'!BB$3*'Feedstock Conversion Rates'!B$4)/12-10</f>
        <v>1.1562499999999982</v>
      </c>
      <c r="BC236" s="104">
        <f>('Renewable Diesel'!Q245*'RD Feedstock Breakdown'!BC$3*'Feedstock Conversion Rates'!B$3)/12+10</f>
        <v>11.40175</v>
      </c>
      <c r="BD236" s="104">
        <f>('Renewable Diesel'!Q245*'RD Feedstock Breakdown'!BD$3*'Feedstock Conversion Rates'!B$6)/12</f>
        <v>0.8207500000000002</v>
      </c>
      <c r="BE236" s="106">
        <f t="shared" si="189"/>
        <v>13.378749999999998</v>
      </c>
      <c r="BF236" s="104">
        <f>('Renewable Diesel'!R245*'RD Feedstock Breakdown'!BF$3*'Feedstock Conversion Rates'!B$4)/12</f>
        <v>62.5</v>
      </c>
      <c r="BG236" s="106">
        <f t="shared" si="167"/>
        <v>62.5</v>
      </c>
      <c r="BH236" s="104">
        <f>('Renewable Diesel'!T245*'RD Feedstock Breakdown'!BH$3*'Feedstock Conversion Rates'!B$7)/12</f>
        <v>27.599999999999998</v>
      </c>
      <c r="BI236" s="106">
        <f t="shared" si="144"/>
        <v>27.599999999999998</v>
      </c>
      <c r="BJ236" s="104">
        <f>('Renewable Diesel'!W245*'RD Feedstock Breakdown'!BJ$3*'Feedstock Conversion Rates'!B$4)/12</f>
        <v>7.5</v>
      </c>
      <c r="BK236" s="104">
        <f>('Renewable Diesel'!W245*'RD Feedstock Breakdown'!BK$3*'Feedstock Conversion Rates'!B$3)/12</f>
        <v>1.335</v>
      </c>
      <c r="BL236" s="104">
        <f>('Renewable Diesel'!W245*'RD Feedstock Breakdown'!BL$3*'Feedstock Conversion Rates'!B$6)/12</f>
        <v>3.1266666666666669</v>
      </c>
      <c r="BM236" s="104">
        <f>('Renewable Diesel'!W245*'RD Feedstock Breakdown'!BM$3*'Feedstock Conversion Rates'!B$7)/12</f>
        <v>1.5333333333333332</v>
      </c>
      <c r="BN236" s="106">
        <f t="shared" si="209"/>
        <v>13.495000000000001</v>
      </c>
      <c r="BO236" s="104">
        <f>('Renewable Diesel'!P245*'Feedstock Conversion Rates'!B$4)/12</f>
        <v>31.25</v>
      </c>
      <c r="BP236" s="106">
        <f t="shared" si="199"/>
        <v>31.25</v>
      </c>
      <c r="BQ236" s="104">
        <f>('Renewable Diesel'!$S245*'RD Feedstock Breakdown'!BQ$3*'Feedstock Conversion Rates'!B$4)/12+10</f>
        <v>38.125</v>
      </c>
      <c r="BR236" s="104">
        <f>('Renewable Diesel'!$S245*'RD Feedstock Breakdown'!BR$3*'Feedstock Conversion Rates'!B$7)/12-10</f>
        <v>1.5</v>
      </c>
      <c r="BS236" s="106">
        <f t="shared" si="222"/>
        <v>39.625</v>
      </c>
      <c r="BT236" s="106"/>
      <c r="BU236" s="104">
        <f>('Renewable Diesel'!Y245*'Feedstock Conversion Rates'!B$7)/12</f>
        <v>2.6833333333333331</v>
      </c>
      <c r="BV236" s="106">
        <f t="shared" si="191"/>
        <v>2.6833333333333331</v>
      </c>
      <c r="BW236" s="104">
        <f>('Renewable Diesel'!$Z245*'RD Feedstock Breakdown'!BW$3*'Feedstock Conversion Rates'!$B$4)/12</f>
        <v>53.90625</v>
      </c>
      <c r="BX236" s="104">
        <f>('Renewable Diesel'!$Z245*'RD Feedstock Breakdown'!BX$3*'Feedstock Conversion Rates'!$B$5)/12</f>
        <v>5.4265624999999993</v>
      </c>
      <c r="BY236" s="104">
        <f>('Renewable Diesel'!$Z245*'RD Feedstock Breakdown'!BY$3*'Feedstock Conversion Rates'!$B$7)/12</f>
        <v>46.287499999999994</v>
      </c>
      <c r="BZ236" s="104">
        <f>('Renewable Diesel'!$Z245*'RD Feedstock Breakdown'!BZ$3*'Feedstock Conversion Rates'!$B$3)/12</f>
        <v>11.514374999999999</v>
      </c>
      <c r="CA236" s="106">
        <f t="shared" si="228"/>
        <v>117.1346875</v>
      </c>
      <c r="CB236" s="104">
        <f>('Renewable Diesel'!AA245*'Feedstock Conversion Rates'!B$4)/12</f>
        <v>191.25</v>
      </c>
      <c r="CC236" s="106">
        <f t="shared" si="213"/>
        <v>191.25</v>
      </c>
      <c r="CD236" s="104">
        <f>('Renewable Diesel'!$AB245*'RD Feedstock Breakdown'!CD$3*'Feedstock Conversion Rates'!$B$6)/12-15</f>
        <v>17.830000000000005</v>
      </c>
      <c r="CE236" s="104">
        <f>('Renewable Diesel'!$AB245*'RD Feedstock Breakdown'!CE$3*'Feedstock Conversion Rates'!$B$4)/12+15</f>
        <v>26.25</v>
      </c>
      <c r="CF236" s="106">
        <f t="shared" si="205"/>
        <v>44.080000000000005</v>
      </c>
      <c r="CG236" s="104">
        <f>('Renewable Diesel'!AD245*'Feedstock Conversion Rates'!B$4)/12</f>
        <v>112.5</v>
      </c>
      <c r="CH236" s="106">
        <f t="shared" si="187"/>
        <v>112.5</v>
      </c>
      <c r="CI236" s="104">
        <f>('Renewable Diesel'!$AE245*'RD Feedstock Breakdown'!CI$3*'Feedstock Conversion Rates'!$B$5)/12</f>
        <v>0.34604166666666664</v>
      </c>
      <c r="CJ236" s="104">
        <f>('Renewable Diesel'!$AE245*'RD Feedstock Breakdown'!CJ$3*'Feedstock Conversion Rates'!$B$4)/12</f>
        <v>0.34375</v>
      </c>
      <c r="CK236" s="106">
        <f t="shared" si="200"/>
        <v>0.68979166666666658</v>
      </c>
      <c r="CL236" s="104">
        <f>(((CL$3*'Renewable Diesel'!$AF245)*'Feedstock Conversion Rates'!$B$3)/12)-25</f>
        <v>66.78125</v>
      </c>
      <c r="CM236" s="104">
        <f>(((CM$3*'Renewable Diesel'!$AF245)*'Feedstock Conversion Rates'!$B$6)/12)+25</f>
        <v>78.739583333333343</v>
      </c>
      <c r="CN236" s="104">
        <f>(((CN$3*'Renewable Diesel'!$AF245)*'Feedstock Conversion Rates'!$B$4)/12)</f>
        <v>42.96875</v>
      </c>
      <c r="CO236" s="106">
        <f t="shared" si="190"/>
        <v>188.48958333333334</v>
      </c>
      <c r="CP236" s="104">
        <f>('Renewable Diesel'!$AG245*'RD Feedstock Breakdown'!CP$3*'Feedstock Conversion Rates'!$B$3)/12</f>
        <v>6.0075000000000003</v>
      </c>
      <c r="CQ236" s="104">
        <f>('Renewable Diesel'!$AG245*'RD Feedstock Breakdown'!CQ$3*'Feedstock Conversion Rates'!$B$6)/12</f>
        <v>3.5175000000000001</v>
      </c>
      <c r="CR236" s="104">
        <f>('Renewable Diesel'!$AG245*'RD Feedstock Breakdown'!CR$3*'Feedstock Conversion Rates'!$B$4)/12</f>
        <v>2.8125</v>
      </c>
      <c r="CS236" s="106">
        <f t="shared" si="134"/>
        <v>12.3375</v>
      </c>
      <c r="CT236" s="104">
        <f>('Renewable Diesel'!AI245*'Feedstock Conversion Rates'!$B$4*'RD Feedstock Breakdown'!$CT$3)/12</f>
        <v>29.375</v>
      </c>
      <c r="CU236" s="106">
        <f t="shared" si="196"/>
        <v>29.375</v>
      </c>
      <c r="CV236" s="104">
        <f>('Renewable Diesel'!AN245*'Feedstock Conversion Rates'!$B$3*'RD Feedstock Breakdown'!$CV$3)/12</f>
        <v>0.50062499999999999</v>
      </c>
      <c r="CW236" s="106">
        <f t="shared" si="161"/>
        <v>0.50062499999999999</v>
      </c>
      <c r="CX236" s="104">
        <f>('Renewable Diesel'!AO245*'RD Feedstock Breakdown'!$CX$3*'Feedstock Conversion Rates'!$B$3)/12</f>
        <v>6.3412499999999996</v>
      </c>
      <c r="CY236" s="104">
        <f>('Renewable Diesel'!AO245*'RD Feedstock Breakdown'!$CY$3*'Feedstock Conversion Rates'!$B$6)/12</f>
        <v>7.4258333333333342</v>
      </c>
      <c r="CZ236" s="106">
        <f t="shared" si="135"/>
        <v>13.767083333333334</v>
      </c>
      <c r="DA236" s="104">
        <f>('Renewable Diesel'!$AP245*'RD Feedstock Breakdown'!DA$3*'Feedstock Conversion Rates'!$B$3)/12</f>
        <v>6.3412499999999996</v>
      </c>
      <c r="DB236" s="104">
        <f>('Renewable Diesel'!$AP245*'RD Feedstock Breakdown'!DB$3*'Feedstock Conversion Rates'!$B$8)/12</f>
        <v>7.421875</v>
      </c>
      <c r="DC236" s="106">
        <f t="shared" si="165"/>
        <v>13.763124999999999</v>
      </c>
      <c r="DD236" s="104">
        <f>('Renewable Diesel'!AQ245*$DD$3*'Feedstock Conversion Rates'!$B$14)/12</f>
        <v>3.1041666666666665</v>
      </c>
      <c r="DE236" s="106">
        <f t="shared" si="166"/>
        <v>3.1041666666666665</v>
      </c>
      <c r="DF236" s="104">
        <f>('Renewable Diesel'!AR245*'Feedstock Conversion Rates'!$B$4*$DF$3)/12</f>
        <v>75</v>
      </c>
      <c r="DG236" s="106">
        <f t="shared" si="136"/>
        <v>75</v>
      </c>
      <c r="DH236" s="104">
        <f>('Renewable Diesel'!AS245*'Feedstock Conversion Rates'!$B$4*$DH$3)/12</f>
        <v>75</v>
      </c>
      <c r="DI236" s="106">
        <f t="shared" si="142"/>
        <v>75</v>
      </c>
      <c r="DJ236" s="104">
        <f>('Renewable Diesel'!AT245*'Feedstock Conversion Rates'!$B$4*0.25)/12</f>
        <v>8.59375</v>
      </c>
      <c r="DK236" s="104">
        <f>('Renewable Diesel'!$AT245*'RD Feedstock Breakdown'!DK$3*'Feedstock Conversion Rates'!$B$3)/12*0.5</f>
        <v>9.1781249999999996</v>
      </c>
      <c r="DL236" s="104">
        <f>('Renewable Diesel'!$AT245*'RD Feedstock Breakdown'!$DL$3*'Feedstock Conversion Rates'!$B$6)/12</f>
        <v>10.747916666666669</v>
      </c>
      <c r="DM236" s="104">
        <f>('Renewable Diesel'!$AT245*'RD Feedstock Breakdown'!$DM$3*'Feedstock Conversion Rates'!$B$8)/12</f>
        <v>10.7421875</v>
      </c>
      <c r="DN236" s="106">
        <f t="shared" si="210"/>
        <v>39.26197916666667</v>
      </c>
      <c r="DP236" s="104">
        <f t="shared" si="168"/>
        <v>52.470249999999993</v>
      </c>
      <c r="DQ236" s="104">
        <f t="shared" si="169"/>
        <v>883.27964250000002</v>
      </c>
      <c r="DR236" s="104">
        <f t="shared" si="174"/>
        <v>1612.984375</v>
      </c>
      <c r="DS236" s="104">
        <f t="shared" si="197"/>
        <v>126.59239583333334</v>
      </c>
      <c r="DT236" s="104">
        <f t="shared" si="170"/>
        <v>280.53923333333341</v>
      </c>
      <c r="DU236" s="104">
        <f t="shared" si="171"/>
        <v>249.72693333333333</v>
      </c>
      <c r="DV236" s="104">
        <f t="shared" si="175"/>
        <v>19.75</v>
      </c>
      <c r="DW236" s="104">
        <f t="shared" si="172"/>
        <v>2.5</v>
      </c>
      <c r="DX236" s="106">
        <f t="shared" si="176"/>
        <v>3227.84283</v>
      </c>
      <c r="DY236" s="109">
        <f t="shared" si="163"/>
        <v>-135.00000000000014</v>
      </c>
      <c r="EA236" s="110">
        <f t="shared" si="218"/>
        <v>1.6255515761899719E-2</v>
      </c>
      <c r="EB236" s="110">
        <f t="shared" si="219"/>
        <v>0.2736439439648925</v>
      </c>
      <c r="EC236" s="110">
        <f t="shared" si="220"/>
        <v>0.49970970085925775</v>
      </c>
      <c r="ED236" s="110">
        <f t="shared" si="146"/>
        <v>3.9218884716680377E-2</v>
      </c>
      <c r="EE236" s="110">
        <f t="shared" si="146"/>
        <v>8.691229657341569E-2</v>
      </c>
      <c r="EF236" s="110">
        <f t="shared" si="146"/>
        <v>7.736650961203502E-2</v>
      </c>
      <c r="EG236" s="110">
        <f t="shared" si="146"/>
        <v>6.1186374430752567E-3</v>
      </c>
      <c r="EH236" s="111">
        <f t="shared" si="177"/>
        <v>7.745110687437033E-4</v>
      </c>
      <c r="EI236" s="110">
        <f t="shared" si="178"/>
        <v>0.9992254889312564</v>
      </c>
      <c r="EK236" s="132">
        <f>(EA236*'Renewable Diesel'!BF245*'Feedstock Conversion Rates'!B$2)+FB236</f>
        <v>79.159858948834184</v>
      </c>
      <c r="EL236" s="132">
        <f>(EB236*'Renewable Diesel'!BF245*'Feedstock Conversion Rates'!B$3)+FC236</f>
        <v>1255.7514540492616</v>
      </c>
      <c r="EM236" s="132">
        <f>(EC236*'Renewable Diesel'!BF245*'Feedstock Conversion Rates'!B$4)+FD236</f>
        <v>2147.1598434352036</v>
      </c>
      <c r="EN236" s="132">
        <f>(ED236*'Renewable Diesel'!BF245*'Feedstock Conversion Rates'!B$5)+FE236</f>
        <v>169.63971078540129</v>
      </c>
      <c r="EO236" s="132">
        <f>(EE236*'Renewable Diesel'!BF245*'Feedstock Conversion Rates'!B$6)+FF236</f>
        <v>467.05647440178785</v>
      </c>
      <c r="EP236" s="132">
        <f>(EF236*'Renewable Diesel'!BF245*'Feedstock Conversion Rates'!B$7)+FG236</f>
        <v>407.78022757254899</v>
      </c>
      <c r="EQ236" s="132">
        <f>(EG236*'Renewable Diesel'!BF245*'Feedstock Conversion Rates'!B$8)+FH236</f>
        <v>32.863311918199202</v>
      </c>
      <c r="ER236" s="132">
        <f>(EH236*'Renewable Diesel'!BF245*'Feedstock Conversion Rates'!B$9)+FI236</f>
        <v>4.1044473956907019</v>
      </c>
      <c r="ES236" s="132">
        <f t="shared" si="179"/>
        <v>4563.5153285069282</v>
      </c>
      <c r="ET236" s="133">
        <f>ES236/'Renewable Diesel'!BF245</f>
        <v>9.0743870590532101</v>
      </c>
      <c r="EW236" s="73">
        <f t="shared" si="223"/>
        <v>2599.9063489930923</v>
      </c>
      <c r="EX236" s="73">
        <f t="shared" si="224"/>
        <v>2521.258516002692</v>
      </c>
      <c r="EY236" s="92">
        <f t="shared" si="164"/>
        <v>0.56971570419677298</v>
      </c>
      <c r="EZ236" s="92">
        <f t="shared" si="164"/>
        <v>0.55248165821929796</v>
      </c>
      <c r="FB236" s="102">
        <f>IF('Renewable Diesel'!$BG245&lt;1,0,(((('Renewable Diesel'!$BG245-1)*'Renewable Diesel'!$BF245)*'RD Feedstock Breakdown'!EA236)*'Feedstock Conversion Rates'!$B$2))</f>
        <v>9.6731259727757646</v>
      </c>
      <c r="FC236" s="102">
        <f>IF('Renewable Diesel'!$BG245&lt;1,0,(((('Renewable Diesel'!$BG245-1)*'Renewable Diesel'!$BF245)*'RD Feedstock Breakdown'!EB236)*'Feedstock Conversion Rates'!$B$3))</f>
        <v>153.44951553496597</v>
      </c>
      <c r="FD236" s="102">
        <f>IF('Renewable Diesel'!$BG245&lt;1,0,(((('Renewable Diesel'!$BG245-1)*'Renewable Diesel'!$BF245)*'RD Feedstock Breakdown'!EC236)*'Feedstock Conversion Rates'!$B$4))</f>
        <v>262.3772695534862</v>
      </c>
      <c r="FE236" s="102">
        <f>IF('Renewable Diesel'!$BG245&lt;1,0,(((('Renewable Diesel'!$BG245-1)*'Renewable Diesel'!$BF245)*'RD Feedstock Breakdown'!ED236)*'Feedstock Conversion Rates'!$B$5))</f>
        <v>20.729525219001179</v>
      </c>
      <c r="FF236" s="102">
        <f>IF('Renewable Diesel'!$BG245&lt;1,0,(((('Renewable Diesel'!$BG245-1)*'Renewable Diesel'!$BF245)*'RD Feedstock Breakdown'!EE236)*'Feedstock Conversion Rates'!$B$6))</f>
        <v>57.073069271247732</v>
      </c>
      <c r="FG236" s="102">
        <f>IF('Renewable Diesel'!$BG245&lt;1,0,(((('Renewable Diesel'!$BG245-1)*'Renewable Diesel'!$BF245)*'RD Feedstock Breakdown'!EF236)*'Feedstock Conversion Rates'!$B$7))</f>
        <v>49.829668254790739</v>
      </c>
      <c r="FH236" s="102">
        <f>IF('Renewable Diesel'!$BG245&lt;1,0,(((('Renewable Diesel'!$BG245-1)*'Renewable Diesel'!$BF245)*'RD Feedstock Breakdown'!EG236)*'Feedstock Conversion Rates'!$B$8))</f>
        <v>4.0158100366605787</v>
      </c>
      <c r="FI236" s="102">
        <f>IF('Renewable Diesel'!$BG245&lt;1,0,(((('Renewable Diesel'!$BG245-1)*'Renewable Diesel'!$BF245)*'RD Feedstock Breakdown'!EH236)*'Feedstock Conversion Rates'!$B$9))</f>
        <v>0.50155264592891613</v>
      </c>
      <c r="FJ236" s="102">
        <f t="shared" si="225"/>
        <v>557.64953648885705</v>
      </c>
      <c r="GD236" s="91">
        <f>'Renewable Diesel'!BB245*0.32</f>
        <v>0</v>
      </c>
      <c r="GE236" s="91">
        <f>'Renewable Diesel'!BC245</f>
        <v>254.12025094949621</v>
      </c>
      <c r="GF236" s="91">
        <f>'Renewable Diesel'!BD245</f>
        <v>0</v>
      </c>
      <c r="GG236" s="91">
        <f t="shared" si="206"/>
        <v>254.12025094949621</v>
      </c>
      <c r="GH236" s="124">
        <v>1</v>
      </c>
      <c r="GI236" s="102">
        <f>$GG236*EA236*'Feedstock Conversion Rates'!$B$2</f>
        <v>35.112273830183298</v>
      </c>
      <c r="GJ236" s="102">
        <f>$GG236*EB236*'Feedstock Conversion Rates'!$B$3</f>
        <v>557.00312636645856</v>
      </c>
      <c r="GK236" s="102">
        <f>$GG236*EC236*'Feedstock Conversion Rates'!$B$4</f>
        <v>952.39765938189203</v>
      </c>
      <c r="GL236" s="102">
        <f>$GG236*ED236*'Feedstock Conversion Rates'!$B$5</f>
        <v>75.245661837524452</v>
      </c>
      <c r="GM236" s="102">
        <f>$GG236*EE236*'Feedstock Conversion Rates'!$B$6</f>
        <v>207.16831789651764</v>
      </c>
      <c r="GN236" s="102">
        <f>$GG236*EF236*'Feedstock Conversion Rates'!$B$7</f>
        <v>180.87565090681193</v>
      </c>
      <c r="GO236" s="102">
        <f>$GG236*EG236*'Feedstock Conversion Rates'!$B$8</f>
        <v>14.576903273468139</v>
      </c>
      <c r="GP236" s="102">
        <f>$GG236*EH236*'Feedstock Conversion Rates'!B$9</f>
        <v>1.8205752611588897</v>
      </c>
      <c r="GQ236" s="102">
        <f t="shared" si="180"/>
        <v>2024.2001687540151</v>
      </c>
      <c r="GR236" s="85">
        <f t="shared" si="204"/>
        <v>7.9655208948943788</v>
      </c>
      <c r="GT236" s="103">
        <f t="shared" si="159"/>
        <v>1.7346245876363336E-2</v>
      </c>
      <c r="GU236" s="103">
        <f t="shared" si="159"/>
        <v>0.27517195925802079</v>
      </c>
      <c r="GV236" s="103">
        <f t="shared" si="159"/>
        <v>0.47050567136753818</v>
      </c>
      <c r="GW236" s="103">
        <f t="shared" si="159"/>
        <v>3.7173034069966256E-2</v>
      </c>
      <c r="GX236" s="103">
        <f t="shared" si="158"/>
        <v>0.10234576653752524</v>
      </c>
      <c r="GY236" s="103">
        <f t="shared" si="158"/>
        <v>8.9356603017254413E-2</v>
      </c>
      <c r="GZ236" s="103">
        <f t="shared" si="158"/>
        <v>7.2013151162025968E-3</v>
      </c>
      <c r="HA236" s="103">
        <f t="shared" si="158"/>
        <v>8.9940475712910076E-4</v>
      </c>
    </row>
    <row r="237" spans="1:209" x14ac:dyDescent="0.25">
      <c r="A237" s="96">
        <v>47635</v>
      </c>
      <c r="B237" s="104">
        <f t="shared" si="226"/>
        <v>5</v>
      </c>
      <c r="C237" s="104">
        <f t="shared" si="147"/>
        <v>0</v>
      </c>
      <c r="D237" s="104">
        <f t="shared" si="192"/>
        <v>1.5</v>
      </c>
      <c r="E237" s="104">
        <f>('Renewable Diesel'!B246*E$3*'Feedstock Conversion Rates'!$B$2)/12-40+1.25+6-43+30-15+12.5-4+1.5+26+2.5+3-10+50+9-15-25-55+15+45+10-50+60-60</f>
        <v>44.679999999999993</v>
      </c>
      <c r="F237" s="104">
        <f>('Renewable Diesel'!B246*'RD Feedstock Breakdown'!F$3*'Feedstock Conversion Rates'!B$8)/12+28.5-49-5+2-6+1+6+20-20-3.75+10+2.5+5-20-20</f>
        <v>5.15625</v>
      </c>
      <c r="G237" s="104">
        <f>('Renewable Diesel'!B246*'RD Feedstock Breakdown'!G$3*'Feedstock Conversion Rates'!B$7)/12-25-15-25+4+4-20-40-20+10-17.5+20+50-12+32.5+35-75-75+22.5+5-20+15+125-10-45-10-40-40</f>
        <v>9.6570000000000107</v>
      </c>
      <c r="H237" s="104">
        <f>('Renewable Diesel'!B246*'RD Feedstock Breakdown'!H$3*'Feedstock Conversion Rates'!B$3)/12-85+4-15+70-65-80+50-22.5-5+25+27.5+15+50+15-10+5+50+75-5-25-85-12.5+30+22.5-25-30+150+90-120+25+10+70+55</f>
        <v>430.40022499999998</v>
      </c>
      <c r="I237" s="106">
        <f t="shared" si="203"/>
        <v>496.39347499999997</v>
      </c>
      <c r="J237" s="104">
        <f>47.5+60+38+97+19-6.25-35-29-20-5-25-4-3-50-10-1-20+2.5+20+100+20+1-45-75+15+20-25-10-26-5-30-6</f>
        <v>9.75</v>
      </c>
      <c r="K237" s="104"/>
      <c r="L237" s="104">
        <v>1</v>
      </c>
      <c r="M237" s="104">
        <f>('Renewable Diesel'!C246*'RD Feedstock Breakdown'!M$3*'Feedstock Conversion Rates'!B$2)/12</f>
        <v>7.7902500000000003</v>
      </c>
      <c r="N237" s="104">
        <f>('Renewable Diesel'!C246*'RD Feedstock Breakdown'!N$3*'Feedstock Conversion Rates'!B$8)/12</f>
        <v>3.671875</v>
      </c>
      <c r="O237" s="104">
        <f>('Renewable Diesel'!C246*'RD Feedstock Breakdown'!O$3*'Feedstock Conversion Rates'!B$7)/12</f>
        <v>11.9991</v>
      </c>
      <c r="P237" s="104">
        <f>('Renewable Diesel'!C246*'RD Feedstock Breakdown'!P$3*'Feedstock Conversion Rates'!B$3)/12</f>
        <v>10.4470425</v>
      </c>
      <c r="Q237" s="106">
        <f t="shared" si="216"/>
        <v>44.658267500000001</v>
      </c>
      <c r="R237" s="104">
        <f>('Renewable Diesel'!D246*'RD Feedstock Breakdown'!R$3*'Feedstock Conversion Rates'!B$7)/12</f>
        <v>2.2999999999999998</v>
      </c>
      <c r="S237" s="106">
        <f t="shared" si="148"/>
        <v>2.2999999999999998</v>
      </c>
      <c r="T237" s="104">
        <f t="shared" si="221"/>
        <v>0.82500000000000284</v>
      </c>
      <c r="U237" s="104">
        <f t="shared" si="229"/>
        <v>36</v>
      </c>
      <c r="V237" s="104">
        <f>('Renewable Diesel'!E246*'RD Feedstock Breakdown'!V$3*'Feedstock Conversion Rates'!B$6)/12-20+25-35+15</f>
        <v>29.250150000000012</v>
      </c>
      <c r="W237" s="104">
        <f>('Renewable Diesel'!E246*'RD Feedstock Breakdown'!W$3*'Feedstock Conversion Rates'!B$8)/12-6-10-6</f>
        <v>0.1796875</v>
      </c>
      <c r="X237" s="106">
        <f t="shared" si="185"/>
        <v>66.254837500000008</v>
      </c>
      <c r="Y237" s="104">
        <f t="shared" si="227"/>
        <v>126.5</v>
      </c>
      <c r="Z237" s="104">
        <f>('Renewable Diesel'!F246*'RD Feedstock Breakdown'!Z$3*'Feedstock Conversion Rates'!B$6)/12-50-32-60+15+15+50-75+65-6-30+9+2+7</f>
        <v>69.460000000000008</v>
      </c>
      <c r="AA237" s="104">
        <f>('Renewable Diesel'!F246*'RD Feedstock Breakdown'!AA$3*'Feedstock Conversion Rates'!B$7)/12+80-171+75+30+5-52.5-3</f>
        <v>67.766666666666652</v>
      </c>
      <c r="AB237" s="106">
        <f t="shared" si="137"/>
        <v>263.72666666666669</v>
      </c>
      <c r="AC237" s="104">
        <f>('Renewable Diesel'!G246*'RD Feedstock Breakdown'!AC$3*'Feedstock Conversion Rates'!B$5)/12</f>
        <v>11.796875</v>
      </c>
      <c r="AD237" s="104">
        <f>('Renewable Diesel'!G246*'RD Feedstock Breakdown'!AD$3*'Feedstock Conversion Rates'!B$4)/12</f>
        <v>5.859375</v>
      </c>
      <c r="AE237" s="104">
        <f>('Renewable Diesel'!G246*'RD Feedstock Breakdown'!AE$3*'Feedstock Conversion Rates'!B$6)/12</f>
        <v>7.3281250000000009</v>
      </c>
      <c r="AF237" s="106">
        <f t="shared" si="198"/>
        <v>24.984375</v>
      </c>
      <c r="AG237" s="104">
        <f t="shared" si="230"/>
        <v>6.5</v>
      </c>
      <c r="AH237" s="104">
        <v>135</v>
      </c>
      <c r="AI237" s="104">
        <f>('Renewable Diesel'!H246*'RD Feedstock Breakdown'!AI$3*'Feedstock Conversion Rates'!B$6)/12-130-20+51-120+105-42.5+20-5</f>
        <v>7.0166666666666799</v>
      </c>
      <c r="AJ237" s="106">
        <f t="shared" si="145"/>
        <v>13.51666666666668</v>
      </c>
      <c r="AK237" s="104">
        <f>('Renewable Diesel'!J246*'RD Feedstock Breakdown'!AK$3*'Feedstock Conversion Rates'!B$4)/12</f>
        <v>95.8125</v>
      </c>
      <c r="AL237" s="106">
        <f t="shared" si="157"/>
        <v>95.8125</v>
      </c>
      <c r="AM237" s="104">
        <f>('Renewable Diesel'!K246*'RD Feedstock Breakdown'!AM$3*'Feedstock Conversion Rates'!B$4)/12+5+15-10+9-27</f>
        <v>50.59375</v>
      </c>
      <c r="AN237" s="104">
        <f>('Renewable Diesel'!K246*'RD Feedstock Breakdown'!AN$3*'Feedstock Conversion Rates'!B$6)/12-5-15+10-9+27</f>
        <v>32.427083333333329</v>
      </c>
      <c r="AO237" s="106">
        <f t="shared" si="173"/>
        <v>83.020833333333329</v>
      </c>
      <c r="AP237" s="104">
        <f>('Renewable Diesel'!L246*'RD Feedstock Breakdown'!AP$3*'Feedstock Conversion Rates'!B$4)/12+15-10+14</f>
        <v>77.59375</v>
      </c>
      <c r="AQ237" s="104">
        <f>('Renewable Diesel'!L246*'RD Feedstock Breakdown'!AQ$3*'Feedstock Conversion Rates'!B$6)/12-15+10-14</f>
        <v>5.4270833333333321</v>
      </c>
      <c r="AR237" s="106">
        <f t="shared" si="162"/>
        <v>83.020833333333329</v>
      </c>
      <c r="AS237" s="104">
        <f>('Renewable Diesel'!M246*'RD Feedstock Breakdown'!AS$3*'Feedstock Conversion Rates'!B$4)/12-90</f>
        <v>366.25</v>
      </c>
      <c r="AT237" s="104">
        <f>('Renewable Diesel'!M246*'RD Feedstock Breakdown'!AT$3*'Feedstock Conversion Rates'!B$5)/12+90</f>
        <v>90</v>
      </c>
      <c r="AU237" s="106">
        <f t="shared" si="201"/>
        <v>456.25</v>
      </c>
      <c r="AV237" s="104">
        <f>'Renewable Diesel'!N246*'RD Feedstock Breakdown'!$AV$3*'Feedstock Conversion Rates'!$B$4/12-15-10+25+25-22-40</f>
        <v>41.749999999999986</v>
      </c>
      <c r="AW237" s="104">
        <f>'Renewable Diesel'!N246*'RD Feedstock Breakdown'!$AW$3*'Feedstock Conversion Rates'!$B$7/12+15+10-25-25+22+40</f>
        <v>78.400000000000006</v>
      </c>
      <c r="AX237" s="106">
        <f t="shared" si="141"/>
        <v>120.14999999999999</v>
      </c>
      <c r="AY237" s="104">
        <f>('Renewable Diesel'!O246*'RD Feedstock Breakdown'!AY$3*'Feedstock Conversion Rates'!B$4)/12+32+2-135-247+50</f>
        <v>-87.0625</v>
      </c>
      <c r="AZ237" s="104">
        <f>('Renewable Diesel'!O246*'RD Feedstock Breakdown'!AZ$3*'Feedstock Conversion Rates'!B$3)/12-32-2+135+247-50</f>
        <v>323.03125</v>
      </c>
      <c r="BA237" s="106">
        <f t="shared" si="217"/>
        <v>235.96875</v>
      </c>
      <c r="BB237" s="104">
        <f>('Renewable Diesel'!Q246*'RD Feedstock Breakdown'!BB$3*'Feedstock Conversion Rates'!B$4)/12-10</f>
        <v>1.1562499999999982</v>
      </c>
      <c r="BC237" s="104">
        <f>('Renewable Diesel'!Q246*'RD Feedstock Breakdown'!BC$3*'Feedstock Conversion Rates'!B$3)/12+10</f>
        <v>11.40175</v>
      </c>
      <c r="BD237" s="104">
        <f>('Renewable Diesel'!Q246*'RD Feedstock Breakdown'!BD$3*'Feedstock Conversion Rates'!B$6)/12</f>
        <v>0.8207500000000002</v>
      </c>
      <c r="BE237" s="106">
        <f t="shared" si="189"/>
        <v>13.378749999999998</v>
      </c>
      <c r="BF237" s="104">
        <f>('Renewable Diesel'!R246*'RD Feedstock Breakdown'!BF$3*'Feedstock Conversion Rates'!B$4)/12</f>
        <v>62.5</v>
      </c>
      <c r="BG237" s="106">
        <f t="shared" si="167"/>
        <v>62.5</v>
      </c>
      <c r="BH237" s="104">
        <f>('Renewable Diesel'!T246*'RD Feedstock Breakdown'!BH$3*'Feedstock Conversion Rates'!B$7)/12</f>
        <v>27.599999999999998</v>
      </c>
      <c r="BI237" s="106">
        <f t="shared" si="144"/>
        <v>27.599999999999998</v>
      </c>
      <c r="BJ237" s="104">
        <f>('Renewable Diesel'!W246*'RD Feedstock Breakdown'!BJ$3*'Feedstock Conversion Rates'!B$4)/12</f>
        <v>7.5</v>
      </c>
      <c r="BK237" s="104">
        <f>('Renewable Diesel'!W246*'RD Feedstock Breakdown'!BK$3*'Feedstock Conversion Rates'!B$3)/12</f>
        <v>1.335</v>
      </c>
      <c r="BL237" s="104">
        <f>('Renewable Diesel'!W246*'RD Feedstock Breakdown'!BL$3*'Feedstock Conversion Rates'!B$6)/12</f>
        <v>3.1266666666666669</v>
      </c>
      <c r="BM237" s="104">
        <f>('Renewable Diesel'!W246*'RD Feedstock Breakdown'!BM$3*'Feedstock Conversion Rates'!B$7)/12</f>
        <v>1.5333333333333332</v>
      </c>
      <c r="BN237" s="106">
        <f t="shared" si="209"/>
        <v>13.495000000000001</v>
      </c>
      <c r="BO237" s="104">
        <f>('Renewable Diesel'!P246*'Feedstock Conversion Rates'!B$4)/12</f>
        <v>31.25</v>
      </c>
      <c r="BP237" s="106">
        <f t="shared" si="199"/>
        <v>31.25</v>
      </c>
      <c r="BQ237" s="104">
        <f>('Renewable Diesel'!$S246*'RD Feedstock Breakdown'!BQ$3*'Feedstock Conversion Rates'!B$4)/12+10</f>
        <v>38.125</v>
      </c>
      <c r="BR237" s="104">
        <f>('Renewable Diesel'!$S246*'RD Feedstock Breakdown'!BR$3*'Feedstock Conversion Rates'!B$7)/12-10</f>
        <v>1.5</v>
      </c>
      <c r="BS237" s="106">
        <f t="shared" si="222"/>
        <v>39.625</v>
      </c>
      <c r="BT237" s="106"/>
      <c r="BU237" s="104">
        <f>('Renewable Diesel'!Y246*'Feedstock Conversion Rates'!B$7)/12</f>
        <v>2.6833333333333331</v>
      </c>
      <c r="BV237" s="106">
        <f t="shared" si="191"/>
        <v>2.6833333333333331</v>
      </c>
      <c r="BW237" s="104">
        <f>('Renewable Diesel'!$Z246*'RD Feedstock Breakdown'!BW$3*'Feedstock Conversion Rates'!$B$4)/12</f>
        <v>53.90625</v>
      </c>
      <c r="BX237" s="104">
        <f>('Renewable Diesel'!$Z246*'RD Feedstock Breakdown'!BX$3*'Feedstock Conversion Rates'!$B$5)/12</f>
        <v>5.4265624999999993</v>
      </c>
      <c r="BY237" s="104">
        <f>('Renewable Diesel'!$Z246*'RD Feedstock Breakdown'!BY$3*'Feedstock Conversion Rates'!$B$7)/12</f>
        <v>46.287499999999994</v>
      </c>
      <c r="BZ237" s="104">
        <f>('Renewable Diesel'!$Z246*'RD Feedstock Breakdown'!BZ$3*'Feedstock Conversion Rates'!$B$3)/12</f>
        <v>11.514374999999999</v>
      </c>
      <c r="CA237" s="106">
        <f t="shared" si="228"/>
        <v>117.1346875</v>
      </c>
      <c r="CB237" s="104">
        <f>('Renewable Diesel'!AA246*'Feedstock Conversion Rates'!B$4)/12</f>
        <v>191.25</v>
      </c>
      <c r="CC237" s="106">
        <f t="shared" si="213"/>
        <v>191.25</v>
      </c>
      <c r="CD237" s="104">
        <f>('Renewable Diesel'!$AB246*'RD Feedstock Breakdown'!CD$3*'Feedstock Conversion Rates'!$B$6)/12-15</f>
        <v>17.830000000000005</v>
      </c>
      <c r="CE237" s="104">
        <f>('Renewable Diesel'!$AB246*'RD Feedstock Breakdown'!CE$3*'Feedstock Conversion Rates'!$B$4)/12+15</f>
        <v>26.25</v>
      </c>
      <c r="CF237" s="106">
        <f t="shared" si="205"/>
        <v>44.080000000000005</v>
      </c>
      <c r="CG237" s="104">
        <f>('Renewable Diesel'!AD246*'Feedstock Conversion Rates'!B$4)/12</f>
        <v>112.5</v>
      </c>
      <c r="CH237" s="106">
        <f t="shared" si="187"/>
        <v>112.5</v>
      </c>
      <c r="CI237" s="104">
        <f>('Renewable Diesel'!$AE246*'RD Feedstock Breakdown'!CI$3*'Feedstock Conversion Rates'!$B$5)/12</f>
        <v>0.34604166666666664</v>
      </c>
      <c r="CJ237" s="104">
        <f>('Renewable Diesel'!$AE246*'RD Feedstock Breakdown'!CJ$3*'Feedstock Conversion Rates'!$B$4)/12</f>
        <v>0.34375</v>
      </c>
      <c r="CK237" s="106">
        <f t="shared" si="200"/>
        <v>0.68979166666666658</v>
      </c>
      <c r="CL237" s="104">
        <f>(((CL$3*'Renewable Diesel'!$AF246)*'Feedstock Conversion Rates'!$B$3)/12)-25</f>
        <v>66.78125</v>
      </c>
      <c r="CM237" s="104">
        <f>(((CM$3*'Renewable Diesel'!$AF246)*'Feedstock Conversion Rates'!$B$6)/12)+25</f>
        <v>78.739583333333343</v>
      </c>
      <c r="CN237" s="104">
        <f>(((CN$3*'Renewable Diesel'!$AF246)*'Feedstock Conversion Rates'!$B$4)/12)</f>
        <v>42.96875</v>
      </c>
      <c r="CO237" s="106">
        <f t="shared" si="190"/>
        <v>188.48958333333334</v>
      </c>
      <c r="CP237" s="104">
        <f>('Renewable Diesel'!$AG246*'RD Feedstock Breakdown'!CP$3*'Feedstock Conversion Rates'!$B$3)/12</f>
        <v>6.0075000000000003</v>
      </c>
      <c r="CQ237" s="104">
        <f>('Renewable Diesel'!$AG246*'RD Feedstock Breakdown'!CQ$3*'Feedstock Conversion Rates'!$B$6)/12</f>
        <v>3.5175000000000001</v>
      </c>
      <c r="CR237" s="104">
        <f>('Renewable Diesel'!$AG246*'RD Feedstock Breakdown'!CR$3*'Feedstock Conversion Rates'!$B$4)/12</f>
        <v>2.8125</v>
      </c>
      <c r="CS237" s="106">
        <f t="shared" si="134"/>
        <v>12.3375</v>
      </c>
      <c r="CT237" s="104">
        <f>('Renewable Diesel'!AI246*'Feedstock Conversion Rates'!$B$4*'RD Feedstock Breakdown'!$CT$3)/12</f>
        <v>29.375</v>
      </c>
      <c r="CU237" s="106">
        <f t="shared" si="196"/>
        <v>29.375</v>
      </c>
      <c r="CV237" s="104">
        <f>('Renewable Diesel'!AN246*'Feedstock Conversion Rates'!$B$3*'RD Feedstock Breakdown'!$CV$3)/12</f>
        <v>0.50062499999999999</v>
      </c>
      <c r="CW237" s="106">
        <f t="shared" si="161"/>
        <v>0.50062499999999999</v>
      </c>
      <c r="CX237" s="104">
        <f>('Renewable Diesel'!AO246*'RD Feedstock Breakdown'!$CX$3*'Feedstock Conversion Rates'!$B$3)/12</f>
        <v>6.3412499999999996</v>
      </c>
      <c r="CY237" s="104">
        <f>('Renewable Diesel'!AO246*'RD Feedstock Breakdown'!$CY$3*'Feedstock Conversion Rates'!$B$6)/12</f>
        <v>7.4258333333333342</v>
      </c>
      <c r="CZ237" s="106">
        <f t="shared" si="135"/>
        <v>13.767083333333334</v>
      </c>
      <c r="DA237" s="104">
        <f>('Renewable Diesel'!$AP246*'RD Feedstock Breakdown'!DA$3*'Feedstock Conversion Rates'!$B$3)/12</f>
        <v>6.3412499999999996</v>
      </c>
      <c r="DB237" s="104">
        <f>('Renewable Diesel'!$AP246*'RD Feedstock Breakdown'!DB$3*'Feedstock Conversion Rates'!$B$8)/12</f>
        <v>7.421875</v>
      </c>
      <c r="DC237" s="106">
        <f t="shared" si="165"/>
        <v>13.763124999999999</v>
      </c>
      <c r="DD237" s="104">
        <f>('Renewable Diesel'!AQ246*$DD$3*'Feedstock Conversion Rates'!$B$14)/12</f>
        <v>3.1041666666666665</v>
      </c>
      <c r="DE237" s="106">
        <f t="shared" si="166"/>
        <v>3.1041666666666665</v>
      </c>
      <c r="DF237" s="104">
        <f>('Renewable Diesel'!AR246*'Feedstock Conversion Rates'!$B$4*$DF$3)/12</f>
        <v>75</v>
      </c>
      <c r="DG237" s="106">
        <f t="shared" si="136"/>
        <v>75</v>
      </c>
      <c r="DH237" s="104">
        <f>('Renewable Diesel'!AS246*'Feedstock Conversion Rates'!$B$4*$DH$3)/12</f>
        <v>75</v>
      </c>
      <c r="DI237" s="106">
        <f t="shared" si="142"/>
        <v>75</v>
      </c>
      <c r="DJ237" s="104">
        <f>('Renewable Diesel'!AT246*'Feedstock Conversion Rates'!$B$4*0.25)/12</f>
        <v>8.59375</v>
      </c>
      <c r="DK237" s="104">
        <f>('Renewable Diesel'!$AT246*'RD Feedstock Breakdown'!DK$3*'Feedstock Conversion Rates'!$B$3)/12*0.5</f>
        <v>9.1781249999999996</v>
      </c>
      <c r="DL237" s="104">
        <f>('Renewable Diesel'!$AT246*'RD Feedstock Breakdown'!$DL$3*'Feedstock Conversion Rates'!$B$6)/12</f>
        <v>10.747916666666669</v>
      </c>
      <c r="DM237" s="104">
        <f>('Renewable Diesel'!$AT246*'RD Feedstock Breakdown'!$DM$3*'Feedstock Conversion Rates'!$B$8)/12</f>
        <v>10.7421875</v>
      </c>
      <c r="DN237" s="106">
        <f t="shared" si="210"/>
        <v>39.26197916666667</v>
      </c>
      <c r="DP237" s="104">
        <f t="shared" si="168"/>
        <v>52.470249999999993</v>
      </c>
      <c r="DQ237" s="104">
        <f t="shared" si="169"/>
        <v>883.27964250000002</v>
      </c>
      <c r="DR237" s="104">
        <f t="shared" si="174"/>
        <v>1612.984375</v>
      </c>
      <c r="DS237" s="104">
        <f t="shared" si="197"/>
        <v>126.59239583333334</v>
      </c>
      <c r="DT237" s="104">
        <f t="shared" si="170"/>
        <v>280.53923333333341</v>
      </c>
      <c r="DU237" s="104">
        <f t="shared" si="171"/>
        <v>249.72693333333333</v>
      </c>
      <c r="DV237" s="104">
        <f t="shared" si="175"/>
        <v>19.75</v>
      </c>
      <c r="DW237" s="104">
        <f t="shared" si="172"/>
        <v>2.5</v>
      </c>
      <c r="DX237" s="106">
        <f t="shared" si="176"/>
        <v>3227.84283</v>
      </c>
      <c r="DY237" s="109">
        <f t="shared" si="163"/>
        <v>-135.00000000000014</v>
      </c>
      <c r="EA237" s="110">
        <f t="shared" si="218"/>
        <v>1.6255515761899719E-2</v>
      </c>
      <c r="EB237" s="110">
        <f t="shared" si="219"/>
        <v>0.2736439439648925</v>
      </c>
      <c r="EC237" s="110">
        <f t="shared" si="220"/>
        <v>0.49970970085925775</v>
      </c>
      <c r="ED237" s="110">
        <f t="shared" si="146"/>
        <v>3.9218884716680377E-2</v>
      </c>
      <c r="EE237" s="110">
        <f t="shared" si="146"/>
        <v>8.691229657341569E-2</v>
      </c>
      <c r="EF237" s="110">
        <f t="shared" si="146"/>
        <v>7.736650961203502E-2</v>
      </c>
      <c r="EG237" s="110">
        <f t="shared" si="146"/>
        <v>6.1186374430752567E-3</v>
      </c>
      <c r="EH237" s="111">
        <f t="shared" si="177"/>
        <v>7.745110687437033E-4</v>
      </c>
      <c r="EI237" s="110">
        <f t="shared" si="178"/>
        <v>0.9992254889312564</v>
      </c>
      <c r="EK237" s="132">
        <f>(EA237*'Renewable Diesel'!BF246*'Feedstock Conversion Rates'!B$2)+FB237</f>
        <v>72.51191337714863</v>
      </c>
      <c r="EL237" s="132">
        <f>(EB237*'Renewable Diesel'!BF246*'Feedstock Conversion Rates'!B$3)+FC237</f>
        <v>1150.2918507990792</v>
      </c>
      <c r="EM237" s="132">
        <f>(EC237*'Renewable Diesel'!BF246*'Feedstock Conversion Rates'!B$4)+FD237</f>
        <v>1966.8386306082284</v>
      </c>
      <c r="EN237" s="132">
        <f>(ED237*'Renewable Diesel'!BF246*'Feedstock Conversion Rates'!B$5)+FE237</f>
        <v>155.39315225089504</v>
      </c>
      <c r="EO237" s="132">
        <f>(EE237*'Renewable Diesel'!BF246*'Feedstock Conversion Rates'!B$6)+FF237</f>
        <v>427.83247802335376</v>
      </c>
      <c r="EP237" s="132">
        <f>(EF237*'Renewable Diesel'!BF246*'Feedstock Conversion Rates'!B$7)+FG237</f>
        <v>373.53432574667448</v>
      </c>
      <c r="EQ237" s="132">
        <f>(EG237*'Renewable Diesel'!BF246*'Feedstock Conversion Rates'!B$8)+FH237</f>
        <v>30.103409211971218</v>
      </c>
      <c r="ER237" s="132">
        <f>(EH237*'Renewable Diesel'!BF246*'Feedstock Conversion Rates'!B$9)+FI237</f>
        <v>3.7597506863896539</v>
      </c>
      <c r="ES237" s="132">
        <f t="shared" si="179"/>
        <v>4180.2655107037408</v>
      </c>
      <c r="ET237" s="133">
        <f>ES237/'Renewable Diesel'!BF246</f>
        <v>8.5437642614661069</v>
      </c>
      <c r="EW237" s="73">
        <f t="shared" si="223"/>
        <v>2265.8647780133456</v>
      </c>
      <c r="EX237" s="73">
        <f t="shared" si="224"/>
        <v>2197.3217881056362</v>
      </c>
      <c r="EY237" s="92">
        <f t="shared" si="164"/>
        <v>0.54203848349142081</v>
      </c>
      <c r="EZ237" s="92">
        <f t="shared" si="164"/>
        <v>0.52564168052945537</v>
      </c>
      <c r="FB237" s="102">
        <f>IF('Renewable Diesel'!$BG246&lt;1,0,(((('Renewable Diesel'!$BG246-1)*'Renewable Diesel'!$BF246)*'RD Feedstock Breakdown'!EA237)*'Feedstock Conversion Rates'!$B$2))</f>
        <v>4.9076181908329986</v>
      </c>
      <c r="FC237" s="102">
        <f>IF('Renewable Diesel'!$BG246&lt;1,0,(((('Renewable Diesel'!$BG246-1)*'Renewable Diesel'!$BF246)*'RD Feedstock Breakdown'!EB237)*'Feedstock Conversion Rates'!$B$3))</f>
        <v>77.851941133959102</v>
      </c>
      <c r="FD237" s="102">
        <f>IF('Renewable Diesel'!$BG246&lt;1,0,(((('Renewable Diesel'!$BG246-1)*'Renewable Diesel'!$BF246)*'RD Feedstock Breakdown'!EC237)*'Feedstock Conversion Rates'!$B$4))</f>
        <v>133.11596112216074</v>
      </c>
      <c r="FE237" s="102">
        <f>IF('Renewable Diesel'!$BG246&lt;1,0,(((('Renewable Diesel'!$BG246-1)*'Renewable Diesel'!$BF246)*'RD Feedstock Breakdown'!ED237)*'Feedstock Conversion Rates'!$B$5))</f>
        <v>10.51703403206159</v>
      </c>
      <c r="FF237" s="102">
        <f>IF('Renewable Diesel'!$BG246&lt;1,0,(((('Renewable Diesel'!$BG246-1)*'Renewable Diesel'!$BF246)*'RD Feedstock Breakdown'!EE237)*'Feedstock Conversion Rates'!$B$6))</f>
        <v>28.955772286078567</v>
      </c>
      <c r="FG237" s="102">
        <f>IF('Renewable Diesel'!$BG246&lt;1,0,(((('Renewable Diesel'!$BG246-1)*'Renewable Diesel'!$BF246)*'RD Feedstock Breakdown'!EF237)*'Feedstock Conversion Rates'!$B$7))</f>
        <v>25.280864433962385</v>
      </c>
      <c r="FH237" s="102">
        <f>IF('Renewable Diesel'!$BG246&lt;1,0,(((('Renewable Diesel'!$BG246-1)*'Renewable Diesel'!$BF246)*'RD Feedstock Breakdown'!EG237)*'Feedstock Conversion Rates'!$B$8))</f>
        <v>2.0374036730537726</v>
      </c>
      <c r="FI237" s="102">
        <f>IF('Renewable Diesel'!$BG246&lt;1,0,(((('Renewable Diesel'!$BG246-1)*'Renewable Diesel'!$BF246)*'RD Feedstock Breakdown'!EH237)*'Feedstock Conversion Rates'!$B$9))</f>
        <v>0.25446054313245425</v>
      </c>
      <c r="FJ237" s="102">
        <f t="shared" si="225"/>
        <v>282.92105541524154</v>
      </c>
      <c r="GD237" s="91">
        <f>'Renewable Diesel'!BB246*0.32</f>
        <v>0</v>
      </c>
      <c r="GE237" s="91">
        <f>'Renewable Diesel'!BC246</f>
        <v>242.52557225580676</v>
      </c>
      <c r="GF237" s="91">
        <f>'Renewable Diesel'!BD246</f>
        <v>0</v>
      </c>
      <c r="GG237" s="91">
        <f t="shared" si="206"/>
        <v>242.52557225580676</v>
      </c>
      <c r="GH237" s="124">
        <v>1</v>
      </c>
      <c r="GI237" s="102">
        <f>$GG237*EA237*'Feedstock Conversion Rates'!$B$2</f>
        <v>33.510215230978133</v>
      </c>
      <c r="GJ237" s="102">
        <f>$GG237*EB237*'Feedstock Conversion Rates'!$B$3</f>
        <v>531.58888937641609</v>
      </c>
      <c r="GK237" s="102">
        <f>$GG237*EC237*'Feedstock Conversion Rates'!$B$4</f>
        <v>908.94285872002126</v>
      </c>
      <c r="GL237" s="102">
        <f>$GG237*ED237*'Feedstock Conversion Rates'!$B$5</f>
        <v>71.812447566563037</v>
      </c>
      <c r="GM237" s="102">
        <f>$GG237*EE237*'Feedstock Conversion Rates'!$B$6</f>
        <v>197.71590285856925</v>
      </c>
      <c r="GN237" s="102">
        <f>$GG237*EF237*'Feedstock Conversion Rates'!$B$7</f>
        <v>172.62288455725712</v>
      </c>
      <c r="GO237" s="102">
        <f>$GG237*EG237*'Feedstock Conversion Rates'!$B$8</f>
        <v>13.911806693509059</v>
      </c>
      <c r="GP237" s="102">
        <f>$GG237*EH237*'Feedstock Conversion Rates'!B$9</f>
        <v>1.737508346531089</v>
      </c>
      <c r="GQ237" s="102">
        <f t="shared" si="180"/>
        <v>1931.8425133498451</v>
      </c>
      <c r="GR237" s="85">
        <f t="shared" si="204"/>
        <v>7.9655208948943788</v>
      </c>
      <c r="GT237" s="103">
        <f t="shared" si="159"/>
        <v>1.7346245876363336E-2</v>
      </c>
      <c r="GU237" s="103">
        <f t="shared" si="159"/>
        <v>0.27517195925802079</v>
      </c>
      <c r="GV237" s="103">
        <f t="shared" si="159"/>
        <v>0.47050567136753818</v>
      </c>
      <c r="GW237" s="103">
        <f t="shared" si="159"/>
        <v>3.7173034069966256E-2</v>
      </c>
      <c r="GX237" s="103">
        <f t="shared" si="158"/>
        <v>0.10234576653752525</v>
      </c>
      <c r="GY237" s="103">
        <f t="shared" si="158"/>
        <v>8.9356603017254427E-2</v>
      </c>
      <c r="GZ237" s="103">
        <f t="shared" si="158"/>
        <v>7.2013151162025977E-3</v>
      </c>
      <c r="HA237" s="103">
        <f t="shared" si="158"/>
        <v>8.9940475712910076E-4</v>
      </c>
    </row>
    <row r="238" spans="1:209" x14ac:dyDescent="0.25">
      <c r="A238" s="96">
        <v>47665</v>
      </c>
      <c r="B238" s="104">
        <f t="shared" si="226"/>
        <v>5</v>
      </c>
      <c r="C238" s="104">
        <f t="shared" si="147"/>
        <v>0</v>
      </c>
      <c r="D238" s="104">
        <f t="shared" si="192"/>
        <v>1.5</v>
      </c>
      <c r="E238" s="104">
        <f>('Renewable Diesel'!B247*E$3*'Feedstock Conversion Rates'!$B$2)/12-40+1.25+6-43+30-15+12.5-4+1.5+26+2.5+3-10+50+9-15-25-55+15+45+10-50+60-60</f>
        <v>44.679999999999993</v>
      </c>
      <c r="F238" s="104">
        <f>('Renewable Diesel'!B247*'RD Feedstock Breakdown'!F$3*'Feedstock Conversion Rates'!B$8)/12+28.5-49-5+2-6+1+6+20-20-3.75+10+2.5+5-20-20</f>
        <v>5.15625</v>
      </c>
      <c r="G238" s="104">
        <f>('Renewable Diesel'!B247*'RD Feedstock Breakdown'!G$3*'Feedstock Conversion Rates'!B$7)/12-25-15-25+4+4-20-40-20+10-17.5+20+50-12+32.5+35-75-75+22.5+5-20+15+125-10-45-10-40-40</f>
        <v>9.6570000000000107</v>
      </c>
      <c r="H238" s="104">
        <f>('Renewable Diesel'!B247*'RD Feedstock Breakdown'!H$3*'Feedstock Conversion Rates'!B$3)/12-85+4-15+70-65-80+50-22.5-5+25+27.5+15+50+15-10+5+50+75-5-25-85-12.5+30+22.5-25-30+150+90-120+25+10+70+55</f>
        <v>430.40022499999998</v>
      </c>
      <c r="I238" s="106">
        <f t="shared" si="203"/>
        <v>496.39347499999997</v>
      </c>
      <c r="J238" s="104">
        <f>47.5+60+38+97+19-6.25-35-29-20-5-25-4-3-50-10-1-20+2.5+20+100+20+1-45-75+15+20-25-10-26-5-30-6</f>
        <v>9.75</v>
      </c>
      <c r="K238" s="104"/>
      <c r="L238" s="104">
        <v>1</v>
      </c>
      <c r="M238" s="104">
        <f>('Renewable Diesel'!C247*'RD Feedstock Breakdown'!M$3*'Feedstock Conversion Rates'!B$2)/12</f>
        <v>7.7902500000000003</v>
      </c>
      <c r="N238" s="104">
        <f>('Renewable Diesel'!C247*'RD Feedstock Breakdown'!N$3*'Feedstock Conversion Rates'!B$8)/12</f>
        <v>3.671875</v>
      </c>
      <c r="O238" s="104">
        <f>('Renewable Diesel'!C247*'RD Feedstock Breakdown'!O$3*'Feedstock Conversion Rates'!B$7)/12</f>
        <v>11.9991</v>
      </c>
      <c r="P238" s="104">
        <f>('Renewable Diesel'!C247*'RD Feedstock Breakdown'!P$3*'Feedstock Conversion Rates'!B$3)/12</f>
        <v>10.4470425</v>
      </c>
      <c r="Q238" s="106">
        <f t="shared" si="216"/>
        <v>44.658267500000001</v>
      </c>
      <c r="R238" s="104">
        <f>('Renewable Diesel'!D247*'RD Feedstock Breakdown'!R$3*'Feedstock Conversion Rates'!B$7)/12</f>
        <v>2.2999999999999998</v>
      </c>
      <c r="S238" s="106">
        <f t="shared" si="148"/>
        <v>2.2999999999999998</v>
      </c>
      <c r="T238" s="104">
        <f t="shared" si="221"/>
        <v>0.82500000000000284</v>
      </c>
      <c r="U238" s="104">
        <f t="shared" si="229"/>
        <v>36</v>
      </c>
      <c r="V238" s="104">
        <f>('Renewable Diesel'!E247*'RD Feedstock Breakdown'!V$3*'Feedstock Conversion Rates'!B$6)/12-20+25-35+15</f>
        <v>29.250150000000012</v>
      </c>
      <c r="W238" s="104">
        <f>('Renewable Diesel'!E247*'RD Feedstock Breakdown'!W$3*'Feedstock Conversion Rates'!B$8)/12-6-10-6</f>
        <v>0.1796875</v>
      </c>
      <c r="X238" s="106">
        <f t="shared" si="185"/>
        <v>66.254837500000008</v>
      </c>
      <c r="Y238" s="104">
        <f t="shared" si="227"/>
        <v>126.5</v>
      </c>
      <c r="Z238" s="104">
        <f>('Renewable Diesel'!F247*'RD Feedstock Breakdown'!Z$3*'Feedstock Conversion Rates'!B$6)/12-50-32-60+15+15+50-75+65-6-30+9+2+7</f>
        <v>69.460000000000008</v>
      </c>
      <c r="AA238" s="104">
        <f>('Renewable Diesel'!F247*'RD Feedstock Breakdown'!AA$3*'Feedstock Conversion Rates'!B$7)/12+80-171+75+30+5-52.5-3</f>
        <v>67.766666666666652</v>
      </c>
      <c r="AB238" s="106">
        <f t="shared" si="137"/>
        <v>263.72666666666669</v>
      </c>
      <c r="AC238" s="104">
        <f>('Renewable Diesel'!G247*'RD Feedstock Breakdown'!AC$3*'Feedstock Conversion Rates'!B$5)/12</f>
        <v>11.796875</v>
      </c>
      <c r="AD238" s="104">
        <f>('Renewable Diesel'!G247*'RD Feedstock Breakdown'!AD$3*'Feedstock Conversion Rates'!B$4)/12</f>
        <v>5.859375</v>
      </c>
      <c r="AE238" s="104">
        <f>('Renewable Diesel'!G247*'RD Feedstock Breakdown'!AE$3*'Feedstock Conversion Rates'!B$6)/12</f>
        <v>7.3281250000000009</v>
      </c>
      <c r="AF238" s="106">
        <f t="shared" si="198"/>
        <v>24.984375</v>
      </c>
      <c r="AG238" s="104">
        <f t="shared" si="230"/>
        <v>6.5</v>
      </c>
      <c r="AH238" s="104">
        <v>135</v>
      </c>
      <c r="AI238" s="104">
        <f>('Renewable Diesel'!H247*'RD Feedstock Breakdown'!AI$3*'Feedstock Conversion Rates'!B$6)/12-130-20+51-120+105-42.5+20-5</f>
        <v>7.0166666666666799</v>
      </c>
      <c r="AJ238" s="106">
        <f t="shared" si="145"/>
        <v>13.51666666666668</v>
      </c>
      <c r="AK238" s="104">
        <f>('Renewable Diesel'!J247*'RD Feedstock Breakdown'!AK$3*'Feedstock Conversion Rates'!B$4)/12</f>
        <v>95.8125</v>
      </c>
      <c r="AL238" s="106">
        <f t="shared" si="157"/>
        <v>95.8125</v>
      </c>
      <c r="AM238" s="104">
        <f>('Renewable Diesel'!K247*'RD Feedstock Breakdown'!AM$3*'Feedstock Conversion Rates'!B$4)/12+5+15-10+9-27</f>
        <v>50.59375</v>
      </c>
      <c r="AN238" s="104">
        <f>('Renewable Diesel'!K247*'RD Feedstock Breakdown'!AN$3*'Feedstock Conversion Rates'!B$6)/12-5-15+10-9+27</f>
        <v>32.427083333333329</v>
      </c>
      <c r="AO238" s="106">
        <f t="shared" si="173"/>
        <v>83.020833333333329</v>
      </c>
      <c r="AP238" s="104">
        <f>('Renewable Diesel'!L247*'RD Feedstock Breakdown'!AP$3*'Feedstock Conversion Rates'!B$4)/12+15-10+14</f>
        <v>77.59375</v>
      </c>
      <c r="AQ238" s="104">
        <f>('Renewable Diesel'!L247*'RD Feedstock Breakdown'!AQ$3*'Feedstock Conversion Rates'!B$6)/12-15+10-14</f>
        <v>5.4270833333333321</v>
      </c>
      <c r="AR238" s="106">
        <f t="shared" si="162"/>
        <v>83.020833333333329</v>
      </c>
      <c r="AS238" s="104">
        <f>('Renewable Diesel'!M247*'RD Feedstock Breakdown'!AS$3*'Feedstock Conversion Rates'!B$4)/12-90</f>
        <v>366.25</v>
      </c>
      <c r="AT238" s="104">
        <f>('Renewable Diesel'!M247*'RD Feedstock Breakdown'!AT$3*'Feedstock Conversion Rates'!B$5)/12+90</f>
        <v>90</v>
      </c>
      <c r="AU238" s="106">
        <f t="shared" si="201"/>
        <v>456.25</v>
      </c>
      <c r="AV238" s="104">
        <f>'Renewable Diesel'!N247*'RD Feedstock Breakdown'!$AV$3*'Feedstock Conversion Rates'!$B$4/12-15-10+25+25-22-40</f>
        <v>41.749999999999986</v>
      </c>
      <c r="AW238" s="104">
        <f>'Renewable Diesel'!N247*'RD Feedstock Breakdown'!$AW$3*'Feedstock Conversion Rates'!$B$7/12+15+10-25-25+22+40</f>
        <v>78.400000000000006</v>
      </c>
      <c r="AX238" s="106">
        <f t="shared" si="141"/>
        <v>120.14999999999999</v>
      </c>
      <c r="AY238" s="104">
        <f>('Renewable Diesel'!O247*'RD Feedstock Breakdown'!AY$3*'Feedstock Conversion Rates'!B$4)/12+32+2-135-247+50</f>
        <v>-87.0625</v>
      </c>
      <c r="AZ238" s="104">
        <f>('Renewable Diesel'!O247*'RD Feedstock Breakdown'!AZ$3*'Feedstock Conversion Rates'!B$3)/12-32-2+135+247-50</f>
        <v>323.03125</v>
      </c>
      <c r="BA238" s="106">
        <f t="shared" si="217"/>
        <v>235.96875</v>
      </c>
      <c r="BB238" s="104">
        <f>('Renewable Diesel'!Q247*'RD Feedstock Breakdown'!BB$3*'Feedstock Conversion Rates'!B$4)/12-10</f>
        <v>1.1562499999999982</v>
      </c>
      <c r="BC238" s="104">
        <f>('Renewable Diesel'!Q247*'RD Feedstock Breakdown'!BC$3*'Feedstock Conversion Rates'!B$3)/12+10</f>
        <v>11.40175</v>
      </c>
      <c r="BD238" s="104">
        <f>('Renewable Diesel'!Q247*'RD Feedstock Breakdown'!BD$3*'Feedstock Conversion Rates'!B$6)/12</f>
        <v>0.8207500000000002</v>
      </c>
      <c r="BE238" s="106">
        <f t="shared" si="189"/>
        <v>13.378749999999998</v>
      </c>
      <c r="BF238" s="104">
        <f>('Renewable Diesel'!R247*'RD Feedstock Breakdown'!BF$3*'Feedstock Conversion Rates'!B$4)/12</f>
        <v>62.5</v>
      </c>
      <c r="BG238" s="106">
        <f t="shared" si="167"/>
        <v>62.5</v>
      </c>
      <c r="BH238" s="104">
        <f>('Renewable Diesel'!T247*'RD Feedstock Breakdown'!BH$3*'Feedstock Conversion Rates'!B$7)/12</f>
        <v>27.599999999999998</v>
      </c>
      <c r="BI238" s="106">
        <f t="shared" si="144"/>
        <v>27.599999999999998</v>
      </c>
      <c r="BJ238" s="104">
        <f>('Renewable Diesel'!W247*'RD Feedstock Breakdown'!BJ$3*'Feedstock Conversion Rates'!B$4)/12</f>
        <v>7.5</v>
      </c>
      <c r="BK238" s="104">
        <f>('Renewable Diesel'!W247*'RD Feedstock Breakdown'!BK$3*'Feedstock Conversion Rates'!B$3)/12</f>
        <v>1.335</v>
      </c>
      <c r="BL238" s="104">
        <f>('Renewable Diesel'!W247*'RD Feedstock Breakdown'!BL$3*'Feedstock Conversion Rates'!B$6)/12</f>
        <v>3.1266666666666669</v>
      </c>
      <c r="BM238" s="104">
        <f>('Renewable Diesel'!W247*'RD Feedstock Breakdown'!BM$3*'Feedstock Conversion Rates'!B$7)/12</f>
        <v>1.5333333333333332</v>
      </c>
      <c r="BN238" s="106">
        <f t="shared" si="209"/>
        <v>13.495000000000001</v>
      </c>
      <c r="BO238" s="104">
        <f>('Renewable Diesel'!P247*'Feedstock Conversion Rates'!B$4)/12</f>
        <v>31.25</v>
      </c>
      <c r="BP238" s="106">
        <f t="shared" si="199"/>
        <v>31.25</v>
      </c>
      <c r="BQ238" s="104">
        <f>('Renewable Diesel'!$S247*'RD Feedstock Breakdown'!BQ$3*'Feedstock Conversion Rates'!B$4)/12+10</f>
        <v>38.125</v>
      </c>
      <c r="BR238" s="104">
        <f>('Renewable Diesel'!$S247*'RD Feedstock Breakdown'!BR$3*'Feedstock Conversion Rates'!B$7)/12-10</f>
        <v>1.5</v>
      </c>
      <c r="BS238" s="106">
        <f t="shared" si="222"/>
        <v>39.625</v>
      </c>
      <c r="BT238" s="106"/>
      <c r="BU238" s="104">
        <f>('Renewable Diesel'!Y247*'Feedstock Conversion Rates'!B$7)/12</f>
        <v>2.6833333333333331</v>
      </c>
      <c r="BV238" s="106">
        <f t="shared" si="191"/>
        <v>2.6833333333333331</v>
      </c>
      <c r="BW238" s="104">
        <f>('Renewable Diesel'!$Z247*'RD Feedstock Breakdown'!BW$3*'Feedstock Conversion Rates'!$B$4)/12</f>
        <v>53.90625</v>
      </c>
      <c r="BX238" s="104">
        <f>('Renewable Diesel'!$Z247*'RD Feedstock Breakdown'!BX$3*'Feedstock Conversion Rates'!$B$5)/12</f>
        <v>5.4265624999999993</v>
      </c>
      <c r="BY238" s="104">
        <f>('Renewable Diesel'!$Z247*'RD Feedstock Breakdown'!BY$3*'Feedstock Conversion Rates'!$B$7)/12</f>
        <v>46.287499999999994</v>
      </c>
      <c r="BZ238" s="104">
        <f>('Renewable Diesel'!$Z247*'RD Feedstock Breakdown'!BZ$3*'Feedstock Conversion Rates'!$B$3)/12</f>
        <v>11.514374999999999</v>
      </c>
      <c r="CA238" s="106">
        <f t="shared" si="228"/>
        <v>117.1346875</v>
      </c>
      <c r="CB238" s="104">
        <f>('Renewable Diesel'!AA247*'Feedstock Conversion Rates'!B$4)/12</f>
        <v>191.25</v>
      </c>
      <c r="CC238" s="106">
        <f t="shared" si="213"/>
        <v>191.25</v>
      </c>
      <c r="CD238" s="104">
        <f>('Renewable Diesel'!$AB247*'RD Feedstock Breakdown'!CD$3*'Feedstock Conversion Rates'!$B$6)/12-15</f>
        <v>17.830000000000005</v>
      </c>
      <c r="CE238" s="104">
        <f>('Renewable Diesel'!$AB247*'RD Feedstock Breakdown'!CE$3*'Feedstock Conversion Rates'!$B$4)/12+15</f>
        <v>26.25</v>
      </c>
      <c r="CF238" s="106">
        <f t="shared" si="205"/>
        <v>44.080000000000005</v>
      </c>
      <c r="CG238" s="104">
        <f>('Renewable Diesel'!AD247*'Feedstock Conversion Rates'!B$4)/12</f>
        <v>112.5</v>
      </c>
      <c r="CH238" s="106">
        <f t="shared" si="187"/>
        <v>112.5</v>
      </c>
      <c r="CI238" s="104">
        <f>('Renewable Diesel'!$AE247*'RD Feedstock Breakdown'!CI$3*'Feedstock Conversion Rates'!$B$5)/12</f>
        <v>0.34604166666666664</v>
      </c>
      <c r="CJ238" s="104">
        <f>('Renewable Diesel'!$AE247*'RD Feedstock Breakdown'!CJ$3*'Feedstock Conversion Rates'!$B$4)/12</f>
        <v>0.34375</v>
      </c>
      <c r="CK238" s="106">
        <f t="shared" si="200"/>
        <v>0.68979166666666658</v>
      </c>
      <c r="CL238" s="104">
        <f>(((CL$3*'Renewable Diesel'!$AF247)*'Feedstock Conversion Rates'!$B$3)/12)-25</f>
        <v>66.78125</v>
      </c>
      <c r="CM238" s="104">
        <f>(((CM$3*'Renewable Diesel'!$AF247)*'Feedstock Conversion Rates'!$B$6)/12)+25</f>
        <v>78.739583333333343</v>
      </c>
      <c r="CN238" s="104">
        <f>(((CN$3*'Renewable Diesel'!$AF247)*'Feedstock Conversion Rates'!$B$4)/12)</f>
        <v>42.96875</v>
      </c>
      <c r="CO238" s="106">
        <f t="shared" si="190"/>
        <v>188.48958333333334</v>
      </c>
      <c r="CP238" s="104">
        <f>('Renewable Diesel'!$AG247*'RD Feedstock Breakdown'!CP$3*'Feedstock Conversion Rates'!$B$3)/12</f>
        <v>6.0075000000000003</v>
      </c>
      <c r="CQ238" s="104">
        <f>('Renewable Diesel'!$AG247*'RD Feedstock Breakdown'!CQ$3*'Feedstock Conversion Rates'!$B$6)/12</f>
        <v>3.5175000000000001</v>
      </c>
      <c r="CR238" s="104">
        <f>('Renewable Diesel'!$AG247*'RD Feedstock Breakdown'!CR$3*'Feedstock Conversion Rates'!$B$4)/12</f>
        <v>2.8125</v>
      </c>
      <c r="CS238" s="106">
        <f t="shared" si="134"/>
        <v>12.3375</v>
      </c>
      <c r="CT238" s="104">
        <f>('Renewable Diesel'!AI247*'Feedstock Conversion Rates'!$B$4*'RD Feedstock Breakdown'!$CT$3)/12</f>
        <v>29.375</v>
      </c>
      <c r="CU238" s="106">
        <f t="shared" si="196"/>
        <v>29.375</v>
      </c>
      <c r="CV238" s="104">
        <f>('Renewable Diesel'!AN247*'Feedstock Conversion Rates'!$B$3*'RD Feedstock Breakdown'!$CV$3)/12</f>
        <v>0.50062499999999999</v>
      </c>
      <c r="CW238" s="106">
        <f t="shared" si="161"/>
        <v>0.50062499999999999</v>
      </c>
      <c r="CX238" s="104">
        <f>('Renewable Diesel'!AO247*'RD Feedstock Breakdown'!$CX$3*'Feedstock Conversion Rates'!$B$3)/12</f>
        <v>6.3412499999999996</v>
      </c>
      <c r="CY238" s="104">
        <f>('Renewable Diesel'!AO247*'RD Feedstock Breakdown'!$CY$3*'Feedstock Conversion Rates'!$B$6)/12</f>
        <v>7.4258333333333342</v>
      </c>
      <c r="CZ238" s="106">
        <f t="shared" si="135"/>
        <v>13.767083333333334</v>
      </c>
      <c r="DA238" s="104">
        <f>('Renewable Diesel'!$AP247*'RD Feedstock Breakdown'!DA$3*'Feedstock Conversion Rates'!$B$3)/12</f>
        <v>6.3412499999999996</v>
      </c>
      <c r="DB238" s="104">
        <f>('Renewable Diesel'!$AP247*'RD Feedstock Breakdown'!DB$3*'Feedstock Conversion Rates'!$B$8)/12</f>
        <v>7.421875</v>
      </c>
      <c r="DC238" s="106">
        <f t="shared" si="165"/>
        <v>13.763124999999999</v>
      </c>
      <c r="DD238" s="104">
        <f>('Renewable Diesel'!AQ247*$DD$3*'Feedstock Conversion Rates'!$B$14)/12</f>
        <v>3.1041666666666665</v>
      </c>
      <c r="DE238" s="106">
        <f t="shared" si="166"/>
        <v>3.1041666666666665</v>
      </c>
      <c r="DF238" s="104">
        <f>('Renewable Diesel'!AR247*'Feedstock Conversion Rates'!$B$4*$DF$3)/12</f>
        <v>75</v>
      </c>
      <c r="DG238" s="106">
        <f t="shared" si="136"/>
        <v>75</v>
      </c>
      <c r="DH238" s="104">
        <f>('Renewable Diesel'!AS247*'Feedstock Conversion Rates'!$B$4*$DH$3)/12</f>
        <v>75</v>
      </c>
      <c r="DI238" s="106">
        <f t="shared" si="142"/>
        <v>75</v>
      </c>
      <c r="DJ238" s="104">
        <f>('Renewable Diesel'!AT247*'Feedstock Conversion Rates'!$B$4*0.25)/12</f>
        <v>8.59375</v>
      </c>
      <c r="DK238" s="104">
        <f>('Renewable Diesel'!$AT247*'RD Feedstock Breakdown'!DK$3*'Feedstock Conversion Rates'!$B$3)/12*0.5</f>
        <v>9.1781249999999996</v>
      </c>
      <c r="DL238" s="104">
        <f>('Renewable Diesel'!$AT247*'RD Feedstock Breakdown'!$DL$3*'Feedstock Conversion Rates'!$B$6)/12</f>
        <v>10.747916666666669</v>
      </c>
      <c r="DM238" s="104">
        <f>('Renewable Diesel'!$AT247*'RD Feedstock Breakdown'!$DM$3*'Feedstock Conversion Rates'!$B$8)/12</f>
        <v>10.7421875</v>
      </c>
      <c r="DN238" s="106">
        <f t="shared" si="210"/>
        <v>39.26197916666667</v>
      </c>
      <c r="DP238" s="104">
        <f t="shared" si="168"/>
        <v>52.470249999999993</v>
      </c>
      <c r="DQ238" s="104">
        <f t="shared" si="169"/>
        <v>883.27964250000002</v>
      </c>
      <c r="DR238" s="104">
        <f t="shared" si="174"/>
        <v>1612.984375</v>
      </c>
      <c r="DS238" s="104">
        <f t="shared" si="197"/>
        <v>126.59239583333334</v>
      </c>
      <c r="DT238" s="104">
        <f t="shared" si="170"/>
        <v>280.53923333333341</v>
      </c>
      <c r="DU238" s="104">
        <f t="shared" si="171"/>
        <v>249.72693333333333</v>
      </c>
      <c r="DV238" s="104">
        <f t="shared" si="175"/>
        <v>19.75</v>
      </c>
      <c r="DW238" s="104">
        <f t="shared" si="172"/>
        <v>2.5</v>
      </c>
      <c r="DX238" s="106">
        <f t="shared" si="176"/>
        <v>3227.84283</v>
      </c>
      <c r="DY238" s="109">
        <f t="shared" si="163"/>
        <v>-135.00000000000014</v>
      </c>
      <c r="EA238" s="110">
        <f t="shared" si="218"/>
        <v>1.6255515761899719E-2</v>
      </c>
      <c r="EB238" s="110">
        <f t="shared" si="219"/>
        <v>0.2736439439648925</v>
      </c>
      <c r="EC238" s="110">
        <f t="shared" si="220"/>
        <v>0.49970970085925775</v>
      </c>
      <c r="ED238" s="110">
        <f t="shared" si="146"/>
        <v>3.9218884716680377E-2</v>
      </c>
      <c r="EE238" s="110">
        <f t="shared" si="146"/>
        <v>8.691229657341569E-2</v>
      </c>
      <c r="EF238" s="110">
        <f t="shared" si="146"/>
        <v>7.736650961203502E-2</v>
      </c>
      <c r="EG238" s="110">
        <f t="shared" si="146"/>
        <v>6.1186374430752567E-3</v>
      </c>
      <c r="EH238" s="111">
        <f t="shared" si="177"/>
        <v>7.745110687437033E-4</v>
      </c>
      <c r="EI238" s="110">
        <f t="shared" si="178"/>
        <v>0.9992254889312564</v>
      </c>
      <c r="EK238" s="132">
        <f>(EA238*'Renewable Diesel'!BF247*'Feedstock Conversion Rates'!B$2)+FB238</f>
        <v>79.923716505762627</v>
      </c>
      <c r="EL238" s="132">
        <f>(EB238*'Renewable Diesel'!BF247*'Feedstock Conversion Rates'!B$3)+FC238</f>
        <v>1267.8688990591045</v>
      </c>
      <c r="EM238" s="132">
        <f>(EC238*'Renewable Diesel'!BF247*'Feedstock Conversion Rates'!B$4)+FD238</f>
        <v>2167.8789843498107</v>
      </c>
      <c r="EN238" s="132">
        <f>(ED238*'Renewable Diesel'!BF247*'Feedstock Conversion Rates'!B$5)+FE238</f>
        <v>171.27665881385016</v>
      </c>
      <c r="EO238" s="132">
        <f>(EE238*'Renewable Diesel'!BF247*'Feedstock Conversion Rates'!B$6)+FF238</f>
        <v>471.56336239049398</v>
      </c>
      <c r="EP238" s="132">
        <f>(EF238*'Renewable Diesel'!BF247*'Feedstock Conversion Rates'!B$7)+FG238</f>
        <v>411.71512604929626</v>
      </c>
      <c r="EQ238" s="132">
        <f>(EG238*'Renewable Diesel'!BF247*'Feedstock Conversion Rates'!B$8)+FH238</f>
        <v>33.180428313904741</v>
      </c>
      <c r="ER238" s="132">
        <f>(EH238*'Renewable Diesel'!BF247*'Feedstock Conversion Rates'!B$9)+FI238</f>
        <v>4.1440534940573013</v>
      </c>
      <c r="ES238" s="132">
        <f t="shared" si="179"/>
        <v>4607.5512289762801</v>
      </c>
      <c r="ET238" s="133">
        <f>ES238/'Renewable Diesel'!BF247</f>
        <v>9.1180638533639193</v>
      </c>
      <c r="EW238" s="73">
        <f t="shared" si="223"/>
        <v>2634.8299670825422</v>
      </c>
      <c r="EX238" s="73">
        <f t="shared" si="224"/>
        <v>2555.1256856996897</v>
      </c>
      <c r="EY238" s="92">
        <f t="shared" si="164"/>
        <v>0.57185038996689719</v>
      </c>
      <c r="EZ238" s="92">
        <f t="shared" si="164"/>
        <v>0.55455176919810301</v>
      </c>
      <c r="FB238" s="102">
        <f>IF('Renewable Diesel'!$BG247&lt;1,0,(((('Renewable Diesel'!$BG247-1)*'Renewable Diesel'!$BF247)*'RD Feedstock Breakdown'!EA238)*'Feedstock Conversion Rates'!$B$2))</f>
        <v>10.102530334819765</v>
      </c>
      <c r="FC238" s="102">
        <f>IF('Renewable Diesel'!$BG247&lt;1,0,(((('Renewable Diesel'!$BG247-1)*'Renewable Diesel'!$BF247)*'RD Feedstock Breakdown'!EB238)*'Feedstock Conversion Rates'!$B$3))</f>
        <v>160.26136637922252</v>
      </c>
      <c r="FD238" s="102">
        <f>IF('Renewable Diesel'!$BG247&lt;1,0,(((('Renewable Diesel'!$BG247-1)*'Renewable Diesel'!$BF247)*'RD Feedstock Breakdown'!EC238)*'Feedstock Conversion Rates'!$B$4))</f>
        <v>274.02458443024375</v>
      </c>
      <c r="FE238" s="102">
        <f>IF('Renewable Diesel'!$BG247&lt;1,0,(((('Renewable Diesel'!$BG247-1)*'Renewable Diesel'!$BF247)*'RD Feedstock Breakdown'!ED238)*'Feedstock Conversion Rates'!$B$5))</f>
        <v>21.649739488637728</v>
      </c>
      <c r="FF238" s="102">
        <f>IF('Renewable Diesel'!$BG247&lt;1,0,(((('Renewable Diesel'!$BG247-1)*'Renewable Diesel'!$BF247)*'RD Feedstock Breakdown'!EE238)*'Feedstock Conversion Rates'!$B$6))</f>
        <v>59.606627189265893</v>
      </c>
      <c r="FG238" s="102">
        <f>IF('Renewable Diesel'!$BG247&lt;1,0,(((('Renewable Diesel'!$BG247-1)*'Renewable Diesel'!$BF247)*'RD Feedstock Breakdown'!EF238)*'Feedstock Conversion Rates'!$B$7))</f>
        <v>52.041680893521267</v>
      </c>
      <c r="FH238" s="102">
        <f>IF('Renewable Diesel'!$BG247&lt;1,0,(((('Renewable Diesel'!$BG247-1)*'Renewable Diesel'!$BF247)*'RD Feedstock Breakdown'!EG238)*'Feedstock Conversion Rates'!$B$8))</f>
        <v>4.194077780897068</v>
      </c>
      <c r="FI238" s="102">
        <f>IF('Renewable Diesel'!$BG247&lt;1,0,(((('Renewable Diesel'!$BG247-1)*'Renewable Diesel'!$BF247)*'RD Feedstock Breakdown'!EH238)*'Feedstock Conversion Rates'!$B$9))</f>
        <v>0.52381730934410631</v>
      </c>
      <c r="FJ238" s="102">
        <f t="shared" si="225"/>
        <v>582.40442380595209</v>
      </c>
      <c r="GD238" s="91">
        <f>'Renewable Diesel'!BB247*0.32</f>
        <v>0</v>
      </c>
      <c r="GE238" s="91">
        <f>'Renewable Diesel'!BC247</f>
        <v>263.641552684837</v>
      </c>
      <c r="GF238" s="91">
        <f>'Renewable Diesel'!BD247</f>
        <v>0</v>
      </c>
      <c r="GG238" s="91">
        <f t="shared" si="206"/>
        <v>263.641552684837</v>
      </c>
      <c r="GH238" s="124">
        <v>1</v>
      </c>
      <c r="GI238" s="102">
        <f>$GG238*EA238*'Feedstock Conversion Rates'!$B$2</f>
        <v>36.427850028860703</v>
      </c>
      <c r="GJ238" s="102">
        <f>$GG238*EB238*'Feedstock Conversion Rates'!$B$3</f>
        <v>577.87275330035129</v>
      </c>
      <c r="GK238" s="102">
        <f>$GG238*EC238*'Feedstock Conversion Rates'!$B$4</f>
        <v>988.08181069657599</v>
      </c>
      <c r="GL238" s="102">
        <f>$GG238*ED238*'Feedstock Conversion Rates'!$B$5</f>
        <v>78.064943842612948</v>
      </c>
      <c r="GM238" s="102">
        <f>$GG238*EE238*'Feedstock Conversion Rates'!$B$6</f>
        <v>214.93043861427091</v>
      </c>
      <c r="GN238" s="102">
        <f>$GG238*EF238*'Feedstock Conversion Rates'!$B$7</f>
        <v>187.65264582329414</v>
      </c>
      <c r="GO238" s="102">
        <f>$GG238*EG238*'Feedstock Conversion Rates'!$B$8</f>
        <v>15.123066335699454</v>
      </c>
      <c r="GP238" s="102">
        <f>$GG238*EH238*'Feedstock Conversion Rates'!B$9</f>
        <v>1.8887880318004378</v>
      </c>
      <c r="GQ238" s="102">
        <f t="shared" si="180"/>
        <v>2100.0422966734659</v>
      </c>
      <c r="GR238" s="85">
        <f t="shared" si="204"/>
        <v>7.965520894894377</v>
      </c>
      <c r="GT238" s="103">
        <f t="shared" si="159"/>
        <v>1.7346245876363336E-2</v>
      </c>
      <c r="GU238" s="103">
        <f t="shared" si="159"/>
        <v>0.27517195925802074</v>
      </c>
      <c r="GV238" s="103">
        <f t="shared" si="159"/>
        <v>0.47050567136753824</v>
      </c>
      <c r="GW238" s="103">
        <f t="shared" si="159"/>
        <v>3.7173034069966256E-2</v>
      </c>
      <c r="GX238" s="103">
        <f t="shared" si="158"/>
        <v>0.10234576653752527</v>
      </c>
      <c r="GY238" s="103">
        <f t="shared" si="158"/>
        <v>8.9356603017254427E-2</v>
      </c>
      <c r="GZ238" s="103">
        <f t="shared" si="158"/>
        <v>7.2013151162025986E-3</v>
      </c>
      <c r="HA238" s="103">
        <f t="shared" si="158"/>
        <v>8.9940475712910076E-4</v>
      </c>
    </row>
    <row r="239" spans="1:209" x14ac:dyDescent="0.25">
      <c r="A239" s="96">
        <v>47696</v>
      </c>
      <c r="B239" s="104">
        <f t="shared" si="226"/>
        <v>5</v>
      </c>
      <c r="C239" s="104">
        <f t="shared" si="147"/>
        <v>0</v>
      </c>
      <c r="D239" s="104">
        <f t="shared" si="192"/>
        <v>1.5</v>
      </c>
      <c r="E239" s="104">
        <f>('Renewable Diesel'!B248*E$3*'Feedstock Conversion Rates'!$B$2)/12-40+1.25+6-43+30-15+12.5-4+1.5+26+2.5+3-10+50+9-15-25-55+15+45+10-50+60-60</f>
        <v>44.679999999999993</v>
      </c>
      <c r="F239" s="104">
        <f>('Renewable Diesel'!B248*'RD Feedstock Breakdown'!F$3*'Feedstock Conversion Rates'!B$8)/12+28.5-49-5+2-6+1+6+20-20-3.75+10+2.5+5-20-20</f>
        <v>5.15625</v>
      </c>
      <c r="G239" s="104">
        <f>('Renewable Diesel'!B248*'RD Feedstock Breakdown'!G$3*'Feedstock Conversion Rates'!B$7)/12-25-15-25+4+4-20-40-20+10-17.5+20+50-12+32.5+35-75-75+22.5+5-20+15+125-10-45-10-40-40</f>
        <v>9.6570000000000107</v>
      </c>
      <c r="H239" s="104">
        <f>('Renewable Diesel'!B248*'RD Feedstock Breakdown'!H$3*'Feedstock Conversion Rates'!B$3)/12-85+4-15+70-65-80+50-22.5-5+25+27.5+15+50+15-10+5+50+75-5-25-85-12.5+30+22.5-25-30+150+90-120+25+10+70+55</f>
        <v>430.40022499999998</v>
      </c>
      <c r="I239" s="106">
        <f t="shared" si="203"/>
        <v>496.39347499999997</v>
      </c>
      <c r="J239" s="104">
        <f>47.5+60+38+97+19-6.25-35-29-20-5-25-4-3-50-10-1-20+2.5+20+100+20+1-45-75+15+20-25-10-26-5-30-6</f>
        <v>9.75</v>
      </c>
      <c r="K239" s="104"/>
      <c r="L239" s="104">
        <v>1</v>
      </c>
      <c r="M239" s="104">
        <f>('Renewable Diesel'!C248*'RD Feedstock Breakdown'!M$3*'Feedstock Conversion Rates'!B$2)/12</f>
        <v>7.7902500000000003</v>
      </c>
      <c r="N239" s="104">
        <f>('Renewable Diesel'!C248*'RD Feedstock Breakdown'!N$3*'Feedstock Conversion Rates'!B$8)/12</f>
        <v>3.671875</v>
      </c>
      <c r="O239" s="104">
        <f>('Renewable Diesel'!C248*'RD Feedstock Breakdown'!O$3*'Feedstock Conversion Rates'!B$7)/12</f>
        <v>11.9991</v>
      </c>
      <c r="P239" s="104">
        <f>('Renewable Diesel'!C248*'RD Feedstock Breakdown'!P$3*'Feedstock Conversion Rates'!B$3)/12</f>
        <v>10.4470425</v>
      </c>
      <c r="Q239" s="106">
        <f t="shared" si="216"/>
        <v>44.658267500000001</v>
      </c>
      <c r="R239" s="104">
        <f>('Renewable Diesel'!D248*'RD Feedstock Breakdown'!R$3*'Feedstock Conversion Rates'!B$7)/12</f>
        <v>2.2999999999999998</v>
      </c>
      <c r="S239" s="106">
        <f t="shared" si="148"/>
        <v>2.2999999999999998</v>
      </c>
      <c r="T239" s="104">
        <f t="shared" si="221"/>
        <v>0.82500000000000284</v>
      </c>
      <c r="U239" s="104">
        <f t="shared" si="229"/>
        <v>36</v>
      </c>
      <c r="V239" s="104">
        <f>('Renewable Diesel'!E248*'RD Feedstock Breakdown'!V$3*'Feedstock Conversion Rates'!B$6)/12-20+25-35+15</f>
        <v>29.250150000000012</v>
      </c>
      <c r="W239" s="104">
        <f>('Renewable Diesel'!E248*'RD Feedstock Breakdown'!W$3*'Feedstock Conversion Rates'!B$8)/12-6-10-6</f>
        <v>0.1796875</v>
      </c>
      <c r="X239" s="106">
        <f t="shared" si="185"/>
        <v>66.254837500000008</v>
      </c>
      <c r="Y239" s="104">
        <f t="shared" si="227"/>
        <v>126.5</v>
      </c>
      <c r="Z239" s="104">
        <f>('Renewable Diesel'!F248*'RD Feedstock Breakdown'!Z$3*'Feedstock Conversion Rates'!B$6)/12-50-32-60+15+15+50-75+65-6-30+9+2+7</f>
        <v>69.460000000000008</v>
      </c>
      <c r="AA239" s="104">
        <f>('Renewable Diesel'!F248*'RD Feedstock Breakdown'!AA$3*'Feedstock Conversion Rates'!B$7)/12+80-171+75+30+5-52.5-3</f>
        <v>67.766666666666652</v>
      </c>
      <c r="AB239" s="106">
        <f t="shared" si="137"/>
        <v>263.72666666666669</v>
      </c>
      <c r="AC239" s="104">
        <f>('Renewable Diesel'!G248*'RD Feedstock Breakdown'!AC$3*'Feedstock Conversion Rates'!B$5)/12</f>
        <v>11.796875</v>
      </c>
      <c r="AD239" s="104">
        <f>('Renewable Diesel'!G248*'RD Feedstock Breakdown'!AD$3*'Feedstock Conversion Rates'!B$4)/12</f>
        <v>5.859375</v>
      </c>
      <c r="AE239" s="104">
        <f>('Renewable Diesel'!G248*'RD Feedstock Breakdown'!AE$3*'Feedstock Conversion Rates'!B$6)/12</f>
        <v>7.3281250000000009</v>
      </c>
      <c r="AF239" s="106">
        <f t="shared" si="198"/>
        <v>24.984375</v>
      </c>
      <c r="AG239" s="104">
        <f t="shared" si="230"/>
        <v>6.5</v>
      </c>
      <c r="AH239" s="104">
        <v>135</v>
      </c>
      <c r="AI239" s="104">
        <f>('Renewable Diesel'!H248*'RD Feedstock Breakdown'!AI$3*'Feedstock Conversion Rates'!B$6)/12-130-20+51-120+105-42.5+20-5</f>
        <v>7.0166666666666799</v>
      </c>
      <c r="AJ239" s="106">
        <f t="shared" si="145"/>
        <v>13.51666666666668</v>
      </c>
      <c r="AK239" s="104">
        <f>('Renewable Diesel'!J248*'RD Feedstock Breakdown'!AK$3*'Feedstock Conversion Rates'!B$4)/12</f>
        <v>95.8125</v>
      </c>
      <c r="AL239" s="106">
        <f t="shared" si="157"/>
        <v>95.8125</v>
      </c>
      <c r="AM239" s="104">
        <f>('Renewable Diesel'!K248*'RD Feedstock Breakdown'!AM$3*'Feedstock Conversion Rates'!B$4)/12+5+15-10+9-27</f>
        <v>50.59375</v>
      </c>
      <c r="AN239" s="104">
        <f>('Renewable Diesel'!K248*'RD Feedstock Breakdown'!AN$3*'Feedstock Conversion Rates'!B$6)/12-5-15+10-9+27</f>
        <v>32.427083333333329</v>
      </c>
      <c r="AO239" s="106">
        <f t="shared" si="173"/>
        <v>83.020833333333329</v>
      </c>
      <c r="AP239" s="104">
        <f>('Renewable Diesel'!L248*'RD Feedstock Breakdown'!AP$3*'Feedstock Conversion Rates'!B$4)/12+15-10+14</f>
        <v>77.59375</v>
      </c>
      <c r="AQ239" s="104">
        <f>('Renewable Diesel'!L248*'RD Feedstock Breakdown'!AQ$3*'Feedstock Conversion Rates'!B$6)/12-15+10-14</f>
        <v>5.4270833333333321</v>
      </c>
      <c r="AR239" s="106">
        <f t="shared" si="162"/>
        <v>83.020833333333329</v>
      </c>
      <c r="AS239" s="104">
        <f>('Renewable Diesel'!M248*'RD Feedstock Breakdown'!AS$3*'Feedstock Conversion Rates'!B$4)/12-90</f>
        <v>366.25</v>
      </c>
      <c r="AT239" s="104">
        <f>('Renewable Diesel'!M248*'RD Feedstock Breakdown'!AT$3*'Feedstock Conversion Rates'!B$5)/12+90</f>
        <v>90</v>
      </c>
      <c r="AU239" s="106">
        <f t="shared" si="201"/>
        <v>456.25</v>
      </c>
      <c r="AV239" s="104">
        <f>'Renewable Diesel'!N248*'RD Feedstock Breakdown'!$AV$3*'Feedstock Conversion Rates'!$B$4/12-15-10+25+25-22-40</f>
        <v>41.749999999999986</v>
      </c>
      <c r="AW239" s="104">
        <f>'Renewable Diesel'!N248*'RD Feedstock Breakdown'!$AW$3*'Feedstock Conversion Rates'!$B$7/12+15+10-25-25+22+40</f>
        <v>78.400000000000006</v>
      </c>
      <c r="AX239" s="106">
        <f t="shared" si="141"/>
        <v>120.14999999999999</v>
      </c>
      <c r="AY239" s="104">
        <f>('Renewable Diesel'!O248*'RD Feedstock Breakdown'!AY$3*'Feedstock Conversion Rates'!B$4)/12+32+2-135-247+50</f>
        <v>-87.0625</v>
      </c>
      <c r="AZ239" s="104">
        <f>('Renewable Diesel'!O248*'RD Feedstock Breakdown'!AZ$3*'Feedstock Conversion Rates'!B$3)/12-32-2+135+247-50</f>
        <v>323.03125</v>
      </c>
      <c r="BA239" s="106">
        <f t="shared" si="217"/>
        <v>235.96875</v>
      </c>
      <c r="BB239" s="104">
        <f>('Renewable Diesel'!Q248*'RD Feedstock Breakdown'!BB$3*'Feedstock Conversion Rates'!B$4)/12-10</f>
        <v>1.1562499999999982</v>
      </c>
      <c r="BC239" s="104">
        <f>('Renewable Diesel'!Q248*'RD Feedstock Breakdown'!BC$3*'Feedstock Conversion Rates'!B$3)/12+10</f>
        <v>11.40175</v>
      </c>
      <c r="BD239" s="104">
        <f>('Renewable Diesel'!Q248*'RD Feedstock Breakdown'!BD$3*'Feedstock Conversion Rates'!B$6)/12</f>
        <v>0.8207500000000002</v>
      </c>
      <c r="BE239" s="106">
        <f t="shared" si="189"/>
        <v>13.378749999999998</v>
      </c>
      <c r="BF239" s="104">
        <f>('Renewable Diesel'!R248*'RD Feedstock Breakdown'!BF$3*'Feedstock Conversion Rates'!B$4)/12</f>
        <v>62.5</v>
      </c>
      <c r="BG239" s="106">
        <f t="shared" si="167"/>
        <v>62.5</v>
      </c>
      <c r="BH239" s="104">
        <f>('Renewable Diesel'!T248*'RD Feedstock Breakdown'!BH$3*'Feedstock Conversion Rates'!B$7)/12</f>
        <v>27.599999999999998</v>
      </c>
      <c r="BI239" s="106">
        <f t="shared" si="144"/>
        <v>27.599999999999998</v>
      </c>
      <c r="BJ239" s="104">
        <f>('Renewable Diesel'!W248*'RD Feedstock Breakdown'!BJ$3*'Feedstock Conversion Rates'!B$4)/12</f>
        <v>7.5</v>
      </c>
      <c r="BK239" s="104">
        <f>('Renewable Diesel'!W248*'RD Feedstock Breakdown'!BK$3*'Feedstock Conversion Rates'!B$3)/12</f>
        <v>1.335</v>
      </c>
      <c r="BL239" s="104">
        <f>('Renewable Diesel'!W248*'RD Feedstock Breakdown'!BL$3*'Feedstock Conversion Rates'!B$6)/12</f>
        <v>3.1266666666666669</v>
      </c>
      <c r="BM239" s="104">
        <f>('Renewable Diesel'!W248*'RD Feedstock Breakdown'!BM$3*'Feedstock Conversion Rates'!B$7)/12</f>
        <v>1.5333333333333332</v>
      </c>
      <c r="BN239" s="106">
        <f t="shared" si="209"/>
        <v>13.495000000000001</v>
      </c>
      <c r="BO239" s="104">
        <f>('Renewable Diesel'!P248*'Feedstock Conversion Rates'!B$4)/12</f>
        <v>31.25</v>
      </c>
      <c r="BP239" s="106">
        <f t="shared" si="199"/>
        <v>31.25</v>
      </c>
      <c r="BQ239" s="104">
        <f>('Renewable Diesel'!$S248*'RD Feedstock Breakdown'!BQ$3*'Feedstock Conversion Rates'!B$4)/12+10</f>
        <v>38.125</v>
      </c>
      <c r="BR239" s="104">
        <f>('Renewable Diesel'!$S248*'RD Feedstock Breakdown'!BR$3*'Feedstock Conversion Rates'!B$7)/12-10</f>
        <v>1.5</v>
      </c>
      <c r="BS239" s="106">
        <f t="shared" si="222"/>
        <v>39.625</v>
      </c>
      <c r="BT239" s="106"/>
      <c r="BU239" s="104">
        <f>('Renewable Diesel'!Y248*'Feedstock Conversion Rates'!B$7)/12</f>
        <v>2.6833333333333331</v>
      </c>
      <c r="BV239" s="106">
        <f t="shared" si="191"/>
        <v>2.6833333333333331</v>
      </c>
      <c r="BW239" s="104">
        <f>('Renewable Diesel'!$Z248*'RD Feedstock Breakdown'!BW$3*'Feedstock Conversion Rates'!$B$4)/12</f>
        <v>53.90625</v>
      </c>
      <c r="BX239" s="104">
        <f>('Renewable Diesel'!$Z248*'RD Feedstock Breakdown'!BX$3*'Feedstock Conversion Rates'!$B$5)/12</f>
        <v>5.4265624999999993</v>
      </c>
      <c r="BY239" s="104">
        <f>('Renewable Diesel'!$Z248*'RD Feedstock Breakdown'!BY$3*'Feedstock Conversion Rates'!$B$7)/12</f>
        <v>46.287499999999994</v>
      </c>
      <c r="BZ239" s="104">
        <f>('Renewable Diesel'!$Z248*'RD Feedstock Breakdown'!BZ$3*'Feedstock Conversion Rates'!$B$3)/12</f>
        <v>11.514374999999999</v>
      </c>
      <c r="CA239" s="106">
        <f t="shared" si="228"/>
        <v>117.1346875</v>
      </c>
      <c r="CB239" s="104">
        <f>('Renewable Diesel'!AA248*'Feedstock Conversion Rates'!B$4)/12</f>
        <v>191.25</v>
      </c>
      <c r="CC239" s="106">
        <f t="shared" si="213"/>
        <v>191.25</v>
      </c>
      <c r="CD239" s="104">
        <f>('Renewable Diesel'!$AB248*'RD Feedstock Breakdown'!CD$3*'Feedstock Conversion Rates'!$B$6)/12-15</f>
        <v>17.830000000000005</v>
      </c>
      <c r="CE239" s="104">
        <f>('Renewable Diesel'!$AB248*'RD Feedstock Breakdown'!CE$3*'Feedstock Conversion Rates'!$B$4)/12+15</f>
        <v>26.25</v>
      </c>
      <c r="CF239" s="106">
        <f t="shared" si="205"/>
        <v>44.080000000000005</v>
      </c>
      <c r="CG239" s="104">
        <f>('Renewable Diesel'!AD248*'Feedstock Conversion Rates'!B$4)/12</f>
        <v>112.5</v>
      </c>
      <c r="CH239" s="106">
        <f t="shared" si="187"/>
        <v>112.5</v>
      </c>
      <c r="CI239" s="104">
        <f>('Renewable Diesel'!$AE248*'RD Feedstock Breakdown'!CI$3*'Feedstock Conversion Rates'!$B$5)/12</f>
        <v>0.34604166666666664</v>
      </c>
      <c r="CJ239" s="104">
        <f>('Renewable Diesel'!$AE248*'RD Feedstock Breakdown'!CJ$3*'Feedstock Conversion Rates'!$B$4)/12</f>
        <v>0.34375</v>
      </c>
      <c r="CK239" s="106">
        <f t="shared" si="200"/>
        <v>0.68979166666666658</v>
      </c>
      <c r="CL239" s="104">
        <f>(((CL$3*'Renewable Diesel'!$AF248)*'Feedstock Conversion Rates'!$B$3)/12)-25</f>
        <v>66.78125</v>
      </c>
      <c r="CM239" s="104">
        <f>(((CM$3*'Renewable Diesel'!$AF248)*'Feedstock Conversion Rates'!$B$6)/12)+25</f>
        <v>78.739583333333343</v>
      </c>
      <c r="CN239" s="104">
        <f>(((CN$3*'Renewable Diesel'!$AF248)*'Feedstock Conversion Rates'!$B$4)/12)</f>
        <v>42.96875</v>
      </c>
      <c r="CO239" s="106">
        <f t="shared" si="190"/>
        <v>188.48958333333334</v>
      </c>
      <c r="CP239" s="104">
        <f>('Renewable Diesel'!$AG248*'RD Feedstock Breakdown'!CP$3*'Feedstock Conversion Rates'!$B$3)/12</f>
        <v>6.0075000000000003</v>
      </c>
      <c r="CQ239" s="104">
        <f>('Renewable Diesel'!$AG248*'RD Feedstock Breakdown'!CQ$3*'Feedstock Conversion Rates'!$B$6)/12</f>
        <v>3.5175000000000001</v>
      </c>
      <c r="CR239" s="104">
        <f>('Renewable Diesel'!$AG248*'RD Feedstock Breakdown'!CR$3*'Feedstock Conversion Rates'!$B$4)/12</f>
        <v>2.8125</v>
      </c>
      <c r="CS239" s="106">
        <f t="shared" si="134"/>
        <v>12.3375</v>
      </c>
      <c r="CT239" s="104">
        <f>('Renewable Diesel'!AI248*'Feedstock Conversion Rates'!$B$4*'RD Feedstock Breakdown'!$CT$3)/12</f>
        <v>29.375</v>
      </c>
      <c r="CU239" s="106">
        <f t="shared" si="196"/>
        <v>29.375</v>
      </c>
      <c r="CV239" s="104">
        <f>('Renewable Diesel'!AN248*'Feedstock Conversion Rates'!$B$3*'RD Feedstock Breakdown'!$CV$3)/12</f>
        <v>0.50062499999999999</v>
      </c>
      <c r="CW239" s="106">
        <f t="shared" si="161"/>
        <v>0.50062499999999999</v>
      </c>
      <c r="CX239" s="104">
        <f>('Renewable Diesel'!AO248*'RD Feedstock Breakdown'!$CX$3*'Feedstock Conversion Rates'!$B$3)/12</f>
        <v>6.3412499999999996</v>
      </c>
      <c r="CY239" s="104">
        <f>('Renewable Diesel'!AO248*'RD Feedstock Breakdown'!$CY$3*'Feedstock Conversion Rates'!$B$6)/12</f>
        <v>7.4258333333333342</v>
      </c>
      <c r="CZ239" s="106">
        <f t="shared" si="135"/>
        <v>13.767083333333334</v>
      </c>
      <c r="DA239" s="104">
        <f>('Renewable Diesel'!$AP248*'RD Feedstock Breakdown'!DA$3*'Feedstock Conversion Rates'!$B$3)/12</f>
        <v>6.3412499999999996</v>
      </c>
      <c r="DB239" s="104">
        <f>('Renewable Diesel'!$AP248*'RD Feedstock Breakdown'!DB$3*'Feedstock Conversion Rates'!$B$8)/12</f>
        <v>7.421875</v>
      </c>
      <c r="DC239" s="106">
        <f t="shared" si="165"/>
        <v>13.763124999999999</v>
      </c>
      <c r="DD239" s="104">
        <f>('Renewable Diesel'!AQ248*$DD$3*'Feedstock Conversion Rates'!$B$14)/12</f>
        <v>3.1041666666666665</v>
      </c>
      <c r="DE239" s="106">
        <f t="shared" si="166"/>
        <v>3.1041666666666665</v>
      </c>
      <c r="DF239" s="104">
        <f>('Renewable Diesel'!AR248*'Feedstock Conversion Rates'!$B$4*$DF$3)/12</f>
        <v>75</v>
      </c>
      <c r="DG239" s="106">
        <f t="shared" si="136"/>
        <v>75</v>
      </c>
      <c r="DH239" s="104">
        <f>('Renewable Diesel'!AS248*'Feedstock Conversion Rates'!$B$4*$DH$3)/12</f>
        <v>75</v>
      </c>
      <c r="DI239" s="106">
        <f t="shared" si="142"/>
        <v>75</v>
      </c>
      <c r="DJ239" s="104">
        <f>('Renewable Diesel'!AT248*'Feedstock Conversion Rates'!$B$4*0.25)/12</f>
        <v>8.59375</v>
      </c>
      <c r="DK239" s="104">
        <f>('Renewable Diesel'!$AT248*'RD Feedstock Breakdown'!DK$3*'Feedstock Conversion Rates'!$B$3)/12*0.5</f>
        <v>9.1781249999999996</v>
      </c>
      <c r="DL239" s="104">
        <f>('Renewable Diesel'!$AT248*'RD Feedstock Breakdown'!$DL$3*'Feedstock Conversion Rates'!$B$6)/12</f>
        <v>10.747916666666669</v>
      </c>
      <c r="DM239" s="104">
        <f>('Renewable Diesel'!$AT248*'RD Feedstock Breakdown'!$DM$3*'Feedstock Conversion Rates'!$B$8)/12</f>
        <v>10.7421875</v>
      </c>
      <c r="DN239" s="106">
        <f t="shared" si="210"/>
        <v>39.26197916666667</v>
      </c>
      <c r="DP239" s="104">
        <f t="shared" si="168"/>
        <v>52.470249999999993</v>
      </c>
      <c r="DQ239" s="104">
        <f t="shared" si="169"/>
        <v>883.27964250000002</v>
      </c>
      <c r="DR239" s="104">
        <f t="shared" si="174"/>
        <v>1612.984375</v>
      </c>
      <c r="DS239" s="104">
        <f t="shared" si="197"/>
        <v>126.59239583333334</v>
      </c>
      <c r="DT239" s="104">
        <f t="shared" si="170"/>
        <v>280.53923333333341</v>
      </c>
      <c r="DU239" s="104">
        <f t="shared" si="171"/>
        <v>249.72693333333333</v>
      </c>
      <c r="DV239" s="104">
        <f t="shared" si="175"/>
        <v>19.75</v>
      </c>
      <c r="DW239" s="104">
        <f t="shared" si="172"/>
        <v>2.5</v>
      </c>
      <c r="DX239" s="106">
        <f t="shared" si="176"/>
        <v>3227.84283</v>
      </c>
      <c r="DY239" s="109">
        <f t="shared" si="163"/>
        <v>-135.00000000000014</v>
      </c>
      <c r="EA239" s="110">
        <f t="shared" si="218"/>
        <v>1.6255515761899719E-2</v>
      </c>
      <c r="EB239" s="110">
        <f t="shared" si="219"/>
        <v>0.2736439439648925</v>
      </c>
      <c r="EC239" s="110">
        <f t="shared" si="220"/>
        <v>0.49970970085925775</v>
      </c>
      <c r="ED239" s="110">
        <f t="shared" si="146"/>
        <v>3.9218884716680377E-2</v>
      </c>
      <c r="EE239" s="110">
        <f t="shared" si="146"/>
        <v>8.691229657341569E-2</v>
      </c>
      <c r="EF239" s="110">
        <f t="shared" si="146"/>
        <v>7.736650961203502E-2</v>
      </c>
      <c r="EG239" s="110">
        <f t="shared" si="146"/>
        <v>6.1186374430752567E-3</v>
      </c>
      <c r="EH239" s="111">
        <f t="shared" si="177"/>
        <v>7.745110687437033E-4</v>
      </c>
      <c r="EI239" s="110">
        <f t="shared" si="178"/>
        <v>0.9992254889312564</v>
      </c>
      <c r="EK239" s="132">
        <f>(EA239*'Renewable Diesel'!BF248*'Feedstock Conversion Rates'!B$2)+FB239</f>
        <v>85.751574457440512</v>
      </c>
      <c r="EL239" s="132">
        <f>(EB239*'Renewable Diesel'!BF248*'Feedstock Conversion Rates'!B$3)+FC239</f>
        <v>1360.3190523816659</v>
      </c>
      <c r="EM239" s="132">
        <f>(EC239*'Renewable Diesel'!BF248*'Feedstock Conversion Rates'!B$4)+FD239</f>
        <v>2325.9558522630723</v>
      </c>
      <c r="EN239" s="132">
        <f>(ED239*'Renewable Diesel'!BF248*'Feedstock Conversion Rates'!B$5)+FE239</f>
        <v>183.76576820021293</v>
      </c>
      <c r="EO239" s="132">
        <f>(EE239*'Renewable Diesel'!BF248*'Feedstock Conversion Rates'!B$6)+FF239</f>
        <v>505.9487039559009</v>
      </c>
      <c r="EP239" s="132">
        <f>(EF239*'Renewable Diesel'!BF248*'Feedstock Conversion Rates'!B$7)+FG239</f>
        <v>441.73646860034546</v>
      </c>
      <c r="EQ239" s="132">
        <f>(EG239*'Renewable Diesel'!BF248*'Feedstock Conversion Rates'!B$8)+FH239</f>
        <v>35.599870645209819</v>
      </c>
      <c r="ER239" s="132">
        <f>(EH239*'Renewable Diesel'!BF248*'Feedstock Conversion Rates'!B$9)+FI239</f>
        <v>4.4462285700346431</v>
      </c>
      <c r="ES239" s="132">
        <f t="shared" si="179"/>
        <v>4943.5235190738831</v>
      </c>
      <c r="ET239" s="133">
        <f>ES239/'Renewable Diesel'!BF248</f>
        <v>9.2910677233100465</v>
      </c>
      <c r="EW239" s="73">
        <f t="shared" si="223"/>
        <v>2867.7809558682952</v>
      </c>
      <c r="EX239" s="73">
        <f t="shared" si="224"/>
        <v>2781.0298474072042</v>
      </c>
      <c r="EY239" s="92">
        <f t="shared" si="164"/>
        <v>0.58010869065422055</v>
      </c>
      <c r="EZ239" s="92">
        <f t="shared" si="164"/>
        <v>0.56256025417437494</v>
      </c>
      <c r="FB239" s="102">
        <f>IF('Renewable Diesel'!$BG248&lt;1,0,(((('Renewable Diesel'!$BG248-1)*'Renewable Diesel'!$BF248)*'RD Feedstock Breakdown'!EA239)*'Feedstock Conversion Rates'!$B$2))</f>
        <v>12.2340866452338</v>
      </c>
      <c r="FC239" s="102">
        <f>IF('Renewable Diesel'!$BG248&lt;1,0,(((('Renewable Diesel'!$BG248-1)*'Renewable Diesel'!$BF248)*'RD Feedstock Breakdown'!EB239)*'Feedstock Conversion Rates'!$B$3))</f>
        <v>194.07528383352749</v>
      </c>
      <c r="FD239" s="102">
        <f>IF('Renewable Diesel'!$BG248&lt;1,0,(((('Renewable Diesel'!$BG248-1)*'Renewable Diesel'!$BF248)*'RD Feedstock Breakdown'!EC239)*'Feedstock Conversion Rates'!$B$4))</f>
        <v>331.84166716026965</v>
      </c>
      <c r="FE239" s="102">
        <f>IF('Renewable Diesel'!$BG248&lt;1,0,(((('Renewable Diesel'!$BG248-1)*'Renewable Diesel'!$BF248)*'RD Feedstock Breakdown'!ED239)*'Feedstock Conversion Rates'!$B$5))</f>
        <v>26.21766824474069</v>
      </c>
      <c r="FF239" s="102">
        <f>IF('Renewable Diesel'!$BG248&lt;1,0,(((('Renewable Diesel'!$BG248-1)*'Renewable Diesel'!$BF248)*'RD Feedstock Breakdown'!EE239)*'Feedstock Conversion Rates'!$B$6))</f>
        <v>72.183167730783936</v>
      </c>
      <c r="FG239" s="102">
        <f>IF('Renewable Diesel'!$BG248&lt;1,0,(((('Renewable Diesel'!$BG248-1)*'Renewable Diesel'!$BF248)*'RD Feedstock Breakdown'!EF239)*'Feedstock Conversion Rates'!$B$7))</f>
        <v>63.022075867521409</v>
      </c>
      <c r="FH239" s="102">
        <f>IF('Renewable Diesel'!$BG248&lt;1,0,(((('Renewable Diesel'!$BG248-1)*'Renewable Diesel'!$BF248)*'RD Feedstock Breakdown'!EG239)*'Feedstock Conversion Rates'!$B$8))</f>
        <v>5.0789959809865834</v>
      </c>
      <c r="FI239" s="102">
        <f>IF('Renewable Diesel'!$BG248&lt;1,0,(((('Renewable Diesel'!$BG248-1)*'Renewable Diesel'!$BF248)*'RD Feedstock Breakdown'!EH239)*'Feedstock Conversion Rates'!$B$9))</f>
        <v>0.63433873855359857</v>
      </c>
      <c r="FJ239" s="102">
        <f t="shared" si="225"/>
        <v>705.28728420161724</v>
      </c>
      <c r="GD239" s="91">
        <f>'Renewable Diesel'!BB248*0.32</f>
        <v>0</v>
      </c>
      <c r="GE239" s="91">
        <f>'Renewable Diesel'!BC248</f>
        <v>286.93446200556855</v>
      </c>
      <c r="GF239" s="91">
        <f>'Renewable Diesel'!BD248</f>
        <v>0</v>
      </c>
      <c r="GG239" s="91">
        <f t="shared" si="206"/>
        <v>286.93446200556855</v>
      </c>
      <c r="GH239" s="124">
        <v>1</v>
      </c>
      <c r="GI239" s="102">
        <f>$GG239*EA239*'Feedstock Conversion Rates'!$B$2</f>
        <v>39.646275192991752</v>
      </c>
      <c r="GJ239" s="102">
        <f>$GG239*EB239*'Feedstock Conversion Rates'!$B$3</f>
        <v>628.92820151961348</v>
      </c>
      <c r="GK239" s="102">
        <f>$GG239*EC239*'Feedstock Conversion Rates'!$B$4</f>
        <v>1075.3795063126104</v>
      </c>
      <c r="GL239" s="102">
        <f>$GG239*ED239*'Feedstock Conversion Rates'!$B$5</f>
        <v>84.962034379125186</v>
      </c>
      <c r="GM239" s="102">
        <f>$GG239*EE239*'Feedstock Conversion Rates'!$B$6</f>
        <v>233.91968809305843</v>
      </c>
      <c r="GN239" s="102">
        <f>$GG239*EF239*'Feedstock Conversion Rates'!$B$7</f>
        <v>204.23188387755681</v>
      </c>
      <c r="GO239" s="102">
        <f>$GG239*EG239*'Feedstock Conversion Rates'!$B$8</f>
        <v>16.459199465024309</v>
      </c>
      <c r="GP239" s="102">
        <f>$GG239*EH239*'Feedstock Conversion Rates'!B$9</f>
        <v>2.0556637306528249</v>
      </c>
      <c r="GQ239" s="102">
        <f t="shared" si="180"/>
        <v>2285.582452570633</v>
      </c>
      <c r="GR239" s="85">
        <f t="shared" si="204"/>
        <v>7.965520894894377</v>
      </c>
      <c r="GT239" s="103">
        <f t="shared" si="159"/>
        <v>1.7346245876363336E-2</v>
      </c>
      <c r="GU239" s="103">
        <f t="shared" si="159"/>
        <v>0.27517195925802074</v>
      </c>
      <c r="GV239" s="103">
        <f t="shared" si="159"/>
        <v>0.47050567136753818</v>
      </c>
      <c r="GW239" s="103">
        <f t="shared" si="159"/>
        <v>3.7173034069966256E-2</v>
      </c>
      <c r="GX239" s="103">
        <f t="shared" si="158"/>
        <v>0.10234576653752525</v>
      </c>
      <c r="GY239" s="103">
        <f t="shared" si="158"/>
        <v>8.9356603017254413E-2</v>
      </c>
      <c r="GZ239" s="103">
        <f t="shared" si="158"/>
        <v>7.2013151162025977E-3</v>
      </c>
      <c r="HA239" s="103">
        <f t="shared" si="158"/>
        <v>8.9940475712910076E-4</v>
      </c>
    </row>
    <row r="240" spans="1:209" x14ac:dyDescent="0.25">
      <c r="A240" s="96">
        <v>47727</v>
      </c>
      <c r="B240" s="104">
        <f>23-20+10+85-5-4-4-1.25+2.25-5+15-6-25-45+65+15-22.5-50+40+16.5+27.5+168+80+14-30+15-50-19+22.5-10+5+11-25-50-12.5-27.5-10+10+2+4-1.5+12-26-15-50-15+10-32.5-3-5-2.5-1+5+10-50-35-9-0.5+25+15+25+20+15+85-25+12.5-52.5+10+20-150+20-20+55-25-25+150</f>
        <v>155</v>
      </c>
      <c r="C240" s="104">
        <f t="shared" si="147"/>
        <v>0</v>
      </c>
      <c r="D240" s="104">
        <f t="shared" si="192"/>
        <v>1.5</v>
      </c>
      <c r="E240" s="104">
        <f>('Renewable Diesel'!B249*E$3*'Feedstock Conversion Rates'!$B$2)/12-40+1.25+6-43+30-15+12.5-4+1.5+26+2.5+3-10+50+9-15-25-55+15+45+10-50+60-60</f>
        <v>44.679999999999993</v>
      </c>
      <c r="F240" s="104">
        <f>('Renewable Diesel'!B249*'RD Feedstock Breakdown'!F$3*'Feedstock Conversion Rates'!B$8)/12+28.5-49-5+2-6+1+6+20-20-3.75+10+2.5+5-20-20</f>
        <v>5.15625</v>
      </c>
      <c r="G240" s="104">
        <f>('Renewable Diesel'!B249*'RD Feedstock Breakdown'!G$3*'Feedstock Conversion Rates'!B$7)/12-25-15-25+4+4-20-40-20+10-17.5+20+50-12+32.5+35-75-75+22.5+5-20+15+125-10-45-10-40-40</f>
        <v>9.6570000000000107</v>
      </c>
      <c r="H240" s="104">
        <f>('Renewable Diesel'!B249*'RD Feedstock Breakdown'!H$3*'Feedstock Conversion Rates'!B$3)/12-85+4-15+70-65-80+50-22.5-5+25+27.5+15+50+15-10+5+50+75-5-25-85-12.5+30+22.5-25-30+150+90-120+25+10+70+55-150</f>
        <v>280.40022499999998</v>
      </c>
      <c r="I240" s="106">
        <f t="shared" si="203"/>
        <v>496.39347499999997</v>
      </c>
      <c r="J240" s="104">
        <f>47.5+60+38+97+19-6.25-35-29-20-5-25-4-3-50-10-1-20+2.5+20+100+20+1-45-75+15+20-25-10-26-5-30-6</f>
        <v>9.75</v>
      </c>
      <c r="K240" s="104"/>
      <c r="L240" s="104">
        <v>1</v>
      </c>
      <c r="M240" s="104">
        <f>('Renewable Diesel'!C249*'RD Feedstock Breakdown'!M$3*'Feedstock Conversion Rates'!B$2)/12</f>
        <v>7.7902500000000003</v>
      </c>
      <c r="N240" s="104">
        <f>('Renewable Diesel'!C249*'RD Feedstock Breakdown'!N$3*'Feedstock Conversion Rates'!B$8)/12</f>
        <v>3.671875</v>
      </c>
      <c r="O240" s="104">
        <f>('Renewable Diesel'!C249*'RD Feedstock Breakdown'!O$3*'Feedstock Conversion Rates'!B$7)/12</f>
        <v>11.9991</v>
      </c>
      <c r="P240" s="104">
        <f>('Renewable Diesel'!C249*'RD Feedstock Breakdown'!P$3*'Feedstock Conversion Rates'!B$3)/12</f>
        <v>10.4470425</v>
      </c>
      <c r="Q240" s="106">
        <f t="shared" si="216"/>
        <v>44.658267500000001</v>
      </c>
      <c r="R240" s="104">
        <f>('Renewable Diesel'!D249*'RD Feedstock Breakdown'!R$3*'Feedstock Conversion Rates'!B$7)/12</f>
        <v>2.2999999999999998</v>
      </c>
      <c r="S240" s="106">
        <f t="shared" si="148"/>
        <v>2.2999999999999998</v>
      </c>
      <c r="T240" s="104">
        <f t="shared" si="221"/>
        <v>0.82500000000000284</v>
      </c>
      <c r="U240" s="104">
        <f t="shared" si="229"/>
        <v>36</v>
      </c>
      <c r="V240" s="104">
        <f>('Renewable Diesel'!E249*'RD Feedstock Breakdown'!V$3*'Feedstock Conversion Rates'!B$6)/12-20+25-35+15</f>
        <v>29.250150000000012</v>
      </c>
      <c r="W240" s="104">
        <f>('Renewable Diesel'!E249*'RD Feedstock Breakdown'!W$3*'Feedstock Conversion Rates'!B$8)/12-6-10-6</f>
        <v>0.1796875</v>
      </c>
      <c r="X240" s="106">
        <f t="shared" si="185"/>
        <v>66.254837500000008</v>
      </c>
      <c r="Y240" s="104">
        <f t="shared" si="227"/>
        <v>126.5</v>
      </c>
      <c r="Z240" s="104">
        <f>('Renewable Diesel'!F249*'RD Feedstock Breakdown'!Z$3*'Feedstock Conversion Rates'!B$6)/12-50-32-60+15+15+50-75+65-6-30+9+2+7</f>
        <v>69.460000000000008</v>
      </c>
      <c r="AA240" s="104">
        <f>('Renewable Diesel'!F249*'RD Feedstock Breakdown'!AA$3*'Feedstock Conversion Rates'!B$7)/12+80-171+75+30+5-52.5-3</f>
        <v>67.766666666666652</v>
      </c>
      <c r="AB240" s="106">
        <f t="shared" si="137"/>
        <v>263.72666666666669</v>
      </c>
      <c r="AC240" s="104">
        <f>('Renewable Diesel'!G249*'RD Feedstock Breakdown'!AC$3*'Feedstock Conversion Rates'!B$5)/12</f>
        <v>11.796875</v>
      </c>
      <c r="AD240" s="104">
        <f>('Renewable Diesel'!G249*'RD Feedstock Breakdown'!AD$3*'Feedstock Conversion Rates'!B$4)/12</f>
        <v>5.859375</v>
      </c>
      <c r="AE240" s="104">
        <f>('Renewable Diesel'!G249*'RD Feedstock Breakdown'!AE$3*'Feedstock Conversion Rates'!B$6)/12</f>
        <v>7.3281250000000009</v>
      </c>
      <c r="AF240" s="106">
        <f t="shared" si="198"/>
        <v>24.984375</v>
      </c>
      <c r="AG240" s="104">
        <f t="shared" si="230"/>
        <v>6.5</v>
      </c>
      <c r="AH240" s="104">
        <v>135</v>
      </c>
      <c r="AI240" s="104">
        <f>('Renewable Diesel'!H249*'RD Feedstock Breakdown'!AI$3*'Feedstock Conversion Rates'!B$6)/12-130-20+51-120+105-42.5+20-5</f>
        <v>7.0166666666666799</v>
      </c>
      <c r="AJ240" s="106">
        <f t="shared" si="145"/>
        <v>13.51666666666668</v>
      </c>
      <c r="AK240" s="104">
        <f>('Renewable Diesel'!J249*'RD Feedstock Breakdown'!AK$3*'Feedstock Conversion Rates'!B$4)/12</f>
        <v>95.8125</v>
      </c>
      <c r="AL240" s="106">
        <f t="shared" si="157"/>
        <v>95.8125</v>
      </c>
      <c r="AM240" s="104">
        <f>('Renewable Diesel'!K249*'RD Feedstock Breakdown'!AM$3*'Feedstock Conversion Rates'!B$4)/12+5+15-10+9-27</f>
        <v>50.59375</v>
      </c>
      <c r="AN240" s="104">
        <f>('Renewable Diesel'!K249*'RD Feedstock Breakdown'!AN$3*'Feedstock Conversion Rates'!B$6)/12-5-15+10-9+27</f>
        <v>32.427083333333329</v>
      </c>
      <c r="AO240" s="106">
        <f t="shared" si="173"/>
        <v>83.020833333333329</v>
      </c>
      <c r="AP240" s="104">
        <f>('Renewable Diesel'!L249*'RD Feedstock Breakdown'!AP$3*'Feedstock Conversion Rates'!B$4)/12+15-10+14</f>
        <v>77.59375</v>
      </c>
      <c r="AQ240" s="104">
        <f>('Renewable Diesel'!L249*'RD Feedstock Breakdown'!AQ$3*'Feedstock Conversion Rates'!B$6)/12-15+10-14</f>
        <v>5.4270833333333321</v>
      </c>
      <c r="AR240" s="106">
        <f t="shared" si="162"/>
        <v>83.020833333333329</v>
      </c>
      <c r="AS240" s="104">
        <f>('Renewable Diesel'!M249*'RD Feedstock Breakdown'!AS$3*'Feedstock Conversion Rates'!B$4)/12-90</f>
        <v>366.25</v>
      </c>
      <c r="AT240" s="104">
        <f>('Renewable Diesel'!M249*'RD Feedstock Breakdown'!AT$3*'Feedstock Conversion Rates'!B$5)/12+90</f>
        <v>90</v>
      </c>
      <c r="AU240" s="106">
        <f t="shared" si="201"/>
        <v>456.25</v>
      </c>
      <c r="AV240" s="104">
        <f>'Renewable Diesel'!N249*'RD Feedstock Breakdown'!$AV$3*'Feedstock Conversion Rates'!$B$4/12-15-10+25+25-22-40</f>
        <v>41.749999999999986</v>
      </c>
      <c r="AW240" s="104">
        <f>'Renewable Diesel'!N249*'RD Feedstock Breakdown'!$AW$3*'Feedstock Conversion Rates'!$B$7/12+15+10-25-25+22+40</f>
        <v>78.400000000000006</v>
      </c>
      <c r="AX240" s="106">
        <f t="shared" si="141"/>
        <v>120.14999999999999</v>
      </c>
      <c r="AY240" s="104">
        <f>('Renewable Diesel'!O249*'RD Feedstock Breakdown'!AY$3*'Feedstock Conversion Rates'!B$4)/12+32+2-135-247+50</f>
        <v>-87.0625</v>
      </c>
      <c r="AZ240" s="104">
        <f>('Renewable Diesel'!O249*'RD Feedstock Breakdown'!AZ$3*'Feedstock Conversion Rates'!B$3)/12-32-2+135+247-50</f>
        <v>323.03125</v>
      </c>
      <c r="BA240" s="106">
        <f t="shared" si="217"/>
        <v>235.96875</v>
      </c>
      <c r="BB240" s="104">
        <f>('Renewable Diesel'!Q249*'RD Feedstock Breakdown'!BB$3*'Feedstock Conversion Rates'!B$4)/12-10</f>
        <v>1.1562499999999982</v>
      </c>
      <c r="BC240" s="104">
        <f>('Renewable Diesel'!Q249*'RD Feedstock Breakdown'!BC$3*'Feedstock Conversion Rates'!B$3)/12+10</f>
        <v>11.40175</v>
      </c>
      <c r="BD240" s="104">
        <f>('Renewable Diesel'!Q249*'RD Feedstock Breakdown'!BD$3*'Feedstock Conversion Rates'!B$6)/12</f>
        <v>0.8207500000000002</v>
      </c>
      <c r="BE240" s="106">
        <f t="shared" si="189"/>
        <v>13.378749999999998</v>
      </c>
      <c r="BF240" s="104">
        <f>('Renewable Diesel'!R249*'RD Feedstock Breakdown'!BF$3*'Feedstock Conversion Rates'!B$4)/12</f>
        <v>62.5</v>
      </c>
      <c r="BG240" s="106">
        <f t="shared" si="167"/>
        <v>62.5</v>
      </c>
      <c r="BH240" s="104">
        <f>('Renewable Diesel'!T249*'RD Feedstock Breakdown'!BH$3*'Feedstock Conversion Rates'!B$7)/12</f>
        <v>27.599999999999998</v>
      </c>
      <c r="BI240" s="106">
        <f t="shared" si="144"/>
        <v>27.599999999999998</v>
      </c>
      <c r="BJ240" s="104">
        <f>('Renewable Diesel'!W249*'RD Feedstock Breakdown'!BJ$3*'Feedstock Conversion Rates'!B$4)/12</f>
        <v>7.5</v>
      </c>
      <c r="BK240" s="104">
        <f>('Renewable Diesel'!W249*'RD Feedstock Breakdown'!BK$3*'Feedstock Conversion Rates'!B$3)/12</f>
        <v>1.335</v>
      </c>
      <c r="BL240" s="104">
        <f>('Renewable Diesel'!W249*'RD Feedstock Breakdown'!BL$3*'Feedstock Conversion Rates'!B$6)/12</f>
        <v>3.1266666666666669</v>
      </c>
      <c r="BM240" s="104">
        <f>('Renewable Diesel'!W249*'RD Feedstock Breakdown'!BM$3*'Feedstock Conversion Rates'!B$7)/12</f>
        <v>1.5333333333333332</v>
      </c>
      <c r="BN240" s="106">
        <f t="shared" si="209"/>
        <v>13.495000000000001</v>
      </c>
      <c r="BO240" s="104">
        <f>('Renewable Diesel'!P249*'Feedstock Conversion Rates'!B$4)/12</f>
        <v>31.25</v>
      </c>
      <c r="BP240" s="106">
        <f t="shared" si="199"/>
        <v>31.25</v>
      </c>
      <c r="BQ240" s="104">
        <f>('Renewable Diesel'!$S249*'RD Feedstock Breakdown'!BQ$3*'Feedstock Conversion Rates'!B$4)/12+10</f>
        <v>38.125</v>
      </c>
      <c r="BR240" s="104">
        <f>('Renewable Diesel'!$S249*'RD Feedstock Breakdown'!BR$3*'Feedstock Conversion Rates'!B$7)/12-10</f>
        <v>1.5</v>
      </c>
      <c r="BS240" s="106">
        <f t="shared" si="222"/>
        <v>39.625</v>
      </c>
      <c r="BT240" s="106"/>
      <c r="BU240" s="104">
        <f>('Renewable Diesel'!Y249*'Feedstock Conversion Rates'!B$7)/12</f>
        <v>2.6833333333333331</v>
      </c>
      <c r="BV240" s="106">
        <f t="shared" si="191"/>
        <v>2.6833333333333331</v>
      </c>
      <c r="BW240" s="104">
        <f>('Renewable Diesel'!$Z249*'RD Feedstock Breakdown'!BW$3*'Feedstock Conversion Rates'!$B$4)/12</f>
        <v>53.90625</v>
      </c>
      <c r="BX240" s="104">
        <f>('Renewable Diesel'!$Z249*'RD Feedstock Breakdown'!BX$3*'Feedstock Conversion Rates'!$B$5)/12</f>
        <v>5.4265624999999993</v>
      </c>
      <c r="BY240" s="104">
        <f>('Renewable Diesel'!$Z249*'RD Feedstock Breakdown'!BY$3*'Feedstock Conversion Rates'!$B$7)/12</f>
        <v>46.287499999999994</v>
      </c>
      <c r="BZ240" s="104">
        <f>('Renewable Diesel'!$Z249*'RD Feedstock Breakdown'!BZ$3*'Feedstock Conversion Rates'!$B$3)/12</f>
        <v>11.514374999999999</v>
      </c>
      <c r="CA240" s="106">
        <f t="shared" si="228"/>
        <v>117.1346875</v>
      </c>
      <c r="CB240" s="104">
        <f>('Renewable Diesel'!AA249*'Feedstock Conversion Rates'!B$4)/12</f>
        <v>191.25</v>
      </c>
      <c r="CC240" s="106">
        <f t="shared" si="213"/>
        <v>191.25</v>
      </c>
      <c r="CD240" s="104">
        <f>('Renewable Diesel'!$AB249*'RD Feedstock Breakdown'!CD$3*'Feedstock Conversion Rates'!$B$6)/12-15</f>
        <v>17.830000000000005</v>
      </c>
      <c r="CE240" s="104">
        <f>('Renewable Diesel'!$AB249*'RD Feedstock Breakdown'!CE$3*'Feedstock Conversion Rates'!$B$4)/12+15</f>
        <v>26.25</v>
      </c>
      <c r="CF240" s="106">
        <f t="shared" si="205"/>
        <v>44.080000000000005</v>
      </c>
      <c r="CG240" s="104">
        <f>('Renewable Diesel'!AD249*'Feedstock Conversion Rates'!B$4)/12</f>
        <v>112.5</v>
      </c>
      <c r="CH240" s="106">
        <f t="shared" si="187"/>
        <v>112.5</v>
      </c>
      <c r="CI240" s="104">
        <f>('Renewable Diesel'!$AE249*'RD Feedstock Breakdown'!CI$3*'Feedstock Conversion Rates'!$B$5)/12</f>
        <v>0.34604166666666664</v>
      </c>
      <c r="CJ240" s="104">
        <f>('Renewable Diesel'!$AE249*'RD Feedstock Breakdown'!CJ$3*'Feedstock Conversion Rates'!$B$4)/12</f>
        <v>0.34375</v>
      </c>
      <c r="CK240" s="106">
        <f t="shared" si="200"/>
        <v>0.68979166666666658</v>
      </c>
      <c r="CL240" s="104">
        <f>(((CL$3*'Renewable Diesel'!$AF249)*'Feedstock Conversion Rates'!$B$3)/12)-25</f>
        <v>66.78125</v>
      </c>
      <c r="CM240" s="104">
        <f>(((CM$3*'Renewable Diesel'!$AF249)*'Feedstock Conversion Rates'!$B$6)/12)+25</f>
        <v>78.739583333333343</v>
      </c>
      <c r="CN240" s="104">
        <f>(((CN$3*'Renewable Diesel'!$AF249)*'Feedstock Conversion Rates'!$B$4)/12)</f>
        <v>42.96875</v>
      </c>
      <c r="CO240" s="106">
        <f t="shared" si="190"/>
        <v>188.48958333333334</v>
      </c>
      <c r="CP240" s="104">
        <f>('Renewable Diesel'!$AG249*'RD Feedstock Breakdown'!CP$3*'Feedstock Conversion Rates'!$B$3)/12</f>
        <v>6.0075000000000003</v>
      </c>
      <c r="CQ240" s="104">
        <f>('Renewable Diesel'!$AG249*'RD Feedstock Breakdown'!CQ$3*'Feedstock Conversion Rates'!$B$6)/12</f>
        <v>3.5175000000000001</v>
      </c>
      <c r="CR240" s="104">
        <f>('Renewable Diesel'!$AG249*'RD Feedstock Breakdown'!CR$3*'Feedstock Conversion Rates'!$B$4)/12</f>
        <v>2.8125</v>
      </c>
      <c r="CS240" s="106">
        <f t="shared" si="134"/>
        <v>12.3375</v>
      </c>
      <c r="CT240" s="104">
        <f>('Renewable Diesel'!AI249*'Feedstock Conversion Rates'!$B$4*'RD Feedstock Breakdown'!$CT$3)/12</f>
        <v>29.375</v>
      </c>
      <c r="CU240" s="106">
        <f t="shared" si="196"/>
        <v>29.375</v>
      </c>
      <c r="CV240" s="104">
        <f>('Renewable Diesel'!AN249*'Feedstock Conversion Rates'!$B$3*'RD Feedstock Breakdown'!$CV$3)/12</f>
        <v>0.50062499999999999</v>
      </c>
      <c r="CW240" s="106">
        <f t="shared" si="161"/>
        <v>0.50062499999999999</v>
      </c>
      <c r="CX240" s="104">
        <f>('Renewable Diesel'!AO249*'RD Feedstock Breakdown'!$CX$3*'Feedstock Conversion Rates'!$B$3)/12</f>
        <v>6.3412499999999996</v>
      </c>
      <c r="CY240" s="104">
        <f>('Renewable Diesel'!AO249*'RD Feedstock Breakdown'!$CY$3*'Feedstock Conversion Rates'!$B$6)/12</f>
        <v>7.4258333333333342</v>
      </c>
      <c r="CZ240" s="106">
        <f t="shared" si="135"/>
        <v>13.767083333333334</v>
      </c>
      <c r="DA240" s="104">
        <f>('Renewable Diesel'!$AP249*'RD Feedstock Breakdown'!DA$3*'Feedstock Conversion Rates'!$B$3)/12</f>
        <v>6.3412499999999996</v>
      </c>
      <c r="DB240" s="104">
        <f>('Renewable Diesel'!$AP249*'RD Feedstock Breakdown'!DB$3*'Feedstock Conversion Rates'!$B$8)/12</f>
        <v>7.421875</v>
      </c>
      <c r="DC240" s="106">
        <f t="shared" si="165"/>
        <v>13.763124999999999</v>
      </c>
      <c r="DD240" s="104">
        <f>('Renewable Diesel'!AQ249*$DD$3*'Feedstock Conversion Rates'!$B$14)/12</f>
        <v>3.1041666666666665</v>
      </c>
      <c r="DE240" s="106">
        <f t="shared" si="166"/>
        <v>3.1041666666666665</v>
      </c>
      <c r="DF240" s="104">
        <f>('Renewable Diesel'!AR249*'Feedstock Conversion Rates'!$B$4*$DF$3)/12</f>
        <v>75</v>
      </c>
      <c r="DG240" s="106">
        <f t="shared" si="136"/>
        <v>75</v>
      </c>
      <c r="DH240" s="104">
        <f>('Renewable Diesel'!AS249*'Feedstock Conversion Rates'!$B$4*$DH$3)/12</f>
        <v>75</v>
      </c>
      <c r="DI240" s="106">
        <f t="shared" si="142"/>
        <v>75</v>
      </c>
      <c r="DJ240" s="104">
        <f>('Renewable Diesel'!AT249*'Feedstock Conversion Rates'!$B$4*0.25)/12</f>
        <v>8.59375</v>
      </c>
      <c r="DK240" s="104">
        <f>('Renewable Diesel'!$AT249*'RD Feedstock Breakdown'!DK$3*'Feedstock Conversion Rates'!$B$3)/12*0.5</f>
        <v>9.1781249999999996</v>
      </c>
      <c r="DL240" s="104">
        <f>('Renewable Diesel'!$AT249*'RD Feedstock Breakdown'!$DL$3*'Feedstock Conversion Rates'!$B$6)/12</f>
        <v>10.747916666666669</v>
      </c>
      <c r="DM240" s="104">
        <f>('Renewable Diesel'!$AT249*'RD Feedstock Breakdown'!$DM$3*'Feedstock Conversion Rates'!$B$8)/12</f>
        <v>10.7421875</v>
      </c>
      <c r="DN240" s="106">
        <f t="shared" si="210"/>
        <v>39.26197916666667</v>
      </c>
      <c r="DP240" s="104">
        <f t="shared" si="168"/>
        <v>52.470249999999993</v>
      </c>
      <c r="DQ240" s="104">
        <f t="shared" si="169"/>
        <v>733.27964250000002</v>
      </c>
      <c r="DR240" s="104">
        <f t="shared" si="174"/>
        <v>1762.984375</v>
      </c>
      <c r="DS240" s="104">
        <f t="shared" si="197"/>
        <v>126.59239583333334</v>
      </c>
      <c r="DT240" s="104">
        <f t="shared" si="170"/>
        <v>280.53923333333341</v>
      </c>
      <c r="DU240" s="104">
        <f t="shared" si="171"/>
        <v>249.72693333333333</v>
      </c>
      <c r="DV240" s="104">
        <f t="shared" si="175"/>
        <v>19.75</v>
      </c>
      <c r="DW240" s="104">
        <f t="shared" si="172"/>
        <v>2.5</v>
      </c>
      <c r="DX240" s="106">
        <f t="shared" si="176"/>
        <v>3227.84283</v>
      </c>
      <c r="DY240" s="109">
        <f t="shared" si="163"/>
        <v>-135.00000000000014</v>
      </c>
      <c r="EA240" s="110">
        <f t="shared" si="218"/>
        <v>1.6255515761899719E-2</v>
      </c>
      <c r="EB240" s="110">
        <f t="shared" si="219"/>
        <v>0.2271732798402703</v>
      </c>
      <c r="EC240" s="110">
        <f t="shared" si="220"/>
        <v>0.54618036498388001</v>
      </c>
      <c r="ED240" s="110">
        <f t="shared" si="146"/>
        <v>3.9218884716680377E-2</v>
      </c>
      <c r="EE240" s="110">
        <f t="shared" si="146"/>
        <v>8.691229657341569E-2</v>
      </c>
      <c r="EF240" s="110">
        <f t="shared" si="146"/>
        <v>7.736650961203502E-2</v>
      </c>
      <c r="EG240" s="110">
        <f t="shared" si="146"/>
        <v>6.1186374430752567E-3</v>
      </c>
      <c r="EH240" s="111">
        <f t="shared" si="177"/>
        <v>7.745110687437033E-4</v>
      </c>
      <c r="EI240" s="110">
        <f t="shared" si="178"/>
        <v>0.9992254889312564</v>
      </c>
      <c r="EK240" s="132">
        <f>(EA240*'Renewable Diesel'!BF249*'Feedstock Conversion Rates'!B$2)+FB240</f>
        <v>108.26851014047978</v>
      </c>
      <c r="EL240" s="132">
        <f>(EB240*'Renewable Diesel'!BF249*'Feedstock Conversion Rates'!B$3)+FC240</f>
        <v>1425.8447657541456</v>
      </c>
      <c r="EM240" s="132">
        <f>(EC240*'Renewable Diesel'!BF249*'Feedstock Conversion Rates'!B$4)+FD240</f>
        <v>3209.813712625305</v>
      </c>
      <c r="EN240" s="132">
        <f>(ED240*'Renewable Diesel'!BF249*'Feedstock Conversion Rates'!B$5)+FE240</f>
        <v>232.01959921718344</v>
      </c>
      <c r="EO240" s="132">
        <f>(EE240*'Renewable Diesel'!BF249*'Feedstock Conversion Rates'!B$6)+FF240</f>
        <v>638.80240953475618</v>
      </c>
      <c r="EP240" s="132">
        <f>(EF240*'Renewable Diesel'!BF249*'Feedstock Conversion Rates'!B$7)+FG240</f>
        <v>557.72911031287128</v>
      </c>
      <c r="EQ240" s="132">
        <f>(EG240*'Renewable Diesel'!BF249*'Feedstock Conversion Rates'!B$8)+FH240</f>
        <v>44.947803936400298</v>
      </c>
      <c r="ER240" s="132">
        <f>(EH240*'Renewable Diesel'!BF249*'Feedstock Conversion Rates'!B$9)+FI240</f>
        <v>5.6137341625208803</v>
      </c>
      <c r="ES240" s="132">
        <f t="shared" si="179"/>
        <v>6223.0396456836615</v>
      </c>
      <c r="ET240" s="133">
        <f>ES240/'Renewable Diesel'!BF249</f>
        <v>10.408821475109123</v>
      </c>
      <c r="EW240" s="73">
        <f t="shared" si="223"/>
        <v>4257.5841565306991</v>
      </c>
      <c r="EX240" s="73">
        <f t="shared" si="224"/>
        <v>3440.3816077502461</v>
      </c>
      <c r="EY240" s="92">
        <f t="shared" si="164"/>
        <v>0.68416471675281476</v>
      </c>
      <c r="EZ240" s="92">
        <f t="shared" si="164"/>
        <v>0.5528458444156813</v>
      </c>
      <c r="FB240" s="102">
        <f>IF('Renewable Diesel'!$BG249&lt;1,0,(((('Renewable Diesel'!$BG249-1)*'Renewable Diesel'!$BF249)*'RD Feedstock Breakdown'!EA240)*'Feedstock Conversion Rates'!$B$2))</f>
        <v>25.660780345272094</v>
      </c>
      <c r="FC240" s="102">
        <f>IF('Renewable Diesel'!$BG249&lt;1,0,(((('Renewable Diesel'!$BG249-1)*'Renewable Diesel'!$BF249)*'RD Feedstock Breakdown'!EB240)*'Feedstock Conversion Rates'!$B$3))</f>
        <v>337.94026807055258</v>
      </c>
      <c r="FD240" s="102">
        <f>IF('Renewable Diesel'!$BG249&lt;1,0,(((('Renewable Diesel'!$BG249-1)*'Renewable Diesel'!$BF249)*'RD Feedstock Breakdown'!EC240)*'Feedstock Conversion Rates'!$B$4))</f>
        <v>760.75974927565653</v>
      </c>
      <c r="FE240" s="102">
        <f>IF('Renewable Diesel'!$BG249&lt;1,0,(((('Renewable Diesel'!$BG249-1)*'Renewable Diesel'!$BF249)*'RD Feedstock Breakdown'!ED240)*'Feedstock Conversion Rates'!$B$5))</f>
        <v>54.991095412554145</v>
      </c>
      <c r="FF240" s="102">
        <f>IF('Renewable Diesel'!$BG249&lt;1,0,(((('Renewable Diesel'!$BG249-1)*'Renewable Diesel'!$BF249)*'RD Feedstock Breakdown'!EE240)*'Feedstock Conversion Rates'!$B$6))</f>
        <v>151.40291755961988</v>
      </c>
      <c r="FG240" s="102">
        <f>IF('Renewable Diesel'!$BG249&lt;1,0,(((('Renewable Diesel'!$BG249-1)*'Renewable Diesel'!$BF249)*'RD Feedstock Breakdown'!EF240)*'Feedstock Conversion Rates'!$B$7))</f>
        <v>132.18768941525954</v>
      </c>
      <c r="FH240" s="102">
        <f>IF('Renewable Diesel'!$BG249&lt;1,0,(((('Renewable Diesel'!$BG249-1)*'Renewable Diesel'!$BF249)*'RD Feedstock Breakdown'!EG240)*'Feedstock Conversion Rates'!$B$8))</f>
        <v>10.653104234257761</v>
      </c>
      <c r="FI240" s="102">
        <f>IF('Renewable Diesel'!$BG249&lt;1,0,(((('Renewable Diesel'!$BG249-1)*'Renewable Diesel'!$BF249)*'RD Feedstock Breakdown'!EH240)*'Feedstock Conversion Rates'!$B$9))</f>
        <v>1.3305142841098296</v>
      </c>
      <c r="FJ240" s="102">
        <f t="shared" si="225"/>
        <v>1474.9261185972823</v>
      </c>
      <c r="GD240" s="91">
        <f>'Renewable Diesel'!BB249*0.32</f>
        <v>0</v>
      </c>
      <c r="GE240" s="91">
        <f>'Renewable Diesel'!BC249</f>
        <v>348.25600037040306</v>
      </c>
      <c r="GF240" s="91">
        <f>'Renewable Diesel'!BD249</f>
        <v>0</v>
      </c>
      <c r="GG240" s="91">
        <f t="shared" si="206"/>
        <v>348.25600037040306</v>
      </c>
      <c r="GH240" s="124">
        <v>1</v>
      </c>
      <c r="GI240" s="102">
        <f>$GG240*EA240*'Feedstock Conversion Rates'!$B$2</f>
        <v>48.119187677176555</v>
      </c>
      <c r="GJ240" s="102">
        <f>$GG240*EB240*'Feedstock Conversion Rates'!$B$3</f>
        <v>633.70680720387281</v>
      </c>
      <c r="GK240" s="102">
        <f>$GG240*EC240*'Feedstock Conversion Rates'!$B$4</f>
        <v>1426.5794204259973</v>
      </c>
      <c r="GL240" s="102">
        <f>$GG240*ED240*'Feedstock Conversion Rates'!$B$5</f>
        <v>103.11950007466372</v>
      </c>
      <c r="GM240" s="102">
        <f>$GG240*EE240*'Feedstock Conversion Rates'!$B$6</f>
        <v>283.91129602828863</v>
      </c>
      <c r="GN240" s="102">
        <f>$GG240*EF240*'Feedstock Conversion Rates'!$B$7</f>
        <v>247.87883104097205</v>
      </c>
      <c r="GO240" s="102">
        <f>$GG240*EG240*'Feedstock Conversion Rates'!$B$8</f>
        <v>19.976739409143551</v>
      </c>
      <c r="GP240" s="102">
        <f>$GG240*EH240*'Feedstock Conversion Rates'!B$9</f>
        <v>2.494985175150418</v>
      </c>
      <c r="GQ240" s="102">
        <f t="shared" si="180"/>
        <v>2765.7867670352653</v>
      </c>
      <c r="GR240" s="85">
        <f t="shared" si="204"/>
        <v>7.9418208561908212</v>
      </c>
      <c r="GT240" s="103">
        <f t="shared" si="159"/>
        <v>1.7398010667596421E-2</v>
      </c>
      <c r="GU240" s="103">
        <f t="shared" si="159"/>
        <v>0.229123522737497</v>
      </c>
      <c r="GV240" s="103">
        <f t="shared" si="159"/>
        <v>0.51579515725111147</v>
      </c>
      <c r="GW240" s="103">
        <f t="shared" si="159"/>
        <v>3.7283966104589047E-2</v>
      </c>
      <c r="GX240" s="103">
        <f t="shared" si="158"/>
        <v>0.10265118750735158</v>
      </c>
      <c r="GY240" s="103">
        <f t="shared" si="158"/>
        <v>8.9623261632233969E-2</v>
      </c>
      <c r="GZ240" s="103">
        <f t="shared" si="158"/>
        <v>7.222805332371034E-3</v>
      </c>
      <c r="HA240" s="103">
        <f t="shared" si="158"/>
        <v>9.0208876724971548E-4</v>
      </c>
    </row>
    <row r="241" spans="1:209" x14ac:dyDescent="0.25">
      <c r="A241" s="96">
        <v>47757</v>
      </c>
      <c r="B241" s="104">
        <f>23-20+10+85-5-4-4-1.25+2.25-5+15-6-25-45+65+15-22.5-50+40+16.5+27.5+168+80+14-30+15-50-19+22.5-10+5+11-25-50-12.5-27.5-10+10+2+4-1.5+12-26-15-50-15+10-32.5-3-5-2.5-1+5+10-50-35-9-0.5+25+15+25+20+15+85-25+12.5-52.5+10+20-150+20-20+55-25-25+150-100</f>
        <v>55</v>
      </c>
      <c r="C241" s="104">
        <f>40-10-2.5-27.5+25+25+25-70+120-15-100-10+100</f>
        <v>100</v>
      </c>
      <c r="D241" s="104">
        <f t="shared" si="192"/>
        <v>1.5</v>
      </c>
      <c r="E241" s="104">
        <f>('Renewable Diesel'!B250*E$3*'Feedstock Conversion Rates'!$B$2)/12-40+1.25+6-43+30-15+12.5-4+1.5+26+2.5+3-10+50+9-15-25-55+15+45+10-50+60-60</f>
        <v>44.679999999999993</v>
      </c>
      <c r="F241" s="104">
        <f>('Renewable Diesel'!B250*'RD Feedstock Breakdown'!F$3*'Feedstock Conversion Rates'!B$8)/12+28.5-49-5+2-6+1+6+20-20-3.75+10+2.5+5-20-20</f>
        <v>5.15625</v>
      </c>
      <c r="G241" s="104">
        <f>('Renewable Diesel'!B250*'RD Feedstock Breakdown'!G$3*'Feedstock Conversion Rates'!B$7)/12-25-15-25+4+4-20-40-20+10-17.5+20+50-12+32.5+35-75-75+22.5+5-20+15+125-10-45-10-40-40</f>
        <v>9.6570000000000107</v>
      </c>
      <c r="H241" s="104">
        <f>('Renewable Diesel'!B250*'RD Feedstock Breakdown'!H$3*'Feedstock Conversion Rates'!B$3)/12-85+4-15+70-65-80+50-22.5-5+25+27.5+15+50+15-10+5+50+75-5-25-85-12.5+30+22.5-25-30+150+90-120+25+10+70+55-150</f>
        <v>280.40022499999998</v>
      </c>
      <c r="I241" s="106">
        <f t="shared" si="203"/>
        <v>496.39347499999997</v>
      </c>
      <c r="J241" s="104">
        <f>58.5+40+43+1.5+102-19+38-8.5-35-7.5-29-30-30-5+15+10-7-45-10-1-75+2.5+18+5+130+15-5+15+10-75-120+12+35-24-20-4+10</f>
        <v>10.5</v>
      </c>
      <c r="K241" s="104"/>
      <c r="L241" s="104">
        <v>1</v>
      </c>
      <c r="M241" s="104">
        <f>('Renewable Diesel'!C250*'RD Feedstock Breakdown'!M$3*'Feedstock Conversion Rates'!B$2)/12</f>
        <v>7.7902500000000003</v>
      </c>
      <c r="N241" s="104">
        <f>('Renewable Diesel'!C250*'RD Feedstock Breakdown'!N$3*'Feedstock Conversion Rates'!B$8)/12</f>
        <v>3.671875</v>
      </c>
      <c r="O241" s="104">
        <f>('Renewable Diesel'!C250*'RD Feedstock Breakdown'!O$3*'Feedstock Conversion Rates'!B$7)/12</f>
        <v>11.9991</v>
      </c>
      <c r="P241" s="104">
        <f>('Renewable Diesel'!C250*'RD Feedstock Breakdown'!P$3*'Feedstock Conversion Rates'!B$3)/12</f>
        <v>10.4470425</v>
      </c>
      <c r="Q241" s="106">
        <f t="shared" si="216"/>
        <v>45.408267500000001</v>
      </c>
      <c r="R241" s="104">
        <f>('Renewable Diesel'!D250*'RD Feedstock Breakdown'!R$3*'Feedstock Conversion Rates'!B$7)/12</f>
        <v>2.2999999999999998</v>
      </c>
      <c r="S241" s="106">
        <f t="shared" si="148"/>
        <v>2.2999999999999998</v>
      </c>
      <c r="T241" s="104">
        <f t="shared" si="221"/>
        <v>0.82500000000000284</v>
      </c>
      <c r="U241" s="104">
        <v>30</v>
      </c>
      <c r="V241" s="104">
        <f>('Renewable Diesel'!E250*'RD Feedstock Breakdown'!V$3*'Feedstock Conversion Rates'!B$6)/12-20+25-35+15</f>
        <v>29.250150000000012</v>
      </c>
      <c r="W241" s="104">
        <f>('Renewable Diesel'!E250*'RD Feedstock Breakdown'!W$3*'Feedstock Conversion Rates'!B$8)/12-6-10</f>
        <v>6.1796875</v>
      </c>
      <c r="X241" s="106">
        <f t="shared" si="185"/>
        <v>66.254837500000008</v>
      </c>
      <c r="Y241" s="104">
        <f>50+32-80+171+60-15-75-30-15-5-47.5+5+72.5-70+55+1+27.5+5</f>
        <v>141.5</v>
      </c>
      <c r="Z241" s="104">
        <f>('Renewable Diesel'!F250*'RD Feedstock Breakdown'!Z$3*'Feedstock Conversion Rates'!B$6)/12-50-32-60+15+15+47.5-72.5+70-27.5-5</f>
        <v>59.960000000000008</v>
      </c>
      <c r="AA241" s="104">
        <f>('Renewable Diesel'!F250*'RD Feedstock Breakdown'!AA$3*'Feedstock Conversion Rates'!B$7)/12+80-171+75+30-55-1</f>
        <v>62.266666666666652</v>
      </c>
      <c r="AB241" s="106">
        <f t="shared" si="137"/>
        <v>263.72666666666669</v>
      </c>
      <c r="AC241" s="104">
        <f>('Renewable Diesel'!G250*'RD Feedstock Breakdown'!AC$3*'Feedstock Conversion Rates'!B$5)/12</f>
        <v>11.796875</v>
      </c>
      <c r="AD241" s="104">
        <f>('Renewable Diesel'!G250*'RD Feedstock Breakdown'!AD$3*'Feedstock Conversion Rates'!B$4)/12</f>
        <v>5.859375</v>
      </c>
      <c r="AE241" s="104">
        <f>('Renewable Diesel'!G250*'RD Feedstock Breakdown'!AE$3*'Feedstock Conversion Rates'!B$6)/12</f>
        <v>7.3281250000000009</v>
      </c>
      <c r="AF241" s="106">
        <f t="shared" si="198"/>
        <v>24.984375</v>
      </c>
      <c r="AG241" s="104">
        <f t="shared" si="230"/>
        <v>6.5</v>
      </c>
      <c r="AH241" s="104">
        <v>135</v>
      </c>
      <c r="AI241" s="104">
        <f>('Renewable Diesel'!H250*'RD Feedstock Breakdown'!AI$3*'Feedstock Conversion Rates'!B$6)/12-130-20+51-120+105-40+25-10-2.5</f>
        <v>7.0166666666666799</v>
      </c>
      <c r="AJ241" s="106">
        <f t="shared" si="145"/>
        <v>13.51666666666668</v>
      </c>
      <c r="AK241" s="104">
        <f>('Renewable Diesel'!J250*'RD Feedstock Breakdown'!AK$3*'Feedstock Conversion Rates'!B$4)/12</f>
        <v>95.8125</v>
      </c>
      <c r="AL241" s="106">
        <f t="shared" si="157"/>
        <v>95.8125</v>
      </c>
      <c r="AM241" s="104">
        <f>('Renewable Diesel'!K250*'RD Feedstock Breakdown'!AM$3*'Feedstock Conversion Rates'!B$4)/12+5+15-10+2.5+7-35</f>
        <v>43.09375</v>
      </c>
      <c r="AN241" s="104">
        <f>('Renewable Diesel'!K250*'RD Feedstock Breakdown'!AN$3*'Feedstock Conversion Rates'!B$6)/12-5-15+10-2.5-7+35</f>
        <v>39.927083333333329</v>
      </c>
      <c r="AO241" s="106">
        <f t="shared" si="173"/>
        <v>83.020833333333329</v>
      </c>
      <c r="AP241" s="104">
        <f>('Renewable Diesel'!L250*'RD Feedstock Breakdown'!AP$3*'Feedstock Conversion Rates'!B$4)/12+15-10+5+2.5+7</f>
        <v>78.09375</v>
      </c>
      <c r="AQ241" s="104">
        <f>('Renewable Diesel'!L250*'RD Feedstock Breakdown'!AQ$3*'Feedstock Conversion Rates'!B$6)/12-15+10-5-2.5-7</f>
        <v>4.9270833333333321</v>
      </c>
      <c r="AR241" s="106">
        <f t="shared" si="162"/>
        <v>83.020833333333329</v>
      </c>
      <c r="AS241" s="104">
        <f>('Renewable Diesel'!M250*'RD Feedstock Breakdown'!AS$3*'Feedstock Conversion Rates'!B$4)/12-25-50</f>
        <v>381.25</v>
      </c>
      <c r="AT241" s="104">
        <f>('Renewable Diesel'!M250*'RD Feedstock Breakdown'!AT$3*'Feedstock Conversion Rates'!B$5)/12+25+50</f>
        <v>75</v>
      </c>
      <c r="AU241" s="106">
        <f t="shared" si="201"/>
        <v>456.25</v>
      </c>
      <c r="AV241" s="104">
        <f>'Renewable Diesel'!N250*'RD Feedstock Breakdown'!$AV$3*'Feedstock Conversion Rates'!$B$4/12-15-10+25+25-22+15-50</f>
        <v>46.749999999999986</v>
      </c>
      <c r="AW241" s="104">
        <f>'Renewable Diesel'!N250*'RD Feedstock Breakdown'!$AW$3*'Feedstock Conversion Rates'!$B$7/12+15+10-25-25+22-15+50</f>
        <v>73.400000000000006</v>
      </c>
      <c r="AX241" s="106">
        <f t="shared" si="141"/>
        <v>120.14999999999999</v>
      </c>
      <c r="AY241" s="104">
        <f>('Renewable Diesel'!O250*'RD Feedstock Breakdown'!AY$3*'Feedstock Conversion Rates'!B$4)/12+32+2-125-25-50-182</f>
        <v>-137.0625</v>
      </c>
      <c r="AZ241" s="104">
        <f>('Renewable Diesel'!O250*'RD Feedstock Breakdown'!AZ$3*'Feedstock Conversion Rates'!B$3)/12-32-2+125+25+50+182</f>
        <v>373.03125</v>
      </c>
      <c r="BA241" s="106">
        <f t="shared" si="217"/>
        <v>235.96875</v>
      </c>
      <c r="BB241" s="104">
        <f>('Renewable Diesel'!Q250*'RD Feedstock Breakdown'!BB$3*'Feedstock Conversion Rates'!B$4)/12-10</f>
        <v>1.1562499999999982</v>
      </c>
      <c r="BC241" s="104">
        <f>('Renewable Diesel'!Q250*'RD Feedstock Breakdown'!BC$3*'Feedstock Conversion Rates'!B$3)/12+10</f>
        <v>11.40175</v>
      </c>
      <c r="BD241" s="104">
        <f>('Renewable Diesel'!Q250*'RD Feedstock Breakdown'!BD$3*'Feedstock Conversion Rates'!B$6)/12</f>
        <v>0.8207500000000002</v>
      </c>
      <c r="BE241" s="106">
        <f t="shared" si="189"/>
        <v>13.378749999999998</v>
      </c>
      <c r="BF241" s="104">
        <f>('Renewable Diesel'!R250*'RD Feedstock Breakdown'!BF$3*'Feedstock Conversion Rates'!B$4)/12</f>
        <v>62.5</v>
      </c>
      <c r="BG241" s="106">
        <f t="shared" si="167"/>
        <v>62.5</v>
      </c>
      <c r="BH241" s="104">
        <f>('Renewable Diesel'!T250*'RD Feedstock Breakdown'!BH$3*'Feedstock Conversion Rates'!B$7)/12</f>
        <v>27.599999999999998</v>
      </c>
      <c r="BI241" s="106">
        <f t="shared" si="144"/>
        <v>27.599999999999998</v>
      </c>
      <c r="BJ241" s="104">
        <f>('Renewable Diesel'!W250*'RD Feedstock Breakdown'!BJ$3*'Feedstock Conversion Rates'!B$4)/12</f>
        <v>7.5</v>
      </c>
      <c r="BK241" s="104">
        <f>('Renewable Diesel'!W250*'RD Feedstock Breakdown'!BK$3*'Feedstock Conversion Rates'!B$3)/12</f>
        <v>1.335</v>
      </c>
      <c r="BL241" s="104">
        <f>('Renewable Diesel'!W250*'RD Feedstock Breakdown'!BL$3*'Feedstock Conversion Rates'!B$6)/12</f>
        <v>3.1266666666666669</v>
      </c>
      <c r="BM241" s="104">
        <f>('Renewable Diesel'!W250*'RD Feedstock Breakdown'!BM$3*'Feedstock Conversion Rates'!B$7)/12</f>
        <v>1.5333333333333332</v>
      </c>
      <c r="BN241" s="106">
        <f t="shared" si="209"/>
        <v>13.495000000000001</v>
      </c>
      <c r="BO241" s="104">
        <f>('Renewable Diesel'!P250*'Feedstock Conversion Rates'!B$4)/12</f>
        <v>31.25</v>
      </c>
      <c r="BP241" s="106">
        <f t="shared" si="199"/>
        <v>31.25</v>
      </c>
      <c r="BQ241" s="104">
        <f>('Renewable Diesel'!$S250*'RD Feedstock Breakdown'!BQ$3*'Feedstock Conversion Rates'!B$4)/12+10</f>
        <v>38.125</v>
      </c>
      <c r="BR241" s="104">
        <f>('Renewable Diesel'!$S250*'RD Feedstock Breakdown'!BR$3*'Feedstock Conversion Rates'!B$7)/12-10</f>
        <v>1.5</v>
      </c>
      <c r="BS241" s="106">
        <f t="shared" si="222"/>
        <v>39.625</v>
      </c>
      <c r="BT241" s="106"/>
      <c r="BU241" s="104">
        <f>('Renewable Diesel'!Y250*'Feedstock Conversion Rates'!B$7)/12</f>
        <v>2.6833333333333331</v>
      </c>
      <c r="BV241" s="106">
        <f t="shared" si="191"/>
        <v>2.6833333333333331</v>
      </c>
      <c r="BW241" s="104">
        <f>('Renewable Diesel'!$Z250*'RD Feedstock Breakdown'!BW$3*'Feedstock Conversion Rates'!$B$4)/12</f>
        <v>53.90625</v>
      </c>
      <c r="BX241" s="104">
        <f>('Renewable Diesel'!$Z250*'RD Feedstock Breakdown'!BX$3*'Feedstock Conversion Rates'!$B$5)/12</f>
        <v>5.4265624999999993</v>
      </c>
      <c r="BY241" s="104">
        <f>('Renewable Diesel'!$Z250*'RD Feedstock Breakdown'!BY$3*'Feedstock Conversion Rates'!$B$7)/12</f>
        <v>46.287499999999994</v>
      </c>
      <c r="BZ241" s="104">
        <f>('Renewable Diesel'!$Z250*'RD Feedstock Breakdown'!BZ$3*'Feedstock Conversion Rates'!$B$3)/12</f>
        <v>11.514374999999999</v>
      </c>
      <c r="CA241" s="106">
        <f t="shared" si="228"/>
        <v>117.1346875</v>
      </c>
      <c r="CB241" s="104">
        <f>('Renewable Diesel'!AA250*'Feedstock Conversion Rates'!B$4)/12</f>
        <v>191.25</v>
      </c>
      <c r="CC241" s="106">
        <f t="shared" si="213"/>
        <v>191.25</v>
      </c>
      <c r="CD241" s="104">
        <f>('Renewable Diesel'!$AB250*'RD Feedstock Breakdown'!CD$3*'Feedstock Conversion Rates'!$B$6)/12-15</f>
        <v>17.830000000000005</v>
      </c>
      <c r="CE241" s="104">
        <f>('Renewable Diesel'!$AB250*'RD Feedstock Breakdown'!CE$3*'Feedstock Conversion Rates'!$B$4)/12+15</f>
        <v>26.25</v>
      </c>
      <c r="CF241" s="106">
        <f t="shared" si="205"/>
        <v>44.080000000000005</v>
      </c>
      <c r="CG241" s="104">
        <f>('Renewable Diesel'!AD250*'Feedstock Conversion Rates'!B$4)/12</f>
        <v>112.5</v>
      </c>
      <c r="CH241" s="106">
        <f t="shared" si="187"/>
        <v>112.5</v>
      </c>
      <c r="CI241" s="104">
        <f>('Renewable Diesel'!$AE250*'RD Feedstock Breakdown'!CI$3*'Feedstock Conversion Rates'!$B$5)/12</f>
        <v>0.34604166666666664</v>
      </c>
      <c r="CJ241" s="104">
        <f>('Renewable Diesel'!$AE250*'RD Feedstock Breakdown'!CJ$3*'Feedstock Conversion Rates'!$B$4)/12</f>
        <v>0.34375</v>
      </c>
      <c r="CK241" s="106">
        <f t="shared" si="200"/>
        <v>0.68979166666666658</v>
      </c>
      <c r="CL241" s="104">
        <f>(((CL$3*'Renewable Diesel'!$AF250)*'Feedstock Conversion Rates'!$B$3)/12)-25</f>
        <v>66.78125</v>
      </c>
      <c r="CM241" s="104">
        <f>(((CM$3*'Renewable Diesel'!$AF250)*'Feedstock Conversion Rates'!$B$6)/12)+25</f>
        <v>78.739583333333343</v>
      </c>
      <c r="CN241" s="104">
        <f>(((CN$3*'Renewable Diesel'!$AF250)*'Feedstock Conversion Rates'!$B$4)/12)</f>
        <v>42.96875</v>
      </c>
      <c r="CO241" s="106">
        <f t="shared" si="190"/>
        <v>188.48958333333334</v>
      </c>
      <c r="CP241" s="104">
        <f>('Renewable Diesel'!$AG250*'RD Feedstock Breakdown'!CP$3*'Feedstock Conversion Rates'!$B$3)/12</f>
        <v>6.0075000000000003</v>
      </c>
      <c r="CQ241" s="104">
        <f>('Renewable Diesel'!$AG250*'RD Feedstock Breakdown'!CQ$3*'Feedstock Conversion Rates'!$B$6)/12</f>
        <v>3.5175000000000001</v>
      </c>
      <c r="CR241" s="104">
        <f>('Renewable Diesel'!$AG250*'RD Feedstock Breakdown'!CR$3*'Feedstock Conversion Rates'!$B$4)/12</f>
        <v>2.8125</v>
      </c>
      <c r="CS241" s="106">
        <f t="shared" ref="CS241:CS304" si="231">SUM(CP241:CR241)</f>
        <v>12.3375</v>
      </c>
      <c r="CT241" s="104">
        <f>('Renewable Diesel'!AI250*'Feedstock Conversion Rates'!$B$4*'RD Feedstock Breakdown'!$CT$3)/12</f>
        <v>29.375</v>
      </c>
      <c r="CU241" s="106">
        <f t="shared" si="196"/>
        <v>29.375</v>
      </c>
      <c r="CV241" s="104">
        <f>('Renewable Diesel'!AN250*'Feedstock Conversion Rates'!$B$3*'RD Feedstock Breakdown'!$CV$3)/12</f>
        <v>0.50062499999999999</v>
      </c>
      <c r="CW241" s="106">
        <f t="shared" si="161"/>
        <v>0.50062499999999999</v>
      </c>
      <c r="CX241" s="104">
        <f>('Renewable Diesel'!AO250*'RD Feedstock Breakdown'!$CX$3*'Feedstock Conversion Rates'!$B$3)/12</f>
        <v>6.3412499999999996</v>
      </c>
      <c r="CY241" s="104">
        <f>('Renewable Diesel'!AO250*'RD Feedstock Breakdown'!$CY$3*'Feedstock Conversion Rates'!$B$6)/12</f>
        <v>7.4258333333333342</v>
      </c>
      <c r="CZ241" s="106">
        <f t="shared" si="135"/>
        <v>13.767083333333334</v>
      </c>
      <c r="DA241" s="104">
        <f>('Renewable Diesel'!$AP250*'RD Feedstock Breakdown'!DA$3*'Feedstock Conversion Rates'!$B$3)/12</f>
        <v>6.3412499999999996</v>
      </c>
      <c r="DB241" s="104">
        <f>('Renewable Diesel'!$AP250*'RD Feedstock Breakdown'!DB$3*'Feedstock Conversion Rates'!$B$8)/12</f>
        <v>7.421875</v>
      </c>
      <c r="DC241" s="106">
        <f t="shared" si="165"/>
        <v>13.763124999999999</v>
      </c>
      <c r="DD241" s="104">
        <f>('Renewable Diesel'!AQ250*$DD$3*'Feedstock Conversion Rates'!$B$14)/12</f>
        <v>3.1041666666666665</v>
      </c>
      <c r="DE241" s="106">
        <f t="shared" si="166"/>
        <v>3.1041666666666665</v>
      </c>
      <c r="DF241" s="104">
        <f>('Renewable Diesel'!AR250*'Feedstock Conversion Rates'!$B$4*$DF$3)/12</f>
        <v>75</v>
      </c>
      <c r="DG241" s="106">
        <f t="shared" si="136"/>
        <v>75</v>
      </c>
      <c r="DH241" s="104">
        <f>('Renewable Diesel'!AS250*'Feedstock Conversion Rates'!$B$4*$DH$3)/12</f>
        <v>75</v>
      </c>
      <c r="DI241" s="106">
        <f t="shared" si="142"/>
        <v>75</v>
      </c>
      <c r="DJ241" s="104">
        <f>('Renewable Diesel'!AT250*'Feedstock Conversion Rates'!$B$4*0.25)/12</f>
        <v>8.59375</v>
      </c>
      <c r="DK241" s="104">
        <f>('Renewable Diesel'!$AT250*'RD Feedstock Breakdown'!DK$3*'Feedstock Conversion Rates'!$B$3)/12*0.5</f>
        <v>9.1781249999999996</v>
      </c>
      <c r="DL241" s="104">
        <f>('Renewable Diesel'!$AT250*'RD Feedstock Breakdown'!$DL$3*'Feedstock Conversion Rates'!$B$6)/12</f>
        <v>10.747916666666669</v>
      </c>
      <c r="DM241" s="104">
        <f>('Renewable Diesel'!$AT250*'RD Feedstock Breakdown'!$DM$3*'Feedstock Conversion Rates'!$B$8)/12</f>
        <v>10.7421875</v>
      </c>
      <c r="DN241" s="106">
        <f t="shared" si="210"/>
        <v>39.26197916666667</v>
      </c>
      <c r="DP241" s="104">
        <f t="shared" si="168"/>
        <v>52.470249999999993</v>
      </c>
      <c r="DQ241" s="104">
        <f t="shared" si="169"/>
        <v>783.27964250000002</v>
      </c>
      <c r="DR241" s="104">
        <f t="shared" si="174"/>
        <v>1635.734375</v>
      </c>
      <c r="DS241" s="104">
        <f t="shared" si="197"/>
        <v>211.59239583333334</v>
      </c>
      <c r="DT241" s="104">
        <f t="shared" si="170"/>
        <v>278.03923333333341</v>
      </c>
      <c r="DU241" s="104">
        <f t="shared" si="171"/>
        <v>239.22693333333333</v>
      </c>
      <c r="DV241" s="104">
        <f t="shared" si="175"/>
        <v>25.75</v>
      </c>
      <c r="DW241" s="104">
        <f t="shared" si="172"/>
        <v>2.5</v>
      </c>
      <c r="DX241" s="106">
        <f t="shared" si="176"/>
        <v>3228.59283</v>
      </c>
      <c r="DY241" s="109">
        <f t="shared" si="163"/>
        <v>-135.00000000000014</v>
      </c>
      <c r="EA241" s="110">
        <f t="shared" si="218"/>
        <v>1.6251739616233985E-2</v>
      </c>
      <c r="EB241" s="110">
        <f t="shared" si="219"/>
        <v>0.24260713064273268</v>
      </c>
      <c r="EC241" s="110">
        <f t="shared" si="220"/>
        <v>0.5066400320910085</v>
      </c>
      <c r="ED241" s="110">
        <f t="shared" si="146"/>
        <v>6.5537033306653697E-2</v>
      </c>
      <c r="EE241" s="110">
        <f t="shared" si="146"/>
        <v>8.6117775753510983E-2</v>
      </c>
      <c r="EF241" s="110">
        <f t="shared" si="146"/>
        <v>7.4096346591134982E-2</v>
      </c>
      <c r="EG241" s="110">
        <f t="shared" si="146"/>
        <v>7.9756108483955215E-3</v>
      </c>
      <c r="EH241" s="111">
        <f t="shared" si="177"/>
        <v>7.743311503296623E-4</v>
      </c>
      <c r="EI241" s="110">
        <f t="shared" si="178"/>
        <v>0.99922566884967035</v>
      </c>
      <c r="EK241" s="132">
        <f>(EA241*'Renewable Diesel'!BF250*'Feedstock Conversion Rates'!B$2)+FB241</f>
        <v>118.49544207233336</v>
      </c>
      <c r="EL241" s="132">
        <f>(EB241*'Renewable Diesel'!BF250*'Feedstock Conversion Rates'!B$3)+FC241</f>
        <v>1666.9360608757668</v>
      </c>
      <c r="EM241" s="132">
        <f>(EC241*'Renewable Diesel'!BF250*'Feedstock Conversion Rates'!B$4)+FD241</f>
        <v>3259.4447981901835</v>
      </c>
      <c r="EN241" s="132">
        <f>(ED241*'Renewable Diesel'!BF250*'Feedstock Conversion Rates'!B$5)+FE241</f>
        <v>424.44028164931137</v>
      </c>
      <c r="EO241" s="132">
        <f>(EE241*'Renewable Diesel'!BF250*'Feedstock Conversion Rates'!B$6)+FF241</f>
        <v>692.91267721768975</v>
      </c>
      <c r="EP241" s="132">
        <f>(EF241*'Renewable Diesel'!BF250*'Feedstock Conversion Rates'!B$7)+FG241</f>
        <v>584.7463057809307</v>
      </c>
      <c r="EQ241" s="132">
        <f>(EG241*'Renewable Diesel'!BF250*'Feedstock Conversion Rates'!B$8)+FH241</f>
        <v>64.138396212249631</v>
      </c>
      <c r="ER241" s="132">
        <f>(EH241*'Renewable Diesel'!BF250*'Feedstock Conversion Rates'!B$9)+FI241</f>
        <v>6.1440017083578944</v>
      </c>
      <c r="ES241" s="132">
        <f t="shared" si="179"/>
        <v>6817.2579637068229</v>
      </c>
      <c r="ET241" s="133">
        <f>ES241/'Renewable Diesel'!BF250</f>
        <v>11.078443524064511</v>
      </c>
      <c r="EW241" s="73">
        <f t="shared" si="223"/>
        <v>4725.0316741228053</v>
      </c>
      <c r="EX241" s="73">
        <f t="shared" si="224"/>
        <v>4018.9326763026229</v>
      </c>
      <c r="EY241" s="92">
        <f t="shared" si="164"/>
        <v>0.69309855946152454</v>
      </c>
      <c r="EZ241" s="92">
        <f t="shared" si="164"/>
        <v>0.58952333881133701</v>
      </c>
      <c r="FB241" s="102">
        <f>IF('Renewable Diesel'!$BG250&lt;1,0,(((('Renewable Diesel'!$BG250-1)*'Renewable Diesel'!$BF250)*'RD Feedstock Breakdown'!EA241)*'Feedstock Conversion Rates'!$B$2))</f>
        <v>33.48940677516476</v>
      </c>
      <c r="FC241" s="102">
        <f>IF('Renewable Diesel'!$BG250&lt;1,0,(((('Renewable Diesel'!$BG250-1)*'Renewable Diesel'!$BF250)*'RD Feedstock Breakdown'!EB241)*'Feedstock Conversion Rates'!$B$3))</f>
        <v>471.11263382419543</v>
      </c>
      <c r="FD241" s="102">
        <f>IF('Renewable Diesel'!$BG250&lt;1,0,(((('Renewable Diesel'!$BG250-1)*'Renewable Diesel'!$BF250)*'RD Feedstock Breakdown'!EC241)*'Feedstock Conversion Rates'!$B$4))</f>
        <v>921.19047618011371</v>
      </c>
      <c r="FE241" s="102">
        <f>IF('Renewable Diesel'!$BG250&lt;1,0,(((('Renewable Diesel'!$BG250-1)*'Renewable Diesel'!$BF250)*'RD Feedstock Breakdown'!ED241)*'Feedstock Conversion Rates'!$B$5))</f>
        <v>119.95611810319636</v>
      </c>
      <c r="FF241" s="102">
        <f>IF('Renewable Diesel'!$BG250&lt;1,0,(((('Renewable Diesel'!$BG250-1)*'Renewable Diesel'!$BF250)*'RD Feedstock Breakdown'!EE241)*'Feedstock Conversion Rates'!$B$6))</f>
        <v>195.83229617259406</v>
      </c>
      <c r="FG241" s="102">
        <f>IF('Renewable Diesel'!$BG250&lt;1,0,(((('Renewable Diesel'!$BG250-1)*'Renewable Diesel'!$BF250)*'RD Feedstock Breakdown'!EF241)*'Feedstock Conversion Rates'!$B$7))</f>
        <v>165.26211094784981</v>
      </c>
      <c r="FH241" s="102">
        <f>IF('Renewable Diesel'!$BG250&lt;1,0,(((('Renewable Diesel'!$BG250-1)*'Renewable Diesel'!$BF250)*'RD Feedstock Breakdown'!EG241)*'Feedstock Conversion Rates'!$B$8))</f>
        <v>18.126915289682906</v>
      </c>
      <c r="FI241" s="102">
        <f>IF('Renewable Diesel'!$BG250&lt;1,0,(((('Renewable Diesel'!$BG250-1)*'Renewable Diesel'!$BF250)*'RD Feedstock Breakdown'!EH241)*'Feedstock Conversion Rates'!$B$9))</f>
        <v>1.7364294258078121</v>
      </c>
      <c r="FJ241" s="102">
        <f t="shared" si="225"/>
        <v>1926.7063867186046</v>
      </c>
      <c r="GD241" s="91">
        <f>'Renewable Diesel'!BB250*0.32</f>
        <v>0</v>
      </c>
      <c r="GE241" s="91">
        <f>'Renewable Diesel'!BC250</f>
        <v>341.07843546241088</v>
      </c>
      <c r="GF241" s="91">
        <f>'Renewable Diesel'!BD250</f>
        <v>0</v>
      </c>
      <c r="GG241" s="91">
        <f t="shared" si="206"/>
        <v>341.07843546241088</v>
      </c>
      <c r="GH241" s="124">
        <v>1</v>
      </c>
      <c r="GI241" s="102">
        <f>$GG241*EA241*'Feedstock Conversion Rates'!$B$2</f>
        <v>47.11650233570434</v>
      </c>
      <c r="GJ241" s="102">
        <f>$GG241*EB241*'Feedstock Conversion Rates'!$B$3</f>
        <v>662.81196501870033</v>
      </c>
      <c r="GK241" s="102">
        <f>$GG241*EC241*'Feedstock Conversion Rates'!$B$4</f>
        <v>1296.0299211617012</v>
      </c>
      <c r="GL241" s="102">
        <f>$GG241*ED241*'Feedstock Conversion Rates'!$B$5</f>
        <v>168.76717932736423</v>
      </c>
      <c r="GM241" s="102">
        <f>$GG241*EE241*'Feedstock Conversion Rates'!$B$6</f>
        <v>275.51795413900635</v>
      </c>
      <c r="GN241" s="102">
        <f>$GG241*EF241*'Feedstock Conversion Rates'!$B$7</f>
        <v>232.50852691282068</v>
      </c>
      <c r="GO241" s="102">
        <f>$GG241*EG241*'Feedstock Conversion Rates'!$B$8</f>
        <v>25.502895656510397</v>
      </c>
      <c r="GP241" s="102">
        <f>$GG241*EH241*'Feedstock Conversion Rates'!B$9</f>
        <v>2.4429958298793135</v>
      </c>
      <c r="GQ241" s="102">
        <f t="shared" si="180"/>
        <v>2710.6979403816867</v>
      </c>
      <c r="GR241" s="85">
        <f t="shared" si="204"/>
        <v>7.9474327853847084</v>
      </c>
      <c r="GT241" s="103">
        <f t="shared" si="159"/>
        <v>1.7381686699134754E-2</v>
      </c>
      <c r="GU241" s="103">
        <f t="shared" si="159"/>
        <v>0.24451708733189631</v>
      </c>
      <c r="GV241" s="103">
        <f t="shared" si="159"/>
        <v>0.47811668790334133</v>
      </c>
      <c r="GW241" s="103">
        <f t="shared" si="159"/>
        <v>6.2259677411198582E-2</v>
      </c>
      <c r="GX241" s="103">
        <f t="shared" si="158"/>
        <v>0.10164096487276311</v>
      </c>
      <c r="GY241" s="103">
        <f t="shared" si="158"/>
        <v>8.5774413832358509E-2</v>
      </c>
      <c r="GZ241" s="103">
        <f t="shared" si="158"/>
        <v>9.4082395816183773E-3</v>
      </c>
      <c r="HA241" s="103">
        <f t="shared" si="158"/>
        <v>9.0124236768900968E-4</v>
      </c>
    </row>
    <row r="242" spans="1:209" x14ac:dyDescent="0.25">
      <c r="A242" s="96">
        <v>47788</v>
      </c>
      <c r="B242" s="104">
        <f>23-20+10+85-5-4-4-1.25+2.25-5+15-6-25-45+65+15-22.5-50+40+16.5+27.5+168+80+14-30+15-50-19+22.5-10+5+11-25-50-12.5-27.5-10+10+2+4-1.5+12-26-15-50-15+10-32.5-3-5-2.5-1+5+10-50-35-9-0.5+25+15+25+20+15+85-25+12.5-52.5+10+20-150+20-20+55-25-25+25-30</f>
        <v>0</v>
      </c>
      <c r="C242" s="104">
        <f>40-10-2.5-27.5+25+25+25-70+120-15-100-10+30</f>
        <v>30</v>
      </c>
      <c r="D242" s="104">
        <f t="shared" si="192"/>
        <v>1.5</v>
      </c>
      <c r="E242" s="104">
        <f>('Renewable Diesel'!B251*E$3*'Feedstock Conversion Rates'!$B$2)/12-40+1.25+6-43+30-15+12.5-4+1.5+26+2.5+3-10+50+9-15-25-55+15+45+10-50+60-60</f>
        <v>44.679999999999993</v>
      </c>
      <c r="F242" s="104">
        <f>('Renewable Diesel'!B251*'RD Feedstock Breakdown'!F$3*'Feedstock Conversion Rates'!B$8)/12+28.5-49-5+2-6+1+6+20-20-3.75+10+2.5+5-20-20</f>
        <v>5.15625</v>
      </c>
      <c r="G242" s="104">
        <f>('Renewable Diesel'!B251*'RD Feedstock Breakdown'!G$3*'Feedstock Conversion Rates'!B$7)/12-25-15-25+4+4-20-40-20+10-17.5+20+50-12+32.5+35-75-75+22.5+5-20+15+125-10-45-10-40-40</f>
        <v>9.6570000000000107</v>
      </c>
      <c r="H242" s="104">
        <f>('Renewable Diesel'!B251*'RD Feedstock Breakdown'!H$3*'Feedstock Conversion Rates'!B$3)/12-85+4-15+70-65-80+50-22.5-5+25+27.5+15+50+15-10+5+50+75-5-25-85-12.5+30+22.5-25-30+150+90-120+25+10+70+30+40-40</f>
        <v>405.40022499999998</v>
      </c>
      <c r="I242" s="106">
        <f t="shared" si="203"/>
        <v>496.39347499999997</v>
      </c>
      <c r="J242" s="104">
        <f>58.5+40+43+1.5+102-19+38-8.5-35-7.5-29-30-30-5+15+10-7-45-10-1-75+2.5+18+5+130+15-5+15+10-75-120+12+35-24-20-4+20</f>
        <v>20.5</v>
      </c>
      <c r="K242" s="104"/>
      <c r="L242" s="104">
        <v>1</v>
      </c>
      <c r="M242" s="104">
        <f>('Renewable Diesel'!C251*'RD Feedstock Breakdown'!M$3*'Feedstock Conversion Rates'!B$2)/12</f>
        <v>7.7902500000000003</v>
      </c>
      <c r="N242" s="104">
        <f>('Renewable Diesel'!C251*'RD Feedstock Breakdown'!N$3*'Feedstock Conversion Rates'!B$8)/12</f>
        <v>3.671875</v>
      </c>
      <c r="O242" s="104">
        <f>('Renewable Diesel'!C251*'RD Feedstock Breakdown'!O$3*'Feedstock Conversion Rates'!B$7)/12</f>
        <v>11.9991</v>
      </c>
      <c r="P242" s="104">
        <f>('Renewable Diesel'!C251*'RD Feedstock Breakdown'!P$3*'Feedstock Conversion Rates'!B$3)/12</f>
        <v>10.4470425</v>
      </c>
      <c r="Q242" s="106">
        <f t="shared" si="216"/>
        <v>55.408267500000001</v>
      </c>
      <c r="R242" s="104">
        <f>('Renewable Diesel'!D251*'RD Feedstock Breakdown'!R$3*'Feedstock Conversion Rates'!B$7)/12</f>
        <v>2.2999999999999998</v>
      </c>
      <c r="S242" s="106">
        <f t="shared" si="148"/>
        <v>2.2999999999999998</v>
      </c>
      <c r="T242" s="104">
        <f t="shared" si="221"/>
        <v>0.82500000000000284</v>
      </c>
      <c r="U242" s="104">
        <v>30</v>
      </c>
      <c r="V242" s="104">
        <f>('Renewable Diesel'!E251*'RD Feedstock Breakdown'!V$3*'Feedstock Conversion Rates'!B$6)/12-20+25-35+15</f>
        <v>29.250150000000012</v>
      </c>
      <c r="W242" s="104">
        <f>('Renewable Diesel'!E251*'RD Feedstock Breakdown'!W$3*'Feedstock Conversion Rates'!B$8)/12-6-10</f>
        <v>6.1796875</v>
      </c>
      <c r="X242" s="106">
        <f t="shared" si="185"/>
        <v>66.254837500000008</v>
      </c>
      <c r="Y242" s="104">
        <f t="shared" ref="Y242:Y252" si="232">50+32-80+171+60-15-75-30-15-5-47.5+5+72.5-70+55+1+27.5+5</f>
        <v>141.5</v>
      </c>
      <c r="Z242" s="104">
        <f>('Renewable Diesel'!F251*'RD Feedstock Breakdown'!Z$3*'Feedstock Conversion Rates'!B$6)/12-50-32-60+15+15+47.5-72.5+70-27.5-5</f>
        <v>59.960000000000008</v>
      </c>
      <c r="AA242" s="104">
        <f>('Renewable Diesel'!F251*'RD Feedstock Breakdown'!AA$3*'Feedstock Conversion Rates'!B$7)/12+80-171+75+30-55-1</f>
        <v>62.266666666666652</v>
      </c>
      <c r="AB242" s="106">
        <f t="shared" si="137"/>
        <v>263.72666666666669</v>
      </c>
      <c r="AC242" s="104">
        <f>('Renewable Diesel'!G251*'RD Feedstock Breakdown'!AC$3*'Feedstock Conversion Rates'!B$5)/12</f>
        <v>11.796875</v>
      </c>
      <c r="AD242" s="104">
        <f>('Renewable Diesel'!G251*'RD Feedstock Breakdown'!AD$3*'Feedstock Conversion Rates'!B$4)/12</f>
        <v>5.859375</v>
      </c>
      <c r="AE242" s="104">
        <f>('Renewable Diesel'!G251*'RD Feedstock Breakdown'!AE$3*'Feedstock Conversion Rates'!B$6)/12</f>
        <v>7.3281250000000009</v>
      </c>
      <c r="AF242" s="106">
        <f t="shared" si="198"/>
        <v>24.984375</v>
      </c>
      <c r="AG242" s="104">
        <f t="shared" si="230"/>
        <v>6.5</v>
      </c>
      <c r="AH242" s="104">
        <v>135</v>
      </c>
      <c r="AI242" s="104">
        <f>('Renewable Diesel'!H251*'RD Feedstock Breakdown'!AI$3*'Feedstock Conversion Rates'!B$6)/12-130-20+51-120+105-40+25-10-2.5</f>
        <v>7.0166666666666799</v>
      </c>
      <c r="AJ242" s="106">
        <f t="shared" si="145"/>
        <v>13.51666666666668</v>
      </c>
      <c r="AK242" s="104">
        <f>('Renewable Diesel'!J251*'RD Feedstock Breakdown'!AK$3*'Feedstock Conversion Rates'!B$4)/12</f>
        <v>95.8125</v>
      </c>
      <c r="AL242" s="106">
        <f t="shared" si="157"/>
        <v>95.8125</v>
      </c>
      <c r="AM242" s="104">
        <f>('Renewable Diesel'!K251*'RD Feedstock Breakdown'!AM$3*'Feedstock Conversion Rates'!B$4)/12+5+15-10+2.5+7-35</f>
        <v>43.09375</v>
      </c>
      <c r="AN242" s="104">
        <f>('Renewable Diesel'!K251*'RD Feedstock Breakdown'!AN$3*'Feedstock Conversion Rates'!B$6)/12-5-15+10-2.5-7+35</f>
        <v>39.927083333333329</v>
      </c>
      <c r="AO242" s="106">
        <f t="shared" si="173"/>
        <v>83.020833333333329</v>
      </c>
      <c r="AP242" s="104">
        <f>('Renewable Diesel'!L251*'RD Feedstock Breakdown'!AP$3*'Feedstock Conversion Rates'!B$4)/12+15-10+5+2.5+7</f>
        <v>78.09375</v>
      </c>
      <c r="AQ242" s="104">
        <f>('Renewable Diesel'!L251*'RD Feedstock Breakdown'!AQ$3*'Feedstock Conversion Rates'!B$6)/12-15+10-5-2.5-7</f>
        <v>4.9270833333333321</v>
      </c>
      <c r="AR242" s="106">
        <f t="shared" si="162"/>
        <v>83.020833333333329</v>
      </c>
      <c r="AS242" s="104">
        <f>('Renewable Diesel'!M251*'RD Feedstock Breakdown'!AS$3*'Feedstock Conversion Rates'!B$4)/12-25-50</f>
        <v>381.25</v>
      </c>
      <c r="AT242" s="104">
        <f>('Renewable Diesel'!M251*'RD Feedstock Breakdown'!AT$3*'Feedstock Conversion Rates'!B$5)/12+25+50</f>
        <v>75</v>
      </c>
      <c r="AU242" s="106">
        <f t="shared" si="201"/>
        <v>456.25</v>
      </c>
      <c r="AV242" s="104">
        <f>'Renewable Diesel'!N251*'RD Feedstock Breakdown'!$AV$3*'Feedstock Conversion Rates'!$B$4/12-15-10+25+25-22+15-50</f>
        <v>46.749999999999986</v>
      </c>
      <c r="AW242" s="104">
        <f>'Renewable Diesel'!N251*'RD Feedstock Breakdown'!$AW$3*'Feedstock Conversion Rates'!$B$7/12+15+10-25-25+22-15+50</f>
        <v>73.400000000000006</v>
      </c>
      <c r="AX242" s="106">
        <f t="shared" si="141"/>
        <v>120.14999999999999</v>
      </c>
      <c r="AY242" s="104">
        <f>('Renewable Diesel'!O251*'RD Feedstock Breakdown'!AY$3*'Feedstock Conversion Rates'!B$4)/12+32+2-125-25-25-207</f>
        <v>-137.0625</v>
      </c>
      <c r="AZ242" s="104">
        <f>('Renewable Diesel'!O251*'RD Feedstock Breakdown'!AZ$3*'Feedstock Conversion Rates'!B$3)/12-32-2+125+25+25+207</f>
        <v>373.03125</v>
      </c>
      <c r="BA242" s="106">
        <f t="shared" si="217"/>
        <v>235.96875</v>
      </c>
      <c r="BB242" s="104">
        <f>('Renewable Diesel'!Q251*'RD Feedstock Breakdown'!BB$3*'Feedstock Conversion Rates'!B$4)/12-10</f>
        <v>1.1562499999999982</v>
      </c>
      <c r="BC242" s="104">
        <f>('Renewable Diesel'!Q251*'RD Feedstock Breakdown'!BC$3*'Feedstock Conversion Rates'!B$3)/12+10</f>
        <v>11.40175</v>
      </c>
      <c r="BD242" s="104">
        <f>('Renewable Diesel'!Q251*'RD Feedstock Breakdown'!BD$3*'Feedstock Conversion Rates'!B$6)/12</f>
        <v>0.8207500000000002</v>
      </c>
      <c r="BE242" s="106">
        <f t="shared" si="189"/>
        <v>13.378749999999998</v>
      </c>
      <c r="BF242" s="104">
        <f>('Renewable Diesel'!R251*'RD Feedstock Breakdown'!BF$3*'Feedstock Conversion Rates'!B$4)/12</f>
        <v>62.5</v>
      </c>
      <c r="BG242" s="106">
        <f t="shared" si="167"/>
        <v>62.5</v>
      </c>
      <c r="BH242" s="104">
        <f>('Renewable Diesel'!T251*'RD Feedstock Breakdown'!BH$3*'Feedstock Conversion Rates'!B$7)/12</f>
        <v>27.599999999999998</v>
      </c>
      <c r="BI242" s="106">
        <f t="shared" si="144"/>
        <v>27.599999999999998</v>
      </c>
      <c r="BJ242" s="104">
        <f>('Renewable Diesel'!W251*'RD Feedstock Breakdown'!BJ$3*'Feedstock Conversion Rates'!B$4)/12</f>
        <v>7.5</v>
      </c>
      <c r="BK242" s="104">
        <f>('Renewable Diesel'!W251*'RD Feedstock Breakdown'!BK$3*'Feedstock Conversion Rates'!B$3)/12</f>
        <v>1.335</v>
      </c>
      <c r="BL242" s="104">
        <f>('Renewable Diesel'!W251*'RD Feedstock Breakdown'!BL$3*'Feedstock Conversion Rates'!B$6)/12</f>
        <v>3.1266666666666669</v>
      </c>
      <c r="BM242" s="104">
        <f>('Renewable Diesel'!W251*'RD Feedstock Breakdown'!BM$3*'Feedstock Conversion Rates'!B$7)/12</f>
        <v>1.5333333333333332</v>
      </c>
      <c r="BN242" s="106">
        <f t="shared" si="209"/>
        <v>13.495000000000001</v>
      </c>
      <c r="BO242" s="104">
        <f>('Renewable Diesel'!P251*'Feedstock Conversion Rates'!B$4)/12</f>
        <v>31.25</v>
      </c>
      <c r="BP242" s="106">
        <f t="shared" si="199"/>
        <v>31.25</v>
      </c>
      <c r="BQ242" s="104">
        <f>('Renewable Diesel'!$S251*'RD Feedstock Breakdown'!BQ$3*'Feedstock Conversion Rates'!B$4)/12+10</f>
        <v>38.125</v>
      </c>
      <c r="BR242" s="104">
        <f>('Renewable Diesel'!$S251*'RD Feedstock Breakdown'!BR$3*'Feedstock Conversion Rates'!B$7)/12-10</f>
        <v>1.5</v>
      </c>
      <c r="BS242" s="106">
        <f t="shared" si="222"/>
        <v>39.625</v>
      </c>
      <c r="BT242" s="106"/>
      <c r="BU242" s="104">
        <f>('Renewable Diesel'!Y251*'Feedstock Conversion Rates'!B$7)/12</f>
        <v>2.6833333333333331</v>
      </c>
      <c r="BV242" s="106">
        <f t="shared" si="191"/>
        <v>2.6833333333333331</v>
      </c>
      <c r="BW242" s="104">
        <f>('Renewable Diesel'!$Z251*'RD Feedstock Breakdown'!BW$3*'Feedstock Conversion Rates'!$B$4)/12</f>
        <v>53.90625</v>
      </c>
      <c r="BX242" s="104">
        <f>('Renewable Diesel'!$Z251*'RD Feedstock Breakdown'!BX$3*'Feedstock Conversion Rates'!$B$5)/12</f>
        <v>5.4265624999999993</v>
      </c>
      <c r="BY242" s="104">
        <f>('Renewable Diesel'!$Z251*'RD Feedstock Breakdown'!BY$3*'Feedstock Conversion Rates'!$B$7)/12</f>
        <v>46.287499999999994</v>
      </c>
      <c r="BZ242" s="104">
        <f>('Renewable Diesel'!$Z251*'RD Feedstock Breakdown'!BZ$3*'Feedstock Conversion Rates'!$B$3)/12</f>
        <v>11.514374999999999</v>
      </c>
      <c r="CA242" s="106">
        <f t="shared" si="228"/>
        <v>117.1346875</v>
      </c>
      <c r="CB242" s="104">
        <f>('Renewable Diesel'!AA251*'Feedstock Conversion Rates'!B$4)/12</f>
        <v>191.25</v>
      </c>
      <c r="CC242" s="106">
        <f t="shared" si="213"/>
        <v>191.25</v>
      </c>
      <c r="CD242" s="104">
        <f>('Renewable Diesel'!$AB251*'RD Feedstock Breakdown'!CD$3*'Feedstock Conversion Rates'!$B$6)/12-15</f>
        <v>17.830000000000005</v>
      </c>
      <c r="CE242" s="104">
        <f>('Renewable Diesel'!$AB251*'RD Feedstock Breakdown'!CE$3*'Feedstock Conversion Rates'!$B$4)/12+15</f>
        <v>26.25</v>
      </c>
      <c r="CF242" s="106">
        <f t="shared" si="205"/>
        <v>44.080000000000005</v>
      </c>
      <c r="CG242" s="104">
        <f>('Renewable Diesel'!AD251*'Feedstock Conversion Rates'!B$4)/12</f>
        <v>112.5</v>
      </c>
      <c r="CH242" s="106">
        <f t="shared" si="187"/>
        <v>112.5</v>
      </c>
      <c r="CI242" s="104">
        <f>('Renewable Diesel'!$AE251*'RD Feedstock Breakdown'!CI$3*'Feedstock Conversion Rates'!$B$5)/12</f>
        <v>0.34604166666666664</v>
      </c>
      <c r="CJ242" s="104">
        <f>('Renewable Diesel'!$AE251*'RD Feedstock Breakdown'!CJ$3*'Feedstock Conversion Rates'!$B$4)/12</f>
        <v>0.34375</v>
      </c>
      <c r="CK242" s="106">
        <f t="shared" si="200"/>
        <v>0.68979166666666658</v>
      </c>
      <c r="CL242" s="104">
        <f>(((CL$3*'Renewable Diesel'!$AF251)*'Feedstock Conversion Rates'!$B$3)/12)-25</f>
        <v>66.78125</v>
      </c>
      <c r="CM242" s="104">
        <f>(((CM$3*'Renewable Diesel'!$AF251)*'Feedstock Conversion Rates'!$B$6)/12)+25</f>
        <v>78.739583333333343</v>
      </c>
      <c r="CN242" s="104">
        <f>(((CN$3*'Renewable Diesel'!$AF251)*'Feedstock Conversion Rates'!$B$4)/12)</f>
        <v>42.96875</v>
      </c>
      <c r="CO242" s="106">
        <f t="shared" si="190"/>
        <v>188.48958333333334</v>
      </c>
      <c r="CP242" s="104">
        <f>('Renewable Diesel'!$AG251*'RD Feedstock Breakdown'!CP$3*'Feedstock Conversion Rates'!$B$3)/12</f>
        <v>6.0075000000000003</v>
      </c>
      <c r="CQ242" s="104">
        <f>('Renewable Diesel'!$AG251*'RD Feedstock Breakdown'!CQ$3*'Feedstock Conversion Rates'!$B$6)/12</f>
        <v>3.5175000000000001</v>
      </c>
      <c r="CR242" s="104">
        <f>('Renewable Diesel'!$AG251*'RD Feedstock Breakdown'!CR$3*'Feedstock Conversion Rates'!$B$4)/12</f>
        <v>2.8125</v>
      </c>
      <c r="CS242" s="106">
        <f t="shared" si="231"/>
        <v>12.3375</v>
      </c>
      <c r="CT242" s="104">
        <f>('Renewable Diesel'!AI251*'Feedstock Conversion Rates'!$B$4*'RD Feedstock Breakdown'!$CT$3)/12</f>
        <v>29.375</v>
      </c>
      <c r="CU242" s="106">
        <f t="shared" si="196"/>
        <v>29.375</v>
      </c>
      <c r="CV242" s="104">
        <f>('Renewable Diesel'!AN251*'Feedstock Conversion Rates'!$B$3*'RD Feedstock Breakdown'!$CV$3)/12</f>
        <v>0.50062499999999999</v>
      </c>
      <c r="CW242" s="106">
        <f t="shared" si="161"/>
        <v>0.50062499999999999</v>
      </c>
      <c r="CX242" s="104">
        <f>('Renewable Diesel'!AO251*'RD Feedstock Breakdown'!$CX$3*'Feedstock Conversion Rates'!$B$3)/12</f>
        <v>6.3412499999999996</v>
      </c>
      <c r="CY242" s="104">
        <f>('Renewable Diesel'!AO251*'RD Feedstock Breakdown'!$CY$3*'Feedstock Conversion Rates'!$B$6)/12</f>
        <v>7.4258333333333342</v>
      </c>
      <c r="CZ242" s="106">
        <f t="shared" ref="CZ242:CZ305" si="233">CY242+CX242</f>
        <v>13.767083333333334</v>
      </c>
      <c r="DA242" s="104">
        <f>('Renewable Diesel'!$AP251*'RD Feedstock Breakdown'!DA$3*'Feedstock Conversion Rates'!$B$3)/12</f>
        <v>6.3412499999999996</v>
      </c>
      <c r="DB242" s="104">
        <f>('Renewable Diesel'!$AP251*'RD Feedstock Breakdown'!DB$3*'Feedstock Conversion Rates'!$B$8)/12</f>
        <v>7.421875</v>
      </c>
      <c r="DC242" s="106">
        <f t="shared" si="165"/>
        <v>13.763124999999999</v>
      </c>
      <c r="DD242" s="104">
        <f>('Renewable Diesel'!AQ251*$DD$3*'Feedstock Conversion Rates'!$B$14)/12</f>
        <v>3.1041666666666665</v>
      </c>
      <c r="DE242" s="106">
        <f t="shared" si="166"/>
        <v>3.1041666666666665</v>
      </c>
      <c r="DF242" s="104">
        <f>('Renewable Diesel'!AR251*'Feedstock Conversion Rates'!$B$4*$DF$3)/12</f>
        <v>75</v>
      </c>
      <c r="DG242" s="106">
        <f t="shared" ref="DG242:DG305" si="234">DF242</f>
        <v>75</v>
      </c>
      <c r="DH242" s="104">
        <f>('Renewable Diesel'!AS251*'Feedstock Conversion Rates'!$B$4*$DH$3)/12</f>
        <v>75</v>
      </c>
      <c r="DI242" s="106">
        <f t="shared" si="142"/>
        <v>75</v>
      </c>
      <c r="DJ242" s="104">
        <f>('Renewable Diesel'!AT251*'Feedstock Conversion Rates'!$B$4*0.25)/12</f>
        <v>8.59375</v>
      </c>
      <c r="DK242" s="104">
        <f>('Renewable Diesel'!$AT251*'RD Feedstock Breakdown'!DK$3*'Feedstock Conversion Rates'!$B$3)/12*0.5</f>
        <v>9.1781249999999996</v>
      </c>
      <c r="DL242" s="104">
        <f>('Renewable Diesel'!$AT251*'RD Feedstock Breakdown'!$DL$3*'Feedstock Conversion Rates'!$B$6)/12</f>
        <v>10.747916666666669</v>
      </c>
      <c r="DM242" s="104">
        <f>('Renewable Diesel'!$AT251*'RD Feedstock Breakdown'!$DM$3*'Feedstock Conversion Rates'!$B$8)/12</f>
        <v>10.7421875</v>
      </c>
      <c r="DN242" s="106">
        <f t="shared" si="210"/>
        <v>39.26197916666667</v>
      </c>
      <c r="DP242" s="104">
        <f t="shared" si="168"/>
        <v>52.470249999999993</v>
      </c>
      <c r="DQ242" s="104">
        <f t="shared" si="169"/>
        <v>908.27964250000002</v>
      </c>
      <c r="DR242" s="104">
        <f t="shared" si="174"/>
        <v>1590.734375</v>
      </c>
      <c r="DS242" s="104">
        <f t="shared" si="197"/>
        <v>141.59239583333334</v>
      </c>
      <c r="DT242" s="104">
        <f t="shared" si="170"/>
        <v>278.03923333333341</v>
      </c>
      <c r="DU242" s="104">
        <f t="shared" si="171"/>
        <v>239.22693333333333</v>
      </c>
      <c r="DV242" s="104">
        <f t="shared" si="175"/>
        <v>25.75</v>
      </c>
      <c r="DW242" s="104">
        <f t="shared" si="172"/>
        <v>2.5</v>
      </c>
      <c r="DX242" s="106">
        <f t="shared" si="176"/>
        <v>3238.59283</v>
      </c>
      <c r="DY242" s="109">
        <f t="shared" si="163"/>
        <v>-135.00000000000014</v>
      </c>
      <c r="EA242" s="110">
        <f t="shared" si="218"/>
        <v>1.620155813165312E-2</v>
      </c>
      <c r="EB242" s="110">
        <f t="shared" si="219"/>
        <v>0.28045502790173227</v>
      </c>
      <c r="EC242" s="110">
        <f t="shared" si="220"/>
        <v>0.4911807252410918</v>
      </c>
      <c r="ED242" s="110">
        <f t="shared" si="146"/>
        <v>4.372034499728493E-2</v>
      </c>
      <c r="EE242" s="110">
        <f t="shared" si="146"/>
        <v>8.5851864661027302E-2</v>
      </c>
      <c r="EF242" s="110">
        <f t="shared" si="146"/>
        <v>7.3867554796424761E-2</v>
      </c>
      <c r="EG242" s="110">
        <f t="shared" si="146"/>
        <v>7.9509840698313416E-3</v>
      </c>
      <c r="EH242" s="111">
        <f t="shared" si="177"/>
        <v>7.7194020095449907E-4</v>
      </c>
      <c r="EI242" s="110">
        <f t="shared" si="178"/>
        <v>0.9992280597990455</v>
      </c>
      <c r="EK242" s="132">
        <f>(EA242*'Renewable Diesel'!BF251*'Feedstock Conversion Rates'!B$2)+FB242</f>
        <v>119.53664644680367</v>
      </c>
      <c r="EL242" s="132">
        <f>(EB242*'Renewable Diesel'!BF251*'Feedstock Conversion Rates'!B$3)+FC242</f>
        <v>1949.9393567342336</v>
      </c>
      <c r="EM242" s="132">
        <f>(EC242*'Renewable Diesel'!BF251*'Feedstock Conversion Rates'!B$4)+FD242</f>
        <v>3197.6279988657816</v>
      </c>
      <c r="EN242" s="132">
        <f>(ED242*'Renewable Diesel'!BF251*'Feedstock Conversion Rates'!B$5)+FE242</f>
        <v>286.52062546401419</v>
      </c>
      <c r="EO242" s="132">
        <f>(EE242*'Renewable Diesel'!BF251*'Feedstock Conversion Rates'!B$6)+FF242</f>
        <v>699.00121275988045</v>
      </c>
      <c r="EP242" s="132">
        <f>(EF242*'Renewable Diesel'!BF251*'Feedstock Conversion Rates'!B$7)+FG242</f>
        <v>589.88439717825906</v>
      </c>
      <c r="EQ242" s="132">
        <f>(EG242*'Renewable Diesel'!BF251*'Feedstock Conversion Rates'!B$8)+FH242</f>
        <v>64.701972140064143</v>
      </c>
      <c r="ER242" s="132">
        <f>(EH242*'Renewable Diesel'!BF251*'Feedstock Conversion Rates'!B$9)+FI242</f>
        <v>6.1979882697278263</v>
      </c>
      <c r="ES242" s="132">
        <f t="shared" si="179"/>
        <v>6913.4101978587641</v>
      </c>
      <c r="ET242" s="133">
        <f>ES242/'Renewable Diesel'!BF251</f>
        <v>10.986766114548061</v>
      </c>
      <c r="EW242" s="73">
        <f t="shared" si="223"/>
        <v>4442.5274817998452</v>
      </c>
      <c r="EX242" s="73">
        <f t="shared" si="224"/>
        <v>4372.5427429529127</v>
      </c>
      <c r="EY242" s="92">
        <f t="shared" si="164"/>
        <v>0.64259567343129653</v>
      </c>
      <c r="EZ242" s="92">
        <f t="shared" si="164"/>
        <v>0.6324726318578906</v>
      </c>
      <c r="FB242" s="102">
        <f>IF('Renewable Diesel'!$BG251&lt;1,0,(((('Renewable Diesel'!$BG251-1)*'Renewable Diesel'!$BF251)*'RD Feedstock Breakdown'!EA242)*'Feedstock Conversion Rates'!$B$2))</f>
        <v>32.880742758075023</v>
      </c>
      <c r="FC242" s="102">
        <f>IF('Renewable Diesel'!$BG251&lt;1,0,(((('Renewable Diesel'!$BG251-1)*'Renewable Diesel'!$BF251)*'RD Feedstock Breakdown'!EB242)*'Feedstock Conversion Rates'!$B$3))</f>
        <v>536.36651427357333</v>
      </c>
      <c r="FD242" s="102">
        <f>IF('Renewable Diesel'!$BG251&lt;1,0,(((('Renewable Diesel'!$BG251-1)*'Renewable Diesel'!$BF251)*'RD Feedstock Breakdown'!EC242)*'Feedstock Conversion Rates'!$B$4))</f>
        <v>879.56611459326541</v>
      </c>
      <c r="FE242" s="102">
        <f>IF('Renewable Diesel'!$BG251&lt;1,0,(((('Renewable Diesel'!$BG251-1)*'Renewable Diesel'!$BF251)*'RD Feedstock Breakdown'!ED242)*'Feedstock Conversion Rates'!$B$5))</f>
        <v>78.812742876784299</v>
      </c>
      <c r="FF242" s="102">
        <f>IF('Renewable Diesel'!$BG251&lt;1,0,(((('Renewable Diesel'!$BG251-1)*'Renewable Diesel'!$BF251)*'RD Feedstock Breakdown'!EE242)*'Feedstock Conversion Rates'!$B$6))</f>
        <v>192.27307898894685</v>
      </c>
      <c r="FG242" s="102">
        <f>IF('Renewable Diesel'!$BG251&lt;1,0,(((('Renewable Diesel'!$BG251-1)*'Renewable Diesel'!$BF251)*'RD Feedstock Breakdown'!EF242)*'Feedstock Conversion Rates'!$B$7))</f>
        <v>162.25850144835746</v>
      </c>
      <c r="FH242" s="102">
        <f>IF('Renewable Diesel'!$BG251&lt;1,0,(((('Renewable Diesel'!$BG251-1)*'Renewable Diesel'!$BF251)*'RD Feedstock Breakdown'!EG242)*'Feedstock Conversion Rates'!$B$8))</f>
        <v>17.797461825435647</v>
      </c>
      <c r="FI242" s="102">
        <f>IF('Renewable Diesel'!$BG251&lt;1,0,(((('Renewable Diesel'!$BG251-1)*'Renewable Diesel'!$BF251)*'RD Feedstock Breakdown'!EH242)*'Feedstock Conversion Rates'!$B$9))</f>
        <v>1.7048701295562947</v>
      </c>
      <c r="FJ242" s="102">
        <f t="shared" si="225"/>
        <v>1901.6600268939942</v>
      </c>
      <c r="GD242" s="91">
        <f>'Renewable Diesel'!BB251*0.32</f>
        <v>0</v>
      </c>
      <c r="GE242" s="91">
        <f>'Renewable Diesel'!BC251</f>
        <v>295.99988994310718</v>
      </c>
      <c r="GF242" s="91">
        <f>'Renewable Diesel'!BD251</f>
        <v>0</v>
      </c>
      <c r="GG242" s="91">
        <f t="shared" si="206"/>
        <v>295.99988994310718</v>
      </c>
      <c r="GH242" s="124">
        <v>1</v>
      </c>
      <c r="GI242" s="102">
        <f>$GG242*EA242*'Feedstock Conversion Rates'!$B$2</f>
        <v>40.763105102947499</v>
      </c>
      <c r="GJ242" s="102">
        <f>$GG242*EB242*'Feedstock Conversion Rates'!$B$3</f>
        <v>664.94740571715943</v>
      </c>
      <c r="GK242" s="102">
        <f>$GG242*EC242*'Feedstock Conversion Rates'!$B$4</f>
        <v>1090.4208046015406</v>
      </c>
      <c r="GL242" s="102">
        <f>$GG242*ED242*'Feedstock Conversion Rates'!$B$5</f>
        <v>97.706190671406162</v>
      </c>
      <c r="GM242" s="102">
        <f>$GG242*EE242*'Feedstock Conversion Rates'!$B$6</f>
        <v>238.3658965662799</v>
      </c>
      <c r="GN242" s="102">
        <f>$GG242*EF242*'Feedstock Conversion Rates'!$B$7</f>
        <v>201.15605042899512</v>
      </c>
      <c r="GO242" s="102">
        <f>$GG242*EG242*'Feedstock Conversion Rates'!$B$8</f>
        <v>22.063972590088834</v>
      </c>
      <c r="GP242" s="102">
        <f>$GG242*EH242*'Feedstock Conversion Rates'!B$9</f>
        <v>2.1135714843580238</v>
      </c>
      <c r="GQ242" s="102">
        <f t="shared" si="180"/>
        <v>2357.5369971627756</v>
      </c>
      <c r="GR242" s="85">
        <f t="shared" si="204"/>
        <v>7.9646549788106586</v>
      </c>
      <c r="GT242" s="103">
        <f t="shared" si="159"/>
        <v>1.729054736023429E-2</v>
      </c>
      <c r="GU242" s="103">
        <f t="shared" si="159"/>
        <v>0.28205173726537636</v>
      </c>
      <c r="GV242" s="103">
        <f t="shared" si="159"/>
        <v>0.46252542628761678</v>
      </c>
      <c r="GW242" s="103">
        <f t="shared" si="159"/>
        <v>4.1444181274352267E-2</v>
      </c>
      <c r="GX242" s="103">
        <f t="shared" si="158"/>
        <v>0.10110801945129433</v>
      </c>
      <c r="GY242" s="103">
        <f t="shared" si="158"/>
        <v>8.5324663269794002E-2</v>
      </c>
      <c r="GZ242" s="103">
        <f t="shared" si="158"/>
        <v>9.358908308392257E-3</v>
      </c>
      <c r="HA242" s="103">
        <f t="shared" si="158"/>
        <v>8.9651678293984065E-4</v>
      </c>
    </row>
    <row r="243" spans="1:209" x14ac:dyDescent="0.25">
      <c r="A243" s="96">
        <v>47818</v>
      </c>
      <c r="B243" s="104">
        <f>23-20+10+85-5-4-4-1.25+2.25-5+15-6-25-45+65+15-22.5-50+40+16.5+27.5+168+80+14-30+15-50-19+22.5-10+5+11-25-50-12.5-27.5-10+10+2+4-1.5+12-26-15-50-15+10-32.5-3-5-2.5-1+5+10-50-35-9-0.5+25+15+25+20+15+85-25+12.5-52.5+10+20-150+20-20+55-25-25+25+70-100</f>
        <v>0</v>
      </c>
      <c r="C243" s="104">
        <f>40-10-2.5-27.5+25+25+25-70+120-15-100-10+100</f>
        <v>100</v>
      </c>
      <c r="D243" s="104">
        <f t="shared" si="192"/>
        <v>1.5</v>
      </c>
      <c r="E243" s="104">
        <f>('Renewable Diesel'!B252*E$3*'Feedstock Conversion Rates'!$B$2)/12-40+1.25+6-43+30-15+12.5-4+1.5+26+2.5+3-10+50+9-15-25-55+15+45+10-50+60-60+10</f>
        <v>54.679999999999993</v>
      </c>
      <c r="F243" s="104">
        <f>('Renewable Diesel'!B252*'RD Feedstock Breakdown'!F$3*'Feedstock Conversion Rates'!B$8)/12+28.5-49-5+2-6+1+6+20-20-3.75+10+2.5+5-20-20</f>
        <v>5.15625</v>
      </c>
      <c r="G243" s="104">
        <f>('Renewable Diesel'!B252*'RD Feedstock Breakdown'!G$3*'Feedstock Conversion Rates'!B$7)/12-25-15-25+4+4-20-40-20+10-17.5+20+50-12+32.5+35-75-75+22.5+5-20+15+125-10-45-10-40-40</f>
        <v>9.6570000000000107</v>
      </c>
      <c r="H243" s="104">
        <f>('Renewable Diesel'!B252*'RD Feedstock Breakdown'!H$3*'Feedstock Conversion Rates'!B$3)/12-85+4-15+70-65-80+50-22.5-5+25+27.5+15+50+15-10+5+50+75-5-25-85-12.5+30+22.5-25-30+150+90-120+25+10+70+30+40-40-80</f>
        <v>325.40022499999998</v>
      </c>
      <c r="I243" s="106">
        <f t="shared" si="203"/>
        <v>496.39347499999997</v>
      </c>
      <c r="J243" s="104">
        <f>58.5+40+43+1.5+102-19+38-8.5-35-7.5-29-30-30-5+15+10-7-45-10-1-75+2.5+18+5+130+15-5+15+10-75-120+12+35-24-20-4</f>
        <v>0.5</v>
      </c>
      <c r="K243" s="104"/>
      <c r="L243" s="104">
        <v>1</v>
      </c>
      <c r="M243" s="104">
        <f>('Renewable Diesel'!C252*'RD Feedstock Breakdown'!M$3*'Feedstock Conversion Rates'!B$2)/12</f>
        <v>7.7902500000000003</v>
      </c>
      <c r="N243" s="104">
        <f>('Renewable Diesel'!C252*'RD Feedstock Breakdown'!N$3*'Feedstock Conversion Rates'!B$8)/12</f>
        <v>3.671875</v>
      </c>
      <c r="O243" s="104">
        <f>('Renewable Diesel'!C252*'RD Feedstock Breakdown'!O$3*'Feedstock Conversion Rates'!B$7)/12</f>
        <v>11.9991</v>
      </c>
      <c r="P243" s="104">
        <f>('Renewable Diesel'!C252*'RD Feedstock Breakdown'!P$3*'Feedstock Conversion Rates'!B$3)/12</f>
        <v>10.4470425</v>
      </c>
      <c r="Q243" s="106">
        <f t="shared" si="216"/>
        <v>35.408267500000001</v>
      </c>
      <c r="R243" s="104">
        <f>('Renewable Diesel'!D252*'RD Feedstock Breakdown'!R$3*'Feedstock Conversion Rates'!B$7)/12</f>
        <v>2.2999999999999998</v>
      </c>
      <c r="S243" s="106">
        <f t="shared" si="148"/>
        <v>2.2999999999999998</v>
      </c>
      <c r="T243" s="104">
        <f t="shared" si="221"/>
        <v>0.82500000000000284</v>
      </c>
      <c r="U243" s="104">
        <v>30</v>
      </c>
      <c r="V243" s="104">
        <f>('Renewable Diesel'!E252*'RD Feedstock Breakdown'!V$3*'Feedstock Conversion Rates'!B$6)/12-20+25-35+15</f>
        <v>29.250150000000012</v>
      </c>
      <c r="W243" s="104">
        <f>('Renewable Diesel'!E252*'RD Feedstock Breakdown'!W$3*'Feedstock Conversion Rates'!B$8)/12-6-10</f>
        <v>6.1796875</v>
      </c>
      <c r="X243" s="106">
        <f t="shared" si="185"/>
        <v>66.254837500000008</v>
      </c>
      <c r="Y243" s="104">
        <f t="shared" si="232"/>
        <v>141.5</v>
      </c>
      <c r="Z243" s="104">
        <f>('Renewable Diesel'!F252*'RD Feedstock Breakdown'!Z$3*'Feedstock Conversion Rates'!B$6)/12-50-32-60+15+15+47.5-72.5+70-27.5-5</f>
        <v>59.960000000000008</v>
      </c>
      <c r="AA243" s="104">
        <f>('Renewable Diesel'!F252*'RD Feedstock Breakdown'!AA$3*'Feedstock Conversion Rates'!B$7)/12+80-171+75+30-55-1</f>
        <v>62.266666666666652</v>
      </c>
      <c r="AB243" s="106">
        <f t="shared" ref="AB243:AB306" si="235">SUM(Y243:AA243)</f>
        <v>263.72666666666669</v>
      </c>
      <c r="AC243" s="104">
        <f>('Renewable Diesel'!G252*'RD Feedstock Breakdown'!AC$3*'Feedstock Conversion Rates'!B$5)/12</f>
        <v>11.796875</v>
      </c>
      <c r="AD243" s="104">
        <f>('Renewable Diesel'!G252*'RD Feedstock Breakdown'!AD$3*'Feedstock Conversion Rates'!B$4)/12</f>
        <v>5.859375</v>
      </c>
      <c r="AE243" s="104">
        <f>('Renewable Diesel'!G252*'RD Feedstock Breakdown'!AE$3*'Feedstock Conversion Rates'!B$6)/12</f>
        <v>7.3281250000000009</v>
      </c>
      <c r="AF243" s="106">
        <f t="shared" si="198"/>
        <v>24.984375</v>
      </c>
      <c r="AG243" s="104">
        <f t="shared" si="230"/>
        <v>6.5</v>
      </c>
      <c r="AH243" s="104">
        <v>135</v>
      </c>
      <c r="AI243" s="104">
        <f>('Renewable Diesel'!H252*'RD Feedstock Breakdown'!AI$3*'Feedstock Conversion Rates'!B$6)/12-130-20+51-120+105-40+25-10-2.5</f>
        <v>7.0166666666666799</v>
      </c>
      <c r="AJ243" s="106">
        <f t="shared" si="145"/>
        <v>13.51666666666668</v>
      </c>
      <c r="AK243" s="104">
        <f>('Renewable Diesel'!J252*'RD Feedstock Breakdown'!AK$3*'Feedstock Conversion Rates'!B$4)/12</f>
        <v>95.8125</v>
      </c>
      <c r="AL243" s="106">
        <f t="shared" si="157"/>
        <v>95.8125</v>
      </c>
      <c r="AM243" s="104">
        <f>('Renewable Diesel'!K252*'RD Feedstock Breakdown'!AM$3*'Feedstock Conversion Rates'!B$4)/12+5+15-10+2.5+7-35</f>
        <v>43.09375</v>
      </c>
      <c r="AN243" s="104">
        <f>('Renewable Diesel'!K252*'RD Feedstock Breakdown'!AN$3*'Feedstock Conversion Rates'!B$6)/12-5-15+10-2.5-7+35</f>
        <v>39.927083333333329</v>
      </c>
      <c r="AO243" s="106">
        <f t="shared" si="173"/>
        <v>83.020833333333329</v>
      </c>
      <c r="AP243" s="104">
        <f>('Renewable Diesel'!L252*'RD Feedstock Breakdown'!AP$3*'Feedstock Conversion Rates'!B$4)/12+15-10+5+2.5+7</f>
        <v>78.09375</v>
      </c>
      <c r="AQ243" s="104">
        <f>('Renewable Diesel'!L252*'RD Feedstock Breakdown'!AQ$3*'Feedstock Conversion Rates'!B$6)/12-15+10-5-2.5-7</f>
        <v>4.9270833333333321</v>
      </c>
      <c r="AR243" s="106">
        <f t="shared" si="162"/>
        <v>83.020833333333329</v>
      </c>
      <c r="AS243" s="104">
        <f>('Renewable Diesel'!M252*'RD Feedstock Breakdown'!AS$3*'Feedstock Conversion Rates'!B$4)/12-25-50</f>
        <v>381.25</v>
      </c>
      <c r="AT243" s="104">
        <f>('Renewable Diesel'!M252*'RD Feedstock Breakdown'!AT$3*'Feedstock Conversion Rates'!B$5)/12+25+50</f>
        <v>75</v>
      </c>
      <c r="AU243" s="106">
        <f t="shared" si="201"/>
        <v>456.25</v>
      </c>
      <c r="AV243" s="104">
        <f>'Renewable Diesel'!N252*'RD Feedstock Breakdown'!$AV$3*'Feedstock Conversion Rates'!$B$4/12-15-10+25+25-22+15-50</f>
        <v>46.749999999999986</v>
      </c>
      <c r="AW243" s="104">
        <f>'Renewable Diesel'!N252*'RD Feedstock Breakdown'!$AW$3*'Feedstock Conversion Rates'!$B$7/12+15+10-25-25+22-15+50</f>
        <v>73.400000000000006</v>
      </c>
      <c r="AX243" s="106">
        <f t="shared" si="141"/>
        <v>120.14999999999999</v>
      </c>
      <c r="AY243" s="104">
        <f>('Renewable Diesel'!O252*'RD Feedstock Breakdown'!AY$3*'Feedstock Conversion Rates'!B$4)/12+32+2-125-25-25-207</f>
        <v>-137.0625</v>
      </c>
      <c r="AZ243" s="104">
        <f>('Renewable Diesel'!O252*'RD Feedstock Breakdown'!AZ$3*'Feedstock Conversion Rates'!B$3)/12-32-2+125+25+25+207</f>
        <v>373.03125</v>
      </c>
      <c r="BA243" s="106">
        <f t="shared" si="217"/>
        <v>235.96875</v>
      </c>
      <c r="BB243" s="104">
        <f>('Renewable Diesel'!Q252*'RD Feedstock Breakdown'!BB$3*'Feedstock Conversion Rates'!B$4)/12-10</f>
        <v>1.1562499999999982</v>
      </c>
      <c r="BC243" s="104">
        <f>('Renewable Diesel'!Q252*'RD Feedstock Breakdown'!BC$3*'Feedstock Conversion Rates'!B$3)/12+10</f>
        <v>11.40175</v>
      </c>
      <c r="BD243" s="104">
        <f>('Renewable Diesel'!Q252*'RD Feedstock Breakdown'!BD$3*'Feedstock Conversion Rates'!B$6)/12</f>
        <v>0.8207500000000002</v>
      </c>
      <c r="BE243" s="106">
        <f t="shared" si="189"/>
        <v>13.378749999999998</v>
      </c>
      <c r="BF243" s="104">
        <f>('Renewable Diesel'!R252*'RD Feedstock Breakdown'!BF$3*'Feedstock Conversion Rates'!B$4)/12</f>
        <v>62.5</v>
      </c>
      <c r="BG243" s="106">
        <f t="shared" si="167"/>
        <v>62.5</v>
      </c>
      <c r="BH243" s="104">
        <f>('Renewable Diesel'!T252*'RD Feedstock Breakdown'!BH$3*'Feedstock Conversion Rates'!B$7)/12</f>
        <v>27.599999999999998</v>
      </c>
      <c r="BI243" s="106">
        <f t="shared" si="144"/>
        <v>27.599999999999998</v>
      </c>
      <c r="BJ243" s="104">
        <f>('Renewable Diesel'!W252*'RD Feedstock Breakdown'!BJ$3*'Feedstock Conversion Rates'!B$4)/12</f>
        <v>7.5</v>
      </c>
      <c r="BK243" s="104">
        <f>('Renewable Diesel'!W252*'RD Feedstock Breakdown'!BK$3*'Feedstock Conversion Rates'!B$3)/12</f>
        <v>1.335</v>
      </c>
      <c r="BL243" s="104">
        <f>('Renewable Diesel'!W252*'RD Feedstock Breakdown'!BL$3*'Feedstock Conversion Rates'!B$6)/12</f>
        <v>3.1266666666666669</v>
      </c>
      <c r="BM243" s="104">
        <f>('Renewable Diesel'!W252*'RD Feedstock Breakdown'!BM$3*'Feedstock Conversion Rates'!B$7)/12</f>
        <v>1.5333333333333332</v>
      </c>
      <c r="BN243" s="106">
        <f t="shared" si="209"/>
        <v>13.495000000000001</v>
      </c>
      <c r="BO243" s="104">
        <f>('Renewable Diesel'!P252*'Feedstock Conversion Rates'!B$4)/12</f>
        <v>31.25</v>
      </c>
      <c r="BP243" s="106">
        <f t="shared" si="199"/>
        <v>31.25</v>
      </c>
      <c r="BQ243" s="104">
        <f>('Renewable Diesel'!$S252*'RD Feedstock Breakdown'!BQ$3*'Feedstock Conversion Rates'!B$4)/12+10</f>
        <v>38.125</v>
      </c>
      <c r="BR243" s="104">
        <f>('Renewable Diesel'!$S252*'RD Feedstock Breakdown'!BR$3*'Feedstock Conversion Rates'!B$7)/12-10</f>
        <v>1.5</v>
      </c>
      <c r="BS243" s="106">
        <f t="shared" si="222"/>
        <v>39.625</v>
      </c>
      <c r="BT243" s="106"/>
      <c r="BU243" s="104">
        <f>('Renewable Diesel'!Y252*'Feedstock Conversion Rates'!B$7)/12</f>
        <v>2.6833333333333331</v>
      </c>
      <c r="BV243" s="106">
        <f t="shared" si="191"/>
        <v>2.6833333333333331</v>
      </c>
      <c r="BW243" s="104">
        <f>('Renewable Diesel'!$Z252*'RD Feedstock Breakdown'!BW$3*'Feedstock Conversion Rates'!$B$4)/12</f>
        <v>53.90625</v>
      </c>
      <c r="BX243" s="104">
        <f>('Renewable Diesel'!$Z252*'RD Feedstock Breakdown'!BX$3*'Feedstock Conversion Rates'!$B$5)/12</f>
        <v>5.4265624999999993</v>
      </c>
      <c r="BY243" s="104">
        <f>('Renewable Diesel'!$Z252*'RD Feedstock Breakdown'!BY$3*'Feedstock Conversion Rates'!$B$7)/12</f>
        <v>46.287499999999994</v>
      </c>
      <c r="BZ243" s="104">
        <f>('Renewable Diesel'!$Z252*'RD Feedstock Breakdown'!BZ$3*'Feedstock Conversion Rates'!$B$3)/12</f>
        <v>11.514374999999999</v>
      </c>
      <c r="CA243" s="106">
        <f t="shared" si="228"/>
        <v>117.1346875</v>
      </c>
      <c r="CB243" s="104">
        <f>('Renewable Diesel'!AA252*'Feedstock Conversion Rates'!B$4)/12</f>
        <v>191.25</v>
      </c>
      <c r="CC243" s="106">
        <f t="shared" si="213"/>
        <v>191.25</v>
      </c>
      <c r="CD243" s="104">
        <f>('Renewable Diesel'!$AB252*'RD Feedstock Breakdown'!CD$3*'Feedstock Conversion Rates'!$B$6)/12-15</f>
        <v>17.830000000000005</v>
      </c>
      <c r="CE243" s="104">
        <f>('Renewable Diesel'!$AB252*'RD Feedstock Breakdown'!CE$3*'Feedstock Conversion Rates'!$B$4)/12+15</f>
        <v>26.25</v>
      </c>
      <c r="CF243" s="106">
        <f t="shared" si="205"/>
        <v>44.080000000000005</v>
      </c>
      <c r="CG243" s="104">
        <f>('Renewable Diesel'!AD252*'Feedstock Conversion Rates'!B$4)/12</f>
        <v>112.5</v>
      </c>
      <c r="CH243" s="106">
        <f t="shared" si="187"/>
        <v>112.5</v>
      </c>
      <c r="CI243" s="104">
        <f>('Renewable Diesel'!$AE252*'RD Feedstock Breakdown'!CI$3*'Feedstock Conversion Rates'!$B$5)/12</f>
        <v>0.34604166666666664</v>
      </c>
      <c r="CJ243" s="104">
        <f>('Renewable Diesel'!$AE252*'RD Feedstock Breakdown'!CJ$3*'Feedstock Conversion Rates'!$B$4)/12</f>
        <v>0.34375</v>
      </c>
      <c r="CK243" s="106">
        <f t="shared" si="200"/>
        <v>0.68979166666666658</v>
      </c>
      <c r="CL243" s="104">
        <f>(((CL$3*'Renewable Diesel'!$AF252)*'Feedstock Conversion Rates'!$B$3)/12)-25</f>
        <v>66.78125</v>
      </c>
      <c r="CM243" s="104">
        <f>(((CM$3*'Renewable Diesel'!$AF252)*'Feedstock Conversion Rates'!$B$6)/12)+25</f>
        <v>78.739583333333343</v>
      </c>
      <c r="CN243" s="104">
        <f>(((CN$3*'Renewable Diesel'!$AF252)*'Feedstock Conversion Rates'!$B$4)/12)</f>
        <v>42.96875</v>
      </c>
      <c r="CO243" s="106">
        <f t="shared" si="190"/>
        <v>188.48958333333334</v>
      </c>
      <c r="CP243" s="104">
        <f>('Renewable Diesel'!$AG252*'RD Feedstock Breakdown'!CP$3*'Feedstock Conversion Rates'!$B$3)/12</f>
        <v>6.0075000000000003</v>
      </c>
      <c r="CQ243" s="104">
        <f>('Renewable Diesel'!$AG252*'RD Feedstock Breakdown'!CQ$3*'Feedstock Conversion Rates'!$B$6)/12</f>
        <v>3.5175000000000001</v>
      </c>
      <c r="CR243" s="104">
        <f>('Renewable Diesel'!$AG252*'RD Feedstock Breakdown'!CR$3*'Feedstock Conversion Rates'!$B$4)/12</f>
        <v>2.8125</v>
      </c>
      <c r="CS243" s="106">
        <f t="shared" si="231"/>
        <v>12.3375</v>
      </c>
      <c r="CT243" s="104">
        <f>('Renewable Diesel'!AI252*'Feedstock Conversion Rates'!$B$4*'RD Feedstock Breakdown'!$CT$3)/12</f>
        <v>29.375</v>
      </c>
      <c r="CU243" s="106">
        <f t="shared" si="196"/>
        <v>29.375</v>
      </c>
      <c r="CV243" s="104">
        <f>('Renewable Diesel'!AN252*'Feedstock Conversion Rates'!$B$3*'RD Feedstock Breakdown'!$CV$3)/12</f>
        <v>0.50062499999999999</v>
      </c>
      <c r="CW243" s="106">
        <f t="shared" si="161"/>
        <v>0.50062499999999999</v>
      </c>
      <c r="CX243" s="104">
        <f>('Renewable Diesel'!AO252*'RD Feedstock Breakdown'!$CX$3*'Feedstock Conversion Rates'!$B$3)/12</f>
        <v>6.3412499999999996</v>
      </c>
      <c r="CY243" s="104">
        <f>('Renewable Diesel'!AO252*'RD Feedstock Breakdown'!$CY$3*'Feedstock Conversion Rates'!$B$6)/12</f>
        <v>7.4258333333333342</v>
      </c>
      <c r="CZ243" s="106">
        <f t="shared" si="233"/>
        <v>13.767083333333334</v>
      </c>
      <c r="DA243" s="104">
        <f>('Renewable Diesel'!$AP252*'RD Feedstock Breakdown'!DA$3*'Feedstock Conversion Rates'!$B$3)/12</f>
        <v>6.3412499999999996</v>
      </c>
      <c r="DB243" s="104">
        <f>('Renewable Diesel'!$AP252*'RD Feedstock Breakdown'!DB$3*'Feedstock Conversion Rates'!$B$8)/12</f>
        <v>7.421875</v>
      </c>
      <c r="DC243" s="106">
        <f t="shared" si="165"/>
        <v>13.763124999999999</v>
      </c>
      <c r="DD243" s="104">
        <f>('Renewable Diesel'!AQ252*$DD$3*'Feedstock Conversion Rates'!$B$14)/12</f>
        <v>3.1041666666666665</v>
      </c>
      <c r="DE243" s="106">
        <f t="shared" si="166"/>
        <v>3.1041666666666665</v>
      </c>
      <c r="DF243" s="104">
        <f>('Renewable Diesel'!AR252*'Feedstock Conversion Rates'!$B$4*$DF$3)/12</f>
        <v>75</v>
      </c>
      <c r="DG243" s="106">
        <f t="shared" si="234"/>
        <v>75</v>
      </c>
      <c r="DH243" s="104">
        <f>('Renewable Diesel'!AS252*'Feedstock Conversion Rates'!$B$4*$DH$3)/12</f>
        <v>75</v>
      </c>
      <c r="DI243" s="106">
        <f t="shared" si="142"/>
        <v>75</v>
      </c>
      <c r="DJ243" s="104">
        <f>('Renewable Diesel'!AT252*'Feedstock Conversion Rates'!$B$4*0.25)/12</f>
        <v>8.59375</v>
      </c>
      <c r="DK243" s="104">
        <f>('Renewable Diesel'!$AT252*'RD Feedstock Breakdown'!DK$3*'Feedstock Conversion Rates'!$B$3)/12*0.5</f>
        <v>9.1781249999999996</v>
      </c>
      <c r="DL243" s="104">
        <f>('Renewable Diesel'!$AT252*'RD Feedstock Breakdown'!$DL$3*'Feedstock Conversion Rates'!$B$6)/12</f>
        <v>10.747916666666669</v>
      </c>
      <c r="DM243" s="104">
        <f>('Renewable Diesel'!$AT252*'RD Feedstock Breakdown'!$DM$3*'Feedstock Conversion Rates'!$B$8)/12</f>
        <v>10.7421875</v>
      </c>
      <c r="DN243" s="106">
        <f t="shared" si="210"/>
        <v>39.26197916666667</v>
      </c>
      <c r="DP243" s="104">
        <f t="shared" si="168"/>
        <v>62.470249999999993</v>
      </c>
      <c r="DQ243" s="104">
        <f t="shared" si="169"/>
        <v>828.27964250000002</v>
      </c>
      <c r="DR243" s="104">
        <f t="shared" si="174"/>
        <v>1570.734375</v>
      </c>
      <c r="DS243" s="104">
        <f t="shared" si="197"/>
        <v>211.59239583333334</v>
      </c>
      <c r="DT243" s="104">
        <f t="shared" si="170"/>
        <v>278.03923333333341</v>
      </c>
      <c r="DU243" s="104">
        <f t="shared" si="171"/>
        <v>239.22693333333333</v>
      </c>
      <c r="DV243" s="104">
        <f t="shared" si="175"/>
        <v>25.75</v>
      </c>
      <c r="DW243" s="104">
        <f t="shared" si="172"/>
        <v>2.5</v>
      </c>
      <c r="DX243" s="106">
        <f t="shared" si="176"/>
        <v>3218.59283</v>
      </c>
      <c r="DY243" s="109">
        <f t="shared" si="163"/>
        <v>-135.00000000000014</v>
      </c>
      <c r="EA243" s="110">
        <f t="shared" si="218"/>
        <v>1.9409180750582854E-2</v>
      </c>
      <c r="EB243" s="110">
        <f t="shared" si="219"/>
        <v>0.2573421635628263</v>
      </c>
      <c r="EC243" s="110">
        <f t="shared" si="220"/>
        <v>0.48801897536073241</v>
      </c>
      <c r="ED243" s="110">
        <f t="shared" si="146"/>
        <v>6.5740653449890815E-2</v>
      </c>
      <c r="EE243" s="110">
        <f t="shared" si="146"/>
        <v>8.6385339189776741E-2</v>
      </c>
      <c r="EF243" s="110">
        <f t="shared" si="146"/>
        <v>7.4326560074184131E-2</v>
      </c>
      <c r="EG243" s="110">
        <f t="shared" si="146"/>
        <v>8.0003906551920079E-3</v>
      </c>
      <c r="EH243" s="111">
        <f t="shared" si="177"/>
        <v>7.7673695681475805E-4</v>
      </c>
      <c r="EI243" s="110">
        <f t="shared" si="178"/>
        <v>0.99922326304318521</v>
      </c>
      <c r="EK243" s="132">
        <f>(EA243*'Renewable Diesel'!BF252*'Feedstock Conversion Rates'!B$2)+FB243</f>
        <v>155.08578879955763</v>
      </c>
      <c r="EL243" s="132">
        <f>(EB243*'Renewable Diesel'!BF252*'Feedstock Conversion Rates'!B$3)+FC243</f>
        <v>1937.7124831831475</v>
      </c>
      <c r="EM243" s="132">
        <f>(EC243*'Renewable Diesel'!BF252*'Feedstock Conversion Rates'!B$4)+FD243</f>
        <v>3440.6765320262584</v>
      </c>
      <c r="EN243" s="132">
        <f>(ED243*'Renewable Diesel'!BF252*'Feedstock Conversion Rates'!B$5)+FE243</f>
        <v>466.5807762501455</v>
      </c>
      <c r="EO243" s="132">
        <f>(EE243*'Renewable Diesel'!BF252*'Feedstock Conversion Rates'!B$6)+FF243</f>
        <v>761.70841644318455</v>
      </c>
      <c r="EP243" s="132">
        <f>(EF243*'Renewable Diesel'!BF252*'Feedstock Conversion Rates'!B$7)+FG243</f>
        <v>642.80276179369605</v>
      </c>
      <c r="EQ243" s="132">
        <f>(EG243*'Renewable Diesel'!BF252*'Feedstock Conversion Rates'!B$8)+FH243</f>
        <v>70.506368000378927</v>
      </c>
      <c r="ER243" s="132">
        <f>(EH243*'Renewable Diesel'!BF252*'Feedstock Conversion Rates'!B$9)+FI243</f>
        <v>6.7540080673502132</v>
      </c>
      <c r="ES243" s="132">
        <f t="shared" si="179"/>
        <v>7481.8271345637177</v>
      </c>
      <c r="ET243" s="133">
        <f>ES243/'Renewable Diesel'!BF252</f>
        <v>11.614357383111706</v>
      </c>
      <c r="EW243" s="73">
        <f t="shared" si="223"/>
        <v>5136.9582429285529</v>
      </c>
      <c r="EX243" s="73">
        <f t="shared" si="224"/>
        <v>4699.5665975657148</v>
      </c>
      <c r="EY243" s="92">
        <f t="shared" si="164"/>
        <v>0.68659141016469105</v>
      </c>
      <c r="EZ243" s="92">
        <f t="shared" si="164"/>
        <v>0.62813087138236279</v>
      </c>
      <c r="FB243" s="102">
        <f>IF('Renewable Diesel'!$BG252&lt;1,0,(((('Renewable Diesel'!$BG252-1)*'Renewable Diesel'!$BF252)*'RD Feedstock Breakdown'!EA243)*'Feedstock Conversion Rates'!$B$2))</f>
        <v>48.808953286521287</v>
      </c>
      <c r="FC243" s="102">
        <f>IF('Renewable Diesel'!$BG252&lt;1,0,(((('Renewable Diesel'!$BG252-1)*'Renewable Diesel'!$BF252)*'RD Feedstock Breakdown'!EB243)*'Feedstock Conversion Rates'!$B$3))</f>
        <v>609.84129368960714</v>
      </c>
      <c r="FD243" s="102">
        <f>IF('Renewable Diesel'!$BG252&lt;1,0,(((('Renewable Diesel'!$BG252-1)*'Renewable Diesel'!$BF252)*'RD Feedstock Breakdown'!EC243)*'Feedstock Conversion Rates'!$B$4))</f>
        <v>1082.8575682247085</v>
      </c>
      <c r="FE243" s="102">
        <f>IF('Renewable Diesel'!$BG252&lt;1,0,(((('Renewable Diesel'!$BG252-1)*'Renewable Diesel'!$BF252)*'RD Feedstock Breakdown'!ED243)*'Feedstock Conversion Rates'!$B$5))</f>
        <v>146.84336642744117</v>
      </c>
      <c r="FF243" s="102">
        <f>IF('Renewable Diesel'!$BG252&lt;1,0,(((('Renewable Diesel'!$BG252-1)*'Renewable Diesel'!$BF252)*'RD Feedstock Breakdown'!EE243)*'Feedstock Conversion Rates'!$B$6))</f>
        <v>239.72661069659239</v>
      </c>
      <c r="FG243" s="102">
        <f>IF('Renewable Diesel'!$BG252&lt;1,0,(((('Renewable Diesel'!$BG252-1)*'Renewable Diesel'!$BF252)*'RD Feedstock Breakdown'!EF243)*'Feedstock Conversion Rates'!$B$7))</f>
        <v>202.30435177645933</v>
      </c>
      <c r="FH243" s="102">
        <f>IF('Renewable Diesel'!$BG252&lt;1,0,(((('Renewable Diesel'!$BG252-1)*'Renewable Diesel'!$BF252)*'RD Feedstock Breakdown'!EG243)*'Feedstock Conversion Rates'!$B$8))</f>
        <v>22.189925000675437</v>
      </c>
      <c r="FI243" s="102">
        <f>IF('Renewable Diesel'!$BG252&lt;1,0,(((('Renewable Diesel'!$BG252-1)*'Renewable Diesel'!$BF252)*'RD Feedstock Breakdown'!EH243)*'Feedstock Conversion Rates'!$B$9))</f>
        <v>2.1256368285436662</v>
      </c>
      <c r="FJ243" s="102">
        <f t="shared" si="225"/>
        <v>2354.6977059305491</v>
      </c>
      <c r="GD243" s="91">
        <f>'Renewable Diesel'!BB252*0.32</f>
        <v>0</v>
      </c>
      <c r="GE243" s="91">
        <f>'Renewable Diesel'!BC252</f>
        <v>266.05990334325173</v>
      </c>
      <c r="GF243" s="91">
        <f>'Renewable Diesel'!BD252</f>
        <v>0</v>
      </c>
      <c r="GG243" s="91">
        <f t="shared" si="206"/>
        <v>266.05990334325173</v>
      </c>
      <c r="GH243" s="124">
        <v>1</v>
      </c>
      <c r="GI243" s="102">
        <f>$GG243*EA243*'Feedstock Conversion Rates'!$B$2</f>
        <v>43.894040413010096</v>
      </c>
      <c r="GJ243" s="102">
        <f>$GG243*EB243*'Feedstock Conversion Rates'!$B$3</f>
        <v>548.43213362098743</v>
      </c>
      <c r="GK243" s="102">
        <f>$GG243*EC243*'Feedstock Conversion Rates'!$B$4</f>
        <v>973.81711060611917</v>
      </c>
      <c r="GL243" s="102">
        <f>$GG243*ED243*'Feedstock Conversion Rates'!$B$5</f>
        <v>132.05668686463119</v>
      </c>
      <c r="GM243" s="102">
        <f>$GG243*EE243*'Feedstock Conversion Rates'!$B$6</f>
        <v>215.58687145409442</v>
      </c>
      <c r="GN243" s="102">
        <f>$GG243*EF243*'Feedstock Conversion Rates'!$B$7</f>
        <v>181.93291998039916</v>
      </c>
      <c r="GO243" s="102">
        <f>$GG243*EG243*'Feedstock Conversion Rates'!$B$8</f>
        <v>19.955467166518499</v>
      </c>
      <c r="GP243" s="102">
        <f>$GG243*EH243*'Feedstock Conversion Rates'!B$9</f>
        <v>1.9115916767927106</v>
      </c>
      <c r="GQ243" s="102">
        <f t="shared" si="180"/>
        <v>2117.5868217825532</v>
      </c>
      <c r="GR243" s="85">
        <f t="shared" si="204"/>
        <v>7.9590603287959256</v>
      </c>
      <c r="GT243" s="103">
        <f t="shared" si="159"/>
        <v>2.0728330929100116E-2</v>
      </c>
      <c r="GU243" s="103">
        <f t="shared" si="159"/>
        <v>0.25898920789435476</v>
      </c>
      <c r="GV243" s="103">
        <f t="shared" si="159"/>
        <v>0.45987116116749094</v>
      </c>
      <c r="GW243" s="103">
        <f t="shared" si="159"/>
        <v>6.2361876030881169E-2</v>
      </c>
      <c r="GX243" s="103">
        <f t="shared" si="158"/>
        <v>0.10180780747049449</v>
      </c>
      <c r="GY243" s="103">
        <f t="shared" si="158"/>
        <v>8.5915211649858478E-2</v>
      </c>
      <c r="GZ243" s="103">
        <f t="shared" si="158"/>
        <v>9.4236831100602946E-3</v>
      </c>
      <c r="HA243" s="103">
        <f t="shared" si="158"/>
        <v>9.0272174775982096E-4</v>
      </c>
    </row>
    <row r="244" spans="1:209" x14ac:dyDescent="0.25">
      <c r="A244" s="96">
        <v>47849</v>
      </c>
      <c r="B244" s="104">
        <f>23-20+10+85-5-4-4-1.25+2.25-5+15-6-25-45+65+15-22.5-50+40+16.5+27.5+168+80+14-30+15-50-19+22.5-10+5+11-25-50-12.5-27.5-10+10+2+4-1.5+12-26-15-50-15+10-32.5-3-5-2.5-1+5+10-50-35-9-0.5+25+15+25+20+15+85-25+12.5-52.5+10+20-150+20-20+55-25-25+25-25</f>
        <v>5</v>
      </c>
      <c r="C244" s="104">
        <f t="shared" si="147"/>
        <v>0</v>
      </c>
      <c r="D244" s="104">
        <f t="shared" si="192"/>
        <v>1.5</v>
      </c>
      <c r="E244" s="104">
        <f>('Renewable Diesel'!B253*E$3*'Feedstock Conversion Rates'!$B$2)/12-40+1.25+6-43+30-15+12.5-4+1.5+26+2.5+3-10+50+9-15-25-55+15+45+10-50+60-60+25</f>
        <v>69.679999999999993</v>
      </c>
      <c r="F244" s="104">
        <f>('Renewable Diesel'!B253*'RD Feedstock Breakdown'!F$3*'Feedstock Conversion Rates'!B$8)/12+28.5-49-5+2-6+1+6+20-20-3.75+10+2.5+5-20-20</f>
        <v>5.15625</v>
      </c>
      <c r="G244" s="104">
        <f>('Renewable Diesel'!B253*'RD Feedstock Breakdown'!G$3*'Feedstock Conversion Rates'!B$7)/12-25-15-25+4+4-20-40-20+10-17.5+20+50-12+32.5+35-75-75+22.5+5-20+15+125-10-45-10-40-40</f>
        <v>9.6570000000000107</v>
      </c>
      <c r="H244" s="104">
        <f>('Renewable Diesel'!B253*'RD Feedstock Breakdown'!H$3*'Feedstock Conversion Rates'!B$3)/12-85+4-15+70-65-80+50-22.5-5+25+27.5+15+50+15-10+5+50+75-5-25-85-12.5+30+22.5-25-30+150+90-120+25+10+70+30+40-40</f>
        <v>405.40022499999998</v>
      </c>
      <c r="I244" s="106">
        <f t="shared" si="203"/>
        <v>496.39347499999997</v>
      </c>
      <c r="J244" s="104">
        <f>58.5+40+43+1.5+102-19+38-8.5-35-7.5-29-30-30-5+15+10-7-45-10-1-75+2.5+18+5+130+15-5+15+10-75-120+12+35-24-20-4</f>
        <v>0.5</v>
      </c>
      <c r="K244" s="104"/>
      <c r="L244" s="104">
        <v>1</v>
      </c>
      <c r="M244" s="104">
        <f>('Renewable Diesel'!C253*'RD Feedstock Breakdown'!M$3*'Feedstock Conversion Rates'!B$2)/12</f>
        <v>7.7902500000000003</v>
      </c>
      <c r="N244" s="104">
        <f>('Renewable Diesel'!C253*'RD Feedstock Breakdown'!N$3*'Feedstock Conversion Rates'!B$8)/12</f>
        <v>3.671875</v>
      </c>
      <c r="O244" s="104">
        <f>('Renewable Diesel'!C253*'RD Feedstock Breakdown'!O$3*'Feedstock Conversion Rates'!B$7)/12</f>
        <v>11.9991</v>
      </c>
      <c r="P244" s="104">
        <f>('Renewable Diesel'!C253*'RD Feedstock Breakdown'!P$3*'Feedstock Conversion Rates'!B$3)/12</f>
        <v>10.4470425</v>
      </c>
      <c r="Q244" s="106">
        <f t="shared" si="216"/>
        <v>35.408267500000001</v>
      </c>
      <c r="R244" s="104">
        <f>('Renewable Diesel'!D253*'RD Feedstock Breakdown'!R$3*'Feedstock Conversion Rates'!B$7)/12</f>
        <v>2.2999999999999998</v>
      </c>
      <c r="S244" s="106">
        <f t="shared" si="148"/>
        <v>2.2999999999999998</v>
      </c>
      <c r="T244" s="104">
        <f t="shared" si="221"/>
        <v>0.82500000000000284</v>
      </c>
      <c r="U244" s="104">
        <v>30</v>
      </c>
      <c r="V244" s="104">
        <f>('Renewable Diesel'!E253*'RD Feedstock Breakdown'!V$3*'Feedstock Conversion Rates'!B$6)/12-20+25-35+15</f>
        <v>29.250150000000012</v>
      </c>
      <c r="W244" s="104">
        <f>('Renewable Diesel'!E253*'RD Feedstock Breakdown'!W$3*'Feedstock Conversion Rates'!B$8)/12-6-10</f>
        <v>6.1796875</v>
      </c>
      <c r="X244" s="106">
        <f t="shared" si="185"/>
        <v>66.254837500000008</v>
      </c>
      <c r="Y244" s="104">
        <f t="shared" si="232"/>
        <v>141.5</v>
      </c>
      <c r="Z244" s="104">
        <f>('Renewable Diesel'!F253*'RD Feedstock Breakdown'!Z$3*'Feedstock Conversion Rates'!B$6)/12-50-32-60+15+15+47.5-72.5+70-27.5-5</f>
        <v>59.960000000000008</v>
      </c>
      <c r="AA244" s="104">
        <f>('Renewable Diesel'!F253*'RD Feedstock Breakdown'!AA$3*'Feedstock Conversion Rates'!B$7)/12+80-171+75+30-55-1</f>
        <v>62.266666666666652</v>
      </c>
      <c r="AB244" s="106">
        <f t="shared" si="235"/>
        <v>263.72666666666669</v>
      </c>
      <c r="AC244" s="104">
        <f>('Renewable Diesel'!G253*'RD Feedstock Breakdown'!AC$3*'Feedstock Conversion Rates'!B$5)/12</f>
        <v>11.796875</v>
      </c>
      <c r="AD244" s="104">
        <f>('Renewable Diesel'!G253*'RD Feedstock Breakdown'!AD$3*'Feedstock Conversion Rates'!B$4)/12</f>
        <v>5.859375</v>
      </c>
      <c r="AE244" s="104">
        <f>('Renewable Diesel'!G253*'RD Feedstock Breakdown'!AE$3*'Feedstock Conversion Rates'!B$6)/12</f>
        <v>7.3281250000000009</v>
      </c>
      <c r="AF244" s="106">
        <f t="shared" si="198"/>
        <v>24.984375</v>
      </c>
      <c r="AG244" s="104">
        <f t="shared" si="230"/>
        <v>6.5</v>
      </c>
      <c r="AH244" s="104">
        <v>135</v>
      </c>
      <c r="AI244" s="104">
        <f>('Renewable Diesel'!H253*'RD Feedstock Breakdown'!AI$3*'Feedstock Conversion Rates'!B$6)/12-130-20+51-120+105-40+25-10-2.5</f>
        <v>7.0166666666666799</v>
      </c>
      <c r="AJ244" s="106">
        <f t="shared" si="145"/>
        <v>13.51666666666668</v>
      </c>
      <c r="AK244" s="104">
        <f>('Renewable Diesel'!J253*'RD Feedstock Breakdown'!AK$3*'Feedstock Conversion Rates'!B$4)/12</f>
        <v>95.8125</v>
      </c>
      <c r="AL244" s="106">
        <f t="shared" si="157"/>
        <v>95.8125</v>
      </c>
      <c r="AM244" s="104">
        <f>('Renewable Diesel'!K253*'RD Feedstock Breakdown'!AM$3*'Feedstock Conversion Rates'!B$4)/12+5+15-10+2.5+7-35</f>
        <v>43.09375</v>
      </c>
      <c r="AN244" s="104">
        <f>('Renewable Diesel'!K253*'RD Feedstock Breakdown'!AN$3*'Feedstock Conversion Rates'!B$6)/12-5-15+10-2.5-7+35</f>
        <v>39.927083333333329</v>
      </c>
      <c r="AO244" s="106">
        <f t="shared" si="173"/>
        <v>83.020833333333329</v>
      </c>
      <c r="AP244" s="104">
        <f>('Renewable Diesel'!L253*'RD Feedstock Breakdown'!AP$3*'Feedstock Conversion Rates'!B$4)/12+15-10+5+2.5+7</f>
        <v>78.09375</v>
      </c>
      <c r="AQ244" s="104">
        <f>('Renewable Diesel'!L253*'RD Feedstock Breakdown'!AQ$3*'Feedstock Conversion Rates'!B$6)/12-15+10-5-2.5-7</f>
        <v>4.9270833333333321</v>
      </c>
      <c r="AR244" s="106">
        <f t="shared" si="162"/>
        <v>83.020833333333329</v>
      </c>
      <c r="AS244" s="104">
        <f>('Renewable Diesel'!M253*'RD Feedstock Breakdown'!AS$3*'Feedstock Conversion Rates'!B$4)/12-25</f>
        <v>431.25</v>
      </c>
      <c r="AT244" s="104">
        <f>('Renewable Diesel'!M253*'RD Feedstock Breakdown'!AT$3*'Feedstock Conversion Rates'!B$5)/12+25</f>
        <v>25</v>
      </c>
      <c r="AU244" s="106">
        <f t="shared" si="201"/>
        <v>456.25</v>
      </c>
      <c r="AV244" s="104">
        <f>'Renewable Diesel'!N253*'RD Feedstock Breakdown'!$AV$3*'Feedstock Conversion Rates'!$B$4/12-15-10+25+25-22+15-50</f>
        <v>46.749999999999986</v>
      </c>
      <c r="AW244" s="104">
        <f>'Renewable Diesel'!N253*'RD Feedstock Breakdown'!$AW$3*'Feedstock Conversion Rates'!$B$7/12+15+10-25-25+22-15+50</f>
        <v>73.400000000000006</v>
      </c>
      <c r="AX244" s="106">
        <f t="shared" si="141"/>
        <v>120.14999999999999</v>
      </c>
      <c r="AY244" s="104">
        <f>('Renewable Diesel'!O253*'RD Feedstock Breakdown'!AY$3*'Feedstock Conversion Rates'!B$4)/12+32+2-125-25-25-207</f>
        <v>-137.0625</v>
      </c>
      <c r="AZ244" s="104">
        <f>('Renewable Diesel'!O253*'RD Feedstock Breakdown'!AZ$3*'Feedstock Conversion Rates'!B$3)/12-32-2+125+25+25+207</f>
        <v>373.03125</v>
      </c>
      <c r="BA244" s="106">
        <f t="shared" si="217"/>
        <v>235.96875</v>
      </c>
      <c r="BB244" s="104">
        <f>('Renewable Diesel'!Q253*'RD Feedstock Breakdown'!BB$3*'Feedstock Conversion Rates'!B$4)/12-10</f>
        <v>1.1562499999999982</v>
      </c>
      <c r="BC244" s="104">
        <f>('Renewable Diesel'!Q253*'RD Feedstock Breakdown'!BC$3*'Feedstock Conversion Rates'!B$3)/12+10</f>
        <v>11.40175</v>
      </c>
      <c r="BD244" s="104">
        <f>('Renewable Diesel'!Q253*'RD Feedstock Breakdown'!BD$3*'Feedstock Conversion Rates'!B$6)/12</f>
        <v>0.8207500000000002</v>
      </c>
      <c r="BE244" s="106">
        <f t="shared" si="189"/>
        <v>13.378749999999998</v>
      </c>
      <c r="BF244" s="104">
        <f>('Renewable Diesel'!R253*'RD Feedstock Breakdown'!BF$3*'Feedstock Conversion Rates'!B$4)/12</f>
        <v>62.5</v>
      </c>
      <c r="BG244" s="106">
        <f t="shared" si="167"/>
        <v>62.5</v>
      </c>
      <c r="BH244" s="104">
        <f>('Renewable Diesel'!T253*'RD Feedstock Breakdown'!BH$3*'Feedstock Conversion Rates'!B$7)/12</f>
        <v>27.599999999999998</v>
      </c>
      <c r="BI244" s="106">
        <f t="shared" si="144"/>
        <v>27.599999999999998</v>
      </c>
      <c r="BJ244" s="104">
        <f>('Renewable Diesel'!W253*'RD Feedstock Breakdown'!BJ$3*'Feedstock Conversion Rates'!B$4)/12</f>
        <v>7.5</v>
      </c>
      <c r="BK244" s="104">
        <f>('Renewable Diesel'!W253*'RD Feedstock Breakdown'!BK$3*'Feedstock Conversion Rates'!B$3)/12</f>
        <v>1.335</v>
      </c>
      <c r="BL244" s="104">
        <f>('Renewable Diesel'!W253*'RD Feedstock Breakdown'!BL$3*'Feedstock Conversion Rates'!B$6)/12</f>
        <v>3.1266666666666669</v>
      </c>
      <c r="BM244" s="104">
        <f>('Renewable Diesel'!W253*'RD Feedstock Breakdown'!BM$3*'Feedstock Conversion Rates'!B$7)/12</f>
        <v>1.5333333333333332</v>
      </c>
      <c r="BN244" s="106">
        <f t="shared" si="209"/>
        <v>13.495000000000001</v>
      </c>
      <c r="BO244" s="104">
        <f>('Renewable Diesel'!P253*'Feedstock Conversion Rates'!B$4)/12</f>
        <v>31.25</v>
      </c>
      <c r="BP244" s="106">
        <f t="shared" si="199"/>
        <v>31.25</v>
      </c>
      <c r="BQ244" s="104">
        <f>('Renewable Diesel'!$S253*'RD Feedstock Breakdown'!BQ$3*'Feedstock Conversion Rates'!B$4)/12+10</f>
        <v>38.125</v>
      </c>
      <c r="BR244" s="104">
        <f>('Renewable Diesel'!$S253*'RD Feedstock Breakdown'!BR$3*'Feedstock Conversion Rates'!B$7)/12-10</f>
        <v>1.5</v>
      </c>
      <c r="BS244" s="106">
        <f t="shared" si="222"/>
        <v>39.625</v>
      </c>
      <c r="BT244" s="106"/>
      <c r="BU244" s="104">
        <f>('Renewable Diesel'!Y253*'Feedstock Conversion Rates'!B$7)/12</f>
        <v>2.6833333333333331</v>
      </c>
      <c r="BV244" s="106">
        <f t="shared" si="191"/>
        <v>2.6833333333333331</v>
      </c>
      <c r="BW244" s="104">
        <f>('Renewable Diesel'!$Z253*'RD Feedstock Breakdown'!BW$3*'Feedstock Conversion Rates'!$B$4)/12</f>
        <v>53.90625</v>
      </c>
      <c r="BX244" s="104">
        <f>('Renewable Diesel'!$Z253*'RD Feedstock Breakdown'!BX$3*'Feedstock Conversion Rates'!$B$5)/12</f>
        <v>5.4265624999999993</v>
      </c>
      <c r="BY244" s="104">
        <f>('Renewable Diesel'!$Z253*'RD Feedstock Breakdown'!BY$3*'Feedstock Conversion Rates'!$B$7)/12</f>
        <v>46.287499999999994</v>
      </c>
      <c r="BZ244" s="104">
        <f>('Renewable Diesel'!$Z253*'RD Feedstock Breakdown'!BZ$3*'Feedstock Conversion Rates'!$B$3)/12</f>
        <v>11.514374999999999</v>
      </c>
      <c r="CA244" s="106">
        <f t="shared" si="228"/>
        <v>117.1346875</v>
      </c>
      <c r="CB244" s="104">
        <f>('Renewable Diesel'!AA253*'Feedstock Conversion Rates'!B$4)/12</f>
        <v>191.25</v>
      </c>
      <c r="CC244" s="106">
        <f t="shared" si="213"/>
        <v>191.25</v>
      </c>
      <c r="CD244" s="104">
        <f>('Renewable Diesel'!$AB253*'RD Feedstock Breakdown'!CD$3*'Feedstock Conversion Rates'!$B$6)/12-15</f>
        <v>17.830000000000005</v>
      </c>
      <c r="CE244" s="104">
        <f>('Renewable Diesel'!$AB253*'RD Feedstock Breakdown'!CE$3*'Feedstock Conversion Rates'!$B$4)/12+15</f>
        <v>26.25</v>
      </c>
      <c r="CF244" s="106">
        <f t="shared" si="205"/>
        <v>44.080000000000005</v>
      </c>
      <c r="CG244" s="104">
        <f>('Renewable Diesel'!AD253*'Feedstock Conversion Rates'!B$4)/12</f>
        <v>112.5</v>
      </c>
      <c r="CH244" s="106">
        <f t="shared" si="187"/>
        <v>112.5</v>
      </c>
      <c r="CI244" s="104">
        <f>('Renewable Diesel'!$AE253*'RD Feedstock Breakdown'!CI$3*'Feedstock Conversion Rates'!$B$5)/12</f>
        <v>0.34604166666666664</v>
      </c>
      <c r="CJ244" s="104">
        <f>('Renewable Diesel'!$AE253*'RD Feedstock Breakdown'!CJ$3*'Feedstock Conversion Rates'!$B$4)/12</f>
        <v>0.34375</v>
      </c>
      <c r="CK244" s="106">
        <f t="shared" si="200"/>
        <v>0.68979166666666658</v>
      </c>
      <c r="CL244" s="104">
        <f>(((CL$3*'Renewable Diesel'!$AF253)*'Feedstock Conversion Rates'!$B$3)/12)-25</f>
        <v>66.78125</v>
      </c>
      <c r="CM244" s="104">
        <f>(((CM$3*'Renewable Diesel'!$AF253)*'Feedstock Conversion Rates'!$B$6)/12)+25</f>
        <v>78.739583333333343</v>
      </c>
      <c r="CN244" s="104">
        <f>(((CN$3*'Renewable Diesel'!$AF253)*'Feedstock Conversion Rates'!$B$4)/12)</f>
        <v>42.96875</v>
      </c>
      <c r="CO244" s="106">
        <f t="shared" si="190"/>
        <v>188.48958333333334</v>
      </c>
      <c r="CP244" s="104">
        <f>('Renewable Diesel'!$AG253*'RD Feedstock Breakdown'!CP$3*'Feedstock Conversion Rates'!$B$3)/12</f>
        <v>6.0075000000000003</v>
      </c>
      <c r="CQ244" s="104">
        <f>('Renewable Diesel'!$AG253*'RD Feedstock Breakdown'!CQ$3*'Feedstock Conversion Rates'!$B$6)/12</f>
        <v>3.5175000000000001</v>
      </c>
      <c r="CR244" s="104">
        <f>('Renewable Diesel'!$AG253*'RD Feedstock Breakdown'!CR$3*'Feedstock Conversion Rates'!$B$4)/12</f>
        <v>2.8125</v>
      </c>
      <c r="CS244" s="106">
        <f t="shared" si="231"/>
        <v>12.3375</v>
      </c>
      <c r="CT244" s="104">
        <f>('Renewable Diesel'!AI253*'Feedstock Conversion Rates'!$B$4*'RD Feedstock Breakdown'!$CT$3)/12</f>
        <v>29.375</v>
      </c>
      <c r="CU244" s="106">
        <f t="shared" si="196"/>
        <v>29.375</v>
      </c>
      <c r="CV244" s="104">
        <f>('Renewable Diesel'!AN253*'Feedstock Conversion Rates'!$B$3*'RD Feedstock Breakdown'!$CV$3)/12</f>
        <v>0.50062499999999999</v>
      </c>
      <c r="CW244" s="106">
        <f t="shared" si="161"/>
        <v>0.50062499999999999</v>
      </c>
      <c r="CX244" s="104">
        <f>('Renewable Diesel'!AO253*'RD Feedstock Breakdown'!$CX$3*'Feedstock Conversion Rates'!$B$3)/12</f>
        <v>6.3412499999999996</v>
      </c>
      <c r="CY244" s="104">
        <f>('Renewable Diesel'!AO253*'RD Feedstock Breakdown'!$CY$3*'Feedstock Conversion Rates'!$B$6)/12</f>
        <v>7.4258333333333342</v>
      </c>
      <c r="CZ244" s="106">
        <f t="shared" si="233"/>
        <v>13.767083333333334</v>
      </c>
      <c r="DA244" s="104">
        <f>('Renewable Diesel'!$AP253*'RD Feedstock Breakdown'!DA$3*'Feedstock Conversion Rates'!$B$3)/12</f>
        <v>6.3412499999999996</v>
      </c>
      <c r="DB244" s="104">
        <f>('Renewable Diesel'!$AP253*'RD Feedstock Breakdown'!DB$3*'Feedstock Conversion Rates'!$B$8)/12</f>
        <v>7.421875</v>
      </c>
      <c r="DC244" s="106">
        <f t="shared" si="165"/>
        <v>13.763124999999999</v>
      </c>
      <c r="DD244" s="104">
        <f>('Renewable Diesel'!AQ253*$DD$3*'Feedstock Conversion Rates'!$B$14)/12</f>
        <v>3.1041666666666665</v>
      </c>
      <c r="DE244" s="106">
        <f t="shared" si="166"/>
        <v>3.1041666666666665</v>
      </c>
      <c r="DF244" s="104">
        <f>('Renewable Diesel'!AR253*'Feedstock Conversion Rates'!$B$4*$DF$3)/12</f>
        <v>75</v>
      </c>
      <c r="DG244" s="106">
        <f t="shared" si="234"/>
        <v>75</v>
      </c>
      <c r="DH244" s="104">
        <f>('Renewable Diesel'!AS253*'Feedstock Conversion Rates'!$B$4*$DH$3)/12</f>
        <v>75</v>
      </c>
      <c r="DI244" s="106">
        <f t="shared" si="142"/>
        <v>75</v>
      </c>
      <c r="DJ244" s="104">
        <f>('Renewable Diesel'!AT253*'Feedstock Conversion Rates'!$B$4*0.25)/12</f>
        <v>8.59375</v>
      </c>
      <c r="DK244" s="104">
        <f>('Renewable Diesel'!$AT253*'RD Feedstock Breakdown'!DK$3*'Feedstock Conversion Rates'!$B$3)/12*0.5</f>
        <v>9.1781249999999996</v>
      </c>
      <c r="DL244" s="104">
        <f>('Renewable Diesel'!$AT253*'RD Feedstock Breakdown'!$DL$3*'Feedstock Conversion Rates'!$B$6)/12</f>
        <v>10.747916666666669</v>
      </c>
      <c r="DM244" s="104">
        <f>('Renewable Diesel'!$AT253*'RD Feedstock Breakdown'!$DM$3*'Feedstock Conversion Rates'!$B$8)/12</f>
        <v>10.7421875</v>
      </c>
      <c r="DN244" s="106">
        <f t="shared" si="210"/>
        <v>39.26197916666667</v>
      </c>
      <c r="DP244" s="104">
        <f t="shared" si="168"/>
        <v>77.470249999999993</v>
      </c>
      <c r="DQ244" s="104">
        <f t="shared" si="169"/>
        <v>908.27964250000002</v>
      </c>
      <c r="DR244" s="104">
        <f t="shared" si="174"/>
        <v>1625.734375</v>
      </c>
      <c r="DS244" s="104">
        <f t="shared" si="197"/>
        <v>61.592395833333342</v>
      </c>
      <c r="DT244" s="104">
        <f t="shared" si="170"/>
        <v>278.03923333333341</v>
      </c>
      <c r="DU244" s="104">
        <f t="shared" si="171"/>
        <v>239.22693333333333</v>
      </c>
      <c r="DV244" s="104">
        <f t="shared" si="175"/>
        <v>25.75</v>
      </c>
      <c r="DW244" s="104">
        <f t="shared" si="172"/>
        <v>2.5</v>
      </c>
      <c r="DX244" s="106">
        <f t="shared" si="176"/>
        <v>3218.59283</v>
      </c>
      <c r="DY244" s="109">
        <f t="shared" si="163"/>
        <v>-135.00000000000014</v>
      </c>
      <c r="EA244" s="110">
        <f t="shared" si="218"/>
        <v>2.4069602491471401E-2</v>
      </c>
      <c r="EB244" s="110">
        <f t="shared" si="219"/>
        <v>0.28219774618089855</v>
      </c>
      <c r="EC244" s="110">
        <f t="shared" si="220"/>
        <v>0.50510718841065705</v>
      </c>
      <c r="ED244" s="110">
        <f t="shared" si="146"/>
        <v>1.9136436041005331E-2</v>
      </c>
      <c r="EE244" s="110">
        <f t="shared" si="146"/>
        <v>8.6385339189776741E-2</v>
      </c>
      <c r="EF244" s="110">
        <f t="shared" si="146"/>
        <v>7.4326560074184131E-2</v>
      </c>
      <c r="EG244" s="110">
        <f t="shared" si="146"/>
        <v>8.0003906551920079E-3</v>
      </c>
      <c r="EH244" s="111">
        <f t="shared" si="177"/>
        <v>7.7673695681475805E-4</v>
      </c>
      <c r="EI244" s="110">
        <f t="shared" ref="EI244:EI307" si="236">SUM(EA244:EG244)</f>
        <v>0.99922326304318521</v>
      </c>
      <c r="EK244" s="132">
        <f>(EA244*'Renewable Diesel'!BF253*'Feedstock Conversion Rates'!B$2)+FB244</f>
        <v>81.811183417160009</v>
      </c>
      <c r="EL244" s="132">
        <f>(EB244*'Renewable Diesel'!BF253*'Feedstock Conversion Rates'!B$3)+FC244</f>
        <v>903.88023142452857</v>
      </c>
      <c r="EM244" s="132">
        <f>(EC244*'Renewable Diesel'!BF253*'Feedstock Conversion Rates'!B$4)+FD244</f>
        <v>1514.850043658585</v>
      </c>
      <c r="EN244" s="132">
        <f>(ED244*'Renewable Diesel'!BF253*'Feedstock Conversion Rates'!B$5)+FE244</f>
        <v>57.774053735321679</v>
      </c>
      <c r="EO244" s="132">
        <f>(EE244*'Renewable Diesel'!BF253*'Feedstock Conversion Rates'!B$6)+FF244</f>
        <v>324.01693712854262</v>
      </c>
      <c r="EP244" s="132">
        <f>(EF244*'Renewable Diesel'!BF253*'Feedstock Conversion Rates'!B$7)+FG244</f>
        <v>273.43662950020325</v>
      </c>
      <c r="EQ244" s="132">
        <f>(EG244*'Renewable Diesel'!BF253*'Feedstock Conversion Rates'!B$8)+FH244</f>
        <v>29.992129421671795</v>
      </c>
      <c r="ER244" s="132">
        <f>(EH244*'Renewable Diesel'!BF253*'Feedstock Conversion Rates'!B$9)+FI244</f>
        <v>2.8730324623996282</v>
      </c>
      <c r="ES244" s="132">
        <f t="shared" si="179"/>
        <v>3188.6342407484126</v>
      </c>
      <c r="ET244" s="133">
        <f>ES244/'Renewable Diesel'!BF253</f>
        <v>7.9740668868015838</v>
      </c>
      <c r="EW244" s="73">
        <f t="shared" si="223"/>
        <v>1572.6240973939068</v>
      </c>
      <c r="EX244" s="73">
        <f t="shared" si="224"/>
        <v>1616.0101433545058</v>
      </c>
      <c r="EY244" s="92">
        <f t="shared" si="164"/>
        <v>0.49319676659584266</v>
      </c>
      <c r="EZ244" s="92">
        <f t="shared" si="164"/>
        <v>0.50680323340415734</v>
      </c>
      <c r="FB244" s="102">
        <f>IF('Renewable Diesel'!$BG253&lt;1,0,(((('Renewable Diesel'!$BG253-1)*'Renewable Diesel'!$BF253)*'RD Feedstock Breakdown'!EA244)*'Feedstock Conversion Rates'!$B$2))</f>
        <v>0</v>
      </c>
      <c r="FC244" s="102">
        <f>IF('Renewable Diesel'!$BG253&lt;1,0,(((('Renewable Diesel'!$BG253-1)*'Renewable Diesel'!$BF253)*'RD Feedstock Breakdown'!EB244)*'Feedstock Conversion Rates'!$B$3))</f>
        <v>0</v>
      </c>
      <c r="FD244" s="102">
        <f>IF('Renewable Diesel'!$BG253&lt;1,0,(((('Renewable Diesel'!$BG253-1)*'Renewable Diesel'!$BF253)*'RD Feedstock Breakdown'!EC244)*'Feedstock Conversion Rates'!$B$4))</f>
        <v>0</v>
      </c>
      <c r="FE244" s="102">
        <f>IF('Renewable Diesel'!$BG253&lt;1,0,(((('Renewable Diesel'!$BG253-1)*'Renewable Diesel'!$BF253)*'RD Feedstock Breakdown'!ED244)*'Feedstock Conversion Rates'!$B$5))</f>
        <v>0</v>
      </c>
      <c r="FF244" s="102">
        <f>IF('Renewable Diesel'!$BG253&lt;1,0,(((('Renewable Diesel'!$BG253-1)*'Renewable Diesel'!$BF253)*'RD Feedstock Breakdown'!EE244)*'Feedstock Conversion Rates'!$B$6))</f>
        <v>0</v>
      </c>
      <c r="FG244" s="102">
        <f>IF('Renewable Diesel'!$BG253&lt;1,0,(((('Renewable Diesel'!$BG253-1)*'Renewable Diesel'!$BF253)*'RD Feedstock Breakdown'!EF244)*'Feedstock Conversion Rates'!$B$7))</f>
        <v>0</v>
      </c>
      <c r="FH244" s="102">
        <f>IF('Renewable Diesel'!$BG253&lt;1,0,(((('Renewable Diesel'!$BG253-1)*'Renewable Diesel'!$BF253)*'RD Feedstock Breakdown'!EG244)*'Feedstock Conversion Rates'!$B$8))</f>
        <v>0</v>
      </c>
      <c r="FI244" s="102">
        <f>IF('Renewable Diesel'!$BG253&lt;1,0,(((('Renewable Diesel'!$BG253-1)*'Renewable Diesel'!$BF253)*'RD Feedstock Breakdown'!EH244)*'Feedstock Conversion Rates'!$B$9))</f>
        <v>0</v>
      </c>
      <c r="FJ244" s="102">
        <f t="shared" si="225"/>
        <v>0</v>
      </c>
      <c r="GD244" s="91">
        <f>'Renewable Diesel'!BB253*0.32</f>
        <v>0</v>
      </c>
      <c r="GE244" s="91">
        <f>'Renewable Diesel'!BC253</f>
        <v>185.46658281507732</v>
      </c>
      <c r="GF244" s="91">
        <f>'Renewable Diesel'!BD253</f>
        <v>0</v>
      </c>
      <c r="GG244" s="91">
        <f t="shared" si="206"/>
        <v>185.46658281507732</v>
      </c>
      <c r="GH244" s="124">
        <v>1</v>
      </c>
      <c r="GI244" s="102">
        <f>$GG244*EA244*'Feedstock Conversion Rates'!$B$2</f>
        <v>37.944908852389013</v>
      </c>
      <c r="GJ244" s="102">
        <f>$GG244*EB244*'Feedstock Conversion Rates'!$B$3</f>
        <v>419.22939581492517</v>
      </c>
      <c r="GK244" s="102">
        <f>$GG244*EC244*'Feedstock Conversion Rates'!$B$4</f>
        <v>702.60378142391983</v>
      </c>
      <c r="GL244" s="102">
        <f>$GG244*ED244*'Feedstock Conversion Rates'!$B$5</f>
        <v>26.796228968373317</v>
      </c>
      <c r="GM244" s="102">
        <f>$GG244*EE244*'Feedstock Conversion Rates'!$B$6</f>
        <v>150.28254857628619</v>
      </c>
      <c r="GN244" s="102">
        <f>$GG244*EF244*'Feedstock Conversion Rates'!$B$7</f>
        <v>126.8228566060981</v>
      </c>
      <c r="GO244" s="102">
        <f>$GG244*EG244*'Feedstock Conversion Rates'!$B$8</f>
        <v>13.910672962538806</v>
      </c>
      <c r="GP244" s="102">
        <f>$GG244*EH244*'Feedstock Conversion Rates'!B$9</f>
        <v>1.3325434294211929</v>
      </c>
      <c r="GQ244" s="102">
        <f t="shared" si="180"/>
        <v>1478.9229366339516</v>
      </c>
      <c r="GR244" s="85">
        <f t="shared" si="204"/>
        <v>7.9740668868015838</v>
      </c>
      <c r="GT244" s="103">
        <f t="shared" si="159"/>
        <v>2.5657123784118274E-2</v>
      </c>
      <c r="GU244" s="103">
        <f t="shared" si="159"/>
        <v>0.28346939886475553</v>
      </c>
      <c r="GV244" s="103">
        <f t="shared" si="159"/>
        <v>0.4750780206459273</v>
      </c>
      <c r="GW244" s="103">
        <f t="shared" si="159"/>
        <v>1.8118745949915343E-2</v>
      </c>
      <c r="GX244" s="103">
        <f t="shared" si="158"/>
        <v>0.10161621329528589</v>
      </c>
      <c r="GY244" s="103">
        <f t="shared" si="158"/>
        <v>8.5753526072662456E-2</v>
      </c>
      <c r="GZ244" s="103">
        <f t="shared" si="158"/>
        <v>9.4059484899190783E-3</v>
      </c>
      <c r="HA244" s="103">
        <f t="shared" si="158"/>
        <v>9.010228974161965E-4</v>
      </c>
    </row>
    <row r="245" spans="1:209" x14ac:dyDescent="0.25">
      <c r="A245" s="96">
        <v>47880</v>
      </c>
      <c r="B245" s="104">
        <f t="shared" ref="B245:B251" si="237">23-20+10+85-5-4-4-1.25+2.25-5+15-6-25-45+65+15-22.5-50+40+16.5+27.5+168+80+14-30+15-50-19+22.5-10+5+11-25-50-12.5-27.5-10+10+2+4-1.5+12-26-15-50-15+10-32.5-3-5-2.5-1+5+10-50-35-9-0.5+25+15+25+20+15+85-25+12.5-52.5+10+20-150+20-20+55-25-25+25-25</f>
        <v>5</v>
      </c>
      <c r="C245" s="104">
        <f t="shared" si="147"/>
        <v>0</v>
      </c>
      <c r="D245" s="104">
        <f t="shared" si="192"/>
        <v>1.5</v>
      </c>
      <c r="E245" s="104">
        <f>('Renewable Diesel'!B254*E$3*'Feedstock Conversion Rates'!$B$2)/12-40+1.25+6-43+30-15+12.5-4+1.5+26+2.5+3-10+50+9-15-25-55+15+45+10-50+60-60+25</f>
        <v>69.679999999999993</v>
      </c>
      <c r="F245" s="104">
        <f>('Renewable Diesel'!B254*'RD Feedstock Breakdown'!F$3*'Feedstock Conversion Rates'!B$8)/12+28.5-49-5+2-6+1+6+20-20-3.75+10+2.5+5-20-20</f>
        <v>5.15625</v>
      </c>
      <c r="G245" s="104">
        <f>('Renewable Diesel'!B254*'RD Feedstock Breakdown'!G$3*'Feedstock Conversion Rates'!B$7)/12-25-15-25+4+4-20-40-20+10-17.5+20+50-12+32.5+35-75-75+22.5+5-20+15+125-10-45-10-40-40</f>
        <v>9.6570000000000107</v>
      </c>
      <c r="H245" s="104">
        <f>('Renewable Diesel'!B254*'RD Feedstock Breakdown'!H$3*'Feedstock Conversion Rates'!B$3)/12-85+4-15+70-65-80+50-22.5-5+25+27.5+15+50+15-10+5+50+75-5-25-85-12.5+30+22.5-25-30+150+90-120+25+10+70+30+40-40</f>
        <v>405.40022499999998</v>
      </c>
      <c r="I245" s="106">
        <f t="shared" si="203"/>
        <v>496.39347499999997</v>
      </c>
      <c r="J245" s="104">
        <f>58.5+40+43+1.5+102-19+38-8.5-35-7.5-29-30-30-5+15+10-7-45-10-1-75+2.5+18+5+130+15-5+15+10-75-120+12+35-24-20-4</f>
        <v>0.5</v>
      </c>
      <c r="K245" s="104"/>
      <c r="L245" s="104">
        <v>1</v>
      </c>
      <c r="M245" s="104">
        <f>('Renewable Diesel'!C254*'RD Feedstock Breakdown'!M$3*'Feedstock Conversion Rates'!B$2)/12</f>
        <v>7.7902500000000003</v>
      </c>
      <c r="N245" s="104">
        <f>('Renewable Diesel'!C254*'RD Feedstock Breakdown'!N$3*'Feedstock Conversion Rates'!B$8)/12</f>
        <v>3.671875</v>
      </c>
      <c r="O245" s="104">
        <f>('Renewable Diesel'!C254*'RD Feedstock Breakdown'!O$3*'Feedstock Conversion Rates'!B$7)/12</f>
        <v>11.9991</v>
      </c>
      <c r="P245" s="104">
        <f>('Renewable Diesel'!C254*'RD Feedstock Breakdown'!P$3*'Feedstock Conversion Rates'!B$3)/12</f>
        <v>10.4470425</v>
      </c>
      <c r="Q245" s="106">
        <f t="shared" si="216"/>
        <v>35.408267500000001</v>
      </c>
      <c r="R245" s="104">
        <f>('Renewable Diesel'!D254*'RD Feedstock Breakdown'!R$3*'Feedstock Conversion Rates'!B$7)/12</f>
        <v>2.2999999999999998</v>
      </c>
      <c r="S245" s="106">
        <f t="shared" si="148"/>
        <v>2.2999999999999998</v>
      </c>
      <c r="T245" s="104">
        <f t="shared" si="221"/>
        <v>0.82500000000000284</v>
      </c>
      <c r="U245" s="104">
        <v>30</v>
      </c>
      <c r="V245" s="104">
        <f>('Renewable Diesel'!E254*'RD Feedstock Breakdown'!V$3*'Feedstock Conversion Rates'!B$6)/12-20+25-35+15</f>
        <v>29.250150000000012</v>
      </c>
      <c r="W245" s="104">
        <f>('Renewable Diesel'!E254*'RD Feedstock Breakdown'!W$3*'Feedstock Conversion Rates'!B$8)/12-6-10</f>
        <v>6.1796875</v>
      </c>
      <c r="X245" s="106">
        <f t="shared" si="185"/>
        <v>66.254837500000008</v>
      </c>
      <c r="Y245" s="104">
        <f t="shared" si="232"/>
        <v>141.5</v>
      </c>
      <c r="Z245" s="104">
        <f>('Renewable Diesel'!F254*'RD Feedstock Breakdown'!Z$3*'Feedstock Conversion Rates'!B$6)/12-50-32-60+15+15+47.5-72.5+70-27.5-5</f>
        <v>59.960000000000008</v>
      </c>
      <c r="AA245" s="104">
        <f>('Renewable Diesel'!F254*'RD Feedstock Breakdown'!AA$3*'Feedstock Conversion Rates'!B$7)/12+80-171+75+30-55-1</f>
        <v>62.266666666666652</v>
      </c>
      <c r="AB245" s="106">
        <f t="shared" si="235"/>
        <v>263.72666666666669</v>
      </c>
      <c r="AC245" s="104">
        <f>('Renewable Diesel'!G254*'RD Feedstock Breakdown'!AC$3*'Feedstock Conversion Rates'!B$5)/12</f>
        <v>11.796875</v>
      </c>
      <c r="AD245" s="104">
        <f>('Renewable Diesel'!G254*'RD Feedstock Breakdown'!AD$3*'Feedstock Conversion Rates'!B$4)/12</f>
        <v>5.859375</v>
      </c>
      <c r="AE245" s="104">
        <f>('Renewable Diesel'!G254*'RD Feedstock Breakdown'!AE$3*'Feedstock Conversion Rates'!B$6)/12</f>
        <v>7.3281250000000009</v>
      </c>
      <c r="AF245" s="106">
        <f t="shared" si="198"/>
        <v>24.984375</v>
      </c>
      <c r="AG245" s="104">
        <f t="shared" si="230"/>
        <v>6.5</v>
      </c>
      <c r="AH245" s="104">
        <v>135</v>
      </c>
      <c r="AI245" s="104">
        <f>('Renewable Diesel'!H254*'RD Feedstock Breakdown'!AI$3*'Feedstock Conversion Rates'!B$6)/12-130-20+51-120+105-40+25-10-2.5</f>
        <v>7.0166666666666799</v>
      </c>
      <c r="AJ245" s="106">
        <f t="shared" si="145"/>
        <v>13.51666666666668</v>
      </c>
      <c r="AK245" s="104">
        <f>('Renewable Diesel'!J254*'RD Feedstock Breakdown'!AK$3*'Feedstock Conversion Rates'!B$4)/12</f>
        <v>95.8125</v>
      </c>
      <c r="AL245" s="106">
        <f t="shared" si="157"/>
        <v>95.8125</v>
      </c>
      <c r="AM245" s="104">
        <f>('Renewable Diesel'!K254*'RD Feedstock Breakdown'!AM$3*'Feedstock Conversion Rates'!B$4)/12+5+15-10+2.5+7-35</f>
        <v>43.09375</v>
      </c>
      <c r="AN245" s="104">
        <f>('Renewable Diesel'!K254*'RD Feedstock Breakdown'!AN$3*'Feedstock Conversion Rates'!B$6)/12-5-15+10-2.5-7+35</f>
        <v>39.927083333333329</v>
      </c>
      <c r="AO245" s="106">
        <f t="shared" si="173"/>
        <v>83.020833333333329</v>
      </c>
      <c r="AP245" s="104">
        <f>('Renewable Diesel'!L254*'RD Feedstock Breakdown'!AP$3*'Feedstock Conversion Rates'!B$4)/12+15-10+5+2.5+7</f>
        <v>78.09375</v>
      </c>
      <c r="AQ245" s="104">
        <f>('Renewable Diesel'!L254*'RD Feedstock Breakdown'!AQ$3*'Feedstock Conversion Rates'!B$6)/12-15+10-5-2.5-7</f>
        <v>4.9270833333333321</v>
      </c>
      <c r="AR245" s="106">
        <f t="shared" si="162"/>
        <v>83.020833333333329</v>
      </c>
      <c r="AS245" s="104">
        <f>('Renewable Diesel'!M254*'RD Feedstock Breakdown'!AS$3*'Feedstock Conversion Rates'!B$4)/12-25</f>
        <v>431.25</v>
      </c>
      <c r="AT245" s="104">
        <f>('Renewable Diesel'!M254*'RD Feedstock Breakdown'!AT$3*'Feedstock Conversion Rates'!B$5)/12+25</f>
        <v>25</v>
      </c>
      <c r="AU245" s="106">
        <f t="shared" si="201"/>
        <v>456.25</v>
      </c>
      <c r="AV245" s="104">
        <f>'Renewable Diesel'!N254*'RD Feedstock Breakdown'!$AV$3*'Feedstock Conversion Rates'!$B$4/12-15-10+25+25-22+15-50</f>
        <v>46.749999999999986</v>
      </c>
      <c r="AW245" s="104">
        <f>'Renewable Diesel'!N254*'RD Feedstock Breakdown'!$AW$3*'Feedstock Conversion Rates'!$B$7/12+15+10-25-25+22-15+50</f>
        <v>73.400000000000006</v>
      </c>
      <c r="AX245" s="106">
        <f t="shared" si="141"/>
        <v>120.14999999999999</v>
      </c>
      <c r="AY245" s="104">
        <f>('Renewable Diesel'!O254*'RD Feedstock Breakdown'!AY$3*'Feedstock Conversion Rates'!B$4)/12+32+2-125-25-25-207</f>
        <v>-137.0625</v>
      </c>
      <c r="AZ245" s="104">
        <f>('Renewable Diesel'!O254*'RD Feedstock Breakdown'!AZ$3*'Feedstock Conversion Rates'!B$3)/12-32-2+125+25+25+207</f>
        <v>373.03125</v>
      </c>
      <c r="BA245" s="106">
        <f t="shared" si="217"/>
        <v>235.96875</v>
      </c>
      <c r="BB245" s="104">
        <f>('Renewable Diesel'!Q254*'RD Feedstock Breakdown'!BB$3*'Feedstock Conversion Rates'!B$4)/12-10</f>
        <v>1.1562499999999982</v>
      </c>
      <c r="BC245" s="104">
        <f>('Renewable Diesel'!Q254*'RD Feedstock Breakdown'!BC$3*'Feedstock Conversion Rates'!B$3)/12+10</f>
        <v>11.40175</v>
      </c>
      <c r="BD245" s="104">
        <f>('Renewable Diesel'!Q254*'RD Feedstock Breakdown'!BD$3*'Feedstock Conversion Rates'!B$6)/12</f>
        <v>0.8207500000000002</v>
      </c>
      <c r="BE245" s="106">
        <f t="shared" si="189"/>
        <v>13.378749999999998</v>
      </c>
      <c r="BF245" s="104">
        <f>('Renewable Diesel'!R254*'RD Feedstock Breakdown'!BF$3*'Feedstock Conversion Rates'!B$4)/12</f>
        <v>62.5</v>
      </c>
      <c r="BG245" s="106">
        <f t="shared" si="167"/>
        <v>62.5</v>
      </c>
      <c r="BH245" s="104">
        <f>('Renewable Diesel'!T254*'RD Feedstock Breakdown'!BH$3*'Feedstock Conversion Rates'!B$7)/12</f>
        <v>27.599999999999998</v>
      </c>
      <c r="BI245" s="106">
        <f t="shared" si="144"/>
        <v>27.599999999999998</v>
      </c>
      <c r="BJ245" s="104">
        <f>('Renewable Diesel'!W254*'RD Feedstock Breakdown'!BJ$3*'Feedstock Conversion Rates'!B$4)/12</f>
        <v>7.5</v>
      </c>
      <c r="BK245" s="104">
        <f>('Renewable Diesel'!W254*'RD Feedstock Breakdown'!BK$3*'Feedstock Conversion Rates'!B$3)/12</f>
        <v>1.335</v>
      </c>
      <c r="BL245" s="104">
        <f>('Renewable Diesel'!W254*'RD Feedstock Breakdown'!BL$3*'Feedstock Conversion Rates'!B$6)/12</f>
        <v>3.1266666666666669</v>
      </c>
      <c r="BM245" s="104">
        <f>('Renewable Diesel'!W254*'RD Feedstock Breakdown'!BM$3*'Feedstock Conversion Rates'!B$7)/12</f>
        <v>1.5333333333333332</v>
      </c>
      <c r="BN245" s="106">
        <f t="shared" si="209"/>
        <v>13.495000000000001</v>
      </c>
      <c r="BO245" s="104">
        <f>('Renewable Diesel'!P254*'Feedstock Conversion Rates'!B$4)/12</f>
        <v>31.25</v>
      </c>
      <c r="BP245" s="106">
        <f t="shared" si="199"/>
        <v>31.25</v>
      </c>
      <c r="BQ245" s="104">
        <f>('Renewable Diesel'!$S254*'RD Feedstock Breakdown'!BQ$3*'Feedstock Conversion Rates'!B$4)/12+10</f>
        <v>38.125</v>
      </c>
      <c r="BR245" s="104">
        <f>('Renewable Diesel'!$S254*'RD Feedstock Breakdown'!BR$3*'Feedstock Conversion Rates'!B$7)/12-10</f>
        <v>1.5</v>
      </c>
      <c r="BS245" s="106">
        <f t="shared" si="222"/>
        <v>39.625</v>
      </c>
      <c r="BT245" s="106"/>
      <c r="BU245" s="104">
        <f>('Renewable Diesel'!Y254*'Feedstock Conversion Rates'!B$7)/12</f>
        <v>2.6833333333333331</v>
      </c>
      <c r="BV245" s="106">
        <f t="shared" si="191"/>
        <v>2.6833333333333331</v>
      </c>
      <c r="BW245" s="104">
        <f>('Renewable Diesel'!$Z254*'RD Feedstock Breakdown'!BW$3*'Feedstock Conversion Rates'!$B$4)/12</f>
        <v>59.765625</v>
      </c>
      <c r="BX245" s="104">
        <f>('Renewable Diesel'!$Z254*'RD Feedstock Breakdown'!BX$3*'Feedstock Conversion Rates'!$B$5)/12</f>
        <v>6.0164062499999993</v>
      </c>
      <c r="BY245" s="104">
        <f>('Renewable Diesel'!$Z254*'RD Feedstock Breakdown'!BY$3*'Feedstock Conversion Rates'!$B$7)/12</f>
        <v>51.318749999999994</v>
      </c>
      <c r="BZ245" s="104">
        <f>('Renewable Diesel'!$Z254*'RD Feedstock Breakdown'!BZ$3*'Feedstock Conversion Rates'!$B$3)/12</f>
        <v>12.7659375</v>
      </c>
      <c r="CA245" s="106">
        <f t="shared" si="228"/>
        <v>129.86671874999999</v>
      </c>
      <c r="CB245" s="104">
        <f>('Renewable Diesel'!AA254*'Feedstock Conversion Rates'!B$4)/12</f>
        <v>191.25</v>
      </c>
      <c r="CC245" s="106">
        <f t="shared" si="213"/>
        <v>191.25</v>
      </c>
      <c r="CD245" s="104">
        <f>('Renewable Diesel'!$AB254*'RD Feedstock Breakdown'!CD$3*'Feedstock Conversion Rates'!$B$6)/12-15</f>
        <v>17.830000000000005</v>
      </c>
      <c r="CE245" s="104">
        <f>('Renewable Diesel'!$AB254*'RD Feedstock Breakdown'!CE$3*'Feedstock Conversion Rates'!$B$4)/12+15</f>
        <v>26.25</v>
      </c>
      <c r="CF245" s="106">
        <f t="shared" si="205"/>
        <v>44.080000000000005</v>
      </c>
      <c r="CG245" s="104">
        <f>('Renewable Diesel'!AD254*'Feedstock Conversion Rates'!B$4)/12</f>
        <v>112.5</v>
      </c>
      <c r="CH245" s="106">
        <f t="shared" si="187"/>
        <v>112.5</v>
      </c>
      <c r="CI245" s="104">
        <f>('Renewable Diesel'!$AE254*'RD Feedstock Breakdown'!CI$3*'Feedstock Conversion Rates'!$B$5)/12</f>
        <v>0.34604166666666664</v>
      </c>
      <c r="CJ245" s="104">
        <f>('Renewable Diesel'!$AE254*'RD Feedstock Breakdown'!CJ$3*'Feedstock Conversion Rates'!$B$4)/12</f>
        <v>0.34375</v>
      </c>
      <c r="CK245" s="106">
        <f t="shared" si="200"/>
        <v>0.68979166666666658</v>
      </c>
      <c r="CL245" s="104">
        <f>(((CL$3*'Renewable Diesel'!$AF254)*'Feedstock Conversion Rates'!$B$3)/12)-25</f>
        <v>66.78125</v>
      </c>
      <c r="CM245" s="104">
        <f>(((CM$3*'Renewable Diesel'!$AF254)*'Feedstock Conversion Rates'!$B$6)/12)+25</f>
        <v>78.739583333333343</v>
      </c>
      <c r="CN245" s="104">
        <f>(((CN$3*'Renewable Diesel'!$AF254)*'Feedstock Conversion Rates'!$B$4)/12)</f>
        <v>42.96875</v>
      </c>
      <c r="CO245" s="106">
        <f t="shared" si="190"/>
        <v>188.48958333333334</v>
      </c>
      <c r="CP245" s="104">
        <f>('Renewable Diesel'!$AG254*'RD Feedstock Breakdown'!CP$3*'Feedstock Conversion Rates'!$B$3)/12</f>
        <v>6.0075000000000003</v>
      </c>
      <c r="CQ245" s="104">
        <f>('Renewable Diesel'!$AG254*'RD Feedstock Breakdown'!CQ$3*'Feedstock Conversion Rates'!$B$6)/12</f>
        <v>3.5175000000000001</v>
      </c>
      <c r="CR245" s="104">
        <f>('Renewable Diesel'!$AG254*'RD Feedstock Breakdown'!CR$3*'Feedstock Conversion Rates'!$B$4)/12</f>
        <v>2.8125</v>
      </c>
      <c r="CS245" s="106">
        <f t="shared" si="231"/>
        <v>12.3375</v>
      </c>
      <c r="CT245" s="104">
        <f>('Renewable Diesel'!AI254*'Feedstock Conversion Rates'!$B$4*'RD Feedstock Breakdown'!$CT$3)/12</f>
        <v>29.375</v>
      </c>
      <c r="CU245" s="106">
        <f t="shared" si="196"/>
        <v>29.375</v>
      </c>
      <c r="CV245" s="104">
        <f>('Renewable Diesel'!AN254*'Feedstock Conversion Rates'!$B$3*'RD Feedstock Breakdown'!$CV$3)/12</f>
        <v>0.50062499999999999</v>
      </c>
      <c r="CW245" s="106">
        <f t="shared" si="161"/>
        <v>0.50062499999999999</v>
      </c>
      <c r="CX245" s="104">
        <f>('Renewable Diesel'!AO254*'RD Feedstock Breakdown'!$CX$3*'Feedstock Conversion Rates'!$B$3)/12</f>
        <v>6.3412499999999996</v>
      </c>
      <c r="CY245" s="104">
        <f>('Renewable Diesel'!AO254*'RD Feedstock Breakdown'!$CY$3*'Feedstock Conversion Rates'!$B$6)/12</f>
        <v>7.4258333333333342</v>
      </c>
      <c r="CZ245" s="106">
        <f t="shared" si="233"/>
        <v>13.767083333333334</v>
      </c>
      <c r="DA245" s="104">
        <f>('Renewable Diesel'!$AP254*'RD Feedstock Breakdown'!DA$3*'Feedstock Conversion Rates'!$B$3)/12</f>
        <v>6.3412499999999996</v>
      </c>
      <c r="DB245" s="104">
        <f>('Renewable Diesel'!$AP254*'RD Feedstock Breakdown'!DB$3*'Feedstock Conversion Rates'!$B$8)/12</f>
        <v>7.421875</v>
      </c>
      <c r="DC245" s="106">
        <f t="shared" si="165"/>
        <v>13.763124999999999</v>
      </c>
      <c r="DD245" s="104">
        <f>('Renewable Diesel'!AQ254*$DD$3*'Feedstock Conversion Rates'!$B$14)/12</f>
        <v>3.1041666666666665</v>
      </c>
      <c r="DE245" s="106">
        <f t="shared" si="166"/>
        <v>3.1041666666666665</v>
      </c>
      <c r="DF245" s="104">
        <f>('Renewable Diesel'!AR254*'Feedstock Conversion Rates'!$B$4*$DF$3)/12</f>
        <v>75</v>
      </c>
      <c r="DG245" s="106">
        <f t="shared" si="234"/>
        <v>75</v>
      </c>
      <c r="DH245" s="104">
        <f>('Renewable Diesel'!AS254*'Feedstock Conversion Rates'!$B$4*$DH$3)/12</f>
        <v>75</v>
      </c>
      <c r="DI245" s="106">
        <f t="shared" si="142"/>
        <v>75</v>
      </c>
      <c r="DJ245" s="104">
        <f>('Renewable Diesel'!AT254*'Feedstock Conversion Rates'!$B$4*0.25)/12</f>
        <v>8.59375</v>
      </c>
      <c r="DK245" s="104">
        <f>('Renewable Diesel'!$AT254*'RD Feedstock Breakdown'!DK$3*'Feedstock Conversion Rates'!$B$3)/12*0.5</f>
        <v>9.1781249999999996</v>
      </c>
      <c r="DL245" s="104">
        <f>('Renewable Diesel'!$AT254*'RD Feedstock Breakdown'!$DL$3*'Feedstock Conversion Rates'!$B$6)/12</f>
        <v>10.747916666666669</v>
      </c>
      <c r="DM245" s="104">
        <f>('Renewable Diesel'!$AT254*'RD Feedstock Breakdown'!$DM$3*'Feedstock Conversion Rates'!$B$8)/12</f>
        <v>10.7421875</v>
      </c>
      <c r="DN245" s="106">
        <f t="shared" si="210"/>
        <v>39.26197916666667</v>
      </c>
      <c r="DP245" s="104">
        <f t="shared" si="168"/>
        <v>77.470249999999993</v>
      </c>
      <c r="DQ245" s="104">
        <f t="shared" si="169"/>
        <v>909.531205</v>
      </c>
      <c r="DR245" s="104">
        <f t="shared" si="174"/>
        <v>1631.59375</v>
      </c>
      <c r="DS245" s="104">
        <f t="shared" si="197"/>
        <v>62.182239583333342</v>
      </c>
      <c r="DT245" s="104">
        <f t="shared" si="170"/>
        <v>278.03923333333341</v>
      </c>
      <c r="DU245" s="104">
        <f t="shared" si="171"/>
        <v>244.25818333333333</v>
      </c>
      <c r="DV245" s="104">
        <f t="shared" si="175"/>
        <v>25.75</v>
      </c>
      <c r="DW245" s="104">
        <f t="shared" si="172"/>
        <v>2.5</v>
      </c>
      <c r="DX245" s="106">
        <f t="shared" si="176"/>
        <v>3231.3248612500001</v>
      </c>
      <c r="DY245" s="109">
        <f t="shared" si="163"/>
        <v>-135.00000000000026</v>
      </c>
      <c r="EA245" s="110">
        <f t="shared" si="218"/>
        <v>2.3974763704207546E-2</v>
      </c>
      <c r="EB245" s="110">
        <f t="shared" si="219"/>
        <v>0.28147315545616747</v>
      </c>
      <c r="EC245" s="110">
        <f t="shared" si="220"/>
        <v>0.50493027475078356</v>
      </c>
      <c r="ED245" s="110">
        <f t="shared" si="146"/>
        <v>1.9243574154063504E-2</v>
      </c>
      <c r="EE245" s="110">
        <f t="shared" si="146"/>
        <v>8.6044964611133895E-2</v>
      </c>
      <c r="EF245" s="110">
        <f t="shared" si="146"/>
        <v>7.5590723254871039E-2</v>
      </c>
      <c r="EG245" s="110">
        <f t="shared" si="146"/>
        <v>7.9688676025099232E-3</v>
      </c>
      <c r="EH245" s="111">
        <f t="shared" si="177"/>
        <v>7.7367646626309936E-4</v>
      </c>
      <c r="EI245" s="110">
        <f t="shared" si="236"/>
        <v>0.99922632353373686</v>
      </c>
      <c r="EK245" s="132">
        <f>(EA245*'Renewable Diesel'!BF254*'Feedstock Conversion Rates'!B$2)+FB245</f>
        <v>154.16218362959353</v>
      </c>
      <c r="EL245" s="132">
        <f>(EB245*'Renewable Diesel'!BF254*'Feedstock Conversion Rates'!B$3)+FC245</f>
        <v>1705.5878357902695</v>
      </c>
      <c r="EM245" s="132">
        <f>(EC245*'Renewable Diesel'!BF254*'Feedstock Conversion Rates'!B$4)+FD245</f>
        <v>2864.8195156857805</v>
      </c>
      <c r="EN245" s="132">
        <f>(ED245*'Renewable Diesel'!BF254*'Feedstock Conversion Rates'!B$5)+FE245</f>
        <v>109.91001862072879</v>
      </c>
      <c r="EO245" s="132">
        <f>(EE245*'Renewable Diesel'!BF254*'Feedstock Conversion Rates'!B$6)+FF245</f>
        <v>610.56638560042518</v>
      </c>
      <c r="EP245" s="132">
        <f>(EF245*'Renewable Diesel'!BF254*'Feedstock Conversion Rates'!B$7)+FG245</f>
        <v>526.09105801485646</v>
      </c>
      <c r="EQ245" s="132">
        <f>(EG245*'Renewable Diesel'!BF254*'Feedstock Conversion Rates'!B$8)+FH245</f>
        <v>56.516138383795628</v>
      </c>
      <c r="ER245" s="132">
        <f>(EH245*'Renewable Diesel'!BF254*'Feedstock Conversion Rates'!B$9)+FI245</f>
        <v>5.4138436768943388</v>
      </c>
      <c r="ES245" s="132">
        <f t="shared" si="179"/>
        <v>6033.0669794023443</v>
      </c>
      <c r="ET245" s="133">
        <f>ES245/'Renewable Diesel'!BF254</f>
        <v>10.252253626200073</v>
      </c>
      <c r="EW245" s="73">
        <f t="shared" si="223"/>
        <v>3635.4678918176564</v>
      </c>
      <c r="EX245" s="73">
        <f t="shared" si="224"/>
        <v>3737.6465509768022</v>
      </c>
      <c r="EY245" s="92">
        <f t="shared" si="164"/>
        <v>0.60259034156749869</v>
      </c>
      <c r="EZ245" s="92">
        <f t="shared" si="164"/>
        <v>0.61952677862480254</v>
      </c>
      <c r="FB245" s="102">
        <f>IF('Renewable Diesel'!$BG254&lt;1,0,(((('Renewable Diesel'!$BG254-1)*'Renewable Diesel'!$BF254)*'RD Feedstock Breakdown'!EA245)*'Feedstock Conversion Rates'!$B$2))</f>
        <v>34.242060270362032</v>
      </c>
      <c r="FC245" s="102">
        <f>IF('Renewable Diesel'!$BG254&lt;1,0,(((('Renewable Diesel'!$BG254-1)*'Renewable Diesel'!$BF254)*'RD Feedstock Breakdown'!EB245)*'Feedstock Conversion Rates'!$B$3))</f>
        <v>378.84025832075417</v>
      </c>
      <c r="FD245" s="102">
        <f>IF('Renewable Diesel'!$BG254&lt;1,0,(((('Renewable Diesel'!$BG254-1)*'Renewable Diesel'!$BF254)*'RD Feedstock Breakdown'!EC245)*'Feedstock Conversion Rates'!$B$4))</f>
        <v>636.32546069482851</v>
      </c>
      <c r="FE245" s="102">
        <f>IF('Renewable Diesel'!$BG254&lt;1,0,(((('Renewable Diesel'!$BG254-1)*'Renewable Diesel'!$BF254)*'RD Feedstock Breakdown'!ED245)*'Feedstock Conversion Rates'!$B$5))</f>
        <v>24.412896816318476</v>
      </c>
      <c r="FF245" s="102">
        <f>IF('Renewable Diesel'!$BG254&lt;1,0,(((('Renewable Diesel'!$BG254-1)*'Renewable Diesel'!$BF254)*'RD Feedstock Breakdown'!EE245)*'Feedstock Conversion Rates'!$B$6))</f>
        <v>135.61724725578856</v>
      </c>
      <c r="FG245" s="102">
        <f>IF('Renewable Diesel'!$BG254&lt;1,0,(((('Renewable Diesel'!$BG254-1)*'Renewable Diesel'!$BF254)*'RD Feedstock Breakdown'!EF245)*'Feedstock Conversion Rates'!$B$7))</f>
        <v>116.85383076518075</v>
      </c>
      <c r="FH245" s="102">
        <f>IF('Renewable Diesel'!$BG254&lt;1,0,(((('Renewable Diesel'!$BG254-1)*'Renewable Diesel'!$BF254)*'RD Feedstock Breakdown'!EG245)*'Feedstock Conversion Rates'!$B$8))</f>
        <v>12.553201902198259</v>
      </c>
      <c r="FI245" s="102">
        <f>IF('Renewable Diesel'!$BG254&lt;1,0,(((('Renewable Diesel'!$BG254-1)*'Renewable Diesel'!$BF254)*'RD Feedstock Breakdown'!EH245)*'Feedstock Conversion Rates'!$B$9))</f>
        <v>1.2025073666830695</v>
      </c>
      <c r="FJ245" s="102">
        <f t="shared" si="225"/>
        <v>1340.0474633921135</v>
      </c>
      <c r="GD245" s="91">
        <f>'Renewable Diesel'!BB254*0.32</f>
        <v>0</v>
      </c>
      <c r="GE245" s="91">
        <f>'Renewable Diesel'!BC254</f>
        <v>352.03344140870752</v>
      </c>
      <c r="GF245" s="91">
        <f>'Renewable Diesel'!BD254</f>
        <v>0</v>
      </c>
      <c r="GG245" s="91">
        <f t="shared" si="206"/>
        <v>352.03344140870752</v>
      </c>
      <c r="GH245" s="124">
        <v>1</v>
      </c>
      <c r="GI245" s="102">
        <f>$GG245*EA245*'Feedstock Conversion Rates'!$B$2</f>
        <v>71.739307876898408</v>
      </c>
      <c r="GJ245" s="102">
        <f>$GG245*EB245*'Feedstock Conversion Rates'!$B$3</f>
        <v>793.69458827101607</v>
      </c>
      <c r="GK245" s="102">
        <f>$GG245*EC245*'Feedstock Conversion Rates'!$B$4</f>
        <v>1333.1425671897191</v>
      </c>
      <c r="GL245" s="102">
        <f>$GG245*ED245*'Feedstock Conversion Rates'!$B$5</f>
        <v>51.146581340162676</v>
      </c>
      <c r="GM245" s="102">
        <f>$GG245*EE245*'Feedstock Conversion Rates'!$B$6</f>
        <v>284.12681297455151</v>
      </c>
      <c r="GN245" s="102">
        <f>$GG245*EF245*'Feedstock Conversion Rates'!$B$7</f>
        <v>244.81625450306629</v>
      </c>
      <c r="GO245" s="102">
        <f>$GG245*EG245*'Feedstock Conversion Rates'!$B$8</f>
        <v>26.299761433518043</v>
      </c>
      <c r="GP245" s="102">
        <f>$GG245*EH245*'Feedstock Conversion Rates'!B$9</f>
        <v>2.5193298978386216</v>
      </c>
      <c r="GQ245" s="102">
        <f t="shared" si="180"/>
        <v>2807.4852034867713</v>
      </c>
      <c r="GR245" s="85">
        <f t="shared" si="204"/>
        <v>7.975052575267437</v>
      </c>
      <c r="GT245" s="103">
        <f t="shared" si="159"/>
        <v>2.5552871227175627E-2</v>
      </c>
      <c r="GU245" s="103">
        <f t="shared" si="159"/>
        <v>0.2827065970945396</v>
      </c>
      <c r="GV245" s="103">
        <f t="shared" si="159"/>
        <v>0.47485292728667483</v>
      </c>
      <c r="GW245" s="103">
        <f t="shared" si="159"/>
        <v>1.8217934426383052E-2</v>
      </c>
      <c r="GX245" s="103">
        <f t="shared" si="158"/>
        <v>0.10120331627097399</v>
      </c>
      <c r="GY245" s="103">
        <f t="shared" si="158"/>
        <v>8.720126261004528E-2</v>
      </c>
      <c r="GZ245" s="103">
        <f t="shared" si="158"/>
        <v>9.3677293119318727E-3</v>
      </c>
      <c r="HA245" s="103">
        <f t="shared" si="158"/>
        <v>8.9736177227567467E-4</v>
      </c>
    </row>
    <row r="246" spans="1:209" x14ac:dyDescent="0.25">
      <c r="A246" s="96">
        <v>47908</v>
      </c>
      <c r="B246" s="104">
        <f t="shared" si="237"/>
        <v>5</v>
      </c>
      <c r="C246" s="104">
        <f t="shared" si="147"/>
        <v>0</v>
      </c>
      <c r="D246" s="104">
        <f t="shared" si="192"/>
        <v>1.5</v>
      </c>
      <c r="E246" s="104">
        <f>('Renewable Diesel'!B255*E$3*'Feedstock Conversion Rates'!$B$2)/12-40+1.25+6-43+30-15+12.5-4+1.5+26+2.5+3-10+50+9-15-25-55+15+45+10-50+60-60+25</f>
        <v>69.679999999999993</v>
      </c>
      <c r="F246" s="104">
        <f>('Renewable Diesel'!B255*'RD Feedstock Breakdown'!F$3*'Feedstock Conversion Rates'!B$8)/12+28.5-49-5+2-6+1+6+20-20-3.75+10+2.5+5-20-20</f>
        <v>5.15625</v>
      </c>
      <c r="G246" s="104">
        <f>('Renewable Diesel'!B255*'RD Feedstock Breakdown'!G$3*'Feedstock Conversion Rates'!B$7)/12-25-15-25+4+4-20-40-20+10-17.5+20+50-12+32.5+35-75-75+22.5+5-20+15+125-10-45-10-40-40</f>
        <v>9.6570000000000107</v>
      </c>
      <c r="H246" s="104">
        <f>('Renewable Diesel'!B255*'RD Feedstock Breakdown'!H$3*'Feedstock Conversion Rates'!B$3)/12-85+4-15+70-65-80+50-22.5-5+25+27.5+15+50+15-10+5+50+75-5-25-85-12.5+30+22.5-25-30+150+90-120+25+10+70+30+40-40</f>
        <v>405.40022499999998</v>
      </c>
      <c r="I246" s="106">
        <f t="shared" si="203"/>
        <v>496.39347499999997</v>
      </c>
      <c r="J246" s="104">
        <f>58.5+40+43+1.5+102-19+38-8.5-35-7.5-29-30-30-5+15+10-7-45-10-1-75+2.5+18+5+130+15-5+15+10-75-120+12+35-24-20-4+7</f>
        <v>7.5</v>
      </c>
      <c r="K246" s="104"/>
      <c r="L246" s="104">
        <v>1</v>
      </c>
      <c r="M246" s="104">
        <f>('Renewable Diesel'!C255*'RD Feedstock Breakdown'!M$3*'Feedstock Conversion Rates'!B$2)/12</f>
        <v>7.7902500000000003</v>
      </c>
      <c r="N246" s="104">
        <f>('Renewable Diesel'!C255*'RD Feedstock Breakdown'!N$3*'Feedstock Conversion Rates'!B$8)/12</f>
        <v>3.671875</v>
      </c>
      <c r="O246" s="104">
        <f>('Renewable Diesel'!C255*'RD Feedstock Breakdown'!O$3*'Feedstock Conversion Rates'!B$7)/12</f>
        <v>11.9991</v>
      </c>
      <c r="P246" s="104">
        <f>('Renewable Diesel'!C255*'RD Feedstock Breakdown'!P$3*'Feedstock Conversion Rates'!B$3)/12</f>
        <v>10.4470425</v>
      </c>
      <c r="Q246" s="106">
        <f t="shared" si="216"/>
        <v>42.408267500000001</v>
      </c>
      <c r="R246" s="104">
        <f>('Renewable Diesel'!D255*'RD Feedstock Breakdown'!R$3*'Feedstock Conversion Rates'!B$7)/12</f>
        <v>2.2999999999999998</v>
      </c>
      <c r="S246" s="106">
        <f t="shared" si="148"/>
        <v>2.2999999999999998</v>
      </c>
      <c r="T246" s="104">
        <f t="shared" si="221"/>
        <v>0.82500000000000284</v>
      </c>
      <c r="U246" s="104">
        <v>30</v>
      </c>
      <c r="V246" s="104">
        <f>('Renewable Diesel'!E255*'RD Feedstock Breakdown'!V$3*'Feedstock Conversion Rates'!B$6)/12-20+25-35+15</f>
        <v>29.250150000000012</v>
      </c>
      <c r="W246" s="104">
        <f>('Renewable Diesel'!E255*'RD Feedstock Breakdown'!W$3*'Feedstock Conversion Rates'!B$8)/12-6-10</f>
        <v>6.1796875</v>
      </c>
      <c r="X246" s="106">
        <f t="shared" si="185"/>
        <v>66.254837500000008</v>
      </c>
      <c r="Y246" s="104">
        <f t="shared" si="232"/>
        <v>141.5</v>
      </c>
      <c r="Z246" s="104">
        <f>('Renewable Diesel'!F255*'RD Feedstock Breakdown'!Z$3*'Feedstock Conversion Rates'!B$6)/12-50-32-60+15+15+47.5-72.5+70-27.5-5</f>
        <v>59.960000000000008</v>
      </c>
      <c r="AA246" s="104">
        <f>('Renewable Diesel'!F255*'RD Feedstock Breakdown'!AA$3*'Feedstock Conversion Rates'!B$7)/12+80-171+75+30-55-1</f>
        <v>62.266666666666652</v>
      </c>
      <c r="AB246" s="106">
        <f t="shared" si="235"/>
        <v>263.72666666666669</v>
      </c>
      <c r="AC246" s="104">
        <f>('Renewable Diesel'!G255*'RD Feedstock Breakdown'!AC$3*'Feedstock Conversion Rates'!B$5)/12</f>
        <v>11.796875</v>
      </c>
      <c r="AD246" s="104">
        <f>('Renewable Diesel'!G255*'RD Feedstock Breakdown'!AD$3*'Feedstock Conversion Rates'!B$4)/12</f>
        <v>5.859375</v>
      </c>
      <c r="AE246" s="104">
        <f>('Renewable Diesel'!G255*'RD Feedstock Breakdown'!AE$3*'Feedstock Conversion Rates'!B$6)/12</f>
        <v>7.3281250000000009</v>
      </c>
      <c r="AF246" s="106">
        <f t="shared" si="198"/>
        <v>24.984375</v>
      </c>
      <c r="AG246" s="104">
        <f t="shared" si="230"/>
        <v>6.5</v>
      </c>
      <c r="AH246" s="104">
        <v>135</v>
      </c>
      <c r="AI246" s="104">
        <f>('Renewable Diesel'!H255*'RD Feedstock Breakdown'!AI$3*'Feedstock Conversion Rates'!B$6)/12-130-20+51-120+105-40+25-10-2.5</f>
        <v>7.0166666666666799</v>
      </c>
      <c r="AJ246" s="106">
        <f t="shared" si="145"/>
        <v>13.51666666666668</v>
      </c>
      <c r="AK246" s="104">
        <f>('Renewable Diesel'!J255*'RD Feedstock Breakdown'!AK$3*'Feedstock Conversion Rates'!B$4)/12</f>
        <v>95.8125</v>
      </c>
      <c r="AL246" s="106">
        <f t="shared" si="157"/>
        <v>95.8125</v>
      </c>
      <c r="AM246" s="104">
        <f>('Renewable Diesel'!K255*'RD Feedstock Breakdown'!AM$3*'Feedstock Conversion Rates'!B$4)/12+5+15-10+2.5+7-35</f>
        <v>43.09375</v>
      </c>
      <c r="AN246" s="104">
        <f>('Renewable Diesel'!K255*'RD Feedstock Breakdown'!AN$3*'Feedstock Conversion Rates'!B$6)/12-5-15+10-2.5-7+35</f>
        <v>39.927083333333329</v>
      </c>
      <c r="AO246" s="106">
        <f t="shared" si="173"/>
        <v>83.020833333333329</v>
      </c>
      <c r="AP246" s="104">
        <f>('Renewable Diesel'!L255*'RD Feedstock Breakdown'!AP$3*'Feedstock Conversion Rates'!B$4)/12+15-10+5+2.5+7</f>
        <v>78.09375</v>
      </c>
      <c r="AQ246" s="104">
        <f>('Renewable Diesel'!L255*'RD Feedstock Breakdown'!AQ$3*'Feedstock Conversion Rates'!B$6)/12-15+10-5-2.5-7</f>
        <v>4.9270833333333321</v>
      </c>
      <c r="AR246" s="106">
        <f t="shared" si="162"/>
        <v>83.020833333333329</v>
      </c>
      <c r="AS246" s="104">
        <f>('Renewable Diesel'!M255*'RD Feedstock Breakdown'!AS$3*'Feedstock Conversion Rates'!B$4)/12-25</f>
        <v>431.25</v>
      </c>
      <c r="AT246" s="104">
        <f>('Renewable Diesel'!M255*'RD Feedstock Breakdown'!AT$3*'Feedstock Conversion Rates'!B$5)/12+25</f>
        <v>25</v>
      </c>
      <c r="AU246" s="106">
        <f t="shared" si="201"/>
        <v>456.25</v>
      </c>
      <c r="AV246" s="104">
        <f>'Renewable Diesel'!N255*'RD Feedstock Breakdown'!$AV$3*'Feedstock Conversion Rates'!$B$4/12-15-10+25+25-22+15-50</f>
        <v>46.749999999999986</v>
      </c>
      <c r="AW246" s="104">
        <f>'Renewable Diesel'!N255*'RD Feedstock Breakdown'!$AW$3*'Feedstock Conversion Rates'!$B$7/12+15+10-25-25+22-15+50</f>
        <v>73.400000000000006</v>
      </c>
      <c r="AX246" s="106">
        <f t="shared" si="141"/>
        <v>120.14999999999999</v>
      </c>
      <c r="AY246" s="104">
        <f>('Renewable Diesel'!O255*'RD Feedstock Breakdown'!AY$3*'Feedstock Conversion Rates'!B$4)/12+32+2-125-25-25-207</f>
        <v>-137.0625</v>
      </c>
      <c r="AZ246" s="104">
        <f>('Renewable Diesel'!O255*'RD Feedstock Breakdown'!AZ$3*'Feedstock Conversion Rates'!B$3)/12-32-2+125+25+25+207</f>
        <v>373.03125</v>
      </c>
      <c r="BA246" s="106">
        <f t="shared" si="217"/>
        <v>235.96875</v>
      </c>
      <c r="BB246" s="104">
        <f>('Renewable Diesel'!Q255*'RD Feedstock Breakdown'!BB$3*'Feedstock Conversion Rates'!B$4)/12-10</f>
        <v>1.1562499999999982</v>
      </c>
      <c r="BC246" s="104">
        <f>('Renewable Diesel'!Q255*'RD Feedstock Breakdown'!BC$3*'Feedstock Conversion Rates'!B$3)/12+10</f>
        <v>11.40175</v>
      </c>
      <c r="BD246" s="104">
        <f>('Renewable Diesel'!Q255*'RD Feedstock Breakdown'!BD$3*'Feedstock Conversion Rates'!B$6)/12</f>
        <v>0.8207500000000002</v>
      </c>
      <c r="BE246" s="106">
        <f t="shared" si="189"/>
        <v>13.378749999999998</v>
      </c>
      <c r="BF246" s="104">
        <f>('Renewable Diesel'!R255*'RD Feedstock Breakdown'!BF$3*'Feedstock Conversion Rates'!B$4)/12</f>
        <v>62.5</v>
      </c>
      <c r="BG246" s="106">
        <f t="shared" si="167"/>
        <v>62.5</v>
      </c>
      <c r="BH246" s="104">
        <f>('Renewable Diesel'!T255*'RD Feedstock Breakdown'!BH$3*'Feedstock Conversion Rates'!B$7)/12</f>
        <v>27.599999999999998</v>
      </c>
      <c r="BI246" s="106">
        <f t="shared" si="144"/>
        <v>27.599999999999998</v>
      </c>
      <c r="BJ246" s="104">
        <f>('Renewable Diesel'!W255*'RD Feedstock Breakdown'!BJ$3*'Feedstock Conversion Rates'!B$4)/12</f>
        <v>7.5</v>
      </c>
      <c r="BK246" s="104">
        <f>('Renewable Diesel'!W255*'RD Feedstock Breakdown'!BK$3*'Feedstock Conversion Rates'!B$3)/12</f>
        <v>1.335</v>
      </c>
      <c r="BL246" s="104">
        <f>('Renewable Diesel'!W255*'RD Feedstock Breakdown'!BL$3*'Feedstock Conversion Rates'!B$6)/12</f>
        <v>3.1266666666666669</v>
      </c>
      <c r="BM246" s="104">
        <f>('Renewable Diesel'!W255*'RD Feedstock Breakdown'!BM$3*'Feedstock Conversion Rates'!B$7)/12</f>
        <v>1.5333333333333332</v>
      </c>
      <c r="BN246" s="106">
        <f t="shared" si="209"/>
        <v>13.495000000000001</v>
      </c>
      <c r="BO246" s="104">
        <f>('Renewable Diesel'!P255*'Feedstock Conversion Rates'!B$4)/12</f>
        <v>31.25</v>
      </c>
      <c r="BP246" s="106">
        <f t="shared" si="199"/>
        <v>31.25</v>
      </c>
      <c r="BQ246" s="104">
        <f>('Renewable Diesel'!$S255*'RD Feedstock Breakdown'!BQ$3*'Feedstock Conversion Rates'!B$4)/12+10</f>
        <v>38.125</v>
      </c>
      <c r="BR246" s="104">
        <f>('Renewable Diesel'!$S255*'RD Feedstock Breakdown'!BR$3*'Feedstock Conversion Rates'!B$7)/12-10</f>
        <v>1.5</v>
      </c>
      <c r="BS246" s="106">
        <f t="shared" si="222"/>
        <v>39.625</v>
      </c>
      <c r="BT246" s="106"/>
      <c r="BU246" s="104">
        <f>('Renewable Diesel'!Y255*'Feedstock Conversion Rates'!B$7)/12</f>
        <v>2.6833333333333331</v>
      </c>
      <c r="BV246" s="106">
        <f t="shared" si="191"/>
        <v>2.6833333333333331</v>
      </c>
      <c r="BW246" s="104">
        <f>('Renewable Diesel'!$Z255*'RD Feedstock Breakdown'!BW$3*'Feedstock Conversion Rates'!$B$4)/12</f>
        <v>71.875</v>
      </c>
      <c r="BX246" s="104">
        <f>('Renewable Diesel'!$Z255*'RD Feedstock Breakdown'!BX$3*'Feedstock Conversion Rates'!$B$5)/12</f>
        <v>7.2354166666666666</v>
      </c>
      <c r="BY246" s="104">
        <f>('Renewable Diesel'!$Z255*'RD Feedstock Breakdown'!BY$3*'Feedstock Conversion Rates'!$B$7)/12</f>
        <v>61.716666666666661</v>
      </c>
      <c r="BZ246" s="104">
        <f>('Renewable Diesel'!$Z255*'RD Feedstock Breakdown'!BZ$3*'Feedstock Conversion Rates'!$B$3)/12</f>
        <v>15.352499999999999</v>
      </c>
      <c r="CA246" s="106">
        <f t="shared" si="228"/>
        <v>156.17958333333331</v>
      </c>
      <c r="CB246" s="104">
        <f>('Renewable Diesel'!AA255*'Feedstock Conversion Rates'!B$4)/12</f>
        <v>191.25</v>
      </c>
      <c r="CC246" s="106">
        <f t="shared" si="213"/>
        <v>191.25</v>
      </c>
      <c r="CD246" s="104">
        <f>('Renewable Diesel'!$AB255*'RD Feedstock Breakdown'!CD$3*'Feedstock Conversion Rates'!$B$6)/12-15</f>
        <v>17.830000000000005</v>
      </c>
      <c r="CE246" s="104">
        <f>('Renewable Diesel'!$AB255*'RD Feedstock Breakdown'!CE$3*'Feedstock Conversion Rates'!$B$4)/12+15</f>
        <v>26.25</v>
      </c>
      <c r="CF246" s="106">
        <f t="shared" si="205"/>
        <v>44.080000000000005</v>
      </c>
      <c r="CG246" s="104">
        <f>('Renewable Diesel'!AD255*'Feedstock Conversion Rates'!B$4)/12</f>
        <v>112.5</v>
      </c>
      <c r="CH246" s="106">
        <f t="shared" si="187"/>
        <v>112.5</v>
      </c>
      <c r="CI246" s="104">
        <f>('Renewable Diesel'!$AE255*'RD Feedstock Breakdown'!CI$3*'Feedstock Conversion Rates'!$B$5)/12</f>
        <v>0.34604166666666664</v>
      </c>
      <c r="CJ246" s="104">
        <f>('Renewable Diesel'!$AE255*'RD Feedstock Breakdown'!CJ$3*'Feedstock Conversion Rates'!$B$4)/12</f>
        <v>0.34375</v>
      </c>
      <c r="CK246" s="106">
        <f t="shared" si="200"/>
        <v>0.68979166666666658</v>
      </c>
      <c r="CL246" s="104">
        <f>(((CL$3*'Renewable Diesel'!$AF255)*'Feedstock Conversion Rates'!$B$3)/12)-25</f>
        <v>66.78125</v>
      </c>
      <c r="CM246" s="104">
        <f>(((CM$3*'Renewable Diesel'!$AF255)*'Feedstock Conversion Rates'!$B$6)/12)+25</f>
        <v>78.739583333333343</v>
      </c>
      <c r="CN246" s="104">
        <f>(((CN$3*'Renewable Diesel'!$AF255)*'Feedstock Conversion Rates'!$B$4)/12)</f>
        <v>42.96875</v>
      </c>
      <c r="CO246" s="106">
        <f t="shared" si="190"/>
        <v>188.48958333333334</v>
      </c>
      <c r="CP246" s="104">
        <f>('Renewable Diesel'!$AG255*'RD Feedstock Breakdown'!CP$3*'Feedstock Conversion Rates'!$B$3)/12</f>
        <v>6.0075000000000003</v>
      </c>
      <c r="CQ246" s="104">
        <f>('Renewable Diesel'!$AG255*'RD Feedstock Breakdown'!CQ$3*'Feedstock Conversion Rates'!$B$6)/12</f>
        <v>3.5175000000000001</v>
      </c>
      <c r="CR246" s="104">
        <f>('Renewable Diesel'!$AG255*'RD Feedstock Breakdown'!CR$3*'Feedstock Conversion Rates'!$B$4)/12</f>
        <v>2.8125</v>
      </c>
      <c r="CS246" s="106">
        <f t="shared" si="231"/>
        <v>12.3375</v>
      </c>
      <c r="CT246" s="104">
        <f>('Renewable Diesel'!AI255*'Feedstock Conversion Rates'!$B$4*'RD Feedstock Breakdown'!$CT$3)/12</f>
        <v>29.375</v>
      </c>
      <c r="CU246" s="106">
        <f t="shared" si="196"/>
        <v>29.375</v>
      </c>
      <c r="CV246" s="104">
        <f>('Renewable Diesel'!AN255*'Feedstock Conversion Rates'!$B$3*'RD Feedstock Breakdown'!$CV$3)/12</f>
        <v>0.50062499999999999</v>
      </c>
      <c r="CW246" s="106">
        <f t="shared" si="161"/>
        <v>0.50062499999999999</v>
      </c>
      <c r="CX246" s="104">
        <f>('Renewable Diesel'!AO255*'RD Feedstock Breakdown'!$CX$3*'Feedstock Conversion Rates'!$B$3)/12</f>
        <v>6.3412499999999996</v>
      </c>
      <c r="CY246" s="104">
        <f>('Renewable Diesel'!AO255*'RD Feedstock Breakdown'!$CY$3*'Feedstock Conversion Rates'!$B$6)/12</f>
        <v>7.4258333333333342</v>
      </c>
      <c r="CZ246" s="106">
        <f t="shared" si="233"/>
        <v>13.767083333333334</v>
      </c>
      <c r="DA246" s="104">
        <f>('Renewable Diesel'!$AP255*'RD Feedstock Breakdown'!DA$3*'Feedstock Conversion Rates'!$B$3)/12</f>
        <v>6.3412499999999996</v>
      </c>
      <c r="DB246" s="104">
        <f>('Renewable Diesel'!$AP255*'RD Feedstock Breakdown'!DB$3*'Feedstock Conversion Rates'!$B$8)/12</f>
        <v>7.421875</v>
      </c>
      <c r="DC246" s="106">
        <f t="shared" si="165"/>
        <v>13.763124999999999</v>
      </c>
      <c r="DD246" s="104">
        <f>('Renewable Diesel'!AQ255*$DD$3*'Feedstock Conversion Rates'!$B$14)/12</f>
        <v>3.1041666666666665</v>
      </c>
      <c r="DE246" s="106">
        <f t="shared" si="166"/>
        <v>3.1041666666666665</v>
      </c>
      <c r="DF246" s="104">
        <f>('Renewable Diesel'!AR255*'Feedstock Conversion Rates'!$B$4*$DF$3)/12</f>
        <v>75</v>
      </c>
      <c r="DG246" s="106">
        <f t="shared" si="234"/>
        <v>75</v>
      </c>
      <c r="DH246" s="104">
        <f>('Renewable Diesel'!AS255*'Feedstock Conversion Rates'!$B$4*$DH$3)/12</f>
        <v>75</v>
      </c>
      <c r="DI246" s="106">
        <f t="shared" si="142"/>
        <v>75</v>
      </c>
      <c r="DJ246" s="104">
        <f>('Renewable Diesel'!AT255*'Feedstock Conversion Rates'!$B$4*0.25)/12</f>
        <v>8.59375</v>
      </c>
      <c r="DK246" s="104">
        <f>('Renewable Diesel'!$AT255*'RD Feedstock Breakdown'!DK$3*'Feedstock Conversion Rates'!$B$3)/12*0.5</f>
        <v>9.1781249999999996</v>
      </c>
      <c r="DL246" s="104">
        <f>('Renewable Diesel'!$AT255*'RD Feedstock Breakdown'!$DL$3*'Feedstock Conversion Rates'!$B$6)/12</f>
        <v>10.747916666666669</v>
      </c>
      <c r="DM246" s="104">
        <f>('Renewable Diesel'!$AT255*'RD Feedstock Breakdown'!$DM$3*'Feedstock Conversion Rates'!$B$8)/12</f>
        <v>10.7421875</v>
      </c>
      <c r="DN246" s="106">
        <f t="shared" si="210"/>
        <v>39.26197916666667</v>
      </c>
      <c r="DP246" s="104">
        <f t="shared" si="168"/>
        <v>77.470249999999993</v>
      </c>
      <c r="DQ246" s="104">
        <f t="shared" si="169"/>
        <v>912.11776750000001</v>
      </c>
      <c r="DR246" s="104">
        <f t="shared" si="174"/>
        <v>1650.703125</v>
      </c>
      <c r="DS246" s="104">
        <f t="shared" si="197"/>
        <v>63.401250000000005</v>
      </c>
      <c r="DT246" s="104">
        <f t="shared" si="170"/>
        <v>278.03923333333341</v>
      </c>
      <c r="DU246" s="104">
        <f t="shared" si="171"/>
        <v>254.65610000000001</v>
      </c>
      <c r="DV246" s="104">
        <f t="shared" si="175"/>
        <v>25.75</v>
      </c>
      <c r="DW246" s="104">
        <f t="shared" si="172"/>
        <v>2.5</v>
      </c>
      <c r="DX246" s="106">
        <f t="shared" si="176"/>
        <v>3264.6377258333337</v>
      </c>
      <c r="DY246" s="109">
        <f t="shared" si="163"/>
        <v>-135.00000000000048</v>
      </c>
      <c r="EA246" s="110">
        <f t="shared" si="218"/>
        <v>2.3730121534457513E-2</v>
      </c>
      <c r="EB246" s="110">
        <f t="shared" si="219"/>
        <v>0.27939325710854246</v>
      </c>
      <c r="EC246" s="110">
        <f t="shared" si="220"/>
        <v>0.50563133297696616</v>
      </c>
      <c r="ED246" s="110">
        <f t="shared" si="146"/>
        <v>1.9420608142306558E-2</v>
      </c>
      <c r="EE246" s="110">
        <f t="shared" si="146"/>
        <v>8.5166948581518617E-2</v>
      </c>
      <c r="EF246" s="110">
        <f t="shared" si="146"/>
        <v>7.8004397849380458E-2</v>
      </c>
      <c r="EG246" s="110">
        <f t="shared" si="146"/>
        <v>7.8875520540114558E-3</v>
      </c>
      <c r="EH246" s="111">
        <f t="shared" si="177"/>
        <v>7.6578175281664625E-4</v>
      </c>
      <c r="EI246" s="110">
        <f t="shared" si="236"/>
        <v>0.99923421824718328</v>
      </c>
      <c r="EK246" s="132">
        <f>(EA246*'Renewable Diesel'!BF255*'Feedstock Conversion Rates'!B$2)+FB246</f>
        <v>78.611188642673085</v>
      </c>
      <c r="EL246" s="132">
        <f>(EB246*'Renewable Diesel'!BF255*'Feedstock Conversion Rates'!B$3)+FC246</f>
        <v>872.19564049131327</v>
      </c>
      <c r="EM246" s="132">
        <f>(EC246*'Renewable Diesel'!BF255*'Feedstock Conversion Rates'!B$4)+FD246</f>
        <v>1477.9533177812846</v>
      </c>
      <c r="EN246" s="132">
        <f>(ED246*'Renewable Diesel'!BF255*'Feedstock Conversion Rates'!B$5)+FE246</f>
        <v>57.144607215530584</v>
      </c>
      <c r="EO246" s="132">
        <f>(EE246*'Renewable Diesel'!BF255*'Feedstock Conversion Rates'!B$6)+FF246</f>
        <v>311.34321133277172</v>
      </c>
      <c r="EP246" s="132">
        <f>(EF246*'Renewable Diesel'!BF255*'Feedstock Conversion Rates'!B$7)+FG246</f>
        <v>279.68707105317776</v>
      </c>
      <c r="EQ246" s="132">
        <f>(EG246*'Renewable Diesel'!BF255*'Feedstock Conversion Rates'!B$8)+FH246</f>
        <v>28.819005486577179</v>
      </c>
      <c r="ER246" s="132">
        <f>(EH246*'Renewable Diesel'!BF255*'Feedstock Conversion Rates'!B$9)+FI246</f>
        <v>2.7606555417562606</v>
      </c>
      <c r="ES246" s="132">
        <f t="shared" si="179"/>
        <v>3108.5146975450848</v>
      </c>
      <c r="ET246" s="133">
        <f>ES246/'Renewable Diesel'!BF255</f>
        <v>7.9760423309128319</v>
      </c>
      <c r="EW246" s="73">
        <f t="shared" si="223"/>
        <v>1535.0979249968152</v>
      </c>
      <c r="EX246" s="73">
        <f t="shared" si="224"/>
        <v>1573.4167725482694</v>
      </c>
      <c r="EY246" s="92">
        <f t="shared" si="164"/>
        <v>0.49383646994146169</v>
      </c>
      <c r="EZ246" s="92">
        <f t="shared" si="164"/>
        <v>0.5061635300585382</v>
      </c>
      <c r="FB246" s="102">
        <f>IF('Renewable Diesel'!$BG255&lt;1,0,(((('Renewable Diesel'!$BG255-1)*'Renewable Diesel'!$BF255)*'RD Feedstock Breakdown'!EA246)*'Feedstock Conversion Rates'!$B$2))</f>
        <v>0</v>
      </c>
      <c r="FC246" s="102">
        <f>IF('Renewable Diesel'!$BG255&lt;1,0,(((('Renewable Diesel'!$BG255-1)*'Renewable Diesel'!$BF255)*'RD Feedstock Breakdown'!EB246)*'Feedstock Conversion Rates'!$B$3))</f>
        <v>0</v>
      </c>
      <c r="FD246" s="102">
        <f>IF('Renewable Diesel'!$BG255&lt;1,0,(((('Renewable Diesel'!$BG255-1)*'Renewable Diesel'!$BF255)*'RD Feedstock Breakdown'!EC246)*'Feedstock Conversion Rates'!$B$4))</f>
        <v>0</v>
      </c>
      <c r="FE246" s="102">
        <f>IF('Renewable Diesel'!$BG255&lt;1,0,(((('Renewable Diesel'!$BG255-1)*'Renewable Diesel'!$BF255)*'RD Feedstock Breakdown'!ED246)*'Feedstock Conversion Rates'!$B$5))</f>
        <v>0</v>
      </c>
      <c r="FF246" s="102">
        <f>IF('Renewable Diesel'!$BG255&lt;1,0,(((('Renewable Diesel'!$BG255-1)*'Renewable Diesel'!$BF255)*'RD Feedstock Breakdown'!EE246)*'Feedstock Conversion Rates'!$B$6))</f>
        <v>0</v>
      </c>
      <c r="FG246" s="102">
        <f>IF('Renewable Diesel'!$BG255&lt;1,0,(((('Renewable Diesel'!$BG255-1)*'Renewable Diesel'!$BF255)*'RD Feedstock Breakdown'!EF246)*'Feedstock Conversion Rates'!$B$7))</f>
        <v>0</v>
      </c>
      <c r="FH246" s="102">
        <f>IF('Renewable Diesel'!$BG255&lt;1,0,(((('Renewable Diesel'!$BG255-1)*'Renewable Diesel'!$BF255)*'RD Feedstock Breakdown'!EG246)*'Feedstock Conversion Rates'!$B$8))</f>
        <v>0</v>
      </c>
      <c r="FI246" s="102">
        <f>IF('Renewable Diesel'!$BG255&lt;1,0,(((('Renewable Diesel'!$BG255-1)*'Renewable Diesel'!$BF255)*'RD Feedstock Breakdown'!EH246)*'Feedstock Conversion Rates'!$B$9))</f>
        <v>0</v>
      </c>
      <c r="FJ246" s="102">
        <f t="shared" si="225"/>
        <v>0</v>
      </c>
      <c r="GD246" s="91">
        <f>'Renewable Diesel'!BB255*0.32</f>
        <v>0</v>
      </c>
      <c r="GE246" s="91">
        <f>'Renewable Diesel'!BC255</f>
        <v>140.7104671858601</v>
      </c>
      <c r="GF246" s="91">
        <f>'Renewable Diesel'!BD255</f>
        <v>0</v>
      </c>
      <c r="GG246" s="91">
        <f t="shared" si="206"/>
        <v>140.7104671858601</v>
      </c>
      <c r="GH246" s="124">
        <v>1</v>
      </c>
      <c r="GI246" s="102">
        <f>$GG246*EA246*'Feedstock Conversion Rates'!$B$2</f>
        <v>28.382150143671424</v>
      </c>
      <c r="GJ246" s="102">
        <f>$GG246*EB246*'Feedstock Conversion Rates'!$B$3</f>
        <v>314.90158144794032</v>
      </c>
      <c r="GK246" s="102">
        <f>$GG246*EC246*'Feedstock Conversion Rates'!$B$4</f>
        <v>533.60715815248579</v>
      </c>
      <c r="GL246" s="102">
        <f>$GG246*ED246*'Feedstock Conversion Rates'!$B$5</f>
        <v>20.631755477767928</v>
      </c>
      <c r="GM246" s="102">
        <f>$GG246*EE246*'Feedstock Conversion Rates'!$B$6</f>
        <v>112.40880494030235</v>
      </c>
      <c r="GN246" s="102">
        <f>$GG246*EF246*'Feedstock Conversion Rates'!$B$7</f>
        <v>100.97952442822982</v>
      </c>
      <c r="GO246" s="102">
        <f>$GG246*EG246*'Feedstock Conversion Rates'!$B$8</f>
        <v>10.404948135681959</v>
      </c>
      <c r="GP246" s="102">
        <f>$GG246*EH246*'Feedstock Conversion Rates'!B$9</f>
        <v>0.99671995086144349</v>
      </c>
      <c r="GQ246" s="102">
        <f t="shared" si="180"/>
        <v>1122.3126426769411</v>
      </c>
      <c r="GR246" s="85">
        <f t="shared" si="204"/>
        <v>7.9760423309128319</v>
      </c>
      <c r="GT246" s="103">
        <f t="shared" si="159"/>
        <v>2.528898727895847E-2</v>
      </c>
      <c r="GU246" s="103">
        <f t="shared" si="159"/>
        <v>0.28058276230127532</v>
      </c>
      <c r="GV246" s="103">
        <f t="shared" si="159"/>
        <v>0.47545321852538835</v>
      </c>
      <c r="GW246" s="103">
        <f t="shared" si="159"/>
        <v>1.8383251416073377E-2</v>
      </c>
      <c r="GX246" s="103">
        <f t="shared" si="158"/>
        <v>0.10015819181381114</v>
      </c>
      <c r="GY246" s="103">
        <f t="shared" si="158"/>
        <v>8.9974504953783091E-2</v>
      </c>
      <c r="GZ246" s="103">
        <f t="shared" si="158"/>
        <v>9.2709889740385243E-3</v>
      </c>
      <c r="HA246" s="103">
        <f t="shared" si="158"/>
        <v>8.880947366716516E-4</v>
      </c>
    </row>
    <row r="247" spans="1:209" x14ac:dyDescent="0.25">
      <c r="A247" s="96">
        <v>47939</v>
      </c>
      <c r="B247" s="104">
        <f t="shared" si="237"/>
        <v>5</v>
      </c>
      <c r="C247" s="104">
        <f t="shared" si="147"/>
        <v>0</v>
      </c>
      <c r="D247" s="104">
        <f t="shared" si="192"/>
        <v>1.5</v>
      </c>
      <c r="E247" s="104">
        <f>('Renewable Diesel'!B256*E$3*'Feedstock Conversion Rates'!$B$2)/12-40+1.25+6-43+30-15+12.5-4+1.5+26+2.5+3-10+50+9-15-25-55+15+45+10-50+60-60+25</f>
        <v>69.679999999999993</v>
      </c>
      <c r="F247" s="104">
        <f>('Renewable Diesel'!B256*'RD Feedstock Breakdown'!F$3*'Feedstock Conversion Rates'!B$8)/12+28.5-49-5+2-6+1+6+20-20-3.75+10+2.5+5-20-20</f>
        <v>5.15625</v>
      </c>
      <c r="G247" s="104">
        <f>('Renewable Diesel'!B256*'RD Feedstock Breakdown'!G$3*'Feedstock Conversion Rates'!B$7)/12-25-15-25+4+4-20-40-20+10-17.5+20+50-12+32.5+35-75-75+22.5+5-20+15+125-10-45-10-40-40</f>
        <v>9.6570000000000107</v>
      </c>
      <c r="H247" s="104">
        <f>('Renewable Diesel'!B256*'RD Feedstock Breakdown'!H$3*'Feedstock Conversion Rates'!B$3)/12-85+4-15+70-65-80+50-22.5-5+25+27.5+15+50+15-10+5+50+75-5-25-85-12.5+30+22.5-25-30+150+90-120+25+10+70+30+40-40</f>
        <v>405.40022499999998</v>
      </c>
      <c r="I247" s="106">
        <f t="shared" si="203"/>
        <v>496.39347499999997</v>
      </c>
      <c r="J247" s="104">
        <f t="shared" ref="J247:J252" si="238">58.5+40+43+1.5+102-19+38-8.5-35-7.5-29-30-30-5+15+10-7-45-10-1-75+2.5+18+5+130+15-5+15+10-75-120+12+35-24-20-4+7</f>
        <v>7.5</v>
      </c>
      <c r="K247" s="104"/>
      <c r="L247" s="104">
        <v>1</v>
      </c>
      <c r="M247" s="104">
        <f>('Renewable Diesel'!C256*'RD Feedstock Breakdown'!M$3*'Feedstock Conversion Rates'!B$2)/12</f>
        <v>7.7902500000000003</v>
      </c>
      <c r="N247" s="104">
        <f>('Renewable Diesel'!C256*'RD Feedstock Breakdown'!N$3*'Feedstock Conversion Rates'!B$8)/12</f>
        <v>3.671875</v>
      </c>
      <c r="O247" s="104">
        <f>('Renewable Diesel'!C256*'RD Feedstock Breakdown'!O$3*'Feedstock Conversion Rates'!B$7)/12</f>
        <v>11.9991</v>
      </c>
      <c r="P247" s="104">
        <f>('Renewable Diesel'!C256*'RD Feedstock Breakdown'!P$3*'Feedstock Conversion Rates'!B$3)/12</f>
        <v>10.4470425</v>
      </c>
      <c r="Q247" s="106">
        <f t="shared" si="216"/>
        <v>42.408267500000001</v>
      </c>
      <c r="R247" s="104">
        <f>('Renewable Diesel'!D256*'RD Feedstock Breakdown'!R$3*'Feedstock Conversion Rates'!B$7)/12</f>
        <v>2.2999999999999998</v>
      </c>
      <c r="S247" s="106">
        <f t="shared" si="148"/>
        <v>2.2999999999999998</v>
      </c>
      <c r="T247" s="104">
        <f t="shared" si="221"/>
        <v>0.82500000000000284</v>
      </c>
      <c r="U247" s="104">
        <v>30</v>
      </c>
      <c r="V247" s="104">
        <f>('Renewable Diesel'!E256*'RD Feedstock Breakdown'!V$3*'Feedstock Conversion Rates'!B$6)/12-20+25-35+15</f>
        <v>29.250150000000012</v>
      </c>
      <c r="W247" s="104">
        <f>('Renewable Diesel'!E256*'RD Feedstock Breakdown'!W$3*'Feedstock Conversion Rates'!B$8)/12-6-10</f>
        <v>6.1796875</v>
      </c>
      <c r="X247" s="106">
        <f t="shared" si="185"/>
        <v>66.254837500000008</v>
      </c>
      <c r="Y247" s="104">
        <f t="shared" si="232"/>
        <v>141.5</v>
      </c>
      <c r="Z247" s="104">
        <f>('Renewable Diesel'!F256*'RD Feedstock Breakdown'!Z$3*'Feedstock Conversion Rates'!B$6)/12-50-32-60+15+15+47.5-72.5+70-27.5-5</f>
        <v>59.960000000000008</v>
      </c>
      <c r="AA247" s="104">
        <f>('Renewable Diesel'!F256*'RD Feedstock Breakdown'!AA$3*'Feedstock Conversion Rates'!B$7)/12+80-171+75+30-55-1</f>
        <v>62.266666666666652</v>
      </c>
      <c r="AB247" s="106">
        <f t="shared" si="235"/>
        <v>263.72666666666669</v>
      </c>
      <c r="AC247" s="104">
        <f>('Renewable Diesel'!G256*'RD Feedstock Breakdown'!AC$3*'Feedstock Conversion Rates'!B$5)/12</f>
        <v>11.796875</v>
      </c>
      <c r="AD247" s="104">
        <f>('Renewable Diesel'!G256*'RD Feedstock Breakdown'!AD$3*'Feedstock Conversion Rates'!B$4)/12</f>
        <v>5.859375</v>
      </c>
      <c r="AE247" s="104">
        <f>('Renewable Diesel'!G256*'RD Feedstock Breakdown'!AE$3*'Feedstock Conversion Rates'!B$6)/12</f>
        <v>7.3281250000000009</v>
      </c>
      <c r="AF247" s="106">
        <f t="shared" si="198"/>
        <v>24.984375</v>
      </c>
      <c r="AG247" s="104">
        <f t="shared" si="230"/>
        <v>6.5</v>
      </c>
      <c r="AH247" s="104">
        <v>135</v>
      </c>
      <c r="AI247" s="104">
        <f>('Renewable Diesel'!H256*'RD Feedstock Breakdown'!AI$3*'Feedstock Conversion Rates'!B$6)/12-130-20+51-120+105-40+25-10-2.5</f>
        <v>7.0166666666666799</v>
      </c>
      <c r="AJ247" s="106">
        <f t="shared" si="145"/>
        <v>13.51666666666668</v>
      </c>
      <c r="AK247" s="104">
        <f>('Renewable Diesel'!J256*'RD Feedstock Breakdown'!AK$3*'Feedstock Conversion Rates'!B$4)/12</f>
        <v>95.8125</v>
      </c>
      <c r="AL247" s="106">
        <f t="shared" si="157"/>
        <v>95.8125</v>
      </c>
      <c r="AM247" s="104">
        <f>('Renewable Diesel'!K256*'RD Feedstock Breakdown'!AM$3*'Feedstock Conversion Rates'!B$4)/12+5+15-10+2.5+7-35</f>
        <v>43.09375</v>
      </c>
      <c r="AN247" s="104">
        <f>('Renewable Diesel'!K256*'RD Feedstock Breakdown'!AN$3*'Feedstock Conversion Rates'!B$6)/12-5-15+10-2.5-7+35</f>
        <v>39.927083333333329</v>
      </c>
      <c r="AO247" s="106">
        <f t="shared" si="173"/>
        <v>83.020833333333329</v>
      </c>
      <c r="AP247" s="104">
        <f>('Renewable Diesel'!L256*'RD Feedstock Breakdown'!AP$3*'Feedstock Conversion Rates'!B$4)/12+15-10+5+2.5+7</f>
        <v>78.09375</v>
      </c>
      <c r="AQ247" s="104">
        <f>('Renewable Diesel'!L256*'RD Feedstock Breakdown'!AQ$3*'Feedstock Conversion Rates'!B$6)/12-15+10-5-2.5-7</f>
        <v>4.9270833333333321</v>
      </c>
      <c r="AR247" s="106">
        <f t="shared" si="162"/>
        <v>83.020833333333329</v>
      </c>
      <c r="AS247" s="104">
        <f>('Renewable Diesel'!M256*'RD Feedstock Breakdown'!AS$3*'Feedstock Conversion Rates'!B$4)/12-25</f>
        <v>431.25</v>
      </c>
      <c r="AT247" s="104">
        <f>('Renewable Diesel'!M256*'RD Feedstock Breakdown'!AT$3*'Feedstock Conversion Rates'!B$5)/12+25</f>
        <v>25</v>
      </c>
      <c r="AU247" s="106">
        <f t="shared" si="201"/>
        <v>456.25</v>
      </c>
      <c r="AV247" s="104">
        <f>'Renewable Diesel'!N256*'RD Feedstock Breakdown'!$AV$3*'Feedstock Conversion Rates'!$B$4/12-15-10+25+25-22+15-50</f>
        <v>46.749999999999986</v>
      </c>
      <c r="AW247" s="104">
        <f>'Renewable Diesel'!N256*'RD Feedstock Breakdown'!$AW$3*'Feedstock Conversion Rates'!$B$7/12+15+10-25-25+22-15+50</f>
        <v>73.400000000000006</v>
      </c>
      <c r="AX247" s="106">
        <f t="shared" ref="AX247:AX310" si="239">SUM(AV247:AW247)</f>
        <v>120.14999999999999</v>
      </c>
      <c r="AY247" s="104">
        <f>('Renewable Diesel'!O256*'RD Feedstock Breakdown'!AY$3*'Feedstock Conversion Rates'!B$4)/12+32+2-125-25-25-207</f>
        <v>-137.0625</v>
      </c>
      <c r="AZ247" s="104">
        <f>('Renewable Diesel'!O256*'RD Feedstock Breakdown'!AZ$3*'Feedstock Conversion Rates'!B$3)/12-32-2+125+25+25+207</f>
        <v>373.03125</v>
      </c>
      <c r="BA247" s="106">
        <f t="shared" si="217"/>
        <v>235.96875</v>
      </c>
      <c r="BB247" s="104">
        <f>('Renewable Diesel'!Q256*'RD Feedstock Breakdown'!BB$3*'Feedstock Conversion Rates'!B$4)/12-10</f>
        <v>1.1562499999999982</v>
      </c>
      <c r="BC247" s="104">
        <f>('Renewable Diesel'!Q256*'RD Feedstock Breakdown'!BC$3*'Feedstock Conversion Rates'!B$3)/12+10</f>
        <v>11.40175</v>
      </c>
      <c r="BD247" s="104">
        <f>('Renewable Diesel'!Q256*'RD Feedstock Breakdown'!BD$3*'Feedstock Conversion Rates'!B$6)/12</f>
        <v>0.8207500000000002</v>
      </c>
      <c r="BE247" s="106">
        <f t="shared" si="189"/>
        <v>13.378749999999998</v>
      </c>
      <c r="BF247" s="104">
        <f>('Renewable Diesel'!R256*'RD Feedstock Breakdown'!BF$3*'Feedstock Conversion Rates'!B$4)/12</f>
        <v>62.5</v>
      </c>
      <c r="BG247" s="106">
        <f t="shared" si="167"/>
        <v>62.5</v>
      </c>
      <c r="BH247" s="104">
        <f>('Renewable Diesel'!T256*'RD Feedstock Breakdown'!BH$3*'Feedstock Conversion Rates'!B$7)/12</f>
        <v>27.599999999999998</v>
      </c>
      <c r="BI247" s="106">
        <f t="shared" si="144"/>
        <v>27.599999999999998</v>
      </c>
      <c r="BJ247" s="104">
        <f>('Renewable Diesel'!W256*'RD Feedstock Breakdown'!BJ$3*'Feedstock Conversion Rates'!B$4)/12</f>
        <v>7.5</v>
      </c>
      <c r="BK247" s="104">
        <f>('Renewable Diesel'!W256*'RD Feedstock Breakdown'!BK$3*'Feedstock Conversion Rates'!B$3)/12</f>
        <v>1.335</v>
      </c>
      <c r="BL247" s="104">
        <f>('Renewable Diesel'!W256*'RD Feedstock Breakdown'!BL$3*'Feedstock Conversion Rates'!B$6)/12</f>
        <v>3.1266666666666669</v>
      </c>
      <c r="BM247" s="104">
        <f>('Renewable Diesel'!W256*'RD Feedstock Breakdown'!BM$3*'Feedstock Conversion Rates'!B$7)/12</f>
        <v>1.5333333333333332</v>
      </c>
      <c r="BN247" s="106">
        <f t="shared" si="209"/>
        <v>13.495000000000001</v>
      </c>
      <c r="BO247" s="104">
        <f>('Renewable Diesel'!P256*'Feedstock Conversion Rates'!B$4)/12</f>
        <v>31.25</v>
      </c>
      <c r="BP247" s="106">
        <f t="shared" si="199"/>
        <v>31.25</v>
      </c>
      <c r="BQ247" s="104">
        <f>('Renewable Diesel'!$S256*'RD Feedstock Breakdown'!BQ$3*'Feedstock Conversion Rates'!B$4)/12+10</f>
        <v>38.125</v>
      </c>
      <c r="BR247" s="104">
        <f>('Renewable Diesel'!$S256*'RD Feedstock Breakdown'!BR$3*'Feedstock Conversion Rates'!B$7)/12-10</f>
        <v>1.5</v>
      </c>
      <c r="BS247" s="106">
        <f t="shared" si="222"/>
        <v>39.625</v>
      </c>
      <c r="BT247" s="106"/>
      <c r="BU247" s="104">
        <f>('Renewable Diesel'!Y256*'Feedstock Conversion Rates'!B$7)/12</f>
        <v>2.6833333333333331</v>
      </c>
      <c r="BV247" s="106">
        <f t="shared" si="191"/>
        <v>2.6833333333333331</v>
      </c>
      <c r="BW247" s="104">
        <f>('Renewable Diesel'!$Z256*'RD Feedstock Breakdown'!BW$3*'Feedstock Conversion Rates'!$B$4)/12</f>
        <v>71.875</v>
      </c>
      <c r="BX247" s="104">
        <f>('Renewable Diesel'!$Z256*'RD Feedstock Breakdown'!BX$3*'Feedstock Conversion Rates'!$B$5)/12</f>
        <v>7.2354166666666666</v>
      </c>
      <c r="BY247" s="104">
        <f>('Renewable Diesel'!$Z256*'RD Feedstock Breakdown'!BY$3*'Feedstock Conversion Rates'!$B$7)/12</f>
        <v>61.716666666666661</v>
      </c>
      <c r="BZ247" s="104">
        <f>('Renewable Diesel'!$Z256*'RD Feedstock Breakdown'!BZ$3*'Feedstock Conversion Rates'!$B$3)/12</f>
        <v>15.352499999999999</v>
      </c>
      <c r="CA247" s="106">
        <f t="shared" si="228"/>
        <v>156.17958333333331</v>
      </c>
      <c r="CB247" s="104">
        <f>('Renewable Diesel'!AA256*'Feedstock Conversion Rates'!B$4)/12</f>
        <v>191.25</v>
      </c>
      <c r="CC247" s="106">
        <f t="shared" si="213"/>
        <v>191.25</v>
      </c>
      <c r="CD247" s="104">
        <f>('Renewable Diesel'!$AB256*'RD Feedstock Breakdown'!CD$3*'Feedstock Conversion Rates'!$B$6)/12-15</f>
        <v>17.830000000000005</v>
      </c>
      <c r="CE247" s="104">
        <f>('Renewable Diesel'!$AB256*'RD Feedstock Breakdown'!CE$3*'Feedstock Conversion Rates'!$B$4)/12+15</f>
        <v>26.25</v>
      </c>
      <c r="CF247" s="106">
        <f t="shared" si="205"/>
        <v>44.080000000000005</v>
      </c>
      <c r="CG247" s="104">
        <f>('Renewable Diesel'!AD256*'Feedstock Conversion Rates'!B$4)/12</f>
        <v>112.5</v>
      </c>
      <c r="CH247" s="106">
        <f t="shared" si="187"/>
        <v>112.5</v>
      </c>
      <c r="CI247" s="104">
        <f>('Renewable Diesel'!$AE256*'RD Feedstock Breakdown'!CI$3*'Feedstock Conversion Rates'!$B$5)/12</f>
        <v>0.34604166666666664</v>
      </c>
      <c r="CJ247" s="104">
        <f>('Renewable Diesel'!$AE256*'RD Feedstock Breakdown'!CJ$3*'Feedstock Conversion Rates'!$B$4)/12</f>
        <v>0.34375</v>
      </c>
      <c r="CK247" s="106">
        <f t="shared" si="200"/>
        <v>0.68979166666666658</v>
      </c>
      <c r="CL247" s="104">
        <f>(((CL$3*'Renewable Diesel'!$AF256)*'Feedstock Conversion Rates'!$B$3)/12)-25</f>
        <v>66.78125</v>
      </c>
      <c r="CM247" s="104">
        <f>(((CM$3*'Renewable Diesel'!$AF256)*'Feedstock Conversion Rates'!$B$6)/12)+25</f>
        <v>78.739583333333343</v>
      </c>
      <c r="CN247" s="104">
        <f>(((CN$3*'Renewable Diesel'!$AF256)*'Feedstock Conversion Rates'!$B$4)/12)</f>
        <v>42.96875</v>
      </c>
      <c r="CO247" s="106">
        <f t="shared" si="190"/>
        <v>188.48958333333334</v>
      </c>
      <c r="CP247" s="104">
        <f>('Renewable Diesel'!$AG256*'RD Feedstock Breakdown'!CP$3*'Feedstock Conversion Rates'!$B$3)/12</f>
        <v>6.0075000000000003</v>
      </c>
      <c r="CQ247" s="104">
        <f>('Renewable Diesel'!$AG256*'RD Feedstock Breakdown'!CQ$3*'Feedstock Conversion Rates'!$B$6)/12</f>
        <v>3.5175000000000001</v>
      </c>
      <c r="CR247" s="104">
        <f>('Renewable Diesel'!$AG256*'RD Feedstock Breakdown'!CR$3*'Feedstock Conversion Rates'!$B$4)/12</f>
        <v>2.8125</v>
      </c>
      <c r="CS247" s="106">
        <f t="shared" si="231"/>
        <v>12.3375</v>
      </c>
      <c r="CT247" s="104">
        <f>('Renewable Diesel'!AI256*'Feedstock Conversion Rates'!$B$4*'RD Feedstock Breakdown'!$CT$3)/12</f>
        <v>29.375</v>
      </c>
      <c r="CU247" s="106">
        <f t="shared" si="196"/>
        <v>29.375</v>
      </c>
      <c r="CV247" s="104">
        <f>('Renewable Diesel'!AN256*'Feedstock Conversion Rates'!$B$3*'RD Feedstock Breakdown'!$CV$3)/12</f>
        <v>0.50062499999999999</v>
      </c>
      <c r="CW247" s="106">
        <f t="shared" si="161"/>
        <v>0.50062499999999999</v>
      </c>
      <c r="CX247" s="104">
        <f>('Renewable Diesel'!AO256*'RD Feedstock Breakdown'!$CX$3*'Feedstock Conversion Rates'!$B$3)/12</f>
        <v>6.3412499999999996</v>
      </c>
      <c r="CY247" s="104">
        <f>('Renewable Diesel'!AO256*'RD Feedstock Breakdown'!$CY$3*'Feedstock Conversion Rates'!$B$6)/12</f>
        <v>7.4258333333333342</v>
      </c>
      <c r="CZ247" s="106">
        <f t="shared" si="233"/>
        <v>13.767083333333334</v>
      </c>
      <c r="DA247" s="104">
        <f>('Renewable Diesel'!$AP256*'RD Feedstock Breakdown'!DA$3*'Feedstock Conversion Rates'!$B$3)/12</f>
        <v>6.3412499999999996</v>
      </c>
      <c r="DB247" s="104">
        <f>('Renewable Diesel'!$AP256*'RD Feedstock Breakdown'!DB$3*'Feedstock Conversion Rates'!$B$8)/12</f>
        <v>7.421875</v>
      </c>
      <c r="DC247" s="106">
        <f t="shared" si="165"/>
        <v>13.763124999999999</v>
      </c>
      <c r="DD247" s="104">
        <f>('Renewable Diesel'!AQ256*$DD$3*'Feedstock Conversion Rates'!$B$14)/12</f>
        <v>3.1041666666666665</v>
      </c>
      <c r="DE247" s="106">
        <f t="shared" si="166"/>
        <v>3.1041666666666665</v>
      </c>
      <c r="DF247" s="104">
        <f>('Renewable Diesel'!AR256*'Feedstock Conversion Rates'!$B$4*$DF$3)/12</f>
        <v>75</v>
      </c>
      <c r="DG247" s="106">
        <f t="shared" si="234"/>
        <v>75</v>
      </c>
      <c r="DH247" s="104">
        <f>('Renewable Diesel'!AS256*'Feedstock Conversion Rates'!$B$4*$DH$3)/12</f>
        <v>75</v>
      </c>
      <c r="DI247" s="106">
        <f t="shared" si="142"/>
        <v>75</v>
      </c>
      <c r="DJ247" s="104">
        <f>('Renewable Diesel'!AT256*'Feedstock Conversion Rates'!$B$4*0.25)/12</f>
        <v>8.59375</v>
      </c>
      <c r="DK247" s="104">
        <f>('Renewable Diesel'!$AT256*'RD Feedstock Breakdown'!DK$3*'Feedstock Conversion Rates'!$B$3)/12*0.5</f>
        <v>9.1781249999999996</v>
      </c>
      <c r="DL247" s="104">
        <f>('Renewable Diesel'!$AT256*'RD Feedstock Breakdown'!$DL$3*'Feedstock Conversion Rates'!$B$6)/12</f>
        <v>10.747916666666669</v>
      </c>
      <c r="DM247" s="104">
        <f>('Renewable Diesel'!$AT256*'RD Feedstock Breakdown'!$DM$3*'Feedstock Conversion Rates'!$B$8)/12</f>
        <v>10.7421875</v>
      </c>
      <c r="DN247" s="106">
        <f t="shared" si="210"/>
        <v>39.26197916666667</v>
      </c>
      <c r="DP247" s="104">
        <f t="shared" si="168"/>
        <v>77.470249999999993</v>
      </c>
      <c r="DQ247" s="104">
        <f t="shared" si="169"/>
        <v>912.11776750000001</v>
      </c>
      <c r="DR247" s="104">
        <f t="shared" si="174"/>
        <v>1650.703125</v>
      </c>
      <c r="DS247" s="104">
        <f t="shared" si="197"/>
        <v>63.401250000000005</v>
      </c>
      <c r="DT247" s="104">
        <f t="shared" si="170"/>
        <v>278.03923333333341</v>
      </c>
      <c r="DU247" s="104">
        <f t="shared" si="171"/>
        <v>254.65610000000001</v>
      </c>
      <c r="DV247" s="104">
        <f t="shared" si="175"/>
        <v>25.75</v>
      </c>
      <c r="DW247" s="104">
        <f t="shared" si="172"/>
        <v>2.5</v>
      </c>
      <c r="DX247" s="106">
        <f t="shared" si="176"/>
        <v>3264.6377258333337</v>
      </c>
      <c r="DY247" s="109">
        <f t="shared" si="163"/>
        <v>-135.00000000000048</v>
      </c>
      <c r="EA247" s="110">
        <f t="shared" si="218"/>
        <v>2.3730121534457513E-2</v>
      </c>
      <c r="EB247" s="110">
        <f t="shared" si="219"/>
        <v>0.27939325710854246</v>
      </c>
      <c r="EC247" s="110">
        <f t="shared" si="220"/>
        <v>0.50563133297696616</v>
      </c>
      <c r="ED247" s="110">
        <f t="shared" si="146"/>
        <v>1.9420608142306558E-2</v>
      </c>
      <c r="EE247" s="110">
        <f t="shared" si="146"/>
        <v>8.5166948581518617E-2</v>
      </c>
      <c r="EF247" s="110">
        <f t="shared" si="146"/>
        <v>7.8004397849380458E-2</v>
      </c>
      <c r="EG247" s="110">
        <f t="shared" si="146"/>
        <v>7.8875520540114558E-3</v>
      </c>
      <c r="EH247" s="111">
        <f t="shared" si="177"/>
        <v>7.6578175281664625E-4</v>
      </c>
      <c r="EI247" s="110">
        <f t="shared" si="236"/>
        <v>0.99923421824718328</v>
      </c>
      <c r="EK247" s="132">
        <f>(EA247*'Renewable Diesel'!BF256*'Feedstock Conversion Rates'!B$2)+FB247</f>
        <v>95.564201289346045</v>
      </c>
      <c r="EL247" s="132">
        <f>(EB247*'Renewable Diesel'!BF256*'Feedstock Conversion Rates'!B$3)+FC247</f>
        <v>1060.290286799659</v>
      </c>
      <c r="EM247" s="132">
        <f>(EC247*'Renewable Diesel'!BF256*'Feedstock Conversion Rates'!B$4)+FD247</f>
        <v>1796.6835357077589</v>
      </c>
      <c r="EN247" s="132">
        <f>(ED247*'Renewable Diesel'!BF256*'Feedstock Conversion Rates'!B$5)+FE247</f>
        <v>69.468212360564124</v>
      </c>
      <c r="EO247" s="132">
        <f>(EE247*'Renewable Diesel'!BF256*'Feedstock Conversion Rates'!B$6)+FF247</f>
        <v>378.48639400581732</v>
      </c>
      <c r="EP247" s="132">
        <f>(EF247*'Renewable Diesel'!BF256*'Feedstock Conversion Rates'!B$7)+FG247</f>
        <v>340.00340177587032</v>
      </c>
      <c r="EQ247" s="132">
        <f>(EG247*'Renewable Diesel'!BF256*'Feedstock Conversion Rates'!B$8)+FH247</f>
        <v>35.034010919191473</v>
      </c>
      <c r="ER247" s="132">
        <f>(EH247*'Renewable Diesel'!BF256*'Feedstock Conversion Rates'!B$9)+FI247</f>
        <v>3.3560088129710928</v>
      </c>
      <c r="ES247" s="132">
        <f t="shared" si="179"/>
        <v>3778.8860516711779</v>
      </c>
      <c r="ET247" s="133">
        <f>ES247/'Renewable Diesel'!BF256</f>
        <v>8.0854368157273697</v>
      </c>
      <c r="EW247" s="73">
        <f t="shared" si="223"/>
        <v>1891.4004407139194</v>
      </c>
      <c r="EX247" s="73">
        <f t="shared" si="224"/>
        <v>1938.6132497251879</v>
      </c>
      <c r="EY247" s="92">
        <f t="shared" si="164"/>
        <v>0.50051798727232455</v>
      </c>
      <c r="EZ247" s="92">
        <f t="shared" si="164"/>
        <v>0.51301183026353858</v>
      </c>
      <c r="FB247" s="102">
        <f>IF('Renewable Diesel'!$BG256&lt;1,0,(((('Renewable Diesel'!$BG256-1)*'Renewable Diesel'!$BF256)*'RD Feedstock Breakdown'!EA247)*'Feedstock Conversion Rates'!$B$2))</f>
        <v>1.2929662064053342</v>
      </c>
      <c r="FC247" s="102">
        <f>IF('Renewable Diesel'!$BG256&lt;1,0,(((('Renewable Diesel'!$BG256-1)*'Renewable Diesel'!$BF256)*'RD Feedstock Breakdown'!EB247)*'Feedstock Conversion Rates'!$B$3))</f>
        <v>14.345534115447224</v>
      </c>
      <c r="FD247" s="102">
        <f>IF('Renewable Diesel'!$BG256&lt;1,0,(((('Renewable Diesel'!$BG256-1)*'Renewable Diesel'!$BF256)*'RD Feedstock Breakdown'!EC247)*'Feedstock Conversion Rates'!$B$4))</f>
        <v>24.308800407815149</v>
      </c>
      <c r="FE247" s="102">
        <f>IF('Renewable Diesel'!$BG256&lt;1,0,(((('Renewable Diesel'!$BG256-1)*'Renewable Diesel'!$BF256)*'RD Feedstock Breakdown'!ED247)*'Feedstock Conversion Rates'!$B$5))</f>
        <v>0.93989223778101438</v>
      </c>
      <c r="FF247" s="102">
        <f>IF('Renewable Diesel'!$BG256&lt;1,0,(((('Renewable Diesel'!$BG256-1)*'Renewable Diesel'!$BF256)*'RD Feedstock Breakdown'!EE247)*'Feedstock Conversion Rates'!$B$6))</f>
        <v>5.1208518507054555</v>
      </c>
      <c r="FG247" s="102">
        <f>IF('Renewable Diesel'!$BG256&lt;1,0,(((('Renewable Diesel'!$BG256-1)*'Renewable Diesel'!$BF256)*'RD Feedstock Breakdown'!EF247)*'Feedstock Conversion Rates'!$B$7))</f>
        <v>4.6001839876002375</v>
      </c>
      <c r="FH247" s="102">
        <f>IF('Renewable Diesel'!$BG256&lt;1,0,(((('Renewable Diesel'!$BG256-1)*'Renewable Diesel'!$BF256)*'RD Feedstock Breakdown'!EG247)*'Feedstock Conversion Rates'!$B$8))</f>
        <v>0.47400377528609217</v>
      </c>
      <c r="FI247" s="102">
        <f>IF('Renewable Diesel'!$BG256&lt;1,0,(((('Renewable Diesel'!$BG256-1)*'Renewable Diesel'!$BF256)*'RD Feedstock Breakdown'!EH247)*'Feedstock Conversion Rates'!$B$9))</f>
        <v>4.5406186888247019E-2</v>
      </c>
      <c r="FJ247" s="102">
        <f t="shared" si="225"/>
        <v>51.127638767928758</v>
      </c>
      <c r="GD247" s="91">
        <f>'Renewable Diesel'!BB256*0.32</f>
        <v>0</v>
      </c>
      <c r="GE247" s="91">
        <f>'Renewable Diesel'!BC256</f>
        <v>225.58230985068755</v>
      </c>
      <c r="GF247" s="91">
        <f>'Renewable Diesel'!BD256</f>
        <v>0</v>
      </c>
      <c r="GG247" s="91">
        <f t="shared" si="206"/>
        <v>225.58230985068755</v>
      </c>
      <c r="GH247" s="124">
        <v>1</v>
      </c>
      <c r="GI247" s="102">
        <f>$GG247*EA247*'Feedstock Conversion Rates'!$B$2</f>
        <v>45.501312844633972</v>
      </c>
      <c r="GJ247" s="102">
        <f>$GG247*EB247*'Feedstock Conversion Rates'!$B$3</f>
        <v>504.83967212496879</v>
      </c>
      <c r="GK247" s="102">
        <f>$GG247*EC247*'Feedstock Conversion Rates'!$B$4</f>
        <v>855.46113019369614</v>
      </c>
      <c r="GL247" s="102">
        <f>$GG247*ED247*'Feedstock Conversion Rates'!$B$5</f>
        <v>33.076139608021705</v>
      </c>
      <c r="GM247" s="102">
        <f>$GG247*EE247*'Feedstock Conversion Rates'!$B$6</f>
        <v>180.21003250948579</v>
      </c>
      <c r="GN247" s="102">
        <f>$GG247*EF247*'Feedstock Conversion Rates'!$B$7</f>
        <v>161.88699265745228</v>
      </c>
      <c r="GO247" s="102">
        <f>$GG247*EG247*'Feedstock Conversion Rates'!$B$8</f>
        <v>16.680864481982244</v>
      </c>
      <c r="GP247" s="102">
        <f>$GG247*EH247*'Feedstock Conversion Rates'!B$9</f>
        <v>1.5979080539374577</v>
      </c>
      <c r="GQ247" s="102">
        <f t="shared" si="180"/>
        <v>1799.2540524741785</v>
      </c>
      <c r="GR247" s="85">
        <f t="shared" si="204"/>
        <v>7.976042330912831</v>
      </c>
      <c r="GT247" s="103">
        <f t="shared" si="159"/>
        <v>2.528898727895847E-2</v>
      </c>
      <c r="GU247" s="103">
        <f t="shared" si="159"/>
        <v>0.28058276230127532</v>
      </c>
      <c r="GV247" s="103">
        <f t="shared" si="159"/>
        <v>0.47545321852538835</v>
      </c>
      <c r="GW247" s="103">
        <f t="shared" si="159"/>
        <v>1.8383251416073377E-2</v>
      </c>
      <c r="GX247" s="103">
        <f t="shared" si="158"/>
        <v>0.10015819181381115</v>
      </c>
      <c r="GY247" s="103">
        <f t="shared" si="158"/>
        <v>8.9974504953783105E-2</v>
      </c>
      <c r="GZ247" s="103">
        <f t="shared" si="158"/>
        <v>9.270988974038526E-3</v>
      </c>
      <c r="HA247" s="103">
        <f t="shared" si="158"/>
        <v>8.8809473667165171E-4</v>
      </c>
    </row>
    <row r="248" spans="1:209" x14ac:dyDescent="0.25">
      <c r="A248" s="96">
        <v>47969</v>
      </c>
      <c r="B248" s="104">
        <f t="shared" si="237"/>
        <v>5</v>
      </c>
      <c r="C248" s="104">
        <f t="shared" si="147"/>
        <v>0</v>
      </c>
      <c r="D248" s="104">
        <f t="shared" si="192"/>
        <v>1.5</v>
      </c>
      <c r="E248" s="104">
        <f>('Renewable Diesel'!B257*E$3*'Feedstock Conversion Rates'!$B$2)/12-40+1.25+6-43+30-15+12.5-4+1.5+26+2.5+3-10+50+9-15-25-55+15+45+10-50+60-60+25</f>
        <v>69.679999999999993</v>
      </c>
      <c r="F248" s="104">
        <f>('Renewable Diesel'!B257*'RD Feedstock Breakdown'!F$3*'Feedstock Conversion Rates'!B$8)/12+28.5-49-5+2-6+1+6+20-20-3.75+10+2.5+5-20-20</f>
        <v>5.15625</v>
      </c>
      <c r="G248" s="104">
        <f>('Renewable Diesel'!B257*'RD Feedstock Breakdown'!G$3*'Feedstock Conversion Rates'!B$7)/12-25-15-25+4+4-20-40-20+10-17.5+20+50-12+32.5+35-75-75+22.5+5-20+15+125-10-45-10-40-40</f>
        <v>9.6570000000000107</v>
      </c>
      <c r="H248" s="104">
        <f>('Renewable Diesel'!B257*'RD Feedstock Breakdown'!H$3*'Feedstock Conversion Rates'!B$3)/12-85+4-15+70-65-80+50-22.5-5+25+27.5+15+50+15-10+5+50+75-5-25-85-12.5+30+22.5-25-30+150+90-120+25+10+70+30+40-40</f>
        <v>405.40022499999998</v>
      </c>
      <c r="I248" s="106">
        <f t="shared" si="203"/>
        <v>496.39347499999997</v>
      </c>
      <c r="J248" s="104">
        <f t="shared" si="238"/>
        <v>7.5</v>
      </c>
      <c r="K248" s="104"/>
      <c r="L248" s="104">
        <v>1</v>
      </c>
      <c r="M248" s="104">
        <f>('Renewable Diesel'!C257*'RD Feedstock Breakdown'!M$3*'Feedstock Conversion Rates'!B$2)/12</f>
        <v>7.7902500000000003</v>
      </c>
      <c r="N248" s="104">
        <f>('Renewable Diesel'!C257*'RD Feedstock Breakdown'!N$3*'Feedstock Conversion Rates'!B$8)/12</f>
        <v>3.671875</v>
      </c>
      <c r="O248" s="104">
        <f>('Renewable Diesel'!C257*'RD Feedstock Breakdown'!O$3*'Feedstock Conversion Rates'!B$7)/12</f>
        <v>11.9991</v>
      </c>
      <c r="P248" s="104">
        <f>('Renewable Diesel'!C257*'RD Feedstock Breakdown'!P$3*'Feedstock Conversion Rates'!B$3)/12</f>
        <v>10.4470425</v>
      </c>
      <c r="Q248" s="106">
        <f t="shared" si="216"/>
        <v>42.408267500000001</v>
      </c>
      <c r="R248" s="104">
        <f>('Renewable Diesel'!D257*'RD Feedstock Breakdown'!R$3*'Feedstock Conversion Rates'!B$7)/12</f>
        <v>2.2999999999999998</v>
      </c>
      <c r="S248" s="106">
        <f t="shared" si="148"/>
        <v>2.2999999999999998</v>
      </c>
      <c r="T248" s="104">
        <f t="shared" si="221"/>
        <v>0.82500000000000284</v>
      </c>
      <c r="U248" s="104">
        <v>30</v>
      </c>
      <c r="V248" s="104">
        <f>('Renewable Diesel'!E257*'RD Feedstock Breakdown'!V$3*'Feedstock Conversion Rates'!B$6)/12-20+25-35+15</f>
        <v>29.250150000000012</v>
      </c>
      <c r="W248" s="104">
        <f>('Renewable Diesel'!E257*'RD Feedstock Breakdown'!W$3*'Feedstock Conversion Rates'!B$8)/12-6-10</f>
        <v>6.1796875</v>
      </c>
      <c r="X248" s="106">
        <f t="shared" si="185"/>
        <v>66.254837500000008</v>
      </c>
      <c r="Y248" s="104">
        <f t="shared" si="232"/>
        <v>141.5</v>
      </c>
      <c r="Z248" s="104">
        <f>('Renewable Diesel'!F257*'RD Feedstock Breakdown'!Z$3*'Feedstock Conversion Rates'!B$6)/12-50-32-60+15+15+47.5-72.5+70-27.5-5</f>
        <v>59.960000000000008</v>
      </c>
      <c r="AA248" s="104">
        <f>('Renewable Diesel'!F257*'RD Feedstock Breakdown'!AA$3*'Feedstock Conversion Rates'!B$7)/12+80-171+75+30-55-1</f>
        <v>62.266666666666652</v>
      </c>
      <c r="AB248" s="106">
        <f t="shared" si="235"/>
        <v>263.72666666666669</v>
      </c>
      <c r="AC248" s="104">
        <f>('Renewable Diesel'!G257*'RD Feedstock Breakdown'!AC$3*'Feedstock Conversion Rates'!B$5)/12</f>
        <v>11.796875</v>
      </c>
      <c r="AD248" s="104">
        <f>('Renewable Diesel'!G257*'RD Feedstock Breakdown'!AD$3*'Feedstock Conversion Rates'!B$4)/12</f>
        <v>5.859375</v>
      </c>
      <c r="AE248" s="104">
        <f>('Renewable Diesel'!G257*'RD Feedstock Breakdown'!AE$3*'Feedstock Conversion Rates'!B$6)/12</f>
        <v>7.3281250000000009</v>
      </c>
      <c r="AF248" s="106">
        <f t="shared" si="198"/>
        <v>24.984375</v>
      </c>
      <c r="AG248" s="104">
        <f t="shared" si="230"/>
        <v>6.5</v>
      </c>
      <c r="AH248" s="104">
        <v>135</v>
      </c>
      <c r="AI248" s="104">
        <f>('Renewable Diesel'!H257*'RD Feedstock Breakdown'!AI$3*'Feedstock Conversion Rates'!B$6)/12-130-20+51-120+105-40+25-10-2.5</f>
        <v>7.0166666666666799</v>
      </c>
      <c r="AJ248" s="106">
        <f t="shared" si="145"/>
        <v>13.51666666666668</v>
      </c>
      <c r="AK248" s="104">
        <f>('Renewable Diesel'!J257*'RD Feedstock Breakdown'!AK$3*'Feedstock Conversion Rates'!B$4)/12</f>
        <v>95.8125</v>
      </c>
      <c r="AL248" s="106">
        <f t="shared" si="157"/>
        <v>95.8125</v>
      </c>
      <c r="AM248" s="104">
        <f>('Renewable Diesel'!K257*'RD Feedstock Breakdown'!AM$3*'Feedstock Conversion Rates'!B$4)/12+5+15-10+2.5+7-35</f>
        <v>43.09375</v>
      </c>
      <c r="AN248" s="104">
        <f>('Renewable Diesel'!K257*'RD Feedstock Breakdown'!AN$3*'Feedstock Conversion Rates'!B$6)/12-5-15+10-2.5-7+35</f>
        <v>39.927083333333329</v>
      </c>
      <c r="AO248" s="106">
        <f t="shared" si="173"/>
        <v>83.020833333333329</v>
      </c>
      <c r="AP248" s="104">
        <f>('Renewable Diesel'!L257*'RD Feedstock Breakdown'!AP$3*'Feedstock Conversion Rates'!B$4)/12+15-10+5+2.5+7</f>
        <v>78.09375</v>
      </c>
      <c r="AQ248" s="104">
        <f>('Renewable Diesel'!L257*'RD Feedstock Breakdown'!AQ$3*'Feedstock Conversion Rates'!B$6)/12-15+10-5-2.5-7</f>
        <v>4.9270833333333321</v>
      </c>
      <c r="AR248" s="106">
        <f t="shared" si="162"/>
        <v>83.020833333333329</v>
      </c>
      <c r="AS248" s="104">
        <f>('Renewable Diesel'!M257*'RD Feedstock Breakdown'!AS$3*'Feedstock Conversion Rates'!B$4)/12-25</f>
        <v>431.25</v>
      </c>
      <c r="AT248" s="104">
        <f>('Renewable Diesel'!M257*'RD Feedstock Breakdown'!AT$3*'Feedstock Conversion Rates'!B$5)/12+25</f>
        <v>25</v>
      </c>
      <c r="AU248" s="106">
        <f t="shared" si="201"/>
        <v>456.25</v>
      </c>
      <c r="AV248" s="104">
        <f>'Renewable Diesel'!N257*'RD Feedstock Breakdown'!$AV$3*'Feedstock Conversion Rates'!$B$4/12-15-10+25+25-22+15-50</f>
        <v>46.749999999999986</v>
      </c>
      <c r="AW248" s="104">
        <f>'Renewable Diesel'!N257*'RD Feedstock Breakdown'!$AW$3*'Feedstock Conversion Rates'!$B$7/12+15+10-25-25+22-15+50</f>
        <v>73.400000000000006</v>
      </c>
      <c r="AX248" s="106">
        <f t="shared" si="239"/>
        <v>120.14999999999999</v>
      </c>
      <c r="AY248" s="104">
        <f>('Renewable Diesel'!O257*'RD Feedstock Breakdown'!AY$3*'Feedstock Conversion Rates'!B$4)/12+32+2-125-25-25-207</f>
        <v>-137.0625</v>
      </c>
      <c r="AZ248" s="104">
        <f>('Renewable Diesel'!O257*'RD Feedstock Breakdown'!AZ$3*'Feedstock Conversion Rates'!B$3)/12-32-2+125+25+25+207</f>
        <v>373.03125</v>
      </c>
      <c r="BA248" s="106">
        <f t="shared" si="217"/>
        <v>235.96875</v>
      </c>
      <c r="BB248" s="104">
        <f>('Renewable Diesel'!Q257*'RD Feedstock Breakdown'!BB$3*'Feedstock Conversion Rates'!B$4)/12-10</f>
        <v>1.1562499999999982</v>
      </c>
      <c r="BC248" s="104">
        <f>('Renewable Diesel'!Q257*'RD Feedstock Breakdown'!BC$3*'Feedstock Conversion Rates'!B$3)/12+10</f>
        <v>11.40175</v>
      </c>
      <c r="BD248" s="104">
        <f>('Renewable Diesel'!Q257*'RD Feedstock Breakdown'!BD$3*'Feedstock Conversion Rates'!B$6)/12</f>
        <v>0.8207500000000002</v>
      </c>
      <c r="BE248" s="106">
        <f t="shared" si="189"/>
        <v>13.378749999999998</v>
      </c>
      <c r="BF248" s="104">
        <f>('Renewable Diesel'!R257*'RD Feedstock Breakdown'!BF$3*'Feedstock Conversion Rates'!B$4)/12</f>
        <v>62.5</v>
      </c>
      <c r="BG248" s="106">
        <f t="shared" si="167"/>
        <v>62.5</v>
      </c>
      <c r="BH248" s="104">
        <f>('Renewable Diesel'!T257*'RD Feedstock Breakdown'!BH$3*'Feedstock Conversion Rates'!B$7)/12</f>
        <v>27.599999999999998</v>
      </c>
      <c r="BI248" s="106">
        <f t="shared" si="144"/>
        <v>27.599999999999998</v>
      </c>
      <c r="BJ248" s="104">
        <f>('Renewable Diesel'!W257*'RD Feedstock Breakdown'!BJ$3*'Feedstock Conversion Rates'!B$4)/12</f>
        <v>7.5</v>
      </c>
      <c r="BK248" s="104">
        <f>('Renewable Diesel'!W257*'RD Feedstock Breakdown'!BK$3*'Feedstock Conversion Rates'!B$3)/12</f>
        <v>1.335</v>
      </c>
      <c r="BL248" s="104">
        <f>('Renewable Diesel'!W257*'RD Feedstock Breakdown'!BL$3*'Feedstock Conversion Rates'!B$6)/12</f>
        <v>3.1266666666666669</v>
      </c>
      <c r="BM248" s="104">
        <f>('Renewable Diesel'!W257*'RD Feedstock Breakdown'!BM$3*'Feedstock Conversion Rates'!B$7)/12</f>
        <v>1.5333333333333332</v>
      </c>
      <c r="BN248" s="106">
        <f t="shared" si="209"/>
        <v>13.495000000000001</v>
      </c>
      <c r="BO248" s="104">
        <f>('Renewable Diesel'!P257*'Feedstock Conversion Rates'!B$4)/12</f>
        <v>31.25</v>
      </c>
      <c r="BP248" s="106">
        <f t="shared" si="199"/>
        <v>31.25</v>
      </c>
      <c r="BQ248" s="104">
        <f>('Renewable Diesel'!$S257*'RD Feedstock Breakdown'!BQ$3*'Feedstock Conversion Rates'!B$4)/12+10</f>
        <v>38.125</v>
      </c>
      <c r="BR248" s="104">
        <f>('Renewable Diesel'!$S257*'RD Feedstock Breakdown'!BR$3*'Feedstock Conversion Rates'!B$7)/12-10</f>
        <v>1.5</v>
      </c>
      <c r="BS248" s="106">
        <f t="shared" si="222"/>
        <v>39.625</v>
      </c>
      <c r="BT248" s="106"/>
      <c r="BU248" s="104">
        <f>('Renewable Diesel'!Y257*'Feedstock Conversion Rates'!B$7)/12</f>
        <v>2.6833333333333331</v>
      </c>
      <c r="BV248" s="106">
        <f t="shared" si="191"/>
        <v>2.6833333333333331</v>
      </c>
      <c r="BW248" s="104">
        <f>('Renewable Diesel'!$Z257*'RD Feedstock Breakdown'!BW$3*'Feedstock Conversion Rates'!$B$4)/12</f>
        <v>71.875</v>
      </c>
      <c r="BX248" s="104">
        <f>('Renewable Diesel'!$Z257*'RD Feedstock Breakdown'!BX$3*'Feedstock Conversion Rates'!$B$5)/12</f>
        <v>7.2354166666666666</v>
      </c>
      <c r="BY248" s="104">
        <f>('Renewable Diesel'!$Z257*'RD Feedstock Breakdown'!BY$3*'Feedstock Conversion Rates'!$B$7)/12</f>
        <v>61.716666666666661</v>
      </c>
      <c r="BZ248" s="104">
        <f>('Renewable Diesel'!$Z257*'RD Feedstock Breakdown'!BZ$3*'Feedstock Conversion Rates'!$B$3)/12</f>
        <v>15.352499999999999</v>
      </c>
      <c r="CA248" s="106">
        <f t="shared" si="228"/>
        <v>156.17958333333331</v>
      </c>
      <c r="CB248" s="104">
        <f>('Renewable Diesel'!AA257*'Feedstock Conversion Rates'!B$4)/12</f>
        <v>191.25</v>
      </c>
      <c r="CC248" s="106">
        <f t="shared" si="213"/>
        <v>191.25</v>
      </c>
      <c r="CD248" s="104">
        <f>('Renewable Diesel'!$AB257*'RD Feedstock Breakdown'!CD$3*'Feedstock Conversion Rates'!$B$6)/12-15</f>
        <v>17.830000000000005</v>
      </c>
      <c r="CE248" s="104">
        <f>('Renewable Diesel'!$AB257*'RD Feedstock Breakdown'!CE$3*'Feedstock Conversion Rates'!$B$4)/12+15</f>
        <v>26.25</v>
      </c>
      <c r="CF248" s="106">
        <f t="shared" si="205"/>
        <v>44.080000000000005</v>
      </c>
      <c r="CG248" s="104">
        <f>('Renewable Diesel'!AD257*'Feedstock Conversion Rates'!B$4)/12</f>
        <v>112.5</v>
      </c>
      <c r="CH248" s="106">
        <f t="shared" si="187"/>
        <v>112.5</v>
      </c>
      <c r="CI248" s="104">
        <f>('Renewable Diesel'!$AE257*'RD Feedstock Breakdown'!CI$3*'Feedstock Conversion Rates'!$B$5)/12</f>
        <v>0.34604166666666664</v>
      </c>
      <c r="CJ248" s="104">
        <f>('Renewable Diesel'!$AE257*'RD Feedstock Breakdown'!CJ$3*'Feedstock Conversion Rates'!$B$4)/12</f>
        <v>0.34375</v>
      </c>
      <c r="CK248" s="106">
        <f t="shared" si="200"/>
        <v>0.68979166666666658</v>
      </c>
      <c r="CL248" s="104">
        <f>(((CL$3*'Renewable Diesel'!$AF257)*'Feedstock Conversion Rates'!$B$3)/12)-25</f>
        <v>66.78125</v>
      </c>
      <c r="CM248" s="104">
        <f>(((CM$3*'Renewable Diesel'!$AF257)*'Feedstock Conversion Rates'!$B$6)/12)+25</f>
        <v>78.739583333333343</v>
      </c>
      <c r="CN248" s="104">
        <f>(((CN$3*'Renewable Diesel'!$AF257)*'Feedstock Conversion Rates'!$B$4)/12)</f>
        <v>42.96875</v>
      </c>
      <c r="CO248" s="106">
        <f t="shared" si="190"/>
        <v>188.48958333333334</v>
      </c>
      <c r="CP248" s="104">
        <f>('Renewable Diesel'!$AG257*'RD Feedstock Breakdown'!CP$3*'Feedstock Conversion Rates'!$B$3)/12</f>
        <v>6.0075000000000003</v>
      </c>
      <c r="CQ248" s="104">
        <f>('Renewable Diesel'!$AG257*'RD Feedstock Breakdown'!CQ$3*'Feedstock Conversion Rates'!$B$6)/12</f>
        <v>3.5175000000000001</v>
      </c>
      <c r="CR248" s="104">
        <f>('Renewable Diesel'!$AG257*'RD Feedstock Breakdown'!CR$3*'Feedstock Conversion Rates'!$B$4)/12</f>
        <v>2.8125</v>
      </c>
      <c r="CS248" s="106">
        <f t="shared" si="231"/>
        <v>12.3375</v>
      </c>
      <c r="CT248" s="104">
        <f>('Renewable Diesel'!AI257*'Feedstock Conversion Rates'!$B$4*'RD Feedstock Breakdown'!$CT$3)/12</f>
        <v>29.375</v>
      </c>
      <c r="CU248" s="106">
        <f t="shared" si="196"/>
        <v>29.375</v>
      </c>
      <c r="CV248" s="104">
        <f>('Renewable Diesel'!AN257*'Feedstock Conversion Rates'!$B$3*'RD Feedstock Breakdown'!$CV$3)/12</f>
        <v>0.50062499999999999</v>
      </c>
      <c r="CW248" s="106">
        <f t="shared" si="161"/>
        <v>0.50062499999999999</v>
      </c>
      <c r="CX248" s="104">
        <f>('Renewable Diesel'!AO257*'RD Feedstock Breakdown'!$CX$3*'Feedstock Conversion Rates'!$B$3)/12</f>
        <v>6.3412499999999996</v>
      </c>
      <c r="CY248" s="104">
        <f>('Renewable Diesel'!AO257*'RD Feedstock Breakdown'!$CY$3*'Feedstock Conversion Rates'!$B$6)/12</f>
        <v>7.4258333333333342</v>
      </c>
      <c r="CZ248" s="106">
        <f t="shared" si="233"/>
        <v>13.767083333333334</v>
      </c>
      <c r="DA248" s="104">
        <f>('Renewable Diesel'!$AP257*'RD Feedstock Breakdown'!DA$3*'Feedstock Conversion Rates'!$B$3)/12</f>
        <v>6.3412499999999996</v>
      </c>
      <c r="DB248" s="104">
        <f>('Renewable Diesel'!$AP257*'RD Feedstock Breakdown'!DB$3*'Feedstock Conversion Rates'!$B$8)/12</f>
        <v>7.421875</v>
      </c>
      <c r="DC248" s="106">
        <f t="shared" si="165"/>
        <v>13.763124999999999</v>
      </c>
      <c r="DD248" s="104">
        <f>('Renewable Diesel'!AQ257*$DD$3*'Feedstock Conversion Rates'!$B$14)/12</f>
        <v>3.1041666666666665</v>
      </c>
      <c r="DE248" s="106">
        <f t="shared" si="166"/>
        <v>3.1041666666666665</v>
      </c>
      <c r="DF248" s="104">
        <f>('Renewable Diesel'!AR257*'Feedstock Conversion Rates'!$B$4*$DF$3)/12</f>
        <v>75</v>
      </c>
      <c r="DG248" s="106">
        <f t="shared" si="234"/>
        <v>75</v>
      </c>
      <c r="DH248" s="104">
        <f>('Renewable Diesel'!AS257*'Feedstock Conversion Rates'!$B$4*$DH$3)/12</f>
        <v>75</v>
      </c>
      <c r="DI248" s="106">
        <f t="shared" si="142"/>
        <v>75</v>
      </c>
      <c r="DJ248" s="104">
        <f>('Renewable Diesel'!AT257*'Feedstock Conversion Rates'!$B$4*0.25)/12</f>
        <v>8.59375</v>
      </c>
      <c r="DK248" s="104">
        <f>('Renewable Diesel'!$AT257*'RD Feedstock Breakdown'!DK$3*'Feedstock Conversion Rates'!$B$3)/12*0.5</f>
        <v>9.1781249999999996</v>
      </c>
      <c r="DL248" s="104">
        <f>('Renewable Diesel'!$AT257*'RD Feedstock Breakdown'!$DL$3*'Feedstock Conversion Rates'!$B$6)/12</f>
        <v>10.747916666666669</v>
      </c>
      <c r="DM248" s="104">
        <f>('Renewable Diesel'!$AT257*'RD Feedstock Breakdown'!$DM$3*'Feedstock Conversion Rates'!$B$8)/12</f>
        <v>10.7421875</v>
      </c>
      <c r="DN248" s="106">
        <f t="shared" si="210"/>
        <v>39.26197916666667</v>
      </c>
      <c r="DP248" s="104">
        <f t="shared" si="168"/>
        <v>77.470249999999993</v>
      </c>
      <c r="DQ248" s="104">
        <f t="shared" si="169"/>
        <v>912.11776750000001</v>
      </c>
      <c r="DR248" s="104">
        <f t="shared" si="174"/>
        <v>1650.703125</v>
      </c>
      <c r="DS248" s="104">
        <f t="shared" si="197"/>
        <v>63.401250000000005</v>
      </c>
      <c r="DT248" s="104">
        <f t="shared" si="170"/>
        <v>278.03923333333341</v>
      </c>
      <c r="DU248" s="104">
        <f t="shared" si="171"/>
        <v>254.65610000000001</v>
      </c>
      <c r="DV248" s="104">
        <f t="shared" si="175"/>
        <v>25.75</v>
      </c>
      <c r="DW248" s="104">
        <f t="shared" si="172"/>
        <v>2.5</v>
      </c>
      <c r="DX248" s="106">
        <f t="shared" si="176"/>
        <v>3264.6377258333337</v>
      </c>
      <c r="DY248" s="109">
        <f t="shared" si="163"/>
        <v>-135.00000000000048</v>
      </c>
      <c r="EA248" s="110">
        <f t="shared" si="218"/>
        <v>2.3730121534457513E-2</v>
      </c>
      <c r="EB248" s="110">
        <f t="shared" si="219"/>
        <v>0.27939325710854246</v>
      </c>
      <c r="EC248" s="110">
        <f t="shared" si="220"/>
        <v>0.50563133297696616</v>
      </c>
      <c r="ED248" s="110">
        <f t="shared" si="146"/>
        <v>1.9420608142306558E-2</v>
      </c>
      <c r="EE248" s="110">
        <f t="shared" si="146"/>
        <v>8.5166948581518617E-2</v>
      </c>
      <c r="EF248" s="110">
        <f t="shared" si="146"/>
        <v>7.8004397849380458E-2</v>
      </c>
      <c r="EG248" s="110">
        <f t="shared" si="146"/>
        <v>7.8875520540114558E-3</v>
      </c>
      <c r="EH248" s="111">
        <f t="shared" si="177"/>
        <v>7.6578175281664625E-4</v>
      </c>
      <c r="EI248" s="110">
        <f t="shared" si="236"/>
        <v>0.99923421824718328</v>
      </c>
      <c r="EK248" s="132">
        <f>(EA248*'Renewable Diesel'!BF257*'Feedstock Conversion Rates'!B$2)+FB248</f>
        <v>145.37090598500276</v>
      </c>
      <c r="EL248" s="132">
        <f>(EB248*'Renewable Diesel'!BF257*'Feedstock Conversion Rates'!B$3)+FC248</f>
        <v>1612.8985281055095</v>
      </c>
      <c r="EM248" s="132">
        <f>(EC248*'Renewable Diesel'!BF257*'Feedstock Conversion Rates'!B$4)+FD248</f>
        <v>2733.0894815242195</v>
      </c>
      <c r="EN248" s="132">
        <f>(ED248*'Renewable Diesel'!BF257*'Feedstock Conversion Rates'!B$5)+FE248</f>
        <v>105.6740581908638</v>
      </c>
      <c r="EO248" s="132">
        <f>(EE248*'Renewable Diesel'!BF257*'Feedstock Conversion Rates'!B$6)+FF248</f>
        <v>575.74812803627105</v>
      </c>
      <c r="EP248" s="132">
        <f>(EF248*'Renewable Diesel'!BF257*'Feedstock Conversion Rates'!B$7)+FG248</f>
        <v>517.2083467164548</v>
      </c>
      <c r="EQ248" s="132">
        <f>(EG248*'Renewable Diesel'!BF257*'Feedstock Conversion Rates'!B$8)+FH248</f>
        <v>53.293239925598883</v>
      </c>
      <c r="ER248" s="132">
        <f>(EH248*'Renewable Diesel'!BF257*'Feedstock Conversion Rates'!B$9)+FI248</f>
        <v>5.105112950801705</v>
      </c>
      <c r="ES248" s="132">
        <f t="shared" si="179"/>
        <v>5748.387801434721</v>
      </c>
      <c r="ET248" s="133">
        <f>ES248/'Renewable Diesel'!BF257</f>
        <v>10.137125858025854</v>
      </c>
      <c r="EW248" s="73">
        <f t="shared" si="223"/>
        <v>3443.9454432415378</v>
      </c>
      <c r="EX248" s="73">
        <f t="shared" si="224"/>
        <v>3529.9126107206889</v>
      </c>
      <c r="EY248" s="92">
        <f t="shared" si="164"/>
        <v>0.59911501488851793</v>
      </c>
      <c r="EZ248" s="92">
        <f t="shared" si="164"/>
        <v>0.61407001974356523</v>
      </c>
      <c r="FB248" s="102">
        <f>IF('Renewable Diesel'!$BG257&lt;1,0,(((('Renewable Diesel'!$BG257-1)*'Renewable Diesel'!$BF257)*'RD Feedstock Breakdown'!EA248)*'Feedstock Conversion Rates'!$B$2))</f>
        <v>30.990901626910084</v>
      </c>
      <c r="FC248" s="102">
        <f>IF('Renewable Diesel'!$BG257&lt;1,0,(((('Renewable Diesel'!$BG257-1)*'Renewable Diesel'!$BF257)*'RD Feedstock Breakdown'!EB248)*'Feedstock Conversion Rates'!$B$3))</f>
        <v>343.84582857220863</v>
      </c>
      <c r="FD248" s="102">
        <f>IF('Renewable Diesel'!$BG257&lt;1,0,(((('Renewable Diesel'!$BG257-1)*'Renewable Diesel'!$BF257)*'RD Feedstock Breakdown'!EC248)*'Feedstock Conversion Rates'!$B$4))</f>
        <v>582.65377577132233</v>
      </c>
      <c r="FE248" s="102">
        <f>IF('Renewable Diesel'!$BG257&lt;1,0,(((('Renewable Diesel'!$BG257-1)*'Renewable Diesel'!$BF257)*'RD Feedstock Breakdown'!ED248)*'Feedstock Conversion Rates'!$B$5))</f>
        <v>22.528127755132044</v>
      </c>
      <c r="FF248" s="102">
        <f>IF('Renewable Diesel'!$BG257&lt;1,0,(((('Renewable Diesel'!$BG257-1)*'Renewable Diesel'!$BF257)*'RD Feedstock Breakdown'!EE248)*'Feedstock Conversion Rates'!$B$6))</f>
        <v>122.74088461476937</v>
      </c>
      <c r="FG248" s="102">
        <f>IF('Renewable Diesel'!$BG257&lt;1,0,(((('Renewable Diesel'!$BG257-1)*'Renewable Diesel'!$BF257)*'RD Feedstock Breakdown'!EF248)*'Feedstock Conversion Rates'!$B$7))</f>
        <v>110.26107930674978</v>
      </c>
      <c r="FH248" s="102">
        <f>IF('Renewable Diesel'!$BG257&lt;1,0,(((('Renewable Diesel'!$BG257-1)*'Renewable Diesel'!$BF257)*'RD Feedstock Breakdown'!EG248)*'Feedstock Conversion Rates'!$B$8))</f>
        <v>11.361321199194702</v>
      </c>
      <c r="FI248" s="102">
        <f>IF('Renewable Diesel'!$BG257&lt;1,0,(((('Renewable Diesel'!$BG257-1)*'Renewable Diesel'!$BF257)*'RD Feedstock Breakdown'!EH248)*'Feedstock Conversion Rates'!$B$9))</f>
        <v>1.0883336812173565</v>
      </c>
      <c r="FJ248" s="102">
        <f t="shared" si="225"/>
        <v>1225.4702525275043</v>
      </c>
      <c r="GD248" s="91">
        <f>'Renewable Diesel'!BB257*0.32</f>
        <v>0</v>
      </c>
      <c r="GE248" s="91">
        <f>'Renewable Diesel'!BC257</f>
        <v>296.96372671365538</v>
      </c>
      <c r="GF248" s="91">
        <f>'Renewable Diesel'!BD257</f>
        <v>0</v>
      </c>
      <c r="GG248" s="91">
        <f t="shared" si="206"/>
        <v>296.96372671365538</v>
      </c>
      <c r="GH248" s="124">
        <v>1</v>
      </c>
      <c r="GI248" s="102">
        <f>$GG248*EA248*'Feedstock Conversion Rates'!$B$2</f>
        <v>59.899375273043994</v>
      </c>
      <c r="GJ248" s="102">
        <f>$GG248*EB248*'Feedstock Conversion Rates'!$B$3</f>
        <v>664.58699942545024</v>
      </c>
      <c r="GK248" s="102">
        <f>$GG248*EC248*'Feedstock Conversion Rates'!$B$4</f>
        <v>1126.1562373802481</v>
      </c>
      <c r="GL248" s="102">
        <f>$GG248*ED248*'Feedstock Conversion Rates'!$B$5</f>
        <v>43.542482075836112</v>
      </c>
      <c r="GM248" s="102">
        <f>$GG248*EE248*'Feedstock Conversion Rates'!$B$6</f>
        <v>237.23421788094956</v>
      </c>
      <c r="GN248" s="102">
        <f>$GG248*EF248*'Feedstock Conversion Rates'!$B$7</f>
        <v>213.11318550574131</v>
      </c>
      <c r="GO248" s="102">
        <f>$GG248*EG248*'Feedstock Conversion Rates'!$B$8</f>
        <v>21.959220493192397</v>
      </c>
      <c r="GP248" s="102">
        <f>$GG248*EH248*'Feedstock Conversion Rates'!B$9</f>
        <v>2.1035369792831555</v>
      </c>
      <c r="GQ248" s="102">
        <f t="shared" si="180"/>
        <v>2368.5952550137449</v>
      </c>
      <c r="GR248" s="85">
        <f t="shared" si="204"/>
        <v>7.9760423309128319</v>
      </c>
      <c r="GT248" s="103">
        <f t="shared" si="159"/>
        <v>2.5288987278958477E-2</v>
      </c>
      <c r="GU248" s="103">
        <f t="shared" si="159"/>
        <v>0.28058276230127538</v>
      </c>
      <c r="GV248" s="103">
        <f t="shared" si="159"/>
        <v>0.47545321852538847</v>
      </c>
      <c r="GW248" s="103">
        <f t="shared" si="159"/>
        <v>1.8383251416073384E-2</v>
      </c>
      <c r="GX248" s="103">
        <f t="shared" si="158"/>
        <v>0.10015819181381116</v>
      </c>
      <c r="GY248" s="103">
        <f t="shared" si="158"/>
        <v>8.9974504953783119E-2</v>
      </c>
      <c r="GZ248" s="103">
        <f t="shared" si="158"/>
        <v>9.2709889740385278E-3</v>
      </c>
      <c r="HA248" s="103">
        <f t="shared" si="158"/>
        <v>8.8809473667165193E-4</v>
      </c>
    </row>
    <row r="249" spans="1:209" x14ac:dyDescent="0.25">
      <c r="A249" s="96">
        <v>48000</v>
      </c>
      <c r="B249" s="104">
        <f t="shared" si="237"/>
        <v>5</v>
      </c>
      <c r="C249" s="104">
        <f t="shared" si="147"/>
        <v>0</v>
      </c>
      <c r="D249" s="104">
        <f t="shared" si="192"/>
        <v>1.5</v>
      </c>
      <c r="E249" s="104">
        <f>('Renewable Diesel'!B258*E$3*'Feedstock Conversion Rates'!$B$2)/12-40+1.25+6-43+30-15+12.5-4+1.5+26+2.5+3-10+50+9-15-25-55+15+45+10-50+60-60+25</f>
        <v>69.679999999999993</v>
      </c>
      <c r="F249" s="104">
        <f>('Renewable Diesel'!B258*'RD Feedstock Breakdown'!F$3*'Feedstock Conversion Rates'!B$8)/12+28.5-49-5+2-6+1+6+20-20-3.75+10+2.5+5-20-20</f>
        <v>5.15625</v>
      </c>
      <c r="G249" s="104">
        <f>('Renewable Diesel'!B258*'RD Feedstock Breakdown'!G$3*'Feedstock Conversion Rates'!B$7)/12-25-15-25+4+4-20-40-20+10-17.5+20+50-12+32.5+35-75-75+22.5+5-20+15+125-10-45-10-40-40</f>
        <v>9.6570000000000107</v>
      </c>
      <c r="H249" s="104">
        <f>('Renewable Diesel'!B258*'RD Feedstock Breakdown'!H$3*'Feedstock Conversion Rates'!B$3)/12-85+4-15+70-65-80+50-22.5-5+25+27.5+15+50+15-10+5+50+75-5-25-85-12.5+30+22.5-25-30+150+90-120+25+10+70+30+40-40</f>
        <v>405.40022499999998</v>
      </c>
      <c r="I249" s="106">
        <f t="shared" si="203"/>
        <v>496.39347499999997</v>
      </c>
      <c r="J249" s="104">
        <f t="shared" si="238"/>
        <v>7.5</v>
      </c>
      <c r="K249" s="104"/>
      <c r="L249" s="104">
        <v>1</v>
      </c>
      <c r="M249" s="104">
        <f>('Renewable Diesel'!C258*'RD Feedstock Breakdown'!M$3*'Feedstock Conversion Rates'!B$2)/12</f>
        <v>7.7902500000000003</v>
      </c>
      <c r="N249" s="104">
        <f>('Renewable Diesel'!C258*'RD Feedstock Breakdown'!N$3*'Feedstock Conversion Rates'!B$8)/12</f>
        <v>3.671875</v>
      </c>
      <c r="O249" s="104">
        <f>('Renewable Diesel'!C258*'RD Feedstock Breakdown'!O$3*'Feedstock Conversion Rates'!B$7)/12</f>
        <v>11.9991</v>
      </c>
      <c r="P249" s="104">
        <f>('Renewable Diesel'!C258*'RD Feedstock Breakdown'!P$3*'Feedstock Conversion Rates'!B$3)/12</f>
        <v>10.4470425</v>
      </c>
      <c r="Q249" s="106">
        <f t="shared" si="216"/>
        <v>42.408267500000001</v>
      </c>
      <c r="R249" s="104">
        <f>('Renewable Diesel'!D258*'RD Feedstock Breakdown'!R$3*'Feedstock Conversion Rates'!B$7)/12</f>
        <v>2.2999999999999998</v>
      </c>
      <c r="S249" s="106">
        <f t="shared" si="148"/>
        <v>2.2999999999999998</v>
      </c>
      <c r="T249" s="104">
        <f t="shared" si="221"/>
        <v>0.82500000000000284</v>
      </c>
      <c r="U249" s="104">
        <v>30</v>
      </c>
      <c r="V249" s="104">
        <f>('Renewable Diesel'!E258*'RD Feedstock Breakdown'!V$3*'Feedstock Conversion Rates'!B$6)/12-20+25-35+15</f>
        <v>29.250150000000012</v>
      </c>
      <c r="W249" s="104">
        <f>('Renewable Diesel'!E258*'RD Feedstock Breakdown'!W$3*'Feedstock Conversion Rates'!B$8)/12-6-10</f>
        <v>6.1796875</v>
      </c>
      <c r="X249" s="106">
        <f t="shared" si="185"/>
        <v>66.254837500000008</v>
      </c>
      <c r="Y249" s="104">
        <f t="shared" si="232"/>
        <v>141.5</v>
      </c>
      <c r="Z249" s="104">
        <f>('Renewable Diesel'!F258*'RD Feedstock Breakdown'!Z$3*'Feedstock Conversion Rates'!B$6)/12-50-32-60+15+15+47.5-72.5+70-27.5-5</f>
        <v>59.960000000000008</v>
      </c>
      <c r="AA249" s="104">
        <f>('Renewable Diesel'!F258*'RD Feedstock Breakdown'!AA$3*'Feedstock Conversion Rates'!B$7)/12+80-171+75+30-55-1</f>
        <v>62.266666666666652</v>
      </c>
      <c r="AB249" s="106">
        <f t="shared" si="235"/>
        <v>263.72666666666669</v>
      </c>
      <c r="AC249" s="104">
        <f>('Renewable Diesel'!G258*'RD Feedstock Breakdown'!AC$3*'Feedstock Conversion Rates'!B$5)/12</f>
        <v>11.796875</v>
      </c>
      <c r="AD249" s="104">
        <f>('Renewable Diesel'!G258*'RD Feedstock Breakdown'!AD$3*'Feedstock Conversion Rates'!B$4)/12</f>
        <v>5.859375</v>
      </c>
      <c r="AE249" s="104">
        <f>('Renewable Diesel'!G258*'RD Feedstock Breakdown'!AE$3*'Feedstock Conversion Rates'!B$6)/12</f>
        <v>7.3281250000000009</v>
      </c>
      <c r="AF249" s="106">
        <f t="shared" si="198"/>
        <v>24.984375</v>
      </c>
      <c r="AG249" s="104">
        <f t="shared" si="230"/>
        <v>6.5</v>
      </c>
      <c r="AH249" s="104">
        <v>135</v>
      </c>
      <c r="AI249" s="104">
        <f>('Renewable Diesel'!H258*'RD Feedstock Breakdown'!AI$3*'Feedstock Conversion Rates'!B$6)/12-130-20+51-120+105-40+25-10-2.5</f>
        <v>7.0166666666666799</v>
      </c>
      <c r="AJ249" s="106">
        <f t="shared" si="145"/>
        <v>13.51666666666668</v>
      </c>
      <c r="AK249" s="104">
        <f>('Renewable Diesel'!J258*'RD Feedstock Breakdown'!AK$3*'Feedstock Conversion Rates'!B$4)/12</f>
        <v>95.8125</v>
      </c>
      <c r="AL249" s="106">
        <f t="shared" si="157"/>
        <v>95.8125</v>
      </c>
      <c r="AM249" s="104">
        <f>('Renewable Diesel'!K258*'RD Feedstock Breakdown'!AM$3*'Feedstock Conversion Rates'!B$4)/12+5+15-10+2.5+7-35</f>
        <v>43.09375</v>
      </c>
      <c r="AN249" s="104">
        <f>('Renewable Diesel'!K258*'RD Feedstock Breakdown'!AN$3*'Feedstock Conversion Rates'!B$6)/12-5-15+10-2.5-7+35</f>
        <v>39.927083333333329</v>
      </c>
      <c r="AO249" s="106">
        <f t="shared" si="173"/>
        <v>83.020833333333329</v>
      </c>
      <c r="AP249" s="104">
        <f>('Renewable Diesel'!L258*'RD Feedstock Breakdown'!AP$3*'Feedstock Conversion Rates'!B$4)/12+15-10+5+2.5+7</f>
        <v>78.09375</v>
      </c>
      <c r="AQ249" s="104">
        <f>('Renewable Diesel'!L258*'RD Feedstock Breakdown'!AQ$3*'Feedstock Conversion Rates'!B$6)/12-15+10-5-2.5-7</f>
        <v>4.9270833333333321</v>
      </c>
      <c r="AR249" s="106">
        <f t="shared" si="162"/>
        <v>83.020833333333329</v>
      </c>
      <c r="AS249" s="104">
        <f>('Renewable Diesel'!M258*'RD Feedstock Breakdown'!AS$3*'Feedstock Conversion Rates'!B$4)/12-25</f>
        <v>431.25</v>
      </c>
      <c r="AT249" s="104">
        <f>('Renewable Diesel'!M258*'RD Feedstock Breakdown'!AT$3*'Feedstock Conversion Rates'!B$5)/12+25</f>
        <v>25</v>
      </c>
      <c r="AU249" s="106">
        <f t="shared" si="201"/>
        <v>456.25</v>
      </c>
      <c r="AV249" s="104">
        <f>'Renewable Diesel'!N258*'RD Feedstock Breakdown'!$AV$3*'Feedstock Conversion Rates'!$B$4/12-15-10+25+25-22+15-50</f>
        <v>46.749999999999986</v>
      </c>
      <c r="AW249" s="104">
        <f>'Renewable Diesel'!N258*'RD Feedstock Breakdown'!$AW$3*'Feedstock Conversion Rates'!$B$7/12+15+10-25-25+22-15+50</f>
        <v>73.400000000000006</v>
      </c>
      <c r="AX249" s="106">
        <f t="shared" si="239"/>
        <v>120.14999999999999</v>
      </c>
      <c r="AY249" s="104">
        <f>('Renewable Diesel'!O258*'RD Feedstock Breakdown'!AY$3*'Feedstock Conversion Rates'!B$4)/12+32+2-125-25-25-207</f>
        <v>-137.0625</v>
      </c>
      <c r="AZ249" s="104">
        <f>('Renewable Diesel'!O258*'RD Feedstock Breakdown'!AZ$3*'Feedstock Conversion Rates'!B$3)/12-32-2+125+25+25+207</f>
        <v>373.03125</v>
      </c>
      <c r="BA249" s="106">
        <f t="shared" si="217"/>
        <v>235.96875</v>
      </c>
      <c r="BB249" s="104">
        <f>('Renewable Diesel'!Q258*'RD Feedstock Breakdown'!BB$3*'Feedstock Conversion Rates'!B$4)/12-10</f>
        <v>1.1562499999999982</v>
      </c>
      <c r="BC249" s="104">
        <f>('Renewable Diesel'!Q258*'RD Feedstock Breakdown'!BC$3*'Feedstock Conversion Rates'!B$3)/12+10</f>
        <v>11.40175</v>
      </c>
      <c r="BD249" s="104">
        <f>('Renewable Diesel'!Q258*'RD Feedstock Breakdown'!BD$3*'Feedstock Conversion Rates'!B$6)/12</f>
        <v>0.8207500000000002</v>
      </c>
      <c r="BE249" s="106">
        <f t="shared" si="189"/>
        <v>13.378749999999998</v>
      </c>
      <c r="BF249" s="104">
        <f>('Renewable Diesel'!R258*'RD Feedstock Breakdown'!BF$3*'Feedstock Conversion Rates'!B$4)/12</f>
        <v>62.5</v>
      </c>
      <c r="BG249" s="106">
        <f t="shared" si="167"/>
        <v>62.5</v>
      </c>
      <c r="BH249" s="104">
        <f>('Renewable Diesel'!T258*'RD Feedstock Breakdown'!BH$3*'Feedstock Conversion Rates'!B$7)/12</f>
        <v>27.599999999999998</v>
      </c>
      <c r="BI249" s="106">
        <f t="shared" si="144"/>
        <v>27.599999999999998</v>
      </c>
      <c r="BJ249" s="104">
        <f>('Renewable Diesel'!W258*'RD Feedstock Breakdown'!BJ$3*'Feedstock Conversion Rates'!B$4)/12</f>
        <v>7.5</v>
      </c>
      <c r="BK249" s="104">
        <f>('Renewable Diesel'!W258*'RD Feedstock Breakdown'!BK$3*'Feedstock Conversion Rates'!B$3)/12</f>
        <v>1.335</v>
      </c>
      <c r="BL249" s="104">
        <f>('Renewable Diesel'!W258*'RD Feedstock Breakdown'!BL$3*'Feedstock Conversion Rates'!B$6)/12</f>
        <v>3.1266666666666669</v>
      </c>
      <c r="BM249" s="104">
        <f>('Renewable Diesel'!W258*'RD Feedstock Breakdown'!BM$3*'Feedstock Conversion Rates'!B$7)/12</f>
        <v>1.5333333333333332</v>
      </c>
      <c r="BN249" s="106">
        <f t="shared" si="209"/>
        <v>13.495000000000001</v>
      </c>
      <c r="BO249" s="104">
        <f>('Renewable Diesel'!P258*'Feedstock Conversion Rates'!B$4)/12</f>
        <v>31.25</v>
      </c>
      <c r="BP249" s="106">
        <f t="shared" si="199"/>
        <v>31.25</v>
      </c>
      <c r="BQ249" s="104">
        <f>('Renewable Diesel'!$S258*'RD Feedstock Breakdown'!BQ$3*'Feedstock Conversion Rates'!B$4)/12+10</f>
        <v>38.125</v>
      </c>
      <c r="BR249" s="104">
        <f>('Renewable Diesel'!$S258*'RD Feedstock Breakdown'!BR$3*'Feedstock Conversion Rates'!B$7)/12-10</f>
        <v>1.5</v>
      </c>
      <c r="BS249" s="106">
        <f t="shared" si="222"/>
        <v>39.625</v>
      </c>
      <c r="BT249" s="106"/>
      <c r="BU249" s="104">
        <f>('Renewable Diesel'!Y258*'Feedstock Conversion Rates'!B$7)/12</f>
        <v>2.6833333333333331</v>
      </c>
      <c r="BV249" s="106">
        <f t="shared" si="191"/>
        <v>2.6833333333333331</v>
      </c>
      <c r="BW249" s="104">
        <f>('Renewable Diesel'!$Z258*'RD Feedstock Breakdown'!BW$3*'Feedstock Conversion Rates'!$B$4)/12</f>
        <v>71.875</v>
      </c>
      <c r="BX249" s="104">
        <f>('Renewable Diesel'!$Z258*'RD Feedstock Breakdown'!BX$3*'Feedstock Conversion Rates'!$B$5)/12</f>
        <v>7.2354166666666666</v>
      </c>
      <c r="BY249" s="104">
        <f>('Renewable Diesel'!$Z258*'RD Feedstock Breakdown'!BY$3*'Feedstock Conversion Rates'!$B$7)/12</f>
        <v>61.716666666666661</v>
      </c>
      <c r="BZ249" s="104">
        <f>('Renewable Diesel'!$Z258*'RD Feedstock Breakdown'!BZ$3*'Feedstock Conversion Rates'!$B$3)/12</f>
        <v>15.352499999999999</v>
      </c>
      <c r="CA249" s="106">
        <f t="shared" si="228"/>
        <v>156.17958333333331</v>
      </c>
      <c r="CB249" s="104">
        <f>('Renewable Diesel'!AA258*'Feedstock Conversion Rates'!B$4)/12</f>
        <v>191.25</v>
      </c>
      <c r="CC249" s="106">
        <f t="shared" si="213"/>
        <v>191.25</v>
      </c>
      <c r="CD249" s="104">
        <f>('Renewable Diesel'!$AB258*'RD Feedstock Breakdown'!CD$3*'Feedstock Conversion Rates'!$B$6)/12-15</f>
        <v>17.830000000000005</v>
      </c>
      <c r="CE249" s="104">
        <f>('Renewable Diesel'!$AB258*'RD Feedstock Breakdown'!CE$3*'Feedstock Conversion Rates'!$B$4)/12+15</f>
        <v>26.25</v>
      </c>
      <c r="CF249" s="106">
        <f t="shared" si="205"/>
        <v>44.080000000000005</v>
      </c>
      <c r="CG249" s="104">
        <f>('Renewable Diesel'!AD258*'Feedstock Conversion Rates'!B$4)/12</f>
        <v>112.5</v>
      </c>
      <c r="CH249" s="106">
        <f t="shared" si="187"/>
        <v>112.5</v>
      </c>
      <c r="CI249" s="104">
        <f>('Renewable Diesel'!$AE258*'RD Feedstock Breakdown'!CI$3*'Feedstock Conversion Rates'!$B$5)/12</f>
        <v>0.34604166666666664</v>
      </c>
      <c r="CJ249" s="104">
        <f>('Renewable Diesel'!$AE258*'RD Feedstock Breakdown'!CJ$3*'Feedstock Conversion Rates'!$B$4)/12</f>
        <v>0.34375</v>
      </c>
      <c r="CK249" s="106">
        <f t="shared" si="200"/>
        <v>0.68979166666666658</v>
      </c>
      <c r="CL249" s="104">
        <f>(((CL$3*'Renewable Diesel'!$AF258)*'Feedstock Conversion Rates'!$B$3)/12)-25</f>
        <v>66.78125</v>
      </c>
      <c r="CM249" s="104">
        <f>(((CM$3*'Renewable Diesel'!$AF258)*'Feedstock Conversion Rates'!$B$6)/12)+25</f>
        <v>78.739583333333343</v>
      </c>
      <c r="CN249" s="104">
        <f>(((CN$3*'Renewable Diesel'!$AF258)*'Feedstock Conversion Rates'!$B$4)/12)</f>
        <v>42.96875</v>
      </c>
      <c r="CO249" s="106">
        <f t="shared" si="190"/>
        <v>188.48958333333334</v>
      </c>
      <c r="CP249" s="104">
        <f>('Renewable Diesel'!$AG258*'RD Feedstock Breakdown'!CP$3*'Feedstock Conversion Rates'!$B$3)/12</f>
        <v>6.0075000000000003</v>
      </c>
      <c r="CQ249" s="104">
        <f>('Renewable Diesel'!$AG258*'RD Feedstock Breakdown'!CQ$3*'Feedstock Conversion Rates'!$B$6)/12</f>
        <v>3.5175000000000001</v>
      </c>
      <c r="CR249" s="104">
        <f>('Renewable Diesel'!$AG258*'RD Feedstock Breakdown'!CR$3*'Feedstock Conversion Rates'!$B$4)/12</f>
        <v>2.8125</v>
      </c>
      <c r="CS249" s="106">
        <f t="shared" si="231"/>
        <v>12.3375</v>
      </c>
      <c r="CT249" s="104">
        <f>('Renewable Diesel'!AI258*'Feedstock Conversion Rates'!$B$4*'RD Feedstock Breakdown'!$CT$3)/12</f>
        <v>29.375</v>
      </c>
      <c r="CU249" s="106">
        <f t="shared" si="196"/>
        <v>29.375</v>
      </c>
      <c r="CV249" s="104">
        <f>('Renewable Diesel'!AN258*'Feedstock Conversion Rates'!$B$3*'RD Feedstock Breakdown'!$CV$3)/12</f>
        <v>0.50062499999999999</v>
      </c>
      <c r="CW249" s="106">
        <f t="shared" si="161"/>
        <v>0.50062499999999999</v>
      </c>
      <c r="CX249" s="104">
        <f>('Renewable Diesel'!AO258*'RD Feedstock Breakdown'!$CX$3*'Feedstock Conversion Rates'!$B$3)/12</f>
        <v>6.3412499999999996</v>
      </c>
      <c r="CY249" s="104">
        <f>('Renewable Diesel'!AO258*'RD Feedstock Breakdown'!$CY$3*'Feedstock Conversion Rates'!$B$6)/12</f>
        <v>7.4258333333333342</v>
      </c>
      <c r="CZ249" s="106">
        <f t="shared" si="233"/>
        <v>13.767083333333334</v>
      </c>
      <c r="DA249" s="104">
        <f>('Renewable Diesel'!$AP258*'RD Feedstock Breakdown'!DA$3*'Feedstock Conversion Rates'!$B$3)/12</f>
        <v>6.3412499999999996</v>
      </c>
      <c r="DB249" s="104">
        <f>('Renewable Diesel'!$AP258*'RD Feedstock Breakdown'!DB$3*'Feedstock Conversion Rates'!$B$8)/12</f>
        <v>7.421875</v>
      </c>
      <c r="DC249" s="106">
        <f t="shared" si="165"/>
        <v>13.763124999999999</v>
      </c>
      <c r="DD249" s="104">
        <f>('Renewable Diesel'!AQ258*$DD$3*'Feedstock Conversion Rates'!$B$14)/12</f>
        <v>3.1041666666666665</v>
      </c>
      <c r="DE249" s="106">
        <f t="shared" si="166"/>
        <v>3.1041666666666665</v>
      </c>
      <c r="DF249" s="104">
        <f>('Renewable Diesel'!AR258*'Feedstock Conversion Rates'!$B$4*$DF$3)/12</f>
        <v>75</v>
      </c>
      <c r="DG249" s="106">
        <f t="shared" si="234"/>
        <v>75</v>
      </c>
      <c r="DH249" s="104">
        <f>('Renewable Diesel'!AS258*'Feedstock Conversion Rates'!$B$4*$DH$3)/12</f>
        <v>75</v>
      </c>
      <c r="DI249" s="106">
        <f t="shared" ref="DI249:DI312" si="240">DH249</f>
        <v>75</v>
      </c>
      <c r="DJ249" s="104">
        <f>('Renewable Diesel'!AT258*'Feedstock Conversion Rates'!$B$4*0.25)/12</f>
        <v>8.59375</v>
      </c>
      <c r="DK249" s="104">
        <f>('Renewable Diesel'!$AT258*'RD Feedstock Breakdown'!DK$3*'Feedstock Conversion Rates'!$B$3)/12*0.5</f>
        <v>9.1781249999999996</v>
      </c>
      <c r="DL249" s="104">
        <f>('Renewable Diesel'!$AT258*'RD Feedstock Breakdown'!$DL$3*'Feedstock Conversion Rates'!$B$6)/12</f>
        <v>10.747916666666669</v>
      </c>
      <c r="DM249" s="104">
        <f>('Renewable Diesel'!$AT258*'RD Feedstock Breakdown'!$DM$3*'Feedstock Conversion Rates'!$B$8)/12</f>
        <v>10.7421875</v>
      </c>
      <c r="DN249" s="106">
        <f t="shared" si="210"/>
        <v>39.26197916666667</v>
      </c>
      <c r="DP249" s="104">
        <f t="shared" si="168"/>
        <v>77.470249999999993</v>
      </c>
      <c r="DQ249" s="104">
        <f t="shared" si="169"/>
        <v>912.11776750000001</v>
      </c>
      <c r="DR249" s="104">
        <f t="shared" si="174"/>
        <v>1650.703125</v>
      </c>
      <c r="DS249" s="104">
        <f t="shared" si="197"/>
        <v>63.401250000000005</v>
      </c>
      <c r="DT249" s="104">
        <f t="shared" si="170"/>
        <v>278.03923333333341</v>
      </c>
      <c r="DU249" s="104">
        <f t="shared" si="171"/>
        <v>254.65610000000001</v>
      </c>
      <c r="DV249" s="104">
        <f t="shared" si="175"/>
        <v>25.75</v>
      </c>
      <c r="DW249" s="104">
        <f t="shared" si="172"/>
        <v>2.5</v>
      </c>
      <c r="DX249" s="106">
        <f t="shared" si="176"/>
        <v>3264.6377258333337</v>
      </c>
      <c r="DY249" s="109">
        <f t="shared" si="163"/>
        <v>-135.00000000000048</v>
      </c>
      <c r="EA249" s="110">
        <f t="shared" si="218"/>
        <v>2.3730121534457513E-2</v>
      </c>
      <c r="EB249" s="110">
        <f t="shared" si="219"/>
        <v>0.27939325710854246</v>
      </c>
      <c r="EC249" s="110">
        <f t="shared" si="220"/>
        <v>0.50563133297696616</v>
      </c>
      <c r="ED249" s="110">
        <f t="shared" si="146"/>
        <v>1.9420608142306558E-2</v>
      </c>
      <c r="EE249" s="110">
        <f t="shared" si="146"/>
        <v>8.5166948581518617E-2</v>
      </c>
      <c r="EF249" s="110">
        <f t="shared" si="146"/>
        <v>7.8004397849380458E-2</v>
      </c>
      <c r="EG249" s="110">
        <f t="shared" si="146"/>
        <v>7.8875520540114558E-3</v>
      </c>
      <c r="EH249" s="111">
        <f t="shared" si="177"/>
        <v>7.6578175281664625E-4</v>
      </c>
      <c r="EI249" s="110">
        <f t="shared" si="236"/>
        <v>0.99923421824718328</v>
      </c>
      <c r="EK249" s="132">
        <f>(EA249*'Renewable Diesel'!BF258*'Feedstock Conversion Rates'!B$2)+FB249</f>
        <v>132.91017174597533</v>
      </c>
      <c r="EL249" s="132">
        <f>(EB249*'Renewable Diesel'!BF258*'Feedstock Conversion Rates'!B$3)+FC249</f>
        <v>1474.6459680278094</v>
      </c>
      <c r="EM249" s="132">
        <f>(EC249*'Renewable Diesel'!BF258*'Feedstock Conversion Rates'!B$4)+FD249</f>
        <v>2498.8176961900353</v>
      </c>
      <c r="EN249" s="132">
        <f>(ED249*'Renewable Diesel'!BF258*'Feedstock Conversion Rates'!B$5)+FE249</f>
        <v>96.616012179843409</v>
      </c>
      <c r="EO249" s="132">
        <f>(EE249*'Renewable Diesel'!BF258*'Feedstock Conversion Rates'!B$6)+FF249</f>
        <v>526.39681964711076</v>
      </c>
      <c r="EP249" s="132">
        <f>(EF249*'Renewable Diesel'!BF258*'Feedstock Conversion Rates'!B$7)+FG249</f>
        <v>472.87488321513098</v>
      </c>
      <c r="EQ249" s="132">
        <f>(EG249*'Renewable Diesel'!BF258*'Feedstock Conversion Rates'!B$8)+FH249</f>
        <v>48.725111970765035</v>
      </c>
      <c r="ER249" s="132">
        <f>(EH249*'Renewable Diesel'!BF258*'Feedstock Conversion Rates'!B$9)+FI249</f>
        <v>4.6675188166169743</v>
      </c>
      <c r="ES249" s="132">
        <f t="shared" si="179"/>
        <v>5255.6541817932875</v>
      </c>
      <c r="ET249" s="133">
        <f>ES249/'Renewable Diesel'!BF258</f>
        <v>9.5353135830596347</v>
      </c>
      <c r="EW249" s="73">
        <f t="shared" si="223"/>
        <v>3019.8544820614502</v>
      </c>
      <c r="EX249" s="73">
        <f t="shared" si="224"/>
        <v>3095.2355646890792</v>
      </c>
      <c r="EY249" s="92">
        <f t="shared" si="164"/>
        <v>0.57459154990122319</v>
      </c>
      <c r="EZ249" s="92">
        <f t="shared" si="164"/>
        <v>0.58893440428627108</v>
      </c>
      <c r="FB249" s="102">
        <f>IF('Renewable Diesel'!$BG258&lt;1,0,(((('Renewable Diesel'!$BG258-1)*'Renewable Diesel'!$BF258)*'RD Feedstock Breakdown'!EA249)*'Feedstock Conversion Rates'!$B$2))</f>
        <v>21.734262655984377</v>
      </c>
      <c r="FC249" s="102">
        <f>IF('Renewable Diesel'!$BG258&lt;1,0,(((('Renewable Diesel'!$BG258-1)*'Renewable Diesel'!$BF258)*'RD Feedstock Breakdown'!EB249)*'Feedstock Conversion Rates'!$B$3))</f>
        <v>241.14288901048894</v>
      </c>
      <c r="FD249" s="102">
        <f>IF('Renewable Diesel'!$BG258&lt;1,0,(((('Renewable Diesel'!$BG258-1)*'Renewable Diesel'!$BF258)*'RD Feedstock Breakdown'!EC249)*'Feedstock Conversion Rates'!$B$4))</f>
        <v>408.62154811007196</v>
      </c>
      <c r="FE249" s="102">
        <f>IF('Renewable Diesel'!$BG258&lt;1,0,(((('Renewable Diesel'!$BG258-1)*'Renewable Diesel'!$BF258)*'RD Feedstock Breakdown'!ED249)*'Feedstock Conversion Rates'!$B$5))</f>
        <v>15.799225581499478</v>
      </c>
      <c r="FF249" s="102">
        <f>IF('Renewable Diesel'!$BG258&lt;1,0,(((('Renewable Diesel'!$BG258-1)*'Renewable Diesel'!$BF258)*'RD Feedstock Breakdown'!EE249)*'Feedstock Conversion Rates'!$B$6))</f>
        <v>86.07954221405619</v>
      </c>
      <c r="FG249" s="102">
        <f>IF('Renewable Diesel'!$BG258&lt;1,0,(((('Renewable Diesel'!$BG258-1)*'Renewable Diesel'!$BF258)*'RD Feedstock Breakdown'!EF249)*'Feedstock Conversion Rates'!$B$7))</f>
        <v>77.327316489054283</v>
      </c>
      <c r="FH249" s="102">
        <f>IF('Renewable Diesel'!$BG258&lt;1,0,(((('Renewable Diesel'!$BG258-1)*'Renewable Diesel'!$BF258)*'RD Feedstock Breakdown'!EG249)*'Feedstock Conversion Rates'!$B$8))</f>
        <v>7.9678204279118585</v>
      </c>
      <c r="FI249" s="102">
        <f>IF('Renewable Diesel'!$BG258&lt;1,0,(((('Renewable Diesel'!$BG258-1)*'Renewable Diesel'!$BF258)*'RD Feedstock Breakdown'!EH249)*'Feedstock Conversion Rates'!$B$9))</f>
        <v>0.76326046817537552</v>
      </c>
      <c r="FJ249" s="102">
        <f t="shared" si="225"/>
        <v>859.43586495724253</v>
      </c>
      <c r="GD249" s="91">
        <f>'Renewable Diesel'!BB258*0.32</f>
        <v>0</v>
      </c>
      <c r="GE249" s="91">
        <f>'Renewable Diesel'!BC258</f>
        <v>283.28184634963793</v>
      </c>
      <c r="GF249" s="91">
        <f>'Renewable Diesel'!BD258</f>
        <v>0</v>
      </c>
      <c r="GG249" s="91">
        <f t="shared" si="206"/>
        <v>283.28184634963793</v>
      </c>
      <c r="GH249" s="124">
        <v>1</v>
      </c>
      <c r="GI249" s="102">
        <f>$GG249*EA249*'Feedstock Conversion Rates'!$B$2</f>
        <v>57.139657460250639</v>
      </c>
      <c r="GJ249" s="102">
        <f>$GG249*EB249*'Feedstock Conversion Rates'!$B$3</f>
        <v>633.96777222808953</v>
      </c>
      <c r="GK249" s="102">
        <f>$GG249*EC249*'Feedstock Conversion Rates'!$B$4</f>
        <v>1074.2713318345766</v>
      </c>
      <c r="GL249" s="102">
        <f>$GG249*ED249*'Feedstock Conversion Rates'!$B$5</f>
        <v>41.536368274979871</v>
      </c>
      <c r="GM249" s="102">
        <f>$GG249*EE249*'Feedstock Conversion Rates'!$B$6</f>
        <v>226.30422914724761</v>
      </c>
      <c r="GN249" s="102">
        <f>$GG249*EF249*'Feedstock Conversion Rates'!$B$7</f>
        <v>203.29451458471081</v>
      </c>
      <c r="GO249" s="102">
        <f>$GG249*EG249*'Feedstock Conversion Rates'!$B$8</f>
        <v>20.947502897242916</v>
      </c>
      <c r="GP249" s="102">
        <f>$GG249*EH249*'Feedstock Conversion Rates'!B$9</f>
        <v>2.0066216367585445</v>
      </c>
      <c r="GQ249" s="102">
        <f t="shared" si="180"/>
        <v>2259.4679980638562</v>
      </c>
      <c r="GR249" s="85">
        <f t="shared" si="204"/>
        <v>7.9760423309128292</v>
      </c>
      <c r="GT249" s="103">
        <f t="shared" si="159"/>
        <v>2.528898727895847E-2</v>
      </c>
      <c r="GU249" s="103">
        <f t="shared" si="159"/>
        <v>0.28058276230127532</v>
      </c>
      <c r="GV249" s="103">
        <f t="shared" si="159"/>
        <v>0.47545321852538841</v>
      </c>
      <c r="GW249" s="103">
        <f t="shared" si="159"/>
        <v>1.8383251416073373E-2</v>
      </c>
      <c r="GX249" s="103">
        <f t="shared" si="158"/>
        <v>0.10015819181381115</v>
      </c>
      <c r="GY249" s="103">
        <f t="shared" si="158"/>
        <v>8.9974504953783091E-2</v>
      </c>
      <c r="GZ249" s="103">
        <f t="shared" si="158"/>
        <v>9.270988974038526E-3</v>
      </c>
      <c r="HA249" s="103">
        <f t="shared" si="158"/>
        <v>8.8809473667165171E-4</v>
      </c>
    </row>
    <row r="250" spans="1:209" x14ac:dyDescent="0.25">
      <c r="A250" s="96">
        <v>48030</v>
      </c>
      <c r="B250" s="104">
        <f t="shared" si="237"/>
        <v>5</v>
      </c>
      <c r="C250" s="104">
        <f t="shared" si="147"/>
        <v>0</v>
      </c>
      <c r="D250" s="104">
        <f t="shared" si="192"/>
        <v>1.5</v>
      </c>
      <c r="E250" s="104">
        <f>('Renewable Diesel'!B259*E$3*'Feedstock Conversion Rates'!$B$2)/12-40+1.25+6-43+30-15+12.5-4+1.5+26+2.5+3-10+50+9-15-25-55+15+45+10-50+60-60+25</f>
        <v>69.679999999999993</v>
      </c>
      <c r="F250" s="104">
        <f>('Renewable Diesel'!B259*'RD Feedstock Breakdown'!F$3*'Feedstock Conversion Rates'!B$8)/12+28.5-49-5+2-6+1+6+20-20-3.75+10+2.5+5-20-20</f>
        <v>5.15625</v>
      </c>
      <c r="G250" s="104">
        <f>('Renewable Diesel'!B259*'RD Feedstock Breakdown'!G$3*'Feedstock Conversion Rates'!B$7)/12-25-15-25+4+4-20-40-20+10-17.5+20+50-12+32.5+35-75-75+22.5+5-20+15+125-10-45-10-40-40</f>
        <v>9.6570000000000107</v>
      </c>
      <c r="H250" s="104">
        <f>('Renewable Diesel'!B259*'RD Feedstock Breakdown'!H$3*'Feedstock Conversion Rates'!B$3)/12-85+4-15+70-65-80+50-22.5-5+25+27.5+15+50+15-10+5+50+75-5-25-85-12.5+30+22.5-25-30+150+90-120+25+10+70+30+40-40</f>
        <v>405.40022499999998</v>
      </c>
      <c r="I250" s="106">
        <f t="shared" si="203"/>
        <v>496.39347499999997</v>
      </c>
      <c r="J250" s="104">
        <f t="shared" si="238"/>
        <v>7.5</v>
      </c>
      <c r="K250" s="104"/>
      <c r="L250" s="104">
        <v>1</v>
      </c>
      <c r="M250" s="104">
        <f>('Renewable Diesel'!C259*'RD Feedstock Breakdown'!M$3*'Feedstock Conversion Rates'!B$2)/12</f>
        <v>7.7902500000000003</v>
      </c>
      <c r="N250" s="104">
        <f>('Renewable Diesel'!C259*'RD Feedstock Breakdown'!N$3*'Feedstock Conversion Rates'!B$8)/12</f>
        <v>3.671875</v>
      </c>
      <c r="O250" s="104">
        <f>('Renewable Diesel'!C259*'RD Feedstock Breakdown'!O$3*'Feedstock Conversion Rates'!B$7)/12</f>
        <v>11.9991</v>
      </c>
      <c r="P250" s="104">
        <f>('Renewable Diesel'!C259*'RD Feedstock Breakdown'!P$3*'Feedstock Conversion Rates'!B$3)/12</f>
        <v>10.4470425</v>
      </c>
      <c r="Q250" s="106">
        <f t="shared" si="216"/>
        <v>42.408267500000001</v>
      </c>
      <c r="R250" s="104">
        <f>('Renewable Diesel'!D259*'RD Feedstock Breakdown'!R$3*'Feedstock Conversion Rates'!B$7)/12</f>
        <v>2.2999999999999998</v>
      </c>
      <c r="S250" s="106">
        <f t="shared" si="148"/>
        <v>2.2999999999999998</v>
      </c>
      <c r="T250" s="104">
        <f t="shared" si="221"/>
        <v>0.82500000000000284</v>
      </c>
      <c r="U250" s="104">
        <v>30</v>
      </c>
      <c r="V250" s="104">
        <f>('Renewable Diesel'!E259*'RD Feedstock Breakdown'!V$3*'Feedstock Conversion Rates'!B$6)/12-20+25-35+15</f>
        <v>29.250150000000012</v>
      </c>
      <c r="W250" s="104">
        <f>('Renewable Diesel'!E259*'RD Feedstock Breakdown'!W$3*'Feedstock Conversion Rates'!B$8)/12-6-10</f>
        <v>6.1796875</v>
      </c>
      <c r="X250" s="106">
        <f t="shared" si="185"/>
        <v>66.254837500000008</v>
      </c>
      <c r="Y250" s="104">
        <f t="shared" si="232"/>
        <v>141.5</v>
      </c>
      <c r="Z250" s="104">
        <f>('Renewable Diesel'!F259*'RD Feedstock Breakdown'!Z$3*'Feedstock Conversion Rates'!B$6)/12-50-32-60+15+15+47.5-72.5+70-27.5-5</f>
        <v>59.960000000000008</v>
      </c>
      <c r="AA250" s="104">
        <f>('Renewable Diesel'!F259*'RD Feedstock Breakdown'!AA$3*'Feedstock Conversion Rates'!B$7)/12+80-171+75+30-55-1</f>
        <v>62.266666666666652</v>
      </c>
      <c r="AB250" s="106">
        <f t="shared" si="235"/>
        <v>263.72666666666669</v>
      </c>
      <c r="AC250" s="104">
        <f>('Renewable Diesel'!G259*'RD Feedstock Breakdown'!AC$3*'Feedstock Conversion Rates'!B$5)/12</f>
        <v>11.796875</v>
      </c>
      <c r="AD250" s="104">
        <f>('Renewable Diesel'!G259*'RD Feedstock Breakdown'!AD$3*'Feedstock Conversion Rates'!B$4)/12</f>
        <v>5.859375</v>
      </c>
      <c r="AE250" s="104">
        <f>('Renewable Diesel'!G259*'RD Feedstock Breakdown'!AE$3*'Feedstock Conversion Rates'!B$6)/12</f>
        <v>7.3281250000000009</v>
      </c>
      <c r="AF250" s="106">
        <f t="shared" si="198"/>
        <v>24.984375</v>
      </c>
      <c r="AG250" s="104">
        <f t="shared" si="230"/>
        <v>6.5</v>
      </c>
      <c r="AH250" s="104">
        <v>135</v>
      </c>
      <c r="AI250" s="104">
        <f>('Renewable Diesel'!H259*'RD Feedstock Breakdown'!AI$3*'Feedstock Conversion Rates'!B$6)/12-130-20+51-120+105-40+25-10-2.5</f>
        <v>7.0166666666666799</v>
      </c>
      <c r="AJ250" s="106">
        <f t="shared" si="145"/>
        <v>13.51666666666668</v>
      </c>
      <c r="AK250" s="104">
        <f>('Renewable Diesel'!J259*'RD Feedstock Breakdown'!AK$3*'Feedstock Conversion Rates'!B$4)/12</f>
        <v>95.8125</v>
      </c>
      <c r="AL250" s="106">
        <f t="shared" si="157"/>
        <v>95.8125</v>
      </c>
      <c r="AM250" s="104">
        <f>('Renewable Diesel'!K259*'RD Feedstock Breakdown'!AM$3*'Feedstock Conversion Rates'!B$4)/12+5+15-10+2.5+7-35</f>
        <v>43.09375</v>
      </c>
      <c r="AN250" s="104">
        <f>('Renewable Diesel'!K259*'RD Feedstock Breakdown'!AN$3*'Feedstock Conversion Rates'!B$6)/12-5-15+10-2.5-7+35</f>
        <v>39.927083333333329</v>
      </c>
      <c r="AO250" s="106">
        <f t="shared" si="173"/>
        <v>83.020833333333329</v>
      </c>
      <c r="AP250" s="104">
        <f>('Renewable Diesel'!L259*'RD Feedstock Breakdown'!AP$3*'Feedstock Conversion Rates'!B$4)/12+15-10+5+2.5+7</f>
        <v>78.09375</v>
      </c>
      <c r="AQ250" s="104">
        <f>('Renewable Diesel'!L259*'RD Feedstock Breakdown'!AQ$3*'Feedstock Conversion Rates'!B$6)/12-15+10-5-2.5-7</f>
        <v>4.9270833333333321</v>
      </c>
      <c r="AR250" s="106">
        <f t="shared" si="162"/>
        <v>83.020833333333329</v>
      </c>
      <c r="AS250" s="104">
        <f>('Renewable Diesel'!M259*'RD Feedstock Breakdown'!AS$3*'Feedstock Conversion Rates'!B$4)/12-25</f>
        <v>431.25</v>
      </c>
      <c r="AT250" s="104">
        <f>('Renewable Diesel'!M259*'RD Feedstock Breakdown'!AT$3*'Feedstock Conversion Rates'!B$5)/12+25</f>
        <v>25</v>
      </c>
      <c r="AU250" s="106">
        <f t="shared" si="201"/>
        <v>456.25</v>
      </c>
      <c r="AV250" s="104">
        <f>'Renewable Diesel'!N259*'RD Feedstock Breakdown'!$AV$3*'Feedstock Conversion Rates'!$B$4/12-15-10+25+25-22+15-50</f>
        <v>46.749999999999986</v>
      </c>
      <c r="AW250" s="104">
        <f>'Renewable Diesel'!N259*'RD Feedstock Breakdown'!$AW$3*'Feedstock Conversion Rates'!$B$7/12+15+10-25-25+22-15+50</f>
        <v>73.400000000000006</v>
      </c>
      <c r="AX250" s="106">
        <f t="shared" si="239"/>
        <v>120.14999999999999</v>
      </c>
      <c r="AY250" s="104">
        <f>('Renewable Diesel'!O259*'RD Feedstock Breakdown'!AY$3*'Feedstock Conversion Rates'!B$4)/12+32+2-125-25-25-207</f>
        <v>-137.0625</v>
      </c>
      <c r="AZ250" s="104">
        <f>('Renewable Diesel'!O259*'RD Feedstock Breakdown'!AZ$3*'Feedstock Conversion Rates'!B$3)/12-32-2+125+25+25+207</f>
        <v>373.03125</v>
      </c>
      <c r="BA250" s="106">
        <f t="shared" si="217"/>
        <v>235.96875</v>
      </c>
      <c r="BB250" s="104">
        <f>('Renewable Diesel'!Q259*'RD Feedstock Breakdown'!BB$3*'Feedstock Conversion Rates'!B$4)/12-10</f>
        <v>1.1562499999999982</v>
      </c>
      <c r="BC250" s="104">
        <f>('Renewable Diesel'!Q259*'RD Feedstock Breakdown'!BC$3*'Feedstock Conversion Rates'!B$3)/12+10</f>
        <v>11.40175</v>
      </c>
      <c r="BD250" s="104">
        <f>('Renewable Diesel'!Q259*'RD Feedstock Breakdown'!BD$3*'Feedstock Conversion Rates'!B$6)/12</f>
        <v>0.8207500000000002</v>
      </c>
      <c r="BE250" s="106">
        <f t="shared" si="189"/>
        <v>13.378749999999998</v>
      </c>
      <c r="BF250" s="104">
        <f>('Renewable Diesel'!R259*'RD Feedstock Breakdown'!BF$3*'Feedstock Conversion Rates'!B$4)/12</f>
        <v>62.5</v>
      </c>
      <c r="BG250" s="106">
        <f t="shared" si="167"/>
        <v>62.5</v>
      </c>
      <c r="BH250" s="104">
        <f>('Renewable Diesel'!T259*'RD Feedstock Breakdown'!BH$3*'Feedstock Conversion Rates'!B$7)/12</f>
        <v>27.599999999999998</v>
      </c>
      <c r="BI250" s="106">
        <f t="shared" si="144"/>
        <v>27.599999999999998</v>
      </c>
      <c r="BJ250" s="104">
        <f>('Renewable Diesel'!W259*'RD Feedstock Breakdown'!BJ$3*'Feedstock Conversion Rates'!B$4)/12</f>
        <v>7.5</v>
      </c>
      <c r="BK250" s="104">
        <f>('Renewable Diesel'!W259*'RD Feedstock Breakdown'!BK$3*'Feedstock Conversion Rates'!B$3)/12</f>
        <v>1.335</v>
      </c>
      <c r="BL250" s="104">
        <f>('Renewable Diesel'!W259*'RD Feedstock Breakdown'!BL$3*'Feedstock Conversion Rates'!B$6)/12</f>
        <v>3.1266666666666669</v>
      </c>
      <c r="BM250" s="104">
        <f>('Renewable Diesel'!W259*'RD Feedstock Breakdown'!BM$3*'Feedstock Conversion Rates'!B$7)/12</f>
        <v>1.5333333333333332</v>
      </c>
      <c r="BN250" s="106">
        <f t="shared" si="209"/>
        <v>13.495000000000001</v>
      </c>
      <c r="BO250" s="104">
        <f>('Renewable Diesel'!P259*'Feedstock Conversion Rates'!B$4)/12</f>
        <v>31.25</v>
      </c>
      <c r="BP250" s="106">
        <f t="shared" si="199"/>
        <v>31.25</v>
      </c>
      <c r="BQ250" s="104">
        <f>('Renewable Diesel'!$S259*'RD Feedstock Breakdown'!BQ$3*'Feedstock Conversion Rates'!B$4)/12+10</f>
        <v>38.125</v>
      </c>
      <c r="BR250" s="104">
        <f>('Renewable Diesel'!$S259*'RD Feedstock Breakdown'!BR$3*'Feedstock Conversion Rates'!B$7)/12-10</f>
        <v>1.5</v>
      </c>
      <c r="BS250" s="106">
        <f t="shared" si="222"/>
        <v>39.625</v>
      </c>
      <c r="BT250" s="106"/>
      <c r="BU250" s="104">
        <f>('Renewable Diesel'!Y259*'Feedstock Conversion Rates'!B$7)/12</f>
        <v>2.6833333333333331</v>
      </c>
      <c r="BV250" s="106">
        <f t="shared" si="191"/>
        <v>2.6833333333333331</v>
      </c>
      <c r="BW250" s="104">
        <f>('Renewable Diesel'!$Z259*'RD Feedstock Breakdown'!BW$3*'Feedstock Conversion Rates'!$B$4)/12</f>
        <v>71.875</v>
      </c>
      <c r="BX250" s="104">
        <f>('Renewable Diesel'!$Z259*'RD Feedstock Breakdown'!BX$3*'Feedstock Conversion Rates'!$B$5)/12</f>
        <v>7.2354166666666666</v>
      </c>
      <c r="BY250" s="104">
        <f>('Renewable Diesel'!$Z259*'RD Feedstock Breakdown'!BY$3*'Feedstock Conversion Rates'!$B$7)/12</f>
        <v>61.716666666666661</v>
      </c>
      <c r="BZ250" s="104">
        <f>('Renewable Diesel'!$Z259*'RD Feedstock Breakdown'!BZ$3*'Feedstock Conversion Rates'!$B$3)/12</f>
        <v>15.352499999999999</v>
      </c>
      <c r="CA250" s="106">
        <f t="shared" si="228"/>
        <v>156.17958333333331</v>
      </c>
      <c r="CB250" s="104">
        <f>('Renewable Diesel'!AA259*'Feedstock Conversion Rates'!B$4)/12</f>
        <v>191.25</v>
      </c>
      <c r="CC250" s="106">
        <f t="shared" si="213"/>
        <v>191.25</v>
      </c>
      <c r="CD250" s="104">
        <f>('Renewable Diesel'!$AB259*'RD Feedstock Breakdown'!CD$3*'Feedstock Conversion Rates'!$B$6)/12-15</f>
        <v>17.830000000000005</v>
      </c>
      <c r="CE250" s="104">
        <f>('Renewable Diesel'!$AB259*'RD Feedstock Breakdown'!CE$3*'Feedstock Conversion Rates'!$B$4)/12+15</f>
        <v>26.25</v>
      </c>
      <c r="CF250" s="106">
        <f t="shared" si="205"/>
        <v>44.080000000000005</v>
      </c>
      <c r="CG250" s="104">
        <f>('Renewable Diesel'!AD259*'Feedstock Conversion Rates'!B$4)/12</f>
        <v>112.5</v>
      </c>
      <c r="CH250" s="106">
        <f t="shared" si="187"/>
        <v>112.5</v>
      </c>
      <c r="CI250" s="104">
        <f>('Renewable Diesel'!$AE259*'RD Feedstock Breakdown'!CI$3*'Feedstock Conversion Rates'!$B$5)/12</f>
        <v>0.34604166666666664</v>
      </c>
      <c r="CJ250" s="104">
        <f>('Renewable Diesel'!$AE259*'RD Feedstock Breakdown'!CJ$3*'Feedstock Conversion Rates'!$B$4)/12</f>
        <v>0.34375</v>
      </c>
      <c r="CK250" s="106">
        <f t="shared" si="200"/>
        <v>0.68979166666666658</v>
      </c>
      <c r="CL250" s="104">
        <f>(((CL$3*'Renewable Diesel'!$AF259)*'Feedstock Conversion Rates'!$B$3)/12)-25</f>
        <v>66.78125</v>
      </c>
      <c r="CM250" s="104">
        <f>(((CM$3*'Renewable Diesel'!$AF259)*'Feedstock Conversion Rates'!$B$6)/12)+25</f>
        <v>78.739583333333343</v>
      </c>
      <c r="CN250" s="104">
        <f>(((CN$3*'Renewable Diesel'!$AF259)*'Feedstock Conversion Rates'!$B$4)/12)</f>
        <v>42.96875</v>
      </c>
      <c r="CO250" s="106">
        <f t="shared" si="190"/>
        <v>188.48958333333334</v>
      </c>
      <c r="CP250" s="104">
        <f>('Renewable Diesel'!$AG259*'RD Feedstock Breakdown'!CP$3*'Feedstock Conversion Rates'!$B$3)/12</f>
        <v>6.0075000000000003</v>
      </c>
      <c r="CQ250" s="104">
        <f>('Renewable Diesel'!$AG259*'RD Feedstock Breakdown'!CQ$3*'Feedstock Conversion Rates'!$B$6)/12</f>
        <v>3.5175000000000001</v>
      </c>
      <c r="CR250" s="104">
        <f>('Renewable Diesel'!$AG259*'RD Feedstock Breakdown'!CR$3*'Feedstock Conversion Rates'!$B$4)/12</f>
        <v>2.8125</v>
      </c>
      <c r="CS250" s="106">
        <f t="shared" si="231"/>
        <v>12.3375</v>
      </c>
      <c r="CT250" s="104">
        <f>('Renewable Diesel'!AI259*'Feedstock Conversion Rates'!$B$4*'RD Feedstock Breakdown'!$CT$3)/12</f>
        <v>29.375</v>
      </c>
      <c r="CU250" s="106">
        <f t="shared" si="196"/>
        <v>29.375</v>
      </c>
      <c r="CV250" s="104">
        <f>('Renewable Diesel'!AN259*'Feedstock Conversion Rates'!$B$3*'RD Feedstock Breakdown'!$CV$3)/12</f>
        <v>0.50062499999999999</v>
      </c>
      <c r="CW250" s="106">
        <f t="shared" si="161"/>
        <v>0.50062499999999999</v>
      </c>
      <c r="CX250" s="104">
        <f>('Renewable Diesel'!AO259*'RD Feedstock Breakdown'!$CX$3*'Feedstock Conversion Rates'!$B$3)/12</f>
        <v>6.3412499999999996</v>
      </c>
      <c r="CY250" s="104">
        <f>('Renewable Diesel'!AO259*'RD Feedstock Breakdown'!$CY$3*'Feedstock Conversion Rates'!$B$6)/12</f>
        <v>7.4258333333333342</v>
      </c>
      <c r="CZ250" s="106">
        <f t="shared" si="233"/>
        <v>13.767083333333334</v>
      </c>
      <c r="DA250" s="104">
        <f>('Renewable Diesel'!$AP259*'RD Feedstock Breakdown'!DA$3*'Feedstock Conversion Rates'!$B$3)/12</f>
        <v>6.3412499999999996</v>
      </c>
      <c r="DB250" s="104">
        <f>('Renewable Diesel'!$AP259*'RD Feedstock Breakdown'!DB$3*'Feedstock Conversion Rates'!$B$8)/12</f>
        <v>7.421875</v>
      </c>
      <c r="DC250" s="106">
        <f t="shared" si="165"/>
        <v>13.763124999999999</v>
      </c>
      <c r="DD250" s="104">
        <f>('Renewable Diesel'!AQ259*$DD$3*'Feedstock Conversion Rates'!$B$14)/12</f>
        <v>3.1041666666666665</v>
      </c>
      <c r="DE250" s="106">
        <f t="shared" si="166"/>
        <v>3.1041666666666665</v>
      </c>
      <c r="DF250" s="104">
        <f>('Renewable Diesel'!AR259*'Feedstock Conversion Rates'!$B$4*$DF$3)/12</f>
        <v>75</v>
      </c>
      <c r="DG250" s="106">
        <f t="shared" si="234"/>
        <v>75</v>
      </c>
      <c r="DH250" s="104">
        <f>('Renewable Diesel'!AS259*'Feedstock Conversion Rates'!$B$4*$DH$3)/12</f>
        <v>75</v>
      </c>
      <c r="DI250" s="106">
        <f t="shared" si="240"/>
        <v>75</v>
      </c>
      <c r="DJ250" s="104">
        <f>('Renewable Diesel'!AT259*'Feedstock Conversion Rates'!$B$4*0.25)/12</f>
        <v>8.59375</v>
      </c>
      <c r="DK250" s="104">
        <f>('Renewable Diesel'!$AT259*'RD Feedstock Breakdown'!DK$3*'Feedstock Conversion Rates'!$B$3)/12*0.5</f>
        <v>9.1781249999999996</v>
      </c>
      <c r="DL250" s="104">
        <f>('Renewable Diesel'!$AT259*'RD Feedstock Breakdown'!$DL$3*'Feedstock Conversion Rates'!$B$6)/12</f>
        <v>10.747916666666669</v>
      </c>
      <c r="DM250" s="104">
        <f>('Renewable Diesel'!$AT259*'RD Feedstock Breakdown'!$DM$3*'Feedstock Conversion Rates'!$B$8)/12</f>
        <v>10.7421875</v>
      </c>
      <c r="DN250" s="106">
        <f t="shared" si="210"/>
        <v>39.26197916666667</v>
      </c>
      <c r="DP250" s="104">
        <f t="shared" si="168"/>
        <v>77.470249999999993</v>
      </c>
      <c r="DQ250" s="104">
        <f t="shared" si="169"/>
        <v>912.11776750000001</v>
      </c>
      <c r="DR250" s="104">
        <f t="shared" si="174"/>
        <v>1650.703125</v>
      </c>
      <c r="DS250" s="104">
        <f t="shared" si="197"/>
        <v>63.401250000000005</v>
      </c>
      <c r="DT250" s="104">
        <f t="shared" si="170"/>
        <v>278.03923333333341</v>
      </c>
      <c r="DU250" s="104">
        <f t="shared" si="171"/>
        <v>254.65610000000001</v>
      </c>
      <c r="DV250" s="104">
        <f t="shared" si="175"/>
        <v>25.75</v>
      </c>
      <c r="DW250" s="104">
        <f t="shared" si="172"/>
        <v>2.5</v>
      </c>
      <c r="DX250" s="106">
        <f t="shared" si="176"/>
        <v>3264.6377258333337</v>
      </c>
      <c r="DY250" s="109">
        <f t="shared" si="163"/>
        <v>-135.00000000000048</v>
      </c>
      <c r="EA250" s="110">
        <f t="shared" si="218"/>
        <v>2.3730121534457513E-2</v>
      </c>
      <c r="EB250" s="110">
        <f t="shared" si="219"/>
        <v>0.27939325710854246</v>
      </c>
      <c r="EC250" s="110">
        <f t="shared" si="220"/>
        <v>0.50563133297696616</v>
      </c>
      <c r="ED250" s="110">
        <f t="shared" ref="ED250:EG256" si="241">DS250/$DX250</f>
        <v>1.9420608142306558E-2</v>
      </c>
      <c r="EE250" s="110">
        <f t="shared" si="241"/>
        <v>8.5166948581518617E-2</v>
      </c>
      <c r="EF250" s="110">
        <f t="shared" si="241"/>
        <v>7.8004397849380458E-2</v>
      </c>
      <c r="EG250" s="110">
        <f t="shared" si="241"/>
        <v>7.8875520540114558E-3</v>
      </c>
      <c r="EH250" s="111">
        <f t="shared" si="177"/>
        <v>7.6578175281664625E-4</v>
      </c>
      <c r="EI250" s="110">
        <f t="shared" si="236"/>
        <v>0.99923421824718328</v>
      </c>
      <c r="EK250" s="132">
        <f>(EA250*'Renewable Diesel'!BF259*'Feedstock Conversion Rates'!B$2)+FB250</f>
        <v>147.22303627459783</v>
      </c>
      <c r="EL250" s="132">
        <f>(EB250*'Renewable Diesel'!BF259*'Feedstock Conversion Rates'!B$3)+FC250</f>
        <v>1633.4480197503904</v>
      </c>
      <c r="EM250" s="132">
        <f>(EC250*'Renewable Diesel'!BF259*'Feedstock Conversion Rates'!B$4)+FD250</f>
        <v>2767.9110146130138</v>
      </c>
      <c r="EN250" s="132">
        <f>(ED250*'Renewable Diesel'!BF259*'Feedstock Conversion Rates'!B$5)+FE250</f>
        <v>107.02042198129051</v>
      </c>
      <c r="EO250" s="132">
        <f>(EE250*'Renewable Diesel'!BF259*'Feedstock Conversion Rates'!B$6)+FF250</f>
        <v>583.08357483622206</v>
      </c>
      <c r="EP250" s="132">
        <f>(EF250*'Renewable Diesel'!BF259*'Feedstock Conversion Rates'!B$7)+FG250</f>
        <v>523.79795444087642</v>
      </c>
      <c r="EQ250" s="132">
        <f>(EG250*'Renewable Diesel'!BF259*'Feedstock Conversion Rates'!B$8)+FH250</f>
        <v>53.972234276139993</v>
      </c>
      <c r="ER250" s="132">
        <f>(EH250*'Renewable Diesel'!BF259*'Feedstock Conversion Rates'!B$9)+FI250</f>
        <v>5.1701557753195591</v>
      </c>
      <c r="ES250" s="132">
        <f t="shared" si="179"/>
        <v>5821.6264119478501</v>
      </c>
      <c r="ET250" s="133">
        <f>ES250/'Renewable Diesel'!BF259</f>
        <v>10.201498618976103</v>
      </c>
      <c r="EW250" s="73">
        <f t="shared" si="223"/>
        <v>3502.0975503472778</v>
      </c>
      <c r="EX250" s="73">
        <f t="shared" si="224"/>
        <v>3589.5163006151847</v>
      </c>
      <c r="EY250" s="92">
        <f t="shared" si="164"/>
        <v>0.6015668650877094</v>
      </c>
      <c r="EZ250" s="92">
        <f t="shared" si="164"/>
        <v>0.6165830726012137</v>
      </c>
      <c r="FB250" s="102">
        <f>IF('Renewable Diesel'!$BG259&lt;1,0,(((('Renewable Diesel'!$BG259-1)*'Renewable Diesel'!$BF259)*'RD Feedstock Breakdown'!EA250)*'Feedstock Conversion Rates'!$B$2))</f>
        <v>32.11669618967759</v>
      </c>
      <c r="FC250" s="102">
        <f>IF('Renewable Diesel'!$BG259&lt;1,0,(((('Renewable Diesel'!$BG259-1)*'Renewable Diesel'!$BF259)*'RD Feedstock Breakdown'!EB250)*'Feedstock Conversion Rates'!$B$3))</f>
        <v>356.33658372664252</v>
      </c>
      <c r="FD250" s="102">
        <f>IF('Renewable Diesel'!$BG259&lt;1,0,(((('Renewable Diesel'!$BG259-1)*'Renewable Diesel'!$BF259)*'RD Feedstock Breakdown'!EC250)*'Feedstock Conversion Rates'!$B$4))</f>
        <v>603.81961536631309</v>
      </c>
      <c r="FE250" s="102">
        <f>IF('Renewable Diesel'!$BG259&lt;1,0,(((('Renewable Diesel'!$BG259-1)*'Renewable Diesel'!$BF259)*'RD Feedstock Breakdown'!ED250)*'Feedstock Conversion Rates'!$B$5))</f>
        <v>23.34649838666078</v>
      </c>
      <c r="FF250" s="102">
        <f>IF('Renewable Diesel'!$BG259&lt;1,0,(((('Renewable Diesel'!$BG259-1)*'Renewable Diesel'!$BF259)*'RD Feedstock Breakdown'!EE250)*'Feedstock Conversion Rates'!$B$6))</f>
        <v>127.19964551795638</v>
      </c>
      <c r="FG250" s="102">
        <f>IF('Renewable Diesel'!$BG259&lt;1,0,(((('Renewable Diesel'!$BG259-1)*'Renewable Diesel'!$BF259)*'RD Feedstock Breakdown'!EF250)*'Feedstock Conversion Rates'!$B$7))</f>
        <v>114.26649112286258</v>
      </c>
      <c r="FH250" s="102">
        <f>IF('Renewable Diesel'!$BG259&lt;1,0,(((('Renewable Diesel'!$BG259-1)*'Renewable Diesel'!$BF259)*'RD Feedstock Breakdown'!EG250)*'Feedstock Conversion Rates'!$B$8))</f>
        <v>11.774039544271901</v>
      </c>
      <c r="FI250" s="102">
        <f>IF('Renewable Diesel'!$BG259&lt;1,0,(((('Renewable Diesel'!$BG259-1)*'Renewable Diesel'!$BF259)*'RD Feedstock Breakdown'!EH250)*'Feedstock Conversion Rates'!$B$9))</f>
        <v>1.1278691602279878</v>
      </c>
      <c r="FJ250" s="102">
        <f t="shared" si="225"/>
        <v>1269.9874390146128</v>
      </c>
      <c r="GD250" s="91">
        <f>'Renewable Diesel'!BB259*0.32</f>
        <v>0</v>
      </c>
      <c r="GE250" s="91">
        <f>'Renewable Diesel'!BC259</f>
        <v>308.27391513317133</v>
      </c>
      <c r="GF250" s="91">
        <f>'Renewable Diesel'!BD259</f>
        <v>0</v>
      </c>
      <c r="GG250" s="91">
        <f t="shared" si="206"/>
        <v>308.27391513317133</v>
      </c>
      <c r="GH250" s="124">
        <v>1</v>
      </c>
      <c r="GI250" s="102">
        <f>$GG250*EA250*'Feedstock Conversion Rates'!$B$2</f>
        <v>62.180708512112169</v>
      </c>
      <c r="GJ250" s="102">
        <f>$GG250*EB250*'Feedstock Conversion Rates'!$B$3</f>
        <v>689.89852237757964</v>
      </c>
      <c r="GK250" s="102">
        <f>$GG250*EC250*'Feedstock Conversion Rates'!$B$4</f>
        <v>1169.0471297311017</v>
      </c>
      <c r="GL250" s="102">
        <f>$GG250*ED250*'Feedstock Conversion Rates'!$B$5</f>
        <v>45.200845142534703</v>
      </c>
      <c r="GM250" s="102">
        <f>$GG250*EE250*'Feedstock Conversion Rates'!$B$6</f>
        <v>246.26954261061684</v>
      </c>
      <c r="GN250" s="102">
        <f>$GG250*EF250*'Feedstock Conversion Rates'!$B$7</f>
        <v>221.22983432823318</v>
      </c>
      <c r="GO250" s="102">
        <f>$GG250*EG250*'Feedstock Conversion Rates'!$B$8</f>
        <v>22.795561429751238</v>
      </c>
      <c r="GP250" s="102">
        <f>$GG250*EH250*'Feedstock Conversion Rates'!B$9</f>
        <v>2.1836524864745521</v>
      </c>
      <c r="GQ250" s="102">
        <f t="shared" si="180"/>
        <v>2458.8057966184037</v>
      </c>
      <c r="GR250" s="85">
        <f t="shared" si="204"/>
        <v>7.9760423309128301</v>
      </c>
      <c r="GT250" s="103">
        <f t="shared" si="159"/>
        <v>2.528898727895847E-2</v>
      </c>
      <c r="GU250" s="103">
        <f t="shared" si="159"/>
        <v>0.28058276230127538</v>
      </c>
      <c r="GV250" s="103">
        <f t="shared" si="159"/>
        <v>0.47545321852538835</v>
      </c>
      <c r="GW250" s="103">
        <f t="shared" si="159"/>
        <v>1.8383251416073377E-2</v>
      </c>
      <c r="GX250" s="103">
        <f t="shared" si="158"/>
        <v>0.10015819181381116</v>
      </c>
      <c r="GY250" s="103">
        <f t="shared" si="158"/>
        <v>8.9974504953783091E-2</v>
      </c>
      <c r="GZ250" s="103">
        <f t="shared" si="158"/>
        <v>9.270988974038526E-3</v>
      </c>
      <c r="HA250" s="103">
        <f t="shared" si="158"/>
        <v>8.880947366716516E-4</v>
      </c>
    </row>
    <row r="251" spans="1:209" x14ac:dyDescent="0.25">
      <c r="A251" s="96">
        <v>48061</v>
      </c>
      <c r="B251" s="104">
        <f t="shared" si="237"/>
        <v>5</v>
      </c>
      <c r="C251" s="104">
        <f t="shared" si="147"/>
        <v>0</v>
      </c>
      <c r="D251" s="104">
        <f t="shared" si="192"/>
        <v>1.5</v>
      </c>
      <c r="E251" s="104">
        <f>('Renewable Diesel'!B260*E$3*'Feedstock Conversion Rates'!$B$2)/12-40+1.25+6-43+30-15+12.5-4+1.5+26+2.5+3-10+50+9-15-25-55+15+45+10-50+60-60+25</f>
        <v>69.679999999999993</v>
      </c>
      <c r="F251" s="104">
        <f>('Renewable Diesel'!B260*'RD Feedstock Breakdown'!F$3*'Feedstock Conversion Rates'!B$8)/12+28.5-49-5+2-6+1+6+20-20-3.75+10+2.5+5-20-20</f>
        <v>5.15625</v>
      </c>
      <c r="G251" s="104">
        <f>('Renewable Diesel'!B260*'RD Feedstock Breakdown'!G$3*'Feedstock Conversion Rates'!B$7)/12-25-15-25+4+4-20-40-20+10-17.5+20+50-12+32.5+35-75-75+22.5+5-20+15+125-10-45-10-40-40</f>
        <v>9.6570000000000107</v>
      </c>
      <c r="H251" s="104">
        <f>('Renewable Diesel'!B260*'RD Feedstock Breakdown'!H$3*'Feedstock Conversion Rates'!B$3)/12-85+4-15+70-65-80+50-22.5-5+25+27.5+15+50+15-10+5+50+75-5-25-85-12.5+30+22.5-25-30+150+90-120+25+10+70+30+40-40</f>
        <v>405.40022499999998</v>
      </c>
      <c r="I251" s="106">
        <f t="shared" si="203"/>
        <v>496.39347499999997</v>
      </c>
      <c r="J251" s="104">
        <f t="shared" si="238"/>
        <v>7.5</v>
      </c>
      <c r="K251" s="104"/>
      <c r="L251" s="104">
        <v>1</v>
      </c>
      <c r="M251" s="104">
        <f>('Renewable Diesel'!C260*'RD Feedstock Breakdown'!M$3*'Feedstock Conversion Rates'!B$2)/12</f>
        <v>7.7902500000000003</v>
      </c>
      <c r="N251" s="104">
        <f>('Renewable Diesel'!C260*'RD Feedstock Breakdown'!N$3*'Feedstock Conversion Rates'!B$8)/12</f>
        <v>3.671875</v>
      </c>
      <c r="O251" s="104">
        <f>('Renewable Diesel'!C260*'RD Feedstock Breakdown'!O$3*'Feedstock Conversion Rates'!B$7)/12</f>
        <v>11.9991</v>
      </c>
      <c r="P251" s="104">
        <f>('Renewable Diesel'!C260*'RD Feedstock Breakdown'!P$3*'Feedstock Conversion Rates'!B$3)/12</f>
        <v>10.4470425</v>
      </c>
      <c r="Q251" s="106">
        <f t="shared" si="216"/>
        <v>42.408267500000001</v>
      </c>
      <c r="R251" s="104">
        <f>('Renewable Diesel'!D260*'RD Feedstock Breakdown'!R$3*'Feedstock Conversion Rates'!B$7)/12</f>
        <v>2.2999999999999998</v>
      </c>
      <c r="S251" s="106">
        <f t="shared" si="148"/>
        <v>2.2999999999999998</v>
      </c>
      <c r="T251" s="104">
        <f t="shared" si="221"/>
        <v>0.82500000000000284</v>
      </c>
      <c r="U251" s="104">
        <v>30</v>
      </c>
      <c r="V251" s="104">
        <f>('Renewable Diesel'!E260*'RD Feedstock Breakdown'!V$3*'Feedstock Conversion Rates'!B$6)/12-20+25-35+15</f>
        <v>29.250150000000012</v>
      </c>
      <c r="W251" s="104">
        <f>('Renewable Diesel'!E260*'RD Feedstock Breakdown'!W$3*'Feedstock Conversion Rates'!B$8)/12-6-10</f>
        <v>6.1796875</v>
      </c>
      <c r="X251" s="106">
        <f t="shared" si="185"/>
        <v>66.254837500000008</v>
      </c>
      <c r="Y251" s="104">
        <f t="shared" si="232"/>
        <v>141.5</v>
      </c>
      <c r="Z251" s="104">
        <f>('Renewable Diesel'!F260*'RD Feedstock Breakdown'!Z$3*'Feedstock Conversion Rates'!B$6)/12-50-32-60+15+15+47.5-72.5+70-27.5-5</f>
        <v>59.960000000000008</v>
      </c>
      <c r="AA251" s="104">
        <f>('Renewable Diesel'!F260*'RD Feedstock Breakdown'!AA$3*'Feedstock Conversion Rates'!B$7)/12+80-171+75+30-55-1</f>
        <v>62.266666666666652</v>
      </c>
      <c r="AB251" s="106">
        <f t="shared" si="235"/>
        <v>263.72666666666669</v>
      </c>
      <c r="AC251" s="104">
        <f>('Renewable Diesel'!G260*'RD Feedstock Breakdown'!AC$3*'Feedstock Conversion Rates'!B$5)/12</f>
        <v>11.796875</v>
      </c>
      <c r="AD251" s="104">
        <f>('Renewable Diesel'!G260*'RD Feedstock Breakdown'!AD$3*'Feedstock Conversion Rates'!B$4)/12</f>
        <v>5.859375</v>
      </c>
      <c r="AE251" s="104">
        <f>('Renewable Diesel'!G260*'RD Feedstock Breakdown'!AE$3*'Feedstock Conversion Rates'!B$6)/12</f>
        <v>7.3281250000000009</v>
      </c>
      <c r="AF251" s="106">
        <f t="shared" si="198"/>
        <v>24.984375</v>
      </c>
      <c r="AG251" s="104">
        <f t="shared" si="230"/>
        <v>6.5</v>
      </c>
      <c r="AH251" s="104">
        <v>135</v>
      </c>
      <c r="AI251" s="104">
        <f>('Renewable Diesel'!H260*'RD Feedstock Breakdown'!AI$3*'Feedstock Conversion Rates'!B$6)/12-130-20+51-120+105-40+25-10-2.5</f>
        <v>7.0166666666666799</v>
      </c>
      <c r="AJ251" s="106">
        <f t="shared" si="145"/>
        <v>13.51666666666668</v>
      </c>
      <c r="AK251" s="104">
        <f>('Renewable Diesel'!J260*'RD Feedstock Breakdown'!AK$3*'Feedstock Conversion Rates'!B$4)/12</f>
        <v>95.8125</v>
      </c>
      <c r="AL251" s="106">
        <f t="shared" si="157"/>
        <v>95.8125</v>
      </c>
      <c r="AM251" s="104">
        <f>('Renewable Diesel'!K260*'RD Feedstock Breakdown'!AM$3*'Feedstock Conversion Rates'!B$4)/12+5+15-10+2.5+7-35</f>
        <v>43.09375</v>
      </c>
      <c r="AN251" s="104">
        <f>('Renewable Diesel'!K260*'RD Feedstock Breakdown'!AN$3*'Feedstock Conversion Rates'!B$6)/12-5-15+10-2.5-7+35</f>
        <v>39.927083333333329</v>
      </c>
      <c r="AO251" s="106">
        <f t="shared" si="173"/>
        <v>83.020833333333329</v>
      </c>
      <c r="AP251" s="104">
        <f>('Renewable Diesel'!L260*'RD Feedstock Breakdown'!AP$3*'Feedstock Conversion Rates'!B$4)/12+15-10+5+2.5+7</f>
        <v>78.09375</v>
      </c>
      <c r="AQ251" s="104">
        <f>('Renewable Diesel'!L260*'RD Feedstock Breakdown'!AQ$3*'Feedstock Conversion Rates'!B$6)/12-15+10-5-2.5-7</f>
        <v>4.9270833333333321</v>
      </c>
      <c r="AR251" s="106">
        <f t="shared" si="162"/>
        <v>83.020833333333329</v>
      </c>
      <c r="AS251" s="104">
        <f>('Renewable Diesel'!M260*'RD Feedstock Breakdown'!AS$3*'Feedstock Conversion Rates'!B$4)/12-25</f>
        <v>431.25</v>
      </c>
      <c r="AT251" s="104">
        <f>('Renewable Diesel'!M260*'RD Feedstock Breakdown'!AT$3*'Feedstock Conversion Rates'!B$5)/12+25</f>
        <v>25</v>
      </c>
      <c r="AU251" s="106">
        <f t="shared" si="201"/>
        <v>456.25</v>
      </c>
      <c r="AV251" s="104">
        <f>'Renewable Diesel'!N260*'RD Feedstock Breakdown'!$AV$3*'Feedstock Conversion Rates'!$B$4/12-15-10+25+25-22+15-50</f>
        <v>46.749999999999986</v>
      </c>
      <c r="AW251" s="104">
        <f>'Renewable Diesel'!N260*'RD Feedstock Breakdown'!$AW$3*'Feedstock Conversion Rates'!$B$7/12+15+10-25-25+22-15+50</f>
        <v>73.400000000000006</v>
      </c>
      <c r="AX251" s="106">
        <f t="shared" si="239"/>
        <v>120.14999999999999</v>
      </c>
      <c r="AY251" s="104">
        <f>('Renewable Diesel'!O260*'RD Feedstock Breakdown'!AY$3*'Feedstock Conversion Rates'!B$4)/12+32+2-125-25-25-207</f>
        <v>-137.0625</v>
      </c>
      <c r="AZ251" s="104">
        <f>('Renewable Diesel'!O260*'RD Feedstock Breakdown'!AZ$3*'Feedstock Conversion Rates'!B$3)/12-32-2+125+25+25+207</f>
        <v>373.03125</v>
      </c>
      <c r="BA251" s="106">
        <f t="shared" si="217"/>
        <v>235.96875</v>
      </c>
      <c r="BB251" s="104">
        <f>('Renewable Diesel'!Q260*'RD Feedstock Breakdown'!BB$3*'Feedstock Conversion Rates'!B$4)/12-10</f>
        <v>1.1562499999999982</v>
      </c>
      <c r="BC251" s="104">
        <f>('Renewable Diesel'!Q260*'RD Feedstock Breakdown'!BC$3*'Feedstock Conversion Rates'!B$3)/12+10</f>
        <v>11.40175</v>
      </c>
      <c r="BD251" s="104">
        <f>('Renewable Diesel'!Q260*'RD Feedstock Breakdown'!BD$3*'Feedstock Conversion Rates'!B$6)/12</f>
        <v>0.8207500000000002</v>
      </c>
      <c r="BE251" s="106">
        <f t="shared" si="189"/>
        <v>13.378749999999998</v>
      </c>
      <c r="BF251" s="104">
        <f>('Renewable Diesel'!R260*'RD Feedstock Breakdown'!BF$3*'Feedstock Conversion Rates'!B$4)/12</f>
        <v>62.5</v>
      </c>
      <c r="BG251" s="106">
        <f t="shared" si="167"/>
        <v>62.5</v>
      </c>
      <c r="BH251" s="104">
        <f>('Renewable Diesel'!T260*'RD Feedstock Breakdown'!BH$3*'Feedstock Conversion Rates'!B$7)/12</f>
        <v>27.599999999999998</v>
      </c>
      <c r="BI251" s="106">
        <f t="shared" si="144"/>
        <v>27.599999999999998</v>
      </c>
      <c r="BJ251" s="104">
        <f>('Renewable Diesel'!W260*'RD Feedstock Breakdown'!BJ$3*'Feedstock Conversion Rates'!B$4)/12</f>
        <v>7.5</v>
      </c>
      <c r="BK251" s="104">
        <f>('Renewable Diesel'!W260*'RD Feedstock Breakdown'!BK$3*'Feedstock Conversion Rates'!B$3)/12</f>
        <v>1.335</v>
      </c>
      <c r="BL251" s="104">
        <f>('Renewable Diesel'!W260*'RD Feedstock Breakdown'!BL$3*'Feedstock Conversion Rates'!B$6)/12</f>
        <v>3.1266666666666669</v>
      </c>
      <c r="BM251" s="104">
        <f>('Renewable Diesel'!W260*'RD Feedstock Breakdown'!BM$3*'Feedstock Conversion Rates'!B$7)/12</f>
        <v>1.5333333333333332</v>
      </c>
      <c r="BN251" s="106">
        <f t="shared" si="209"/>
        <v>13.495000000000001</v>
      </c>
      <c r="BO251" s="104">
        <f>('Renewable Diesel'!P260*'Feedstock Conversion Rates'!B$4)/12</f>
        <v>31.25</v>
      </c>
      <c r="BP251" s="106">
        <f t="shared" si="199"/>
        <v>31.25</v>
      </c>
      <c r="BQ251" s="104">
        <f>('Renewable Diesel'!$S260*'RD Feedstock Breakdown'!BQ$3*'Feedstock Conversion Rates'!B$4)/12+10</f>
        <v>38.125</v>
      </c>
      <c r="BR251" s="104">
        <f>('Renewable Diesel'!$S260*'RD Feedstock Breakdown'!BR$3*'Feedstock Conversion Rates'!B$7)/12-10</f>
        <v>1.5</v>
      </c>
      <c r="BS251" s="106">
        <f t="shared" si="222"/>
        <v>39.625</v>
      </c>
      <c r="BT251" s="106"/>
      <c r="BU251" s="104">
        <f>('Renewable Diesel'!Y260*'Feedstock Conversion Rates'!B$7)/12</f>
        <v>2.6833333333333331</v>
      </c>
      <c r="BV251" s="106">
        <f t="shared" si="191"/>
        <v>2.6833333333333331</v>
      </c>
      <c r="BW251" s="104">
        <f>('Renewable Diesel'!$Z260*'RD Feedstock Breakdown'!BW$3*'Feedstock Conversion Rates'!$B$4)/12</f>
        <v>71.875</v>
      </c>
      <c r="BX251" s="104">
        <f>('Renewable Diesel'!$Z260*'RD Feedstock Breakdown'!BX$3*'Feedstock Conversion Rates'!$B$5)/12</f>
        <v>7.2354166666666666</v>
      </c>
      <c r="BY251" s="104">
        <f>('Renewable Diesel'!$Z260*'RD Feedstock Breakdown'!BY$3*'Feedstock Conversion Rates'!$B$7)/12</f>
        <v>61.716666666666661</v>
      </c>
      <c r="BZ251" s="104">
        <f>('Renewable Diesel'!$Z260*'RD Feedstock Breakdown'!BZ$3*'Feedstock Conversion Rates'!$B$3)/12</f>
        <v>15.352499999999999</v>
      </c>
      <c r="CA251" s="106">
        <f t="shared" si="228"/>
        <v>156.17958333333331</v>
      </c>
      <c r="CB251" s="104">
        <f>('Renewable Diesel'!AA260*'Feedstock Conversion Rates'!B$4)/12</f>
        <v>191.25</v>
      </c>
      <c r="CC251" s="106">
        <f t="shared" si="213"/>
        <v>191.25</v>
      </c>
      <c r="CD251" s="104">
        <f>('Renewable Diesel'!$AB260*'RD Feedstock Breakdown'!CD$3*'Feedstock Conversion Rates'!$B$6)/12-15</f>
        <v>17.830000000000005</v>
      </c>
      <c r="CE251" s="104">
        <f>('Renewable Diesel'!$AB260*'RD Feedstock Breakdown'!CE$3*'Feedstock Conversion Rates'!$B$4)/12+15</f>
        <v>26.25</v>
      </c>
      <c r="CF251" s="106">
        <f t="shared" si="205"/>
        <v>44.080000000000005</v>
      </c>
      <c r="CG251" s="104">
        <f>('Renewable Diesel'!AD260*'Feedstock Conversion Rates'!B$4)/12</f>
        <v>112.5</v>
      </c>
      <c r="CH251" s="106">
        <f t="shared" si="187"/>
        <v>112.5</v>
      </c>
      <c r="CI251" s="104">
        <f>('Renewable Diesel'!$AE260*'RD Feedstock Breakdown'!CI$3*'Feedstock Conversion Rates'!$B$5)/12</f>
        <v>0.34604166666666664</v>
      </c>
      <c r="CJ251" s="104">
        <f>('Renewable Diesel'!$AE260*'RD Feedstock Breakdown'!CJ$3*'Feedstock Conversion Rates'!$B$4)/12</f>
        <v>0.34375</v>
      </c>
      <c r="CK251" s="106">
        <f t="shared" si="200"/>
        <v>0.68979166666666658</v>
      </c>
      <c r="CL251" s="104">
        <f>(((CL$3*'Renewable Diesel'!$AF260)*'Feedstock Conversion Rates'!$B$3)/12)-25</f>
        <v>66.78125</v>
      </c>
      <c r="CM251" s="104">
        <f>(((CM$3*'Renewable Diesel'!$AF260)*'Feedstock Conversion Rates'!$B$6)/12)+25</f>
        <v>78.739583333333343</v>
      </c>
      <c r="CN251" s="104">
        <f>(((CN$3*'Renewable Diesel'!$AF260)*'Feedstock Conversion Rates'!$B$4)/12)</f>
        <v>42.96875</v>
      </c>
      <c r="CO251" s="106">
        <f t="shared" si="190"/>
        <v>188.48958333333334</v>
      </c>
      <c r="CP251" s="104">
        <f>('Renewable Diesel'!$AG260*'RD Feedstock Breakdown'!CP$3*'Feedstock Conversion Rates'!$B$3)/12</f>
        <v>6.0075000000000003</v>
      </c>
      <c r="CQ251" s="104">
        <f>('Renewable Diesel'!$AG260*'RD Feedstock Breakdown'!CQ$3*'Feedstock Conversion Rates'!$B$6)/12</f>
        <v>3.5175000000000001</v>
      </c>
      <c r="CR251" s="104">
        <f>('Renewable Diesel'!$AG260*'RD Feedstock Breakdown'!CR$3*'Feedstock Conversion Rates'!$B$4)/12</f>
        <v>2.8125</v>
      </c>
      <c r="CS251" s="106">
        <f t="shared" si="231"/>
        <v>12.3375</v>
      </c>
      <c r="CT251" s="104">
        <f>('Renewable Diesel'!AI260*'Feedstock Conversion Rates'!$B$4*'RD Feedstock Breakdown'!$CT$3)/12</f>
        <v>29.375</v>
      </c>
      <c r="CU251" s="106">
        <f t="shared" si="196"/>
        <v>29.375</v>
      </c>
      <c r="CV251" s="104">
        <f>('Renewable Diesel'!AN260*'Feedstock Conversion Rates'!$B$3*'RD Feedstock Breakdown'!$CV$3)/12</f>
        <v>0.50062499999999999</v>
      </c>
      <c r="CW251" s="106">
        <f t="shared" si="161"/>
        <v>0.50062499999999999</v>
      </c>
      <c r="CX251" s="104">
        <f>('Renewable Diesel'!AO260*'RD Feedstock Breakdown'!$CX$3*'Feedstock Conversion Rates'!$B$3)/12</f>
        <v>6.3412499999999996</v>
      </c>
      <c r="CY251" s="104">
        <f>('Renewable Diesel'!AO260*'RD Feedstock Breakdown'!$CY$3*'Feedstock Conversion Rates'!$B$6)/12</f>
        <v>7.4258333333333342</v>
      </c>
      <c r="CZ251" s="106">
        <f t="shared" si="233"/>
        <v>13.767083333333334</v>
      </c>
      <c r="DA251" s="104">
        <f>('Renewable Diesel'!$AP260*'RD Feedstock Breakdown'!DA$3*'Feedstock Conversion Rates'!$B$3)/12</f>
        <v>6.3412499999999996</v>
      </c>
      <c r="DB251" s="104">
        <f>('Renewable Diesel'!$AP260*'RD Feedstock Breakdown'!DB$3*'Feedstock Conversion Rates'!$B$8)/12</f>
        <v>7.421875</v>
      </c>
      <c r="DC251" s="106">
        <f t="shared" si="165"/>
        <v>13.763124999999999</v>
      </c>
      <c r="DD251" s="104">
        <f>('Renewable Diesel'!AQ260*$DD$3*'Feedstock Conversion Rates'!$B$14)/12</f>
        <v>3.1041666666666665</v>
      </c>
      <c r="DE251" s="106">
        <f t="shared" si="166"/>
        <v>3.1041666666666665</v>
      </c>
      <c r="DF251" s="104">
        <f>('Renewable Diesel'!AR260*'Feedstock Conversion Rates'!$B$4*$DF$3)/12</f>
        <v>75</v>
      </c>
      <c r="DG251" s="106">
        <f t="shared" si="234"/>
        <v>75</v>
      </c>
      <c r="DH251" s="104">
        <f>('Renewable Diesel'!AS260*'Feedstock Conversion Rates'!$B$4*$DH$3)/12</f>
        <v>75</v>
      </c>
      <c r="DI251" s="106">
        <f t="shared" si="240"/>
        <v>75</v>
      </c>
      <c r="DJ251" s="104">
        <f>('Renewable Diesel'!AT260*'Feedstock Conversion Rates'!$B$4*0.25)/12</f>
        <v>8.59375</v>
      </c>
      <c r="DK251" s="104">
        <f>('Renewable Diesel'!$AT260*'RD Feedstock Breakdown'!DK$3*'Feedstock Conversion Rates'!$B$3)/12*0.5</f>
        <v>9.1781249999999996</v>
      </c>
      <c r="DL251" s="104">
        <f>('Renewable Diesel'!$AT260*'RD Feedstock Breakdown'!$DL$3*'Feedstock Conversion Rates'!$B$6)/12</f>
        <v>10.747916666666669</v>
      </c>
      <c r="DM251" s="104">
        <f>('Renewable Diesel'!$AT260*'RD Feedstock Breakdown'!$DM$3*'Feedstock Conversion Rates'!$B$8)/12</f>
        <v>10.7421875</v>
      </c>
      <c r="DN251" s="106">
        <f t="shared" si="210"/>
        <v>39.26197916666667</v>
      </c>
      <c r="DP251" s="104">
        <f t="shared" si="168"/>
        <v>77.470249999999993</v>
      </c>
      <c r="DQ251" s="104">
        <f t="shared" si="169"/>
        <v>912.11776750000001</v>
      </c>
      <c r="DR251" s="104">
        <f t="shared" si="174"/>
        <v>1650.703125</v>
      </c>
      <c r="DS251" s="104">
        <f t="shared" si="197"/>
        <v>63.401250000000005</v>
      </c>
      <c r="DT251" s="104">
        <f t="shared" si="170"/>
        <v>278.03923333333341</v>
      </c>
      <c r="DU251" s="104">
        <f t="shared" si="171"/>
        <v>254.65610000000001</v>
      </c>
      <c r="DV251" s="104">
        <f t="shared" si="175"/>
        <v>25.75</v>
      </c>
      <c r="DW251" s="104">
        <f t="shared" si="172"/>
        <v>2.5</v>
      </c>
      <c r="DX251" s="106">
        <f t="shared" si="176"/>
        <v>3264.6377258333337</v>
      </c>
      <c r="DY251" s="109">
        <f t="shared" si="163"/>
        <v>-135.00000000000048</v>
      </c>
      <c r="EA251" s="110">
        <f t="shared" si="218"/>
        <v>2.3730121534457513E-2</v>
      </c>
      <c r="EB251" s="110">
        <f t="shared" si="219"/>
        <v>0.27939325710854246</v>
      </c>
      <c r="EC251" s="110">
        <f t="shared" si="220"/>
        <v>0.50563133297696616</v>
      </c>
      <c r="ED251" s="110">
        <f t="shared" si="241"/>
        <v>1.9420608142306558E-2</v>
      </c>
      <c r="EE251" s="110">
        <f t="shared" si="241"/>
        <v>8.5166948581518617E-2</v>
      </c>
      <c r="EF251" s="110">
        <f t="shared" si="241"/>
        <v>7.8004397849380458E-2</v>
      </c>
      <c r="EG251" s="110">
        <f t="shared" si="241"/>
        <v>7.8875520540114558E-3</v>
      </c>
      <c r="EH251" s="111">
        <f t="shared" si="177"/>
        <v>7.6578175281664625E-4</v>
      </c>
      <c r="EI251" s="110">
        <f t="shared" si="236"/>
        <v>0.99923421824718328</v>
      </c>
      <c r="EK251" s="132">
        <f>(EA251*'Renewable Diesel'!BF260*'Feedstock Conversion Rates'!B$2)+FB251</f>
        <v>158.39632506182036</v>
      </c>
      <c r="EL251" s="132">
        <f>(EB251*'Renewable Diesel'!BF260*'Feedstock Conversion Rates'!B$3)+FC251</f>
        <v>1757.416298801139</v>
      </c>
      <c r="EM251" s="132">
        <f>(EC251*'Renewable Diesel'!BF260*'Feedstock Conversion Rates'!B$4)+FD251</f>
        <v>2977.9777941482589</v>
      </c>
      <c r="EN251" s="132">
        <f>(ED251*'Renewable Diesel'!BF260*'Feedstock Conversion Rates'!B$5)+FE251</f>
        <v>115.14258894093021</v>
      </c>
      <c r="EO251" s="132">
        <f>(EE251*'Renewable Diesel'!BF260*'Feedstock Conversion Rates'!B$6)+FF251</f>
        <v>627.33589657600464</v>
      </c>
      <c r="EP251" s="132">
        <f>(EF251*'Renewable Diesel'!BF260*'Feedstock Conversion Rates'!B$7)+FG251</f>
        <v>563.55087598916089</v>
      </c>
      <c r="EQ251" s="132">
        <f>(EG251*'Renewable Diesel'!BF260*'Feedstock Conversion Rates'!B$8)+FH251</f>
        <v>58.068382374418221</v>
      </c>
      <c r="ER251" s="132">
        <f>(EH251*'Renewable Diesel'!BF260*'Feedstock Conversion Rates'!B$9)+FI251</f>
        <v>5.5625375996206454</v>
      </c>
      <c r="ES251" s="132">
        <f t="shared" si="179"/>
        <v>6263.4506994913527</v>
      </c>
      <c r="ET251" s="133">
        <f>ES251/'Renewable Diesel'!BF260</f>
        <v>10.40946528347224</v>
      </c>
      <c r="EW251" s="73">
        <f t="shared" si="223"/>
        <v>3816.1998045835353</v>
      </c>
      <c r="EX251" s="73">
        <f t="shared" si="224"/>
        <v>3911.4591207200147</v>
      </c>
      <c r="EY251" s="92">
        <f t="shared" si="164"/>
        <v>0.60928072841595837</v>
      </c>
      <c r="EZ251" s="92">
        <f t="shared" si="164"/>
        <v>0.62448948804493021</v>
      </c>
      <c r="FB251" s="102">
        <f>IF('Renewable Diesel'!$BG260&lt;1,0,(((('Renewable Diesel'!$BG260-1)*'Renewable Diesel'!$BF260)*'RD Feedstock Breakdown'!EA251)*'Feedstock Conversion Rates'!$B$2))</f>
        <v>37.028343196310999</v>
      </c>
      <c r="FC251" s="102">
        <f>IF('Renewable Diesel'!$BG260&lt;1,0,(((('Renewable Diesel'!$BG260-1)*'Renewable Diesel'!$BF260)*'RD Feedstock Breakdown'!EB251)*'Feedstock Conversion Rates'!$B$3))</f>
        <v>410.83158858263579</v>
      </c>
      <c r="FD251" s="102">
        <f>IF('Renewable Diesel'!$BG260&lt;1,0,(((('Renewable Diesel'!$BG260-1)*'Renewable Diesel'!$BF260)*'RD Feedstock Breakdown'!EC251)*'Feedstock Conversion Rates'!$B$4))</f>
        <v>696.16251355375778</v>
      </c>
      <c r="FE251" s="102">
        <f>IF('Renewable Diesel'!$BG260&lt;1,0,(((('Renewable Diesel'!$BG260-1)*'Renewable Diesel'!$BF260)*'RD Feedstock Breakdown'!ED251)*'Feedstock Conversion Rates'!$B$5))</f>
        <v>26.916907940588359</v>
      </c>
      <c r="FF251" s="102">
        <f>IF('Renewable Diesel'!$BG260&lt;1,0,(((('Renewable Diesel'!$BG260-1)*'Renewable Diesel'!$BF260)*'RD Feedstock Breakdown'!EE251)*'Feedstock Conversion Rates'!$B$6))</f>
        <v>146.65244833625815</v>
      </c>
      <c r="FG251" s="102">
        <f>IF('Renewable Diesel'!$BG260&lt;1,0,(((('Renewable Diesel'!$BG260-1)*'Renewable Diesel'!$BF260)*'RD Feedstock Breakdown'!EF251)*'Feedstock Conversion Rates'!$B$7))</f>
        <v>131.74141026670947</v>
      </c>
      <c r="FH251" s="102">
        <f>IF('Renewable Diesel'!$BG260&lt;1,0,(((('Renewable Diesel'!$BG260-1)*'Renewable Diesel'!$BF260)*'RD Feedstock Breakdown'!EG251)*'Feedstock Conversion Rates'!$B$8))</f>
        <v>13.57465831720139</v>
      </c>
      <c r="FI251" s="102">
        <f>IF('Renewable Diesel'!$BG260&lt;1,0,(((('Renewable Diesel'!$BG260-1)*'Renewable Diesel'!$BF260)*'RD Feedstock Breakdown'!EH251)*'Feedstock Conversion Rates'!$B$9))</f>
        <v>1.3003556187351495</v>
      </c>
      <c r="FJ251" s="102">
        <f t="shared" si="225"/>
        <v>1464.208225812197</v>
      </c>
      <c r="GD251" s="91">
        <f>'Renewable Diesel'!BB260*0.32</f>
        <v>0</v>
      </c>
      <c r="GE251" s="91">
        <f>'Renewable Diesel'!BC260</f>
        <v>335.5623786446298</v>
      </c>
      <c r="GF251" s="91">
        <f>'Renewable Diesel'!BD260</f>
        <v>0</v>
      </c>
      <c r="GG251" s="91">
        <f t="shared" si="206"/>
        <v>335.5623786446298</v>
      </c>
      <c r="GH251" s="124">
        <v>1</v>
      </c>
      <c r="GI251" s="102">
        <f>$GG251*EA251*'Feedstock Conversion Rates'!$B$2</f>
        <v>67.68495623484408</v>
      </c>
      <c r="GJ251" s="102">
        <f>$GG251*EB251*'Feedstock Conversion Rates'!$B$3</f>
        <v>750.96846612023126</v>
      </c>
      <c r="GK251" s="102">
        <f>$GG251*EC251*'Feedstock Conversion Rates'!$B$4</f>
        <v>1272.531396082542</v>
      </c>
      <c r="GL251" s="102">
        <f>$GG251*ED251*'Feedstock Conversion Rates'!$B$5</f>
        <v>49.20203224533028</v>
      </c>
      <c r="GM251" s="102">
        <f>$GG251*EE251*'Feedstock Conversion Rates'!$B$6</f>
        <v>268.06936769348277</v>
      </c>
      <c r="GN251" s="102">
        <f>$GG251*EF251*'Feedstock Conversion Rates'!$B$7</f>
        <v>240.81313984113737</v>
      </c>
      <c r="GO251" s="102">
        <f>$GG251*EG251*'Feedstock Conversion Rates'!$B$8</f>
        <v>24.813428708694559</v>
      </c>
      <c r="GP251" s="102">
        <f>$GG251*EH251*'Feedstock Conversion Rates'!B$9</f>
        <v>2.3769498051047213</v>
      </c>
      <c r="GQ251" s="102">
        <f t="shared" si="180"/>
        <v>2676.4597367313672</v>
      </c>
      <c r="GR251" s="85">
        <f t="shared" si="204"/>
        <v>7.9760423309128319</v>
      </c>
      <c r="GT251" s="103">
        <f t="shared" si="159"/>
        <v>2.528898727895847E-2</v>
      </c>
      <c r="GU251" s="103">
        <f t="shared" si="159"/>
        <v>0.28058276230127532</v>
      </c>
      <c r="GV251" s="103">
        <f t="shared" si="159"/>
        <v>0.47545321852538835</v>
      </c>
      <c r="GW251" s="103">
        <f t="shared" si="159"/>
        <v>1.8383251416073377E-2</v>
      </c>
      <c r="GX251" s="103">
        <f t="shared" si="158"/>
        <v>0.10015819181381115</v>
      </c>
      <c r="GY251" s="103">
        <f t="shared" si="158"/>
        <v>8.9974504953783077E-2</v>
      </c>
      <c r="GZ251" s="103">
        <f t="shared" si="158"/>
        <v>9.2709889740385243E-3</v>
      </c>
      <c r="HA251" s="103">
        <f t="shared" si="158"/>
        <v>8.8809473667165149E-4</v>
      </c>
    </row>
    <row r="252" spans="1:209" x14ac:dyDescent="0.25">
      <c r="A252" s="96">
        <v>48092</v>
      </c>
      <c r="B252" s="104">
        <f>23-20+10+85-5-4-4-1.25+2.25-5+15-6-25-45+65+15-22.5-50+40+16.5+27.5+168+80+14-30+15-50-19+22.5-10+5+11-25-50-12.5-27.5-10+10+2+4-1.5+12-26-15-50-15+10-32.5-3-5-2.5-1+5+10-50-35-9-0.5+25+15+25+20+15+85-25+12.5-52.5+10+20-150+20-20+55-25-25+25-25+400</f>
        <v>405</v>
      </c>
      <c r="C252" s="104">
        <f t="shared" si="147"/>
        <v>0</v>
      </c>
      <c r="D252" s="104">
        <f t="shared" si="192"/>
        <v>1.5</v>
      </c>
      <c r="E252" s="104">
        <f>('Renewable Diesel'!B261*E$3*'Feedstock Conversion Rates'!$B$2)/12-40+1.25+6-43+30-15+12.5-4+1.5+26+2.5+3-10+50+9-15-25-55+15+45+10-50+60-60+25</f>
        <v>69.679999999999993</v>
      </c>
      <c r="F252" s="104">
        <f>('Renewable Diesel'!B261*'RD Feedstock Breakdown'!F$3*'Feedstock Conversion Rates'!B$8)/12+28.5-49-5+2-6+1+6+20-20-3.75+10+2.5+5-20-20</f>
        <v>5.15625</v>
      </c>
      <c r="G252" s="104">
        <f>('Renewable Diesel'!B261*'RD Feedstock Breakdown'!G$3*'Feedstock Conversion Rates'!B$7)/12-25-15-25+4+4-20-40-20+10-17.5+20+50-12+32.5+35-75-75+22.5+5-20+15+125-10-45-10-40-40</f>
        <v>9.6570000000000107</v>
      </c>
      <c r="H252" s="104">
        <f>('Renewable Diesel'!B261*'RD Feedstock Breakdown'!H$3*'Feedstock Conversion Rates'!B$3)/12-85+4-15+70-65-80+50-22.5-5+25+27.5+15+50+15-10+5+50+75-5-25-85-12.5+30+22.5-25-30+150+90-120+25+10+70+30+40-40-400</f>
        <v>5.4002249999999776</v>
      </c>
      <c r="I252" s="106">
        <f t="shared" si="203"/>
        <v>496.39347499999997</v>
      </c>
      <c r="J252" s="104">
        <f t="shared" si="238"/>
        <v>7.5</v>
      </c>
      <c r="K252" s="104"/>
      <c r="L252" s="104">
        <v>1</v>
      </c>
      <c r="M252" s="104">
        <f>('Renewable Diesel'!C261*'RD Feedstock Breakdown'!M$3*'Feedstock Conversion Rates'!B$2)/12</f>
        <v>7.7902500000000003</v>
      </c>
      <c r="N252" s="104">
        <f>('Renewable Diesel'!C261*'RD Feedstock Breakdown'!N$3*'Feedstock Conversion Rates'!B$8)/12</f>
        <v>3.671875</v>
      </c>
      <c r="O252" s="104">
        <f>('Renewable Diesel'!C261*'RD Feedstock Breakdown'!O$3*'Feedstock Conversion Rates'!B$7)/12</f>
        <v>11.9991</v>
      </c>
      <c r="P252" s="104">
        <f>('Renewable Diesel'!C261*'RD Feedstock Breakdown'!P$3*'Feedstock Conversion Rates'!B$3)/12</f>
        <v>10.4470425</v>
      </c>
      <c r="Q252" s="106">
        <f t="shared" si="216"/>
        <v>42.408267500000001</v>
      </c>
      <c r="R252" s="104">
        <f>('Renewable Diesel'!D261*'RD Feedstock Breakdown'!R$3*'Feedstock Conversion Rates'!B$7)/12</f>
        <v>2.2999999999999998</v>
      </c>
      <c r="S252" s="106">
        <f t="shared" si="148"/>
        <v>2.2999999999999998</v>
      </c>
      <c r="T252" s="104">
        <f t="shared" si="221"/>
        <v>0.82500000000000284</v>
      </c>
      <c r="U252" s="104">
        <v>30</v>
      </c>
      <c r="V252" s="104">
        <f>('Renewable Diesel'!E261*'RD Feedstock Breakdown'!V$3*'Feedstock Conversion Rates'!B$6)/12-20+25-35+15</f>
        <v>29.250150000000012</v>
      </c>
      <c r="W252" s="104">
        <f>('Renewable Diesel'!E261*'RD Feedstock Breakdown'!W$3*'Feedstock Conversion Rates'!B$8)/12-6-10</f>
        <v>6.1796875</v>
      </c>
      <c r="X252" s="106">
        <f t="shared" si="185"/>
        <v>66.254837500000008</v>
      </c>
      <c r="Y252" s="104">
        <f t="shared" si="232"/>
        <v>141.5</v>
      </c>
      <c r="Z252" s="104">
        <f>('Renewable Diesel'!F261*'RD Feedstock Breakdown'!Z$3*'Feedstock Conversion Rates'!B$6)/12-50-32-60+15+15+47.5-72.5+70-27.5-5</f>
        <v>59.960000000000008</v>
      </c>
      <c r="AA252" s="104">
        <f>('Renewable Diesel'!F261*'RD Feedstock Breakdown'!AA$3*'Feedstock Conversion Rates'!B$7)/12+80-171+75+30-55-1</f>
        <v>62.266666666666652</v>
      </c>
      <c r="AB252" s="106">
        <f t="shared" si="235"/>
        <v>263.72666666666669</v>
      </c>
      <c r="AC252" s="104">
        <f>('Renewable Diesel'!G261*'RD Feedstock Breakdown'!AC$3*'Feedstock Conversion Rates'!B$5)/12</f>
        <v>11.796875</v>
      </c>
      <c r="AD252" s="104">
        <f>('Renewable Diesel'!G261*'RD Feedstock Breakdown'!AD$3*'Feedstock Conversion Rates'!B$4)/12</f>
        <v>5.859375</v>
      </c>
      <c r="AE252" s="104">
        <f>('Renewable Diesel'!G261*'RD Feedstock Breakdown'!AE$3*'Feedstock Conversion Rates'!B$6)/12</f>
        <v>7.3281250000000009</v>
      </c>
      <c r="AF252" s="106">
        <f t="shared" si="198"/>
        <v>24.984375</v>
      </c>
      <c r="AG252" s="104">
        <f t="shared" si="230"/>
        <v>6.5</v>
      </c>
      <c r="AH252" s="104">
        <v>135</v>
      </c>
      <c r="AI252" s="104">
        <f>('Renewable Diesel'!H261*'RD Feedstock Breakdown'!AI$3*'Feedstock Conversion Rates'!B$6)/12-130-20+51-120+105-40+25-10-2.5</f>
        <v>7.0166666666666799</v>
      </c>
      <c r="AJ252" s="106">
        <f t="shared" si="145"/>
        <v>13.51666666666668</v>
      </c>
      <c r="AK252" s="104">
        <f>('Renewable Diesel'!J261*'RD Feedstock Breakdown'!AK$3*'Feedstock Conversion Rates'!B$4)/12</f>
        <v>95.8125</v>
      </c>
      <c r="AL252" s="106">
        <f t="shared" si="157"/>
        <v>95.8125</v>
      </c>
      <c r="AM252" s="104">
        <f>('Renewable Diesel'!K261*'RD Feedstock Breakdown'!AM$3*'Feedstock Conversion Rates'!B$4)/12+5+15-10+2.5+7-35</f>
        <v>43.09375</v>
      </c>
      <c r="AN252" s="104">
        <f>('Renewable Diesel'!K261*'RD Feedstock Breakdown'!AN$3*'Feedstock Conversion Rates'!B$6)/12-5-15+10-2.5-7+35</f>
        <v>39.927083333333329</v>
      </c>
      <c r="AO252" s="106">
        <f t="shared" si="173"/>
        <v>83.020833333333329</v>
      </c>
      <c r="AP252" s="104">
        <f>('Renewable Diesel'!L261*'RD Feedstock Breakdown'!AP$3*'Feedstock Conversion Rates'!B$4)/12+15-10+5+2.5+7</f>
        <v>78.09375</v>
      </c>
      <c r="AQ252" s="104">
        <f>('Renewable Diesel'!L261*'RD Feedstock Breakdown'!AQ$3*'Feedstock Conversion Rates'!B$6)/12-15+10-5-2.5-7</f>
        <v>4.9270833333333321</v>
      </c>
      <c r="AR252" s="106">
        <f t="shared" si="162"/>
        <v>83.020833333333329</v>
      </c>
      <c r="AS252" s="104">
        <f>('Renewable Diesel'!M261*'RD Feedstock Breakdown'!AS$3*'Feedstock Conversion Rates'!B$4)/12-25</f>
        <v>431.25</v>
      </c>
      <c r="AT252" s="104">
        <f>('Renewable Diesel'!M261*'RD Feedstock Breakdown'!AT$3*'Feedstock Conversion Rates'!B$5)/12+25</f>
        <v>25</v>
      </c>
      <c r="AU252" s="106">
        <f t="shared" si="201"/>
        <v>456.25</v>
      </c>
      <c r="AV252" s="104">
        <f>'Renewable Diesel'!N261*'RD Feedstock Breakdown'!$AV$3*'Feedstock Conversion Rates'!$B$4/12-15-10+25+25-22+15-50</f>
        <v>46.749999999999986</v>
      </c>
      <c r="AW252" s="104">
        <f>'Renewable Diesel'!N261*'RD Feedstock Breakdown'!$AW$3*'Feedstock Conversion Rates'!$B$7/12+15+10-25-25+22-15+50</f>
        <v>73.400000000000006</v>
      </c>
      <c r="AX252" s="106">
        <f t="shared" si="239"/>
        <v>120.14999999999999</v>
      </c>
      <c r="AY252" s="104">
        <f>('Renewable Diesel'!O261*'RD Feedstock Breakdown'!AY$3*'Feedstock Conversion Rates'!B$4)/12+32+2-125-25-25-207</f>
        <v>-137.0625</v>
      </c>
      <c r="AZ252" s="104">
        <f>('Renewable Diesel'!O261*'RD Feedstock Breakdown'!AZ$3*'Feedstock Conversion Rates'!B$3)/12-32-2+125+25+25+207</f>
        <v>373.03125</v>
      </c>
      <c r="BA252" s="106">
        <f t="shared" si="217"/>
        <v>235.96875</v>
      </c>
      <c r="BB252" s="104">
        <f>('Renewable Diesel'!Q261*'RD Feedstock Breakdown'!BB$3*'Feedstock Conversion Rates'!B$4)/12-10</f>
        <v>1.1562499999999982</v>
      </c>
      <c r="BC252" s="104">
        <f>('Renewable Diesel'!Q261*'RD Feedstock Breakdown'!BC$3*'Feedstock Conversion Rates'!B$3)/12+10</f>
        <v>11.40175</v>
      </c>
      <c r="BD252" s="104">
        <f>('Renewable Diesel'!Q261*'RD Feedstock Breakdown'!BD$3*'Feedstock Conversion Rates'!B$6)/12</f>
        <v>0.8207500000000002</v>
      </c>
      <c r="BE252" s="106">
        <f t="shared" si="189"/>
        <v>13.378749999999998</v>
      </c>
      <c r="BF252" s="104">
        <f>('Renewable Diesel'!R261*'RD Feedstock Breakdown'!BF$3*'Feedstock Conversion Rates'!B$4)/12</f>
        <v>62.5</v>
      </c>
      <c r="BG252" s="106">
        <f t="shared" si="167"/>
        <v>62.5</v>
      </c>
      <c r="BH252" s="104">
        <f>('Renewable Diesel'!T261*'RD Feedstock Breakdown'!BH$3*'Feedstock Conversion Rates'!B$7)/12</f>
        <v>27.599999999999998</v>
      </c>
      <c r="BI252" s="106">
        <f t="shared" si="144"/>
        <v>27.599999999999998</v>
      </c>
      <c r="BJ252" s="104">
        <f>('Renewable Diesel'!W261*'RD Feedstock Breakdown'!BJ$3*'Feedstock Conversion Rates'!B$4)/12</f>
        <v>7.5</v>
      </c>
      <c r="BK252" s="104">
        <f>('Renewable Diesel'!W261*'RD Feedstock Breakdown'!BK$3*'Feedstock Conversion Rates'!B$3)/12</f>
        <v>1.335</v>
      </c>
      <c r="BL252" s="104">
        <f>('Renewable Diesel'!W261*'RD Feedstock Breakdown'!BL$3*'Feedstock Conversion Rates'!B$6)/12</f>
        <v>3.1266666666666669</v>
      </c>
      <c r="BM252" s="104">
        <f>('Renewable Diesel'!W261*'RD Feedstock Breakdown'!BM$3*'Feedstock Conversion Rates'!B$7)/12</f>
        <v>1.5333333333333332</v>
      </c>
      <c r="BN252" s="106">
        <f t="shared" si="209"/>
        <v>13.495000000000001</v>
      </c>
      <c r="BO252" s="104">
        <f>('Renewable Diesel'!P261*'Feedstock Conversion Rates'!B$4)/12</f>
        <v>31.25</v>
      </c>
      <c r="BP252" s="106">
        <f t="shared" si="199"/>
        <v>31.25</v>
      </c>
      <c r="BQ252" s="104">
        <f>('Renewable Diesel'!$S261*'RD Feedstock Breakdown'!BQ$3*'Feedstock Conversion Rates'!B$4)/12+10</f>
        <v>38.125</v>
      </c>
      <c r="BR252" s="104">
        <f>('Renewable Diesel'!$S261*'RD Feedstock Breakdown'!BR$3*'Feedstock Conversion Rates'!B$7)/12-10</f>
        <v>1.5</v>
      </c>
      <c r="BS252" s="106">
        <f t="shared" si="222"/>
        <v>39.625</v>
      </c>
      <c r="BT252" s="106"/>
      <c r="BU252" s="104">
        <f>('Renewable Diesel'!Y261*'Feedstock Conversion Rates'!B$7)/12</f>
        <v>2.6833333333333331</v>
      </c>
      <c r="BV252" s="106">
        <f t="shared" si="191"/>
        <v>2.6833333333333331</v>
      </c>
      <c r="BW252" s="104">
        <f>('Renewable Diesel'!$Z261*'RD Feedstock Breakdown'!BW$3*'Feedstock Conversion Rates'!$B$4)/12</f>
        <v>71.875</v>
      </c>
      <c r="BX252" s="104">
        <f>('Renewable Diesel'!$Z261*'RD Feedstock Breakdown'!BX$3*'Feedstock Conversion Rates'!$B$5)/12</f>
        <v>7.2354166666666666</v>
      </c>
      <c r="BY252" s="104">
        <f>('Renewable Diesel'!$Z261*'RD Feedstock Breakdown'!BY$3*'Feedstock Conversion Rates'!$B$7)/12</f>
        <v>61.716666666666661</v>
      </c>
      <c r="BZ252" s="104">
        <f>('Renewable Diesel'!$Z261*'RD Feedstock Breakdown'!BZ$3*'Feedstock Conversion Rates'!$B$3)/12</f>
        <v>15.352499999999999</v>
      </c>
      <c r="CA252" s="106">
        <f t="shared" si="228"/>
        <v>156.17958333333331</v>
      </c>
      <c r="CB252" s="104">
        <f>('Renewable Diesel'!AA261*'Feedstock Conversion Rates'!B$4)/12</f>
        <v>191.25</v>
      </c>
      <c r="CC252" s="106">
        <f t="shared" si="213"/>
        <v>191.25</v>
      </c>
      <c r="CD252" s="104">
        <f>('Renewable Diesel'!$AB261*'RD Feedstock Breakdown'!CD$3*'Feedstock Conversion Rates'!$B$6)/12-15</f>
        <v>17.830000000000005</v>
      </c>
      <c r="CE252" s="104">
        <f>('Renewable Diesel'!$AB261*'RD Feedstock Breakdown'!CE$3*'Feedstock Conversion Rates'!$B$4)/12+15</f>
        <v>26.25</v>
      </c>
      <c r="CF252" s="106">
        <f t="shared" si="205"/>
        <v>44.080000000000005</v>
      </c>
      <c r="CG252" s="104">
        <f>('Renewable Diesel'!AD261*'Feedstock Conversion Rates'!B$4)/12</f>
        <v>112.5</v>
      </c>
      <c r="CH252" s="106">
        <f t="shared" si="187"/>
        <v>112.5</v>
      </c>
      <c r="CI252" s="104">
        <f>('Renewable Diesel'!$AE261*'RD Feedstock Breakdown'!CI$3*'Feedstock Conversion Rates'!$B$5)/12</f>
        <v>0.34604166666666664</v>
      </c>
      <c r="CJ252" s="104">
        <f>('Renewable Diesel'!$AE261*'RD Feedstock Breakdown'!CJ$3*'Feedstock Conversion Rates'!$B$4)/12</f>
        <v>0.34375</v>
      </c>
      <c r="CK252" s="106">
        <f t="shared" si="200"/>
        <v>0.68979166666666658</v>
      </c>
      <c r="CL252" s="104">
        <f>(((CL$3*'Renewable Diesel'!$AF261)*'Feedstock Conversion Rates'!$B$3)/12)-25</f>
        <v>66.78125</v>
      </c>
      <c r="CM252" s="104">
        <f>(((CM$3*'Renewable Diesel'!$AF261)*'Feedstock Conversion Rates'!$B$6)/12)+25</f>
        <v>78.739583333333343</v>
      </c>
      <c r="CN252" s="104">
        <f>(((CN$3*'Renewable Diesel'!$AF261)*'Feedstock Conversion Rates'!$B$4)/12)</f>
        <v>42.96875</v>
      </c>
      <c r="CO252" s="106">
        <f t="shared" si="190"/>
        <v>188.48958333333334</v>
      </c>
      <c r="CP252" s="104">
        <f>('Renewable Diesel'!$AG261*'RD Feedstock Breakdown'!CP$3*'Feedstock Conversion Rates'!$B$3)/12</f>
        <v>6.0075000000000003</v>
      </c>
      <c r="CQ252" s="104">
        <f>('Renewable Diesel'!$AG261*'RD Feedstock Breakdown'!CQ$3*'Feedstock Conversion Rates'!$B$6)/12</f>
        <v>3.5175000000000001</v>
      </c>
      <c r="CR252" s="104">
        <f>('Renewable Diesel'!$AG261*'RD Feedstock Breakdown'!CR$3*'Feedstock Conversion Rates'!$B$4)/12</f>
        <v>2.8125</v>
      </c>
      <c r="CS252" s="106">
        <f t="shared" si="231"/>
        <v>12.3375</v>
      </c>
      <c r="CT252" s="104">
        <f>('Renewable Diesel'!AI261*'Feedstock Conversion Rates'!$B$4*'RD Feedstock Breakdown'!$CT$3)/12</f>
        <v>29.375</v>
      </c>
      <c r="CU252" s="106">
        <f t="shared" si="196"/>
        <v>29.375</v>
      </c>
      <c r="CV252" s="104">
        <f>('Renewable Diesel'!AN261*'Feedstock Conversion Rates'!$B$3*'RD Feedstock Breakdown'!$CV$3)/12</f>
        <v>0.50062499999999999</v>
      </c>
      <c r="CW252" s="106">
        <f t="shared" si="161"/>
        <v>0.50062499999999999</v>
      </c>
      <c r="CX252" s="104">
        <f>('Renewable Diesel'!AO261*'RD Feedstock Breakdown'!$CX$3*'Feedstock Conversion Rates'!$B$3)/12</f>
        <v>6.3412499999999996</v>
      </c>
      <c r="CY252" s="104">
        <f>('Renewable Diesel'!AO261*'RD Feedstock Breakdown'!$CY$3*'Feedstock Conversion Rates'!$B$6)/12</f>
        <v>7.4258333333333342</v>
      </c>
      <c r="CZ252" s="106">
        <f t="shared" si="233"/>
        <v>13.767083333333334</v>
      </c>
      <c r="DA252" s="104">
        <f>('Renewable Diesel'!$AP261*'RD Feedstock Breakdown'!DA$3*'Feedstock Conversion Rates'!$B$3)/12</f>
        <v>6.3412499999999996</v>
      </c>
      <c r="DB252" s="104">
        <f>('Renewable Diesel'!$AP261*'RD Feedstock Breakdown'!DB$3*'Feedstock Conversion Rates'!$B$8)/12</f>
        <v>7.421875</v>
      </c>
      <c r="DC252" s="106">
        <f t="shared" si="165"/>
        <v>13.763124999999999</v>
      </c>
      <c r="DD252" s="104">
        <f>('Renewable Diesel'!AQ261*$DD$3*'Feedstock Conversion Rates'!$B$14)/12</f>
        <v>3.1041666666666665</v>
      </c>
      <c r="DE252" s="106">
        <f t="shared" si="166"/>
        <v>3.1041666666666665</v>
      </c>
      <c r="DF252" s="104">
        <f>('Renewable Diesel'!AR261*'Feedstock Conversion Rates'!$B$4*$DF$3)/12</f>
        <v>75</v>
      </c>
      <c r="DG252" s="106">
        <f t="shared" si="234"/>
        <v>75</v>
      </c>
      <c r="DH252" s="104">
        <f>('Renewable Diesel'!AS261*'Feedstock Conversion Rates'!$B$4*$DH$3)/12</f>
        <v>75</v>
      </c>
      <c r="DI252" s="106">
        <f t="shared" si="240"/>
        <v>75</v>
      </c>
      <c r="DJ252" s="104">
        <f>('Renewable Diesel'!AT261*'Feedstock Conversion Rates'!$B$4*0.25)/12</f>
        <v>8.59375</v>
      </c>
      <c r="DK252" s="104">
        <f>('Renewable Diesel'!$AT261*'RD Feedstock Breakdown'!DK$3*'Feedstock Conversion Rates'!$B$3)/12*0.5</f>
        <v>9.1781249999999996</v>
      </c>
      <c r="DL252" s="104">
        <f>('Renewable Diesel'!$AT261*'RD Feedstock Breakdown'!$DL$3*'Feedstock Conversion Rates'!$B$6)/12</f>
        <v>10.747916666666669</v>
      </c>
      <c r="DM252" s="104">
        <f>('Renewable Diesel'!$AT261*'RD Feedstock Breakdown'!$DM$3*'Feedstock Conversion Rates'!$B$8)/12</f>
        <v>10.7421875</v>
      </c>
      <c r="DN252" s="106">
        <f t="shared" si="210"/>
        <v>39.26197916666667</v>
      </c>
      <c r="DP252" s="104">
        <f t="shared" si="168"/>
        <v>77.470249999999993</v>
      </c>
      <c r="DQ252" s="104">
        <f t="shared" si="169"/>
        <v>512.11776750000001</v>
      </c>
      <c r="DR252" s="104">
        <f t="shared" si="174"/>
        <v>2050.703125</v>
      </c>
      <c r="DS252" s="104">
        <f t="shared" si="197"/>
        <v>63.401250000000005</v>
      </c>
      <c r="DT252" s="104">
        <f t="shared" si="170"/>
        <v>278.03923333333341</v>
      </c>
      <c r="DU252" s="104">
        <f t="shared" si="171"/>
        <v>254.65610000000001</v>
      </c>
      <c r="DV252" s="104">
        <f t="shared" si="175"/>
        <v>25.75</v>
      </c>
      <c r="DW252" s="104">
        <f t="shared" si="172"/>
        <v>2.5</v>
      </c>
      <c r="DX252" s="106">
        <f t="shared" si="176"/>
        <v>3264.6377258333337</v>
      </c>
      <c r="DY252" s="109">
        <f t="shared" si="163"/>
        <v>-135.00000000000048</v>
      </c>
      <c r="EA252" s="110">
        <f t="shared" si="218"/>
        <v>2.3730121534457513E-2</v>
      </c>
      <c r="EB252" s="110">
        <f t="shared" si="219"/>
        <v>0.15686817665787908</v>
      </c>
      <c r="EC252" s="110">
        <f t="shared" si="220"/>
        <v>0.62815641342762962</v>
      </c>
      <c r="ED252" s="110">
        <f t="shared" si="241"/>
        <v>1.9420608142306558E-2</v>
      </c>
      <c r="EE252" s="110">
        <f t="shared" si="241"/>
        <v>8.5166948581518617E-2</v>
      </c>
      <c r="EF252" s="110">
        <f t="shared" si="241"/>
        <v>7.8004397849380458E-2</v>
      </c>
      <c r="EG252" s="110">
        <f t="shared" si="241"/>
        <v>7.8875520540114558E-3</v>
      </c>
      <c r="EH252" s="111">
        <f t="shared" si="177"/>
        <v>7.6578175281664625E-4</v>
      </c>
      <c r="EI252" s="110">
        <f t="shared" si="236"/>
        <v>0.99923421824718328</v>
      </c>
      <c r="EK252" s="132">
        <f>(EA252*'Renewable Diesel'!BF261*'Feedstock Conversion Rates'!B$2)+FB252</f>
        <v>201.73591381651642</v>
      </c>
      <c r="EL252" s="132">
        <f>(EB252*'Renewable Diesel'!BF261*'Feedstock Conversion Rates'!B$3)+FC252</f>
        <v>1256.7002352886159</v>
      </c>
      <c r="EM252" s="132">
        <f>(EC252*'Renewable Diesel'!BF261*'Feedstock Conversion Rates'!B$4)+FD252</f>
        <v>4711.8710148688297</v>
      </c>
      <c r="EN252" s="132">
        <f>(ED252*'Renewable Diesel'!BF261*'Feedstock Conversion Rates'!B$5)+FE252</f>
        <v>146.64731261998838</v>
      </c>
      <c r="EO252" s="132">
        <f>(EE252*'Renewable Diesel'!BF261*'Feedstock Conversion Rates'!B$6)+FF252</f>
        <v>798.98432186649768</v>
      </c>
      <c r="EP252" s="132">
        <f>(EF252*'Renewable Diesel'!BF261*'Feedstock Conversion Rates'!B$7)+FG252</f>
        <v>717.74677162112391</v>
      </c>
      <c r="EQ252" s="132">
        <f>(EG252*'Renewable Diesel'!BF261*'Feedstock Conversion Rates'!B$8)+FH252</f>
        <v>73.956754852602302</v>
      </c>
      <c r="ER252" s="132">
        <f>(EH252*'Renewable Diesel'!BF261*'Feedstock Conversion Rates'!B$9)+FI252</f>
        <v>7.0845305619321302</v>
      </c>
      <c r="ES252" s="132">
        <f t="shared" si="179"/>
        <v>7914.7268554961056</v>
      </c>
      <c r="ET252" s="133">
        <f>ES252/'Renewable Diesel'!BF261</f>
        <v>11.655519358237161</v>
      </c>
      <c r="EW252" s="73">
        <f t="shared" si="223"/>
        <v>6418.3290997083914</v>
      </c>
      <c r="EX252" s="73">
        <f t="shared" si="224"/>
        <v>4037.3938735813645</v>
      </c>
      <c r="EY252" s="92">
        <f t="shared" si="164"/>
        <v>0.81093500974722921</v>
      </c>
      <c r="EZ252" s="92">
        <f t="shared" si="164"/>
        <v>0.51011158657708289</v>
      </c>
      <c r="FB252" s="102">
        <f>IF('Renewable Diesel'!$BG261&lt;1,0,(((('Renewable Diesel'!$BG261-1)*'Renewable Diesel'!$BF261)*'RD Feedstock Breakdown'!EA252)*'Feedstock Conversion Rates'!$B$2))</f>
        <v>64.766628487167296</v>
      </c>
      <c r="FC252" s="102">
        <f>IF('Renewable Diesel'!$BG261&lt;1,0,(((('Renewable Diesel'!$BG261-1)*'Renewable Diesel'!$BF261)*'RD Feedstock Breakdown'!EB252)*'Feedstock Conversion Rates'!$B$3))</f>
        <v>403.45933313937201</v>
      </c>
      <c r="FD252" s="102">
        <f>IF('Renewable Diesel'!$BG261&lt;1,0,(((('Renewable Diesel'!$BG261-1)*'Renewable Diesel'!$BF261)*'RD Feedstock Breakdown'!EC252)*'Feedstock Conversion Rates'!$B$4))</f>
        <v>1512.7301516428188</v>
      </c>
      <c r="FE252" s="102">
        <f>IF('Renewable Diesel'!$BG261&lt;1,0,(((('Renewable Diesel'!$BG261-1)*'Renewable Diesel'!$BF261)*'RD Feedstock Breakdown'!ED252)*'Feedstock Conversion Rates'!$B$5))</f>
        <v>47.080620576754569</v>
      </c>
      <c r="FF252" s="102">
        <f>IF('Renewable Diesel'!$BG261&lt;1,0,(((('Renewable Diesel'!$BG261-1)*'Renewable Diesel'!$BF261)*'RD Feedstock Breakdown'!EE252)*'Feedstock Conversion Rates'!$B$6))</f>
        <v>256.51119705172755</v>
      </c>
      <c r="FG252" s="102">
        <f>IF('Renewable Diesel'!$BG261&lt;1,0,(((('Renewable Diesel'!$BG261-1)*'Renewable Diesel'!$BF261)*'RD Feedstock Breakdown'!EF252)*'Feedstock Conversion Rates'!$B$7))</f>
        <v>230.43015805172499</v>
      </c>
      <c r="FH252" s="102">
        <f>IF('Renewable Diesel'!$BG261&lt;1,0,(((('Renewable Diesel'!$BG261-1)*'Renewable Diesel'!$BF261)*'RD Feedstock Breakdown'!EG252)*'Feedstock Conversion Rates'!$B$8))</f>
        <v>23.743564420619499</v>
      </c>
      <c r="FI252" s="102">
        <f>IF('Renewable Diesel'!$BG261&lt;1,0,(((('Renewable Diesel'!$BG261-1)*'Renewable Diesel'!$BF261)*'RD Feedstock Breakdown'!EH252)*'Feedstock Conversion Rates'!$B$9))</f>
        <v>2.2744644234638747</v>
      </c>
      <c r="FJ252" s="102">
        <f t="shared" si="225"/>
        <v>2540.9961177936484</v>
      </c>
      <c r="GD252" s="91">
        <f>'Renewable Diesel'!BB261*0.32</f>
        <v>0</v>
      </c>
      <c r="GE252" s="91">
        <f>'Renewable Diesel'!BC261</f>
        <v>408.058415897288</v>
      </c>
      <c r="GF252" s="91">
        <f>'Renewable Diesel'!BD261</f>
        <v>0</v>
      </c>
      <c r="GG252" s="91">
        <f t="shared" si="206"/>
        <v>408.058415897288</v>
      </c>
      <c r="GH252" s="124">
        <v>1</v>
      </c>
      <c r="GI252" s="102">
        <f>$GG252*EA252*'Feedstock Conversion Rates'!$B$2</f>
        <v>82.307844320407256</v>
      </c>
      <c r="GJ252" s="102">
        <f>$GG252*EB252*'Feedstock Conversion Rates'!$B$3</f>
        <v>512.73115117039765</v>
      </c>
      <c r="GK252" s="102">
        <f>$GG252*EC252*'Feedstock Conversion Rates'!$B$4</f>
        <v>1922.4338324925038</v>
      </c>
      <c r="GL252" s="102">
        <f>$GG252*ED252*'Feedstock Conversion Rates'!$B$5</f>
        <v>59.831806587052476</v>
      </c>
      <c r="GM252" s="102">
        <f>$GG252*EE252*'Feedstock Conversion Rates'!$B$6</f>
        <v>325.98398537231492</v>
      </c>
      <c r="GN252" s="102">
        <f>$GG252*EF252*'Feedstock Conversion Rates'!$B$7</f>
        <v>292.83922937884807</v>
      </c>
      <c r="GO252" s="102">
        <f>$GG252*EG252*'Feedstock Conversion Rates'!$B$8</f>
        <v>30.174206216881075</v>
      </c>
      <c r="GP252" s="102">
        <f>$GG252*EH252*'Feedstock Conversion Rates'!B$9</f>
        <v>2.8904741230410353</v>
      </c>
      <c r="GQ252" s="102">
        <f t="shared" si="180"/>
        <v>3229.1925296614468</v>
      </c>
      <c r="GR252" s="85">
        <f t="shared" si="204"/>
        <v>7.9135545398829947</v>
      </c>
      <c r="GT252" s="103">
        <f t="shared" si="159"/>
        <v>2.548867667826438E-2</v>
      </c>
      <c r="GU252" s="103">
        <f t="shared" si="159"/>
        <v>0.15877998801890988</v>
      </c>
      <c r="GV252" s="103">
        <f t="shared" si="159"/>
        <v>0.59532958002168268</v>
      </c>
      <c r="GW252" s="103">
        <f t="shared" si="159"/>
        <v>1.852841106173541E-2</v>
      </c>
      <c r="GX252" s="103">
        <f t="shared" si="158"/>
        <v>0.10094907082127173</v>
      </c>
      <c r="GY252" s="103">
        <f t="shared" si="158"/>
        <v>9.0684970527152131E-2</v>
      </c>
      <c r="GZ252" s="103">
        <f t="shared" si="158"/>
        <v>9.3441954729297592E-3</v>
      </c>
      <c r="HA252" s="103">
        <f t="shared" si="158"/>
        <v>8.9510739805411291E-4</v>
      </c>
    </row>
    <row r="253" spans="1:209" x14ac:dyDescent="0.25">
      <c r="A253" s="96">
        <v>48122</v>
      </c>
      <c r="B253" s="104">
        <f>61+88+162+33.5-22-4-8.5-18-31-70-23-58+40-35+20-3-15-60-40-1-1+35+30+3+28+7.5+1-3-1.5+9.5+10-30-103-1+100-100</f>
        <v>0.5</v>
      </c>
      <c r="C253" s="112">
        <f>50-1+1+7-57+15+41-26-5-0.5-15-9</f>
        <v>0.5</v>
      </c>
      <c r="D253" s="104">
        <f t="shared" ref="D253:D276" si="242">1+1</f>
        <v>2</v>
      </c>
      <c r="E253" s="104">
        <f>('Renewable Diesel'!B262*E$3*'Feedstock Conversion Rates'!$B$2)/12-57.5+8+12.5+52.5-76+18+23+45+50-2.5-3-28-2-9.5+30-40+26+0.5-20-15+50-147+100</f>
        <v>104.93</v>
      </c>
      <c r="F253" s="104">
        <f>('Renewable Diesel'!B262*'RD Feedstock Breakdown'!F$3*'Feedstock Conversion Rates'!B$8)/12-13.5+1.5-2+36-10+10-61+25+8+1-29+1.5-15</f>
        <v>6.40625</v>
      </c>
      <c r="G253" s="104">
        <f>('Renewable Diesel'!B262*'RD Feedstock Breakdown'!G$3*'Feedstock Conversion Rates'!B$7)/12-25-15-25+4+4-20-40-20+10-17.5+20+50-12+32.5+35-75-75+22.5+5-20+15+125-10-60+5-85+45</f>
        <v>49.657000000000011</v>
      </c>
      <c r="H253" s="104">
        <f>('Renewable Diesel'!B262*'RD Feedstock Breakdown'!H$3*'Feedstock Conversion Rates'!B$3)/12-85+4-15+70-65-80+50-22.5-5+25+27.5+15+50+15-10+5+50+75-5-25-85-12.5+30+22.5-25-30+150+90-120+25+10+20+85-30-45-50+147-100</f>
        <v>332.40022499999998</v>
      </c>
      <c r="I253" s="106">
        <f t="shared" si="203"/>
        <v>496.39347499999997</v>
      </c>
      <c r="J253" s="104">
        <f>87-50+15+53+55-6+84+19-11-40-29-30-13-50-7+30+25+15-7.5-45-10-1-55+5+15+18+90-5+15+5-100-70+11+40-24-14-5+35-44</f>
        <v>0.5</v>
      </c>
      <c r="K253" s="104"/>
      <c r="L253" s="104">
        <v>1</v>
      </c>
      <c r="M253" s="104">
        <f>('Renewable Diesel'!C262*'RD Feedstock Breakdown'!M$3*'Feedstock Conversion Rates'!B$2)/12</f>
        <v>7.7902500000000003</v>
      </c>
      <c r="N253" s="104">
        <f>('Renewable Diesel'!C262*'RD Feedstock Breakdown'!N$3*'Feedstock Conversion Rates'!B$8)/12</f>
        <v>3.671875</v>
      </c>
      <c r="O253" s="104">
        <f>('Renewable Diesel'!C262*'RD Feedstock Breakdown'!O$3*'Feedstock Conversion Rates'!B$7)/12</f>
        <v>11.9991</v>
      </c>
      <c r="P253" s="104">
        <f>('Renewable Diesel'!C262*'RD Feedstock Breakdown'!P$3*'Feedstock Conversion Rates'!B$3)/12</f>
        <v>10.4470425</v>
      </c>
      <c r="Q253" s="106">
        <f t="shared" si="216"/>
        <v>35.408267500000001</v>
      </c>
      <c r="R253" s="104">
        <f>('Renewable Diesel'!D262*'RD Feedstock Breakdown'!R$3*'Feedstock Conversion Rates'!B$7)/12</f>
        <v>2.2999999999999998</v>
      </c>
      <c r="S253" s="106">
        <f t="shared" si="148"/>
        <v>2.2999999999999998</v>
      </c>
      <c r="T253" s="104">
        <f t="shared" si="221"/>
        <v>0.82500000000000284</v>
      </c>
      <c r="U253" s="104">
        <v>30</v>
      </c>
      <c r="V253" s="104">
        <f>('Renewable Diesel'!E262*'RD Feedstock Breakdown'!V$3*'Feedstock Conversion Rates'!B$6)/12-20+25-35+15</f>
        <v>29.250150000000012</v>
      </c>
      <c r="W253" s="104">
        <f>('Renewable Diesel'!E262*'RD Feedstock Breakdown'!W$3*'Feedstock Conversion Rates'!B$8)/12-6-10</f>
        <v>6.1796875</v>
      </c>
      <c r="X253" s="106">
        <f t="shared" si="185"/>
        <v>66.254837500000008</v>
      </c>
      <c r="Y253" s="104">
        <f>50+32-80+171+60-15-75-30-15-5-47.5+5-22.5+85-70+57.5+18+10+25+7-7-7</f>
        <v>146.5</v>
      </c>
      <c r="Z253" s="104">
        <f>('Renewable Diesel'!F262*'RD Feedstock Breakdown'!Z$3*'Feedstock Conversion Rates'!B$6)/12-50-32-60+15+15+47.5+22.5-85+70-10-25-7+7+7</f>
        <v>74.460000000000008</v>
      </c>
      <c r="AA253" s="104">
        <f>('Renewable Diesel'!F262*'RD Feedstock Breakdown'!AA$3*'Feedstock Conversion Rates'!B$7)/12+80-171+75+30-57.5-18</f>
        <v>42.766666666666652</v>
      </c>
      <c r="AB253" s="106">
        <f t="shared" si="235"/>
        <v>263.72666666666669</v>
      </c>
      <c r="AC253" s="104">
        <f>('Renewable Diesel'!G262*'RD Feedstock Breakdown'!AC$3*'Feedstock Conversion Rates'!B$5)/12</f>
        <v>11.796875</v>
      </c>
      <c r="AD253" s="104">
        <f>('Renewable Diesel'!G262*'RD Feedstock Breakdown'!AD$3*'Feedstock Conversion Rates'!B$4)/12</f>
        <v>5.859375</v>
      </c>
      <c r="AE253" s="104">
        <f>('Renewable Diesel'!G262*'RD Feedstock Breakdown'!AE$3*'Feedstock Conversion Rates'!B$6)/12</f>
        <v>7.3281250000000009</v>
      </c>
      <c r="AF253" s="106">
        <f t="shared" si="198"/>
        <v>24.984375</v>
      </c>
      <c r="AG253" s="104">
        <f t="shared" si="230"/>
        <v>6.5</v>
      </c>
      <c r="AH253" s="104">
        <v>135</v>
      </c>
      <c r="AI253" s="104">
        <f>('Renewable Diesel'!H262*'RD Feedstock Breakdown'!AI$3*'Feedstock Conversion Rates'!B$6)/12-130-20+51-120+105-37.5+20-10</f>
        <v>7.0166666666666799</v>
      </c>
      <c r="AJ253" s="106">
        <f t="shared" si="145"/>
        <v>13.51666666666668</v>
      </c>
      <c r="AK253" s="104">
        <f>('Renewable Diesel'!J262*'RD Feedstock Breakdown'!AK$3*'Feedstock Conversion Rates'!B$4)/12</f>
        <v>95.8125</v>
      </c>
      <c r="AL253" s="106">
        <f t="shared" si="157"/>
        <v>95.8125</v>
      </c>
      <c r="AM253" s="104">
        <f>('Renewable Diesel'!K262*'RD Feedstock Breakdown'!AM$3*'Feedstock Conversion Rates'!B$4)/12+5+15-10+4+5-28</f>
        <v>49.59375</v>
      </c>
      <c r="AN253" s="104">
        <f>('Renewable Diesel'!K262*'RD Feedstock Breakdown'!AN$3*'Feedstock Conversion Rates'!B$6)/12-5-15+10-4-5+28</f>
        <v>33.427083333333329</v>
      </c>
      <c r="AO253" s="106">
        <f t="shared" si="173"/>
        <v>83.020833333333329</v>
      </c>
      <c r="AP253" s="104">
        <f>('Renewable Diesel'!L262*'RD Feedstock Breakdown'!AP$3*'Feedstock Conversion Rates'!B$4)/12+15-10+5+2+7</f>
        <v>77.59375</v>
      </c>
      <c r="AQ253" s="104">
        <f>('Renewable Diesel'!L262*'RD Feedstock Breakdown'!AQ$3*'Feedstock Conversion Rates'!B$6)/12-15+10-5-2-7</f>
        <v>5.4270833333333321</v>
      </c>
      <c r="AR253" s="106">
        <f t="shared" si="162"/>
        <v>83.020833333333329</v>
      </c>
      <c r="AS253" s="104">
        <f>('Renewable Diesel'!M262*'RD Feedstock Breakdown'!AS$3*'Feedstock Conversion Rates'!B$4)/12-25-30</f>
        <v>401.25</v>
      </c>
      <c r="AT253" s="104">
        <f>('Renewable Diesel'!M262*'RD Feedstock Breakdown'!AT$3*'Feedstock Conversion Rates'!B$5)/12+25+30</f>
        <v>55</v>
      </c>
      <c r="AU253" s="106">
        <f t="shared" si="201"/>
        <v>456.25</v>
      </c>
      <c r="AV253" s="104">
        <f>'Renewable Diesel'!N262*'RD Feedstock Breakdown'!$AV$3*'Feedstock Conversion Rates'!$B$4/12-15-10+25+25-22+15-62.5+1</f>
        <v>35.249999999999986</v>
      </c>
      <c r="AW253" s="104">
        <f>'Renewable Diesel'!N262*'RD Feedstock Breakdown'!$AW$3*'Feedstock Conversion Rates'!$B$7/12+15+10-25-25+22-15+62.5-1</f>
        <v>84.9</v>
      </c>
      <c r="AX253" s="106">
        <f t="shared" si="239"/>
        <v>120.14999999999999</v>
      </c>
      <c r="AY253" s="104">
        <f>('Renewable Diesel'!O262*'RD Feedstock Breakdown'!AY$3*'Feedstock Conversion Rates'!B$4)/12+12+3+19-125-100-157</f>
        <v>-137.0625</v>
      </c>
      <c r="AZ253" s="104">
        <f>('Renewable Diesel'!O262*'RD Feedstock Breakdown'!AZ$3*'Feedstock Conversion Rates'!B$3)/12-15-19+125+100+157</f>
        <v>373.03125</v>
      </c>
      <c r="BA253" s="106">
        <f t="shared" si="217"/>
        <v>235.96875</v>
      </c>
      <c r="BB253" s="104">
        <f>('Renewable Diesel'!Q262*'RD Feedstock Breakdown'!BB$3*'Feedstock Conversion Rates'!B$4)/12-10</f>
        <v>1.1562499999999982</v>
      </c>
      <c r="BC253" s="104">
        <f>('Renewable Diesel'!Q262*'RD Feedstock Breakdown'!BC$3*'Feedstock Conversion Rates'!B$3)/12+10</f>
        <v>11.40175</v>
      </c>
      <c r="BD253" s="104">
        <f>('Renewable Diesel'!Q262*'RD Feedstock Breakdown'!BD$3*'Feedstock Conversion Rates'!B$6)/12</f>
        <v>0.8207500000000002</v>
      </c>
      <c r="BE253" s="106">
        <f t="shared" si="189"/>
        <v>13.378749999999998</v>
      </c>
      <c r="BF253" s="104">
        <f>('Renewable Diesel'!R262*'RD Feedstock Breakdown'!BF$3*'Feedstock Conversion Rates'!B$4)/12</f>
        <v>62.5</v>
      </c>
      <c r="BG253" s="106">
        <f t="shared" si="167"/>
        <v>62.5</v>
      </c>
      <c r="BH253" s="104">
        <f>('Renewable Diesel'!T262*'RD Feedstock Breakdown'!BH$3*'Feedstock Conversion Rates'!B$7)/12</f>
        <v>27.599999999999998</v>
      </c>
      <c r="BI253" s="106">
        <f t="shared" ref="BI253:BI316" si="243">BH253</f>
        <v>27.599999999999998</v>
      </c>
      <c r="BJ253" s="104">
        <f>('Renewable Diesel'!W262*'RD Feedstock Breakdown'!BJ$3*'Feedstock Conversion Rates'!B$4)/12</f>
        <v>7.5</v>
      </c>
      <c r="BK253" s="104">
        <f>('Renewable Diesel'!W262*'RD Feedstock Breakdown'!BK$3*'Feedstock Conversion Rates'!B$3)/12</f>
        <v>1.335</v>
      </c>
      <c r="BL253" s="104">
        <f>('Renewable Diesel'!W262*'RD Feedstock Breakdown'!BL$3*'Feedstock Conversion Rates'!B$6)/12</f>
        <v>3.1266666666666669</v>
      </c>
      <c r="BM253" s="104">
        <f>('Renewable Diesel'!W262*'RD Feedstock Breakdown'!BM$3*'Feedstock Conversion Rates'!B$7)/12</f>
        <v>1.5333333333333332</v>
      </c>
      <c r="BN253" s="106">
        <f t="shared" si="209"/>
        <v>13.495000000000001</v>
      </c>
      <c r="BO253" s="104">
        <f>('Renewable Diesel'!P262*'Feedstock Conversion Rates'!B$4)/12</f>
        <v>31.25</v>
      </c>
      <c r="BP253" s="106">
        <f t="shared" si="199"/>
        <v>31.25</v>
      </c>
      <c r="BQ253" s="104">
        <f>('Renewable Diesel'!$S262*'RD Feedstock Breakdown'!BQ$3*'Feedstock Conversion Rates'!B$4)/12+10</f>
        <v>38.125</v>
      </c>
      <c r="BR253" s="104">
        <f>('Renewable Diesel'!$S262*'RD Feedstock Breakdown'!BR$3*'Feedstock Conversion Rates'!B$7)/12-10</f>
        <v>1.5</v>
      </c>
      <c r="BS253" s="106">
        <f t="shared" si="222"/>
        <v>39.625</v>
      </c>
      <c r="BT253" s="106"/>
      <c r="BU253" s="104">
        <f>('Renewable Diesel'!Y262*'Feedstock Conversion Rates'!B$7)/12</f>
        <v>2.6833333333333331</v>
      </c>
      <c r="BV253" s="106">
        <f t="shared" si="191"/>
        <v>2.6833333333333331</v>
      </c>
      <c r="BW253" s="104">
        <f>('Renewable Diesel'!$Z262*'RD Feedstock Breakdown'!BW$3*'Feedstock Conversion Rates'!$B$4)/12</f>
        <v>71.875</v>
      </c>
      <c r="BX253" s="104">
        <f>('Renewable Diesel'!$Z262*'RD Feedstock Breakdown'!BX$3*'Feedstock Conversion Rates'!$B$5)/12</f>
        <v>7.2354166666666666</v>
      </c>
      <c r="BY253" s="104">
        <f>('Renewable Diesel'!$Z262*'RD Feedstock Breakdown'!BY$3*'Feedstock Conversion Rates'!$B$7)/12</f>
        <v>61.716666666666661</v>
      </c>
      <c r="BZ253" s="104">
        <f>('Renewable Diesel'!$Z262*'RD Feedstock Breakdown'!BZ$3*'Feedstock Conversion Rates'!$B$3)/12</f>
        <v>15.352499999999999</v>
      </c>
      <c r="CA253" s="106">
        <f t="shared" si="228"/>
        <v>156.17958333333331</v>
      </c>
      <c r="CB253" s="104">
        <f>('Renewable Diesel'!AA262*'Feedstock Conversion Rates'!B$4)/12</f>
        <v>191.25</v>
      </c>
      <c r="CC253" s="106">
        <f t="shared" si="213"/>
        <v>191.25</v>
      </c>
      <c r="CD253" s="104">
        <f>('Renewable Diesel'!$AB262*'RD Feedstock Breakdown'!CD$3*'Feedstock Conversion Rates'!$B$6)/12-15</f>
        <v>17.830000000000005</v>
      </c>
      <c r="CE253" s="104">
        <f>('Renewable Diesel'!$AB262*'RD Feedstock Breakdown'!CE$3*'Feedstock Conversion Rates'!$B$4)/12+15</f>
        <v>26.25</v>
      </c>
      <c r="CF253" s="106">
        <f t="shared" si="205"/>
        <v>44.080000000000005</v>
      </c>
      <c r="CG253" s="104">
        <f>('Renewable Diesel'!AD262*'Feedstock Conversion Rates'!B$4)/12</f>
        <v>112.5</v>
      </c>
      <c r="CH253" s="106">
        <f t="shared" si="187"/>
        <v>112.5</v>
      </c>
      <c r="CI253" s="104">
        <f>('Renewable Diesel'!$AE262*'RD Feedstock Breakdown'!CI$3*'Feedstock Conversion Rates'!$B$5)/12</f>
        <v>0.34604166666666664</v>
      </c>
      <c r="CJ253" s="104">
        <f>('Renewable Diesel'!$AE262*'RD Feedstock Breakdown'!CJ$3*'Feedstock Conversion Rates'!$B$4)/12</f>
        <v>0.34375</v>
      </c>
      <c r="CK253" s="106">
        <f t="shared" si="200"/>
        <v>0.68979166666666658</v>
      </c>
      <c r="CL253" s="104">
        <f>(((CL$3*'Renewable Diesel'!$AF262)*'Feedstock Conversion Rates'!$B$3)/12)-25</f>
        <v>66.78125</v>
      </c>
      <c r="CM253" s="104">
        <f>(((CM$3*'Renewable Diesel'!$AF262)*'Feedstock Conversion Rates'!$B$6)/12)+25</f>
        <v>78.739583333333343</v>
      </c>
      <c r="CN253" s="104">
        <f>(((CN$3*'Renewable Diesel'!$AF262)*'Feedstock Conversion Rates'!$B$4)/12)</f>
        <v>42.96875</v>
      </c>
      <c r="CO253" s="106">
        <f t="shared" si="190"/>
        <v>188.48958333333334</v>
      </c>
      <c r="CP253" s="104">
        <f>('Renewable Diesel'!$AG262*'RD Feedstock Breakdown'!CP$3*'Feedstock Conversion Rates'!$B$3)/12</f>
        <v>6.0075000000000003</v>
      </c>
      <c r="CQ253" s="104">
        <f>('Renewable Diesel'!$AG262*'RD Feedstock Breakdown'!CQ$3*'Feedstock Conversion Rates'!$B$6)/12</f>
        <v>3.5175000000000001</v>
      </c>
      <c r="CR253" s="104">
        <f>('Renewable Diesel'!$AG262*'RD Feedstock Breakdown'!CR$3*'Feedstock Conversion Rates'!$B$4)/12</f>
        <v>2.8125</v>
      </c>
      <c r="CS253" s="106">
        <f t="shared" si="231"/>
        <v>12.3375</v>
      </c>
      <c r="CT253" s="104">
        <f>('Renewable Diesel'!AI262*'Feedstock Conversion Rates'!$B$4*'RD Feedstock Breakdown'!$CT$3)/12</f>
        <v>29.375</v>
      </c>
      <c r="CU253" s="106">
        <f t="shared" si="196"/>
        <v>29.375</v>
      </c>
      <c r="CV253" s="104">
        <f>('Renewable Diesel'!AN262*'Feedstock Conversion Rates'!$B$3*'RD Feedstock Breakdown'!$CV$3)/12</f>
        <v>0.50062499999999999</v>
      </c>
      <c r="CW253" s="106">
        <f t="shared" si="161"/>
        <v>0.50062499999999999</v>
      </c>
      <c r="CX253" s="104">
        <f>('Renewable Diesel'!AO262*'RD Feedstock Breakdown'!$CX$3*'Feedstock Conversion Rates'!$B$3)/12</f>
        <v>6.3412499999999996</v>
      </c>
      <c r="CY253" s="104">
        <f>('Renewable Diesel'!AO262*'RD Feedstock Breakdown'!$CY$3*'Feedstock Conversion Rates'!$B$6)/12</f>
        <v>7.4258333333333342</v>
      </c>
      <c r="CZ253" s="106">
        <f t="shared" si="233"/>
        <v>13.767083333333334</v>
      </c>
      <c r="DA253" s="104">
        <f>('Renewable Diesel'!$AP262*'RD Feedstock Breakdown'!DA$3*'Feedstock Conversion Rates'!$B$3)/12</f>
        <v>6.3412499999999996</v>
      </c>
      <c r="DB253" s="104">
        <f>('Renewable Diesel'!$AP262*'RD Feedstock Breakdown'!DB$3*'Feedstock Conversion Rates'!$B$8)/12</f>
        <v>7.421875</v>
      </c>
      <c r="DC253" s="106">
        <f t="shared" si="165"/>
        <v>13.763124999999999</v>
      </c>
      <c r="DD253" s="104">
        <f>('Renewable Diesel'!AQ262*$DD$3*'Feedstock Conversion Rates'!$B$14)/12</f>
        <v>3.1041666666666665</v>
      </c>
      <c r="DE253" s="106">
        <f t="shared" si="166"/>
        <v>3.1041666666666665</v>
      </c>
      <c r="DF253" s="104">
        <f>('Renewable Diesel'!AR262*'Feedstock Conversion Rates'!$B$4*$DF$3)/12</f>
        <v>75</v>
      </c>
      <c r="DG253" s="106">
        <f t="shared" si="234"/>
        <v>75</v>
      </c>
      <c r="DH253" s="104">
        <f>('Renewable Diesel'!AS262*'Feedstock Conversion Rates'!$B$4*$DH$3)/12</f>
        <v>75</v>
      </c>
      <c r="DI253" s="106">
        <f t="shared" si="240"/>
        <v>75</v>
      </c>
      <c r="DJ253" s="104">
        <f>('Renewable Diesel'!AT262*'Feedstock Conversion Rates'!$B$4*0.25)/12</f>
        <v>8.59375</v>
      </c>
      <c r="DK253" s="104">
        <f>('Renewable Diesel'!$AT262*'RD Feedstock Breakdown'!DK$3*'Feedstock Conversion Rates'!$B$3)/12*0.5</f>
        <v>9.1781249999999996</v>
      </c>
      <c r="DL253" s="104">
        <f>('Renewable Diesel'!$AT262*'RD Feedstock Breakdown'!$DL$3*'Feedstock Conversion Rates'!$B$6)/12</f>
        <v>10.747916666666669</v>
      </c>
      <c r="DM253" s="104">
        <f>('Renewable Diesel'!$AT262*'RD Feedstock Breakdown'!$DM$3*'Feedstock Conversion Rates'!$B$8)/12</f>
        <v>10.7421875</v>
      </c>
      <c r="DN253" s="106">
        <f t="shared" si="210"/>
        <v>39.26197916666667</v>
      </c>
      <c r="DP253" s="104">
        <f t="shared" si="168"/>
        <v>112.72025000000001</v>
      </c>
      <c r="DQ253" s="104">
        <f t="shared" si="169"/>
        <v>839.11776750000001</v>
      </c>
      <c r="DR253" s="104">
        <f t="shared" si="174"/>
        <v>1608.703125</v>
      </c>
      <c r="DS253" s="104">
        <f t="shared" si="197"/>
        <v>93.901250000000005</v>
      </c>
      <c r="DT253" s="104">
        <f t="shared" si="170"/>
        <v>286.53923333333341</v>
      </c>
      <c r="DU253" s="104">
        <f t="shared" si="171"/>
        <v>286.65609999999998</v>
      </c>
      <c r="DV253" s="104">
        <f t="shared" si="175"/>
        <v>27</v>
      </c>
      <c r="DW253" s="104">
        <f t="shared" si="172"/>
        <v>3</v>
      </c>
      <c r="DX253" s="106">
        <f t="shared" si="176"/>
        <v>3257.6377258333337</v>
      </c>
      <c r="DY253" s="109">
        <f t="shared" si="163"/>
        <v>-135.00000000000048</v>
      </c>
      <c r="EA253" s="110">
        <f t="shared" si="218"/>
        <v>3.4601837124527142E-2</v>
      </c>
      <c r="EB253" s="110">
        <f t="shared" si="219"/>
        <v>0.25758474026922251</v>
      </c>
      <c r="EC253" s="110">
        <f t="shared" si="220"/>
        <v>0.49382505373229585</v>
      </c>
      <c r="ED253" s="110">
        <f t="shared" si="241"/>
        <v>2.8824951668307192E-2</v>
      </c>
      <c r="EE253" s="110">
        <f t="shared" si="241"/>
        <v>8.7959207698589031E-2</v>
      </c>
      <c r="EF253" s="110">
        <f t="shared" si="241"/>
        <v>8.7995082364989097E-2</v>
      </c>
      <c r="EG253" s="110">
        <f t="shared" si="241"/>
        <v>8.288214427862187E-3</v>
      </c>
      <c r="EH253" s="111">
        <f t="shared" si="177"/>
        <v>9.2091271420690973E-4</v>
      </c>
      <c r="EI253" s="110">
        <f t="shared" si="236"/>
        <v>0.99907908728579298</v>
      </c>
      <c r="EK253" s="132">
        <f>(EA253*'Renewable Diesel'!BF262*'Feedstock Conversion Rates'!B$2)+FB253</f>
        <v>319.63843868674763</v>
      </c>
      <c r="EL253" s="132">
        <f>(EB253*'Renewable Diesel'!BF262*'Feedstock Conversion Rates'!B$3)+FC253</f>
        <v>2242.2992137404763</v>
      </c>
      <c r="EM253" s="132">
        <f>(EC253*'Renewable Diesel'!BF262*'Feedstock Conversion Rates'!B$4)+FD253</f>
        <v>4025.087265249394</v>
      </c>
      <c r="EN253" s="132">
        <f>(ED253*'Renewable Diesel'!BF262*'Feedstock Conversion Rates'!B$5)+FE253</f>
        <v>236.51378419274198</v>
      </c>
      <c r="EO253" s="132">
        <f>(EE253*'Renewable Diesel'!BF262*'Feedstock Conversion Rates'!B$6)+FF253</f>
        <v>896.65435989096045</v>
      </c>
      <c r="EP253" s="132">
        <f>(EF253*'Renewable Diesel'!BF262*'Feedstock Conversion Rates'!B$7)+FG253</f>
        <v>879.80646083618603</v>
      </c>
      <c r="EQ253" s="132">
        <f>(EG253*'Renewable Diesel'!BF262*'Feedstock Conversion Rates'!B$8)+FH253</f>
        <v>84.444850694354841</v>
      </c>
      <c r="ER253" s="132">
        <f>(EH253*'Renewable Diesel'!BF262*'Feedstock Conversion Rates'!B$9)+FI253</f>
        <v>9.2576577057514946</v>
      </c>
      <c r="ES253" s="132">
        <f t="shared" si="179"/>
        <v>8693.7020309966119</v>
      </c>
      <c r="ET253" s="133">
        <f>ES253/'Renewable Diesel'!BF262</f>
        <v>12.48482261397112</v>
      </c>
      <c r="EW253" s="73">
        <f t="shared" si="223"/>
        <v>5792.626228324365</v>
      </c>
      <c r="EX253" s="73">
        <f t="shared" si="224"/>
        <v>6024.3800615018645</v>
      </c>
      <c r="EY253" s="92">
        <f t="shared" si="164"/>
        <v>0.66630144530733604</v>
      </c>
      <c r="EZ253" s="92">
        <f t="shared" si="164"/>
        <v>0.6929591145432038</v>
      </c>
      <c r="FB253" s="102">
        <f>IF('Renewable Diesel'!$BG262&lt;1,0,(((('Renewable Diesel'!$BG262-1)*'Renewable Diesel'!$BF262)*'RD Feedstock Breakdown'!EA253)*'Feedstock Conversion Rates'!$B$2))</f>
        <v>114.83348443235337</v>
      </c>
      <c r="FC253" s="102">
        <f>IF('Renewable Diesel'!$BG262&lt;1,0,(((('Renewable Diesel'!$BG262-1)*'Renewable Diesel'!$BF262)*'RD Feedstock Breakdown'!EB253)*'Feedstock Conversion Rates'!$B$3))</f>
        <v>805.56967088082843</v>
      </c>
      <c r="FD253" s="102">
        <f>IF('Renewable Diesel'!$BG262&lt;1,0,(((('Renewable Diesel'!$BG262-1)*'Renewable Diesel'!$BF262)*'RD Feedstock Breakdown'!EC253)*'Feedstock Conversion Rates'!$B$4))</f>
        <v>1446.0551043607752</v>
      </c>
      <c r="FE253" s="102">
        <f>IF('Renewable Diesel'!$BG262&lt;1,0,(((('Renewable Diesel'!$BG262-1)*'Renewable Diesel'!$BF262)*'RD Feedstock Breakdown'!ED253)*'Feedstock Conversion Rates'!$B$5))</f>
        <v>84.970074521454222</v>
      </c>
      <c r="FF253" s="102">
        <f>IF('Renewable Diesel'!$BG262&lt;1,0,(((('Renewable Diesel'!$BG262-1)*'Renewable Diesel'!$BF262)*'RD Feedstock Breakdown'!EE253)*'Feedstock Conversion Rates'!$B$6))</f>
        <v>322.13254732685374</v>
      </c>
      <c r="FG253" s="102">
        <f>IF('Renewable Diesel'!$BG262&lt;1,0,(((('Renewable Diesel'!$BG262-1)*'Renewable Diesel'!$BF262)*'RD Feedstock Breakdown'!EF253)*'Feedstock Conversion Rates'!$B$7))</f>
        <v>316.07976168013016</v>
      </c>
      <c r="FH253" s="102">
        <f>IF('Renewable Diesel'!$BG262&lt;1,0,(((('Renewable Diesel'!$BG262-1)*'Renewable Diesel'!$BF262)*'RD Feedstock Breakdown'!EG253)*'Feedstock Conversion Rates'!$B$8))</f>
        <v>30.337704336949155</v>
      </c>
      <c r="FI253" s="102">
        <f>IF('Renewable Diesel'!$BG262&lt;1,0,(((('Renewable Diesel'!$BG262-1)*'Renewable Diesel'!$BF262)*'RD Feedstock Breakdown'!EH253)*'Feedstock Conversion Rates'!$B$9))</f>
        <v>3.3259112902729449</v>
      </c>
      <c r="FJ253" s="102">
        <f t="shared" si="225"/>
        <v>3123.3042588296171</v>
      </c>
      <c r="GD253" s="91">
        <f>'Renewable Diesel'!BB262*0.32</f>
        <v>0</v>
      </c>
      <c r="GE253" s="91">
        <f>'Renewable Diesel'!BC262</f>
        <v>398.55344225845425</v>
      </c>
      <c r="GF253" s="91">
        <f>'Renewable Diesel'!BD262</f>
        <v>0</v>
      </c>
      <c r="GG253" s="91">
        <f t="shared" si="206"/>
        <v>398.55344225845425</v>
      </c>
      <c r="GH253" s="124">
        <v>1</v>
      </c>
      <c r="GI253" s="102">
        <f>$GG253*EA253*'Feedstock Conversion Rates'!$B$2</f>
        <v>117.22079100279667</v>
      </c>
      <c r="GJ253" s="102">
        <f>$GG253*EB253*'Feedstock Conversion Rates'!$B$3</f>
        <v>822.31689210946354</v>
      </c>
      <c r="GK253" s="102">
        <f>$GG253*EC253*'Feedstock Conversion Rates'!$B$4</f>
        <v>1476.1175627885448</v>
      </c>
      <c r="GL253" s="102">
        <f>$GG253*ED253*'Feedstock Conversion Rates'!$B$5</f>
        <v>86.736542013047412</v>
      </c>
      <c r="GM253" s="102">
        <f>$GG253*EE253*'Feedstock Conversion Rates'!$B$6</f>
        <v>328.82945416189858</v>
      </c>
      <c r="GN253" s="102">
        <f>$GG253*EF253*'Feedstock Conversion Rates'!$B$7</f>
        <v>322.65083540111999</v>
      </c>
      <c r="GO253" s="102">
        <f>$GG253*EG253*'Feedstock Conversion Rates'!$B$8</f>
        <v>30.968403660006185</v>
      </c>
      <c r="GP253" s="102">
        <f>$GG253*EH253*'Feedstock Conversion Rates'!B$9</f>
        <v>3.3950546234673449</v>
      </c>
      <c r="GQ253" s="102">
        <f t="shared" si="180"/>
        <v>3188.2355357603437</v>
      </c>
      <c r="GR253" s="85">
        <f t="shared" si="204"/>
        <v>7.9995182520411756</v>
      </c>
      <c r="GT253" s="103">
        <f t="shared" si="159"/>
        <v>3.6766665978096046E-2</v>
      </c>
      <c r="GU253" s="103">
        <f t="shared" si="159"/>
        <v>0.25792225288441678</v>
      </c>
      <c r="GV253" s="103">
        <f t="shared" si="159"/>
        <v>0.46298886836681402</v>
      </c>
      <c r="GW253" s="103">
        <f t="shared" si="159"/>
        <v>2.7205186392341648E-2</v>
      </c>
      <c r="GX253" s="103">
        <f t="shared" si="158"/>
        <v>0.10313838186471309</v>
      </c>
      <c r="GY253" s="103">
        <f t="shared" si="158"/>
        <v>0.10120043885784391</v>
      </c>
      <c r="GZ253" s="103">
        <f t="shared" si="158"/>
        <v>9.713336205137273E-3</v>
      </c>
      <c r="HA253" s="103">
        <f t="shared" si="158"/>
        <v>1.0648694506372716E-3</v>
      </c>
    </row>
    <row r="254" spans="1:209" x14ac:dyDescent="0.25">
      <c r="A254" s="96">
        <v>48153</v>
      </c>
      <c r="B254" s="104">
        <f>61+88+162+33.5-22-4-8.5-18-31-70-23-58+40-35+20-3-15-60-40-1-1+35+30+3+28+7.5+1-3-1.5+9.5+10-30-103-1+100-100</f>
        <v>0.5</v>
      </c>
      <c r="C254" s="112">
        <f>50-1+1+7-57+15+41-26-5-0.5-15-9</f>
        <v>0.5</v>
      </c>
      <c r="D254" s="104">
        <f t="shared" si="242"/>
        <v>2</v>
      </c>
      <c r="E254" s="104">
        <f>('Renewable Diesel'!B263*E$3*'Feedstock Conversion Rates'!$B$2)/12-57.5+8+12.5+52.5-76+18+23+45+50-2.5-3-28-2-9.5+30-40+26+0.5-20-15+50-147+100</f>
        <v>104.93</v>
      </c>
      <c r="F254" s="104">
        <f>('Renewable Diesel'!B263*'RD Feedstock Breakdown'!F$3*'Feedstock Conversion Rates'!B$8)/12-13.5+1.5-2+36-10+10-61+25+8+1-29+1.5-15</f>
        <v>6.40625</v>
      </c>
      <c r="G254" s="104">
        <f>('Renewable Diesel'!B263*'RD Feedstock Breakdown'!G$3*'Feedstock Conversion Rates'!B$7)/12-25-15-25+4+4-20-40-20+10-17.5+20+50-12+32.5+35-75-75+22.5+5-20+15+125-10-60+5-85+45</f>
        <v>49.657000000000011</v>
      </c>
      <c r="H254" s="104">
        <f>('Renewable Diesel'!B263*'RD Feedstock Breakdown'!H$3*'Feedstock Conversion Rates'!B$3)/12-85+4-15+70-65-80+50-22.5-5+25+27.5+15+50+15-10+5+50+75-5-25-85-12.5+30+22.5-25-30+150+90-120+25+10+20+85-30-45-50+147-100</f>
        <v>332.40022499999998</v>
      </c>
      <c r="I254" s="106">
        <f t="shared" si="203"/>
        <v>496.39347499999997</v>
      </c>
      <c r="J254" s="104">
        <f t="shared" ref="J254:J262" si="244">87-50+15+53+55-6+84+19-11-40-29-30-13-50-7+30+25+15-7.5-45-10-1-55+5+15+18+90-5+15+5-100-70+11+40-24-14-5+35-44</f>
        <v>0.5</v>
      </c>
      <c r="K254" s="104"/>
      <c r="L254" s="104">
        <v>1</v>
      </c>
      <c r="M254" s="104">
        <f>('Renewable Diesel'!C263*'RD Feedstock Breakdown'!M$3*'Feedstock Conversion Rates'!B$2)/12</f>
        <v>7.7902500000000003</v>
      </c>
      <c r="N254" s="104">
        <f>('Renewable Diesel'!C263*'RD Feedstock Breakdown'!N$3*'Feedstock Conversion Rates'!B$8)/12</f>
        <v>3.671875</v>
      </c>
      <c r="O254" s="104">
        <f>('Renewable Diesel'!C263*'RD Feedstock Breakdown'!O$3*'Feedstock Conversion Rates'!B$7)/12</f>
        <v>11.9991</v>
      </c>
      <c r="P254" s="104">
        <f>('Renewable Diesel'!C263*'RD Feedstock Breakdown'!P$3*'Feedstock Conversion Rates'!B$3)/12</f>
        <v>10.4470425</v>
      </c>
      <c r="Q254" s="106">
        <f t="shared" si="216"/>
        <v>35.408267500000001</v>
      </c>
      <c r="R254" s="104">
        <f>('Renewable Diesel'!D263*'RD Feedstock Breakdown'!R$3*'Feedstock Conversion Rates'!B$7)/12</f>
        <v>2.2999999999999998</v>
      </c>
      <c r="S254" s="106">
        <f t="shared" si="148"/>
        <v>2.2999999999999998</v>
      </c>
      <c r="T254" s="104">
        <f t="shared" si="221"/>
        <v>0.82500000000000284</v>
      </c>
      <c r="U254" s="104">
        <v>30</v>
      </c>
      <c r="V254" s="104">
        <f>('Renewable Diesel'!E263*'RD Feedstock Breakdown'!V$3*'Feedstock Conversion Rates'!B$6)/12-20+25-35+15</f>
        <v>29.250150000000012</v>
      </c>
      <c r="W254" s="104">
        <f>('Renewable Diesel'!E263*'RD Feedstock Breakdown'!W$3*'Feedstock Conversion Rates'!B$8)/12-6-10</f>
        <v>6.1796875</v>
      </c>
      <c r="X254" s="106">
        <f t="shared" si="185"/>
        <v>66.254837500000008</v>
      </c>
      <c r="Y254" s="104">
        <f t="shared" ref="Y254:Y264" si="245">50+32-80+171+60-15-75-30-15-5-47.5+5-22.5+85-70+57.5+18+10+25+7-7-7</f>
        <v>146.5</v>
      </c>
      <c r="Z254" s="104">
        <f>('Renewable Diesel'!F263*'RD Feedstock Breakdown'!Z$3*'Feedstock Conversion Rates'!B$6)/12-50-32-60+15+15+47.5+22.5-85+70-10-25-7+7+7</f>
        <v>74.460000000000008</v>
      </c>
      <c r="AA254" s="104">
        <f>('Renewable Diesel'!F263*'RD Feedstock Breakdown'!AA$3*'Feedstock Conversion Rates'!B$7)/12+80-171+75+30-57.5-18</f>
        <v>42.766666666666652</v>
      </c>
      <c r="AB254" s="106">
        <f t="shared" si="235"/>
        <v>263.72666666666669</v>
      </c>
      <c r="AC254" s="104">
        <f>('Renewable Diesel'!G263*'RD Feedstock Breakdown'!AC$3*'Feedstock Conversion Rates'!B$5)/12</f>
        <v>11.796875</v>
      </c>
      <c r="AD254" s="104">
        <f>('Renewable Diesel'!G263*'RD Feedstock Breakdown'!AD$3*'Feedstock Conversion Rates'!B$4)/12</f>
        <v>5.859375</v>
      </c>
      <c r="AE254" s="104">
        <f>('Renewable Diesel'!G263*'RD Feedstock Breakdown'!AE$3*'Feedstock Conversion Rates'!B$6)/12</f>
        <v>7.3281250000000009</v>
      </c>
      <c r="AF254" s="106">
        <f t="shared" si="198"/>
        <v>24.984375</v>
      </c>
      <c r="AG254" s="104">
        <f t="shared" si="230"/>
        <v>6.5</v>
      </c>
      <c r="AH254" s="104">
        <v>135</v>
      </c>
      <c r="AI254" s="104">
        <f>('Renewable Diesel'!H263*'RD Feedstock Breakdown'!AI$3*'Feedstock Conversion Rates'!B$6)/12-130-20+51-120+105-37.5+20-10</f>
        <v>7.0166666666666799</v>
      </c>
      <c r="AJ254" s="106">
        <f t="shared" si="145"/>
        <v>13.51666666666668</v>
      </c>
      <c r="AK254" s="104">
        <f>('Renewable Diesel'!J263*'RD Feedstock Breakdown'!AK$3*'Feedstock Conversion Rates'!B$4)/12</f>
        <v>95.8125</v>
      </c>
      <c r="AL254" s="106">
        <f t="shared" si="157"/>
        <v>95.8125</v>
      </c>
      <c r="AM254" s="104">
        <f>('Renewable Diesel'!K263*'RD Feedstock Breakdown'!AM$3*'Feedstock Conversion Rates'!B$4)/12+5+15-10+4+5-28</f>
        <v>49.59375</v>
      </c>
      <c r="AN254" s="104">
        <f>('Renewable Diesel'!K263*'RD Feedstock Breakdown'!AN$3*'Feedstock Conversion Rates'!B$6)/12-5-15+10-4-5+28</f>
        <v>33.427083333333329</v>
      </c>
      <c r="AO254" s="106">
        <f t="shared" si="173"/>
        <v>83.020833333333329</v>
      </c>
      <c r="AP254" s="104">
        <f>('Renewable Diesel'!L263*'RD Feedstock Breakdown'!AP$3*'Feedstock Conversion Rates'!B$4)/12+15-10+5+2+7</f>
        <v>77.59375</v>
      </c>
      <c r="AQ254" s="104">
        <f>('Renewable Diesel'!L263*'RD Feedstock Breakdown'!AQ$3*'Feedstock Conversion Rates'!B$6)/12-15+10-5-2-7</f>
        <v>5.4270833333333321</v>
      </c>
      <c r="AR254" s="106">
        <f t="shared" si="162"/>
        <v>83.020833333333329</v>
      </c>
      <c r="AS254" s="104">
        <f>('Renewable Diesel'!M263*'RD Feedstock Breakdown'!AS$3*'Feedstock Conversion Rates'!B$4)/12-25-30</f>
        <v>401.25</v>
      </c>
      <c r="AT254" s="104">
        <f>('Renewable Diesel'!M263*'RD Feedstock Breakdown'!AT$3*'Feedstock Conversion Rates'!B$5)/12+25+30</f>
        <v>55</v>
      </c>
      <c r="AU254" s="106">
        <f t="shared" si="201"/>
        <v>456.25</v>
      </c>
      <c r="AV254" s="104">
        <f>'Renewable Diesel'!N263*'RD Feedstock Breakdown'!$AV$3*'Feedstock Conversion Rates'!$B$4/12-15-10+25+25-22+15-62.5+1</f>
        <v>35.249999999999986</v>
      </c>
      <c r="AW254" s="104">
        <f>'Renewable Diesel'!N263*'RD Feedstock Breakdown'!$AW$3*'Feedstock Conversion Rates'!$B$7/12+15+10-25-25+22-15+62.5-1</f>
        <v>84.9</v>
      </c>
      <c r="AX254" s="106">
        <f t="shared" si="239"/>
        <v>120.14999999999999</v>
      </c>
      <c r="AY254" s="104">
        <f>('Renewable Diesel'!O263*'RD Feedstock Breakdown'!AY$3*'Feedstock Conversion Rates'!B$4)/12+12+3+19-125-100-157</f>
        <v>-137.0625</v>
      </c>
      <c r="AZ254" s="104">
        <f>('Renewable Diesel'!O263*'RD Feedstock Breakdown'!AZ$3*'Feedstock Conversion Rates'!B$3)/12-15-19+125+100+157</f>
        <v>373.03125</v>
      </c>
      <c r="BA254" s="106">
        <f t="shared" si="217"/>
        <v>235.96875</v>
      </c>
      <c r="BB254" s="104">
        <f>('Renewable Diesel'!Q263*'RD Feedstock Breakdown'!BB$3*'Feedstock Conversion Rates'!B$4)/12-10</f>
        <v>1.1562499999999982</v>
      </c>
      <c r="BC254" s="104">
        <f>('Renewable Diesel'!Q263*'RD Feedstock Breakdown'!BC$3*'Feedstock Conversion Rates'!B$3)/12+10</f>
        <v>11.40175</v>
      </c>
      <c r="BD254" s="104">
        <f>('Renewable Diesel'!Q263*'RD Feedstock Breakdown'!BD$3*'Feedstock Conversion Rates'!B$6)/12</f>
        <v>0.8207500000000002</v>
      </c>
      <c r="BE254" s="106">
        <f t="shared" si="189"/>
        <v>13.378749999999998</v>
      </c>
      <c r="BF254" s="104">
        <f>('Renewable Diesel'!R263*'RD Feedstock Breakdown'!BF$3*'Feedstock Conversion Rates'!B$4)/12</f>
        <v>62.5</v>
      </c>
      <c r="BG254" s="106">
        <f t="shared" si="167"/>
        <v>62.5</v>
      </c>
      <c r="BH254" s="104">
        <f>('Renewable Diesel'!T263*'RD Feedstock Breakdown'!BH$3*'Feedstock Conversion Rates'!B$7)/12</f>
        <v>27.599999999999998</v>
      </c>
      <c r="BI254" s="106">
        <f t="shared" si="243"/>
        <v>27.599999999999998</v>
      </c>
      <c r="BJ254" s="104">
        <f>('Renewable Diesel'!W263*'RD Feedstock Breakdown'!BJ$3*'Feedstock Conversion Rates'!B$4)/12</f>
        <v>7.5</v>
      </c>
      <c r="BK254" s="104">
        <f>('Renewable Diesel'!W263*'RD Feedstock Breakdown'!BK$3*'Feedstock Conversion Rates'!B$3)/12</f>
        <v>1.335</v>
      </c>
      <c r="BL254" s="104">
        <f>('Renewable Diesel'!W263*'RD Feedstock Breakdown'!BL$3*'Feedstock Conversion Rates'!B$6)/12</f>
        <v>3.1266666666666669</v>
      </c>
      <c r="BM254" s="104">
        <f>('Renewable Diesel'!W263*'RD Feedstock Breakdown'!BM$3*'Feedstock Conversion Rates'!B$7)/12</f>
        <v>1.5333333333333332</v>
      </c>
      <c r="BN254" s="106">
        <f t="shared" si="209"/>
        <v>13.495000000000001</v>
      </c>
      <c r="BO254" s="104">
        <f>('Renewable Diesel'!P263*'Feedstock Conversion Rates'!B$4)/12</f>
        <v>31.25</v>
      </c>
      <c r="BP254" s="106">
        <f t="shared" si="199"/>
        <v>31.25</v>
      </c>
      <c r="BQ254" s="104">
        <f>('Renewable Diesel'!$S263*'RD Feedstock Breakdown'!BQ$3*'Feedstock Conversion Rates'!B$4)/12+10</f>
        <v>38.125</v>
      </c>
      <c r="BR254" s="104">
        <f>('Renewable Diesel'!$S263*'RD Feedstock Breakdown'!BR$3*'Feedstock Conversion Rates'!B$7)/12-10</f>
        <v>1.5</v>
      </c>
      <c r="BS254" s="106">
        <f t="shared" si="222"/>
        <v>39.625</v>
      </c>
      <c r="BT254" s="106"/>
      <c r="BU254" s="104">
        <f>('Renewable Diesel'!Y263*'Feedstock Conversion Rates'!B$7)/12</f>
        <v>2.6833333333333331</v>
      </c>
      <c r="BV254" s="106">
        <f t="shared" si="191"/>
        <v>2.6833333333333331</v>
      </c>
      <c r="BW254" s="104">
        <f>('Renewable Diesel'!$Z263*'RD Feedstock Breakdown'!BW$3*'Feedstock Conversion Rates'!$B$4)/12</f>
        <v>71.875</v>
      </c>
      <c r="BX254" s="104">
        <f>('Renewable Diesel'!$Z263*'RD Feedstock Breakdown'!BX$3*'Feedstock Conversion Rates'!$B$5)/12</f>
        <v>7.2354166666666666</v>
      </c>
      <c r="BY254" s="104">
        <f>('Renewable Diesel'!$Z263*'RD Feedstock Breakdown'!BY$3*'Feedstock Conversion Rates'!$B$7)/12</f>
        <v>61.716666666666661</v>
      </c>
      <c r="BZ254" s="104">
        <f>('Renewable Diesel'!$Z263*'RD Feedstock Breakdown'!BZ$3*'Feedstock Conversion Rates'!$B$3)/12</f>
        <v>15.352499999999999</v>
      </c>
      <c r="CA254" s="106">
        <f t="shared" si="228"/>
        <v>156.17958333333331</v>
      </c>
      <c r="CB254" s="104">
        <f>('Renewable Diesel'!AA263*'Feedstock Conversion Rates'!B$4)/12</f>
        <v>191.25</v>
      </c>
      <c r="CC254" s="106">
        <f t="shared" si="213"/>
        <v>191.25</v>
      </c>
      <c r="CD254" s="104">
        <f>('Renewable Diesel'!$AB263*'RD Feedstock Breakdown'!CD$3*'Feedstock Conversion Rates'!$B$6)/12-15</f>
        <v>17.830000000000005</v>
      </c>
      <c r="CE254" s="104">
        <f>('Renewable Diesel'!$AB263*'RD Feedstock Breakdown'!CE$3*'Feedstock Conversion Rates'!$B$4)/12+15</f>
        <v>26.25</v>
      </c>
      <c r="CF254" s="106">
        <f t="shared" si="205"/>
        <v>44.080000000000005</v>
      </c>
      <c r="CG254" s="104">
        <f>('Renewable Diesel'!AD263*'Feedstock Conversion Rates'!B$4)/12</f>
        <v>112.5</v>
      </c>
      <c r="CH254" s="106">
        <f t="shared" si="187"/>
        <v>112.5</v>
      </c>
      <c r="CI254" s="104">
        <f>('Renewable Diesel'!$AE263*'RD Feedstock Breakdown'!CI$3*'Feedstock Conversion Rates'!$B$5)/12</f>
        <v>0.34604166666666664</v>
      </c>
      <c r="CJ254" s="104">
        <f>('Renewable Diesel'!$AE263*'RD Feedstock Breakdown'!CJ$3*'Feedstock Conversion Rates'!$B$4)/12</f>
        <v>0.34375</v>
      </c>
      <c r="CK254" s="106">
        <f t="shared" si="200"/>
        <v>0.68979166666666658</v>
      </c>
      <c r="CL254" s="104">
        <f>(((CL$3*'Renewable Diesel'!$AF263)*'Feedstock Conversion Rates'!$B$3)/12)-25</f>
        <v>66.78125</v>
      </c>
      <c r="CM254" s="104">
        <f>(((CM$3*'Renewable Diesel'!$AF263)*'Feedstock Conversion Rates'!$B$6)/12)+25</f>
        <v>78.739583333333343</v>
      </c>
      <c r="CN254" s="104">
        <f>(((CN$3*'Renewable Diesel'!$AF263)*'Feedstock Conversion Rates'!$B$4)/12)</f>
        <v>42.96875</v>
      </c>
      <c r="CO254" s="106">
        <f t="shared" si="190"/>
        <v>188.48958333333334</v>
      </c>
      <c r="CP254" s="104">
        <f>('Renewable Diesel'!$AG263*'RD Feedstock Breakdown'!CP$3*'Feedstock Conversion Rates'!$B$3)/12</f>
        <v>6.0075000000000003</v>
      </c>
      <c r="CQ254" s="104">
        <f>('Renewable Diesel'!$AG263*'RD Feedstock Breakdown'!CQ$3*'Feedstock Conversion Rates'!$B$6)/12</f>
        <v>3.5175000000000001</v>
      </c>
      <c r="CR254" s="104">
        <f>('Renewable Diesel'!$AG263*'RD Feedstock Breakdown'!CR$3*'Feedstock Conversion Rates'!$B$4)/12</f>
        <v>2.8125</v>
      </c>
      <c r="CS254" s="106">
        <f t="shared" si="231"/>
        <v>12.3375</v>
      </c>
      <c r="CT254" s="104">
        <f>('Renewable Diesel'!AI263*'Feedstock Conversion Rates'!$B$4*'RD Feedstock Breakdown'!$CT$3)/12</f>
        <v>29.375</v>
      </c>
      <c r="CU254" s="106">
        <f t="shared" si="196"/>
        <v>29.375</v>
      </c>
      <c r="CV254" s="104">
        <f>('Renewable Diesel'!AN263*'Feedstock Conversion Rates'!$B$3*'RD Feedstock Breakdown'!$CV$3)/12</f>
        <v>0.50062499999999999</v>
      </c>
      <c r="CW254" s="106">
        <f t="shared" si="161"/>
        <v>0.50062499999999999</v>
      </c>
      <c r="CX254" s="104">
        <f>('Renewable Diesel'!AO263*'RD Feedstock Breakdown'!$CX$3*'Feedstock Conversion Rates'!$B$3)/12</f>
        <v>6.3412499999999996</v>
      </c>
      <c r="CY254" s="104">
        <f>('Renewable Diesel'!AO263*'RD Feedstock Breakdown'!$CY$3*'Feedstock Conversion Rates'!$B$6)/12</f>
        <v>7.4258333333333342</v>
      </c>
      <c r="CZ254" s="106">
        <f t="shared" si="233"/>
        <v>13.767083333333334</v>
      </c>
      <c r="DA254" s="104">
        <f>('Renewable Diesel'!$AP263*'RD Feedstock Breakdown'!DA$3*'Feedstock Conversion Rates'!$B$3)/12</f>
        <v>6.3412499999999996</v>
      </c>
      <c r="DB254" s="104">
        <f>('Renewable Diesel'!$AP263*'RD Feedstock Breakdown'!DB$3*'Feedstock Conversion Rates'!$B$8)/12</f>
        <v>7.421875</v>
      </c>
      <c r="DC254" s="106">
        <f t="shared" si="165"/>
        <v>13.763124999999999</v>
      </c>
      <c r="DD254" s="104">
        <f>('Renewable Diesel'!AQ263*$DD$3*'Feedstock Conversion Rates'!$B$14)/12</f>
        <v>3.1041666666666665</v>
      </c>
      <c r="DE254" s="106">
        <f t="shared" si="166"/>
        <v>3.1041666666666665</v>
      </c>
      <c r="DF254" s="104">
        <f>('Renewable Diesel'!AR263*'Feedstock Conversion Rates'!$B$4*$DF$3)/12</f>
        <v>75</v>
      </c>
      <c r="DG254" s="106">
        <f t="shared" si="234"/>
        <v>75</v>
      </c>
      <c r="DH254" s="104">
        <f>('Renewable Diesel'!AS263*'Feedstock Conversion Rates'!$B$4*$DH$3)/12</f>
        <v>75</v>
      </c>
      <c r="DI254" s="106">
        <f t="shared" si="240"/>
        <v>75</v>
      </c>
      <c r="DJ254" s="104">
        <f>('Renewable Diesel'!AT263*'Feedstock Conversion Rates'!$B$4*0.25)/12</f>
        <v>8.59375</v>
      </c>
      <c r="DK254" s="104">
        <f>('Renewable Diesel'!$AT263*'RD Feedstock Breakdown'!DK$3*'Feedstock Conversion Rates'!$B$3)/12*0.5</f>
        <v>9.1781249999999996</v>
      </c>
      <c r="DL254" s="104">
        <f>('Renewable Diesel'!$AT263*'RD Feedstock Breakdown'!$DL$3*'Feedstock Conversion Rates'!$B$6)/12</f>
        <v>10.747916666666669</v>
      </c>
      <c r="DM254" s="104">
        <f>('Renewable Diesel'!$AT263*'RD Feedstock Breakdown'!$DM$3*'Feedstock Conversion Rates'!$B$8)/12</f>
        <v>10.7421875</v>
      </c>
      <c r="DN254" s="106">
        <f t="shared" si="210"/>
        <v>39.26197916666667</v>
      </c>
      <c r="DP254" s="104">
        <f t="shared" si="168"/>
        <v>112.72025000000001</v>
      </c>
      <c r="DQ254" s="104">
        <f t="shared" si="169"/>
        <v>839.11776750000001</v>
      </c>
      <c r="DR254" s="104">
        <f t="shared" si="174"/>
        <v>1608.703125</v>
      </c>
      <c r="DS254" s="104">
        <f t="shared" si="197"/>
        <v>93.901250000000005</v>
      </c>
      <c r="DT254" s="104">
        <f t="shared" si="170"/>
        <v>286.53923333333341</v>
      </c>
      <c r="DU254" s="104">
        <f t="shared" si="171"/>
        <v>286.65609999999998</v>
      </c>
      <c r="DV254" s="104">
        <f t="shared" si="175"/>
        <v>27</v>
      </c>
      <c r="DW254" s="104">
        <f t="shared" si="172"/>
        <v>3</v>
      </c>
      <c r="DX254" s="106">
        <f t="shared" si="176"/>
        <v>3257.6377258333337</v>
      </c>
      <c r="DY254" s="109">
        <f t="shared" si="163"/>
        <v>-135.00000000000048</v>
      </c>
      <c r="EA254" s="110">
        <f t="shared" si="218"/>
        <v>3.4601837124527142E-2</v>
      </c>
      <c r="EB254" s="110">
        <f t="shared" si="219"/>
        <v>0.25758474026922251</v>
      </c>
      <c r="EC254" s="110">
        <f t="shared" si="220"/>
        <v>0.49382505373229585</v>
      </c>
      <c r="ED254" s="110">
        <f t="shared" si="241"/>
        <v>2.8824951668307192E-2</v>
      </c>
      <c r="EE254" s="110">
        <f t="shared" si="241"/>
        <v>8.7959207698589031E-2</v>
      </c>
      <c r="EF254" s="110">
        <f t="shared" si="241"/>
        <v>8.7995082364989097E-2</v>
      </c>
      <c r="EG254" s="110">
        <f t="shared" si="241"/>
        <v>8.288214427862187E-3</v>
      </c>
      <c r="EH254" s="111">
        <f t="shared" si="177"/>
        <v>9.2091271420690973E-4</v>
      </c>
      <c r="EI254" s="110">
        <f t="shared" si="236"/>
        <v>0.99907908728579298</v>
      </c>
      <c r="EK254" s="132">
        <f>(EA254*'Renewable Diesel'!BF263*'Feedstock Conversion Rates'!B$2)+FB254</f>
        <v>318.197931600179</v>
      </c>
      <c r="EL254" s="132">
        <f>(EB254*'Renewable Diesel'!BF263*'Feedstock Conversion Rates'!B$3)+FC254</f>
        <v>2232.193896242145</v>
      </c>
      <c r="EM254" s="132">
        <f>(EC254*'Renewable Diesel'!BF263*'Feedstock Conversion Rates'!B$4)+FD254</f>
        <v>4006.9474984758135</v>
      </c>
      <c r="EN254" s="132">
        <f>(ED254*'Renewable Diesel'!BF263*'Feedstock Conversion Rates'!B$5)+FE254</f>
        <v>235.44789304522985</v>
      </c>
      <c r="EO254" s="132">
        <f>(EE254*'Renewable Diesel'!BF263*'Feedstock Conversion Rates'!B$6)+FF254</f>
        <v>892.61342862833646</v>
      </c>
      <c r="EP254" s="132">
        <f>(EF254*'Renewable Diesel'!BF263*'Feedstock Conversion Rates'!B$7)+FG254</f>
        <v>875.8414576067546</v>
      </c>
      <c r="EQ254" s="132">
        <f>(EG254*'Renewable Diesel'!BF263*'Feedstock Conversion Rates'!B$8)+FH254</f>
        <v>84.064285057915029</v>
      </c>
      <c r="ER254" s="132">
        <f>(EH254*'Renewable Diesel'!BF263*'Feedstock Conversion Rates'!B$9)+FI254</f>
        <v>9.2159364359788327</v>
      </c>
      <c r="ES254" s="132">
        <f t="shared" si="179"/>
        <v>8654.5223270923525</v>
      </c>
      <c r="ET254" s="133">
        <f>ES254/'Renewable Diesel'!BF263</f>
        <v>12.254097527778441</v>
      </c>
      <c r="EW254" s="73">
        <f t="shared" si="223"/>
        <v>5715.3400511610207</v>
      </c>
      <c r="EX254" s="73">
        <f t="shared" si="224"/>
        <v>5944.0017863671947</v>
      </c>
      <c r="EY254" s="92">
        <f t="shared" si="164"/>
        <v>0.66038769502847827</v>
      </c>
      <c r="EZ254" s="92">
        <f t="shared" si="164"/>
        <v>0.68680876444907069</v>
      </c>
      <c r="FB254" s="102">
        <f>IF('Renewable Diesel'!$BG263&lt;1,0,(((('Renewable Diesel'!$BG263-1)*'Renewable Diesel'!$BF263)*'RD Feedstock Breakdown'!EA254)*'Feedstock Conversion Rates'!$B$2))</f>
        <v>110.47719526466153</v>
      </c>
      <c r="FC254" s="102">
        <f>IF('Renewable Diesel'!$BG263&lt;1,0,(((('Renewable Diesel'!$BG263-1)*'Renewable Diesel'!$BF263)*'RD Feedstock Breakdown'!EB254)*'Feedstock Conversion Rates'!$B$3))</f>
        <v>775.00981764266862</v>
      </c>
      <c r="FD254" s="102">
        <f>IF('Renewable Diesel'!$BG263&lt;1,0,(((('Renewable Diesel'!$BG263-1)*'Renewable Diesel'!$BF263)*'RD Feedstock Breakdown'!EC254)*'Feedstock Conversion Rates'!$B$4))</f>
        <v>1391.1979847832251</v>
      </c>
      <c r="FE254" s="102">
        <f>IF('Renewable Diesel'!$BG263&lt;1,0,(((('Renewable Diesel'!$BG263-1)*'Renewable Diesel'!$BF263)*'RD Feedstock Breakdown'!ED254)*'Feedstock Conversion Rates'!$B$5))</f>
        <v>81.746674856752492</v>
      </c>
      <c r="FF254" s="102">
        <f>IF('Renewable Diesel'!$BG263&lt;1,0,(((('Renewable Diesel'!$BG263-1)*'Renewable Diesel'!$BF263)*'RD Feedstock Breakdown'!EE254)*'Feedstock Conversion Rates'!$B$6))</f>
        <v>309.91222210187448</v>
      </c>
      <c r="FG254" s="102">
        <f>IF('Renewable Diesel'!$BG263&lt;1,0,(((('Renewable Diesel'!$BG263-1)*'Renewable Diesel'!$BF263)*'RD Feedstock Breakdown'!EF254)*'Feedstock Conversion Rates'!$B$7))</f>
        <v>304.08905314472122</v>
      </c>
      <c r="FH254" s="102">
        <f>IF('Renewable Diesel'!$BG263&lt;1,0,(((('Renewable Diesel'!$BG263-1)*'Renewable Diesel'!$BF263)*'RD Feedstock Breakdown'!EG254)*'Feedstock Conversion Rates'!$B$8))</f>
        <v>29.186822140619544</v>
      </c>
      <c r="FI254" s="102">
        <f>IF('Renewable Diesel'!$BG263&lt;1,0,(((('Renewable Diesel'!$BG263-1)*'Renewable Diesel'!$BF263)*'RD Feedstock Breakdown'!EH254)*'Feedstock Conversion Rates'!$B$9))</f>
        <v>3.1997405013419944</v>
      </c>
      <c r="FJ254" s="102">
        <f t="shared" si="225"/>
        <v>3004.8195104358651</v>
      </c>
      <c r="GD254" s="91">
        <f>'Renewable Diesel'!BB263*0.32</f>
        <v>0</v>
      </c>
      <c r="GE254" s="91">
        <f>'Renewable Diesel'!BC263</f>
        <v>344.44929880517776</v>
      </c>
      <c r="GF254" s="91">
        <f>'Renewable Diesel'!BD263</f>
        <v>0</v>
      </c>
      <c r="GG254" s="91">
        <f t="shared" si="206"/>
        <v>344.44929880517776</v>
      </c>
      <c r="GH254" s="124">
        <v>1</v>
      </c>
      <c r="GI254" s="102">
        <f>$GG254*EA254*'Feedstock Conversion Rates'!$B$2</f>
        <v>101.3079175467719</v>
      </c>
      <c r="GJ254" s="102">
        <f>$GG254*EB254*'Feedstock Conversion Rates'!$B$3</f>
        <v>710.68631418086659</v>
      </c>
      <c r="GK254" s="102">
        <f>$GG254*EC254*'Feedstock Conversion Rates'!$B$4</f>
        <v>1275.7327011788891</v>
      </c>
      <c r="GL254" s="102">
        <f>$GG254*ED254*'Feedstock Conversion Rates'!$B$5</f>
        <v>74.961944646323715</v>
      </c>
      <c r="GM254" s="102">
        <f>$GG254*EE254*'Feedstock Conversion Rates'!$B$6</f>
        <v>284.19043195493231</v>
      </c>
      <c r="GN254" s="102">
        <f>$GG254*EF254*'Feedstock Conversion Rates'!$B$7</f>
        <v>278.85056865410405</v>
      </c>
      <c r="GO254" s="102">
        <f>$GG254*EG254*'Feedstock Conversion Rates'!$B$8</f>
        <v>26.764402950225826</v>
      </c>
      <c r="GP254" s="102">
        <f>$GG254*EH254*'Feedstock Conversion Rates'!B$9</f>
        <v>2.9341715826914236</v>
      </c>
      <c r="GQ254" s="102">
        <f t="shared" si="180"/>
        <v>2755.4284526948045</v>
      </c>
      <c r="GR254" s="85">
        <f t="shared" si="204"/>
        <v>7.9995182520411765</v>
      </c>
      <c r="GT254" s="103">
        <f t="shared" si="159"/>
        <v>3.6766665978096046E-2</v>
      </c>
      <c r="GU254" s="103">
        <f t="shared" si="159"/>
        <v>0.25792225288441678</v>
      </c>
      <c r="GV254" s="103">
        <f t="shared" si="159"/>
        <v>0.46298886836681397</v>
      </c>
      <c r="GW254" s="103">
        <f t="shared" si="159"/>
        <v>2.7205186392341648E-2</v>
      </c>
      <c r="GX254" s="103">
        <f t="shared" si="158"/>
        <v>0.10313838186471308</v>
      </c>
      <c r="GY254" s="103">
        <f t="shared" si="158"/>
        <v>0.10120043885784391</v>
      </c>
      <c r="GZ254" s="103">
        <f t="shared" si="158"/>
        <v>9.713336205137273E-3</v>
      </c>
      <c r="HA254" s="103">
        <f t="shared" si="158"/>
        <v>1.0648694506372714E-3</v>
      </c>
    </row>
    <row r="255" spans="1:209" x14ac:dyDescent="0.25">
      <c r="A255" s="96">
        <v>48183</v>
      </c>
      <c r="B255" s="104">
        <f>61+88+162+33.5-22-4-8.5-18-31-70-23-58+40-35+20-3-15-60-40-1-1+35+30+3+28+7.5+1-3-1.5+9.5+10-30-103-1</f>
        <v>0.5</v>
      </c>
      <c r="C255" s="112">
        <f t="shared" ref="C255:C267" si="246">50-1+1+7-57+15+41-26-5-0.5-15-9</f>
        <v>0.5</v>
      </c>
      <c r="D255" s="104">
        <f t="shared" si="242"/>
        <v>2</v>
      </c>
      <c r="E255" s="104">
        <f>('Renewable Diesel'!B264*E$3*'Feedstock Conversion Rates'!$B$2)/12-57.5+8+12.5+52.5-76+18+23+45+50-2.5-3-28-2-9.5+30-40+26+0.5-20-15+50-147+50</f>
        <v>54.930000000000007</v>
      </c>
      <c r="F255" s="104">
        <f>('Renewable Diesel'!B264*'RD Feedstock Breakdown'!F$3*'Feedstock Conversion Rates'!B$8)/12-13.5+1.5-2+36-10+10-61+25+8+1-29+1.5-15</f>
        <v>6.40625</v>
      </c>
      <c r="G255" s="104">
        <f>('Renewable Diesel'!B264*'RD Feedstock Breakdown'!G$3*'Feedstock Conversion Rates'!B$7)/12-25-15-25+4+4-20-40-20+10-17.5+20+50-12+32.5+35-75-75+22.5+5-20+15+125-10-60+5-85+45-50</f>
        <v>-0.34299999999998931</v>
      </c>
      <c r="H255" s="104">
        <f>('Renewable Diesel'!B264*'RD Feedstock Breakdown'!H$3*'Feedstock Conversion Rates'!B$3)/12-85+4-15+70-65-80+50-22.5-5+25+27.5+15+50+15-10+5+50+75-5-25-85-12.5+30+22.5-25-30+150+90-120+25+10+20+85-30-45-50+147</f>
        <v>432.40022499999998</v>
      </c>
      <c r="I255" s="106">
        <f t="shared" si="203"/>
        <v>496.39347499999997</v>
      </c>
      <c r="J255" s="104">
        <f t="shared" si="244"/>
        <v>0.5</v>
      </c>
      <c r="K255" s="104"/>
      <c r="L255" s="104">
        <v>1</v>
      </c>
      <c r="M255" s="104">
        <f>('Renewable Diesel'!C264*'RD Feedstock Breakdown'!M$3*'Feedstock Conversion Rates'!B$2)/12</f>
        <v>7.7902500000000003</v>
      </c>
      <c r="N255" s="104">
        <f>('Renewable Diesel'!C264*'RD Feedstock Breakdown'!N$3*'Feedstock Conversion Rates'!B$8)/12</f>
        <v>3.671875</v>
      </c>
      <c r="O255" s="104">
        <f>('Renewable Diesel'!C264*'RD Feedstock Breakdown'!O$3*'Feedstock Conversion Rates'!B$7)/12</f>
        <v>11.9991</v>
      </c>
      <c r="P255" s="104">
        <f>('Renewable Diesel'!C264*'RD Feedstock Breakdown'!P$3*'Feedstock Conversion Rates'!B$3)/12</f>
        <v>10.4470425</v>
      </c>
      <c r="Q255" s="106">
        <f t="shared" si="216"/>
        <v>35.408267500000001</v>
      </c>
      <c r="R255" s="104">
        <f>('Renewable Diesel'!D264*'RD Feedstock Breakdown'!R$3*'Feedstock Conversion Rates'!B$7)/12</f>
        <v>2.2999999999999998</v>
      </c>
      <c r="S255" s="106">
        <f t="shared" si="148"/>
        <v>2.2999999999999998</v>
      </c>
      <c r="T255" s="104">
        <f t="shared" si="221"/>
        <v>0.82500000000000284</v>
      </c>
      <c r="U255" s="104">
        <v>30</v>
      </c>
      <c r="V255" s="104">
        <f>('Renewable Diesel'!E264*'RD Feedstock Breakdown'!V$3*'Feedstock Conversion Rates'!B$6)/12-20+25-35+15</f>
        <v>29.250150000000012</v>
      </c>
      <c r="W255" s="104">
        <f>('Renewable Diesel'!E264*'RD Feedstock Breakdown'!W$3*'Feedstock Conversion Rates'!B$8)/12-6-10</f>
        <v>6.1796875</v>
      </c>
      <c r="X255" s="106">
        <f t="shared" si="185"/>
        <v>66.254837500000008</v>
      </c>
      <c r="Y255" s="104">
        <f t="shared" si="245"/>
        <v>146.5</v>
      </c>
      <c r="Z255" s="104">
        <f>('Renewable Diesel'!F264*'RD Feedstock Breakdown'!Z$3*'Feedstock Conversion Rates'!B$6)/12-50-32-60+15+15+47.5+22.5-85+70-10-25-7+7+7</f>
        <v>74.460000000000008</v>
      </c>
      <c r="AA255" s="104">
        <f>('Renewable Diesel'!F264*'RD Feedstock Breakdown'!AA$3*'Feedstock Conversion Rates'!B$7)/12+80-171+75+30-57.5-18</f>
        <v>42.766666666666652</v>
      </c>
      <c r="AB255" s="106">
        <f t="shared" si="235"/>
        <v>263.72666666666669</v>
      </c>
      <c r="AC255" s="104">
        <f>('Renewable Diesel'!G264*'RD Feedstock Breakdown'!AC$3*'Feedstock Conversion Rates'!B$5)/12</f>
        <v>11.796875</v>
      </c>
      <c r="AD255" s="104">
        <f>('Renewable Diesel'!G264*'RD Feedstock Breakdown'!AD$3*'Feedstock Conversion Rates'!B$4)/12</f>
        <v>5.859375</v>
      </c>
      <c r="AE255" s="104">
        <f>('Renewable Diesel'!G264*'RD Feedstock Breakdown'!AE$3*'Feedstock Conversion Rates'!B$6)/12</f>
        <v>7.3281250000000009</v>
      </c>
      <c r="AF255" s="106">
        <f t="shared" si="198"/>
        <v>24.984375</v>
      </c>
      <c r="AG255" s="104">
        <f t="shared" si="230"/>
        <v>6.5</v>
      </c>
      <c r="AH255" s="104">
        <v>135</v>
      </c>
      <c r="AI255" s="104">
        <f>('Renewable Diesel'!H264*'RD Feedstock Breakdown'!AI$3*'Feedstock Conversion Rates'!B$6)/12-130-20+51-120+105-37.5+20-10</f>
        <v>7.0166666666666799</v>
      </c>
      <c r="AJ255" s="106">
        <f t="shared" si="145"/>
        <v>13.51666666666668</v>
      </c>
      <c r="AK255" s="104">
        <f>('Renewable Diesel'!J264*'RD Feedstock Breakdown'!AK$3*'Feedstock Conversion Rates'!B$4)/12</f>
        <v>95.8125</v>
      </c>
      <c r="AL255" s="106">
        <f t="shared" si="157"/>
        <v>95.8125</v>
      </c>
      <c r="AM255" s="104">
        <f>('Renewable Diesel'!K264*'RD Feedstock Breakdown'!AM$3*'Feedstock Conversion Rates'!B$4)/12+5+15-10+4+5-28</f>
        <v>49.59375</v>
      </c>
      <c r="AN255" s="104">
        <f>('Renewable Diesel'!K264*'RD Feedstock Breakdown'!AN$3*'Feedstock Conversion Rates'!B$6)/12-5-15+10-4-5+28</f>
        <v>33.427083333333329</v>
      </c>
      <c r="AO255" s="106">
        <f t="shared" si="173"/>
        <v>83.020833333333329</v>
      </c>
      <c r="AP255" s="104">
        <f>('Renewable Diesel'!L264*'RD Feedstock Breakdown'!AP$3*'Feedstock Conversion Rates'!B$4)/12+15-10+5+2+7</f>
        <v>77.59375</v>
      </c>
      <c r="AQ255" s="104">
        <f>('Renewable Diesel'!L264*'RD Feedstock Breakdown'!AQ$3*'Feedstock Conversion Rates'!B$6)/12-15+10-5-2-7</f>
        <v>5.4270833333333321</v>
      </c>
      <c r="AR255" s="106">
        <f t="shared" si="162"/>
        <v>83.020833333333329</v>
      </c>
      <c r="AS255" s="104">
        <f>('Renewable Diesel'!M264*'RD Feedstock Breakdown'!AS$3*'Feedstock Conversion Rates'!B$4)/12-25-30</f>
        <v>401.25</v>
      </c>
      <c r="AT255" s="104">
        <f>('Renewable Diesel'!M264*'RD Feedstock Breakdown'!AT$3*'Feedstock Conversion Rates'!B$5)/12+25+30</f>
        <v>55</v>
      </c>
      <c r="AU255" s="106">
        <f t="shared" si="201"/>
        <v>456.25</v>
      </c>
      <c r="AV255" s="104">
        <f>'Renewable Diesel'!N264*'RD Feedstock Breakdown'!$AV$3*'Feedstock Conversion Rates'!$B$4/12-15-10+25+25-22+15-62.5+1</f>
        <v>35.249999999999986</v>
      </c>
      <c r="AW255" s="104">
        <f>'Renewable Diesel'!N264*'RD Feedstock Breakdown'!$AW$3*'Feedstock Conversion Rates'!$B$7/12+15+10-25-25+22-15+62.5-1</f>
        <v>84.9</v>
      </c>
      <c r="AX255" s="106">
        <f t="shared" si="239"/>
        <v>120.14999999999999</v>
      </c>
      <c r="AY255" s="104">
        <f>('Renewable Diesel'!O264*'RD Feedstock Breakdown'!AY$3*'Feedstock Conversion Rates'!B$4)/12+12+3+19-125-100-157</f>
        <v>-137.0625</v>
      </c>
      <c r="AZ255" s="104">
        <f>('Renewable Diesel'!O264*'RD Feedstock Breakdown'!AZ$3*'Feedstock Conversion Rates'!B$3)/12-15-19+125+100+157</f>
        <v>373.03125</v>
      </c>
      <c r="BA255" s="106">
        <f t="shared" si="217"/>
        <v>235.96875</v>
      </c>
      <c r="BB255" s="104">
        <f>('Renewable Diesel'!Q264*'RD Feedstock Breakdown'!BB$3*'Feedstock Conversion Rates'!B$4)/12-10</f>
        <v>1.1562499999999982</v>
      </c>
      <c r="BC255" s="104">
        <f>('Renewable Diesel'!Q264*'RD Feedstock Breakdown'!BC$3*'Feedstock Conversion Rates'!B$3)/12+10</f>
        <v>11.40175</v>
      </c>
      <c r="BD255" s="104">
        <f>('Renewable Diesel'!Q264*'RD Feedstock Breakdown'!BD$3*'Feedstock Conversion Rates'!B$6)/12</f>
        <v>0.8207500000000002</v>
      </c>
      <c r="BE255" s="106">
        <f t="shared" si="189"/>
        <v>13.378749999999998</v>
      </c>
      <c r="BF255" s="104">
        <f>('Renewable Diesel'!R264*'RD Feedstock Breakdown'!BF$3*'Feedstock Conversion Rates'!B$4)/12</f>
        <v>62.5</v>
      </c>
      <c r="BG255" s="106">
        <f t="shared" si="167"/>
        <v>62.5</v>
      </c>
      <c r="BH255" s="104">
        <f>('Renewable Diesel'!T264*'RD Feedstock Breakdown'!BH$3*'Feedstock Conversion Rates'!B$7)/12</f>
        <v>27.599999999999998</v>
      </c>
      <c r="BI255" s="106">
        <f t="shared" si="243"/>
        <v>27.599999999999998</v>
      </c>
      <c r="BJ255" s="104">
        <f>('Renewable Diesel'!W264*'RD Feedstock Breakdown'!BJ$3*'Feedstock Conversion Rates'!B$4)/12</f>
        <v>7.5</v>
      </c>
      <c r="BK255" s="104">
        <f>('Renewable Diesel'!W264*'RD Feedstock Breakdown'!BK$3*'Feedstock Conversion Rates'!B$3)/12</f>
        <v>1.335</v>
      </c>
      <c r="BL255" s="104">
        <f>('Renewable Diesel'!W264*'RD Feedstock Breakdown'!BL$3*'Feedstock Conversion Rates'!B$6)/12</f>
        <v>3.1266666666666669</v>
      </c>
      <c r="BM255" s="104">
        <f>('Renewable Diesel'!W264*'RD Feedstock Breakdown'!BM$3*'Feedstock Conversion Rates'!B$7)/12</f>
        <v>1.5333333333333332</v>
      </c>
      <c r="BN255" s="106">
        <f t="shared" si="209"/>
        <v>13.495000000000001</v>
      </c>
      <c r="BO255" s="104">
        <f>('Renewable Diesel'!P264*'Feedstock Conversion Rates'!B$4)/12</f>
        <v>31.25</v>
      </c>
      <c r="BP255" s="106">
        <f t="shared" si="199"/>
        <v>31.25</v>
      </c>
      <c r="BQ255" s="104">
        <f>('Renewable Diesel'!$S264*'RD Feedstock Breakdown'!BQ$3*'Feedstock Conversion Rates'!B$4)/12+10</f>
        <v>38.125</v>
      </c>
      <c r="BR255" s="104">
        <f>('Renewable Diesel'!$S264*'RD Feedstock Breakdown'!BR$3*'Feedstock Conversion Rates'!B$7)/12-10</f>
        <v>1.5</v>
      </c>
      <c r="BS255" s="106">
        <f t="shared" si="222"/>
        <v>39.625</v>
      </c>
      <c r="BT255" s="106"/>
      <c r="BU255" s="104">
        <f>('Renewable Diesel'!Y264*'Feedstock Conversion Rates'!B$7)/12</f>
        <v>2.6833333333333331</v>
      </c>
      <c r="BV255" s="106">
        <f t="shared" si="191"/>
        <v>2.6833333333333331</v>
      </c>
      <c r="BW255" s="104">
        <f>('Renewable Diesel'!$Z264*'RD Feedstock Breakdown'!BW$3*'Feedstock Conversion Rates'!$B$4)/12-60</f>
        <v>11.875</v>
      </c>
      <c r="BX255" s="104">
        <f>('Renewable Diesel'!$Z264*'RD Feedstock Breakdown'!BX$3*'Feedstock Conversion Rates'!$B$5)/12</f>
        <v>7.2354166666666666</v>
      </c>
      <c r="BY255" s="104">
        <f>('Renewable Diesel'!$Z264*'RD Feedstock Breakdown'!BY$3*'Feedstock Conversion Rates'!$B$7)/12-60</f>
        <v>1.7166666666666615</v>
      </c>
      <c r="BZ255" s="104">
        <f>('Renewable Diesel'!$Z264*'RD Feedstock Breakdown'!BZ$3*'Feedstock Conversion Rates'!$B$3)/12+120</f>
        <v>135.35249999999999</v>
      </c>
      <c r="CA255" s="106">
        <f t="shared" si="228"/>
        <v>156.17958333333331</v>
      </c>
      <c r="CB255" s="104">
        <f>('Renewable Diesel'!AA264*'Feedstock Conversion Rates'!B$4)/12</f>
        <v>191.25</v>
      </c>
      <c r="CC255" s="106">
        <f t="shared" si="213"/>
        <v>191.25</v>
      </c>
      <c r="CD255" s="104">
        <f>('Renewable Diesel'!$AB264*'RD Feedstock Breakdown'!CD$3*'Feedstock Conversion Rates'!$B$6)/12-15</f>
        <v>17.830000000000005</v>
      </c>
      <c r="CE255" s="104">
        <f>('Renewable Diesel'!$AB264*'RD Feedstock Breakdown'!CE$3*'Feedstock Conversion Rates'!$B$4)/12+15</f>
        <v>26.25</v>
      </c>
      <c r="CF255" s="106">
        <f t="shared" si="205"/>
        <v>44.080000000000005</v>
      </c>
      <c r="CG255" s="104">
        <f>('Renewable Diesel'!AD264*'Feedstock Conversion Rates'!B$4)/12</f>
        <v>112.5</v>
      </c>
      <c r="CH255" s="106">
        <f t="shared" si="187"/>
        <v>112.5</v>
      </c>
      <c r="CI255" s="104">
        <f>('Renewable Diesel'!$AE264*'RD Feedstock Breakdown'!CI$3*'Feedstock Conversion Rates'!$B$5)/12</f>
        <v>0.34604166666666664</v>
      </c>
      <c r="CJ255" s="104">
        <f>('Renewable Diesel'!$AE264*'RD Feedstock Breakdown'!CJ$3*'Feedstock Conversion Rates'!$B$4)/12</f>
        <v>0.34375</v>
      </c>
      <c r="CK255" s="106">
        <f t="shared" si="200"/>
        <v>0.68979166666666658</v>
      </c>
      <c r="CL255" s="104">
        <f>(((CL$3*'Renewable Diesel'!$AF264)*'Feedstock Conversion Rates'!$B$3)/12)-25</f>
        <v>66.78125</v>
      </c>
      <c r="CM255" s="104">
        <f>(((CM$3*'Renewable Diesel'!$AF264)*'Feedstock Conversion Rates'!$B$6)/12)+25</f>
        <v>78.739583333333343</v>
      </c>
      <c r="CN255" s="104">
        <f>(((CN$3*'Renewable Diesel'!$AF264)*'Feedstock Conversion Rates'!$B$4)/12)</f>
        <v>42.96875</v>
      </c>
      <c r="CO255" s="106">
        <f t="shared" si="190"/>
        <v>188.48958333333334</v>
      </c>
      <c r="CP255" s="104">
        <f>('Renewable Diesel'!$AG264*'RD Feedstock Breakdown'!CP$3*'Feedstock Conversion Rates'!$B$3)/12</f>
        <v>6.0075000000000003</v>
      </c>
      <c r="CQ255" s="104">
        <f>('Renewable Diesel'!$AG264*'RD Feedstock Breakdown'!CQ$3*'Feedstock Conversion Rates'!$B$6)/12</f>
        <v>3.5175000000000001</v>
      </c>
      <c r="CR255" s="104">
        <f>('Renewable Diesel'!$AG264*'RD Feedstock Breakdown'!CR$3*'Feedstock Conversion Rates'!$B$4)/12</f>
        <v>2.8125</v>
      </c>
      <c r="CS255" s="106">
        <f t="shared" si="231"/>
        <v>12.3375</v>
      </c>
      <c r="CT255" s="104">
        <f>('Renewable Diesel'!AI264*'Feedstock Conversion Rates'!$B$4*'RD Feedstock Breakdown'!$CT$3)/12</f>
        <v>29.375</v>
      </c>
      <c r="CU255" s="106">
        <f t="shared" si="196"/>
        <v>29.375</v>
      </c>
      <c r="CV255" s="104">
        <f>('Renewable Diesel'!AN264*'Feedstock Conversion Rates'!$B$3*'RD Feedstock Breakdown'!$CV$3)/12</f>
        <v>0.50062499999999999</v>
      </c>
      <c r="CW255" s="106">
        <f t="shared" si="161"/>
        <v>0.50062499999999999</v>
      </c>
      <c r="CX255" s="104">
        <f>('Renewable Diesel'!AO264*'RD Feedstock Breakdown'!$CX$3*'Feedstock Conversion Rates'!$B$3)/12</f>
        <v>6.3412499999999996</v>
      </c>
      <c r="CY255" s="104">
        <f>('Renewable Diesel'!AO264*'RD Feedstock Breakdown'!$CY$3*'Feedstock Conversion Rates'!$B$6)/12</f>
        <v>7.4258333333333342</v>
      </c>
      <c r="CZ255" s="106">
        <f t="shared" si="233"/>
        <v>13.767083333333334</v>
      </c>
      <c r="DA255" s="104">
        <f>('Renewable Diesel'!$AP264*'RD Feedstock Breakdown'!DA$3*'Feedstock Conversion Rates'!$B$3)/12</f>
        <v>6.3412499999999996</v>
      </c>
      <c r="DB255" s="104">
        <f>('Renewable Diesel'!$AP264*'RD Feedstock Breakdown'!DB$3*'Feedstock Conversion Rates'!$B$8)/12</f>
        <v>7.421875</v>
      </c>
      <c r="DC255" s="106">
        <f t="shared" si="165"/>
        <v>13.763124999999999</v>
      </c>
      <c r="DD255" s="104">
        <f>('Renewable Diesel'!AQ264*$DD$3*'Feedstock Conversion Rates'!$B$14)/12</f>
        <v>3.1041666666666665</v>
      </c>
      <c r="DE255" s="106">
        <f t="shared" si="166"/>
        <v>3.1041666666666665</v>
      </c>
      <c r="DF255" s="104">
        <f>('Renewable Diesel'!AR264*'Feedstock Conversion Rates'!$B$4*$DF$3)/12</f>
        <v>75</v>
      </c>
      <c r="DG255" s="106">
        <f t="shared" si="234"/>
        <v>75</v>
      </c>
      <c r="DH255" s="104">
        <f>('Renewable Diesel'!AS264*'Feedstock Conversion Rates'!$B$4*$DH$3)/12</f>
        <v>75</v>
      </c>
      <c r="DI255" s="106">
        <f t="shared" si="240"/>
        <v>75</v>
      </c>
      <c r="DJ255" s="104">
        <f>('Renewable Diesel'!AT264*'Feedstock Conversion Rates'!$B$4*0.25)/12</f>
        <v>8.59375</v>
      </c>
      <c r="DK255" s="104">
        <f>('Renewable Diesel'!$AT264*'RD Feedstock Breakdown'!DK$3*'Feedstock Conversion Rates'!$B$3)/12*0.5</f>
        <v>9.1781249999999996</v>
      </c>
      <c r="DL255" s="104">
        <f>('Renewable Diesel'!$AT264*'RD Feedstock Breakdown'!$DL$3*'Feedstock Conversion Rates'!$B$6)/12</f>
        <v>10.747916666666669</v>
      </c>
      <c r="DM255" s="104">
        <f>('Renewable Diesel'!$AT264*'RD Feedstock Breakdown'!$DM$3*'Feedstock Conversion Rates'!$B$8)/12</f>
        <v>10.7421875</v>
      </c>
      <c r="DN255" s="106">
        <f t="shared" si="210"/>
        <v>39.26197916666667</v>
      </c>
      <c r="DP255" s="104">
        <f t="shared" si="168"/>
        <v>62.720250000000007</v>
      </c>
      <c r="DQ255" s="104">
        <f t="shared" si="169"/>
        <v>1059.1177674999997</v>
      </c>
      <c r="DR255" s="104">
        <f t="shared" si="174"/>
        <v>1548.703125</v>
      </c>
      <c r="DS255" s="104">
        <f t="shared" si="197"/>
        <v>93.901250000000005</v>
      </c>
      <c r="DT255" s="104">
        <f t="shared" si="170"/>
        <v>286.53923333333341</v>
      </c>
      <c r="DU255" s="104">
        <f t="shared" si="171"/>
        <v>176.65610000000001</v>
      </c>
      <c r="DV255" s="104">
        <f t="shared" si="175"/>
        <v>27</v>
      </c>
      <c r="DW255" s="104">
        <f t="shared" si="172"/>
        <v>3</v>
      </c>
      <c r="DX255" s="106">
        <f t="shared" si="176"/>
        <v>3257.6377258333332</v>
      </c>
      <c r="DY255" s="109">
        <f t="shared" si="163"/>
        <v>-135.00000000000003</v>
      </c>
      <c r="EA255" s="110">
        <f t="shared" si="218"/>
        <v>1.9253291887745314E-2</v>
      </c>
      <c r="EB255" s="110">
        <f t="shared" si="219"/>
        <v>0.32511833931106254</v>
      </c>
      <c r="EC255" s="110">
        <f t="shared" si="220"/>
        <v>0.47540679944815772</v>
      </c>
      <c r="ED255" s="110">
        <f t="shared" si="241"/>
        <v>2.8824951668307199E-2</v>
      </c>
      <c r="EE255" s="110">
        <f t="shared" si="241"/>
        <v>8.7959207698589045E-2</v>
      </c>
      <c r="EF255" s="110">
        <f t="shared" si="241"/>
        <v>5.4228282844069095E-2</v>
      </c>
      <c r="EG255" s="110">
        <f t="shared" si="241"/>
        <v>8.2882144278621887E-3</v>
      </c>
      <c r="EH255" s="111">
        <f t="shared" si="177"/>
        <v>9.2091271420690984E-4</v>
      </c>
      <c r="EI255" s="110">
        <f t="shared" si="236"/>
        <v>0.99907908728579309</v>
      </c>
      <c r="EK255" s="132">
        <f>(EA255*'Renewable Diesel'!BF264*'Feedstock Conversion Rates'!B$2)+FB255</f>
        <v>190.14444301385575</v>
      </c>
      <c r="EL255" s="132">
        <f>(EB255*'Renewable Diesel'!BF264*'Feedstock Conversion Rates'!B$3)+FC255</f>
        <v>3025.754591368348</v>
      </c>
      <c r="EM255" s="132">
        <f>(EC255*'Renewable Diesel'!BF264*'Feedstock Conversion Rates'!B$4)+FD255</f>
        <v>4142.7275190034015</v>
      </c>
      <c r="EN255" s="132">
        <f>(ED255*'Renewable Diesel'!BF264*'Feedstock Conversion Rates'!B$5)+FE255</f>
        <v>252.85716033758479</v>
      </c>
      <c r="EO255" s="132">
        <f>(EE255*'Renewable Diesel'!BF264*'Feedstock Conversion Rates'!B$6)+FF255</f>
        <v>958.61421362899421</v>
      </c>
      <c r="EP255" s="132">
        <f>(EF255*'Renewable Diesel'!BF264*'Feedstock Conversion Rates'!B$7)+FG255</f>
        <v>579.66008595760297</v>
      </c>
      <c r="EQ255" s="132">
        <f>(EG255*'Renewable Diesel'!BF264*'Feedstock Conversion Rates'!B$8)+FH255</f>
        <v>90.280087583838764</v>
      </c>
      <c r="ER255" s="132">
        <f>(EH255*'Renewable Diesel'!BF264*'Feedstock Conversion Rates'!B$9)+FI255</f>
        <v>9.8973725647467674</v>
      </c>
      <c r="ES255" s="132">
        <f t="shared" si="179"/>
        <v>9249.9354734583721</v>
      </c>
      <c r="ET255" s="133">
        <f>ES255/'Renewable Diesel'!BF264</f>
        <v>12.847153954569869</v>
      </c>
      <c r="EW255" s="73">
        <f t="shared" si="223"/>
        <v>6067.2847316185807</v>
      </c>
      <c r="EX255" s="73">
        <f t="shared" si="224"/>
        <v>6700.5257784010391</v>
      </c>
      <c r="EY255" s="92">
        <f t="shared" si="164"/>
        <v>0.65592724933357183</v>
      </c>
      <c r="EZ255" s="92">
        <f t="shared" si="164"/>
        <v>0.72438621843659656</v>
      </c>
      <c r="FB255" s="102">
        <f>IF('Renewable Diesel'!$BG264&lt;1,0,(((('Renewable Diesel'!$BG264-1)*'Renewable Diesel'!$BF264)*'RD Feedstock Breakdown'!EA255)*'Feedstock Conversion Rates'!$B$2))</f>
        <v>72.314492499826628</v>
      </c>
      <c r="FC255" s="102">
        <f>IF('Renewable Diesel'!$BG264&lt;1,0,(((('Renewable Diesel'!$BG264-1)*'Renewable Diesel'!$BF264)*'RD Feedstock Breakdown'!EB255)*'Feedstock Conversion Rates'!$B$3))</f>
        <v>1150.7352212648047</v>
      </c>
      <c r="FD255" s="102">
        <f>IF('Renewable Diesel'!$BG264&lt;1,0,(((('Renewable Diesel'!$BG264-1)*'Renewable Diesel'!$BF264)*'RD Feedstock Breakdown'!EC255)*'Feedstock Conversion Rates'!$B$4))</f>
        <v>1575.5350687790892</v>
      </c>
      <c r="FE255" s="102">
        <f>IF('Renewable Diesel'!$BG264&lt;1,0,(((('Renewable Diesel'!$BG264-1)*'Renewable Diesel'!$BF264)*'RD Feedstock Breakdown'!ED255)*'Feedstock Conversion Rates'!$B$5))</f>
        <v>96.164983498504313</v>
      </c>
      <c r="FF255" s="102">
        <f>IF('Renewable Diesel'!$BG264&lt;1,0,(((('Renewable Diesel'!$BG264-1)*'Renewable Diesel'!$BF264)*'RD Feedstock Breakdown'!EE255)*'Feedstock Conversion Rates'!$B$6))</f>
        <v>364.57389583901568</v>
      </c>
      <c r="FG255" s="102">
        <f>IF('Renewable Diesel'!$BG264&lt;1,0,(((('Renewable Diesel'!$BG264-1)*'Renewable Diesel'!$BF264)*'RD Feedstock Breakdown'!EF255)*'Feedstock Conversion Rates'!$B$7))</f>
        <v>220.45253741848981</v>
      </c>
      <c r="FH255" s="102">
        <f>IF('Renewable Diesel'!$BG264&lt;1,0,(((('Renewable Diesel'!$BG264-1)*'Renewable Diesel'!$BF264)*'RD Feedstock Breakdown'!EG255)*'Feedstock Conversion Rates'!$B$8))</f>
        <v>34.334733179604228</v>
      </c>
      <c r="FI255" s="102">
        <f>IF('Renewable Diesel'!$BG264&lt;1,0,(((('Renewable Diesel'!$BG264-1)*'Renewable Diesel'!$BF264)*'RD Feedstock Breakdown'!EH255)*'Feedstock Conversion Rates'!$B$9))</f>
        <v>3.7641040819121674</v>
      </c>
      <c r="FJ255" s="102">
        <f t="shared" si="225"/>
        <v>3517.8750365612468</v>
      </c>
      <c r="GD255" s="91">
        <f>'Renewable Diesel'!BB264*0.32</f>
        <v>0</v>
      </c>
      <c r="GE255" s="91">
        <f>'Renewable Diesel'!BC264</f>
        <v>309.46801741029168</v>
      </c>
      <c r="GF255" s="91">
        <f>'Renewable Diesel'!BD264</f>
        <v>0</v>
      </c>
      <c r="GG255" s="91">
        <f t="shared" si="206"/>
        <v>309.46801741029168</v>
      </c>
      <c r="GH255" s="124">
        <v>1</v>
      </c>
      <c r="GI255" s="102">
        <f>$GG255*EA255*'Feedstock Conversion Rates'!$B$2</f>
        <v>50.645363587538654</v>
      </c>
      <c r="GJ255" s="102">
        <f>$GG255*EB255*'Feedstock Conversion Rates'!$B$3</f>
        <v>805.91596040147135</v>
      </c>
      <c r="GK255" s="102">
        <f>$GG255*EC255*'Feedstock Conversion Rates'!$B$4</f>
        <v>1103.4239976644515</v>
      </c>
      <c r="GL255" s="102">
        <f>$GG255*ED255*'Feedstock Conversion Rates'!$B$5</f>
        <v>67.349024867775739</v>
      </c>
      <c r="GM255" s="102">
        <f>$GG255*EE255*'Feedstock Conversion Rates'!$B$6</f>
        <v>255.32886799055748</v>
      </c>
      <c r="GN255" s="102">
        <f>$GG255*EF255*'Feedstock Conversion Rates'!$B$7</f>
        <v>154.39365644973108</v>
      </c>
      <c r="GO255" s="102">
        <f>$GG255*EG255*'Feedstock Conversion Rates'!$B$8</f>
        <v>24.046287064330187</v>
      </c>
      <c r="GP255" s="102">
        <f>$GG255*EH255*'Feedstock Conversion Rates'!B$9</f>
        <v>2.6361855448302718</v>
      </c>
      <c r="GQ255" s="102">
        <f t="shared" si="180"/>
        <v>2463.7393435706867</v>
      </c>
      <c r="GR255" s="85">
        <f t="shared" si="204"/>
        <v>7.9612082831301727</v>
      </c>
      <c r="GT255" s="103">
        <f t="shared" si="159"/>
        <v>2.0556299399001582E-2</v>
      </c>
      <c r="GU255" s="103">
        <f t="shared" si="159"/>
        <v>0.32711088634622404</v>
      </c>
      <c r="GV255" s="103">
        <f t="shared" si="159"/>
        <v>0.44786555872638056</v>
      </c>
      <c r="GW255" s="103">
        <f t="shared" si="159"/>
        <v>2.7336099918008006E-2</v>
      </c>
      <c r="GX255" s="103">
        <f t="shared" si="158"/>
        <v>0.10363469198024436</v>
      </c>
      <c r="GY255" s="103">
        <f t="shared" si="158"/>
        <v>6.2666392389532991E-2</v>
      </c>
      <c r="GZ255" s="103">
        <f t="shared" si="158"/>
        <v>9.760077553285328E-3</v>
      </c>
      <c r="HA255" s="103">
        <f t="shared" si="158"/>
        <v>1.0699936873231322E-3</v>
      </c>
    </row>
    <row r="256" spans="1:209" x14ac:dyDescent="0.25">
      <c r="A256" s="96">
        <v>48214</v>
      </c>
      <c r="B256" s="104">
        <f t="shared" ref="B256:B261" si="247">61+88+162+33.5-22-4-8.5-18-31-70-23-58+40-35+20-3-15-60-40-1-1+35+30+3+28+7.5+1-3-1.5+9.5+10-30-103-1+6</f>
        <v>6.5</v>
      </c>
      <c r="C256" s="112">
        <f t="shared" si="246"/>
        <v>0.5</v>
      </c>
      <c r="D256" s="104">
        <f t="shared" si="242"/>
        <v>2</v>
      </c>
      <c r="E256" s="104">
        <f>('Renewable Diesel'!B265*E$3*'Feedstock Conversion Rates'!$B$2)/12-57.5+8+12.5+52.5-76+18+23+45+50-2.5-3-28-2-9.5+30-40+26+0.5-20-15+50-147</f>
        <v>4.9300000000000068</v>
      </c>
      <c r="F256" s="104">
        <f>('Renewable Diesel'!B265*'RD Feedstock Breakdown'!F$3*'Feedstock Conversion Rates'!B$8)/12-13.5+1.5-2+36-10+10-61+25+8+1-29+1.5-15-6</f>
        <v>0.40625</v>
      </c>
      <c r="G256" s="104">
        <f>('Renewable Diesel'!B265*'RD Feedstock Breakdown'!G$3*'Feedstock Conversion Rates'!B$7)/12-25-15-25+4+4-20-40-20+10-17.5+20+50-12+32.5+35-75-75+22.5+5-20+15+125-10-60+5-85+45</f>
        <v>49.657000000000011</v>
      </c>
      <c r="H256" s="104">
        <f>('Renewable Diesel'!B265*'RD Feedstock Breakdown'!H$3*'Feedstock Conversion Rates'!B$3)/12-85+4-15+70-65-80+50-22.5-5+25+27.5+15+50+15-10+5+50+75-5-25-85-12.5+30+22.5-25-30+150+90-120+25+10+20+85-30-45-50+147</f>
        <v>432.40022499999998</v>
      </c>
      <c r="I256" s="106">
        <f t="shared" si="203"/>
        <v>496.39347499999997</v>
      </c>
      <c r="J256" s="104">
        <f t="shared" si="244"/>
        <v>0.5</v>
      </c>
      <c r="K256" s="104"/>
      <c r="L256" s="104">
        <v>1</v>
      </c>
      <c r="M256" s="104">
        <f>('Renewable Diesel'!C265*'RD Feedstock Breakdown'!M$3*'Feedstock Conversion Rates'!B$2)/12</f>
        <v>7.7902500000000003</v>
      </c>
      <c r="N256" s="104">
        <f>('Renewable Diesel'!C265*'RD Feedstock Breakdown'!N$3*'Feedstock Conversion Rates'!B$8)/12</f>
        <v>3.671875</v>
      </c>
      <c r="O256" s="104">
        <f>('Renewable Diesel'!C265*'RD Feedstock Breakdown'!O$3*'Feedstock Conversion Rates'!B$7)/12</f>
        <v>11.9991</v>
      </c>
      <c r="P256" s="104">
        <f>('Renewable Diesel'!C265*'RD Feedstock Breakdown'!P$3*'Feedstock Conversion Rates'!B$3)/12</f>
        <v>10.4470425</v>
      </c>
      <c r="Q256" s="106">
        <f t="shared" si="216"/>
        <v>35.408267500000001</v>
      </c>
      <c r="R256" s="104">
        <f>('Renewable Diesel'!D265*'RD Feedstock Breakdown'!R$3*'Feedstock Conversion Rates'!B$7)/12</f>
        <v>2.2999999999999998</v>
      </c>
      <c r="S256" s="106">
        <f t="shared" si="148"/>
        <v>2.2999999999999998</v>
      </c>
      <c r="T256" s="104">
        <f t="shared" si="221"/>
        <v>0.82500000000000284</v>
      </c>
      <c r="U256" s="104">
        <v>30</v>
      </c>
      <c r="V256" s="104">
        <f>('Renewable Diesel'!E265*'RD Feedstock Breakdown'!V$3*'Feedstock Conversion Rates'!B$6)/12-20+25-35+15</f>
        <v>29.250150000000012</v>
      </c>
      <c r="W256" s="104">
        <f>('Renewable Diesel'!E265*'RD Feedstock Breakdown'!W$3*'Feedstock Conversion Rates'!B$8)/12-6-10</f>
        <v>6.1796875</v>
      </c>
      <c r="X256" s="106">
        <f t="shared" si="185"/>
        <v>66.254837500000008</v>
      </c>
      <c r="Y256" s="104">
        <f t="shared" si="245"/>
        <v>146.5</v>
      </c>
      <c r="Z256" s="104">
        <f>('Renewable Diesel'!F265*'RD Feedstock Breakdown'!Z$3*'Feedstock Conversion Rates'!B$6)/12-50-32-60+15+15+47.5+22.5-85+70-10-25-7+7+7</f>
        <v>74.460000000000008</v>
      </c>
      <c r="AA256" s="104">
        <f>('Renewable Diesel'!F265*'RD Feedstock Breakdown'!AA$3*'Feedstock Conversion Rates'!B$7)/12+80-171+75+30-57.5-18</f>
        <v>42.766666666666652</v>
      </c>
      <c r="AB256" s="106">
        <f t="shared" si="235"/>
        <v>263.72666666666669</v>
      </c>
      <c r="AC256" s="104">
        <f>('Renewable Diesel'!G265*'RD Feedstock Breakdown'!AC$3*'Feedstock Conversion Rates'!B$5)/12</f>
        <v>11.796875</v>
      </c>
      <c r="AD256" s="104">
        <f>('Renewable Diesel'!G265*'RD Feedstock Breakdown'!AD$3*'Feedstock Conversion Rates'!B$4)/12</f>
        <v>5.859375</v>
      </c>
      <c r="AE256" s="104">
        <f>('Renewable Diesel'!G265*'RD Feedstock Breakdown'!AE$3*'Feedstock Conversion Rates'!B$6)/12</f>
        <v>7.3281250000000009</v>
      </c>
      <c r="AF256" s="106">
        <f t="shared" si="198"/>
        <v>24.984375</v>
      </c>
      <c r="AG256" s="104">
        <f t="shared" si="230"/>
        <v>6.5</v>
      </c>
      <c r="AH256" s="104">
        <v>135</v>
      </c>
      <c r="AI256" s="104">
        <f>('Renewable Diesel'!H265*'RD Feedstock Breakdown'!AI$3*'Feedstock Conversion Rates'!B$6)/12-130-20+51-120+105-37.5+20-10</f>
        <v>7.0166666666666799</v>
      </c>
      <c r="AJ256" s="106">
        <f t="shared" ref="AJ256:AJ319" si="248">AI256+AG256</f>
        <v>13.51666666666668</v>
      </c>
      <c r="AK256" s="104">
        <f>('Renewable Diesel'!J265*'RD Feedstock Breakdown'!AK$3*'Feedstock Conversion Rates'!B$4)/12</f>
        <v>95.8125</v>
      </c>
      <c r="AL256" s="106">
        <f t="shared" si="157"/>
        <v>95.8125</v>
      </c>
      <c r="AM256" s="104">
        <f>('Renewable Diesel'!K265*'RD Feedstock Breakdown'!AM$3*'Feedstock Conversion Rates'!B$4)/12+5+15-10+4+5-28</f>
        <v>49.59375</v>
      </c>
      <c r="AN256" s="104">
        <f>('Renewable Diesel'!K265*'RD Feedstock Breakdown'!AN$3*'Feedstock Conversion Rates'!B$6)/12-5-15+10-4-5+28</f>
        <v>33.427083333333329</v>
      </c>
      <c r="AO256" s="106">
        <f t="shared" si="173"/>
        <v>83.020833333333329</v>
      </c>
      <c r="AP256" s="104">
        <f>('Renewable Diesel'!L265*'RD Feedstock Breakdown'!AP$3*'Feedstock Conversion Rates'!B$4)/12+15-10+5+2+7</f>
        <v>77.59375</v>
      </c>
      <c r="AQ256" s="104">
        <f>('Renewable Diesel'!L265*'RD Feedstock Breakdown'!AQ$3*'Feedstock Conversion Rates'!B$6)/12-15+10-5-2-7</f>
        <v>5.4270833333333321</v>
      </c>
      <c r="AR256" s="106">
        <f t="shared" si="162"/>
        <v>83.020833333333329</v>
      </c>
      <c r="AS256" s="104">
        <f>('Renewable Diesel'!M265*'RD Feedstock Breakdown'!AS$3*'Feedstock Conversion Rates'!B$4)/12-25-30</f>
        <v>401.25</v>
      </c>
      <c r="AT256" s="104">
        <f>('Renewable Diesel'!M265*'RD Feedstock Breakdown'!AT$3*'Feedstock Conversion Rates'!B$5)/12+25+30</f>
        <v>55</v>
      </c>
      <c r="AU256" s="106">
        <f t="shared" si="201"/>
        <v>456.25</v>
      </c>
      <c r="AV256" s="104">
        <f>'Renewable Diesel'!N265*'RD Feedstock Breakdown'!$AV$3*'Feedstock Conversion Rates'!$B$4/12-15-10+25+25-22+15-62.5+1</f>
        <v>35.249999999999986</v>
      </c>
      <c r="AW256" s="104">
        <f>'Renewable Diesel'!N265*'RD Feedstock Breakdown'!$AW$3*'Feedstock Conversion Rates'!$B$7/12+15+10-25-25+22-15+62.5-1</f>
        <v>84.9</v>
      </c>
      <c r="AX256" s="106">
        <f t="shared" si="239"/>
        <v>120.14999999999999</v>
      </c>
      <c r="AY256" s="104">
        <f>('Renewable Diesel'!O265*'RD Feedstock Breakdown'!AY$3*'Feedstock Conversion Rates'!B$4)/12-115-95-138</f>
        <v>-137.0625</v>
      </c>
      <c r="AZ256" s="104">
        <f>('Renewable Diesel'!O265*'RD Feedstock Breakdown'!AZ$3*'Feedstock Conversion Rates'!B$3)/12+115+95+138</f>
        <v>373.03125</v>
      </c>
      <c r="BA256" s="106">
        <f t="shared" si="217"/>
        <v>235.96875</v>
      </c>
      <c r="BB256" s="104">
        <f>('Renewable Diesel'!Q265*'RD Feedstock Breakdown'!BB$3*'Feedstock Conversion Rates'!B$4)/12</f>
        <v>11.156249999999998</v>
      </c>
      <c r="BC256" s="104">
        <f>('Renewable Diesel'!Q265*'RD Feedstock Breakdown'!BC$3*'Feedstock Conversion Rates'!B$3)/12</f>
        <v>1.4017500000000001</v>
      </c>
      <c r="BD256" s="104">
        <f>('Renewable Diesel'!Q265*'RD Feedstock Breakdown'!BD$3*'Feedstock Conversion Rates'!B$6)/12</f>
        <v>0.8207500000000002</v>
      </c>
      <c r="BE256" s="106">
        <f t="shared" si="189"/>
        <v>13.378749999999998</v>
      </c>
      <c r="BF256" s="104">
        <f>('Renewable Diesel'!R265*'RD Feedstock Breakdown'!BF$3*'Feedstock Conversion Rates'!B$4)/12</f>
        <v>62.5</v>
      </c>
      <c r="BG256" s="106">
        <f t="shared" si="167"/>
        <v>62.5</v>
      </c>
      <c r="BH256" s="104">
        <f>('Renewable Diesel'!T265*'RD Feedstock Breakdown'!BH$3*'Feedstock Conversion Rates'!B$7)/12</f>
        <v>27.599999999999998</v>
      </c>
      <c r="BI256" s="106">
        <f t="shared" si="243"/>
        <v>27.599999999999998</v>
      </c>
      <c r="BJ256" s="104">
        <f>('Renewable Diesel'!W265*'RD Feedstock Breakdown'!BJ$3*'Feedstock Conversion Rates'!B$4)/12</f>
        <v>7.5</v>
      </c>
      <c r="BK256" s="104">
        <f>('Renewable Diesel'!W265*'RD Feedstock Breakdown'!BK$3*'Feedstock Conversion Rates'!B$3)/12</f>
        <v>1.335</v>
      </c>
      <c r="BL256" s="104">
        <f>('Renewable Diesel'!W265*'RD Feedstock Breakdown'!BL$3*'Feedstock Conversion Rates'!B$6)/12</f>
        <v>3.1266666666666669</v>
      </c>
      <c r="BM256" s="104">
        <f>('Renewable Diesel'!W265*'RD Feedstock Breakdown'!BM$3*'Feedstock Conversion Rates'!B$7)/12</f>
        <v>1.5333333333333332</v>
      </c>
      <c r="BN256" s="106">
        <f t="shared" si="209"/>
        <v>13.495000000000001</v>
      </c>
      <c r="BO256" s="104">
        <f>('Renewable Diesel'!P265*'Feedstock Conversion Rates'!B$4)/12</f>
        <v>31.25</v>
      </c>
      <c r="BP256" s="106">
        <f t="shared" si="199"/>
        <v>31.25</v>
      </c>
      <c r="BQ256" s="104">
        <f>('Renewable Diesel'!$S265*'RD Feedstock Breakdown'!BQ$3*'Feedstock Conversion Rates'!B$4)/12+10</f>
        <v>38.125</v>
      </c>
      <c r="BR256" s="104">
        <f>('Renewable Diesel'!$S265*'RD Feedstock Breakdown'!BR$3*'Feedstock Conversion Rates'!B$7)/12-10</f>
        <v>1.5</v>
      </c>
      <c r="BS256" s="106">
        <f t="shared" si="222"/>
        <v>39.625</v>
      </c>
      <c r="BT256" s="106"/>
      <c r="BU256" s="104">
        <f>('Renewable Diesel'!Y265*'Feedstock Conversion Rates'!B$7)/12</f>
        <v>2.6833333333333331</v>
      </c>
      <c r="BV256" s="106">
        <f t="shared" si="191"/>
        <v>2.6833333333333331</v>
      </c>
      <c r="BW256" s="104">
        <f>('Renewable Diesel'!$Z265*'RD Feedstock Breakdown'!BW$3*'Feedstock Conversion Rates'!$B$4)/12</f>
        <v>71.875</v>
      </c>
      <c r="BX256" s="104">
        <f>('Renewable Diesel'!$Z265*'RD Feedstock Breakdown'!BX$3*'Feedstock Conversion Rates'!$B$5)/12</f>
        <v>7.2354166666666666</v>
      </c>
      <c r="BY256" s="104">
        <f>('Renewable Diesel'!$Z265*'RD Feedstock Breakdown'!BY$3*'Feedstock Conversion Rates'!$B$7)/12-60</f>
        <v>1.7166666666666615</v>
      </c>
      <c r="BZ256" s="104">
        <f>('Renewable Diesel'!$Z265*'RD Feedstock Breakdown'!BZ$3*'Feedstock Conversion Rates'!$B$3)/12+120</f>
        <v>135.35249999999999</v>
      </c>
      <c r="CA256" s="106">
        <f t="shared" si="228"/>
        <v>216.17958333333331</v>
      </c>
      <c r="CB256" s="104">
        <f>('Renewable Diesel'!AA265*'Feedstock Conversion Rates'!B$4)/12</f>
        <v>191.25</v>
      </c>
      <c r="CC256" s="106">
        <f t="shared" si="213"/>
        <v>191.25</v>
      </c>
      <c r="CD256" s="104">
        <f>('Renewable Diesel'!$AB265*'RD Feedstock Breakdown'!CD$3*'Feedstock Conversion Rates'!$B$6)/12-15</f>
        <v>17.830000000000005</v>
      </c>
      <c r="CE256" s="104">
        <f>('Renewable Diesel'!$AB265*'RD Feedstock Breakdown'!CE$3*'Feedstock Conversion Rates'!$B$4)/12+15</f>
        <v>26.25</v>
      </c>
      <c r="CF256" s="106">
        <f t="shared" si="205"/>
        <v>44.080000000000005</v>
      </c>
      <c r="CG256" s="104">
        <f>('Renewable Diesel'!AD265*'Feedstock Conversion Rates'!B$4)/12</f>
        <v>112.5</v>
      </c>
      <c r="CH256" s="106">
        <f t="shared" si="187"/>
        <v>112.5</v>
      </c>
      <c r="CI256" s="104">
        <f>('Renewable Diesel'!$AE265*'RD Feedstock Breakdown'!CI$3*'Feedstock Conversion Rates'!$B$5)/12</f>
        <v>0.34604166666666664</v>
      </c>
      <c r="CJ256" s="104">
        <f>('Renewable Diesel'!$AE265*'RD Feedstock Breakdown'!CJ$3*'Feedstock Conversion Rates'!$B$4)/12</f>
        <v>0.34375</v>
      </c>
      <c r="CK256" s="106">
        <f t="shared" si="200"/>
        <v>0.68979166666666658</v>
      </c>
      <c r="CL256" s="104">
        <f>(((CL$3*'Renewable Diesel'!$AF265)*'Feedstock Conversion Rates'!$B$3)/12)-25</f>
        <v>66.78125</v>
      </c>
      <c r="CM256" s="104">
        <f>(((CM$3*'Renewable Diesel'!$AF265)*'Feedstock Conversion Rates'!$B$6)/12)+25</f>
        <v>78.739583333333343</v>
      </c>
      <c r="CN256" s="104">
        <f>(((CN$3*'Renewable Diesel'!$AF265)*'Feedstock Conversion Rates'!$B$4)/12)</f>
        <v>42.96875</v>
      </c>
      <c r="CO256" s="106">
        <f t="shared" si="190"/>
        <v>188.48958333333334</v>
      </c>
      <c r="CP256" s="104">
        <f>('Renewable Diesel'!$AG265*'RD Feedstock Breakdown'!CP$3*'Feedstock Conversion Rates'!$B$3)/12</f>
        <v>6.0075000000000003</v>
      </c>
      <c r="CQ256" s="104">
        <f>('Renewable Diesel'!$AG265*'RD Feedstock Breakdown'!CQ$3*'Feedstock Conversion Rates'!$B$6)/12</f>
        <v>3.5175000000000001</v>
      </c>
      <c r="CR256" s="104">
        <f>('Renewable Diesel'!$AG265*'RD Feedstock Breakdown'!CR$3*'Feedstock Conversion Rates'!$B$4)/12</f>
        <v>2.8125</v>
      </c>
      <c r="CS256" s="106">
        <f t="shared" si="231"/>
        <v>12.3375</v>
      </c>
      <c r="CT256" s="104">
        <f>('Renewable Diesel'!AI265*'Feedstock Conversion Rates'!$B$4*'RD Feedstock Breakdown'!$CT$3)/12</f>
        <v>29.375</v>
      </c>
      <c r="CU256" s="106">
        <f t="shared" si="196"/>
        <v>29.375</v>
      </c>
      <c r="CV256" s="104">
        <f>('Renewable Diesel'!AN265*'Feedstock Conversion Rates'!$B$3*'RD Feedstock Breakdown'!$CV$3)/12</f>
        <v>0.50062499999999999</v>
      </c>
      <c r="CW256" s="106">
        <f t="shared" si="161"/>
        <v>0.50062499999999999</v>
      </c>
      <c r="CX256" s="104">
        <f>('Renewable Diesel'!AO265*'RD Feedstock Breakdown'!$CX$3*'Feedstock Conversion Rates'!$B$3)/12</f>
        <v>6.3412499999999996</v>
      </c>
      <c r="CY256" s="104">
        <f>('Renewable Diesel'!AO265*'RD Feedstock Breakdown'!$CY$3*'Feedstock Conversion Rates'!$B$6)/12</f>
        <v>7.4258333333333342</v>
      </c>
      <c r="CZ256" s="106">
        <f t="shared" si="233"/>
        <v>13.767083333333334</v>
      </c>
      <c r="DA256" s="104">
        <f>('Renewable Diesel'!$AP265*'RD Feedstock Breakdown'!DA$3*'Feedstock Conversion Rates'!$B$3)/12</f>
        <v>6.3412499999999996</v>
      </c>
      <c r="DB256" s="104">
        <f>('Renewable Diesel'!$AP265*'RD Feedstock Breakdown'!DB$3*'Feedstock Conversion Rates'!$B$8)/12</f>
        <v>7.421875</v>
      </c>
      <c r="DC256" s="106">
        <f t="shared" si="165"/>
        <v>13.763124999999999</v>
      </c>
      <c r="DD256" s="104">
        <f>('Renewable Diesel'!AQ265*$DD$3*'Feedstock Conversion Rates'!$B$14)/12</f>
        <v>3.1041666666666665</v>
      </c>
      <c r="DE256" s="106">
        <f t="shared" si="166"/>
        <v>3.1041666666666665</v>
      </c>
      <c r="DF256" s="104">
        <f>('Renewable Diesel'!AR265*'Feedstock Conversion Rates'!$B$4*$DF$3)/12</f>
        <v>75</v>
      </c>
      <c r="DG256" s="106">
        <f t="shared" si="234"/>
        <v>75</v>
      </c>
      <c r="DH256" s="104">
        <f>('Renewable Diesel'!AS265*'Feedstock Conversion Rates'!$B$4*$DH$3)/12</f>
        <v>75</v>
      </c>
      <c r="DI256" s="106">
        <f t="shared" si="240"/>
        <v>75</v>
      </c>
      <c r="DJ256" s="104">
        <f>('Renewable Diesel'!AT265*'Feedstock Conversion Rates'!$B$4*0.25)/12</f>
        <v>8.59375</v>
      </c>
      <c r="DK256" s="104">
        <f>('Renewable Diesel'!$AT265*'RD Feedstock Breakdown'!DK$3*'Feedstock Conversion Rates'!$B$3)/12*0.5</f>
        <v>9.1781249999999996</v>
      </c>
      <c r="DL256" s="104">
        <f>('Renewable Diesel'!$AT265*'RD Feedstock Breakdown'!$DL$3*'Feedstock Conversion Rates'!$B$6)/12</f>
        <v>10.747916666666669</v>
      </c>
      <c r="DM256" s="104">
        <f>('Renewable Diesel'!$AT265*'RD Feedstock Breakdown'!$DM$3*'Feedstock Conversion Rates'!$B$8)/12</f>
        <v>10.7421875</v>
      </c>
      <c r="DN256" s="106">
        <f t="shared" si="210"/>
        <v>39.26197916666667</v>
      </c>
      <c r="DP256" s="104">
        <f t="shared" si="168"/>
        <v>12.720250000000007</v>
      </c>
      <c r="DQ256" s="104">
        <f t="shared" si="169"/>
        <v>1049.1177674999997</v>
      </c>
      <c r="DR256" s="104">
        <f t="shared" si="174"/>
        <v>1624.703125</v>
      </c>
      <c r="DS256" s="104">
        <f t="shared" si="197"/>
        <v>93.901250000000005</v>
      </c>
      <c r="DT256" s="104">
        <f t="shared" si="170"/>
        <v>286.53923333333341</v>
      </c>
      <c r="DU256" s="104">
        <f t="shared" si="171"/>
        <v>226.65610000000001</v>
      </c>
      <c r="DV256" s="104">
        <f t="shared" si="175"/>
        <v>21</v>
      </c>
      <c r="DW256" s="104">
        <f t="shared" si="172"/>
        <v>3</v>
      </c>
      <c r="DX256" s="106">
        <f t="shared" si="176"/>
        <v>3317.6377258333332</v>
      </c>
      <c r="DY256" s="109">
        <f t="shared" si="163"/>
        <v>-135.00000000000003</v>
      </c>
      <c r="EA256" s="110">
        <f t="shared" si="218"/>
        <v>3.8341286937243579E-3</v>
      </c>
      <c r="EB256" s="110">
        <f t="shared" si="219"/>
        <v>0.3162243301403499</v>
      </c>
      <c r="EC256" s="110">
        <f t="shared" si="220"/>
        <v>0.48971685857951919</v>
      </c>
      <c r="ED256" s="110">
        <f t="shared" si="241"/>
        <v>2.8303647884403545E-2</v>
      </c>
      <c r="EE256" s="110">
        <f t="shared" si="241"/>
        <v>8.6368451594985324E-2</v>
      </c>
      <c r="EF256" s="110">
        <f t="shared" si="241"/>
        <v>6.8318520203428157E-2</v>
      </c>
      <c r="EG256" s="110">
        <f t="shared" si="241"/>
        <v>6.3298050406408266E-3</v>
      </c>
      <c r="EH256" s="111">
        <f t="shared" si="177"/>
        <v>9.042578629486895E-4</v>
      </c>
      <c r="EI256" s="110">
        <f t="shared" si="236"/>
        <v>0.99909574213705121</v>
      </c>
      <c r="EK256" s="132">
        <f>(EA256*'Renewable Diesel'!BF265*'Feedstock Conversion Rates'!B$2)+FB256</f>
        <v>16.919871893456502</v>
      </c>
      <c r="EL256" s="132">
        <f>(EB256*'Renewable Diesel'!BF265*'Feedstock Conversion Rates'!B$3)+FC256</f>
        <v>1315.0408873324034</v>
      </c>
      <c r="EM256" s="132">
        <f>(EC256*'Renewable Diesel'!BF265*'Feedstock Conversion Rates'!B$4)+FD256</f>
        <v>1906.8554706008435</v>
      </c>
      <c r="EN256" s="132">
        <f>(ED256*'Renewable Diesel'!BF265*'Feedstock Conversion Rates'!B$5)+FE256</f>
        <v>110.94323442863806</v>
      </c>
      <c r="EO256" s="132">
        <f>(EE256*'Renewable Diesel'!BF265*'Feedstock Conversion Rates'!B$6)+FF256</f>
        <v>420.60015736662479</v>
      </c>
      <c r="EP256" s="132">
        <f>(EF256*'Renewable Diesel'!BF265*'Feedstock Conversion Rates'!B$7)+FG256</f>
        <v>326.31552531924683</v>
      </c>
      <c r="EQ256" s="132">
        <f>(EG256*'Renewable Diesel'!BF265*'Feedstock Conversion Rates'!B$8)+FH256</f>
        <v>30.808678418263121</v>
      </c>
      <c r="ER256" s="132">
        <f>(EH256*'Renewable Diesel'!BF265*'Feedstock Conversion Rates'!B$9)+FI256</f>
        <v>4.3425565770504209</v>
      </c>
      <c r="ES256" s="132">
        <f t="shared" si="179"/>
        <v>4131.8263819365266</v>
      </c>
      <c r="ET256" s="133">
        <f>ES256/'Renewable Diesel'!BF265</f>
        <v>8.4452828434354501</v>
      </c>
      <c r="EW256" s="73">
        <f t="shared" si="223"/>
        <v>2134.1065366215744</v>
      </c>
      <c r="EX256" s="73">
        <f t="shared" si="224"/>
        <v>2235.8822377281331</v>
      </c>
      <c r="EY256" s="92">
        <f t="shared" si="164"/>
        <v>0.51650440733701641</v>
      </c>
      <c r="EZ256" s="92">
        <f t="shared" si="164"/>
        <v>0.54113654133749145</v>
      </c>
      <c r="FB256" s="102">
        <f>IF('Renewable Diesel'!$BG265&lt;1,0,(((('Renewable Diesel'!$BG265-1)*'Renewable Diesel'!$BF265)*'RD Feedstock Breakdown'!EA256)*'Feedstock Conversion Rates'!$B$2))</f>
        <v>0.97527746738997412</v>
      </c>
      <c r="FC256" s="102">
        <f>IF('Renewable Diesel'!$BG265&lt;1,0,(((('Renewable Diesel'!$BG265-1)*'Renewable Diesel'!$BF265)*'RD Feedstock Breakdown'!EB256)*'Feedstock Conversion Rates'!$B$3))</f>
        <v>75.800204291606306</v>
      </c>
      <c r="FD256" s="102">
        <f>IF('Renewable Diesel'!$BG265&lt;1,0,(((('Renewable Diesel'!$BG265-1)*'Renewable Diesel'!$BF265)*'RD Feedstock Breakdown'!EC256)*'Feedstock Conversion Rates'!$B$4))</f>
        <v>109.91295831060772</v>
      </c>
      <c r="FE256" s="102">
        <f>IF('Renewable Diesel'!$BG265&lt;1,0,(((('Renewable Diesel'!$BG265-1)*'Renewable Diesel'!$BF265)*'RD Feedstock Breakdown'!ED256)*'Feedstock Conversion Rates'!$B$5))</f>
        <v>6.394873281485018</v>
      </c>
      <c r="FF256" s="102">
        <f>IF('Renewable Diesel'!$BG265&lt;1,0,(((('Renewable Diesel'!$BG265-1)*'Renewable Diesel'!$BF265)*'RD Feedstock Breakdown'!EE256)*'Feedstock Conversion Rates'!$B$6))</f>
        <v>24.243792083259542</v>
      </c>
      <c r="FG256" s="102">
        <f>IF('Renewable Diesel'!$BG265&lt;1,0,(((('Renewable Diesel'!$BG265-1)*'Renewable Diesel'!$BF265)*'RD Feedstock Breakdown'!EF256)*'Feedstock Conversion Rates'!$B$7))</f>
        <v>18.809136446621771</v>
      </c>
      <c r="FH256" s="102">
        <f>IF('Renewable Diesel'!$BG265&lt;1,0,(((('Renewable Diesel'!$BG265-1)*'Renewable Diesel'!$BF265)*'RD Feedstock Breakdown'!EG256)*'Feedstock Conversion Rates'!$B$8))</f>
        <v>1.7758414514365219</v>
      </c>
      <c r="FI256" s="102">
        <f>IF('Renewable Diesel'!$BG265&lt;1,0,(((('Renewable Diesel'!$BG265-1)*'Renewable Diesel'!$BF265)*'RD Feedstock Breakdown'!EH256)*'Feedstock Conversion Rates'!$B$9))</f>
        <v>0.25030908077390973</v>
      </c>
      <c r="FJ256" s="102">
        <f t="shared" si="225"/>
        <v>238.16239241318075</v>
      </c>
      <c r="GD256" s="91">
        <f>'Renewable Diesel'!BB265*0.32</f>
        <v>0</v>
      </c>
      <c r="GE256" s="91">
        <f>'Renewable Diesel'!BC265</f>
        <v>234.58764848402637</v>
      </c>
      <c r="GF256" s="91">
        <f>'Renewable Diesel'!BD265</f>
        <v>0</v>
      </c>
      <c r="GG256" s="91">
        <f t="shared" si="206"/>
        <v>234.58764848402637</v>
      </c>
      <c r="GH256" s="124">
        <v>1</v>
      </c>
      <c r="GI256" s="102">
        <f>$GG256*EA256*'Feedstock Conversion Rates'!$B$2</f>
        <v>7.6452334910903952</v>
      </c>
      <c r="GJ256" s="102">
        <f>$GG256*EB256*'Feedstock Conversion Rates'!$B$3</f>
        <v>594.20039922849946</v>
      </c>
      <c r="GK256" s="102">
        <f>$GG256*EC256*'Feedstock Conversion Rates'!$B$4</f>
        <v>861.61144707865435</v>
      </c>
      <c r="GL256" s="102">
        <f>$GG256*ED256*'Feedstock Conversion Rates'!$B$5</f>
        <v>50.129630815451968</v>
      </c>
      <c r="GM256" s="102">
        <f>$GG256*EE256*'Feedstock Conversion Rates'!$B$6</f>
        <v>190.04791701175873</v>
      </c>
      <c r="GN256" s="102">
        <f>$GG256*EF256*'Feedstock Conversion Rates'!$B$7</f>
        <v>147.44546522236206</v>
      </c>
      <c r="GO256" s="102">
        <f>$GG256*EG256*'Feedstock Conversion Rates'!$B$8</f>
        <v>13.920881998558766</v>
      </c>
      <c r="GP256" s="102">
        <f>$GG256*EH256*'Feedstock Conversion Rates'!B$9</f>
        <v>1.9621814626539977</v>
      </c>
      <c r="GQ256" s="102">
        <f t="shared" si="180"/>
        <v>1866.9631563090297</v>
      </c>
      <c r="GR256" s="85">
        <f t="shared" si="204"/>
        <v>7.9584887285152854</v>
      </c>
      <c r="GT256" s="103">
        <f t="shared" si="159"/>
        <v>4.09501037299791E-3</v>
      </c>
      <c r="GU256" s="103">
        <f t="shared" si="159"/>
        <v>0.31827109025720068</v>
      </c>
      <c r="GV256" s="103">
        <f t="shared" si="159"/>
        <v>0.46150425848898524</v>
      </c>
      <c r="GW256" s="103">
        <f t="shared" si="159"/>
        <v>2.6850894537500045E-2</v>
      </c>
      <c r="GX256" s="103">
        <f t="shared" si="158"/>
        <v>0.1017952155989419</v>
      </c>
      <c r="GY256" s="103">
        <f t="shared" si="158"/>
        <v>7.897609801462846E-2</v>
      </c>
      <c r="GZ256" s="103">
        <f t="shared" si="158"/>
        <v>7.45643102356676E-3</v>
      </c>
      <c r="HA256" s="103">
        <f t="shared" si="158"/>
        <v>1.0510017061789339E-3</v>
      </c>
    </row>
    <row r="257" spans="1:209" x14ac:dyDescent="0.25">
      <c r="A257" s="96">
        <v>48245</v>
      </c>
      <c r="B257" s="104">
        <f t="shared" si="247"/>
        <v>6.5</v>
      </c>
      <c r="C257" s="112">
        <f t="shared" si="246"/>
        <v>0.5</v>
      </c>
      <c r="D257" s="104">
        <f t="shared" si="242"/>
        <v>2</v>
      </c>
      <c r="E257" s="104">
        <f>('Renewable Diesel'!B266*E$3*'Feedstock Conversion Rates'!$B$2)/12-57.5+8+12.5+52.5-76+18+23+45+50-2.5-3-28-2-9.5+30-40+26+0.5-20-15+50-147</f>
        <v>4.9300000000000068</v>
      </c>
      <c r="F257" s="104">
        <f>('Renewable Diesel'!B266*'RD Feedstock Breakdown'!F$3*'Feedstock Conversion Rates'!B$8)/12-13.5+1.5-2+36-10+10-61+25+8+1-29+1.5-15-6</f>
        <v>0.40625</v>
      </c>
      <c r="G257" s="104">
        <f>('Renewable Diesel'!B266*'RD Feedstock Breakdown'!G$3*'Feedstock Conversion Rates'!B$7)/12-25-15-25+4+4-20-40-20+10-17.5+20+50-12+32.5+35-75-75+22.5+5-20+15+125-10-60+5-85+45</f>
        <v>49.657000000000011</v>
      </c>
      <c r="H257" s="104">
        <f>('Renewable Diesel'!B266*'RD Feedstock Breakdown'!H$3*'Feedstock Conversion Rates'!B$3)/12-85+4-15+70-65-80+50-22.5-5+25+27.5+15+50+15-10+5+50+75-5-25-85-12.5+30+22.5-25-30+150+90-120+25+10+20+85-30-45-50+147</f>
        <v>432.40022499999998</v>
      </c>
      <c r="I257" s="106">
        <f t="shared" si="203"/>
        <v>496.39347499999997</v>
      </c>
      <c r="J257" s="104">
        <f>87-50+15+53+55-6+84+19-11-40-29-30-13-50-7+30+25+15-7.5-45-10-1-55+5+15+18+90-5+15+5-100-70+11+40-24-14-5+35-44+100</f>
        <v>100.5</v>
      </c>
      <c r="K257" s="104"/>
      <c r="L257" s="104">
        <v>1</v>
      </c>
      <c r="M257" s="104">
        <f>('Renewable Diesel'!C266*'RD Feedstock Breakdown'!M$3*'Feedstock Conversion Rates'!B$2)/12</f>
        <v>7.7902500000000003</v>
      </c>
      <c r="N257" s="104">
        <f>('Renewable Diesel'!C266*'RD Feedstock Breakdown'!N$3*'Feedstock Conversion Rates'!B$8)/12</f>
        <v>3.671875</v>
      </c>
      <c r="O257" s="104">
        <f>('Renewable Diesel'!C266*'RD Feedstock Breakdown'!O$3*'Feedstock Conversion Rates'!B$7)/12</f>
        <v>11.9991</v>
      </c>
      <c r="P257" s="104">
        <f>('Renewable Diesel'!C266*'RD Feedstock Breakdown'!P$3*'Feedstock Conversion Rates'!B$3)/12</f>
        <v>10.4470425</v>
      </c>
      <c r="Q257" s="106">
        <f t="shared" si="216"/>
        <v>135.40826749999999</v>
      </c>
      <c r="R257" s="104">
        <f>('Renewable Diesel'!D266*'RD Feedstock Breakdown'!R$3*'Feedstock Conversion Rates'!B$7)/12</f>
        <v>2.2999999999999998</v>
      </c>
      <c r="S257" s="106">
        <f t="shared" ref="S257:S320" si="249">R257</f>
        <v>2.2999999999999998</v>
      </c>
      <c r="T257" s="104">
        <f t="shared" si="221"/>
        <v>0.82500000000000284</v>
      </c>
      <c r="U257" s="104">
        <v>30</v>
      </c>
      <c r="V257" s="104">
        <f>('Renewable Diesel'!E266*'RD Feedstock Breakdown'!V$3*'Feedstock Conversion Rates'!B$6)/12-20+25-35+15</f>
        <v>29.250150000000012</v>
      </c>
      <c r="W257" s="104">
        <f>('Renewable Diesel'!E266*'RD Feedstock Breakdown'!W$3*'Feedstock Conversion Rates'!B$8)/12-6-10</f>
        <v>6.1796875</v>
      </c>
      <c r="X257" s="106">
        <f t="shared" si="185"/>
        <v>66.254837500000008</v>
      </c>
      <c r="Y257" s="104">
        <f t="shared" si="245"/>
        <v>146.5</v>
      </c>
      <c r="Z257" s="104">
        <f>('Renewable Diesel'!F266*'RD Feedstock Breakdown'!Z$3*'Feedstock Conversion Rates'!B$6)/12-50-32-60+15+15+47.5+22.5-85+70-10-25-7+7+7</f>
        <v>74.460000000000008</v>
      </c>
      <c r="AA257" s="104">
        <f>('Renewable Diesel'!F266*'RD Feedstock Breakdown'!AA$3*'Feedstock Conversion Rates'!B$7)/12+80-171+75+30-57.5-18</f>
        <v>42.766666666666652</v>
      </c>
      <c r="AB257" s="106">
        <f t="shared" si="235"/>
        <v>263.72666666666669</v>
      </c>
      <c r="AC257" s="104">
        <f>('Renewable Diesel'!G266*'RD Feedstock Breakdown'!AC$3*'Feedstock Conversion Rates'!B$5)/12</f>
        <v>11.796875</v>
      </c>
      <c r="AD257" s="104">
        <f>('Renewable Diesel'!G266*'RD Feedstock Breakdown'!AD$3*'Feedstock Conversion Rates'!B$4)/12</f>
        <v>5.859375</v>
      </c>
      <c r="AE257" s="104">
        <f>('Renewable Diesel'!G266*'RD Feedstock Breakdown'!AE$3*'Feedstock Conversion Rates'!B$6)/12</f>
        <v>7.3281250000000009</v>
      </c>
      <c r="AF257" s="106">
        <f t="shared" si="198"/>
        <v>24.984375</v>
      </c>
      <c r="AG257" s="104">
        <f t="shared" si="230"/>
        <v>6.5</v>
      </c>
      <c r="AH257" s="104">
        <v>135</v>
      </c>
      <c r="AI257" s="104">
        <f>('Renewable Diesel'!H266*'RD Feedstock Breakdown'!AI$3*'Feedstock Conversion Rates'!B$6)/12-130-20+51-120+105-37.5+20-10</f>
        <v>7.0166666666666799</v>
      </c>
      <c r="AJ257" s="106">
        <f t="shared" si="248"/>
        <v>13.51666666666668</v>
      </c>
      <c r="AK257" s="104">
        <f>('Renewable Diesel'!J266*'RD Feedstock Breakdown'!AK$3*'Feedstock Conversion Rates'!B$4)/12</f>
        <v>95.8125</v>
      </c>
      <c r="AL257" s="106">
        <f t="shared" si="157"/>
        <v>95.8125</v>
      </c>
      <c r="AM257" s="104">
        <f>('Renewable Diesel'!K266*'RD Feedstock Breakdown'!AM$3*'Feedstock Conversion Rates'!B$4)/12+5+15-10+4+5-28</f>
        <v>49.59375</v>
      </c>
      <c r="AN257" s="104">
        <f>('Renewable Diesel'!K266*'RD Feedstock Breakdown'!AN$3*'Feedstock Conversion Rates'!B$6)/12-5-15+10-4-5+28</f>
        <v>33.427083333333329</v>
      </c>
      <c r="AO257" s="106">
        <f t="shared" si="173"/>
        <v>83.020833333333329</v>
      </c>
      <c r="AP257" s="104">
        <f>('Renewable Diesel'!L266*'RD Feedstock Breakdown'!AP$3*'Feedstock Conversion Rates'!B$4)/12+15-10+5+2+7</f>
        <v>77.59375</v>
      </c>
      <c r="AQ257" s="104">
        <f>('Renewable Diesel'!L266*'RD Feedstock Breakdown'!AQ$3*'Feedstock Conversion Rates'!B$6)/12-15+10-5-2-7</f>
        <v>5.4270833333333321</v>
      </c>
      <c r="AR257" s="106">
        <f t="shared" si="162"/>
        <v>83.020833333333329</v>
      </c>
      <c r="AS257" s="104">
        <f>('Renewable Diesel'!M266*'RD Feedstock Breakdown'!AS$3*'Feedstock Conversion Rates'!B$4)/12-25-30</f>
        <v>401.25</v>
      </c>
      <c r="AT257" s="104">
        <f>('Renewable Diesel'!M266*'RD Feedstock Breakdown'!AT$3*'Feedstock Conversion Rates'!B$5)/12+25+30</f>
        <v>55</v>
      </c>
      <c r="AU257" s="106">
        <f t="shared" si="201"/>
        <v>456.25</v>
      </c>
      <c r="AV257" s="104">
        <f>'Renewable Diesel'!N266*'RD Feedstock Breakdown'!$AV$3*'Feedstock Conversion Rates'!$B$4/12-15-10+25+25-22+15-62.5+1</f>
        <v>35.249999999999986</v>
      </c>
      <c r="AW257" s="104">
        <f>'Renewable Diesel'!N266*'RD Feedstock Breakdown'!$AW$3*'Feedstock Conversion Rates'!$B$7/12+15+10-25-25+22-15+62.5-1</f>
        <v>84.9</v>
      </c>
      <c r="AX257" s="106">
        <f t="shared" si="239"/>
        <v>120.14999999999999</v>
      </c>
      <c r="AY257" s="104">
        <f>('Renewable Diesel'!O266*'RD Feedstock Breakdown'!AY$3*'Feedstock Conversion Rates'!B$4)/12-115-95-138</f>
        <v>-137.0625</v>
      </c>
      <c r="AZ257" s="104">
        <f>('Renewable Diesel'!O266*'RD Feedstock Breakdown'!AZ$3*'Feedstock Conversion Rates'!B$3)/12+115+95+138</f>
        <v>373.03125</v>
      </c>
      <c r="BA257" s="106">
        <f t="shared" si="217"/>
        <v>235.96875</v>
      </c>
      <c r="BB257" s="104">
        <f>('Renewable Diesel'!Q266*'RD Feedstock Breakdown'!BB$3*'Feedstock Conversion Rates'!B$4)/12</f>
        <v>11.156249999999998</v>
      </c>
      <c r="BC257" s="104">
        <f>('Renewable Diesel'!Q266*'RD Feedstock Breakdown'!BC$3*'Feedstock Conversion Rates'!B$3)/12</f>
        <v>1.4017500000000001</v>
      </c>
      <c r="BD257" s="104">
        <f>('Renewable Diesel'!Q266*'RD Feedstock Breakdown'!BD$3*'Feedstock Conversion Rates'!B$6)/12</f>
        <v>0.8207500000000002</v>
      </c>
      <c r="BE257" s="106">
        <f t="shared" si="189"/>
        <v>13.378749999999998</v>
      </c>
      <c r="BF257" s="104">
        <f>('Renewable Diesel'!R266*'RD Feedstock Breakdown'!BF$3*'Feedstock Conversion Rates'!B$4)/12</f>
        <v>62.5</v>
      </c>
      <c r="BG257" s="106">
        <f t="shared" si="167"/>
        <v>62.5</v>
      </c>
      <c r="BH257" s="104">
        <f>('Renewable Diesel'!T266*'RD Feedstock Breakdown'!BH$3*'Feedstock Conversion Rates'!B$7)/12</f>
        <v>27.599999999999998</v>
      </c>
      <c r="BI257" s="106">
        <f t="shared" si="243"/>
        <v>27.599999999999998</v>
      </c>
      <c r="BJ257" s="104">
        <f>('Renewable Diesel'!W266*'RD Feedstock Breakdown'!BJ$3*'Feedstock Conversion Rates'!B$4)/12</f>
        <v>7.5</v>
      </c>
      <c r="BK257" s="104">
        <f>('Renewable Diesel'!W266*'RD Feedstock Breakdown'!BK$3*'Feedstock Conversion Rates'!B$3)/12</f>
        <v>1.335</v>
      </c>
      <c r="BL257" s="104">
        <f>('Renewable Diesel'!W266*'RD Feedstock Breakdown'!BL$3*'Feedstock Conversion Rates'!B$6)/12</f>
        <v>3.1266666666666669</v>
      </c>
      <c r="BM257" s="104">
        <f>('Renewable Diesel'!W266*'RD Feedstock Breakdown'!BM$3*'Feedstock Conversion Rates'!B$7)/12</f>
        <v>1.5333333333333332</v>
      </c>
      <c r="BN257" s="106">
        <f t="shared" si="209"/>
        <v>13.495000000000001</v>
      </c>
      <c r="BO257" s="104">
        <f>('Renewable Diesel'!P266*'Feedstock Conversion Rates'!B$4)/12</f>
        <v>31.25</v>
      </c>
      <c r="BP257" s="106">
        <f t="shared" si="199"/>
        <v>31.25</v>
      </c>
      <c r="BQ257" s="104">
        <f>('Renewable Diesel'!$S266*'RD Feedstock Breakdown'!BQ$3*'Feedstock Conversion Rates'!B$4)/12+10</f>
        <v>38.125</v>
      </c>
      <c r="BR257" s="104">
        <f>('Renewable Diesel'!$S266*'RD Feedstock Breakdown'!BR$3*'Feedstock Conversion Rates'!B$7)/12-10</f>
        <v>1.5</v>
      </c>
      <c r="BS257" s="106">
        <f t="shared" si="222"/>
        <v>39.625</v>
      </c>
      <c r="BT257" s="106"/>
      <c r="BU257" s="104">
        <f>('Renewable Diesel'!Y266*'Feedstock Conversion Rates'!B$7)/12</f>
        <v>2.6833333333333331</v>
      </c>
      <c r="BV257" s="106">
        <f t="shared" si="191"/>
        <v>2.6833333333333331</v>
      </c>
      <c r="BW257" s="104">
        <f>('Renewable Diesel'!$Z266*'RD Feedstock Breakdown'!BW$3*'Feedstock Conversion Rates'!$B$4)/12</f>
        <v>71.875</v>
      </c>
      <c r="BX257" s="104">
        <f>('Renewable Diesel'!$Z266*'RD Feedstock Breakdown'!BX$3*'Feedstock Conversion Rates'!$B$5)/12</f>
        <v>7.2354166666666666</v>
      </c>
      <c r="BY257" s="104">
        <f>('Renewable Diesel'!$Z266*'RD Feedstock Breakdown'!BY$3*'Feedstock Conversion Rates'!$B$7)/12-60</f>
        <v>1.7166666666666615</v>
      </c>
      <c r="BZ257" s="104">
        <f>('Renewable Diesel'!$Z266*'RD Feedstock Breakdown'!BZ$3*'Feedstock Conversion Rates'!$B$3)/12+120</f>
        <v>135.35249999999999</v>
      </c>
      <c r="CA257" s="106">
        <f t="shared" si="228"/>
        <v>216.17958333333331</v>
      </c>
      <c r="CB257" s="104">
        <f>('Renewable Diesel'!AA266*'Feedstock Conversion Rates'!B$4)/12</f>
        <v>191.25</v>
      </c>
      <c r="CC257" s="106">
        <f t="shared" si="213"/>
        <v>191.25</v>
      </c>
      <c r="CD257" s="104">
        <f>('Renewable Diesel'!$AB266*'RD Feedstock Breakdown'!CD$3*'Feedstock Conversion Rates'!$B$6)/12-15</f>
        <v>17.830000000000005</v>
      </c>
      <c r="CE257" s="104">
        <f>('Renewable Diesel'!$AB266*'RD Feedstock Breakdown'!CE$3*'Feedstock Conversion Rates'!$B$4)/12+15</f>
        <v>26.25</v>
      </c>
      <c r="CF257" s="106">
        <f t="shared" si="205"/>
        <v>44.080000000000005</v>
      </c>
      <c r="CG257" s="104">
        <f>('Renewable Diesel'!AD266*'Feedstock Conversion Rates'!B$4)/12</f>
        <v>112.5</v>
      </c>
      <c r="CH257" s="106">
        <f t="shared" si="187"/>
        <v>112.5</v>
      </c>
      <c r="CI257" s="104">
        <f>('Renewable Diesel'!$AE266*'RD Feedstock Breakdown'!CI$3*'Feedstock Conversion Rates'!$B$5)/12</f>
        <v>0.34604166666666664</v>
      </c>
      <c r="CJ257" s="104">
        <f>('Renewable Diesel'!$AE266*'RD Feedstock Breakdown'!CJ$3*'Feedstock Conversion Rates'!$B$4)/12</f>
        <v>0.34375</v>
      </c>
      <c r="CK257" s="106">
        <f t="shared" si="200"/>
        <v>0.68979166666666658</v>
      </c>
      <c r="CL257" s="104">
        <f>(((CL$3*'Renewable Diesel'!$AF266)*'Feedstock Conversion Rates'!$B$3)/12)-25</f>
        <v>66.78125</v>
      </c>
      <c r="CM257" s="104">
        <f>(((CM$3*'Renewable Diesel'!$AF266)*'Feedstock Conversion Rates'!$B$6)/12)+25</f>
        <v>78.739583333333343</v>
      </c>
      <c r="CN257" s="104">
        <f>(((CN$3*'Renewable Diesel'!$AF266)*'Feedstock Conversion Rates'!$B$4)/12)</f>
        <v>42.96875</v>
      </c>
      <c r="CO257" s="106">
        <f t="shared" si="190"/>
        <v>188.48958333333334</v>
      </c>
      <c r="CP257" s="104">
        <f>('Renewable Diesel'!$AG266*'RD Feedstock Breakdown'!CP$3*'Feedstock Conversion Rates'!$B$3)/12</f>
        <v>6.0075000000000003</v>
      </c>
      <c r="CQ257" s="104">
        <f>('Renewable Diesel'!$AG266*'RD Feedstock Breakdown'!CQ$3*'Feedstock Conversion Rates'!$B$6)/12</f>
        <v>3.5175000000000001</v>
      </c>
      <c r="CR257" s="104">
        <f>('Renewable Diesel'!$AG266*'RD Feedstock Breakdown'!CR$3*'Feedstock Conversion Rates'!$B$4)/12</f>
        <v>2.8125</v>
      </c>
      <c r="CS257" s="106">
        <f t="shared" si="231"/>
        <v>12.3375</v>
      </c>
      <c r="CT257" s="104">
        <f>('Renewable Diesel'!AI266*'Feedstock Conversion Rates'!$B$4*'RD Feedstock Breakdown'!$CT$3)/12</f>
        <v>29.375</v>
      </c>
      <c r="CU257" s="106">
        <f t="shared" si="196"/>
        <v>29.375</v>
      </c>
      <c r="CV257" s="104">
        <f>('Renewable Diesel'!AN266*'Feedstock Conversion Rates'!$B$3*'RD Feedstock Breakdown'!$CV$3)/12</f>
        <v>0.50062499999999999</v>
      </c>
      <c r="CW257" s="106">
        <f t="shared" si="161"/>
        <v>0.50062499999999999</v>
      </c>
      <c r="CX257" s="104">
        <f>('Renewable Diesel'!AO266*'RD Feedstock Breakdown'!$CX$3*'Feedstock Conversion Rates'!$B$3)/12</f>
        <v>6.3412499999999996</v>
      </c>
      <c r="CY257" s="104">
        <f>('Renewable Diesel'!AO266*'RD Feedstock Breakdown'!$CY$3*'Feedstock Conversion Rates'!$B$6)/12</f>
        <v>7.4258333333333342</v>
      </c>
      <c r="CZ257" s="106">
        <f t="shared" si="233"/>
        <v>13.767083333333334</v>
      </c>
      <c r="DA257" s="104">
        <f>('Renewable Diesel'!$AP266*'RD Feedstock Breakdown'!DA$3*'Feedstock Conversion Rates'!$B$3)/12</f>
        <v>6.3412499999999996</v>
      </c>
      <c r="DB257" s="104">
        <f>('Renewable Diesel'!$AP266*'RD Feedstock Breakdown'!DB$3*'Feedstock Conversion Rates'!$B$8)/12</f>
        <v>7.421875</v>
      </c>
      <c r="DC257" s="106">
        <f t="shared" si="165"/>
        <v>13.763124999999999</v>
      </c>
      <c r="DD257" s="104">
        <f>('Renewable Diesel'!AQ266*$DD$3*'Feedstock Conversion Rates'!$B$14)/12</f>
        <v>3.1041666666666665</v>
      </c>
      <c r="DE257" s="106">
        <f t="shared" si="166"/>
        <v>3.1041666666666665</v>
      </c>
      <c r="DF257" s="104">
        <f>('Renewable Diesel'!AR266*'Feedstock Conversion Rates'!$B$4*$DF$3)/12</f>
        <v>75</v>
      </c>
      <c r="DG257" s="106">
        <f t="shared" si="234"/>
        <v>75</v>
      </c>
      <c r="DH257" s="104">
        <f>('Renewable Diesel'!AS266*'Feedstock Conversion Rates'!$B$4*$DH$3)/12</f>
        <v>75</v>
      </c>
      <c r="DI257" s="106">
        <f t="shared" si="240"/>
        <v>75</v>
      </c>
      <c r="DJ257" s="104">
        <f>('Renewable Diesel'!AT266*'Feedstock Conversion Rates'!$B$4*0.25)/12</f>
        <v>8.59375</v>
      </c>
      <c r="DK257" s="104">
        <f>('Renewable Diesel'!$AT266*'RD Feedstock Breakdown'!DK$3*'Feedstock Conversion Rates'!$B$3)/12*0.5</f>
        <v>9.1781249999999996</v>
      </c>
      <c r="DL257" s="104">
        <f>('Renewable Diesel'!$AT266*'RD Feedstock Breakdown'!$DL$3*'Feedstock Conversion Rates'!$B$6)/12</f>
        <v>10.747916666666669</v>
      </c>
      <c r="DM257" s="104">
        <f>('Renewable Diesel'!$AT266*'RD Feedstock Breakdown'!$DM$3*'Feedstock Conversion Rates'!$B$8)/12</f>
        <v>10.7421875</v>
      </c>
      <c r="DN257" s="106">
        <f t="shared" si="210"/>
        <v>39.26197916666667</v>
      </c>
      <c r="DP257" s="104">
        <f t="shared" si="168"/>
        <v>12.720250000000007</v>
      </c>
      <c r="DQ257" s="104">
        <f t="shared" si="169"/>
        <v>1049.1177674999997</v>
      </c>
      <c r="DR257" s="104">
        <f t="shared" si="174"/>
        <v>1724.703125</v>
      </c>
      <c r="DS257" s="104">
        <f t="shared" si="197"/>
        <v>93.901250000000005</v>
      </c>
      <c r="DT257" s="104">
        <f t="shared" si="170"/>
        <v>286.53923333333341</v>
      </c>
      <c r="DU257" s="104">
        <f t="shared" si="171"/>
        <v>226.65610000000001</v>
      </c>
      <c r="DV257" s="104">
        <f t="shared" si="175"/>
        <v>21</v>
      </c>
      <c r="DW257" s="104">
        <f t="shared" si="172"/>
        <v>3</v>
      </c>
      <c r="DX257" s="106">
        <f t="shared" si="176"/>
        <v>3417.6377258333332</v>
      </c>
      <c r="DY257" s="109">
        <f t="shared" si="163"/>
        <v>-135.00000000000003</v>
      </c>
      <c r="EA257" s="110">
        <f t="shared" ref="EA257:EG293" si="250">DP257/$DX257</f>
        <v>3.7219421777357604E-3</v>
      </c>
      <c r="EB257" s="110">
        <f t="shared" si="250"/>
        <v>0.30697161362946684</v>
      </c>
      <c r="EC257" s="110">
        <f t="shared" si="250"/>
        <v>0.50464773137400343</v>
      </c>
      <c r="ED257" s="110">
        <f t="shared" si="250"/>
        <v>2.7475483808660196E-2</v>
      </c>
      <c r="EE257" s="110">
        <f t="shared" si="250"/>
        <v>8.3841312719435665E-2</v>
      </c>
      <c r="EF257" s="110">
        <f t="shared" si="250"/>
        <v>6.6319521898633577E-2</v>
      </c>
      <c r="EG257" s="110">
        <f t="shared" si="250"/>
        <v>6.1445950930564194E-3</v>
      </c>
      <c r="EH257" s="111">
        <f t="shared" si="177"/>
        <v>8.7779929900805992E-4</v>
      </c>
      <c r="EI257" s="110">
        <f t="shared" si="236"/>
        <v>0.99912220070099178</v>
      </c>
      <c r="EK257" s="132">
        <f>(EA257*'Renewable Diesel'!BF266*'Feedstock Conversion Rates'!B$2)+FB257</f>
        <v>36.179699889667468</v>
      </c>
      <c r="EL257" s="132">
        <f>(EB257*'Renewable Diesel'!BF266*'Feedstock Conversion Rates'!B$3)+FC257</f>
        <v>2811.947096640155</v>
      </c>
      <c r="EM257" s="132">
        <f>(EC257*'Renewable Diesel'!BF266*'Feedstock Conversion Rates'!B$4)+FD257</f>
        <v>4328.3861740558377</v>
      </c>
      <c r="EN257" s="132">
        <f>(ED257*'Renewable Diesel'!BF266*'Feedstock Conversion Rates'!B$5)+FE257</f>
        <v>237.22951046511525</v>
      </c>
      <c r="EO257" s="132">
        <f>(EE257*'Renewable Diesel'!BF266*'Feedstock Conversion Rates'!B$6)+FF257</f>
        <v>899.36777080188222</v>
      </c>
      <c r="EP257" s="132">
        <f>(EF257*'Renewable Diesel'!BF266*'Feedstock Conversion Rates'!B$7)+FG257</f>
        <v>697.75928858866371</v>
      </c>
      <c r="EQ257" s="132">
        <f>(EG257*'Renewable Diesel'!BF266*'Feedstock Conversion Rates'!B$8)+FH257</f>
        <v>65.878083840641125</v>
      </c>
      <c r="ER257" s="132">
        <f>(EH257*'Renewable Diesel'!BF266*'Feedstock Conversion Rates'!B$9)+FI257</f>
        <v>9.2856727699189392</v>
      </c>
      <c r="ES257" s="132">
        <f t="shared" si="179"/>
        <v>9086.0332970518812</v>
      </c>
      <c r="ET257" s="133">
        <f>ES257/'Renewable Diesel'!BF266</f>
        <v>12.513073111763438</v>
      </c>
      <c r="EW257" s="73">
        <f t="shared" si="223"/>
        <v>6232.3310574497236</v>
      </c>
      <c r="EX257" s="73">
        <f t="shared" si="224"/>
        <v>6170.6330593559942</v>
      </c>
      <c r="EY257" s="92">
        <f t="shared" si="164"/>
        <v>0.68592430312487518</v>
      </c>
      <c r="EZ257" s="92">
        <f t="shared" si="164"/>
        <v>0.6791338813779344</v>
      </c>
      <c r="FB257" s="102">
        <f>IF('Renewable Diesel'!$BG266&lt;1,0,(((('Renewable Diesel'!$BG266-1)*'Renewable Diesel'!$BF266)*'RD Feedstock Breakdown'!EA257)*'Feedstock Conversion Rates'!$B$2))</f>
        <v>13.2076955575785</v>
      </c>
      <c r="FC257" s="102">
        <f>IF('Renewable Diesel'!$BG266&lt;1,0,(((('Renewable Diesel'!$BG266-1)*'Renewable Diesel'!$BF266)*'RD Feedstock Breakdown'!EB257)*'Feedstock Conversion Rates'!$B$3))</f>
        <v>1026.5243020174009</v>
      </c>
      <c r="FD257" s="102">
        <f>IF('Renewable Diesel'!$BG266&lt;1,0,(((('Renewable Diesel'!$BG266-1)*'Renewable Diesel'!$BF266)*'RD Feedstock Breakdown'!EC257)*'Feedstock Conversion Rates'!$B$4))</f>
        <v>1580.1127985278854</v>
      </c>
      <c r="FE257" s="102">
        <f>IF('Renewable Diesel'!$BG266&lt;1,0,(((('Renewable Diesel'!$BG266-1)*'Renewable Diesel'!$BF266)*'RD Feedstock Breakdown'!ED257)*'Feedstock Conversion Rates'!$B$5))</f>
        <v>86.602574400885203</v>
      </c>
      <c r="FF257" s="102">
        <f>IF('Renewable Diesel'!$BG266&lt;1,0,(((('Renewable Diesel'!$BG266-1)*'Renewable Diesel'!$BF266)*'RD Feedstock Breakdown'!EE257)*'Feedstock Conversion Rates'!$B$6))</f>
        <v>328.32156560927393</v>
      </c>
      <c r="FG257" s="102">
        <f>IF('Renewable Diesel'!$BG266&lt;1,0,(((('Renewable Diesel'!$BG266-1)*'Renewable Diesel'!$BF266)*'RD Feedstock Breakdown'!EF257)*'Feedstock Conversion Rates'!$B$7))</f>
        <v>254.72273911214944</v>
      </c>
      <c r="FH257" s="102">
        <f>IF('Renewable Diesel'!$BG266&lt;1,0,(((('Renewable Diesel'!$BG266-1)*'Renewable Diesel'!$BF266)*'RD Feedstock Breakdown'!EG257)*'Feedstock Conversion Rates'!$B$8))</f>
        <v>24.049333685388312</v>
      </c>
      <c r="FI257" s="102">
        <f>IF('Renewable Diesel'!$BG266&lt;1,0,(((('Renewable Diesel'!$BG266-1)*'Renewable Diesel'!$BF266)*'RD Feedstock Breakdown'!EH257)*'Feedstock Conversion Rates'!$B$9))</f>
        <v>3.3898108432737812</v>
      </c>
      <c r="FJ257" s="102">
        <f t="shared" si="225"/>
        <v>3316.9308197538357</v>
      </c>
      <c r="GD257" s="91">
        <f>'Renewable Diesel'!BB266*0.32</f>
        <v>0</v>
      </c>
      <c r="GE257" s="91">
        <f>'Renewable Diesel'!BC266</f>
        <v>445.31037295188992</v>
      </c>
      <c r="GF257" s="91">
        <f>'Renewable Diesel'!BD266</f>
        <v>0</v>
      </c>
      <c r="GG257" s="91">
        <f t="shared" si="206"/>
        <v>445.31037295188992</v>
      </c>
      <c r="GH257" s="124">
        <v>1</v>
      </c>
      <c r="GI257" s="102">
        <f>$GG257*EA257*'Feedstock Conversion Rates'!$B$2</f>
        <v>14.088065403819487</v>
      </c>
      <c r="GJ257" s="102">
        <f>$GG257*EB257*'Feedstock Conversion Rates'!$B$3</f>
        <v>1094.9481264453605</v>
      </c>
      <c r="GK257" s="102">
        <f>$GG257*EC257*'Feedstock Conversion Rates'!$B$4</f>
        <v>1685.4365210061196</v>
      </c>
      <c r="GL257" s="102">
        <f>$GG257*ED257*'Feedstock Conversion Rates'!$B$5</f>
        <v>92.375140461104039</v>
      </c>
      <c r="GM257" s="102">
        <f>$GG257*EE257*'Feedstock Conversion Rates'!$B$6</f>
        <v>350.20611049244121</v>
      </c>
      <c r="GN257" s="102">
        <f>$GG257*EF257*'Feedstock Conversion Rates'!$B$7</f>
        <v>271.70149348217819</v>
      </c>
      <c r="GO257" s="102">
        <f>$GG257*EG257*'Feedstock Conversion Rates'!$B$8</f>
        <v>25.652361867443499</v>
      </c>
      <c r="GP257" s="102">
        <f>$GG257*EH257*'Feedstock Conversion Rates'!B$9</f>
        <v>3.6157614822682271</v>
      </c>
      <c r="GQ257" s="102">
        <f t="shared" si="180"/>
        <v>3538.023580640735</v>
      </c>
      <c r="GR257" s="85">
        <f t="shared" si="204"/>
        <v>7.9450733590321576</v>
      </c>
      <c r="GT257" s="103">
        <f t="shared" si="159"/>
        <v>3.9819026308660563E-3</v>
      </c>
      <c r="GU257" s="103">
        <f t="shared" si="159"/>
        <v>0.30948016639478299</v>
      </c>
      <c r="GV257" s="103">
        <f t="shared" si="159"/>
        <v>0.47637797843644891</v>
      </c>
      <c r="GW257" s="103">
        <f t="shared" si="159"/>
        <v>2.610924951618749E-2</v>
      </c>
      <c r="GX257" s="103">
        <f t="shared" si="158"/>
        <v>9.8983543357000187E-2</v>
      </c>
      <c r="GY257" s="103">
        <f t="shared" si="158"/>
        <v>7.6794709613827145E-2</v>
      </c>
      <c r="GZ257" s="103">
        <f t="shared" si="158"/>
        <v>7.2504779244003418E-3</v>
      </c>
      <c r="HA257" s="103">
        <f t="shared" si="158"/>
        <v>1.0219721264869055E-3</v>
      </c>
    </row>
    <row r="258" spans="1:209" x14ac:dyDescent="0.25">
      <c r="A258" s="96">
        <v>48274</v>
      </c>
      <c r="B258" s="104">
        <f t="shared" si="247"/>
        <v>6.5</v>
      </c>
      <c r="C258" s="112">
        <f t="shared" si="246"/>
        <v>0.5</v>
      </c>
      <c r="D258" s="104">
        <f t="shared" si="242"/>
        <v>2</v>
      </c>
      <c r="E258" s="104">
        <f>('Renewable Diesel'!B267*E$3*'Feedstock Conversion Rates'!$B$2)/12-57.5+8+12.5+52.5-76+18+23+45+50-2.5-3-28-2-9.5+30-40+26+0.5-20-15+50-147</f>
        <v>4.9300000000000068</v>
      </c>
      <c r="F258" s="104">
        <f>('Renewable Diesel'!B267*'RD Feedstock Breakdown'!F$3*'Feedstock Conversion Rates'!B$8)/12-13.5+1.5-2+36-10+10-61+25+8+1-29+1.5-15-6</f>
        <v>0.40625</v>
      </c>
      <c r="G258" s="104">
        <f>('Renewable Diesel'!B267*'RD Feedstock Breakdown'!G$3*'Feedstock Conversion Rates'!B$7)/12-25-15-25+4+4-20-40-20+10-17.5+20+50-12+32.5+35-75-75+22.5+5-20+15+125-10-60+5-85+45</f>
        <v>49.657000000000011</v>
      </c>
      <c r="H258" s="104">
        <f>('Renewable Diesel'!B267*'RD Feedstock Breakdown'!H$3*'Feedstock Conversion Rates'!B$3)/12-85+4-15+70-65-80+50-22.5-5+25+27.5+15+50+15-10+5+50+75-5-25-85-12.5+30+22.5-25-30+150+90-120+25+10+20+85-30-45-50+147</f>
        <v>432.40022499999998</v>
      </c>
      <c r="I258" s="106">
        <f t="shared" si="203"/>
        <v>496.39347499999997</v>
      </c>
      <c r="J258" s="104">
        <f>87-50+15+53+55-6+84+19-11-40-29-30-13-50-7+30+25+15-7.5-45-10-1-55+5+15+18+90-5+15+5-100-70+11+40-24-14-5+35-44+100</f>
        <v>100.5</v>
      </c>
      <c r="K258" s="104"/>
      <c r="L258" s="104">
        <v>1</v>
      </c>
      <c r="M258" s="104">
        <f>('Renewable Diesel'!C267*'RD Feedstock Breakdown'!M$3*'Feedstock Conversion Rates'!B$2)/12</f>
        <v>7.7902500000000003</v>
      </c>
      <c r="N258" s="104">
        <f>('Renewable Diesel'!C267*'RD Feedstock Breakdown'!N$3*'Feedstock Conversion Rates'!B$8)/12</f>
        <v>3.671875</v>
      </c>
      <c r="O258" s="104">
        <f>('Renewable Diesel'!C267*'RD Feedstock Breakdown'!O$3*'Feedstock Conversion Rates'!B$7)/12</f>
        <v>11.9991</v>
      </c>
      <c r="P258" s="104">
        <f>('Renewable Diesel'!C267*'RD Feedstock Breakdown'!P$3*'Feedstock Conversion Rates'!B$3)/12</f>
        <v>10.4470425</v>
      </c>
      <c r="Q258" s="106">
        <f t="shared" si="216"/>
        <v>135.40826749999999</v>
      </c>
      <c r="R258" s="104">
        <f>('Renewable Diesel'!D267*'RD Feedstock Breakdown'!R$3*'Feedstock Conversion Rates'!B$7)/12</f>
        <v>2.2999999999999998</v>
      </c>
      <c r="S258" s="106">
        <f t="shared" si="249"/>
        <v>2.2999999999999998</v>
      </c>
      <c r="T258" s="104">
        <f t="shared" si="221"/>
        <v>0.82500000000000284</v>
      </c>
      <c r="U258" s="104">
        <v>30</v>
      </c>
      <c r="V258" s="104">
        <f>('Renewable Diesel'!E267*'RD Feedstock Breakdown'!V$3*'Feedstock Conversion Rates'!B$6)/12-20+25-35+15</f>
        <v>29.250150000000012</v>
      </c>
      <c r="W258" s="104">
        <f>('Renewable Diesel'!E267*'RD Feedstock Breakdown'!W$3*'Feedstock Conversion Rates'!B$8)/12-6-10</f>
        <v>6.1796875</v>
      </c>
      <c r="X258" s="106">
        <f t="shared" si="185"/>
        <v>66.254837500000008</v>
      </c>
      <c r="Y258" s="104">
        <f t="shared" si="245"/>
        <v>146.5</v>
      </c>
      <c r="Z258" s="104">
        <f>('Renewable Diesel'!F267*'RD Feedstock Breakdown'!Z$3*'Feedstock Conversion Rates'!B$6)/12-50-32-60+15+15+47.5+22.5-85+70-10-25-7+7+7</f>
        <v>74.460000000000008</v>
      </c>
      <c r="AA258" s="104">
        <f>('Renewable Diesel'!F267*'RD Feedstock Breakdown'!AA$3*'Feedstock Conversion Rates'!B$7)/12+80-171+75+30-57.5-18</f>
        <v>42.766666666666652</v>
      </c>
      <c r="AB258" s="106">
        <f t="shared" si="235"/>
        <v>263.72666666666669</v>
      </c>
      <c r="AC258" s="104">
        <f>('Renewable Diesel'!G267*'RD Feedstock Breakdown'!AC$3*'Feedstock Conversion Rates'!B$5)/12</f>
        <v>11.796875</v>
      </c>
      <c r="AD258" s="104">
        <f>('Renewable Diesel'!G267*'RD Feedstock Breakdown'!AD$3*'Feedstock Conversion Rates'!B$4)/12</f>
        <v>5.859375</v>
      </c>
      <c r="AE258" s="104">
        <f>('Renewable Diesel'!G267*'RD Feedstock Breakdown'!AE$3*'Feedstock Conversion Rates'!B$6)/12</f>
        <v>7.3281250000000009</v>
      </c>
      <c r="AF258" s="106">
        <f t="shared" si="198"/>
        <v>24.984375</v>
      </c>
      <c r="AG258" s="104">
        <f t="shared" si="230"/>
        <v>6.5</v>
      </c>
      <c r="AH258" s="104">
        <v>135</v>
      </c>
      <c r="AI258" s="104">
        <f>('Renewable Diesel'!H267*'RD Feedstock Breakdown'!AI$3*'Feedstock Conversion Rates'!B$6)/12-130-20+51-120+105-37.5+20-10</f>
        <v>7.0166666666666799</v>
      </c>
      <c r="AJ258" s="106">
        <f t="shared" si="248"/>
        <v>13.51666666666668</v>
      </c>
      <c r="AK258" s="104">
        <f>('Renewable Diesel'!J267*'RD Feedstock Breakdown'!AK$3*'Feedstock Conversion Rates'!B$4)/12</f>
        <v>95.8125</v>
      </c>
      <c r="AL258" s="106">
        <f t="shared" si="157"/>
        <v>95.8125</v>
      </c>
      <c r="AM258" s="104">
        <f>('Renewable Diesel'!K267*'RD Feedstock Breakdown'!AM$3*'Feedstock Conversion Rates'!B$4)/12+5+15-10+4+5-28</f>
        <v>49.59375</v>
      </c>
      <c r="AN258" s="104">
        <f>('Renewable Diesel'!K267*'RD Feedstock Breakdown'!AN$3*'Feedstock Conversion Rates'!B$6)/12-5-15+10-4-5+28</f>
        <v>33.427083333333329</v>
      </c>
      <c r="AO258" s="106">
        <f t="shared" si="173"/>
        <v>83.020833333333329</v>
      </c>
      <c r="AP258" s="104">
        <f>('Renewable Diesel'!L267*'RD Feedstock Breakdown'!AP$3*'Feedstock Conversion Rates'!B$4)/12+15-10+5+2+7</f>
        <v>77.59375</v>
      </c>
      <c r="AQ258" s="104">
        <f>('Renewable Diesel'!L267*'RD Feedstock Breakdown'!AQ$3*'Feedstock Conversion Rates'!B$6)/12-15+10-5-2-7</f>
        <v>5.4270833333333321</v>
      </c>
      <c r="AR258" s="106">
        <f t="shared" si="162"/>
        <v>83.020833333333329</v>
      </c>
      <c r="AS258" s="104">
        <f>('Renewable Diesel'!M267*'RD Feedstock Breakdown'!AS$3*'Feedstock Conversion Rates'!B$4)/12-25-30</f>
        <v>401.25</v>
      </c>
      <c r="AT258" s="104">
        <f>('Renewable Diesel'!M267*'RD Feedstock Breakdown'!AT$3*'Feedstock Conversion Rates'!B$5)/12+25+30</f>
        <v>55</v>
      </c>
      <c r="AU258" s="106">
        <f t="shared" si="201"/>
        <v>456.25</v>
      </c>
      <c r="AV258" s="104">
        <f>'Renewable Diesel'!N267*'RD Feedstock Breakdown'!$AV$3*'Feedstock Conversion Rates'!$B$4/12-15-10+25+25-22+15-62.5+1</f>
        <v>35.249999999999986</v>
      </c>
      <c r="AW258" s="104">
        <f>'Renewable Diesel'!N267*'RD Feedstock Breakdown'!$AW$3*'Feedstock Conversion Rates'!$B$7/12+15+10-25-25+22-15+62.5-1</f>
        <v>84.9</v>
      </c>
      <c r="AX258" s="106">
        <f t="shared" si="239"/>
        <v>120.14999999999999</v>
      </c>
      <c r="AY258" s="104">
        <f>('Renewable Diesel'!O267*'RD Feedstock Breakdown'!AY$3*'Feedstock Conversion Rates'!B$4)/12-115-95-138</f>
        <v>-137.0625</v>
      </c>
      <c r="AZ258" s="104">
        <f>('Renewable Diesel'!O267*'RD Feedstock Breakdown'!AZ$3*'Feedstock Conversion Rates'!B$3)/12+115+95+138</f>
        <v>373.03125</v>
      </c>
      <c r="BA258" s="106">
        <f t="shared" si="217"/>
        <v>235.96875</v>
      </c>
      <c r="BB258" s="104">
        <f>('Renewable Diesel'!Q267*'RD Feedstock Breakdown'!BB$3*'Feedstock Conversion Rates'!B$4)/12</f>
        <v>11.156249999999998</v>
      </c>
      <c r="BC258" s="104">
        <f>('Renewable Diesel'!Q267*'RD Feedstock Breakdown'!BC$3*'Feedstock Conversion Rates'!B$3)/12</f>
        <v>1.4017500000000001</v>
      </c>
      <c r="BD258" s="104">
        <f>('Renewable Diesel'!Q267*'RD Feedstock Breakdown'!BD$3*'Feedstock Conversion Rates'!B$6)/12</f>
        <v>0.8207500000000002</v>
      </c>
      <c r="BE258" s="106">
        <f t="shared" si="189"/>
        <v>13.378749999999998</v>
      </c>
      <c r="BF258" s="104">
        <f>('Renewable Diesel'!R267*'RD Feedstock Breakdown'!BF$3*'Feedstock Conversion Rates'!B$4)/12</f>
        <v>62.5</v>
      </c>
      <c r="BG258" s="106">
        <f t="shared" si="167"/>
        <v>62.5</v>
      </c>
      <c r="BH258" s="104">
        <f>('Renewable Diesel'!T267*'RD Feedstock Breakdown'!BH$3*'Feedstock Conversion Rates'!B$7)/12</f>
        <v>27.599999999999998</v>
      </c>
      <c r="BI258" s="106">
        <f t="shared" si="243"/>
        <v>27.599999999999998</v>
      </c>
      <c r="BJ258" s="104">
        <f>('Renewable Diesel'!W267*'RD Feedstock Breakdown'!BJ$3*'Feedstock Conversion Rates'!B$4)/12</f>
        <v>7.5</v>
      </c>
      <c r="BK258" s="104">
        <f>('Renewable Diesel'!W267*'RD Feedstock Breakdown'!BK$3*'Feedstock Conversion Rates'!B$3)/12</f>
        <v>1.335</v>
      </c>
      <c r="BL258" s="104">
        <f>('Renewable Diesel'!W267*'RD Feedstock Breakdown'!BL$3*'Feedstock Conversion Rates'!B$6)/12</f>
        <v>3.1266666666666669</v>
      </c>
      <c r="BM258" s="104">
        <f>('Renewable Diesel'!W267*'RD Feedstock Breakdown'!BM$3*'Feedstock Conversion Rates'!B$7)/12</f>
        <v>1.5333333333333332</v>
      </c>
      <c r="BN258" s="106">
        <f t="shared" si="209"/>
        <v>13.495000000000001</v>
      </c>
      <c r="BO258" s="104">
        <f>('Renewable Diesel'!P267*'Feedstock Conversion Rates'!B$4)/12</f>
        <v>31.25</v>
      </c>
      <c r="BP258" s="106">
        <f t="shared" si="199"/>
        <v>31.25</v>
      </c>
      <c r="BQ258" s="104">
        <f>('Renewable Diesel'!$S267*'RD Feedstock Breakdown'!BQ$3*'Feedstock Conversion Rates'!B$4)/12+10</f>
        <v>38.125</v>
      </c>
      <c r="BR258" s="104">
        <f>('Renewable Diesel'!$S267*'RD Feedstock Breakdown'!BR$3*'Feedstock Conversion Rates'!B$7)/12-10</f>
        <v>1.5</v>
      </c>
      <c r="BS258" s="106">
        <f t="shared" si="222"/>
        <v>39.625</v>
      </c>
      <c r="BT258" s="106"/>
      <c r="BU258" s="104">
        <f>('Renewable Diesel'!Y267*'Feedstock Conversion Rates'!B$7)/12</f>
        <v>2.6833333333333331</v>
      </c>
      <c r="BV258" s="106">
        <f t="shared" si="191"/>
        <v>2.6833333333333331</v>
      </c>
      <c r="BW258" s="104">
        <f>('Renewable Diesel'!$Z267*'RD Feedstock Breakdown'!BW$3*'Feedstock Conversion Rates'!$B$4)/12</f>
        <v>71.875</v>
      </c>
      <c r="BX258" s="104">
        <f>('Renewable Diesel'!$Z267*'RD Feedstock Breakdown'!BX$3*'Feedstock Conversion Rates'!$B$5)/12</f>
        <v>7.2354166666666666</v>
      </c>
      <c r="BY258" s="104">
        <f>('Renewable Diesel'!$Z267*'RD Feedstock Breakdown'!BY$3*'Feedstock Conversion Rates'!$B$7)/12-60</f>
        <v>1.7166666666666615</v>
      </c>
      <c r="BZ258" s="104">
        <f>('Renewable Diesel'!$Z267*'RD Feedstock Breakdown'!BZ$3*'Feedstock Conversion Rates'!$B$3)/12+120</f>
        <v>135.35249999999999</v>
      </c>
      <c r="CA258" s="106">
        <f t="shared" si="228"/>
        <v>216.17958333333331</v>
      </c>
      <c r="CB258" s="104">
        <f>('Renewable Diesel'!AA267*'Feedstock Conversion Rates'!B$4)/12</f>
        <v>191.25</v>
      </c>
      <c r="CC258" s="106">
        <f t="shared" si="213"/>
        <v>191.25</v>
      </c>
      <c r="CD258" s="104">
        <f>('Renewable Diesel'!$AB267*'RD Feedstock Breakdown'!CD$3*'Feedstock Conversion Rates'!$B$6)/12-15</f>
        <v>17.830000000000005</v>
      </c>
      <c r="CE258" s="104">
        <f>('Renewable Diesel'!$AB267*'RD Feedstock Breakdown'!CE$3*'Feedstock Conversion Rates'!$B$4)/12+15</f>
        <v>26.25</v>
      </c>
      <c r="CF258" s="106">
        <f t="shared" si="205"/>
        <v>44.080000000000005</v>
      </c>
      <c r="CG258" s="104">
        <f>('Renewable Diesel'!AD267*'Feedstock Conversion Rates'!B$4)/12</f>
        <v>112.5</v>
      </c>
      <c r="CH258" s="106">
        <f t="shared" si="187"/>
        <v>112.5</v>
      </c>
      <c r="CI258" s="104">
        <f>('Renewable Diesel'!$AE267*'RD Feedstock Breakdown'!CI$3*'Feedstock Conversion Rates'!$B$5)/12</f>
        <v>0.34604166666666664</v>
      </c>
      <c r="CJ258" s="104">
        <f>('Renewable Diesel'!$AE267*'RD Feedstock Breakdown'!CJ$3*'Feedstock Conversion Rates'!$B$4)/12</f>
        <v>0.34375</v>
      </c>
      <c r="CK258" s="106">
        <f t="shared" si="200"/>
        <v>0.68979166666666658</v>
      </c>
      <c r="CL258" s="104">
        <f>(((CL$3*'Renewable Diesel'!$AF267)*'Feedstock Conversion Rates'!$B$3)/12)-25</f>
        <v>66.78125</v>
      </c>
      <c r="CM258" s="104">
        <f>(((CM$3*'Renewable Diesel'!$AF267)*'Feedstock Conversion Rates'!$B$6)/12)+25</f>
        <v>78.739583333333343</v>
      </c>
      <c r="CN258" s="104">
        <f>(((CN$3*'Renewable Diesel'!$AF267)*'Feedstock Conversion Rates'!$B$4)/12)</f>
        <v>42.96875</v>
      </c>
      <c r="CO258" s="106">
        <f t="shared" si="190"/>
        <v>188.48958333333334</v>
      </c>
      <c r="CP258" s="104">
        <f>('Renewable Diesel'!$AG267*'RD Feedstock Breakdown'!CP$3*'Feedstock Conversion Rates'!$B$3)/12</f>
        <v>6.0075000000000003</v>
      </c>
      <c r="CQ258" s="104">
        <f>('Renewable Diesel'!$AG267*'RD Feedstock Breakdown'!CQ$3*'Feedstock Conversion Rates'!$B$6)/12</f>
        <v>3.5175000000000001</v>
      </c>
      <c r="CR258" s="104">
        <f>('Renewable Diesel'!$AG267*'RD Feedstock Breakdown'!CR$3*'Feedstock Conversion Rates'!$B$4)/12</f>
        <v>2.8125</v>
      </c>
      <c r="CS258" s="106">
        <f t="shared" si="231"/>
        <v>12.3375</v>
      </c>
      <c r="CT258" s="104">
        <f>('Renewable Diesel'!AI267*'Feedstock Conversion Rates'!$B$4*'RD Feedstock Breakdown'!$CT$3)/12</f>
        <v>29.375</v>
      </c>
      <c r="CU258" s="106">
        <f t="shared" si="196"/>
        <v>29.375</v>
      </c>
      <c r="CV258" s="104">
        <f>('Renewable Diesel'!AN267*'Feedstock Conversion Rates'!$B$3*'RD Feedstock Breakdown'!$CV$3)/12</f>
        <v>0.50062499999999999</v>
      </c>
      <c r="CW258" s="106">
        <f t="shared" si="161"/>
        <v>0.50062499999999999</v>
      </c>
      <c r="CX258" s="104">
        <f>('Renewable Diesel'!AO267*'RD Feedstock Breakdown'!$CX$3*'Feedstock Conversion Rates'!$B$3)/12</f>
        <v>6.3412499999999996</v>
      </c>
      <c r="CY258" s="104">
        <f>('Renewable Diesel'!AO267*'RD Feedstock Breakdown'!$CY$3*'Feedstock Conversion Rates'!$B$6)/12</f>
        <v>7.4258333333333342</v>
      </c>
      <c r="CZ258" s="106">
        <f t="shared" si="233"/>
        <v>13.767083333333334</v>
      </c>
      <c r="DA258" s="104">
        <f>('Renewable Diesel'!$AP267*'RD Feedstock Breakdown'!DA$3*'Feedstock Conversion Rates'!$B$3)/12</f>
        <v>6.3412499999999996</v>
      </c>
      <c r="DB258" s="104">
        <f>('Renewable Diesel'!$AP267*'RD Feedstock Breakdown'!DB$3*'Feedstock Conversion Rates'!$B$8)/12</f>
        <v>7.421875</v>
      </c>
      <c r="DC258" s="106">
        <f t="shared" si="165"/>
        <v>13.763124999999999</v>
      </c>
      <c r="DD258" s="104">
        <f>('Renewable Diesel'!AQ267*$DD$3*'Feedstock Conversion Rates'!$B$14)/12</f>
        <v>3.1041666666666665</v>
      </c>
      <c r="DE258" s="106">
        <f t="shared" si="166"/>
        <v>3.1041666666666665</v>
      </c>
      <c r="DF258" s="104">
        <f>('Renewable Diesel'!AR267*'Feedstock Conversion Rates'!$B$4*$DF$3)/12</f>
        <v>75</v>
      </c>
      <c r="DG258" s="106">
        <f t="shared" si="234"/>
        <v>75</v>
      </c>
      <c r="DH258" s="104">
        <f>('Renewable Diesel'!AS267*'Feedstock Conversion Rates'!$B$4*$DH$3)/12</f>
        <v>75</v>
      </c>
      <c r="DI258" s="106">
        <f t="shared" si="240"/>
        <v>75</v>
      </c>
      <c r="DJ258" s="104">
        <f>('Renewable Diesel'!AT267*'Feedstock Conversion Rates'!$B$4*0.25)/12</f>
        <v>8.59375</v>
      </c>
      <c r="DK258" s="104">
        <f>('Renewable Diesel'!$AT267*'RD Feedstock Breakdown'!DK$3*'Feedstock Conversion Rates'!$B$3)/12*0.5</f>
        <v>9.1781249999999996</v>
      </c>
      <c r="DL258" s="104">
        <f>('Renewable Diesel'!$AT267*'RD Feedstock Breakdown'!$DL$3*'Feedstock Conversion Rates'!$B$6)/12</f>
        <v>10.747916666666669</v>
      </c>
      <c r="DM258" s="104">
        <f>('Renewable Diesel'!$AT267*'RD Feedstock Breakdown'!$DM$3*'Feedstock Conversion Rates'!$B$8)/12</f>
        <v>10.7421875</v>
      </c>
      <c r="DN258" s="106">
        <f t="shared" si="210"/>
        <v>39.26197916666667</v>
      </c>
      <c r="DP258" s="104">
        <f t="shared" si="168"/>
        <v>12.720250000000007</v>
      </c>
      <c r="DQ258" s="104">
        <f t="shared" si="169"/>
        <v>1049.1177674999997</v>
      </c>
      <c r="DR258" s="104">
        <f t="shared" si="174"/>
        <v>1724.703125</v>
      </c>
      <c r="DS258" s="104">
        <f t="shared" si="197"/>
        <v>93.901250000000005</v>
      </c>
      <c r="DT258" s="104">
        <f t="shared" si="170"/>
        <v>286.53923333333341</v>
      </c>
      <c r="DU258" s="104">
        <f t="shared" si="171"/>
        <v>226.65610000000001</v>
      </c>
      <c r="DV258" s="104">
        <f t="shared" si="175"/>
        <v>21</v>
      </c>
      <c r="DW258" s="104">
        <f t="shared" si="172"/>
        <v>3</v>
      </c>
      <c r="DX258" s="106">
        <f t="shared" si="176"/>
        <v>3417.6377258333332</v>
      </c>
      <c r="DY258" s="109">
        <f t="shared" si="163"/>
        <v>-135.00000000000003</v>
      </c>
      <c r="EA258" s="110">
        <f t="shared" si="250"/>
        <v>3.7219421777357604E-3</v>
      </c>
      <c r="EB258" s="110">
        <f t="shared" si="250"/>
        <v>0.30697161362946684</v>
      </c>
      <c r="EC258" s="110">
        <f t="shared" si="250"/>
        <v>0.50464773137400343</v>
      </c>
      <c r="ED258" s="110">
        <f t="shared" si="250"/>
        <v>2.7475483808660196E-2</v>
      </c>
      <c r="EE258" s="110">
        <f t="shared" si="250"/>
        <v>8.3841312719435665E-2</v>
      </c>
      <c r="EF258" s="110">
        <f t="shared" si="250"/>
        <v>6.6319521898633577E-2</v>
      </c>
      <c r="EG258" s="110">
        <f t="shared" si="250"/>
        <v>6.1445950930564194E-3</v>
      </c>
      <c r="EH258" s="111">
        <f t="shared" si="177"/>
        <v>8.7779929900805992E-4</v>
      </c>
      <c r="EI258" s="110">
        <f t="shared" si="236"/>
        <v>0.99912220070099178</v>
      </c>
      <c r="EK258" s="132">
        <f>(EA258*'Renewable Diesel'!BF267*'Feedstock Conversion Rates'!B$2)+FB258</f>
        <v>16.458020658605523</v>
      </c>
      <c r="EL258" s="132">
        <f>(EB258*'Renewable Diesel'!BF267*'Feedstock Conversion Rates'!B$3)+FC258</f>
        <v>1279.1450329477796</v>
      </c>
      <c r="EM258" s="132">
        <f>(EC258*'Renewable Diesel'!BF267*'Feedstock Conversion Rates'!B$4)+FD258</f>
        <v>1968.9679374974003</v>
      </c>
      <c r="EN258" s="132">
        <f>(ED258*'Renewable Diesel'!BF267*'Feedstock Conversion Rates'!B$5)+FE258</f>
        <v>107.91488586064183</v>
      </c>
      <c r="EO258" s="132">
        <f>(EE258*'Renewable Diesel'!BF267*'Feedstock Conversion Rates'!B$6)+FF258</f>
        <v>409.11929608815262</v>
      </c>
      <c r="EP258" s="132">
        <f>(EF258*'Renewable Diesel'!BF267*'Feedstock Conversion Rates'!B$7)+FG258</f>
        <v>317.40829308553077</v>
      </c>
      <c r="EQ258" s="132">
        <f>(EG258*'Renewable Diesel'!BF267*'Feedstock Conversion Rates'!B$8)+FH258</f>
        <v>29.967713057461271</v>
      </c>
      <c r="ER258" s="132">
        <f>(EH258*'Renewable Diesel'!BF267*'Feedstock Conversion Rates'!B$9)+FI258</f>
        <v>4.2240205071469221</v>
      </c>
      <c r="ES258" s="132">
        <f t="shared" si="179"/>
        <v>4133.2051997027183</v>
      </c>
      <c r="ET258" s="133">
        <f>ES258/'Renewable Diesel'!BF267</f>
        <v>8.7257376565872704</v>
      </c>
      <c r="EW258" s="73">
        <f t="shared" si="223"/>
        <v>2262.6949958311729</v>
      </c>
      <c r="EX258" s="73">
        <f t="shared" si="224"/>
        <v>2240.2950703052957</v>
      </c>
      <c r="EY258" s="92">
        <f t="shared" si="164"/>
        <v>0.54744317944676879</v>
      </c>
      <c r="EZ258" s="92">
        <f t="shared" si="164"/>
        <v>0.54202367462095258</v>
      </c>
      <c r="FB258" s="102">
        <f>IF('Renewable Diesel'!$BG267&lt;1,0,(((('Renewable Diesel'!$BG267-1)*'Renewable Diesel'!$BF267)*'RD Feedstock Breakdown'!EA258)*'Feedstock Conversion Rates'!$B$2))</f>
        <v>1.4724473325070027</v>
      </c>
      <c r="FC258" s="102">
        <f>IF('Renewable Diesel'!$BG267&lt;1,0,(((('Renewable Diesel'!$BG267-1)*'Renewable Diesel'!$BF267)*'RD Feedstock Breakdown'!EB258)*'Feedstock Conversion Rates'!$B$3))</f>
        <v>114.44108199418957</v>
      </c>
      <c r="FD258" s="102">
        <f>IF('Renewable Diesel'!$BG267&lt;1,0,(((('Renewable Diesel'!$BG267-1)*'Renewable Diesel'!$BF267)*'RD Feedstock Breakdown'!EC258)*'Feedstock Conversion Rates'!$B$4))</f>
        <v>176.15736712810212</v>
      </c>
      <c r="FE258" s="102">
        <f>IF('Renewable Diesel'!$BG267&lt;1,0,(((('Renewable Diesel'!$BG267-1)*'Renewable Diesel'!$BF267)*'RD Feedstock Breakdown'!ED258)*'Feedstock Conversion Rates'!$B$5))</f>
        <v>9.6548053450288442</v>
      </c>
      <c r="FF258" s="102">
        <f>IF('Renewable Diesel'!$BG267&lt;1,0,(((('Renewable Diesel'!$BG267-1)*'Renewable Diesel'!$BF267)*'RD Feedstock Breakdown'!EE258)*'Feedstock Conversion Rates'!$B$6))</f>
        <v>36.602616359407619</v>
      </c>
      <c r="FG258" s="102">
        <f>IF('Renewable Diesel'!$BG267&lt;1,0,(((('Renewable Diesel'!$BG267-1)*'Renewable Diesel'!$BF267)*'RD Feedstock Breakdown'!EF258)*'Feedstock Conversion Rates'!$B$7))</f>
        <v>28.397521437367697</v>
      </c>
      <c r="FH258" s="102">
        <f>IF('Renewable Diesel'!$BG267&lt;1,0,(((('Renewable Diesel'!$BG267-1)*'Renewable Diesel'!$BF267)*'RD Feedstock Breakdown'!EG258)*'Feedstock Conversion Rates'!$B$8))</f>
        <v>2.681117010855234</v>
      </c>
      <c r="FI258" s="102">
        <f>IF('Renewable Diesel'!$BG267&lt;1,0,(((('Renewable Diesel'!$BG267-1)*'Renewable Diesel'!$BF267)*'RD Feedstock Breakdown'!EH258)*'Feedstock Conversion Rates'!$B$9))</f>
        <v>0.37790982629197584</v>
      </c>
      <c r="FJ258" s="102">
        <f t="shared" si="225"/>
        <v>369.78486643374998</v>
      </c>
      <c r="GD258" s="91">
        <f>'Renewable Diesel'!BB267*0.32</f>
        <v>0</v>
      </c>
      <c r="GE258" s="91">
        <f>'Renewable Diesel'!BC267</f>
        <v>177.91111731121515</v>
      </c>
      <c r="GF258" s="91">
        <f>'Renewable Diesel'!BD267</f>
        <v>0</v>
      </c>
      <c r="GG258" s="91">
        <f t="shared" si="206"/>
        <v>177.91111731121515</v>
      </c>
      <c r="GH258" s="124">
        <v>1</v>
      </c>
      <c r="GI258" s="102">
        <f>$GG258*EA258*'Feedstock Conversion Rates'!$B$2</f>
        <v>5.6284865769740051</v>
      </c>
      <c r="GJ258" s="102">
        <f>$GG258*EB258*'Feedstock Conversion Rates'!$B$3</f>
        <v>437.45543873679713</v>
      </c>
      <c r="GK258" s="102">
        <f>$GG258*EC258*'Feedstock Conversion Rates'!$B$4</f>
        <v>673.36831302989185</v>
      </c>
      <c r="GL258" s="102">
        <f>$GG258*ED258*'Feedstock Conversion Rates'!$B$5</f>
        <v>36.905864874140271</v>
      </c>
      <c r="GM258" s="102">
        <f>$GG258*EE258*'Feedstock Conversion Rates'!$B$6</f>
        <v>139.91490922143061</v>
      </c>
      <c r="GN258" s="102">
        <f>$GG258*EF258*'Feedstock Conversion Rates'!$B$7</f>
        <v>108.5506182128898</v>
      </c>
      <c r="GO258" s="102">
        <f>$GG258*EG258*'Feedstock Conversion Rates'!$B$8</f>
        <v>10.248672922787604</v>
      </c>
      <c r="GP258" s="102">
        <f>$GG258*EH258*'Feedstock Conversion Rates'!B$9</f>
        <v>1.4445748500691098</v>
      </c>
      <c r="GQ258" s="102">
        <f t="shared" si="180"/>
        <v>1413.5168784249802</v>
      </c>
      <c r="GR258" s="85">
        <f t="shared" si="204"/>
        <v>7.9450733590321567</v>
      </c>
      <c r="GT258" s="103">
        <f t="shared" si="159"/>
        <v>3.981902630866058E-3</v>
      </c>
      <c r="GU258" s="103">
        <f t="shared" si="159"/>
        <v>0.30948016639478304</v>
      </c>
      <c r="GV258" s="103">
        <f t="shared" si="159"/>
        <v>0.47637797843644897</v>
      </c>
      <c r="GW258" s="103">
        <f t="shared" si="159"/>
        <v>2.6109249516187493E-2</v>
      </c>
      <c r="GX258" s="103">
        <f t="shared" si="158"/>
        <v>9.8983543357000187E-2</v>
      </c>
      <c r="GY258" s="103">
        <f t="shared" si="158"/>
        <v>7.6794709613827172E-2</v>
      </c>
      <c r="GZ258" s="103">
        <f t="shared" si="158"/>
        <v>7.2504779244003436E-3</v>
      </c>
      <c r="HA258" s="103">
        <f t="shared" si="158"/>
        <v>1.0219721264869057E-3</v>
      </c>
    </row>
    <row r="259" spans="1:209" x14ac:dyDescent="0.25">
      <c r="A259" s="96">
        <v>48305</v>
      </c>
      <c r="B259" s="104">
        <f t="shared" si="247"/>
        <v>6.5</v>
      </c>
      <c r="C259" s="112">
        <f t="shared" si="246"/>
        <v>0.5</v>
      </c>
      <c r="D259" s="104">
        <f t="shared" si="242"/>
        <v>2</v>
      </c>
      <c r="E259" s="104">
        <f>('Renewable Diesel'!B268*E$3*'Feedstock Conversion Rates'!$B$2)/12-57.5+8+12.5+52.5-76+18+23+45+50-2.5-3-28-2-9.5+30-40+26+0.5-20-15+50-147</f>
        <v>4.9300000000000068</v>
      </c>
      <c r="F259" s="104">
        <f>('Renewable Diesel'!B268*'RD Feedstock Breakdown'!F$3*'Feedstock Conversion Rates'!B$8)/12-13.5+1.5-2+36-10+10-61+25+8+1-29+1.5-15-6</f>
        <v>0.40625</v>
      </c>
      <c r="G259" s="104">
        <f>('Renewable Diesel'!B268*'RD Feedstock Breakdown'!G$3*'Feedstock Conversion Rates'!B$7)/12-25-15-25+4+4-20-40-20+10-17.5+20+50-12+32.5+35-75-75+22.5+5-20+15+125-10-60+5-85+45</f>
        <v>49.657000000000011</v>
      </c>
      <c r="H259" s="104">
        <f>('Renewable Diesel'!B268*'RD Feedstock Breakdown'!H$3*'Feedstock Conversion Rates'!B$3)/12-85+4-15+70-65-80+50-22.5-5+25+27.5+15+50+15-10+5+50+75-5-25-85-12.5+30+22.5-25-30+150+90-120+25+10+20+85-30-45-50+147</f>
        <v>432.40022499999998</v>
      </c>
      <c r="I259" s="106">
        <f t="shared" si="203"/>
        <v>496.39347499999997</v>
      </c>
      <c r="J259" s="104">
        <f t="shared" si="244"/>
        <v>0.5</v>
      </c>
      <c r="K259" s="104"/>
      <c r="L259" s="104">
        <v>1</v>
      </c>
      <c r="M259" s="104">
        <f>('Renewable Diesel'!C268*'RD Feedstock Breakdown'!M$3*'Feedstock Conversion Rates'!B$2)/12</f>
        <v>7.7902500000000003</v>
      </c>
      <c r="N259" s="104">
        <f>('Renewable Diesel'!C268*'RD Feedstock Breakdown'!N$3*'Feedstock Conversion Rates'!B$8)/12</f>
        <v>3.671875</v>
      </c>
      <c r="O259" s="104">
        <f>('Renewable Diesel'!C268*'RD Feedstock Breakdown'!O$3*'Feedstock Conversion Rates'!B$7)/12</f>
        <v>11.9991</v>
      </c>
      <c r="P259" s="104">
        <f>('Renewable Diesel'!C268*'RD Feedstock Breakdown'!P$3*'Feedstock Conversion Rates'!B$3)/12</f>
        <v>10.4470425</v>
      </c>
      <c r="Q259" s="106">
        <f t="shared" si="216"/>
        <v>35.408267500000001</v>
      </c>
      <c r="R259" s="104">
        <f>('Renewable Diesel'!D268*'RD Feedstock Breakdown'!R$3*'Feedstock Conversion Rates'!B$7)/12</f>
        <v>2.2999999999999998</v>
      </c>
      <c r="S259" s="106">
        <f t="shared" si="249"/>
        <v>2.2999999999999998</v>
      </c>
      <c r="T259" s="104">
        <f t="shared" si="221"/>
        <v>0.82500000000000284</v>
      </c>
      <c r="U259" s="104">
        <v>30</v>
      </c>
      <c r="V259" s="104">
        <f>('Renewable Diesel'!E268*'RD Feedstock Breakdown'!V$3*'Feedstock Conversion Rates'!B$6)/12-20+25-35+15</f>
        <v>29.250150000000012</v>
      </c>
      <c r="W259" s="104">
        <f>('Renewable Diesel'!E268*'RD Feedstock Breakdown'!W$3*'Feedstock Conversion Rates'!B$8)/12-6-10</f>
        <v>6.1796875</v>
      </c>
      <c r="X259" s="106">
        <f t="shared" si="185"/>
        <v>66.254837500000008</v>
      </c>
      <c r="Y259" s="104">
        <f t="shared" si="245"/>
        <v>146.5</v>
      </c>
      <c r="Z259" s="104">
        <f>('Renewable Diesel'!F268*'RD Feedstock Breakdown'!Z$3*'Feedstock Conversion Rates'!B$6)/12-50-32-60+15+15+47.5+22.5-85+70-10-25-7+7+7</f>
        <v>74.460000000000008</v>
      </c>
      <c r="AA259" s="104">
        <f>('Renewable Diesel'!F268*'RD Feedstock Breakdown'!AA$3*'Feedstock Conversion Rates'!B$7)/12+80-171+75+30-57.5-18</f>
        <v>42.766666666666652</v>
      </c>
      <c r="AB259" s="106">
        <f t="shared" si="235"/>
        <v>263.72666666666669</v>
      </c>
      <c r="AC259" s="104">
        <f>('Renewable Diesel'!G268*'RD Feedstock Breakdown'!AC$3*'Feedstock Conversion Rates'!B$5)/12</f>
        <v>11.796875</v>
      </c>
      <c r="AD259" s="104">
        <f>('Renewable Diesel'!G268*'RD Feedstock Breakdown'!AD$3*'Feedstock Conversion Rates'!B$4)/12</f>
        <v>5.859375</v>
      </c>
      <c r="AE259" s="104">
        <f>('Renewable Diesel'!G268*'RD Feedstock Breakdown'!AE$3*'Feedstock Conversion Rates'!B$6)/12</f>
        <v>7.3281250000000009</v>
      </c>
      <c r="AF259" s="106">
        <f t="shared" si="198"/>
        <v>24.984375</v>
      </c>
      <c r="AG259" s="104">
        <f t="shared" si="230"/>
        <v>6.5</v>
      </c>
      <c r="AH259" s="104">
        <v>135</v>
      </c>
      <c r="AI259" s="104">
        <f>('Renewable Diesel'!H268*'RD Feedstock Breakdown'!AI$3*'Feedstock Conversion Rates'!B$6)/12-130-20+51-120+105-37.5+20-10</f>
        <v>7.0166666666666799</v>
      </c>
      <c r="AJ259" s="106">
        <f t="shared" si="248"/>
        <v>13.51666666666668</v>
      </c>
      <c r="AK259" s="104">
        <f>('Renewable Diesel'!J268*'RD Feedstock Breakdown'!AK$3*'Feedstock Conversion Rates'!B$4)/12</f>
        <v>95.8125</v>
      </c>
      <c r="AL259" s="106">
        <f t="shared" si="157"/>
        <v>95.8125</v>
      </c>
      <c r="AM259" s="104">
        <f>('Renewable Diesel'!K268*'RD Feedstock Breakdown'!AM$3*'Feedstock Conversion Rates'!B$4)/12+5+15-10+4+5-28</f>
        <v>49.59375</v>
      </c>
      <c r="AN259" s="104">
        <f>('Renewable Diesel'!K268*'RD Feedstock Breakdown'!AN$3*'Feedstock Conversion Rates'!B$6)/12-5-15+10-4-5+28</f>
        <v>33.427083333333329</v>
      </c>
      <c r="AO259" s="106">
        <f t="shared" si="173"/>
        <v>83.020833333333329</v>
      </c>
      <c r="AP259" s="104">
        <f>('Renewable Diesel'!L268*'RD Feedstock Breakdown'!AP$3*'Feedstock Conversion Rates'!B$4)/12+15-10+5+2+7</f>
        <v>77.59375</v>
      </c>
      <c r="AQ259" s="104">
        <f>('Renewable Diesel'!L268*'RD Feedstock Breakdown'!AQ$3*'Feedstock Conversion Rates'!B$6)/12-15+10-5-2-7</f>
        <v>5.4270833333333321</v>
      </c>
      <c r="AR259" s="106">
        <f t="shared" si="162"/>
        <v>83.020833333333329</v>
      </c>
      <c r="AS259" s="104">
        <f>('Renewable Diesel'!M268*'RD Feedstock Breakdown'!AS$3*'Feedstock Conversion Rates'!B$4)/12-25-30</f>
        <v>401.25</v>
      </c>
      <c r="AT259" s="104">
        <f>('Renewable Diesel'!M268*'RD Feedstock Breakdown'!AT$3*'Feedstock Conversion Rates'!B$5)/12+25+30</f>
        <v>55</v>
      </c>
      <c r="AU259" s="106">
        <f t="shared" si="201"/>
        <v>456.25</v>
      </c>
      <c r="AV259" s="104">
        <f>'Renewable Diesel'!N268*'RD Feedstock Breakdown'!$AV$3*'Feedstock Conversion Rates'!$B$4/12-15-10+25+25-22+15-62.5+1</f>
        <v>35.249999999999986</v>
      </c>
      <c r="AW259" s="104">
        <f>'Renewable Diesel'!N268*'RD Feedstock Breakdown'!$AW$3*'Feedstock Conversion Rates'!$B$7/12+15+10-25-25+22-15+62.5-1</f>
        <v>84.9</v>
      </c>
      <c r="AX259" s="106">
        <f t="shared" si="239"/>
        <v>120.14999999999999</v>
      </c>
      <c r="AY259" s="104">
        <f>('Renewable Diesel'!O268*'RD Feedstock Breakdown'!AY$3*'Feedstock Conversion Rates'!B$4)/12-115-95-138</f>
        <v>-137.0625</v>
      </c>
      <c r="AZ259" s="104">
        <f>('Renewable Diesel'!O268*'RD Feedstock Breakdown'!AZ$3*'Feedstock Conversion Rates'!B$3)/12+115+95+138</f>
        <v>373.03125</v>
      </c>
      <c r="BA259" s="106">
        <f t="shared" si="217"/>
        <v>235.96875</v>
      </c>
      <c r="BB259" s="104">
        <f>('Renewable Diesel'!Q268*'RD Feedstock Breakdown'!BB$3*'Feedstock Conversion Rates'!B$4)/12</f>
        <v>11.156249999999998</v>
      </c>
      <c r="BC259" s="104">
        <f>('Renewable Diesel'!Q268*'RD Feedstock Breakdown'!BC$3*'Feedstock Conversion Rates'!B$3)/12</f>
        <v>1.4017500000000001</v>
      </c>
      <c r="BD259" s="104">
        <f>('Renewable Diesel'!Q268*'RD Feedstock Breakdown'!BD$3*'Feedstock Conversion Rates'!B$6)/12</f>
        <v>0.8207500000000002</v>
      </c>
      <c r="BE259" s="106">
        <f t="shared" si="189"/>
        <v>13.378749999999998</v>
      </c>
      <c r="BF259" s="104">
        <f>('Renewable Diesel'!R268*'RD Feedstock Breakdown'!BF$3*'Feedstock Conversion Rates'!B$4)/12</f>
        <v>62.5</v>
      </c>
      <c r="BG259" s="106">
        <f t="shared" si="167"/>
        <v>62.5</v>
      </c>
      <c r="BH259" s="104">
        <f>('Renewable Diesel'!T268*'RD Feedstock Breakdown'!BH$3*'Feedstock Conversion Rates'!B$7)/12</f>
        <v>27.599999999999998</v>
      </c>
      <c r="BI259" s="106">
        <f t="shared" si="243"/>
        <v>27.599999999999998</v>
      </c>
      <c r="BJ259" s="104">
        <f>('Renewable Diesel'!W268*'RD Feedstock Breakdown'!BJ$3*'Feedstock Conversion Rates'!B$4)/12</f>
        <v>7.5</v>
      </c>
      <c r="BK259" s="104">
        <f>('Renewable Diesel'!W268*'RD Feedstock Breakdown'!BK$3*'Feedstock Conversion Rates'!B$3)/12</f>
        <v>1.335</v>
      </c>
      <c r="BL259" s="104">
        <f>('Renewable Diesel'!W268*'RD Feedstock Breakdown'!BL$3*'Feedstock Conversion Rates'!B$6)/12</f>
        <v>3.1266666666666669</v>
      </c>
      <c r="BM259" s="104">
        <f>('Renewable Diesel'!W268*'RD Feedstock Breakdown'!BM$3*'Feedstock Conversion Rates'!B$7)/12</f>
        <v>1.5333333333333332</v>
      </c>
      <c r="BN259" s="106">
        <f t="shared" si="209"/>
        <v>13.495000000000001</v>
      </c>
      <c r="BO259" s="104">
        <f>('Renewable Diesel'!P268*'Feedstock Conversion Rates'!B$4)/12</f>
        <v>31.25</v>
      </c>
      <c r="BP259" s="106">
        <f t="shared" si="199"/>
        <v>31.25</v>
      </c>
      <c r="BQ259" s="104">
        <f>('Renewable Diesel'!$S268*'RD Feedstock Breakdown'!BQ$3*'Feedstock Conversion Rates'!B$4)/12+10</f>
        <v>38.125</v>
      </c>
      <c r="BR259" s="104">
        <f>('Renewable Diesel'!$S268*'RD Feedstock Breakdown'!BR$3*'Feedstock Conversion Rates'!B$7)/12-10</f>
        <v>1.5</v>
      </c>
      <c r="BS259" s="106">
        <f t="shared" si="222"/>
        <v>39.625</v>
      </c>
      <c r="BT259" s="106"/>
      <c r="BU259" s="104">
        <f>('Renewable Diesel'!Y268*'Feedstock Conversion Rates'!B$7)/12</f>
        <v>2.6833333333333331</v>
      </c>
      <c r="BV259" s="106">
        <f t="shared" si="191"/>
        <v>2.6833333333333331</v>
      </c>
      <c r="BW259" s="104">
        <f>('Renewable Diesel'!$Z268*'RD Feedstock Breakdown'!BW$3*'Feedstock Conversion Rates'!$B$4)/12</f>
        <v>71.875</v>
      </c>
      <c r="BX259" s="104">
        <f>('Renewable Diesel'!$Z268*'RD Feedstock Breakdown'!BX$3*'Feedstock Conversion Rates'!$B$5)/12</f>
        <v>7.2354166666666666</v>
      </c>
      <c r="BY259" s="104">
        <f>('Renewable Diesel'!$Z268*'RD Feedstock Breakdown'!BY$3*'Feedstock Conversion Rates'!$B$7)/12-60</f>
        <v>1.7166666666666615</v>
      </c>
      <c r="BZ259" s="104">
        <f>('Renewable Diesel'!$Z268*'RD Feedstock Breakdown'!BZ$3*'Feedstock Conversion Rates'!$B$3)/12+120</f>
        <v>135.35249999999999</v>
      </c>
      <c r="CA259" s="106">
        <f t="shared" si="228"/>
        <v>216.17958333333331</v>
      </c>
      <c r="CB259" s="104">
        <f>('Renewable Diesel'!AA268*'Feedstock Conversion Rates'!B$4)/12</f>
        <v>191.25</v>
      </c>
      <c r="CC259" s="106">
        <f t="shared" si="213"/>
        <v>191.25</v>
      </c>
      <c r="CD259" s="104">
        <f>('Renewable Diesel'!$AB268*'RD Feedstock Breakdown'!CD$3*'Feedstock Conversion Rates'!$B$6)/12-15</f>
        <v>17.830000000000005</v>
      </c>
      <c r="CE259" s="104">
        <f>('Renewable Diesel'!$AB268*'RD Feedstock Breakdown'!CE$3*'Feedstock Conversion Rates'!$B$4)/12+15</f>
        <v>26.25</v>
      </c>
      <c r="CF259" s="106">
        <f t="shared" si="205"/>
        <v>44.080000000000005</v>
      </c>
      <c r="CG259" s="104">
        <f>('Renewable Diesel'!AD268*'Feedstock Conversion Rates'!B$4)/12</f>
        <v>112.5</v>
      </c>
      <c r="CH259" s="106">
        <f t="shared" si="187"/>
        <v>112.5</v>
      </c>
      <c r="CI259" s="104">
        <f>('Renewable Diesel'!$AE268*'RD Feedstock Breakdown'!CI$3*'Feedstock Conversion Rates'!$B$5)/12</f>
        <v>0.34604166666666664</v>
      </c>
      <c r="CJ259" s="104">
        <f>('Renewable Diesel'!$AE268*'RD Feedstock Breakdown'!CJ$3*'Feedstock Conversion Rates'!$B$4)/12</f>
        <v>0.34375</v>
      </c>
      <c r="CK259" s="106">
        <f t="shared" si="200"/>
        <v>0.68979166666666658</v>
      </c>
      <c r="CL259" s="104">
        <f>(((CL$3*'Renewable Diesel'!$AF268)*'Feedstock Conversion Rates'!$B$3)/12)-25</f>
        <v>66.78125</v>
      </c>
      <c r="CM259" s="104">
        <f>(((CM$3*'Renewable Diesel'!$AF268)*'Feedstock Conversion Rates'!$B$6)/12)+25</f>
        <v>78.739583333333343</v>
      </c>
      <c r="CN259" s="104">
        <f>(((CN$3*'Renewable Diesel'!$AF268)*'Feedstock Conversion Rates'!$B$4)/12)</f>
        <v>42.96875</v>
      </c>
      <c r="CO259" s="106">
        <f t="shared" si="190"/>
        <v>188.48958333333334</v>
      </c>
      <c r="CP259" s="104">
        <f>('Renewable Diesel'!$AG268*'RD Feedstock Breakdown'!CP$3*'Feedstock Conversion Rates'!$B$3)/12</f>
        <v>6.0075000000000003</v>
      </c>
      <c r="CQ259" s="104">
        <f>('Renewable Diesel'!$AG268*'RD Feedstock Breakdown'!CQ$3*'Feedstock Conversion Rates'!$B$6)/12</f>
        <v>3.5175000000000001</v>
      </c>
      <c r="CR259" s="104">
        <f>('Renewable Diesel'!$AG268*'RD Feedstock Breakdown'!CR$3*'Feedstock Conversion Rates'!$B$4)/12</f>
        <v>2.8125</v>
      </c>
      <c r="CS259" s="106">
        <f t="shared" si="231"/>
        <v>12.3375</v>
      </c>
      <c r="CT259" s="104">
        <f>('Renewable Diesel'!AI268*'Feedstock Conversion Rates'!$B$4*'RD Feedstock Breakdown'!$CT$3)/12</f>
        <v>29.375</v>
      </c>
      <c r="CU259" s="106">
        <f t="shared" si="196"/>
        <v>29.375</v>
      </c>
      <c r="CV259" s="104">
        <f>('Renewable Diesel'!AN268*'Feedstock Conversion Rates'!$B$3*'RD Feedstock Breakdown'!$CV$3)/12</f>
        <v>0.50062499999999999</v>
      </c>
      <c r="CW259" s="106">
        <f t="shared" si="161"/>
        <v>0.50062499999999999</v>
      </c>
      <c r="CX259" s="104">
        <f>('Renewable Diesel'!AO268*'RD Feedstock Breakdown'!$CX$3*'Feedstock Conversion Rates'!$B$3)/12</f>
        <v>6.3412499999999996</v>
      </c>
      <c r="CY259" s="104">
        <f>('Renewable Diesel'!AO268*'RD Feedstock Breakdown'!$CY$3*'Feedstock Conversion Rates'!$B$6)/12</f>
        <v>7.4258333333333342</v>
      </c>
      <c r="CZ259" s="106">
        <f t="shared" si="233"/>
        <v>13.767083333333334</v>
      </c>
      <c r="DA259" s="104">
        <f>('Renewable Diesel'!$AP268*'RD Feedstock Breakdown'!DA$3*'Feedstock Conversion Rates'!$B$3)/12</f>
        <v>6.3412499999999996</v>
      </c>
      <c r="DB259" s="104">
        <f>('Renewable Diesel'!$AP268*'RD Feedstock Breakdown'!DB$3*'Feedstock Conversion Rates'!$B$8)/12</f>
        <v>7.421875</v>
      </c>
      <c r="DC259" s="106">
        <f t="shared" si="165"/>
        <v>13.763124999999999</v>
      </c>
      <c r="DD259" s="104">
        <f>('Renewable Diesel'!AQ268*$DD$3*'Feedstock Conversion Rates'!$B$14)/12</f>
        <v>3.1041666666666665</v>
      </c>
      <c r="DE259" s="106">
        <f t="shared" si="166"/>
        <v>3.1041666666666665</v>
      </c>
      <c r="DF259" s="104">
        <f>('Renewable Diesel'!AR268*'Feedstock Conversion Rates'!$B$4*$DF$3)/12</f>
        <v>75</v>
      </c>
      <c r="DG259" s="106">
        <f t="shared" si="234"/>
        <v>75</v>
      </c>
      <c r="DH259" s="104">
        <f>('Renewable Diesel'!AS268*'Feedstock Conversion Rates'!$B$4*$DH$3)/12</f>
        <v>75</v>
      </c>
      <c r="DI259" s="106">
        <f t="shared" si="240"/>
        <v>75</v>
      </c>
      <c r="DJ259" s="104">
        <f>('Renewable Diesel'!AT268*'Feedstock Conversion Rates'!$B$4*0.25)/12</f>
        <v>8.59375</v>
      </c>
      <c r="DK259" s="104">
        <f>('Renewable Diesel'!$AT268*'RD Feedstock Breakdown'!DK$3*'Feedstock Conversion Rates'!$B$3)/12*0.5</f>
        <v>9.1781249999999996</v>
      </c>
      <c r="DL259" s="104">
        <f>('Renewable Diesel'!$AT268*'RD Feedstock Breakdown'!$DL$3*'Feedstock Conversion Rates'!$B$6)/12</f>
        <v>10.747916666666669</v>
      </c>
      <c r="DM259" s="104">
        <f>('Renewable Diesel'!$AT268*'RD Feedstock Breakdown'!$DM$3*'Feedstock Conversion Rates'!$B$8)/12</f>
        <v>10.7421875</v>
      </c>
      <c r="DN259" s="106">
        <f t="shared" si="210"/>
        <v>39.26197916666667</v>
      </c>
      <c r="DP259" s="104">
        <f t="shared" si="168"/>
        <v>12.720250000000007</v>
      </c>
      <c r="DQ259" s="104">
        <f t="shared" si="169"/>
        <v>1049.1177674999997</v>
      </c>
      <c r="DR259" s="104">
        <f t="shared" si="174"/>
        <v>1624.703125</v>
      </c>
      <c r="DS259" s="104">
        <f t="shared" si="197"/>
        <v>93.901250000000005</v>
      </c>
      <c r="DT259" s="104">
        <f t="shared" si="170"/>
        <v>286.53923333333341</v>
      </c>
      <c r="DU259" s="104">
        <f t="shared" si="171"/>
        <v>226.65610000000001</v>
      </c>
      <c r="DV259" s="104">
        <f t="shared" si="175"/>
        <v>21</v>
      </c>
      <c r="DW259" s="104">
        <f t="shared" si="172"/>
        <v>3</v>
      </c>
      <c r="DX259" s="106">
        <f t="shared" si="176"/>
        <v>3317.6377258333332</v>
      </c>
      <c r="DY259" s="109">
        <f t="shared" si="163"/>
        <v>-135.00000000000003</v>
      </c>
      <c r="EA259" s="110">
        <f t="shared" si="250"/>
        <v>3.8341286937243579E-3</v>
      </c>
      <c r="EB259" s="110">
        <f t="shared" si="250"/>
        <v>0.3162243301403499</v>
      </c>
      <c r="EC259" s="110">
        <f t="shared" si="250"/>
        <v>0.48971685857951919</v>
      </c>
      <c r="ED259" s="110">
        <f t="shared" si="250"/>
        <v>2.8303647884403545E-2</v>
      </c>
      <c r="EE259" s="110">
        <f t="shared" si="250"/>
        <v>8.6368451594985324E-2</v>
      </c>
      <c r="EF259" s="110">
        <f t="shared" si="250"/>
        <v>6.8318520203428157E-2</v>
      </c>
      <c r="EG259" s="110">
        <f t="shared" si="250"/>
        <v>6.3298050406408266E-3</v>
      </c>
      <c r="EH259" s="111">
        <f t="shared" si="177"/>
        <v>9.042578629486895E-4</v>
      </c>
      <c r="EI259" s="110">
        <f t="shared" si="236"/>
        <v>0.99909574213705121</v>
      </c>
      <c r="EK259" s="132">
        <f>(EA259*'Renewable Diesel'!BF268*'Feedstock Conversion Rates'!B$2)+FB259</f>
        <v>23.172795836032982</v>
      </c>
      <c r="EL259" s="132">
        <f>(EB259*'Renewable Diesel'!BF268*'Feedstock Conversion Rates'!B$3)+FC259</f>
        <v>1801.0286478572248</v>
      </c>
      <c r="EM259" s="132">
        <f>(EC259*'Renewable Diesel'!BF268*'Feedstock Conversion Rates'!B$4)+FD259</f>
        <v>2611.5547911532735</v>
      </c>
      <c r="EN259" s="132">
        <f>(ED259*'Renewable Diesel'!BF268*'Feedstock Conversion Rates'!B$5)+FE259</f>
        <v>151.94352161721844</v>
      </c>
      <c r="EO259" s="132">
        <f>(EE259*'Renewable Diesel'!BF268*'Feedstock Conversion Rates'!B$6)+FF259</f>
        <v>576.03755138532927</v>
      </c>
      <c r="EP259" s="132">
        <f>(EF259*'Renewable Diesel'!BF268*'Feedstock Conversion Rates'!B$7)+FG259</f>
        <v>446.90900108263259</v>
      </c>
      <c r="EQ259" s="132">
        <f>(EG259*'Renewable Diesel'!BF268*'Feedstock Conversion Rates'!B$8)+FH259</f>
        <v>42.194362904160371</v>
      </c>
      <c r="ER259" s="132">
        <f>(EH259*'Renewable Diesel'!BF268*'Feedstock Conversion Rates'!B$9)+FI259</f>
        <v>5.9473959141102233</v>
      </c>
      <c r="ES259" s="132">
        <f t="shared" si="179"/>
        <v>5658.7880677499825</v>
      </c>
      <c r="ET259" s="133">
        <f>ES259/'Renewable Diesel'!BF268</f>
        <v>9.8833660729477373</v>
      </c>
      <c r="EW259" s="73">
        <f t="shared" si="223"/>
        <v>3301.7152779590233</v>
      </c>
      <c r="EX259" s="73">
        <f t="shared" si="224"/>
        <v>3459.1743276841034</v>
      </c>
      <c r="EY259" s="92">
        <f t="shared" si="164"/>
        <v>0.58346685516919061</v>
      </c>
      <c r="EZ259" s="92">
        <f t="shared" si="164"/>
        <v>0.61129243333891492</v>
      </c>
      <c r="FB259" s="102">
        <f>IF('Renewable Diesel'!$BG268&lt;1,0,(((('Renewable Diesel'!$BG268-1)*'Renewable Diesel'!$BF268)*'RD Feedstock Breakdown'!EA259)*'Feedstock Conversion Rates'!$B$2))</f>
        <v>4.513117229769378</v>
      </c>
      <c r="FC259" s="102">
        <f>IF('Renewable Diesel'!$BG268&lt;1,0,(((('Renewable Diesel'!$BG268-1)*'Renewable Diesel'!$BF268)*'RD Feedstock Breakdown'!EB259)*'Feedstock Conversion Rates'!$B$3))</f>
        <v>350.76705803938887</v>
      </c>
      <c r="FD259" s="102">
        <f>IF('Renewable Diesel'!$BG268&lt;1,0,(((('Renewable Diesel'!$BG268-1)*'Renewable Diesel'!$BF268)*'RD Feedstock Breakdown'!EC259)*'Feedstock Conversion Rates'!$B$4))</f>
        <v>508.62455302494618</v>
      </c>
      <c r="FE259" s="102">
        <f>IF('Renewable Diesel'!$BG268&lt;1,0,(((('Renewable Diesel'!$BG268-1)*'Renewable Diesel'!$BF268)*'RD Feedstock Breakdown'!ED259)*'Feedstock Conversion Rates'!$B$5))</f>
        <v>29.592412163585447</v>
      </c>
      <c r="FF259" s="102">
        <f>IF('Renewable Diesel'!$BG268&lt;1,0,(((('Renewable Diesel'!$BG268-1)*'Renewable Diesel'!$BF268)*'RD Feedstock Breakdown'!EE259)*'Feedstock Conversion Rates'!$B$6))</f>
        <v>112.18866366175811</v>
      </c>
      <c r="FG259" s="102">
        <f>IF('Renewable Diesel'!$BG268&lt;1,0,(((('Renewable Diesel'!$BG268-1)*'Renewable Diesel'!$BF268)*'RD Feedstock Breakdown'!EF259)*'Feedstock Conversion Rates'!$B$7))</f>
        <v>87.039679078721775</v>
      </c>
      <c r="FH259" s="102">
        <f>IF('Renewable Diesel'!$BG268&lt;1,0,(((('Renewable Diesel'!$BG268-1)*'Renewable Diesel'!$BF268)*'RD Feedstock Breakdown'!EG259)*'Feedstock Conversion Rates'!$B$8))</f>
        <v>8.2177440982670831</v>
      </c>
      <c r="FI259" s="102">
        <f>IF('Renewable Diesel'!$BG268&lt;1,0,(((('Renewable Diesel'!$BG268-1)*'Renewable Diesel'!$BF268)*'RD Feedstock Breakdown'!EH259)*'Feedstock Conversion Rates'!$B$9))</f>
        <v>1.158310596708122</v>
      </c>
      <c r="FJ259" s="102">
        <f t="shared" si="225"/>
        <v>1102.101537893145</v>
      </c>
      <c r="GD259" s="91">
        <f>'Renewable Diesel'!BB268*0.32</f>
        <v>0</v>
      </c>
      <c r="GE259" s="91">
        <f>'Renewable Diesel'!BC268</f>
        <v>285.37999109891661</v>
      </c>
      <c r="GF259" s="91">
        <f>'Renewable Diesel'!BD268</f>
        <v>0</v>
      </c>
      <c r="GG259" s="91">
        <f t="shared" si="206"/>
        <v>285.37999109891661</v>
      </c>
      <c r="GH259" s="124">
        <v>1</v>
      </c>
      <c r="GI259" s="102">
        <f>$GG259*EA259*'Feedstock Conversion Rates'!$B$2</f>
        <v>9.3005607061408426</v>
      </c>
      <c r="GJ259" s="102">
        <f>$GG259*EB259*'Feedstock Conversion Rates'!$B$3</f>
        <v>722.85521313091851</v>
      </c>
      <c r="GK259" s="102">
        <f>$GG259*EC259*'Feedstock Conversion Rates'!$B$4</f>
        <v>1048.1654455680946</v>
      </c>
      <c r="GL259" s="102">
        <f>$GG259*ED259*'Feedstock Conversion Rates'!$B$5</f>
        <v>60.983575598950544</v>
      </c>
      <c r="GM259" s="102">
        <f>$GG259*EE259*'Feedstock Conversion Rates'!$B$6</f>
        <v>231.19662614665069</v>
      </c>
      <c r="GN259" s="102">
        <f>$GG259*EF259*'Feedstock Conversion Rates'!$B$7</f>
        <v>179.36999592541841</v>
      </c>
      <c r="GO259" s="102">
        <f>$GG259*EG259*'Feedstock Conversion Rates'!$B$8</f>
        <v>16.934997245212092</v>
      </c>
      <c r="GP259" s="102">
        <f>$GG259*EH259*'Feedstock Conversion Rates'!B$9</f>
        <v>2.3870281831346567</v>
      </c>
      <c r="GQ259" s="102">
        <f t="shared" si="180"/>
        <v>2271.1934425045201</v>
      </c>
      <c r="GR259" s="85">
        <f t="shared" si="204"/>
        <v>7.9584887285152845</v>
      </c>
      <c r="GT259" s="103">
        <f t="shared" si="159"/>
        <v>4.0950103729979108E-3</v>
      </c>
      <c r="GU259" s="103">
        <f t="shared" si="159"/>
        <v>0.31827109025720063</v>
      </c>
      <c r="GV259" s="103">
        <f t="shared" si="159"/>
        <v>0.46150425848898524</v>
      </c>
      <c r="GW259" s="103">
        <f t="shared" si="159"/>
        <v>2.6850894537500045E-2</v>
      </c>
      <c r="GX259" s="103">
        <f t="shared" si="158"/>
        <v>0.1017952155989419</v>
      </c>
      <c r="GY259" s="103">
        <f t="shared" si="158"/>
        <v>7.8976098014628446E-2</v>
      </c>
      <c r="GZ259" s="103">
        <f t="shared" si="158"/>
        <v>7.45643102356676E-3</v>
      </c>
      <c r="HA259" s="103">
        <f t="shared" ref="HA259:HA322" si="251">(GP259+FI259+ER259)/SUM($ES259,$FJ259,$GQ259)</f>
        <v>1.0510017061789337E-3</v>
      </c>
    </row>
    <row r="260" spans="1:209" x14ac:dyDescent="0.25">
      <c r="A260" s="96">
        <v>48335</v>
      </c>
      <c r="B260" s="104">
        <f t="shared" si="247"/>
        <v>6.5</v>
      </c>
      <c r="C260" s="112">
        <f t="shared" si="246"/>
        <v>0.5</v>
      </c>
      <c r="D260" s="104">
        <f t="shared" si="242"/>
        <v>2</v>
      </c>
      <c r="E260" s="104">
        <f>('Renewable Diesel'!B269*E$3*'Feedstock Conversion Rates'!$B$2)/12-57.5+8+12.5+52.5-76+18+23+45+50-2.5-3-28-2-9.5+30-40+26+0.5-20-15+50-147</f>
        <v>4.9300000000000068</v>
      </c>
      <c r="F260" s="104">
        <f>('Renewable Diesel'!B269*'RD Feedstock Breakdown'!F$3*'Feedstock Conversion Rates'!B$8)/12-13.5+1.5-2+36-10+10-61+25+8+1-29+1.5-15-6</f>
        <v>0.40625</v>
      </c>
      <c r="G260" s="104">
        <f>('Renewable Diesel'!B269*'RD Feedstock Breakdown'!G$3*'Feedstock Conversion Rates'!B$7)/12-25-15-25+4+4-20-40-20+10-17.5+20+50-12+32.5+35-75-75+22.5+5-20+15+125-10-60+5-85+45</f>
        <v>49.657000000000011</v>
      </c>
      <c r="H260" s="104">
        <f>('Renewable Diesel'!B269*'RD Feedstock Breakdown'!H$3*'Feedstock Conversion Rates'!B$3)/12-85+4-15+70-65-80+50-22.5-5+25+27.5+15+50+15-10+5+50+75-5-25-85-12.5+30+22.5-25-30+150+90-120+25+10+20+85-30-45-50+147</f>
        <v>432.40022499999998</v>
      </c>
      <c r="I260" s="106">
        <f t="shared" si="203"/>
        <v>496.39347499999997</v>
      </c>
      <c r="J260" s="104">
        <f t="shared" si="244"/>
        <v>0.5</v>
      </c>
      <c r="K260" s="104"/>
      <c r="L260" s="104">
        <v>1</v>
      </c>
      <c r="M260" s="104">
        <f>('Renewable Diesel'!C269*'RD Feedstock Breakdown'!M$3*'Feedstock Conversion Rates'!B$2)/12</f>
        <v>7.7902500000000003</v>
      </c>
      <c r="N260" s="104">
        <f>('Renewable Diesel'!C269*'RD Feedstock Breakdown'!N$3*'Feedstock Conversion Rates'!B$8)/12</f>
        <v>3.671875</v>
      </c>
      <c r="O260" s="104">
        <f>('Renewable Diesel'!C269*'RD Feedstock Breakdown'!O$3*'Feedstock Conversion Rates'!B$7)/12</f>
        <v>11.9991</v>
      </c>
      <c r="P260" s="104">
        <f>('Renewable Diesel'!C269*'RD Feedstock Breakdown'!P$3*'Feedstock Conversion Rates'!B$3)/12</f>
        <v>10.4470425</v>
      </c>
      <c r="Q260" s="106">
        <f t="shared" si="216"/>
        <v>35.408267500000001</v>
      </c>
      <c r="R260" s="104">
        <f>('Renewable Diesel'!D269*'RD Feedstock Breakdown'!R$3*'Feedstock Conversion Rates'!B$7)/12</f>
        <v>2.2999999999999998</v>
      </c>
      <c r="S260" s="106">
        <f t="shared" si="249"/>
        <v>2.2999999999999998</v>
      </c>
      <c r="T260" s="104">
        <f t="shared" si="221"/>
        <v>0.82500000000000284</v>
      </c>
      <c r="U260" s="104">
        <v>30</v>
      </c>
      <c r="V260" s="104">
        <f>('Renewable Diesel'!E269*'RD Feedstock Breakdown'!V$3*'Feedstock Conversion Rates'!B$6)/12-20+25-35+15</f>
        <v>29.250150000000012</v>
      </c>
      <c r="W260" s="104">
        <f>('Renewable Diesel'!E269*'RD Feedstock Breakdown'!W$3*'Feedstock Conversion Rates'!B$8)/12-6-10</f>
        <v>6.1796875</v>
      </c>
      <c r="X260" s="106">
        <f t="shared" si="185"/>
        <v>66.254837500000008</v>
      </c>
      <c r="Y260" s="104">
        <f t="shared" si="245"/>
        <v>146.5</v>
      </c>
      <c r="Z260" s="104">
        <f>('Renewable Diesel'!F269*'RD Feedstock Breakdown'!Z$3*'Feedstock Conversion Rates'!B$6)/12-50-32-60+15+15+47.5+22.5-85+70-10-25-7+7+7</f>
        <v>74.460000000000008</v>
      </c>
      <c r="AA260" s="104">
        <f>('Renewable Diesel'!F269*'RD Feedstock Breakdown'!AA$3*'Feedstock Conversion Rates'!B$7)/12+80-171+75+30-57.5-18</f>
        <v>42.766666666666652</v>
      </c>
      <c r="AB260" s="106">
        <f t="shared" si="235"/>
        <v>263.72666666666669</v>
      </c>
      <c r="AC260" s="104">
        <f>('Renewable Diesel'!G269*'RD Feedstock Breakdown'!AC$3*'Feedstock Conversion Rates'!B$5)/12</f>
        <v>11.796875</v>
      </c>
      <c r="AD260" s="104">
        <f>('Renewable Diesel'!G269*'RD Feedstock Breakdown'!AD$3*'Feedstock Conversion Rates'!B$4)/12</f>
        <v>5.859375</v>
      </c>
      <c r="AE260" s="104">
        <f>('Renewable Diesel'!G269*'RD Feedstock Breakdown'!AE$3*'Feedstock Conversion Rates'!B$6)/12</f>
        <v>7.3281250000000009</v>
      </c>
      <c r="AF260" s="106">
        <f t="shared" si="198"/>
        <v>24.984375</v>
      </c>
      <c r="AG260" s="104">
        <f t="shared" si="230"/>
        <v>6.5</v>
      </c>
      <c r="AH260" s="104">
        <v>135</v>
      </c>
      <c r="AI260" s="104">
        <f>('Renewable Diesel'!H269*'RD Feedstock Breakdown'!AI$3*'Feedstock Conversion Rates'!B$6)/12-130-20+51-120+105-37.5+20-10</f>
        <v>7.0166666666666799</v>
      </c>
      <c r="AJ260" s="106">
        <f t="shared" si="248"/>
        <v>13.51666666666668</v>
      </c>
      <c r="AK260" s="104">
        <f>('Renewable Diesel'!J269*'RD Feedstock Breakdown'!AK$3*'Feedstock Conversion Rates'!B$4)/12</f>
        <v>95.8125</v>
      </c>
      <c r="AL260" s="106">
        <f t="shared" ref="AL260:AL323" si="252">AK260</f>
        <v>95.8125</v>
      </c>
      <c r="AM260" s="104">
        <f>('Renewable Diesel'!K269*'RD Feedstock Breakdown'!AM$3*'Feedstock Conversion Rates'!B$4)/12+5+15-10+4+5-28</f>
        <v>49.59375</v>
      </c>
      <c r="AN260" s="104">
        <f>('Renewable Diesel'!K269*'RD Feedstock Breakdown'!AN$3*'Feedstock Conversion Rates'!B$6)/12-5-15+10-4-5+28</f>
        <v>33.427083333333329</v>
      </c>
      <c r="AO260" s="106">
        <f t="shared" si="173"/>
        <v>83.020833333333329</v>
      </c>
      <c r="AP260" s="104">
        <f>('Renewable Diesel'!L269*'RD Feedstock Breakdown'!AP$3*'Feedstock Conversion Rates'!B$4)/12+15-10+5+2+7</f>
        <v>77.59375</v>
      </c>
      <c r="AQ260" s="104">
        <f>('Renewable Diesel'!L269*'RD Feedstock Breakdown'!AQ$3*'Feedstock Conversion Rates'!B$6)/12-15+10-5-2-7</f>
        <v>5.4270833333333321</v>
      </c>
      <c r="AR260" s="106">
        <f t="shared" si="162"/>
        <v>83.020833333333329</v>
      </c>
      <c r="AS260" s="104">
        <f>('Renewable Diesel'!M269*'RD Feedstock Breakdown'!AS$3*'Feedstock Conversion Rates'!B$4)/12-25-30</f>
        <v>401.25</v>
      </c>
      <c r="AT260" s="104">
        <f>('Renewable Diesel'!M269*'RD Feedstock Breakdown'!AT$3*'Feedstock Conversion Rates'!B$5)/12+25+30</f>
        <v>55</v>
      </c>
      <c r="AU260" s="106">
        <f t="shared" si="201"/>
        <v>456.25</v>
      </c>
      <c r="AV260" s="104">
        <f>'Renewable Diesel'!N269*'RD Feedstock Breakdown'!$AV$3*'Feedstock Conversion Rates'!$B$4/12-15-10+25+25-22+15-62.5+1</f>
        <v>35.249999999999986</v>
      </c>
      <c r="AW260" s="104">
        <f>'Renewable Diesel'!N269*'RD Feedstock Breakdown'!$AW$3*'Feedstock Conversion Rates'!$B$7/12+15+10-25-25+22-15+62.5-1</f>
        <v>84.9</v>
      </c>
      <c r="AX260" s="106">
        <f t="shared" si="239"/>
        <v>120.14999999999999</v>
      </c>
      <c r="AY260" s="104">
        <f>('Renewable Diesel'!O269*'RD Feedstock Breakdown'!AY$3*'Feedstock Conversion Rates'!B$4)/12-115-95-138</f>
        <v>-137.0625</v>
      </c>
      <c r="AZ260" s="104">
        <f>('Renewable Diesel'!O269*'RD Feedstock Breakdown'!AZ$3*'Feedstock Conversion Rates'!B$3)/12+115+95+138</f>
        <v>373.03125</v>
      </c>
      <c r="BA260" s="106">
        <f t="shared" si="217"/>
        <v>235.96875</v>
      </c>
      <c r="BB260" s="104">
        <f>('Renewable Diesel'!Q269*'RD Feedstock Breakdown'!BB$3*'Feedstock Conversion Rates'!B$4)/12</f>
        <v>11.156249999999998</v>
      </c>
      <c r="BC260" s="104">
        <f>('Renewable Diesel'!Q269*'RD Feedstock Breakdown'!BC$3*'Feedstock Conversion Rates'!B$3)/12</f>
        <v>1.4017500000000001</v>
      </c>
      <c r="BD260" s="104">
        <f>('Renewable Diesel'!Q269*'RD Feedstock Breakdown'!BD$3*'Feedstock Conversion Rates'!B$6)/12</f>
        <v>0.8207500000000002</v>
      </c>
      <c r="BE260" s="106">
        <f t="shared" si="189"/>
        <v>13.378749999999998</v>
      </c>
      <c r="BF260" s="104">
        <f>('Renewable Diesel'!R269*'RD Feedstock Breakdown'!BF$3*'Feedstock Conversion Rates'!B$4)/12</f>
        <v>62.5</v>
      </c>
      <c r="BG260" s="106">
        <f t="shared" si="167"/>
        <v>62.5</v>
      </c>
      <c r="BH260" s="104">
        <f>('Renewable Diesel'!T269*'RD Feedstock Breakdown'!BH$3*'Feedstock Conversion Rates'!B$7)/12</f>
        <v>27.599999999999998</v>
      </c>
      <c r="BI260" s="106">
        <f t="shared" si="243"/>
        <v>27.599999999999998</v>
      </c>
      <c r="BJ260" s="104">
        <f>('Renewable Diesel'!W269*'RD Feedstock Breakdown'!BJ$3*'Feedstock Conversion Rates'!B$4)/12</f>
        <v>7.5</v>
      </c>
      <c r="BK260" s="104">
        <f>('Renewable Diesel'!W269*'RD Feedstock Breakdown'!BK$3*'Feedstock Conversion Rates'!B$3)/12</f>
        <v>1.335</v>
      </c>
      <c r="BL260" s="104">
        <f>('Renewable Diesel'!W269*'RD Feedstock Breakdown'!BL$3*'Feedstock Conversion Rates'!B$6)/12</f>
        <v>3.1266666666666669</v>
      </c>
      <c r="BM260" s="104">
        <f>('Renewable Diesel'!W269*'RD Feedstock Breakdown'!BM$3*'Feedstock Conversion Rates'!B$7)/12</f>
        <v>1.5333333333333332</v>
      </c>
      <c r="BN260" s="106">
        <f t="shared" si="209"/>
        <v>13.495000000000001</v>
      </c>
      <c r="BO260" s="104">
        <f>('Renewable Diesel'!P269*'Feedstock Conversion Rates'!B$4)/12</f>
        <v>31.25</v>
      </c>
      <c r="BP260" s="106">
        <f t="shared" si="199"/>
        <v>31.25</v>
      </c>
      <c r="BQ260" s="104">
        <f>('Renewable Diesel'!$S269*'RD Feedstock Breakdown'!BQ$3*'Feedstock Conversion Rates'!B$4)/12+10</f>
        <v>38.125</v>
      </c>
      <c r="BR260" s="104">
        <f>('Renewable Diesel'!$S269*'RD Feedstock Breakdown'!BR$3*'Feedstock Conversion Rates'!B$7)/12-10</f>
        <v>1.5</v>
      </c>
      <c r="BS260" s="106">
        <f t="shared" si="222"/>
        <v>39.625</v>
      </c>
      <c r="BT260" s="106"/>
      <c r="BU260" s="104">
        <f>('Renewable Diesel'!Y269*'Feedstock Conversion Rates'!B$7)/12</f>
        <v>2.6833333333333331</v>
      </c>
      <c r="BV260" s="106">
        <f t="shared" si="191"/>
        <v>2.6833333333333331</v>
      </c>
      <c r="BW260" s="104">
        <f>('Renewable Diesel'!$Z269*'RD Feedstock Breakdown'!BW$3*'Feedstock Conversion Rates'!$B$4)/12</f>
        <v>71.875</v>
      </c>
      <c r="BX260" s="104">
        <f>('Renewable Diesel'!$Z269*'RD Feedstock Breakdown'!BX$3*'Feedstock Conversion Rates'!$B$5)/12</f>
        <v>7.2354166666666666</v>
      </c>
      <c r="BY260" s="104">
        <f>('Renewable Diesel'!$Z269*'RD Feedstock Breakdown'!BY$3*'Feedstock Conversion Rates'!$B$7)/12-60</f>
        <v>1.7166666666666615</v>
      </c>
      <c r="BZ260" s="104">
        <f>('Renewable Diesel'!$Z269*'RD Feedstock Breakdown'!BZ$3*'Feedstock Conversion Rates'!$B$3)/12+120</f>
        <v>135.35249999999999</v>
      </c>
      <c r="CA260" s="106">
        <f t="shared" si="228"/>
        <v>216.17958333333331</v>
      </c>
      <c r="CB260" s="104">
        <f>('Renewable Diesel'!AA269*'Feedstock Conversion Rates'!B$4)/12</f>
        <v>191.25</v>
      </c>
      <c r="CC260" s="106">
        <f t="shared" si="213"/>
        <v>191.25</v>
      </c>
      <c r="CD260" s="104">
        <f>('Renewable Diesel'!$AB269*'RD Feedstock Breakdown'!CD$3*'Feedstock Conversion Rates'!$B$6)/12-15</f>
        <v>17.830000000000005</v>
      </c>
      <c r="CE260" s="104">
        <f>('Renewable Diesel'!$AB269*'RD Feedstock Breakdown'!CE$3*'Feedstock Conversion Rates'!$B$4)/12+15</f>
        <v>26.25</v>
      </c>
      <c r="CF260" s="106">
        <f t="shared" si="205"/>
        <v>44.080000000000005</v>
      </c>
      <c r="CG260" s="104">
        <f>('Renewable Diesel'!AD269*'Feedstock Conversion Rates'!B$4)/12</f>
        <v>112.5</v>
      </c>
      <c r="CH260" s="106">
        <f t="shared" si="187"/>
        <v>112.5</v>
      </c>
      <c r="CI260" s="104">
        <f>('Renewable Diesel'!$AE269*'RD Feedstock Breakdown'!CI$3*'Feedstock Conversion Rates'!$B$5)/12</f>
        <v>0.34604166666666664</v>
      </c>
      <c r="CJ260" s="104">
        <f>('Renewable Diesel'!$AE269*'RD Feedstock Breakdown'!CJ$3*'Feedstock Conversion Rates'!$B$4)/12</f>
        <v>0.34375</v>
      </c>
      <c r="CK260" s="106">
        <f t="shared" si="200"/>
        <v>0.68979166666666658</v>
      </c>
      <c r="CL260" s="104">
        <f>(((CL$3*'Renewable Diesel'!$AF269)*'Feedstock Conversion Rates'!$B$3)/12)-25</f>
        <v>66.78125</v>
      </c>
      <c r="CM260" s="104">
        <f>(((CM$3*'Renewable Diesel'!$AF269)*'Feedstock Conversion Rates'!$B$6)/12)+25</f>
        <v>78.739583333333343</v>
      </c>
      <c r="CN260" s="104">
        <f>(((CN$3*'Renewable Diesel'!$AF269)*'Feedstock Conversion Rates'!$B$4)/12)</f>
        <v>42.96875</v>
      </c>
      <c r="CO260" s="106">
        <f t="shared" si="190"/>
        <v>188.48958333333334</v>
      </c>
      <c r="CP260" s="104">
        <f>('Renewable Diesel'!$AG269*'RD Feedstock Breakdown'!CP$3*'Feedstock Conversion Rates'!$B$3)/12</f>
        <v>6.0075000000000003</v>
      </c>
      <c r="CQ260" s="104">
        <f>('Renewable Diesel'!$AG269*'RD Feedstock Breakdown'!CQ$3*'Feedstock Conversion Rates'!$B$6)/12</f>
        <v>3.5175000000000001</v>
      </c>
      <c r="CR260" s="104">
        <f>('Renewable Diesel'!$AG269*'RD Feedstock Breakdown'!CR$3*'Feedstock Conversion Rates'!$B$4)/12</f>
        <v>2.8125</v>
      </c>
      <c r="CS260" s="106">
        <f t="shared" si="231"/>
        <v>12.3375</v>
      </c>
      <c r="CT260" s="104">
        <f>('Renewable Diesel'!AI269*'Feedstock Conversion Rates'!$B$4*'RD Feedstock Breakdown'!$CT$3)/12</f>
        <v>29.375</v>
      </c>
      <c r="CU260" s="106">
        <f t="shared" si="196"/>
        <v>29.375</v>
      </c>
      <c r="CV260" s="104">
        <f>('Renewable Diesel'!AN269*'Feedstock Conversion Rates'!$B$3*'RD Feedstock Breakdown'!$CV$3)/12</f>
        <v>0.50062499999999999</v>
      </c>
      <c r="CW260" s="106">
        <f t="shared" si="161"/>
        <v>0.50062499999999999</v>
      </c>
      <c r="CX260" s="104">
        <f>('Renewable Diesel'!AO269*'RD Feedstock Breakdown'!$CX$3*'Feedstock Conversion Rates'!$B$3)/12</f>
        <v>6.3412499999999996</v>
      </c>
      <c r="CY260" s="104">
        <f>('Renewable Diesel'!AO269*'RD Feedstock Breakdown'!$CY$3*'Feedstock Conversion Rates'!$B$6)/12</f>
        <v>7.4258333333333342</v>
      </c>
      <c r="CZ260" s="106">
        <f t="shared" si="233"/>
        <v>13.767083333333334</v>
      </c>
      <c r="DA260" s="104">
        <f>('Renewable Diesel'!$AP269*'RD Feedstock Breakdown'!DA$3*'Feedstock Conversion Rates'!$B$3)/12</f>
        <v>6.3412499999999996</v>
      </c>
      <c r="DB260" s="104">
        <f>('Renewable Diesel'!$AP269*'RD Feedstock Breakdown'!DB$3*'Feedstock Conversion Rates'!$B$8)/12</f>
        <v>7.421875</v>
      </c>
      <c r="DC260" s="106">
        <f t="shared" si="165"/>
        <v>13.763124999999999</v>
      </c>
      <c r="DD260" s="104">
        <f>('Renewable Diesel'!AQ269*$DD$3*'Feedstock Conversion Rates'!$B$14)/12</f>
        <v>3.1041666666666665</v>
      </c>
      <c r="DE260" s="106">
        <f t="shared" si="166"/>
        <v>3.1041666666666665</v>
      </c>
      <c r="DF260" s="104">
        <f>('Renewable Diesel'!AR269*'Feedstock Conversion Rates'!$B$4*$DF$3)/12</f>
        <v>75</v>
      </c>
      <c r="DG260" s="106">
        <f t="shared" si="234"/>
        <v>75</v>
      </c>
      <c r="DH260" s="104">
        <f>('Renewable Diesel'!AS269*'Feedstock Conversion Rates'!$B$4*$DH$3)/12</f>
        <v>75</v>
      </c>
      <c r="DI260" s="106">
        <f t="shared" si="240"/>
        <v>75</v>
      </c>
      <c r="DJ260" s="104">
        <f>('Renewable Diesel'!AT269*'Feedstock Conversion Rates'!$B$4*0.25)/12</f>
        <v>8.59375</v>
      </c>
      <c r="DK260" s="104">
        <f>('Renewable Diesel'!$AT269*'RD Feedstock Breakdown'!DK$3*'Feedstock Conversion Rates'!$B$3)/12*0.5</f>
        <v>9.1781249999999996</v>
      </c>
      <c r="DL260" s="104">
        <f>('Renewable Diesel'!$AT269*'RD Feedstock Breakdown'!$DL$3*'Feedstock Conversion Rates'!$B$6)/12</f>
        <v>10.747916666666669</v>
      </c>
      <c r="DM260" s="104">
        <f>('Renewable Diesel'!$AT269*'RD Feedstock Breakdown'!$DM$3*'Feedstock Conversion Rates'!$B$8)/12</f>
        <v>10.7421875</v>
      </c>
      <c r="DN260" s="106">
        <f t="shared" si="210"/>
        <v>39.26197916666667</v>
      </c>
      <c r="DP260" s="104">
        <f t="shared" si="168"/>
        <v>12.720250000000007</v>
      </c>
      <c r="DQ260" s="104">
        <f t="shared" si="169"/>
        <v>1049.1177674999997</v>
      </c>
      <c r="DR260" s="104">
        <f t="shared" si="174"/>
        <v>1624.703125</v>
      </c>
      <c r="DS260" s="104">
        <f t="shared" si="197"/>
        <v>93.901250000000005</v>
      </c>
      <c r="DT260" s="104">
        <f t="shared" si="170"/>
        <v>286.53923333333341</v>
      </c>
      <c r="DU260" s="104">
        <f t="shared" si="171"/>
        <v>226.65610000000001</v>
      </c>
      <c r="DV260" s="104">
        <f t="shared" si="175"/>
        <v>21</v>
      </c>
      <c r="DW260" s="104">
        <f t="shared" si="172"/>
        <v>3</v>
      </c>
      <c r="DX260" s="106">
        <f t="shared" si="176"/>
        <v>3317.6377258333332</v>
      </c>
      <c r="DY260" s="109">
        <f t="shared" si="163"/>
        <v>-135.00000000000003</v>
      </c>
      <c r="EA260" s="110">
        <f t="shared" si="250"/>
        <v>3.8341286937243579E-3</v>
      </c>
      <c r="EB260" s="110">
        <f t="shared" si="250"/>
        <v>0.3162243301403499</v>
      </c>
      <c r="EC260" s="110">
        <f t="shared" si="250"/>
        <v>0.48971685857951919</v>
      </c>
      <c r="ED260" s="110">
        <f t="shared" si="250"/>
        <v>2.8303647884403545E-2</v>
      </c>
      <c r="EE260" s="110">
        <f t="shared" si="250"/>
        <v>8.6368451594985324E-2</v>
      </c>
      <c r="EF260" s="110">
        <f t="shared" si="250"/>
        <v>6.8318520203428157E-2</v>
      </c>
      <c r="EG260" s="110">
        <f t="shared" si="250"/>
        <v>6.3298050406408266E-3</v>
      </c>
      <c r="EH260" s="111">
        <f t="shared" si="177"/>
        <v>9.042578629486895E-4</v>
      </c>
      <c r="EI260" s="110">
        <f t="shared" si="236"/>
        <v>0.99909574213705121</v>
      </c>
      <c r="EK260" s="132">
        <f>(EA260*'Renewable Diesel'!BF269*'Feedstock Conversion Rates'!B$2)+FB260</f>
        <v>35.433110231322402</v>
      </c>
      <c r="EL260" s="132">
        <f>(EB260*'Renewable Diesel'!BF269*'Feedstock Conversion Rates'!B$3)+FC260</f>
        <v>2753.9208933115701</v>
      </c>
      <c r="EM260" s="132">
        <f>(EC260*'Renewable Diesel'!BF269*'Feedstock Conversion Rates'!B$4)+FD260</f>
        <v>3993.2820124441878</v>
      </c>
      <c r="EN260" s="132">
        <f>(ED260*'Renewable Diesel'!BF269*'Feedstock Conversion Rates'!B$5)+FE260</f>
        <v>232.33413820642772</v>
      </c>
      <c r="EO260" s="132">
        <f>(EE260*'Renewable Diesel'!BF269*'Feedstock Conversion Rates'!B$6)+FF260</f>
        <v>880.80878112598089</v>
      </c>
      <c r="EP260" s="132">
        <f>(EF260*'Renewable Diesel'!BF269*'Feedstock Conversion Rates'!B$7)+FG260</f>
        <v>683.36061003513373</v>
      </c>
      <c r="EQ260" s="132">
        <f>(EG260*'Renewable Diesel'!BF269*'Feedstock Conversion Rates'!B$8)+FH260</f>
        <v>64.518650339064209</v>
      </c>
      <c r="ER260" s="132">
        <f>(EH260*'Renewable Diesel'!BF269*'Feedstock Conversion Rates'!B$9)+FI260</f>
        <v>9.0940573811252428</v>
      </c>
      <c r="ES260" s="132">
        <f t="shared" si="179"/>
        <v>8652.7522530748138</v>
      </c>
      <c r="ET260" s="133">
        <f>ES260/'Renewable Diesel'!BF269</f>
        <v>12.423401505530185</v>
      </c>
      <c r="EW260" s="73">
        <f t="shared" si="223"/>
        <v>5744.2829612984042</v>
      </c>
      <c r="EX260" s="73">
        <f t="shared" si="224"/>
        <v>6018.228247397431</v>
      </c>
      <c r="EY260" s="92">
        <f t="shared" si="164"/>
        <v>0.66386772593161147</v>
      </c>
      <c r="EZ260" s="92">
        <f t="shared" si="164"/>
        <v>0.69552762767000675</v>
      </c>
      <c r="FB260" s="102">
        <f>IF('Renewable Diesel'!$BG269&lt;1,0,(((('Renewable Diesel'!$BG269-1)*'Renewable Diesel'!$BF269)*'RD Feedstock Breakdown'!EA260)*'Feedstock Conversion Rates'!$B$2))</f>
        <v>12.734495180791237</v>
      </c>
      <c r="FC260" s="102">
        <f>IF('Renewable Diesel'!$BG269&lt;1,0,(((('Renewable Diesel'!$BG269-1)*'Renewable Diesel'!$BF269)*'RD Feedstock Breakdown'!EB260)*'Feedstock Conversion Rates'!$B$3))</f>
        <v>989.74637324259652</v>
      </c>
      <c r="FD260" s="102">
        <f>IF('Renewable Diesel'!$BG269&lt;1,0,(((('Renewable Diesel'!$BG269-1)*'Renewable Diesel'!$BF269)*'RD Feedstock Breakdown'!EC260)*'Feedstock Conversion Rates'!$B$4))</f>
        <v>1435.1670008933613</v>
      </c>
      <c r="FE260" s="102">
        <f>IF('Renewable Diesel'!$BG269&lt;1,0,(((('Renewable Diesel'!$BG269-1)*'Renewable Diesel'!$BF269)*'RD Feedstock Breakdown'!ED260)*'Feedstock Conversion Rates'!$B$5))</f>
        <v>83.499809754426366</v>
      </c>
      <c r="FF260" s="102">
        <f>IF('Renewable Diesel'!$BG269&lt;1,0,(((('Renewable Diesel'!$BG269-1)*'Renewable Diesel'!$BF269)*'RD Feedstock Breakdown'!EE260)*'Feedstock Conversion Rates'!$B$6))</f>
        <v>316.55858334818237</v>
      </c>
      <c r="FG260" s="102">
        <f>IF('Renewable Diesel'!$BG269&lt;1,0,(((('Renewable Diesel'!$BG269-1)*'Renewable Diesel'!$BF269)*'RD Feedstock Breakdown'!EF260)*'Feedstock Conversion Rates'!$B$7))</f>
        <v>245.59662808099452</v>
      </c>
      <c r="FH260" s="102">
        <f>IF('Renewable Diesel'!$BG269&lt;1,0,(((('Renewable Diesel'!$BG269-1)*'Renewable Diesel'!$BF269)*'RD Feedstock Breakdown'!EG260)*'Feedstock Conversion Rates'!$B$8))</f>
        <v>23.187703152507162</v>
      </c>
      <c r="FI260" s="102">
        <f>IF('Renewable Diesel'!$BG269&lt;1,0,(((('Renewable Diesel'!$BG269-1)*'Renewable Diesel'!$BF269)*'RD Feedstock Breakdown'!EH260)*'Feedstock Conversion Rates'!$B$9))</f>
        <v>3.2683619681629144</v>
      </c>
      <c r="FJ260" s="102">
        <f t="shared" si="225"/>
        <v>3109.7589556210223</v>
      </c>
      <c r="GD260" s="91">
        <f>'Renewable Diesel'!BB269*0.32</f>
        <v>0</v>
      </c>
      <c r="GE260" s="91">
        <f>'Renewable Diesel'!BC269</f>
        <v>375.68448437097663</v>
      </c>
      <c r="GF260" s="91">
        <f>'Renewable Diesel'!BD269</f>
        <v>0</v>
      </c>
      <c r="GG260" s="91">
        <f t="shared" si="206"/>
        <v>375.68448437097663</v>
      </c>
      <c r="GH260" s="124">
        <v>1</v>
      </c>
      <c r="GI260" s="102">
        <f>$GG260*EA260*'Feedstock Conversion Rates'!$B$2</f>
        <v>12.243592621167313</v>
      </c>
      <c r="GJ260" s="102">
        <f>$GG260*EB260*'Feedstock Conversion Rates'!$B$3</f>
        <v>951.59260105882197</v>
      </c>
      <c r="GK260" s="102">
        <f>$GG260*EC260*'Feedstock Conversion Rates'!$B$4</f>
        <v>1379.8426912741586</v>
      </c>
      <c r="GL260" s="102">
        <f>$GG260*ED260*'Feedstock Conversion Rates'!$B$5</f>
        <v>80.28097227758721</v>
      </c>
      <c r="GM260" s="102">
        <f>$GG260*EE260*'Feedstock Conversion Rates'!$B$6</f>
        <v>304.35555396772048</v>
      </c>
      <c r="GN260" s="102">
        <f>$GG260*EF260*'Feedstock Conversion Rates'!$B$7</f>
        <v>236.12911392764011</v>
      </c>
      <c r="GO260" s="102">
        <f>$GG260*EG260*'Feedstock Conversion Rates'!$B$8</f>
        <v>22.293839464330851</v>
      </c>
      <c r="GP260" s="102">
        <f>$GG260*EH260*'Feedstock Conversion Rates'!B$9</f>
        <v>3.1423697530675869</v>
      </c>
      <c r="GQ260" s="102">
        <f t="shared" si="180"/>
        <v>2989.8807343444942</v>
      </c>
      <c r="GR260" s="85">
        <f t="shared" si="204"/>
        <v>7.9584887285152845</v>
      </c>
      <c r="GT260" s="103">
        <f t="shared" si="159"/>
        <v>4.0950103729979108E-3</v>
      </c>
      <c r="GU260" s="103">
        <f t="shared" si="159"/>
        <v>0.31827109025720068</v>
      </c>
      <c r="GV260" s="103">
        <f t="shared" si="159"/>
        <v>0.46150425848898524</v>
      </c>
      <c r="GW260" s="103">
        <f t="shared" si="159"/>
        <v>2.6850894537500048E-2</v>
      </c>
      <c r="GX260" s="103">
        <f t="shared" ref="GX260:HA323" si="253">(GM260+FF260+EO260)/SUM($ES260,$FJ260,$GQ260)</f>
        <v>0.1017952155989419</v>
      </c>
      <c r="GY260" s="103">
        <f t="shared" si="253"/>
        <v>7.897609801462846E-2</v>
      </c>
      <c r="GZ260" s="103">
        <f t="shared" si="253"/>
        <v>7.45643102356676E-3</v>
      </c>
      <c r="HA260" s="103">
        <f t="shared" si="251"/>
        <v>1.0510017061789339E-3</v>
      </c>
    </row>
    <row r="261" spans="1:209" x14ac:dyDescent="0.25">
      <c r="A261" s="96">
        <v>48366</v>
      </c>
      <c r="B261" s="104">
        <f t="shared" si="247"/>
        <v>6.5</v>
      </c>
      <c r="C261" s="112">
        <f t="shared" si="246"/>
        <v>0.5</v>
      </c>
      <c r="D261" s="104">
        <f t="shared" si="242"/>
        <v>2</v>
      </c>
      <c r="E261" s="104">
        <f>('Renewable Diesel'!B270*E$3*'Feedstock Conversion Rates'!$B$2)/12-57.5+8+12.5+52.5-76+18+23+45+50-2.5-3-28-2-9.5+30-40+26+0.5-20-15+50-147</f>
        <v>4.9300000000000068</v>
      </c>
      <c r="F261" s="104">
        <f>('Renewable Diesel'!B270*'RD Feedstock Breakdown'!F$3*'Feedstock Conversion Rates'!B$8)/12-13.5+1.5-2+36-10+10-61+25+8+1-29+1.5-15-6</f>
        <v>0.40625</v>
      </c>
      <c r="G261" s="104">
        <f>('Renewable Diesel'!B270*'RD Feedstock Breakdown'!G$3*'Feedstock Conversion Rates'!B$7)/12-25-15-25+4+4-20-40-20+10-17.5+20+50-12+32.5+35-75-75+22.5+5-20+15+125-10-60+5-85+45</f>
        <v>49.657000000000011</v>
      </c>
      <c r="H261" s="104">
        <f>('Renewable Diesel'!B270*'RD Feedstock Breakdown'!H$3*'Feedstock Conversion Rates'!B$3)/12-85+4-15+70-65-80+50-22.5-5+25+27.5+15+50+15-10+5+50+75-5-25-85-12.5+30+22.5-25-30+150+90-120+25+10+20+85-30-45-50+147</f>
        <v>432.40022499999998</v>
      </c>
      <c r="I261" s="106">
        <f t="shared" si="203"/>
        <v>496.39347499999997</v>
      </c>
      <c r="J261" s="104">
        <f t="shared" si="244"/>
        <v>0.5</v>
      </c>
      <c r="K261" s="104"/>
      <c r="L261" s="104">
        <v>1</v>
      </c>
      <c r="M261" s="104">
        <f>('Renewable Diesel'!C270*'RD Feedstock Breakdown'!M$3*'Feedstock Conversion Rates'!B$2)/12</f>
        <v>7.7902500000000003</v>
      </c>
      <c r="N261" s="104">
        <f>('Renewable Diesel'!C270*'RD Feedstock Breakdown'!N$3*'Feedstock Conversion Rates'!B$8)/12</f>
        <v>3.671875</v>
      </c>
      <c r="O261" s="104">
        <f>('Renewable Diesel'!C270*'RD Feedstock Breakdown'!O$3*'Feedstock Conversion Rates'!B$7)/12</f>
        <v>11.9991</v>
      </c>
      <c r="P261" s="104">
        <f>('Renewable Diesel'!C270*'RD Feedstock Breakdown'!P$3*'Feedstock Conversion Rates'!B$3)/12</f>
        <v>10.4470425</v>
      </c>
      <c r="Q261" s="106">
        <f t="shared" si="216"/>
        <v>35.408267500000001</v>
      </c>
      <c r="R261" s="104">
        <f>('Renewable Diesel'!D270*'RD Feedstock Breakdown'!R$3*'Feedstock Conversion Rates'!B$7)/12</f>
        <v>2.2999999999999998</v>
      </c>
      <c r="S261" s="106">
        <f t="shared" si="249"/>
        <v>2.2999999999999998</v>
      </c>
      <c r="T261" s="104">
        <f t="shared" si="221"/>
        <v>0.82500000000000284</v>
      </c>
      <c r="U261" s="104">
        <v>30</v>
      </c>
      <c r="V261" s="104">
        <f>('Renewable Diesel'!E270*'RD Feedstock Breakdown'!V$3*'Feedstock Conversion Rates'!B$6)/12-20+25-35+15</f>
        <v>29.250150000000012</v>
      </c>
      <c r="W261" s="104">
        <f>('Renewable Diesel'!E270*'RD Feedstock Breakdown'!W$3*'Feedstock Conversion Rates'!B$8)/12-6-10</f>
        <v>6.1796875</v>
      </c>
      <c r="X261" s="106">
        <f t="shared" si="185"/>
        <v>66.254837500000008</v>
      </c>
      <c r="Y261" s="104">
        <f t="shared" si="245"/>
        <v>146.5</v>
      </c>
      <c r="Z261" s="104">
        <f>('Renewable Diesel'!F270*'RD Feedstock Breakdown'!Z$3*'Feedstock Conversion Rates'!B$6)/12-50-32-60+15+15+47.5+22.5-85+70-10-25-7+7+7</f>
        <v>74.460000000000008</v>
      </c>
      <c r="AA261" s="104">
        <f>('Renewable Diesel'!F270*'RD Feedstock Breakdown'!AA$3*'Feedstock Conversion Rates'!B$7)/12+80-171+75+30-57.5-18</f>
        <v>42.766666666666652</v>
      </c>
      <c r="AB261" s="106">
        <f t="shared" si="235"/>
        <v>263.72666666666669</v>
      </c>
      <c r="AC261" s="104">
        <f>('Renewable Diesel'!G270*'RD Feedstock Breakdown'!AC$3*'Feedstock Conversion Rates'!B$5)/12</f>
        <v>11.796875</v>
      </c>
      <c r="AD261" s="104">
        <f>('Renewable Diesel'!G270*'RD Feedstock Breakdown'!AD$3*'Feedstock Conversion Rates'!B$4)/12</f>
        <v>5.859375</v>
      </c>
      <c r="AE261" s="104">
        <f>('Renewable Diesel'!G270*'RD Feedstock Breakdown'!AE$3*'Feedstock Conversion Rates'!B$6)/12</f>
        <v>7.3281250000000009</v>
      </c>
      <c r="AF261" s="106">
        <f t="shared" si="198"/>
        <v>24.984375</v>
      </c>
      <c r="AG261" s="104">
        <f t="shared" si="230"/>
        <v>6.5</v>
      </c>
      <c r="AH261" s="104">
        <v>135</v>
      </c>
      <c r="AI261" s="104">
        <f>('Renewable Diesel'!H270*'RD Feedstock Breakdown'!AI$3*'Feedstock Conversion Rates'!B$6)/12-130-20+51-120+105-37.5+20-10</f>
        <v>7.0166666666666799</v>
      </c>
      <c r="AJ261" s="106">
        <f t="shared" si="248"/>
        <v>13.51666666666668</v>
      </c>
      <c r="AK261" s="104">
        <f>('Renewable Diesel'!J270*'RD Feedstock Breakdown'!AK$3*'Feedstock Conversion Rates'!B$4)/12</f>
        <v>95.8125</v>
      </c>
      <c r="AL261" s="106">
        <f t="shared" si="252"/>
        <v>95.8125</v>
      </c>
      <c r="AM261" s="104">
        <f>('Renewable Diesel'!K270*'RD Feedstock Breakdown'!AM$3*'Feedstock Conversion Rates'!B$4)/12+5+15-10+4+5-28</f>
        <v>49.59375</v>
      </c>
      <c r="AN261" s="104">
        <f>('Renewable Diesel'!K270*'RD Feedstock Breakdown'!AN$3*'Feedstock Conversion Rates'!B$6)/12-5-15+10-4-5+28</f>
        <v>33.427083333333329</v>
      </c>
      <c r="AO261" s="106">
        <f t="shared" si="173"/>
        <v>83.020833333333329</v>
      </c>
      <c r="AP261" s="104">
        <f>('Renewable Diesel'!L270*'RD Feedstock Breakdown'!AP$3*'Feedstock Conversion Rates'!B$4)/12+15-10+5+2+7</f>
        <v>77.59375</v>
      </c>
      <c r="AQ261" s="104">
        <f>('Renewable Diesel'!L270*'RD Feedstock Breakdown'!AQ$3*'Feedstock Conversion Rates'!B$6)/12-15+10-5-2-7</f>
        <v>5.4270833333333321</v>
      </c>
      <c r="AR261" s="106">
        <f t="shared" si="162"/>
        <v>83.020833333333329</v>
      </c>
      <c r="AS261" s="104">
        <f>('Renewable Diesel'!M270*'RD Feedstock Breakdown'!AS$3*'Feedstock Conversion Rates'!B$4)/12-25-30</f>
        <v>401.25</v>
      </c>
      <c r="AT261" s="104">
        <f>('Renewable Diesel'!M270*'RD Feedstock Breakdown'!AT$3*'Feedstock Conversion Rates'!B$5)/12+25+30</f>
        <v>55</v>
      </c>
      <c r="AU261" s="106">
        <f t="shared" si="201"/>
        <v>456.25</v>
      </c>
      <c r="AV261" s="104">
        <f>'Renewable Diesel'!N270*'RD Feedstock Breakdown'!$AV$3*'Feedstock Conversion Rates'!$B$4/12-15-10+25+25-22+15-62.5+1</f>
        <v>35.249999999999986</v>
      </c>
      <c r="AW261" s="104">
        <f>'Renewable Diesel'!N270*'RD Feedstock Breakdown'!$AW$3*'Feedstock Conversion Rates'!$B$7/12+15+10-25-25+22-15+62.5-1</f>
        <v>84.9</v>
      </c>
      <c r="AX261" s="106">
        <f t="shared" si="239"/>
        <v>120.14999999999999</v>
      </c>
      <c r="AY261" s="104">
        <f>('Renewable Diesel'!O270*'RD Feedstock Breakdown'!AY$3*'Feedstock Conversion Rates'!B$4)/12-115-95-138</f>
        <v>-137.0625</v>
      </c>
      <c r="AZ261" s="104">
        <f>('Renewable Diesel'!O270*'RD Feedstock Breakdown'!AZ$3*'Feedstock Conversion Rates'!B$3)/12+115+95+138</f>
        <v>373.03125</v>
      </c>
      <c r="BA261" s="106">
        <f t="shared" si="217"/>
        <v>235.96875</v>
      </c>
      <c r="BB261" s="104">
        <f>('Renewable Diesel'!Q270*'RD Feedstock Breakdown'!BB$3*'Feedstock Conversion Rates'!B$4)/12</f>
        <v>11.156249999999998</v>
      </c>
      <c r="BC261" s="104">
        <f>('Renewable Diesel'!Q270*'RD Feedstock Breakdown'!BC$3*'Feedstock Conversion Rates'!B$3)/12</f>
        <v>1.4017500000000001</v>
      </c>
      <c r="BD261" s="104">
        <f>('Renewable Diesel'!Q270*'RD Feedstock Breakdown'!BD$3*'Feedstock Conversion Rates'!B$6)/12</f>
        <v>0.8207500000000002</v>
      </c>
      <c r="BE261" s="106">
        <f t="shared" si="189"/>
        <v>13.378749999999998</v>
      </c>
      <c r="BF261" s="104">
        <f>('Renewable Diesel'!R270*'RD Feedstock Breakdown'!BF$3*'Feedstock Conversion Rates'!B$4)/12</f>
        <v>62.5</v>
      </c>
      <c r="BG261" s="106">
        <f t="shared" si="167"/>
        <v>62.5</v>
      </c>
      <c r="BH261" s="104">
        <f>('Renewable Diesel'!T270*'RD Feedstock Breakdown'!BH$3*'Feedstock Conversion Rates'!B$7)/12</f>
        <v>27.599999999999998</v>
      </c>
      <c r="BI261" s="106">
        <f t="shared" si="243"/>
        <v>27.599999999999998</v>
      </c>
      <c r="BJ261" s="104">
        <f>('Renewable Diesel'!W270*'RD Feedstock Breakdown'!BJ$3*'Feedstock Conversion Rates'!B$4)/12</f>
        <v>7.5</v>
      </c>
      <c r="BK261" s="104">
        <f>('Renewable Diesel'!W270*'RD Feedstock Breakdown'!BK$3*'Feedstock Conversion Rates'!B$3)/12</f>
        <v>1.335</v>
      </c>
      <c r="BL261" s="104">
        <f>('Renewable Diesel'!W270*'RD Feedstock Breakdown'!BL$3*'Feedstock Conversion Rates'!B$6)/12</f>
        <v>3.1266666666666669</v>
      </c>
      <c r="BM261" s="104">
        <f>('Renewable Diesel'!W270*'RD Feedstock Breakdown'!BM$3*'Feedstock Conversion Rates'!B$7)/12</f>
        <v>1.5333333333333332</v>
      </c>
      <c r="BN261" s="106">
        <f t="shared" si="209"/>
        <v>13.495000000000001</v>
      </c>
      <c r="BO261" s="104">
        <f>('Renewable Diesel'!P270*'Feedstock Conversion Rates'!B$4)/12</f>
        <v>31.25</v>
      </c>
      <c r="BP261" s="106">
        <f t="shared" si="199"/>
        <v>31.25</v>
      </c>
      <c r="BQ261" s="104">
        <f>('Renewable Diesel'!$S270*'RD Feedstock Breakdown'!BQ$3*'Feedstock Conversion Rates'!B$4)/12+10</f>
        <v>38.125</v>
      </c>
      <c r="BR261" s="104">
        <f>('Renewable Diesel'!$S270*'RD Feedstock Breakdown'!BR$3*'Feedstock Conversion Rates'!B$7)/12-10</f>
        <v>1.5</v>
      </c>
      <c r="BS261" s="106">
        <f t="shared" si="222"/>
        <v>39.625</v>
      </c>
      <c r="BT261" s="106"/>
      <c r="BU261" s="104">
        <f>('Renewable Diesel'!Y270*'Feedstock Conversion Rates'!B$7)/12</f>
        <v>2.6833333333333331</v>
      </c>
      <c r="BV261" s="106">
        <f t="shared" si="191"/>
        <v>2.6833333333333331</v>
      </c>
      <c r="BW261" s="104">
        <f>('Renewable Diesel'!$Z270*'RD Feedstock Breakdown'!BW$3*'Feedstock Conversion Rates'!$B$4)/12</f>
        <v>71.875</v>
      </c>
      <c r="BX261" s="104">
        <f>('Renewable Diesel'!$Z270*'RD Feedstock Breakdown'!BX$3*'Feedstock Conversion Rates'!$B$5)/12</f>
        <v>7.2354166666666666</v>
      </c>
      <c r="BY261" s="104">
        <f>('Renewable Diesel'!$Z270*'RD Feedstock Breakdown'!BY$3*'Feedstock Conversion Rates'!$B$7)/12-60</f>
        <v>1.7166666666666615</v>
      </c>
      <c r="BZ261" s="104">
        <f>('Renewable Diesel'!$Z270*'RD Feedstock Breakdown'!BZ$3*'Feedstock Conversion Rates'!$B$3)/12+120</f>
        <v>135.35249999999999</v>
      </c>
      <c r="CA261" s="106">
        <f t="shared" si="228"/>
        <v>216.17958333333331</v>
      </c>
      <c r="CB261" s="104">
        <f>('Renewable Diesel'!AA270*'Feedstock Conversion Rates'!B$4)/12</f>
        <v>191.25</v>
      </c>
      <c r="CC261" s="106">
        <f t="shared" si="213"/>
        <v>191.25</v>
      </c>
      <c r="CD261" s="104">
        <f>('Renewable Diesel'!$AB270*'RD Feedstock Breakdown'!CD$3*'Feedstock Conversion Rates'!$B$6)/12-15</f>
        <v>17.830000000000005</v>
      </c>
      <c r="CE261" s="104">
        <f>('Renewable Diesel'!$AB270*'RD Feedstock Breakdown'!CE$3*'Feedstock Conversion Rates'!$B$4)/12+15</f>
        <v>26.25</v>
      </c>
      <c r="CF261" s="106">
        <f t="shared" si="205"/>
        <v>44.080000000000005</v>
      </c>
      <c r="CG261" s="104">
        <f>('Renewable Diesel'!AD270*'Feedstock Conversion Rates'!B$4)/12</f>
        <v>112.5</v>
      </c>
      <c r="CH261" s="106">
        <f t="shared" si="187"/>
        <v>112.5</v>
      </c>
      <c r="CI261" s="104">
        <f>('Renewable Diesel'!$AE270*'RD Feedstock Breakdown'!CI$3*'Feedstock Conversion Rates'!$B$5)/12</f>
        <v>0.34604166666666664</v>
      </c>
      <c r="CJ261" s="104">
        <f>('Renewable Diesel'!$AE270*'RD Feedstock Breakdown'!CJ$3*'Feedstock Conversion Rates'!$B$4)/12</f>
        <v>0.34375</v>
      </c>
      <c r="CK261" s="106">
        <f t="shared" si="200"/>
        <v>0.68979166666666658</v>
      </c>
      <c r="CL261" s="104">
        <f>(((CL$3*'Renewable Diesel'!$AF270)*'Feedstock Conversion Rates'!$B$3)/12)-25</f>
        <v>66.78125</v>
      </c>
      <c r="CM261" s="104">
        <f>(((CM$3*'Renewable Diesel'!$AF270)*'Feedstock Conversion Rates'!$B$6)/12)+25</f>
        <v>78.739583333333343</v>
      </c>
      <c r="CN261" s="104">
        <f>(((CN$3*'Renewable Diesel'!$AF270)*'Feedstock Conversion Rates'!$B$4)/12)</f>
        <v>42.96875</v>
      </c>
      <c r="CO261" s="106">
        <f t="shared" si="190"/>
        <v>188.48958333333334</v>
      </c>
      <c r="CP261" s="104">
        <f>('Renewable Diesel'!$AG270*'RD Feedstock Breakdown'!CP$3*'Feedstock Conversion Rates'!$B$3)/12</f>
        <v>6.0075000000000003</v>
      </c>
      <c r="CQ261" s="104">
        <f>('Renewable Diesel'!$AG270*'RD Feedstock Breakdown'!CQ$3*'Feedstock Conversion Rates'!$B$6)/12</f>
        <v>3.5175000000000001</v>
      </c>
      <c r="CR261" s="104">
        <f>('Renewable Diesel'!$AG270*'RD Feedstock Breakdown'!CR$3*'Feedstock Conversion Rates'!$B$4)/12</f>
        <v>2.8125</v>
      </c>
      <c r="CS261" s="106">
        <f t="shared" si="231"/>
        <v>12.3375</v>
      </c>
      <c r="CT261" s="104">
        <f>('Renewable Diesel'!AI270*'Feedstock Conversion Rates'!$B$4*'RD Feedstock Breakdown'!$CT$3)/12</f>
        <v>29.375</v>
      </c>
      <c r="CU261" s="106">
        <f t="shared" si="196"/>
        <v>29.375</v>
      </c>
      <c r="CV261" s="104">
        <f>('Renewable Diesel'!AN270*'Feedstock Conversion Rates'!$B$3*'RD Feedstock Breakdown'!$CV$3)/12</f>
        <v>0.50062499999999999</v>
      </c>
      <c r="CW261" s="106">
        <f t="shared" si="161"/>
        <v>0.50062499999999999</v>
      </c>
      <c r="CX261" s="104">
        <f>('Renewable Diesel'!AO270*'RD Feedstock Breakdown'!$CX$3*'Feedstock Conversion Rates'!$B$3)/12</f>
        <v>6.3412499999999996</v>
      </c>
      <c r="CY261" s="104">
        <f>('Renewable Diesel'!AO270*'RD Feedstock Breakdown'!$CY$3*'Feedstock Conversion Rates'!$B$6)/12</f>
        <v>7.4258333333333342</v>
      </c>
      <c r="CZ261" s="106">
        <f t="shared" si="233"/>
        <v>13.767083333333334</v>
      </c>
      <c r="DA261" s="104">
        <f>('Renewable Diesel'!$AP270*'RD Feedstock Breakdown'!DA$3*'Feedstock Conversion Rates'!$B$3)/12</f>
        <v>6.3412499999999996</v>
      </c>
      <c r="DB261" s="104">
        <f>('Renewable Diesel'!$AP270*'RD Feedstock Breakdown'!DB$3*'Feedstock Conversion Rates'!$B$8)/12</f>
        <v>7.421875</v>
      </c>
      <c r="DC261" s="106">
        <f t="shared" si="165"/>
        <v>13.763124999999999</v>
      </c>
      <c r="DD261" s="104">
        <f>('Renewable Diesel'!AQ270*$DD$3*'Feedstock Conversion Rates'!$B$14)/12</f>
        <v>3.1041666666666665</v>
      </c>
      <c r="DE261" s="106">
        <f t="shared" si="166"/>
        <v>3.1041666666666665</v>
      </c>
      <c r="DF261" s="104">
        <f>('Renewable Diesel'!AR270*'Feedstock Conversion Rates'!$B$4*$DF$3)/12</f>
        <v>75</v>
      </c>
      <c r="DG261" s="106">
        <f t="shared" si="234"/>
        <v>75</v>
      </c>
      <c r="DH261" s="104">
        <f>('Renewable Diesel'!AS270*'Feedstock Conversion Rates'!$B$4*$DH$3)/12</f>
        <v>75</v>
      </c>
      <c r="DI261" s="106">
        <f t="shared" si="240"/>
        <v>75</v>
      </c>
      <c r="DJ261" s="104">
        <f>('Renewable Diesel'!AT270*'Feedstock Conversion Rates'!$B$4*0.25)/12</f>
        <v>8.59375</v>
      </c>
      <c r="DK261" s="104">
        <f>('Renewable Diesel'!$AT270*'RD Feedstock Breakdown'!DK$3*'Feedstock Conversion Rates'!$B$3)/12*0.5</f>
        <v>9.1781249999999996</v>
      </c>
      <c r="DL261" s="104">
        <f>('Renewable Diesel'!$AT270*'RD Feedstock Breakdown'!$DL$3*'Feedstock Conversion Rates'!$B$6)/12</f>
        <v>10.747916666666669</v>
      </c>
      <c r="DM261" s="104">
        <f>('Renewable Diesel'!$AT270*'RD Feedstock Breakdown'!$DM$3*'Feedstock Conversion Rates'!$B$8)/12</f>
        <v>10.7421875</v>
      </c>
      <c r="DN261" s="106">
        <f t="shared" si="210"/>
        <v>39.26197916666667</v>
      </c>
      <c r="DP261" s="104">
        <f t="shared" si="168"/>
        <v>12.720250000000007</v>
      </c>
      <c r="DQ261" s="104">
        <f t="shared" si="169"/>
        <v>1049.1177674999997</v>
      </c>
      <c r="DR261" s="104">
        <f t="shared" si="174"/>
        <v>1624.703125</v>
      </c>
      <c r="DS261" s="104">
        <f t="shared" si="197"/>
        <v>93.901250000000005</v>
      </c>
      <c r="DT261" s="104">
        <f t="shared" si="170"/>
        <v>286.53923333333341</v>
      </c>
      <c r="DU261" s="104">
        <f t="shared" si="171"/>
        <v>226.65610000000001</v>
      </c>
      <c r="DV261" s="104">
        <f t="shared" si="175"/>
        <v>21</v>
      </c>
      <c r="DW261" s="104">
        <f t="shared" si="172"/>
        <v>3</v>
      </c>
      <c r="DX261" s="106">
        <f t="shared" si="176"/>
        <v>3317.6377258333332</v>
      </c>
      <c r="DY261" s="109">
        <f t="shared" si="163"/>
        <v>-135.00000000000003</v>
      </c>
      <c r="EA261" s="110">
        <f t="shared" si="250"/>
        <v>3.8341286937243579E-3</v>
      </c>
      <c r="EB261" s="110">
        <f t="shared" si="250"/>
        <v>0.3162243301403499</v>
      </c>
      <c r="EC261" s="110">
        <f t="shared" si="250"/>
        <v>0.48971685857951919</v>
      </c>
      <c r="ED261" s="110">
        <f t="shared" si="250"/>
        <v>2.8303647884403545E-2</v>
      </c>
      <c r="EE261" s="110">
        <f t="shared" si="250"/>
        <v>8.6368451594985324E-2</v>
      </c>
      <c r="EF261" s="110">
        <f t="shared" si="250"/>
        <v>6.8318520203428157E-2</v>
      </c>
      <c r="EG261" s="110">
        <f t="shared" si="250"/>
        <v>6.3298050406408266E-3</v>
      </c>
      <c r="EH261" s="111">
        <f t="shared" si="177"/>
        <v>9.042578629486895E-4</v>
      </c>
      <c r="EI261" s="110">
        <f t="shared" si="236"/>
        <v>0.99909574213705121</v>
      </c>
      <c r="EK261" s="132">
        <f>(EA261*'Renewable Diesel'!BF270*'Feedstock Conversion Rates'!B$2)+FB261</f>
        <v>32.351609189772681</v>
      </c>
      <c r="EL261" s="132">
        <f>(EB261*'Renewable Diesel'!BF270*'Feedstock Conversion Rates'!B$3)+FC261</f>
        <v>2514.4214520916621</v>
      </c>
      <c r="EM261" s="132">
        <f>(EC261*'Renewable Diesel'!BF270*'Feedstock Conversion Rates'!B$4)+FD261</f>
        <v>3645.9994115035915</v>
      </c>
      <c r="EN261" s="132">
        <f>(ED261*'Renewable Diesel'!BF270*'Feedstock Conversion Rates'!B$5)+FE261</f>
        <v>212.1288024569912</v>
      </c>
      <c r="EO261" s="132">
        <f>(EE261*'Renewable Diesel'!BF270*'Feedstock Conversion Rates'!B$6)+FF261</f>
        <v>804.20773880352283</v>
      </c>
      <c r="EP261" s="132">
        <f>(EF261*'Renewable Diesel'!BF270*'Feedstock Conversion Rates'!B$7)+FG261</f>
        <v>623.93098565754133</v>
      </c>
      <c r="EQ261" s="132">
        <f>(EG261*'Renewable Diesel'!BF270*'Feedstock Conversion Rates'!B$8)+FH261</f>
        <v>58.907675549629573</v>
      </c>
      <c r="ER261" s="132">
        <f>(EH261*'Renewable Diesel'!BF270*'Feedstock Conversion Rates'!B$9)+FI261</f>
        <v>8.3031771250906452</v>
      </c>
      <c r="ES261" s="132">
        <f t="shared" si="179"/>
        <v>7900.2508523778024</v>
      </c>
      <c r="ET261" s="133">
        <f>ES261/'Renewable Diesel'!BF270</f>
        <v>11.677869233332171</v>
      </c>
      <c r="EW261" s="73">
        <f t="shared" si="223"/>
        <v>5086.9351630168521</v>
      </c>
      <c r="EX261" s="73">
        <f t="shared" si="224"/>
        <v>5329.5314832170798</v>
      </c>
      <c r="EY261" s="92">
        <f t="shared" si="164"/>
        <v>0.64389539750953551</v>
      </c>
      <c r="EZ261" s="92">
        <f t="shared" si="164"/>
        <v>0.67460281740459005</v>
      </c>
      <c r="FB261" s="102">
        <f>IF('Renewable Diesel'!$BG270&lt;1,0,(((('Renewable Diesel'!$BG270-1)*'Renewable Diesel'!$BF270)*'RD Feedstock Breakdown'!EA261)*'Feedstock Conversion Rates'!$B$2))</f>
        <v>10.303929776542018</v>
      </c>
      <c r="FC261" s="102">
        <f>IF('Renewable Diesel'!$BG270&lt;1,0,(((('Renewable Diesel'!$BG270-1)*'Renewable Diesel'!$BF270)*'RD Feedstock Breakdown'!EB261)*'Feedstock Conversion Rates'!$B$3))</f>
        <v>800.83874403297784</v>
      </c>
      <c r="FD261" s="102">
        <f>IF('Renewable Diesel'!$BG270&lt;1,0,(((('Renewable Diesel'!$BG270-1)*'Renewable Diesel'!$BF270)*'RD Feedstock Breakdown'!EC261)*'Feedstock Conversion Rates'!$B$4))</f>
        <v>1161.2443041418462</v>
      </c>
      <c r="FE261" s="102">
        <f>IF('Renewable Diesel'!$BG270&lt;1,0,(((('Renewable Diesel'!$BG270-1)*'Renewable Diesel'!$BF270)*'RD Feedstock Breakdown'!ED261)*'Feedstock Conversion Rates'!$B$5))</f>
        <v>67.562644914422876</v>
      </c>
      <c r="FF261" s="102">
        <f>IF('Renewable Diesel'!$BG270&lt;1,0,(((('Renewable Diesel'!$BG270-1)*'Renewable Diesel'!$BF270)*'RD Feedstock Breakdown'!EE261)*'Feedstock Conversion Rates'!$B$6))</f>
        <v>256.13872922904739</v>
      </c>
      <c r="FG261" s="102">
        <f>IF('Renewable Diesel'!$BG270&lt;1,0,(((('Renewable Diesel'!$BG270-1)*'Renewable Diesel'!$BF270)*'RD Feedstock Breakdown'!EF261)*'Feedstock Conversion Rates'!$B$7))</f>
        <v>198.72090516153781</v>
      </c>
      <c r="FH261" s="102">
        <f>IF('Renewable Diesel'!$BG270&lt;1,0,(((('Renewable Diesel'!$BG270-1)*'Renewable Diesel'!$BF270)*'RD Feedstock Breakdown'!EG261)*'Feedstock Conversion Rates'!$B$8))</f>
        <v>18.7619895072975</v>
      </c>
      <c r="FI261" s="102">
        <f>IF('Renewable Diesel'!$BG270&lt;1,0,(((('Renewable Diesel'!$BG270-1)*'Renewable Diesel'!$BF270)*'RD Feedstock Breakdown'!EH261)*'Feedstock Conversion Rates'!$B$9))</f>
        <v>2.6445470924571715</v>
      </c>
      <c r="FJ261" s="102">
        <f t="shared" si="225"/>
        <v>2516.215793856129</v>
      </c>
      <c r="GD261" s="91">
        <f>'Renewable Diesel'!BB270*0.32</f>
        <v>0</v>
      </c>
      <c r="GE261" s="91">
        <f>'Renewable Diesel'!BC270</f>
        <v>358.32773608893473</v>
      </c>
      <c r="GF261" s="91">
        <f>'Renewable Diesel'!BD270</f>
        <v>0</v>
      </c>
      <c r="GG261" s="91">
        <f t="shared" si="206"/>
        <v>358.32773608893473</v>
      </c>
      <c r="GH261" s="124">
        <v>1</v>
      </c>
      <c r="GI261" s="102">
        <f>$GG261*EA261*'Feedstock Conversion Rates'!$B$2</f>
        <v>11.677934564914928</v>
      </c>
      <c r="GJ261" s="102">
        <f>$GG261*EB261*'Feedstock Conversion Rates'!$B$3</f>
        <v>907.62870600660597</v>
      </c>
      <c r="GK261" s="102">
        <f>$GG261*EC261*'Feedstock Conversion Rates'!$B$4</f>
        <v>1316.093499445381</v>
      </c>
      <c r="GL261" s="102">
        <f>$GG261*ED261*'Feedstock Conversion Rates'!$B$5</f>
        <v>76.571964624549011</v>
      </c>
      <c r="GM261" s="102">
        <f>$GG261*EE261*'Feedstock Conversion Rates'!$B$6</f>
        <v>290.29422602306494</v>
      </c>
      <c r="GN261" s="102">
        <f>$GG261*EF261*'Feedstock Conversion Rates'!$B$7</f>
        <v>225.21987023245313</v>
      </c>
      <c r="GO261" s="102">
        <f>$GG261*EG261*'Feedstock Conversion Rates'!$B$8</f>
        <v>21.263856657160826</v>
      </c>
      <c r="GP261" s="102">
        <f>$GG261*EH261*'Feedstock Conversion Rates'!B$9</f>
        <v>2.9971912240569543</v>
      </c>
      <c r="GQ261" s="102">
        <f t="shared" si="180"/>
        <v>2851.7472487781865</v>
      </c>
      <c r="GR261" s="85">
        <f t="shared" si="204"/>
        <v>7.9584887285152845</v>
      </c>
      <c r="GT261" s="103">
        <f t="shared" ref="GT261:GW324" si="254">(GI261+FB261+EK261)/SUM($ES261,$FJ261,$GQ261)</f>
        <v>4.09501037299791E-3</v>
      </c>
      <c r="GU261" s="103">
        <f t="shared" si="254"/>
        <v>0.31827109025720068</v>
      </c>
      <c r="GV261" s="103">
        <f t="shared" si="254"/>
        <v>0.46150425848898524</v>
      </c>
      <c r="GW261" s="103">
        <f t="shared" si="254"/>
        <v>2.6850894537500045E-2</v>
      </c>
      <c r="GX261" s="103">
        <f t="shared" si="253"/>
        <v>0.1017952155989419</v>
      </c>
      <c r="GY261" s="103">
        <f t="shared" si="253"/>
        <v>7.897609801462846E-2</v>
      </c>
      <c r="GZ261" s="103">
        <f t="shared" si="253"/>
        <v>7.4564310235667583E-3</v>
      </c>
      <c r="HA261" s="103">
        <f t="shared" si="251"/>
        <v>1.0510017061789334E-3</v>
      </c>
    </row>
    <row r="262" spans="1:209" x14ac:dyDescent="0.25">
      <c r="A262" s="96">
        <v>48396</v>
      </c>
      <c r="B262" s="104">
        <f>61+88+162+33.5-22-4-8.5-18-31-70-23-58+40-35+20-3-15-60-40-1-1+35+30+3+28+7.5+1-3-1.5+9.5+10-30-103-1+100</f>
        <v>100.5</v>
      </c>
      <c r="C262" s="112">
        <f t="shared" si="246"/>
        <v>0.5</v>
      </c>
      <c r="D262" s="104">
        <f t="shared" si="242"/>
        <v>2</v>
      </c>
      <c r="E262" s="104">
        <f>('Renewable Diesel'!B271*E$3*'Feedstock Conversion Rates'!$B$2)/12-57.5+8+12.5+52.5-76+18+23+45+50-2.5-3-28-2-9.5+30-40+26+0.5-20-15+50-147</f>
        <v>4.9300000000000068</v>
      </c>
      <c r="F262" s="104">
        <f>('Renewable Diesel'!B271*'RD Feedstock Breakdown'!F$3*'Feedstock Conversion Rates'!B$8)/12-13.5+1.5-2+36-10+10-61+25+8+1-29+1.5-15</f>
        <v>6.40625</v>
      </c>
      <c r="G262" s="104">
        <f>('Renewable Diesel'!B271*'RD Feedstock Breakdown'!G$3*'Feedstock Conversion Rates'!B$7)/12-25-15-25+4+4-20-40-20+10-17.5+20+50-12+32.5+35-75-75+22.5+5-20+15+125-10-60+5-85+45</f>
        <v>49.657000000000011</v>
      </c>
      <c r="H262" s="104">
        <f>('Renewable Diesel'!B271*'RD Feedstock Breakdown'!H$3*'Feedstock Conversion Rates'!B$3)/12-85+4-15+70-65-80+50-22.5-5+25+27.5+15+50+15-10+5+50+75-5-25-85-12.5+30+22.5-25-30+150+90-120+25+10+20+85-30-45-50+147-100</f>
        <v>332.40022499999998</v>
      </c>
      <c r="I262" s="106">
        <f t="shared" si="203"/>
        <v>496.39347499999997</v>
      </c>
      <c r="J262" s="104">
        <f t="shared" si="244"/>
        <v>0.5</v>
      </c>
      <c r="K262" s="104"/>
      <c r="L262" s="104">
        <v>1</v>
      </c>
      <c r="M262" s="104">
        <f>('Renewable Diesel'!C271*'RD Feedstock Breakdown'!M$3*'Feedstock Conversion Rates'!B$2)/12</f>
        <v>7.7902500000000003</v>
      </c>
      <c r="N262" s="104">
        <f>('Renewable Diesel'!C271*'RD Feedstock Breakdown'!N$3*'Feedstock Conversion Rates'!B$8)/12</f>
        <v>3.671875</v>
      </c>
      <c r="O262" s="104">
        <f>('Renewable Diesel'!C271*'RD Feedstock Breakdown'!O$3*'Feedstock Conversion Rates'!B$7)/12</f>
        <v>11.9991</v>
      </c>
      <c r="P262" s="104">
        <f>('Renewable Diesel'!C271*'RD Feedstock Breakdown'!P$3*'Feedstock Conversion Rates'!B$3)/12</f>
        <v>10.4470425</v>
      </c>
      <c r="Q262" s="106">
        <f t="shared" si="216"/>
        <v>35.408267500000001</v>
      </c>
      <c r="R262" s="104">
        <f>('Renewable Diesel'!D271*'RD Feedstock Breakdown'!R$3*'Feedstock Conversion Rates'!B$7)/12</f>
        <v>2.2999999999999998</v>
      </c>
      <c r="S262" s="106">
        <f t="shared" si="249"/>
        <v>2.2999999999999998</v>
      </c>
      <c r="T262" s="104">
        <f t="shared" si="221"/>
        <v>0.82500000000000284</v>
      </c>
      <c r="U262" s="104">
        <v>30</v>
      </c>
      <c r="V262" s="104">
        <f>('Renewable Diesel'!E271*'RD Feedstock Breakdown'!V$3*'Feedstock Conversion Rates'!B$6)/12-20+25-35+15</f>
        <v>29.250150000000012</v>
      </c>
      <c r="W262" s="104">
        <f>('Renewable Diesel'!E271*'RD Feedstock Breakdown'!W$3*'Feedstock Conversion Rates'!B$8)/12-6-10</f>
        <v>6.1796875</v>
      </c>
      <c r="X262" s="106">
        <f t="shared" si="185"/>
        <v>66.254837500000008</v>
      </c>
      <c r="Y262" s="104">
        <f t="shared" si="245"/>
        <v>146.5</v>
      </c>
      <c r="Z262" s="104">
        <f>('Renewable Diesel'!F271*'RD Feedstock Breakdown'!Z$3*'Feedstock Conversion Rates'!B$6)/12-50-32-60+15+15+47.5+22.5-85+70-10-25-7+7+7</f>
        <v>74.460000000000008</v>
      </c>
      <c r="AA262" s="104">
        <f>('Renewable Diesel'!F271*'RD Feedstock Breakdown'!AA$3*'Feedstock Conversion Rates'!B$7)/12+80-171+75+30-57.5-18</f>
        <v>42.766666666666652</v>
      </c>
      <c r="AB262" s="106">
        <f t="shared" si="235"/>
        <v>263.72666666666669</v>
      </c>
      <c r="AC262" s="104">
        <f>('Renewable Diesel'!G271*'RD Feedstock Breakdown'!AC$3*'Feedstock Conversion Rates'!B$5)/12</f>
        <v>11.796875</v>
      </c>
      <c r="AD262" s="104">
        <f>('Renewable Diesel'!G271*'RD Feedstock Breakdown'!AD$3*'Feedstock Conversion Rates'!B$4)/12</f>
        <v>5.859375</v>
      </c>
      <c r="AE262" s="104">
        <f>('Renewable Diesel'!G271*'RD Feedstock Breakdown'!AE$3*'Feedstock Conversion Rates'!B$6)/12</f>
        <v>7.3281250000000009</v>
      </c>
      <c r="AF262" s="106">
        <f t="shared" si="198"/>
        <v>24.984375</v>
      </c>
      <c r="AG262" s="104">
        <f t="shared" si="230"/>
        <v>6.5</v>
      </c>
      <c r="AH262" s="104">
        <v>135</v>
      </c>
      <c r="AI262" s="104">
        <f>('Renewable Diesel'!H271*'RD Feedstock Breakdown'!AI$3*'Feedstock Conversion Rates'!B$6)/12-130-20+51-120+105-37.5+20-10</f>
        <v>7.0166666666666799</v>
      </c>
      <c r="AJ262" s="106">
        <f t="shared" si="248"/>
        <v>13.51666666666668</v>
      </c>
      <c r="AK262" s="104">
        <f>('Renewable Diesel'!J271*'RD Feedstock Breakdown'!AK$3*'Feedstock Conversion Rates'!B$4)/12</f>
        <v>95.8125</v>
      </c>
      <c r="AL262" s="106">
        <f t="shared" si="252"/>
        <v>95.8125</v>
      </c>
      <c r="AM262" s="104">
        <f>('Renewable Diesel'!K271*'RD Feedstock Breakdown'!AM$3*'Feedstock Conversion Rates'!B$4)/12+5+15-10+4+5-28</f>
        <v>49.59375</v>
      </c>
      <c r="AN262" s="104">
        <f>('Renewable Diesel'!K271*'RD Feedstock Breakdown'!AN$3*'Feedstock Conversion Rates'!B$6)/12-5-15+10-4-5+28</f>
        <v>33.427083333333329</v>
      </c>
      <c r="AO262" s="106">
        <f t="shared" si="173"/>
        <v>83.020833333333329</v>
      </c>
      <c r="AP262" s="104">
        <f>('Renewable Diesel'!L271*'RD Feedstock Breakdown'!AP$3*'Feedstock Conversion Rates'!B$4)/12+15-10+5+2+7</f>
        <v>77.59375</v>
      </c>
      <c r="AQ262" s="104">
        <f>('Renewable Diesel'!L271*'RD Feedstock Breakdown'!AQ$3*'Feedstock Conversion Rates'!B$6)/12-15+10-5-2-7</f>
        <v>5.4270833333333321</v>
      </c>
      <c r="AR262" s="106">
        <f t="shared" si="162"/>
        <v>83.020833333333329</v>
      </c>
      <c r="AS262" s="104">
        <f>('Renewable Diesel'!M271*'RD Feedstock Breakdown'!AS$3*'Feedstock Conversion Rates'!B$4)/12-25-30</f>
        <v>401.25</v>
      </c>
      <c r="AT262" s="104">
        <f>('Renewable Diesel'!M271*'RD Feedstock Breakdown'!AT$3*'Feedstock Conversion Rates'!B$5)/12+25+30</f>
        <v>55</v>
      </c>
      <c r="AU262" s="106">
        <f t="shared" si="201"/>
        <v>456.25</v>
      </c>
      <c r="AV262" s="104">
        <f>'Renewable Diesel'!N271*'RD Feedstock Breakdown'!$AV$3*'Feedstock Conversion Rates'!$B$4/12-15-10+25+25-22+15-62.5+1</f>
        <v>35.249999999999986</v>
      </c>
      <c r="AW262" s="104">
        <f>'Renewable Diesel'!N271*'RD Feedstock Breakdown'!$AW$3*'Feedstock Conversion Rates'!$B$7/12+15+10-25-25+22-15+62.5-1</f>
        <v>84.9</v>
      </c>
      <c r="AX262" s="106">
        <f t="shared" si="239"/>
        <v>120.14999999999999</v>
      </c>
      <c r="AY262" s="104">
        <f>('Renewable Diesel'!O271*'RD Feedstock Breakdown'!AY$3*'Feedstock Conversion Rates'!B$4)/12-115-95-138</f>
        <v>-137.0625</v>
      </c>
      <c r="AZ262" s="104">
        <f>('Renewable Diesel'!O271*'RD Feedstock Breakdown'!AZ$3*'Feedstock Conversion Rates'!B$3)/12+115+95+138</f>
        <v>373.03125</v>
      </c>
      <c r="BA262" s="106">
        <f t="shared" si="217"/>
        <v>235.96875</v>
      </c>
      <c r="BB262" s="104">
        <f>('Renewable Diesel'!Q271*'RD Feedstock Breakdown'!BB$3*'Feedstock Conversion Rates'!B$4)/12</f>
        <v>11.156249999999998</v>
      </c>
      <c r="BC262" s="104">
        <f>('Renewable Diesel'!Q271*'RD Feedstock Breakdown'!BC$3*'Feedstock Conversion Rates'!B$3)/12</f>
        <v>1.4017500000000001</v>
      </c>
      <c r="BD262" s="104">
        <f>('Renewable Diesel'!Q271*'RD Feedstock Breakdown'!BD$3*'Feedstock Conversion Rates'!B$6)/12</f>
        <v>0.8207500000000002</v>
      </c>
      <c r="BE262" s="106">
        <f t="shared" si="189"/>
        <v>13.378749999999998</v>
      </c>
      <c r="BF262" s="104">
        <f>('Renewable Diesel'!R271*'RD Feedstock Breakdown'!BF$3*'Feedstock Conversion Rates'!B$4)/12</f>
        <v>62.5</v>
      </c>
      <c r="BG262" s="106">
        <f t="shared" si="167"/>
        <v>62.5</v>
      </c>
      <c r="BH262" s="104">
        <f>('Renewable Diesel'!T271*'RD Feedstock Breakdown'!BH$3*'Feedstock Conversion Rates'!B$7)/12</f>
        <v>27.599999999999998</v>
      </c>
      <c r="BI262" s="106">
        <f t="shared" si="243"/>
        <v>27.599999999999998</v>
      </c>
      <c r="BJ262" s="104">
        <f>('Renewable Diesel'!W271*'RD Feedstock Breakdown'!BJ$3*'Feedstock Conversion Rates'!B$4)/12</f>
        <v>7.5</v>
      </c>
      <c r="BK262" s="104">
        <f>('Renewable Diesel'!W271*'RD Feedstock Breakdown'!BK$3*'Feedstock Conversion Rates'!B$3)/12</f>
        <v>1.335</v>
      </c>
      <c r="BL262" s="104">
        <f>('Renewable Diesel'!W271*'RD Feedstock Breakdown'!BL$3*'Feedstock Conversion Rates'!B$6)/12</f>
        <v>3.1266666666666669</v>
      </c>
      <c r="BM262" s="104">
        <f>('Renewable Diesel'!W271*'RD Feedstock Breakdown'!BM$3*'Feedstock Conversion Rates'!B$7)/12</f>
        <v>1.5333333333333332</v>
      </c>
      <c r="BN262" s="106">
        <f t="shared" si="209"/>
        <v>13.495000000000001</v>
      </c>
      <c r="BO262" s="104">
        <f>('Renewable Diesel'!P271*'Feedstock Conversion Rates'!B$4)/12</f>
        <v>31.25</v>
      </c>
      <c r="BP262" s="106">
        <f t="shared" si="199"/>
        <v>31.25</v>
      </c>
      <c r="BQ262" s="104">
        <f>('Renewable Diesel'!$S271*'RD Feedstock Breakdown'!BQ$3*'Feedstock Conversion Rates'!B$4)/12+10</f>
        <v>38.125</v>
      </c>
      <c r="BR262" s="104">
        <f>('Renewable Diesel'!$S271*'RD Feedstock Breakdown'!BR$3*'Feedstock Conversion Rates'!B$7)/12-10</f>
        <v>1.5</v>
      </c>
      <c r="BS262" s="106">
        <f t="shared" si="222"/>
        <v>39.625</v>
      </c>
      <c r="BT262" s="106"/>
      <c r="BU262" s="104">
        <f>('Renewable Diesel'!Y271*'Feedstock Conversion Rates'!B$7)/12</f>
        <v>2.6833333333333331</v>
      </c>
      <c r="BV262" s="106">
        <f t="shared" si="191"/>
        <v>2.6833333333333331</v>
      </c>
      <c r="BW262" s="104">
        <f>('Renewable Diesel'!$Z271*'RD Feedstock Breakdown'!BW$3*'Feedstock Conversion Rates'!$B$4)/12</f>
        <v>71.875</v>
      </c>
      <c r="BX262" s="104">
        <f>('Renewable Diesel'!$Z271*'RD Feedstock Breakdown'!BX$3*'Feedstock Conversion Rates'!$B$5)/12</f>
        <v>7.2354166666666666</v>
      </c>
      <c r="BY262" s="104">
        <f>('Renewable Diesel'!$Z271*'RD Feedstock Breakdown'!BY$3*'Feedstock Conversion Rates'!$B$7)/12-60</f>
        <v>1.7166666666666615</v>
      </c>
      <c r="BZ262" s="104">
        <f>('Renewable Diesel'!$Z271*'RD Feedstock Breakdown'!BZ$3*'Feedstock Conversion Rates'!$B$3)/12+120</f>
        <v>135.35249999999999</v>
      </c>
      <c r="CA262" s="106">
        <f t="shared" si="228"/>
        <v>216.17958333333331</v>
      </c>
      <c r="CB262" s="104">
        <f>('Renewable Diesel'!AA271*'Feedstock Conversion Rates'!B$4)/12</f>
        <v>191.25</v>
      </c>
      <c r="CC262" s="106">
        <f t="shared" si="213"/>
        <v>191.25</v>
      </c>
      <c r="CD262" s="104">
        <f>('Renewable Diesel'!$AB271*'RD Feedstock Breakdown'!CD$3*'Feedstock Conversion Rates'!$B$6)/12-15</f>
        <v>17.830000000000005</v>
      </c>
      <c r="CE262" s="104">
        <f>('Renewable Diesel'!$AB271*'RD Feedstock Breakdown'!CE$3*'Feedstock Conversion Rates'!$B$4)/12+15</f>
        <v>26.25</v>
      </c>
      <c r="CF262" s="106">
        <f t="shared" si="205"/>
        <v>44.080000000000005</v>
      </c>
      <c r="CG262" s="104">
        <f>('Renewable Diesel'!AD271*'Feedstock Conversion Rates'!B$4)/12</f>
        <v>112.5</v>
      </c>
      <c r="CH262" s="106">
        <f t="shared" si="187"/>
        <v>112.5</v>
      </c>
      <c r="CI262" s="104">
        <f>('Renewable Diesel'!$AE271*'RD Feedstock Breakdown'!CI$3*'Feedstock Conversion Rates'!$B$5)/12</f>
        <v>0.34604166666666664</v>
      </c>
      <c r="CJ262" s="104">
        <f>('Renewable Diesel'!$AE271*'RD Feedstock Breakdown'!CJ$3*'Feedstock Conversion Rates'!$B$4)/12</f>
        <v>0.34375</v>
      </c>
      <c r="CK262" s="106">
        <f t="shared" si="200"/>
        <v>0.68979166666666658</v>
      </c>
      <c r="CL262" s="104">
        <f>(((CL$3*'Renewable Diesel'!$AF271)*'Feedstock Conversion Rates'!$B$3)/12)-25</f>
        <v>66.78125</v>
      </c>
      <c r="CM262" s="104">
        <f>(((CM$3*'Renewable Diesel'!$AF271)*'Feedstock Conversion Rates'!$B$6)/12)+25</f>
        <v>78.739583333333343</v>
      </c>
      <c r="CN262" s="104">
        <f>(((CN$3*'Renewable Diesel'!$AF271)*'Feedstock Conversion Rates'!$B$4)/12)</f>
        <v>42.96875</v>
      </c>
      <c r="CO262" s="106">
        <f t="shared" si="190"/>
        <v>188.48958333333334</v>
      </c>
      <c r="CP262" s="104">
        <f>('Renewable Diesel'!$AG271*'RD Feedstock Breakdown'!CP$3*'Feedstock Conversion Rates'!$B$3)/12</f>
        <v>6.0075000000000003</v>
      </c>
      <c r="CQ262" s="104">
        <f>('Renewable Diesel'!$AG271*'RD Feedstock Breakdown'!CQ$3*'Feedstock Conversion Rates'!$B$6)/12</f>
        <v>3.5175000000000001</v>
      </c>
      <c r="CR262" s="104">
        <f>('Renewable Diesel'!$AG271*'RD Feedstock Breakdown'!CR$3*'Feedstock Conversion Rates'!$B$4)/12</f>
        <v>2.8125</v>
      </c>
      <c r="CS262" s="106">
        <f t="shared" si="231"/>
        <v>12.3375</v>
      </c>
      <c r="CT262" s="104">
        <f>('Renewable Diesel'!AI271*'Feedstock Conversion Rates'!$B$4*'RD Feedstock Breakdown'!$CT$3)/12</f>
        <v>29.375</v>
      </c>
      <c r="CU262" s="106">
        <f t="shared" si="196"/>
        <v>29.375</v>
      </c>
      <c r="CV262" s="104">
        <f>('Renewable Diesel'!AN271*'Feedstock Conversion Rates'!$B$3*'RD Feedstock Breakdown'!$CV$3)/12</f>
        <v>0.50062499999999999</v>
      </c>
      <c r="CW262" s="106">
        <f t="shared" si="161"/>
        <v>0.50062499999999999</v>
      </c>
      <c r="CX262" s="104">
        <f>('Renewable Diesel'!AO271*'RD Feedstock Breakdown'!$CX$3*'Feedstock Conversion Rates'!$B$3)/12</f>
        <v>6.3412499999999996</v>
      </c>
      <c r="CY262" s="104">
        <f>('Renewable Diesel'!AO271*'RD Feedstock Breakdown'!$CY$3*'Feedstock Conversion Rates'!$B$6)/12</f>
        <v>7.4258333333333342</v>
      </c>
      <c r="CZ262" s="106">
        <f t="shared" si="233"/>
        <v>13.767083333333334</v>
      </c>
      <c r="DA262" s="104">
        <f>('Renewable Diesel'!$AP271*'RD Feedstock Breakdown'!DA$3*'Feedstock Conversion Rates'!$B$3)/12</f>
        <v>6.3412499999999996</v>
      </c>
      <c r="DB262" s="104">
        <f>('Renewable Diesel'!$AP271*'RD Feedstock Breakdown'!DB$3*'Feedstock Conversion Rates'!$B$8)/12</f>
        <v>7.421875</v>
      </c>
      <c r="DC262" s="106">
        <f t="shared" si="165"/>
        <v>13.763124999999999</v>
      </c>
      <c r="DD262" s="104">
        <f>('Renewable Diesel'!AQ271*$DD$3*'Feedstock Conversion Rates'!$B$14)/12</f>
        <v>3.1041666666666665</v>
      </c>
      <c r="DE262" s="106">
        <f t="shared" si="166"/>
        <v>3.1041666666666665</v>
      </c>
      <c r="DF262" s="104">
        <f>('Renewable Diesel'!AR271*'Feedstock Conversion Rates'!$B$4*$DF$3)/12</f>
        <v>75</v>
      </c>
      <c r="DG262" s="106">
        <f t="shared" si="234"/>
        <v>75</v>
      </c>
      <c r="DH262" s="104">
        <f>('Renewable Diesel'!AS271*'Feedstock Conversion Rates'!$B$4*$DH$3)/12</f>
        <v>75</v>
      </c>
      <c r="DI262" s="106">
        <f t="shared" si="240"/>
        <v>75</v>
      </c>
      <c r="DJ262" s="104">
        <f>('Renewable Diesel'!AT271*'Feedstock Conversion Rates'!$B$4*0.25)/12</f>
        <v>8.59375</v>
      </c>
      <c r="DK262" s="104">
        <f>('Renewable Diesel'!$AT271*'RD Feedstock Breakdown'!DK$3*'Feedstock Conversion Rates'!$B$3)/12*0.5</f>
        <v>9.1781249999999996</v>
      </c>
      <c r="DL262" s="104">
        <f>('Renewable Diesel'!$AT271*'RD Feedstock Breakdown'!$DL$3*'Feedstock Conversion Rates'!$B$6)/12</f>
        <v>10.747916666666669</v>
      </c>
      <c r="DM262" s="104">
        <f>('Renewable Diesel'!$AT271*'RD Feedstock Breakdown'!$DM$3*'Feedstock Conversion Rates'!$B$8)/12</f>
        <v>10.7421875</v>
      </c>
      <c r="DN262" s="106">
        <f t="shared" si="210"/>
        <v>39.26197916666667</v>
      </c>
      <c r="DP262" s="104">
        <f t="shared" si="168"/>
        <v>12.720250000000007</v>
      </c>
      <c r="DQ262" s="104">
        <f t="shared" si="169"/>
        <v>949.11776750000001</v>
      </c>
      <c r="DR262" s="104">
        <f t="shared" si="174"/>
        <v>1718.703125</v>
      </c>
      <c r="DS262" s="104">
        <f t="shared" si="197"/>
        <v>93.901250000000005</v>
      </c>
      <c r="DT262" s="104">
        <f t="shared" si="170"/>
        <v>286.53923333333341</v>
      </c>
      <c r="DU262" s="104">
        <f t="shared" si="171"/>
        <v>226.65610000000001</v>
      </c>
      <c r="DV262" s="104">
        <f t="shared" si="175"/>
        <v>27</v>
      </c>
      <c r="DW262" s="104">
        <f t="shared" si="172"/>
        <v>3</v>
      </c>
      <c r="DX262" s="106">
        <f t="shared" si="176"/>
        <v>3317.6377258333337</v>
      </c>
      <c r="DY262" s="109">
        <f t="shared" si="163"/>
        <v>-135.00000000000048</v>
      </c>
      <c r="EA262" s="110">
        <f t="shared" si="250"/>
        <v>3.8341286937243575E-3</v>
      </c>
      <c r="EB262" s="110">
        <f t="shared" si="250"/>
        <v>0.28608240137539365</v>
      </c>
      <c r="EC262" s="110">
        <f t="shared" si="250"/>
        <v>0.51805027161857797</v>
      </c>
      <c r="ED262" s="110">
        <f t="shared" si="250"/>
        <v>2.8303647884403541E-2</v>
      </c>
      <c r="EE262" s="110">
        <f t="shared" si="250"/>
        <v>8.636845159498531E-2</v>
      </c>
      <c r="EF262" s="110">
        <f t="shared" si="250"/>
        <v>6.8318520203428143E-2</v>
      </c>
      <c r="EG262" s="110">
        <f t="shared" si="250"/>
        <v>8.1383207665382037E-3</v>
      </c>
      <c r="EH262" s="111">
        <f t="shared" si="177"/>
        <v>9.0425786294868929E-4</v>
      </c>
      <c r="EI262" s="110">
        <f t="shared" si="236"/>
        <v>0.9990957421370511</v>
      </c>
      <c r="EK262" s="132">
        <f>(EA262*'Renewable Diesel'!BF271*'Feedstock Conversion Rates'!B$2)+FB262</f>
        <v>35.941652919900918</v>
      </c>
      <c r="EL262" s="132">
        <f>(EB262*'Renewable Diesel'!BF271*'Feedstock Conversion Rates'!B$3)+FC262</f>
        <v>2527.1795171484605</v>
      </c>
      <c r="EM262" s="132">
        <f>(EC262*'Renewable Diesel'!BF271*'Feedstock Conversion Rates'!B$4)+FD262</f>
        <v>4284.9484685326233</v>
      </c>
      <c r="EN262" s="132">
        <f>(ED262*'Renewable Diesel'!BF271*'Feedstock Conversion Rates'!B$5)+FE262</f>
        <v>235.66864162768331</v>
      </c>
      <c r="EO262" s="132">
        <f>(EE262*'Renewable Diesel'!BF271*'Feedstock Conversion Rates'!B$6)+FF262</f>
        <v>893.45031506847431</v>
      </c>
      <c r="EP262" s="132">
        <f>(EF262*'Renewable Diesel'!BF271*'Feedstock Conversion Rates'!B$7)+FG262</f>
        <v>693.16833054364042</v>
      </c>
      <c r="EQ262" s="132">
        <f>(EG262*'Renewable Diesel'!BF271*'Feedstock Conversion Rates'!B$8)+FH262</f>
        <v>84.143101103034326</v>
      </c>
      <c r="ER262" s="132">
        <f>(EH262*'Renewable Diesel'!BF271*'Feedstock Conversion Rates'!B$9)+FI262</f>
        <v>9.2245770098141318</v>
      </c>
      <c r="ES262" s="132">
        <f t="shared" si="179"/>
        <v>8763.7246039536312</v>
      </c>
      <c r="ET262" s="133">
        <f>ES262/'Renewable Diesel'!BF271</f>
        <v>12.493398371046407</v>
      </c>
      <c r="EW262" s="73">
        <f t="shared" si="223"/>
        <v>6165.8662977599752</v>
      </c>
      <c r="EX262" s="73">
        <f t="shared" si="224"/>
        <v>5787.3588619022194</v>
      </c>
      <c r="EY262" s="92">
        <f t="shared" si="164"/>
        <v>0.70356687098295301</v>
      </c>
      <c r="EZ262" s="92">
        <f t="shared" si="164"/>
        <v>0.66037662334703373</v>
      </c>
      <c r="FB262" s="102">
        <f>IF('Renewable Diesel'!$BG271&lt;1,0,(((('Renewable Diesel'!$BG271-1)*'Renewable Diesel'!$BF271)*'RD Feedstock Breakdown'!EA262)*'Feedstock Conversion Rates'!$B$2))</f>
        <v>13.080730755664311</v>
      </c>
      <c r="FC262" s="102">
        <f>IF('Renewable Diesel'!$BG271&lt;1,0,(((('Renewable Diesel'!$BG271-1)*'Renewable Diesel'!$BF271)*'RD Feedstock Breakdown'!EB262)*'Feedstock Conversion Rates'!$B$3))</f>
        <v>919.75054427017938</v>
      </c>
      <c r="FD262" s="102">
        <f>IF('Renewable Diesel'!$BG271&lt;1,0,(((('Renewable Diesel'!$BG271-1)*'Renewable Diesel'!$BF271)*'RD Feedstock Breakdown'!EC262)*'Feedstock Conversion Rates'!$B$4))</f>
        <v>1559.4791186616878</v>
      </c>
      <c r="FE262" s="102">
        <f>IF('Renewable Diesel'!$BG271&lt;1,0,(((('Renewable Diesel'!$BG271-1)*'Renewable Diesel'!$BF271)*'RD Feedstock Breakdown'!ED262)*'Feedstock Conversion Rates'!$B$5))</f>
        <v>85.770068937980426</v>
      </c>
      <c r="FF262" s="102">
        <f>IF('Renewable Diesel'!$BG271&lt;1,0,(((('Renewable Diesel'!$BG271-1)*'Renewable Diesel'!$BF271)*'RD Feedstock Breakdown'!EE262)*'Feedstock Conversion Rates'!$B$6))</f>
        <v>325.1654296762481</v>
      </c>
      <c r="FG262" s="102">
        <f>IF('Renewable Diesel'!$BG271&lt;1,0,(((('Renewable Diesel'!$BG271-1)*'Renewable Diesel'!$BF271)*'RD Feedstock Breakdown'!EF262)*'Feedstock Conversion Rates'!$B$7))</f>
        <v>252.27410437693575</v>
      </c>
      <c r="FH262" s="102">
        <f>IF('Renewable Diesel'!$BG271&lt;1,0,(((('Renewable Diesel'!$BG271-1)*'Renewable Diesel'!$BF271)*'RD Feedstock Breakdown'!EG262)*'Feedstock Conversion Rates'!$B$8))</f>
        <v>30.623334239199671</v>
      </c>
      <c r="FI262" s="102">
        <f>IF('Renewable Diesel'!$BG271&lt;1,0,(((('Renewable Diesel'!$BG271-1)*'Renewable Diesel'!$BF271)*'RD Feedstock Breakdown'!EH262)*'Feedstock Conversion Rates'!$B$9))</f>
        <v>3.3572247906678157</v>
      </c>
      <c r="FJ262" s="102">
        <f t="shared" si="225"/>
        <v>3189.5005557085628</v>
      </c>
      <c r="GD262" s="91">
        <f>'Renewable Diesel'!BB271*0.32</f>
        <v>0</v>
      </c>
      <c r="GE262" s="91">
        <f>'Renewable Diesel'!BC271</f>
        <v>389.82118960567601</v>
      </c>
      <c r="GF262" s="91">
        <f>'Renewable Diesel'!BD271</f>
        <v>0</v>
      </c>
      <c r="GG262" s="91">
        <f t="shared" si="206"/>
        <v>389.82118960567601</v>
      </c>
      <c r="GH262" s="124">
        <v>1</v>
      </c>
      <c r="GI262" s="102">
        <f>$GG262*EA262*'Feedstock Conversion Rates'!$B$2</f>
        <v>12.704309172155527</v>
      </c>
      <c r="GJ262" s="102">
        <f>$GG262*EB262*'Feedstock Conversion Rates'!$B$3</f>
        <v>893.2830660555295</v>
      </c>
      <c r="GK262" s="102">
        <f>$GG262*EC262*'Feedstock Conversion Rates'!$B$4</f>
        <v>1514.6022986842324</v>
      </c>
      <c r="GL262" s="102">
        <f>$GG262*ED262*'Feedstock Conversion Rates'!$B$5</f>
        <v>83.301880748011641</v>
      </c>
      <c r="GM262" s="102">
        <f>$GG262*EE262*'Feedstock Conversion Rates'!$B$6</f>
        <v>315.80820887357663</v>
      </c>
      <c r="GN262" s="102">
        <f>$GG262*EF262*'Feedstock Conversion Rates'!$B$7</f>
        <v>245.01446272375787</v>
      </c>
      <c r="GO262" s="102">
        <f>$GG262*EG262*'Feedstock Conversion Rates'!$B$8</f>
        <v>29.742092649417184</v>
      </c>
      <c r="GP262" s="102">
        <f>$GG262*EH262*'Feedstock Conversion Rates'!B$9</f>
        <v>3.2606146015657353</v>
      </c>
      <c r="GQ262" s="102">
        <f t="shared" si="180"/>
        <v>3097.7169335082463</v>
      </c>
      <c r="GR262" s="85">
        <f t="shared" si="204"/>
        <v>7.9465073118312137</v>
      </c>
      <c r="GT262" s="103">
        <f t="shared" si="254"/>
        <v>4.101184661107031E-3</v>
      </c>
      <c r="GU262" s="103">
        <f t="shared" si="254"/>
        <v>0.28836820317338124</v>
      </c>
      <c r="GV262" s="103">
        <f t="shared" si="254"/>
        <v>0.48894147890036721</v>
      </c>
      <c r="GW262" s="103">
        <f t="shared" si="254"/>
        <v>2.6891379211227692E-2</v>
      </c>
      <c r="GX262" s="103">
        <f t="shared" si="253"/>
        <v>0.10194869823561169</v>
      </c>
      <c r="GY262" s="103">
        <f t="shared" si="253"/>
        <v>7.9095174924931719E-2</v>
      </c>
      <c r="GZ262" s="103">
        <f t="shared" si="253"/>
        <v>9.6012945300762136E-3</v>
      </c>
      <c r="HA262" s="103">
        <f t="shared" si="251"/>
        <v>1.052586363297244E-3</v>
      </c>
    </row>
    <row r="263" spans="1:209" x14ac:dyDescent="0.25">
      <c r="A263" s="96">
        <v>48427</v>
      </c>
      <c r="B263" s="104">
        <f>61+88+162+33.5-22-4-8.5-18-31-70-23-58+40-35+20-3-15-60-40-1-1+35+30+3+28+7.5+1-3-1.5+9.5+10-30-103-1+100</f>
        <v>100.5</v>
      </c>
      <c r="C263" s="112">
        <f t="shared" si="246"/>
        <v>0.5</v>
      </c>
      <c r="D263" s="104">
        <f t="shared" si="242"/>
        <v>2</v>
      </c>
      <c r="E263" s="104">
        <f>('Renewable Diesel'!B272*E$3*'Feedstock Conversion Rates'!$B$2)/12-57.5+8+12.5+52.5-76+18+23+45+50-2.5-3-28-2-9.5+30-40+26+0.5-20-15+50-147</f>
        <v>4.9300000000000068</v>
      </c>
      <c r="F263" s="104">
        <f>('Renewable Diesel'!B272*'RD Feedstock Breakdown'!F$3*'Feedstock Conversion Rates'!B$8)/12-13.5+1.5-2+36-10+10-61+25+8+1-29+1.5-15</f>
        <v>6.40625</v>
      </c>
      <c r="G263" s="104">
        <f>('Renewable Diesel'!B272*'RD Feedstock Breakdown'!G$3*'Feedstock Conversion Rates'!B$7)/12-25-15-25+4+4-20-40-20+10-17.5+20+50-12+32.5+35-75-75+22.5+5-20+15+125-10-60+5-85+45</f>
        <v>49.657000000000011</v>
      </c>
      <c r="H263" s="104">
        <f>('Renewable Diesel'!B272*'RD Feedstock Breakdown'!H$3*'Feedstock Conversion Rates'!B$3)/12-85+4-15+70-65-80+50-22.5-5+25+27.5+15+50+15-10+5+50+75-5-25-85-12.5+30+22.5-25-30+150+90-120+25+10+20+85-30-45-50+147-100</f>
        <v>332.40022499999998</v>
      </c>
      <c r="I263" s="106">
        <f t="shared" si="203"/>
        <v>496.39347499999997</v>
      </c>
      <c r="J263" s="104">
        <f>87-50+15+53+55-6+84+19-11-40-29-30-13-50-7+30+25+15-7.5-45-10-1-55+5+15+18+90-5+15+5-100-70+11+40-24-14-5+35-44+7</f>
        <v>7.5</v>
      </c>
      <c r="K263" s="104"/>
      <c r="L263" s="104">
        <v>1</v>
      </c>
      <c r="M263" s="104">
        <f>('Renewable Diesel'!C272*'RD Feedstock Breakdown'!M$3*'Feedstock Conversion Rates'!B$2)/12</f>
        <v>7.7902500000000003</v>
      </c>
      <c r="N263" s="104">
        <f>('Renewable Diesel'!C272*'RD Feedstock Breakdown'!N$3*'Feedstock Conversion Rates'!B$8)/12</f>
        <v>3.671875</v>
      </c>
      <c r="O263" s="104">
        <f>('Renewable Diesel'!C272*'RD Feedstock Breakdown'!O$3*'Feedstock Conversion Rates'!B$7)/12</f>
        <v>11.9991</v>
      </c>
      <c r="P263" s="104">
        <f>('Renewable Diesel'!C272*'RD Feedstock Breakdown'!P$3*'Feedstock Conversion Rates'!B$3)/12</f>
        <v>10.4470425</v>
      </c>
      <c r="Q263" s="106">
        <f t="shared" si="216"/>
        <v>42.408267500000001</v>
      </c>
      <c r="R263" s="104">
        <f>('Renewable Diesel'!D272*'RD Feedstock Breakdown'!R$3*'Feedstock Conversion Rates'!B$7)/12</f>
        <v>2.2999999999999998</v>
      </c>
      <c r="S263" s="106">
        <f t="shared" si="249"/>
        <v>2.2999999999999998</v>
      </c>
      <c r="T263" s="104">
        <f t="shared" si="221"/>
        <v>0.82500000000000284</v>
      </c>
      <c r="U263" s="104">
        <v>30</v>
      </c>
      <c r="V263" s="104">
        <f>('Renewable Diesel'!E272*'RD Feedstock Breakdown'!V$3*'Feedstock Conversion Rates'!B$6)/12-20+25-35+15</f>
        <v>29.250150000000012</v>
      </c>
      <c r="W263" s="104">
        <f>('Renewable Diesel'!E272*'RD Feedstock Breakdown'!W$3*'Feedstock Conversion Rates'!B$8)/12-6-10</f>
        <v>6.1796875</v>
      </c>
      <c r="X263" s="106">
        <f t="shared" si="185"/>
        <v>66.254837500000008</v>
      </c>
      <c r="Y263" s="104">
        <f t="shared" si="245"/>
        <v>146.5</v>
      </c>
      <c r="Z263" s="104">
        <f>('Renewable Diesel'!F272*'RD Feedstock Breakdown'!Z$3*'Feedstock Conversion Rates'!B$6)/12-50-32-60+15+15+47.5+22.5-85+70-10-25-7+7+7</f>
        <v>74.460000000000008</v>
      </c>
      <c r="AA263" s="104">
        <f>('Renewable Diesel'!F272*'RD Feedstock Breakdown'!AA$3*'Feedstock Conversion Rates'!B$7)/12+80-171+75+30-57.5-18</f>
        <v>42.766666666666652</v>
      </c>
      <c r="AB263" s="106">
        <f t="shared" si="235"/>
        <v>263.72666666666669</v>
      </c>
      <c r="AC263" s="104">
        <f>('Renewable Diesel'!G272*'RD Feedstock Breakdown'!AC$3*'Feedstock Conversion Rates'!B$5)/12</f>
        <v>11.796875</v>
      </c>
      <c r="AD263" s="104">
        <f>('Renewable Diesel'!G272*'RD Feedstock Breakdown'!AD$3*'Feedstock Conversion Rates'!B$4)/12</f>
        <v>5.859375</v>
      </c>
      <c r="AE263" s="104">
        <f>('Renewable Diesel'!G272*'RD Feedstock Breakdown'!AE$3*'Feedstock Conversion Rates'!B$6)/12</f>
        <v>7.3281250000000009</v>
      </c>
      <c r="AF263" s="106">
        <f t="shared" si="198"/>
        <v>24.984375</v>
      </c>
      <c r="AG263" s="104">
        <f t="shared" si="230"/>
        <v>6.5</v>
      </c>
      <c r="AH263" s="104">
        <v>135</v>
      </c>
      <c r="AI263" s="104">
        <f>('Renewable Diesel'!H272*'RD Feedstock Breakdown'!AI$3*'Feedstock Conversion Rates'!B$6)/12-130-20+51-120+105-37.5+20-10</f>
        <v>7.0166666666666799</v>
      </c>
      <c r="AJ263" s="106">
        <f t="shared" si="248"/>
        <v>13.51666666666668</v>
      </c>
      <c r="AK263" s="104">
        <f>('Renewable Diesel'!J272*'RD Feedstock Breakdown'!AK$3*'Feedstock Conversion Rates'!B$4)/12</f>
        <v>95.8125</v>
      </c>
      <c r="AL263" s="106">
        <f t="shared" si="252"/>
        <v>95.8125</v>
      </c>
      <c r="AM263" s="104">
        <f>('Renewable Diesel'!K272*'RD Feedstock Breakdown'!AM$3*'Feedstock Conversion Rates'!B$4)/12+5+15-10+4+5-28</f>
        <v>49.59375</v>
      </c>
      <c r="AN263" s="104">
        <f>('Renewable Diesel'!K272*'RD Feedstock Breakdown'!AN$3*'Feedstock Conversion Rates'!B$6)/12-5-15+10-4-5+28</f>
        <v>33.427083333333329</v>
      </c>
      <c r="AO263" s="106">
        <f t="shared" si="173"/>
        <v>83.020833333333329</v>
      </c>
      <c r="AP263" s="104">
        <f>('Renewable Diesel'!L272*'RD Feedstock Breakdown'!AP$3*'Feedstock Conversion Rates'!B$4)/12+15-10+5+2+7</f>
        <v>77.59375</v>
      </c>
      <c r="AQ263" s="104">
        <f>('Renewable Diesel'!L272*'RD Feedstock Breakdown'!AQ$3*'Feedstock Conversion Rates'!B$6)/12-15+10-5-2-7</f>
        <v>5.4270833333333321</v>
      </c>
      <c r="AR263" s="106">
        <f t="shared" si="162"/>
        <v>83.020833333333329</v>
      </c>
      <c r="AS263" s="104">
        <f>('Renewable Diesel'!M272*'RD Feedstock Breakdown'!AS$3*'Feedstock Conversion Rates'!B$4)/12-25-30</f>
        <v>401.25</v>
      </c>
      <c r="AT263" s="104">
        <f>('Renewable Diesel'!M272*'RD Feedstock Breakdown'!AT$3*'Feedstock Conversion Rates'!B$5)/12+25+30</f>
        <v>55</v>
      </c>
      <c r="AU263" s="106">
        <f t="shared" si="201"/>
        <v>456.25</v>
      </c>
      <c r="AV263" s="104">
        <f>'Renewable Diesel'!N272*'RD Feedstock Breakdown'!$AV$3*'Feedstock Conversion Rates'!$B$4/12-15-10+25+25-22+15-62.5+1</f>
        <v>35.249999999999986</v>
      </c>
      <c r="AW263" s="104">
        <f>'Renewable Diesel'!N272*'RD Feedstock Breakdown'!$AW$3*'Feedstock Conversion Rates'!$B$7/12+15+10-25-25+22-15+62.5-1</f>
        <v>84.9</v>
      </c>
      <c r="AX263" s="106">
        <f t="shared" si="239"/>
        <v>120.14999999999999</v>
      </c>
      <c r="AY263" s="104">
        <f>('Renewable Diesel'!O272*'RD Feedstock Breakdown'!AY$3*'Feedstock Conversion Rates'!B$4)/12-115-95-138</f>
        <v>-137.0625</v>
      </c>
      <c r="AZ263" s="104">
        <f>('Renewable Diesel'!O272*'RD Feedstock Breakdown'!AZ$3*'Feedstock Conversion Rates'!B$3)/12+115+95+138</f>
        <v>373.03125</v>
      </c>
      <c r="BA263" s="106">
        <f t="shared" si="217"/>
        <v>235.96875</v>
      </c>
      <c r="BB263" s="104">
        <f>('Renewable Diesel'!Q272*'RD Feedstock Breakdown'!BB$3*'Feedstock Conversion Rates'!B$4)/12</f>
        <v>11.156249999999998</v>
      </c>
      <c r="BC263" s="104">
        <f>('Renewable Diesel'!Q272*'RD Feedstock Breakdown'!BC$3*'Feedstock Conversion Rates'!B$3)/12</f>
        <v>1.4017500000000001</v>
      </c>
      <c r="BD263" s="104">
        <f>('Renewable Diesel'!Q272*'RD Feedstock Breakdown'!BD$3*'Feedstock Conversion Rates'!B$6)/12</f>
        <v>0.8207500000000002</v>
      </c>
      <c r="BE263" s="106">
        <f t="shared" si="189"/>
        <v>13.378749999999998</v>
      </c>
      <c r="BF263" s="104">
        <f>('Renewable Diesel'!R272*'RD Feedstock Breakdown'!BF$3*'Feedstock Conversion Rates'!B$4)/12</f>
        <v>62.5</v>
      </c>
      <c r="BG263" s="106">
        <f t="shared" si="167"/>
        <v>62.5</v>
      </c>
      <c r="BH263" s="104">
        <f>('Renewable Diesel'!T272*'RD Feedstock Breakdown'!BH$3*'Feedstock Conversion Rates'!B$7)/12</f>
        <v>27.599999999999998</v>
      </c>
      <c r="BI263" s="106">
        <f t="shared" si="243"/>
        <v>27.599999999999998</v>
      </c>
      <c r="BJ263" s="104">
        <f>('Renewable Diesel'!W272*'RD Feedstock Breakdown'!BJ$3*'Feedstock Conversion Rates'!B$4)/12</f>
        <v>7.5</v>
      </c>
      <c r="BK263" s="104">
        <f>('Renewable Diesel'!W272*'RD Feedstock Breakdown'!BK$3*'Feedstock Conversion Rates'!B$3)/12</f>
        <v>1.335</v>
      </c>
      <c r="BL263" s="104">
        <f>('Renewable Diesel'!W272*'RD Feedstock Breakdown'!BL$3*'Feedstock Conversion Rates'!B$6)/12</f>
        <v>3.1266666666666669</v>
      </c>
      <c r="BM263" s="104">
        <f>('Renewable Diesel'!W272*'RD Feedstock Breakdown'!BM$3*'Feedstock Conversion Rates'!B$7)/12</f>
        <v>1.5333333333333332</v>
      </c>
      <c r="BN263" s="106">
        <f t="shared" si="209"/>
        <v>13.495000000000001</v>
      </c>
      <c r="BO263" s="104">
        <f>('Renewable Diesel'!P272*'Feedstock Conversion Rates'!B$4)/12</f>
        <v>31.25</v>
      </c>
      <c r="BP263" s="106">
        <f t="shared" si="199"/>
        <v>31.25</v>
      </c>
      <c r="BQ263" s="104">
        <f>('Renewable Diesel'!$S272*'RD Feedstock Breakdown'!BQ$3*'Feedstock Conversion Rates'!B$4)/12+10</f>
        <v>38.125</v>
      </c>
      <c r="BR263" s="104">
        <f>('Renewable Diesel'!$S272*'RD Feedstock Breakdown'!BR$3*'Feedstock Conversion Rates'!B$7)/12-10</f>
        <v>1.5</v>
      </c>
      <c r="BS263" s="106">
        <f t="shared" si="222"/>
        <v>39.625</v>
      </c>
      <c r="BT263" s="106"/>
      <c r="BU263" s="104">
        <f>('Renewable Diesel'!Y272*'Feedstock Conversion Rates'!B$7)/12</f>
        <v>2.6833333333333331</v>
      </c>
      <c r="BV263" s="106">
        <f t="shared" si="191"/>
        <v>2.6833333333333331</v>
      </c>
      <c r="BW263" s="104">
        <f>('Renewable Diesel'!$Z272*'RD Feedstock Breakdown'!BW$3*'Feedstock Conversion Rates'!$B$4)/12</f>
        <v>71.875</v>
      </c>
      <c r="BX263" s="104">
        <f>('Renewable Diesel'!$Z272*'RD Feedstock Breakdown'!BX$3*'Feedstock Conversion Rates'!$B$5)/12</f>
        <v>7.2354166666666666</v>
      </c>
      <c r="BY263" s="104">
        <f>('Renewable Diesel'!$Z272*'RD Feedstock Breakdown'!BY$3*'Feedstock Conversion Rates'!$B$7)/12-60</f>
        <v>1.7166666666666615</v>
      </c>
      <c r="BZ263" s="104">
        <f>('Renewable Diesel'!$Z272*'RD Feedstock Breakdown'!BZ$3*'Feedstock Conversion Rates'!$B$3)/12+120</f>
        <v>135.35249999999999</v>
      </c>
      <c r="CA263" s="106">
        <f t="shared" si="228"/>
        <v>216.17958333333331</v>
      </c>
      <c r="CB263" s="104">
        <f>('Renewable Diesel'!AA272*'Feedstock Conversion Rates'!B$4)/12</f>
        <v>191.25</v>
      </c>
      <c r="CC263" s="106">
        <f t="shared" si="213"/>
        <v>191.25</v>
      </c>
      <c r="CD263" s="104">
        <f>('Renewable Diesel'!$AB272*'RD Feedstock Breakdown'!CD$3*'Feedstock Conversion Rates'!$B$6)/12-15</f>
        <v>17.830000000000005</v>
      </c>
      <c r="CE263" s="104">
        <f>('Renewable Diesel'!$AB272*'RD Feedstock Breakdown'!CE$3*'Feedstock Conversion Rates'!$B$4)/12+15</f>
        <v>26.25</v>
      </c>
      <c r="CF263" s="106">
        <f t="shared" si="205"/>
        <v>44.080000000000005</v>
      </c>
      <c r="CG263" s="104">
        <f>('Renewable Diesel'!AD272*'Feedstock Conversion Rates'!B$4)/12</f>
        <v>112.5</v>
      </c>
      <c r="CH263" s="106">
        <f t="shared" si="187"/>
        <v>112.5</v>
      </c>
      <c r="CI263" s="104">
        <f>('Renewable Diesel'!$AE272*'RD Feedstock Breakdown'!CI$3*'Feedstock Conversion Rates'!$B$5)/12</f>
        <v>0.34604166666666664</v>
      </c>
      <c r="CJ263" s="104">
        <f>('Renewable Diesel'!$AE272*'RD Feedstock Breakdown'!CJ$3*'Feedstock Conversion Rates'!$B$4)/12</f>
        <v>0.34375</v>
      </c>
      <c r="CK263" s="106">
        <f t="shared" si="200"/>
        <v>0.68979166666666658</v>
      </c>
      <c r="CL263" s="104">
        <f>(((CL$3*'Renewable Diesel'!$AF272)*'Feedstock Conversion Rates'!$B$3)/12)-25</f>
        <v>66.78125</v>
      </c>
      <c r="CM263" s="104">
        <f>(((CM$3*'Renewable Diesel'!$AF272)*'Feedstock Conversion Rates'!$B$6)/12)+25</f>
        <v>78.739583333333343</v>
      </c>
      <c r="CN263" s="104">
        <f>(((CN$3*'Renewable Diesel'!$AF272)*'Feedstock Conversion Rates'!$B$4)/12)</f>
        <v>42.96875</v>
      </c>
      <c r="CO263" s="106">
        <f t="shared" si="190"/>
        <v>188.48958333333334</v>
      </c>
      <c r="CP263" s="104">
        <f>('Renewable Diesel'!$AG272*'RD Feedstock Breakdown'!CP$3*'Feedstock Conversion Rates'!$B$3)/12</f>
        <v>6.0075000000000003</v>
      </c>
      <c r="CQ263" s="104">
        <f>('Renewable Diesel'!$AG272*'RD Feedstock Breakdown'!CQ$3*'Feedstock Conversion Rates'!$B$6)/12</f>
        <v>3.5175000000000001</v>
      </c>
      <c r="CR263" s="104">
        <f>('Renewable Diesel'!$AG272*'RD Feedstock Breakdown'!CR$3*'Feedstock Conversion Rates'!$B$4)/12</f>
        <v>2.8125</v>
      </c>
      <c r="CS263" s="106">
        <f t="shared" si="231"/>
        <v>12.3375</v>
      </c>
      <c r="CT263" s="104">
        <f>('Renewable Diesel'!AI272*'Feedstock Conversion Rates'!$B$4*'RD Feedstock Breakdown'!$CT$3)/12</f>
        <v>29.375</v>
      </c>
      <c r="CU263" s="106">
        <f t="shared" si="196"/>
        <v>29.375</v>
      </c>
      <c r="CV263" s="104">
        <f>('Renewable Diesel'!AN272*'Feedstock Conversion Rates'!$B$3*'RD Feedstock Breakdown'!$CV$3)/12</f>
        <v>0.50062499999999999</v>
      </c>
      <c r="CW263" s="106">
        <f t="shared" ref="CW263:CW326" si="255">CV263</f>
        <v>0.50062499999999999</v>
      </c>
      <c r="CX263" s="104">
        <f>('Renewable Diesel'!AO272*'RD Feedstock Breakdown'!$CX$3*'Feedstock Conversion Rates'!$B$3)/12</f>
        <v>6.3412499999999996</v>
      </c>
      <c r="CY263" s="104">
        <f>('Renewable Diesel'!AO272*'RD Feedstock Breakdown'!$CY$3*'Feedstock Conversion Rates'!$B$6)/12</f>
        <v>7.4258333333333342</v>
      </c>
      <c r="CZ263" s="106">
        <f t="shared" si="233"/>
        <v>13.767083333333334</v>
      </c>
      <c r="DA263" s="104">
        <f>('Renewable Diesel'!$AP272*'RD Feedstock Breakdown'!DA$3*'Feedstock Conversion Rates'!$B$3)/12</f>
        <v>6.3412499999999996</v>
      </c>
      <c r="DB263" s="104">
        <f>('Renewable Diesel'!$AP272*'RD Feedstock Breakdown'!DB$3*'Feedstock Conversion Rates'!$B$8)/12</f>
        <v>7.421875</v>
      </c>
      <c r="DC263" s="106">
        <f t="shared" si="165"/>
        <v>13.763124999999999</v>
      </c>
      <c r="DD263" s="104">
        <f>('Renewable Diesel'!AQ272*$DD$3*'Feedstock Conversion Rates'!$B$14)/12</f>
        <v>3.1041666666666665</v>
      </c>
      <c r="DE263" s="106">
        <f t="shared" si="166"/>
        <v>3.1041666666666665</v>
      </c>
      <c r="DF263" s="104">
        <f>('Renewable Diesel'!AR272*'Feedstock Conversion Rates'!$B$4*$DF$3)/12</f>
        <v>75</v>
      </c>
      <c r="DG263" s="106">
        <f t="shared" si="234"/>
        <v>75</v>
      </c>
      <c r="DH263" s="104">
        <f>('Renewable Diesel'!AS272*'Feedstock Conversion Rates'!$B$4*$DH$3)/12</f>
        <v>75</v>
      </c>
      <c r="DI263" s="106">
        <f t="shared" si="240"/>
        <v>75</v>
      </c>
      <c r="DJ263" s="104">
        <f>('Renewable Diesel'!AT272*'Feedstock Conversion Rates'!$B$4*0.25)/12</f>
        <v>8.59375</v>
      </c>
      <c r="DK263" s="104">
        <f>('Renewable Diesel'!$AT272*'RD Feedstock Breakdown'!DK$3*'Feedstock Conversion Rates'!$B$3)/12*0.5</f>
        <v>9.1781249999999996</v>
      </c>
      <c r="DL263" s="104">
        <f>('Renewable Diesel'!$AT272*'RD Feedstock Breakdown'!$DL$3*'Feedstock Conversion Rates'!$B$6)/12</f>
        <v>10.747916666666669</v>
      </c>
      <c r="DM263" s="104">
        <f>('Renewable Diesel'!$AT272*'RD Feedstock Breakdown'!$DM$3*'Feedstock Conversion Rates'!$B$8)/12</f>
        <v>10.7421875</v>
      </c>
      <c r="DN263" s="106">
        <f t="shared" si="210"/>
        <v>39.26197916666667</v>
      </c>
      <c r="DP263" s="104">
        <f t="shared" si="168"/>
        <v>12.720250000000007</v>
      </c>
      <c r="DQ263" s="104">
        <f t="shared" si="169"/>
        <v>949.11776750000001</v>
      </c>
      <c r="DR263" s="104">
        <f t="shared" si="174"/>
        <v>1725.703125</v>
      </c>
      <c r="DS263" s="104">
        <f t="shared" si="197"/>
        <v>93.901250000000005</v>
      </c>
      <c r="DT263" s="104">
        <f t="shared" si="170"/>
        <v>286.53923333333341</v>
      </c>
      <c r="DU263" s="104">
        <f t="shared" si="171"/>
        <v>226.65610000000001</v>
      </c>
      <c r="DV263" s="104">
        <f t="shared" si="175"/>
        <v>27</v>
      </c>
      <c r="DW263" s="104">
        <f t="shared" si="172"/>
        <v>3</v>
      </c>
      <c r="DX263" s="106">
        <f t="shared" si="176"/>
        <v>3324.6377258333337</v>
      </c>
      <c r="DY263" s="109">
        <f t="shared" si="163"/>
        <v>-135.00000000000048</v>
      </c>
      <c r="EA263" s="110">
        <f t="shared" si="250"/>
        <v>3.8260559642815297E-3</v>
      </c>
      <c r="EB263" s="110">
        <f t="shared" si="250"/>
        <v>0.28548005700744428</v>
      </c>
      <c r="EC263" s="110">
        <f t="shared" si="250"/>
        <v>0.51906501318649556</v>
      </c>
      <c r="ED263" s="110">
        <f t="shared" si="250"/>
        <v>2.8244054764331738E-2</v>
      </c>
      <c r="EE263" s="110">
        <f t="shared" si="250"/>
        <v>8.6186603462640801E-2</v>
      </c>
      <c r="EF263" s="110">
        <f t="shared" si="250"/>
        <v>6.8174676067356402E-2</v>
      </c>
      <c r="EG263" s="110">
        <f t="shared" si="250"/>
        <v>8.1211855927046436E-3</v>
      </c>
      <c r="EH263" s="111">
        <f t="shared" si="177"/>
        <v>9.0235395474496044E-4</v>
      </c>
      <c r="EI263" s="110">
        <f t="shared" si="236"/>
        <v>0.99909764604525508</v>
      </c>
      <c r="EK263" s="132">
        <f>(EA263*'Renewable Diesel'!BF272*'Feedstock Conversion Rates'!B$2)+FB263</f>
        <v>38.694862642967252</v>
      </c>
      <c r="EL263" s="132">
        <f>(EB263*'Renewable Diesel'!BF272*'Feedstock Conversion Rates'!B$3)+FC263</f>
        <v>2720.767030612391</v>
      </c>
      <c r="EM263" s="132">
        <f>(EC263*'Renewable Diesel'!BF272*'Feedstock Conversion Rates'!B$4)+FD263</f>
        <v>4631.973709202508</v>
      </c>
      <c r="EN263" s="132">
        <f>(ED263*'Renewable Diesel'!BF272*'Feedstock Conversion Rates'!B$5)+FE263</f>
        <v>253.72137829500292</v>
      </c>
      <c r="EO263" s="132">
        <f>(EE263*'Renewable Diesel'!BF272*'Feedstock Conversion Rates'!B$6)+FF263</f>
        <v>961.89057573220066</v>
      </c>
      <c r="EP263" s="132">
        <f>(EF263*'Renewable Diesel'!BF272*'Feedstock Conversion Rates'!B$7)+FG263</f>
        <v>746.26655036195336</v>
      </c>
      <c r="EQ263" s="132">
        <f>(EG263*'Renewable Diesel'!BF272*'Feedstock Conversion Rates'!B$8)+FH263</f>
        <v>90.588647850762086</v>
      </c>
      <c r="ER263" s="132">
        <f>(EH263*'Renewable Diesel'!BF272*'Feedstock Conversion Rates'!B$9)+FI263</f>
        <v>9.9311999125279922</v>
      </c>
      <c r="ES263" s="132">
        <f t="shared" si="179"/>
        <v>9453.8339546103125</v>
      </c>
      <c r="ET263" s="133">
        <f>ES263/'Renewable Diesel'!BF272</f>
        <v>12.764220611995853</v>
      </c>
      <c r="EW263" s="73">
        <f t="shared" si="223"/>
        <v>6730.1062778284413</v>
      </c>
      <c r="EX263" s="73">
        <f t="shared" si="224"/>
        <v>6292.6686002616079</v>
      </c>
      <c r="EY263" s="92">
        <f t="shared" si="164"/>
        <v>0.71189173727198773</v>
      </c>
      <c r="EZ263" s="92">
        <f t="shared" si="164"/>
        <v>0.66562080849673566</v>
      </c>
      <c r="FB263" s="102">
        <f>IF('Renewable Diesel'!$BG272&lt;1,0,(((('Renewable Diesel'!$BG272-1)*'Renewable Diesel'!$BF272)*'RD Feedstock Breakdown'!EA263)*'Feedstock Conversion Rates'!$B$2))</f>
        <v>14.607796104517636</v>
      </c>
      <c r="FC263" s="102">
        <f>IF('Renewable Diesel'!$BG272&lt;1,0,(((('Renewable Diesel'!$BG272-1)*'Renewable Diesel'!$BF272)*'RD Feedstock Breakdown'!EB263)*'Feedstock Conversion Rates'!$B$3))</f>
        <v>1027.1236881700936</v>
      </c>
      <c r="FD263" s="102">
        <f>IF('Renewable Diesel'!$BG272&lt;1,0,(((('Renewable Diesel'!$BG272-1)*'Renewable Diesel'!$BF272)*'RD Feedstock Breakdown'!EC263)*'Feedstock Conversion Rates'!$B$4))</f>
        <v>1748.6281868948349</v>
      </c>
      <c r="FE263" s="102">
        <f>IF('Renewable Diesel'!$BG272&lt;1,0,(((('Renewable Diesel'!$BG272-1)*'Renewable Diesel'!$BF272)*'RD Feedstock Breakdown'!ED263)*'Feedstock Conversion Rates'!$B$5))</f>
        <v>95.783003436095839</v>
      </c>
      <c r="FF263" s="102">
        <f>IF('Renewable Diesel'!$BG272&lt;1,0,(((('Renewable Diesel'!$BG272-1)*'Renewable Diesel'!$BF272)*'RD Feedstock Breakdown'!EE263)*'Feedstock Conversion Rates'!$B$6))</f>
        <v>363.12575999560596</v>
      </c>
      <c r="FG263" s="102">
        <f>IF('Renewable Diesel'!$BG272&lt;1,0,(((('Renewable Diesel'!$BG272-1)*'Renewable Diesel'!$BF272)*'RD Feedstock Breakdown'!EF263)*'Feedstock Conversion Rates'!$B$7))</f>
        <v>281.72498524918416</v>
      </c>
      <c r="FH263" s="102">
        <f>IF('Renewable Diesel'!$BG272&lt;1,0,(((('Renewable Diesel'!$BG272-1)*'Renewable Diesel'!$BF272)*'RD Feedstock Breakdown'!EG263)*'Feedstock Conversion Rates'!$B$8))</f>
        <v>34.198351067887579</v>
      </c>
      <c r="FI263" s="102">
        <f>IF('Renewable Diesel'!$BG272&lt;1,0,(((('Renewable Diesel'!$BG272-1)*'Renewable Diesel'!$BF272)*'RD Feedstock Breakdown'!EH263)*'Feedstock Conversion Rates'!$B$9))</f>
        <v>3.7491525615165644</v>
      </c>
      <c r="FJ263" s="102">
        <f t="shared" si="225"/>
        <v>3568.9409234797363</v>
      </c>
      <c r="GD263" s="91">
        <f>'Renewable Diesel'!BB272*0.32</f>
        <v>0</v>
      </c>
      <c r="GE263" s="91">
        <f>'Renewable Diesel'!BC272</f>
        <v>424.54400954681194</v>
      </c>
      <c r="GF263" s="91">
        <f>'Renewable Diesel'!BD272</f>
        <v>0</v>
      </c>
      <c r="GG263" s="91">
        <f t="shared" si="206"/>
        <v>424.54400954681194</v>
      </c>
      <c r="GH263" s="124">
        <v>1</v>
      </c>
      <c r="GI263" s="102">
        <f>$GG263*EA263*'Feedstock Conversion Rates'!$B$2</f>
        <v>13.806797688525883</v>
      </c>
      <c r="GJ263" s="102">
        <f>$GG263*EB263*'Feedstock Conversion Rates'!$B$3</f>
        <v>970.80277286121861</v>
      </c>
      <c r="GK263" s="102">
        <f>$GG263*EC263*'Feedstock Conversion Rates'!$B$4</f>
        <v>1652.7445643524773</v>
      </c>
      <c r="GL263" s="102">
        <f>$GG263*ED263*'Feedstock Conversion Rates'!$B$5</f>
        <v>90.530874129093945</v>
      </c>
      <c r="GM263" s="102">
        <f>$GG263*EE263*'Feedstock Conversion Rates'!$B$6</f>
        <v>343.21425818649135</v>
      </c>
      <c r="GN263" s="102">
        <f>$GG263*EF263*'Feedstock Conversion Rates'!$B$7</f>
        <v>266.27698301015323</v>
      </c>
      <c r="GO263" s="102">
        <f>$GG263*EG263*'Feedstock Conversion Rates'!$B$8</f>
        <v>32.323131504380925</v>
      </c>
      <c r="GP263" s="102">
        <f>$GG263*EH263*'Feedstock Conversion Rates'!B$9</f>
        <v>3.5435729352950935</v>
      </c>
      <c r="GQ263" s="102">
        <f t="shared" si="180"/>
        <v>3373.2429546676362</v>
      </c>
      <c r="GR263" s="85">
        <f t="shared" si="204"/>
        <v>7.9455671940076895</v>
      </c>
      <c r="GT263" s="103">
        <f t="shared" si="254"/>
        <v>4.093033876916897E-3</v>
      </c>
      <c r="GU263" s="103">
        <f t="shared" si="254"/>
        <v>0.28779509389262808</v>
      </c>
      <c r="GV263" s="103">
        <f t="shared" si="254"/>
        <v>0.48995716779472859</v>
      </c>
      <c r="GW263" s="103">
        <f t="shared" si="254"/>
        <v>2.6837934695401713E-2</v>
      </c>
      <c r="GX263" s="103">
        <f t="shared" si="253"/>
        <v>0.10174608316059108</v>
      </c>
      <c r="GY263" s="103">
        <f t="shared" si="253"/>
        <v>7.8937979442512254E-2</v>
      </c>
      <c r="GZ263" s="103">
        <f t="shared" si="253"/>
        <v>9.5822127071086404E-3</v>
      </c>
      <c r="HA263" s="103">
        <f t="shared" si="251"/>
        <v>1.0504944301126509E-3</v>
      </c>
    </row>
    <row r="264" spans="1:209" x14ac:dyDescent="0.25">
      <c r="A264" s="96">
        <v>48458</v>
      </c>
      <c r="B264" s="104">
        <f>61+88+162+33.5-22-4-8.5-18-31-70-23-58+40-35+20-3-15-60-40-1-1+35+30+3+28+7.5+1-3-1.5+9.5+10-30-103-1+300+100-1</f>
        <v>399.5</v>
      </c>
      <c r="C264" s="112">
        <f t="shared" si="246"/>
        <v>0.5</v>
      </c>
      <c r="D264" s="104">
        <f t="shared" si="242"/>
        <v>2</v>
      </c>
      <c r="E264" s="104">
        <f>('Renewable Diesel'!B273*E$3*'Feedstock Conversion Rates'!$B$2)/12-57.5+8+12.5+52.5-76+18+23+45+50-2.5-3-28-2-9.5+30-40+26+0.5-20-15+50-147</f>
        <v>4.9300000000000068</v>
      </c>
      <c r="F264" s="104">
        <f>('Renewable Diesel'!B273*'RD Feedstock Breakdown'!F$3*'Feedstock Conversion Rates'!B$8)/12-13.5+1.5-2+36-10+10-61+25+8+1-29+1.5-15+1</f>
        <v>7.40625</v>
      </c>
      <c r="G264" s="104">
        <f>('Renewable Diesel'!B273*'RD Feedstock Breakdown'!G$3*'Feedstock Conversion Rates'!B$7)/12-25-15-25+4+4-20-40-20+10-17.5+20+50-12+32.5+35-75-75+22.5+5-20+15+125-10-60+5-85+45</f>
        <v>49.657000000000011</v>
      </c>
      <c r="H264" s="104">
        <f>('Renewable Diesel'!B273*'RD Feedstock Breakdown'!H$3*'Feedstock Conversion Rates'!B$3)/12-85+4-15+70-65-80+50-22.5-5+25+27.5+15+50+15-10+5+50+75-5-25-85-12.5+30+22.5-25-30+150+90-120+25+10+20+85-30-45-50+147-100-300</f>
        <v>32.400224999999978</v>
      </c>
      <c r="I264" s="106">
        <f t="shared" si="203"/>
        <v>496.39347499999997</v>
      </c>
      <c r="J264" s="104">
        <f>87-50+15+53+55-6+84+19-11-40-29-30-13-50-7+30+25+15-7.5-45-10-1-55+5+15+18+90-5+15+5-100-70+11+40-24-14-5+35-44+100</f>
        <v>100.5</v>
      </c>
      <c r="K264" s="104"/>
      <c r="L264" s="104">
        <v>1</v>
      </c>
      <c r="M264" s="104">
        <f>('Renewable Diesel'!C273*'RD Feedstock Breakdown'!M$3*'Feedstock Conversion Rates'!B$2)/12</f>
        <v>7.7902500000000003</v>
      </c>
      <c r="N264" s="104">
        <f>('Renewable Diesel'!C273*'RD Feedstock Breakdown'!N$3*'Feedstock Conversion Rates'!B$8)/12</f>
        <v>3.671875</v>
      </c>
      <c r="O264" s="104">
        <f>('Renewable Diesel'!C273*'RD Feedstock Breakdown'!O$3*'Feedstock Conversion Rates'!B$7)/12</f>
        <v>11.9991</v>
      </c>
      <c r="P264" s="104">
        <f>('Renewable Diesel'!C273*'RD Feedstock Breakdown'!P$3*'Feedstock Conversion Rates'!B$3)/12</f>
        <v>10.4470425</v>
      </c>
      <c r="Q264" s="106">
        <f t="shared" si="216"/>
        <v>135.40826749999999</v>
      </c>
      <c r="R264" s="104">
        <f>('Renewable Diesel'!D273*'RD Feedstock Breakdown'!R$3*'Feedstock Conversion Rates'!B$7)/12</f>
        <v>2.2999999999999998</v>
      </c>
      <c r="S264" s="106">
        <f t="shared" si="249"/>
        <v>2.2999999999999998</v>
      </c>
      <c r="T264" s="104">
        <f t="shared" si="221"/>
        <v>0.82500000000000284</v>
      </c>
      <c r="U264" s="104">
        <v>30</v>
      </c>
      <c r="V264" s="104">
        <f>('Renewable Diesel'!E273*'RD Feedstock Breakdown'!V$3*'Feedstock Conversion Rates'!B$6)/12-20+25-35+15</f>
        <v>29.250150000000012</v>
      </c>
      <c r="W264" s="104">
        <f>('Renewable Diesel'!E273*'RD Feedstock Breakdown'!W$3*'Feedstock Conversion Rates'!B$8)/12-6-10</f>
        <v>6.1796875</v>
      </c>
      <c r="X264" s="106">
        <f t="shared" si="185"/>
        <v>66.254837500000008</v>
      </c>
      <c r="Y264" s="104">
        <f t="shared" si="245"/>
        <v>146.5</v>
      </c>
      <c r="Z264" s="104">
        <f>('Renewable Diesel'!F273*'RD Feedstock Breakdown'!Z$3*'Feedstock Conversion Rates'!B$6)/12-50-32-60+15+15+47.5+22.5-85+70-10-25-7+7+7</f>
        <v>74.460000000000008</v>
      </c>
      <c r="AA264" s="104">
        <f>('Renewable Diesel'!F273*'RD Feedstock Breakdown'!AA$3*'Feedstock Conversion Rates'!B$7)/12+80-171+75+30-57.5-18</f>
        <v>42.766666666666652</v>
      </c>
      <c r="AB264" s="106">
        <f t="shared" si="235"/>
        <v>263.72666666666669</v>
      </c>
      <c r="AC264" s="104">
        <f>('Renewable Diesel'!G273*'RD Feedstock Breakdown'!AC$3*'Feedstock Conversion Rates'!B$5)/12</f>
        <v>11.796875</v>
      </c>
      <c r="AD264" s="104">
        <f>('Renewable Diesel'!G273*'RD Feedstock Breakdown'!AD$3*'Feedstock Conversion Rates'!B$4)/12</f>
        <v>5.859375</v>
      </c>
      <c r="AE264" s="104">
        <f>('Renewable Diesel'!G273*'RD Feedstock Breakdown'!AE$3*'Feedstock Conversion Rates'!B$6)/12</f>
        <v>7.3281250000000009</v>
      </c>
      <c r="AF264" s="106">
        <f t="shared" si="198"/>
        <v>24.984375</v>
      </c>
      <c r="AG264" s="104">
        <f t="shared" si="230"/>
        <v>6.5</v>
      </c>
      <c r="AH264" s="104">
        <v>135</v>
      </c>
      <c r="AI264" s="104">
        <f>('Renewable Diesel'!H273*'RD Feedstock Breakdown'!AI$3*'Feedstock Conversion Rates'!B$6)/12-130-20+51-120+105-37.5+20-10</f>
        <v>7.0166666666666799</v>
      </c>
      <c r="AJ264" s="106">
        <f t="shared" si="248"/>
        <v>13.51666666666668</v>
      </c>
      <c r="AK264" s="104">
        <f>('Renewable Diesel'!J273*'RD Feedstock Breakdown'!AK$3*'Feedstock Conversion Rates'!B$4)/12</f>
        <v>95.8125</v>
      </c>
      <c r="AL264" s="106">
        <f t="shared" si="252"/>
        <v>95.8125</v>
      </c>
      <c r="AM264" s="104">
        <f>('Renewable Diesel'!K273*'RD Feedstock Breakdown'!AM$3*'Feedstock Conversion Rates'!B$4)/12+5+15-10+4+5-28</f>
        <v>49.59375</v>
      </c>
      <c r="AN264" s="104">
        <f>('Renewable Diesel'!K273*'RD Feedstock Breakdown'!AN$3*'Feedstock Conversion Rates'!B$6)/12-5-15+10-4-5+28</f>
        <v>33.427083333333329</v>
      </c>
      <c r="AO264" s="106">
        <f t="shared" si="173"/>
        <v>83.020833333333329</v>
      </c>
      <c r="AP264" s="104">
        <f>('Renewable Diesel'!L273*'RD Feedstock Breakdown'!AP$3*'Feedstock Conversion Rates'!B$4)/12+15-10+5+2+7</f>
        <v>77.59375</v>
      </c>
      <c r="AQ264" s="104">
        <f>('Renewable Diesel'!L273*'RD Feedstock Breakdown'!AQ$3*'Feedstock Conversion Rates'!B$6)/12-15+10-5-2-7</f>
        <v>5.4270833333333321</v>
      </c>
      <c r="AR264" s="106">
        <f t="shared" si="162"/>
        <v>83.020833333333329</v>
      </c>
      <c r="AS264" s="104">
        <f>('Renewable Diesel'!M273*'RD Feedstock Breakdown'!AS$3*'Feedstock Conversion Rates'!B$4)/12-25-30</f>
        <v>401.25</v>
      </c>
      <c r="AT264" s="104">
        <f>('Renewable Diesel'!M273*'RD Feedstock Breakdown'!AT$3*'Feedstock Conversion Rates'!B$5)/12+25+30</f>
        <v>55</v>
      </c>
      <c r="AU264" s="106">
        <f t="shared" si="201"/>
        <v>456.25</v>
      </c>
      <c r="AV264" s="104">
        <f>'Renewable Diesel'!N273*'RD Feedstock Breakdown'!$AV$3*'Feedstock Conversion Rates'!$B$4/12-15-10+25+25-22+15-62.5+1</f>
        <v>35.249999999999986</v>
      </c>
      <c r="AW264" s="104">
        <f>'Renewable Diesel'!N273*'RD Feedstock Breakdown'!$AW$3*'Feedstock Conversion Rates'!$B$7/12+15+10-25-25+22-15+62.5-1</f>
        <v>84.9</v>
      </c>
      <c r="AX264" s="106">
        <f t="shared" si="239"/>
        <v>120.14999999999999</v>
      </c>
      <c r="AY264" s="104">
        <f>('Renewable Diesel'!O273*'RD Feedstock Breakdown'!AY$3*'Feedstock Conversion Rates'!B$4)/12-115-95-138</f>
        <v>-137.0625</v>
      </c>
      <c r="AZ264" s="104">
        <f>('Renewable Diesel'!O273*'RD Feedstock Breakdown'!AZ$3*'Feedstock Conversion Rates'!B$3)/12+115+95+138</f>
        <v>373.03125</v>
      </c>
      <c r="BA264" s="106">
        <f t="shared" si="217"/>
        <v>235.96875</v>
      </c>
      <c r="BB264" s="104">
        <f>('Renewable Diesel'!Q273*'RD Feedstock Breakdown'!BB$3*'Feedstock Conversion Rates'!B$4)/12</f>
        <v>11.156249999999998</v>
      </c>
      <c r="BC264" s="104">
        <f>('Renewable Diesel'!Q273*'RD Feedstock Breakdown'!BC$3*'Feedstock Conversion Rates'!B$3)/12</f>
        <v>1.4017500000000001</v>
      </c>
      <c r="BD264" s="104">
        <f>('Renewable Diesel'!Q273*'RD Feedstock Breakdown'!BD$3*'Feedstock Conversion Rates'!B$6)/12</f>
        <v>0.8207500000000002</v>
      </c>
      <c r="BE264" s="106">
        <f t="shared" si="189"/>
        <v>13.378749999999998</v>
      </c>
      <c r="BF264" s="104">
        <f>('Renewable Diesel'!R273*'RD Feedstock Breakdown'!BF$3*'Feedstock Conversion Rates'!B$4)/12</f>
        <v>62.5</v>
      </c>
      <c r="BG264" s="106">
        <f t="shared" si="167"/>
        <v>62.5</v>
      </c>
      <c r="BH264" s="104">
        <f>('Renewable Diesel'!T273*'RD Feedstock Breakdown'!BH$3*'Feedstock Conversion Rates'!B$7)/12</f>
        <v>27.599999999999998</v>
      </c>
      <c r="BI264" s="106">
        <f t="shared" si="243"/>
        <v>27.599999999999998</v>
      </c>
      <c r="BJ264" s="104">
        <f>('Renewable Diesel'!W273*'RD Feedstock Breakdown'!BJ$3*'Feedstock Conversion Rates'!B$4)/12</f>
        <v>7.5</v>
      </c>
      <c r="BK264" s="104">
        <f>('Renewable Diesel'!W273*'RD Feedstock Breakdown'!BK$3*'Feedstock Conversion Rates'!B$3)/12</f>
        <v>1.335</v>
      </c>
      <c r="BL264" s="104">
        <f>('Renewable Diesel'!W273*'RD Feedstock Breakdown'!BL$3*'Feedstock Conversion Rates'!B$6)/12</f>
        <v>3.1266666666666669</v>
      </c>
      <c r="BM264" s="104">
        <f>('Renewable Diesel'!W273*'RD Feedstock Breakdown'!BM$3*'Feedstock Conversion Rates'!B$7)/12</f>
        <v>1.5333333333333332</v>
      </c>
      <c r="BN264" s="106">
        <f t="shared" si="209"/>
        <v>13.495000000000001</v>
      </c>
      <c r="BO264" s="104">
        <f>('Renewable Diesel'!P273*'Feedstock Conversion Rates'!B$4)/12</f>
        <v>31.25</v>
      </c>
      <c r="BP264" s="106">
        <f t="shared" si="199"/>
        <v>31.25</v>
      </c>
      <c r="BQ264" s="104">
        <f>('Renewable Diesel'!$S273*'RD Feedstock Breakdown'!BQ$3*'Feedstock Conversion Rates'!B$4)/12+10</f>
        <v>38.125</v>
      </c>
      <c r="BR264" s="104">
        <f>('Renewable Diesel'!$S273*'RD Feedstock Breakdown'!BR$3*'Feedstock Conversion Rates'!B$7)/12-10</f>
        <v>1.5</v>
      </c>
      <c r="BS264" s="106">
        <f t="shared" si="222"/>
        <v>39.625</v>
      </c>
      <c r="BT264" s="106"/>
      <c r="BU264" s="104">
        <f>('Renewable Diesel'!Y273*'Feedstock Conversion Rates'!B$7)/12</f>
        <v>2.6833333333333331</v>
      </c>
      <c r="BV264" s="106">
        <f t="shared" si="191"/>
        <v>2.6833333333333331</v>
      </c>
      <c r="BW264" s="104">
        <f>('Renewable Diesel'!$Z273*'RD Feedstock Breakdown'!BW$3*'Feedstock Conversion Rates'!$B$4)/12</f>
        <v>71.875</v>
      </c>
      <c r="BX264" s="104">
        <f>('Renewable Diesel'!$Z273*'RD Feedstock Breakdown'!BX$3*'Feedstock Conversion Rates'!$B$5)/12</f>
        <v>7.2354166666666666</v>
      </c>
      <c r="BY264" s="104">
        <f>('Renewable Diesel'!$Z273*'RD Feedstock Breakdown'!BY$3*'Feedstock Conversion Rates'!$B$7)/12-60</f>
        <v>1.7166666666666615</v>
      </c>
      <c r="BZ264" s="104">
        <f>('Renewable Diesel'!$Z273*'RD Feedstock Breakdown'!BZ$3*'Feedstock Conversion Rates'!$B$3)/12+120</f>
        <v>135.35249999999999</v>
      </c>
      <c r="CA264" s="106">
        <f t="shared" si="228"/>
        <v>216.17958333333331</v>
      </c>
      <c r="CB264" s="104">
        <f>('Renewable Diesel'!AA273*'Feedstock Conversion Rates'!B$4)/12</f>
        <v>191.25</v>
      </c>
      <c r="CC264" s="106">
        <f t="shared" si="213"/>
        <v>191.25</v>
      </c>
      <c r="CD264" s="104">
        <f>('Renewable Diesel'!$AB273*'RD Feedstock Breakdown'!CD$3*'Feedstock Conversion Rates'!$B$6)/12-15</f>
        <v>17.830000000000005</v>
      </c>
      <c r="CE264" s="104">
        <f>('Renewable Diesel'!$AB273*'RD Feedstock Breakdown'!CE$3*'Feedstock Conversion Rates'!$B$4)/12+15</f>
        <v>26.25</v>
      </c>
      <c r="CF264" s="106">
        <f t="shared" si="205"/>
        <v>44.080000000000005</v>
      </c>
      <c r="CG264" s="104">
        <f>('Renewable Diesel'!AD273*'Feedstock Conversion Rates'!B$4)/12</f>
        <v>112.5</v>
      </c>
      <c r="CH264" s="106">
        <f t="shared" si="187"/>
        <v>112.5</v>
      </c>
      <c r="CI264" s="104">
        <f>('Renewable Diesel'!$AE273*'RD Feedstock Breakdown'!CI$3*'Feedstock Conversion Rates'!$B$5)/12</f>
        <v>0.34604166666666664</v>
      </c>
      <c r="CJ264" s="104">
        <f>('Renewable Diesel'!$AE273*'RD Feedstock Breakdown'!CJ$3*'Feedstock Conversion Rates'!$B$4)/12</f>
        <v>0.34375</v>
      </c>
      <c r="CK264" s="106">
        <f t="shared" si="200"/>
        <v>0.68979166666666658</v>
      </c>
      <c r="CL264" s="104">
        <f>(((CL$3*'Renewable Diesel'!$AF273)*'Feedstock Conversion Rates'!$B$3)/12)-25</f>
        <v>66.78125</v>
      </c>
      <c r="CM264" s="104">
        <f>(((CM$3*'Renewable Diesel'!$AF273)*'Feedstock Conversion Rates'!$B$6)/12)+25</f>
        <v>78.739583333333343</v>
      </c>
      <c r="CN264" s="104">
        <f>(((CN$3*'Renewable Diesel'!$AF273)*'Feedstock Conversion Rates'!$B$4)/12)</f>
        <v>42.96875</v>
      </c>
      <c r="CO264" s="106">
        <f t="shared" si="190"/>
        <v>188.48958333333334</v>
      </c>
      <c r="CP264" s="104">
        <f>('Renewable Diesel'!$AG273*'RD Feedstock Breakdown'!CP$3*'Feedstock Conversion Rates'!$B$3)/12</f>
        <v>6.0075000000000003</v>
      </c>
      <c r="CQ264" s="104">
        <f>('Renewable Diesel'!$AG273*'RD Feedstock Breakdown'!CQ$3*'Feedstock Conversion Rates'!$B$6)/12</f>
        <v>3.5175000000000001</v>
      </c>
      <c r="CR264" s="104">
        <f>('Renewable Diesel'!$AG273*'RD Feedstock Breakdown'!CR$3*'Feedstock Conversion Rates'!$B$4)/12</f>
        <v>2.8125</v>
      </c>
      <c r="CS264" s="106">
        <f t="shared" si="231"/>
        <v>12.3375</v>
      </c>
      <c r="CT264" s="104">
        <f>('Renewable Diesel'!AI273*'Feedstock Conversion Rates'!$B$4*'RD Feedstock Breakdown'!$CT$3)/12</f>
        <v>29.375</v>
      </c>
      <c r="CU264" s="106">
        <f t="shared" si="196"/>
        <v>29.375</v>
      </c>
      <c r="CV264" s="104">
        <f>('Renewable Diesel'!AN273*'Feedstock Conversion Rates'!$B$3*'RD Feedstock Breakdown'!$CV$3)/12</f>
        <v>0.50062499999999999</v>
      </c>
      <c r="CW264" s="106">
        <f t="shared" si="255"/>
        <v>0.50062499999999999</v>
      </c>
      <c r="CX264" s="104">
        <f>('Renewable Diesel'!AO273*'RD Feedstock Breakdown'!$CX$3*'Feedstock Conversion Rates'!$B$3)/12</f>
        <v>6.3412499999999996</v>
      </c>
      <c r="CY264" s="104">
        <f>('Renewable Diesel'!AO273*'RD Feedstock Breakdown'!$CY$3*'Feedstock Conversion Rates'!$B$6)/12</f>
        <v>7.4258333333333342</v>
      </c>
      <c r="CZ264" s="106">
        <f t="shared" si="233"/>
        <v>13.767083333333334</v>
      </c>
      <c r="DA264" s="104">
        <f>('Renewable Diesel'!$AP273*'RD Feedstock Breakdown'!DA$3*'Feedstock Conversion Rates'!$B$3)/12</f>
        <v>6.3412499999999996</v>
      </c>
      <c r="DB264" s="104">
        <f>('Renewable Diesel'!$AP273*'RD Feedstock Breakdown'!DB$3*'Feedstock Conversion Rates'!$B$8)/12</f>
        <v>7.421875</v>
      </c>
      <c r="DC264" s="106">
        <f t="shared" si="165"/>
        <v>13.763124999999999</v>
      </c>
      <c r="DD264" s="104">
        <f>('Renewable Diesel'!AQ273*$DD$3*'Feedstock Conversion Rates'!$B$14)/12</f>
        <v>3.1041666666666665</v>
      </c>
      <c r="DE264" s="106">
        <f t="shared" si="166"/>
        <v>3.1041666666666665</v>
      </c>
      <c r="DF264" s="104">
        <f>('Renewable Diesel'!AR273*'Feedstock Conversion Rates'!$B$4*$DF$3)/12</f>
        <v>75</v>
      </c>
      <c r="DG264" s="106">
        <f t="shared" si="234"/>
        <v>75</v>
      </c>
      <c r="DH264" s="104">
        <f>('Renewable Diesel'!AS273*'Feedstock Conversion Rates'!$B$4*$DH$3)/12</f>
        <v>75</v>
      </c>
      <c r="DI264" s="106">
        <f t="shared" si="240"/>
        <v>75</v>
      </c>
      <c r="DJ264" s="104">
        <f>('Renewable Diesel'!AT273*'Feedstock Conversion Rates'!$B$4*0.25)/12</f>
        <v>8.59375</v>
      </c>
      <c r="DK264" s="104">
        <f>('Renewable Diesel'!$AT273*'RD Feedstock Breakdown'!DK$3*'Feedstock Conversion Rates'!$B$3)/12*0.5</f>
        <v>9.1781249999999996</v>
      </c>
      <c r="DL264" s="104">
        <f>('Renewable Diesel'!$AT273*'RD Feedstock Breakdown'!$DL$3*'Feedstock Conversion Rates'!$B$6)/12</f>
        <v>10.747916666666669</v>
      </c>
      <c r="DM264" s="104">
        <f>('Renewable Diesel'!$AT273*'RD Feedstock Breakdown'!$DM$3*'Feedstock Conversion Rates'!$B$8)/12</f>
        <v>10.7421875</v>
      </c>
      <c r="DN264" s="106">
        <f t="shared" si="210"/>
        <v>39.26197916666667</v>
      </c>
      <c r="DP264" s="104">
        <f t="shared" si="168"/>
        <v>12.720250000000007</v>
      </c>
      <c r="DQ264" s="104">
        <f t="shared" si="169"/>
        <v>649.1177674999999</v>
      </c>
      <c r="DR264" s="104">
        <f t="shared" si="174"/>
        <v>2117.703125</v>
      </c>
      <c r="DS264" s="104">
        <f t="shared" si="197"/>
        <v>93.901250000000005</v>
      </c>
      <c r="DT264" s="104">
        <f t="shared" si="170"/>
        <v>286.53923333333341</v>
      </c>
      <c r="DU264" s="104">
        <f t="shared" si="171"/>
        <v>226.65610000000001</v>
      </c>
      <c r="DV264" s="104">
        <f t="shared" si="175"/>
        <v>28</v>
      </c>
      <c r="DW264" s="104">
        <f t="shared" si="172"/>
        <v>3</v>
      </c>
      <c r="DX264" s="106">
        <f t="shared" si="176"/>
        <v>3417.6377258333332</v>
      </c>
      <c r="DY264" s="109">
        <f t="shared" si="163"/>
        <v>-135.00000000000003</v>
      </c>
      <c r="EA264" s="110">
        <f t="shared" si="250"/>
        <v>3.7219421777357604E-3</v>
      </c>
      <c r="EB264" s="110">
        <f t="shared" si="250"/>
        <v>0.18993170709505891</v>
      </c>
      <c r="EC264" s="110">
        <f t="shared" si="250"/>
        <v>0.61963943954405931</v>
      </c>
      <c r="ED264" s="110">
        <f t="shared" si="250"/>
        <v>2.7475483808660196E-2</v>
      </c>
      <c r="EE264" s="110">
        <f t="shared" si="250"/>
        <v>8.3841312719435665E-2</v>
      </c>
      <c r="EF264" s="110">
        <f t="shared" si="250"/>
        <v>6.6319521898633577E-2</v>
      </c>
      <c r="EG264" s="110">
        <f t="shared" si="250"/>
        <v>8.1927934574085592E-3</v>
      </c>
      <c r="EH264" s="111">
        <f t="shared" si="177"/>
        <v>8.7779929900805992E-4</v>
      </c>
      <c r="EI264" s="110">
        <f t="shared" si="236"/>
        <v>0.99912220070099178</v>
      </c>
      <c r="EK264" s="132">
        <f>(EA264*'Renewable Diesel'!BF273*'Feedstock Conversion Rates'!B$2)+FB264</f>
        <v>48.212360945177778</v>
      </c>
      <c r="EL264" s="132">
        <f>(EB264*'Renewable Diesel'!BF273*'Feedstock Conversion Rates'!B$3)+FC264</f>
        <v>2318.4612383647668</v>
      </c>
      <c r="EM264" s="132">
        <f>(EC264*'Renewable Diesel'!BF273*'Feedstock Conversion Rates'!B$4)+FD264</f>
        <v>7082.2322977765343</v>
      </c>
      <c r="EN264" s="132">
        <f>(ED264*'Renewable Diesel'!BF273*'Feedstock Conversion Rates'!B$5)+FE264</f>
        <v>316.12740902415175</v>
      </c>
      <c r="EO264" s="132">
        <f>(EE264*'Renewable Diesel'!BF273*'Feedstock Conversion Rates'!B$6)+FF264</f>
        <v>1198.4799133379101</v>
      </c>
      <c r="EP264" s="132">
        <f>(EF264*'Renewable Diesel'!BF273*'Feedstock Conversion Rates'!B$7)+FG264</f>
        <v>929.82039035361163</v>
      </c>
      <c r="EQ264" s="132">
        <f>(EG264*'Renewable Diesel'!BF273*'Feedstock Conversion Rates'!B$8)+FH264</f>
        <v>117.05046259596878</v>
      </c>
      <c r="ER264" s="132">
        <f>(EH264*'Renewable Diesel'!BF273*'Feedstock Conversion Rates'!B$9)+FI264</f>
        <v>12.373906045859558</v>
      </c>
      <c r="ES264" s="132">
        <f t="shared" si="179"/>
        <v>12022.757978443982</v>
      </c>
      <c r="ET264" s="133">
        <f>ES264/'Renewable Diesel'!BF273</f>
        <v>14.343232662351072</v>
      </c>
      <c r="EW264" s="73">
        <f t="shared" si="223"/>
        <v>10727.391826408806</v>
      </c>
      <c r="EX264" s="73">
        <f t="shared" si="224"/>
        <v>6705.2338879502031</v>
      </c>
      <c r="EY264" s="92">
        <f t="shared" si="164"/>
        <v>0.89225715477616008</v>
      </c>
      <c r="EZ264" s="92">
        <f t="shared" si="164"/>
        <v>0.55771179125224413</v>
      </c>
      <c r="FB264" s="102">
        <f>IF('Renewable Diesel'!$BG273&lt;1,0,(((('Renewable Diesel'!$BG273-1)*'Renewable Diesel'!$BF273)*'RD Feedstock Breakdown'!EA264)*'Feedstock Conversion Rates'!$B$2))</f>
        <v>21.694065240042669</v>
      </c>
      <c r="FC264" s="102">
        <f>IF('Renewable Diesel'!$BG273&lt;1,0,(((('Renewable Diesel'!$BG273-1)*'Renewable Diesel'!$BF273)*'RD Feedstock Breakdown'!EB264)*'Feedstock Conversion Rates'!$B$3))</f>
        <v>1043.235559834704</v>
      </c>
      <c r="FD264" s="102">
        <f>IF('Renewable Diesel'!$BG273&lt;1,0,(((('Renewable Diesel'!$BG273-1)*'Renewable Diesel'!$BF273)*'RD Feedstock Breakdown'!EC264)*'Feedstock Conversion Rates'!$B$4))</f>
        <v>3186.7846025588342</v>
      </c>
      <c r="FE264" s="102">
        <f>IF('Renewable Diesel'!$BG273&lt;1,0,(((('Renewable Diesel'!$BG273-1)*'Renewable Diesel'!$BF273)*'RD Feedstock Breakdown'!ED264)*'Feedstock Conversion Rates'!$B$5))</f>
        <v>142.24751704928795</v>
      </c>
      <c r="FF264" s="102">
        <f>IF('Renewable Diesel'!$BG273&lt;1,0,(((('Renewable Diesel'!$BG273-1)*'Renewable Diesel'!$BF273)*'RD Feedstock Breakdown'!EE264)*'Feedstock Conversion Rates'!$B$6))</f>
        <v>539.2787434408732</v>
      </c>
      <c r="FG264" s="102">
        <f>IF('Renewable Diesel'!$BG273&lt;1,0,(((('Renewable Diesel'!$BG273-1)*'Renewable Diesel'!$BF273)*'RD Feedstock Breakdown'!EF264)*'Feedstock Conversion Rates'!$B$7))</f>
        <v>418.3903010431344</v>
      </c>
      <c r="FH264" s="102">
        <f>IF('Renewable Diesel'!$BG273&lt;1,0,(((('Renewable Diesel'!$BG273-1)*'Renewable Diesel'!$BF273)*'RD Feedstock Breakdown'!EG264)*'Feedstock Conversion Rates'!$B$8))</f>
        <v>52.669073286445276</v>
      </c>
      <c r="FI264" s="102">
        <f>IF('Renewable Diesel'!$BG273&lt;1,0,(((('Renewable Diesel'!$BG273-1)*'Renewable Diesel'!$BF273)*'RD Feedstock Breakdown'!EH264)*'Feedstock Conversion Rates'!$B$9))</f>
        <v>5.5678734617099295</v>
      </c>
      <c r="FJ264" s="102">
        <f t="shared" si="225"/>
        <v>5409.8677359150306</v>
      </c>
      <c r="GD264" s="91">
        <f>'Renewable Diesel'!BB273*0.32</f>
        <v>0</v>
      </c>
      <c r="GE264" s="91">
        <f>'Renewable Diesel'!BC273</f>
        <v>516.34976786017171</v>
      </c>
      <c r="GF264" s="91">
        <f>'Renewable Diesel'!BD273</f>
        <v>0</v>
      </c>
      <c r="GG264" s="91">
        <f t="shared" si="206"/>
        <v>516.34976786017171</v>
      </c>
      <c r="GH264" s="124">
        <v>1</v>
      </c>
      <c r="GI264" s="102">
        <f>$GG264*EA264*'Feedstock Conversion Rates'!$B$2</f>
        <v>16.335503825434156</v>
      </c>
      <c r="GJ264" s="102">
        <f>$GG264*EB264*'Feedstock Conversion Rates'!$B$3</f>
        <v>785.55025487123658</v>
      </c>
      <c r="GK264" s="102">
        <f>$GG264*EC264*'Feedstock Conversion Rates'!$B$4</f>
        <v>2399.6301057418646</v>
      </c>
      <c r="GL264" s="102">
        <f>$GG264*ED264*'Feedstock Conversion Rates'!$B$5</f>
        <v>107.11154563267937</v>
      </c>
      <c r="GM264" s="102">
        <f>$GG264*EE264*'Feedstock Conversion Rates'!$B$6</f>
        <v>406.07372933466763</v>
      </c>
      <c r="GN264" s="102">
        <f>$GG264*EF264*'Feedstock Conversion Rates'!$B$7</f>
        <v>315.04544158000459</v>
      </c>
      <c r="GO264" s="102">
        <f>$GG264*EG264*'Feedstock Conversion Rates'!$B$8</f>
        <v>39.659503123680409</v>
      </c>
      <c r="GP264" s="102">
        <f>$GG264*EH264*'Feedstock Conversion Rates'!B$9</f>
        <v>4.1925760445033573</v>
      </c>
      <c r="GQ264" s="102">
        <f t="shared" si="180"/>
        <v>4073.5986601540699</v>
      </c>
      <c r="GR264" s="85">
        <f t="shared" si="204"/>
        <v>7.889223378632769</v>
      </c>
      <c r="GT264" s="103">
        <f t="shared" si="254"/>
        <v>4.010091613889208E-3</v>
      </c>
      <c r="GU264" s="103">
        <f t="shared" si="254"/>
        <v>0.19283938365237127</v>
      </c>
      <c r="GV264" s="103">
        <f t="shared" si="254"/>
        <v>0.58906885678598153</v>
      </c>
      <c r="GW264" s="103">
        <f t="shared" si="254"/>
        <v>2.6294084068809131E-2</v>
      </c>
      <c r="GX264" s="103">
        <f t="shared" si="253"/>
        <v>9.9684275062902047E-2</v>
      </c>
      <c r="GY264" s="103">
        <f t="shared" si="253"/>
        <v>7.7338360467766112E-2</v>
      </c>
      <c r="GZ264" s="103">
        <f t="shared" si="253"/>
        <v>9.7357414002538032E-3</v>
      </c>
      <c r="HA264" s="103">
        <f t="shared" si="251"/>
        <v>1.0292069480268308E-3</v>
      </c>
    </row>
    <row r="265" spans="1:209" x14ac:dyDescent="0.25">
      <c r="A265" s="96">
        <v>48488</v>
      </c>
      <c r="B265" s="104">
        <f>61+88+162+33.5-22-4-8.5-18-31-70-23-58+40-35+20-3-15-60-40-1-1+35+30+3+28+7.5+1-3-1.5+9.5+10-30-103-1+300+100-100-120-100</f>
        <v>80.5</v>
      </c>
      <c r="C265" s="112">
        <f t="shared" si="246"/>
        <v>0.5</v>
      </c>
      <c r="D265" s="104">
        <f t="shared" si="242"/>
        <v>2</v>
      </c>
      <c r="E265" s="104">
        <f>('Renewable Diesel'!B274*E$3*'Feedstock Conversion Rates'!$B$2)/12-57.5+8+12.5+52.5-76+18+23+45+50-2.5-3-28-2-9.5+30-40+26+0.5-20-15+50-147+100</f>
        <v>104.93</v>
      </c>
      <c r="F265" s="104">
        <f>('Renewable Diesel'!B274*'RD Feedstock Breakdown'!F$3*'Feedstock Conversion Rates'!B$8)/12-13.5+1.5-2+36-10+10-61+25+8+1-29+1.5-15</f>
        <v>6.40625</v>
      </c>
      <c r="G265" s="104">
        <f>('Renewable Diesel'!B274*'RD Feedstock Breakdown'!G$3*'Feedstock Conversion Rates'!B$7)/12-25-15-25+4+4-20-40-20+10-17.5+20+50-12+32.5+35-75-75+22.5+5-20+15+125-10-60+5-85+45</f>
        <v>49.657000000000011</v>
      </c>
      <c r="H265" s="104">
        <f>('Renewable Diesel'!B274*'RD Feedstock Breakdown'!H$3*'Feedstock Conversion Rates'!B$3)/12-85+4-15+70-65-80+50-22.5-5+25+27.5+15+50+15-10+5+50+75-5-25-85-12.5+30+22.5-25-30+150+90-120+25+10+20+85-30-45-50+147-100-300+100+120</f>
        <v>252.40022499999998</v>
      </c>
      <c r="I265" s="106">
        <f t="shared" si="203"/>
        <v>496.39347499999997</v>
      </c>
      <c r="J265" s="104">
        <f>87-50+15+53+55-6+84+19-11-40-29-30-13-50-7+30+25+15-7.5-45-10-1-55+5+15+18+90-5+15+5-100-70+11+40-24-14-5-9.5+100</f>
        <v>100</v>
      </c>
      <c r="K265" s="104"/>
      <c r="L265" s="104">
        <v>1</v>
      </c>
      <c r="M265" s="104">
        <f>('Renewable Diesel'!C274*'RD Feedstock Breakdown'!M$3*'Feedstock Conversion Rates'!B$2)/12</f>
        <v>7.7902500000000003</v>
      </c>
      <c r="N265" s="104">
        <f>('Renewable Diesel'!C274*'RD Feedstock Breakdown'!N$3*'Feedstock Conversion Rates'!B$8)/12</f>
        <v>3.671875</v>
      </c>
      <c r="O265" s="104">
        <f>('Renewable Diesel'!C274*'RD Feedstock Breakdown'!O$3*'Feedstock Conversion Rates'!B$7)/12</f>
        <v>11.9991</v>
      </c>
      <c r="P265" s="104">
        <f>('Renewable Diesel'!C274*'RD Feedstock Breakdown'!P$3*'Feedstock Conversion Rates'!B$3)/12</f>
        <v>10.4470425</v>
      </c>
      <c r="Q265" s="106">
        <f t="shared" si="216"/>
        <v>134.90826749999999</v>
      </c>
      <c r="R265" s="104">
        <f>('Renewable Diesel'!D274*'RD Feedstock Breakdown'!R$3*'Feedstock Conversion Rates'!B$7)/12</f>
        <v>2.2999999999999998</v>
      </c>
      <c r="S265" s="106">
        <f t="shared" si="249"/>
        <v>2.2999999999999998</v>
      </c>
      <c r="T265" s="104">
        <f t="shared" si="221"/>
        <v>0.82500000000000284</v>
      </c>
      <c r="U265" s="104">
        <v>30</v>
      </c>
      <c r="V265" s="104">
        <f>('Renewable Diesel'!E274*'RD Feedstock Breakdown'!V$3*'Feedstock Conversion Rates'!B$6)/12-20+25-35+15</f>
        <v>29.250150000000012</v>
      </c>
      <c r="W265" s="104">
        <f>('Renewable Diesel'!E274*'RD Feedstock Breakdown'!W$3*'Feedstock Conversion Rates'!B$8)/12-6-10</f>
        <v>6.1796875</v>
      </c>
      <c r="X265" s="106">
        <f t="shared" si="185"/>
        <v>66.254837500000008</v>
      </c>
      <c r="Y265" s="104">
        <f>142-15-5-24-75+30+45-52.5+87.5-80+55+10+20+17-2-7</f>
        <v>146</v>
      </c>
      <c r="Z265" s="104">
        <f>('Renewable Diesel'!F274*'RD Feedstock Breakdown'!Z$3*'Feedstock Conversion Rates'!B$6)/12-142+15+5+75-45+52.5-87.5+80-10-20-17+2+7</f>
        <v>74.460000000000008</v>
      </c>
      <c r="AA265" s="104">
        <f>('Renewable Diesel'!F274*'RD Feedstock Breakdown'!AA$3*'Feedstock Conversion Rates'!B$7)/12+24-30-55</f>
        <v>43.266666666666652</v>
      </c>
      <c r="AB265" s="106">
        <f t="shared" si="235"/>
        <v>263.72666666666669</v>
      </c>
      <c r="AC265" s="104">
        <f>('Renewable Diesel'!G274*'RD Feedstock Breakdown'!AC$3*'Feedstock Conversion Rates'!B$5)/12</f>
        <v>11.796875</v>
      </c>
      <c r="AD265" s="104">
        <f>('Renewable Diesel'!G274*'RD Feedstock Breakdown'!AD$3*'Feedstock Conversion Rates'!B$4)/12</f>
        <v>5.859375</v>
      </c>
      <c r="AE265" s="104">
        <f>('Renewable Diesel'!G274*'RD Feedstock Breakdown'!AE$3*'Feedstock Conversion Rates'!B$6)/12</f>
        <v>7.3281250000000009</v>
      </c>
      <c r="AF265" s="106">
        <f t="shared" si="198"/>
        <v>24.984375</v>
      </c>
      <c r="AG265" s="104">
        <f t="shared" si="230"/>
        <v>6.5</v>
      </c>
      <c r="AH265" s="104">
        <v>135</v>
      </c>
      <c r="AI265" s="104">
        <f>('Renewable Diesel'!H274*'RD Feedstock Breakdown'!AI$3*'Feedstock Conversion Rates'!B$6)/12-130-20+51-120+105-37.5+10</f>
        <v>7.0166666666666799</v>
      </c>
      <c r="AJ265" s="106">
        <f t="shared" si="248"/>
        <v>13.51666666666668</v>
      </c>
      <c r="AK265" s="104">
        <f>('Renewable Diesel'!J274*'RD Feedstock Breakdown'!AK$3*'Feedstock Conversion Rates'!B$4)/12</f>
        <v>95.8125</v>
      </c>
      <c r="AL265" s="106">
        <f t="shared" si="252"/>
        <v>95.8125</v>
      </c>
      <c r="AM265" s="104">
        <f>('Renewable Diesel'!K274*'RD Feedstock Breakdown'!AM$3*'Feedstock Conversion Rates'!B$4)/12+5+15-10+5-26</f>
        <v>47.59375</v>
      </c>
      <c r="AN265" s="104">
        <f>('Renewable Diesel'!K274*'RD Feedstock Breakdown'!AN$3*'Feedstock Conversion Rates'!B$6)/12-5-15+10-5+26</f>
        <v>35.427083333333329</v>
      </c>
      <c r="AO265" s="106">
        <f t="shared" si="173"/>
        <v>83.020833333333329</v>
      </c>
      <c r="AP265" s="104">
        <f>('Renewable Diesel'!L274*'RD Feedstock Breakdown'!AP$3*'Feedstock Conversion Rates'!B$4)/12+15-10+10+2.5</f>
        <v>76.09375</v>
      </c>
      <c r="AQ265" s="104">
        <f>('Renewable Diesel'!L274*'RD Feedstock Breakdown'!AQ$3*'Feedstock Conversion Rates'!B$6)/12-15+10-10-2.5</f>
        <v>6.9270833333333321</v>
      </c>
      <c r="AR265" s="106">
        <f t="shared" ref="AR265:AR328" si="256">SUM(AP265:AQ265)</f>
        <v>83.020833333333329</v>
      </c>
      <c r="AS265" s="104">
        <f>('Renewable Diesel'!M274*'RD Feedstock Breakdown'!AS$3*'Feedstock Conversion Rates'!B$4)/12-25-50</f>
        <v>381.25</v>
      </c>
      <c r="AT265" s="104">
        <f>('Renewable Diesel'!M274*'RD Feedstock Breakdown'!AT$3*'Feedstock Conversion Rates'!B$5)/12+25+50</f>
        <v>75</v>
      </c>
      <c r="AU265" s="106">
        <f t="shared" si="201"/>
        <v>456.25</v>
      </c>
      <c r="AV265" s="104">
        <f>'Renewable Diesel'!N274*'RD Feedstock Breakdown'!$AV$3*'Feedstock Conversion Rates'!$B$4/12-15-10+25+25-22+15-68+11</f>
        <v>39.749999999999986</v>
      </c>
      <c r="AW265" s="104">
        <f>'Renewable Diesel'!N274*'RD Feedstock Breakdown'!$AW$3*'Feedstock Conversion Rates'!$B$7/12+15+10-25-25+22-15+68-11</f>
        <v>80.400000000000006</v>
      </c>
      <c r="AX265" s="106">
        <f t="shared" si="239"/>
        <v>120.14999999999999</v>
      </c>
      <c r="AY265" s="104">
        <f>('Renewable Diesel'!O274*'RD Feedstock Breakdown'!AY$3*'Feedstock Conversion Rates'!B$4)/12-100-160-10-78</f>
        <v>-137.0625</v>
      </c>
      <c r="AZ265" s="104">
        <f>('Renewable Diesel'!O274*'RD Feedstock Breakdown'!AZ$3*'Feedstock Conversion Rates'!B$3)/12+100+160+10+78</f>
        <v>373.03125</v>
      </c>
      <c r="BA265" s="106">
        <f t="shared" si="217"/>
        <v>235.96875</v>
      </c>
      <c r="BB265" s="104">
        <f>('Renewable Diesel'!Q274*'RD Feedstock Breakdown'!BB$3*'Feedstock Conversion Rates'!B$4)/12</f>
        <v>11.156249999999998</v>
      </c>
      <c r="BC265" s="104">
        <f>('Renewable Diesel'!Q274*'RD Feedstock Breakdown'!BC$3*'Feedstock Conversion Rates'!B$3)/12</f>
        <v>1.4017500000000001</v>
      </c>
      <c r="BD265" s="104">
        <f>('Renewable Diesel'!Q274*'RD Feedstock Breakdown'!BD$3*'Feedstock Conversion Rates'!B$6)/12</f>
        <v>0.8207500000000002</v>
      </c>
      <c r="BE265" s="106">
        <f t="shared" si="189"/>
        <v>13.378749999999998</v>
      </c>
      <c r="BF265" s="104">
        <f>('Renewable Diesel'!R274*'RD Feedstock Breakdown'!BF$3*'Feedstock Conversion Rates'!B$4)/12</f>
        <v>62.5</v>
      </c>
      <c r="BG265" s="106">
        <f t="shared" si="167"/>
        <v>62.5</v>
      </c>
      <c r="BH265" s="104">
        <f>('Renewable Diesel'!T274*'RD Feedstock Breakdown'!BH$3*'Feedstock Conversion Rates'!B$7)/12</f>
        <v>27.599999999999998</v>
      </c>
      <c r="BI265" s="106">
        <f t="shared" si="243"/>
        <v>27.599999999999998</v>
      </c>
      <c r="BJ265" s="104">
        <f>('Renewable Diesel'!W274*'RD Feedstock Breakdown'!BJ$3*'Feedstock Conversion Rates'!B$4)/12</f>
        <v>7.5</v>
      </c>
      <c r="BK265" s="104">
        <f>('Renewable Diesel'!W274*'RD Feedstock Breakdown'!BK$3*'Feedstock Conversion Rates'!B$3)/12</f>
        <v>1.335</v>
      </c>
      <c r="BL265" s="104">
        <f>('Renewable Diesel'!W274*'RD Feedstock Breakdown'!BL$3*'Feedstock Conversion Rates'!B$6)/12</f>
        <v>3.1266666666666669</v>
      </c>
      <c r="BM265" s="104">
        <f>('Renewable Diesel'!W274*'RD Feedstock Breakdown'!BM$3*'Feedstock Conversion Rates'!B$7)/12</f>
        <v>1.5333333333333332</v>
      </c>
      <c r="BN265" s="106">
        <f t="shared" si="209"/>
        <v>13.495000000000001</v>
      </c>
      <c r="BO265" s="104">
        <f>('Renewable Diesel'!P274*'Feedstock Conversion Rates'!B$4)/12</f>
        <v>31.25</v>
      </c>
      <c r="BP265" s="106">
        <f t="shared" si="199"/>
        <v>31.25</v>
      </c>
      <c r="BQ265" s="104">
        <f>('Renewable Diesel'!$S274*'RD Feedstock Breakdown'!BQ$3*'Feedstock Conversion Rates'!B$4)/12+10</f>
        <v>38.125</v>
      </c>
      <c r="BR265" s="104">
        <f>('Renewable Diesel'!$S274*'RD Feedstock Breakdown'!BR$3*'Feedstock Conversion Rates'!B$7)/12-10</f>
        <v>1.5</v>
      </c>
      <c r="BS265" s="106">
        <f t="shared" si="222"/>
        <v>39.625</v>
      </c>
      <c r="BT265" s="106"/>
      <c r="BU265" s="104">
        <f>('Renewable Diesel'!Y274*'Feedstock Conversion Rates'!B$7)/12</f>
        <v>2.6833333333333331</v>
      </c>
      <c r="BV265" s="106">
        <f t="shared" si="191"/>
        <v>2.6833333333333331</v>
      </c>
      <c r="BW265" s="104">
        <f>('Renewable Diesel'!$Z274*'RD Feedstock Breakdown'!BW$3*'Feedstock Conversion Rates'!$B$4)/12</f>
        <v>71.875</v>
      </c>
      <c r="BX265" s="104">
        <f>('Renewable Diesel'!$Z274*'RD Feedstock Breakdown'!BX$3*'Feedstock Conversion Rates'!$B$5)/12</f>
        <v>7.2354166666666666</v>
      </c>
      <c r="BY265" s="104">
        <f>('Renewable Diesel'!$Z274*'RD Feedstock Breakdown'!BY$3*'Feedstock Conversion Rates'!$B$7)/12</f>
        <v>61.716666666666661</v>
      </c>
      <c r="BZ265" s="104">
        <f>('Renewable Diesel'!$Z274*'RD Feedstock Breakdown'!BZ$3*'Feedstock Conversion Rates'!$B$3)/12</f>
        <v>15.352499999999999</v>
      </c>
      <c r="CA265" s="106">
        <f t="shared" si="228"/>
        <v>156.17958333333331</v>
      </c>
      <c r="CB265" s="104">
        <f>('Renewable Diesel'!AA274*'Feedstock Conversion Rates'!B$4)/12</f>
        <v>191.25</v>
      </c>
      <c r="CC265" s="106">
        <f t="shared" si="213"/>
        <v>191.25</v>
      </c>
      <c r="CD265" s="104">
        <f>('Renewable Diesel'!$AB274*'RD Feedstock Breakdown'!CD$3*'Feedstock Conversion Rates'!$B$6)/12-15-5+5</f>
        <v>17.830000000000005</v>
      </c>
      <c r="CE265" s="104">
        <f>('Renewable Diesel'!$AB274*'RD Feedstock Breakdown'!CE$3*'Feedstock Conversion Rates'!$B$4)/12+15+5-5</f>
        <v>26.25</v>
      </c>
      <c r="CF265" s="106">
        <f t="shared" si="205"/>
        <v>44.080000000000005</v>
      </c>
      <c r="CG265" s="104">
        <f>('Renewable Diesel'!AD274*'Feedstock Conversion Rates'!B$4)/12</f>
        <v>112.5</v>
      </c>
      <c r="CH265" s="106">
        <f t="shared" si="187"/>
        <v>112.5</v>
      </c>
      <c r="CI265" s="104">
        <f>('Renewable Diesel'!$AE274*'RD Feedstock Breakdown'!CI$3*'Feedstock Conversion Rates'!$B$5)/12</f>
        <v>0.34604166666666664</v>
      </c>
      <c r="CJ265" s="104">
        <f>('Renewable Diesel'!$AE274*'RD Feedstock Breakdown'!CJ$3*'Feedstock Conversion Rates'!$B$4)/12</f>
        <v>0.34375</v>
      </c>
      <c r="CK265" s="106">
        <f t="shared" si="200"/>
        <v>0.68979166666666658</v>
      </c>
      <c r="CL265" s="104">
        <f>(((CL$3*'Renewable Diesel'!$AF274)*'Feedstock Conversion Rates'!$B$3)/12)-25</f>
        <v>66.78125</v>
      </c>
      <c r="CM265" s="104">
        <f>(((CM$3*'Renewable Diesel'!$AF274)*'Feedstock Conversion Rates'!$B$6)/12)+25</f>
        <v>78.739583333333343</v>
      </c>
      <c r="CN265" s="104">
        <f>(((CN$3*'Renewable Diesel'!$AF274)*'Feedstock Conversion Rates'!$B$4)/12)</f>
        <v>42.96875</v>
      </c>
      <c r="CO265" s="106">
        <f t="shared" si="190"/>
        <v>188.48958333333334</v>
      </c>
      <c r="CP265" s="104">
        <f>('Renewable Diesel'!$AG274*'RD Feedstock Breakdown'!CP$3*'Feedstock Conversion Rates'!$B$3)/12</f>
        <v>6.0075000000000003</v>
      </c>
      <c r="CQ265" s="104">
        <f>('Renewable Diesel'!$AG274*'RD Feedstock Breakdown'!CQ$3*'Feedstock Conversion Rates'!$B$6)/12</f>
        <v>3.5175000000000001</v>
      </c>
      <c r="CR265" s="104">
        <f>('Renewable Diesel'!$AG274*'RD Feedstock Breakdown'!CR$3*'Feedstock Conversion Rates'!$B$4)/12</f>
        <v>2.8125</v>
      </c>
      <c r="CS265" s="106">
        <f t="shared" si="231"/>
        <v>12.3375</v>
      </c>
      <c r="CT265" s="104">
        <f>('Renewable Diesel'!AI274*'Feedstock Conversion Rates'!$B$4*'RD Feedstock Breakdown'!$CT$3)/12</f>
        <v>29.375</v>
      </c>
      <c r="CU265" s="106">
        <f t="shared" si="196"/>
        <v>29.375</v>
      </c>
      <c r="CV265" s="104">
        <f>('Renewable Diesel'!AN274*'Feedstock Conversion Rates'!$B$3*'RD Feedstock Breakdown'!$CV$3)/12</f>
        <v>0.50062499999999999</v>
      </c>
      <c r="CW265" s="106">
        <f t="shared" si="255"/>
        <v>0.50062499999999999</v>
      </c>
      <c r="CX265" s="104">
        <f>('Renewable Diesel'!AO274*'RD Feedstock Breakdown'!$CX$3*'Feedstock Conversion Rates'!$B$3)/12</f>
        <v>6.3412499999999996</v>
      </c>
      <c r="CY265" s="104">
        <f>('Renewable Diesel'!AO274*'RD Feedstock Breakdown'!$CY$3*'Feedstock Conversion Rates'!$B$6)/12</f>
        <v>7.4258333333333342</v>
      </c>
      <c r="CZ265" s="106">
        <f t="shared" si="233"/>
        <v>13.767083333333334</v>
      </c>
      <c r="DA265" s="104">
        <f>('Renewable Diesel'!$AP274*'RD Feedstock Breakdown'!DA$3*'Feedstock Conversion Rates'!$B$3)/12</f>
        <v>6.3412499999999996</v>
      </c>
      <c r="DB265" s="104">
        <f>('Renewable Diesel'!$AP274*'RD Feedstock Breakdown'!DB$3*'Feedstock Conversion Rates'!$B$8)/12</f>
        <v>7.421875</v>
      </c>
      <c r="DC265" s="106">
        <f t="shared" si="165"/>
        <v>13.763124999999999</v>
      </c>
      <c r="DD265" s="104">
        <f>('Renewable Diesel'!AQ274*$DD$3*'Feedstock Conversion Rates'!$B$14)/12</f>
        <v>3.1041666666666665</v>
      </c>
      <c r="DE265" s="106">
        <f t="shared" si="166"/>
        <v>3.1041666666666665</v>
      </c>
      <c r="DF265" s="104">
        <f>('Renewable Diesel'!AR274*'Feedstock Conversion Rates'!$B$4*$DF$3)/12</f>
        <v>75</v>
      </c>
      <c r="DG265" s="106">
        <f t="shared" si="234"/>
        <v>75</v>
      </c>
      <c r="DH265" s="104">
        <f>('Renewable Diesel'!AS274*'Feedstock Conversion Rates'!$B$4*$DH$3)/12</f>
        <v>75</v>
      </c>
      <c r="DI265" s="106">
        <f t="shared" si="240"/>
        <v>75</v>
      </c>
      <c r="DJ265" s="104">
        <f>('Renewable Diesel'!AT274*'Feedstock Conversion Rates'!$B$4*0.25)/12</f>
        <v>8.59375</v>
      </c>
      <c r="DK265" s="104">
        <f>('Renewable Diesel'!$AT274*'RD Feedstock Breakdown'!DK$3*'Feedstock Conversion Rates'!$B$3)/12*0.5</f>
        <v>9.1781249999999996</v>
      </c>
      <c r="DL265" s="104">
        <f>('Renewable Diesel'!$AT274*'RD Feedstock Breakdown'!$DL$3*'Feedstock Conversion Rates'!$B$6)/12</f>
        <v>10.747916666666669</v>
      </c>
      <c r="DM265" s="104">
        <f>('Renewable Diesel'!$AT274*'RD Feedstock Breakdown'!$DM$3*'Feedstock Conversion Rates'!$B$8)/12</f>
        <v>10.7421875</v>
      </c>
      <c r="DN265" s="106">
        <f t="shared" si="210"/>
        <v>39.26197916666667</v>
      </c>
      <c r="DP265" s="104">
        <f t="shared" si="168"/>
        <v>112.72025000000001</v>
      </c>
      <c r="DQ265" s="104">
        <f t="shared" si="169"/>
        <v>749.11776750000001</v>
      </c>
      <c r="DR265" s="104">
        <f t="shared" si="174"/>
        <v>1778.703125</v>
      </c>
      <c r="DS265" s="104">
        <f t="shared" si="197"/>
        <v>113.90125</v>
      </c>
      <c r="DT265" s="104">
        <f t="shared" si="170"/>
        <v>290.03923333333341</v>
      </c>
      <c r="DU265" s="104">
        <f t="shared" si="171"/>
        <v>282.65609999999998</v>
      </c>
      <c r="DV265" s="104">
        <f t="shared" si="175"/>
        <v>27</v>
      </c>
      <c r="DW265" s="104">
        <f t="shared" si="172"/>
        <v>3</v>
      </c>
      <c r="DX265" s="106">
        <f t="shared" si="176"/>
        <v>3357.1377258333337</v>
      </c>
      <c r="DY265" s="109">
        <f t="shared" ref="DY265:DY328" si="257">I265+Q265+S265+X265+AB265+AF265+AJ265+AL265+AO265+AR265+AU265+AX265+BA265+BE265+BG265+BI265+BN265-DX265+BP265+BS265+BV265+CA265+CC265+CF265+CH265+CK265+CO265+CS265+CU265+CW265+CZ265+DN265+DG265+DI265+DE265+DC265</f>
        <v>-135.00000000000048</v>
      </c>
      <c r="EA265" s="110">
        <f t="shared" si="250"/>
        <v>3.357629600138605E-2</v>
      </c>
      <c r="EB265" s="110">
        <f t="shared" si="250"/>
        <v>0.22314180372628248</v>
      </c>
      <c r="EC265" s="110">
        <f t="shared" si="250"/>
        <v>0.52982727259379181</v>
      </c>
      <c r="ED265" s="110">
        <f t="shared" si="250"/>
        <v>3.3928083773127476E-2</v>
      </c>
      <c r="EE265" s="110">
        <f t="shared" si="250"/>
        <v>8.6394797300530082E-2</v>
      </c>
      <c r="EF265" s="110">
        <f t="shared" si="250"/>
        <v>8.4195562733380858E-2</v>
      </c>
      <c r="EG265" s="110">
        <f t="shared" si="250"/>
        <v>8.042565484351066E-3</v>
      </c>
      <c r="EH265" s="111">
        <f t="shared" si="177"/>
        <v>8.9361838715011838E-4</v>
      </c>
      <c r="EI265" s="110">
        <f t="shared" si="236"/>
        <v>0.99910638161284993</v>
      </c>
      <c r="EK265" s="132">
        <f>(EA265*'Renewable Diesel'!BF274*'Feedstock Conversion Rates'!B$2)+FB265</f>
        <v>470.4866299166784</v>
      </c>
      <c r="EL265" s="132">
        <f>(EB265*'Renewable Diesel'!BF274*'Feedstock Conversion Rates'!B$3)+FC265</f>
        <v>2946.5175430247623</v>
      </c>
      <c r="EM265" s="132">
        <f>(EC265*'Renewable Diesel'!BF274*'Feedstock Conversion Rates'!B$4)+FD265</f>
        <v>6550.7518592959714</v>
      </c>
      <c r="EN265" s="132">
        <f>(ED265*'Renewable Diesel'!BF274*'Feedstock Conversion Rates'!B$5)+FE265</f>
        <v>422.28130905678415</v>
      </c>
      <c r="EO265" s="132">
        <f>(EE265*'Renewable Diesel'!BF274*'Feedstock Conversion Rates'!B$6)+FF265</f>
        <v>1335.9370798964787</v>
      </c>
      <c r="EP265" s="132">
        <f>(EF265*'Renewable Diesel'!BF274*'Feedstock Conversion Rates'!B$7)+FG265</f>
        <v>1276.9462206213038</v>
      </c>
      <c r="EQ265" s="132">
        <f>(EG265*'Renewable Diesel'!BF274*'Feedstock Conversion Rates'!B$8)+FH265</f>
        <v>124.29723214841658</v>
      </c>
      <c r="ER265" s="132">
        <f>(EH265*'Renewable Diesel'!BF274*'Feedstock Conversion Rates'!B$9)+FI265</f>
        <v>13.626659524419001</v>
      </c>
      <c r="ES265" s="132">
        <f t="shared" si="179"/>
        <v>13140.844533484815</v>
      </c>
      <c r="ET265" s="133">
        <f>ES265/'Renewable Diesel'!BF274</f>
        <v>15.322286310952574</v>
      </c>
      <c r="EW265" s="73">
        <f t="shared" si="223"/>
        <v>10318.412326546168</v>
      </c>
      <c r="EX265" s="73">
        <f t="shared" si="224"/>
        <v>9126.8776845391658</v>
      </c>
      <c r="EY265" s="92">
        <f t="shared" ref="EY265:EZ328" si="258">EW265/$ES265</f>
        <v>0.78521683292526046</v>
      </c>
      <c r="EZ265" s="92">
        <f t="shared" si="258"/>
        <v>0.69454270319403988</v>
      </c>
      <c r="FB265" s="102">
        <f>IF('Renewable Diesel'!$BG274&lt;1,0,(((('Renewable Diesel'!$BG274-1)*'Renewable Diesel'!$BF274)*'RD Feedstock Breakdown'!EA265)*'Feedstock Conversion Rates'!$B$2))</f>
        <v>225.72044731915855</v>
      </c>
      <c r="FC265" s="102">
        <f>IF('Renewable Diesel'!$BG274&lt;1,0,(((('Renewable Diesel'!$BG274-1)*'Renewable Diesel'!$BF274)*'RD Feedstock Breakdown'!EB265)*'Feedstock Conversion Rates'!$B$3))</f>
        <v>1413.6198896089404</v>
      </c>
      <c r="FD265" s="102">
        <f>IF('Renewable Diesel'!$BG274&lt;1,0,(((('Renewable Diesel'!$BG274-1)*'Renewable Diesel'!$BF274)*'RD Feedstock Breakdown'!EC265)*'Feedstock Conversion Rates'!$B$4))</f>
        <v>3142.7856732484793</v>
      </c>
      <c r="FE265" s="102">
        <f>IF('Renewable Diesel'!$BG274&lt;1,0,(((('Renewable Diesel'!$BG274-1)*'Renewable Diesel'!$BF274)*'RD Feedstock Breakdown'!ED265)*'Feedstock Conversion Rates'!$B$5))</f>
        <v>202.59348494493366</v>
      </c>
      <c r="FF265" s="102">
        <f>IF('Renewable Diesel'!$BG274&lt;1,0,(((('Renewable Diesel'!$BG274-1)*'Renewable Diesel'!$BF274)*'RD Feedstock Breakdown'!EE265)*'Feedstock Conversion Rates'!$B$6))</f>
        <v>640.92855373570728</v>
      </c>
      <c r="FG265" s="102">
        <f>IF('Renewable Diesel'!$BG274&lt;1,0,(((('Renewable Diesel'!$BG274-1)*'Renewable Diesel'!$BF274)*'RD Feedstock Breakdown'!EF265)*'Feedstock Conversion Rates'!$B$7))</f>
        <v>612.62712645457054</v>
      </c>
      <c r="FH265" s="102">
        <f>IF('Renewable Diesel'!$BG274&lt;1,0,(((('Renewable Diesel'!$BG274-1)*'Renewable Diesel'!$BF274)*'RD Feedstock Breakdown'!EG265)*'Feedstock Conversion Rates'!$B$8))</f>
        <v>59.632782436437324</v>
      </c>
      <c r="FI265" s="102">
        <f>IF('Renewable Diesel'!$BG274&lt;1,0,(((('Renewable Diesel'!$BG274-1)*'Renewable Diesel'!$BF274)*'RD Feedstock Breakdown'!EH265)*'Feedstock Conversion Rates'!$B$9))</f>
        <v>6.5375198522909059</v>
      </c>
      <c r="FJ265" s="102">
        <f t="shared" si="225"/>
        <v>6304.4454776005177</v>
      </c>
      <c r="GD265" s="91">
        <f>'Renewable Diesel'!BB274*0.32</f>
        <v>0</v>
      </c>
      <c r="GE265" s="91">
        <f>'Renewable Diesel'!BC274</f>
        <v>503.93879168250572</v>
      </c>
      <c r="GF265" s="91">
        <f>'Renewable Diesel'!BD274</f>
        <v>0</v>
      </c>
      <c r="GG265" s="91">
        <f t="shared" si="206"/>
        <v>503.93879168250572</v>
      </c>
      <c r="GH265" s="124">
        <v>1</v>
      </c>
      <c r="GI265" s="102">
        <f>$GG265*EA265*'Feedstock Conversion Rates'!$B$2</f>
        <v>143.8233833069574</v>
      </c>
      <c r="GJ265" s="102">
        <f>$GG265*EB265*'Feedstock Conversion Rates'!$B$3</f>
        <v>900.72298565885797</v>
      </c>
      <c r="GK265" s="102">
        <f>$GG265*EC265*'Feedstock Conversion Rates'!$B$4</f>
        <v>2002.5038666351477</v>
      </c>
      <c r="GL265" s="102">
        <f>$GG265*ED265*'Feedstock Conversion Rates'!$B$5</f>
        <v>129.08746543253181</v>
      </c>
      <c r="GM265" s="102">
        <f>$GG265*EE265*'Feedstock Conversion Rates'!$B$6</f>
        <v>408.3835299420852</v>
      </c>
      <c r="GN265" s="102">
        <f>$GG265*EF265*'Feedstock Conversion Rates'!$B$7</f>
        <v>390.35057336977468</v>
      </c>
      <c r="GO265" s="102">
        <f>$GG265*EG265*'Feedstock Conversion Rates'!$B$8</f>
        <v>37.996506864480963</v>
      </c>
      <c r="GP265" s="102">
        <f>$GG265*EH265*'Feedstock Conversion Rates'!B$9</f>
        <v>4.1655429747727268</v>
      </c>
      <c r="GQ265" s="102">
        <f t="shared" si="180"/>
        <v>4017.0338541846081</v>
      </c>
      <c r="GR265" s="85">
        <f t="shared" si="204"/>
        <v>7.9712733381228604</v>
      </c>
      <c r="GT265" s="103">
        <f t="shared" si="254"/>
        <v>3.5803378444803066E-2</v>
      </c>
      <c r="GU265" s="103">
        <f t="shared" si="254"/>
        <v>0.22422588864182971</v>
      </c>
      <c r="GV265" s="103">
        <f t="shared" si="254"/>
        <v>0.49850310934001896</v>
      </c>
      <c r="GW265" s="103">
        <f t="shared" si="254"/>
        <v>3.2135020544588971E-2</v>
      </c>
      <c r="GX265" s="103">
        <f t="shared" si="253"/>
        <v>0.10166295449978985</v>
      </c>
      <c r="GY265" s="103">
        <f t="shared" si="253"/>
        <v>9.7173832120717674E-2</v>
      </c>
      <c r="GZ265" s="103">
        <f t="shared" si="253"/>
        <v>9.4588465628437247E-3</v>
      </c>
      <c r="HA265" s="103">
        <f t="shared" si="251"/>
        <v>1.0369698454080526E-3</v>
      </c>
    </row>
    <row r="266" spans="1:209" x14ac:dyDescent="0.25">
      <c r="A266" s="96">
        <v>48519</v>
      </c>
      <c r="B266" s="104">
        <f>61+88+162+33.5-22-4-8.5-18-31-70-23-58+40-35+20-3-15-60-40-1-1+35+30+3+28+7.5+1-3-1.5+9.5+10-30-103-1+300+100-100-120</f>
        <v>180.5</v>
      </c>
      <c r="C266" s="112">
        <f t="shared" si="246"/>
        <v>0.5</v>
      </c>
      <c r="D266" s="104">
        <f t="shared" si="242"/>
        <v>2</v>
      </c>
      <c r="E266" s="104">
        <f>('Renewable Diesel'!B275*E$3*'Feedstock Conversion Rates'!$B$2)/12-57.5+8+12.5+52.5-76+18+23+45+50-2.5-3-28-2-9.5+30-40+26+0.5-20-15+50-147</f>
        <v>4.9300000000000068</v>
      </c>
      <c r="F266" s="104">
        <f>('Renewable Diesel'!B275*'RD Feedstock Breakdown'!F$3*'Feedstock Conversion Rates'!B$8)/12-13.5+1.5-2+36-10+10-61+25+8+1-29+1.5-15</f>
        <v>6.40625</v>
      </c>
      <c r="G266" s="104">
        <f>('Renewable Diesel'!B275*'RD Feedstock Breakdown'!G$3*'Feedstock Conversion Rates'!B$7)/12-25-15-25+4+4-20-40-20+10-17.5+20+50-12+32.5+35-75-75+22.5+5-20+15+125-10-60+5-85+45</f>
        <v>49.657000000000011</v>
      </c>
      <c r="H266" s="104">
        <f>('Renewable Diesel'!B275*'RD Feedstock Breakdown'!H$3*'Feedstock Conversion Rates'!B$3)/12-85+4-15+70-65-80+50-22.5-5+25+27.5+15+50+15-10+5+50+75-5-25-85-12.5+30+22.5-25-30+150+90-120+25+10+20+85-30-45-50+147-100-300+100+120</f>
        <v>252.40022499999998</v>
      </c>
      <c r="I266" s="106">
        <f t="shared" si="203"/>
        <v>496.39347499999997</v>
      </c>
      <c r="J266" s="104">
        <f>87-50+15+53+55-6+84+19-11-40-29-30-13-50-7+30+25+15-7.5-45-10-1-55+5+15+18+90-5+15+5-100-70+11+40-24-14-5-9.5</f>
        <v>0</v>
      </c>
      <c r="K266" s="104"/>
      <c r="L266" s="104">
        <v>1</v>
      </c>
      <c r="M266" s="104">
        <f>('Renewable Diesel'!C275*'RD Feedstock Breakdown'!M$3*'Feedstock Conversion Rates'!B$2)/12</f>
        <v>7.7902500000000003</v>
      </c>
      <c r="N266" s="104">
        <f>('Renewable Diesel'!C275*'RD Feedstock Breakdown'!N$3*'Feedstock Conversion Rates'!B$8)/12</f>
        <v>3.671875</v>
      </c>
      <c r="O266" s="104">
        <f>('Renewable Diesel'!C275*'RD Feedstock Breakdown'!O$3*'Feedstock Conversion Rates'!B$7)/12</f>
        <v>11.9991</v>
      </c>
      <c r="P266" s="104">
        <f>('Renewable Diesel'!C275*'RD Feedstock Breakdown'!P$3*'Feedstock Conversion Rates'!B$3)/12</f>
        <v>10.4470425</v>
      </c>
      <c r="Q266" s="106">
        <f t="shared" si="216"/>
        <v>34.908267500000001</v>
      </c>
      <c r="R266" s="104">
        <f>('Renewable Diesel'!D275*'RD Feedstock Breakdown'!R$3*'Feedstock Conversion Rates'!B$7)/12</f>
        <v>2.2999999999999998</v>
      </c>
      <c r="S266" s="106">
        <f t="shared" si="249"/>
        <v>2.2999999999999998</v>
      </c>
      <c r="T266" s="104">
        <f t="shared" si="221"/>
        <v>0.82500000000000284</v>
      </c>
      <c r="U266" s="104">
        <v>30</v>
      </c>
      <c r="V266" s="104">
        <f>('Renewable Diesel'!E275*'RD Feedstock Breakdown'!V$3*'Feedstock Conversion Rates'!B$6)/12-20+25-35+15</f>
        <v>29.250150000000012</v>
      </c>
      <c r="W266" s="104">
        <f>('Renewable Diesel'!E275*'RD Feedstock Breakdown'!W$3*'Feedstock Conversion Rates'!B$8)/12-6-10</f>
        <v>6.1796875</v>
      </c>
      <c r="X266" s="106">
        <f t="shared" si="185"/>
        <v>66.254837500000008</v>
      </c>
      <c r="Y266" s="104">
        <f t="shared" ref="Y266:Y275" si="259">142-15-5-24-75+30+45-52.5+87.5-80+55+10+20+17-2-7</f>
        <v>146</v>
      </c>
      <c r="Z266" s="104">
        <f>('Renewable Diesel'!F275*'RD Feedstock Breakdown'!Z$3*'Feedstock Conversion Rates'!B$6)/12-142+15+5+75-45+52.5-87.5+80-10-20-17+2+7</f>
        <v>74.460000000000008</v>
      </c>
      <c r="AA266" s="104">
        <f>('Renewable Diesel'!F275*'RD Feedstock Breakdown'!AA$3*'Feedstock Conversion Rates'!B$7)/12+24-30-55</f>
        <v>43.266666666666652</v>
      </c>
      <c r="AB266" s="106">
        <f t="shared" si="235"/>
        <v>263.72666666666669</v>
      </c>
      <c r="AC266" s="104">
        <f>('Renewable Diesel'!G275*'RD Feedstock Breakdown'!AC$3*'Feedstock Conversion Rates'!B$5)/12</f>
        <v>11.796875</v>
      </c>
      <c r="AD266" s="104">
        <f>('Renewable Diesel'!G275*'RD Feedstock Breakdown'!AD$3*'Feedstock Conversion Rates'!B$4)/12</f>
        <v>5.859375</v>
      </c>
      <c r="AE266" s="104">
        <f>('Renewable Diesel'!G275*'RD Feedstock Breakdown'!AE$3*'Feedstock Conversion Rates'!B$6)/12</f>
        <v>7.3281250000000009</v>
      </c>
      <c r="AF266" s="106">
        <f t="shared" si="198"/>
        <v>24.984375</v>
      </c>
      <c r="AG266" s="104">
        <f t="shared" si="230"/>
        <v>6.5</v>
      </c>
      <c r="AH266" s="104">
        <v>135</v>
      </c>
      <c r="AI266" s="104">
        <f>('Renewable Diesel'!H275*'RD Feedstock Breakdown'!AI$3*'Feedstock Conversion Rates'!B$6)/12-130-20+51-120+105-37.5+10</f>
        <v>7.0166666666666799</v>
      </c>
      <c r="AJ266" s="106">
        <f t="shared" si="248"/>
        <v>13.51666666666668</v>
      </c>
      <c r="AK266" s="104">
        <f>('Renewable Diesel'!J275*'RD Feedstock Breakdown'!AK$3*'Feedstock Conversion Rates'!B$4)/12</f>
        <v>95.8125</v>
      </c>
      <c r="AL266" s="106">
        <f t="shared" si="252"/>
        <v>95.8125</v>
      </c>
      <c r="AM266" s="104">
        <f>('Renewable Diesel'!K275*'RD Feedstock Breakdown'!AM$3*'Feedstock Conversion Rates'!B$4)/12+5+15-10+5-26</f>
        <v>47.59375</v>
      </c>
      <c r="AN266" s="104">
        <f>('Renewable Diesel'!K275*'RD Feedstock Breakdown'!AN$3*'Feedstock Conversion Rates'!B$6)/12-5-15+10-5+26</f>
        <v>35.427083333333329</v>
      </c>
      <c r="AO266" s="106">
        <f t="shared" si="173"/>
        <v>83.020833333333329</v>
      </c>
      <c r="AP266" s="104">
        <f>('Renewable Diesel'!L275*'RD Feedstock Breakdown'!AP$3*'Feedstock Conversion Rates'!B$4)/12+15-10+10+2.5</f>
        <v>76.09375</v>
      </c>
      <c r="AQ266" s="104">
        <f>('Renewable Diesel'!L275*'RD Feedstock Breakdown'!AQ$3*'Feedstock Conversion Rates'!B$6)/12-15+10-10-2.5</f>
        <v>6.9270833333333321</v>
      </c>
      <c r="AR266" s="106">
        <f t="shared" si="256"/>
        <v>83.020833333333329</v>
      </c>
      <c r="AS266" s="104">
        <f>('Renewable Diesel'!M275*'RD Feedstock Breakdown'!AS$3*'Feedstock Conversion Rates'!B$4)/12-25</f>
        <v>431.25</v>
      </c>
      <c r="AT266" s="104">
        <f>('Renewable Diesel'!M275*'RD Feedstock Breakdown'!AT$3*'Feedstock Conversion Rates'!B$5)/12+25</f>
        <v>25</v>
      </c>
      <c r="AU266" s="106">
        <f t="shared" si="201"/>
        <v>456.25</v>
      </c>
      <c r="AV266" s="104">
        <f>'Renewable Diesel'!N275*'RD Feedstock Breakdown'!$AV$3*'Feedstock Conversion Rates'!$B$4/12-15-10+25+25-22+15-68+11</f>
        <v>39.749999999999986</v>
      </c>
      <c r="AW266" s="104">
        <f>'Renewable Diesel'!N275*'RD Feedstock Breakdown'!$AW$3*'Feedstock Conversion Rates'!$B$7/12+15+10-25-25+22-15+68-11</f>
        <v>80.400000000000006</v>
      </c>
      <c r="AX266" s="106">
        <f t="shared" si="239"/>
        <v>120.14999999999999</v>
      </c>
      <c r="AY266" s="104">
        <f>('Renewable Diesel'!O275*'RD Feedstock Breakdown'!AY$3*'Feedstock Conversion Rates'!B$4)/12-100-160-10-78</f>
        <v>-137.0625</v>
      </c>
      <c r="AZ266" s="104">
        <f>('Renewable Diesel'!O275*'RD Feedstock Breakdown'!AZ$3*'Feedstock Conversion Rates'!B$3)/12+100+160+10+78</f>
        <v>373.03125</v>
      </c>
      <c r="BA266" s="106">
        <f t="shared" si="217"/>
        <v>235.96875</v>
      </c>
      <c r="BB266" s="104">
        <f>('Renewable Diesel'!Q275*'RD Feedstock Breakdown'!BB$3*'Feedstock Conversion Rates'!B$4)/12</f>
        <v>11.156249999999998</v>
      </c>
      <c r="BC266" s="104">
        <f>('Renewable Diesel'!Q275*'RD Feedstock Breakdown'!BC$3*'Feedstock Conversion Rates'!B$3)/12</f>
        <v>1.4017500000000001</v>
      </c>
      <c r="BD266" s="104">
        <f>('Renewable Diesel'!Q275*'RD Feedstock Breakdown'!BD$3*'Feedstock Conversion Rates'!B$6)/12</f>
        <v>0.8207500000000002</v>
      </c>
      <c r="BE266" s="106">
        <f t="shared" si="189"/>
        <v>13.378749999999998</v>
      </c>
      <c r="BF266" s="104">
        <f>('Renewable Diesel'!R275*'RD Feedstock Breakdown'!BF$3*'Feedstock Conversion Rates'!B$4)/12</f>
        <v>62.5</v>
      </c>
      <c r="BG266" s="106">
        <f t="shared" si="167"/>
        <v>62.5</v>
      </c>
      <c r="BH266" s="104">
        <f>('Renewable Diesel'!T275*'RD Feedstock Breakdown'!BH$3*'Feedstock Conversion Rates'!B$7)/12</f>
        <v>27.599999999999998</v>
      </c>
      <c r="BI266" s="106">
        <f t="shared" si="243"/>
        <v>27.599999999999998</v>
      </c>
      <c r="BJ266" s="104">
        <f>('Renewable Diesel'!W275*'RD Feedstock Breakdown'!BJ$3*'Feedstock Conversion Rates'!B$4)/12</f>
        <v>7.5</v>
      </c>
      <c r="BK266" s="104">
        <f>('Renewable Diesel'!W275*'RD Feedstock Breakdown'!BK$3*'Feedstock Conversion Rates'!B$3)/12</f>
        <v>1.335</v>
      </c>
      <c r="BL266" s="104">
        <f>('Renewable Diesel'!W275*'RD Feedstock Breakdown'!BL$3*'Feedstock Conversion Rates'!B$6)/12</f>
        <v>3.1266666666666669</v>
      </c>
      <c r="BM266" s="104">
        <f>('Renewable Diesel'!W275*'RD Feedstock Breakdown'!BM$3*'Feedstock Conversion Rates'!B$7)/12</f>
        <v>1.5333333333333332</v>
      </c>
      <c r="BN266" s="106">
        <f t="shared" si="209"/>
        <v>13.495000000000001</v>
      </c>
      <c r="BO266" s="104">
        <f>('Renewable Diesel'!P275*'Feedstock Conversion Rates'!B$4)/12</f>
        <v>31.25</v>
      </c>
      <c r="BP266" s="106">
        <f t="shared" si="199"/>
        <v>31.25</v>
      </c>
      <c r="BQ266" s="104">
        <f>('Renewable Diesel'!$S275*'RD Feedstock Breakdown'!BQ$3*'Feedstock Conversion Rates'!B$4)/12+10</f>
        <v>38.125</v>
      </c>
      <c r="BR266" s="104">
        <f>('Renewable Diesel'!$S275*'RD Feedstock Breakdown'!BR$3*'Feedstock Conversion Rates'!B$7)/12-10</f>
        <v>1.5</v>
      </c>
      <c r="BS266" s="106">
        <f t="shared" si="222"/>
        <v>39.625</v>
      </c>
      <c r="BT266" s="106"/>
      <c r="BU266" s="104">
        <f>('Renewable Diesel'!Y275*'Feedstock Conversion Rates'!B$7)/12</f>
        <v>2.6833333333333331</v>
      </c>
      <c r="BV266" s="106">
        <f t="shared" si="191"/>
        <v>2.6833333333333331</v>
      </c>
      <c r="BW266" s="104">
        <f>('Renewable Diesel'!$Z275*'RD Feedstock Breakdown'!BW$3*'Feedstock Conversion Rates'!$B$4)/12</f>
        <v>71.875</v>
      </c>
      <c r="BX266" s="104">
        <f>('Renewable Diesel'!$Z275*'RD Feedstock Breakdown'!BX$3*'Feedstock Conversion Rates'!$B$5)/12</f>
        <v>7.2354166666666666</v>
      </c>
      <c r="BY266" s="104">
        <f>('Renewable Diesel'!$Z275*'RD Feedstock Breakdown'!BY$3*'Feedstock Conversion Rates'!$B$7)/12</f>
        <v>61.716666666666661</v>
      </c>
      <c r="BZ266" s="104">
        <f>('Renewable Diesel'!$Z275*'RD Feedstock Breakdown'!BZ$3*'Feedstock Conversion Rates'!$B$3)/12</f>
        <v>15.352499999999999</v>
      </c>
      <c r="CA266" s="106">
        <f t="shared" si="228"/>
        <v>156.17958333333331</v>
      </c>
      <c r="CB266" s="104">
        <f>('Renewable Diesel'!AA275*'Feedstock Conversion Rates'!B$4)/12</f>
        <v>191.25</v>
      </c>
      <c r="CC266" s="106">
        <f t="shared" si="213"/>
        <v>191.25</v>
      </c>
      <c r="CD266" s="104">
        <f>('Renewable Diesel'!$AB275*'RD Feedstock Breakdown'!CD$3*'Feedstock Conversion Rates'!$B$6)/12-15-5+5</f>
        <v>17.830000000000005</v>
      </c>
      <c r="CE266" s="104">
        <f>('Renewable Diesel'!$AB275*'RD Feedstock Breakdown'!CE$3*'Feedstock Conversion Rates'!$B$4)/12+15+5-5</f>
        <v>26.25</v>
      </c>
      <c r="CF266" s="106">
        <f t="shared" si="205"/>
        <v>44.080000000000005</v>
      </c>
      <c r="CG266" s="104">
        <f>('Renewable Diesel'!AD275*'Feedstock Conversion Rates'!B$4)/12</f>
        <v>112.5</v>
      </c>
      <c r="CH266" s="106">
        <f t="shared" si="187"/>
        <v>112.5</v>
      </c>
      <c r="CI266" s="104">
        <f>('Renewable Diesel'!$AE275*'RD Feedstock Breakdown'!CI$3*'Feedstock Conversion Rates'!$B$5)/12</f>
        <v>0.34604166666666664</v>
      </c>
      <c r="CJ266" s="104">
        <f>('Renewable Diesel'!$AE275*'RD Feedstock Breakdown'!CJ$3*'Feedstock Conversion Rates'!$B$4)/12</f>
        <v>0.34375</v>
      </c>
      <c r="CK266" s="106">
        <f t="shared" si="200"/>
        <v>0.68979166666666658</v>
      </c>
      <c r="CL266" s="104">
        <f>(((CL$3*'Renewable Diesel'!$AF275)*'Feedstock Conversion Rates'!$B$3)/12)-25</f>
        <v>66.78125</v>
      </c>
      <c r="CM266" s="104">
        <f>(((CM$3*'Renewable Diesel'!$AF275)*'Feedstock Conversion Rates'!$B$6)/12)+25</f>
        <v>78.739583333333343</v>
      </c>
      <c r="CN266" s="104">
        <f>(((CN$3*'Renewable Diesel'!$AF275)*'Feedstock Conversion Rates'!$B$4)/12)</f>
        <v>42.96875</v>
      </c>
      <c r="CO266" s="106">
        <f t="shared" si="190"/>
        <v>188.48958333333334</v>
      </c>
      <c r="CP266" s="104">
        <f>('Renewable Diesel'!$AG275*'RD Feedstock Breakdown'!CP$3*'Feedstock Conversion Rates'!$B$3)/12</f>
        <v>6.0075000000000003</v>
      </c>
      <c r="CQ266" s="104">
        <f>('Renewable Diesel'!$AG275*'RD Feedstock Breakdown'!CQ$3*'Feedstock Conversion Rates'!$B$6)/12</f>
        <v>3.5175000000000001</v>
      </c>
      <c r="CR266" s="104">
        <f>('Renewable Diesel'!$AG275*'RD Feedstock Breakdown'!CR$3*'Feedstock Conversion Rates'!$B$4)/12</f>
        <v>2.8125</v>
      </c>
      <c r="CS266" s="106">
        <f t="shared" si="231"/>
        <v>12.3375</v>
      </c>
      <c r="CT266" s="104">
        <f>('Renewable Diesel'!AI275*'Feedstock Conversion Rates'!$B$4*'RD Feedstock Breakdown'!$CT$3)/12</f>
        <v>29.375</v>
      </c>
      <c r="CU266" s="106">
        <f t="shared" si="196"/>
        <v>29.375</v>
      </c>
      <c r="CV266" s="104">
        <f>('Renewable Diesel'!AN275*'Feedstock Conversion Rates'!$B$3*'RD Feedstock Breakdown'!$CV$3)/12</f>
        <v>0.50062499999999999</v>
      </c>
      <c r="CW266" s="106">
        <f t="shared" si="255"/>
        <v>0.50062499999999999</v>
      </c>
      <c r="CX266" s="104">
        <f>('Renewable Diesel'!AO275*'RD Feedstock Breakdown'!$CX$3*'Feedstock Conversion Rates'!$B$3)/12</f>
        <v>6.3412499999999996</v>
      </c>
      <c r="CY266" s="104">
        <f>('Renewable Diesel'!AO275*'RD Feedstock Breakdown'!$CY$3*'Feedstock Conversion Rates'!$B$6)/12</f>
        <v>7.4258333333333342</v>
      </c>
      <c r="CZ266" s="106">
        <f t="shared" si="233"/>
        <v>13.767083333333334</v>
      </c>
      <c r="DA266" s="104">
        <f>('Renewable Diesel'!$AP275*'RD Feedstock Breakdown'!DA$3*'Feedstock Conversion Rates'!$B$3)/12</f>
        <v>6.3412499999999996</v>
      </c>
      <c r="DB266" s="104">
        <f>('Renewable Diesel'!$AP275*'RD Feedstock Breakdown'!DB$3*'Feedstock Conversion Rates'!$B$8)/12</f>
        <v>7.421875</v>
      </c>
      <c r="DC266" s="106">
        <f t="shared" ref="DC266:DC329" si="260">SUM(DA266:DB266)</f>
        <v>13.763124999999999</v>
      </c>
      <c r="DD266" s="104">
        <f>('Renewable Diesel'!AQ275*$DD$3*'Feedstock Conversion Rates'!$B$14)/12</f>
        <v>3.1041666666666665</v>
      </c>
      <c r="DE266" s="106">
        <f t="shared" ref="DE266:DE329" si="261">DD266</f>
        <v>3.1041666666666665</v>
      </c>
      <c r="DF266" s="104">
        <f>('Renewable Diesel'!AR275*'Feedstock Conversion Rates'!$B$4*$DF$3)/12</f>
        <v>75</v>
      </c>
      <c r="DG266" s="106">
        <f t="shared" si="234"/>
        <v>75</v>
      </c>
      <c r="DH266" s="104">
        <f>('Renewable Diesel'!AS275*'Feedstock Conversion Rates'!$B$4*$DH$3)/12</f>
        <v>75</v>
      </c>
      <c r="DI266" s="106">
        <f t="shared" si="240"/>
        <v>75</v>
      </c>
      <c r="DJ266" s="104">
        <f>('Renewable Diesel'!AT275*'Feedstock Conversion Rates'!$B$4*0.25)/12</f>
        <v>8.59375</v>
      </c>
      <c r="DK266" s="104">
        <f>('Renewable Diesel'!$AT275*'RD Feedstock Breakdown'!DK$3*'Feedstock Conversion Rates'!$B$3)/12*0.5</f>
        <v>9.1781249999999996</v>
      </c>
      <c r="DL266" s="104">
        <f>('Renewable Diesel'!$AT275*'RD Feedstock Breakdown'!$DL$3*'Feedstock Conversion Rates'!$B$6)/12</f>
        <v>10.747916666666669</v>
      </c>
      <c r="DM266" s="104">
        <f>('Renewable Diesel'!$AT275*'RD Feedstock Breakdown'!$DM$3*'Feedstock Conversion Rates'!$B$8)/12</f>
        <v>10.7421875</v>
      </c>
      <c r="DN266" s="106">
        <f t="shared" si="210"/>
        <v>39.26197916666667</v>
      </c>
      <c r="DP266" s="104">
        <f t="shared" si="168"/>
        <v>12.720250000000007</v>
      </c>
      <c r="DQ266" s="104">
        <f t="shared" si="169"/>
        <v>749.11776750000001</v>
      </c>
      <c r="DR266" s="104">
        <f t="shared" si="174"/>
        <v>1828.703125</v>
      </c>
      <c r="DS266" s="104">
        <f t="shared" si="197"/>
        <v>63.901250000000005</v>
      </c>
      <c r="DT266" s="104">
        <f t="shared" si="170"/>
        <v>290.03923333333341</v>
      </c>
      <c r="DU266" s="104">
        <f t="shared" si="171"/>
        <v>282.65609999999998</v>
      </c>
      <c r="DV266" s="104">
        <f t="shared" si="175"/>
        <v>27</v>
      </c>
      <c r="DW266" s="104">
        <f t="shared" si="172"/>
        <v>3</v>
      </c>
      <c r="DX266" s="106">
        <f t="shared" si="176"/>
        <v>3257.1377258333337</v>
      </c>
      <c r="DY266" s="109">
        <f t="shared" si="257"/>
        <v>-135.00000000000048</v>
      </c>
      <c r="EA266" s="110">
        <f t="shared" si="250"/>
        <v>3.9053460647708875E-3</v>
      </c>
      <c r="EB266" s="110">
        <f t="shared" si="250"/>
        <v>0.22999265937037999</v>
      </c>
      <c r="EC266" s="110">
        <f t="shared" si="250"/>
        <v>0.56144482638729354</v>
      </c>
      <c r="ED266" s="110">
        <f t="shared" si="250"/>
        <v>1.9618835732115369E-2</v>
      </c>
      <c r="EE266" s="110">
        <f t="shared" si="250"/>
        <v>8.9047273326192347E-2</v>
      </c>
      <c r="EF266" s="110">
        <f t="shared" si="250"/>
        <v>8.6780518293153489E-2</v>
      </c>
      <c r="EG266" s="110">
        <f t="shared" si="250"/>
        <v>8.2894867434849077E-3</v>
      </c>
      <c r="EH266" s="111">
        <f t="shared" si="177"/>
        <v>9.2105408260943419E-4</v>
      </c>
      <c r="EI266" s="110">
        <f t="shared" si="236"/>
        <v>0.99907894591739066</v>
      </c>
      <c r="EK266" s="132">
        <f>(EA266*'Renewable Diesel'!BF275*'Feedstock Conversion Rates'!B$2)+FB266</f>
        <v>53.950422884574579</v>
      </c>
      <c r="EL266" s="132">
        <f>(EB266*'Renewable Diesel'!BF275*'Feedstock Conversion Rates'!B$3)+FC266</f>
        <v>2994.0765128252606</v>
      </c>
      <c r="EM266" s="132">
        <f>(EC266*'Renewable Diesel'!BF275*'Feedstock Conversion Rates'!B$4)+FD266</f>
        <v>6843.6021020739045</v>
      </c>
      <c r="EN266" s="132">
        <f>(ED266*'Renewable Diesel'!BF275*'Feedstock Conversion Rates'!B$5)+FE266</f>
        <v>240.73353095552406</v>
      </c>
      <c r="EO266" s="132">
        <f>(EE266*'Renewable Diesel'!BF275*'Feedstock Conversion Rates'!B$6)+FF266</f>
        <v>1357.5000912515511</v>
      </c>
      <c r="EP266" s="132">
        <f>(EF266*'Renewable Diesel'!BF275*'Feedstock Conversion Rates'!B$7)+FG266</f>
        <v>1297.5570759298546</v>
      </c>
      <c r="EQ266" s="132">
        <f>(EG266*'Renewable Diesel'!BF275*'Feedstock Conversion Rates'!B$8)+FH266</f>
        <v>126.30348129633904</v>
      </c>
      <c r="ER266" s="132">
        <f>(EH266*'Renewable Diesel'!BF275*'Feedstock Conversion Rates'!B$9)+FI266</f>
        <v>13.846603875450501</v>
      </c>
      <c r="ES266" s="132">
        <f t="shared" si="179"/>
        <v>12927.56982109246</v>
      </c>
      <c r="ET266" s="133">
        <f>ES266/'Renewable Diesel'!BF275</f>
        <v>14.934357890981858</v>
      </c>
      <c r="EW266" s="73">
        <f t="shared" si="223"/>
        <v>10395.4431451112</v>
      </c>
      <c r="EX266" s="73">
        <f t="shared" si="224"/>
        <v>8574.2703242878524</v>
      </c>
      <c r="EY266" s="92">
        <f t="shared" si="258"/>
        <v>0.80412972344965605</v>
      </c>
      <c r="EZ266" s="92">
        <f t="shared" si="258"/>
        <v>0.66325461343076109</v>
      </c>
      <c r="FB266" s="102">
        <f>IF('Renewable Diesel'!$BG275&lt;1,0,(((('Renewable Diesel'!$BG275-1)*'Renewable Diesel'!$BF275)*'RD Feedstock Breakdown'!EA266)*'Feedstock Conversion Rates'!$B$2))</f>
        <v>25.215582624324984</v>
      </c>
      <c r="FC266" s="102">
        <f>IF('Renewable Diesel'!$BG275&lt;1,0,(((('Renewable Diesel'!$BG275-1)*'Renewable Diesel'!$BF275)*'RD Feedstock Breakdown'!EB266)*'Feedstock Conversion Rates'!$B$3))</f>
        <v>1399.3844655160669</v>
      </c>
      <c r="FD266" s="102">
        <f>IF('Renewable Diesel'!$BG275&lt;1,0,(((('Renewable Diesel'!$BG275-1)*'Renewable Diesel'!$BF275)*'RD Feedstock Breakdown'!EC266)*'Feedstock Conversion Rates'!$B$4))</f>
        <v>3198.5924303512425</v>
      </c>
      <c r="FE266" s="102">
        <f>IF('Renewable Diesel'!$BG275&lt;1,0,(((('Renewable Diesel'!$BG275-1)*'Renewable Diesel'!$BF275)*'RD Feedstock Breakdown'!ED266)*'Feedstock Conversion Rates'!$B$5))</f>
        <v>112.51508173052903</v>
      </c>
      <c r="FF266" s="102">
        <f>IF('Renewable Diesel'!$BG275&lt;1,0,(((('Renewable Diesel'!$BG275-1)*'Renewable Diesel'!$BF275)*'RD Feedstock Breakdown'!EE266)*'Feedstock Conversion Rates'!$B$6))</f>
        <v>634.4742799647122</v>
      </c>
      <c r="FG266" s="102">
        <f>IF('Renewable Diesel'!$BG275&lt;1,0,(((('Renewable Diesel'!$BG275-1)*'Renewable Diesel'!$BF275)*'RD Feedstock Breakdown'!EF266)*'Feedstock Conversion Rates'!$B$7))</f>
        <v>606.45785349796847</v>
      </c>
      <c r="FH266" s="102">
        <f>IF('Renewable Diesel'!$BG275&lt;1,0,(((('Renewable Diesel'!$BG275-1)*'Renewable Diesel'!$BF275)*'RD Feedstock Breakdown'!EG266)*'Feedstock Conversion Rates'!$B$8))</f>
        <v>59.032268851377623</v>
      </c>
      <c r="FI266" s="102">
        <f>IF('Renewable Diesel'!$BG275&lt;1,0,(((('Renewable Diesel'!$BG275-1)*'Renewable Diesel'!$BF275)*'RD Feedstock Breakdown'!EH266)*'Feedstock Conversion Rates'!$B$9))</f>
        <v>6.4716857703732504</v>
      </c>
      <c r="FJ266" s="102">
        <f t="shared" si="225"/>
        <v>6042.1436483065954</v>
      </c>
      <c r="GD266" s="91">
        <f>'Renewable Diesel'!BB275*0.32</f>
        <v>0</v>
      </c>
      <c r="GE266" s="91">
        <f>'Renewable Diesel'!BC275</f>
        <v>435.89972845442838</v>
      </c>
      <c r="GF266" s="91">
        <f>'Renewable Diesel'!BD275</f>
        <v>0</v>
      </c>
      <c r="GG266" s="91">
        <f t="shared" si="206"/>
        <v>435.89972845442838</v>
      </c>
      <c r="GH266" s="124">
        <v>1</v>
      </c>
      <c r="GI266" s="102">
        <f>$GG266*EA266*'Feedstock Conversion Rates'!$B$2</f>
        <v>14.469883957810703</v>
      </c>
      <c r="GJ266" s="102">
        <f>$GG266*EB266*'Feedstock Conversion Rates'!$B$3</f>
        <v>803.03243950614444</v>
      </c>
      <c r="GK266" s="102">
        <f>$GG266*EC266*'Feedstock Conversion Rates'!$B$4</f>
        <v>1835.502355232737</v>
      </c>
      <c r="GL266" s="102">
        <f>$GG266*ED266*'Feedstock Conversion Rates'!$B$5</f>
        <v>64.566431020069501</v>
      </c>
      <c r="GM266" s="102">
        <f>$GG266*EE266*'Feedstock Conversion Rates'!$B$6</f>
        <v>364.0910996221985</v>
      </c>
      <c r="GN266" s="102">
        <f>$GG266*EF266*'Feedstock Conversion Rates'!$B$7</f>
        <v>348.01396010390545</v>
      </c>
      <c r="GO266" s="102">
        <f>$GG266*EG266*'Feedstock Conversion Rates'!$B$8</f>
        <v>33.875484567296766</v>
      </c>
      <c r="GP266" s="102">
        <f>$GG266*EH266*'Feedstock Conversion Rates'!B$9</f>
        <v>3.7137568266369789</v>
      </c>
      <c r="GQ266" s="102">
        <f t="shared" si="180"/>
        <v>3467.2654108367997</v>
      </c>
      <c r="GR266" s="85">
        <f t="shared" si="204"/>
        <v>7.9542729313704736</v>
      </c>
      <c r="GT266" s="103">
        <f t="shared" si="254"/>
        <v>4.1732842004496276E-3</v>
      </c>
      <c r="GU266" s="103">
        <f t="shared" si="254"/>
        <v>0.23160397153223364</v>
      </c>
      <c r="GV266" s="103">
        <f t="shared" si="254"/>
        <v>0.5293804014817981</v>
      </c>
      <c r="GW266" s="103">
        <f t="shared" si="254"/>
        <v>1.8621715781627128E-2</v>
      </c>
      <c r="GX266" s="103">
        <f t="shared" si="253"/>
        <v>0.10500814229111112</v>
      </c>
      <c r="GY266" s="103">
        <f t="shared" si="253"/>
        <v>0.10037130674109969</v>
      </c>
      <c r="GZ266" s="103">
        <f t="shared" si="253"/>
        <v>9.7700869571219692E-3</v>
      </c>
      <c r="HA266" s="103">
        <f t="shared" si="251"/>
        <v>1.0710910145585565E-3</v>
      </c>
    </row>
    <row r="267" spans="1:209" x14ac:dyDescent="0.25">
      <c r="A267" s="96">
        <v>48549</v>
      </c>
      <c r="B267" s="104">
        <f>61+88+162+33.5-22-4-8.5-18-31-70-23-58+40-35+20-3-15-60-40-1-1+35+30+3+28+7.5+1-3-1.5+9.5+10-30-103-1+300+100-100-120-150</f>
        <v>30.5</v>
      </c>
      <c r="C267" s="112">
        <f t="shared" si="246"/>
        <v>0.5</v>
      </c>
      <c r="D267" s="104">
        <f t="shared" si="242"/>
        <v>2</v>
      </c>
      <c r="E267" s="104">
        <f>('Renewable Diesel'!B276*E$3*'Feedstock Conversion Rates'!$B$2)/12-57.5+8+12.5+52.5-76+18+23+45+50-2.5-3-28-2-9.5+30-40+26+0.5-20-15+50-147</f>
        <v>4.9300000000000068</v>
      </c>
      <c r="F267" s="104">
        <f>('Renewable Diesel'!B276*'RD Feedstock Breakdown'!F$3*'Feedstock Conversion Rates'!B$8)/12-13.5+1.5-2+36-10+10-61+25+8+1-29+1.5-15</f>
        <v>6.40625</v>
      </c>
      <c r="G267" s="104">
        <f>('Renewable Diesel'!B276*'RD Feedstock Breakdown'!G$3*'Feedstock Conversion Rates'!B$7)/12-25-15-25+4+4-20-40-20+10-17.5+20+50-12+32.5+35-75-75+22.5+5-20+15+125-10-60+5-85+45</f>
        <v>49.657000000000011</v>
      </c>
      <c r="H267" s="104">
        <f>('Renewable Diesel'!B276*'RD Feedstock Breakdown'!H$3*'Feedstock Conversion Rates'!B$3)/12-85+4-15+70-65-80+50-22.5-5+25+27.5+15+50+15-10+5+50+75-5-25-85-12.5+30+22.5-25-30+150+90-120+25+10+20+85-30-45-50+147-100-300+100+120+150</f>
        <v>402.40022499999998</v>
      </c>
      <c r="I267" s="106">
        <f t="shared" si="203"/>
        <v>496.39347499999997</v>
      </c>
      <c r="J267" s="104">
        <f>87-50+15+53+55-6+84+19-11-40-29-30-13-50-7+30+25+15-7.5-45-10-1-55+5+15+18+90-5+15+5-100-70+11+40-24-14-5-9.5</f>
        <v>0</v>
      </c>
      <c r="K267" s="104"/>
      <c r="L267" s="104">
        <v>1</v>
      </c>
      <c r="M267" s="104">
        <f>('Renewable Diesel'!C276*'RD Feedstock Breakdown'!M$3*'Feedstock Conversion Rates'!B$2)/12</f>
        <v>7.7902500000000003</v>
      </c>
      <c r="N267" s="104">
        <f>('Renewable Diesel'!C276*'RD Feedstock Breakdown'!N$3*'Feedstock Conversion Rates'!B$8)/12</f>
        <v>3.671875</v>
      </c>
      <c r="O267" s="104">
        <f>('Renewable Diesel'!C276*'RD Feedstock Breakdown'!O$3*'Feedstock Conversion Rates'!B$7)/12</f>
        <v>11.9991</v>
      </c>
      <c r="P267" s="104">
        <f>('Renewable Diesel'!C276*'RD Feedstock Breakdown'!P$3*'Feedstock Conversion Rates'!B$3)/12</f>
        <v>10.4470425</v>
      </c>
      <c r="Q267" s="106">
        <f t="shared" si="216"/>
        <v>34.908267500000001</v>
      </c>
      <c r="R267" s="104">
        <f>('Renewable Diesel'!D276*'RD Feedstock Breakdown'!R$3*'Feedstock Conversion Rates'!B$7)/12</f>
        <v>2.2999999999999998</v>
      </c>
      <c r="S267" s="106">
        <f t="shared" si="249"/>
        <v>2.2999999999999998</v>
      </c>
      <c r="T267" s="104">
        <f t="shared" si="221"/>
        <v>0.82500000000000284</v>
      </c>
      <c r="U267" s="104">
        <v>30</v>
      </c>
      <c r="V267" s="104">
        <f>('Renewable Diesel'!E276*'RD Feedstock Breakdown'!V$3*'Feedstock Conversion Rates'!B$6)/12-20+25-35+15</f>
        <v>29.250150000000012</v>
      </c>
      <c r="W267" s="104">
        <f>('Renewable Diesel'!E276*'RD Feedstock Breakdown'!W$3*'Feedstock Conversion Rates'!B$8)/12-6-10</f>
        <v>6.1796875</v>
      </c>
      <c r="X267" s="106">
        <f t="shared" si="185"/>
        <v>66.254837500000008</v>
      </c>
      <c r="Y267" s="104">
        <f t="shared" si="259"/>
        <v>146</v>
      </c>
      <c r="Z267" s="104">
        <f>('Renewable Diesel'!F276*'RD Feedstock Breakdown'!Z$3*'Feedstock Conversion Rates'!B$6)/12-142+15+5+75-45+52.5-87.5+80-10-20-17+2+7</f>
        <v>74.460000000000008</v>
      </c>
      <c r="AA267" s="104">
        <f>('Renewable Diesel'!F276*'RD Feedstock Breakdown'!AA$3*'Feedstock Conversion Rates'!B$7)/12+24-30-55</f>
        <v>43.266666666666652</v>
      </c>
      <c r="AB267" s="106">
        <f t="shared" si="235"/>
        <v>263.72666666666669</v>
      </c>
      <c r="AC267" s="104">
        <f>('Renewable Diesel'!G276*'RD Feedstock Breakdown'!AC$3*'Feedstock Conversion Rates'!B$5)/12</f>
        <v>11.796875</v>
      </c>
      <c r="AD267" s="104">
        <f>('Renewable Diesel'!G276*'RD Feedstock Breakdown'!AD$3*'Feedstock Conversion Rates'!B$4)/12</f>
        <v>5.859375</v>
      </c>
      <c r="AE267" s="104">
        <f>('Renewable Diesel'!G276*'RD Feedstock Breakdown'!AE$3*'Feedstock Conversion Rates'!B$6)/12</f>
        <v>7.3281250000000009</v>
      </c>
      <c r="AF267" s="106">
        <f t="shared" si="198"/>
        <v>24.984375</v>
      </c>
      <c r="AG267" s="104">
        <f t="shared" si="230"/>
        <v>6.5</v>
      </c>
      <c r="AH267" s="104">
        <v>135</v>
      </c>
      <c r="AI267" s="104">
        <f>('Renewable Diesel'!H276*'RD Feedstock Breakdown'!AI$3*'Feedstock Conversion Rates'!B$6)/12-130-20+51-120+105-37.5+10</f>
        <v>7.0166666666666799</v>
      </c>
      <c r="AJ267" s="106">
        <f t="shared" si="248"/>
        <v>13.51666666666668</v>
      </c>
      <c r="AK267" s="104">
        <f>('Renewable Diesel'!J276*'RD Feedstock Breakdown'!AK$3*'Feedstock Conversion Rates'!B$4)/12</f>
        <v>95.8125</v>
      </c>
      <c r="AL267" s="106">
        <f t="shared" si="252"/>
        <v>95.8125</v>
      </c>
      <c r="AM267" s="104">
        <f>('Renewable Diesel'!K276*'RD Feedstock Breakdown'!AM$3*'Feedstock Conversion Rates'!B$4)/12+5+15-10+5-26</f>
        <v>47.59375</v>
      </c>
      <c r="AN267" s="104">
        <f>('Renewable Diesel'!K276*'RD Feedstock Breakdown'!AN$3*'Feedstock Conversion Rates'!B$6)/12-5-15+10-5+26</f>
        <v>35.427083333333329</v>
      </c>
      <c r="AO267" s="106">
        <f t="shared" si="173"/>
        <v>83.020833333333329</v>
      </c>
      <c r="AP267" s="104">
        <f>('Renewable Diesel'!L276*'RD Feedstock Breakdown'!AP$3*'Feedstock Conversion Rates'!B$4)/12+15-10+10+2.5</f>
        <v>76.09375</v>
      </c>
      <c r="AQ267" s="104">
        <f>('Renewable Diesel'!L276*'RD Feedstock Breakdown'!AQ$3*'Feedstock Conversion Rates'!B$6)/12-15+10-10-2.5</f>
        <v>6.9270833333333321</v>
      </c>
      <c r="AR267" s="106">
        <f t="shared" si="256"/>
        <v>83.020833333333329</v>
      </c>
      <c r="AS267" s="104">
        <f>('Renewable Diesel'!M276*'RD Feedstock Breakdown'!AS$3*'Feedstock Conversion Rates'!B$4)/12-25</f>
        <v>431.25</v>
      </c>
      <c r="AT267" s="104">
        <f>('Renewable Diesel'!M276*'RD Feedstock Breakdown'!AT$3*'Feedstock Conversion Rates'!B$5)/12+25</f>
        <v>25</v>
      </c>
      <c r="AU267" s="106">
        <f t="shared" si="201"/>
        <v>456.25</v>
      </c>
      <c r="AV267" s="104">
        <f>'Renewable Diesel'!N276*'RD Feedstock Breakdown'!$AV$3*'Feedstock Conversion Rates'!$B$4/12-15-10+25+25-22+15-68+11</f>
        <v>39.749999999999986</v>
      </c>
      <c r="AW267" s="104">
        <f>'Renewable Diesel'!N276*'RD Feedstock Breakdown'!$AW$3*'Feedstock Conversion Rates'!$B$7/12+15+10-25-25+22-15+68-11</f>
        <v>80.400000000000006</v>
      </c>
      <c r="AX267" s="106">
        <f t="shared" si="239"/>
        <v>120.14999999999999</v>
      </c>
      <c r="AY267" s="104">
        <f>('Renewable Diesel'!O276*'RD Feedstock Breakdown'!AY$3*'Feedstock Conversion Rates'!B$4)/12-100-160-10-78</f>
        <v>-137.0625</v>
      </c>
      <c r="AZ267" s="104">
        <f>('Renewable Diesel'!O276*'RD Feedstock Breakdown'!AZ$3*'Feedstock Conversion Rates'!B$3)/12+100+160+10+78</f>
        <v>373.03125</v>
      </c>
      <c r="BA267" s="106">
        <f t="shared" si="217"/>
        <v>235.96875</v>
      </c>
      <c r="BB267" s="104">
        <f>('Renewable Diesel'!Q276*'RD Feedstock Breakdown'!BB$3*'Feedstock Conversion Rates'!B$4)/12</f>
        <v>11.156249999999998</v>
      </c>
      <c r="BC267" s="104">
        <f>('Renewable Diesel'!Q276*'RD Feedstock Breakdown'!BC$3*'Feedstock Conversion Rates'!B$3)/12</f>
        <v>1.4017500000000001</v>
      </c>
      <c r="BD267" s="104">
        <f>('Renewable Diesel'!Q276*'RD Feedstock Breakdown'!BD$3*'Feedstock Conversion Rates'!B$6)/12</f>
        <v>0.8207500000000002</v>
      </c>
      <c r="BE267" s="106">
        <f t="shared" si="189"/>
        <v>13.378749999999998</v>
      </c>
      <c r="BF267" s="104">
        <f>('Renewable Diesel'!R276*'RD Feedstock Breakdown'!BF$3*'Feedstock Conversion Rates'!B$4)/12</f>
        <v>62.5</v>
      </c>
      <c r="BG267" s="106">
        <f t="shared" ref="BG267:BG330" si="262">BF267</f>
        <v>62.5</v>
      </c>
      <c r="BH267" s="104">
        <f>('Renewable Diesel'!T276*'RD Feedstock Breakdown'!BH$3*'Feedstock Conversion Rates'!B$7)/12</f>
        <v>27.599999999999998</v>
      </c>
      <c r="BI267" s="106">
        <f t="shared" si="243"/>
        <v>27.599999999999998</v>
      </c>
      <c r="BJ267" s="104">
        <f>('Renewable Diesel'!W276*'RD Feedstock Breakdown'!BJ$3*'Feedstock Conversion Rates'!B$4)/12</f>
        <v>7.5</v>
      </c>
      <c r="BK267" s="104">
        <f>('Renewable Diesel'!W276*'RD Feedstock Breakdown'!BK$3*'Feedstock Conversion Rates'!B$3)/12</f>
        <v>1.335</v>
      </c>
      <c r="BL267" s="104">
        <f>('Renewable Diesel'!W276*'RD Feedstock Breakdown'!BL$3*'Feedstock Conversion Rates'!B$6)/12</f>
        <v>3.1266666666666669</v>
      </c>
      <c r="BM267" s="104">
        <f>('Renewable Diesel'!W276*'RD Feedstock Breakdown'!BM$3*'Feedstock Conversion Rates'!B$7)/12</f>
        <v>1.5333333333333332</v>
      </c>
      <c r="BN267" s="106">
        <f t="shared" si="209"/>
        <v>13.495000000000001</v>
      </c>
      <c r="BO267" s="104">
        <f>('Renewable Diesel'!P276*'Feedstock Conversion Rates'!B$4)/12</f>
        <v>31.25</v>
      </c>
      <c r="BP267" s="106">
        <f t="shared" si="199"/>
        <v>31.25</v>
      </c>
      <c r="BQ267" s="104">
        <f>('Renewable Diesel'!$S276*'RD Feedstock Breakdown'!BQ$3*'Feedstock Conversion Rates'!B$4)/12+10</f>
        <v>38.125</v>
      </c>
      <c r="BR267" s="104">
        <f>('Renewable Diesel'!$S276*'RD Feedstock Breakdown'!BR$3*'Feedstock Conversion Rates'!B$7)/12-10</f>
        <v>1.5</v>
      </c>
      <c r="BS267" s="106">
        <f t="shared" si="222"/>
        <v>39.625</v>
      </c>
      <c r="BT267" s="106"/>
      <c r="BU267" s="104">
        <f>('Renewable Diesel'!Y276*'Feedstock Conversion Rates'!B$7)/12</f>
        <v>2.6833333333333331</v>
      </c>
      <c r="BV267" s="106">
        <f t="shared" si="191"/>
        <v>2.6833333333333331</v>
      </c>
      <c r="BW267" s="104">
        <f>('Renewable Diesel'!$Z276*'RD Feedstock Breakdown'!BW$3*'Feedstock Conversion Rates'!$B$4)/12</f>
        <v>71.875</v>
      </c>
      <c r="BX267" s="104">
        <f>('Renewable Diesel'!$Z276*'RD Feedstock Breakdown'!BX$3*'Feedstock Conversion Rates'!$B$5)/12</f>
        <v>7.2354166666666666</v>
      </c>
      <c r="BY267" s="104">
        <f>('Renewable Diesel'!$Z276*'RD Feedstock Breakdown'!BY$3*'Feedstock Conversion Rates'!$B$7)/12</f>
        <v>61.716666666666661</v>
      </c>
      <c r="BZ267" s="104">
        <f>('Renewable Diesel'!$Z276*'RD Feedstock Breakdown'!BZ$3*'Feedstock Conversion Rates'!$B$3)/12</f>
        <v>15.352499999999999</v>
      </c>
      <c r="CA267" s="106">
        <f t="shared" si="228"/>
        <v>156.17958333333331</v>
      </c>
      <c r="CB267" s="104">
        <f>('Renewable Diesel'!AA276*'Feedstock Conversion Rates'!B$4)/12</f>
        <v>191.25</v>
      </c>
      <c r="CC267" s="106">
        <f t="shared" si="213"/>
        <v>191.25</v>
      </c>
      <c r="CD267" s="104">
        <f>('Renewable Diesel'!$AB276*'RD Feedstock Breakdown'!CD$3*'Feedstock Conversion Rates'!$B$6)/12-15-5+5</f>
        <v>17.830000000000005</v>
      </c>
      <c r="CE267" s="104">
        <f>('Renewable Diesel'!$AB276*'RD Feedstock Breakdown'!CE$3*'Feedstock Conversion Rates'!$B$4)/12+15+5-5</f>
        <v>26.25</v>
      </c>
      <c r="CF267" s="106">
        <f t="shared" si="205"/>
        <v>44.080000000000005</v>
      </c>
      <c r="CG267" s="104">
        <f>('Renewable Diesel'!AD276*'Feedstock Conversion Rates'!B$4)/12</f>
        <v>112.5</v>
      </c>
      <c r="CH267" s="106">
        <f t="shared" si="187"/>
        <v>112.5</v>
      </c>
      <c r="CI267" s="104">
        <f>('Renewable Diesel'!$AE276*'RD Feedstock Breakdown'!CI$3*'Feedstock Conversion Rates'!$B$5)/12</f>
        <v>0.34604166666666664</v>
      </c>
      <c r="CJ267" s="104">
        <f>('Renewable Diesel'!$AE276*'RD Feedstock Breakdown'!CJ$3*'Feedstock Conversion Rates'!$B$4)/12</f>
        <v>0.34375</v>
      </c>
      <c r="CK267" s="106">
        <f t="shared" si="200"/>
        <v>0.68979166666666658</v>
      </c>
      <c r="CL267" s="104">
        <f>(((CL$3*'Renewable Diesel'!$AF276)*'Feedstock Conversion Rates'!$B$3)/12)-25</f>
        <v>66.78125</v>
      </c>
      <c r="CM267" s="104">
        <f>(((CM$3*'Renewable Diesel'!$AF276)*'Feedstock Conversion Rates'!$B$6)/12)+25</f>
        <v>78.739583333333343</v>
      </c>
      <c r="CN267" s="104">
        <f>(((CN$3*'Renewable Diesel'!$AF276)*'Feedstock Conversion Rates'!$B$4)/12)</f>
        <v>42.96875</v>
      </c>
      <c r="CO267" s="106">
        <f t="shared" si="190"/>
        <v>188.48958333333334</v>
      </c>
      <c r="CP267" s="104">
        <f>('Renewable Diesel'!$AG276*'RD Feedstock Breakdown'!CP$3*'Feedstock Conversion Rates'!$B$3)/12</f>
        <v>6.0075000000000003</v>
      </c>
      <c r="CQ267" s="104">
        <f>('Renewable Diesel'!$AG276*'RD Feedstock Breakdown'!CQ$3*'Feedstock Conversion Rates'!$B$6)/12</f>
        <v>3.5175000000000001</v>
      </c>
      <c r="CR267" s="104">
        <f>('Renewable Diesel'!$AG276*'RD Feedstock Breakdown'!CR$3*'Feedstock Conversion Rates'!$B$4)/12</f>
        <v>2.8125</v>
      </c>
      <c r="CS267" s="106">
        <f t="shared" si="231"/>
        <v>12.3375</v>
      </c>
      <c r="CT267" s="104">
        <f>('Renewable Diesel'!AI276*'Feedstock Conversion Rates'!$B$4*'RD Feedstock Breakdown'!$CT$3)/12</f>
        <v>29.375</v>
      </c>
      <c r="CU267" s="106">
        <f t="shared" si="196"/>
        <v>29.375</v>
      </c>
      <c r="CV267" s="104">
        <f>('Renewable Diesel'!AN276*'Feedstock Conversion Rates'!$B$3*'RD Feedstock Breakdown'!$CV$3)/12</f>
        <v>0.50062499999999999</v>
      </c>
      <c r="CW267" s="106">
        <f t="shared" si="255"/>
        <v>0.50062499999999999</v>
      </c>
      <c r="CX267" s="104">
        <f>('Renewable Diesel'!AO276*'RD Feedstock Breakdown'!$CX$3*'Feedstock Conversion Rates'!$B$3)/12</f>
        <v>6.3412499999999996</v>
      </c>
      <c r="CY267" s="104">
        <f>('Renewable Diesel'!AO276*'RD Feedstock Breakdown'!$CY$3*'Feedstock Conversion Rates'!$B$6)/12</f>
        <v>7.4258333333333342</v>
      </c>
      <c r="CZ267" s="106">
        <f t="shared" si="233"/>
        <v>13.767083333333334</v>
      </c>
      <c r="DA267" s="104">
        <f>('Renewable Diesel'!$AP276*'RD Feedstock Breakdown'!DA$3*'Feedstock Conversion Rates'!$B$3)/12</f>
        <v>6.3412499999999996</v>
      </c>
      <c r="DB267" s="104">
        <f>('Renewable Diesel'!$AP276*'RD Feedstock Breakdown'!DB$3*'Feedstock Conversion Rates'!$B$8)/12</f>
        <v>7.421875</v>
      </c>
      <c r="DC267" s="106">
        <f t="shared" si="260"/>
        <v>13.763124999999999</v>
      </c>
      <c r="DD267" s="104">
        <f>('Renewable Diesel'!AQ276*$DD$3*'Feedstock Conversion Rates'!$B$14)/12</f>
        <v>3.1041666666666665</v>
      </c>
      <c r="DE267" s="106">
        <f t="shared" si="261"/>
        <v>3.1041666666666665</v>
      </c>
      <c r="DF267" s="104">
        <f>('Renewable Diesel'!AR276*'Feedstock Conversion Rates'!$B$4*$DF$3)/12</f>
        <v>75</v>
      </c>
      <c r="DG267" s="106">
        <f t="shared" si="234"/>
        <v>75</v>
      </c>
      <c r="DH267" s="104">
        <f>('Renewable Diesel'!AS276*'Feedstock Conversion Rates'!$B$4*$DH$3)/12</f>
        <v>75</v>
      </c>
      <c r="DI267" s="106">
        <f t="shared" si="240"/>
        <v>75</v>
      </c>
      <c r="DJ267" s="104">
        <f>('Renewable Diesel'!AT276*'Feedstock Conversion Rates'!$B$4*0.25)/12</f>
        <v>8.59375</v>
      </c>
      <c r="DK267" s="104">
        <f>('Renewable Diesel'!$AT276*'RD Feedstock Breakdown'!DK$3*'Feedstock Conversion Rates'!$B$3)/12*0.5</f>
        <v>9.1781249999999996</v>
      </c>
      <c r="DL267" s="104">
        <f>('Renewable Diesel'!$AT276*'RD Feedstock Breakdown'!$DL$3*'Feedstock Conversion Rates'!$B$6)/12</f>
        <v>10.747916666666669</v>
      </c>
      <c r="DM267" s="104">
        <f>('Renewable Diesel'!$AT276*'RD Feedstock Breakdown'!$DM$3*'Feedstock Conversion Rates'!$B$8)/12</f>
        <v>10.7421875</v>
      </c>
      <c r="DN267" s="106">
        <f t="shared" si="210"/>
        <v>39.26197916666667</v>
      </c>
      <c r="DP267" s="104">
        <f t="shared" si="168"/>
        <v>12.720250000000007</v>
      </c>
      <c r="DQ267" s="104">
        <f t="shared" si="169"/>
        <v>899.11776750000001</v>
      </c>
      <c r="DR267" s="104">
        <f t="shared" si="174"/>
        <v>1678.703125</v>
      </c>
      <c r="DS267" s="104">
        <f t="shared" si="197"/>
        <v>63.901250000000005</v>
      </c>
      <c r="DT267" s="104">
        <f t="shared" si="170"/>
        <v>290.03923333333341</v>
      </c>
      <c r="DU267" s="104">
        <f t="shared" si="171"/>
        <v>282.65609999999998</v>
      </c>
      <c r="DV267" s="104">
        <f t="shared" si="175"/>
        <v>27</v>
      </c>
      <c r="DW267" s="104">
        <f t="shared" si="172"/>
        <v>3</v>
      </c>
      <c r="DX267" s="106">
        <f t="shared" si="176"/>
        <v>3257.1377258333337</v>
      </c>
      <c r="DY267" s="109">
        <f t="shared" si="257"/>
        <v>-135.00000000000048</v>
      </c>
      <c r="EA267" s="110">
        <f t="shared" si="250"/>
        <v>3.9053460647708875E-3</v>
      </c>
      <c r="EB267" s="110">
        <f t="shared" si="250"/>
        <v>0.27604536350085168</v>
      </c>
      <c r="EC267" s="110">
        <f t="shared" si="250"/>
        <v>0.51539212225682174</v>
      </c>
      <c r="ED267" s="110">
        <f t="shared" si="250"/>
        <v>1.9618835732115369E-2</v>
      </c>
      <c r="EE267" s="110">
        <f t="shared" si="250"/>
        <v>8.9047273326192347E-2</v>
      </c>
      <c r="EF267" s="110">
        <f t="shared" si="250"/>
        <v>8.6780518293153489E-2</v>
      </c>
      <c r="EG267" s="110">
        <f t="shared" si="250"/>
        <v>8.2894867434849077E-3</v>
      </c>
      <c r="EH267" s="111">
        <f t="shared" si="177"/>
        <v>9.2105408260943419E-4</v>
      </c>
      <c r="EI267" s="110">
        <f t="shared" si="236"/>
        <v>0.99907894591739044</v>
      </c>
      <c r="EK267" s="132">
        <f>(EA267*'Renewable Diesel'!BF276*'Feedstock Conversion Rates'!B$2)+FB267</f>
        <v>57.506906757432603</v>
      </c>
      <c r="EL267" s="132">
        <f>(EB267*'Renewable Diesel'!BF276*'Feedstock Conversion Rates'!B$3)+FC267</f>
        <v>3830.4917497023221</v>
      </c>
      <c r="EM267" s="132">
        <f>(EC267*'Renewable Diesel'!BF276*'Feedstock Conversion Rates'!B$4)+FD267</f>
        <v>6696.3878172103305</v>
      </c>
      <c r="EN267" s="132">
        <f>(ED267*'Renewable Diesel'!BF276*'Feedstock Conversion Rates'!B$5)+FE267</f>
        <v>256.60300657263326</v>
      </c>
      <c r="EO267" s="132">
        <f>(EE267*'Renewable Diesel'!BF276*'Feedstock Conversion Rates'!B$6)+FF267</f>
        <v>1446.9883088373269</v>
      </c>
      <c r="EP267" s="132">
        <f>(EF267*'Renewable Diesel'!BF276*'Feedstock Conversion Rates'!B$7)+FG267</f>
        <v>1383.0937699522619</v>
      </c>
      <c r="EQ267" s="132">
        <f>(EG267*'Renewable Diesel'!BF276*'Feedstock Conversion Rates'!B$8)+FH267</f>
        <v>134.62957533414294</v>
      </c>
      <c r="ER267" s="132">
        <f>(EH267*'Renewable Diesel'!BF276*'Feedstock Conversion Rates'!B$9)+FI267</f>
        <v>14.75939048107641</v>
      </c>
      <c r="ES267" s="132">
        <f t="shared" si="179"/>
        <v>13820.460524847527</v>
      </c>
      <c r="ET267" s="133">
        <f>ES267/'Renewable Diesel'!BF276</f>
        <v>15.719901470450445</v>
      </c>
      <c r="EW267" s="73">
        <f t="shared" si="223"/>
        <v>10377.378694114863</v>
      </c>
      <c r="EX267" s="73">
        <f t="shared" si="224"/>
        <v>10249.737927819149</v>
      </c>
      <c r="EY267" s="92">
        <f t="shared" si="258"/>
        <v>0.75087068737380946</v>
      </c>
      <c r="EZ267" s="92">
        <f t="shared" si="258"/>
        <v>0.74163504967083782</v>
      </c>
      <c r="FB267" s="102">
        <f>IF('Renewable Diesel'!$BG276&lt;1,0,(((('Renewable Diesel'!$BG276-1)*'Renewable Diesel'!$BF276)*'RD Feedstock Breakdown'!EA267)*'Feedstock Conversion Rates'!$B$2))</f>
        <v>28.322481497727154</v>
      </c>
      <c r="FC267" s="102">
        <f>IF('Renewable Diesel'!$BG276&lt;1,0,(((('Renewable Diesel'!$BG276-1)*'Renewable Diesel'!$BF276)*'RD Feedstock Breakdown'!EB267)*'Feedstock Conversion Rates'!$B$3))</f>
        <v>1886.5391624305828</v>
      </c>
      <c r="FD267" s="102">
        <f>IF('Renewable Diesel'!$BG276&lt;1,0,(((('Renewable Diesel'!$BG276-1)*'Renewable Diesel'!$BF276)*'RD Feedstock Breakdown'!EC267)*'Feedstock Conversion Rates'!$B$4))</f>
        <v>3298.0094174519704</v>
      </c>
      <c r="FE267" s="102">
        <f>IF('Renewable Diesel'!$BG276&lt;1,0,(((('Renewable Diesel'!$BG276-1)*'Renewable Diesel'!$BF276)*'RD Feedstock Breakdown'!ED267)*'Feedstock Conversion Rates'!$B$5))</f>
        <v>126.37845287992722</v>
      </c>
      <c r="FF267" s="102">
        <f>IF('Renewable Diesel'!$BG276&lt;1,0,(((('Renewable Diesel'!$BG276-1)*'Renewable Diesel'!$BF276)*'RD Feedstock Breakdown'!EE267)*'Feedstock Conversion Rates'!$B$6))</f>
        <v>712.65004353891538</v>
      </c>
      <c r="FG267" s="102">
        <f>IF('Renewable Diesel'!$BG276&lt;1,0,(((('Renewable Diesel'!$BG276-1)*'Renewable Diesel'!$BF276)*'RD Feedstock Breakdown'!EF267)*'Feedstock Conversion Rates'!$B$7))</f>
        <v>681.18161657219855</v>
      </c>
      <c r="FH267" s="102">
        <f>IF('Renewable Diesel'!$BG276&lt;1,0,(((('Renewable Diesel'!$BG276-1)*'Renewable Diesel'!$BF276)*'RD Feedstock Breakdown'!EG267)*'Feedstock Conversion Rates'!$B$8))</f>
        <v>66.305838227949934</v>
      </c>
      <c r="FI267" s="102">
        <f>IF('Renewable Diesel'!$BG276&lt;1,0,(((('Renewable Diesel'!$BG276-1)*'Renewable Diesel'!$BF276)*'RD Feedstock Breakdown'!EH267)*'Feedstock Conversion Rates'!$B$9))</f>
        <v>7.2690844872122895</v>
      </c>
      <c r="FJ267" s="102">
        <f t="shared" si="225"/>
        <v>6806.656097086483</v>
      </c>
      <c r="GD267" s="91">
        <f>'Renewable Diesel'!BB276*0.32</f>
        <v>0</v>
      </c>
      <c r="GE267" s="91">
        <f>'Renewable Diesel'!BC276</f>
        <v>391.57172585410308</v>
      </c>
      <c r="GF267" s="91">
        <f>'Renewable Diesel'!BD276</f>
        <v>0</v>
      </c>
      <c r="GG267" s="91">
        <f t="shared" si="206"/>
        <v>391.57172585410308</v>
      </c>
      <c r="GH267" s="124">
        <v>1</v>
      </c>
      <c r="GI267" s="102">
        <f>$GG267*EA267*'Feedstock Conversion Rates'!$B$2</f>
        <v>12.998396338438864</v>
      </c>
      <c r="GJ267" s="102">
        <f>$GG267*EB267*'Feedstock Conversion Rates'!$B$3</f>
        <v>865.81339079441432</v>
      </c>
      <c r="GK267" s="102">
        <f>$GG267*EC267*'Feedstock Conversion Rates'!$B$4</f>
        <v>1513.5973710278442</v>
      </c>
      <c r="GL267" s="102">
        <f>$GG267*ED267*'Feedstock Conversion Rates'!$B$5</f>
        <v>58.000469319887834</v>
      </c>
      <c r="GM267" s="102">
        <f>$GG267*EE267*'Feedstock Conversion Rates'!$B$6</f>
        <v>327.06554040004949</v>
      </c>
      <c r="GN267" s="102">
        <f>$GG267*EF267*'Feedstock Conversion Rates'!$B$7</f>
        <v>312.62333533078578</v>
      </c>
      <c r="GO267" s="102">
        <f>$GG267*EG267*'Feedstock Conversion Rates'!$B$8</f>
        <v>30.430580911791509</v>
      </c>
      <c r="GP267" s="102">
        <f>$GG267*EH267*'Feedstock Conversion Rates'!B$9</f>
        <v>3.33609331477418</v>
      </c>
      <c r="GQ267" s="102">
        <f t="shared" si="180"/>
        <v>3123.8651774379859</v>
      </c>
      <c r="GR267" s="85">
        <f t="shared" si="204"/>
        <v>7.9777598104770124</v>
      </c>
      <c r="GT267" s="103">
        <f t="shared" si="254"/>
        <v>4.1609978664634293E-3</v>
      </c>
      <c r="GU267" s="103">
        <f t="shared" si="254"/>
        <v>0.27716093416826149</v>
      </c>
      <c r="GV267" s="103">
        <f t="shared" si="254"/>
        <v>0.4845271114642693</v>
      </c>
      <c r="GW267" s="103">
        <f t="shared" si="254"/>
        <v>1.856689262353392E-2</v>
      </c>
      <c r="GX267" s="103">
        <f t="shared" si="253"/>
        <v>0.10469899365768714</v>
      </c>
      <c r="GY267" s="103">
        <f t="shared" si="253"/>
        <v>0.10007580915741743</v>
      </c>
      <c r="GZ267" s="103">
        <f t="shared" si="253"/>
        <v>9.7413233873136964E-3</v>
      </c>
      <c r="HA267" s="103">
        <f t="shared" si="251"/>
        <v>1.0679376750536498E-3</v>
      </c>
    </row>
    <row r="268" spans="1:209" x14ac:dyDescent="0.25">
      <c r="A268" s="96">
        <v>48580</v>
      </c>
      <c r="B268" s="104">
        <f t="shared" ref="B268:B276" si="263">115.75+145+100+235+31.5-21-287-20-28-32-70-39-47+40+20-3-10-2.5-15-75-35-1+35-1+25+32+10+32+5+7-46-100</f>
        <v>0.75</v>
      </c>
      <c r="C268" s="104">
        <f t="shared" ref="C268:C276" si="264">50-1+1+5-50+15+46.5-27-6-20-10</f>
        <v>3.5</v>
      </c>
      <c r="D268" s="104">
        <f t="shared" si="242"/>
        <v>2</v>
      </c>
      <c r="E268" s="104">
        <f>('Renewable Diesel'!B277*E$3*'Feedstock Conversion Rates'!$B$2)/12+26+13-100+27.5+39+75-10-32-1-7+46-46.5+27-15+10-42-95</f>
        <v>4.9300000000000068</v>
      </c>
      <c r="F268" s="104">
        <f>('Renewable Diesel'!B277*'RD Feedstock Breakdown'!F$3*'Feedstock Conversion Rates'!B$8)/12+77+23-10-12-115.75+24+8+2.5+1-32-15</f>
        <v>4.65625</v>
      </c>
      <c r="G268" s="104">
        <f>('Renewable Diesel'!B277*'RD Feedstock Breakdown'!G$3*'Feedstock Conversion Rates'!B$7)/12-25-15-25+4+4-20-40-20+10-17.5+20+50-12+32.5+35-75-75+22.5+5-20+15+125-10-60+5-85+45+20</f>
        <v>69.657000000000011</v>
      </c>
      <c r="H268" s="104">
        <f>('Renewable Diesel'!B277*'RD Feedstock Breakdown'!H$3*'Feedstock Conversion Rates'!B$3)/12-85+4-15+70-65-80+50-22.5-5+25+27.5+15+50+15-10+5+50+75-5-25-85-12.5+30+22.5-25-30+150+90-120+25+10+20+85-30-45-20+95</f>
        <v>410.40022499999998</v>
      </c>
      <c r="I268" s="106">
        <f t="shared" si="203"/>
        <v>495.89347499999997</v>
      </c>
      <c r="J268" s="104">
        <f>87-50+15+53+55-6+84+19-11-40-29-30-13-50-7+30+25+15-7.5-45-10-1-55+5+15+18+90-5+15+5-100-70+11+40-24-14-5-9.5+20+40</f>
        <v>60</v>
      </c>
      <c r="K268" s="104"/>
      <c r="L268" s="104">
        <v>1</v>
      </c>
      <c r="M268" s="104">
        <f>('Renewable Diesel'!C277*'RD Feedstock Breakdown'!M$3*'Feedstock Conversion Rates'!B$2)/12</f>
        <v>7.7902500000000003</v>
      </c>
      <c r="N268" s="104">
        <f>('Renewable Diesel'!C277*'RD Feedstock Breakdown'!N$3*'Feedstock Conversion Rates'!B$8)/12</f>
        <v>3.671875</v>
      </c>
      <c r="O268" s="104">
        <f>('Renewable Diesel'!C277*'RD Feedstock Breakdown'!O$3*'Feedstock Conversion Rates'!B$7)/12</f>
        <v>11.9991</v>
      </c>
      <c r="P268" s="104">
        <f>('Renewable Diesel'!C277*'RD Feedstock Breakdown'!P$3*'Feedstock Conversion Rates'!B$3)/12</f>
        <v>10.4470425</v>
      </c>
      <c r="Q268" s="106">
        <f t="shared" si="216"/>
        <v>94.908267499999994</v>
      </c>
      <c r="R268" s="104">
        <f>('Renewable Diesel'!D277*'RD Feedstock Breakdown'!R$3*'Feedstock Conversion Rates'!B$7)/12</f>
        <v>2.2999999999999998</v>
      </c>
      <c r="S268" s="106">
        <f t="shared" si="249"/>
        <v>2.2999999999999998</v>
      </c>
      <c r="T268" s="104">
        <f t="shared" si="221"/>
        <v>0.82500000000000284</v>
      </c>
      <c r="U268" s="104">
        <v>30</v>
      </c>
      <c r="V268" s="104">
        <f>('Renewable Diesel'!E277*'RD Feedstock Breakdown'!V$3*'Feedstock Conversion Rates'!B$6)/12-20+25-35+15</f>
        <v>29.250150000000012</v>
      </c>
      <c r="W268" s="104">
        <f>('Renewable Diesel'!E277*'RD Feedstock Breakdown'!W$3*'Feedstock Conversion Rates'!B$8)/12-6-10</f>
        <v>6.1796875</v>
      </c>
      <c r="X268" s="106">
        <f t="shared" si="185"/>
        <v>66.254837500000008</v>
      </c>
      <c r="Y268" s="104">
        <f t="shared" si="259"/>
        <v>146</v>
      </c>
      <c r="Z268" s="104">
        <f>('Renewable Diesel'!F277*'RD Feedstock Breakdown'!Z$3*'Feedstock Conversion Rates'!B$6)/12-142+15+5+75-45+52.5-87.5+80-10-20-17+2+7</f>
        <v>74.460000000000008</v>
      </c>
      <c r="AA268" s="104">
        <f>('Renewable Diesel'!F277*'RD Feedstock Breakdown'!AA$3*'Feedstock Conversion Rates'!B$7)/12+24-30-55</f>
        <v>43.266666666666652</v>
      </c>
      <c r="AB268" s="106">
        <f t="shared" si="235"/>
        <v>263.72666666666669</v>
      </c>
      <c r="AC268" s="104">
        <f>('Renewable Diesel'!G277*'RD Feedstock Breakdown'!AC$3*'Feedstock Conversion Rates'!B$5)/12</f>
        <v>11.796875</v>
      </c>
      <c r="AD268" s="104">
        <f>('Renewable Diesel'!G277*'RD Feedstock Breakdown'!AD$3*'Feedstock Conversion Rates'!B$4)/12</f>
        <v>5.859375</v>
      </c>
      <c r="AE268" s="104">
        <f>('Renewable Diesel'!G277*'RD Feedstock Breakdown'!AE$3*'Feedstock Conversion Rates'!B$6)/12</f>
        <v>7.3281250000000009</v>
      </c>
      <c r="AF268" s="106">
        <f t="shared" si="198"/>
        <v>24.984375</v>
      </c>
      <c r="AG268" s="104">
        <f t="shared" si="230"/>
        <v>6.5</v>
      </c>
      <c r="AH268" s="104">
        <v>135</v>
      </c>
      <c r="AI268" s="104">
        <f>('Renewable Diesel'!H277*'RD Feedstock Breakdown'!AI$3*'Feedstock Conversion Rates'!B$6)/12-130-20+51-120+105-37.5+10</f>
        <v>7.0166666666666799</v>
      </c>
      <c r="AJ268" s="106">
        <f t="shared" si="248"/>
        <v>13.51666666666668</v>
      </c>
      <c r="AK268" s="104">
        <f>('Renewable Diesel'!J277*'RD Feedstock Breakdown'!AK$3*'Feedstock Conversion Rates'!B$4)/12</f>
        <v>95.8125</v>
      </c>
      <c r="AL268" s="106">
        <f t="shared" si="252"/>
        <v>95.8125</v>
      </c>
      <c r="AM268" s="104">
        <f>('Renewable Diesel'!K277*'RD Feedstock Breakdown'!AM$3*'Feedstock Conversion Rates'!B$4)/12+5+15-10+5-26</f>
        <v>47.59375</v>
      </c>
      <c r="AN268" s="104">
        <f>('Renewable Diesel'!K277*'RD Feedstock Breakdown'!AN$3*'Feedstock Conversion Rates'!B$6)/12-5-15+10-5+26</f>
        <v>35.427083333333329</v>
      </c>
      <c r="AO268" s="106">
        <f t="shared" si="173"/>
        <v>83.020833333333329</v>
      </c>
      <c r="AP268" s="104">
        <f>('Renewable Diesel'!L277*'RD Feedstock Breakdown'!AP$3*'Feedstock Conversion Rates'!B$4)/12+15-10+10+2.5</f>
        <v>76.09375</v>
      </c>
      <c r="AQ268" s="104">
        <f>('Renewable Diesel'!L277*'RD Feedstock Breakdown'!AQ$3*'Feedstock Conversion Rates'!B$6)/12-15+10-10-2.5</f>
        <v>6.9270833333333321</v>
      </c>
      <c r="AR268" s="106">
        <f t="shared" si="256"/>
        <v>83.020833333333329</v>
      </c>
      <c r="AS268" s="104">
        <f>('Renewable Diesel'!M277*'RD Feedstock Breakdown'!AS$3*'Feedstock Conversion Rates'!B$4)/12-25</f>
        <v>431.25</v>
      </c>
      <c r="AT268" s="104">
        <f>('Renewable Diesel'!M277*'RD Feedstock Breakdown'!AT$3*'Feedstock Conversion Rates'!B$5)/12+25</f>
        <v>25</v>
      </c>
      <c r="AU268" s="106">
        <f t="shared" si="201"/>
        <v>456.25</v>
      </c>
      <c r="AV268" s="104">
        <f>'Renewable Diesel'!N277*'RD Feedstock Breakdown'!$AV$3*'Feedstock Conversion Rates'!$B$4/12-15-10+25+25-22+15-68+11</f>
        <v>39.749999999999986</v>
      </c>
      <c r="AW268" s="104">
        <f>'Renewable Diesel'!N277*'RD Feedstock Breakdown'!$AW$3*'Feedstock Conversion Rates'!$B$7/12+15+10-25-25+22-15+68-11</f>
        <v>80.400000000000006</v>
      </c>
      <c r="AX268" s="106">
        <f t="shared" si="239"/>
        <v>120.14999999999999</v>
      </c>
      <c r="AY268" s="104">
        <f>('Renewable Diesel'!O277*'RD Feedstock Breakdown'!AY$3*'Feedstock Conversion Rates'!B$4)/12-100-160-10-78</f>
        <v>-137.0625</v>
      </c>
      <c r="AZ268" s="104">
        <f>('Renewable Diesel'!O277*'RD Feedstock Breakdown'!AZ$3*'Feedstock Conversion Rates'!B$3)/12+100+160+10+78</f>
        <v>373.03125</v>
      </c>
      <c r="BA268" s="106">
        <f t="shared" si="217"/>
        <v>235.96875</v>
      </c>
      <c r="BB268" s="104">
        <f>('Renewable Diesel'!Q277*'RD Feedstock Breakdown'!BB$3*'Feedstock Conversion Rates'!B$4)/12</f>
        <v>11.156249999999998</v>
      </c>
      <c r="BC268" s="104">
        <f>('Renewable Diesel'!Q277*'RD Feedstock Breakdown'!BC$3*'Feedstock Conversion Rates'!B$3)/12</f>
        <v>1.4017500000000001</v>
      </c>
      <c r="BD268" s="104">
        <f>('Renewable Diesel'!Q277*'RD Feedstock Breakdown'!BD$3*'Feedstock Conversion Rates'!B$6)/12</f>
        <v>0.8207500000000002</v>
      </c>
      <c r="BE268" s="106">
        <f t="shared" si="189"/>
        <v>13.378749999999998</v>
      </c>
      <c r="BF268" s="104">
        <f>('Renewable Diesel'!R277*'RD Feedstock Breakdown'!BF$3*'Feedstock Conversion Rates'!B$4)/12</f>
        <v>62.5</v>
      </c>
      <c r="BG268" s="106">
        <f t="shared" si="262"/>
        <v>62.5</v>
      </c>
      <c r="BH268" s="104">
        <f>('Renewable Diesel'!T277*'RD Feedstock Breakdown'!BH$3*'Feedstock Conversion Rates'!B$7)/12</f>
        <v>27.599999999999998</v>
      </c>
      <c r="BI268" s="106">
        <f t="shared" si="243"/>
        <v>27.599999999999998</v>
      </c>
      <c r="BJ268" s="104">
        <f>('Renewable Diesel'!W277*'RD Feedstock Breakdown'!BJ$3*'Feedstock Conversion Rates'!B$4)/12</f>
        <v>7.5</v>
      </c>
      <c r="BK268" s="104">
        <f>('Renewable Diesel'!W277*'RD Feedstock Breakdown'!BK$3*'Feedstock Conversion Rates'!B$3)/12</f>
        <v>1.335</v>
      </c>
      <c r="BL268" s="104">
        <f>('Renewable Diesel'!W277*'RD Feedstock Breakdown'!BL$3*'Feedstock Conversion Rates'!B$6)/12</f>
        <v>3.1266666666666669</v>
      </c>
      <c r="BM268" s="104">
        <f>('Renewable Diesel'!W277*'RD Feedstock Breakdown'!BM$3*'Feedstock Conversion Rates'!B$7)/12</f>
        <v>1.5333333333333332</v>
      </c>
      <c r="BN268" s="106">
        <f t="shared" si="209"/>
        <v>13.495000000000001</v>
      </c>
      <c r="BO268" s="104">
        <f>('Renewable Diesel'!P277*'Feedstock Conversion Rates'!B$4)/12</f>
        <v>31.25</v>
      </c>
      <c r="BP268" s="106">
        <f t="shared" si="199"/>
        <v>31.25</v>
      </c>
      <c r="BQ268" s="104">
        <f>('Renewable Diesel'!$S277*'RD Feedstock Breakdown'!BQ$3*'Feedstock Conversion Rates'!B$4)/12+10</f>
        <v>38.125</v>
      </c>
      <c r="BR268" s="104">
        <f>('Renewable Diesel'!$S277*'RD Feedstock Breakdown'!BR$3*'Feedstock Conversion Rates'!B$7)/12-10</f>
        <v>1.5</v>
      </c>
      <c r="BS268" s="106">
        <f t="shared" si="222"/>
        <v>39.625</v>
      </c>
      <c r="BT268" s="106"/>
      <c r="BU268" s="104">
        <f>('Renewable Diesel'!Y277*'Feedstock Conversion Rates'!B$7)/12</f>
        <v>2.6833333333333331</v>
      </c>
      <c r="BV268" s="106">
        <f t="shared" si="191"/>
        <v>2.6833333333333331</v>
      </c>
      <c r="BW268" s="104">
        <f>('Renewable Diesel'!$Z277*'RD Feedstock Breakdown'!BW$3*'Feedstock Conversion Rates'!$B$4)/12</f>
        <v>71.875</v>
      </c>
      <c r="BX268" s="104">
        <f>('Renewable Diesel'!$Z277*'RD Feedstock Breakdown'!BX$3*'Feedstock Conversion Rates'!$B$5)/12</f>
        <v>7.2354166666666666</v>
      </c>
      <c r="BY268" s="104">
        <f>('Renewable Diesel'!$Z277*'RD Feedstock Breakdown'!BY$3*'Feedstock Conversion Rates'!$B$7)/12</f>
        <v>61.716666666666661</v>
      </c>
      <c r="BZ268" s="104">
        <f>('Renewable Diesel'!$Z277*'RD Feedstock Breakdown'!BZ$3*'Feedstock Conversion Rates'!$B$3)/12</f>
        <v>15.352499999999999</v>
      </c>
      <c r="CA268" s="106">
        <f t="shared" si="228"/>
        <v>156.17958333333331</v>
      </c>
      <c r="CB268" s="104">
        <f>('Renewable Diesel'!AA277*'Feedstock Conversion Rates'!B$4)/12</f>
        <v>191.25</v>
      </c>
      <c r="CC268" s="106">
        <f t="shared" si="213"/>
        <v>191.25</v>
      </c>
      <c r="CD268" s="104">
        <f>('Renewable Diesel'!$AB277*'RD Feedstock Breakdown'!CD$3*'Feedstock Conversion Rates'!$B$6)/12-15-5+5</f>
        <v>17.830000000000005</v>
      </c>
      <c r="CE268" s="104">
        <f>('Renewable Diesel'!$AB277*'RD Feedstock Breakdown'!CE$3*'Feedstock Conversion Rates'!$B$4)/12+15+5-5</f>
        <v>26.25</v>
      </c>
      <c r="CF268" s="106">
        <f t="shared" si="205"/>
        <v>44.080000000000005</v>
      </c>
      <c r="CG268" s="104">
        <f>('Renewable Diesel'!AD277*'Feedstock Conversion Rates'!B$4)/12</f>
        <v>112.5</v>
      </c>
      <c r="CH268" s="106">
        <f t="shared" si="187"/>
        <v>112.5</v>
      </c>
      <c r="CI268" s="104">
        <f>('Renewable Diesel'!$AE277*'RD Feedstock Breakdown'!CI$3*'Feedstock Conversion Rates'!$B$5)/12</f>
        <v>0.34604166666666664</v>
      </c>
      <c r="CJ268" s="104">
        <f>('Renewable Diesel'!$AE277*'RD Feedstock Breakdown'!CJ$3*'Feedstock Conversion Rates'!$B$4)/12</f>
        <v>0.34375</v>
      </c>
      <c r="CK268" s="106">
        <f t="shared" si="200"/>
        <v>0.68979166666666658</v>
      </c>
      <c r="CL268" s="104">
        <f>(((CL$3*'Renewable Diesel'!$AF277)*'Feedstock Conversion Rates'!$B$3)/12)-25</f>
        <v>66.78125</v>
      </c>
      <c r="CM268" s="104">
        <f>(((CM$3*'Renewable Diesel'!$AF277)*'Feedstock Conversion Rates'!$B$6)/12)+25</f>
        <v>78.739583333333343</v>
      </c>
      <c r="CN268" s="104">
        <f>(((CN$3*'Renewable Diesel'!$AF277)*'Feedstock Conversion Rates'!$B$4)/12)</f>
        <v>42.96875</v>
      </c>
      <c r="CO268" s="106">
        <f t="shared" si="190"/>
        <v>188.48958333333334</v>
      </c>
      <c r="CP268" s="104">
        <f>('Renewable Diesel'!$AG277*'RD Feedstock Breakdown'!CP$3*'Feedstock Conversion Rates'!$B$3)/12</f>
        <v>6.0075000000000003</v>
      </c>
      <c r="CQ268" s="104">
        <f>('Renewable Diesel'!$AG277*'RD Feedstock Breakdown'!CQ$3*'Feedstock Conversion Rates'!$B$6)/12</f>
        <v>3.5175000000000001</v>
      </c>
      <c r="CR268" s="104">
        <f>('Renewable Diesel'!$AG277*'RD Feedstock Breakdown'!CR$3*'Feedstock Conversion Rates'!$B$4)/12</f>
        <v>2.8125</v>
      </c>
      <c r="CS268" s="106">
        <f t="shared" si="231"/>
        <v>12.3375</v>
      </c>
      <c r="CT268" s="104">
        <f>('Renewable Diesel'!AI277*'Feedstock Conversion Rates'!$B$4*'RD Feedstock Breakdown'!$CT$3)/12</f>
        <v>29.375</v>
      </c>
      <c r="CU268" s="106">
        <f t="shared" si="196"/>
        <v>29.375</v>
      </c>
      <c r="CV268" s="104">
        <f>('Renewable Diesel'!AN277*'Feedstock Conversion Rates'!$B$3*'RD Feedstock Breakdown'!$CV$3)/12</f>
        <v>0.50062499999999999</v>
      </c>
      <c r="CW268" s="106">
        <f t="shared" si="255"/>
        <v>0.50062499999999999</v>
      </c>
      <c r="CX268" s="104">
        <f>('Renewable Diesel'!AO277*'RD Feedstock Breakdown'!$CX$3*'Feedstock Conversion Rates'!$B$3)/12</f>
        <v>6.3412499999999996</v>
      </c>
      <c r="CY268" s="104">
        <f>('Renewable Diesel'!AO277*'RD Feedstock Breakdown'!$CY$3*'Feedstock Conversion Rates'!$B$6)/12</f>
        <v>7.4258333333333342</v>
      </c>
      <c r="CZ268" s="106">
        <f t="shared" si="233"/>
        <v>13.767083333333334</v>
      </c>
      <c r="DA268" s="104">
        <f>('Renewable Diesel'!$AP277*'RD Feedstock Breakdown'!DA$3*'Feedstock Conversion Rates'!$B$3)/12</f>
        <v>6.3412499999999996</v>
      </c>
      <c r="DB268" s="104">
        <f>('Renewable Diesel'!$AP277*'RD Feedstock Breakdown'!DB$3*'Feedstock Conversion Rates'!$B$8)/12</f>
        <v>7.421875</v>
      </c>
      <c r="DC268" s="106">
        <f t="shared" si="260"/>
        <v>13.763124999999999</v>
      </c>
      <c r="DD268" s="104">
        <f>('Renewable Diesel'!AQ277*$DD$3*'Feedstock Conversion Rates'!$B$14)/12</f>
        <v>3.1041666666666665</v>
      </c>
      <c r="DE268" s="106">
        <f t="shared" si="261"/>
        <v>3.1041666666666665</v>
      </c>
      <c r="DF268" s="104">
        <f>('Renewable Diesel'!AR277*'Feedstock Conversion Rates'!$B$4*$DF$3)/12</f>
        <v>75</v>
      </c>
      <c r="DG268" s="106">
        <f t="shared" si="234"/>
        <v>75</v>
      </c>
      <c r="DH268" s="104">
        <f>('Renewable Diesel'!AS277*'Feedstock Conversion Rates'!$B$4*$DH$3)/12</f>
        <v>75</v>
      </c>
      <c r="DI268" s="106">
        <f t="shared" si="240"/>
        <v>75</v>
      </c>
      <c r="DJ268" s="104">
        <f>('Renewable Diesel'!AT277*'Feedstock Conversion Rates'!$B$4*0.25)/12</f>
        <v>8.59375</v>
      </c>
      <c r="DK268" s="104">
        <f>('Renewable Diesel'!$AT277*'RD Feedstock Breakdown'!DK$3*'Feedstock Conversion Rates'!$B$3)/12*0.5</f>
        <v>9.1781249999999996</v>
      </c>
      <c r="DL268" s="104">
        <f>('Renewable Diesel'!$AT277*'RD Feedstock Breakdown'!$DL$3*'Feedstock Conversion Rates'!$B$6)/12</f>
        <v>10.747916666666669</v>
      </c>
      <c r="DM268" s="104">
        <f>('Renewable Diesel'!$AT277*'RD Feedstock Breakdown'!$DM$3*'Feedstock Conversion Rates'!$B$8)/12</f>
        <v>10.7421875</v>
      </c>
      <c r="DN268" s="106">
        <f t="shared" si="210"/>
        <v>39.26197916666667</v>
      </c>
      <c r="DP268" s="104">
        <f t="shared" ref="DP268:DP331" si="265">E268+M268</f>
        <v>12.720250000000007</v>
      </c>
      <c r="DQ268" s="104">
        <f t="shared" ref="DQ268:DQ331" si="266">H268+P268+AZ268+BC268+BK268+BZ268+CL268+CP268+CV268+CX268+DA268+DK268</f>
        <v>907.11776750000001</v>
      </c>
      <c r="DR268" s="104">
        <f t="shared" si="174"/>
        <v>1708.953125</v>
      </c>
      <c r="DS268" s="104">
        <f t="shared" si="197"/>
        <v>66.901250000000005</v>
      </c>
      <c r="DT268" s="104">
        <f t="shared" ref="DT268:DT331" si="267">V268+Z268+AE268+AI268+BD268+BL268+AN268+AQ268+CD268+CM268+CQ268+CY268+DB268+DL268</f>
        <v>290.03923333333341</v>
      </c>
      <c r="DU268" s="104">
        <f t="shared" ref="DU268:DU331" si="268">G268+O268+R268+AA268+AW268+BH268+BM268+BR268+BU268+BY268</f>
        <v>302.65609999999998</v>
      </c>
      <c r="DV268" s="104">
        <f t="shared" si="175"/>
        <v>25.25</v>
      </c>
      <c r="DW268" s="104">
        <f t="shared" ref="DW268:DW331" si="269">D268+L268</f>
        <v>3</v>
      </c>
      <c r="DX268" s="106">
        <f t="shared" si="176"/>
        <v>3316.6377258333337</v>
      </c>
      <c r="DY268" s="109">
        <f t="shared" si="257"/>
        <v>-135.00000000000048</v>
      </c>
      <c r="EA268" s="110">
        <f t="shared" si="250"/>
        <v>3.8352847225133504E-3</v>
      </c>
      <c r="EB268" s="110">
        <f t="shared" si="250"/>
        <v>0.27350523104602231</v>
      </c>
      <c r="EC268" s="110">
        <f t="shared" si="250"/>
        <v>0.51526674489919178</v>
      </c>
      <c r="ED268" s="110">
        <f t="shared" si="250"/>
        <v>2.0171407169045117E-2</v>
      </c>
      <c r="EE268" s="110">
        <f t="shared" si="250"/>
        <v>8.744977815159434E-2</v>
      </c>
      <c r="EF268" s="110">
        <f t="shared" si="250"/>
        <v>9.1253891747840821E-2</v>
      </c>
      <c r="EG268" s="110">
        <f t="shared" si="250"/>
        <v>7.6131317579027176E-3</v>
      </c>
      <c r="EH268" s="111">
        <f t="shared" si="177"/>
        <v>9.0453050588943187E-4</v>
      </c>
      <c r="EI268" s="110">
        <f t="shared" si="236"/>
        <v>0.99909546949411043</v>
      </c>
      <c r="EK268" s="132">
        <f>(EA268*'Renewable Diesel'!BF277*'Feedstock Conversion Rates'!B$2)+FB268</f>
        <v>17.546745615627721</v>
      </c>
      <c r="EL268" s="132">
        <f>(EB268*'Renewable Diesel'!BF277*'Feedstock Conversion Rates'!B$3)+FC268</f>
        <v>1179.1748203710054</v>
      </c>
      <c r="EM268" s="132">
        <f>(EC268*'Renewable Diesel'!BF277*'Feedstock Conversion Rates'!B$4)+FD268</f>
        <v>2080.0483078791945</v>
      </c>
      <c r="EN268" s="132">
        <f>(ED268*'Renewable Diesel'!BF277*'Feedstock Conversion Rates'!B$5)+FE268</f>
        <v>81.971558310912116</v>
      </c>
      <c r="EO268" s="132">
        <f>(EE268*'Renewable Diesel'!BF277*'Feedstock Conversion Rates'!B$6)+FF268</f>
        <v>441.5110670280377</v>
      </c>
      <c r="EP268" s="132">
        <f>(EF268*'Renewable Diesel'!BF277*'Feedstock Conversion Rates'!B$7)+FG268</f>
        <v>451.87599004926545</v>
      </c>
      <c r="EQ268" s="132">
        <f>(EG268*'Renewable Diesel'!BF277*'Feedstock Conversion Rates'!B$8)+FH268</f>
        <v>38.416223217027721</v>
      </c>
      <c r="ER268" s="132">
        <f>(EH268*'Renewable Diesel'!BF277*'Feedstock Conversion Rates'!B$9)+FI268</f>
        <v>4.5034463652436454</v>
      </c>
      <c r="ES268" s="132">
        <f t="shared" si="179"/>
        <v>4295.0481588363136</v>
      </c>
      <c r="ET268" s="133">
        <f>ES268/'Renewable Diesel'!BF277</f>
        <v>8.6219575488747324</v>
      </c>
      <c r="EW268" s="73">
        <f t="shared" si="223"/>
        <v>2323.0641268347817</v>
      </c>
      <c r="EX268" s="73">
        <f t="shared" si="224"/>
        <v>2291.9130326503396</v>
      </c>
      <c r="EY268" s="92">
        <f t="shared" si="258"/>
        <v>0.54087033274713858</v>
      </c>
      <c r="EZ268" s="92">
        <f t="shared" si="258"/>
        <v>0.53361753998849293</v>
      </c>
      <c r="FB268" s="102">
        <f>IF('Renewable Diesel'!$BG277&lt;1,0,(((('Renewable Diesel'!$BG277-1)*'Renewable Diesel'!$BF277)*'RD Feedstock Breakdown'!EA268)*'Feedstock Conversion Rates'!$B$2))</f>
        <v>1.3070197543413733</v>
      </c>
      <c r="FC268" s="102">
        <f>IF('Renewable Diesel'!$BG277&lt;1,0,(((('Renewable Diesel'!$BG277-1)*'Renewable Diesel'!$BF277)*'RD Feedstock Breakdown'!EB268)*'Feedstock Conversion Rates'!$B$3))</f>
        <v>87.834223952856263</v>
      </c>
      <c r="FD268" s="102">
        <f>IF('Renewable Diesel'!$BG277&lt;1,0,(((('Renewable Diesel'!$BG277-1)*'Renewable Diesel'!$BF277)*'RD Feedstock Breakdown'!EC268)*'Feedstock Conversion Rates'!$B$4))</f>
        <v>154.93837364127052</v>
      </c>
      <c r="FE268" s="102">
        <f>IF('Renewable Diesel'!$BG277&lt;1,0,(((('Renewable Diesel'!$BG277-1)*'Renewable Diesel'!$BF277)*'RD Feedstock Breakdown'!ED268)*'Feedstock Conversion Rates'!$B$5))</f>
        <v>6.1058870034045967</v>
      </c>
      <c r="FF268" s="102">
        <f>IF('Renewable Diesel'!$BG277&lt;1,0,(((('Renewable Diesel'!$BG277-1)*'Renewable Diesel'!$BF277)*'RD Feedstock Breakdown'!EE268)*'Feedstock Conversion Rates'!$B$6))</f>
        <v>32.887220172157221</v>
      </c>
      <c r="FG268" s="102">
        <f>IF('Renewable Diesel'!$BG277&lt;1,0,(((('Renewable Diesel'!$BG277-1)*'Renewable Diesel'!$BF277)*'RD Feedstock Breakdown'!EF268)*'Feedstock Conversion Rates'!$B$7))</f>
        <v>33.65928123907706</v>
      </c>
      <c r="FH268" s="102">
        <f>IF('Renewable Diesel'!$BG277&lt;1,0,(((('Renewable Diesel'!$BG277-1)*'Renewable Diesel'!$BF277)*'RD Feedstock Breakdown'!EG268)*'Feedstock Conversion Rates'!$B$8))</f>
        <v>2.8615427459735625</v>
      </c>
      <c r="FI268" s="102">
        <f>IF('Renewable Diesel'!$BG277&lt;1,0,(((('Renewable Diesel'!$BG277-1)*'Renewable Diesel'!$BF277)*'RD Feedstock Breakdown'!EH268)*'Feedstock Conversion Rates'!$B$9))</f>
        <v>0.33545213972600973</v>
      </c>
      <c r="FJ268" s="102">
        <f t="shared" si="225"/>
        <v>319.92900064880661</v>
      </c>
      <c r="GD268" s="91">
        <f>'Renewable Diesel'!BB277*0.32</f>
        <v>0</v>
      </c>
      <c r="GE268" s="91">
        <f>'Renewable Diesel'!BC277</f>
        <v>245.01296190866026</v>
      </c>
      <c r="GF268" s="91">
        <f>'Renewable Diesel'!BD277</f>
        <v>0</v>
      </c>
      <c r="GG268" s="91">
        <f t="shared" si="206"/>
        <v>245.01296190866026</v>
      </c>
      <c r="GH268" s="124">
        <v>1</v>
      </c>
      <c r="GI268" s="102">
        <f>$GG268*EA268*'Feedstock Conversion Rates'!$B$2</f>
        <v>7.9874029918212557</v>
      </c>
      <c r="GJ268" s="102">
        <f>$GG268*EB268*'Feedstock Conversion Rates'!$B$3</f>
        <v>536.76873731634805</v>
      </c>
      <c r="GK268" s="102">
        <f>$GG268*EC268*'Feedstock Conversion Rates'!$B$4</f>
        <v>946.85273505588782</v>
      </c>
      <c r="GL268" s="102">
        <f>$GG268*ED268*'Feedstock Conversion Rates'!$B$5</f>
        <v>37.314034433467626</v>
      </c>
      <c r="GM268" s="102">
        <f>$GG268*EE268*'Feedstock Conversion Rates'!$B$6</f>
        <v>200.97896755060378</v>
      </c>
      <c r="GN268" s="102">
        <f>$GG268*EF268*'Feedstock Conversion Rates'!$B$7</f>
        <v>205.69715398604271</v>
      </c>
      <c r="GO268" s="102">
        <f>$GG268*EG268*'Feedstock Conversion Rates'!$B$8</f>
        <v>17.487337138168407</v>
      </c>
      <c r="GP268" s="102">
        <f>$GG268*EH268*'Feedstock Conversion Rates'!B$9</f>
        <v>2.0500007100585544</v>
      </c>
      <c r="GQ268" s="102">
        <f t="shared" si="180"/>
        <v>1955.1363691823981</v>
      </c>
      <c r="GR268" s="85">
        <f t="shared" si="204"/>
        <v>7.9797262722421367</v>
      </c>
      <c r="GT268" s="103">
        <f t="shared" si="254"/>
        <v>4.0853431595471983E-3</v>
      </c>
      <c r="GU268" s="103">
        <f t="shared" si="254"/>
        <v>0.27454286349387225</v>
      </c>
      <c r="GV268" s="103">
        <f t="shared" si="254"/>
        <v>0.48428986846162769</v>
      </c>
      <c r="GW268" s="103">
        <f t="shared" si="254"/>
        <v>1.9085131360464469E-2</v>
      </c>
      <c r="GX268" s="103">
        <f t="shared" si="253"/>
        <v>0.10279537055241292</v>
      </c>
      <c r="GY268" s="103">
        <f t="shared" si="253"/>
        <v>0.10520859681622179</v>
      </c>
      <c r="GZ268" s="103">
        <f t="shared" si="253"/>
        <v>8.9443055808333671E-3</v>
      </c>
      <c r="HA268" s="103">
        <f t="shared" si="251"/>
        <v>1.0485205750204662E-3</v>
      </c>
    </row>
    <row r="269" spans="1:209" x14ac:dyDescent="0.25">
      <c r="A269" s="96">
        <v>48611</v>
      </c>
      <c r="B269" s="104">
        <f t="shared" si="263"/>
        <v>0.75</v>
      </c>
      <c r="C269" s="104">
        <f t="shared" si="264"/>
        <v>3.5</v>
      </c>
      <c r="D269" s="104">
        <f t="shared" si="242"/>
        <v>2</v>
      </c>
      <c r="E269" s="104">
        <f>('Renewable Diesel'!B278*E$3*'Feedstock Conversion Rates'!$B$2)/12+26+13-100+27.5+39+75-10-32-1-7+46-46.5+27-15+10-42-95</f>
        <v>4.9300000000000068</v>
      </c>
      <c r="F269" s="104">
        <f>('Renewable Diesel'!B278*'RD Feedstock Breakdown'!F$3*'Feedstock Conversion Rates'!B$8)/12+77+23-10-12-115.75+24+8+2.5+1-32-15</f>
        <v>4.65625</v>
      </c>
      <c r="G269" s="104">
        <f>('Renewable Diesel'!B278*'RD Feedstock Breakdown'!G$3*'Feedstock Conversion Rates'!B$7)/12-25-15-25+4+4-20-40-20+10-17.5+20+50-12+32.5+35-75-75+22.5+5-20+15+125-10-60+5-85+45+20</f>
        <v>69.657000000000011</v>
      </c>
      <c r="H269" s="104">
        <f>('Renewable Diesel'!B278*'RD Feedstock Breakdown'!H$3*'Feedstock Conversion Rates'!B$3)/12-85+4-15+70-65-80+50-22.5-5+25+27.5+15+50+15-10+5+50+75-5-25-85-12.5+30+22.5-25-30+150+90-120+25+10+20+85-30-45-20+95</f>
        <v>410.40022499999998</v>
      </c>
      <c r="I269" s="106">
        <f t="shared" si="203"/>
        <v>495.89347499999997</v>
      </c>
      <c r="J269" s="104">
        <f>87-50+15+53+55-6+84+19-11-40-29-30-13-50-7+30+25+15-7.5-45-10-1-55+5+15+18+90-5+15+5-100-70+11+40-24-14-5-9.5+20+50+5</f>
        <v>75</v>
      </c>
      <c r="K269" s="104"/>
      <c r="L269" s="104">
        <v>1</v>
      </c>
      <c r="M269" s="104">
        <f>('Renewable Diesel'!C278*'RD Feedstock Breakdown'!M$3*'Feedstock Conversion Rates'!B$2)/12</f>
        <v>7.7902500000000003</v>
      </c>
      <c r="N269" s="104">
        <f>('Renewable Diesel'!C278*'RD Feedstock Breakdown'!N$3*'Feedstock Conversion Rates'!B$8)/12</f>
        <v>3.671875</v>
      </c>
      <c r="O269" s="104">
        <f>('Renewable Diesel'!C278*'RD Feedstock Breakdown'!O$3*'Feedstock Conversion Rates'!B$7)/12</f>
        <v>11.9991</v>
      </c>
      <c r="P269" s="104">
        <f>('Renewable Diesel'!C278*'RD Feedstock Breakdown'!P$3*'Feedstock Conversion Rates'!B$3)/12</f>
        <v>10.4470425</v>
      </c>
      <c r="Q269" s="106">
        <f t="shared" si="216"/>
        <v>109.90826749999999</v>
      </c>
      <c r="R269" s="104">
        <f>('Renewable Diesel'!D278*'RD Feedstock Breakdown'!R$3*'Feedstock Conversion Rates'!B$7)/12</f>
        <v>2.2999999999999998</v>
      </c>
      <c r="S269" s="106">
        <f t="shared" si="249"/>
        <v>2.2999999999999998</v>
      </c>
      <c r="T269" s="104">
        <f t="shared" si="221"/>
        <v>0.82500000000000284</v>
      </c>
      <c r="U269" s="104">
        <v>30</v>
      </c>
      <c r="V269" s="104">
        <f>('Renewable Diesel'!E278*'RD Feedstock Breakdown'!V$3*'Feedstock Conversion Rates'!B$6)/12-20+25-35+15</f>
        <v>29.250150000000012</v>
      </c>
      <c r="W269" s="104">
        <f>('Renewable Diesel'!E278*'RD Feedstock Breakdown'!W$3*'Feedstock Conversion Rates'!B$8)/12-6-10</f>
        <v>6.1796875</v>
      </c>
      <c r="X269" s="106">
        <f t="shared" si="185"/>
        <v>66.254837500000008</v>
      </c>
      <c r="Y269" s="104">
        <f t="shared" si="259"/>
        <v>146</v>
      </c>
      <c r="Z269" s="104">
        <f>('Renewable Diesel'!F278*'RD Feedstock Breakdown'!Z$3*'Feedstock Conversion Rates'!B$6)/12-142+15+5+75-45+52.5-87.5+80-10-20-17+2+7</f>
        <v>74.460000000000008</v>
      </c>
      <c r="AA269" s="104">
        <f>('Renewable Diesel'!F278*'RD Feedstock Breakdown'!AA$3*'Feedstock Conversion Rates'!B$7)/12+24-30-55</f>
        <v>43.266666666666652</v>
      </c>
      <c r="AB269" s="106">
        <f t="shared" si="235"/>
        <v>263.72666666666669</v>
      </c>
      <c r="AC269" s="104">
        <f>('Renewable Diesel'!G278*'RD Feedstock Breakdown'!AC$3*'Feedstock Conversion Rates'!B$5)/12</f>
        <v>11.796875</v>
      </c>
      <c r="AD269" s="104">
        <f>('Renewable Diesel'!G278*'RD Feedstock Breakdown'!AD$3*'Feedstock Conversion Rates'!B$4)/12</f>
        <v>5.859375</v>
      </c>
      <c r="AE269" s="104">
        <f>('Renewable Diesel'!G278*'RD Feedstock Breakdown'!AE$3*'Feedstock Conversion Rates'!B$6)/12</f>
        <v>7.3281250000000009</v>
      </c>
      <c r="AF269" s="106">
        <f t="shared" si="198"/>
        <v>24.984375</v>
      </c>
      <c r="AG269" s="104">
        <f t="shared" si="230"/>
        <v>6.5</v>
      </c>
      <c r="AH269" s="104">
        <v>135</v>
      </c>
      <c r="AI269" s="104">
        <f>('Renewable Diesel'!H278*'RD Feedstock Breakdown'!AI$3*'Feedstock Conversion Rates'!B$6)/12-130-20+51-120+105-37.5+10</f>
        <v>7.0166666666666799</v>
      </c>
      <c r="AJ269" s="106">
        <f t="shared" si="248"/>
        <v>13.51666666666668</v>
      </c>
      <c r="AK269" s="104">
        <f>('Renewable Diesel'!J278*'RD Feedstock Breakdown'!AK$3*'Feedstock Conversion Rates'!B$4)/12</f>
        <v>95.8125</v>
      </c>
      <c r="AL269" s="106">
        <f t="shared" si="252"/>
        <v>95.8125</v>
      </c>
      <c r="AM269" s="104">
        <f>('Renewable Diesel'!K278*'RD Feedstock Breakdown'!AM$3*'Feedstock Conversion Rates'!B$4)/12+5+15-10+5-26</f>
        <v>47.59375</v>
      </c>
      <c r="AN269" s="104">
        <f>('Renewable Diesel'!K278*'RD Feedstock Breakdown'!AN$3*'Feedstock Conversion Rates'!B$6)/12-5-15+10-5+26</f>
        <v>35.427083333333329</v>
      </c>
      <c r="AO269" s="106">
        <f t="shared" ref="AO269:AO332" si="270">SUM(AM269:AN269)</f>
        <v>83.020833333333329</v>
      </c>
      <c r="AP269" s="104">
        <f>('Renewable Diesel'!L278*'RD Feedstock Breakdown'!AP$3*'Feedstock Conversion Rates'!B$4)/12+15-10+10+2.5</f>
        <v>76.09375</v>
      </c>
      <c r="AQ269" s="104">
        <f>('Renewable Diesel'!L278*'RD Feedstock Breakdown'!AQ$3*'Feedstock Conversion Rates'!B$6)/12-15+10-10-2.5</f>
        <v>6.9270833333333321</v>
      </c>
      <c r="AR269" s="106">
        <f t="shared" si="256"/>
        <v>83.020833333333329</v>
      </c>
      <c r="AS269" s="104">
        <f>('Renewable Diesel'!M278*'RD Feedstock Breakdown'!AS$3*'Feedstock Conversion Rates'!B$4)/12-25</f>
        <v>431.25</v>
      </c>
      <c r="AT269" s="104">
        <f>('Renewable Diesel'!M278*'RD Feedstock Breakdown'!AT$3*'Feedstock Conversion Rates'!B$5)/12+25</f>
        <v>25</v>
      </c>
      <c r="AU269" s="106">
        <f t="shared" si="201"/>
        <v>456.25</v>
      </c>
      <c r="AV269" s="104">
        <f>'Renewable Diesel'!N278*'RD Feedstock Breakdown'!$AV$3*'Feedstock Conversion Rates'!$B$4/12-15-10+25+25-22+15-68+11</f>
        <v>39.749999999999986</v>
      </c>
      <c r="AW269" s="104">
        <f>'Renewable Diesel'!N278*'RD Feedstock Breakdown'!$AW$3*'Feedstock Conversion Rates'!$B$7/12+15+10-25-25+22-15+68-11</f>
        <v>80.400000000000006</v>
      </c>
      <c r="AX269" s="106">
        <f t="shared" si="239"/>
        <v>120.14999999999999</v>
      </c>
      <c r="AY269" s="104">
        <f>('Renewable Diesel'!O278*'RD Feedstock Breakdown'!AY$3*'Feedstock Conversion Rates'!B$4)/12-100-160-10-78</f>
        <v>-137.0625</v>
      </c>
      <c r="AZ269" s="104">
        <f>('Renewable Diesel'!O278*'RD Feedstock Breakdown'!AZ$3*'Feedstock Conversion Rates'!B$3)/12+100+160+10+78</f>
        <v>373.03125</v>
      </c>
      <c r="BA269" s="106">
        <f t="shared" si="217"/>
        <v>235.96875</v>
      </c>
      <c r="BB269" s="104">
        <f>('Renewable Diesel'!Q278*'RD Feedstock Breakdown'!BB$3*'Feedstock Conversion Rates'!B$4)/12</f>
        <v>11.156249999999998</v>
      </c>
      <c r="BC269" s="104">
        <f>('Renewable Diesel'!Q278*'RD Feedstock Breakdown'!BC$3*'Feedstock Conversion Rates'!B$3)/12</f>
        <v>1.4017500000000001</v>
      </c>
      <c r="BD269" s="104">
        <f>('Renewable Diesel'!Q278*'RD Feedstock Breakdown'!BD$3*'Feedstock Conversion Rates'!B$6)/12</f>
        <v>0.8207500000000002</v>
      </c>
      <c r="BE269" s="106">
        <f t="shared" si="189"/>
        <v>13.378749999999998</v>
      </c>
      <c r="BF269" s="104">
        <f>('Renewable Diesel'!R278*'RD Feedstock Breakdown'!BF$3*'Feedstock Conversion Rates'!B$4)/12</f>
        <v>62.5</v>
      </c>
      <c r="BG269" s="106">
        <f t="shared" si="262"/>
        <v>62.5</v>
      </c>
      <c r="BH269" s="104">
        <f>('Renewable Diesel'!T278*'RD Feedstock Breakdown'!BH$3*'Feedstock Conversion Rates'!B$7)/12</f>
        <v>27.599999999999998</v>
      </c>
      <c r="BI269" s="106">
        <f t="shared" si="243"/>
        <v>27.599999999999998</v>
      </c>
      <c r="BJ269" s="104">
        <f>('Renewable Diesel'!W278*'RD Feedstock Breakdown'!BJ$3*'Feedstock Conversion Rates'!B$4)/12</f>
        <v>7.5</v>
      </c>
      <c r="BK269" s="104">
        <f>('Renewable Diesel'!W278*'RD Feedstock Breakdown'!BK$3*'Feedstock Conversion Rates'!B$3)/12</f>
        <v>1.335</v>
      </c>
      <c r="BL269" s="104">
        <f>('Renewable Diesel'!W278*'RD Feedstock Breakdown'!BL$3*'Feedstock Conversion Rates'!B$6)/12</f>
        <v>3.1266666666666669</v>
      </c>
      <c r="BM269" s="104">
        <f>('Renewable Diesel'!W278*'RD Feedstock Breakdown'!BM$3*'Feedstock Conversion Rates'!B$7)/12</f>
        <v>1.5333333333333332</v>
      </c>
      <c r="BN269" s="106">
        <f t="shared" si="209"/>
        <v>13.495000000000001</v>
      </c>
      <c r="BO269" s="104">
        <f>('Renewable Diesel'!P278*'Feedstock Conversion Rates'!B$4)/12</f>
        <v>31.25</v>
      </c>
      <c r="BP269" s="106">
        <f t="shared" si="199"/>
        <v>31.25</v>
      </c>
      <c r="BQ269" s="104">
        <f>('Renewable Diesel'!$S278*'RD Feedstock Breakdown'!BQ$3*'Feedstock Conversion Rates'!B$4)/12+10</f>
        <v>38.125</v>
      </c>
      <c r="BR269" s="104">
        <f>('Renewable Diesel'!$S278*'RD Feedstock Breakdown'!BR$3*'Feedstock Conversion Rates'!B$7)/12-10</f>
        <v>1.5</v>
      </c>
      <c r="BS269" s="106">
        <f t="shared" si="222"/>
        <v>39.625</v>
      </c>
      <c r="BT269" s="106"/>
      <c r="BU269" s="104">
        <f>('Renewable Diesel'!Y278*'Feedstock Conversion Rates'!B$7)/12</f>
        <v>2.6833333333333331</v>
      </c>
      <c r="BV269" s="106">
        <f t="shared" si="191"/>
        <v>2.6833333333333331</v>
      </c>
      <c r="BW269" s="104">
        <f>('Renewable Diesel'!$Z278*'RD Feedstock Breakdown'!BW$3*'Feedstock Conversion Rates'!$B$4)/12</f>
        <v>71.875</v>
      </c>
      <c r="BX269" s="104">
        <f>('Renewable Diesel'!$Z278*'RD Feedstock Breakdown'!BX$3*'Feedstock Conversion Rates'!$B$5)/12</f>
        <v>7.2354166666666666</v>
      </c>
      <c r="BY269" s="104">
        <f>('Renewable Diesel'!$Z278*'RD Feedstock Breakdown'!BY$3*'Feedstock Conversion Rates'!$B$7)/12</f>
        <v>61.716666666666661</v>
      </c>
      <c r="BZ269" s="104">
        <f>('Renewable Diesel'!$Z278*'RD Feedstock Breakdown'!BZ$3*'Feedstock Conversion Rates'!$B$3)/12</f>
        <v>15.352499999999999</v>
      </c>
      <c r="CA269" s="106">
        <f t="shared" si="228"/>
        <v>156.17958333333331</v>
      </c>
      <c r="CB269" s="104">
        <f>('Renewable Diesel'!AA278*'Feedstock Conversion Rates'!B$4)/12</f>
        <v>191.25</v>
      </c>
      <c r="CC269" s="106">
        <f t="shared" si="213"/>
        <v>191.25</v>
      </c>
      <c r="CD269" s="104">
        <f>('Renewable Diesel'!$AB278*'RD Feedstock Breakdown'!CD$3*'Feedstock Conversion Rates'!$B$6)/12-15-5+5</f>
        <v>17.830000000000005</v>
      </c>
      <c r="CE269" s="104">
        <f>('Renewable Diesel'!$AB278*'RD Feedstock Breakdown'!CE$3*'Feedstock Conversion Rates'!$B$4)/12+15+5-5</f>
        <v>26.25</v>
      </c>
      <c r="CF269" s="106">
        <f t="shared" si="205"/>
        <v>44.080000000000005</v>
      </c>
      <c r="CG269" s="104">
        <f>('Renewable Diesel'!AD278*'Feedstock Conversion Rates'!B$4)/12</f>
        <v>112.5</v>
      </c>
      <c r="CH269" s="106">
        <f t="shared" si="187"/>
        <v>112.5</v>
      </c>
      <c r="CI269" s="104">
        <f>('Renewable Diesel'!$AE278*'RD Feedstock Breakdown'!CI$3*'Feedstock Conversion Rates'!$B$5)/12</f>
        <v>0.34604166666666664</v>
      </c>
      <c r="CJ269" s="104">
        <f>('Renewable Diesel'!$AE278*'RD Feedstock Breakdown'!CJ$3*'Feedstock Conversion Rates'!$B$4)/12</f>
        <v>0.34375</v>
      </c>
      <c r="CK269" s="106">
        <f t="shared" si="200"/>
        <v>0.68979166666666658</v>
      </c>
      <c r="CL269" s="104">
        <f>(((CL$3*'Renewable Diesel'!$AF278)*'Feedstock Conversion Rates'!$B$3)/12)-25</f>
        <v>66.78125</v>
      </c>
      <c r="CM269" s="104">
        <f>(((CM$3*'Renewable Diesel'!$AF278)*'Feedstock Conversion Rates'!$B$6)/12)+25</f>
        <v>78.739583333333343</v>
      </c>
      <c r="CN269" s="104">
        <f>(((CN$3*'Renewable Diesel'!$AF278)*'Feedstock Conversion Rates'!$B$4)/12)</f>
        <v>42.96875</v>
      </c>
      <c r="CO269" s="106">
        <f t="shared" si="190"/>
        <v>188.48958333333334</v>
      </c>
      <c r="CP269" s="104">
        <f>('Renewable Diesel'!$AG278*'RD Feedstock Breakdown'!CP$3*'Feedstock Conversion Rates'!$B$3)/12</f>
        <v>6.0075000000000003</v>
      </c>
      <c r="CQ269" s="104">
        <f>('Renewable Diesel'!$AG278*'RD Feedstock Breakdown'!CQ$3*'Feedstock Conversion Rates'!$B$6)/12</f>
        <v>3.5175000000000001</v>
      </c>
      <c r="CR269" s="104">
        <f>('Renewable Diesel'!$AG278*'RD Feedstock Breakdown'!CR$3*'Feedstock Conversion Rates'!$B$4)/12</f>
        <v>2.8125</v>
      </c>
      <c r="CS269" s="106">
        <f t="shared" si="231"/>
        <v>12.3375</v>
      </c>
      <c r="CT269" s="104">
        <f>('Renewable Diesel'!AI278*'Feedstock Conversion Rates'!$B$4*'RD Feedstock Breakdown'!$CT$3)/12</f>
        <v>29.375</v>
      </c>
      <c r="CU269" s="106">
        <f t="shared" si="196"/>
        <v>29.375</v>
      </c>
      <c r="CV269" s="104">
        <f>('Renewable Diesel'!AN278*'Feedstock Conversion Rates'!$B$3*'RD Feedstock Breakdown'!$CV$3)/12</f>
        <v>0.50062499999999999</v>
      </c>
      <c r="CW269" s="106">
        <f t="shared" si="255"/>
        <v>0.50062499999999999</v>
      </c>
      <c r="CX269" s="104">
        <f>('Renewable Diesel'!AO278*'RD Feedstock Breakdown'!$CX$3*'Feedstock Conversion Rates'!$B$3)/12</f>
        <v>6.3412499999999996</v>
      </c>
      <c r="CY269" s="104">
        <f>('Renewable Diesel'!AO278*'RD Feedstock Breakdown'!$CY$3*'Feedstock Conversion Rates'!$B$6)/12</f>
        <v>7.4258333333333342</v>
      </c>
      <c r="CZ269" s="106">
        <f t="shared" si="233"/>
        <v>13.767083333333334</v>
      </c>
      <c r="DA269" s="104">
        <f>('Renewable Diesel'!$AP278*'RD Feedstock Breakdown'!DA$3*'Feedstock Conversion Rates'!$B$3)/12</f>
        <v>6.3412499999999996</v>
      </c>
      <c r="DB269" s="104">
        <f>('Renewable Diesel'!$AP278*'RD Feedstock Breakdown'!DB$3*'Feedstock Conversion Rates'!$B$8)/12</f>
        <v>7.421875</v>
      </c>
      <c r="DC269" s="106">
        <f t="shared" si="260"/>
        <v>13.763124999999999</v>
      </c>
      <c r="DD269" s="104">
        <f>('Renewable Diesel'!AQ278*$DD$3*'Feedstock Conversion Rates'!$B$14)/12</f>
        <v>3.1041666666666665</v>
      </c>
      <c r="DE269" s="106">
        <f t="shared" si="261"/>
        <v>3.1041666666666665</v>
      </c>
      <c r="DF269" s="104">
        <f>('Renewable Diesel'!AR278*'Feedstock Conversion Rates'!$B$4*$DF$3)/12</f>
        <v>75</v>
      </c>
      <c r="DG269" s="106">
        <f t="shared" si="234"/>
        <v>75</v>
      </c>
      <c r="DH269" s="104">
        <f>('Renewable Diesel'!AS278*'Feedstock Conversion Rates'!$B$4*$DH$3)/12</f>
        <v>75</v>
      </c>
      <c r="DI269" s="106">
        <f t="shared" si="240"/>
        <v>75</v>
      </c>
      <c r="DJ269" s="104">
        <f>('Renewable Diesel'!AT278*'Feedstock Conversion Rates'!$B$4*0.25)/12</f>
        <v>8.59375</v>
      </c>
      <c r="DK269" s="104">
        <f>('Renewable Diesel'!$AT278*'RD Feedstock Breakdown'!DK$3*'Feedstock Conversion Rates'!$B$3)/12*0.5</f>
        <v>9.1781249999999996</v>
      </c>
      <c r="DL269" s="104">
        <f>('Renewable Diesel'!$AT278*'RD Feedstock Breakdown'!$DL$3*'Feedstock Conversion Rates'!$B$6)/12</f>
        <v>10.747916666666669</v>
      </c>
      <c r="DM269" s="104">
        <f>('Renewable Diesel'!$AT278*'RD Feedstock Breakdown'!$DM$3*'Feedstock Conversion Rates'!$B$8)/12</f>
        <v>10.7421875</v>
      </c>
      <c r="DN269" s="106">
        <f t="shared" si="210"/>
        <v>39.26197916666667</v>
      </c>
      <c r="DP269" s="104">
        <f t="shared" si="265"/>
        <v>12.720250000000007</v>
      </c>
      <c r="DQ269" s="104">
        <f t="shared" si="266"/>
        <v>907.11776750000001</v>
      </c>
      <c r="DR269" s="104">
        <f t="shared" ref="DR269:DR332" si="271">AD269+AK269+AM269+AP269+AV269+AY269+BB269+BF269+BJ269+Y269+B269+BO269+BQ269+BW269+CB269+CE269+CG269+CJ269+BT269+CN269+CR269+CT269+DF269+DH269+AS269+J269+U269+AH269</f>
        <v>1723.953125</v>
      </c>
      <c r="DS269" s="104">
        <f t="shared" si="197"/>
        <v>66.901250000000005</v>
      </c>
      <c r="DT269" s="104">
        <f t="shared" si="267"/>
        <v>290.03923333333341</v>
      </c>
      <c r="DU269" s="104">
        <f t="shared" si="268"/>
        <v>302.65609999999998</v>
      </c>
      <c r="DV269" s="104">
        <f t="shared" ref="DV269:DV332" si="272">F269+N269+W269+DM269</f>
        <v>25.25</v>
      </c>
      <c r="DW269" s="104">
        <f t="shared" si="269"/>
        <v>3</v>
      </c>
      <c r="DX269" s="106">
        <f t="shared" ref="DX269:DX332" si="273">SUM(DP269:DW269)</f>
        <v>3331.6377258333337</v>
      </c>
      <c r="DY269" s="109">
        <f t="shared" si="257"/>
        <v>-135.00000000000048</v>
      </c>
      <c r="EA269" s="110">
        <f t="shared" si="250"/>
        <v>3.8180171575582472E-3</v>
      </c>
      <c r="EB269" s="110">
        <f t="shared" si="250"/>
        <v>0.27227383111502768</v>
      </c>
      <c r="EC269" s="110">
        <f t="shared" si="250"/>
        <v>0.51744915470027353</v>
      </c>
      <c r="ED269" s="110">
        <f t="shared" si="250"/>
        <v>2.0080589639519156E-2</v>
      </c>
      <c r="EE269" s="110">
        <f t="shared" si="250"/>
        <v>8.7056053869358399E-2</v>
      </c>
      <c r="EF269" s="110">
        <f t="shared" si="250"/>
        <v>9.0843040242107181E-2</v>
      </c>
      <c r="EG269" s="110">
        <f t="shared" si="250"/>
        <v>7.5788552291303777E-3</v>
      </c>
      <c r="EH269" s="111">
        <f t="shared" ref="EH269:EH332" si="274">DW269/DX269</f>
        <v>9.0045804702539142E-4</v>
      </c>
      <c r="EI269" s="110">
        <f t="shared" si="236"/>
        <v>0.99909954195297468</v>
      </c>
      <c r="EK269" s="132">
        <f>(EA269*'Renewable Diesel'!BF278*'Feedstock Conversion Rates'!B$2)+FB269</f>
        <v>38.990155670482586</v>
      </c>
      <c r="EL269" s="132">
        <f>(EB269*'Renewable Diesel'!BF278*'Feedstock Conversion Rates'!B$3)+FC269</f>
        <v>2620.2129338463124</v>
      </c>
      <c r="EM269" s="132">
        <f>(EC269*'Renewable Diesel'!BF278*'Feedstock Conversion Rates'!B$4)+FD269</f>
        <v>4662.5887656456689</v>
      </c>
      <c r="EN269" s="132">
        <f>(ED269*'Renewable Diesel'!BF278*'Feedstock Conversion Rates'!B$5)+FE269</f>
        <v>182.14681452086268</v>
      </c>
      <c r="EO269" s="132">
        <f>(EE269*'Renewable Diesel'!BF278*'Feedstock Conversion Rates'!B$6)+FF269</f>
        <v>981.06997221935967</v>
      </c>
      <c r="EP269" s="132">
        <f>(EF269*'Renewable Diesel'!BF278*'Feedstock Conversion Rates'!B$7)+FG269</f>
        <v>1004.1015913562044</v>
      </c>
      <c r="EQ269" s="132">
        <f>(EG269*'Renewable Diesel'!BF278*'Feedstock Conversion Rates'!B$8)+FH269</f>
        <v>85.363665508997769</v>
      </c>
      <c r="ER269" s="132">
        <f>(EH269*'Renewable Diesel'!BF278*'Feedstock Conversion Rates'!B$9)+FI269</f>
        <v>10.006988115114194</v>
      </c>
      <c r="ES269" s="132">
        <f t="shared" ref="ES269:ES332" si="275">SUM(EK269:ER269)</f>
        <v>9584.4808868830023</v>
      </c>
      <c r="ET269" s="133">
        <f>ES269/'Renewable Diesel'!BF278</f>
        <v>12.877969023793781</v>
      </c>
      <c r="EW269" s="73">
        <f t="shared" si="223"/>
        <v>6688.283648883149</v>
      </c>
      <c r="EX269" s="73">
        <f t="shared" si="224"/>
        <v>6543.3418419282962</v>
      </c>
      <c r="EY269" s="92">
        <f t="shared" si="258"/>
        <v>0.69782429823992953</v>
      </c>
      <c r="EZ269" s="92">
        <f t="shared" si="258"/>
        <v>0.68270174662075789</v>
      </c>
      <c r="FB269" s="102">
        <f>IF('Renewable Diesel'!$BG278&lt;1,0,(((('Renewable Diesel'!$BG278-1)*'Renewable Diesel'!$BF278)*'RD Feedstock Breakdown'!EA269)*'Feedstock Conversion Rates'!$B$2))</f>
        <v>14.836769725791237</v>
      </c>
      <c r="FC269" s="102">
        <f>IF('Renewable Diesel'!$BG278&lt;1,0,(((('Renewable Diesel'!$BG278-1)*'Renewable Diesel'!$BF278)*'RD Feedstock Breakdown'!EB269)*'Feedstock Conversion Rates'!$B$3))</f>
        <v>997.05926440935491</v>
      </c>
      <c r="FD269" s="102">
        <f>IF('Renewable Diesel'!$BG278&lt;1,0,(((('Renewable Diesel'!$BG278-1)*'Renewable Diesel'!$BF278)*'RD Feedstock Breakdown'!EC269)*'Feedstock Conversion Rates'!$B$4))</f>
        <v>1774.2364618030203</v>
      </c>
      <c r="FE269" s="102">
        <f>IF('Renewable Diesel'!$BG278&lt;1,0,(((('Renewable Diesel'!$BG278-1)*'Renewable Diesel'!$BF278)*'RD Feedstock Breakdown'!ED269)*'Feedstock Conversion Rates'!$B$5))</f>
        <v>69.311606913597075</v>
      </c>
      <c r="FF269" s="102">
        <f>IF('Renewable Diesel'!$BG278&lt;1,0,(((('Renewable Diesel'!$BG278-1)*'Renewable Diesel'!$BF278)*'RD Feedstock Breakdown'!EE269)*'Feedstock Conversion Rates'!$B$6))</f>
        <v>373.32267626021729</v>
      </c>
      <c r="FG269" s="102">
        <f>IF('Renewable Diesel'!$BG278&lt;1,0,(((('Renewable Diesel'!$BG278-1)*'Renewable Diesel'!$BF278)*'RD Feedstock Breakdown'!EF269)*'Feedstock Conversion Rates'!$B$7))</f>
        <v>382.08680719709855</v>
      </c>
      <c r="FH269" s="102">
        <f>IF('Renewable Diesel'!$BG278&lt;1,0,(((('Renewable Diesel'!$BG278-1)*'Renewable Diesel'!$BF278)*'RD Feedstock Breakdown'!EG269)*'Feedstock Conversion Rates'!$B$8))</f>
        <v>32.48309801094959</v>
      </c>
      <c r="FI269" s="102">
        <f>IF('Renewable Diesel'!$BG278&lt;1,0,(((('Renewable Diesel'!$BG278-1)*'Renewable Diesel'!$BF278)*'RD Feedstock Breakdown'!EH269)*'Feedstock Conversion Rates'!$B$9))</f>
        <v>3.8079196084123081</v>
      </c>
      <c r="FJ269" s="102">
        <f t="shared" si="225"/>
        <v>3647.144603928441</v>
      </c>
      <c r="GD269" s="91">
        <f>'Renewable Diesel'!BB278*0.32</f>
        <v>0</v>
      </c>
      <c r="GE269" s="91">
        <f>'Renewable Diesel'!BC278</f>
        <v>465.11691486002161</v>
      </c>
      <c r="GF269" s="91">
        <f>'Renewable Diesel'!BD278</f>
        <v>0</v>
      </c>
      <c r="GG269" s="91">
        <f t="shared" si="206"/>
        <v>465.11691486002161</v>
      </c>
      <c r="GH269" s="124">
        <v>1</v>
      </c>
      <c r="GI269" s="102">
        <f>$GG269*EA269*'Feedstock Conversion Rates'!$B$2</f>
        <v>15.094507070252028</v>
      </c>
      <c r="GJ269" s="102">
        <f>$GG269*EB269*'Feedstock Conversion Rates'!$B$3</f>
        <v>1014.3797062459753</v>
      </c>
      <c r="GK269" s="102">
        <f>$GG269*EC269*'Feedstock Conversion Rates'!$B$4</f>
        <v>1805.0576582333797</v>
      </c>
      <c r="GL269" s="102">
        <f>$GG269*ED269*'Feedstock Conversion Rates'!$B$5</f>
        <v>70.515655357859643</v>
      </c>
      <c r="GM269" s="102">
        <f>$GG269*EE269*'Feedstock Conversion Rates'!$B$6</f>
        <v>379.8078611747639</v>
      </c>
      <c r="GN269" s="102">
        <f>$GG269*EF269*'Feedstock Conversion Rates'!$B$7</f>
        <v>388.72423844800585</v>
      </c>
      <c r="GO269" s="102">
        <f>$GG269*EG269*'Feedstock Conversion Rates'!$B$8</f>
        <v>33.047379021973718</v>
      </c>
      <c r="GP269" s="102">
        <f>$GG269*EH269*'Feedstock Conversion Rates'!B$9</f>
        <v>3.8740689863383055</v>
      </c>
      <c r="GQ269" s="102">
        <f t="shared" ref="GQ269:GQ332" si="276">SUM(GI269:GP269)</f>
        <v>3710.5010745385484</v>
      </c>
      <c r="GR269" s="85">
        <f t="shared" si="204"/>
        <v>7.9775664053310882</v>
      </c>
      <c r="GT269" s="103">
        <f t="shared" si="254"/>
        <v>4.0680508554034687E-3</v>
      </c>
      <c r="GU269" s="103">
        <f t="shared" si="254"/>
        <v>0.27338078762640633</v>
      </c>
      <c r="GV269" s="103">
        <f t="shared" si="254"/>
        <v>0.48647274909032701</v>
      </c>
      <c r="GW269" s="103">
        <f t="shared" si="254"/>
        <v>1.900434845356546E-2</v>
      </c>
      <c r="GX269" s="103">
        <f t="shared" si="253"/>
        <v>0.10236026173958143</v>
      </c>
      <c r="GY269" s="103">
        <f t="shared" si="253"/>
        <v>0.10476327337982216</v>
      </c>
      <c r="GZ269" s="103">
        <f t="shared" si="253"/>
        <v>8.9064464227607363E-3</v>
      </c>
      <c r="HA269" s="103">
        <f t="shared" si="251"/>
        <v>1.044082432133536E-3</v>
      </c>
    </row>
    <row r="270" spans="1:209" x14ac:dyDescent="0.25">
      <c r="A270" s="96">
        <v>48639</v>
      </c>
      <c r="B270" s="104">
        <f t="shared" si="263"/>
        <v>0.75</v>
      </c>
      <c r="C270" s="104">
        <f t="shared" si="264"/>
        <v>3.5</v>
      </c>
      <c r="D270" s="104">
        <f t="shared" si="242"/>
        <v>2</v>
      </c>
      <c r="E270" s="104">
        <f>('Renewable Diesel'!B279*E$3*'Feedstock Conversion Rates'!$B$2)/12+26+13-100+27.5+39+75-10-32-1-7+46-46.5+27-15+10-42-95</f>
        <v>4.9300000000000068</v>
      </c>
      <c r="F270" s="104">
        <f>('Renewable Diesel'!B279*'RD Feedstock Breakdown'!F$3*'Feedstock Conversion Rates'!B$8)/12+77+23-10-12-115.75+24+8+2.5+1-32-15</f>
        <v>4.65625</v>
      </c>
      <c r="G270" s="104">
        <f>('Renewable Diesel'!B279*'RD Feedstock Breakdown'!G$3*'Feedstock Conversion Rates'!B$7)/12-25-15-25+4+4-20-40-20+10-17.5+20+50-12+32.5+35-75-75+22.5+5-20+15+125-10-60+5-85+45+20</f>
        <v>69.657000000000011</v>
      </c>
      <c r="H270" s="104">
        <f>('Renewable Diesel'!B279*'RD Feedstock Breakdown'!H$3*'Feedstock Conversion Rates'!B$3)/12-85+4-15+70-65-80+50-22.5-5+25+27.5+15+50+15-10+5+50+75-5-25-85-12.5+30+22.5-25-30+150+90-120+25+10+20+85-30-45-20+95</f>
        <v>410.40022499999998</v>
      </c>
      <c r="I270" s="106">
        <f t="shared" si="203"/>
        <v>495.89347499999997</v>
      </c>
      <c r="J270" s="104">
        <f>87-50+15+53+55-6+84+19-11-40-29-30-13-50-7+30+25+15-7.5-45-10-1-55+5+15+18+90-5+15+5-100-70+11+40-24-14-5-9.5+20+50+5</f>
        <v>75</v>
      </c>
      <c r="K270" s="104"/>
      <c r="L270" s="104">
        <v>1</v>
      </c>
      <c r="M270" s="104">
        <f>('Renewable Diesel'!C279*'RD Feedstock Breakdown'!M$3*'Feedstock Conversion Rates'!B$2)/12</f>
        <v>7.7902500000000003</v>
      </c>
      <c r="N270" s="104">
        <f>('Renewable Diesel'!C279*'RD Feedstock Breakdown'!N$3*'Feedstock Conversion Rates'!B$8)/12</f>
        <v>3.671875</v>
      </c>
      <c r="O270" s="104">
        <f>('Renewable Diesel'!C279*'RD Feedstock Breakdown'!O$3*'Feedstock Conversion Rates'!B$7)/12</f>
        <v>11.9991</v>
      </c>
      <c r="P270" s="104">
        <f>('Renewable Diesel'!C279*'RD Feedstock Breakdown'!P$3*'Feedstock Conversion Rates'!B$3)/12</f>
        <v>10.4470425</v>
      </c>
      <c r="Q270" s="106">
        <f t="shared" si="216"/>
        <v>109.90826749999999</v>
      </c>
      <c r="R270" s="104">
        <f>('Renewable Diesel'!D279*'RD Feedstock Breakdown'!R$3*'Feedstock Conversion Rates'!B$7)/12</f>
        <v>2.2999999999999998</v>
      </c>
      <c r="S270" s="106">
        <f t="shared" si="249"/>
        <v>2.2999999999999998</v>
      </c>
      <c r="T270" s="104">
        <f t="shared" si="221"/>
        <v>0.82500000000000284</v>
      </c>
      <c r="U270" s="104">
        <v>30</v>
      </c>
      <c r="V270" s="104">
        <f>('Renewable Diesel'!E279*'RD Feedstock Breakdown'!V$3*'Feedstock Conversion Rates'!B$6)/12-20+25-35+15</f>
        <v>29.250150000000012</v>
      </c>
      <c r="W270" s="104">
        <f>('Renewable Diesel'!E279*'RD Feedstock Breakdown'!W$3*'Feedstock Conversion Rates'!B$8)/12-6-10</f>
        <v>6.1796875</v>
      </c>
      <c r="X270" s="106">
        <f t="shared" ref="X270:X333" si="277">SUM(T270:W270)</f>
        <v>66.254837500000008</v>
      </c>
      <c r="Y270" s="104">
        <f t="shared" si="259"/>
        <v>146</v>
      </c>
      <c r="Z270" s="104">
        <f>('Renewable Diesel'!F279*'RD Feedstock Breakdown'!Z$3*'Feedstock Conversion Rates'!B$6)/12-142+15+5+75-45+52.5-87.5+80-10-20-17+2+7</f>
        <v>74.460000000000008</v>
      </c>
      <c r="AA270" s="104">
        <f>('Renewable Diesel'!F279*'RD Feedstock Breakdown'!AA$3*'Feedstock Conversion Rates'!B$7)/12+24-30-55</f>
        <v>43.266666666666652</v>
      </c>
      <c r="AB270" s="106">
        <f t="shared" si="235"/>
        <v>263.72666666666669</v>
      </c>
      <c r="AC270" s="104">
        <f>('Renewable Diesel'!G279*'RD Feedstock Breakdown'!AC$3*'Feedstock Conversion Rates'!B$5)/12</f>
        <v>11.796875</v>
      </c>
      <c r="AD270" s="104">
        <f>('Renewable Diesel'!G279*'RD Feedstock Breakdown'!AD$3*'Feedstock Conversion Rates'!B$4)/12</f>
        <v>5.859375</v>
      </c>
      <c r="AE270" s="104">
        <f>('Renewable Diesel'!G279*'RD Feedstock Breakdown'!AE$3*'Feedstock Conversion Rates'!B$6)/12</f>
        <v>7.3281250000000009</v>
      </c>
      <c r="AF270" s="106">
        <f t="shared" si="198"/>
        <v>24.984375</v>
      </c>
      <c r="AG270" s="104">
        <f t="shared" si="230"/>
        <v>6.5</v>
      </c>
      <c r="AH270" s="104">
        <v>135</v>
      </c>
      <c r="AI270" s="104">
        <f>('Renewable Diesel'!H279*'RD Feedstock Breakdown'!AI$3*'Feedstock Conversion Rates'!B$6)/12-130-20+51-120+105-37.5+10</f>
        <v>7.0166666666666799</v>
      </c>
      <c r="AJ270" s="106">
        <f t="shared" si="248"/>
        <v>13.51666666666668</v>
      </c>
      <c r="AK270" s="104">
        <f>('Renewable Diesel'!J279*'RD Feedstock Breakdown'!AK$3*'Feedstock Conversion Rates'!B$4)/12</f>
        <v>95.8125</v>
      </c>
      <c r="AL270" s="106">
        <f t="shared" si="252"/>
        <v>95.8125</v>
      </c>
      <c r="AM270" s="104">
        <f>('Renewable Diesel'!K279*'RD Feedstock Breakdown'!AM$3*'Feedstock Conversion Rates'!B$4)/12+5+15-10+5-26</f>
        <v>47.59375</v>
      </c>
      <c r="AN270" s="104">
        <f>('Renewable Diesel'!K279*'RD Feedstock Breakdown'!AN$3*'Feedstock Conversion Rates'!B$6)/12-5-15+10-5+26</f>
        <v>35.427083333333329</v>
      </c>
      <c r="AO270" s="106">
        <f t="shared" si="270"/>
        <v>83.020833333333329</v>
      </c>
      <c r="AP270" s="104">
        <f>('Renewable Diesel'!L279*'RD Feedstock Breakdown'!AP$3*'Feedstock Conversion Rates'!B$4)/12+15-10+10+2.5</f>
        <v>76.09375</v>
      </c>
      <c r="AQ270" s="104">
        <f>('Renewable Diesel'!L279*'RD Feedstock Breakdown'!AQ$3*'Feedstock Conversion Rates'!B$6)/12-15+10-10-2.5</f>
        <v>6.9270833333333321</v>
      </c>
      <c r="AR270" s="106">
        <f t="shared" si="256"/>
        <v>83.020833333333329</v>
      </c>
      <c r="AS270" s="104">
        <f>('Renewable Diesel'!M279*'RD Feedstock Breakdown'!AS$3*'Feedstock Conversion Rates'!B$4)/12-25</f>
        <v>431.25</v>
      </c>
      <c r="AT270" s="104">
        <f>('Renewable Diesel'!M279*'RD Feedstock Breakdown'!AT$3*'Feedstock Conversion Rates'!B$5)/12+25</f>
        <v>25</v>
      </c>
      <c r="AU270" s="106">
        <f t="shared" si="201"/>
        <v>456.25</v>
      </c>
      <c r="AV270" s="104">
        <f>'Renewable Diesel'!N279*'RD Feedstock Breakdown'!$AV$3*'Feedstock Conversion Rates'!$B$4/12-15-10+25+25-22+15-68+11</f>
        <v>39.749999999999986</v>
      </c>
      <c r="AW270" s="104">
        <f>'Renewable Diesel'!N279*'RD Feedstock Breakdown'!$AW$3*'Feedstock Conversion Rates'!$B$7/12+15+10-25-25+22-15+68-11</f>
        <v>80.400000000000006</v>
      </c>
      <c r="AX270" s="106">
        <f t="shared" si="239"/>
        <v>120.14999999999999</v>
      </c>
      <c r="AY270" s="104">
        <f>('Renewable Diesel'!O279*'RD Feedstock Breakdown'!AY$3*'Feedstock Conversion Rates'!B$4)/12-100-160-10-78</f>
        <v>-137.0625</v>
      </c>
      <c r="AZ270" s="104">
        <f>('Renewable Diesel'!O279*'RD Feedstock Breakdown'!AZ$3*'Feedstock Conversion Rates'!B$3)/12+100+160+10+78</f>
        <v>373.03125</v>
      </c>
      <c r="BA270" s="106">
        <f t="shared" si="217"/>
        <v>235.96875</v>
      </c>
      <c r="BB270" s="104">
        <f>('Renewable Diesel'!Q279*'RD Feedstock Breakdown'!BB$3*'Feedstock Conversion Rates'!B$4)/12</f>
        <v>11.156249999999998</v>
      </c>
      <c r="BC270" s="104">
        <f>('Renewable Diesel'!Q279*'RD Feedstock Breakdown'!BC$3*'Feedstock Conversion Rates'!B$3)/12</f>
        <v>1.4017500000000001</v>
      </c>
      <c r="BD270" s="104">
        <f>('Renewable Diesel'!Q279*'RD Feedstock Breakdown'!BD$3*'Feedstock Conversion Rates'!B$6)/12</f>
        <v>0.8207500000000002</v>
      </c>
      <c r="BE270" s="106">
        <f t="shared" si="189"/>
        <v>13.378749999999998</v>
      </c>
      <c r="BF270" s="104">
        <f>('Renewable Diesel'!R279*'RD Feedstock Breakdown'!BF$3*'Feedstock Conversion Rates'!B$4)/12</f>
        <v>62.5</v>
      </c>
      <c r="BG270" s="106">
        <f t="shared" si="262"/>
        <v>62.5</v>
      </c>
      <c r="BH270" s="104">
        <f>('Renewable Diesel'!T279*'RD Feedstock Breakdown'!BH$3*'Feedstock Conversion Rates'!B$7)/12</f>
        <v>27.599999999999998</v>
      </c>
      <c r="BI270" s="106">
        <f t="shared" si="243"/>
        <v>27.599999999999998</v>
      </c>
      <c r="BJ270" s="104">
        <f>('Renewable Diesel'!W279*'RD Feedstock Breakdown'!BJ$3*'Feedstock Conversion Rates'!B$4)/12</f>
        <v>7.5</v>
      </c>
      <c r="BK270" s="104">
        <f>('Renewable Diesel'!W279*'RD Feedstock Breakdown'!BK$3*'Feedstock Conversion Rates'!B$3)/12</f>
        <v>1.335</v>
      </c>
      <c r="BL270" s="104">
        <f>('Renewable Diesel'!W279*'RD Feedstock Breakdown'!BL$3*'Feedstock Conversion Rates'!B$6)/12</f>
        <v>3.1266666666666669</v>
      </c>
      <c r="BM270" s="104">
        <f>('Renewable Diesel'!W279*'RD Feedstock Breakdown'!BM$3*'Feedstock Conversion Rates'!B$7)/12</f>
        <v>1.5333333333333332</v>
      </c>
      <c r="BN270" s="106">
        <f t="shared" si="209"/>
        <v>13.495000000000001</v>
      </c>
      <c r="BO270" s="104">
        <f>('Renewable Diesel'!P279*'Feedstock Conversion Rates'!B$4)/12</f>
        <v>31.25</v>
      </c>
      <c r="BP270" s="106">
        <f t="shared" si="199"/>
        <v>31.25</v>
      </c>
      <c r="BQ270" s="104">
        <f>('Renewable Diesel'!$S279*'RD Feedstock Breakdown'!BQ$3*'Feedstock Conversion Rates'!B$4)/12+10</f>
        <v>38.125</v>
      </c>
      <c r="BR270" s="104">
        <f>('Renewable Diesel'!$S279*'RD Feedstock Breakdown'!BR$3*'Feedstock Conversion Rates'!B$7)/12-10</f>
        <v>1.5</v>
      </c>
      <c r="BS270" s="106">
        <f t="shared" si="222"/>
        <v>39.625</v>
      </c>
      <c r="BT270" s="106"/>
      <c r="BU270" s="104">
        <f>('Renewable Diesel'!Y279*'Feedstock Conversion Rates'!B$7)/12</f>
        <v>2.6833333333333331</v>
      </c>
      <c r="BV270" s="106">
        <f t="shared" si="191"/>
        <v>2.6833333333333331</v>
      </c>
      <c r="BW270" s="104">
        <f>('Renewable Diesel'!$Z279*'RD Feedstock Breakdown'!BW$3*'Feedstock Conversion Rates'!$B$4)/12</f>
        <v>71.875</v>
      </c>
      <c r="BX270" s="104">
        <f>('Renewable Diesel'!$Z279*'RD Feedstock Breakdown'!BX$3*'Feedstock Conversion Rates'!$B$5)/12</f>
        <v>7.2354166666666666</v>
      </c>
      <c r="BY270" s="104">
        <f>('Renewable Diesel'!$Z279*'RD Feedstock Breakdown'!BY$3*'Feedstock Conversion Rates'!$B$7)/12</f>
        <v>61.716666666666661</v>
      </c>
      <c r="BZ270" s="104">
        <f>('Renewable Diesel'!$Z279*'RD Feedstock Breakdown'!BZ$3*'Feedstock Conversion Rates'!$B$3)/12</f>
        <v>15.352499999999999</v>
      </c>
      <c r="CA270" s="106">
        <f t="shared" si="228"/>
        <v>156.17958333333331</v>
      </c>
      <c r="CB270" s="104">
        <f>('Renewable Diesel'!AA279*'Feedstock Conversion Rates'!B$4)/12</f>
        <v>191.25</v>
      </c>
      <c r="CC270" s="106">
        <f t="shared" si="213"/>
        <v>191.25</v>
      </c>
      <c r="CD270" s="104">
        <f>('Renewable Diesel'!$AB279*'RD Feedstock Breakdown'!CD$3*'Feedstock Conversion Rates'!$B$6)/12-15-5+5</f>
        <v>17.830000000000005</v>
      </c>
      <c r="CE270" s="104">
        <f>('Renewable Diesel'!$AB279*'RD Feedstock Breakdown'!CE$3*'Feedstock Conversion Rates'!$B$4)/12+15+5-5</f>
        <v>26.25</v>
      </c>
      <c r="CF270" s="106">
        <f t="shared" si="205"/>
        <v>44.080000000000005</v>
      </c>
      <c r="CG270" s="104">
        <f>('Renewable Diesel'!AD279*'Feedstock Conversion Rates'!B$4)/12</f>
        <v>112.5</v>
      </c>
      <c r="CH270" s="106">
        <f t="shared" ref="CH270:CH333" si="278">CG270</f>
        <v>112.5</v>
      </c>
      <c r="CI270" s="104">
        <f>('Renewable Diesel'!$AE279*'RD Feedstock Breakdown'!CI$3*'Feedstock Conversion Rates'!$B$5)/12</f>
        <v>0.34604166666666664</v>
      </c>
      <c r="CJ270" s="104">
        <f>('Renewable Diesel'!$AE279*'RD Feedstock Breakdown'!CJ$3*'Feedstock Conversion Rates'!$B$4)/12</f>
        <v>0.34375</v>
      </c>
      <c r="CK270" s="106">
        <f t="shared" si="200"/>
        <v>0.68979166666666658</v>
      </c>
      <c r="CL270" s="104">
        <f>(((CL$3*'Renewable Diesel'!$AF279)*'Feedstock Conversion Rates'!$B$3)/12)-25</f>
        <v>66.78125</v>
      </c>
      <c r="CM270" s="104">
        <f>(((CM$3*'Renewable Diesel'!$AF279)*'Feedstock Conversion Rates'!$B$6)/12)+25</f>
        <v>78.739583333333343</v>
      </c>
      <c r="CN270" s="104">
        <f>(((CN$3*'Renewable Diesel'!$AF279)*'Feedstock Conversion Rates'!$B$4)/12)</f>
        <v>42.96875</v>
      </c>
      <c r="CO270" s="106">
        <f t="shared" si="190"/>
        <v>188.48958333333334</v>
      </c>
      <c r="CP270" s="104">
        <f>('Renewable Diesel'!$AG279*'RD Feedstock Breakdown'!CP$3*'Feedstock Conversion Rates'!$B$3)/12</f>
        <v>6.0075000000000003</v>
      </c>
      <c r="CQ270" s="104">
        <f>('Renewable Diesel'!$AG279*'RD Feedstock Breakdown'!CQ$3*'Feedstock Conversion Rates'!$B$6)/12</f>
        <v>3.5175000000000001</v>
      </c>
      <c r="CR270" s="104">
        <f>('Renewable Diesel'!$AG279*'RD Feedstock Breakdown'!CR$3*'Feedstock Conversion Rates'!$B$4)/12</f>
        <v>2.8125</v>
      </c>
      <c r="CS270" s="106">
        <f t="shared" si="231"/>
        <v>12.3375</v>
      </c>
      <c r="CT270" s="104">
        <f>('Renewable Diesel'!AI279*'Feedstock Conversion Rates'!$B$4*'RD Feedstock Breakdown'!$CT$3)/12</f>
        <v>29.375</v>
      </c>
      <c r="CU270" s="106">
        <f t="shared" si="196"/>
        <v>29.375</v>
      </c>
      <c r="CV270" s="104">
        <f>('Renewable Diesel'!AN279*'Feedstock Conversion Rates'!$B$3*'RD Feedstock Breakdown'!$CV$3)/12</f>
        <v>0.50062499999999999</v>
      </c>
      <c r="CW270" s="106">
        <f t="shared" si="255"/>
        <v>0.50062499999999999</v>
      </c>
      <c r="CX270" s="104">
        <f>('Renewable Diesel'!AO279*'RD Feedstock Breakdown'!$CX$3*'Feedstock Conversion Rates'!$B$3)/12</f>
        <v>6.3412499999999996</v>
      </c>
      <c r="CY270" s="104">
        <f>('Renewable Diesel'!AO279*'RD Feedstock Breakdown'!$CY$3*'Feedstock Conversion Rates'!$B$6)/12</f>
        <v>7.4258333333333342</v>
      </c>
      <c r="CZ270" s="106">
        <f t="shared" si="233"/>
        <v>13.767083333333334</v>
      </c>
      <c r="DA270" s="104">
        <f>('Renewable Diesel'!$AP279*'RD Feedstock Breakdown'!DA$3*'Feedstock Conversion Rates'!$B$3)/12</f>
        <v>6.3412499999999996</v>
      </c>
      <c r="DB270" s="104">
        <f>('Renewable Diesel'!$AP279*'RD Feedstock Breakdown'!DB$3*'Feedstock Conversion Rates'!$B$8)/12</f>
        <v>7.421875</v>
      </c>
      <c r="DC270" s="106">
        <f t="shared" si="260"/>
        <v>13.763124999999999</v>
      </c>
      <c r="DD270" s="104">
        <f>('Renewable Diesel'!AQ279*$DD$3*'Feedstock Conversion Rates'!$B$14)/12</f>
        <v>3.1041666666666665</v>
      </c>
      <c r="DE270" s="106">
        <f t="shared" si="261"/>
        <v>3.1041666666666665</v>
      </c>
      <c r="DF270" s="104">
        <f>('Renewable Diesel'!AR279*'Feedstock Conversion Rates'!$B$4*$DF$3)/12</f>
        <v>75</v>
      </c>
      <c r="DG270" s="106">
        <f t="shared" si="234"/>
        <v>75</v>
      </c>
      <c r="DH270" s="104">
        <f>('Renewable Diesel'!AS279*'Feedstock Conversion Rates'!$B$4*$DH$3)/12</f>
        <v>75</v>
      </c>
      <c r="DI270" s="106">
        <f t="shared" si="240"/>
        <v>75</v>
      </c>
      <c r="DJ270" s="104">
        <f>('Renewable Diesel'!AT279*'Feedstock Conversion Rates'!$B$4*0.25)/12</f>
        <v>8.59375</v>
      </c>
      <c r="DK270" s="104">
        <f>('Renewable Diesel'!$AT279*'RD Feedstock Breakdown'!DK$3*'Feedstock Conversion Rates'!$B$3)/12*0.5</f>
        <v>9.1781249999999996</v>
      </c>
      <c r="DL270" s="104">
        <f>('Renewable Diesel'!$AT279*'RD Feedstock Breakdown'!$DL$3*'Feedstock Conversion Rates'!$B$6)/12</f>
        <v>10.747916666666669</v>
      </c>
      <c r="DM270" s="104">
        <f>('Renewable Diesel'!$AT279*'RD Feedstock Breakdown'!$DM$3*'Feedstock Conversion Rates'!$B$8)/12</f>
        <v>10.7421875</v>
      </c>
      <c r="DN270" s="106">
        <f t="shared" si="210"/>
        <v>39.26197916666667</v>
      </c>
      <c r="DP270" s="104">
        <f t="shared" si="265"/>
        <v>12.720250000000007</v>
      </c>
      <c r="DQ270" s="104">
        <f t="shared" si="266"/>
        <v>907.11776750000001</v>
      </c>
      <c r="DR270" s="104">
        <f t="shared" si="271"/>
        <v>1723.953125</v>
      </c>
      <c r="DS270" s="104">
        <f t="shared" si="197"/>
        <v>66.901250000000005</v>
      </c>
      <c r="DT270" s="104">
        <f t="shared" si="267"/>
        <v>290.03923333333341</v>
      </c>
      <c r="DU270" s="104">
        <f t="shared" si="268"/>
        <v>302.65609999999998</v>
      </c>
      <c r="DV270" s="104">
        <f t="shared" si="272"/>
        <v>25.25</v>
      </c>
      <c r="DW270" s="104">
        <f t="shared" si="269"/>
        <v>3</v>
      </c>
      <c r="DX270" s="106">
        <f t="shared" si="273"/>
        <v>3331.6377258333337</v>
      </c>
      <c r="DY270" s="109">
        <f t="shared" si="257"/>
        <v>-135.00000000000048</v>
      </c>
      <c r="EA270" s="110">
        <f t="shared" si="250"/>
        <v>3.8180171575582472E-3</v>
      </c>
      <c r="EB270" s="110">
        <f t="shared" si="250"/>
        <v>0.27227383111502768</v>
      </c>
      <c r="EC270" s="110">
        <f t="shared" si="250"/>
        <v>0.51744915470027353</v>
      </c>
      <c r="ED270" s="110">
        <f t="shared" si="250"/>
        <v>2.0080589639519156E-2</v>
      </c>
      <c r="EE270" s="110">
        <f t="shared" si="250"/>
        <v>8.7056053869358399E-2</v>
      </c>
      <c r="EF270" s="110">
        <f t="shared" si="250"/>
        <v>9.0843040242107181E-2</v>
      </c>
      <c r="EG270" s="110">
        <f t="shared" si="250"/>
        <v>7.5788552291303777E-3</v>
      </c>
      <c r="EH270" s="111">
        <f t="shared" si="274"/>
        <v>9.0045804702539142E-4</v>
      </c>
      <c r="EI270" s="110">
        <f t="shared" si="236"/>
        <v>0.99909954195297468</v>
      </c>
      <c r="EK270" s="132">
        <f>(EA270*'Renewable Diesel'!BF279*'Feedstock Conversion Rates'!B$2)+FB270</f>
        <v>17.929755142230338</v>
      </c>
      <c r="EL270" s="132">
        <f>(EB270*'Renewable Diesel'!BF279*'Feedstock Conversion Rates'!B$3)+FC270</f>
        <v>1204.9137921225408</v>
      </c>
      <c r="EM270" s="132">
        <f>(EC270*'Renewable Diesel'!BF279*'Feedstock Conversion Rates'!B$4)+FD270</f>
        <v>2144.1072357715498</v>
      </c>
      <c r="EN270" s="132">
        <f>(ED270*'Renewable Diesel'!BF279*'Feedstock Conversion Rates'!B$5)+FE270</f>
        <v>83.760829577008238</v>
      </c>
      <c r="EO270" s="132">
        <f>(EE270*'Renewable Diesel'!BF279*'Feedstock Conversion Rates'!B$6)+FF270</f>
        <v>451.14834954620534</v>
      </c>
      <c r="EP270" s="132">
        <f>(EF270*'Renewable Diesel'!BF279*'Feedstock Conversion Rates'!B$7)+FG270</f>
        <v>461.73951761290164</v>
      </c>
      <c r="EQ270" s="132">
        <f>(EG270*'Renewable Diesel'!BF279*'Feedstock Conversion Rates'!B$8)+FH270</f>
        <v>39.254770705577933</v>
      </c>
      <c r="ER270" s="132">
        <f>(EH270*'Renewable Diesel'!BF279*'Feedstock Conversion Rates'!B$9)+FI270</f>
        <v>4.6017473777627984</v>
      </c>
      <c r="ES270" s="132">
        <f t="shared" si="275"/>
        <v>4407.4559978557772</v>
      </c>
      <c r="ET270" s="133">
        <f>ES270/'Renewable Diesel'!BF279</f>
        <v>9.1888021832995399</v>
      </c>
      <c r="EW270" s="73">
        <f t="shared" si="223"/>
        <v>2521.5378446640761</v>
      </c>
      <c r="EX270" s="73">
        <f t="shared" si="224"/>
        <v>2466.8935935082977</v>
      </c>
      <c r="EY270" s="92">
        <f t="shared" si="258"/>
        <v>0.5721073212961858</v>
      </c>
      <c r="EZ270" s="92">
        <f t="shared" si="258"/>
        <v>0.5597091825099193</v>
      </c>
      <c r="FB270" s="102">
        <f>IF('Renewable Diesel'!$BG279&lt;1,0,(((('Renewable Diesel'!$BG279-1)*'Renewable Diesel'!$BF279)*'RD Feedstock Breakdown'!EA270)*'Feedstock Conversion Rates'!$B$2))</f>
        <v>2.3634376369483383</v>
      </c>
      <c r="FC270" s="102">
        <f>IF('Renewable Diesel'!$BG279&lt;1,0,(((('Renewable Diesel'!$BG279-1)*'Renewable Diesel'!$BF279)*'RD Feedstock Breakdown'!EB270)*'Feedstock Conversion Rates'!$B$3))</f>
        <v>158.82752346534946</v>
      </c>
      <c r="FD270" s="102">
        <f>IF('Renewable Diesel'!$BG279&lt;1,0,(((('Renewable Diesel'!$BG279-1)*'Renewable Diesel'!$BF279)*'RD Feedstock Breakdown'!EC270)*'Feedstock Conversion Rates'!$B$4))</f>
        <v>282.62871960477798</v>
      </c>
      <c r="FE270" s="102">
        <f>IF('Renewable Diesel'!$BG279&lt;1,0,(((('Renewable Diesel'!$BG279-1)*'Renewable Diesel'!$BF279)*'RD Feedstock Breakdown'!ED270)*'Feedstock Conversion Rates'!$B$5))</f>
        <v>11.041059710740228</v>
      </c>
      <c r="FF270" s="102">
        <f>IF('Renewable Diesel'!$BG279&lt;1,0,(((('Renewable Diesel'!$BG279-1)*'Renewable Diesel'!$BF279)*'RD Feedstock Breakdown'!EE270)*'Feedstock Conversion Rates'!$B$6))</f>
        <v>59.468798135075417</v>
      </c>
      <c r="FG270" s="102">
        <f>IF('Renewable Diesel'!$BG279&lt;1,0,(((('Renewable Diesel'!$BG279-1)*'Renewable Diesel'!$BF279)*'RD Feedstock Breakdown'!EF270)*'Feedstock Conversion Rates'!$B$7))</f>
        <v>60.864888880850195</v>
      </c>
      <c r="FH270" s="102">
        <f>IF('Renewable Diesel'!$BG279&lt;1,0,(((('Renewable Diesel'!$BG279-1)*'Renewable Diesel'!$BF279)*'RD Feedstock Breakdown'!EG270)*'Feedstock Conversion Rates'!$B$8))</f>
        <v>5.1744266321195971</v>
      </c>
      <c r="FI270" s="102">
        <f>IF('Renewable Diesel'!$BG279&lt;1,0,(((('Renewable Diesel'!$BG279-1)*'Renewable Diesel'!$BF279)*'RD Feedstock Breakdown'!EH270)*'Feedstock Conversion Rates'!$B$9))</f>
        <v>0.60658625073560435</v>
      </c>
      <c r="FJ270" s="102">
        <f t="shared" si="225"/>
        <v>580.97544031659686</v>
      </c>
      <c r="GD270" s="91">
        <f>'Renewable Diesel'!BB279*0.32</f>
        <v>0</v>
      </c>
      <c r="GE270" s="91">
        <f>'Renewable Diesel'!BC279</f>
        <v>185.65145426298955</v>
      </c>
      <c r="GF270" s="91">
        <f>'Renewable Diesel'!BD279</f>
        <v>0</v>
      </c>
      <c r="GG270" s="91">
        <f t="shared" si="206"/>
        <v>185.65145426298955</v>
      </c>
      <c r="GH270" s="124">
        <v>1</v>
      </c>
      <c r="GI270" s="102">
        <f>$GG270*EA270*'Feedstock Conversion Rates'!$B$2</f>
        <v>6.0249737204647413</v>
      </c>
      <c r="GJ270" s="102">
        <f>$GG270*EB270*'Feedstock Conversion Rates'!$B$3</f>
        <v>404.88974196112662</v>
      </c>
      <c r="GK270" s="102">
        <f>$GG270*EC270*'Feedstock Conversion Rates'!$B$4</f>
        <v>720.4889105794532</v>
      </c>
      <c r="GL270" s="102">
        <f>$GG270*ED270*'Feedstock Conversion Rates'!$B$5</f>
        <v>28.146329551214645</v>
      </c>
      <c r="GM270" s="102">
        <f>$GG270*EE270*'Feedstock Conversion Rates'!$B$6</f>
        <v>151.60033857042447</v>
      </c>
      <c r="GN270" s="102">
        <f>$GG270*EF270*'Feedstock Conversion Rates'!$B$7</f>
        <v>155.15931128169001</v>
      </c>
      <c r="GO270" s="102">
        <f>$GG270*EG270*'Feedstock Conversion Rates'!$B$8</f>
        <v>13.190864015031725</v>
      </c>
      <c r="GP270" s="102">
        <f>$GG270*EH270*'Feedstock Conversion Rates'!B$9</f>
        <v>1.5463349498809469</v>
      </c>
      <c r="GQ270" s="102">
        <f t="shared" si="276"/>
        <v>1481.0468046292863</v>
      </c>
      <c r="GR270" s="85">
        <f t="shared" si="204"/>
        <v>7.9775664053310873</v>
      </c>
      <c r="GT270" s="103">
        <f t="shared" si="254"/>
        <v>4.0680508554034678E-3</v>
      </c>
      <c r="GU270" s="103">
        <f t="shared" si="254"/>
        <v>0.27338078762640627</v>
      </c>
      <c r="GV270" s="103">
        <f t="shared" si="254"/>
        <v>0.48647274909032684</v>
      </c>
      <c r="GW270" s="103">
        <f t="shared" si="254"/>
        <v>1.9004348453565457E-2</v>
      </c>
      <c r="GX270" s="103">
        <f t="shared" si="253"/>
        <v>0.1023602617395814</v>
      </c>
      <c r="GY270" s="103">
        <f t="shared" si="253"/>
        <v>0.10476327337982215</v>
      </c>
      <c r="GZ270" s="103">
        <f t="shared" si="253"/>
        <v>8.9064464227607346E-3</v>
      </c>
      <c r="HA270" s="103">
        <f t="shared" si="251"/>
        <v>1.0440824321335355E-3</v>
      </c>
    </row>
    <row r="271" spans="1:209" x14ac:dyDescent="0.25">
      <c r="A271" s="96">
        <v>48670</v>
      </c>
      <c r="B271" s="104">
        <f t="shared" si="263"/>
        <v>0.75</v>
      </c>
      <c r="C271" s="104">
        <f t="shared" si="264"/>
        <v>3.5</v>
      </c>
      <c r="D271" s="104">
        <f t="shared" si="242"/>
        <v>2</v>
      </c>
      <c r="E271" s="104">
        <f>('Renewable Diesel'!B280*E$3*'Feedstock Conversion Rates'!$B$2)/12+26+13-100+27.5+39+75-10-32-1-7+46-46.5+27-15+10-42-95</f>
        <v>4.9300000000000068</v>
      </c>
      <c r="F271" s="104">
        <f>('Renewable Diesel'!B280*'RD Feedstock Breakdown'!F$3*'Feedstock Conversion Rates'!B$8)/12+77+23-10-12-115.75+24+8+2.5+1-32-15</f>
        <v>4.65625</v>
      </c>
      <c r="G271" s="104">
        <f>('Renewable Diesel'!B280*'RD Feedstock Breakdown'!G$3*'Feedstock Conversion Rates'!B$7)/12-25-15-25+4+4-20-40-20+10-17.5+20+50-12+32.5+35-75-75+22.5+5-20+15+125-10-60+5-85+45+20</f>
        <v>69.657000000000011</v>
      </c>
      <c r="H271" s="104">
        <f>('Renewable Diesel'!B280*'RD Feedstock Breakdown'!H$3*'Feedstock Conversion Rates'!B$3)/12-85+4-15+70-65-80+50-22.5-5+25+27.5+15+50+15-10+5+50+75-5-25-85-12.5+30+22.5-25-30+150+90-120+25+10+20+85-30-45-20+95</f>
        <v>410.40022499999998</v>
      </c>
      <c r="I271" s="106">
        <f t="shared" si="203"/>
        <v>495.89347499999997</v>
      </c>
      <c r="J271" s="104">
        <f>87-50+15+53+55-6+84+19-11-40-29-30-13-50-7+30+25+15-7.5-45-10-1-55+5+15+18+90-5+15+5-100-70+11+40-24-14-5-9.5+20+5+30</f>
        <v>55</v>
      </c>
      <c r="K271" s="104"/>
      <c r="L271" s="104">
        <v>1</v>
      </c>
      <c r="M271" s="104">
        <f>('Renewable Diesel'!C280*'RD Feedstock Breakdown'!M$3*'Feedstock Conversion Rates'!B$2)/12</f>
        <v>7.7902500000000003</v>
      </c>
      <c r="N271" s="104">
        <f>('Renewable Diesel'!C280*'RD Feedstock Breakdown'!N$3*'Feedstock Conversion Rates'!B$8)/12</f>
        <v>3.671875</v>
      </c>
      <c r="O271" s="104">
        <f>('Renewable Diesel'!C280*'RD Feedstock Breakdown'!O$3*'Feedstock Conversion Rates'!B$7)/12</f>
        <v>11.9991</v>
      </c>
      <c r="P271" s="104">
        <f>('Renewable Diesel'!C280*'RD Feedstock Breakdown'!P$3*'Feedstock Conversion Rates'!B$3)/12</f>
        <v>10.4470425</v>
      </c>
      <c r="Q271" s="106">
        <f t="shared" si="216"/>
        <v>89.908267499999994</v>
      </c>
      <c r="R271" s="104">
        <f>('Renewable Diesel'!D280*'RD Feedstock Breakdown'!R$3*'Feedstock Conversion Rates'!B$7)/12</f>
        <v>2.2999999999999998</v>
      </c>
      <c r="S271" s="106">
        <f t="shared" si="249"/>
        <v>2.2999999999999998</v>
      </c>
      <c r="T271" s="104">
        <f t="shared" si="221"/>
        <v>0.82500000000000284</v>
      </c>
      <c r="U271" s="104">
        <v>30</v>
      </c>
      <c r="V271" s="104">
        <f>('Renewable Diesel'!E280*'RD Feedstock Breakdown'!V$3*'Feedstock Conversion Rates'!B$6)/12-20+25-35+15</f>
        <v>29.250150000000012</v>
      </c>
      <c r="W271" s="104">
        <f>('Renewable Diesel'!E280*'RD Feedstock Breakdown'!W$3*'Feedstock Conversion Rates'!B$8)/12-6-10</f>
        <v>6.1796875</v>
      </c>
      <c r="X271" s="106">
        <f t="shared" si="277"/>
        <v>66.254837500000008</v>
      </c>
      <c r="Y271" s="104">
        <f t="shared" si="259"/>
        <v>146</v>
      </c>
      <c r="Z271" s="104">
        <f>('Renewable Diesel'!F280*'RD Feedstock Breakdown'!Z$3*'Feedstock Conversion Rates'!B$6)/12-142+15+5+75-45+52.5-87.5+80-10-20-17+2+7</f>
        <v>74.460000000000008</v>
      </c>
      <c r="AA271" s="104">
        <f>('Renewable Diesel'!F280*'RD Feedstock Breakdown'!AA$3*'Feedstock Conversion Rates'!B$7)/12+24-30-55</f>
        <v>43.266666666666652</v>
      </c>
      <c r="AB271" s="106">
        <f t="shared" si="235"/>
        <v>263.72666666666669</v>
      </c>
      <c r="AC271" s="104">
        <f>('Renewable Diesel'!G280*'RD Feedstock Breakdown'!AC$3*'Feedstock Conversion Rates'!B$5)/12</f>
        <v>11.796875</v>
      </c>
      <c r="AD271" s="104">
        <f>('Renewable Diesel'!G280*'RD Feedstock Breakdown'!AD$3*'Feedstock Conversion Rates'!B$4)/12</f>
        <v>5.859375</v>
      </c>
      <c r="AE271" s="104">
        <f>('Renewable Diesel'!G280*'RD Feedstock Breakdown'!AE$3*'Feedstock Conversion Rates'!B$6)/12</f>
        <v>7.3281250000000009</v>
      </c>
      <c r="AF271" s="106">
        <f t="shared" si="198"/>
        <v>24.984375</v>
      </c>
      <c r="AG271" s="104">
        <f t="shared" si="230"/>
        <v>6.5</v>
      </c>
      <c r="AH271" s="104">
        <v>135</v>
      </c>
      <c r="AI271" s="104">
        <f>('Renewable Diesel'!H280*'RD Feedstock Breakdown'!AI$3*'Feedstock Conversion Rates'!B$6)/12-130-20+51-120+105-37.5+10</f>
        <v>7.0166666666666799</v>
      </c>
      <c r="AJ271" s="106">
        <f t="shared" si="248"/>
        <v>13.51666666666668</v>
      </c>
      <c r="AK271" s="104">
        <f>('Renewable Diesel'!J280*'RD Feedstock Breakdown'!AK$3*'Feedstock Conversion Rates'!B$4)/12</f>
        <v>95.8125</v>
      </c>
      <c r="AL271" s="106">
        <f t="shared" si="252"/>
        <v>95.8125</v>
      </c>
      <c r="AM271" s="104">
        <f>('Renewable Diesel'!K280*'RD Feedstock Breakdown'!AM$3*'Feedstock Conversion Rates'!B$4)/12+5+15-10+5-26</f>
        <v>47.59375</v>
      </c>
      <c r="AN271" s="104">
        <f>('Renewable Diesel'!K280*'RD Feedstock Breakdown'!AN$3*'Feedstock Conversion Rates'!B$6)/12-5-15+10-5+26</f>
        <v>35.427083333333329</v>
      </c>
      <c r="AO271" s="106">
        <f t="shared" si="270"/>
        <v>83.020833333333329</v>
      </c>
      <c r="AP271" s="104">
        <f>('Renewable Diesel'!L280*'RD Feedstock Breakdown'!AP$3*'Feedstock Conversion Rates'!B$4)/12+15-10+10+2.5</f>
        <v>76.09375</v>
      </c>
      <c r="AQ271" s="104">
        <f>('Renewable Diesel'!L280*'RD Feedstock Breakdown'!AQ$3*'Feedstock Conversion Rates'!B$6)/12-15+10-10-2.5</f>
        <v>6.9270833333333321</v>
      </c>
      <c r="AR271" s="106">
        <f t="shared" si="256"/>
        <v>83.020833333333329</v>
      </c>
      <c r="AS271" s="104">
        <f>('Renewable Diesel'!M280*'RD Feedstock Breakdown'!AS$3*'Feedstock Conversion Rates'!B$4)/12-25</f>
        <v>431.25</v>
      </c>
      <c r="AT271" s="104">
        <f>('Renewable Diesel'!M280*'RD Feedstock Breakdown'!AT$3*'Feedstock Conversion Rates'!B$5)/12+25</f>
        <v>25</v>
      </c>
      <c r="AU271" s="106">
        <f t="shared" si="201"/>
        <v>456.25</v>
      </c>
      <c r="AV271" s="104">
        <f>'Renewable Diesel'!N280*'RD Feedstock Breakdown'!$AV$3*'Feedstock Conversion Rates'!$B$4/12-15-10+25+25-22+15-68+11</f>
        <v>39.749999999999986</v>
      </c>
      <c r="AW271" s="104">
        <f>'Renewable Diesel'!N280*'RD Feedstock Breakdown'!$AW$3*'Feedstock Conversion Rates'!$B$7/12+15+10-25-25+22-15+68-11</f>
        <v>80.400000000000006</v>
      </c>
      <c r="AX271" s="106">
        <f t="shared" si="239"/>
        <v>120.14999999999999</v>
      </c>
      <c r="AY271" s="104">
        <f>('Renewable Diesel'!O280*'RD Feedstock Breakdown'!AY$3*'Feedstock Conversion Rates'!B$4)/12-100-160-10-78</f>
        <v>-137.0625</v>
      </c>
      <c r="AZ271" s="104">
        <f>('Renewable Diesel'!O280*'RD Feedstock Breakdown'!AZ$3*'Feedstock Conversion Rates'!B$3)/12+100+160+10+78</f>
        <v>373.03125</v>
      </c>
      <c r="BA271" s="106">
        <f t="shared" si="217"/>
        <v>235.96875</v>
      </c>
      <c r="BB271" s="104">
        <f>('Renewable Diesel'!Q280*'RD Feedstock Breakdown'!BB$3*'Feedstock Conversion Rates'!B$4)/12</f>
        <v>11.156249999999998</v>
      </c>
      <c r="BC271" s="104">
        <f>('Renewable Diesel'!Q280*'RD Feedstock Breakdown'!BC$3*'Feedstock Conversion Rates'!B$3)/12</f>
        <v>1.4017500000000001</v>
      </c>
      <c r="BD271" s="104">
        <f>('Renewable Diesel'!Q280*'RD Feedstock Breakdown'!BD$3*'Feedstock Conversion Rates'!B$6)/12</f>
        <v>0.8207500000000002</v>
      </c>
      <c r="BE271" s="106">
        <f t="shared" ref="BE271:BE334" si="279">SUM(BB271:BD271)</f>
        <v>13.378749999999998</v>
      </c>
      <c r="BF271" s="104">
        <f>('Renewable Diesel'!R280*'RD Feedstock Breakdown'!BF$3*'Feedstock Conversion Rates'!B$4)/12</f>
        <v>62.5</v>
      </c>
      <c r="BG271" s="106">
        <f t="shared" si="262"/>
        <v>62.5</v>
      </c>
      <c r="BH271" s="104">
        <f>('Renewable Diesel'!T280*'RD Feedstock Breakdown'!BH$3*'Feedstock Conversion Rates'!B$7)/12</f>
        <v>27.599999999999998</v>
      </c>
      <c r="BI271" s="106">
        <f t="shared" si="243"/>
        <v>27.599999999999998</v>
      </c>
      <c r="BJ271" s="104">
        <f>('Renewable Diesel'!W280*'RD Feedstock Breakdown'!BJ$3*'Feedstock Conversion Rates'!B$4)/12</f>
        <v>7.5</v>
      </c>
      <c r="BK271" s="104">
        <f>('Renewable Diesel'!W280*'RD Feedstock Breakdown'!BK$3*'Feedstock Conversion Rates'!B$3)/12</f>
        <v>1.335</v>
      </c>
      <c r="BL271" s="104">
        <f>('Renewable Diesel'!W280*'RD Feedstock Breakdown'!BL$3*'Feedstock Conversion Rates'!B$6)/12</f>
        <v>3.1266666666666669</v>
      </c>
      <c r="BM271" s="104">
        <f>('Renewable Diesel'!W280*'RD Feedstock Breakdown'!BM$3*'Feedstock Conversion Rates'!B$7)/12</f>
        <v>1.5333333333333332</v>
      </c>
      <c r="BN271" s="106">
        <f t="shared" si="209"/>
        <v>13.495000000000001</v>
      </c>
      <c r="BO271" s="104">
        <f>('Renewable Diesel'!P280*'Feedstock Conversion Rates'!B$4)/12</f>
        <v>31.25</v>
      </c>
      <c r="BP271" s="106">
        <f t="shared" si="199"/>
        <v>31.25</v>
      </c>
      <c r="BQ271" s="104">
        <f>('Renewable Diesel'!$S280*'RD Feedstock Breakdown'!BQ$3*'Feedstock Conversion Rates'!B$4)/12+10</f>
        <v>38.125</v>
      </c>
      <c r="BR271" s="104">
        <f>('Renewable Diesel'!$S280*'RD Feedstock Breakdown'!BR$3*'Feedstock Conversion Rates'!B$7)/12-10</f>
        <v>1.5</v>
      </c>
      <c r="BS271" s="106">
        <f t="shared" si="222"/>
        <v>39.625</v>
      </c>
      <c r="BT271" s="106"/>
      <c r="BU271" s="104">
        <f>('Renewable Diesel'!Y280*'Feedstock Conversion Rates'!B$7)/12</f>
        <v>2.6833333333333331</v>
      </c>
      <c r="BV271" s="106">
        <f t="shared" si="191"/>
        <v>2.6833333333333331</v>
      </c>
      <c r="BW271" s="104">
        <f>('Renewable Diesel'!$Z280*'RD Feedstock Breakdown'!BW$3*'Feedstock Conversion Rates'!$B$4)/12</f>
        <v>71.875</v>
      </c>
      <c r="BX271" s="104">
        <f>('Renewable Diesel'!$Z280*'RD Feedstock Breakdown'!BX$3*'Feedstock Conversion Rates'!$B$5)/12</f>
        <v>7.2354166666666666</v>
      </c>
      <c r="BY271" s="104">
        <f>('Renewable Diesel'!$Z280*'RD Feedstock Breakdown'!BY$3*'Feedstock Conversion Rates'!$B$7)/12</f>
        <v>61.716666666666661</v>
      </c>
      <c r="BZ271" s="104">
        <f>('Renewable Diesel'!$Z280*'RD Feedstock Breakdown'!BZ$3*'Feedstock Conversion Rates'!$B$3)/12</f>
        <v>15.352499999999999</v>
      </c>
      <c r="CA271" s="106">
        <f t="shared" si="228"/>
        <v>156.17958333333331</v>
      </c>
      <c r="CB271" s="104">
        <f>('Renewable Diesel'!AA280*'Feedstock Conversion Rates'!B$4)/12</f>
        <v>191.25</v>
      </c>
      <c r="CC271" s="106">
        <f t="shared" si="213"/>
        <v>191.25</v>
      </c>
      <c r="CD271" s="104">
        <f>('Renewable Diesel'!$AB280*'RD Feedstock Breakdown'!CD$3*'Feedstock Conversion Rates'!$B$6)/12-15-5+5</f>
        <v>17.830000000000005</v>
      </c>
      <c r="CE271" s="104">
        <f>('Renewable Diesel'!$AB280*'RD Feedstock Breakdown'!CE$3*'Feedstock Conversion Rates'!$B$4)/12+15+5-5</f>
        <v>26.25</v>
      </c>
      <c r="CF271" s="106">
        <f t="shared" si="205"/>
        <v>44.080000000000005</v>
      </c>
      <c r="CG271" s="104">
        <f>('Renewable Diesel'!AD280*'Feedstock Conversion Rates'!B$4)/12</f>
        <v>112.5</v>
      </c>
      <c r="CH271" s="106">
        <f t="shared" si="278"/>
        <v>112.5</v>
      </c>
      <c r="CI271" s="104">
        <f>('Renewable Diesel'!$AE280*'RD Feedstock Breakdown'!CI$3*'Feedstock Conversion Rates'!$B$5)/12</f>
        <v>0.34604166666666664</v>
      </c>
      <c r="CJ271" s="104">
        <f>('Renewable Diesel'!$AE280*'RD Feedstock Breakdown'!CJ$3*'Feedstock Conversion Rates'!$B$4)/12</f>
        <v>0.34375</v>
      </c>
      <c r="CK271" s="106">
        <f t="shared" si="200"/>
        <v>0.68979166666666658</v>
      </c>
      <c r="CL271" s="104">
        <f>(((CL$3*'Renewable Diesel'!$AF280)*'Feedstock Conversion Rates'!$B$3)/12)-25</f>
        <v>66.78125</v>
      </c>
      <c r="CM271" s="104">
        <f>(((CM$3*'Renewable Diesel'!$AF280)*'Feedstock Conversion Rates'!$B$6)/12)+25</f>
        <v>78.739583333333343</v>
      </c>
      <c r="CN271" s="104">
        <f>(((CN$3*'Renewable Diesel'!$AF280)*'Feedstock Conversion Rates'!$B$4)/12)</f>
        <v>42.96875</v>
      </c>
      <c r="CO271" s="106">
        <f t="shared" ref="CO271:CO334" si="280">SUM(CL271:CN271)</f>
        <v>188.48958333333334</v>
      </c>
      <c r="CP271" s="104">
        <f>('Renewable Diesel'!$AG280*'RD Feedstock Breakdown'!CP$3*'Feedstock Conversion Rates'!$B$3)/12</f>
        <v>6.0075000000000003</v>
      </c>
      <c r="CQ271" s="104">
        <f>('Renewable Diesel'!$AG280*'RD Feedstock Breakdown'!CQ$3*'Feedstock Conversion Rates'!$B$6)/12</f>
        <v>3.5175000000000001</v>
      </c>
      <c r="CR271" s="104">
        <f>('Renewable Diesel'!$AG280*'RD Feedstock Breakdown'!CR$3*'Feedstock Conversion Rates'!$B$4)/12</f>
        <v>2.8125</v>
      </c>
      <c r="CS271" s="106">
        <f t="shared" si="231"/>
        <v>12.3375</v>
      </c>
      <c r="CT271" s="104">
        <f>('Renewable Diesel'!AI280*'Feedstock Conversion Rates'!$B$4*'RD Feedstock Breakdown'!$CT$3)/12</f>
        <v>29.375</v>
      </c>
      <c r="CU271" s="106">
        <f t="shared" si="196"/>
        <v>29.375</v>
      </c>
      <c r="CV271" s="104">
        <f>('Renewable Diesel'!AN280*'Feedstock Conversion Rates'!$B$3*'RD Feedstock Breakdown'!$CV$3)/12</f>
        <v>0.50062499999999999</v>
      </c>
      <c r="CW271" s="106">
        <f t="shared" si="255"/>
        <v>0.50062499999999999</v>
      </c>
      <c r="CX271" s="104">
        <f>('Renewable Diesel'!AO280*'RD Feedstock Breakdown'!$CX$3*'Feedstock Conversion Rates'!$B$3)/12</f>
        <v>6.3412499999999996</v>
      </c>
      <c r="CY271" s="104">
        <f>('Renewable Diesel'!AO280*'RD Feedstock Breakdown'!$CY$3*'Feedstock Conversion Rates'!$B$6)/12</f>
        <v>7.4258333333333342</v>
      </c>
      <c r="CZ271" s="106">
        <f t="shared" si="233"/>
        <v>13.767083333333334</v>
      </c>
      <c r="DA271" s="104">
        <f>('Renewable Diesel'!$AP280*'RD Feedstock Breakdown'!DA$3*'Feedstock Conversion Rates'!$B$3)/12</f>
        <v>6.3412499999999996</v>
      </c>
      <c r="DB271" s="104">
        <f>('Renewable Diesel'!$AP280*'RD Feedstock Breakdown'!DB$3*'Feedstock Conversion Rates'!$B$8)/12</f>
        <v>7.421875</v>
      </c>
      <c r="DC271" s="106">
        <f t="shared" si="260"/>
        <v>13.763124999999999</v>
      </c>
      <c r="DD271" s="104">
        <f>('Renewable Diesel'!AQ280*$DD$3*'Feedstock Conversion Rates'!$B$14)/12</f>
        <v>3.1041666666666665</v>
      </c>
      <c r="DE271" s="106">
        <f t="shared" si="261"/>
        <v>3.1041666666666665</v>
      </c>
      <c r="DF271" s="104">
        <f>('Renewable Diesel'!AR280*'Feedstock Conversion Rates'!$B$4*$DF$3)/12</f>
        <v>75</v>
      </c>
      <c r="DG271" s="106">
        <f t="shared" si="234"/>
        <v>75</v>
      </c>
      <c r="DH271" s="104">
        <f>('Renewable Diesel'!AS280*'Feedstock Conversion Rates'!$B$4*$DH$3)/12</f>
        <v>75</v>
      </c>
      <c r="DI271" s="106">
        <f t="shared" si="240"/>
        <v>75</v>
      </c>
      <c r="DJ271" s="104">
        <f>('Renewable Diesel'!AT280*'Feedstock Conversion Rates'!$B$4*0.25)/12</f>
        <v>8.59375</v>
      </c>
      <c r="DK271" s="104">
        <f>('Renewable Diesel'!$AT280*'RD Feedstock Breakdown'!DK$3*'Feedstock Conversion Rates'!$B$3)/12*0.5</f>
        <v>9.1781249999999996</v>
      </c>
      <c r="DL271" s="104">
        <f>('Renewable Diesel'!$AT280*'RD Feedstock Breakdown'!$DL$3*'Feedstock Conversion Rates'!$B$6)/12</f>
        <v>10.747916666666669</v>
      </c>
      <c r="DM271" s="104">
        <f>('Renewable Diesel'!$AT280*'RD Feedstock Breakdown'!$DM$3*'Feedstock Conversion Rates'!$B$8)/12</f>
        <v>10.7421875</v>
      </c>
      <c r="DN271" s="106">
        <f t="shared" si="210"/>
        <v>39.26197916666667</v>
      </c>
      <c r="DP271" s="104">
        <f t="shared" si="265"/>
        <v>12.720250000000007</v>
      </c>
      <c r="DQ271" s="104">
        <f t="shared" si="266"/>
        <v>907.11776750000001</v>
      </c>
      <c r="DR271" s="104">
        <f t="shared" si="271"/>
        <v>1703.953125</v>
      </c>
      <c r="DS271" s="104">
        <f t="shared" si="197"/>
        <v>66.901250000000005</v>
      </c>
      <c r="DT271" s="104">
        <f t="shared" si="267"/>
        <v>290.03923333333341</v>
      </c>
      <c r="DU271" s="104">
        <f t="shared" si="268"/>
        <v>302.65609999999998</v>
      </c>
      <c r="DV271" s="104">
        <f t="shared" si="272"/>
        <v>25.25</v>
      </c>
      <c r="DW271" s="104">
        <f t="shared" si="269"/>
        <v>3</v>
      </c>
      <c r="DX271" s="106">
        <f t="shared" si="273"/>
        <v>3311.6377258333337</v>
      </c>
      <c r="DY271" s="109">
        <f t="shared" si="257"/>
        <v>-135.00000000000048</v>
      </c>
      <c r="EA271" s="110">
        <f t="shared" si="250"/>
        <v>3.8410753388790769E-3</v>
      </c>
      <c r="EB271" s="110">
        <f t="shared" si="250"/>
        <v>0.27391817662414591</v>
      </c>
      <c r="EC271" s="110">
        <f t="shared" si="250"/>
        <v>0.51453488155055394</v>
      </c>
      <c r="ED271" s="110">
        <f t="shared" si="250"/>
        <v>2.0201862503896047E-2</v>
      </c>
      <c r="EE271" s="110">
        <f t="shared" si="250"/>
        <v>8.7581812186400473E-2</v>
      </c>
      <c r="EF271" s="110">
        <f t="shared" si="250"/>
        <v>9.1391669336005107E-2</v>
      </c>
      <c r="EG271" s="110">
        <f t="shared" si="250"/>
        <v>7.6246262696642465E-3</v>
      </c>
      <c r="EH271" s="111">
        <f t="shared" si="274"/>
        <v>9.0589619045515805E-4</v>
      </c>
      <c r="EI271" s="110">
        <f t="shared" si="236"/>
        <v>0.99909410380954466</v>
      </c>
      <c r="EK271" s="132">
        <f>(EA271*'Renewable Diesel'!BF280*'Feedstock Conversion Rates'!B$2)+FB271</f>
        <v>24.110624095570589</v>
      </c>
      <c r="EL271" s="132">
        <f>(EB271*'Renewable Diesel'!BF280*'Feedstock Conversion Rates'!B$3)+FC271</f>
        <v>1620.279991499164</v>
      </c>
      <c r="EM271" s="132">
        <f>(EC271*'Renewable Diesel'!BF280*'Feedstock Conversion Rates'!B$4)+FD271</f>
        <v>2849.7895278150368</v>
      </c>
      <c r="EN271" s="132">
        <f>(ED271*'Renewable Diesel'!BF280*'Feedstock Conversion Rates'!B$5)+FE271</f>
        <v>112.63544091061031</v>
      </c>
      <c r="EO271" s="132">
        <f>(EE271*'Renewable Diesel'!BF280*'Feedstock Conversion Rates'!B$6)+FF271</f>
        <v>606.67132266774274</v>
      </c>
      <c r="EP271" s="132">
        <f>(EF271*'Renewable Diesel'!BF280*'Feedstock Conversion Rates'!B$7)+FG271</f>
        <v>620.91355129626834</v>
      </c>
      <c r="EQ271" s="132">
        <f>(EG271*'Renewable Diesel'!BF280*'Feedstock Conversion Rates'!B$8)+FH271</f>
        <v>52.786946220520058</v>
      </c>
      <c r="ER271" s="132">
        <f>(EH271*'Renewable Diesel'!BF280*'Feedstock Conversion Rates'!B$9)+FI271</f>
        <v>6.1880934975342328</v>
      </c>
      <c r="ES271" s="132">
        <f t="shared" si="275"/>
        <v>5893.3754980024478</v>
      </c>
      <c r="ET271" s="133">
        <f>ES271/'Renewable Diesel'!BF280</f>
        <v>10.10005240219658</v>
      </c>
      <c r="EW271" s="73">
        <f t="shared" si="223"/>
        <v>3584.1208890927046</v>
      </c>
      <c r="EX271" s="73">
        <f t="shared" si="224"/>
        <v>3546.0412087321847</v>
      </c>
      <c r="EY271" s="92">
        <f t="shared" si="258"/>
        <v>0.60816095806342862</v>
      </c>
      <c r="EZ271" s="92">
        <f t="shared" si="258"/>
        <v>0.60169952006861105</v>
      </c>
      <c r="FB271" s="102">
        <f>IF('Renewable Diesel'!$BG280&lt;1,0,(((('Renewable Diesel'!$BG280-1)*'Renewable Diesel'!$BF280)*'RD Feedstock Breakdown'!EA271)*'Feedstock Conversion Rates'!$B$2))</f>
        <v>5.0598671007583258</v>
      </c>
      <c r="FC271" s="102">
        <f>IF('Renewable Diesel'!$BG280&lt;1,0,(((('Renewable Diesel'!$BG280-1)*'Renewable Diesel'!$BF280)*'RD Feedstock Breakdown'!EB271)*'Feedstock Conversion Rates'!$B$3))</f>
        <v>340.03273372379209</v>
      </c>
      <c r="FD271" s="102">
        <f>IF('Renewable Diesel'!$BG280&lt;1,0,(((('Renewable Diesel'!$BG280-1)*'Renewable Diesel'!$BF280)*'RD Feedstock Breakdown'!EC271)*'Feedstock Conversion Rates'!$B$4))</f>
        <v>598.0581928829439</v>
      </c>
      <c r="FE271" s="102">
        <f>IF('Renewable Diesel'!$BG280&lt;1,0,(((('Renewable Diesel'!$BG280-1)*'Renewable Diesel'!$BF280)*'RD Feedstock Breakdown'!ED271)*'Feedstock Conversion Rates'!$B$5))</f>
        <v>23.637727484113807</v>
      </c>
      <c r="FF271" s="102">
        <f>IF('Renewable Diesel'!$BG280&lt;1,0,(((('Renewable Diesel'!$BG280-1)*'Renewable Diesel'!$BF280)*'RD Feedstock Breakdown'!EE271)*'Feedstock Conversion Rates'!$B$6))</f>
        <v>127.31633384404955</v>
      </c>
      <c r="FG271" s="102">
        <f>IF('Renewable Diesel'!$BG280&lt;1,0,(((('Renewable Diesel'!$BG280-1)*'Renewable Diesel'!$BF280)*'RD Feedstock Breakdown'!EF271)*'Feedstock Conversion Rates'!$B$7))</f>
        <v>130.30521475369775</v>
      </c>
      <c r="FH271" s="102">
        <f>IF('Renewable Diesel'!$BG280&lt;1,0,(((('Renewable Diesel'!$BG280-1)*'Renewable Diesel'!$BF280)*'RD Feedstock Breakdown'!EG271)*'Feedstock Conversion Rates'!$B$8))</f>
        <v>11.077893772968615</v>
      </c>
      <c r="FI271" s="102">
        <f>IF('Renewable Diesel'!$BG280&lt;1,0,(((('Renewable Diesel'!$BG280-1)*'Renewable Diesel'!$BF280)*'RD Feedstock Breakdown'!EH271)*'Feedstock Conversion Rates'!$B$9))</f>
        <v>1.2986362601183012</v>
      </c>
      <c r="FJ271" s="102">
        <f t="shared" si="225"/>
        <v>1236.7865998224422</v>
      </c>
      <c r="GD271" s="91">
        <f>'Renewable Diesel'!BB280*0.32</f>
        <v>0</v>
      </c>
      <c r="GE271" s="91">
        <f>'Renewable Diesel'!BC280</f>
        <v>298.03642123796737</v>
      </c>
      <c r="GF271" s="91">
        <f>'Renewable Diesel'!BD280</f>
        <v>0</v>
      </c>
      <c r="GG271" s="91">
        <f t="shared" si="206"/>
        <v>298.03642123796737</v>
      </c>
      <c r="GH271" s="124">
        <v>1</v>
      </c>
      <c r="GI271" s="102">
        <f>$GG271*EA271*'Feedstock Conversion Rates'!$B$2</f>
        <v>9.7306329554919291</v>
      </c>
      <c r="GJ271" s="102">
        <f>$GG271*EB271*'Feedstock Conversion Rates'!$B$3</f>
        <v>653.91712051545005</v>
      </c>
      <c r="GK271" s="102">
        <f>$GG271*EC271*'Feedstock Conversion Rates'!$B$4</f>
        <v>1150.126010245714</v>
      </c>
      <c r="GL271" s="102">
        <f>$GG271*ED271*'Feedstock Conversion Rates'!$B$5</f>
        <v>45.457725562670085</v>
      </c>
      <c r="GM271" s="102">
        <f>$GG271*EE271*'Feedstock Conversion Rates'!$B$6</f>
        <v>244.84210537657219</v>
      </c>
      <c r="GN271" s="102">
        <f>$GG271*EF271*'Feedstock Conversion Rates'!$B$7</f>
        <v>250.5900237507731</v>
      </c>
      <c r="GO271" s="102">
        <f>$GG271*EG271*'Feedstock Conversion Rates'!$B$8</f>
        <v>21.303903062697422</v>
      </c>
      <c r="GP271" s="102">
        <f>$GG271*EH271*'Feedstock Conversion Rates'!B$9</f>
        <v>2.4974080422013611</v>
      </c>
      <c r="GQ271" s="102">
        <f t="shared" si="276"/>
        <v>2378.4649295115701</v>
      </c>
      <c r="GR271" s="85">
        <f t="shared" si="204"/>
        <v>7.980450575912946</v>
      </c>
      <c r="GT271" s="103">
        <f t="shared" si="254"/>
        <v>4.0911399763586855E-3</v>
      </c>
      <c r="GU271" s="103">
        <f t="shared" si="254"/>
        <v>0.27493242065576096</v>
      </c>
      <c r="GV271" s="103">
        <f t="shared" si="254"/>
        <v>0.48355811177838059</v>
      </c>
      <c r="GW271" s="103">
        <f t="shared" si="254"/>
        <v>1.9112211829839781E-2</v>
      </c>
      <c r="GX271" s="103">
        <f t="shared" si="253"/>
        <v>0.10294123000874002</v>
      </c>
      <c r="GY271" s="103">
        <f t="shared" si="253"/>
        <v>0.10535788047218884</v>
      </c>
      <c r="GZ271" s="103">
        <f t="shared" si="253"/>
        <v>8.9569969261948639E-3</v>
      </c>
      <c r="HA271" s="103">
        <f t="shared" si="251"/>
        <v>1.050008352536111E-3</v>
      </c>
    </row>
    <row r="272" spans="1:209" x14ac:dyDescent="0.25">
      <c r="A272" s="96">
        <v>48700</v>
      </c>
      <c r="B272" s="104">
        <f t="shared" si="263"/>
        <v>0.75</v>
      </c>
      <c r="C272" s="104">
        <f t="shared" si="264"/>
        <v>3.5</v>
      </c>
      <c r="D272" s="104">
        <f t="shared" si="242"/>
        <v>2</v>
      </c>
      <c r="E272" s="104">
        <f>('Renewable Diesel'!B281*E$3*'Feedstock Conversion Rates'!$B$2)/12+26+13-100+27.5+39+75-10-32-1-7+46-46.5+27-15+10-42-95</f>
        <v>4.9300000000000068</v>
      </c>
      <c r="F272" s="104">
        <f>('Renewable Diesel'!B281*'RD Feedstock Breakdown'!F$3*'Feedstock Conversion Rates'!B$8)/12+77+23-10-12-115.75+24+8+2.5+1-32-15</f>
        <v>4.65625</v>
      </c>
      <c r="G272" s="104">
        <f>('Renewable Diesel'!B281*'RD Feedstock Breakdown'!G$3*'Feedstock Conversion Rates'!B$7)/12-25-15-25+4+4-20-40-20+10-17.5+20+50-12+32.5+35-75-75+22.5+5-20+15+125-10-60+5-85+45+20</f>
        <v>69.657000000000011</v>
      </c>
      <c r="H272" s="104">
        <f>('Renewable Diesel'!B281*'RD Feedstock Breakdown'!H$3*'Feedstock Conversion Rates'!B$3)/12-85+4-15+70-65-80+50-22.5-5+25+27.5+15+50+15-10+5+50+75-5-25-85-12.5+30+22.5-25-30+150+90-120+25+10+20+85-30-45-20+95</f>
        <v>410.40022499999998</v>
      </c>
      <c r="I272" s="106">
        <f t="shared" si="203"/>
        <v>495.89347499999997</v>
      </c>
      <c r="J272" s="104">
        <f>87-50+15+53+55-6+84+19-11-40-29-30-13-50-7+30+25+15-7.5-45-10-1-55+5+15+18+90-5+15+5-100-70+11+40-24-14-5-9.5+20+5+30</f>
        <v>55</v>
      </c>
      <c r="K272" s="104"/>
      <c r="L272" s="104">
        <v>1</v>
      </c>
      <c r="M272" s="104">
        <f>('Renewable Diesel'!C281*'RD Feedstock Breakdown'!M$3*'Feedstock Conversion Rates'!B$2)/12</f>
        <v>7.7902500000000003</v>
      </c>
      <c r="N272" s="104">
        <f>('Renewable Diesel'!C281*'RD Feedstock Breakdown'!N$3*'Feedstock Conversion Rates'!B$8)/12</f>
        <v>3.671875</v>
      </c>
      <c r="O272" s="104">
        <f>('Renewable Diesel'!C281*'RD Feedstock Breakdown'!O$3*'Feedstock Conversion Rates'!B$7)/12</f>
        <v>11.9991</v>
      </c>
      <c r="P272" s="104">
        <f>('Renewable Diesel'!C281*'RD Feedstock Breakdown'!P$3*'Feedstock Conversion Rates'!B$3)/12</f>
        <v>10.4470425</v>
      </c>
      <c r="Q272" s="106">
        <f t="shared" si="216"/>
        <v>89.908267499999994</v>
      </c>
      <c r="R272" s="104">
        <f>('Renewable Diesel'!D281*'RD Feedstock Breakdown'!R$3*'Feedstock Conversion Rates'!B$7)/12</f>
        <v>2.2999999999999998</v>
      </c>
      <c r="S272" s="106">
        <f t="shared" si="249"/>
        <v>2.2999999999999998</v>
      </c>
      <c r="T272" s="104">
        <f t="shared" si="221"/>
        <v>0.82500000000000284</v>
      </c>
      <c r="U272" s="104">
        <v>30</v>
      </c>
      <c r="V272" s="104">
        <f>('Renewable Diesel'!E281*'RD Feedstock Breakdown'!V$3*'Feedstock Conversion Rates'!B$6)/12-20+25-35+15</f>
        <v>29.250150000000012</v>
      </c>
      <c r="W272" s="104">
        <f>('Renewable Diesel'!E281*'RD Feedstock Breakdown'!W$3*'Feedstock Conversion Rates'!B$8)/12-6-10</f>
        <v>6.1796875</v>
      </c>
      <c r="X272" s="106">
        <f t="shared" si="277"/>
        <v>66.254837500000008</v>
      </c>
      <c r="Y272" s="104">
        <f t="shared" si="259"/>
        <v>146</v>
      </c>
      <c r="Z272" s="104">
        <f>('Renewable Diesel'!F281*'RD Feedstock Breakdown'!Z$3*'Feedstock Conversion Rates'!B$6)/12-142+15+5+75-45+52.5-87.5+80-10-20-17+2+7</f>
        <v>74.460000000000008</v>
      </c>
      <c r="AA272" s="104">
        <f>('Renewable Diesel'!F281*'RD Feedstock Breakdown'!AA$3*'Feedstock Conversion Rates'!B$7)/12+24-30-55</f>
        <v>43.266666666666652</v>
      </c>
      <c r="AB272" s="106">
        <f t="shared" si="235"/>
        <v>263.72666666666669</v>
      </c>
      <c r="AC272" s="104">
        <f>('Renewable Diesel'!G281*'RD Feedstock Breakdown'!AC$3*'Feedstock Conversion Rates'!B$5)/12</f>
        <v>11.796875</v>
      </c>
      <c r="AD272" s="104">
        <f>('Renewable Diesel'!G281*'RD Feedstock Breakdown'!AD$3*'Feedstock Conversion Rates'!B$4)/12</f>
        <v>5.859375</v>
      </c>
      <c r="AE272" s="104">
        <f>('Renewable Diesel'!G281*'RD Feedstock Breakdown'!AE$3*'Feedstock Conversion Rates'!B$6)/12</f>
        <v>7.3281250000000009</v>
      </c>
      <c r="AF272" s="106">
        <f t="shared" si="198"/>
        <v>24.984375</v>
      </c>
      <c r="AG272" s="104">
        <f t="shared" si="230"/>
        <v>6.5</v>
      </c>
      <c r="AH272" s="104">
        <v>135</v>
      </c>
      <c r="AI272" s="104">
        <f>('Renewable Diesel'!H281*'RD Feedstock Breakdown'!AI$3*'Feedstock Conversion Rates'!B$6)/12-130-20+51-120+105-37.5+10</f>
        <v>7.0166666666666799</v>
      </c>
      <c r="AJ272" s="106">
        <f t="shared" si="248"/>
        <v>13.51666666666668</v>
      </c>
      <c r="AK272" s="104">
        <f>('Renewable Diesel'!J281*'RD Feedstock Breakdown'!AK$3*'Feedstock Conversion Rates'!B$4)/12</f>
        <v>95.8125</v>
      </c>
      <c r="AL272" s="106">
        <f t="shared" si="252"/>
        <v>95.8125</v>
      </c>
      <c r="AM272" s="104">
        <f>('Renewable Diesel'!K281*'RD Feedstock Breakdown'!AM$3*'Feedstock Conversion Rates'!B$4)/12+5+15-10+5-26</f>
        <v>47.59375</v>
      </c>
      <c r="AN272" s="104">
        <f>('Renewable Diesel'!K281*'RD Feedstock Breakdown'!AN$3*'Feedstock Conversion Rates'!B$6)/12-5-15+10-5+26</f>
        <v>35.427083333333329</v>
      </c>
      <c r="AO272" s="106">
        <f t="shared" si="270"/>
        <v>83.020833333333329</v>
      </c>
      <c r="AP272" s="104">
        <f>('Renewable Diesel'!L281*'RD Feedstock Breakdown'!AP$3*'Feedstock Conversion Rates'!B$4)/12+15-10+10+2.5</f>
        <v>76.09375</v>
      </c>
      <c r="AQ272" s="104">
        <f>('Renewable Diesel'!L281*'RD Feedstock Breakdown'!AQ$3*'Feedstock Conversion Rates'!B$6)/12-15+10-10-2.5</f>
        <v>6.9270833333333321</v>
      </c>
      <c r="AR272" s="106">
        <f t="shared" si="256"/>
        <v>83.020833333333329</v>
      </c>
      <c r="AS272" s="104">
        <f>('Renewable Diesel'!M281*'RD Feedstock Breakdown'!AS$3*'Feedstock Conversion Rates'!B$4)/12-25</f>
        <v>431.25</v>
      </c>
      <c r="AT272" s="104">
        <f>('Renewable Diesel'!M281*'RD Feedstock Breakdown'!AT$3*'Feedstock Conversion Rates'!B$5)/12+25</f>
        <v>25</v>
      </c>
      <c r="AU272" s="106">
        <f t="shared" si="201"/>
        <v>456.25</v>
      </c>
      <c r="AV272" s="104">
        <f>'Renewable Diesel'!N281*'RD Feedstock Breakdown'!$AV$3*'Feedstock Conversion Rates'!$B$4/12-15-10+25+25-22+15-68+11</f>
        <v>39.749999999999986</v>
      </c>
      <c r="AW272" s="104">
        <f>'Renewable Diesel'!N281*'RD Feedstock Breakdown'!$AW$3*'Feedstock Conversion Rates'!$B$7/12+15+10-25-25+22-15+68-11</f>
        <v>80.400000000000006</v>
      </c>
      <c r="AX272" s="106">
        <f t="shared" si="239"/>
        <v>120.14999999999999</v>
      </c>
      <c r="AY272" s="104">
        <f>('Renewable Diesel'!O281*'RD Feedstock Breakdown'!AY$3*'Feedstock Conversion Rates'!B$4)/12-100-160-10-78</f>
        <v>-137.0625</v>
      </c>
      <c r="AZ272" s="104">
        <f>('Renewable Diesel'!O281*'RD Feedstock Breakdown'!AZ$3*'Feedstock Conversion Rates'!B$3)/12+100+160+10+78</f>
        <v>373.03125</v>
      </c>
      <c r="BA272" s="106">
        <f t="shared" si="217"/>
        <v>235.96875</v>
      </c>
      <c r="BB272" s="104">
        <f>('Renewable Diesel'!Q281*'RD Feedstock Breakdown'!BB$3*'Feedstock Conversion Rates'!B$4)/12</f>
        <v>11.156249999999998</v>
      </c>
      <c r="BC272" s="104">
        <f>('Renewable Diesel'!Q281*'RD Feedstock Breakdown'!BC$3*'Feedstock Conversion Rates'!B$3)/12</f>
        <v>1.4017500000000001</v>
      </c>
      <c r="BD272" s="104">
        <f>('Renewable Diesel'!Q281*'RD Feedstock Breakdown'!BD$3*'Feedstock Conversion Rates'!B$6)/12</f>
        <v>0.8207500000000002</v>
      </c>
      <c r="BE272" s="106">
        <f t="shared" si="279"/>
        <v>13.378749999999998</v>
      </c>
      <c r="BF272" s="104">
        <f>('Renewable Diesel'!R281*'RD Feedstock Breakdown'!BF$3*'Feedstock Conversion Rates'!B$4)/12</f>
        <v>62.5</v>
      </c>
      <c r="BG272" s="106">
        <f t="shared" si="262"/>
        <v>62.5</v>
      </c>
      <c r="BH272" s="104">
        <f>('Renewable Diesel'!T281*'RD Feedstock Breakdown'!BH$3*'Feedstock Conversion Rates'!B$7)/12</f>
        <v>27.599999999999998</v>
      </c>
      <c r="BI272" s="106">
        <f t="shared" si="243"/>
        <v>27.599999999999998</v>
      </c>
      <c r="BJ272" s="104">
        <f>('Renewable Diesel'!W281*'RD Feedstock Breakdown'!BJ$3*'Feedstock Conversion Rates'!B$4)/12</f>
        <v>7.5</v>
      </c>
      <c r="BK272" s="104">
        <f>('Renewable Diesel'!W281*'RD Feedstock Breakdown'!BK$3*'Feedstock Conversion Rates'!B$3)/12</f>
        <v>1.335</v>
      </c>
      <c r="BL272" s="104">
        <f>('Renewable Diesel'!W281*'RD Feedstock Breakdown'!BL$3*'Feedstock Conversion Rates'!B$6)/12</f>
        <v>3.1266666666666669</v>
      </c>
      <c r="BM272" s="104">
        <f>('Renewable Diesel'!W281*'RD Feedstock Breakdown'!BM$3*'Feedstock Conversion Rates'!B$7)/12</f>
        <v>1.5333333333333332</v>
      </c>
      <c r="BN272" s="106">
        <f t="shared" si="209"/>
        <v>13.495000000000001</v>
      </c>
      <c r="BO272" s="104">
        <f>('Renewable Diesel'!P281*'Feedstock Conversion Rates'!B$4)/12</f>
        <v>31.25</v>
      </c>
      <c r="BP272" s="106">
        <f t="shared" si="199"/>
        <v>31.25</v>
      </c>
      <c r="BQ272" s="104">
        <f>('Renewable Diesel'!$S281*'RD Feedstock Breakdown'!BQ$3*'Feedstock Conversion Rates'!B$4)/12+10</f>
        <v>38.125</v>
      </c>
      <c r="BR272" s="104">
        <f>('Renewable Diesel'!$S281*'RD Feedstock Breakdown'!BR$3*'Feedstock Conversion Rates'!B$7)/12-10</f>
        <v>1.5</v>
      </c>
      <c r="BS272" s="106">
        <f t="shared" si="222"/>
        <v>39.625</v>
      </c>
      <c r="BT272" s="106"/>
      <c r="BU272" s="104">
        <f>('Renewable Diesel'!Y281*'Feedstock Conversion Rates'!B$7)/12</f>
        <v>2.6833333333333331</v>
      </c>
      <c r="BV272" s="106">
        <f t="shared" si="191"/>
        <v>2.6833333333333331</v>
      </c>
      <c r="BW272" s="104">
        <f>('Renewable Diesel'!$Z281*'RD Feedstock Breakdown'!BW$3*'Feedstock Conversion Rates'!$B$4)/12</f>
        <v>71.875</v>
      </c>
      <c r="BX272" s="104">
        <f>('Renewable Diesel'!$Z281*'RD Feedstock Breakdown'!BX$3*'Feedstock Conversion Rates'!$B$5)/12</f>
        <v>7.2354166666666666</v>
      </c>
      <c r="BY272" s="104">
        <f>('Renewable Diesel'!$Z281*'RD Feedstock Breakdown'!BY$3*'Feedstock Conversion Rates'!$B$7)/12</f>
        <v>61.716666666666661</v>
      </c>
      <c r="BZ272" s="104">
        <f>('Renewable Diesel'!$Z281*'RD Feedstock Breakdown'!BZ$3*'Feedstock Conversion Rates'!$B$3)/12</f>
        <v>15.352499999999999</v>
      </c>
      <c r="CA272" s="106">
        <f t="shared" si="228"/>
        <v>156.17958333333331</v>
      </c>
      <c r="CB272" s="104">
        <f>('Renewable Diesel'!AA281*'Feedstock Conversion Rates'!B$4)/12</f>
        <v>191.25</v>
      </c>
      <c r="CC272" s="106">
        <f t="shared" si="213"/>
        <v>191.25</v>
      </c>
      <c r="CD272" s="104">
        <f>('Renewable Diesel'!$AB281*'RD Feedstock Breakdown'!CD$3*'Feedstock Conversion Rates'!$B$6)/12-15-5+5</f>
        <v>17.830000000000005</v>
      </c>
      <c r="CE272" s="104">
        <f>('Renewable Diesel'!$AB281*'RD Feedstock Breakdown'!CE$3*'Feedstock Conversion Rates'!$B$4)/12+15+5-5</f>
        <v>26.25</v>
      </c>
      <c r="CF272" s="106">
        <f t="shared" si="205"/>
        <v>44.080000000000005</v>
      </c>
      <c r="CG272" s="104">
        <f>('Renewable Diesel'!AD281*'Feedstock Conversion Rates'!B$4)/12</f>
        <v>112.5</v>
      </c>
      <c r="CH272" s="106">
        <f t="shared" si="278"/>
        <v>112.5</v>
      </c>
      <c r="CI272" s="104">
        <f>('Renewable Diesel'!$AE281*'RD Feedstock Breakdown'!CI$3*'Feedstock Conversion Rates'!$B$5)/12</f>
        <v>0.34604166666666664</v>
      </c>
      <c r="CJ272" s="104">
        <f>('Renewable Diesel'!$AE281*'RD Feedstock Breakdown'!CJ$3*'Feedstock Conversion Rates'!$B$4)/12</f>
        <v>0.34375</v>
      </c>
      <c r="CK272" s="106">
        <f t="shared" si="200"/>
        <v>0.68979166666666658</v>
      </c>
      <c r="CL272" s="104">
        <f>(((CL$3*'Renewable Diesel'!$AF281)*'Feedstock Conversion Rates'!$B$3)/12)-25</f>
        <v>66.78125</v>
      </c>
      <c r="CM272" s="104">
        <f>(((CM$3*'Renewable Diesel'!$AF281)*'Feedstock Conversion Rates'!$B$6)/12)+25</f>
        <v>78.739583333333343</v>
      </c>
      <c r="CN272" s="104">
        <f>(((CN$3*'Renewable Diesel'!$AF281)*'Feedstock Conversion Rates'!$B$4)/12)</f>
        <v>42.96875</v>
      </c>
      <c r="CO272" s="106">
        <f t="shared" si="280"/>
        <v>188.48958333333334</v>
      </c>
      <c r="CP272" s="104">
        <f>('Renewable Diesel'!$AG281*'RD Feedstock Breakdown'!CP$3*'Feedstock Conversion Rates'!$B$3)/12</f>
        <v>6.0075000000000003</v>
      </c>
      <c r="CQ272" s="104">
        <f>('Renewable Diesel'!$AG281*'RD Feedstock Breakdown'!CQ$3*'Feedstock Conversion Rates'!$B$6)/12</f>
        <v>3.5175000000000001</v>
      </c>
      <c r="CR272" s="104">
        <f>('Renewable Diesel'!$AG281*'RD Feedstock Breakdown'!CR$3*'Feedstock Conversion Rates'!$B$4)/12</f>
        <v>2.8125</v>
      </c>
      <c r="CS272" s="106">
        <f t="shared" si="231"/>
        <v>12.3375</v>
      </c>
      <c r="CT272" s="104">
        <f>('Renewable Diesel'!AI281*'Feedstock Conversion Rates'!$B$4*'RD Feedstock Breakdown'!$CT$3)/12</f>
        <v>29.375</v>
      </c>
      <c r="CU272" s="106">
        <f t="shared" si="196"/>
        <v>29.375</v>
      </c>
      <c r="CV272" s="104">
        <f>('Renewable Diesel'!AN281*'Feedstock Conversion Rates'!$B$3*'RD Feedstock Breakdown'!$CV$3)/12</f>
        <v>0.50062499999999999</v>
      </c>
      <c r="CW272" s="106">
        <f t="shared" si="255"/>
        <v>0.50062499999999999</v>
      </c>
      <c r="CX272" s="104">
        <f>('Renewable Diesel'!AO281*'RD Feedstock Breakdown'!$CX$3*'Feedstock Conversion Rates'!$B$3)/12</f>
        <v>6.3412499999999996</v>
      </c>
      <c r="CY272" s="104">
        <f>('Renewable Diesel'!AO281*'RD Feedstock Breakdown'!$CY$3*'Feedstock Conversion Rates'!$B$6)/12</f>
        <v>7.4258333333333342</v>
      </c>
      <c r="CZ272" s="106">
        <f t="shared" si="233"/>
        <v>13.767083333333334</v>
      </c>
      <c r="DA272" s="104">
        <f>('Renewable Diesel'!$AP281*'RD Feedstock Breakdown'!DA$3*'Feedstock Conversion Rates'!$B$3)/12</f>
        <v>6.3412499999999996</v>
      </c>
      <c r="DB272" s="104">
        <f>('Renewable Diesel'!$AP281*'RD Feedstock Breakdown'!DB$3*'Feedstock Conversion Rates'!$B$8)/12</f>
        <v>7.421875</v>
      </c>
      <c r="DC272" s="106">
        <f t="shared" si="260"/>
        <v>13.763124999999999</v>
      </c>
      <c r="DD272" s="104">
        <f>('Renewable Diesel'!AQ281*$DD$3*'Feedstock Conversion Rates'!$B$14)/12</f>
        <v>3.1041666666666665</v>
      </c>
      <c r="DE272" s="106">
        <f t="shared" si="261"/>
        <v>3.1041666666666665</v>
      </c>
      <c r="DF272" s="104">
        <f>('Renewable Diesel'!AR281*'Feedstock Conversion Rates'!$B$4*$DF$3)/12</f>
        <v>75</v>
      </c>
      <c r="DG272" s="106">
        <f t="shared" si="234"/>
        <v>75</v>
      </c>
      <c r="DH272" s="104">
        <f>('Renewable Diesel'!AS281*'Feedstock Conversion Rates'!$B$4*$DH$3)/12</f>
        <v>75</v>
      </c>
      <c r="DI272" s="106">
        <f t="shared" si="240"/>
        <v>75</v>
      </c>
      <c r="DJ272" s="104">
        <f>('Renewable Diesel'!AT281*'Feedstock Conversion Rates'!$B$4*0.25)/12</f>
        <v>8.59375</v>
      </c>
      <c r="DK272" s="104">
        <f>('Renewable Diesel'!$AT281*'RD Feedstock Breakdown'!DK$3*'Feedstock Conversion Rates'!$B$3)/12*0.5</f>
        <v>9.1781249999999996</v>
      </c>
      <c r="DL272" s="104">
        <f>('Renewable Diesel'!$AT281*'RD Feedstock Breakdown'!$DL$3*'Feedstock Conversion Rates'!$B$6)/12</f>
        <v>10.747916666666669</v>
      </c>
      <c r="DM272" s="104">
        <f>('Renewable Diesel'!$AT281*'RD Feedstock Breakdown'!$DM$3*'Feedstock Conversion Rates'!$B$8)/12</f>
        <v>10.7421875</v>
      </c>
      <c r="DN272" s="106">
        <f t="shared" si="210"/>
        <v>39.26197916666667</v>
      </c>
      <c r="DP272" s="104">
        <f t="shared" si="265"/>
        <v>12.720250000000007</v>
      </c>
      <c r="DQ272" s="104">
        <f t="shared" si="266"/>
        <v>907.11776750000001</v>
      </c>
      <c r="DR272" s="104">
        <f t="shared" si="271"/>
        <v>1703.953125</v>
      </c>
      <c r="DS272" s="104">
        <f t="shared" si="197"/>
        <v>66.901250000000005</v>
      </c>
      <c r="DT272" s="104">
        <f t="shared" si="267"/>
        <v>290.03923333333341</v>
      </c>
      <c r="DU272" s="104">
        <f t="shared" si="268"/>
        <v>302.65609999999998</v>
      </c>
      <c r="DV272" s="104">
        <f t="shared" si="272"/>
        <v>25.25</v>
      </c>
      <c r="DW272" s="104">
        <f t="shared" si="269"/>
        <v>3</v>
      </c>
      <c r="DX272" s="106">
        <f t="shared" si="273"/>
        <v>3311.6377258333337</v>
      </c>
      <c r="DY272" s="109">
        <f t="shared" si="257"/>
        <v>-135.00000000000048</v>
      </c>
      <c r="EA272" s="110">
        <f t="shared" si="250"/>
        <v>3.8410753388790769E-3</v>
      </c>
      <c r="EB272" s="110">
        <f t="shared" si="250"/>
        <v>0.27391817662414591</v>
      </c>
      <c r="EC272" s="110">
        <f t="shared" si="250"/>
        <v>0.51453488155055394</v>
      </c>
      <c r="ED272" s="110">
        <f t="shared" si="250"/>
        <v>2.0201862503896047E-2</v>
      </c>
      <c r="EE272" s="110">
        <f t="shared" si="250"/>
        <v>8.7581812186400473E-2</v>
      </c>
      <c r="EF272" s="110">
        <f t="shared" si="250"/>
        <v>9.1391669336005107E-2</v>
      </c>
      <c r="EG272" s="110">
        <f t="shared" si="250"/>
        <v>7.6246262696642465E-3</v>
      </c>
      <c r="EH272" s="111">
        <f t="shared" si="274"/>
        <v>9.0589619045515805E-4</v>
      </c>
      <c r="EI272" s="110">
        <f t="shared" si="236"/>
        <v>0.99909410380954466</v>
      </c>
      <c r="EK272" s="132">
        <f>(EA272*'Renewable Diesel'!BF281*'Feedstock Conversion Rates'!B$2)+FB272</f>
        <v>37.013035595728155</v>
      </c>
      <c r="EL272" s="132">
        <f>(EB272*'Renewable Diesel'!BF281*'Feedstock Conversion Rates'!B$3)+FC272</f>
        <v>2487.3466884427162</v>
      </c>
      <c r="EM272" s="132">
        <f>(EC272*'Renewable Diesel'!BF281*'Feedstock Conversion Rates'!B$4)+FD272</f>
        <v>4374.8084170384082</v>
      </c>
      <c r="EN272" s="132">
        <f>(ED272*'Renewable Diesel'!BF281*'Feedstock Conversion Rates'!B$5)+FE272</f>
        <v>172.9104799295032</v>
      </c>
      <c r="EO272" s="132">
        <f>(EE272*'Renewable Diesel'!BF281*'Feedstock Conversion Rates'!B$6)+FF272</f>
        <v>931.32169336644608</v>
      </c>
      <c r="EP272" s="132">
        <f>(EF272*'Renewable Diesel'!BF281*'Feedstock Conversion Rates'!B$7)+FG272</f>
        <v>953.18542087099286</v>
      </c>
      <c r="EQ272" s="132">
        <f>(EG272*'Renewable Diesel'!BF281*'Feedstock Conversion Rates'!B$8)+FH272</f>
        <v>81.035028861357162</v>
      </c>
      <c r="ER272" s="132">
        <f>(EH272*'Renewable Diesel'!BF281*'Feedstock Conversion Rates'!B$9)+FI272</f>
        <v>9.4995518982026628</v>
      </c>
      <c r="ES272" s="132">
        <f t="shared" si="275"/>
        <v>9047.1203160033547</v>
      </c>
      <c r="ET272" s="133">
        <f>ES272/'Renewable Diesel'!BF281</f>
        <v>12.720874645405649</v>
      </c>
      <c r="EW272" s="73">
        <f t="shared" si="223"/>
        <v>6242.4228164236029</v>
      </c>
      <c r="EX272" s="73">
        <f t="shared" si="224"/>
        <v>6176.099867817702</v>
      </c>
      <c r="EY272" s="92">
        <f t="shared" si="258"/>
        <v>0.68999002979781843</v>
      </c>
      <c r="EZ272" s="92">
        <f t="shared" si="258"/>
        <v>0.68265919453871582</v>
      </c>
      <c r="FB272" s="102">
        <f>IF('Renewable Diesel'!$BG281&lt;1,0,(((('Renewable Diesel'!$BG281-1)*'Renewable Diesel'!$BF281)*'RD Feedstock Breakdown'!EA272)*'Feedstock Conversion Rates'!$B$2))</f>
        <v>13.792879005088633</v>
      </c>
      <c r="FC272" s="102">
        <f>IF('Renewable Diesel'!$BG281&lt;1,0,(((('Renewable Diesel'!$BG281-1)*'Renewable Diesel'!$BF281)*'RD Feedstock Breakdown'!EB272)*'Feedstock Conversion Rates'!$B$3))</f>
        <v>926.90781410422562</v>
      </c>
      <c r="FD272" s="102">
        <f>IF('Renewable Diesel'!$BG281&lt;1,0,(((('Renewable Diesel'!$BG281-1)*'Renewable Diesel'!$BF281)*'RD Feedstock Breakdown'!EC272)*'Feedstock Conversion Rates'!$B$4))</f>
        <v>1630.2689632303047</v>
      </c>
      <c r="FE272" s="102">
        <f>IF('Renewable Diesel'!$BG281&lt;1,0,(((('Renewable Diesel'!$BG281-1)*'Renewable Diesel'!$BF281)*'RD Feedstock Breakdown'!ED272)*'Feedstock Conversion Rates'!$B$5))</f>
        <v>64.434956225387268</v>
      </c>
      <c r="FF272" s="102">
        <f>IF('Renewable Diesel'!$BG281&lt;1,0,(((('Renewable Diesel'!$BG281-1)*'Renewable Diesel'!$BF281)*'RD Feedstock Breakdown'!EE272)*'Feedstock Conversion Rates'!$B$6))</f>
        <v>347.05630664079388</v>
      </c>
      <c r="FG272" s="102">
        <f>IF('Renewable Diesel'!$BG281&lt;1,0,(((('Renewable Diesel'!$BG281-1)*'Renewable Diesel'!$BF281)*'RD Feedstock Breakdown'!EF272)*'Feedstock Conversion Rates'!$B$7))</f>
        <v>355.2038077364686</v>
      </c>
      <c r="FH272" s="102">
        <f>IF('Renewable Diesel'!$BG281&lt;1,0,(((('Renewable Diesel'!$BG281-1)*'Renewable Diesel'!$BF281)*'RD Feedstock Breakdown'!EG272)*'Feedstock Conversion Rates'!$B$8))</f>
        <v>30.197640649273428</v>
      </c>
      <c r="FI272" s="102">
        <f>IF('Renewable Diesel'!$BG281&lt;1,0,(((('Renewable Diesel'!$BG281-1)*'Renewable Diesel'!$BF281)*'RD Feedstock Breakdown'!EH272)*'Feedstock Conversion Rates'!$B$9))</f>
        <v>3.540000646409875</v>
      </c>
      <c r="FJ272" s="102">
        <f t="shared" si="225"/>
        <v>3371.4023682379525</v>
      </c>
      <c r="GD272" s="91">
        <f>'Renewable Diesel'!BB281*0.32</f>
        <v>0</v>
      </c>
      <c r="GE272" s="91">
        <f>'Renewable Diesel'!BC281</f>
        <v>392.3133611846896</v>
      </c>
      <c r="GF272" s="91">
        <f>'Renewable Diesel'!BD281</f>
        <v>0</v>
      </c>
      <c r="GG272" s="91">
        <f t="shared" si="206"/>
        <v>392.3133611846896</v>
      </c>
      <c r="GH272" s="124">
        <v>1</v>
      </c>
      <c r="GI272" s="102">
        <f>$GG272*EA272*'Feedstock Conversion Rates'!$B$2</f>
        <v>12.808694002453807</v>
      </c>
      <c r="GJ272" s="102">
        <f>$GG272*EB272*'Feedstock Conversion Rates'!$B$3</f>
        <v>860.7687020936113</v>
      </c>
      <c r="GK272" s="102">
        <f>$GG272*EC272*'Feedstock Conversion Rates'!$B$4</f>
        <v>1513.9418162089796</v>
      </c>
      <c r="GL272" s="102">
        <f>$GG272*ED272*'Feedstock Conversion Rates'!$B$5</f>
        <v>59.837227387262772</v>
      </c>
      <c r="GM272" s="102">
        <f>$GG272*EE272*'Feedstock Conversion Rates'!$B$6</f>
        <v>322.29225180208414</v>
      </c>
      <c r="GN272" s="102">
        <f>$GG272*EF272*'Feedstock Conversion Rates'!$B$7</f>
        <v>329.8583914296886</v>
      </c>
      <c r="GO272" s="102">
        <f>$GG272*EG272*'Feedstock Conversion Rates'!$B$8</f>
        <v>28.042900871522455</v>
      </c>
      <c r="GP272" s="102">
        <f>$GG272*EH272*'Feedstock Conversion Rates'!B$9</f>
        <v>3.287405409097286</v>
      </c>
      <c r="GQ272" s="102">
        <f t="shared" si="276"/>
        <v>3130.8373892046998</v>
      </c>
      <c r="GR272" s="85">
        <f t="shared" si="204"/>
        <v>7.980450575912946</v>
      </c>
      <c r="GT272" s="103">
        <f t="shared" si="254"/>
        <v>4.0911399763586863E-3</v>
      </c>
      <c r="GU272" s="103">
        <f t="shared" si="254"/>
        <v>0.27493242065576101</v>
      </c>
      <c r="GV272" s="103">
        <f t="shared" si="254"/>
        <v>0.48355811177838059</v>
      </c>
      <c r="GW272" s="103">
        <f t="shared" si="254"/>
        <v>1.9112211829839788E-2</v>
      </c>
      <c r="GX272" s="103">
        <f t="shared" si="253"/>
        <v>0.10294123000874003</v>
      </c>
      <c r="GY272" s="103">
        <f t="shared" si="253"/>
        <v>0.10535788047218884</v>
      </c>
      <c r="GZ272" s="103">
        <f t="shared" si="253"/>
        <v>8.9569969261948639E-3</v>
      </c>
      <c r="HA272" s="103">
        <f t="shared" si="251"/>
        <v>1.0500083525361108E-3</v>
      </c>
    </row>
    <row r="273" spans="1:209" x14ac:dyDescent="0.25">
      <c r="A273" s="96">
        <v>48731</v>
      </c>
      <c r="B273" s="104">
        <f t="shared" si="263"/>
        <v>0.75</v>
      </c>
      <c r="C273" s="104">
        <f t="shared" si="264"/>
        <v>3.5</v>
      </c>
      <c r="D273" s="104">
        <f t="shared" si="242"/>
        <v>2</v>
      </c>
      <c r="E273" s="104">
        <f>('Renewable Diesel'!B282*E$3*'Feedstock Conversion Rates'!$B$2)/12+26+13-100+27.5+39+75-10-32-1-7+46-46.5+27-15+10-42-95</f>
        <v>4.9300000000000068</v>
      </c>
      <c r="F273" s="104">
        <f>('Renewable Diesel'!B282*'RD Feedstock Breakdown'!F$3*'Feedstock Conversion Rates'!B$8)/12+77+23-10-12-115.75+24+8+2.5+1-32-15</f>
        <v>4.65625</v>
      </c>
      <c r="G273" s="104">
        <f>('Renewable Diesel'!B282*'RD Feedstock Breakdown'!G$3*'Feedstock Conversion Rates'!B$7)/12-25-15-25+4+4-20-40-20+10-17.5+20+50-12+32.5+35-75-75+22.5+5-20+15+125-10-60+5-85+45+20</f>
        <v>69.657000000000011</v>
      </c>
      <c r="H273" s="104">
        <f>('Renewable Diesel'!B282*'RD Feedstock Breakdown'!H$3*'Feedstock Conversion Rates'!B$3)/12-85+4-15+70-65-80+50-22.5-5+25+27.5+15+50+15-10+5+50+75-5-25-85-12.5+30+22.5-25-30+150+90-120+25+10+20+85-30-45-20+95</f>
        <v>410.40022499999998</v>
      </c>
      <c r="I273" s="106">
        <f t="shared" si="203"/>
        <v>495.89347499999997</v>
      </c>
      <c r="J273" s="104">
        <f>87-50+15+53+55-6+84+19-11-40-29-30-13-50-7+30+25+15-7.5-45-10-1-55+5+15+18+90-5+15+5-100-70+11+40-24-14-5-9.5+20+5+30</f>
        <v>55</v>
      </c>
      <c r="K273" s="104"/>
      <c r="L273" s="104">
        <v>1</v>
      </c>
      <c r="M273" s="104">
        <f>('Renewable Diesel'!C282*'RD Feedstock Breakdown'!M$3*'Feedstock Conversion Rates'!B$2)/12</f>
        <v>7.7902500000000003</v>
      </c>
      <c r="N273" s="104">
        <f>('Renewable Diesel'!C282*'RD Feedstock Breakdown'!N$3*'Feedstock Conversion Rates'!B$8)/12</f>
        <v>3.671875</v>
      </c>
      <c r="O273" s="104">
        <f>('Renewable Diesel'!C282*'RD Feedstock Breakdown'!O$3*'Feedstock Conversion Rates'!B$7)/12</f>
        <v>11.9991</v>
      </c>
      <c r="P273" s="104">
        <f>('Renewable Diesel'!C282*'RD Feedstock Breakdown'!P$3*'Feedstock Conversion Rates'!B$3)/12</f>
        <v>10.4470425</v>
      </c>
      <c r="Q273" s="106">
        <f t="shared" si="216"/>
        <v>89.908267499999994</v>
      </c>
      <c r="R273" s="104">
        <f>('Renewable Diesel'!D282*'RD Feedstock Breakdown'!R$3*'Feedstock Conversion Rates'!B$7)/12</f>
        <v>2.2999999999999998</v>
      </c>
      <c r="S273" s="106">
        <f t="shared" si="249"/>
        <v>2.2999999999999998</v>
      </c>
      <c r="T273" s="104">
        <f t="shared" si="221"/>
        <v>0.82500000000000284</v>
      </c>
      <c r="U273" s="104">
        <v>30</v>
      </c>
      <c r="V273" s="104">
        <f>('Renewable Diesel'!E282*'RD Feedstock Breakdown'!V$3*'Feedstock Conversion Rates'!B$6)/12-20+25-35+15</f>
        <v>29.250150000000012</v>
      </c>
      <c r="W273" s="104">
        <f>('Renewable Diesel'!E282*'RD Feedstock Breakdown'!W$3*'Feedstock Conversion Rates'!B$8)/12-6-10</f>
        <v>6.1796875</v>
      </c>
      <c r="X273" s="106">
        <f t="shared" si="277"/>
        <v>66.254837500000008</v>
      </c>
      <c r="Y273" s="104">
        <f t="shared" si="259"/>
        <v>146</v>
      </c>
      <c r="Z273" s="104">
        <f>('Renewable Diesel'!F282*'RD Feedstock Breakdown'!Z$3*'Feedstock Conversion Rates'!B$6)/12-142+15+5+75-45+52.5-87.5+80-10-20-17+2+7</f>
        <v>74.460000000000008</v>
      </c>
      <c r="AA273" s="104">
        <f>('Renewable Diesel'!F282*'RD Feedstock Breakdown'!AA$3*'Feedstock Conversion Rates'!B$7)/12+24-30-55</f>
        <v>43.266666666666652</v>
      </c>
      <c r="AB273" s="106">
        <f t="shared" si="235"/>
        <v>263.72666666666669</v>
      </c>
      <c r="AC273" s="104">
        <f>('Renewable Diesel'!G282*'RD Feedstock Breakdown'!AC$3*'Feedstock Conversion Rates'!B$5)/12</f>
        <v>11.796875</v>
      </c>
      <c r="AD273" s="104">
        <f>('Renewable Diesel'!G282*'RD Feedstock Breakdown'!AD$3*'Feedstock Conversion Rates'!B$4)/12</f>
        <v>5.859375</v>
      </c>
      <c r="AE273" s="104">
        <f>('Renewable Diesel'!G282*'RD Feedstock Breakdown'!AE$3*'Feedstock Conversion Rates'!B$6)/12</f>
        <v>7.3281250000000009</v>
      </c>
      <c r="AF273" s="106">
        <f t="shared" si="198"/>
        <v>24.984375</v>
      </c>
      <c r="AG273" s="104">
        <f t="shared" si="230"/>
        <v>6.5</v>
      </c>
      <c r="AH273" s="104">
        <v>135</v>
      </c>
      <c r="AI273" s="104">
        <f>('Renewable Diesel'!H282*'RD Feedstock Breakdown'!AI$3*'Feedstock Conversion Rates'!B$6)/12-130-20+51-120+105-37.5+10</f>
        <v>7.0166666666666799</v>
      </c>
      <c r="AJ273" s="106">
        <f t="shared" si="248"/>
        <v>13.51666666666668</v>
      </c>
      <c r="AK273" s="104">
        <f>('Renewable Diesel'!J282*'RD Feedstock Breakdown'!AK$3*'Feedstock Conversion Rates'!B$4)/12</f>
        <v>95.8125</v>
      </c>
      <c r="AL273" s="106">
        <f t="shared" si="252"/>
        <v>95.8125</v>
      </c>
      <c r="AM273" s="104">
        <f>('Renewable Diesel'!K282*'RD Feedstock Breakdown'!AM$3*'Feedstock Conversion Rates'!B$4)/12+5+15-10+5-26</f>
        <v>47.59375</v>
      </c>
      <c r="AN273" s="104">
        <f>('Renewable Diesel'!K282*'RD Feedstock Breakdown'!AN$3*'Feedstock Conversion Rates'!B$6)/12-5-15+10-5+26</f>
        <v>35.427083333333329</v>
      </c>
      <c r="AO273" s="106">
        <f t="shared" si="270"/>
        <v>83.020833333333329</v>
      </c>
      <c r="AP273" s="104">
        <f>('Renewable Diesel'!L282*'RD Feedstock Breakdown'!AP$3*'Feedstock Conversion Rates'!B$4)/12+15-10+10+2.5</f>
        <v>76.09375</v>
      </c>
      <c r="AQ273" s="104">
        <f>('Renewable Diesel'!L282*'RD Feedstock Breakdown'!AQ$3*'Feedstock Conversion Rates'!B$6)/12-15+10-10-2.5</f>
        <v>6.9270833333333321</v>
      </c>
      <c r="AR273" s="106">
        <f t="shared" si="256"/>
        <v>83.020833333333329</v>
      </c>
      <c r="AS273" s="104">
        <f>('Renewable Diesel'!M282*'RD Feedstock Breakdown'!AS$3*'Feedstock Conversion Rates'!B$4)/12-25-50</f>
        <v>381.25</v>
      </c>
      <c r="AT273" s="104">
        <f>('Renewable Diesel'!M282*'RD Feedstock Breakdown'!AT$3*'Feedstock Conversion Rates'!B$5)/12+25+50</f>
        <v>75</v>
      </c>
      <c r="AU273" s="106">
        <f t="shared" si="201"/>
        <v>456.25</v>
      </c>
      <c r="AV273" s="104">
        <f>'Renewable Diesel'!N282*'RD Feedstock Breakdown'!$AV$3*'Feedstock Conversion Rates'!$B$4/12-15-10+25+25-22+15-68+11</f>
        <v>39.749999999999986</v>
      </c>
      <c r="AW273" s="104">
        <f>'Renewable Diesel'!N282*'RD Feedstock Breakdown'!$AW$3*'Feedstock Conversion Rates'!$B$7/12+15+10-25-25+22-15+68-11</f>
        <v>80.400000000000006</v>
      </c>
      <c r="AX273" s="106">
        <f t="shared" si="239"/>
        <v>120.14999999999999</v>
      </c>
      <c r="AY273" s="104">
        <f>('Renewable Diesel'!O282*'RD Feedstock Breakdown'!AY$3*'Feedstock Conversion Rates'!B$4)/12-100-160-10-78</f>
        <v>-137.0625</v>
      </c>
      <c r="AZ273" s="104">
        <f>('Renewable Diesel'!O282*'RD Feedstock Breakdown'!AZ$3*'Feedstock Conversion Rates'!B$3)/12+100+160+10+78</f>
        <v>373.03125</v>
      </c>
      <c r="BA273" s="106">
        <f t="shared" si="217"/>
        <v>235.96875</v>
      </c>
      <c r="BB273" s="104">
        <f>('Renewable Diesel'!Q282*'RD Feedstock Breakdown'!BB$3*'Feedstock Conversion Rates'!B$4)/12</f>
        <v>11.156249999999998</v>
      </c>
      <c r="BC273" s="104">
        <f>('Renewable Diesel'!Q282*'RD Feedstock Breakdown'!BC$3*'Feedstock Conversion Rates'!B$3)/12</f>
        <v>1.4017500000000001</v>
      </c>
      <c r="BD273" s="104">
        <f>('Renewable Diesel'!Q282*'RD Feedstock Breakdown'!BD$3*'Feedstock Conversion Rates'!B$6)/12</f>
        <v>0.8207500000000002</v>
      </c>
      <c r="BE273" s="106">
        <f t="shared" si="279"/>
        <v>13.378749999999998</v>
      </c>
      <c r="BF273" s="104">
        <f>('Renewable Diesel'!R282*'RD Feedstock Breakdown'!BF$3*'Feedstock Conversion Rates'!B$4)/12</f>
        <v>62.5</v>
      </c>
      <c r="BG273" s="106">
        <f t="shared" si="262"/>
        <v>62.5</v>
      </c>
      <c r="BH273" s="104">
        <f>('Renewable Diesel'!T282*'RD Feedstock Breakdown'!BH$3*'Feedstock Conversion Rates'!B$7)/12</f>
        <v>27.599999999999998</v>
      </c>
      <c r="BI273" s="106">
        <f t="shared" si="243"/>
        <v>27.599999999999998</v>
      </c>
      <c r="BJ273" s="104">
        <f>('Renewable Diesel'!W282*'RD Feedstock Breakdown'!BJ$3*'Feedstock Conversion Rates'!B$4)/12</f>
        <v>7.5</v>
      </c>
      <c r="BK273" s="104">
        <f>('Renewable Diesel'!W282*'RD Feedstock Breakdown'!BK$3*'Feedstock Conversion Rates'!B$3)/12</f>
        <v>1.335</v>
      </c>
      <c r="BL273" s="104">
        <f>('Renewable Diesel'!W282*'RD Feedstock Breakdown'!BL$3*'Feedstock Conversion Rates'!B$6)/12</f>
        <v>3.1266666666666669</v>
      </c>
      <c r="BM273" s="104">
        <f>('Renewable Diesel'!W282*'RD Feedstock Breakdown'!BM$3*'Feedstock Conversion Rates'!B$7)/12</f>
        <v>1.5333333333333332</v>
      </c>
      <c r="BN273" s="106">
        <f t="shared" si="209"/>
        <v>13.495000000000001</v>
      </c>
      <c r="BO273" s="104">
        <f>('Renewable Diesel'!P282*'Feedstock Conversion Rates'!B$4)/12</f>
        <v>31.25</v>
      </c>
      <c r="BP273" s="106">
        <f t="shared" si="199"/>
        <v>31.25</v>
      </c>
      <c r="BQ273" s="104">
        <f>('Renewable Diesel'!$S282*'RD Feedstock Breakdown'!BQ$3*'Feedstock Conversion Rates'!B$4)/12+10</f>
        <v>38.125</v>
      </c>
      <c r="BR273" s="104">
        <f>('Renewable Diesel'!$S282*'RD Feedstock Breakdown'!BR$3*'Feedstock Conversion Rates'!B$7)/12-10</f>
        <v>1.5</v>
      </c>
      <c r="BS273" s="106">
        <f t="shared" si="222"/>
        <v>39.625</v>
      </c>
      <c r="BT273" s="106"/>
      <c r="BU273" s="104">
        <f>('Renewable Diesel'!Y282*'Feedstock Conversion Rates'!B$7)/12</f>
        <v>2.6833333333333331</v>
      </c>
      <c r="BV273" s="106">
        <f t="shared" ref="BV273:BV336" si="281">BU273</f>
        <v>2.6833333333333331</v>
      </c>
      <c r="BW273" s="104">
        <f>('Renewable Diesel'!$Z282*'RD Feedstock Breakdown'!BW$3*'Feedstock Conversion Rates'!$B$4)/12</f>
        <v>71.875</v>
      </c>
      <c r="BX273" s="104">
        <f>('Renewable Diesel'!$Z282*'RD Feedstock Breakdown'!BX$3*'Feedstock Conversion Rates'!$B$5)/12</f>
        <v>7.2354166666666666</v>
      </c>
      <c r="BY273" s="104">
        <f>('Renewable Diesel'!$Z282*'RD Feedstock Breakdown'!BY$3*'Feedstock Conversion Rates'!$B$7)/12</f>
        <v>61.716666666666661</v>
      </c>
      <c r="BZ273" s="104">
        <f>('Renewable Diesel'!$Z282*'RD Feedstock Breakdown'!BZ$3*'Feedstock Conversion Rates'!$B$3)/12</f>
        <v>15.352499999999999</v>
      </c>
      <c r="CA273" s="106">
        <f t="shared" si="228"/>
        <v>156.17958333333331</v>
      </c>
      <c r="CB273" s="104">
        <f>('Renewable Diesel'!AA282*'Feedstock Conversion Rates'!B$4)/12</f>
        <v>191.25</v>
      </c>
      <c r="CC273" s="106">
        <f t="shared" si="213"/>
        <v>191.25</v>
      </c>
      <c r="CD273" s="104">
        <f>('Renewable Diesel'!$AB282*'RD Feedstock Breakdown'!CD$3*'Feedstock Conversion Rates'!$B$6)/12-15-5+5</f>
        <v>17.830000000000005</v>
      </c>
      <c r="CE273" s="104">
        <f>('Renewable Diesel'!$AB282*'RD Feedstock Breakdown'!CE$3*'Feedstock Conversion Rates'!$B$4)/12+15+5-5</f>
        <v>26.25</v>
      </c>
      <c r="CF273" s="106">
        <f t="shared" si="205"/>
        <v>44.080000000000005</v>
      </c>
      <c r="CG273" s="104">
        <f>('Renewable Diesel'!AD282*'Feedstock Conversion Rates'!B$4)/12</f>
        <v>112.5</v>
      </c>
      <c r="CH273" s="106">
        <f t="shared" si="278"/>
        <v>112.5</v>
      </c>
      <c r="CI273" s="104">
        <f>('Renewable Diesel'!$AE282*'RD Feedstock Breakdown'!CI$3*'Feedstock Conversion Rates'!$B$5)/12</f>
        <v>0.34604166666666664</v>
      </c>
      <c r="CJ273" s="104">
        <f>('Renewable Diesel'!$AE282*'RD Feedstock Breakdown'!CJ$3*'Feedstock Conversion Rates'!$B$4)/12</f>
        <v>0.34375</v>
      </c>
      <c r="CK273" s="106">
        <f t="shared" si="200"/>
        <v>0.68979166666666658</v>
      </c>
      <c r="CL273" s="104">
        <f>(((CL$3*'Renewable Diesel'!$AF282)*'Feedstock Conversion Rates'!$B$3)/12)-25</f>
        <v>66.78125</v>
      </c>
      <c r="CM273" s="104">
        <f>(((CM$3*'Renewable Diesel'!$AF282)*'Feedstock Conversion Rates'!$B$6)/12)+25</f>
        <v>78.739583333333343</v>
      </c>
      <c r="CN273" s="104">
        <f>(((CN$3*'Renewable Diesel'!$AF282)*'Feedstock Conversion Rates'!$B$4)/12)</f>
        <v>42.96875</v>
      </c>
      <c r="CO273" s="106">
        <f t="shared" si="280"/>
        <v>188.48958333333334</v>
      </c>
      <c r="CP273" s="104">
        <f>('Renewable Diesel'!$AG282*'RD Feedstock Breakdown'!CP$3*'Feedstock Conversion Rates'!$B$3)/12</f>
        <v>6.0075000000000003</v>
      </c>
      <c r="CQ273" s="104">
        <f>('Renewable Diesel'!$AG282*'RD Feedstock Breakdown'!CQ$3*'Feedstock Conversion Rates'!$B$6)/12</f>
        <v>3.5175000000000001</v>
      </c>
      <c r="CR273" s="104">
        <f>('Renewable Diesel'!$AG282*'RD Feedstock Breakdown'!CR$3*'Feedstock Conversion Rates'!$B$4)/12</f>
        <v>2.8125</v>
      </c>
      <c r="CS273" s="106">
        <f t="shared" si="231"/>
        <v>12.3375</v>
      </c>
      <c r="CT273" s="104">
        <f>('Renewable Diesel'!AI282*'Feedstock Conversion Rates'!$B$4*'RD Feedstock Breakdown'!$CT$3)/12</f>
        <v>29.375</v>
      </c>
      <c r="CU273" s="106">
        <f t="shared" si="196"/>
        <v>29.375</v>
      </c>
      <c r="CV273" s="104">
        <f>('Renewable Diesel'!AN282*'Feedstock Conversion Rates'!$B$3*'RD Feedstock Breakdown'!$CV$3)/12</f>
        <v>0.50062499999999999</v>
      </c>
      <c r="CW273" s="106">
        <f t="shared" si="255"/>
        <v>0.50062499999999999</v>
      </c>
      <c r="CX273" s="104">
        <f>('Renewable Diesel'!AO282*'RD Feedstock Breakdown'!$CX$3*'Feedstock Conversion Rates'!$B$3)/12</f>
        <v>6.3412499999999996</v>
      </c>
      <c r="CY273" s="104">
        <f>('Renewable Diesel'!AO282*'RD Feedstock Breakdown'!$CY$3*'Feedstock Conversion Rates'!$B$6)/12</f>
        <v>7.4258333333333342</v>
      </c>
      <c r="CZ273" s="106">
        <f t="shared" si="233"/>
        <v>13.767083333333334</v>
      </c>
      <c r="DA273" s="104">
        <f>('Renewable Diesel'!$AP282*'RD Feedstock Breakdown'!DA$3*'Feedstock Conversion Rates'!$B$3)/12</f>
        <v>6.3412499999999996</v>
      </c>
      <c r="DB273" s="104">
        <f>('Renewable Diesel'!$AP282*'RD Feedstock Breakdown'!DB$3*'Feedstock Conversion Rates'!$B$8)/12</f>
        <v>7.421875</v>
      </c>
      <c r="DC273" s="106">
        <f t="shared" si="260"/>
        <v>13.763124999999999</v>
      </c>
      <c r="DD273" s="104">
        <f>('Renewable Diesel'!AQ282*$DD$3*'Feedstock Conversion Rates'!$B$14)/12</f>
        <v>3.1041666666666665</v>
      </c>
      <c r="DE273" s="106">
        <f t="shared" si="261"/>
        <v>3.1041666666666665</v>
      </c>
      <c r="DF273" s="104">
        <f>('Renewable Diesel'!AR282*'Feedstock Conversion Rates'!$B$4*$DF$3)/12</f>
        <v>75</v>
      </c>
      <c r="DG273" s="106">
        <f t="shared" si="234"/>
        <v>75</v>
      </c>
      <c r="DH273" s="104">
        <f>('Renewable Diesel'!AS282*'Feedstock Conversion Rates'!$B$4*$DH$3)/12</f>
        <v>75</v>
      </c>
      <c r="DI273" s="106">
        <f t="shared" si="240"/>
        <v>75</v>
      </c>
      <c r="DJ273" s="104">
        <f>('Renewable Diesel'!AT282*'Feedstock Conversion Rates'!$B$4*0.25)/12</f>
        <v>8.59375</v>
      </c>
      <c r="DK273" s="104">
        <f>('Renewable Diesel'!$AT282*'RD Feedstock Breakdown'!DK$3*'Feedstock Conversion Rates'!$B$3)/12*0.5</f>
        <v>9.1781249999999996</v>
      </c>
      <c r="DL273" s="104">
        <f>('Renewable Diesel'!$AT282*'RD Feedstock Breakdown'!$DL$3*'Feedstock Conversion Rates'!$B$6)/12</f>
        <v>10.747916666666669</v>
      </c>
      <c r="DM273" s="104">
        <f>('Renewable Diesel'!$AT282*'RD Feedstock Breakdown'!$DM$3*'Feedstock Conversion Rates'!$B$8)/12</f>
        <v>10.7421875</v>
      </c>
      <c r="DN273" s="106">
        <f t="shared" si="210"/>
        <v>39.26197916666667</v>
      </c>
      <c r="DP273" s="104">
        <f t="shared" si="265"/>
        <v>12.720250000000007</v>
      </c>
      <c r="DQ273" s="104">
        <f t="shared" si="266"/>
        <v>907.11776750000001</v>
      </c>
      <c r="DR273" s="104">
        <f t="shared" si="271"/>
        <v>1653.953125</v>
      </c>
      <c r="DS273" s="104">
        <f t="shared" si="197"/>
        <v>116.90125</v>
      </c>
      <c r="DT273" s="104">
        <f t="shared" si="267"/>
        <v>290.03923333333341</v>
      </c>
      <c r="DU273" s="104">
        <f t="shared" si="268"/>
        <v>302.65609999999998</v>
      </c>
      <c r="DV273" s="104">
        <f t="shared" si="272"/>
        <v>25.25</v>
      </c>
      <c r="DW273" s="104">
        <f t="shared" si="269"/>
        <v>3</v>
      </c>
      <c r="DX273" s="106">
        <f t="shared" si="273"/>
        <v>3311.6377258333337</v>
      </c>
      <c r="DY273" s="109">
        <f t="shared" si="257"/>
        <v>-135.00000000000048</v>
      </c>
      <c r="EA273" s="110">
        <f t="shared" si="250"/>
        <v>3.8410753388790769E-3</v>
      </c>
      <c r="EB273" s="110">
        <f t="shared" si="250"/>
        <v>0.27391817662414591</v>
      </c>
      <c r="EC273" s="110">
        <f t="shared" si="250"/>
        <v>0.4994366117096346</v>
      </c>
      <c r="ED273" s="110">
        <f t="shared" si="250"/>
        <v>3.5300132344815348E-2</v>
      </c>
      <c r="EE273" s="110">
        <f t="shared" si="250"/>
        <v>8.7581812186400473E-2</v>
      </c>
      <c r="EF273" s="110">
        <f t="shared" si="250"/>
        <v>9.1391669336005107E-2</v>
      </c>
      <c r="EG273" s="110">
        <f t="shared" si="250"/>
        <v>7.6246262696642465E-3</v>
      </c>
      <c r="EH273" s="111">
        <f t="shared" si="274"/>
        <v>9.0589619045515805E-4</v>
      </c>
      <c r="EI273" s="110">
        <f t="shared" si="236"/>
        <v>0.99909410380954466</v>
      </c>
      <c r="EK273" s="132">
        <f>(EA273*'Renewable Diesel'!BF282*'Feedstock Conversion Rates'!B$2)+FB273</f>
        <v>33.764630185491335</v>
      </c>
      <c r="EL273" s="132">
        <f>(EB273*'Renewable Diesel'!BF282*'Feedstock Conversion Rates'!B$3)+FC273</f>
        <v>2269.0476402877875</v>
      </c>
      <c r="EM273" s="132">
        <f>(EC273*'Renewable Diesel'!BF282*'Feedstock Conversion Rates'!B$4)+FD273</f>
        <v>3873.7526391866622</v>
      </c>
      <c r="EN273" s="132">
        <f>(ED273*'Renewable Diesel'!BF282*'Feedstock Conversion Rates'!B$5)+FE273</f>
        <v>275.62177891214293</v>
      </c>
      <c r="EO273" s="132">
        <f>(EE273*'Renewable Diesel'!BF282*'Feedstock Conversion Rates'!B$6)+FF273</f>
        <v>849.58534349106219</v>
      </c>
      <c r="EP273" s="132">
        <f>(EF273*'Renewable Diesel'!BF282*'Feedstock Conversion Rates'!B$7)+FG273</f>
        <v>869.53022674058889</v>
      </c>
      <c r="EQ273" s="132">
        <f>(EG273*'Renewable Diesel'!BF282*'Feedstock Conversion Rates'!B$8)+FH273</f>
        <v>73.923085138418912</v>
      </c>
      <c r="ER273" s="132">
        <f>(EH273*'Renewable Diesel'!BF282*'Feedstock Conversion Rates'!B$9)+FI273</f>
        <v>8.6658349310780203</v>
      </c>
      <c r="ES273" s="132">
        <f t="shared" si="275"/>
        <v>8253.8911788732312</v>
      </c>
      <c r="ET273" s="133">
        <f>ES273/'Renewable Diesel'!BF282</f>
        <v>11.953400751742802</v>
      </c>
      <c r="EW273" s="73">
        <f t="shared" si="223"/>
        <v>5528.2393744029505</v>
      </c>
      <c r="EX273" s="73">
        <f t="shared" si="224"/>
        <v>5468.4752166102853</v>
      </c>
      <c r="EY273" s="92">
        <f t="shared" si="258"/>
        <v>0.66977371697764865</v>
      </c>
      <c r="EZ273" s="92">
        <f t="shared" si="258"/>
        <v>0.66253299178543412</v>
      </c>
      <c r="FB273" s="102">
        <f>IF('Renewable Diesel'!$BG282&lt;1,0,(((('Renewable Diesel'!$BG282-1)*'Renewable Diesel'!$BF282)*'RD Feedstock Breakdown'!EA273)*'Feedstock Conversion Rates'!$B$2))</f>
        <v>11.220213129543263</v>
      </c>
      <c r="FC273" s="102">
        <f>IF('Renewable Diesel'!$BG282&lt;1,0,(((('Renewable Diesel'!$BG282-1)*'Renewable Diesel'!$BF282)*'RD Feedstock Breakdown'!EB273)*'Feedstock Conversion Rates'!$B$3))</f>
        <v>754.01975337067404</v>
      </c>
      <c r="FD273" s="102">
        <f>IF('Renewable Diesel'!$BG282&lt;1,0,(((('Renewable Diesel'!$BG282-1)*'Renewable Diesel'!$BF282)*'RD Feedstock Breakdown'!EC273)*'Feedstock Conversion Rates'!$B$4))</f>
        <v>1287.2739900904253</v>
      </c>
      <c r="FE273" s="102">
        <f>IF('Renewable Diesel'!$BG282&lt;1,0,(((('Renewable Diesel'!$BG282-1)*'Renewable Diesel'!$BF282)*'RD Feedstock Breakdown'!ED273)*'Feedstock Conversion Rates'!$B$5))</f>
        <v>91.590966213720279</v>
      </c>
      <c r="FF273" s="102">
        <f>IF('Renewable Diesel'!$BG282&lt;1,0,(((('Renewable Diesel'!$BG282-1)*'Renewable Diesel'!$BF282)*'RD Feedstock Breakdown'!EE273)*'Feedstock Conversion Rates'!$B$6))</f>
        <v>282.32290930886802</v>
      </c>
      <c r="FG273" s="102">
        <f>IF('Renewable Diesel'!$BG282&lt;1,0,(((('Renewable Diesel'!$BG282-1)*'Renewable Diesel'!$BF282)*'RD Feedstock Breakdown'!EF273)*'Feedstock Conversion Rates'!$B$7))</f>
        <v>288.9507278181822</v>
      </c>
      <c r="FH273" s="102">
        <f>IF('Renewable Diesel'!$BG282&lt;1,0,(((('Renewable Diesel'!$BG282-1)*'Renewable Diesel'!$BF282)*'RD Feedstock Breakdown'!EG273)*'Feedstock Conversion Rates'!$B$8))</f>
        <v>24.565137123961144</v>
      </c>
      <c r="FI273" s="102">
        <f>IF('Renewable Diesel'!$BG282&lt;1,0,(((('Renewable Diesel'!$BG282-1)*'Renewable Diesel'!$BF282)*'RD Feedstock Breakdown'!EH273)*'Feedstock Conversion Rates'!$B$9))</f>
        <v>2.8797150846306927</v>
      </c>
      <c r="FJ273" s="102">
        <f t="shared" si="225"/>
        <v>2742.8234121400046</v>
      </c>
      <c r="GD273" s="91">
        <f>'Renewable Diesel'!BB282*0.32</f>
        <v>0</v>
      </c>
      <c r="GE273" s="91">
        <f>'Renewable Diesel'!BC282</f>
        <v>374.2174098805076</v>
      </c>
      <c r="GF273" s="91">
        <f>'Renewable Diesel'!BD282</f>
        <v>0</v>
      </c>
      <c r="GG273" s="91">
        <f t="shared" si="206"/>
        <v>374.2174098805076</v>
      </c>
      <c r="GH273" s="124">
        <v>1</v>
      </c>
      <c r="GI273" s="102">
        <f>$GG273*EA273*'Feedstock Conversion Rates'!$B$2</f>
        <v>12.217876748005381</v>
      </c>
      <c r="GJ273" s="102">
        <f>$GG273*EB273*'Feedstock Conversion Rates'!$B$3</f>
        <v>821.06465410958901</v>
      </c>
      <c r="GK273" s="102">
        <f>$GG273*EC273*'Feedstock Conversion Rates'!$B$4</f>
        <v>1401.7340642510719</v>
      </c>
      <c r="GL273" s="102">
        <f>$GG273*ED273*'Feedstock Conversion Rates'!$B$5</f>
        <v>99.73492691359526</v>
      </c>
      <c r="GM273" s="102">
        <f>$GG273*EE273*'Feedstock Conversion Rates'!$B$6</f>
        <v>307.42611296675642</v>
      </c>
      <c r="GN273" s="102">
        <f>$GG273*EF273*'Feedstock Conversion Rates'!$B$7</f>
        <v>314.6432548088959</v>
      </c>
      <c r="GO273" s="102">
        <f>$GG273*EG273*'Feedstock Conversion Rates'!$B$8</f>
        <v>26.749386505693415</v>
      </c>
      <c r="GP273" s="102">
        <f>$GG273*EH273*'Feedstock Conversion Rates'!B$9</f>
        <v>3.1357696656179215</v>
      </c>
      <c r="GQ273" s="102">
        <f t="shared" si="276"/>
        <v>2986.7060459692257</v>
      </c>
      <c r="GR273" s="85">
        <f t="shared" si="204"/>
        <v>7.9812054894049931</v>
      </c>
      <c r="GT273" s="103">
        <f t="shared" si="254"/>
        <v>4.0907530101578909E-3</v>
      </c>
      <c r="GU273" s="103">
        <f t="shared" si="254"/>
        <v>0.27490641578794639</v>
      </c>
      <c r="GV273" s="103">
        <f t="shared" si="254"/>
        <v>0.46932441381126644</v>
      </c>
      <c r="GW273" s="103">
        <f t="shared" si="254"/>
        <v>3.3392950420479017E-2</v>
      </c>
      <c r="GX273" s="103">
        <f t="shared" si="253"/>
        <v>0.10293149316841879</v>
      </c>
      <c r="GY273" s="103">
        <f t="shared" si="253"/>
        <v>0.10534791504960109</v>
      </c>
      <c r="GZ273" s="103">
        <f t="shared" si="253"/>
        <v>8.9561497161040129E-3</v>
      </c>
      <c r="HA273" s="103">
        <f t="shared" si="251"/>
        <v>1.0499090360264508E-3</v>
      </c>
    </row>
    <row r="274" spans="1:209" x14ac:dyDescent="0.25">
      <c r="A274" s="96">
        <v>48761</v>
      </c>
      <c r="B274" s="104">
        <f t="shared" si="263"/>
        <v>0.75</v>
      </c>
      <c r="C274" s="104">
        <f t="shared" si="264"/>
        <v>3.5</v>
      </c>
      <c r="D274" s="104">
        <f t="shared" si="242"/>
        <v>2</v>
      </c>
      <c r="E274" s="104">
        <f>('Renewable Diesel'!B283*E$3*'Feedstock Conversion Rates'!$B$2)/12+26+13-100+27.5+39+75-10-32-1-7+46-46.5+27-15+10-42-95</f>
        <v>4.9300000000000068</v>
      </c>
      <c r="F274" s="104">
        <f>('Renewable Diesel'!B283*'RD Feedstock Breakdown'!F$3*'Feedstock Conversion Rates'!B$8)/12+77+23-10-12-115.75+24+8+2.5+1-32-15</f>
        <v>4.65625</v>
      </c>
      <c r="G274" s="104">
        <f>('Renewable Diesel'!B283*'RD Feedstock Breakdown'!G$3*'Feedstock Conversion Rates'!B$7)/12-25-15-25+4+4-20-40-20+10-17.5+20+50-12+32.5+35-75-75+22.5+5-20+15+125-10-60+5-85+45+20</f>
        <v>69.657000000000011</v>
      </c>
      <c r="H274" s="104">
        <f>('Renewable Diesel'!B283*'RD Feedstock Breakdown'!H$3*'Feedstock Conversion Rates'!B$3)/12-85+4-15+70-65-80+50-22.5-5+25+27.5+15+50+15-10+5+50+75-5-25-85-12.5+30+22.5-25-30+150+90-120+25+10+20+85-30-45-20+95</f>
        <v>410.40022499999998</v>
      </c>
      <c r="I274" s="106">
        <f t="shared" si="203"/>
        <v>495.89347499999997</v>
      </c>
      <c r="J274" s="104">
        <f>87-50+15+53+55-6+84+19-11-40-29-30-13-50-7+30+25+15-7.5-45-10-1-55+5+15+18+90-5+15+5-100-70+11+40-24-14-5-9.5+20+5+30</f>
        <v>55</v>
      </c>
      <c r="K274" s="104"/>
      <c r="L274" s="104">
        <v>1</v>
      </c>
      <c r="M274" s="104">
        <f>('Renewable Diesel'!C283*'RD Feedstock Breakdown'!M$3*'Feedstock Conversion Rates'!B$2)/12</f>
        <v>7.7902500000000003</v>
      </c>
      <c r="N274" s="104">
        <f>('Renewable Diesel'!C283*'RD Feedstock Breakdown'!N$3*'Feedstock Conversion Rates'!B$8)/12</f>
        <v>3.671875</v>
      </c>
      <c r="O274" s="104">
        <f>('Renewable Diesel'!C283*'RD Feedstock Breakdown'!O$3*'Feedstock Conversion Rates'!B$7)/12</f>
        <v>11.9991</v>
      </c>
      <c r="P274" s="104">
        <f>('Renewable Diesel'!C283*'RD Feedstock Breakdown'!P$3*'Feedstock Conversion Rates'!B$3)/12</f>
        <v>10.4470425</v>
      </c>
      <c r="Q274" s="106">
        <f t="shared" si="216"/>
        <v>89.908267499999994</v>
      </c>
      <c r="R274" s="104">
        <f>('Renewable Diesel'!D283*'RD Feedstock Breakdown'!R$3*'Feedstock Conversion Rates'!B$7)/12</f>
        <v>2.2999999999999998</v>
      </c>
      <c r="S274" s="106">
        <f t="shared" si="249"/>
        <v>2.2999999999999998</v>
      </c>
      <c r="T274" s="104">
        <f t="shared" si="221"/>
        <v>0.82500000000000284</v>
      </c>
      <c r="U274" s="104">
        <v>30</v>
      </c>
      <c r="V274" s="104">
        <f>('Renewable Diesel'!E283*'RD Feedstock Breakdown'!V$3*'Feedstock Conversion Rates'!B$6)/12-20+25-35+15</f>
        <v>29.250150000000012</v>
      </c>
      <c r="W274" s="104">
        <f>('Renewable Diesel'!E283*'RD Feedstock Breakdown'!W$3*'Feedstock Conversion Rates'!B$8)/12-6-10</f>
        <v>6.1796875</v>
      </c>
      <c r="X274" s="106">
        <f t="shared" si="277"/>
        <v>66.254837500000008</v>
      </c>
      <c r="Y274" s="104">
        <f t="shared" si="259"/>
        <v>146</v>
      </c>
      <c r="Z274" s="104">
        <f>('Renewable Diesel'!F283*'RD Feedstock Breakdown'!Z$3*'Feedstock Conversion Rates'!B$6)/12-142+15+5+75-45+52.5-87.5+80-10-20-17+2+7</f>
        <v>74.460000000000008</v>
      </c>
      <c r="AA274" s="104">
        <f>('Renewable Diesel'!F283*'RD Feedstock Breakdown'!AA$3*'Feedstock Conversion Rates'!B$7)/12+24-30-55</f>
        <v>43.266666666666652</v>
      </c>
      <c r="AB274" s="106">
        <f t="shared" si="235"/>
        <v>263.72666666666669</v>
      </c>
      <c r="AC274" s="104">
        <f>('Renewable Diesel'!G283*'RD Feedstock Breakdown'!AC$3*'Feedstock Conversion Rates'!B$5)/12</f>
        <v>11.796875</v>
      </c>
      <c r="AD274" s="104">
        <f>('Renewable Diesel'!G283*'RD Feedstock Breakdown'!AD$3*'Feedstock Conversion Rates'!B$4)/12</f>
        <v>5.859375</v>
      </c>
      <c r="AE274" s="104">
        <f>('Renewable Diesel'!G283*'RD Feedstock Breakdown'!AE$3*'Feedstock Conversion Rates'!B$6)/12</f>
        <v>7.3281250000000009</v>
      </c>
      <c r="AF274" s="106">
        <f t="shared" si="198"/>
        <v>24.984375</v>
      </c>
      <c r="AG274" s="104">
        <f t="shared" si="230"/>
        <v>6.5</v>
      </c>
      <c r="AH274" s="104">
        <v>135</v>
      </c>
      <c r="AI274" s="104">
        <f>('Renewable Diesel'!H283*'RD Feedstock Breakdown'!AI$3*'Feedstock Conversion Rates'!B$6)/12-130-20+51-120+105-37.5+10</f>
        <v>7.0166666666666799</v>
      </c>
      <c r="AJ274" s="106">
        <f t="shared" si="248"/>
        <v>13.51666666666668</v>
      </c>
      <c r="AK274" s="104">
        <f>('Renewable Diesel'!J283*'RD Feedstock Breakdown'!AK$3*'Feedstock Conversion Rates'!B$4)/12</f>
        <v>95.8125</v>
      </c>
      <c r="AL274" s="106">
        <f t="shared" si="252"/>
        <v>95.8125</v>
      </c>
      <c r="AM274" s="104">
        <f>('Renewable Diesel'!K283*'RD Feedstock Breakdown'!AM$3*'Feedstock Conversion Rates'!B$4)/12+5+15-10+5-26</f>
        <v>47.59375</v>
      </c>
      <c r="AN274" s="104">
        <f>('Renewable Diesel'!K283*'RD Feedstock Breakdown'!AN$3*'Feedstock Conversion Rates'!B$6)/12-5-15+10-5+26</f>
        <v>35.427083333333329</v>
      </c>
      <c r="AO274" s="106">
        <f t="shared" si="270"/>
        <v>83.020833333333329</v>
      </c>
      <c r="AP274" s="104">
        <f>('Renewable Diesel'!L283*'RD Feedstock Breakdown'!AP$3*'Feedstock Conversion Rates'!B$4)/12+15-10+10+2.5</f>
        <v>76.09375</v>
      </c>
      <c r="AQ274" s="104">
        <f>('Renewable Diesel'!L283*'RD Feedstock Breakdown'!AQ$3*'Feedstock Conversion Rates'!B$6)/12-15+10-10-2.5</f>
        <v>6.9270833333333321</v>
      </c>
      <c r="AR274" s="106">
        <f t="shared" si="256"/>
        <v>83.020833333333329</v>
      </c>
      <c r="AS274" s="104">
        <f>('Renewable Diesel'!M283*'RD Feedstock Breakdown'!AS$3*'Feedstock Conversion Rates'!B$4)/12-25-50</f>
        <v>381.25</v>
      </c>
      <c r="AT274" s="104">
        <f>('Renewable Diesel'!M283*'RD Feedstock Breakdown'!AT$3*'Feedstock Conversion Rates'!B$5)/12+25+50</f>
        <v>75</v>
      </c>
      <c r="AU274" s="106">
        <f t="shared" si="201"/>
        <v>456.25</v>
      </c>
      <c r="AV274" s="104">
        <f>'Renewable Diesel'!N283*'RD Feedstock Breakdown'!$AV$3*'Feedstock Conversion Rates'!$B$4/12-15-10+25+25-22+15-68+11</f>
        <v>39.749999999999986</v>
      </c>
      <c r="AW274" s="104">
        <f>'Renewable Diesel'!N283*'RD Feedstock Breakdown'!$AW$3*'Feedstock Conversion Rates'!$B$7/12+15+10-25-25+22-15+68-11</f>
        <v>80.400000000000006</v>
      </c>
      <c r="AX274" s="106">
        <f t="shared" si="239"/>
        <v>120.14999999999999</v>
      </c>
      <c r="AY274" s="104">
        <f>('Renewable Diesel'!O283*'RD Feedstock Breakdown'!AY$3*'Feedstock Conversion Rates'!B$4)/12-100-160-10-78</f>
        <v>-137.0625</v>
      </c>
      <c r="AZ274" s="104">
        <f>('Renewable Diesel'!O283*'RD Feedstock Breakdown'!AZ$3*'Feedstock Conversion Rates'!B$3)/12+100+160+10+78</f>
        <v>373.03125</v>
      </c>
      <c r="BA274" s="106">
        <f t="shared" si="217"/>
        <v>235.96875</v>
      </c>
      <c r="BB274" s="104">
        <f>('Renewable Diesel'!Q283*'RD Feedstock Breakdown'!BB$3*'Feedstock Conversion Rates'!B$4)/12</f>
        <v>11.156249999999998</v>
      </c>
      <c r="BC274" s="104">
        <f>('Renewable Diesel'!Q283*'RD Feedstock Breakdown'!BC$3*'Feedstock Conversion Rates'!B$3)/12</f>
        <v>1.4017500000000001</v>
      </c>
      <c r="BD274" s="104">
        <f>('Renewable Diesel'!Q283*'RD Feedstock Breakdown'!BD$3*'Feedstock Conversion Rates'!B$6)/12</f>
        <v>0.8207500000000002</v>
      </c>
      <c r="BE274" s="106">
        <f t="shared" si="279"/>
        <v>13.378749999999998</v>
      </c>
      <c r="BF274" s="104">
        <f>('Renewable Diesel'!R283*'RD Feedstock Breakdown'!BF$3*'Feedstock Conversion Rates'!B$4)/12</f>
        <v>62.5</v>
      </c>
      <c r="BG274" s="106">
        <f t="shared" si="262"/>
        <v>62.5</v>
      </c>
      <c r="BH274" s="104">
        <f>('Renewable Diesel'!T283*'RD Feedstock Breakdown'!BH$3*'Feedstock Conversion Rates'!B$7)/12</f>
        <v>27.599999999999998</v>
      </c>
      <c r="BI274" s="106">
        <f t="shared" si="243"/>
        <v>27.599999999999998</v>
      </c>
      <c r="BJ274" s="104">
        <f>('Renewable Diesel'!W283*'RD Feedstock Breakdown'!BJ$3*'Feedstock Conversion Rates'!B$4)/12</f>
        <v>7.5</v>
      </c>
      <c r="BK274" s="104">
        <f>('Renewable Diesel'!W283*'RD Feedstock Breakdown'!BK$3*'Feedstock Conversion Rates'!B$3)/12</f>
        <v>1.335</v>
      </c>
      <c r="BL274" s="104">
        <f>('Renewable Diesel'!W283*'RD Feedstock Breakdown'!BL$3*'Feedstock Conversion Rates'!B$6)/12</f>
        <v>3.1266666666666669</v>
      </c>
      <c r="BM274" s="104">
        <f>('Renewable Diesel'!W283*'RD Feedstock Breakdown'!BM$3*'Feedstock Conversion Rates'!B$7)/12</f>
        <v>1.5333333333333332</v>
      </c>
      <c r="BN274" s="106">
        <f t="shared" si="209"/>
        <v>13.495000000000001</v>
      </c>
      <c r="BO274" s="104">
        <f>('Renewable Diesel'!P283*'Feedstock Conversion Rates'!B$4)/12</f>
        <v>31.25</v>
      </c>
      <c r="BP274" s="106">
        <f t="shared" si="199"/>
        <v>31.25</v>
      </c>
      <c r="BQ274" s="104">
        <f>('Renewable Diesel'!$S283*'RD Feedstock Breakdown'!BQ$3*'Feedstock Conversion Rates'!B$4)/12+10</f>
        <v>38.125</v>
      </c>
      <c r="BR274" s="104">
        <f>('Renewable Diesel'!$S283*'RD Feedstock Breakdown'!BR$3*'Feedstock Conversion Rates'!B$7)/12-10</f>
        <v>1.5</v>
      </c>
      <c r="BS274" s="106">
        <f t="shared" si="222"/>
        <v>39.625</v>
      </c>
      <c r="BT274" s="106"/>
      <c r="BU274" s="104">
        <f>('Renewable Diesel'!Y283*'Feedstock Conversion Rates'!B$7)/12</f>
        <v>2.6833333333333331</v>
      </c>
      <c r="BV274" s="106">
        <f t="shared" si="281"/>
        <v>2.6833333333333331</v>
      </c>
      <c r="BW274" s="104">
        <f>('Renewable Diesel'!$Z283*'RD Feedstock Breakdown'!BW$3*'Feedstock Conversion Rates'!$B$4)/12</f>
        <v>71.875</v>
      </c>
      <c r="BX274" s="104">
        <f>('Renewable Diesel'!$Z283*'RD Feedstock Breakdown'!BX$3*'Feedstock Conversion Rates'!$B$5)/12</f>
        <v>7.2354166666666666</v>
      </c>
      <c r="BY274" s="104">
        <f>('Renewable Diesel'!$Z283*'RD Feedstock Breakdown'!BY$3*'Feedstock Conversion Rates'!$B$7)/12</f>
        <v>61.716666666666661</v>
      </c>
      <c r="BZ274" s="104">
        <f>('Renewable Diesel'!$Z283*'RD Feedstock Breakdown'!BZ$3*'Feedstock Conversion Rates'!$B$3)/12</f>
        <v>15.352499999999999</v>
      </c>
      <c r="CA274" s="106">
        <f t="shared" si="228"/>
        <v>156.17958333333331</v>
      </c>
      <c r="CB274" s="104">
        <f>('Renewable Diesel'!AA283*'Feedstock Conversion Rates'!B$4)/12</f>
        <v>191.25</v>
      </c>
      <c r="CC274" s="106">
        <f t="shared" si="213"/>
        <v>191.25</v>
      </c>
      <c r="CD274" s="104">
        <f>('Renewable Diesel'!$AB283*'RD Feedstock Breakdown'!CD$3*'Feedstock Conversion Rates'!$B$6)/12-15-5+5</f>
        <v>17.830000000000005</v>
      </c>
      <c r="CE274" s="104">
        <f>('Renewable Diesel'!$AB283*'RD Feedstock Breakdown'!CE$3*'Feedstock Conversion Rates'!$B$4)/12+15+5-5</f>
        <v>26.25</v>
      </c>
      <c r="CF274" s="106">
        <f t="shared" si="205"/>
        <v>44.080000000000005</v>
      </c>
      <c r="CG274" s="104">
        <f>('Renewable Diesel'!AD283*'Feedstock Conversion Rates'!B$4)/12</f>
        <v>112.5</v>
      </c>
      <c r="CH274" s="106">
        <f t="shared" si="278"/>
        <v>112.5</v>
      </c>
      <c r="CI274" s="104">
        <f>('Renewable Diesel'!$AE283*'RD Feedstock Breakdown'!CI$3*'Feedstock Conversion Rates'!$B$5)/12</f>
        <v>0.34604166666666664</v>
      </c>
      <c r="CJ274" s="104">
        <f>('Renewable Diesel'!$AE283*'RD Feedstock Breakdown'!CJ$3*'Feedstock Conversion Rates'!$B$4)/12</f>
        <v>0.34375</v>
      </c>
      <c r="CK274" s="106">
        <f t="shared" si="200"/>
        <v>0.68979166666666658</v>
      </c>
      <c r="CL274" s="104">
        <f>(((CL$3*'Renewable Diesel'!$AF283)*'Feedstock Conversion Rates'!$B$3)/12)-25</f>
        <v>66.78125</v>
      </c>
      <c r="CM274" s="104">
        <f>(((CM$3*'Renewable Diesel'!$AF283)*'Feedstock Conversion Rates'!$B$6)/12)+25</f>
        <v>78.739583333333343</v>
      </c>
      <c r="CN274" s="104">
        <f>(((CN$3*'Renewable Diesel'!$AF283)*'Feedstock Conversion Rates'!$B$4)/12)</f>
        <v>42.96875</v>
      </c>
      <c r="CO274" s="106">
        <f t="shared" si="280"/>
        <v>188.48958333333334</v>
      </c>
      <c r="CP274" s="104">
        <f>('Renewable Diesel'!$AG283*'RD Feedstock Breakdown'!CP$3*'Feedstock Conversion Rates'!$B$3)/12</f>
        <v>6.0075000000000003</v>
      </c>
      <c r="CQ274" s="104">
        <f>('Renewable Diesel'!$AG283*'RD Feedstock Breakdown'!CQ$3*'Feedstock Conversion Rates'!$B$6)/12</f>
        <v>3.5175000000000001</v>
      </c>
      <c r="CR274" s="104">
        <f>('Renewable Diesel'!$AG283*'RD Feedstock Breakdown'!CR$3*'Feedstock Conversion Rates'!$B$4)/12</f>
        <v>2.8125</v>
      </c>
      <c r="CS274" s="106">
        <f t="shared" si="231"/>
        <v>12.3375</v>
      </c>
      <c r="CT274" s="104">
        <f>('Renewable Diesel'!AI283*'Feedstock Conversion Rates'!$B$4*'RD Feedstock Breakdown'!$CT$3)/12</f>
        <v>29.375</v>
      </c>
      <c r="CU274" s="106">
        <f t="shared" si="196"/>
        <v>29.375</v>
      </c>
      <c r="CV274" s="104">
        <f>('Renewable Diesel'!AN283*'Feedstock Conversion Rates'!$B$3*'RD Feedstock Breakdown'!$CV$3)/12</f>
        <v>0.50062499999999999</v>
      </c>
      <c r="CW274" s="106">
        <f t="shared" si="255"/>
        <v>0.50062499999999999</v>
      </c>
      <c r="CX274" s="104">
        <f>('Renewable Diesel'!AO283*'RD Feedstock Breakdown'!$CX$3*'Feedstock Conversion Rates'!$B$3)/12</f>
        <v>6.3412499999999996</v>
      </c>
      <c r="CY274" s="104">
        <f>('Renewable Diesel'!AO283*'RD Feedstock Breakdown'!$CY$3*'Feedstock Conversion Rates'!$B$6)/12</f>
        <v>7.4258333333333342</v>
      </c>
      <c r="CZ274" s="106">
        <f t="shared" si="233"/>
        <v>13.767083333333334</v>
      </c>
      <c r="DA274" s="104">
        <f>('Renewable Diesel'!$AP283*'RD Feedstock Breakdown'!DA$3*'Feedstock Conversion Rates'!$B$3)/12</f>
        <v>6.3412499999999996</v>
      </c>
      <c r="DB274" s="104">
        <f>('Renewable Diesel'!$AP283*'RD Feedstock Breakdown'!DB$3*'Feedstock Conversion Rates'!$B$8)/12</f>
        <v>7.421875</v>
      </c>
      <c r="DC274" s="106">
        <f t="shared" si="260"/>
        <v>13.763124999999999</v>
      </c>
      <c r="DD274" s="104">
        <f>('Renewable Diesel'!AQ283*$DD$3*'Feedstock Conversion Rates'!$B$14)/12</f>
        <v>3.1041666666666665</v>
      </c>
      <c r="DE274" s="106">
        <f t="shared" si="261"/>
        <v>3.1041666666666665</v>
      </c>
      <c r="DF274" s="104">
        <f>('Renewable Diesel'!AR283*'Feedstock Conversion Rates'!$B$4*$DF$3)/12</f>
        <v>75</v>
      </c>
      <c r="DG274" s="106">
        <f t="shared" si="234"/>
        <v>75</v>
      </c>
      <c r="DH274" s="104">
        <f>('Renewable Diesel'!AS283*'Feedstock Conversion Rates'!$B$4*$DH$3)/12</f>
        <v>75</v>
      </c>
      <c r="DI274" s="106">
        <f t="shared" si="240"/>
        <v>75</v>
      </c>
      <c r="DJ274" s="104">
        <f>('Renewable Diesel'!AT283*'Feedstock Conversion Rates'!$B$4*0.25)/12</f>
        <v>8.59375</v>
      </c>
      <c r="DK274" s="104">
        <f>('Renewable Diesel'!$AT283*'RD Feedstock Breakdown'!DK$3*'Feedstock Conversion Rates'!$B$3)/12*0.5</f>
        <v>9.1781249999999996</v>
      </c>
      <c r="DL274" s="104">
        <f>('Renewable Diesel'!$AT283*'RD Feedstock Breakdown'!$DL$3*'Feedstock Conversion Rates'!$B$6)/12</f>
        <v>10.747916666666669</v>
      </c>
      <c r="DM274" s="104">
        <f>('Renewable Diesel'!$AT283*'RD Feedstock Breakdown'!$DM$3*'Feedstock Conversion Rates'!$B$8)/12</f>
        <v>10.7421875</v>
      </c>
      <c r="DN274" s="106">
        <f t="shared" si="210"/>
        <v>39.26197916666667</v>
      </c>
      <c r="DP274" s="104">
        <f t="shared" si="265"/>
        <v>12.720250000000007</v>
      </c>
      <c r="DQ274" s="104">
        <f t="shared" si="266"/>
        <v>907.11776750000001</v>
      </c>
      <c r="DR274" s="104">
        <f t="shared" si="271"/>
        <v>1653.953125</v>
      </c>
      <c r="DS274" s="104">
        <f t="shared" si="197"/>
        <v>116.90125</v>
      </c>
      <c r="DT274" s="104">
        <f t="shared" si="267"/>
        <v>290.03923333333341</v>
      </c>
      <c r="DU274" s="104">
        <f t="shared" si="268"/>
        <v>302.65609999999998</v>
      </c>
      <c r="DV274" s="104">
        <f t="shared" si="272"/>
        <v>25.25</v>
      </c>
      <c r="DW274" s="104">
        <f t="shared" si="269"/>
        <v>3</v>
      </c>
      <c r="DX274" s="106">
        <f t="shared" si="273"/>
        <v>3311.6377258333337</v>
      </c>
      <c r="DY274" s="109">
        <f t="shared" si="257"/>
        <v>-135.00000000000048</v>
      </c>
      <c r="EA274" s="110">
        <f t="shared" si="250"/>
        <v>3.8410753388790769E-3</v>
      </c>
      <c r="EB274" s="110">
        <f t="shared" si="250"/>
        <v>0.27391817662414591</v>
      </c>
      <c r="EC274" s="110">
        <f t="shared" si="250"/>
        <v>0.4994366117096346</v>
      </c>
      <c r="ED274" s="110">
        <f t="shared" si="250"/>
        <v>3.5300132344815348E-2</v>
      </c>
      <c r="EE274" s="110">
        <f t="shared" si="250"/>
        <v>8.7581812186400473E-2</v>
      </c>
      <c r="EF274" s="110">
        <f t="shared" si="250"/>
        <v>9.1391669336005107E-2</v>
      </c>
      <c r="EG274" s="110">
        <f t="shared" si="250"/>
        <v>7.6246262696642465E-3</v>
      </c>
      <c r="EH274" s="111">
        <f t="shared" si="274"/>
        <v>9.0589619045515805E-4</v>
      </c>
      <c r="EI274" s="110">
        <f t="shared" si="236"/>
        <v>0.99909410380954466</v>
      </c>
      <c r="EK274" s="132">
        <f>(EA274*'Renewable Diesel'!BF283*'Feedstock Conversion Rates'!B$2)+FB274</f>
        <v>37.604297458307975</v>
      </c>
      <c r="EL274" s="132">
        <f>(EB274*'Renewable Diesel'!BF283*'Feedstock Conversion Rates'!B$3)+FC274</f>
        <v>2527.0806149423879</v>
      </c>
      <c r="EM274" s="132">
        <f>(EC274*'Renewable Diesel'!BF283*'Feedstock Conversion Rates'!B$4)+FD274</f>
        <v>4314.2704576837077</v>
      </c>
      <c r="EN274" s="132">
        <f>(ED274*'Renewable Diesel'!BF283*'Feedstock Conversion Rates'!B$5)+FE274</f>
        <v>306.96510825857865</v>
      </c>
      <c r="EO274" s="132">
        <f>(EE274*'Renewable Diesel'!BF283*'Feedstock Conversion Rates'!B$6)+FF274</f>
        <v>946.19901942787283</v>
      </c>
      <c r="EP274" s="132">
        <f>(EF274*'Renewable Diesel'!BF283*'Feedstock Conversion Rates'!B$7)+FG274</f>
        <v>968.41200734943789</v>
      </c>
      <c r="EQ274" s="132">
        <f>(EG274*'Renewable Diesel'!BF283*'Feedstock Conversion Rates'!B$8)+FH274</f>
        <v>82.329516636477834</v>
      </c>
      <c r="ER274" s="132">
        <f>(EH274*'Renewable Diesel'!BF283*'Feedstock Conversion Rates'!B$9)+FI274</f>
        <v>9.6513017522366091</v>
      </c>
      <c r="ES274" s="132">
        <f t="shared" si="275"/>
        <v>9192.5123235090086</v>
      </c>
      <c r="ET274" s="133">
        <f>ES274/'Renewable Diesel'!BF283</f>
        <v>12.823289307616557</v>
      </c>
      <c r="EW274" s="73">
        <f t="shared" si="223"/>
        <v>6366.2176385765015</v>
      </c>
      <c r="EX274" s="73">
        <f t="shared" si="224"/>
        <v>6297.3943460729224</v>
      </c>
      <c r="EY274" s="92">
        <f t="shared" si="258"/>
        <v>0.69254382420521565</v>
      </c>
      <c r="EZ274" s="92">
        <f t="shared" si="258"/>
        <v>0.68505693813082125</v>
      </c>
      <c r="FB274" s="102">
        <f>IF('Renewable Diesel'!$BG283&lt;1,0,(((('Renewable Diesel'!$BG283-1)*'Renewable Diesel'!$BF283)*'RD Feedstock Breakdown'!EA274)*'Feedstock Conversion Rates'!$B$2))</f>
        <v>14.199411387368189</v>
      </c>
      <c r="FC274" s="102">
        <f>IF('Renewable Diesel'!$BG283&lt;1,0,(((('Renewable Diesel'!$BG283-1)*'Renewable Diesel'!$BF283)*'RD Feedstock Breakdown'!EB274)*'Feedstock Conversion Rates'!$B$3))</f>
        <v>954.22756668686668</v>
      </c>
      <c r="FD274" s="102">
        <f>IF('Renewable Diesel'!$BG283&lt;1,0,(((('Renewable Diesel'!$BG283-1)*'Renewable Diesel'!$BF283)*'RD Feedstock Breakdown'!EC274)*'Feedstock Conversion Rates'!$B$4))</f>
        <v>1629.0718137452109</v>
      </c>
      <c r="FE274" s="102">
        <f>IF('Renewable Diesel'!$BG283&lt;1,0,(((('Renewable Diesel'!$BG283-1)*'Renewable Diesel'!$BF283)*'RD Feedstock Breakdown'!ED274)*'Feedstock Conversion Rates'!$B$5))</f>
        <v>115.9102588890034</v>
      </c>
      <c r="FF274" s="102">
        <f>IF('Renewable Diesel'!$BG283&lt;1,0,(((('Renewable Diesel'!$BG283-1)*'Renewable Diesel'!$BF283)*'RD Feedstock Breakdown'!EE274)*'Feedstock Conversion Rates'!$B$6))</f>
        <v>357.28547105757542</v>
      </c>
      <c r="FG274" s="102">
        <f>IF('Renewable Diesel'!$BG283&lt;1,0,(((('Renewable Diesel'!$BG283-1)*'Renewable Diesel'!$BF283)*'RD Feedstock Breakdown'!EF274)*'Feedstock Conversion Rates'!$B$7))</f>
        <v>365.67311223051956</v>
      </c>
      <c r="FH274" s="102">
        <f>IF('Renewable Diesel'!$BG283&lt;1,0,(((('Renewable Diesel'!$BG283-1)*'Renewable Diesel'!$BF283)*'RD Feedstock Breakdown'!EG274)*'Feedstock Conversion Rates'!$B$8))</f>
        <v>31.087688244691467</v>
      </c>
      <c r="FI274" s="102">
        <f>IF('Renewable Diesel'!$BG283&lt;1,0,(((('Renewable Diesel'!$BG283-1)*'Renewable Diesel'!$BF283)*'RD Feedstock Breakdown'!EH274)*'Feedstock Conversion Rates'!$B$9))</f>
        <v>3.6443388991796732</v>
      </c>
      <c r="FJ274" s="102">
        <f t="shared" si="225"/>
        <v>3471.0996611404148</v>
      </c>
      <c r="GD274" s="91">
        <f>'Renewable Diesel'!BB283*0.32</f>
        <v>0</v>
      </c>
      <c r="GE274" s="91">
        <f>'Renewable Diesel'!BC283</f>
        <v>407.07318695247625</v>
      </c>
      <c r="GF274" s="91">
        <f>'Renewable Diesel'!BD283</f>
        <v>0</v>
      </c>
      <c r="GG274" s="91">
        <f t="shared" si="206"/>
        <v>407.07318695247625</v>
      </c>
      <c r="GH274" s="124">
        <v>1</v>
      </c>
      <c r="GI274" s="102">
        <f>$GG274*EA274*'Feedstock Conversion Rates'!$B$2</f>
        <v>13.290589625937582</v>
      </c>
      <c r="GJ274" s="102">
        <f>$GG274*EB274*'Feedstock Conversion Rates'!$B$3</f>
        <v>893.15300843204489</v>
      </c>
      <c r="GK274" s="102">
        <f>$GG274*EC274*'Feedstock Conversion Rates'!$B$4</f>
        <v>1524.8043990704052</v>
      </c>
      <c r="GL274" s="102">
        <f>$GG274*ED274*'Feedstock Conversion Rates'!$B$5</f>
        <v>108.49151716953369</v>
      </c>
      <c r="GM274" s="102">
        <f>$GG274*EE274*'Feedstock Conversion Rates'!$B$6</f>
        <v>334.41770546632205</v>
      </c>
      <c r="GN274" s="102">
        <f>$GG274*EF274*'Feedstock Conversion Rates'!$B$7</f>
        <v>342.26850249713334</v>
      </c>
      <c r="GO274" s="102">
        <f>$GG274*EG274*'Feedstock Conversion Rates'!$B$8</f>
        <v>29.097946077316831</v>
      </c>
      <c r="GP274" s="102">
        <f>$GG274*EH274*'Feedstock Conversion Rates'!B$9</f>
        <v>3.4110859559943694</v>
      </c>
      <c r="GQ274" s="102">
        <f t="shared" si="276"/>
        <v>3248.934754294688</v>
      </c>
      <c r="GR274" s="85">
        <f t="shared" si="204"/>
        <v>7.9812054894049922</v>
      </c>
      <c r="GT274" s="103">
        <f t="shared" si="254"/>
        <v>4.0907530101578901E-3</v>
      </c>
      <c r="GU274" s="103">
        <f t="shared" si="254"/>
        <v>0.27490641578794639</v>
      </c>
      <c r="GV274" s="103">
        <f t="shared" si="254"/>
        <v>0.46932441381126638</v>
      </c>
      <c r="GW274" s="103">
        <f t="shared" si="254"/>
        <v>3.3392950420479017E-2</v>
      </c>
      <c r="GX274" s="103">
        <f t="shared" si="253"/>
        <v>0.10293149316841879</v>
      </c>
      <c r="GY274" s="103">
        <f t="shared" si="253"/>
        <v>0.10534791504960106</v>
      </c>
      <c r="GZ274" s="103">
        <f t="shared" si="253"/>
        <v>8.9561497161040112E-3</v>
      </c>
      <c r="HA274" s="103">
        <f t="shared" si="251"/>
        <v>1.0499090360264506E-3</v>
      </c>
    </row>
    <row r="275" spans="1:209" x14ac:dyDescent="0.25">
      <c r="A275" s="96">
        <v>48792</v>
      </c>
      <c r="B275" s="104">
        <f t="shared" si="263"/>
        <v>0.75</v>
      </c>
      <c r="C275" s="104">
        <f t="shared" si="264"/>
        <v>3.5</v>
      </c>
      <c r="D275" s="104">
        <f t="shared" si="242"/>
        <v>2</v>
      </c>
      <c r="E275" s="104">
        <f>('Renewable Diesel'!B284*E$3*'Feedstock Conversion Rates'!$B$2)/12+26+13-100+27.5+39+75-10-32-1-7+46-46.5+27-15+10-42-95</f>
        <v>4.9300000000000068</v>
      </c>
      <c r="F275" s="104">
        <f>('Renewable Diesel'!B284*'RD Feedstock Breakdown'!F$3*'Feedstock Conversion Rates'!B$8)/12+77+23-10-12-115.75+24+8+2.5+1-32-15</f>
        <v>4.65625</v>
      </c>
      <c r="G275" s="104">
        <f>('Renewable Diesel'!B284*'RD Feedstock Breakdown'!G$3*'Feedstock Conversion Rates'!B$7)/12-25-15-25+4+4-20-40-20+10-17.5+20+50-12+32.5+35-75-75+22.5+5-20+15+125-10-60+5-85+45+20</f>
        <v>69.657000000000011</v>
      </c>
      <c r="H275" s="104">
        <f>('Renewable Diesel'!B284*'RD Feedstock Breakdown'!H$3*'Feedstock Conversion Rates'!B$3)/12-85+4-15+70-65-80+50-22.5-5+25+27.5+15+50+15-10+5+50+75-5-25-85-12.5+30+22.5-25-30+150+90-120+25+10+20+85-30-45-20+95</f>
        <v>410.40022499999998</v>
      </c>
      <c r="I275" s="106">
        <f t="shared" si="203"/>
        <v>495.89347499999997</v>
      </c>
      <c r="J275" s="104">
        <f>87-50+15+53+55-6+84+19-11-40-29-30-13-50-7+30+25+15-7.5-45-10-1-55+5+15+18+90-5+15+5-100-70+11+40-24-14-5-9.5+20+5</f>
        <v>25</v>
      </c>
      <c r="K275" s="104"/>
      <c r="L275" s="104">
        <v>1</v>
      </c>
      <c r="M275" s="104">
        <f>('Renewable Diesel'!C284*'RD Feedstock Breakdown'!M$3*'Feedstock Conversion Rates'!B$2)/12</f>
        <v>7.7902500000000003</v>
      </c>
      <c r="N275" s="104">
        <f>('Renewable Diesel'!C284*'RD Feedstock Breakdown'!N$3*'Feedstock Conversion Rates'!B$8)/12</f>
        <v>3.671875</v>
      </c>
      <c r="O275" s="104">
        <f>('Renewable Diesel'!C284*'RD Feedstock Breakdown'!O$3*'Feedstock Conversion Rates'!B$7)/12</f>
        <v>11.9991</v>
      </c>
      <c r="P275" s="104">
        <f>('Renewable Diesel'!C284*'RD Feedstock Breakdown'!P$3*'Feedstock Conversion Rates'!B$3)/12</f>
        <v>10.4470425</v>
      </c>
      <c r="Q275" s="106">
        <f t="shared" si="216"/>
        <v>59.908267500000001</v>
      </c>
      <c r="R275" s="104">
        <f>('Renewable Diesel'!D284*'RD Feedstock Breakdown'!R$3*'Feedstock Conversion Rates'!B$7)/12</f>
        <v>2.2999999999999998</v>
      </c>
      <c r="S275" s="106">
        <f t="shared" si="249"/>
        <v>2.2999999999999998</v>
      </c>
      <c r="T275" s="104">
        <f t="shared" si="221"/>
        <v>0.82500000000000284</v>
      </c>
      <c r="U275" s="104">
        <v>30</v>
      </c>
      <c r="V275" s="104">
        <f>('Renewable Diesel'!E284*'RD Feedstock Breakdown'!V$3*'Feedstock Conversion Rates'!B$6)/12-20+25-35+15</f>
        <v>29.250150000000012</v>
      </c>
      <c r="W275" s="104">
        <f>('Renewable Diesel'!E284*'RD Feedstock Breakdown'!W$3*'Feedstock Conversion Rates'!B$8)/12-6-10</f>
        <v>6.1796875</v>
      </c>
      <c r="X275" s="106">
        <f t="shared" si="277"/>
        <v>66.254837500000008</v>
      </c>
      <c r="Y275" s="104">
        <f t="shared" si="259"/>
        <v>146</v>
      </c>
      <c r="Z275" s="104">
        <f>('Renewable Diesel'!F284*'RD Feedstock Breakdown'!Z$3*'Feedstock Conversion Rates'!B$6)/12-142+15+5+75-45+52.5-87.5+80-10-20-17+2+7</f>
        <v>74.460000000000008</v>
      </c>
      <c r="AA275" s="104">
        <f>('Renewable Diesel'!F284*'RD Feedstock Breakdown'!AA$3*'Feedstock Conversion Rates'!B$7)/12+24-30-55</f>
        <v>43.266666666666652</v>
      </c>
      <c r="AB275" s="106">
        <f t="shared" si="235"/>
        <v>263.72666666666669</v>
      </c>
      <c r="AC275" s="104">
        <f>('Renewable Diesel'!G284*'RD Feedstock Breakdown'!AC$3*'Feedstock Conversion Rates'!B$5)/12</f>
        <v>11.796875</v>
      </c>
      <c r="AD275" s="104">
        <f>('Renewable Diesel'!G284*'RD Feedstock Breakdown'!AD$3*'Feedstock Conversion Rates'!B$4)/12</f>
        <v>5.859375</v>
      </c>
      <c r="AE275" s="104">
        <f>('Renewable Diesel'!G284*'RD Feedstock Breakdown'!AE$3*'Feedstock Conversion Rates'!B$6)/12</f>
        <v>7.3281250000000009</v>
      </c>
      <c r="AF275" s="106">
        <f t="shared" si="198"/>
        <v>24.984375</v>
      </c>
      <c r="AG275" s="104">
        <f t="shared" si="230"/>
        <v>6.5</v>
      </c>
      <c r="AH275" s="104">
        <v>135</v>
      </c>
      <c r="AI275" s="104">
        <f>('Renewable Diesel'!H284*'RD Feedstock Breakdown'!AI$3*'Feedstock Conversion Rates'!B$6)/12-130-20+51-120+105-37.5+10</f>
        <v>7.0166666666666799</v>
      </c>
      <c r="AJ275" s="106">
        <f t="shared" si="248"/>
        <v>13.51666666666668</v>
      </c>
      <c r="AK275" s="104">
        <f>('Renewable Diesel'!J284*'RD Feedstock Breakdown'!AK$3*'Feedstock Conversion Rates'!B$4)/12</f>
        <v>95.8125</v>
      </c>
      <c r="AL275" s="106">
        <f t="shared" si="252"/>
        <v>95.8125</v>
      </c>
      <c r="AM275" s="104">
        <f>('Renewable Diesel'!K284*'RD Feedstock Breakdown'!AM$3*'Feedstock Conversion Rates'!B$4)/12+5+15-10+5-26</f>
        <v>47.59375</v>
      </c>
      <c r="AN275" s="104">
        <f>('Renewable Diesel'!K284*'RD Feedstock Breakdown'!AN$3*'Feedstock Conversion Rates'!B$6)/12-5-15+10-5+26</f>
        <v>35.427083333333329</v>
      </c>
      <c r="AO275" s="106">
        <f t="shared" si="270"/>
        <v>83.020833333333329</v>
      </c>
      <c r="AP275" s="104">
        <f>('Renewable Diesel'!L284*'RD Feedstock Breakdown'!AP$3*'Feedstock Conversion Rates'!B$4)/12+15-10+10+2.5</f>
        <v>76.09375</v>
      </c>
      <c r="AQ275" s="104">
        <f>('Renewable Diesel'!L284*'RD Feedstock Breakdown'!AQ$3*'Feedstock Conversion Rates'!B$6)/12-15+10-10-2.5</f>
        <v>6.9270833333333321</v>
      </c>
      <c r="AR275" s="106">
        <f t="shared" si="256"/>
        <v>83.020833333333329</v>
      </c>
      <c r="AS275" s="104">
        <f>('Renewable Diesel'!M284*'RD Feedstock Breakdown'!AS$3*'Feedstock Conversion Rates'!B$4)/12-25</f>
        <v>431.25</v>
      </c>
      <c r="AT275" s="104">
        <f>('Renewable Diesel'!M284*'RD Feedstock Breakdown'!AT$3*'Feedstock Conversion Rates'!B$5)/12+25</f>
        <v>25</v>
      </c>
      <c r="AU275" s="106">
        <f t="shared" si="201"/>
        <v>456.25</v>
      </c>
      <c r="AV275" s="104">
        <f>'Renewable Diesel'!N284*'RD Feedstock Breakdown'!$AV$3*'Feedstock Conversion Rates'!$B$4/12-15-10+25+25-22+15-68+11</f>
        <v>39.749999999999986</v>
      </c>
      <c r="AW275" s="104">
        <f>'Renewable Diesel'!N284*'RD Feedstock Breakdown'!$AW$3*'Feedstock Conversion Rates'!$B$7/12+15+10-25-25+22-15+68-11</f>
        <v>80.400000000000006</v>
      </c>
      <c r="AX275" s="106">
        <f t="shared" si="239"/>
        <v>120.14999999999999</v>
      </c>
      <c r="AY275" s="104">
        <f>('Renewable Diesel'!O284*'RD Feedstock Breakdown'!AY$3*'Feedstock Conversion Rates'!B$4)/12-100-160-10-78</f>
        <v>-137.0625</v>
      </c>
      <c r="AZ275" s="104">
        <f>('Renewable Diesel'!O284*'RD Feedstock Breakdown'!AZ$3*'Feedstock Conversion Rates'!B$3)/12+100+160+10+78</f>
        <v>373.03125</v>
      </c>
      <c r="BA275" s="106">
        <f t="shared" si="217"/>
        <v>235.96875</v>
      </c>
      <c r="BB275" s="104">
        <f>('Renewable Diesel'!Q284*'RD Feedstock Breakdown'!BB$3*'Feedstock Conversion Rates'!B$4)/12</f>
        <v>11.156249999999998</v>
      </c>
      <c r="BC275" s="104">
        <f>('Renewable Diesel'!Q284*'RD Feedstock Breakdown'!BC$3*'Feedstock Conversion Rates'!B$3)/12</f>
        <v>1.4017500000000001</v>
      </c>
      <c r="BD275" s="104">
        <f>('Renewable Diesel'!Q284*'RD Feedstock Breakdown'!BD$3*'Feedstock Conversion Rates'!B$6)/12</f>
        <v>0.8207500000000002</v>
      </c>
      <c r="BE275" s="106">
        <f t="shared" si="279"/>
        <v>13.378749999999998</v>
      </c>
      <c r="BF275" s="104">
        <f>('Renewable Diesel'!R284*'RD Feedstock Breakdown'!BF$3*'Feedstock Conversion Rates'!B$4)/12</f>
        <v>62.5</v>
      </c>
      <c r="BG275" s="106">
        <f t="shared" si="262"/>
        <v>62.5</v>
      </c>
      <c r="BH275" s="104">
        <f>('Renewable Diesel'!T284*'RD Feedstock Breakdown'!BH$3*'Feedstock Conversion Rates'!B$7)/12</f>
        <v>27.599999999999998</v>
      </c>
      <c r="BI275" s="106">
        <f t="shared" si="243"/>
        <v>27.599999999999998</v>
      </c>
      <c r="BJ275" s="104">
        <f>('Renewable Diesel'!W284*'RD Feedstock Breakdown'!BJ$3*'Feedstock Conversion Rates'!B$4)/12</f>
        <v>7.5</v>
      </c>
      <c r="BK275" s="104">
        <f>('Renewable Diesel'!W284*'RD Feedstock Breakdown'!BK$3*'Feedstock Conversion Rates'!B$3)/12</f>
        <v>1.335</v>
      </c>
      <c r="BL275" s="104">
        <f>('Renewable Diesel'!W284*'RD Feedstock Breakdown'!BL$3*'Feedstock Conversion Rates'!B$6)/12</f>
        <v>3.1266666666666669</v>
      </c>
      <c r="BM275" s="104">
        <f>('Renewable Diesel'!W284*'RD Feedstock Breakdown'!BM$3*'Feedstock Conversion Rates'!B$7)/12</f>
        <v>1.5333333333333332</v>
      </c>
      <c r="BN275" s="106">
        <f t="shared" si="209"/>
        <v>13.495000000000001</v>
      </c>
      <c r="BO275" s="104">
        <f>('Renewable Diesel'!P284*'Feedstock Conversion Rates'!B$4)/12</f>
        <v>31.25</v>
      </c>
      <c r="BP275" s="106">
        <f t="shared" si="199"/>
        <v>31.25</v>
      </c>
      <c r="BQ275" s="104">
        <f>('Renewable Diesel'!$S284*'RD Feedstock Breakdown'!BQ$3*'Feedstock Conversion Rates'!B$4)/12+10</f>
        <v>38.125</v>
      </c>
      <c r="BR275" s="104">
        <f>('Renewable Diesel'!$S284*'RD Feedstock Breakdown'!BR$3*'Feedstock Conversion Rates'!B$7)/12-10</f>
        <v>1.5</v>
      </c>
      <c r="BS275" s="106">
        <f t="shared" si="222"/>
        <v>39.625</v>
      </c>
      <c r="BT275" s="106"/>
      <c r="BU275" s="104">
        <f>('Renewable Diesel'!Y284*'Feedstock Conversion Rates'!B$7)/12</f>
        <v>2.6833333333333331</v>
      </c>
      <c r="BV275" s="106">
        <f t="shared" si="281"/>
        <v>2.6833333333333331</v>
      </c>
      <c r="BW275" s="104">
        <f>('Renewable Diesel'!$Z284*'RD Feedstock Breakdown'!BW$3*'Feedstock Conversion Rates'!$B$4)/12</f>
        <v>71.875</v>
      </c>
      <c r="BX275" s="104">
        <f>('Renewable Diesel'!$Z284*'RD Feedstock Breakdown'!BX$3*'Feedstock Conversion Rates'!$B$5)/12</f>
        <v>7.2354166666666666</v>
      </c>
      <c r="BY275" s="104">
        <f>('Renewable Diesel'!$Z284*'RD Feedstock Breakdown'!BY$3*'Feedstock Conversion Rates'!$B$7)/12</f>
        <v>61.716666666666661</v>
      </c>
      <c r="BZ275" s="104">
        <f>('Renewable Diesel'!$Z284*'RD Feedstock Breakdown'!BZ$3*'Feedstock Conversion Rates'!$B$3)/12</f>
        <v>15.352499999999999</v>
      </c>
      <c r="CA275" s="106">
        <f t="shared" si="228"/>
        <v>156.17958333333331</v>
      </c>
      <c r="CB275" s="104">
        <f>('Renewable Diesel'!AA284*'Feedstock Conversion Rates'!B$4)/12</f>
        <v>191.25</v>
      </c>
      <c r="CC275" s="106">
        <f t="shared" si="213"/>
        <v>191.25</v>
      </c>
      <c r="CD275" s="104">
        <f>('Renewable Diesel'!$AB284*'RD Feedstock Breakdown'!CD$3*'Feedstock Conversion Rates'!$B$6)/12-15-5+5</f>
        <v>17.830000000000005</v>
      </c>
      <c r="CE275" s="104">
        <f>('Renewable Diesel'!$AB284*'RD Feedstock Breakdown'!CE$3*'Feedstock Conversion Rates'!$B$4)/12+15+5-5</f>
        <v>26.25</v>
      </c>
      <c r="CF275" s="106">
        <f t="shared" si="205"/>
        <v>44.080000000000005</v>
      </c>
      <c r="CG275" s="104">
        <f>('Renewable Diesel'!AD284*'Feedstock Conversion Rates'!B$4)/12</f>
        <v>112.5</v>
      </c>
      <c r="CH275" s="106">
        <f t="shared" si="278"/>
        <v>112.5</v>
      </c>
      <c r="CI275" s="104">
        <f>('Renewable Diesel'!$AE284*'RD Feedstock Breakdown'!CI$3*'Feedstock Conversion Rates'!$B$5)/12</f>
        <v>0.34604166666666664</v>
      </c>
      <c r="CJ275" s="104">
        <f>('Renewable Diesel'!$AE284*'RD Feedstock Breakdown'!CJ$3*'Feedstock Conversion Rates'!$B$4)/12</f>
        <v>0.34375</v>
      </c>
      <c r="CK275" s="106">
        <f t="shared" si="200"/>
        <v>0.68979166666666658</v>
      </c>
      <c r="CL275" s="104">
        <f>(((CL$3*'Renewable Diesel'!$AF284)*'Feedstock Conversion Rates'!$B$3)/12)-25</f>
        <v>66.78125</v>
      </c>
      <c r="CM275" s="104">
        <f>(((CM$3*'Renewable Diesel'!$AF284)*'Feedstock Conversion Rates'!$B$6)/12)+25</f>
        <v>78.739583333333343</v>
      </c>
      <c r="CN275" s="104">
        <f>(((CN$3*'Renewable Diesel'!$AF284)*'Feedstock Conversion Rates'!$B$4)/12)</f>
        <v>42.96875</v>
      </c>
      <c r="CO275" s="106">
        <f t="shared" si="280"/>
        <v>188.48958333333334</v>
      </c>
      <c r="CP275" s="104">
        <f>('Renewable Diesel'!$AG284*'RD Feedstock Breakdown'!CP$3*'Feedstock Conversion Rates'!$B$3)/12</f>
        <v>6.0075000000000003</v>
      </c>
      <c r="CQ275" s="104">
        <f>('Renewable Diesel'!$AG284*'RD Feedstock Breakdown'!CQ$3*'Feedstock Conversion Rates'!$B$6)/12</f>
        <v>3.5175000000000001</v>
      </c>
      <c r="CR275" s="104">
        <f>('Renewable Diesel'!$AG284*'RD Feedstock Breakdown'!CR$3*'Feedstock Conversion Rates'!$B$4)/12</f>
        <v>2.8125</v>
      </c>
      <c r="CS275" s="106">
        <f t="shared" si="231"/>
        <v>12.3375</v>
      </c>
      <c r="CT275" s="104">
        <f>('Renewable Diesel'!AI284*'Feedstock Conversion Rates'!$B$4*'RD Feedstock Breakdown'!$CT$3)/12</f>
        <v>29.375</v>
      </c>
      <c r="CU275" s="106">
        <f t="shared" ref="CU275:CU338" si="282">CT275</f>
        <v>29.375</v>
      </c>
      <c r="CV275" s="104">
        <f>('Renewable Diesel'!AN284*'Feedstock Conversion Rates'!$B$3*'RD Feedstock Breakdown'!$CV$3)/12</f>
        <v>0.50062499999999999</v>
      </c>
      <c r="CW275" s="106">
        <f t="shared" si="255"/>
        <v>0.50062499999999999</v>
      </c>
      <c r="CX275" s="104">
        <f>('Renewable Diesel'!AO284*'RD Feedstock Breakdown'!$CX$3*'Feedstock Conversion Rates'!$B$3)/12</f>
        <v>6.3412499999999996</v>
      </c>
      <c r="CY275" s="104">
        <f>('Renewable Diesel'!AO284*'RD Feedstock Breakdown'!$CY$3*'Feedstock Conversion Rates'!$B$6)/12</f>
        <v>7.4258333333333342</v>
      </c>
      <c r="CZ275" s="106">
        <f t="shared" si="233"/>
        <v>13.767083333333334</v>
      </c>
      <c r="DA275" s="104">
        <f>('Renewable Diesel'!$AP284*'RD Feedstock Breakdown'!DA$3*'Feedstock Conversion Rates'!$B$3)/12</f>
        <v>6.3412499999999996</v>
      </c>
      <c r="DB275" s="104">
        <f>('Renewable Diesel'!$AP284*'RD Feedstock Breakdown'!DB$3*'Feedstock Conversion Rates'!$B$8)/12</f>
        <v>7.421875</v>
      </c>
      <c r="DC275" s="106">
        <f t="shared" si="260"/>
        <v>13.763124999999999</v>
      </c>
      <c r="DD275" s="104">
        <f>('Renewable Diesel'!AQ284*$DD$3*'Feedstock Conversion Rates'!$B$14)/12</f>
        <v>3.1041666666666665</v>
      </c>
      <c r="DE275" s="106">
        <f t="shared" si="261"/>
        <v>3.1041666666666665</v>
      </c>
      <c r="DF275" s="104">
        <f>('Renewable Diesel'!AR284*'Feedstock Conversion Rates'!$B$4*$DF$3)/12</f>
        <v>75</v>
      </c>
      <c r="DG275" s="106">
        <f t="shared" si="234"/>
        <v>75</v>
      </c>
      <c r="DH275" s="104">
        <f>('Renewable Diesel'!AS284*'Feedstock Conversion Rates'!$B$4*$DH$3)/12</f>
        <v>75</v>
      </c>
      <c r="DI275" s="106">
        <f t="shared" si="240"/>
        <v>75</v>
      </c>
      <c r="DJ275" s="104">
        <f>('Renewable Diesel'!AT284*'Feedstock Conversion Rates'!$B$4*0.25)/12</f>
        <v>8.59375</v>
      </c>
      <c r="DK275" s="104">
        <f>('Renewable Diesel'!$AT284*'RD Feedstock Breakdown'!DK$3*'Feedstock Conversion Rates'!$B$3)/12*0.5</f>
        <v>9.1781249999999996</v>
      </c>
      <c r="DL275" s="104">
        <f>('Renewable Diesel'!$AT284*'RD Feedstock Breakdown'!$DL$3*'Feedstock Conversion Rates'!$B$6)/12</f>
        <v>10.747916666666669</v>
      </c>
      <c r="DM275" s="104">
        <f>('Renewable Diesel'!$AT284*'RD Feedstock Breakdown'!$DM$3*'Feedstock Conversion Rates'!$B$8)/12</f>
        <v>10.7421875</v>
      </c>
      <c r="DN275" s="106">
        <f t="shared" si="210"/>
        <v>39.26197916666667</v>
      </c>
      <c r="DP275" s="104">
        <f t="shared" si="265"/>
        <v>12.720250000000007</v>
      </c>
      <c r="DQ275" s="104">
        <f t="shared" si="266"/>
        <v>907.11776750000001</v>
      </c>
      <c r="DR275" s="104">
        <f t="shared" si="271"/>
        <v>1673.953125</v>
      </c>
      <c r="DS275" s="104">
        <f t="shared" si="197"/>
        <v>66.901250000000005</v>
      </c>
      <c r="DT275" s="104">
        <f t="shared" si="267"/>
        <v>290.03923333333341</v>
      </c>
      <c r="DU275" s="104">
        <f t="shared" si="268"/>
        <v>302.65609999999998</v>
      </c>
      <c r="DV275" s="104">
        <f t="shared" si="272"/>
        <v>25.25</v>
      </c>
      <c r="DW275" s="104">
        <f t="shared" si="269"/>
        <v>3</v>
      </c>
      <c r="DX275" s="106">
        <f t="shared" si="273"/>
        <v>3281.6377258333337</v>
      </c>
      <c r="DY275" s="109">
        <f t="shared" si="257"/>
        <v>-135.00000000000048</v>
      </c>
      <c r="EA275" s="110">
        <f t="shared" si="250"/>
        <v>3.8761895927344778E-3</v>
      </c>
      <c r="EB275" s="110">
        <f t="shared" si="250"/>
        <v>0.27642227548735532</v>
      </c>
      <c r="EC275" s="110">
        <f t="shared" si="250"/>
        <v>0.51009686773847629</v>
      </c>
      <c r="ED275" s="110">
        <f t="shared" si="250"/>
        <v>2.0386543424140827E-2</v>
      </c>
      <c r="EE275" s="110">
        <f t="shared" si="250"/>
        <v>8.8382465575075425E-2</v>
      </c>
      <c r="EF275" s="110">
        <f t="shared" si="250"/>
        <v>9.2227151588813477E-2</v>
      </c>
      <c r="EG275" s="110">
        <f t="shared" si="250"/>
        <v>7.6943289020691818E-3</v>
      </c>
      <c r="EH275" s="111">
        <f t="shared" si="274"/>
        <v>9.1417769133495224E-4</v>
      </c>
      <c r="EI275" s="110">
        <f t="shared" si="236"/>
        <v>0.99908582230866505</v>
      </c>
      <c r="EK275" s="132">
        <f>(EA275*'Renewable Diesel'!BF284*'Feedstock Conversion Rates'!B$2)+FB275</f>
        <v>41.003630826154584</v>
      </c>
      <c r="EL275" s="132">
        <f>(EB275*'Renewable Diesel'!BF284*'Feedstock Conversion Rates'!B$3)+FC275</f>
        <v>2755.5223101272586</v>
      </c>
      <c r="EM275" s="132">
        <f>(EC275*'Renewable Diesel'!BF284*'Feedstock Conversion Rates'!B$4)+FD275</f>
        <v>4761.1547561001798</v>
      </c>
      <c r="EN275" s="132">
        <f>(ED275*'Renewable Diesel'!BF284*'Feedstock Conversion Rates'!B$5)+FE275</f>
        <v>191.55298588427172</v>
      </c>
      <c r="EO275" s="132">
        <f>(EE275*'Renewable Diesel'!BF284*'Feedstock Conversion Rates'!B$6)+FF275</f>
        <v>1031.7330173155078</v>
      </c>
      <c r="EP275" s="132">
        <f>(EF275*'Renewable Diesel'!BF284*'Feedstock Conversion Rates'!B$7)+FG275</f>
        <v>1055.9540031560625</v>
      </c>
      <c r="EQ275" s="132">
        <f>(EG275*'Renewable Diesel'!BF284*'Feedstock Conversion Rates'!B$8)+FH275</f>
        <v>89.771896682836882</v>
      </c>
      <c r="ER275" s="132">
        <f>(EH275*'Renewable Diesel'!BF284*'Feedstock Conversion Rates'!B$9)+FI275</f>
        <v>10.523755017077114</v>
      </c>
      <c r="ES275" s="132">
        <f t="shared" si="275"/>
        <v>9937.2163551093472</v>
      </c>
      <c r="ET275" s="133">
        <f>ES275/'Renewable Diesel'!BF284</f>
        <v>13.11877914808059</v>
      </c>
      <c r="EW275" s="73">
        <f t="shared" si="223"/>
        <v>6890.9129872317626</v>
      </c>
      <c r="EX275" s="73">
        <f t="shared" si="224"/>
        <v>6935.1588921716684</v>
      </c>
      <c r="EY275" s="92">
        <f t="shared" si="258"/>
        <v>0.6934449991811551</v>
      </c>
      <c r="EZ275" s="92">
        <f t="shared" si="258"/>
        <v>0.69789754437678797</v>
      </c>
      <c r="FB275" s="102">
        <f>IF('Renewable Diesel'!$BG284&lt;1,0,(((('Renewable Diesel'!$BG284-1)*'Renewable Diesel'!$BF284)*'RD Feedstock Breakdown'!EA275)*'Feedstock Conversion Rates'!$B$2))</f>
        <v>16.046465182618203</v>
      </c>
      <c r="FC275" s="102">
        <f>IF('Renewable Diesel'!$BG284&lt;1,0,(((('Renewable Diesel'!$BG284-1)*'Renewable Diesel'!$BF284)*'RD Feedstock Breakdown'!EB275)*'Feedstock Conversion Rates'!$B$3))</f>
        <v>1078.3531096758595</v>
      </c>
      <c r="FD275" s="102">
        <f>IF('Renewable Diesel'!$BG284&lt;1,0,(((('Renewable Diesel'!$BG284-1)*'Renewable Diesel'!$BF284)*'RD Feedstock Breakdown'!EC275)*'Feedstock Conversion Rates'!$B$4))</f>
        <v>1863.2424125252408</v>
      </c>
      <c r="FE275" s="102">
        <f>IF('Renewable Diesel'!$BG284&lt;1,0,(((('Renewable Diesel'!$BG284-1)*'Renewable Diesel'!$BF284)*'RD Feedstock Breakdown'!ED275)*'Feedstock Conversion Rates'!$B$5))</f>
        <v>74.962832722069592</v>
      </c>
      <c r="FF275" s="102">
        <f>IF('Renewable Diesel'!$BG284&lt;1,0,(((('Renewable Diesel'!$BG284-1)*'Renewable Diesel'!$BF284)*'RD Feedstock Breakdown'!EE275)*'Feedstock Conversion Rates'!$B$6))</f>
        <v>403.76102326896176</v>
      </c>
      <c r="FG275" s="102">
        <f>IF('Renewable Diesel'!$BG284&lt;1,0,(((('Renewable Diesel'!$BG284-1)*'Renewable Diesel'!$BF284)*'RD Feedstock Breakdown'!EF275)*'Feedstock Conversion Rates'!$B$7))</f>
        <v>413.23972547528535</v>
      </c>
      <c r="FH275" s="102">
        <f>IF('Renewable Diesel'!$BG284&lt;1,0,(((('Renewable Diesel'!$BG284-1)*'Renewable Diesel'!$BF284)*'RD Feedstock Breakdown'!EG275)*'Feedstock Conversion Rates'!$B$8))</f>
        <v>35.131562387882227</v>
      </c>
      <c r="FI275" s="102">
        <f>IF('Renewable Diesel'!$BG284&lt;1,0,(((('Renewable Diesel'!$BG284-1)*'Renewable Diesel'!$BF284)*'RD Feedstock Breakdown'!EH275)*'Feedstock Conversion Rates'!$B$9))</f>
        <v>4.1183930561636188</v>
      </c>
      <c r="FJ275" s="102">
        <f t="shared" si="225"/>
        <v>3888.8555242940811</v>
      </c>
      <c r="GD275" s="91">
        <f>'Renewable Diesel'!BB284*0.32</f>
        <v>0</v>
      </c>
      <c r="GE275" s="91">
        <f>'Renewable Diesel'!BC284</f>
        <v>443.25951717043864</v>
      </c>
      <c r="GF275" s="91">
        <f>'Renewable Diesel'!BD284</f>
        <v>0</v>
      </c>
      <c r="GG275" s="91">
        <f t="shared" si="206"/>
        <v>443.25951717043864</v>
      </c>
      <c r="GH275" s="124">
        <v>1</v>
      </c>
      <c r="GI275" s="102">
        <f>$GG275*EA275*'Feedstock Conversion Rates'!$B$2</f>
        <v>14.604342382360793</v>
      </c>
      <c r="GJ275" s="102">
        <f>$GG275*EB275*'Feedstock Conversion Rates'!$B$3</f>
        <v>981.43970298510953</v>
      </c>
      <c r="GK275" s="102">
        <f>$GG275*EC275*'Feedstock Conversion Rates'!$B$4</f>
        <v>1695.7896847793256</v>
      </c>
      <c r="GL275" s="102">
        <f>$GG275*ED275*'Feedstock Conversion Rates'!$B$5</f>
        <v>68.225796931939271</v>
      </c>
      <c r="GM275" s="102">
        <f>$GG275*EE275*'Feedstock Conversion Rates'!$B$6</f>
        <v>367.4743413807812</v>
      </c>
      <c r="GN275" s="102">
        <f>$GG275*EF275*'Feedstock Conversion Rates'!$B$7</f>
        <v>376.10117668601322</v>
      </c>
      <c r="GO275" s="102">
        <f>$GG275*EG275*'Feedstock Conversion Rates'!$B$8</f>
        <v>31.974229819516282</v>
      </c>
      <c r="GP275" s="102">
        <f>$GG275*EH275*'Feedstock Conversion Rates'!B$9</f>
        <v>3.7482661491393339</v>
      </c>
      <c r="GQ275" s="102">
        <f t="shared" si="276"/>
        <v>3539.3575411141856</v>
      </c>
      <c r="GR275" s="85">
        <f t="shared" si="204"/>
        <v>7.9848427478958328</v>
      </c>
      <c r="GT275" s="103">
        <f t="shared" si="254"/>
        <v>4.1262693052941364E-3</v>
      </c>
      <c r="GU275" s="103">
        <f t="shared" si="254"/>
        <v>0.27729317865867648</v>
      </c>
      <c r="GV275" s="103">
        <f t="shared" si="254"/>
        <v>0.47912358813161698</v>
      </c>
      <c r="GW275" s="103">
        <f t="shared" si="254"/>
        <v>1.9276322366251215E-2</v>
      </c>
      <c r="GX275" s="103">
        <f t="shared" si="253"/>
        <v>0.10382515389081057</v>
      </c>
      <c r="GY275" s="103">
        <f t="shared" si="253"/>
        <v>0.10626255536975704</v>
      </c>
      <c r="GZ275" s="103">
        <f t="shared" si="253"/>
        <v>9.0339078344288531E-3</v>
      </c>
      <c r="HA275" s="103">
        <f t="shared" si="251"/>
        <v>1.0590244431647286E-3</v>
      </c>
    </row>
    <row r="276" spans="1:209" x14ac:dyDescent="0.25">
      <c r="A276" s="96">
        <v>48823</v>
      </c>
      <c r="B276" s="104">
        <f t="shared" si="263"/>
        <v>0.75</v>
      </c>
      <c r="C276" s="104">
        <f t="shared" si="264"/>
        <v>3.5</v>
      </c>
      <c r="D276" s="104">
        <f t="shared" si="242"/>
        <v>2</v>
      </c>
      <c r="E276" s="104">
        <f>('Renewable Diesel'!B285*E$3*'Feedstock Conversion Rates'!$B$2)/12+26+13-100+27.5+39+75-10-32-1-7+46-46.5+27-15+10-42-95</f>
        <v>4.9300000000000068</v>
      </c>
      <c r="F276" s="104">
        <f>('Renewable Diesel'!B285*'RD Feedstock Breakdown'!F$3*'Feedstock Conversion Rates'!B$8)/12+77+23-10-12-115.75+24+8+2.5+1-32-15</f>
        <v>4.65625</v>
      </c>
      <c r="G276" s="104">
        <f>('Renewable Diesel'!B285*'RD Feedstock Breakdown'!G$3*'Feedstock Conversion Rates'!B$7)/12-25-15-25+4+4-20-40-20+10-17.5+20+50-12+32.5+35-75-75+22.5+5-20+15+125-10-60+5-85+45+20</f>
        <v>69.657000000000011</v>
      </c>
      <c r="H276" s="104">
        <f>('Renewable Diesel'!B285*'RD Feedstock Breakdown'!H$3*'Feedstock Conversion Rates'!B$3)/12-85+4-15+70-65-80+50-22.5-5+25+27.5+15+50+15-10+5+50+75-5-25-85-12.5+30+22.5-25-30+150+90-120+25+10+20+85-30-45-20+95</f>
        <v>410.40022499999998</v>
      </c>
      <c r="I276" s="106">
        <f t="shared" si="203"/>
        <v>495.89347499999997</v>
      </c>
      <c r="J276" s="104">
        <f>87-50+15+53+55-6+84+19-11-40-29-30-13-50-7+30+25+15-7.5-45-10-1-55+5+15+18+90-5+15+5-100-70+11+40-24-14-5-9.5+20+60+5-50</f>
        <v>35</v>
      </c>
      <c r="K276" s="104"/>
      <c r="L276" s="104">
        <v>1</v>
      </c>
      <c r="M276" s="104">
        <f>('Renewable Diesel'!C285*'RD Feedstock Breakdown'!M$3*'Feedstock Conversion Rates'!B$2)/12</f>
        <v>7.7902500000000003</v>
      </c>
      <c r="N276" s="104">
        <f>('Renewable Diesel'!C285*'RD Feedstock Breakdown'!N$3*'Feedstock Conversion Rates'!B$8)/12</f>
        <v>3.671875</v>
      </c>
      <c r="O276" s="104">
        <f>('Renewable Diesel'!C285*'RD Feedstock Breakdown'!O$3*'Feedstock Conversion Rates'!B$7)/12</f>
        <v>11.9991</v>
      </c>
      <c r="P276" s="104">
        <f>('Renewable Diesel'!C285*'RD Feedstock Breakdown'!P$3*'Feedstock Conversion Rates'!B$3)/12</f>
        <v>10.4470425</v>
      </c>
      <c r="Q276" s="106">
        <f t="shared" si="216"/>
        <v>69.908267499999994</v>
      </c>
      <c r="R276" s="104">
        <f>('Renewable Diesel'!D285*'RD Feedstock Breakdown'!R$3*'Feedstock Conversion Rates'!B$7)/12</f>
        <v>2.2999999999999998</v>
      </c>
      <c r="S276" s="106">
        <f t="shared" si="249"/>
        <v>2.2999999999999998</v>
      </c>
      <c r="T276" s="104">
        <f t="shared" si="221"/>
        <v>0.82500000000000284</v>
      </c>
      <c r="U276" s="104">
        <v>30</v>
      </c>
      <c r="V276" s="104">
        <f>('Renewable Diesel'!E285*'RD Feedstock Breakdown'!V$3*'Feedstock Conversion Rates'!B$6)/12-20+25-35+15</f>
        <v>29.250150000000012</v>
      </c>
      <c r="W276" s="104">
        <f>('Renewable Diesel'!E285*'RD Feedstock Breakdown'!W$3*'Feedstock Conversion Rates'!B$8)/12-6-10</f>
        <v>6.1796875</v>
      </c>
      <c r="X276" s="106">
        <f t="shared" si="277"/>
        <v>66.254837500000008</v>
      </c>
      <c r="Y276" s="104">
        <f>142-15-5-24-75+30+45-52.5+87.5-80+55+10+20+17-2-7-30</f>
        <v>116</v>
      </c>
      <c r="Z276" s="104">
        <f>('Renewable Diesel'!F285*'RD Feedstock Breakdown'!Z$3*'Feedstock Conversion Rates'!B$6)/12-142+15+5+75-45+52.5-87.5+80-10-20-17+2+7+15</f>
        <v>89.460000000000008</v>
      </c>
      <c r="AA276" s="104">
        <f>('Renewable Diesel'!F285*'RD Feedstock Breakdown'!AA$3*'Feedstock Conversion Rates'!B$7)/12+24-30-55+15</f>
        <v>58.266666666666652</v>
      </c>
      <c r="AB276" s="106">
        <f t="shared" si="235"/>
        <v>263.72666666666669</v>
      </c>
      <c r="AC276" s="104">
        <f>('Renewable Diesel'!G285*'RD Feedstock Breakdown'!AC$3*'Feedstock Conversion Rates'!B$5)/12</f>
        <v>11.796875</v>
      </c>
      <c r="AD276" s="104">
        <f>('Renewable Diesel'!G285*'RD Feedstock Breakdown'!AD$3*'Feedstock Conversion Rates'!B$4)/12</f>
        <v>5.859375</v>
      </c>
      <c r="AE276" s="104">
        <f>('Renewable Diesel'!G285*'RD Feedstock Breakdown'!AE$3*'Feedstock Conversion Rates'!B$6)/12</f>
        <v>7.3281250000000009</v>
      </c>
      <c r="AF276" s="106">
        <f t="shared" si="198"/>
        <v>24.984375</v>
      </c>
      <c r="AG276" s="104">
        <f t="shared" si="230"/>
        <v>6.5</v>
      </c>
      <c r="AH276" s="104">
        <f>135-30</f>
        <v>105</v>
      </c>
      <c r="AI276" s="104">
        <f>('Renewable Diesel'!H285*'RD Feedstock Breakdown'!AI$3*'Feedstock Conversion Rates'!B$6)/12-130-20+51-120+105-37.5+10</f>
        <v>7.0166666666666799</v>
      </c>
      <c r="AJ276" s="106">
        <f t="shared" si="248"/>
        <v>13.51666666666668</v>
      </c>
      <c r="AK276" s="104">
        <f>('Renewable Diesel'!J285*'RD Feedstock Breakdown'!AK$3*'Feedstock Conversion Rates'!B$4)/12</f>
        <v>95.8125</v>
      </c>
      <c r="AL276" s="106">
        <f t="shared" si="252"/>
        <v>95.8125</v>
      </c>
      <c r="AM276" s="104">
        <f>('Renewable Diesel'!K285*'RD Feedstock Breakdown'!AM$3*'Feedstock Conversion Rates'!B$4)/12+5+15-10+5-26</f>
        <v>47.59375</v>
      </c>
      <c r="AN276" s="104">
        <f>('Renewable Diesel'!K285*'RD Feedstock Breakdown'!AN$3*'Feedstock Conversion Rates'!B$6)/12-5-15+10-5+26</f>
        <v>35.427083333333329</v>
      </c>
      <c r="AO276" s="106">
        <f t="shared" si="270"/>
        <v>83.020833333333329</v>
      </c>
      <c r="AP276" s="104">
        <f>('Renewable Diesel'!L285*'RD Feedstock Breakdown'!AP$3*'Feedstock Conversion Rates'!B$4)/12+15-10+10+2.5</f>
        <v>76.09375</v>
      </c>
      <c r="AQ276" s="104">
        <f>('Renewable Diesel'!L285*'RD Feedstock Breakdown'!AQ$3*'Feedstock Conversion Rates'!B$6)/12-15+10-10-2.5</f>
        <v>6.9270833333333321</v>
      </c>
      <c r="AR276" s="106">
        <f t="shared" si="256"/>
        <v>83.020833333333329</v>
      </c>
      <c r="AS276" s="104">
        <f>('Renewable Diesel'!M285*'RD Feedstock Breakdown'!AS$3*'Feedstock Conversion Rates'!B$4)/12-25</f>
        <v>431.25</v>
      </c>
      <c r="AT276" s="104">
        <f>('Renewable Diesel'!M285*'RD Feedstock Breakdown'!AT$3*'Feedstock Conversion Rates'!B$5)/12+25</f>
        <v>25</v>
      </c>
      <c r="AU276" s="106">
        <f t="shared" si="201"/>
        <v>456.25</v>
      </c>
      <c r="AV276" s="104">
        <f>'Renewable Diesel'!N285*'RD Feedstock Breakdown'!$AV$3*'Feedstock Conversion Rates'!$B$4/12-15-10+25+25-22+15-68+11</f>
        <v>39.749999999999986</v>
      </c>
      <c r="AW276" s="104">
        <f>'Renewable Diesel'!N285*'RD Feedstock Breakdown'!$AW$3*'Feedstock Conversion Rates'!$B$7/12+15+10-25-25+22-15+68-11</f>
        <v>80.400000000000006</v>
      </c>
      <c r="AX276" s="106">
        <f t="shared" si="239"/>
        <v>120.14999999999999</v>
      </c>
      <c r="AY276" s="104">
        <f>('Renewable Diesel'!O285*'RD Feedstock Breakdown'!AY$3*'Feedstock Conversion Rates'!B$4)/12-100-160-10-78</f>
        <v>-137.0625</v>
      </c>
      <c r="AZ276" s="104">
        <f>('Renewable Diesel'!O285*'RD Feedstock Breakdown'!AZ$3*'Feedstock Conversion Rates'!B$3)/12+100+160+10+78</f>
        <v>373.03125</v>
      </c>
      <c r="BA276" s="106">
        <f t="shared" si="217"/>
        <v>235.96875</v>
      </c>
      <c r="BB276" s="104">
        <f>('Renewable Diesel'!Q285*'RD Feedstock Breakdown'!BB$3*'Feedstock Conversion Rates'!B$4)/12</f>
        <v>11.156249999999998</v>
      </c>
      <c r="BC276" s="104">
        <f>('Renewable Diesel'!Q285*'RD Feedstock Breakdown'!BC$3*'Feedstock Conversion Rates'!B$3)/12</f>
        <v>1.4017500000000001</v>
      </c>
      <c r="BD276" s="104">
        <f>('Renewable Diesel'!Q285*'RD Feedstock Breakdown'!BD$3*'Feedstock Conversion Rates'!B$6)/12</f>
        <v>0.8207500000000002</v>
      </c>
      <c r="BE276" s="106">
        <f t="shared" si="279"/>
        <v>13.378749999999998</v>
      </c>
      <c r="BF276" s="104">
        <f>('Renewable Diesel'!R285*'RD Feedstock Breakdown'!BF$3*'Feedstock Conversion Rates'!B$4)/12</f>
        <v>62.5</v>
      </c>
      <c r="BG276" s="106">
        <f t="shared" si="262"/>
        <v>62.5</v>
      </c>
      <c r="BH276" s="104">
        <f>('Renewable Diesel'!T285*'RD Feedstock Breakdown'!BH$3*'Feedstock Conversion Rates'!B$7)/12</f>
        <v>27.599999999999998</v>
      </c>
      <c r="BI276" s="106">
        <f t="shared" si="243"/>
        <v>27.599999999999998</v>
      </c>
      <c r="BJ276" s="104">
        <f>('Renewable Diesel'!W285*'RD Feedstock Breakdown'!BJ$3*'Feedstock Conversion Rates'!B$4)/12</f>
        <v>7.5</v>
      </c>
      <c r="BK276" s="104">
        <f>('Renewable Diesel'!W285*'RD Feedstock Breakdown'!BK$3*'Feedstock Conversion Rates'!B$3)/12</f>
        <v>1.335</v>
      </c>
      <c r="BL276" s="104">
        <f>('Renewable Diesel'!W285*'RD Feedstock Breakdown'!BL$3*'Feedstock Conversion Rates'!B$6)/12</f>
        <v>3.1266666666666669</v>
      </c>
      <c r="BM276" s="104">
        <f>('Renewable Diesel'!W285*'RD Feedstock Breakdown'!BM$3*'Feedstock Conversion Rates'!B$7)/12</f>
        <v>1.5333333333333332</v>
      </c>
      <c r="BN276" s="106">
        <f t="shared" si="209"/>
        <v>13.495000000000001</v>
      </c>
      <c r="BO276" s="104">
        <f>('Renewable Diesel'!P285*'Feedstock Conversion Rates'!B$4)/12</f>
        <v>31.25</v>
      </c>
      <c r="BP276" s="106">
        <f t="shared" si="199"/>
        <v>31.25</v>
      </c>
      <c r="BQ276" s="104">
        <f>('Renewable Diesel'!$S285*'RD Feedstock Breakdown'!BQ$3*'Feedstock Conversion Rates'!B$4)/12+10</f>
        <v>38.125</v>
      </c>
      <c r="BR276" s="104">
        <f>('Renewable Diesel'!$S285*'RD Feedstock Breakdown'!BR$3*'Feedstock Conversion Rates'!B$7)/12-10</f>
        <v>1.5</v>
      </c>
      <c r="BS276" s="106">
        <f t="shared" si="222"/>
        <v>39.625</v>
      </c>
      <c r="BT276" s="106"/>
      <c r="BU276" s="104">
        <f>('Renewable Diesel'!Y285*'Feedstock Conversion Rates'!B$7)/12</f>
        <v>2.6833333333333331</v>
      </c>
      <c r="BV276" s="106">
        <f t="shared" si="281"/>
        <v>2.6833333333333331</v>
      </c>
      <c r="BW276" s="104">
        <f>('Renewable Diesel'!$Z285*'RD Feedstock Breakdown'!BW$3*'Feedstock Conversion Rates'!$B$4)/12</f>
        <v>71.875</v>
      </c>
      <c r="BX276" s="104">
        <f>('Renewable Diesel'!$Z285*'RD Feedstock Breakdown'!BX$3*'Feedstock Conversion Rates'!$B$5)/12</f>
        <v>7.2354166666666666</v>
      </c>
      <c r="BY276" s="104">
        <f>('Renewable Diesel'!$Z285*'RD Feedstock Breakdown'!BY$3*'Feedstock Conversion Rates'!$B$7)/12</f>
        <v>61.716666666666661</v>
      </c>
      <c r="BZ276" s="104">
        <f>('Renewable Diesel'!$Z285*'RD Feedstock Breakdown'!BZ$3*'Feedstock Conversion Rates'!$B$3)/12</f>
        <v>15.352499999999999</v>
      </c>
      <c r="CA276" s="106">
        <f t="shared" si="228"/>
        <v>156.17958333333331</v>
      </c>
      <c r="CB276" s="104">
        <f>('Renewable Diesel'!AA285*'Feedstock Conversion Rates'!B$4)/12</f>
        <v>191.25</v>
      </c>
      <c r="CC276" s="106">
        <f t="shared" si="213"/>
        <v>191.25</v>
      </c>
      <c r="CD276" s="104">
        <f>('Renewable Diesel'!$AB285*'RD Feedstock Breakdown'!CD$3*'Feedstock Conversion Rates'!$B$6)/12-15-5+5</f>
        <v>17.830000000000005</v>
      </c>
      <c r="CE276" s="104">
        <f>('Renewable Diesel'!$AB285*'RD Feedstock Breakdown'!CE$3*'Feedstock Conversion Rates'!$B$4)/12+15+5-5</f>
        <v>26.25</v>
      </c>
      <c r="CF276" s="106">
        <f t="shared" si="205"/>
        <v>44.080000000000005</v>
      </c>
      <c r="CG276" s="104">
        <f>('Renewable Diesel'!AD285*'Feedstock Conversion Rates'!B$4)/12</f>
        <v>112.5</v>
      </c>
      <c r="CH276" s="106">
        <f t="shared" si="278"/>
        <v>112.5</v>
      </c>
      <c r="CI276" s="104">
        <f>('Renewable Diesel'!$AE285*'RD Feedstock Breakdown'!CI$3*'Feedstock Conversion Rates'!$B$5)/12</f>
        <v>0.34604166666666664</v>
      </c>
      <c r="CJ276" s="104">
        <f>('Renewable Diesel'!$AE285*'RD Feedstock Breakdown'!CJ$3*'Feedstock Conversion Rates'!$B$4)/12</f>
        <v>0.34375</v>
      </c>
      <c r="CK276" s="106">
        <f t="shared" si="200"/>
        <v>0.68979166666666658</v>
      </c>
      <c r="CL276" s="104">
        <f>(((CL$3*'Renewable Diesel'!$AF285)*'Feedstock Conversion Rates'!$B$3)/12)-25</f>
        <v>66.78125</v>
      </c>
      <c r="CM276" s="104">
        <f>(((CM$3*'Renewable Diesel'!$AF285)*'Feedstock Conversion Rates'!$B$6)/12)+25</f>
        <v>78.739583333333343</v>
      </c>
      <c r="CN276" s="104">
        <f>(((CN$3*'Renewable Diesel'!$AF285)*'Feedstock Conversion Rates'!$B$4)/12)</f>
        <v>42.96875</v>
      </c>
      <c r="CO276" s="106">
        <f t="shared" si="280"/>
        <v>188.48958333333334</v>
      </c>
      <c r="CP276" s="104">
        <f>('Renewable Diesel'!$AG285*'RD Feedstock Breakdown'!CP$3*'Feedstock Conversion Rates'!$B$3)/12</f>
        <v>6.0075000000000003</v>
      </c>
      <c r="CQ276" s="104">
        <f>('Renewable Diesel'!$AG285*'RD Feedstock Breakdown'!CQ$3*'Feedstock Conversion Rates'!$B$6)/12</f>
        <v>3.5175000000000001</v>
      </c>
      <c r="CR276" s="104">
        <f>('Renewable Diesel'!$AG285*'RD Feedstock Breakdown'!CR$3*'Feedstock Conversion Rates'!$B$4)/12</f>
        <v>2.8125</v>
      </c>
      <c r="CS276" s="106">
        <f t="shared" si="231"/>
        <v>12.3375</v>
      </c>
      <c r="CT276" s="104">
        <f>('Renewable Diesel'!AI285*'Feedstock Conversion Rates'!$B$4*'RD Feedstock Breakdown'!$CT$3)/12</f>
        <v>29.375</v>
      </c>
      <c r="CU276" s="106">
        <f t="shared" si="282"/>
        <v>29.375</v>
      </c>
      <c r="CV276" s="104">
        <f>('Renewable Diesel'!AN285*'Feedstock Conversion Rates'!$B$3*'RD Feedstock Breakdown'!$CV$3)/12</f>
        <v>0.50062499999999999</v>
      </c>
      <c r="CW276" s="106">
        <f t="shared" si="255"/>
        <v>0.50062499999999999</v>
      </c>
      <c r="CX276" s="104">
        <f>('Renewable Diesel'!AO285*'RD Feedstock Breakdown'!$CX$3*'Feedstock Conversion Rates'!$B$3)/12</f>
        <v>6.3412499999999996</v>
      </c>
      <c r="CY276" s="104">
        <f>('Renewable Diesel'!AO285*'RD Feedstock Breakdown'!$CY$3*'Feedstock Conversion Rates'!$B$6)/12</f>
        <v>7.4258333333333342</v>
      </c>
      <c r="CZ276" s="106">
        <f t="shared" si="233"/>
        <v>13.767083333333334</v>
      </c>
      <c r="DA276" s="104">
        <f>('Renewable Diesel'!$AP285*'RD Feedstock Breakdown'!DA$3*'Feedstock Conversion Rates'!$B$3)/12</f>
        <v>6.3412499999999996</v>
      </c>
      <c r="DB276" s="104">
        <f>('Renewable Diesel'!$AP285*'RD Feedstock Breakdown'!DB$3*'Feedstock Conversion Rates'!$B$8)/12</f>
        <v>7.421875</v>
      </c>
      <c r="DC276" s="106">
        <f t="shared" si="260"/>
        <v>13.763124999999999</v>
      </c>
      <c r="DD276" s="104">
        <f>('Renewable Diesel'!AQ285*$DD$3*'Feedstock Conversion Rates'!$B$14)/12</f>
        <v>3.1041666666666665</v>
      </c>
      <c r="DE276" s="106">
        <f t="shared" si="261"/>
        <v>3.1041666666666665</v>
      </c>
      <c r="DF276" s="104">
        <f>('Renewable Diesel'!AR285*'Feedstock Conversion Rates'!$B$4*$DF$3)/12</f>
        <v>75</v>
      </c>
      <c r="DG276" s="106">
        <f t="shared" si="234"/>
        <v>75</v>
      </c>
      <c r="DH276" s="104">
        <f>('Renewable Diesel'!AS285*'Feedstock Conversion Rates'!$B$4*$DH$3)/12</f>
        <v>75</v>
      </c>
      <c r="DI276" s="106">
        <f t="shared" si="240"/>
        <v>75</v>
      </c>
      <c r="DJ276" s="104">
        <f>('Renewable Diesel'!AT285*'Feedstock Conversion Rates'!$B$4*0.25)/12</f>
        <v>8.59375</v>
      </c>
      <c r="DK276" s="104">
        <f>('Renewable Diesel'!$AT285*'RD Feedstock Breakdown'!DK$3*'Feedstock Conversion Rates'!$B$3)/12*0.5</f>
        <v>9.1781249999999996</v>
      </c>
      <c r="DL276" s="104">
        <f>('Renewable Diesel'!$AT285*'RD Feedstock Breakdown'!$DL$3*'Feedstock Conversion Rates'!$B$6)/12</f>
        <v>10.747916666666669</v>
      </c>
      <c r="DM276" s="104">
        <f>('Renewable Diesel'!$AT285*'RD Feedstock Breakdown'!$DM$3*'Feedstock Conversion Rates'!$B$8)/12</f>
        <v>10.7421875</v>
      </c>
      <c r="DN276" s="106">
        <f t="shared" si="210"/>
        <v>39.26197916666667</v>
      </c>
      <c r="DP276" s="104">
        <f t="shared" si="265"/>
        <v>12.720250000000007</v>
      </c>
      <c r="DQ276" s="104">
        <f t="shared" si="266"/>
        <v>907.11776750000001</v>
      </c>
      <c r="DR276" s="104">
        <f t="shared" si="271"/>
        <v>1623.953125</v>
      </c>
      <c r="DS276" s="104">
        <f t="shared" ref="DS276:DS339" si="283">AC276+C276+BX276+CI276+DD276+AG276+T276+DJ276+AT276+K276</f>
        <v>66.901250000000005</v>
      </c>
      <c r="DT276" s="104">
        <f t="shared" si="267"/>
        <v>305.03923333333341</v>
      </c>
      <c r="DU276" s="104">
        <f t="shared" si="268"/>
        <v>317.65609999999998</v>
      </c>
      <c r="DV276" s="104">
        <f t="shared" si="272"/>
        <v>25.25</v>
      </c>
      <c r="DW276" s="104">
        <f t="shared" si="269"/>
        <v>3</v>
      </c>
      <c r="DX276" s="106">
        <f t="shared" si="273"/>
        <v>3261.6377258333337</v>
      </c>
      <c r="DY276" s="109">
        <f t="shared" si="257"/>
        <v>-105.00000000000047</v>
      </c>
      <c r="EA276" s="110">
        <f t="shared" si="250"/>
        <v>3.8999579564741641E-3</v>
      </c>
      <c r="EB276" s="110">
        <f t="shared" si="250"/>
        <v>0.27811726615598781</v>
      </c>
      <c r="EC276" s="110">
        <f t="shared" si="250"/>
        <v>0.49789500291148592</v>
      </c>
      <c r="ED276" s="110">
        <f t="shared" si="250"/>
        <v>2.0511551442429748E-2</v>
      </c>
      <c r="EE276" s="110">
        <f t="shared" si="250"/>
        <v>9.3523333666799949E-2</v>
      </c>
      <c r="EF276" s="110">
        <f t="shared" si="250"/>
        <v>9.7391594867832929E-2</v>
      </c>
      <c r="EG276" s="110">
        <f t="shared" si="250"/>
        <v>7.7415096716631025E-3</v>
      </c>
      <c r="EH276" s="111">
        <f t="shared" si="274"/>
        <v>9.1978332732630926E-4</v>
      </c>
      <c r="EI276" s="110">
        <f t="shared" si="236"/>
        <v>0.99908021667267366</v>
      </c>
      <c r="EK276" s="132">
        <f>(EA276*'Renewable Diesel'!BF285*'Feedstock Conversion Rates'!B$2)+FB276</f>
        <v>53.074200363345724</v>
      </c>
      <c r="EL276" s="132">
        <f>(EB276*'Renewable Diesel'!BF285*'Feedstock Conversion Rates'!B$3)+FC276</f>
        <v>3566.6876383073413</v>
      </c>
      <c r="EM276" s="132">
        <f>(EC276*'Renewable Diesel'!BF285*'Feedstock Conversion Rates'!B$4)+FD276</f>
        <v>5978.6570188755104</v>
      </c>
      <c r="EN276" s="132">
        <f>(ED276*'Renewable Diesel'!BF285*'Feedstock Conversion Rates'!B$5)+FE276</f>
        <v>247.94198338489946</v>
      </c>
      <c r="EO276" s="132">
        <f>(EE276*'Renewable Diesel'!BF285*'Feedstock Conversion Rates'!B$6)+FF276</f>
        <v>1404.5183775772616</v>
      </c>
      <c r="EP276" s="132">
        <f>(EF276*'Renewable Diesel'!BF285*'Feedstock Conversion Rates'!B$7)+FG276</f>
        <v>1434.5441340702337</v>
      </c>
      <c r="EQ276" s="132">
        <f>(EG276*'Renewable Diesel'!BF285*'Feedstock Conversion Rates'!B$8)+FH276</f>
        <v>116.19877399987041</v>
      </c>
      <c r="ER276" s="132">
        <f>(EH276*'Renewable Diesel'!BF285*'Feedstock Conversion Rates'!B$9)+FI276</f>
        <v>13.621717664935304</v>
      </c>
      <c r="ES276" s="132">
        <f t="shared" si="275"/>
        <v>12815.2438442434</v>
      </c>
      <c r="ET276" s="133">
        <f>ES276/'Renewable Diesel'!BF285</f>
        <v>14.916002041588834</v>
      </c>
      <c r="EW276" s="73">
        <f t="shared" si="223"/>
        <v>9111.8575487169564</v>
      </c>
      <c r="EX276" s="73">
        <f t="shared" si="224"/>
        <v>9641.6668581746817</v>
      </c>
      <c r="EY276" s="92">
        <f t="shared" si="258"/>
        <v>0.71101710271474838</v>
      </c>
      <c r="EZ276" s="92">
        <f t="shared" si="258"/>
        <v>0.75235921964182628</v>
      </c>
      <c r="FB276" s="102">
        <f>IF('Renewable Diesel'!$BG285&lt;1,0,(((('Renewable Diesel'!$BG285-1)*'Renewable Diesel'!$BF285)*'RD Feedstock Breakdown'!EA276)*'Feedstock Conversion Rates'!$B$2))</f>
        <v>24.593327776383127</v>
      </c>
      <c r="FC276" s="102">
        <f>IF('Renewable Diesel'!$BG285&lt;1,0,(((('Renewable Diesel'!$BG285-1)*'Renewable Diesel'!$BF285)*'RD Feedstock Breakdown'!EB276)*'Feedstock Conversion Rates'!$B$3))</f>
        <v>1652.7186008335129</v>
      </c>
      <c r="FD276" s="102">
        <f>IF('Renewable Diesel'!$BG285&lt;1,0,(((('Renewable Diesel'!$BG285-1)*'Renewable Diesel'!$BF285)*'RD Feedstock Breakdown'!EC276)*'Feedstock Conversion Rates'!$B$4))</f>
        <v>2770.3681020378567</v>
      </c>
      <c r="FE276" s="102">
        <f>IF('Renewable Diesel'!$BG285&lt;1,0,(((('Renewable Diesel'!$BG285-1)*'Renewable Diesel'!$BF285)*'RD Feedstock Breakdown'!ED276)*'Feedstock Conversion Rates'!$B$5))</f>
        <v>114.89044441868967</v>
      </c>
      <c r="FF276" s="102">
        <f>IF('Renewable Diesel'!$BG285&lt;1,0,(((('Renewable Diesel'!$BG285-1)*'Renewable Diesel'!$BF285)*'RD Feedstock Breakdown'!EE276)*'Feedstock Conversion Rates'!$B$6))</f>
        <v>650.82056048397453</v>
      </c>
      <c r="FG276" s="102">
        <f>IF('Renewable Diesel'!$BG285&lt;1,0,(((('Renewable Diesel'!$BG285-1)*'Renewable Diesel'!$BF285)*'RD Feedstock Breakdown'!EF276)*'Feedstock Conversion Rates'!$B$7))</f>
        <v>664.73378510366194</v>
      </c>
      <c r="FH276" s="102">
        <f>IF('Renewable Diesel'!$BG285&lt;1,0,(((('Renewable Diesel'!$BG285-1)*'Renewable Diesel'!$BF285)*'RD Feedstock Breakdown'!EG276)*'Feedstock Conversion Rates'!$B$8))</f>
        <v>53.843760558402728</v>
      </c>
      <c r="FI276" s="102">
        <f>IF('Renewable Diesel'!$BG285&lt;1,0,(((('Renewable Diesel'!$BG285-1)*'Renewable Diesel'!$BF285)*'RD Feedstock Breakdown'!EH276)*'Feedstock Conversion Rates'!$B$9))</f>
        <v>6.3119814357573105</v>
      </c>
      <c r="FJ276" s="102">
        <f t="shared" si="225"/>
        <v>5938.2805626482395</v>
      </c>
      <c r="GD276" s="91">
        <f>'Renewable Diesel'!BB285*0.32</f>
        <v>0</v>
      </c>
      <c r="GE276" s="91">
        <f>'Renewable Diesel'!BC285</f>
        <v>539.21310098474032</v>
      </c>
      <c r="GF276" s="91">
        <f>'Renewable Diesel'!BD285</f>
        <v>0</v>
      </c>
      <c r="GG276" s="91">
        <f t="shared" si="206"/>
        <v>539.21310098474032</v>
      </c>
      <c r="GH276" s="124">
        <v>1</v>
      </c>
      <c r="GI276" s="102">
        <f>$GG276*EA276*'Feedstock Conversion Rates'!$B$2</f>
        <v>17.874721599074633</v>
      </c>
      <c r="GJ276" s="102">
        <f>$GG276*EB276*'Feedstock Conversion Rates'!$B$3</f>
        <v>1201.2154329061621</v>
      </c>
      <c r="GK276" s="102">
        <f>$GG276*EC276*'Feedstock Conversion Rates'!$B$4</f>
        <v>2013.5363136353149</v>
      </c>
      <c r="GL276" s="102">
        <f>$GG276*ED276*'Feedstock Conversion Rates'!$B$5</f>
        <v>83.50373430756828</v>
      </c>
      <c r="GM276" s="102">
        <f>$GG276*EE276*'Feedstock Conversion Rates'!$B$6</f>
        <v>473.02408341729608</v>
      </c>
      <c r="GN276" s="102">
        <f>$GG276*EF276*'Feedstock Conversion Rates'!$B$7</f>
        <v>483.1363796825101</v>
      </c>
      <c r="GO276" s="102">
        <f>$GG276*EG276*'Feedstock Conversion Rates'!$B$8</f>
        <v>39.134282215882692</v>
      </c>
      <c r="GP276" s="102">
        <f>$GG276*EH276*'Feedstock Conversion Rates'!B$9</f>
        <v>4.5876227864955554</v>
      </c>
      <c r="GQ276" s="102">
        <f t="shared" si="276"/>
        <v>4316.0125705503042</v>
      </c>
      <c r="GR276" s="85">
        <f t="shared" si="204"/>
        <v>8.0042798712942371</v>
      </c>
      <c r="GT276" s="103">
        <f t="shared" si="254"/>
        <v>4.1414896983943562E-3</v>
      </c>
      <c r="GU276" s="103">
        <f t="shared" si="254"/>
        <v>0.27831601814658374</v>
      </c>
      <c r="GV276" s="103">
        <f t="shared" si="254"/>
        <v>0.46652698080037863</v>
      </c>
      <c r="GW276" s="103">
        <f t="shared" si="254"/>
        <v>1.9347426112088756E-2</v>
      </c>
      <c r="GX276" s="103">
        <f t="shared" si="253"/>
        <v>0.10959747583797794</v>
      </c>
      <c r="GY276" s="103">
        <f t="shared" si="253"/>
        <v>0.11194044775937916</v>
      </c>
      <c r="GZ276" s="103">
        <f t="shared" si="253"/>
        <v>9.067230823865036E-3</v>
      </c>
      <c r="HA276" s="103">
        <f t="shared" si="251"/>
        <v>1.0629308213322972E-3</v>
      </c>
    </row>
    <row r="277" spans="1:209" x14ac:dyDescent="0.25">
      <c r="A277" s="96">
        <v>48853</v>
      </c>
      <c r="B277" s="104">
        <f>115.75+145+100+235+31.5-21-287-20-28-32-70-39-47+40+20-3-10+65-105+5-15-75-1+20+33+40+14-5-40+26+55-55.5-91+150</f>
        <v>150.75</v>
      </c>
      <c r="C277" s="104">
        <f>50-1-49+16+51-29-13-15-6</f>
        <v>4</v>
      </c>
      <c r="D277" s="104">
        <f>1+1</f>
        <v>2</v>
      </c>
      <c r="E277" s="104">
        <f>('Renewable Diesel'!B286*E$3*'Feedstock Conversion Rates'!$B$2)/12+26+13-100+27.5+39+105-40-14-26+55.5-51+29-10-139</f>
        <v>4.9300000000000068</v>
      </c>
      <c r="F277" s="104">
        <f>('Renewable Diesel'!B286*'RD Feedstock Breakdown'!F$3*'Feedstock Conversion Rates'!B$8)/12+77+23-10-12-115.75+24+8-33+5-16</f>
        <v>4.15625</v>
      </c>
      <c r="G277" s="104">
        <f>('Renewable Diesel'!B286*'RD Feedstock Breakdown'!G$3*'Feedstock Conversion Rates'!B$7)/12-25-15-25+4+4-20-40-20+10-17.5+20+50-12+32.5+35-75-75+22.5+5-20+15+125-10-60+5-85+45+20+20</f>
        <v>89.657000000000011</v>
      </c>
      <c r="H277" s="104">
        <f>('Renewable Diesel'!B286*'RD Feedstock Breakdown'!H$3*'Feedstock Conversion Rates'!B$3)/12-85+4-15+70-65-80+50-22.5-5+25+27.5+15+50+15-10+5+50+75-5-25-85-12.5+30+22.5-25-30+150+90-120+25+10+20+85-30-45-20-20+95-150</f>
        <v>240.40022499999998</v>
      </c>
      <c r="I277" s="106">
        <f t="shared" si="203"/>
        <v>495.89347499999997</v>
      </c>
      <c r="J277" s="104">
        <f>54-15-35+7+35+20+34-7.5+35+37.5-145-20+15+40-32-5-18+10</f>
        <v>10</v>
      </c>
      <c r="K277" s="104"/>
      <c r="L277" s="104">
        <v>1</v>
      </c>
      <c r="M277" s="104">
        <f>('Renewable Diesel'!C286*'RD Feedstock Breakdown'!M$3*'Feedstock Conversion Rates'!B$2)/12</f>
        <v>7.7902500000000003</v>
      </c>
      <c r="N277" s="104">
        <f>('Renewable Diesel'!C286*'RD Feedstock Breakdown'!N$3*'Feedstock Conversion Rates'!B$8)/12</f>
        <v>3.671875</v>
      </c>
      <c r="O277" s="104">
        <f>('Renewable Diesel'!C286*'RD Feedstock Breakdown'!O$3*'Feedstock Conversion Rates'!B$7)/12</f>
        <v>11.9991</v>
      </c>
      <c r="P277" s="104">
        <f>('Renewable Diesel'!C286*'RD Feedstock Breakdown'!P$3*'Feedstock Conversion Rates'!B$3)/12</f>
        <v>10.4470425</v>
      </c>
      <c r="Q277" s="106">
        <f t="shared" si="216"/>
        <v>44.908267500000001</v>
      </c>
      <c r="R277" s="104">
        <f>('Renewable Diesel'!D286*'RD Feedstock Breakdown'!R$3*'Feedstock Conversion Rates'!B$7)/12</f>
        <v>2.2999999999999998</v>
      </c>
      <c r="S277" s="106">
        <f t="shared" si="249"/>
        <v>2.2999999999999998</v>
      </c>
      <c r="T277" s="104">
        <f>5.825+20-25+35-5-30</f>
        <v>0.82500000000000284</v>
      </c>
      <c r="U277" s="104">
        <v>30</v>
      </c>
      <c r="V277" s="104">
        <f>('Renewable Diesel'!E286*'RD Feedstock Breakdown'!V$3*'Feedstock Conversion Rates'!B$6)/12-20+25-35</f>
        <v>14.250150000000012</v>
      </c>
      <c r="W277" s="104">
        <f>('Renewable Diesel'!E286*'RD Feedstock Breakdown'!W$3*'Feedstock Conversion Rates'!B$8)/12-6+5</f>
        <v>21.1796875</v>
      </c>
      <c r="X277" s="106">
        <f t="shared" si="277"/>
        <v>66.254837500000008</v>
      </c>
      <c r="Y277" s="104">
        <f>142-15-5-24-75+30+45-52.5+87.5-80+55+10+20+17-2-7-30-50</f>
        <v>66</v>
      </c>
      <c r="Z277" s="104">
        <f>('Renewable Diesel'!F286*'RD Feedstock Breakdown'!Z$3*'Feedstock Conversion Rates'!B$6)/12-142+15+5+75-45+52.5-87.5+80-10-20-17+2+7+15+20</f>
        <v>109.46000000000001</v>
      </c>
      <c r="AA277" s="104">
        <f>('Renewable Diesel'!F286*'RD Feedstock Breakdown'!AA$3*'Feedstock Conversion Rates'!B$7)/12+24-30-55+15+30</f>
        <v>88.266666666666652</v>
      </c>
      <c r="AB277" s="106">
        <f t="shared" si="235"/>
        <v>263.72666666666669</v>
      </c>
      <c r="AC277" s="104">
        <f>('Renewable Diesel'!G286*'RD Feedstock Breakdown'!AC$3*'Feedstock Conversion Rates'!B$5)/12</f>
        <v>11.796875</v>
      </c>
      <c r="AD277" s="104">
        <f>('Renewable Diesel'!G286*'RD Feedstock Breakdown'!AD$3*'Feedstock Conversion Rates'!B$4)/12</f>
        <v>5.859375</v>
      </c>
      <c r="AE277" s="104">
        <f>('Renewable Diesel'!G286*'RD Feedstock Breakdown'!AE$3*'Feedstock Conversion Rates'!B$6)/12</f>
        <v>7.3281250000000009</v>
      </c>
      <c r="AF277" s="106">
        <f t="shared" ref="AF277:AF340" si="284">SUM(AC277:AE277)</f>
        <v>24.984375</v>
      </c>
      <c r="AG277" s="104">
        <f t="shared" si="230"/>
        <v>6.5</v>
      </c>
      <c r="AH277" s="104">
        <v>135</v>
      </c>
      <c r="AI277" s="104">
        <f>('Renewable Diesel'!H286*'RD Feedstock Breakdown'!AI$3*'Feedstock Conversion Rates'!B$6)/12-130-20+51-52.5+10</f>
        <v>7.0166666666666799</v>
      </c>
      <c r="AJ277" s="106">
        <f t="shared" si="248"/>
        <v>13.51666666666668</v>
      </c>
      <c r="AK277" s="104">
        <f>('Renewable Diesel'!J286*'RD Feedstock Breakdown'!AK$3*'Feedstock Conversion Rates'!B$4)/12</f>
        <v>95.8125</v>
      </c>
      <c r="AL277" s="106">
        <f t="shared" si="252"/>
        <v>95.8125</v>
      </c>
      <c r="AM277" s="104">
        <f>('Renewable Diesel'!K286*'RD Feedstock Breakdown'!AM$3*'Feedstock Conversion Rates'!B$4)/12+5+15-10-5+10-35-15</f>
        <v>23.59375</v>
      </c>
      <c r="AN277" s="104">
        <f>('Renewable Diesel'!K286*'RD Feedstock Breakdown'!AN$3*'Feedstock Conversion Rates'!B$6)/12-5-15+10+5-10+35+15</f>
        <v>59.427083333333329</v>
      </c>
      <c r="AO277" s="106">
        <f t="shared" si="270"/>
        <v>83.020833333333329</v>
      </c>
      <c r="AP277" s="104">
        <f>('Renewable Diesel'!L286*'RD Feedstock Breakdown'!AP$3*'Feedstock Conversion Rates'!B$4)/12+15-10-10+22</f>
        <v>75.59375</v>
      </c>
      <c r="AQ277" s="104">
        <f>('Renewable Diesel'!L286*'RD Feedstock Breakdown'!AQ$3*'Feedstock Conversion Rates'!B$6)/12-15+10+10-22</f>
        <v>7.4270833333333321</v>
      </c>
      <c r="AR277" s="106">
        <f t="shared" si="256"/>
        <v>83.020833333333329</v>
      </c>
      <c r="AS277" s="104">
        <f>('Renewable Diesel'!M286*'RD Feedstock Breakdown'!AS$3*'Feedstock Conversion Rates'!B$4)/12-25</f>
        <v>431.25</v>
      </c>
      <c r="AT277" s="104">
        <f>('Renewable Diesel'!M286*'RD Feedstock Breakdown'!AT$3*'Feedstock Conversion Rates'!B$5)/12+25</f>
        <v>25</v>
      </c>
      <c r="AU277" s="106">
        <f t="shared" si="201"/>
        <v>456.25</v>
      </c>
      <c r="AV277" s="104">
        <f>'Renewable Diesel'!N286*'RD Feedstock Breakdown'!$AV$3*'Feedstock Conversion Rates'!$B$4/12-15-10+25+25-22+25-77.5+56</f>
        <v>85.249999999999986</v>
      </c>
      <c r="AW277" s="104">
        <f>'Renewable Diesel'!N286*'RD Feedstock Breakdown'!$AW$3*'Feedstock Conversion Rates'!$B$7/12+15+10-25-25+22-25+77.5-56</f>
        <v>34.900000000000006</v>
      </c>
      <c r="AX277" s="106">
        <f t="shared" si="239"/>
        <v>120.14999999999999</v>
      </c>
      <c r="AY277" s="104">
        <f>('Renewable Diesel'!O286*'RD Feedstock Breakdown'!AY$3*'Feedstock Conversion Rates'!B$4)/12-95-250-3</f>
        <v>-137.0625</v>
      </c>
      <c r="AZ277" s="104">
        <f>('Renewable Diesel'!O286*'RD Feedstock Breakdown'!AZ$3*'Feedstock Conversion Rates'!B$3)/12+95+250+3</f>
        <v>373.03125</v>
      </c>
      <c r="BA277" s="106">
        <f t="shared" si="217"/>
        <v>235.96875</v>
      </c>
      <c r="BB277" s="104">
        <f>('Renewable Diesel'!Q286*'RD Feedstock Breakdown'!BB$3*'Feedstock Conversion Rates'!B$4)/12</f>
        <v>11.156249999999998</v>
      </c>
      <c r="BC277" s="104">
        <f>('Renewable Diesel'!Q286*'RD Feedstock Breakdown'!BC$3*'Feedstock Conversion Rates'!B$3)/12</f>
        <v>1.4017500000000001</v>
      </c>
      <c r="BD277" s="104">
        <f>('Renewable Diesel'!Q286*'RD Feedstock Breakdown'!BD$3*'Feedstock Conversion Rates'!B$6)/12</f>
        <v>0.8207500000000002</v>
      </c>
      <c r="BE277" s="106">
        <f t="shared" si="279"/>
        <v>13.378749999999998</v>
      </c>
      <c r="BF277" s="104">
        <f>('Renewable Diesel'!R286*'RD Feedstock Breakdown'!BF$3*'Feedstock Conversion Rates'!B$4)/12</f>
        <v>62.5</v>
      </c>
      <c r="BG277" s="106">
        <f t="shared" si="262"/>
        <v>62.5</v>
      </c>
      <c r="BH277" s="104">
        <f>('Renewable Diesel'!T286*'RD Feedstock Breakdown'!BH$3*'Feedstock Conversion Rates'!B$7)/12</f>
        <v>27.599999999999998</v>
      </c>
      <c r="BI277" s="106">
        <f t="shared" si="243"/>
        <v>27.599999999999998</v>
      </c>
      <c r="BJ277" s="104">
        <f>('Renewable Diesel'!W286*'RD Feedstock Breakdown'!BJ$3*'Feedstock Conversion Rates'!B$4)/12</f>
        <v>7.5</v>
      </c>
      <c r="BK277" s="104">
        <f>('Renewable Diesel'!W286*'RD Feedstock Breakdown'!BK$3*'Feedstock Conversion Rates'!B$3)/12</f>
        <v>1.335</v>
      </c>
      <c r="BL277" s="104">
        <f>('Renewable Diesel'!W286*'RD Feedstock Breakdown'!BL$3*'Feedstock Conversion Rates'!B$6)/12</f>
        <v>3.1266666666666669</v>
      </c>
      <c r="BM277" s="104">
        <f>('Renewable Diesel'!W286*'RD Feedstock Breakdown'!BM$3*'Feedstock Conversion Rates'!B$7)/12</f>
        <v>1.5333333333333332</v>
      </c>
      <c r="BN277" s="106">
        <f t="shared" si="209"/>
        <v>13.495000000000001</v>
      </c>
      <c r="BO277" s="104">
        <f>('Renewable Diesel'!P286*'Feedstock Conversion Rates'!B$4)/12</f>
        <v>31.25</v>
      </c>
      <c r="BP277" s="106">
        <f t="shared" ref="BP277:BP340" si="285">BO277</f>
        <v>31.25</v>
      </c>
      <c r="BQ277" s="104">
        <f>('Renewable Diesel'!$S286*'RD Feedstock Breakdown'!BQ$3*'Feedstock Conversion Rates'!B$4)/12+10+15-15</f>
        <v>38.125</v>
      </c>
      <c r="BR277" s="104">
        <f>('Renewable Diesel'!$S286*'RD Feedstock Breakdown'!BR$3*'Feedstock Conversion Rates'!B$7)/12-10-15+15</f>
        <v>1.5</v>
      </c>
      <c r="BS277" s="106">
        <f t="shared" si="222"/>
        <v>39.625</v>
      </c>
      <c r="BT277" s="106"/>
      <c r="BU277" s="104">
        <f>('Renewable Diesel'!Y286*'Feedstock Conversion Rates'!B$7)/12</f>
        <v>2.6833333333333331</v>
      </c>
      <c r="BV277" s="106">
        <f t="shared" si="281"/>
        <v>2.6833333333333331</v>
      </c>
      <c r="BW277" s="104">
        <f>('Renewable Diesel'!$Z286*'RD Feedstock Breakdown'!BW$3*'Feedstock Conversion Rates'!$B$4)/12</f>
        <v>71.875</v>
      </c>
      <c r="BX277" s="104">
        <f>('Renewable Diesel'!$Z286*'RD Feedstock Breakdown'!BX$3*'Feedstock Conversion Rates'!$B$5)/12</f>
        <v>7.2354166666666666</v>
      </c>
      <c r="BY277" s="104">
        <f>('Renewable Diesel'!$Z286*'RD Feedstock Breakdown'!BY$3*'Feedstock Conversion Rates'!$B$7)/12</f>
        <v>61.716666666666661</v>
      </c>
      <c r="BZ277" s="104">
        <f>('Renewable Diesel'!$Z286*'RD Feedstock Breakdown'!BZ$3*'Feedstock Conversion Rates'!$B$3)/12</f>
        <v>15.352499999999999</v>
      </c>
      <c r="CA277" s="106">
        <f t="shared" si="228"/>
        <v>156.17958333333331</v>
      </c>
      <c r="CB277" s="104">
        <f>('Renewable Diesel'!AA286*'Feedstock Conversion Rates'!B$4)/12</f>
        <v>191.25</v>
      </c>
      <c r="CC277" s="106">
        <f t="shared" si="213"/>
        <v>191.25</v>
      </c>
      <c r="CD277" s="104">
        <f>('Renewable Diesel'!$AB286*'RD Feedstock Breakdown'!CD$3*'Feedstock Conversion Rates'!$B$6)/12-15-5</f>
        <v>12.830000000000005</v>
      </c>
      <c r="CE277" s="104">
        <f>('Renewable Diesel'!$AB286*'RD Feedstock Breakdown'!CE$3*'Feedstock Conversion Rates'!$B$4)/12+15+5</f>
        <v>31.25</v>
      </c>
      <c r="CF277" s="106">
        <f t="shared" si="205"/>
        <v>44.080000000000005</v>
      </c>
      <c r="CG277" s="104">
        <f>('Renewable Diesel'!AD286*'Feedstock Conversion Rates'!B$4)/12</f>
        <v>112.5</v>
      </c>
      <c r="CH277" s="106">
        <f t="shared" si="278"/>
        <v>112.5</v>
      </c>
      <c r="CI277" s="104">
        <f>('Renewable Diesel'!$AE286*'RD Feedstock Breakdown'!CI$3*'Feedstock Conversion Rates'!$B$5)/12</f>
        <v>0.34604166666666664</v>
      </c>
      <c r="CJ277" s="104">
        <f>('Renewable Diesel'!$AE286*'RD Feedstock Breakdown'!CJ$3*'Feedstock Conversion Rates'!$B$4)/12</f>
        <v>0.34375</v>
      </c>
      <c r="CK277" s="106">
        <f t="shared" ref="CK277:CK340" si="286">SUM(CI277:CJ277)</f>
        <v>0.68979166666666658</v>
      </c>
      <c r="CL277" s="104">
        <f>(((CL$3*'Renewable Diesel'!$AF286)*'Feedstock Conversion Rates'!$B$3)/12)</f>
        <v>91.78125</v>
      </c>
      <c r="CM277" s="104">
        <f>(((CM$3*'Renewable Diesel'!$AF286)*'Feedstock Conversion Rates'!$B$6)/12)</f>
        <v>53.739583333333336</v>
      </c>
      <c r="CN277" s="104">
        <f>(((CN$3*'Renewable Diesel'!$AF286)*'Feedstock Conversion Rates'!$B$4)/12)</f>
        <v>42.96875</v>
      </c>
      <c r="CO277" s="106">
        <f t="shared" si="280"/>
        <v>188.48958333333334</v>
      </c>
      <c r="CP277" s="104">
        <f>('Renewable Diesel'!$AG286*'RD Feedstock Breakdown'!CP$3*'Feedstock Conversion Rates'!$B$3)/12+4-4</f>
        <v>6.0075000000000003</v>
      </c>
      <c r="CQ277" s="104">
        <f>('Renewable Diesel'!$AG286*'RD Feedstock Breakdown'!CQ$3*'Feedstock Conversion Rates'!$B$6)/12</f>
        <v>3.5175000000000001</v>
      </c>
      <c r="CR277" s="104">
        <f>('Renewable Diesel'!$AG286*'RD Feedstock Breakdown'!CR$3*'Feedstock Conversion Rates'!$B$4)/12-4+4</f>
        <v>2.8125</v>
      </c>
      <c r="CS277" s="106">
        <f t="shared" si="231"/>
        <v>12.3375</v>
      </c>
      <c r="CT277" s="104">
        <f>('Renewable Diesel'!AI286*'Feedstock Conversion Rates'!$B$4*'RD Feedstock Breakdown'!$CT$3)/12</f>
        <v>29.375</v>
      </c>
      <c r="CU277" s="106">
        <f t="shared" si="282"/>
        <v>29.375</v>
      </c>
      <c r="CV277" s="104">
        <f>('Renewable Diesel'!AN286*'Feedstock Conversion Rates'!$B$3*'RD Feedstock Breakdown'!$CV$3)/12</f>
        <v>0.50062499999999999</v>
      </c>
      <c r="CW277" s="106">
        <f t="shared" si="255"/>
        <v>0.50062499999999999</v>
      </c>
      <c r="CX277" s="104">
        <f>('Renewable Diesel'!AO286*'RD Feedstock Breakdown'!$CX$3*'Feedstock Conversion Rates'!$B$3)/12</f>
        <v>6.3412499999999996</v>
      </c>
      <c r="CY277" s="104">
        <f>('Renewable Diesel'!AO286*'RD Feedstock Breakdown'!$CY$3*'Feedstock Conversion Rates'!$B$6)/12</f>
        <v>7.4258333333333342</v>
      </c>
      <c r="CZ277" s="106">
        <f t="shared" si="233"/>
        <v>13.767083333333334</v>
      </c>
      <c r="DA277" s="104">
        <f>('Renewable Diesel'!$AP286*'RD Feedstock Breakdown'!DA$3*'Feedstock Conversion Rates'!$B$3)/12</f>
        <v>6.3412499999999996</v>
      </c>
      <c r="DB277" s="104">
        <f>('Renewable Diesel'!$AP286*'RD Feedstock Breakdown'!DB$3*'Feedstock Conversion Rates'!$B$8)/12</f>
        <v>7.421875</v>
      </c>
      <c r="DC277" s="106">
        <f t="shared" si="260"/>
        <v>13.763124999999999</v>
      </c>
      <c r="DD277" s="104">
        <f>('Renewable Diesel'!AQ286*$DD$3*'Feedstock Conversion Rates'!$B$14)/12</f>
        <v>3.1041666666666665</v>
      </c>
      <c r="DE277" s="106">
        <f t="shared" si="261"/>
        <v>3.1041666666666665</v>
      </c>
      <c r="DF277" s="104">
        <f>('Renewable Diesel'!AR286*'Feedstock Conversion Rates'!$B$4*$DF$3)/12</f>
        <v>75</v>
      </c>
      <c r="DG277" s="106">
        <f t="shared" si="234"/>
        <v>75</v>
      </c>
      <c r="DH277" s="104">
        <f>('Renewable Diesel'!AS286*'Feedstock Conversion Rates'!$B$4*$DH$3)/12</f>
        <v>75</v>
      </c>
      <c r="DI277" s="106">
        <f t="shared" si="240"/>
        <v>75</v>
      </c>
      <c r="DJ277" s="104">
        <f>('Renewable Diesel'!AT286*'Feedstock Conversion Rates'!$B$4*0.25)/12</f>
        <v>8.59375</v>
      </c>
      <c r="DK277" s="104">
        <f>('Renewable Diesel'!$AT286*'RD Feedstock Breakdown'!DK$3*'Feedstock Conversion Rates'!$B$3)/12*0.5</f>
        <v>9.1781249999999996</v>
      </c>
      <c r="DL277" s="104">
        <f>('Renewable Diesel'!$AT286*'RD Feedstock Breakdown'!$DL$3*'Feedstock Conversion Rates'!$B$6)/12</f>
        <v>10.747916666666669</v>
      </c>
      <c r="DM277" s="104">
        <f>('Renewable Diesel'!$AT286*'RD Feedstock Breakdown'!$DM$3*'Feedstock Conversion Rates'!$B$8)/12</f>
        <v>10.7421875</v>
      </c>
      <c r="DN277" s="106">
        <f t="shared" si="210"/>
        <v>39.26197916666667</v>
      </c>
      <c r="DP277" s="104">
        <f t="shared" si="265"/>
        <v>12.720250000000007</v>
      </c>
      <c r="DQ277" s="104">
        <f t="shared" si="266"/>
        <v>762.11776750000001</v>
      </c>
      <c r="DR277" s="104">
        <f t="shared" si="271"/>
        <v>1754.953125</v>
      </c>
      <c r="DS277" s="104">
        <f t="shared" si="283"/>
        <v>67.401250000000005</v>
      </c>
      <c r="DT277" s="104">
        <f t="shared" si="267"/>
        <v>304.53923333333341</v>
      </c>
      <c r="DU277" s="104">
        <f t="shared" si="268"/>
        <v>322.15609999999998</v>
      </c>
      <c r="DV277" s="104">
        <f t="shared" si="272"/>
        <v>39.75</v>
      </c>
      <c r="DW277" s="104">
        <f t="shared" si="269"/>
        <v>3</v>
      </c>
      <c r="DX277" s="106">
        <f t="shared" si="273"/>
        <v>3266.6377258333337</v>
      </c>
      <c r="DY277" s="109">
        <f t="shared" si="257"/>
        <v>-135.00000000000048</v>
      </c>
      <c r="EA277" s="110">
        <f t="shared" si="250"/>
        <v>3.8939885801860734E-3</v>
      </c>
      <c r="EB277" s="110">
        <f t="shared" si="250"/>
        <v>0.23330342433536319</v>
      </c>
      <c r="EC277" s="110">
        <f t="shared" si="250"/>
        <v>0.53723530807270758</v>
      </c>
      <c r="ED277" s="110">
        <f t="shared" si="250"/>
        <v>2.063321851302187E-2</v>
      </c>
      <c r="EE277" s="110">
        <f t="shared" si="250"/>
        <v>9.3227121858345682E-2</v>
      </c>
      <c r="EF277" s="110">
        <f t="shared" si="250"/>
        <v>9.8620088004345977E-2</v>
      </c>
      <c r="EG277" s="110">
        <f t="shared" si="250"/>
        <v>1.2168475152799382E-2</v>
      </c>
      <c r="EH277" s="111">
        <f t="shared" si="274"/>
        <v>9.1837548323014202E-4</v>
      </c>
      <c r="EI277" s="110">
        <f t="shared" si="236"/>
        <v>0.99908162451676985</v>
      </c>
      <c r="EK277" s="132">
        <f>(EA277*'Renewable Diesel'!BF286*'Feedstock Conversion Rates'!B$2)+FB277</f>
        <v>57.178431770639655</v>
      </c>
      <c r="EL277" s="132">
        <f>(EB277*'Renewable Diesel'!BF286*'Feedstock Conversion Rates'!B$3)+FC277</f>
        <v>3228.2879859161985</v>
      </c>
      <c r="EM277" s="132">
        <f>(EC277*'Renewable Diesel'!BF286*'Feedstock Conversion Rates'!B$4)+FD277</f>
        <v>6960.5643284260714</v>
      </c>
      <c r="EN277" s="132">
        <f>(ED277*'Renewable Diesel'!BF286*'Feedstock Conversion Rates'!B$5)+FE277</f>
        <v>269.11169380527087</v>
      </c>
      <c r="EO277" s="132">
        <f>(EE277*'Renewable Diesel'!BF286*'Feedstock Conversion Rates'!B$6)+FF277</f>
        <v>1510.6496544167687</v>
      </c>
      <c r="EP277" s="132">
        <f>(EF277*'Renewable Diesel'!BF286*'Feedstock Conversion Rates'!B$7)+FG277</f>
        <v>1567.3711681746659</v>
      </c>
      <c r="EQ277" s="132">
        <f>(EG277*'Renewable Diesel'!BF286*'Feedstock Conversion Rates'!B$8)+FH277</f>
        <v>197.07252298757004</v>
      </c>
      <c r="ER277" s="132">
        <f>(EH277*'Renewable Diesel'!BF286*'Feedstock Conversion Rates'!B$9)+FI277</f>
        <v>14.675085988508361</v>
      </c>
      <c r="ES277" s="132">
        <f t="shared" si="275"/>
        <v>13804.910871485694</v>
      </c>
      <c r="ET277" s="133">
        <f>ES277/'Renewable Diesel'!BF286</f>
        <v>15.724338003131431</v>
      </c>
      <c r="EW277" s="73">
        <f t="shared" si="223"/>
        <v>10785.163558305394</v>
      </c>
      <c r="EX277" s="73">
        <f t="shared" si="224"/>
        <v>9808.8742933173271</v>
      </c>
      <c r="EY277" s="92">
        <f t="shared" si="258"/>
        <v>0.78125557337587415</v>
      </c>
      <c r="EZ277" s="92">
        <f t="shared" si="258"/>
        <v>0.71053514105460425</v>
      </c>
      <c r="FB277" s="102">
        <f>IF('Renewable Diesel'!$BG286&lt;1,0,(((('Renewable Diesel'!$BG286-1)*'Renewable Diesel'!$BF286)*'RD Feedstock Breakdown'!EA277)*'Feedstock Conversion Rates'!$B$2))</f>
        <v>28.119821810497239</v>
      </c>
      <c r="FC277" s="102">
        <f>IF('Renewable Diesel'!$BG286&lt;1,0,(((('Renewable Diesel'!$BG286-1)*'Renewable Diesel'!$BF286)*'RD Feedstock Breakdown'!EB277)*'Feedstock Conversion Rates'!$B$3))</f>
        <v>1587.6420549810573</v>
      </c>
      <c r="FD277" s="102">
        <f>IF('Renewable Diesel'!$BG286&lt;1,0,(((('Renewable Diesel'!$BG286-1)*'Renewable Diesel'!$BF286)*'RD Feedstock Breakdown'!EC277)*'Feedstock Conversion Rates'!$B$4))</f>
        <v>3423.1409039159603</v>
      </c>
      <c r="FE277" s="102">
        <f>IF('Renewable Diesel'!$BG286&lt;1,0,(((('Renewable Diesel'!$BG286-1)*'Renewable Diesel'!$BF286)*'RD Feedstock Breakdown'!ED277)*'Feedstock Conversion Rates'!$B$5))</f>
        <v>132.3466321580903</v>
      </c>
      <c r="FF277" s="102">
        <f>IF('Renewable Diesel'!$BG286&lt;1,0,(((('Renewable Diesel'!$BG286-1)*'Renewable Diesel'!$BF286)*'RD Feedstock Breakdown'!EE277)*'Feedstock Conversion Rates'!$B$6))</f>
        <v>742.92347279977798</v>
      </c>
      <c r="FG277" s="102">
        <f>IF('Renewable Diesel'!$BG286&lt;1,0,(((('Renewable Diesel'!$BG286-1)*'Renewable Diesel'!$BF286)*'RD Feedstock Breakdown'!EF277)*'Feedstock Conversion Rates'!$B$7))</f>
        <v>770.81858657435248</v>
      </c>
      <c r="FH277" s="102">
        <f>IF('Renewable Diesel'!$BG286&lt;1,0,(((('Renewable Diesel'!$BG286-1)*'Renewable Diesel'!$BF286)*'RD Feedstock Breakdown'!EG277)*'Feedstock Conversion Rates'!$B$8))</f>
        <v>96.918436874673958</v>
      </c>
      <c r="FI277" s="102">
        <f>IF('Renewable Diesel'!$BG286&lt;1,0,(((('Renewable Diesel'!$BG286-1)*'Renewable Diesel'!$BF286)*'RD Feedstock Breakdown'!EH277)*'Feedstock Conversion Rates'!$B$9))</f>
        <v>7.2170710226172297</v>
      </c>
      <c r="FJ277" s="102">
        <f t="shared" si="225"/>
        <v>6789.1269801370263</v>
      </c>
      <c r="GD277" s="91">
        <f>'Renewable Diesel'!BB286*0.32</f>
        <v>0</v>
      </c>
      <c r="GE277" s="91">
        <f>'Renewable Diesel'!BC286</f>
        <v>526.35263633238776</v>
      </c>
      <c r="GF277" s="91">
        <f>'Renewable Diesel'!BD286</f>
        <v>0</v>
      </c>
      <c r="GG277" s="91">
        <f t="shared" si="206"/>
        <v>526.35263633238776</v>
      </c>
      <c r="GH277" s="124">
        <v>1</v>
      </c>
      <c r="GI277" s="102">
        <f>$GG277*EA277*'Feedstock Conversion Rates'!$B$2</f>
        <v>17.421694817747788</v>
      </c>
      <c r="GJ277" s="102">
        <f>$GG277*EB277*'Feedstock Conversion Rates'!$B$3</f>
        <v>983.62697843898025</v>
      </c>
      <c r="GK277" s="102">
        <f>$GG277*EC277*'Feedstock Conversion Rates'!$B$4</f>
        <v>2120.8141555118414</v>
      </c>
      <c r="GL277" s="102">
        <f>$GG277*ED277*'Feedstock Conversion Rates'!$B$5</f>
        <v>81.995634650652235</v>
      </c>
      <c r="GM277" s="102">
        <f>$GG277*EE277*'Feedstock Conversion Rates'!$B$6</f>
        <v>460.27980203016125</v>
      </c>
      <c r="GN277" s="102">
        <f>$GG277*EF277*'Feedstock Conversion Rates'!$B$7</f>
        <v>477.56227851106024</v>
      </c>
      <c r="GO277" s="102">
        <f>$GG277*EG277*'Feedstock Conversion Rates'!$B$8</f>
        <v>60.046021657697906</v>
      </c>
      <c r="GP277" s="102">
        <f>$GG277*EH277*'Feedstock Conversion Rates'!B$9</f>
        <v>4.4713515498562462</v>
      </c>
      <c r="GQ277" s="102">
        <f t="shared" si="276"/>
        <v>4206.2179171679973</v>
      </c>
      <c r="GR277" s="85">
        <f t="shared" si="204"/>
        <v>7.9912545826251016</v>
      </c>
      <c r="GT277" s="103">
        <f t="shared" si="254"/>
        <v>4.1418906867948567E-3</v>
      </c>
      <c r="GU277" s="103">
        <f t="shared" si="254"/>
        <v>0.23385069385592985</v>
      </c>
      <c r="GV277" s="103">
        <f t="shared" si="254"/>
        <v>0.50420929140536863</v>
      </c>
      <c r="GW277" s="103">
        <f t="shared" si="254"/>
        <v>1.9493910269361186E-2</v>
      </c>
      <c r="GX277" s="103">
        <f t="shared" si="253"/>
        <v>0.10942842503511158</v>
      </c>
      <c r="GY277" s="103">
        <f t="shared" si="253"/>
        <v>0.11353721749932491</v>
      </c>
      <c r="GZ277" s="103">
        <f t="shared" si="253"/>
        <v>1.4275537511410313E-2</v>
      </c>
      <c r="HA277" s="103">
        <f t="shared" si="251"/>
        <v>1.0630337366987301E-3</v>
      </c>
    </row>
    <row r="278" spans="1:209" x14ac:dyDescent="0.25">
      <c r="A278" s="96">
        <v>48884</v>
      </c>
      <c r="B278" s="104">
        <f>115.75+145+100+235+31.5-21-287-20-28-32-70-39-47+40+20-3-10+65-105+5-15-75-1+20+33+40+14-5-40+26+55-55.5-91</f>
        <v>0.75</v>
      </c>
      <c r="C278" s="104">
        <f t="shared" ref="C278:C288" si="287">50-1-49+16+51-29-13-15-6</f>
        <v>4</v>
      </c>
      <c r="D278" s="104">
        <f t="shared" ref="D278:D312" si="288">1+1</f>
        <v>2</v>
      </c>
      <c r="E278" s="104">
        <f>('Renewable Diesel'!B287*E$3*'Feedstock Conversion Rates'!$B$2)/12+26+13-100+27.5+39+105-40-14-26+55.5-51+29-10-139</f>
        <v>4.9300000000000068</v>
      </c>
      <c r="F278" s="104">
        <f>('Renewable Diesel'!B287*'RD Feedstock Breakdown'!F$3*'Feedstock Conversion Rates'!B$8)/12+77+23-10-12-115.75+24+8-33+5-16</f>
        <v>4.15625</v>
      </c>
      <c r="G278" s="104">
        <f>('Renewable Diesel'!B287*'RD Feedstock Breakdown'!G$3*'Feedstock Conversion Rates'!B$7)/12-25-15-25+4+4-20-40-20+10-17.5+20+50-12+32.5+35-75-75+22.5+5-20+15+125-10-60+5-85+45+20+20</f>
        <v>89.657000000000011</v>
      </c>
      <c r="H278" s="104">
        <f>('Renewable Diesel'!B287*'RD Feedstock Breakdown'!H$3*'Feedstock Conversion Rates'!B$3)/12-85+4-15+70-65-80+50-22.5-5+25+27.5+15+50+15-10+5+50+75-5-25-85-12.5+30+22.5-25-30+150+90-120+25+10+20+85-30-45-20-20+95</f>
        <v>390.40022499999998</v>
      </c>
      <c r="I278" s="106">
        <f t="shared" si="203"/>
        <v>495.89347499999997</v>
      </c>
      <c r="J278" s="104">
        <f>54-15-35+7+35+20+34-7.5+35+37.5-145-20+15+40-32-5-18+40-20</f>
        <v>20</v>
      </c>
      <c r="K278" s="104"/>
      <c r="L278" s="104">
        <v>1</v>
      </c>
      <c r="M278" s="104">
        <f>('Renewable Diesel'!C287*'RD Feedstock Breakdown'!M$3*'Feedstock Conversion Rates'!B$2)/12</f>
        <v>7.7902500000000003</v>
      </c>
      <c r="N278" s="104">
        <f>('Renewable Diesel'!C287*'RD Feedstock Breakdown'!N$3*'Feedstock Conversion Rates'!B$8)/12</f>
        <v>3.671875</v>
      </c>
      <c r="O278" s="104">
        <f>('Renewable Diesel'!C287*'RD Feedstock Breakdown'!O$3*'Feedstock Conversion Rates'!B$7)/12</f>
        <v>11.9991</v>
      </c>
      <c r="P278" s="104">
        <f>('Renewable Diesel'!C287*'RD Feedstock Breakdown'!P$3*'Feedstock Conversion Rates'!B$3)/12</f>
        <v>10.4470425</v>
      </c>
      <c r="Q278" s="106">
        <f t="shared" si="216"/>
        <v>54.908267500000001</v>
      </c>
      <c r="R278" s="104">
        <f>('Renewable Diesel'!D287*'RD Feedstock Breakdown'!R$3*'Feedstock Conversion Rates'!B$7)/12</f>
        <v>2.2999999999999998</v>
      </c>
      <c r="S278" s="106">
        <f t="shared" si="249"/>
        <v>2.2999999999999998</v>
      </c>
      <c r="T278" s="104">
        <f>5.825+20-25+35-5-30</f>
        <v>0.82500000000000284</v>
      </c>
      <c r="U278" s="104">
        <v>30</v>
      </c>
      <c r="V278" s="104">
        <f>('Renewable Diesel'!E287*'RD Feedstock Breakdown'!V$3*'Feedstock Conversion Rates'!B$6)/12-20+25-35</f>
        <v>14.250150000000012</v>
      </c>
      <c r="W278" s="104">
        <f>('Renewable Diesel'!E287*'RD Feedstock Breakdown'!W$3*'Feedstock Conversion Rates'!B$8)/12-6+5</f>
        <v>21.1796875</v>
      </c>
      <c r="X278" s="106">
        <f t="shared" si="277"/>
        <v>66.254837500000008</v>
      </c>
      <c r="Y278" s="104">
        <f t="shared" ref="Y278:Y288" si="289">142-15-5-24-75+30+45-52.5+87.5-80+55+10+20+17-2-7-30-50</f>
        <v>66</v>
      </c>
      <c r="Z278" s="104">
        <f>('Renewable Diesel'!F287*'RD Feedstock Breakdown'!Z$3*'Feedstock Conversion Rates'!B$6)/12-142+15+5+75-45+52.5-87.5+80-10-20-17+2+7+15+20</f>
        <v>109.46000000000001</v>
      </c>
      <c r="AA278" s="104">
        <f>('Renewable Diesel'!F287*'RD Feedstock Breakdown'!AA$3*'Feedstock Conversion Rates'!B$7)/12+24-30-55+15+30</f>
        <v>88.266666666666652</v>
      </c>
      <c r="AB278" s="106">
        <f t="shared" si="235"/>
        <v>263.72666666666669</v>
      </c>
      <c r="AC278" s="104">
        <f>('Renewable Diesel'!G287*'RD Feedstock Breakdown'!AC$3*'Feedstock Conversion Rates'!B$5)/12</f>
        <v>11.796875</v>
      </c>
      <c r="AD278" s="104">
        <f>('Renewable Diesel'!G287*'RD Feedstock Breakdown'!AD$3*'Feedstock Conversion Rates'!B$4)/12</f>
        <v>5.859375</v>
      </c>
      <c r="AE278" s="104">
        <f>('Renewable Diesel'!G287*'RD Feedstock Breakdown'!AE$3*'Feedstock Conversion Rates'!B$6)/12</f>
        <v>7.3281250000000009</v>
      </c>
      <c r="AF278" s="106">
        <f t="shared" si="284"/>
        <v>24.984375</v>
      </c>
      <c r="AG278" s="104">
        <f t="shared" si="230"/>
        <v>6.5</v>
      </c>
      <c r="AH278" s="104">
        <v>135</v>
      </c>
      <c r="AI278" s="104">
        <f>('Renewable Diesel'!H287*'RD Feedstock Breakdown'!AI$3*'Feedstock Conversion Rates'!B$6)/12-130-20+51-52.5+10</f>
        <v>7.0166666666666799</v>
      </c>
      <c r="AJ278" s="106">
        <f t="shared" si="248"/>
        <v>13.51666666666668</v>
      </c>
      <c r="AK278" s="104">
        <f>('Renewable Diesel'!J287*'RD Feedstock Breakdown'!AK$3*'Feedstock Conversion Rates'!B$4)/12</f>
        <v>95.8125</v>
      </c>
      <c r="AL278" s="106">
        <f t="shared" si="252"/>
        <v>95.8125</v>
      </c>
      <c r="AM278" s="104">
        <f>('Renewable Diesel'!K287*'RD Feedstock Breakdown'!AM$3*'Feedstock Conversion Rates'!B$4)/12+5+15-10-5+10-35-15</f>
        <v>23.59375</v>
      </c>
      <c r="AN278" s="104">
        <f>('Renewable Diesel'!K287*'RD Feedstock Breakdown'!AN$3*'Feedstock Conversion Rates'!B$6)/12-5-15+10+5-10+35+15</f>
        <v>59.427083333333329</v>
      </c>
      <c r="AO278" s="106">
        <f t="shared" si="270"/>
        <v>83.020833333333329</v>
      </c>
      <c r="AP278" s="104">
        <f>('Renewable Diesel'!L287*'RD Feedstock Breakdown'!AP$3*'Feedstock Conversion Rates'!B$4)/12+15-10-10+22</f>
        <v>75.59375</v>
      </c>
      <c r="AQ278" s="104">
        <f>('Renewable Diesel'!L287*'RD Feedstock Breakdown'!AQ$3*'Feedstock Conversion Rates'!B$6)/12-15+10+10-22</f>
        <v>7.4270833333333321</v>
      </c>
      <c r="AR278" s="106">
        <f t="shared" si="256"/>
        <v>83.020833333333329</v>
      </c>
      <c r="AS278" s="104">
        <f>('Renewable Diesel'!M287*'RD Feedstock Breakdown'!AS$3*'Feedstock Conversion Rates'!B$4)/12-25</f>
        <v>431.25</v>
      </c>
      <c r="AT278" s="104">
        <f>('Renewable Diesel'!M287*'RD Feedstock Breakdown'!AT$3*'Feedstock Conversion Rates'!B$5)/12+25</f>
        <v>25</v>
      </c>
      <c r="AU278" s="106">
        <f t="shared" ref="AU278:AU341" si="290">SUM(AS278:AT278)</f>
        <v>456.25</v>
      </c>
      <c r="AV278" s="104">
        <f>'Renewable Diesel'!N287*'RD Feedstock Breakdown'!$AV$3*'Feedstock Conversion Rates'!$B$4/12-15-10+25+25-22+25-77.5+56</f>
        <v>85.249999999999986</v>
      </c>
      <c r="AW278" s="104">
        <f>'Renewable Diesel'!N287*'RD Feedstock Breakdown'!$AW$3*'Feedstock Conversion Rates'!$B$7/12+15+10-25-25+22-25+77.5-56</f>
        <v>34.900000000000006</v>
      </c>
      <c r="AX278" s="106">
        <f t="shared" si="239"/>
        <v>120.14999999999999</v>
      </c>
      <c r="AY278" s="104">
        <f>('Renewable Diesel'!O287*'RD Feedstock Breakdown'!AY$3*'Feedstock Conversion Rates'!B$4)/12-95-250-3</f>
        <v>-137.0625</v>
      </c>
      <c r="AZ278" s="104">
        <f>('Renewable Diesel'!O287*'RD Feedstock Breakdown'!AZ$3*'Feedstock Conversion Rates'!B$3)/12+95+250+3</f>
        <v>373.03125</v>
      </c>
      <c r="BA278" s="106">
        <f t="shared" si="217"/>
        <v>235.96875</v>
      </c>
      <c r="BB278" s="104">
        <f>('Renewable Diesel'!Q287*'RD Feedstock Breakdown'!BB$3*'Feedstock Conversion Rates'!B$4)/12</f>
        <v>11.156249999999998</v>
      </c>
      <c r="BC278" s="104">
        <f>('Renewable Diesel'!Q287*'RD Feedstock Breakdown'!BC$3*'Feedstock Conversion Rates'!B$3)/12</f>
        <v>1.4017500000000001</v>
      </c>
      <c r="BD278" s="104">
        <f>('Renewable Diesel'!Q287*'RD Feedstock Breakdown'!BD$3*'Feedstock Conversion Rates'!B$6)/12</f>
        <v>0.8207500000000002</v>
      </c>
      <c r="BE278" s="106">
        <f t="shared" si="279"/>
        <v>13.378749999999998</v>
      </c>
      <c r="BF278" s="104">
        <f>('Renewable Diesel'!R287*'RD Feedstock Breakdown'!BF$3*'Feedstock Conversion Rates'!B$4)/12</f>
        <v>62.5</v>
      </c>
      <c r="BG278" s="106">
        <f t="shared" si="262"/>
        <v>62.5</v>
      </c>
      <c r="BH278" s="104">
        <f>('Renewable Diesel'!T287*'RD Feedstock Breakdown'!BH$3*'Feedstock Conversion Rates'!B$7)/12</f>
        <v>27.599999999999998</v>
      </c>
      <c r="BI278" s="106">
        <f t="shared" si="243"/>
        <v>27.599999999999998</v>
      </c>
      <c r="BJ278" s="104">
        <f>('Renewable Diesel'!W287*'RD Feedstock Breakdown'!BJ$3*'Feedstock Conversion Rates'!B$4)/12</f>
        <v>7.5</v>
      </c>
      <c r="BK278" s="104">
        <f>('Renewable Diesel'!W287*'RD Feedstock Breakdown'!BK$3*'Feedstock Conversion Rates'!B$3)/12</f>
        <v>1.335</v>
      </c>
      <c r="BL278" s="104">
        <f>('Renewable Diesel'!W287*'RD Feedstock Breakdown'!BL$3*'Feedstock Conversion Rates'!B$6)/12</f>
        <v>3.1266666666666669</v>
      </c>
      <c r="BM278" s="104">
        <f>('Renewable Diesel'!W287*'RD Feedstock Breakdown'!BM$3*'Feedstock Conversion Rates'!B$7)/12</f>
        <v>1.5333333333333332</v>
      </c>
      <c r="BN278" s="106">
        <f t="shared" si="209"/>
        <v>13.495000000000001</v>
      </c>
      <c r="BO278" s="104">
        <f>('Renewable Diesel'!P287*'Feedstock Conversion Rates'!B$4)/12</f>
        <v>31.25</v>
      </c>
      <c r="BP278" s="106">
        <f t="shared" si="285"/>
        <v>31.25</v>
      </c>
      <c r="BQ278" s="104">
        <f>('Renewable Diesel'!$S287*'RD Feedstock Breakdown'!BQ$3*'Feedstock Conversion Rates'!B$4)/12+10+15-15</f>
        <v>38.125</v>
      </c>
      <c r="BR278" s="104">
        <f>('Renewable Diesel'!$S287*'RD Feedstock Breakdown'!BR$3*'Feedstock Conversion Rates'!B$7)/12-10-15+15</f>
        <v>1.5</v>
      </c>
      <c r="BS278" s="106">
        <f t="shared" si="222"/>
        <v>39.625</v>
      </c>
      <c r="BT278" s="106"/>
      <c r="BU278" s="104">
        <f>('Renewable Diesel'!Y287*'Feedstock Conversion Rates'!B$7)/12</f>
        <v>2.6833333333333331</v>
      </c>
      <c r="BV278" s="106">
        <f t="shared" si="281"/>
        <v>2.6833333333333331</v>
      </c>
      <c r="BW278" s="104">
        <f>('Renewable Diesel'!$Z287*'RD Feedstock Breakdown'!BW$3*'Feedstock Conversion Rates'!$B$4)/12</f>
        <v>71.875</v>
      </c>
      <c r="BX278" s="104">
        <f>('Renewable Diesel'!$Z287*'RD Feedstock Breakdown'!BX$3*'Feedstock Conversion Rates'!$B$5)/12</f>
        <v>7.2354166666666666</v>
      </c>
      <c r="BY278" s="104">
        <f>('Renewable Diesel'!$Z287*'RD Feedstock Breakdown'!BY$3*'Feedstock Conversion Rates'!$B$7)/12</f>
        <v>61.716666666666661</v>
      </c>
      <c r="BZ278" s="104">
        <f>('Renewable Diesel'!$Z287*'RD Feedstock Breakdown'!BZ$3*'Feedstock Conversion Rates'!$B$3)/12</f>
        <v>15.352499999999999</v>
      </c>
      <c r="CA278" s="106">
        <f t="shared" si="228"/>
        <v>156.17958333333331</v>
      </c>
      <c r="CB278" s="104">
        <f>('Renewable Diesel'!AA287*'Feedstock Conversion Rates'!B$4)/12</f>
        <v>191.25</v>
      </c>
      <c r="CC278" s="106">
        <f t="shared" si="213"/>
        <v>191.25</v>
      </c>
      <c r="CD278" s="104">
        <f>('Renewable Diesel'!$AB287*'RD Feedstock Breakdown'!CD$3*'Feedstock Conversion Rates'!$B$6)/12-15-5</f>
        <v>12.830000000000005</v>
      </c>
      <c r="CE278" s="104">
        <f>('Renewable Diesel'!$AB287*'RD Feedstock Breakdown'!CE$3*'Feedstock Conversion Rates'!$B$4)/12+15+5</f>
        <v>31.25</v>
      </c>
      <c r="CF278" s="106">
        <f t="shared" si="205"/>
        <v>44.080000000000005</v>
      </c>
      <c r="CG278" s="104">
        <f>('Renewable Diesel'!AD287*'Feedstock Conversion Rates'!B$4)/12</f>
        <v>112.5</v>
      </c>
      <c r="CH278" s="106">
        <f t="shared" si="278"/>
        <v>112.5</v>
      </c>
      <c r="CI278" s="104">
        <f>('Renewable Diesel'!$AE287*'RD Feedstock Breakdown'!CI$3*'Feedstock Conversion Rates'!$B$5)/12</f>
        <v>0.34604166666666664</v>
      </c>
      <c r="CJ278" s="104">
        <f>('Renewable Diesel'!$AE287*'RD Feedstock Breakdown'!CJ$3*'Feedstock Conversion Rates'!$B$4)/12</f>
        <v>0.34375</v>
      </c>
      <c r="CK278" s="106">
        <f t="shared" si="286"/>
        <v>0.68979166666666658</v>
      </c>
      <c r="CL278" s="104">
        <f>(((CL$3*'Renewable Diesel'!$AF287)*'Feedstock Conversion Rates'!$B$3)/12)</f>
        <v>91.78125</v>
      </c>
      <c r="CM278" s="104">
        <f>(((CM$3*'Renewable Diesel'!$AF287)*'Feedstock Conversion Rates'!$B$6)/12)</f>
        <v>53.739583333333336</v>
      </c>
      <c r="CN278" s="104">
        <f>(((CN$3*'Renewable Diesel'!$AF287)*'Feedstock Conversion Rates'!$B$4)/12)</f>
        <v>42.96875</v>
      </c>
      <c r="CO278" s="106">
        <f t="shared" si="280"/>
        <v>188.48958333333334</v>
      </c>
      <c r="CP278" s="104">
        <f>('Renewable Diesel'!$AG287*'RD Feedstock Breakdown'!CP$3*'Feedstock Conversion Rates'!$B$3)/12+4-4</f>
        <v>6.0075000000000003</v>
      </c>
      <c r="CQ278" s="104">
        <f>('Renewable Diesel'!$AG287*'RD Feedstock Breakdown'!CQ$3*'Feedstock Conversion Rates'!$B$6)/12</f>
        <v>3.5175000000000001</v>
      </c>
      <c r="CR278" s="104">
        <f>('Renewable Diesel'!$AG287*'RD Feedstock Breakdown'!CR$3*'Feedstock Conversion Rates'!$B$4)/12-4+4</f>
        <v>2.8125</v>
      </c>
      <c r="CS278" s="106">
        <f t="shared" si="231"/>
        <v>12.3375</v>
      </c>
      <c r="CT278" s="104">
        <f>('Renewable Diesel'!AI287*'Feedstock Conversion Rates'!$B$4*'RD Feedstock Breakdown'!$CT$3)/12</f>
        <v>29.375</v>
      </c>
      <c r="CU278" s="106">
        <f t="shared" si="282"/>
        <v>29.375</v>
      </c>
      <c r="CV278" s="104">
        <f>('Renewable Diesel'!AN287*'Feedstock Conversion Rates'!$B$3*'RD Feedstock Breakdown'!$CV$3)/12</f>
        <v>0.50062499999999999</v>
      </c>
      <c r="CW278" s="106">
        <f t="shared" si="255"/>
        <v>0.50062499999999999</v>
      </c>
      <c r="CX278" s="104">
        <f>('Renewable Diesel'!AO287*'RD Feedstock Breakdown'!$CX$3*'Feedstock Conversion Rates'!$B$3)/12</f>
        <v>6.3412499999999996</v>
      </c>
      <c r="CY278" s="104">
        <f>('Renewable Diesel'!AO287*'RD Feedstock Breakdown'!$CY$3*'Feedstock Conversion Rates'!$B$6)/12</f>
        <v>7.4258333333333342</v>
      </c>
      <c r="CZ278" s="106">
        <f t="shared" si="233"/>
        <v>13.767083333333334</v>
      </c>
      <c r="DA278" s="104">
        <f>('Renewable Diesel'!$AP287*'RD Feedstock Breakdown'!DA$3*'Feedstock Conversion Rates'!$B$3)/12</f>
        <v>6.3412499999999996</v>
      </c>
      <c r="DB278" s="104">
        <f>('Renewable Diesel'!$AP287*'RD Feedstock Breakdown'!DB$3*'Feedstock Conversion Rates'!$B$8)/12</f>
        <v>7.421875</v>
      </c>
      <c r="DC278" s="106">
        <f t="shared" si="260"/>
        <v>13.763124999999999</v>
      </c>
      <c r="DD278" s="104">
        <f>('Renewable Diesel'!AQ287*$DD$3*'Feedstock Conversion Rates'!$B$14)/12</f>
        <v>3.1041666666666665</v>
      </c>
      <c r="DE278" s="106">
        <f t="shared" si="261"/>
        <v>3.1041666666666665</v>
      </c>
      <c r="DF278" s="104">
        <f>('Renewable Diesel'!AR287*'Feedstock Conversion Rates'!$B$4*$DF$3)/12</f>
        <v>75</v>
      </c>
      <c r="DG278" s="106">
        <f t="shared" si="234"/>
        <v>75</v>
      </c>
      <c r="DH278" s="104">
        <f>('Renewable Diesel'!AS287*'Feedstock Conversion Rates'!$B$4*$DH$3)/12</f>
        <v>75</v>
      </c>
      <c r="DI278" s="106">
        <f t="shared" si="240"/>
        <v>75</v>
      </c>
      <c r="DJ278" s="104">
        <f>('Renewable Diesel'!AT287*'Feedstock Conversion Rates'!$B$4*0.25)/12</f>
        <v>8.59375</v>
      </c>
      <c r="DK278" s="104">
        <f>('Renewable Diesel'!$AT287*'RD Feedstock Breakdown'!DK$3*'Feedstock Conversion Rates'!$B$3)/12*0.5</f>
        <v>9.1781249999999996</v>
      </c>
      <c r="DL278" s="104">
        <f>('Renewable Diesel'!$AT287*'RD Feedstock Breakdown'!$DL$3*'Feedstock Conversion Rates'!$B$6)/12</f>
        <v>10.747916666666669</v>
      </c>
      <c r="DM278" s="104">
        <f>('Renewable Diesel'!$AT287*'RD Feedstock Breakdown'!$DM$3*'Feedstock Conversion Rates'!$B$8)/12</f>
        <v>10.7421875</v>
      </c>
      <c r="DN278" s="106">
        <f t="shared" si="210"/>
        <v>39.26197916666667</v>
      </c>
      <c r="DP278" s="104">
        <f t="shared" si="265"/>
        <v>12.720250000000007</v>
      </c>
      <c r="DQ278" s="104">
        <f t="shared" si="266"/>
        <v>912.11776750000001</v>
      </c>
      <c r="DR278" s="104">
        <f t="shared" si="271"/>
        <v>1614.953125</v>
      </c>
      <c r="DS278" s="104">
        <f t="shared" si="283"/>
        <v>67.401250000000005</v>
      </c>
      <c r="DT278" s="104">
        <f t="shared" si="267"/>
        <v>304.53923333333341</v>
      </c>
      <c r="DU278" s="104">
        <f t="shared" si="268"/>
        <v>322.15609999999998</v>
      </c>
      <c r="DV278" s="104">
        <f t="shared" si="272"/>
        <v>39.75</v>
      </c>
      <c r="DW278" s="104">
        <f t="shared" si="269"/>
        <v>3</v>
      </c>
      <c r="DX278" s="106">
        <f t="shared" si="273"/>
        <v>3276.6377258333337</v>
      </c>
      <c r="DY278" s="109">
        <f t="shared" si="257"/>
        <v>-135.00000000000048</v>
      </c>
      <c r="EA278" s="110">
        <f t="shared" si="250"/>
        <v>3.8821044815886439E-3</v>
      </c>
      <c r="EB278" s="110">
        <f t="shared" si="250"/>
        <v>0.27837003777035646</v>
      </c>
      <c r="EC278" s="110">
        <f t="shared" si="250"/>
        <v>0.49286898953385994</v>
      </c>
      <c r="ED278" s="110">
        <f t="shared" si="250"/>
        <v>2.0570247808783353E-2</v>
      </c>
      <c r="EE278" s="110">
        <f t="shared" si="250"/>
        <v>9.2942601170802677E-2</v>
      </c>
      <c r="EF278" s="110">
        <f t="shared" si="250"/>
        <v>9.8319108475157221E-2</v>
      </c>
      <c r="EG278" s="110">
        <f t="shared" si="250"/>
        <v>1.213133807457782E-2</v>
      </c>
      <c r="EH278" s="111">
        <f t="shared" si="274"/>
        <v>9.1557268487379767E-4</v>
      </c>
      <c r="EI278" s="110">
        <f t="shared" si="236"/>
        <v>0.99908442731512614</v>
      </c>
      <c r="EK278" s="132">
        <f>(EA278*'Renewable Diesel'!BF287*'Feedstock Conversion Rates'!B$2)+FB278</f>
        <v>55.74991906686256</v>
      </c>
      <c r="EL278" s="132">
        <f>(EB278*'Renewable Diesel'!BF287*'Feedstock Conversion Rates'!B$3)+FC278</f>
        <v>3767.1516228316304</v>
      </c>
      <c r="EM278" s="132">
        <f>(EC278*'Renewable Diesel'!BF287*'Feedstock Conversion Rates'!B$4)+FD278</f>
        <v>6245.2647422204336</v>
      </c>
      <c r="EN278" s="132">
        <f>(ED278*'Renewable Diesel'!BF287*'Feedstock Conversion Rates'!B$5)+FE278</f>
        <v>262.38836367131643</v>
      </c>
      <c r="EO278" s="132">
        <f>(EE278*'Renewable Diesel'!BF287*'Feedstock Conversion Rates'!B$6)+FF278</f>
        <v>1472.9084615322354</v>
      </c>
      <c r="EP278" s="132">
        <f>(EF278*'Renewable Diesel'!BF287*'Feedstock Conversion Rates'!B$7)+FG278</f>
        <v>1528.2128779603977</v>
      </c>
      <c r="EQ278" s="132">
        <f>(EG278*'Renewable Diesel'!BF287*'Feedstock Conversion Rates'!B$8)+FH278</f>
        <v>192.1489776237795</v>
      </c>
      <c r="ER278" s="132">
        <f>(EH278*'Renewable Diesel'!BF287*'Feedstock Conversion Rates'!B$9)+FI278</f>
        <v>14.30845217022358</v>
      </c>
      <c r="ES278" s="132">
        <f t="shared" si="275"/>
        <v>13538.133417076879</v>
      </c>
      <c r="ET278" s="133">
        <f>ES278/'Renewable Diesel'!BF287</f>
        <v>15.339372929032232</v>
      </c>
      <c r="EW278" s="73">
        <f t="shared" si="223"/>
        <v>9615.7871372736772</v>
      </c>
      <c r="EX278" s="73">
        <f t="shared" si="224"/>
        <v>10388.322955313091</v>
      </c>
      <c r="EY278" s="92">
        <f t="shared" si="258"/>
        <v>0.71027421883318198</v>
      </c>
      <c r="EZ278" s="92">
        <f t="shared" si="258"/>
        <v>0.76733790658388368</v>
      </c>
      <c r="FB278" s="102">
        <f>IF('Renewable Diesel'!$BG287&lt;1,0,(((('Renewable Diesel'!$BG287-1)*'Renewable Diesel'!$BF287)*'RD Feedstock Breakdown'!EA278)*'Feedstock Conversion Rates'!$B$2))</f>
        <v>26.626837337353624</v>
      </c>
      <c r="FC278" s="102">
        <f>IF('Renewable Diesel'!$BG287&lt;1,0,(((('Renewable Diesel'!$BG287-1)*'Renewable Diesel'!$BF287)*'RD Feedstock Breakdown'!EB278)*'Feedstock Conversion Rates'!$B$3))</f>
        <v>1799.2372933489632</v>
      </c>
      <c r="FD278" s="102">
        <f>IF('Renewable Diesel'!$BG287&lt;1,0,(((('Renewable Diesel'!$BG287-1)*'Renewable Diesel'!$BF287)*'RD Feedstock Breakdown'!EC278)*'Feedstock Conversion Rates'!$B$4))</f>
        <v>2982.8141673241639</v>
      </c>
      <c r="FE278" s="102">
        <f>IF('Renewable Diesel'!$BG287&lt;1,0,(((('Renewable Diesel'!$BG287-1)*'Renewable Diesel'!$BF287)*'RD Feedstock Breakdown'!ED278)*'Feedstock Conversion Rates'!$B$5))</f>
        <v>125.31986405776341</v>
      </c>
      <c r="FF278" s="102">
        <f>IF('Renewable Diesel'!$BG287&lt;1,0,(((('Renewable Diesel'!$BG287-1)*'Renewable Diesel'!$BF287)*'RD Feedstock Breakdown'!EE278)*'Feedstock Conversion Rates'!$B$6))</f>
        <v>703.47894085719133</v>
      </c>
      <c r="FG278" s="102">
        <f>IF('Renewable Diesel'!$BG287&lt;1,0,(((('Renewable Diesel'!$BG287-1)*'Renewable Diesel'!$BF287)*'RD Feedstock Breakdown'!EF278)*'Feedstock Conversion Rates'!$B$7))</f>
        <v>729.89300073239633</v>
      </c>
      <c r="FH278" s="102">
        <f>IF('Renewable Diesel'!$BG287&lt;1,0,(((('Renewable Diesel'!$BG287-1)*'Renewable Diesel'!$BF287)*'RD Feedstock Breakdown'!EG278)*'Feedstock Conversion Rates'!$B$8))</f>
        <v>91.772681599609513</v>
      </c>
      <c r="FI278" s="102">
        <f>IF('Renewable Diesel'!$BG287&lt;1,0,(((('Renewable Diesel'!$BG287-1)*'Renewable Diesel'!$BF287)*'RD Feedstock Breakdown'!EH278)*'Feedstock Conversion Rates'!$B$9))</f>
        <v>6.83389025244891</v>
      </c>
      <c r="FJ278" s="102">
        <f t="shared" si="225"/>
        <v>6465.9766755098899</v>
      </c>
      <c r="GD278" s="91">
        <f>'Renewable Diesel'!BB287*0.32</f>
        <v>0</v>
      </c>
      <c r="GE278" s="91">
        <f>'Renewable Diesel'!BC287</f>
        <v>455.4120915854482</v>
      </c>
      <c r="GF278" s="91">
        <f>'Renewable Diesel'!BD287</f>
        <v>0</v>
      </c>
      <c r="GG278" s="91">
        <f t="shared" si="206"/>
        <v>455.4120915854482</v>
      </c>
      <c r="GH278" s="124">
        <v>1</v>
      </c>
      <c r="GI278" s="102">
        <f>$GG278*EA278*'Feedstock Conversion Rates'!$B$2</f>
        <v>15.027637234564976</v>
      </c>
      <c r="GJ278" s="102">
        <f>$GG278*EB278*'Feedstock Conversion Rates'!$B$3</f>
        <v>1015.4523798971031</v>
      </c>
      <c r="GK278" s="102">
        <f>$GG278*EC278*'Feedstock Conversion Rates'!$B$4</f>
        <v>1683.4387305091616</v>
      </c>
      <c r="GL278" s="102">
        <f>$GG278*ED278*'Feedstock Conversion Rates'!$B$5</f>
        <v>70.727943821669015</v>
      </c>
      <c r="GM278" s="102">
        <f>$GG278*EE278*'Feedstock Conversion Rates'!$B$6</f>
        <v>397.02898963998956</v>
      </c>
      <c r="GN278" s="102">
        <f>$GG278*EF278*'Feedstock Conversion Rates'!$B$7</f>
        <v>411.93653966808876</v>
      </c>
      <c r="GO278" s="102">
        <f>$GG278*EG278*'Feedstock Conversion Rates'!$B$8</f>
        <v>51.794606683815644</v>
      </c>
      <c r="GP278" s="102">
        <f>$GG278*EH278*'Feedstock Conversion Rates'!B$9</f>
        <v>3.8569065606061459</v>
      </c>
      <c r="GQ278" s="102">
        <f t="shared" si="276"/>
        <v>3649.263734014999</v>
      </c>
      <c r="GR278" s="85">
        <f t="shared" si="204"/>
        <v>8.0131024218321478</v>
      </c>
      <c r="GT278" s="103">
        <f t="shared" si="254"/>
        <v>4.1179915538829097E-3</v>
      </c>
      <c r="GU278" s="103">
        <f t="shared" si="254"/>
        <v>0.27826226162609535</v>
      </c>
      <c r="GV278" s="103">
        <f t="shared" si="254"/>
        <v>0.46130914431251752</v>
      </c>
      <c r="GW278" s="103">
        <f t="shared" si="254"/>
        <v>1.938142841319189E-2</v>
      </c>
      <c r="GX278" s="103">
        <f t="shared" si="253"/>
        <v>0.10879701182988211</v>
      </c>
      <c r="GY278" s="103">
        <f t="shared" si="253"/>
        <v>0.11288209614131324</v>
      </c>
      <c r="GZ278" s="103">
        <f t="shared" si="253"/>
        <v>1.419316619981042E-2</v>
      </c>
      <c r="HA278" s="103">
        <f t="shared" si="251"/>
        <v>1.0568999233066373E-3</v>
      </c>
    </row>
    <row r="279" spans="1:209" x14ac:dyDescent="0.25">
      <c r="A279" s="96">
        <v>48914</v>
      </c>
      <c r="B279" s="104">
        <f>115.75+145+100+235+31.5-21-287-20-28-32-70-39-47+40+20-3-10+65-105+5-15-75-1+20+33+40+14-5-40+26+55-55.5-91+70-70</f>
        <v>0.75</v>
      </c>
      <c r="C279" s="104">
        <f t="shared" si="287"/>
        <v>4</v>
      </c>
      <c r="D279" s="104">
        <f t="shared" si="288"/>
        <v>2</v>
      </c>
      <c r="E279" s="104">
        <f>('Renewable Diesel'!B288*E$3*'Feedstock Conversion Rates'!$B$2)/12+26+13-100+27.5+39+105-40-14-26+55.5-51+29-10-139</f>
        <v>4.9300000000000068</v>
      </c>
      <c r="F279" s="104">
        <f>('Renewable Diesel'!B288*'RD Feedstock Breakdown'!F$3*'Feedstock Conversion Rates'!B$8)/12+77+23-10-12-115.75+24+8-33+5-16</f>
        <v>4.15625</v>
      </c>
      <c r="G279" s="104">
        <f>('Renewable Diesel'!B288*'RD Feedstock Breakdown'!G$3*'Feedstock Conversion Rates'!B$7)/12-25-15-25+4+4-20-40-20+10-17.5+20+50-12+32.5+35-75-75+22.5+5-20+15+125-10-60+5-85+45+20+20-70</f>
        <v>19.657000000000011</v>
      </c>
      <c r="H279" s="104">
        <f>('Renewable Diesel'!B288*'RD Feedstock Breakdown'!H$3*'Feedstock Conversion Rates'!B$3)/12-85+4-15+70-65-80+50-22.5-5+25+27.5+15+50+15-10+5+50+75-5-25-85-12.5+30+22.5-25-30+150+90-120+25+10+20+85-30-45-20-20+95+70</f>
        <v>460.40022499999998</v>
      </c>
      <c r="I279" s="106">
        <f t="shared" ref="I279:I342" si="291">SUM(B279:H279)</f>
        <v>495.89347499999997</v>
      </c>
      <c r="J279" s="104">
        <f>54-15-35+7+35+20+34-7.5+35+37.5-145-20+15+40-32-5-18</f>
        <v>0</v>
      </c>
      <c r="K279" s="104"/>
      <c r="L279" s="104">
        <v>1</v>
      </c>
      <c r="M279" s="104">
        <f>('Renewable Diesel'!C288*'RD Feedstock Breakdown'!M$3*'Feedstock Conversion Rates'!B$2)/12</f>
        <v>7.7902500000000003</v>
      </c>
      <c r="N279" s="104">
        <f>('Renewable Diesel'!C288*'RD Feedstock Breakdown'!N$3*'Feedstock Conversion Rates'!B$8)/12</f>
        <v>3.671875</v>
      </c>
      <c r="O279" s="104">
        <f>('Renewable Diesel'!C288*'RD Feedstock Breakdown'!O$3*'Feedstock Conversion Rates'!B$7)/12</f>
        <v>11.9991</v>
      </c>
      <c r="P279" s="104">
        <f>('Renewable Diesel'!C288*'RD Feedstock Breakdown'!P$3*'Feedstock Conversion Rates'!B$3)/12</f>
        <v>10.4470425</v>
      </c>
      <c r="Q279" s="106">
        <f t="shared" si="216"/>
        <v>34.908267500000001</v>
      </c>
      <c r="R279" s="104">
        <f>('Renewable Diesel'!D288*'RD Feedstock Breakdown'!R$3*'Feedstock Conversion Rates'!B$7)/12</f>
        <v>2.2999999999999998</v>
      </c>
      <c r="S279" s="106">
        <f t="shared" si="249"/>
        <v>2.2999999999999998</v>
      </c>
      <c r="T279" s="104">
        <f t="shared" ref="T279:T288" si="292">5.825+20-25+35-5-30</f>
        <v>0.82500000000000284</v>
      </c>
      <c r="U279" s="104">
        <v>30</v>
      </c>
      <c r="V279" s="104">
        <f>('Renewable Diesel'!E288*'RD Feedstock Breakdown'!V$3*'Feedstock Conversion Rates'!B$6)/12-20+25-35</f>
        <v>14.250150000000012</v>
      </c>
      <c r="W279" s="104">
        <f>('Renewable Diesel'!E288*'RD Feedstock Breakdown'!W$3*'Feedstock Conversion Rates'!B$8)/12-6+5</f>
        <v>21.1796875</v>
      </c>
      <c r="X279" s="106">
        <f t="shared" si="277"/>
        <v>66.254837500000008</v>
      </c>
      <c r="Y279" s="104">
        <f t="shared" si="289"/>
        <v>66</v>
      </c>
      <c r="Z279" s="104">
        <f>('Renewable Diesel'!F288*'RD Feedstock Breakdown'!Z$3*'Feedstock Conversion Rates'!B$6)/12-142+15+5+75-45+52.5-87.5+80-10-20-17+2+7+15+20</f>
        <v>109.46000000000001</v>
      </c>
      <c r="AA279" s="104">
        <f>('Renewable Diesel'!F288*'RD Feedstock Breakdown'!AA$3*'Feedstock Conversion Rates'!B$7)/12+24-30-55+15+30</f>
        <v>88.266666666666652</v>
      </c>
      <c r="AB279" s="106">
        <f t="shared" si="235"/>
        <v>263.72666666666669</v>
      </c>
      <c r="AC279" s="104">
        <f>('Renewable Diesel'!G288*'RD Feedstock Breakdown'!AC$3*'Feedstock Conversion Rates'!B$5)/12</f>
        <v>11.796875</v>
      </c>
      <c r="AD279" s="104">
        <f>('Renewable Diesel'!G288*'RD Feedstock Breakdown'!AD$3*'Feedstock Conversion Rates'!B$4)/12</f>
        <v>5.859375</v>
      </c>
      <c r="AE279" s="104">
        <f>('Renewable Diesel'!G288*'RD Feedstock Breakdown'!AE$3*'Feedstock Conversion Rates'!B$6)/12</f>
        <v>7.3281250000000009</v>
      </c>
      <c r="AF279" s="106">
        <f t="shared" si="284"/>
        <v>24.984375</v>
      </c>
      <c r="AG279" s="104">
        <f t="shared" si="230"/>
        <v>6.5</v>
      </c>
      <c r="AH279" s="104">
        <v>135</v>
      </c>
      <c r="AI279" s="104">
        <f>('Renewable Diesel'!H288*'RD Feedstock Breakdown'!AI$3*'Feedstock Conversion Rates'!B$6)/12-130-20+51-52.5+10</f>
        <v>7.0166666666666799</v>
      </c>
      <c r="AJ279" s="106">
        <f t="shared" si="248"/>
        <v>13.51666666666668</v>
      </c>
      <c r="AK279" s="104">
        <f>('Renewable Diesel'!J288*'RD Feedstock Breakdown'!AK$3*'Feedstock Conversion Rates'!B$4)/12</f>
        <v>95.8125</v>
      </c>
      <c r="AL279" s="106">
        <f t="shared" si="252"/>
        <v>95.8125</v>
      </c>
      <c r="AM279" s="104">
        <f>('Renewable Diesel'!K288*'RD Feedstock Breakdown'!AM$3*'Feedstock Conversion Rates'!B$4)/12+5+15-10-5+10-35-15</f>
        <v>23.59375</v>
      </c>
      <c r="AN279" s="104">
        <f>('Renewable Diesel'!K288*'RD Feedstock Breakdown'!AN$3*'Feedstock Conversion Rates'!B$6)/12-5-15+10+5-10+35+15</f>
        <v>59.427083333333329</v>
      </c>
      <c r="AO279" s="106">
        <f t="shared" si="270"/>
        <v>83.020833333333329</v>
      </c>
      <c r="AP279" s="104">
        <f>('Renewable Diesel'!L288*'RD Feedstock Breakdown'!AP$3*'Feedstock Conversion Rates'!B$4)/12+15-10-10+22</f>
        <v>75.59375</v>
      </c>
      <c r="AQ279" s="104">
        <f>('Renewable Diesel'!L288*'RD Feedstock Breakdown'!AQ$3*'Feedstock Conversion Rates'!B$6)/12-15+10+10-22</f>
        <v>7.4270833333333321</v>
      </c>
      <c r="AR279" s="106">
        <f t="shared" si="256"/>
        <v>83.020833333333329</v>
      </c>
      <c r="AS279" s="104">
        <f>('Renewable Diesel'!M288*'RD Feedstock Breakdown'!AS$3*'Feedstock Conversion Rates'!B$4)/12-25</f>
        <v>431.25</v>
      </c>
      <c r="AT279" s="104">
        <f>('Renewable Diesel'!M288*'RD Feedstock Breakdown'!AT$3*'Feedstock Conversion Rates'!B$5)/12+25</f>
        <v>25</v>
      </c>
      <c r="AU279" s="106">
        <f t="shared" si="290"/>
        <v>456.25</v>
      </c>
      <c r="AV279" s="104">
        <f>'Renewable Diesel'!N288*'RD Feedstock Breakdown'!$AV$3*'Feedstock Conversion Rates'!$B$4/12-15-10+25+25-22+25-77.5+56</f>
        <v>85.249999999999986</v>
      </c>
      <c r="AW279" s="104">
        <f>'Renewable Diesel'!N288*'RD Feedstock Breakdown'!$AW$3*'Feedstock Conversion Rates'!$B$7/12+15+10-25-25+22-25+77.5-56</f>
        <v>34.900000000000006</v>
      </c>
      <c r="AX279" s="106">
        <f t="shared" si="239"/>
        <v>120.14999999999999</v>
      </c>
      <c r="AY279" s="104">
        <f>('Renewable Diesel'!O288*'RD Feedstock Breakdown'!AY$3*'Feedstock Conversion Rates'!B$4)/12-95-250-3</f>
        <v>-137.0625</v>
      </c>
      <c r="AZ279" s="104">
        <f>('Renewable Diesel'!O288*'RD Feedstock Breakdown'!AZ$3*'Feedstock Conversion Rates'!B$3)/12+95+250+3</f>
        <v>373.03125</v>
      </c>
      <c r="BA279" s="106">
        <f t="shared" si="217"/>
        <v>235.96875</v>
      </c>
      <c r="BB279" s="104">
        <f>('Renewable Diesel'!Q288*'RD Feedstock Breakdown'!BB$3*'Feedstock Conversion Rates'!B$4)/12</f>
        <v>11.156249999999998</v>
      </c>
      <c r="BC279" s="104">
        <f>('Renewable Diesel'!Q288*'RD Feedstock Breakdown'!BC$3*'Feedstock Conversion Rates'!B$3)/12</f>
        <v>1.4017500000000001</v>
      </c>
      <c r="BD279" s="104">
        <f>('Renewable Diesel'!Q288*'RD Feedstock Breakdown'!BD$3*'Feedstock Conversion Rates'!B$6)/12</f>
        <v>0.8207500000000002</v>
      </c>
      <c r="BE279" s="106">
        <f t="shared" si="279"/>
        <v>13.378749999999998</v>
      </c>
      <c r="BF279" s="104">
        <f>('Renewable Diesel'!R288*'RD Feedstock Breakdown'!BF$3*'Feedstock Conversion Rates'!B$4)/12</f>
        <v>62.5</v>
      </c>
      <c r="BG279" s="106">
        <f t="shared" si="262"/>
        <v>62.5</v>
      </c>
      <c r="BH279" s="104">
        <f>('Renewable Diesel'!T288*'RD Feedstock Breakdown'!BH$3*'Feedstock Conversion Rates'!B$7)/12</f>
        <v>27.599999999999998</v>
      </c>
      <c r="BI279" s="106">
        <f t="shared" si="243"/>
        <v>27.599999999999998</v>
      </c>
      <c r="BJ279" s="104">
        <f>('Renewable Diesel'!W288*'RD Feedstock Breakdown'!BJ$3*'Feedstock Conversion Rates'!B$4)/12</f>
        <v>7.5</v>
      </c>
      <c r="BK279" s="104">
        <f>('Renewable Diesel'!W288*'RD Feedstock Breakdown'!BK$3*'Feedstock Conversion Rates'!B$3)/12</f>
        <v>1.335</v>
      </c>
      <c r="BL279" s="104">
        <f>('Renewable Diesel'!W288*'RD Feedstock Breakdown'!BL$3*'Feedstock Conversion Rates'!B$6)/12</f>
        <v>3.1266666666666669</v>
      </c>
      <c r="BM279" s="104">
        <f>('Renewable Diesel'!W288*'RD Feedstock Breakdown'!BM$3*'Feedstock Conversion Rates'!B$7)/12</f>
        <v>1.5333333333333332</v>
      </c>
      <c r="BN279" s="106">
        <f t="shared" si="209"/>
        <v>13.495000000000001</v>
      </c>
      <c r="BO279" s="104">
        <f>('Renewable Diesel'!P288*'Feedstock Conversion Rates'!B$4)/12</f>
        <v>31.25</v>
      </c>
      <c r="BP279" s="106">
        <f t="shared" si="285"/>
        <v>31.25</v>
      </c>
      <c r="BQ279" s="104">
        <f>('Renewable Diesel'!$S288*'RD Feedstock Breakdown'!BQ$3*'Feedstock Conversion Rates'!B$4)/12+10+15-15</f>
        <v>38.125</v>
      </c>
      <c r="BR279" s="104">
        <f>('Renewable Diesel'!$S288*'RD Feedstock Breakdown'!BR$3*'Feedstock Conversion Rates'!B$7)/12-10-15+15</f>
        <v>1.5</v>
      </c>
      <c r="BS279" s="106">
        <f t="shared" si="222"/>
        <v>39.625</v>
      </c>
      <c r="BT279" s="106"/>
      <c r="BU279" s="104">
        <f>('Renewable Diesel'!Y288*'Feedstock Conversion Rates'!B$7)/12</f>
        <v>2.6833333333333331</v>
      </c>
      <c r="BV279" s="106">
        <f t="shared" si="281"/>
        <v>2.6833333333333331</v>
      </c>
      <c r="BW279" s="104">
        <f>('Renewable Diesel'!$Z288*'RD Feedstock Breakdown'!BW$3*'Feedstock Conversion Rates'!$B$4)/12</f>
        <v>71.875</v>
      </c>
      <c r="BX279" s="104">
        <f>('Renewable Diesel'!$Z288*'RD Feedstock Breakdown'!BX$3*'Feedstock Conversion Rates'!$B$5)/12</f>
        <v>7.2354166666666666</v>
      </c>
      <c r="BY279" s="104">
        <f>('Renewable Diesel'!$Z288*'RD Feedstock Breakdown'!BY$3*'Feedstock Conversion Rates'!$B$7)/12</f>
        <v>61.716666666666661</v>
      </c>
      <c r="BZ279" s="104">
        <f>('Renewable Diesel'!$Z288*'RD Feedstock Breakdown'!BZ$3*'Feedstock Conversion Rates'!$B$3)/12</f>
        <v>15.352499999999999</v>
      </c>
      <c r="CA279" s="106">
        <f t="shared" si="228"/>
        <v>156.17958333333331</v>
      </c>
      <c r="CB279" s="104">
        <f>('Renewable Diesel'!AA288*'Feedstock Conversion Rates'!B$4)/12</f>
        <v>191.25</v>
      </c>
      <c r="CC279" s="106">
        <f t="shared" si="213"/>
        <v>191.25</v>
      </c>
      <c r="CD279" s="104">
        <f>('Renewable Diesel'!$AB288*'RD Feedstock Breakdown'!CD$3*'Feedstock Conversion Rates'!$B$6)/12-15-5</f>
        <v>12.830000000000005</v>
      </c>
      <c r="CE279" s="104">
        <f>('Renewable Diesel'!$AB288*'RD Feedstock Breakdown'!CE$3*'Feedstock Conversion Rates'!$B$4)/12+15+5</f>
        <v>31.25</v>
      </c>
      <c r="CF279" s="106">
        <f t="shared" si="205"/>
        <v>44.080000000000005</v>
      </c>
      <c r="CG279" s="104">
        <f>('Renewable Diesel'!AD288*'Feedstock Conversion Rates'!B$4)/12</f>
        <v>112.5</v>
      </c>
      <c r="CH279" s="106">
        <f t="shared" si="278"/>
        <v>112.5</v>
      </c>
      <c r="CI279" s="104">
        <f>('Renewable Diesel'!$AE288*'RD Feedstock Breakdown'!CI$3*'Feedstock Conversion Rates'!$B$5)/12</f>
        <v>0.34604166666666664</v>
      </c>
      <c r="CJ279" s="104">
        <f>('Renewable Diesel'!$AE288*'RD Feedstock Breakdown'!CJ$3*'Feedstock Conversion Rates'!$B$4)/12</f>
        <v>0.34375</v>
      </c>
      <c r="CK279" s="106">
        <f t="shared" si="286"/>
        <v>0.68979166666666658</v>
      </c>
      <c r="CL279" s="104">
        <f>(((CL$3*'Renewable Diesel'!$AF288)*'Feedstock Conversion Rates'!$B$3)/12)</f>
        <v>91.78125</v>
      </c>
      <c r="CM279" s="104">
        <f>(((CM$3*'Renewable Diesel'!$AF288)*'Feedstock Conversion Rates'!$B$6)/12)</f>
        <v>53.739583333333336</v>
      </c>
      <c r="CN279" s="104">
        <f>(((CN$3*'Renewable Diesel'!$AF288)*'Feedstock Conversion Rates'!$B$4)/12)</f>
        <v>42.96875</v>
      </c>
      <c r="CO279" s="106">
        <f t="shared" si="280"/>
        <v>188.48958333333334</v>
      </c>
      <c r="CP279" s="104">
        <f>('Renewable Diesel'!$AG288*'RD Feedstock Breakdown'!CP$3*'Feedstock Conversion Rates'!$B$3)/12+4-4</f>
        <v>6.0075000000000003</v>
      </c>
      <c r="CQ279" s="104">
        <f>('Renewable Diesel'!$AG288*'RD Feedstock Breakdown'!CQ$3*'Feedstock Conversion Rates'!$B$6)/12</f>
        <v>3.5175000000000001</v>
      </c>
      <c r="CR279" s="104">
        <f>('Renewable Diesel'!$AG288*'RD Feedstock Breakdown'!CR$3*'Feedstock Conversion Rates'!$B$4)/12-4+4</f>
        <v>2.8125</v>
      </c>
      <c r="CS279" s="106">
        <f t="shared" si="231"/>
        <v>12.3375</v>
      </c>
      <c r="CT279" s="104">
        <f>('Renewable Diesel'!AI288*'Feedstock Conversion Rates'!$B$4*'RD Feedstock Breakdown'!$CT$3)/12</f>
        <v>29.375</v>
      </c>
      <c r="CU279" s="106">
        <f t="shared" si="282"/>
        <v>29.375</v>
      </c>
      <c r="CV279" s="104">
        <f>('Renewable Diesel'!AN288*'Feedstock Conversion Rates'!$B$3*'RD Feedstock Breakdown'!$CV$3)/12</f>
        <v>0.50062499999999999</v>
      </c>
      <c r="CW279" s="106">
        <f t="shared" si="255"/>
        <v>0.50062499999999999</v>
      </c>
      <c r="CX279" s="104">
        <f>('Renewable Diesel'!AO288*'RD Feedstock Breakdown'!$CX$3*'Feedstock Conversion Rates'!$B$3)/12</f>
        <v>6.3412499999999996</v>
      </c>
      <c r="CY279" s="104">
        <f>('Renewable Diesel'!AO288*'RD Feedstock Breakdown'!$CY$3*'Feedstock Conversion Rates'!$B$6)/12</f>
        <v>7.4258333333333342</v>
      </c>
      <c r="CZ279" s="106">
        <f t="shared" si="233"/>
        <v>13.767083333333334</v>
      </c>
      <c r="DA279" s="104">
        <f>('Renewable Diesel'!$AP288*'RD Feedstock Breakdown'!DA$3*'Feedstock Conversion Rates'!$B$3)/12</f>
        <v>6.3412499999999996</v>
      </c>
      <c r="DB279" s="104">
        <f>('Renewable Diesel'!$AP288*'RD Feedstock Breakdown'!DB$3*'Feedstock Conversion Rates'!$B$8)/12</f>
        <v>7.421875</v>
      </c>
      <c r="DC279" s="106">
        <f t="shared" si="260"/>
        <v>13.763124999999999</v>
      </c>
      <c r="DD279" s="104">
        <f>('Renewable Diesel'!AQ288*$DD$3*'Feedstock Conversion Rates'!$B$14)/12</f>
        <v>3.1041666666666665</v>
      </c>
      <c r="DE279" s="106">
        <f t="shared" si="261"/>
        <v>3.1041666666666665</v>
      </c>
      <c r="DF279" s="104">
        <f>('Renewable Diesel'!AR288*'Feedstock Conversion Rates'!$B$4*$DF$3)/12</f>
        <v>75</v>
      </c>
      <c r="DG279" s="106">
        <f t="shared" si="234"/>
        <v>75</v>
      </c>
      <c r="DH279" s="104">
        <f>('Renewable Diesel'!AS288*'Feedstock Conversion Rates'!$B$4*$DH$3)/12</f>
        <v>75</v>
      </c>
      <c r="DI279" s="106">
        <f t="shared" si="240"/>
        <v>75</v>
      </c>
      <c r="DJ279" s="104">
        <f>('Renewable Diesel'!AT288*'Feedstock Conversion Rates'!$B$4*0.25)/12</f>
        <v>8.59375</v>
      </c>
      <c r="DK279" s="104">
        <f>('Renewable Diesel'!$AT288*'RD Feedstock Breakdown'!DK$3*'Feedstock Conversion Rates'!$B$3)/12*0.5</f>
        <v>9.1781249999999996</v>
      </c>
      <c r="DL279" s="104">
        <f>('Renewable Diesel'!$AT288*'RD Feedstock Breakdown'!$DL$3*'Feedstock Conversion Rates'!$B$6)/12</f>
        <v>10.747916666666669</v>
      </c>
      <c r="DM279" s="104">
        <f>('Renewable Diesel'!$AT288*'RD Feedstock Breakdown'!$DM$3*'Feedstock Conversion Rates'!$B$8)/12</f>
        <v>10.7421875</v>
      </c>
      <c r="DN279" s="106">
        <f t="shared" si="210"/>
        <v>39.26197916666667</v>
      </c>
      <c r="DP279" s="104">
        <f t="shared" si="265"/>
        <v>12.720250000000007</v>
      </c>
      <c r="DQ279" s="104">
        <f t="shared" si="266"/>
        <v>982.11776750000001</v>
      </c>
      <c r="DR279" s="104">
        <f t="shared" si="271"/>
        <v>1594.953125</v>
      </c>
      <c r="DS279" s="104">
        <f t="shared" si="283"/>
        <v>67.401250000000005</v>
      </c>
      <c r="DT279" s="104">
        <f t="shared" si="267"/>
        <v>304.53923333333341</v>
      </c>
      <c r="DU279" s="104">
        <f t="shared" si="268"/>
        <v>252.15610000000001</v>
      </c>
      <c r="DV279" s="104">
        <f t="shared" si="272"/>
        <v>39.75</v>
      </c>
      <c r="DW279" s="104">
        <f t="shared" si="269"/>
        <v>3</v>
      </c>
      <c r="DX279" s="106">
        <f t="shared" si="273"/>
        <v>3256.6377258333337</v>
      </c>
      <c r="DY279" s="109">
        <f t="shared" si="257"/>
        <v>-135.00000000000048</v>
      </c>
      <c r="EA279" s="110">
        <f t="shared" si="250"/>
        <v>3.9059456626373912E-3</v>
      </c>
      <c r="EB279" s="110">
        <f t="shared" si="250"/>
        <v>0.301574154137359</v>
      </c>
      <c r="EC279" s="110">
        <f t="shared" si="250"/>
        <v>0.48975454418770853</v>
      </c>
      <c r="ED279" s="110">
        <f t="shared" si="250"/>
        <v>2.0696575939453888E-2</v>
      </c>
      <c r="EE279" s="110">
        <f t="shared" si="250"/>
        <v>9.3513389873724914E-2</v>
      </c>
      <c r="EF279" s="110">
        <f t="shared" si="250"/>
        <v>7.742835440361312E-2</v>
      </c>
      <c r="EG279" s="110">
        <f t="shared" si="250"/>
        <v>1.2205840301081836E-2</v>
      </c>
      <c r="EH279" s="111">
        <f t="shared" si="274"/>
        <v>9.2119549442127061E-4</v>
      </c>
      <c r="EI279" s="110">
        <f t="shared" si="236"/>
        <v>0.99907880450557873</v>
      </c>
      <c r="EK279" s="132">
        <f>(EA279*'Renewable Diesel'!BF288*'Feedstock Conversion Rates'!B$2)+FB279</f>
        <v>59.464393954992275</v>
      </c>
      <c r="EL279" s="132">
        <f>(EB279*'Renewable Diesel'!BF288*'Feedstock Conversion Rates'!B$3)+FC279</f>
        <v>4326.5179358332807</v>
      </c>
      <c r="EM279" s="132">
        <f>(EC279*'Renewable Diesel'!BF288*'Feedstock Conversion Rates'!B$4)+FD279</f>
        <v>6578.8746497129505</v>
      </c>
      <c r="EN279" s="132">
        <f>(ED279*'Renewable Diesel'!BF288*'Feedstock Conversion Rates'!B$5)+FE279</f>
        <v>279.87063098412881</v>
      </c>
      <c r="EO279" s="132">
        <f>(EE279*'Renewable Diesel'!BF288*'Feedstock Conversion Rates'!B$6)+FF279</f>
        <v>1571.0445949015702</v>
      </c>
      <c r="EP279" s="132">
        <f>(EF279*'Renewable Diesel'!BF288*'Feedstock Conversion Rates'!B$7)+FG279</f>
        <v>1275.8503308245249</v>
      </c>
      <c r="EQ279" s="132">
        <f>(EG279*'Renewable Diesel'!BF288*'Feedstock Conversion Rates'!B$8)+FH279</f>
        <v>204.95137382649551</v>
      </c>
      <c r="ER279" s="132">
        <f>(EH279*'Renewable Diesel'!BF288*'Feedstock Conversion Rates'!B$9)+FI279</f>
        <v>15.261787837142812</v>
      </c>
      <c r="ES279" s="132">
        <f t="shared" si="275"/>
        <v>14311.835697875085</v>
      </c>
      <c r="ET279" s="133">
        <f>ES279/'Renewable Diesel'!BF288</f>
        <v>16.009858322565275</v>
      </c>
      <c r="EW279" s="73">
        <f t="shared" si="223"/>
        <v>10294.224507540788</v>
      </c>
      <c r="EX279" s="73">
        <f t="shared" si="224"/>
        <v>11186.271379017231</v>
      </c>
      <c r="EY279" s="92">
        <f t="shared" si="258"/>
        <v>0.71928051193804565</v>
      </c>
      <c r="EZ279" s="92">
        <f t="shared" si="258"/>
        <v>0.78160982386613653</v>
      </c>
      <c r="FB279" s="102">
        <f>IF('Renewable Diesel'!$BG288&lt;1,0,(((('Renewable Diesel'!$BG288-1)*'Renewable Diesel'!$BF288)*'RD Feedstock Breakdown'!EA279)*'Feedstock Conversion Rates'!$B$2))</f>
        <v>29.785140256508264</v>
      </c>
      <c r="FC279" s="102">
        <f>IF('Renewable Diesel'!$BG288&lt;1,0,(((('Renewable Diesel'!$BG288-1)*'Renewable Diesel'!$BF288)*'RD Feedstock Breakdown'!EB279)*'Feedstock Conversion Rates'!$B$3))</f>
        <v>2167.1110217423493</v>
      </c>
      <c r="FD279" s="102">
        <f>IF('Renewable Diesel'!$BG288&lt;1,0,(((('Renewable Diesel'!$BG288-1)*'Renewable Diesel'!$BF288)*'RD Feedstock Breakdown'!EC279)*'Feedstock Conversion Rates'!$B$4))</f>
        <v>3295.2947325083414</v>
      </c>
      <c r="FE279" s="102">
        <f>IF('Renewable Diesel'!$BG288&lt;1,0,(((('Renewable Diesel'!$BG288-1)*'Renewable Diesel'!$BF288)*'RD Feedstock Breakdown'!ED279)*'Feedstock Conversion Rates'!$B$5))</f>
        <v>140.18449433536864</v>
      </c>
      <c r="FF279" s="102">
        <f>IF('Renewable Diesel'!$BG288&lt;1,0,(((('Renewable Diesel'!$BG288-1)*'Renewable Diesel'!$BF288)*'RD Feedstock Breakdown'!EE279)*'Feedstock Conversion Rates'!$B$6))</f>
        <v>786.92105470359297</v>
      </c>
      <c r="FG279" s="102">
        <f>IF('Renewable Diesel'!$BG288&lt;1,0,(((('Renewable Diesel'!$BG288-1)*'Renewable Diesel'!$BF288)*'RD Feedstock Breakdown'!EF279)*'Feedstock Conversion Rates'!$B$7))</f>
        <v>639.06110064257325</v>
      </c>
      <c r="FH279" s="102">
        <f>IF('Renewable Diesel'!$BG288&lt;1,0,(((('Renewable Diesel'!$BG288-1)*'Renewable Diesel'!$BF288)*'RD Feedstock Breakdown'!EG279)*'Feedstock Conversion Rates'!$B$8))</f>
        <v>102.65816245948182</v>
      </c>
      <c r="FI279" s="102">
        <f>IF('Renewable Diesel'!$BG288&lt;1,0,(((('Renewable Diesel'!$BG288-1)*'Renewable Diesel'!$BF288)*'RD Feedstock Breakdown'!EH279)*'Feedstock Conversion Rates'!$B$9))</f>
        <v>7.6444820347186466</v>
      </c>
      <c r="FJ279" s="102">
        <f t="shared" si="225"/>
        <v>7168.6601886829349</v>
      </c>
      <c r="GD279" s="91">
        <f>'Renewable Diesel'!BB288*0.32</f>
        <v>0</v>
      </c>
      <c r="GE279" s="91">
        <f>'Renewable Diesel'!BC288</f>
        <v>409.25067906665038</v>
      </c>
      <c r="GF279" s="91">
        <f>'Renewable Diesel'!BD288</f>
        <v>0</v>
      </c>
      <c r="GG279" s="91">
        <f t="shared" si="206"/>
        <v>409.25067906665038</v>
      </c>
      <c r="GH279" s="124">
        <v>1</v>
      </c>
      <c r="GI279" s="102">
        <f>$GG279*EA279*'Feedstock Conversion Rates'!$B$2</f>
        <v>13.587342776070216</v>
      </c>
      <c r="GJ279" s="102">
        <f>$GG279*EB279*'Feedstock Conversion Rates'!$B$3</f>
        <v>988.58961323101551</v>
      </c>
      <c r="GK279" s="102">
        <f>$GG279*EC279*'Feedstock Conversion Rates'!$B$4</f>
        <v>1503.2428483859817</v>
      </c>
      <c r="GL279" s="102">
        <f>$GG279*ED279*'Feedstock Conversion Rates'!$B$5</f>
        <v>63.949162569698807</v>
      </c>
      <c r="GM279" s="102">
        <f>$GG279*EE279*'Feedstock Conversion Rates'!$B$6</f>
        <v>358.97652372572276</v>
      </c>
      <c r="GN279" s="102">
        <f>$GG279*EF279*'Feedstock Conversion Rates'!$B$7</f>
        <v>291.52598089196579</v>
      </c>
      <c r="GO279" s="102">
        <f>$GG279*EG279*'Feedstock Conversion Rates'!$B$8</f>
        <v>46.830454048095277</v>
      </c>
      <c r="GP279" s="102">
        <f>$GG279*EH279*'Feedstock Conversion Rates'!B$9</f>
        <v>3.4872489052166546</v>
      </c>
      <c r="GQ279" s="102">
        <f t="shared" si="276"/>
        <v>3270.1891745337671</v>
      </c>
      <c r="GR279" s="85">
        <f t="shared" ref="GR279:GR342" si="293">GQ279/GG279</f>
        <v>7.9906750111981744</v>
      </c>
      <c r="GT279" s="103">
        <f t="shared" si="254"/>
        <v>4.1549103280874794E-3</v>
      </c>
      <c r="GU279" s="103">
        <f t="shared" si="254"/>
        <v>0.30230349391697181</v>
      </c>
      <c r="GV279" s="103">
        <f t="shared" si="254"/>
        <v>0.45968069984828935</v>
      </c>
      <c r="GW279" s="103">
        <f t="shared" si="254"/>
        <v>1.9555187530952572E-2</v>
      </c>
      <c r="GX279" s="103">
        <f t="shared" si="253"/>
        <v>0.10977240293045197</v>
      </c>
      <c r="GY279" s="103">
        <f t="shared" si="253"/>
        <v>8.914651885040531E-2</v>
      </c>
      <c r="GZ279" s="103">
        <f t="shared" si="253"/>
        <v>1.4320411312220777E-2</v>
      </c>
      <c r="HA279" s="103">
        <f t="shared" si="251"/>
        <v>1.066375282620717E-3</v>
      </c>
    </row>
    <row r="280" spans="1:209" x14ac:dyDescent="0.25">
      <c r="A280" s="96">
        <v>48945</v>
      </c>
      <c r="B280" s="104">
        <f>115.75+145+100+235+31.5-21-287-20-28-32-70-39-47+40+20-3-10+65-105+5-15-75-1+20+33+40+14-5-40+26+55-55.5-91+70-70</f>
        <v>0.75</v>
      </c>
      <c r="C280" s="104">
        <f t="shared" si="287"/>
        <v>4</v>
      </c>
      <c r="D280" s="104">
        <f t="shared" si="288"/>
        <v>2</v>
      </c>
      <c r="E280" s="104">
        <f>('Renewable Diesel'!B289*E$3*'Feedstock Conversion Rates'!$B$2)/12+26+13-100+27.5+39+105-40-14-26+55.5-51+29-10-139</f>
        <v>4.9300000000000068</v>
      </c>
      <c r="F280" s="104">
        <f>('Renewable Diesel'!B289*'RD Feedstock Breakdown'!F$3*'Feedstock Conversion Rates'!B$8)/12+77+23-10-12-115.75+24+8-33+5-16</f>
        <v>4.15625</v>
      </c>
      <c r="G280" s="104">
        <f>('Renewable Diesel'!B289*'RD Feedstock Breakdown'!G$3*'Feedstock Conversion Rates'!B$7)/12-25-15-25+4+4-20-40-20+10-17.5+20+50-12+32.5+35-75-75+22.5+5-20+15+125-10-60+5-85+45+20+20-70</f>
        <v>19.657000000000011</v>
      </c>
      <c r="H280" s="104">
        <f>('Renewable Diesel'!B289*'RD Feedstock Breakdown'!H$3*'Feedstock Conversion Rates'!B$3)/12-85+4-15+70-65-80+50-22.5-5+25+27.5+15+50+15-10+5+50+75-5-25-85-12.5+30+22.5-25-30+150+90-120+25+10+20+85-30-45-20-20+95+70</f>
        <v>460.40022499999998</v>
      </c>
      <c r="I280" s="106">
        <f t="shared" si="291"/>
        <v>495.89347499999997</v>
      </c>
      <c r="J280" s="104">
        <f>54-15-35+7+35+20+34-7.5+35+37.5-145-20+15+40-32-5-18+10</f>
        <v>10</v>
      </c>
      <c r="K280" s="104"/>
      <c r="L280" s="104">
        <v>1</v>
      </c>
      <c r="M280" s="104">
        <f>('Renewable Diesel'!C289*'RD Feedstock Breakdown'!M$3*'Feedstock Conversion Rates'!B$2)/12</f>
        <v>7.7902500000000003</v>
      </c>
      <c r="N280" s="104">
        <f>('Renewable Diesel'!C289*'RD Feedstock Breakdown'!N$3*'Feedstock Conversion Rates'!B$8)/12</f>
        <v>3.671875</v>
      </c>
      <c r="O280" s="104">
        <f>('Renewable Diesel'!C289*'RD Feedstock Breakdown'!O$3*'Feedstock Conversion Rates'!B$7)/12</f>
        <v>11.9991</v>
      </c>
      <c r="P280" s="104">
        <f>('Renewable Diesel'!C289*'RD Feedstock Breakdown'!P$3*'Feedstock Conversion Rates'!B$3)/12</f>
        <v>10.4470425</v>
      </c>
      <c r="Q280" s="106">
        <f t="shared" si="216"/>
        <v>44.908267500000001</v>
      </c>
      <c r="R280" s="104">
        <f>('Renewable Diesel'!D289*'RD Feedstock Breakdown'!R$3*'Feedstock Conversion Rates'!B$7)/12</f>
        <v>2.2999999999999998</v>
      </c>
      <c r="S280" s="106">
        <f t="shared" si="249"/>
        <v>2.2999999999999998</v>
      </c>
      <c r="T280" s="104">
        <f t="shared" si="292"/>
        <v>0.82500000000000284</v>
      </c>
      <c r="U280" s="104">
        <v>30</v>
      </c>
      <c r="V280" s="104">
        <f>('Renewable Diesel'!E289*'RD Feedstock Breakdown'!V$3*'Feedstock Conversion Rates'!B$6)/12-20+25-35</f>
        <v>14.250150000000012</v>
      </c>
      <c r="W280" s="104">
        <f>('Renewable Diesel'!E289*'RD Feedstock Breakdown'!W$3*'Feedstock Conversion Rates'!B$8)/12-6+5</f>
        <v>21.1796875</v>
      </c>
      <c r="X280" s="106">
        <f t="shared" si="277"/>
        <v>66.254837500000008</v>
      </c>
      <c r="Y280" s="104">
        <f t="shared" si="289"/>
        <v>66</v>
      </c>
      <c r="Z280" s="104">
        <f>('Renewable Diesel'!F289*'RD Feedstock Breakdown'!Z$3*'Feedstock Conversion Rates'!B$6)/12-142+15+5+75-45+52.5-87.5+80-10-20-17+2+7+15+20</f>
        <v>109.46000000000001</v>
      </c>
      <c r="AA280" s="104">
        <f>('Renewable Diesel'!F289*'RD Feedstock Breakdown'!AA$3*'Feedstock Conversion Rates'!B$7)/12+24-30-55+15+30</f>
        <v>88.266666666666652</v>
      </c>
      <c r="AB280" s="106">
        <f t="shared" si="235"/>
        <v>263.72666666666669</v>
      </c>
      <c r="AC280" s="104">
        <f>('Renewable Diesel'!G289*'RD Feedstock Breakdown'!AC$3*'Feedstock Conversion Rates'!B$5)/12</f>
        <v>11.796875</v>
      </c>
      <c r="AD280" s="104">
        <f>('Renewable Diesel'!G289*'RD Feedstock Breakdown'!AD$3*'Feedstock Conversion Rates'!B$4)/12</f>
        <v>5.859375</v>
      </c>
      <c r="AE280" s="104">
        <f>('Renewable Diesel'!G289*'RD Feedstock Breakdown'!AE$3*'Feedstock Conversion Rates'!B$6)/12</f>
        <v>7.3281250000000009</v>
      </c>
      <c r="AF280" s="106">
        <f t="shared" si="284"/>
        <v>24.984375</v>
      </c>
      <c r="AG280" s="104">
        <f t="shared" si="230"/>
        <v>6.5</v>
      </c>
      <c r="AH280" s="104">
        <v>135</v>
      </c>
      <c r="AI280" s="104">
        <f>('Renewable Diesel'!H289*'RD Feedstock Breakdown'!AI$3*'Feedstock Conversion Rates'!B$6)/12-130-20+51-52.5+10</f>
        <v>7.0166666666666799</v>
      </c>
      <c r="AJ280" s="106">
        <f t="shared" si="248"/>
        <v>13.51666666666668</v>
      </c>
      <c r="AK280" s="104">
        <f>('Renewable Diesel'!J289*'RD Feedstock Breakdown'!AK$3*'Feedstock Conversion Rates'!B$4)/12</f>
        <v>95.8125</v>
      </c>
      <c r="AL280" s="106">
        <f t="shared" si="252"/>
        <v>95.8125</v>
      </c>
      <c r="AM280" s="104">
        <f>('Renewable Diesel'!K289*'RD Feedstock Breakdown'!AM$3*'Feedstock Conversion Rates'!B$4)/12+5+15-10-5+10-35-15</f>
        <v>23.59375</v>
      </c>
      <c r="AN280" s="104">
        <f>('Renewable Diesel'!K289*'RD Feedstock Breakdown'!AN$3*'Feedstock Conversion Rates'!B$6)/12-5-15+10+5-10+35+15</f>
        <v>59.427083333333329</v>
      </c>
      <c r="AO280" s="106">
        <f t="shared" si="270"/>
        <v>83.020833333333329</v>
      </c>
      <c r="AP280" s="104">
        <f>('Renewable Diesel'!L289*'RD Feedstock Breakdown'!AP$3*'Feedstock Conversion Rates'!B$4)/12+15-10-10+22</f>
        <v>75.59375</v>
      </c>
      <c r="AQ280" s="104">
        <f>('Renewable Diesel'!L289*'RD Feedstock Breakdown'!AQ$3*'Feedstock Conversion Rates'!B$6)/12-15+10+10-22</f>
        <v>7.4270833333333321</v>
      </c>
      <c r="AR280" s="106">
        <f t="shared" si="256"/>
        <v>83.020833333333329</v>
      </c>
      <c r="AS280" s="104">
        <f>('Renewable Diesel'!M289*'RD Feedstock Breakdown'!AS$3*'Feedstock Conversion Rates'!B$4)/12-25</f>
        <v>431.25</v>
      </c>
      <c r="AT280" s="104">
        <f>('Renewable Diesel'!M289*'RD Feedstock Breakdown'!AT$3*'Feedstock Conversion Rates'!B$5)/12+25</f>
        <v>25</v>
      </c>
      <c r="AU280" s="106">
        <f t="shared" si="290"/>
        <v>456.25</v>
      </c>
      <c r="AV280" s="104">
        <f>'Renewable Diesel'!N289*'RD Feedstock Breakdown'!$AV$3*'Feedstock Conversion Rates'!$B$4/12-15-10+25+25-22+25-77.5+56</f>
        <v>85.249999999999986</v>
      </c>
      <c r="AW280" s="104">
        <f>'Renewable Diesel'!N289*'RD Feedstock Breakdown'!$AW$3*'Feedstock Conversion Rates'!$B$7/12+15+10-25-25+22-25+77.5-56</f>
        <v>34.900000000000006</v>
      </c>
      <c r="AX280" s="106">
        <f t="shared" si="239"/>
        <v>120.14999999999999</v>
      </c>
      <c r="AY280" s="104">
        <f>('Renewable Diesel'!O289*'RD Feedstock Breakdown'!AY$3*'Feedstock Conversion Rates'!B$4)/12-95-250-3</f>
        <v>-137.0625</v>
      </c>
      <c r="AZ280" s="104">
        <f>('Renewable Diesel'!O289*'RD Feedstock Breakdown'!AZ$3*'Feedstock Conversion Rates'!B$3)/12+95+250+3</f>
        <v>373.03125</v>
      </c>
      <c r="BA280" s="106">
        <f t="shared" si="217"/>
        <v>235.96875</v>
      </c>
      <c r="BB280" s="104">
        <f>('Renewable Diesel'!Q289*'RD Feedstock Breakdown'!BB$3*'Feedstock Conversion Rates'!B$4)/12</f>
        <v>11.156249999999998</v>
      </c>
      <c r="BC280" s="104">
        <f>('Renewable Diesel'!Q289*'RD Feedstock Breakdown'!BC$3*'Feedstock Conversion Rates'!B$3)/12</f>
        <v>1.4017500000000001</v>
      </c>
      <c r="BD280" s="104">
        <f>('Renewable Diesel'!Q289*'RD Feedstock Breakdown'!BD$3*'Feedstock Conversion Rates'!B$6)/12</f>
        <v>0.8207500000000002</v>
      </c>
      <c r="BE280" s="106">
        <f t="shared" si="279"/>
        <v>13.378749999999998</v>
      </c>
      <c r="BF280" s="104">
        <f>('Renewable Diesel'!R289*'RD Feedstock Breakdown'!BF$3*'Feedstock Conversion Rates'!B$4)/12</f>
        <v>62.5</v>
      </c>
      <c r="BG280" s="106">
        <f t="shared" si="262"/>
        <v>62.5</v>
      </c>
      <c r="BH280" s="104">
        <f>('Renewable Diesel'!T289*'RD Feedstock Breakdown'!BH$3*'Feedstock Conversion Rates'!B$7)/12</f>
        <v>27.599999999999998</v>
      </c>
      <c r="BI280" s="106">
        <f t="shared" si="243"/>
        <v>27.599999999999998</v>
      </c>
      <c r="BJ280" s="104">
        <f>('Renewable Diesel'!W289*'RD Feedstock Breakdown'!BJ$3*'Feedstock Conversion Rates'!B$4)/12</f>
        <v>7.5</v>
      </c>
      <c r="BK280" s="104">
        <f>('Renewable Diesel'!W289*'RD Feedstock Breakdown'!BK$3*'Feedstock Conversion Rates'!B$3)/12</f>
        <v>1.335</v>
      </c>
      <c r="BL280" s="104">
        <f>('Renewable Diesel'!W289*'RD Feedstock Breakdown'!BL$3*'Feedstock Conversion Rates'!B$6)/12</f>
        <v>3.1266666666666669</v>
      </c>
      <c r="BM280" s="104">
        <f>('Renewable Diesel'!W289*'RD Feedstock Breakdown'!BM$3*'Feedstock Conversion Rates'!B$7)/12</f>
        <v>1.5333333333333332</v>
      </c>
      <c r="BN280" s="106">
        <f t="shared" si="209"/>
        <v>13.495000000000001</v>
      </c>
      <c r="BO280" s="104">
        <f>('Renewable Diesel'!P289*'Feedstock Conversion Rates'!B$4)/12</f>
        <v>31.25</v>
      </c>
      <c r="BP280" s="106">
        <f t="shared" si="285"/>
        <v>31.25</v>
      </c>
      <c r="BQ280" s="104">
        <f>('Renewable Diesel'!$S289*'RD Feedstock Breakdown'!BQ$3*'Feedstock Conversion Rates'!B$4)/12+10+15-15</f>
        <v>38.125</v>
      </c>
      <c r="BR280" s="104">
        <f>('Renewable Diesel'!$S289*'RD Feedstock Breakdown'!BR$3*'Feedstock Conversion Rates'!B$7)/12-10-15+15</f>
        <v>1.5</v>
      </c>
      <c r="BS280" s="106">
        <f t="shared" si="222"/>
        <v>39.625</v>
      </c>
      <c r="BT280" s="106"/>
      <c r="BU280" s="104">
        <f>('Renewable Diesel'!Y289*'Feedstock Conversion Rates'!B$7)/12</f>
        <v>2.6833333333333331</v>
      </c>
      <c r="BV280" s="106">
        <f t="shared" si="281"/>
        <v>2.6833333333333331</v>
      </c>
      <c r="BW280" s="104">
        <f>('Renewable Diesel'!$Z289*'RD Feedstock Breakdown'!BW$3*'Feedstock Conversion Rates'!$B$4)/12</f>
        <v>71.875</v>
      </c>
      <c r="BX280" s="104">
        <f>('Renewable Diesel'!$Z289*'RD Feedstock Breakdown'!BX$3*'Feedstock Conversion Rates'!$B$5)/12</f>
        <v>7.2354166666666666</v>
      </c>
      <c r="BY280" s="104">
        <f>('Renewable Diesel'!$Z289*'RD Feedstock Breakdown'!BY$3*'Feedstock Conversion Rates'!$B$7)/12</f>
        <v>61.716666666666661</v>
      </c>
      <c r="BZ280" s="104">
        <f>('Renewable Diesel'!$Z289*'RD Feedstock Breakdown'!BZ$3*'Feedstock Conversion Rates'!$B$3)/12</f>
        <v>15.352499999999999</v>
      </c>
      <c r="CA280" s="106">
        <f t="shared" si="228"/>
        <v>156.17958333333331</v>
      </c>
      <c r="CB280" s="104">
        <f>('Renewable Diesel'!AA289*'Feedstock Conversion Rates'!B$4)/12</f>
        <v>191.25</v>
      </c>
      <c r="CC280" s="106">
        <f t="shared" si="213"/>
        <v>191.25</v>
      </c>
      <c r="CD280" s="104">
        <f>('Renewable Diesel'!$AB289*'RD Feedstock Breakdown'!CD$3*'Feedstock Conversion Rates'!$B$6)/12-15-5</f>
        <v>12.830000000000005</v>
      </c>
      <c r="CE280" s="104">
        <f>('Renewable Diesel'!$AB289*'RD Feedstock Breakdown'!CE$3*'Feedstock Conversion Rates'!$B$4)/12+15+5</f>
        <v>31.25</v>
      </c>
      <c r="CF280" s="106">
        <f t="shared" ref="CF280:CF343" si="294">SUM(CD280:CE280)</f>
        <v>44.080000000000005</v>
      </c>
      <c r="CG280" s="104">
        <f>('Renewable Diesel'!AD289*'Feedstock Conversion Rates'!B$4)/12</f>
        <v>112.5</v>
      </c>
      <c r="CH280" s="106">
        <f t="shared" si="278"/>
        <v>112.5</v>
      </c>
      <c r="CI280" s="104">
        <f>('Renewable Diesel'!$AE289*'RD Feedstock Breakdown'!CI$3*'Feedstock Conversion Rates'!$B$5)/12</f>
        <v>0.34604166666666664</v>
      </c>
      <c r="CJ280" s="104">
        <f>('Renewable Diesel'!$AE289*'RD Feedstock Breakdown'!CJ$3*'Feedstock Conversion Rates'!$B$4)/12</f>
        <v>0.34375</v>
      </c>
      <c r="CK280" s="106">
        <f t="shared" si="286"/>
        <v>0.68979166666666658</v>
      </c>
      <c r="CL280" s="104">
        <f>(((CL$3*'Renewable Diesel'!$AF289)*'Feedstock Conversion Rates'!$B$3)/12)</f>
        <v>91.78125</v>
      </c>
      <c r="CM280" s="104">
        <f>(((CM$3*'Renewable Diesel'!$AF289)*'Feedstock Conversion Rates'!$B$6)/12)</f>
        <v>53.739583333333336</v>
      </c>
      <c r="CN280" s="104">
        <f>(((CN$3*'Renewable Diesel'!$AF289)*'Feedstock Conversion Rates'!$B$4)/12)</f>
        <v>42.96875</v>
      </c>
      <c r="CO280" s="106">
        <f t="shared" si="280"/>
        <v>188.48958333333334</v>
      </c>
      <c r="CP280" s="104">
        <f>('Renewable Diesel'!$AG289*'RD Feedstock Breakdown'!CP$3*'Feedstock Conversion Rates'!$B$3)/12+4-4</f>
        <v>6.0075000000000003</v>
      </c>
      <c r="CQ280" s="104">
        <f>('Renewable Diesel'!$AG289*'RD Feedstock Breakdown'!CQ$3*'Feedstock Conversion Rates'!$B$6)/12</f>
        <v>3.5175000000000001</v>
      </c>
      <c r="CR280" s="104">
        <f>('Renewable Diesel'!$AG289*'RD Feedstock Breakdown'!CR$3*'Feedstock Conversion Rates'!$B$4)/12-4+4</f>
        <v>2.8125</v>
      </c>
      <c r="CS280" s="106">
        <f t="shared" si="231"/>
        <v>12.3375</v>
      </c>
      <c r="CT280" s="104">
        <f>('Renewable Diesel'!AI289*'Feedstock Conversion Rates'!$B$4*'RD Feedstock Breakdown'!$CT$3)/12</f>
        <v>29.375</v>
      </c>
      <c r="CU280" s="106">
        <f t="shared" si="282"/>
        <v>29.375</v>
      </c>
      <c r="CV280" s="104">
        <f>('Renewable Diesel'!AN289*'Feedstock Conversion Rates'!$B$3*'RD Feedstock Breakdown'!$CV$3)/12</f>
        <v>0.50062499999999999</v>
      </c>
      <c r="CW280" s="106">
        <f t="shared" si="255"/>
        <v>0.50062499999999999</v>
      </c>
      <c r="CX280" s="104">
        <f>('Renewable Diesel'!AO289*'RD Feedstock Breakdown'!$CX$3*'Feedstock Conversion Rates'!$B$3)/12</f>
        <v>6.3412499999999996</v>
      </c>
      <c r="CY280" s="104">
        <f>('Renewable Diesel'!AO289*'RD Feedstock Breakdown'!$CY$3*'Feedstock Conversion Rates'!$B$6)/12</f>
        <v>7.4258333333333342</v>
      </c>
      <c r="CZ280" s="106">
        <f t="shared" si="233"/>
        <v>13.767083333333334</v>
      </c>
      <c r="DA280" s="104">
        <f>('Renewable Diesel'!$AP289*'RD Feedstock Breakdown'!DA$3*'Feedstock Conversion Rates'!$B$3)/12</f>
        <v>6.3412499999999996</v>
      </c>
      <c r="DB280" s="104">
        <f>('Renewable Diesel'!$AP289*'RD Feedstock Breakdown'!DB$3*'Feedstock Conversion Rates'!$B$8)/12</f>
        <v>7.421875</v>
      </c>
      <c r="DC280" s="106">
        <f t="shared" si="260"/>
        <v>13.763124999999999</v>
      </c>
      <c r="DD280" s="104">
        <f>('Renewable Diesel'!AQ289*$DD$3*'Feedstock Conversion Rates'!$B$14)/12</f>
        <v>3.1041666666666665</v>
      </c>
      <c r="DE280" s="106">
        <f t="shared" si="261"/>
        <v>3.1041666666666665</v>
      </c>
      <c r="DF280" s="104">
        <f>('Renewable Diesel'!AR289*'Feedstock Conversion Rates'!$B$4*$DF$3)/12</f>
        <v>75</v>
      </c>
      <c r="DG280" s="106">
        <f t="shared" si="234"/>
        <v>75</v>
      </c>
      <c r="DH280" s="104">
        <f>('Renewable Diesel'!AS289*'Feedstock Conversion Rates'!$B$4*$DH$3)/12</f>
        <v>75</v>
      </c>
      <c r="DI280" s="106">
        <f t="shared" si="240"/>
        <v>75</v>
      </c>
      <c r="DJ280" s="104">
        <f>('Renewable Diesel'!AT289*'Feedstock Conversion Rates'!$B$4*0.25)/12</f>
        <v>8.59375</v>
      </c>
      <c r="DK280" s="104">
        <f>('Renewable Diesel'!$AT289*'RD Feedstock Breakdown'!DK$3*'Feedstock Conversion Rates'!$B$3)/12*0.5</f>
        <v>9.1781249999999996</v>
      </c>
      <c r="DL280" s="104">
        <f>('Renewable Diesel'!$AT289*'RD Feedstock Breakdown'!$DL$3*'Feedstock Conversion Rates'!$B$6)/12</f>
        <v>10.747916666666669</v>
      </c>
      <c r="DM280" s="104">
        <f>('Renewable Diesel'!$AT289*'RD Feedstock Breakdown'!$DM$3*'Feedstock Conversion Rates'!$B$8)/12</f>
        <v>10.7421875</v>
      </c>
      <c r="DN280" s="106">
        <f t="shared" si="210"/>
        <v>39.26197916666667</v>
      </c>
      <c r="DP280" s="104">
        <f t="shared" si="265"/>
        <v>12.720250000000007</v>
      </c>
      <c r="DQ280" s="104">
        <f t="shared" si="266"/>
        <v>982.11776750000001</v>
      </c>
      <c r="DR280" s="104">
        <f t="shared" si="271"/>
        <v>1604.953125</v>
      </c>
      <c r="DS280" s="104">
        <f t="shared" si="283"/>
        <v>67.401250000000005</v>
      </c>
      <c r="DT280" s="104">
        <f t="shared" si="267"/>
        <v>304.53923333333341</v>
      </c>
      <c r="DU280" s="104">
        <f t="shared" si="268"/>
        <v>252.15610000000001</v>
      </c>
      <c r="DV280" s="104">
        <f t="shared" si="272"/>
        <v>39.75</v>
      </c>
      <c r="DW280" s="104">
        <f t="shared" si="269"/>
        <v>3</v>
      </c>
      <c r="DX280" s="106">
        <f t="shared" si="273"/>
        <v>3266.6377258333337</v>
      </c>
      <c r="DY280" s="109">
        <f t="shared" si="257"/>
        <v>-135.00000000000048</v>
      </c>
      <c r="EA280" s="110">
        <f t="shared" si="250"/>
        <v>3.8939885801860734E-3</v>
      </c>
      <c r="EB280" s="110">
        <f t="shared" si="250"/>
        <v>0.30065095977224027</v>
      </c>
      <c r="EC280" s="110">
        <f t="shared" si="250"/>
        <v>0.4913165339112005</v>
      </c>
      <c r="ED280" s="110">
        <f t="shared" si="250"/>
        <v>2.063321851302187E-2</v>
      </c>
      <c r="EE280" s="110">
        <f t="shared" si="250"/>
        <v>9.3227121858345682E-2</v>
      </c>
      <c r="EF280" s="110">
        <f t="shared" si="250"/>
        <v>7.7191326728976009E-2</v>
      </c>
      <c r="EG280" s="110">
        <f t="shared" si="250"/>
        <v>1.2168475152799382E-2</v>
      </c>
      <c r="EH280" s="111">
        <f t="shared" si="274"/>
        <v>9.1837548323014202E-4</v>
      </c>
      <c r="EI280" s="110">
        <f t="shared" si="236"/>
        <v>0.99908162451676985</v>
      </c>
      <c r="EK280" s="132">
        <f>(EA280*'Renewable Diesel'!BF289*'Feedstock Conversion Rates'!B$2)+FB280</f>
        <v>18.813489627420626</v>
      </c>
      <c r="EL280" s="132">
        <f>(EB280*'Renewable Diesel'!BF289*'Feedstock Conversion Rates'!B$3)+FC280</f>
        <v>1368.8342703073176</v>
      </c>
      <c r="EM280" s="132">
        <f>(EC280*'Renewable Diesel'!BF289*'Feedstock Conversion Rates'!B$4)+FD280</f>
        <v>2094.4905334835817</v>
      </c>
      <c r="EN280" s="132">
        <f>(ED280*'Renewable Diesel'!BF289*'Feedstock Conversion Rates'!B$5)+FE280</f>
        <v>88.546151113973082</v>
      </c>
      <c r="EO280" s="132">
        <f>(EE280*'Renewable Diesel'!BF289*'Feedstock Conversion Rates'!B$6)+FF280</f>
        <v>497.0509110505198</v>
      </c>
      <c r="EP280" s="132">
        <f>(EF280*'Renewable Diesel'!BF289*'Feedstock Conversion Rates'!B$7)+FG280</f>
        <v>403.65663161851177</v>
      </c>
      <c r="EQ280" s="132">
        <f>(EG280*'Renewable Diesel'!BF289*'Feedstock Conversion Rates'!B$8)+FH280</f>
        <v>64.843014267139708</v>
      </c>
      <c r="ER280" s="132">
        <f>(EH280*'Renewable Diesel'!BF289*'Feedstock Conversion Rates'!B$9)+FI280</f>
        <v>4.8285615655530449</v>
      </c>
      <c r="ES280" s="132">
        <f t="shared" si="275"/>
        <v>4541.0635630340175</v>
      </c>
      <c r="ET280" s="133">
        <f>ES280/'Renewable Diesel'!BF289</f>
        <v>8.8706933355741509</v>
      </c>
      <c r="EW280" s="73">
        <f t="shared" si="223"/>
        <v>2399.9747871168615</v>
      </c>
      <c r="EX280" s="73">
        <f t="shared" si="224"/>
        <v>2592.3545378417075</v>
      </c>
      <c r="EY280" s="92">
        <f t="shared" si="258"/>
        <v>0.5285049975194287</v>
      </c>
      <c r="EZ280" s="92">
        <f t="shared" si="258"/>
        <v>0.57086946744028388</v>
      </c>
      <c r="FB280" s="102">
        <f>IF('Renewable Diesel'!$BG289&lt;1,0,(((('Renewable Diesel'!$BG289-1)*'Renewable Diesel'!$BF289)*'RD Feedstock Breakdown'!EA280)*'Feedstock Conversion Rates'!$B$2))</f>
        <v>1.8695804657500281</v>
      </c>
      <c r="FC280" s="102">
        <f>IF('Renewable Diesel'!$BG289&lt;1,0,(((('Renewable Diesel'!$BG289-1)*'Renewable Diesel'!$BF289)*'RD Feedstock Breakdown'!EB280)*'Feedstock Conversion Rates'!$B$3))</f>
        <v>136.02717323030836</v>
      </c>
      <c r="FD280" s="102">
        <f>IF('Renewable Diesel'!$BG289&lt;1,0,(((('Renewable Diesel'!$BG289-1)*'Renewable Diesel'!$BF289)*'RD Feedstock Breakdown'!EC280)*'Feedstock Conversion Rates'!$B$4))</f>
        <v>208.13887612811405</v>
      </c>
      <c r="FE280" s="102">
        <f>IF('Renewable Diesel'!$BG289&lt;1,0,(((('Renewable Diesel'!$BG289-1)*'Renewable Diesel'!$BF289)*'RD Feedstock Breakdown'!ED280)*'Feedstock Conversion Rates'!$B$5))</f>
        <v>8.7992263911929385</v>
      </c>
      <c r="FF280" s="102">
        <f>IF('Renewable Diesel'!$BG289&lt;1,0,(((('Renewable Diesel'!$BG289-1)*'Renewable Diesel'!$BF289)*'RD Feedstock Breakdown'!EE280)*'Feedstock Conversion Rates'!$B$6))</f>
        <v>49.394168343383129</v>
      </c>
      <c r="FG280" s="102">
        <f>IF('Renewable Diesel'!$BG289&lt;1,0,(((('Renewable Diesel'!$BG289-1)*'Renewable Diesel'!$BF289)*'RD Feedstock Breakdown'!EF280)*'Feedstock Conversion Rates'!$B$7))</f>
        <v>40.113161794529432</v>
      </c>
      <c r="FH280" s="102">
        <f>IF('Renewable Diesel'!$BG289&lt;1,0,(((('Renewable Diesel'!$BG289-1)*'Renewable Diesel'!$BF289)*'RD Feedstock Breakdown'!EG280)*'Feedstock Conversion Rates'!$B$8))</f>
        <v>6.4437398491720232</v>
      </c>
      <c r="FI280" s="102">
        <f>IF('Renewable Diesel'!$BG289&lt;1,0,(((('Renewable Diesel'!$BG289-1)*'Renewable Diesel'!$BF289)*'RD Feedstock Breakdown'!EH280)*'Feedstock Conversion Rates'!$B$9))</f>
        <v>0.47983572210186631</v>
      </c>
      <c r="FJ280" s="102">
        <f t="shared" si="225"/>
        <v>451.26576192455184</v>
      </c>
      <c r="GD280" s="91">
        <f>'Renewable Diesel'!BB289*0.32</f>
        <v>0</v>
      </c>
      <c r="GE280" s="91">
        <f>'Renewable Diesel'!BC289</f>
        <v>266.4113514182248</v>
      </c>
      <c r="GF280" s="91">
        <f>'Renewable Diesel'!BD289</f>
        <v>0</v>
      </c>
      <c r="GG280" s="91">
        <f t="shared" si="206"/>
        <v>266.4113514182248</v>
      </c>
      <c r="GH280" s="124">
        <v>1</v>
      </c>
      <c r="GI280" s="102">
        <f>$GG280*EA280*'Feedstock Conversion Rates'!$B$2</f>
        <v>8.8179234604633017</v>
      </c>
      <c r="GJ280" s="102">
        <f>$GG280*EB280*'Feedstock Conversion Rates'!$B$3</f>
        <v>641.57559626985199</v>
      </c>
      <c r="GK280" s="102">
        <f>$GG280*EC280*'Feedstock Conversion Rates'!$B$4</f>
        <v>981.69226330050742</v>
      </c>
      <c r="GL280" s="102">
        <f>$GG280*ED280*'Feedstock Conversion Rates'!$B$5</f>
        <v>41.50177339262077</v>
      </c>
      <c r="GM280" s="102">
        <f>$GG280*EE280*'Feedstock Conversion Rates'!$B$6</f>
        <v>232.96884184680368</v>
      </c>
      <c r="GN280" s="102">
        <f>$GG280*EF280*'Feedstock Conversion Rates'!$B$7</f>
        <v>189.19474017901655</v>
      </c>
      <c r="GO280" s="102">
        <f>$GG280*EG280*'Feedstock Conversion Rates'!$B$8</f>
        <v>30.392061657715995</v>
      </c>
      <c r="GP280" s="102">
        <f>$GG280*EH280*'Feedstock Conversion Rates'!B$9</f>
        <v>2.2631572957695432</v>
      </c>
      <c r="GQ280" s="102">
        <f t="shared" si="276"/>
        <v>2128.4063574027496</v>
      </c>
      <c r="GR280" s="85">
        <f t="shared" si="293"/>
        <v>7.9891729315297804</v>
      </c>
      <c r="GT280" s="103">
        <f t="shared" si="254"/>
        <v>4.1429698937864631E-3</v>
      </c>
      <c r="GU280" s="103">
        <f t="shared" si="254"/>
        <v>0.30143473027996098</v>
      </c>
      <c r="GV280" s="103">
        <f t="shared" si="254"/>
        <v>0.46123347634539413</v>
      </c>
      <c r="GW280" s="103">
        <f t="shared" si="254"/>
        <v>1.9498989583579578E-2</v>
      </c>
      <c r="GX280" s="103">
        <f t="shared" si="253"/>
        <v>0.10945693759865045</v>
      </c>
      <c r="GY280" s="103">
        <f t="shared" si="253"/>
        <v>8.8890328447377404E-2</v>
      </c>
      <c r="GZ280" s="103">
        <f t="shared" si="253"/>
        <v>1.427925713152013E-2</v>
      </c>
      <c r="HA280" s="103">
        <f t="shared" si="251"/>
        <v>1.0633107197308071E-3</v>
      </c>
    </row>
    <row r="281" spans="1:209" x14ac:dyDescent="0.25">
      <c r="A281" s="96">
        <v>48976</v>
      </c>
      <c r="B281" s="104">
        <f>115.75+145+100+235+31.5-21-287-20-28-32-70-39-47+40+20-3-10+65-105+5-15-75-1+20+33+40+14-5-40+26+55-55.5-91+70-70</f>
        <v>0.75</v>
      </c>
      <c r="C281" s="104">
        <f t="shared" si="287"/>
        <v>4</v>
      </c>
      <c r="D281" s="104">
        <f t="shared" si="288"/>
        <v>2</v>
      </c>
      <c r="E281" s="104">
        <f>('Renewable Diesel'!B290*E$3*'Feedstock Conversion Rates'!$B$2)/12+26+13-100+27.5+39+105-40-14-26+55.5-51+29-10-139</f>
        <v>4.9300000000000068</v>
      </c>
      <c r="F281" s="104">
        <f>('Renewable Diesel'!B290*'RD Feedstock Breakdown'!F$3*'Feedstock Conversion Rates'!B$8)/12+77+23-10-12-115.75+24+8-33+5-16</f>
        <v>4.15625</v>
      </c>
      <c r="G281" s="104">
        <f>('Renewable Diesel'!B290*'RD Feedstock Breakdown'!G$3*'Feedstock Conversion Rates'!B$7)/12-25-15-25+4+4-20-40-20+10-17.5+20+50-12+32.5+35-75-75+22.5+5-20+15+125-10-60+5-85+45+20+20-70</f>
        <v>19.657000000000011</v>
      </c>
      <c r="H281" s="104">
        <f>('Renewable Diesel'!B290*'RD Feedstock Breakdown'!H$3*'Feedstock Conversion Rates'!B$3)/12-85+4-15+70-65-80+50-22.5-5+25+27.5+15+50+15-10+5+50+75-5-25-85-12.5+30+22.5-25-30+150+90-120+25+10+20+85-30-45-20-20+95+70</f>
        <v>460.40022499999998</v>
      </c>
      <c r="I281" s="106">
        <f t="shared" si="291"/>
        <v>495.89347499999997</v>
      </c>
      <c r="J281" s="104">
        <f>54-15-35+7+35+20+34-7.5+35+37.5-145-20+15+40-32-5-18+50</f>
        <v>50</v>
      </c>
      <c r="K281" s="104"/>
      <c r="L281" s="104">
        <v>1</v>
      </c>
      <c r="M281" s="104">
        <f>('Renewable Diesel'!C290*'RD Feedstock Breakdown'!M$3*'Feedstock Conversion Rates'!B$2)/12</f>
        <v>7.7902500000000003</v>
      </c>
      <c r="N281" s="104">
        <f>('Renewable Diesel'!C290*'RD Feedstock Breakdown'!N$3*'Feedstock Conversion Rates'!B$8)/12</f>
        <v>3.671875</v>
      </c>
      <c r="O281" s="104">
        <f>('Renewable Diesel'!C290*'RD Feedstock Breakdown'!O$3*'Feedstock Conversion Rates'!B$7)/12</f>
        <v>11.9991</v>
      </c>
      <c r="P281" s="104">
        <f>('Renewable Diesel'!C290*'RD Feedstock Breakdown'!P$3*'Feedstock Conversion Rates'!B$3)/12</f>
        <v>10.4470425</v>
      </c>
      <c r="Q281" s="106">
        <f t="shared" si="216"/>
        <v>84.908267499999994</v>
      </c>
      <c r="R281" s="104">
        <f>('Renewable Diesel'!D290*'RD Feedstock Breakdown'!R$3*'Feedstock Conversion Rates'!B$7)/12</f>
        <v>2.2999999999999998</v>
      </c>
      <c r="S281" s="106">
        <f t="shared" si="249"/>
        <v>2.2999999999999998</v>
      </c>
      <c r="T281" s="104">
        <f t="shared" si="292"/>
        <v>0.82500000000000284</v>
      </c>
      <c r="U281" s="104">
        <v>30</v>
      </c>
      <c r="V281" s="104">
        <f>('Renewable Diesel'!E290*'RD Feedstock Breakdown'!V$3*'Feedstock Conversion Rates'!B$6)/12-20+25-35</f>
        <v>14.250150000000012</v>
      </c>
      <c r="W281" s="104">
        <f>('Renewable Diesel'!E290*'RD Feedstock Breakdown'!W$3*'Feedstock Conversion Rates'!B$8)/12-6+5</f>
        <v>21.1796875</v>
      </c>
      <c r="X281" s="106">
        <f t="shared" si="277"/>
        <v>66.254837500000008</v>
      </c>
      <c r="Y281" s="104">
        <f t="shared" si="289"/>
        <v>66</v>
      </c>
      <c r="Z281" s="104">
        <f>('Renewable Diesel'!F290*'RD Feedstock Breakdown'!Z$3*'Feedstock Conversion Rates'!B$6)/12-142+15+5+75-45+52.5-87.5+80-10-20-17+2+7+15+20</f>
        <v>109.46000000000001</v>
      </c>
      <c r="AA281" s="104">
        <f>('Renewable Diesel'!F290*'RD Feedstock Breakdown'!AA$3*'Feedstock Conversion Rates'!B$7)/12+24-30-55+15+30</f>
        <v>88.266666666666652</v>
      </c>
      <c r="AB281" s="106">
        <f t="shared" si="235"/>
        <v>263.72666666666669</v>
      </c>
      <c r="AC281" s="104">
        <f>('Renewable Diesel'!G290*'RD Feedstock Breakdown'!AC$3*'Feedstock Conversion Rates'!B$5)/12</f>
        <v>11.796875</v>
      </c>
      <c r="AD281" s="104">
        <f>('Renewable Diesel'!G290*'RD Feedstock Breakdown'!AD$3*'Feedstock Conversion Rates'!B$4)/12</f>
        <v>5.859375</v>
      </c>
      <c r="AE281" s="104">
        <f>('Renewable Diesel'!G290*'RD Feedstock Breakdown'!AE$3*'Feedstock Conversion Rates'!B$6)/12</f>
        <v>7.3281250000000009</v>
      </c>
      <c r="AF281" s="106">
        <f t="shared" si="284"/>
        <v>24.984375</v>
      </c>
      <c r="AG281" s="104">
        <f t="shared" si="230"/>
        <v>6.5</v>
      </c>
      <c r="AH281" s="104">
        <v>135</v>
      </c>
      <c r="AI281" s="104">
        <f>('Renewable Diesel'!H290*'RD Feedstock Breakdown'!AI$3*'Feedstock Conversion Rates'!B$6)/12-130-20+51-52.5+10</f>
        <v>7.0166666666666799</v>
      </c>
      <c r="AJ281" s="106">
        <f t="shared" si="248"/>
        <v>13.51666666666668</v>
      </c>
      <c r="AK281" s="104">
        <f>('Renewable Diesel'!J290*'RD Feedstock Breakdown'!AK$3*'Feedstock Conversion Rates'!B$4)/12</f>
        <v>95.8125</v>
      </c>
      <c r="AL281" s="106">
        <f t="shared" si="252"/>
        <v>95.8125</v>
      </c>
      <c r="AM281" s="104">
        <f>('Renewable Diesel'!K290*'RD Feedstock Breakdown'!AM$3*'Feedstock Conversion Rates'!B$4)/12+5+15-10-5+10-35-15</f>
        <v>23.59375</v>
      </c>
      <c r="AN281" s="104">
        <f>('Renewable Diesel'!K290*'RD Feedstock Breakdown'!AN$3*'Feedstock Conversion Rates'!B$6)/12-5-15+10+5-10+35+15</f>
        <v>59.427083333333329</v>
      </c>
      <c r="AO281" s="106">
        <f t="shared" si="270"/>
        <v>83.020833333333329</v>
      </c>
      <c r="AP281" s="104">
        <f>('Renewable Diesel'!L290*'RD Feedstock Breakdown'!AP$3*'Feedstock Conversion Rates'!B$4)/12+15-10-10+22</f>
        <v>75.59375</v>
      </c>
      <c r="AQ281" s="104">
        <f>('Renewable Diesel'!L290*'RD Feedstock Breakdown'!AQ$3*'Feedstock Conversion Rates'!B$6)/12-15+10+10-22</f>
        <v>7.4270833333333321</v>
      </c>
      <c r="AR281" s="106">
        <f t="shared" si="256"/>
        <v>83.020833333333329</v>
      </c>
      <c r="AS281" s="104">
        <f>('Renewable Diesel'!M290*'RD Feedstock Breakdown'!AS$3*'Feedstock Conversion Rates'!B$4)/12-25</f>
        <v>431.25</v>
      </c>
      <c r="AT281" s="104">
        <f>('Renewable Diesel'!M290*'RD Feedstock Breakdown'!AT$3*'Feedstock Conversion Rates'!B$5)/12+25</f>
        <v>25</v>
      </c>
      <c r="AU281" s="106">
        <f t="shared" si="290"/>
        <v>456.25</v>
      </c>
      <c r="AV281" s="104">
        <f>'Renewable Diesel'!N290*'RD Feedstock Breakdown'!$AV$3*'Feedstock Conversion Rates'!$B$4/12-15-10+25+25-22+25-77.5+56</f>
        <v>85.249999999999986</v>
      </c>
      <c r="AW281" s="104">
        <f>'Renewable Diesel'!N290*'RD Feedstock Breakdown'!$AW$3*'Feedstock Conversion Rates'!$B$7/12+15+10-25-25+22-25+77.5-56</f>
        <v>34.900000000000006</v>
      </c>
      <c r="AX281" s="106">
        <f t="shared" si="239"/>
        <v>120.14999999999999</v>
      </c>
      <c r="AY281" s="104">
        <f>('Renewable Diesel'!O290*'RD Feedstock Breakdown'!AY$3*'Feedstock Conversion Rates'!B$4)/12-95-250-3</f>
        <v>-137.0625</v>
      </c>
      <c r="AZ281" s="104">
        <f>('Renewable Diesel'!O290*'RD Feedstock Breakdown'!AZ$3*'Feedstock Conversion Rates'!B$3)/12+95+250+3</f>
        <v>373.03125</v>
      </c>
      <c r="BA281" s="106">
        <f t="shared" si="217"/>
        <v>235.96875</v>
      </c>
      <c r="BB281" s="104">
        <f>('Renewable Diesel'!Q290*'RD Feedstock Breakdown'!BB$3*'Feedstock Conversion Rates'!B$4)/12</f>
        <v>11.156249999999998</v>
      </c>
      <c r="BC281" s="104">
        <f>('Renewable Diesel'!Q290*'RD Feedstock Breakdown'!BC$3*'Feedstock Conversion Rates'!B$3)/12</f>
        <v>1.4017500000000001</v>
      </c>
      <c r="BD281" s="104">
        <f>('Renewable Diesel'!Q290*'RD Feedstock Breakdown'!BD$3*'Feedstock Conversion Rates'!B$6)/12</f>
        <v>0.8207500000000002</v>
      </c>
      <c r="BE281" s="106">
        <f t="shared" si="279"/>
        <v>13.378749999999998</v>
      </c>
      <c r="BF281" s="104">
        <f>('Renewable Diesel'!R290*'RD Feedstock Breakdown'!BF$3*'Feedstock Conversion Rates'!B$4)/12</f>
        <v>62.5</v>
      </c>
      <c r="BG281" s="106">
        <f t="shared" si="262"/>
        <v>62.5</v>
      </c>
      <c r="BH281" s="104">
        <f>('Renewable Diesel'!T290*'RD Feedstock Breakdown'!BH$3*'Feedstock Conversion Rates'!B$7)/12</f>
        <v>27.599999999999998</v>
      </c>
      <c r="BI281" s="106">
        <f t="shared" si="243"/>
        <v>27.599999999999998</v>
      </c>
      <c r="BJ281" s="104">
        <f>('Renewable Diesel'!W290*'RD Feedstock Breakdown'!BJ$3*'Feedstock Conversion Rates'!B$4)/12</f>
        <v>7.5</v>
      </c>
      <c r="BK281" s="104">
        <f>('Renewable Diesel'!W290*'RD Feedstock Breakdown'!BK$3*'Feedstock Conversion Rates'!B$3)/12</f>
        <v>1.335</v>
      </c>
      <c r="BL281" s="104">
        <f>('Renewable Diesel'!W290*'RD Feedstock Breakdown'!BL$3*'Feedstock Conversion Rates'!B$6)/12</f>
        <v>3.1266666666666669</v>
      </c>
      <c r="BM281" s="104">
        <f>('Renewable Diesel'!W290*'RD Feedstock Breakdown'!BM$3*'Feedstock Conversion Rates'!B$7)/12</f>
        <v>1.5333333333333332</v>
      </c>
      <c r="BN281" s="106">
        <f t="shared" si="209"/>
        <v>13.495000000000001</v>
      </c>
      <c r="BO281" s="104">
        <f>('Renewable Diesel'!P290*'Feedstock Conversion Rates'!B$4)/12</f>
        <v>31.25</v>
      </c>
      <c r="BP281" s="106">
        <f t="shared" si="285"/>
        <v>31.25</v>
      </c>
      <c r="BQ281" s="104">
        <f>('Renewable Diesel'!$S290*'RD Feedstock Breakdown'!BQ$3*'Feedstock Conversion Rates'!B$4)/12+10+15-15</f>
        <v>38.125</v>
      </c>
      <c r="BR281" s="104">
        <f>('Renewable Diesel'!$S290*'RD Feedstock Breakdown'!BR$3*'Feedstock Conversion Rates'!B$7)/12-10-15+15</f>
        <v>1.5</v>
      </c>
      <c r="BS281" s="106">
        <f t="shared" si="222"/>
        <v>39.625</v>
      </c>
      <c r="BT281" s="106"/>
      <c r="BU281" s="104">
        <f>('Renewable Diesel'!Y290*'Feedstock Conversion Rates'!B$7)/12</f>
        <v>2.6833333333333331</v>
      </c>
      <c r="BV281" s="106">
        <f t="shared" si="281"/>
        <v>2.6833333333333331</v>
      </c>
      <c r="BW281" s="104">
        <f>('Renewable Diesel'!$Z290*'RD Feedstock Breakdown'!BW$3*'Feedstock Conversion Rates'!$B$4)/12</f>
        <v>71.875</v>
      </c>
      <c r="BX281" s="104">
        <f>('Renewable Diesel'!$Z290*'RD Feedstock Breakdown'!BX$3*'Feedstock Conversion Rates'!$B$5)/12</f>
        <v>7.2354166666666666</v>
      </c>
      <c r="BY281" s="104">
        <f>('Renewable Diesel'!$Z290*'RD Feedstock Breakdown'!BY$3*'Feedstock Conversion Rates'!$B$7)/12</f>
        <v>61.716666666666661</v>
      </c>
      <c r="BZ281" s="104">
        <f>('Renewable Diesel'!$Z290*'RD Feedstock Breakdown'!BZ$3*'Feedstock Conversion Rates'!$B$3)/12</f>
        <v>15.352499999999999</v>
      </c>
      <c r="CA281" s="106">
        <f t="shared" si="228"/>
        <v>156.17958333333331</v>
      </c>
      <c r="CB281" s="104">
        <f>('Renewable Diesel'!AA290*'Feedstock Conversion Rates'!B$4)/12</f>
        <v>191.25</v>
      </c>
      <c r="CC281" s="106">
        <f t="shared" si="213"/>
        <v>191.25</v>
      </c>
      <c r="CD281" s="104">
        <f>('Renewable Diesel'!$AB290*'RD Feedstock Breakdown'!CD$3*'Feedstock Conversion Rates'!$B$6)/12-15-5</f>
        <v>12.830000000000005</v>
      </c>
      <c r="CE281" s="104">
        <f>('Renewable Diesel'!$AB290*'RD Feedstock Breakdown'!CE$3*'Feedstock Conversion Rates'!$B$4)/12+15+5</f>
        <v>31.25</v>
      </c>
      <c r="CF281" s="106">
        <f t="shared" si="294"/>
        <v>44.080000000000005</v>
      </c>
      <c r="CG281" s="104">
        <f>('Renewable Diesel'!AD290*'Feedstock Conversion Rates'!B$4)/12</f>
        <v>112.5</v>
      </c>
      <c r="CH281" s="106">
        <f t="shared" si="278"/>
        <v>112.5</v>
      </c>
      <c r="CI281" s="104">
        <f>('Renewable Diesel'!$AE290*'RD Feedstock Breakdown'!CI$3*'Feedstock Conversion Rates'!$B$5)/12</f>
        <v>0.34604166666666664</v>
      </c>
      <c r="CJ281" s="104">
        <f>('Renewable Diesel'!$AE290*'RD Feedstock Breakdown'!CJ$3*'Feedstock Conversion Rates'!$B$4)/12</f>
        <v>0.34375</v>
      </c>
      <c r="CK281" s="106">
        <f t="shared" si="286"/>
        <v>0.68979166666666658</v>
      </c>
      <c r="CL281" s="104">
        <f>(((CL$3*'Renewable Diesel'!$AF290)*'Feedstock Conversion Rates'!$B$3)/12)</f>
        <v>91.78125</v>
      </c>
      <c r="CM281" s="104">
        <f>(((CM$3*'Renewable Diesel'!$AF290)*'Feedstock Conversion Rates'!$B$6)/12)</f>
        <v>53.739583333333336</v>
      </c>
      <c r="CN281" s="104">
        <f>(((CN$3*'Renewable Diesel'!$AF290)*'Feedstock Conversion Rates'!$B$4)/12)</f>
        <v>42.96875</v>
      </c>
      <c r="CO281" s="106">
        <f t="shared" si="280"/>
        <v>188.48958333333334</v>
      </c>
      <c r="CP281" s="104">
        <f>('Renewable Diesel'!$AG290*'RD Feedstock Breakdown'!CP$3*'Feedstock Conversion Rates'!$B$3)/12+4-4</f>
        <v>6.0075000000000003</v>
      </c>
      <c r="CQ281" s="104">
        <f>('Renewable Diesel'!$AG290*'RD Feedstock Breakdown'!CQ$3*'Feedstock Conversion Rates'!$B$6)/12</f>
        <v>3.5175000000000001</v>
      </c>
      <c r="CR281" s="104">
        <f>('Renewable Diesel'!$AG290*'RD Feedstock Breakdown'!CR$3*'Feedstock Conversion Rates'!$B$4)/12-4+4</f>
        <v>2.8125</v>
      </c>
      <c r="CS281" s="106">
        <f t="shared" si="231"/>
        <v>12.3375</v>
      </c>
      <c r="CT281" s="104">
        <f>('Renewable Diesel'!AI290*'Feedstock Conversion Rates'!$B$4*'RD Feedstock Breakdown'!$CT$3)/12</f>
        <v>29.375</v>
      </c>
      <c r="CU281" s="106">
        <f t="shared" si="282"/>
        <v>29.375</v>
      </c>
      <c r="CV281" s="104">
        <f>('Renewable Diesel'!AN290*'Feedstock Conversion Rates'!$B$3*'RD Feedstock Breakdown'!$CV$3)/12</f>
        <v>0.50062499999999999</v>
      </c>
      <c r="CW281" s="106">
        <f t="shared" si="255"/>
        <v>0.50062499999999999</v>
      </c>
      <c r="CX281" s="104">
        <f>('Renewable Diesel'!AO290*'RD Feedstock Breakdown'!$CX$3*'Feedstock Conversion Rates'!$B$3)/12</f>
        <v>6.3412499999999996</v>
      </c>
      <c r="CY281" s="104">
        <f>('Renewable Diesel'!AO290*'RD Feedstock Breakdown'!$CY$3*'Feedstock Conversion Rates'!$B$6)/12</f>
        <v>7.4258333333333342</v>
      </c>
      <c r="CZ281" s="106">
        <f t="shared" si="233"/>
        <v>13.767083333333334</v>
      </c>
      <c r="DA281" s="104">
        <f>('Renewable Diesel'!$AP290*'RD Feedstock Breakdown'!DA$3*'Feedstock Conversion Rates'!$B$3)/12</f>
        <v>6.3412499999999996</v>
      </c>
      <c r="DB281" s="104">
        <f>('Renewable Diesel'!$AP290*'RD Feedstock Breakdown'!DB$3*'Feedstock Conversion Rates'!$B$8)/12</f>
        <v>7.421875</v>
      </c>
      <c r="DC281" s="106">
        <f t="shared" si="260"/>
        <v>13.763124999999999</v>
      </c>
      <c r="DD281" s="104">
        <f>('Renewable Diesel'!AQ290*$DD$3*'Feedstock Conversion Rates'!$B$14)/12</f>
        <v>3.1041666666666665</v>
      </c>
      <c r="DE281" s="106">
        <f t="shared" si="261"/>
        <v>3.1041666666666665</v>
      </c>
      <c r="DF281" s="104">
        <f>('Renewable Diesel'!AR290*'Feedstock Conversion Rates'!$B$4*$DF$3)/12</f>
        <v>75</v>
      </c>
      <c r="DG281" s="106">
        <f t="shared" si="234"/>
        <v>75</v>
      </c>
      <c r="DH281" s="104">
        <f>('Renewable Diesel'!AS290*'Feedstock Conversion Rates'!$B$4*$DH$3)/12</f>
        <v>75</v>
      </c>
      <c r="DI281" s="106">
        <f t="shared" si="240"/>
        <v>75</v>
      </c>
      <c r="DJ281" s="104">
        <f>('Renewable Diesel'!AT290*'Feedstock Conversion Rates'!$B$4*0.25)/12</f>
        <v>8.59375</v>
      </c>
      <c r="DK281" s="104">
        <f>('Renewable Diesel'!$AT290*'RD Feedstock Breakdown'!DK$3*'Feedstock Conversion Rates'!$B$3)/12*0.5</f>
        <v>9.1781249999999996</v>
      </c>
      <c r="DL281" s="104">
        <f>('Renewable Diesel'!$AT290*'RD Feedstock Breakdown'!$DL$3*'Feedstock Conversion Rates'!$B$6)/12</f>
        <v>10.747916666666669</v>
      </c>
      <c r="DM281" s="104">
        <f>('Renewable Diesel'!$AT290*'RD Feedstock Breakdown'!$DM$3*'Feedstock Conversion Rates'!$B$8)/12</f>
        <v>10.7421875</v>
      </c>
      <c r="DN281" s="106">
        <f t="shared" si="210"/>
        <v>39.26197916666667</v>
      </c>
      <c r="DP281" s="104">
        <f t="shared" si="265"/>
        <v>12.720250000000007</v>
      </c>
      <c r="DQ281" s="104">
        <f t="shared" si="266"/>
        <v>982.11776750000001</v>
      </c>
      <c r="DR281" s="104">
        <f t="shared" si="271"/>
        <v>1644.953125</v>
      </c>
      <c r="DS281" s="104">
        <f t="shared" si="283"/>
        <v>67.401250000000005</v>
      </c>
      <c r="DT281" s="104">
        <f t="shared" si="267"/>
        <v>304.53923333333341</v>
      </c>
      <c r="DU281" s="104">
        <f t="shared" si="268"/>
        <v>252.15610000000001</v>
      </c>
      <c r="DV281" s="104">
        <f t="shared" si="272"/>
        <v>39.75</v>
      </c>
      <c r="DW281" s="104">
        <f t="shared" si="269"/>
        <v>3</v>
      </c>
      <c r="DX281" s="106">
        <f t="shared" si="273"/>
        <v>3306.6377258333337</v>
      </c>
      <c r="DY281" s="109">
        <f t="shared" si="257"/>
        <v>-135.00000000000048</v>
      </c>
      <c r="EA281" s="110">
        <f t="shared" si="250"/>
        <v>3.846883467342728E-3</v>
      </c>
      <c r="EB281" s="110">
        <f t="shared" si="250"/>
        <v>0.29701402116934</v>
      </c>
      <c r="EC281" s="110">
        <f t="shared" si="250"/>
        <v>0.49747001679340047</v>
      </c>
      <c r="ED281" s="110">
        <f t="shared" si="250"/>
        <v>2.0383620943238846E-2</v>
      </c>
      <c r="EE281" s="110">
        <f t="shared" si="250"/>
        <v>9.2099364546076451E-2</v>
      </c>
      <c r="EF281" s="110">
        <f t="shared" si="250"/>
        <v>7.6257552507192794E-2</v>
      </c>
      <c r="EG281" s="110">
        <f t="shared" si="250"/>
        <v>1.2021274568257176E-2</v>
      </c>
      <c r="EH281" s="111">
        <f t="shared" si="274"/>
        <v>9.0726600515148503E-4</v>
      </c>
      <c r="EI281" s="110">
        <f t="shared" si="236"/>
        <v>0.99909273399484855</v>
      </c>
      <c r="EK281" s="132">
        <f>(EA281*'Renewable Diesel'!BF290*'Feedstock Conversion Rates'!B$2)+FB281</f>
        <v>42.743805846406495</v>
      </c>
      <c r="EL281" s="132">
        <f>(EB281*'Renewable Diesel'!BF290*'Feedstock Conversion Rates'!B$3)+FC281</f>
        <v>3109.9592603302299</v>
      </c>
      <c r="EM281" s="132">
        <f>(EC281*'Renewable Diesel'!BF290*'Feedstock Conversion Rates'!B$4)+FD281</f>
        <v>4877.2319033758995</v>
      </c>
      <c r="EN281" s="132">
        <f>(ED281*'Renewable Diesel'!BF290*'Feedstock Conversion Rates'!B$5)+FE281</f>
        <v>201.17477228392005</v>
      </c>
      <c r="EO281" s="132">
        <f>(EE281*'Renewable Diesel'!BF290*'Feedstock Conversion Rates'!B$6)+FF281</f>
        <v>1129.2879767907118</v>
      </c>
      <c r="EP281" s="132">
        <f>(EF281*'Renewable Diesel'!BF290*'Feedstock Conversion Rates'!B$7)+FG281</f>
        <v>917.09837102037068</v>
      </c>
      <c r="EQ281" s="132">
        <f>(EG281*'Renewable Diesel'!BF290*'Feedstock Conversion Rates'!B$8)+FH281</f>
        <v>147.32180298389355</v>
      </c>
      <c r="ER281" s="132">
        <f>(EH281*'Renewable Diesel'!BF290*'Feedstock Conversion Rates'!B$9)+FI281</f>
        <v>10.970378285089936</v>
      </c>
      <c r="ES281" s="132">
        <f t="shared" si="275"/>
        <v>10435.788270916524</v>
      </c>
      <c r="ET281" s="133">
        <f>ES281/'Renewable Diesel'!BF290</f>
        <v>13.442514308266471</v>
      </c>
      <c r="EW281" s="73">
        <f t="shared" si="223"/>
        <v>7140.8435023411221</v>
      </c>
      <c r="EX281" s="73">
        <f t="shared" si="224"/>
        <v>7533.1154035788695</v>
      </c>
      <c r="EY281" s="92">
        <f t="shared" si="258"/>
        <v>0.68426488895351811</v>
      </c>
      <c r="EZ281" s="92">
        <f t="shared" si="258"/>
        <v>0.72185399013631701</v>
      </c>
      <c r="FB281" s="102">
        <f>IF('Renewable Diesel'!$BG290&lt;1,0,(((('Renewable Diesel'!$BG290-1)*'Renewable Diesel'!$BF290)*'RD Feedstock Breakdown'!EA281)*'Feedstock Conversion Rates'!$B$2))</f>
        <v>17.359066518376157</v>
      </c>
      <c r="FC281" s="102">
        <f>IF('Renewable Diesel'!$BG290&lt;1,0,(((('Renewable Diesel'!$BG290-1)*'Renewable Diesel'!$BF290)*'RD Feedstock Breakdown'!EB281)*'Feedstock Conversion Rates'!$B$3))</f>
        <v>1263.0131688203664</v>
      </c>
      <c r="FD281" s="102">
        <f>IF('Renewable Diesel'!$BG290&lt;1,0,(((('Renewable Diesel'!$BG290-1)*'Renewable Diesel'!$BF290)*'RD Feedstock Breakdown'!EC281)*'Feedstock Conversion Rates'!$B$4))</f>
        <v>1980.7359536602046</v>
      </c>
      <c r="FE281" s="102">
        <f>IF('Renewable Diesel'!$BG290&lt;1,0,(((('Renewable Diesel'!$BG290-1)*'Renewable Diesel'!$BF290)*'RD Feedstock Breakdown'!ED281)*'Feedstock Conversion Rates'!$B$5))</f>
        <v>81.700873021098488</v>
      </c>
      <c r="FF281" s="102">
        <f>IF('Renewable Diesel'!$BG290&lt;1,0,(((('Renewable Diesel'!$BG290-1)*'Renewable Diesel'!$BF290)*'RD Feedstock Breakdown'!EE281)*'Feedstock Conversion Rates'!$B$6))</f>
        <v>458.62516730387193</v>
      </c>
      <c r="FG281" s="102">
        <f>IF('Renewable Diesel'!$BG290&lt;1,0,(((('Renewable Diesel'!$BG290-1)*'Renewable Diesel'!$BF290)*'RD Feedstock Breakdown'!EF281)*'Feedstock Conversion Rates'!$B$7))</f>
        <v>372.45096245390687</v>
      </c>
      <c r="FH281" s="102">
        <f>IF('Renewable Diesel'!$BG290&lt;1,0,(((('Renewable Diesel'!$BG290-1)*'Renewable Diesel'!$BF290)*'RD Feedstock Breakdown'!EG281)*'Feedstock Conversion Rates'!$B$8))</f>
        <v>59.830165493312407</v>
      </c>
      <c r="FI281" s="102">
        <f>IF('Renewable Diesel'!$BG290&lt;1,0,(((('Renewable Diesel'!$BG290-1)*'Renewable Diesel'!$BF290)*'RD Feedstock Breakdown'!EH281)*'Feedstock Conversion Rates'!$B$9))</f>
        <v>4.4552777323321946</v>
      </c>
      <c r="FJ281" s="102">
        <f t="shared" si="225"/>
        <v>4238.1706350034692</v>
      </c>
      <c r="GD281" s="91">
        <f>'Renewable Diesel'!BB290*0.32</f>
        <v>0</v>
      </c>
      <c r="GE281" s="91">
        <f>'Renewable Diesel'!BC290</f>
        <v>505.60705325518018</v>
      </c>
      <c r="GF281" s="91">
        <f>'Renewable Diesel'!BD290</f>
        <v>0</v>
      </c>
      <c r="GG281" s="91">
        <f t="shared" ref="GG281:GG344" si="295">GF281+GE281</f>
        <v>505.60705325518018</v>
      </c>
      <c r="GH281" s="124">
        <v>1</v>
      </c>
      <c r="GI281" s="102">
        <f>$GG281*EA281*'Feedstock Conversion Rates'!$B$2</f>
        <v>16.532597020183431</v>
      </c>
      <c r="GJ281" s="102">
        <f>$GG281*EB281*'Feedstock Conversion Rates'!$B$3</f>
        <v>1202.8807959914027</v>
      </c>
      <c r="GK281" s="102">
        <f>$GG281*EC281*'Feedstock Conversion Rates'!$B$4</f>
        <v>1886.4326195528715</v>
      </c>
      <c r="GL281" s="102">
        <f>$GG281*ED281*'Feedstock Conversion Rates'!$B$5</f>
        <v>77.811074024350845</v>
      </c>
      <c r="GM281" s="102">
        <f>$GG281*EE281*'Feedstock Conversion Rates'!$B$6</f>
        <v>436.78990839297717</v>
      </c>
      <c r="GN281" s="102">
        <f>$GG281*EF281*'Feedstock Conversion Rates'!$B$7</f>
        <v>354.71847898684808</v>
      </c>
      <c r="GO281" s="102">
        <f>$GG281*EG281*'Feedstock Conversion Rates'!$B$8</f>
        <v>56.981636351512016</v>
      </c>
      <c r="GP281" s="102">
        <f>$GG281*EH281*'Feedstock Conversion Rates'!B$9</f>
        <v>4.2431608452949838</v>
      </c>
      <c r="GQ281" s="102">
        <f t="shared" si="276"/>
        <v>4036.3902711654405</v>
      </c>
      <c r="GR281" s="85">
        <f t="shared" si="293"/>
        <v>7.9832554652442163</v>
      </c>
      <c r="GT281" s="103">
        <f t="shared" si="254"/>
        <v>4.0958866485945409E-3</v>
      </c>
      <c r="GU281" s="103">
        <f t="shared" si="254"/>
        <v>0.29800904154000218</v>
      </c>
      <c r="GV281" s="103">
        <f t="shared" si="254"/>
        <v>0.46735634882208638</v>
      </c>
      <c r="GW281" s="103">
        <f t="shared" si="254"/>
        <v>1.927739113341094E-2</v>
      </c>
      <c r="GX281" s="103">
        <f t="shared" si="253"/>
        <v>0.10821300197685325</v>
      </c>
      <c r="GY281" s="103">
        <f t="shared" si="253"/>
        <v>8.7880124357853279E-2</v>
      </c>
      <c r="GZ281" s="103">
        <f t="shared" si="253"/>
        <v>1.4116978915187879E-2</v>
      </c>
      <c r="HA281" s="103">
        <f t="shared" si="251"/>
        <v>1.0512266060114749E-3</v>
      </c>
    </row>
    <row r="282" spans="1:209" x14ac:dyDescent="0.25">
      <c r="A282" s="96">
        <v>49004</v>
      </c>
      <c r="B282" s="104">
        <f>115.75+145+100+235+31.5-21-287-20-28-32-70-39-47+40+20-3-10+65-105+5-15-75-1+20+33+40+14-5-40+26+55-55.5-91+70-70</f>
        <v>0.75</v>
      </c>
      <c r="C282" s="104">
        <f t="shared" si="287"/>
        <v>4</v>
      </c>
      <c r="D282" s="104">
        <f t="shared" si="288"/>
        <v>2</v>
      </c>
      <c r="E282" s="104">
        <f>('Renewable Diesel'!B291*E$3*'Feedstock Conversion Rates'!$B$2)/12+26+13-100+27.5+39+105-40-14-26+55.5-51+29-10-139</f>
        <v>4.9300000000000068</v>
      </c>
      <c r="F282" s="104">
        <f>('Renewable Diesel'!B291*'RD Feedstock Breakdown'!F$3*'Feedstock Conversion Rates'!B$8)/12+77+23-10-12-115.75+24+8-33+5-16</f>
        <v>4.15625</v>
      </c>
      <c r="G282" s="104">
        <f>('Renewable Diesel'!B291*'RD Feedstock Breakdown'!G$3*'Feedstock Conversion Rates'!B$7)/12-25-15-25+4+4-20-40-20+10-17.5+20+50-12+32.5+35-75-75+22.5+5-20+15+125-10-60+5-85+45+20+20-70</f>
        <v>19.657000000000011</v>
      </c>
      <c r="H282" s="104">
        <f>('Renewable Diesel'!B291*'RD Feedstock Breakdown'!H$3*'Feedstock Conversion Rates'!B$3)/12-85+4-15+70-65-80+50-22.5-5+25+27.5+15+50+15-10+5+50+75-5-25-85-12.5+30+22.5-25-30+150+90-120+25+10+20+85-30-45-20-20+95+70</f>
        <v>460.40022499999998</v>
      </c>
      <c r="I282" s="106">
        <f t="shared" si="291"/>
        <v>495.89347499999997</v>
      </c>
      <c r="J282" s="104">
        <f>54-15-35+7+35+20+34-7.5+35+37.5-145-20+15+40-32-5-18+5</f>
        <v>5</v>
      </c>
      <c r="K282" s="104"/>
      <c r="L282" s="104">
        <v>1</v>
      </c>
      <c r="M282" s="104">
        <f>('Renewable Diesel'!C291*'RD Feedstock Breakdown'!M$3*'Feedstock Conversion Rates'!B$2)/12</f>
        <v>7.7902500000000003</v>
      </c>
      <c r="N282" s="104">
        <f>('Renewable Diesel'!C291*'RD Feedstock Breakdown'!N$3*'Feedstock Conversion Rates'!B$8)/12</f>
        <v>3.671875</v>
      </c>
      <c r="O282" s="104">
        <f>('Renewable Diesel'!C291*'RD Feedstock Breakdown'!O$3*'Feedstock Conversion Rates'!B$7)/12</f>
        <v>11.9991</v>
      </c>
      <c r="P282" s="104">
        <f>('Renewable Diesel'!C291*'RD Feedstock Breakdown'!P$3*'Feedstock Conversion Rates'!B$3)/12</f>
        <v>10.4470425</v>
      </c>
      <c r="Q282" s="106">
        <f t="shared" si="216"/>
        <v>39.908267500000001</v>
      </c>
      <c r="R282" s="104">
        <f>('Renewable Diesel'!D291*'RD Feedstock Breakdown'!R$3*'Feedstock Conversion Rates'!B$7)/12</f>
        <v>2.2999999999999998</v>
      </c>
      <c r="S282" s="106">
        <f t="shared" si="249"/>
        <v>2.2999999999999998</v>
      </c>
      <c r="T282" s="104">
        <f t="shared" si="292"/>
        <v>0.82500000000000284</v>
      </c>
      <c r="U282" s="104">
        <v>30</v>
      </c>
      <c r="V282" s="104">
        <f>('Renewable Diesel'!E291*'RD Feedstock Breakdown'!V$3*'Feedstock Conversion Rates'!B$6)/12-20+25-35</f>
        <v>14.250150000000012</v>
      </c>
      <c r="W282" s="104">
        <f>('Renewable Diesel'!E291*'RD Feedstock Breakdown'!W$3*'Feedstock Conversion Rates'!B$8)/12-6+5</f>
        <v>21.1796875</v>
      </c>
      <c r="X282" s="106">
        <f t="shared" si="277"/>
        <v>66.254837500000008</v>
      </c>
      <c r="Y282" s="104">
        <f t="shared" si="289"/>
        <v>66</v>
      </c>
      <c r="Z282" s="104">
        <f>('Renewable Diesel'!F291*'RD Feedstock Breakdown'!Z$3*'Feedstock Conversion Rates'!B$6)/12-142+15+5+75-45+52.5-87.5+80-10-20-17+2+7+15+20</f>
        <v>109.46000000000001</v>
      </c>
      <c r="AA282" s="104">
        <f>('Renewable Diesel'!F291*'RD Feedstock Breakdown'!AA$3*'Feedstock Conversion Rates'!B$7)/12+24-30-55+15+30</f>
        <v>88.266666666666652</v>
      </c>
      <c r="AB282" s="106">
        <f t="shared" si="235"/>
        <v>263.72666666666669</v>
      </c>
      <c r="AC282" s="104">
        <f>('Renewable Diesel'!G291*'RD Feedstock Breakdown'!AC$3*'Feedstock Conversion Rates'!B$5)/12</f>
        <v>11.796875</v>
      </c>
      <c r="AD282" s="104">
        <f>('Renewable Diesel'!G291*'RD Feedstock Breakdown'!AD$3*'Feedstock Conversion Rates'!B$4)/12</f>
        <v>5.859375</v>
      </c>
      <c r="AE282" s="104">
        <f>('Renewable Diesel'!G291*'RD Feedstock Breakdown'!AE$3*'Feedstock Conversion Rates'!B$6)/12</f>
        <v>7.3281250000000009</v>
      </c>
      <c r="AF282" s="106">
        <f t="shared" si="284"/>
        <v>24.984375</v>
      </c>
      <c r="AG282" s="104">
        <f t="shared" si="230"/>
        <v>6.5</v>
      </c>
      <c r="AH282" s="104">
        <v>135</v>
      </c>
      <c r="AI282" s="104">
        <f>('Renewable Diesel'!H291*'RD Feedstock Breakdown'!AI$3*'Feedstock Conversion Rates'!B$6)/12-130-20+51-52.5+10</f>
        <v>7.0166666666666799</v>
      </c>
      <c r="AJ282" s="106">
        <f t="shared" si="248"/>
        <v>13.51666666666668</v>
      </c>
      <c r="AK282" s="104">
        <f>('Renewable Diesel'!J291*'RD Feedstock Breakdown'!AK$3*'Feedstock Conversion Rates'!B$4)/12</f>
        <v>95.8125</v>
      </c>
      <c r="AL282" s="106">
        <f t="shared" si="252"/>
        <v>95.8125</v>
      </c>
      <c r="AM282" s="104">
        <f>('Renewable Diesel'!K291*'RD Feedstock Breakdown'!AM$3*'Feedstock Conversion Rates'!B$4)/12+5+15-10-5+10-35-15</f>
        <v>23.59375</v>
      </c>
      <c r="AN282" s="104">
        <f>('Renewable Diesel'!K291*'RD Feedstock Breakdown'!AN$3*'Feedstock Conversion Rates'!B$6)/12-5-15+10+5-10+35+15</f>
        <v>59.427083333333329</v>
      </c>
      <c r="AO282" s="106">
        <f t="shared" si="270"/>
        <v>83.020833333333329</v>
      </c>
      <c r="AP282" s="104">
        <f>('Renewable Diesel'!L291*'RD Feedstock Breakdown'!AP$3*'Feedstock Conversion Rates'!B$4)/12+15-10-10+22</f>
        <v>75.59375</v>
      </c>
      <c r="AQ282" s="104">
        <f>('Renewable Diesel'!L291*'RD Feedstock Breakdown'!AQ$3*'Feedstock Conversion Rates'!B$6)/12-15+10+10-22</f>
        <v>7.4270833333333321</v>
      </c>
      <c r="AR282" s="106">
        <f t="shared" si="256"/>
        <v>83.020833333333329</v>
      </c>
      <c r="AS282" s="104">
        <f>('Renewable Diesel'!M291*'RD Feedstock Breakdown'!AS$3*'Feedstock Conversion Rates'!B$4)/12-25</f>
        <v>431.25</v>
      </c>
      <c r="AT282" s="104">
        <f>('Renewable Diesel'!M291*'RD Feedstock Breakdown'!AT$3*'Feedstock Conversion Rates'!B$5)/12+25</f>
        <v>25</v>
      </c>
      <c r="AU282" s="106">
        <f t="shared" si="290"/>
        <v>456.25</v>
      </c>
      <c r="AV282" s="104">
        <f>'Renewable Diesel'!N291*'RD Feedstock Breakdown'!$AV$3*'Feedstock Conversion Rates'!$B$4/12-15-10+25+25-22+25-77.5+56</f>
        <v>85.249999999999986</v>
      </c>
      <c r="AW282" s="104">
        <f>'Renewable Diesel'!N291*'RD Feedstock Breakdown'!$AW$3*'Feedstock Conversion Rates'!$B$7/12+15+10-25-25+22-25+77.5-56</f>
        <v>34.900000000000006</v>
      </c>
      <c r="AX282" s="106">
        <f t="shared" si="239"/>
        <v>120.14999999999999</v>
      </c>
      <c r="AY282" s="104">
        <f>('Renewable Diesel'!O291*'RD Feedstock Breakdown'!AY$3*'Feedstock Conversion Rates'!B$4)/12-95-250-3</f>
        <v>-137.0625</v>
      </c>
      <c r="AZ282" s="104">
        <f>('Renewable Diesel'!O291*'RD Feedstock Breakdown'!AZ$3*'Feedstock Conversion Rates'!B$3)/12+95+250+3</f>
        <v>373.03125</v>
      </c>
      <c r="BA282" s="106">
        <f t="shared" si="217"/>
        <v>235.96875</v>
      </c>
      <c r="BB282" s="104">
        <f>('Renewable Diesel'!Q291*'RD Feedstock Breakdown'!BB$3*'Feedstock Conversion Rates'!B$4)/12</f>
        <v>11.156249999999998</v>
      </c>
      <c r="BC282" s="104">
        <f>('Renewable Diesel'!Q291*'RD Feedstock Breakdown'!BC$3*'Feedstock Conversion Rates'!B$3)/12</f>
        <v>1.4017500000000001</v>
      </c>
      <c r="BD282" s="104">
        <f>('Renewable Diesel'!Q291*'RD Feedstock Breakdown'!BD$3*'Feedstock Conversion Rates'!B$6)/12</f>
        <v>0.8207500000000002</v>
      </c>
      <c r="BE282" s="106">
        <f t="shared" si="279"/>
        <v>13.378749999999998</v>
      </c>
      <c r="BF282" s="104">
        <f>('Renewable Diesel'!R291*'RD Feedstock Breakdown'!BF$3*'Feedstock Conversion Rates'!B$4)/12</f>
        <v>62.5</v>
      </c>
      <c r="BG282" s="106">
        <f t="shared" si="262"/>
        <v>62.5</v>
      </c>
      <c r="BH282" s="104">
        <f>('Renewable Diesel'!T291*'RD Feedstock Breakdown'!BH$3*'Feedstock Conversion Rates'!B$7)/12</f>
        <v>27.599999999999998</v>
      </c>
      <c r="BI282" s="106">
        <f t="shared" si="243"/>
        <v>27.599999999999998</v>
      </c>
      <c r="BJ282" s="104">
        <f>('Renewable Diesel'!W291*'RD Feedstock Breakdown'!BJ$3*'Feedstock Conversion Rates'!B$4)/12</f>
        <v>7.5</v>
      </c>
      <c r="BK282" s="104">
        <f>('Renewable Diesel'!W291*'RD Feedstock Breakdown'!BK$3*'Feedstock Conversion Rates'!B$3)/12</f>
        <v>1.335</v>
      </c>
      <c r="BL282" s="104">
        <f>('Renewable Diesel'!W291*'RD Feedstock Breakdown'!BL$3*'Feedstock Conversion Rates'!B$6)/12</f>
        <v>3.1266666666666669</v>
      </c>
      <c r="BM282" s="104">
        <f>('Renewable Diesel'!W291*'RD Feedstock Breakdown'!BM$3*'Feedstock Conversion Rates'!B$7)/12</f>
        <v>1.5333333333333332</v>
      </c>
      <c r="BN282" s="106">
        <f t="shared" ref="BN282:BN345" si="296">SUM(BJ282:BM282)</f>
        <v>13.495000000000001</v>
      </c>
      <c r="BO282" s="104">
        <f>('Renewable Diesel'!P291*'Feedstock Conversion Rates'!B$4)/12</f>
        <v>31.25</v>
      </c>
      <c r="BP282" s="106">
        <f t="shared" si="285"/>
        <v>31.25</v>
      </c>
      <c r="BQ282" s="104">
        <f>('Renewable Diesel'!$S291*'RD Feedstock Breakdown'!BQ$3*'Feedstock Conversion Rates'!B$4)/12+10+15-15</f>
        <v>38.125</v>
      </c>
      <c r="BR282" s="104">
        <f>('Renewable Diesel'!$S291*'RD Feedstock Breakdown'!BR$3*'Feedstock Conversion Rates'!B$7)/12-10-15+15</f>
        <v>1.5</v>
      </c>
      <c r="BS282" s="106">
        <f t="shared" si="222"/>
        <v>39.625</v>
      </c>
      <c r="BT282" s="106"/>
      <c r="BU282" s="104">
        <f>('Renewable Diesel'!Y291*'Feedstock Conversion Rates'!B$7)/12</f>
        <v>2.6833333333333331</v>
      </c>
      <c r="BV282" s="106">
        <f t="shared" si="281"/>
        <v>2.6833333333333331</v>
      </c>
      <c r="BW282" s="104">
        <f>('Renewable Diesel'!$Z291*'RD Feedstock Breakdown'!BW$3*'Feedstock Conversion Rates'!$B$4)/12</f>
        <v>71.875</v>
      </c>
      <c r="BX282" s="104">
        <f>('Renewable Diesel'!$Z291*'RD Feedstock Breakdown'!BX$3*'Feedstock Conversion Rates'!$B$5)/12</f>
        <v>7.2354166666666666</v>
      </c>
      <c r="BY282" s="104">
        <f>('Renewable Diesel'!$Z291*'RD Feedstock Breakdown'!BY$3*'Feedstock Conversion Rates'!$B$7)/12</f>
        <v>61.716666666666661</v>
      </c>
      <c r="BZ282" s="104">
        <f>('Renewable Diesel'!$Z291*'RD Feedstock Breakdown'!BZ$3*'Feedstock Conversion Rates'!$B$3)/12</f>
        <v>15.352499999999999</v>
      </c>
      <c r="CA282" s="106">
        <f t="shared" si="228"/>
        <v>156.17958333333331</v>
      </c>
      <c r="CB282" s="104">
        <f>('Renewable Diesel'!AA291*'Feedstock Conversion Rates'!B$4)/12</f>
        <v>191.25</v>
      </c>
      <c r="CC282" s="106">
        <f t="shared" si="213"/>
        <v>191.25</v>
      </c>
      <c r="CD282" s="104">
        <f>('Renewable Diesel'!$AB291*'RD Feedstock Breakdown'!CD$3*'Feedstock Conversion Rates'!$B$6)/12-15-5</f>
        <v>12.830000000000005</v>
      </c>
      <c r="CE282" s="104">
        <f>('Renewable Diesel'!$AB291*'RD Feedstock Breakdown'!CE$3*'Feedstock Conversion Rates'!$B$4)/12+15+5</f>
        <v>31.25</v>
      </c>
      <c r="CF282" s="106">
        <f t="shared" si="294"/>
        <v>44.080000000000005</v>
      </c>
      <c r="CG282" s="104">
        <f>('Renewable Diesel'!AD291*'Feedstock Conversion Rates'!B$4)/12</f>
        <v>112.5</v>
      </c>
      <c r="CH282" s="106">
        <f t="shared" si="278"/>
        <v>112.5</v>
      </c>
      <c r="CI282" s="104">
        <f>('Renewable Diesel'!$AE291*'RD Feedstock Breakdown'!CI$3*'Feedstock Conversion Rates'!$B$5)/12</f>
        <v>0.34604166666666664</v>
      </c>
      <c r="CJ282" s="104">
        <f>('Renewable Diesel'!$AE291*'RD Feedstock Breakdown'!CJ$3*'Feedstock Conversion Rates'!$B$4)/12</f>
        <v>0.34375</v>
      </c>
      <c r="CK282" s="106">
        <f t="shared" si="286"/>
        <v>0.68979166666666658</v>
      </c>
      <c r="CL282" s="104">
        <f>(((CL$3*'Renewable Diesel'!$AF291)*'Feedstock Conversion Rates'!$B$3)/12)</f>
        <v>91.78125</v>
      </c>
      <c r="CM282" s="104">
        <f>(((CM$3*'Renewable Diesel'!$AF291)*'Feedstock Conversion Rates'!$B$6)/12)</f>
        <v>53.739583333333336</v>
      </c>
      <c r="CN282" s="104">
        <f>(((CN$3*'Renewable Diesel'!$AF291)*'Feedstock Conversion Rates'!$B$4)/12)</f>
        <v>42.96875</v>
      </c>
      <c r="CO282" s="106">
        <f t="shared" si="280"/>
        <v>188.48958333333334</v>
      </c>
      <c r="CP282" s="104">
        <f>('Renewable Diesel'!$AG291*'RD Feedstock Breakdown'!CP$3*'Feedstock Conversion Rates'!$B$3)/12+4-4</f>
        <v>6.0075000000000003</v>
      </c>
      <c r="CQ282" s="104">
        <f>('Renewable Diesel'!$AG291*'RD Feedstock Breakdown'!CQ$3*'Feedstock Conversion Rates'!$B$6)/12</f>
        <v>3.5175000000000001</v>
      </c>
      <c r="CR282" s="104">
        <f>('Renewable Diesel'!$AG291*'RD Feedstock Breakdown'!CR$3*'Feedstock Conversion Rates'!$B$4)/12-4+4</f>
        <v>2.8125</v>
      </c>
      <c r="CS282" s="106">
        <f t="shared" si="231"/>
        <v>12.3375</v>
      </c>
      <c r="CT282" s="104">
        <f>('Renewable Diesel'!AI291*'Feedstock Conversion Rates'!$B$4*'RD Feedstock Breakdown'!$CT$3)/12</f>
        <v>29.375</v>
      </c>
      <c r="CU282" s="106">
        <f t="shared" si="282"/>
        <v>29.375</v>
      </c>
      <c r="CV282" s="104">
        <f>('Renewable Diesel'!AN291*'Feedstock Conversion Rates'!$B$3*'RD Feedstock Breakdown'!$CV$3)/12</f>
        <v>0.50062499999999999</v>
      </c>
      <c r="CW282" s="106">
        <f t="shared" si="255"/>
        <v>0.50062499999999999</v>
      </c>
      <c r="CX282" s="104">
        <f>('Renewable Diesel'!AO291*'RD Feedstock Breakdown'!$CX$3*'Feedstock Conversion Rates'!$B$3)/12</f>
        <v>6.3412499999999996</v>
      </c>
      <c r="CY282" s="104">
        <f>('Renewable Diesel'!AO291*'RD Feedstock Breakdown'!$CY$3*'Feedstock Conversion Rates'!$B$6)/12</f>
        <v>7.4258333333333342</v>
      </c>
      <c r="CZ282" s="106">
        <f t="shared" si="233"/>
        <v>13.767083333333334</v>
      </c>
      <c r="DA282" s="104">
        <f>('Renewable Diesel'!$AP291*'RD Feedstock Breakdown'!DA$3*'Feedstock Conversion Rates'!$B$3)/12</f>
        <v>6.3412499999999996</v>
      </c>
      <c r="DB282" s="104">
        <f>('Renewable Diesel'!$AP291*'RD Feedstock Breakdown'!DB$3*'Feedstock Conversion Rates'!$B$8)/12</f>
        <v>7.421875</v>
      </c>
      <c r="DC282" s="106">
        <f t="shared" si="260"/>
        <v>13.763124999999999</v>
      </c>
      <c r="DD282" s="104">
        <f>('Renewable Diesel'!AQ291*$DD$3*'Feedstock Conversion Rates'!$B$14)/12</f>
        <v>3.1041666666666665</v>
      </c>
      <c r="DE282" s="106">
        <f t="shared" si="261"/>
        <v>3.1041666666666665</v>
      </c>
      <c r="DF282" s="104">
        <f>('Renewable Diesel'!AR291*'Feedstock Conversion Rates'!$B$4*$DF$3)/12</f>
        <v>75</v>
      </c>
      <c r="DG282" s="106">
        <f t="shared" si="234"/>
        <v>75</v>
      </c>
      <c r="DH282" s="104">
        <f>('Renewable Diesel'!AS291*'Feedstock Conversion Rates'!$B$4*$DH$3)/12</f>
        <v>75</v>
      </c>
      <c r="DI282" s="106">
        <f t="shared" si="240"/>
        <v>75</v>
      </c>
      <c r="DJ282" s="104">
        <f>('Renewable Diesel'!AT291*'Feedstock Conversion Rates'!$B$4*0.25)/12</f>
        <v>8.59375</v>
      </c>
      <c r="DK282" s="104">
        <f>('Renewable Diesel'!$AT291*'RD Feedstock Breakdown'!DK$3*'Feedstock Conversion Rates'!$B$3)/12*0.5</f>
        <v>9.1781249999999996</v>
      </c>
      <c r="DL282" s="104">
        <f>('Renewable Diesel'!$AT291*'RD Feedstock Breakdown'!$DL$3*'Feedstock Conversion Rates'!$B$6)/12</f>
        <v>10.747916666666669</v>
      </c>
      <c r="DM282" s="104">
        <f>('Renewable Diesel'!$AT291*'RD Feedstock Breakdown'!$DM$3*'Feedstock Conversion Rates'!$B$8)/12</f>
        <v>10.7421875</v>
      </c>
      <c r="DN282" s="106">
        <f t="shared" ref="DN282:DN345" si="297">SUM(DJ282:DM282)</f>
        <v>39.26197916666667</v>
      </c>
      <c r="DP282" s="104">
        <f t="shared" si="265"/>
        <v>12.720250000000007</v>
      </c>
      <c r="DQ282" s="104">
        <f t="shared" si="266"/>
        <v>982.11776750000001</v>
      </c>
      <c r="DR282" s="104">
        <f t="shared" si="271"/>
        <v>1599.953125</v>
      </c>
      <c r="DS282" s="104">
        <f t="shared" si="283"/>
        <v>67.401250000000005</v>
      </c>
      <c r="DT282" s="104">
        <f t="shared" si="267"/>
        <v>304.53923333333341</v>
      </c>
      <c r="DU282" s="104">
        <f t="shared" si="268"/>
        <v>252.15610000000001</v>
      </c>
      <c r="DV282" s="104">
        <f t="shared" si="272"/>
        <v>39.75</v>
      </c>
      <c r="DW282" s="104">
        <f t="shared" si="269"/>
        <v>3</v>
      </c>
      <c r="DX282" s="106">
        <f t="shared" si="273"/>
        <v>3261.6377258333337</v>
      </c>
      <c r="DY282" s="109">
        <f t="shared" si="257"/>
        <v>-135.00000000000048</v>
      </c>
      <c r="EA282" s="110">
        <f t="shared" si="250"/>
        <v>3.8999579564741641E-3</v>
      </c>
      <c r="EB282" s="110">
        <f t="shared" si="250"/>
        <v>0.30111184933914553</v>
      </c>
      <c r="EC282" s="110">
        <f t="shared" si="250"/>
        <v>0.49053673629287547</v>
      </c>
      <c r="ED282" s="110">
        <f t="shared" si="250"/>
        <v>2.0664848663650801E-2</v>
      </c>
      <c r="EE282" s="110">
        <f t="shared" si="250"/>
        <v>9.3370036445578897E-2</v>
      </c>
      <c r="EF282" s="110">
        <f t="shared" si="250"/>
        <v>7.7309658887875193E-2</v>
      </c>
      <c r="EG282" s="110">
        <f t="shared" si="250"/>
        <v>1.2187129087073598E-2</v>
      </c>
      <c r="EH282" s="111">
        <f t="shared" si="274"/>
        <v>9.1978332732630926E-4</v>
      </c>
      <c r="EI282" s="110">
        <f t="shared" si="236"/>
        <v>0.99908021667267377</v>
      </c>
      <c r="EK282" s="132">
        <f>(EA282*'Renewable Diesel'!BF291*'Feedstock Conversion Rates'!B$2)+FB282</f>
        <v>18.872134637415325</v>
      </c>
      <c r="EL282" s="132">
        <f>(EB282*'Renewable Diesel'!BF291*'Feedstock Conversion Rates'!B$3)+FC282</f>
        <v>1373.1011714007893</v>
      </c>
      <c r="EM282" s="132">
        <f>(EC282*'Renewable Diesel'!BF291*'Feedstock Conversion Rates'!B$4)+FD282</f>
        <v>2094.4740118097966</v>
      </c>
      <c r="EN282" s="132">
        <f>(ED282*'Renewable Diesel'!BF291*'Feedstock Conversion Rates'!B$5)+FE282</f>
        <v>88.822165294218664</v>
      </c>
      <c r="EO282" s="132">
        <f>(EE282*'Renewable Diesel'!BF291*'Feedstock Conversion Rates'!B$6)+FF282</f>
        <v>498.60030758586254</v>
      </c>
      <c r="EP282" s="132">
        <f>(EF282*'Renewable Diesel'!BF291*'Feedstock Conversion Rates'!B$7)+FG282</f>
        <v>404.91490149106062</v>
      </c>
      <c r="EQ282" s="132">
        <f>(EG282*'Renewable Diesel'!BF291*'Feedstock Conversion Rates'!B$8)+FH282</f>
        <v>65.045141533005392</v>
      </c>
      <c r="ER282" s="132">
        <f>(EH282*'Renewable Diesel'!BF291*'Feedstock Conversion Rates'!B$9)+FI282</f>
        <v>4.8436130550363758</v>
      </c>
      <c r="ES282" s="132">
        <f t="shared" si="275"/>
        <v>4548.6734468071845</v>
      </c>
      <c r="ET282" s="133">
        <f>ES282/'Renewable Diesel'!BF291</f>
        <v>9.3420753845689823</v>
      </c>
      <c r="EW282" s="73">
        <f t="shared" si="223"/>
        <v>2499.3019256630673</v>
      </c>
      <c r="EX282" s="73">
        <f t="shared" si="224"/>
        <v>2707.7370569715117</v>
      </c>
      <c r="EY282" s="92">
        <f t="shared" si="258"/>
        <v>0.54945732088492372</v>
      </c>
      <c r="EZ282" s="92">
        <f t="shared" si="258"/>
        <v>0.59528059963771041</v>
      </c>
      <c r="FB282" s="102">
        <f>IF('Renewable Diesel'!$BG291&lt;1,0,(((('Renewable Diesel'!$BG291-1)*'Renewable Diesel'!$BF291)*'RD Feedstock Breakdown'!EA282)*'Feedstock Conversion Rates'!$B$2))</f>
        <v>2.7315135232426684</v>
      </c>
      <c r="FC282" s="102">
        <f>IF('Renewable Diesel'!$BG291&lt;1,0,(((('Renewable Diesel'!$BG291-1)*'Renewable Diesel'!$BF291)*'RD Feedstock Breakdown'!EB282)*'Feedstock Conversion Rates'!$B$3))</f>
        <v>198.73980821574318</v>
      </c>
      <c r="FD282" s="102">
        <f>IF('Renewable Diesel'!$BG291&lt;1,0,(((('Renewable Diesel'!$BG291-1)*'Renewable Diesel'!$BF291)*'RD Feedstock Breakdown'!EC282)*'Feedstock Conversion Rates'!$B$4))</f>
        <v>303.14981305804884</v>
      </c>
      <c r="FE282" s="102">
        <f>IF('Renewable Diesel'!$BG291&lt;1,0,(((('Renewable Diesel'!$BG291-1)*'Renewable Diesel'!$BF291)*'RD Feedstock Breakdown'!ED282)*'Feedstock Conversion Rates'!$B$5))</f>
        <v>12.855935501002884</v>
      </c>
      <c r="FF282" s="102">
        <f>IF('Renewable Diesel'!$BG291&lt;1,0,(((('Renewable Diesel'!$BG291-1)*'Renewable Diesel'!$BF291)*'RD Feedstock Breakdown'!EE282)*'Feedstock Conversion Rates'!$B$6))</f>
        <v>72.166371691923473</v>
      </c>
      <c r="FG282" s="102">
        <f>IF('Renewable Diesel'!$BG291&lt;1,0,(((('Renewable Diesel'!$BG291-1)*'Renewable Diesel'!$BF291)*'RD Feedstock Breakdown'!EF282)*'Feedstock Conversion Rates'!$B$7))</f>
        <v>58.606540830443329</v>
      </c>
      <c r="FH282" s="102">
        <f>IF('Renewable Diesel'!$BG291&lt;1,0,(((('Renewable Diesel'!$BG291-1)*'Renewable Diesel'!$BF291)*'RD Feedstock Breakdown'!EG282)*'Feedstock Conversion Rates'!$B$8))</f>
        <v>9.4144985255876161</v>
      </c>
      <c r="FI282" s="102">
        <f>IF('Renewable Diesel'!$BG291&lt;1,0,(((('Renewable Diesel'!$BG291-1)*'Renewable Diesel'!$BF291)*'RD Feedstock Breakdown'!EH282)*'Feedstock Conversion Rates'!$B$9))</f>
        <v>0.70105448140224769</v>
      </c>
      <c r="FJ282" s="102">
        <f t="shared" si="225"/>
        <v>658.3655358273943</v>
      </c>
      <c r="GD282" s="91">
        <f>'Renewable Diesel'!BB291*0.32</f>
        <v>0</v>
      </c>
      <c r="GE282" s="91">
        <f>'Renewable Diesel'!BC291</f>
        <v>201.76353567193198</v>
      </c>
      <c r="GF282" s="91">
        <f>'Renewable Diesel'!BD291</f>
        <v>0</v>
      </c>
      <c r="GG282" s="91">
        <f t="shared" si="295"/>
        <v>201.76353567193198</v>
      </c>
      <c r="GH282" s="124">
        <v>1</v>
      </c>
      <c r="GI282" s="102">
        <f>$GG282*EA282*'Feedstock Conversion Rates'!$B$2</f>
        <v>6.6883891032959344</v>
      </c>
      <c r="GJ282" s="102">
        <f>$GG282*EB282*'Feedstock Conversion Rates'!$B$3</f>
        <v>486.63466475659453</v>
      </c>
      <c r="GK282" s="102">
        <f>$GG282*EC282*'Feedstock Conversion Rates'!$B$4</f>
        <v>742.29319718565512</v>
      </c>
      <c r="GL282" s="102">
        <f>$GG282*ED282*'Feedstock Conversion Rates'!$B$5</f>
        <v>31.479067625302058</v>
      </c>
      <c r="GM282" s="102">
        <f>$GG282*EE282*'Feedstock Conversion Rates'!$B$6</f>
        <v>176.70671220974364</v>
      </c>
      <c r="GN282" s="102">
        <f>$GG282*EF282*'Feedstock Conversion Rates'!$B$7</f>
        <v>143.50408509304003</v>
      </c>
      <c r="GO282" s="102">
        <f>$GG282*EG282*'Feedstock Conversion Rates'!$B$8</f>
        <v>23.052358634045753</v>
      </c>
      <c r="GP282" s="102">
        <f>$GG282*EH282*'Feedstock Conversion Rates'!B$9</f>
        <v>1.7166033096044133</v>
      </c>
      <c r="GQ282" s="102">
        <f t="shared" si="276"/>
        <v>1612.0750779172815</v>
      </c>
      <c r="GR282" s="85">
        <f t="shared" si="293"/>
        <v>7.989922820040781</v>
      </c>
      <c r="GT282" s="103">
        <f t="shared" si="254"/>
        <v>4.1489315199494253E-3</v>
      </c>
      <c r="GU282" s="103">
        <f t="shared" si="254"/>
        <v>0.30186848703430219</v>
      </c>
      <c r="GV282" s="103">
        <f t="shared" si="254"/>
        <v>0.46045820529938342</v>
      </c>
      <c r="GW282" s="103">
        <f t="shared" si="254"/>
        <v>1.9527048123572137E-2</v>
      </c>
      <c r="GX282" s="103">
        <f t="shared" si="253"/>
        <v>0.10961444329133831</v>
      </c>
      <c r="GY282" s="103">
        <f t="shared" si="253"/>
        <v>8.9018239323220574E-2</v>
      </c>
      <c r="GZ282" s="103">
        <f t="shared" si="253"/>
        <v>1.4299804611971438E-2</v>
      </c>
      <c r="HA282" s="103">
        <f t="shared" si="251"/>
        <v>1.0648407962625271E-3</v>
      </c>
    </row>
    <row r="283" spans="1:209" x14ac:dyDescent="0.25">
      <c r="A283" s="96">
        <v>49035</v>
      </c>
      <c r="B283" s="104">
        <f>115.75+145+100+235+31.5-21-287-20-28-32-70-39-47+40+20-3-10+65-105+5-15-75-1+20+33+40+14-5-40+26+55-55.5-91+70-70+200</f>
        <v>200.75</v>
      </c>
      <c r="C283" s="104">
        <f t="shared" si="287"/>
        <v>4</v>
      </c>
      <c r="D283" s="104">
        <f t="shared" si="288"/>
        <v>2</v>
      </c>
      <c r="E283" s="104">
        <f>('Renewable Diesel'!B292*E$3*'Feedstock Conversion Rates'!$B$2)/12+26+13-100+27.5+39+105-40-14-26+55.5-51+29-10-139</f>
        <v>4.9300000000000068</v>
      </c>
      <c r="F283" s="104">
        <f>('Renewable Diesel'!B292*'RD Feedstock Breakdown'!F$3*'Feedstock Conversion Rates'!B$8)/12+77+23-10-12-115.75+24+8-33+5-16</f>
        <v>4.15625</v>
      </c>
      <c r="G283" s="104">
        <f>('Renewable Diesel'!B292*'RD Feedstock Breakdown'!G$3*'Feedstock Conversion Rates'!B$7)/12-25-15-25+4+4-20-40-20+10-17.5+20+50-12+32.5+35-75-75+22.5+5-20+15+125-10-60+5-85+45+20+20-70</f>
        <v>19.657000000000011</v>
      </c>
      <c r="H283" s="104">
        <f>('Renewable Diesel'!B292*'RD Feedstock Breakdown'!H$3*'Feedstock Conversion Rates'!B$3)/12-85+4-15+70-65-80+50-22.5-5+25+27.5+15+50+15-10+5+50+75-5-25-85-12.5+30+22.5-25-30+150+90-120+25+10+20+85-30-45-20-20+95+70-200</f>
        <v>260.40022499999998</v>
      </c>
      <c r="I283" s="106">
        <f t="shared" si="291"/>
        <v>495.89347499999997</v>
      </c>
      <c r="J283" s="104">
        <f>54-15-35+7+35+20+34-7.5+35+37.5-145-20+15+40-32-5-18+10</f>
        <v>10</v>
      </c>
      <c r="K283" s="104"/>
      <c r="L283" s="104">
        <v>1</v>
      </c>
      <c r="M283" s="104">
        <f>('Renewable Diesel'!C292*'RD Feedstock Breakdown'!M$3*'Feedstock Conversion Rates'!B$2)/12</f>
        <v>7.7902500000000003</v>
      </c>
      <c r="N283" s="104">
        <f>('Renewable Diesel'!C292*'RD Feedstock Breakdown'!N$3*'Feedstock Conversion Rates'!B$8)/12</f>
        <v>3.671875</v>
      </c>
      <c r="O283" s="104">
        <f>('Renewable Diesel'!C292*'RD Feedstock Breakdown'!O$3*'Feedstock Conversion Rates'!B$7)/12</f>
        <v>11.9991</v>
      </c>
      <c r="P283" s="104">
        <f>('Renewable Diesel'!C292*'RD Feedstock Breakdown'!P$3*'Feedstock Conversion Rates'!B$3)/12</f>
        <v>10.4470425</v>
      </c>
      <c r="Q283" s="106">
        <f t="shared" si="216"/>
        <v>44.908267500000001</v>
      </c>
      <c r="R283" s="104">
        <f>('Renewable Diesel'!D292*'RD Feedstock Breakdown'!R$3*'Feedstock Conversion Rates'!B$7)/12</f>
        <v>2.2999999999999998</v>
      </c>
      <c r="S283" s="106">
        <f t="shared" si="249"/>
        <v>2.2999999999999998</v>
      </c>
      <c r="T283" s="104">
        <f t="shared" si="292"/>
        <v>0.82500000000000284</v>
      </c>
      <c r="U283" s="104">
        <v>30</v>
      </c>
      <c r="V283" s="104">
        <f>('Renewable Diesel'!E292*'RD Feedstock Breakdown'!V$3*'Feedstock Conversion Rates'!B$6)/12-20+25-35</f>
        <v>14.250150000000012</v>
      </c>
      <c r="W283" s="104">
        <f>('Renewable Diesel'!E292*'RD Feedstock Breakdown'!W$3*'Feedstock Conversion Rates'!B$8)/12-6+5</f>
        <v>21.1796875</v>
      </c>
      <c r="X283" s="106">
        <f t="shared" si="277"/>
        <v>66.254837500000008</v>
      </c>
      <c r="Y283" s="104">
        <f t="shared" si="289"/>
        <v>66</v>
      </c>
      <c r="Z283" s="104">
        <f>('Renewable Diesel'!F292*'RD Feedstock Breakdown'!Z$3*'Feedstock Conversion Rates'!B$6)/12-142+15+5+75-45+52.5-87.5+80-10-20-17+2+7+15+20</f>
        <v>109.46000000000001</v>
      </c>
      <c r="AA283" s="104">
        <f>('Renewable Diesel'!F292*'RD Feedstock Breakdown'!AA$3*'Feedstock Conversion Rates'!B$7)/12+24-30-55+15+30</f>
        <v>88.266666666666652</v>
      </c>
      <c r="AB283" s="106">
        <f t="shared" si="235"/>
        <v>263.72666666666669</v>
      </c>
      <c r="AC283" s="104">
        <f>('Renewable Diesel'!G292*'RD Feedstock Breakdown'!AC$3*'Feedstock Conversion Rates'!B$5)/12</f>
        <v>11.796875</v>
      </c>
      <c r="AD283" s="104">
        <f>('Renewable Diesel'!G292*'RD Feedstock Breakdown'!AD$3*'Feedstock Conversion Rates'!B$4)/12</f>
        <v>5.859375</v>
      </c>
      <c r="AE283" s="104">
        <f>('Renewable Diesel'!G292*'RD Feedstock Breakdown'!AE$3*'Feedstock Conversion Rates'!B$6)/12</f>
        <v>7.3281250000000009</v>
      </c>
      <c r="AF283" s="106">
        <f t="shared" si="284"/>
        <v>24.984375</v>
      </c>
      <c r="AG283" s="104">
        <f t="shared" si="230"/>
        <v>6.5</v>
      </c>
      <c r="AH283" s="104">
        <v>135</v>
      </c>
      <c r="AI283" s="104">
        <f>('Renewable Diesel'!H292*'RD Feedstock Breakdown'!AI$3*'Feedstock Conversion Rates'!B$6)/12-130-20+51-52.5+10</f>
        <v>7.0166666666666799</v>
      </c>
      <c r="AJ283" s="106">
        <f t="shared" si="248"/>
        <v>13.51666666666668</v>
      </c>
      <c r="AK283" s="104">
        <f>('Renewable Diesel'!J292*'RD Feedstock Breakdown'!AK$3*'Feedstock Conversion Rates'!B$4)/12</f>
        <v>95.8125</v>
      </c>
      <c r="AL283" s="106">
        <f t="shared" si="252"/>
        <v>95.8125</v>
      </c>
      <c r="AM283" s="104">
        <f>('Renewable Diesel'!K292*'RD Feedstock Breakdown'!AM$3*'Feedstock Conversion Rates'!B$4)/12+5+15-10-5+10-35-15</f>
        <v>23.59375</v>
      </c>
      <c r="AN283" s="104">
        <f>('Renewable Diesel'!K292*'RD Feedstock Breakdown'!AN$3*'Feedstock Conversion Rates'!B$6)/12-5-15+10+5-10+35+15</f>
        <v>59.427083333333329</v>
      </c>
      <c r="AO283" s="106">
        <f t="shared" si="270"/>
        <v>83.020833333333329</v>
      </c>
      <c r="AP283" s="104">
        <f>('Renewable Diesel'!L292*'RD Feedstock Breakdown'!AP$3*'Feedstock Conversion Rates'!B$4)/12+15-10-10+22</f>
        <v>75.59375</v>
      </c>
      <c r="AQ283" s="104">
        <f>('Renewable Diesel'!L292*'RD Feedstock Breakdown'!AQ$3*'Feedstock Conversion Rates'!B$6)/12-15+10+10-22</f>
        <v>7.4270833333333321</v>
      </c>
      <c r="AR283" s="106">
        <f t="shared" si="256"/>
        <v>83.020833333333329</v>
      </c>
      <c r="AS283" s="104">
        <f>('Renewable Diesel'!M292*'RD Feedstock Breakdown'!AS$3*'Feedstock Conversion Rates'!B$4)/12-25</f>
        <v>431.25</v>
      </c>
      <c r="AT283" s="104">
        <f>('Renewable Diesel'!M292*'RD Feedstock Breakdown'!AT$3*'Feedstock Conversion Rates'!B$5)/12+25</f>
        <v>25</v>
      </c>
      <c r="AU283" s="106">
        <f t="shared" si="290"/>
        <v>456.25</v>
      </c>
      <c r="AV283" s="104">
        <f>'Renewable Diesel'!N292*'RD Feedstock Breakdown'!$AV$3*'Feedstock Conversion Rates'!$B$4/12-15-10+25+25-22+25-77.5+56</f>
        <v>85.249999999999986</v>
      </c>
      <c r="AW283" s="104">
        <f>'Renewable Diesel'!N292*'RD Feedstock Breakdown'!$AW$3*'Feedstock Conversion Rates'!$B$7/12+15+10-25-25+22-25+77.5-56</f>
        <v>34.900000000000006</v>
      </c>
      <c r="AX283" s="106">
        <f t="shared" si="239"/>
        <v>120.14999999999999</v>
      </c>
      <c r="AY283" s="104">
        <f>('Renewable Diesel'!O292*'RD Feedstock Breakdown'!AY$3*'Feedstock Conversion Rates'!B$4)/12-95-250-3</f>
        <v>-137.0625</v>
      </c>
      <c r="AZ283" s="104">
        <f>('Renewable Diesel'!O292*'RD Feedstock Breakdown'!AZ$3*'Feedstock Conversion Rates'!B$3)/12+95+250+3</f>
        <v>373.03125</v>
      </c>
      <c r="BA283" s="106">
        <f t="shared" si="217"/>
        <v>235.96875</v>
      </c>
      <c r="BB283" s="104">
        <f>('Renewable Diesel'!Q292*'RD Feedstock Breakdown'!BB$3*'Feedstock Conversion Rates'!B$4)/12</f>
        <v>11.156249999999998</v>
      </c>
      <c r="BC283" s="104">
        <f>('Renewable Diesel'!Q292*'RD Feedstock Breakdown'!BC$3*'Feedstock Conversion Rates'!B$3)/12</f>
        <v>1.4017500000000001</v>
      </c>
      <c r="BD283" s="104">
        <f>('Renewable Diesel'!Q292*'RD Feedstock Breakdown'!BD$3*'Feedstock Conversion Rates'!B$6)/12</f>
        <v>0.8207500000000002</v>
      </c>
      <c r="BE283" s="106">
        <f t="shared" si="279"/>
        <v>13.378749999999998</v>
      </c>
      <c r="BF283" s="104">
        <f>('Renewable Diesel'!R292*'RD Feedstock Breakdown'!BF$3*'Feedstock Conversion Rates'!B$4)/12</f>
        <v>62.5</v>
      </c>
      <c r="BG283" s="106">
        <f t="shared" si="262"/>
        <v>62.5</v>
      </c>
      <c r="BH283" s="104">
        <f>('Renewable Diesel'!T292*'RD Feedstock Breakdown'!BH$3*'Feedstock Conversion Rates'!B$7)/12</f>
        <v>27.599999999999998</v>
      </c>
      <c r="BI283" s="106">
        <f t="shared" si="243"/>
        <v>27.599999999999998</v>
      </c>
      <c r="BJ283" s="104">
        <f>('Renewable Diesel'!W292*'RD Feedstock Breakdown'!BJ$3*'Feedstock Conversion Rates'!B$4)/12</f>
        <v>7.5</v>
      </c>
      <c r="BK283" s="104">
        <f>('Renewable Diesel'!W292*'RD Feedstock Breakdown'!BK$3*'Feedstock Conversion Rates'!B$3)/12</f>
        <v>1.335</v>
      </c>
      <c r="BL283" s="104">
        <f>('Renewable Diesel'!W292*'RD Feedstock Breakdown'!BL$3*'Feedstock Conversion Rates'!B$6)/12</f>
        <v>3.1266666666666669</v>
      </c>
      <c r="BM283" s="104">
        <f>('Renewable Diesel'!W292*'RD Feedstock Breakdown'!BM$3*'Feedstock Conversion Rates'!B$7)/12</f>
        <v>1.5333333333333332</v>
      </c>
      <c r="BN283" s="106">
        <f t="shared" si="296"/>
        <v>13.495000000000001</v>
      </c>
      <c r="BO283" s="104">
        <f>('Renewable Diesel'!P292*'Feedstock Conversion Rates'!B$4)/12</f>
        <v>31.25</v>
      </c>
      <c r="BP283" s="106">
        <f t="shared" si="285"/>
        <v>31.25</v>
      </c>
      <c r="BQ283" s="104">
        <f>('Renewable Diesel'!$S292*'RD Feedstock Breakdown'!BQ$3*'Feedstock Conversion Rates'!B$4)/12+10+15-15</f>
        <v>38.125</v>
      </c>
      <c r="BR283" s="104">
        <f>('Renewable Diesel'!$S292*'RD Feedstock Breakdown'!BR$3*'Feedstock Conversion Rates'!B$7)/12-10-15+15</f>
        <v>1.5</v>
      </c>
      <c r="BS283" s="106">
        <f t="shared" si="222"/>
        <v>39.625</v>
      </c>
      <c r="BT283" s="106"/>
      <c r="BU283" s="104">
        <f>('Renewable Diesel'!Y292*'Feedstock Conversion Rates'!B$7)/12</f>
        <v>2.6833333333333331</v>
      </c>
      <c r="BV283" s="106">
        <f t="shared" si="281"/>
        <v>2.6833333333333331</v>
      </c>
      <c r="BW283" s="104">
        <f>('Renewable Diesel'!$Z292*'RD Feedstock Breakdown'!BW$3*'Feedstock Conversion Rates'!$B$4)/12</f>
        <v>71.875</v>
      </c>
      <c r="BX283" s="104">
        <f>('Renewable Diesel'!$Z292*'RD Feedstock Breakdown'!BX$3*'Feedstock Conversion Rates'!$B$5)/12</f>
        <v>7.2354166666666666</v>
      </c>
      <c r="BY283" s="104">
        <f>('Renewable Diesel'!$Z292*'RD Feedstock Breakdown'!BY$3*'Feedstock Conversion Rates'!$B$7)/12</f>
        <v>61.716666666666661</v>
      </c>
      <c r="BZ283" s="104">
        <f>('Renewable Diesel'!$Z292*'RD Feedstock Breakdown'!BZ$3*'Feedstock Conversion Rates'!$B$3)/12</f>
        <v>15.352499999999999</v>
      </c>
      <c r="CA283" s="106">
        <f t="shared" si="228"/>
        <v>156.17958333333331</v>
      </c>
      <c r="CB283" s="104">
        <f>('Renewable Diesel'!AA292*'Feedstock Conversion Rates'!B$4)/12</f>
        <v>191.25</v>
      </c>
      <c r="CC283" s="106">
        <f t="shared" si="213"/>
        <v>191.25</v>
      </c>
      <c r="CD283" s="104">
        <f>('Renewable Diesel'!$AB292*'RD Feedstock Breakdown'!CD$3*'Feedstock Conversion Rates'!$B$6)/12-15-5</f>
        <v>12.830000000000005</v>
      </c>
      <c r="CE283" s="104">
        <f>('Renewable Diesel'!$AB292*'RD Feedstock Breakdown'!CE$3*'Feedstock Conversion Rates'!$B$4)/12+15+5</f>
        <v>31.25</v>
      </c>
      <c r="CF283" s="106">
        <f t="shared" si="294"/>
        <v>44.080000000000005</v>
      </c>
      <c r="CG283" s="104">
        <f>('Renewable Diesel'!AD292*'Feedstock Conversion Rates'!B$4)/12</f>
        <v>112.5</v>
      </c>
      <c r="CH283" s="106">
        <f t="shared" si="278"/>
        <v>112.5</v>
      </c>
      <c r="CI283" s="104">
        <f>('Renewable Diesel'!$AE292*'RD Feedstock Breakdown'!CI$3*'Feedstock Conversion Rates'!$B$5)/12</f>
        <v>0.34604166666666664</v>
      </c>
      <c r="CJ283" s="104">
        <f>('Renewable Diesel'!$AE292*'RD Feedstock Breakdown'!CJ$3*'Feedstock Conversion Rates'!$B$4)/12</f>
        <v>0.34375</v>
      </c>
      <c r="CK283" s="106">
        <f t="shared" si="286"/>
        <v>0.68979166666666658</v>
      </c>
      <c r="CL283" s="104">
        <f>(((CL$3*'Renewable Diesel'!$AF292)*'Feedstock Conversion Rates'!$B$3)/12)</f>
        <v>91.78125</v>
      </c>
      <c r="CM283" s="104">
        <f>(((CM$3*'Renewable Diesel'!$AF292)*'Feedstock Conversion Rates'!$B$6)/12)</f>
        <v>53.739583333333336</v>
      </c>
      <c r="CN283" s="104">
        <f>(((CN$3*'Renewable Diesel'!$AF292)*'Feedstock Conversion Rates'!$B$4)/12)</f>
        <v>42.96875</v>
      </c>
      <c r="CO283" s="106">
        <f t="shared" si="280"/>
        <v>188.48958333333334</v>
      </c>
      <c r="CP283" s="104">
        <f>('Renewable Diesel'!$AG292*'RD Feedstock Breakdown'!CP$3*'Feedstock Conversion Rates'!$B$3)/12+4-4</f>
        <v>6.0075000000000003</v>
      </c>
      <c r="CQ283" s="104">
        <f>('Renewable Diesel'!$AG292*'RD Feedstock Breakdown'!CQ$3*'Feedstock Conversion Rates'!$B$6)/12</f>
        <v>3.5175000000000001</v>
      </c>
      <c r="CR283" s="104">
        <f>('Renewable Diesel'!$AG292*'RD Feedstock Breakdown'!CR$3*'Feedstock Conversion Rates'!$B$4)/12-4+4</f>
        <v>2.8125</v>
      </c>
      <c r="CS283" s="106">
        <f t="shared" si="231"/>
        <v>12.3375</v>
      </c>
      <c r="CT283" s="104">
        <f>('Renewable Diesel'!AI292*'Feedstock Conversion Rates'!$B$4*'RD Feedstock Breakdown'!$CT$3)/12</f>
        <v>29.375</v>
      </c>
      <c r="CU283" s="106">
        <f t="shared" si="282"/>
        <v>29.375</v>
      </c>
      <c r="CV283" s="104">
        <f>('Renewable Diesel'!AN292*'Feedstock Conversion Rates'!$B$3*'RD Feedstock Breakdown'!$CV$3)/12</f>
        <v>0.50062499999999999</v>
      </c>
      <c r="CW283" s="106">
        <f t="shared" si="255"/>
        <v>0.50062499999999999</v>
      </c>
      <c r="CX283" s="104">
        <f>('Renewable Diesel'!AO292*'RD Feedstock Breakdown'!$CX$3*'Feedstock Conversion Rates'!$B$3)/12</f>
        <v>6.3412499999999996</v>
      </c>
      <c r="CY283" s="104">
        <f>('Renewable Diesel'!AO292*'RD Feedstock Breakdown'!$CY$3*'Feedstock Conversion Rates'!$B$6)/12</f>
        <v>7.4258333333333342</v>
      </c>
      <c r="CZ283" s="106">
        <f t="shared" si="233"/>
        <v>13.767083333333334</v>
      </c>
      <c r="DA283" s="104">
        <f>('Renewable Diesel'!$AP292*'RD Feedstock Breakdown'!DA$3*'Feedstock Conversion Rates'!$B$3)/12</f>
        <v>6.3412499999999996</v>
      </c>
      <c r="DB283" s="104">
        <f>('Renewable Diesel'!$AP292*'RD Feedstock Breakdown'!DB$3*'Feedstock Conversion Rates'!$B$8)/12</f>
        <v>7.421875</v>
      </c>
      <c r="DC283" s="106">
        <f t="shared" si="260"/>
        <v>13.763124999999999</v>
      </c>
      <c r="DD283" s="104">
        <f>('Renewable Diesel'!AQ292*$DD$3*'Feedstock Conversion Rates'!$B$14)/12</f>
        <v>3.1041666666666665</v>
      </c>
      <c r="DE283" s="106">
        <f t="shared" si="261"/>
        <v>3.1041666666666665</v>
      </c>
      <c r="DF283" s="104">
        <f>('Renewable Diesel'!AR292*'Feedstock Conversion Rates'!$B$4*$DF$3)/12</f>
        <v>75</v>
      </c>
      <c r="DG283" s="106">
        <f t="shared" si="234"/>
        <v>75</v>
      </c>
      <c r="DH283" s="104">
        <f>('Renewable Diesel'!AS292*'Feedstock Conversion Rates'!$B$4*$DH$3)/12</f>
        <v>75</v>
      </c>
      <c r="DI283" s="106">
        <f t="shared" si="240"/>
        <v>75</v>
      </c>
      <c r="DJ283" s="104">
        <f>('Renewable Diesel'!AT292*'Feedstock Conversion Rates'!$B$4*0.25)/12</f>
        <v>8.59375</v>
      </c>
      <c r="DK283" s="104">
        <f>('Renewable Diesel'!$AT292*'RD Feedstock Breakdown'!DK$3*'Feedstock Conversion Rates'!$B$3)/12*0.5</f>
        <v>9.1781249999999996</v>
      </c>
      <c r="DL283" s="104">
        <f>('Renewable Diesel'!$AT292*'RD Feedstock Breakdown'!$DL$3*'Feedstock Conversion Rates'!$B$6)/12</f>
        <v>10.747916666666669</v>
      </c>
      <c r="DM283" s="104">
        <f>('Renewable Diesel'!$AT292*'RD Feedstock Breakdown'!$DM$3*'Feedstock Conversion Rates'!$B$8)/12</f>
        <v>10.7421875</v>
      </c>
      <c r="DN283" s="106">
        <f t="shared" si="297"/>
        <v>39.26197916666667</v>
      </c>
      <c r="DP283" s="104">
        <f t="shared" si="265"/>
        <v>12.720250000000007</v>
      </c>
      <c r="DQ283" s="104">
        <f t="shared" si="266"/>
        <v>782.11776750000001</v>
      </c>
      <c r="DR283" s="104">
        <f t="shared" si="271"/>
        <v>1804.953125</v>
      </c>
      <c r="DS283" s="104">
        <f t="shared" si="283"/>
        <v>67.401250000000005</v>
      </c>
      <c r="DT283" s="104">
        <f t="shared" si="267"/>
        <v>304.53923333333341</v>
      </c>
      <c r="DU283" s="104">
        <f t="shared" si="268"/>
        <v>252.15610000000001</v>
      </c>
      <c r="DV283" s="104">
        <f t="shared" si="272"/>
        <v>39.75</v>
      </c>
      <c r="DW283" s="104">
        <f t="shared" si="269"/>
        <v>3</v>
      </c>
      <c r="DX283" s="106">
        <f t="shared" si="273"/>
        <v>3266.6377258333337</v>
      </c>
      <c r="DY283" s="109">
        <f t="shared" si="257"/>
        <v>-135.00000000000048</v>
      </c>
      <c r="EA283" s="110">
        <f t="shared" si="250"/>
        <v>3.8939885801860734E-3</v>
      </c>
      <c r="EB283" s="110">
        <f t="shared" si="250"/>
        <v>0.23942592755689746</v>
      </c>
      <c r="EC283" s="110">
        <f t="shared" si="250"/>
        <v>0.55254156612654326</v>
      </c>
      <c r="ED283" s="110">
        <f t="shared" si="250"/>
        <v>2.063321851302187E-2</v>
      </c>
      <c r="EE283" s="110">
        <f t="shared" si="250"/>
        <v>9.3227121858345682E-2</v>
      </c>
      <c r="EF283" s="110">
        <f t="shared" si="250"/>
        <v>7.7191326728976009E-2</v>
      </c>
      <c r="EG283" s="110">
        <f t="shared" si="250"/>
        <v>1.2168475152799382E-2</v>
      </c>
      <c r="EH283" s="111">
        <f t="shared" si="274"/>
        <v>9.1837548323014202E-4</v>
      </c>
      <c r="EI283" s="110">
        <f t="shared" si="236"/>
        <v>0.99908162451676974</v>
      </c>
      <c r="EK283" s="132">
        <f>(EA283*'Renewable Diesel'!BF292*'Feedstock Conversion Rates'!B$2)+FB283</f>
        <v>25.911984916846684</v>
      </c>
      <c r="EL283" s="132">
        <f>(EB283*'Renewable Diesel'!BF292*'Feedstock Conversion Rates'!B$3)+FC283</f>
        <v>1501.3805231372296</v>
      </c>
      <c r="EM283" s="132">
        <f>(EC283*'Renewable Diesel'!BF292*'Feedstock Conversion Rates'!B$4)+FD283</f>
        <v>3244.2424353906699</v>
      </c>
      <c r="EN283" s="132">
        <f>(ED283*'Renewable Diesel'!BF292*'Feedstock Conversion Rates'!B$5)+FE283</f>
        <v>121.95539357919037</v>
      </c>
      <c r="EO283" s="132">
        <f>(EE283*'Renewable Diesel'!BF292*'Feedstock Conversion Rates'!B$6)+FF283</f>
        <v>684.59259632907333</v>
      </c>
      <c r="EP283" s="132">
        <f>(EF283*'Renewable Diesel'!BF292*'Feedstock Conversion Rates'!B$7)+FG283</f>
        <v>555.95983292962569</v>
      </c>
      <c r="EQ283" s="132">
        <f>(EG283*'Renewable Diesel'!BF292*'Feedstock Conversion Rates'!B$8)+FH283</f>
        <v>89.308854493644517</v>
      </c>
      <c r="ER283" s="132">
        <f>(EH283*'Renewable Diesel'!BF292*'Feedstock Conversion Rates'!B$9)+FI283</f>
        <v>6.650420359778308</v>
      </c>
      <c r="ES283" s="132">
        <f t="shared" si="275"/>
        <v>6230.0020411360574</v>
      </c>
      <c r="ET283" s="133">
        <f>ES283/'Renewable Diesel'!BF292</f>
        <v>10.369850893655457</v>
      </c>
      <c r="EW283" s="73">
        <f t="shared" si="223"/>
        <v>4149.1350005657796</v>
      </c>
      <c r="EX283" s="73">
        <f t="shared" si="224"/>
        <v>3529.8906645373127</v>
      </c>
      <c r="EY283" s="92">
        <f t="shared" si="258"/>
        <v>0.6659925587775849</v>
      </c>
      <c r="EZ283" s="92">
        <f t="shared" si="258"/>
        <v>0.56659542665151807</v>
      </c>
      <c r="FB283" s="102">
        <f>IF('Renewable Diesel'!$BG292&lt;1,0,(((('Renewable Diesel'!$BG292-1)*'Renewable Diesel'!$BF292)*'RD Feedstock Breakdown'!EA283)*'Feedstock Conversion Rates'!$B$2))</f>
        <v>6.0268163702786657</v>
      </c>
      <c r="FC283" s="102">
        <f>IF('Renewable Diesel'!$BG292&lt;1,0,(((('Renewable Diesel'!$BG292-1)*'Renewable Diesel'!$BF292)*'RD Feedstock Breakdown'!EB283)*'Feedstock Conversion Rates'!$B$3))</f>
        <v>349.20307123898056</v>
      </c>
      <c r="FD283" s="102">
        <f>IF('Renewable Diesel'!$BG292&lt;1,0,(((('Renewable Diesel'!$BG292-1)*'Renewable Diesel'!$BF292)*'RD Feedstock Breakdown'!EC283)*'Feedstock Conversion Rates'!$B$4))</f>
        <v>754.57181229112189</v>
      </c>
      <c r="FE283" s="102">
        <f>IF('Renewable Diesel'!$BG292&lt;1,0,(((('Renewable Diesel'!$BG292-1)*'Renewable Diesel'!$BF292)*'RD Feedstock Breakdown'!ED283)*'Feedstock Conversion Rates'!$B$5))</f>
        <v>28.365359304797217</v>
      </c>
      <c r="FF283" s="102">
        <f>IF('Renewable Diesel'!$BG292&lt;1,0,(((('Renewable Diesel'!$BG292-1)*'Renewable Diesel'!$BF292)*'RD Feedstock Breakdown'!EE283)*'Feedstock Conversion Rates'!$B$6))</f>
        <v>159.22801281985809</v>
      </c>
      <c r="FG283" s="102">
        <f>IF('Renewable Diesel'!$BG292&lt;1,0,(((('Renewable Diesel'!$BG292-1)*'Renewable Diesel'!$BF292)*'RD Feedstock Breakdown'!EF283)*'Feedstock Conversion Rates'!$B$7))</f>
        <v>129.30957752060215</v>
      </c>
      <c r="FH283" s="102">
        <f>IF('Renewable Diesel'!$BG292&lt;1,0,(((('Renewable Diesel'!$BG292-1)*'Renewable Diesel'!$BF292)*'RD Feedstock Breakdown'!EG283)*'Feedstock Conversion Rates'!$B$8))</f>
        <v>20.772166547657644</v>
      </c>
      <c r="FI283" s="102">
        <f>IF('Renewable Diesel'!$BG292&lt;1,0,(((('Renewable Diesel'!$BG292-1)*'Renewable Diesel'!$BF292)*'RD Feedstock Breakdown'!EH283)*'Feedstock Conversion Rates'!$B$9))</f>
        <v>1.546807873737525</v>
      </c>
      <c r="FJ283" s="102">
        <f t="shared" si="225"/>
        <v>1449.0236239670342</v>
      </c>
      <c r="GD283" s="91">
        <f>'Renewable Diesel'!BB292*0.32</f>
        <v>0</v>
      </c>
      <c r="GE283" s="91">
        <f>'Renewable Diesel'!BC292</f>
        <v>323.92506868341894</v>
      </c>
      <c r="GF283" s="91">
        <f>'Renewable Diesel'!BD292</f>
        <v>0</v>
      </c>
      <c r="GG283" s="91">
        <f t="shared" si="295"/>
        <v>323.92506868341894</v>
      </c>
      <c r="GH283" s="124">
        <v>1</v>
      </c>
      <c r="GI283" s="102">
        <f>$GG283*EA283*'Feedstock Conversion Rates'!$B$2</f>
        <v>10.721564405458395</v>
      </c>
      <c r="GJ283" s="102">
        <f>$GG283*EB283*'Feedstock Conversion Rates'!$B$3</f>
        <v>621.22404082795902</v>
      </c>
      <c r="GK283" s="102">
        <f>$GG283*EC283*'Feedstock Conversion Rates'!$B$4</f>
        <v>1342.365485684883</v>
      </c>
      <c r="GL283" s="102">
        <f>$GG283*ED283*'Feedstock Conversion Rates'!$B$5</f>
        <v>50.461306266129036</v>
      </c>
      <c r="GM283" s="102">
        <f>$GG283*EE283*'Feedstock Conversion Rates'!$B$6</f>
        <v>283.26288536352524</v>
      </c>
      <c r="GN283" s="102">
        <f>$GG283*EF283*'Feedstock Conversion Rates'!$B$7</f>
        <v>230.03869347451962</v>
      </c>
      <c r="GO283" s="102">
        <f>$GG283*EG283*'Feedstock Conversion Rates'!$B$8</f>
        <v>36.953195152903277</v>
      </c>
      <c r="GP283" s="102">
        <f>$GG283*EH283*'Feedstock Conversion Rates'!B$9</f>
        <v>2.7517347837130495</v>
      </c>
      <c r="GQ283" s="102">
        <f t="shared" si="276"/>
        <v>2577.7789059590905</v>
      </c>
      <c r="GR283" s="85">
        <f t="shared" si="293"/>
        <v>7.9579481650999542</v>
      </c>
      <c r="GT283" s="103">
        <f t="shared" si="254"/>
        <v>4.1592257507706313E-3</v>
      </c>
      <c r="GU283" s="103">
        <f t="shared" si="254"/>
        <v>0.2409919793322329</v>
      </c>
      <c r="GV283" s="103">
        <f t="shared" si="254"/>
        <v>0.52074500360822895</v>
      </c>
      <c r="GW283" s="103">
        <f t="shared" si="254"/>
        <v>1.9575498173825878E-2</v>
      </c>
      <c r="GX283" s="103">
        <f t="shared" si="253"/>
        <v>0.10988641605713438</v>
      </c>
      <c r="GY283" s="103">
        <f t="shared" si="253"/>
        <v>8.9239109274552489E-2</v>
      </c>
      <c r="GZ283" s="103">
        <f t="shared" si="253"/>
        <v>1.4335284949177771E-2</v>
      </c>
      <c r="HA283" s="103">
        <f t="shared" si="251"/>
        <v>1.0674828540771369E-3</v>
      </c>
    </row>
    <row r="284" spans="1:209" x14ac:dyDescent="0.25">
      <c r="A284" s="96">
        <v>49065</v>
      </c>
      <c r="B284" s="104">
        <f>115.75+145+100+235+31.5-21-287-20-28-32-70-39-47+40+20-3-10+65-105+5-15-75-1+20+33+40+14-5-40+26+55-55.5-91+70-70+200</f>
        <v>200.75</v>
      </c>
      <c r="C284" s="104">
        <f t="shared" si="287"/>
        <v>4</v>
      </c>
      <c r="D284" s="104">
        <f t="shared" si="288"/>
        <v>2</v>
      </c>
      <c r="E284" s="104">
        <f>('Renewable Diesel'!B293*E$3*'Feedstock Conversion Rates'!$B$2)/12+26+13-100+27.5+39+105-40-14-26+55.5-51+29-10-139</f>
        <v>4.9300000000000068</v>
      </c>
      <c r="F284" s="104">
        <f>('Renewable Diesel'!B293*'RD Feedstock Breakdown'!F$3*'Feedstock Conversion Rates'!B$8)/12+77+23-10-12-115.75+24+8-33+5-16</f>
        <v>4.15625</v>
      </c>
      <c r="G284" s="104">
        <f>('Renewable Diesel'!B293*'RD Feedstock Breakdown'!G$3*'Feedstock Conversion Rates'!B$7)/12-25-15-25+4+4-20-40-20+10-17.5+20+50-12+32.5+35-75-75+22.5+5-20+15+125-10-60+5-85+45+20+20-70</f>
        <v>19.657000000000011</v>
      </c>
      <c r="H284" s="104">
        <f>('Renewable Diesel'!B293*'RD Feedstock Breakdown'!H$3*'Feedstock Conversion Rates'!B$3)/12-85+4-15+70-65-80+50-22.5-5+25+27.5+15+50+15-10+5+50+75-5-25-85-12.5+30+22.5-25-30+150+90-120+25+10+20+85-30-45-20-20+95+70-200</f>
        <v>260.40022499999998</v>
      </c>
      <c r="I284" s="106">
        <f t="shared" si="291"/>
        <v>495.89347499999997</v>
      </c>
      <c r="J284" s="104">
        <f>54-15-35+7+35+20+34-7.5+35+37.5-145-20+15+40-32-5-18</f>
        <v>0</v>
      </c>
      <c r="K284" s="104"/>
      <c r="L284" s="104">
        <v>1</v>
      </c>
      <c r="M284" s="104">
        <f>('Renewable Diesel'!C293*'RD Feedstock Breakdown'!M$3*'Feedstock Conversion Rates'!B$2)/12</f>
        <v>7.7902500000000003</v>
      </c>
      <c r="N284" s="104">
        <f>('Renewable Diesel'!C293*'RD Feedstock Breakdown'!N$3*'Feedstock Conversion Rates'!B$8)/12</f>
        <v>3.671875</v>
      </c>
      <c r="O284" s="104">
        <f>('Renewable Diesel'!C293*'RD Feedstock Breakdown'!O$3*'Feedstock Conversion Rates'!B$7)/12</f>
        <v>11.9991</v>
      </c>
      <c r="P284" s="104">
        <f>('Renewable Diesel'!C293*'RD Feedstock Breakdown'!P$3*'Feedstock Conversion Rates'!B$3)/12</f>
        <v>10.4470425</v>
      </c>
      <c r="Q284" s="106">
        <f t="shared" si="216"/>
        <v>34.908267500000001</v>
      </c>
      <c r="R284" s="104">
        <f>('Renewable Diesel'!D293*'RD Feedstock Breakdown'!R$3*'Feedstock Conversion Rates'!B$7)/12</f>
        <v>2.2999999999999998</v>
      </c>
      <c r="S284" s="106">
        <f t="shared" si="249"/>
        <v>2.2999999999999998</v>
      </c>
      <c r="T284" s="104">
        <f t="shared" si="292"/>
        <v>0.82500000000000284</v>
      </c>
      <c r="U284" s="104">
        <v>30</v>
      </c>
      <c r="V284" s="104">
        <f>('Renewable Diesel'!E293*'RD Feedstock Breakdown'!V$3*'Feedstock Conversion Rates'!B$6)/12-20+25-35</f>
        <v>14.250150000000012</v>
      </c>
      <c r="W284" s="104">
        <f>('Renewable Diesel'!E293*'RD Feedstock Breakdown'!W$3*'Feedstock Conversion Rates'!B$8)/12-6+5</f>
        <v>21.1796875</v>
      </c>
      <c r="X284" s="106">
        <f t="shared" si="277"/>
        <v>66.254837500000008</v>
      </c>
      <c r="Y284" s="104">
        <f t="shared" si="289"/>
        <v>66</v>
      </c>
      <c r="Z284" s="104">
        <f>('Renewable Diesel'!F293*'RD Feedstock Breakdown'!Z$3*'Feedstock Conversion Rates'!B$6)/12-142+15+5+75-45+52.5-87.5+80-10-20-17+2+7+15+20</f>
        <v>109.46000000000001</v>
      </c>
      <c r="AA284" s="104">
        <f>('Renewable Diesel'!F293*'RD Feedstock Breakdown'!AA$3*'Feedstock Conversion Rates'!B$7)/12+24-30-55+15+30</f>
        <v>88.266666666666652</v>
      </c>
      <c r="AB284" s="106">
        <f t="shared" si="235"/>
        <v>263.72666666666669</v>
      </c>
      <c r="AC284" s="104">
        <f>('Renewable Diesel'!G293*'RD Feedstock Breakdown'!AC$3*'Feedstock Conversion Rates'!B$5)/12</f>
        <v>11.796875</v>
      </c>
      <c r="AD284" s="104">
        <f>('Renewable Diesel'!G293*'RD Feedstock Breakdown'!AD$3*'Feedstock Conversion Rates'!B$4)/12</f>
        <v>5.859375</v>
      </c>
      <c r="AE284" s="104">
        <f>('Renewable Diesel'!G293*'RD Feedstock Breakdown'!AE$3*'Feedstock Conversion Rates'!B$6)/12</f>
        <v>7.3281250000000009</v>
      </c>
      <c r="AF284" s="106">
        <f t="shared" si="284"/>
        <v>24.984375</v>
      </c>
      <c r="AG284" s="104">
        <f t="shared" si="230"/>
        <v>6.5</v>
      </c>
      <c r="AH284" s="104">
        <v>135</v>
      </c>
      <c r="AI284" s="104">
        <f>('Renewable Diesel'!H293*'RD Feedstock Breakdown'!AI$3*'Feedstock Conversion Rates'!B$6)/12-130-20+51-52.5+10</f>
        <v>7.0166666666666799</v>
      </c>
      <c r="AJ284" s="106">
        <f t="shared" si="248"/>
        <v>13.51666666666668</v>
      </c>
      <c r="AK284" s="104">
        <f>('Renewable Diesel'!J293*'RD Feedstock Breakdown'!AK$3*'Feedstock Conversion Rates'!B$4)/12</f>
        <v>95.8125</v>
      </c>
      <c r="AL284" s="106">
        <f t="shared" si="252"/>
        <v>95.8125</v>
      </c>
      <c r="AM284" s="104">
        <f>('Renewable Diesel'!K293*'RD Feedstock Breakdown'!AM$3*'Feedstock Conversion Rates'!B$4)/12+5+15-10-5+10-35-15</f>
        <v>23.59375</v>
      </c>
      <c r="AN284" s="104">
        <f>('Renewable Diesel'!K293*'RD Feedstock Breakdown'!AN$3*'Feedstock Conversion Rates'!B$6)/12-5-15+10+5-10+35+15</f>
        <v>59.427083333333329</v>
      </c>
      <c r="AO284" s="106">
        <f t="shared" si="270"/>
        <v>83.020833333333329</v>
      </c>
      <c r="AP284" s="104">
        <f>('Renewable Diesel'!L293*'RD Feedstock Breakdown'!AP$3*'Feedstock Conversion Rates'!B$4)/12+15-10-10+22</f>
        <v>75.59375</v>
      </c>
      <c r="AQ284" s="104">
        <f>('Renewable Diesel'!L293*'RD Feedstock Breakdown'!AQ$3*'Feedstock Conversion Rates'!B$6)/12-15+10+10-22</f>
        <v>7.4270833333333321</v>
      </c>
      <c r="AR284" s="106">
        <f t="shared" si="256"/>
        <v>83.020833333333329</v>
      </c>
      <c r="AS284" s="104">
        <f>('Renewable Diesel'!M293*'RD Feedstock Breakdown'!AS$3*'Feedstock Conversion Rates'!B$4)/12-25</f>
        <v>431.25</v>
      </c>
      <c r="AT284" s="104">
        <f>('Renewable Diesel'!M293*'RD Feedstock Breakdown'!AT$3*'Feedstock Conversion Rates'!B$5)/12+25</f>
        <v>25</v>
      </c>
      <c r="AU284" s="106">
        <f t="shared" si="290"/>
        <v>456.25</v>
      </c>
      <c r="AV284" s="104">
        <f>'Renewable Diesel'!N293*'RD Feedstock Breakdown'!$AV$3*'Feedstock Conversion Rates'!$B$4/12-15-10+25+25-22+25-77.5+56</f>
        <v>85.249999999999986</v>
      </c>
      <c r="AW284" s="104">
        <f>'Renewable Diesel'!N293*'RD Feedstock Breakdown'!$AW$3*'Feedstock Conversion Rates'!$B$7/12+15+10-25-25+22-25+77.5-56</f>
        <v>34.900000000000006</v>
      </c>
      <c r="AX284" s="106">
        <f t="shared" si="239"/>
        <v>120.14999999999999</v>
      </c>
      <c r="AY284" s="104">
        <f>('Renewable Diesel'!O293*'RD Feedstock Breakdown'!AY$3*'Feedstock Conversion Rates'!B$4)/12-95-250-3</f>
        <v>-137.0625</v>
      </c>
      <c r="AZ284" s="104">
        <f>('Renewable Diesel'!O293*'RD Feedstock Breakdown'!AZ$3*'Feedstock Conversion Rates'!B$3)/12+95+250+3</f>
        <v>373.03125</v>
      </c>
      <c r="BA284" s="106">
        <f t="shared" si="217"/>
        <v>235.96875</v>
      </c>
      <c r="BB284" s="104">
        <f>('Renewable Diesel'!Q293*'RD Feedstock Breakdown'!BB$3*'Feedstock Conversion Rates'!B$4)/12</f>
        <v>11.156249999999998</v>
      </c>
      <c r="BC284" s="104">
        <f>('Renewable Diesel'!Q293*'RD Feedstock Breakdown'!BC$3*'Feedstock Conversion Rates'!B$3)/12</f>
        <v>1.4017500000000001</v>
      </c>
      <c r="BD284" s="104">
        <f>('Renewable Diesel'!Q293*'RD Feedstock Breakdown'!BD$3*'Feedstock Conversion Rates'!B$6)/12</f>
        <v>0.8207500000000002</v>
      </c>
      <c r="BE284" s="106">
        <f t="shared" si="279"/>
        <v>13.378749999999998</v>
      </c>
      <c r="BF284" s="104">
        <f>('Renewable Diesel'!R293*'RD Feedstock Breakdown'!BF$3*'Feedstock Conversion Rates'!B$4)/12</f>
        <v>62.5</v>
      </c>
      <c r="BG284" s="106">
        <f t="shared" si="262"/>
        <v>62.5</v>
      </c>
      <c r="BH284" s="104">
        <f>('Renewable Diesel'!T293*'RD Feedstock Breakdown'!BH$3*'Feedstock Conversion Rates'!B$7)/12</f>
        <v>27.599999999999998</v>
      </c>
      <c r="BI284" s="106">
        <f t="shared" si="243"/>
        <v>27.599999999999998</v>
      </c>
      <c r="BJ284" s="104">
        <f>('Renewable Diesel'!W293*'RD Feedstock Breakdown'!BJ$3*'Feedstock Conversion Rates'!B$4)/12</f>
        <v>7.5</v>
      </c>
      <c r="BK284" s="104">
        <f>('Renewable Diesel'!W293*'RD Feedstock Breakdown'!BK$3*'Feedstock Conversion Rates'!B$3)/12</f>
        <v>1.335</v>
      </c>
      <c r="BL284" s="104">
        <f>('Renewable Diesel'!W293*'RD Feedstock Breakdown'!BL$3*'Feedstock Conversion Rates'!B$6)/12</f>
        <v>3.1266666666666669</v>
      </c>
      <c r="BM284" s="104">
        <f>('Renewable Diesel'!W293*'RD Feedstock Breakdown'!BM$3*'Feedstock Conversion Rates'!B$7)/12</f>
        <v>1.5333333333333332</v>
      </c>
      <c r="BN284" s="106">
        <f t="shared" si="296"/>
        <v>13.495000000000001</v>
      </c>
      <c r="BO284" s="104">
        <f>('Renewable Diesel'!P293*'Feedstock Conversion Rates'!B$4)/12</f>
        <v>31.25</v>
      </c>
      <c r="BP284" s="106">
        <f t="shared" si="285"/>
        <v>31.25</v>
      </c>
      <c r="BQ284" s="104">
        <f>('Renewable Diesel'!$S293*'RD Feedstock Breakdown'!BQ$3*'Feedstock Conversion Rates'!B$4)/12+10+15-15</f>
        <v>38.125</v>
      </c>
      <c r="BR284" s="104">
        <f>('Renewable Diesel'!$S293*'RD Feedstock Breakdown'!BR$3*'Feedstock Conversion Rates'!B$7)/12-10-15+15</f>
        <v>1.5</v>
      </c>
      <c r="BS284" s="106">
        <f t="shared" si="222"/>
        <v>39.625</v>
      </c>
      <c r="BT284" s="106"/>
      <c r="BU284" s="104">
        <f>('Renewable Diesel'!Y293*'Feedstock Conversion Rates'!B$7)/12</f>
        <v>2.6833333333333331</v>
      </c>
      <c r="BV284" s="106">
        <f t="shared" si="281"/>
        <v>2.6833333333333331</v>
      </c>
      <c r="BW284" s="104">
        <f>('Renewable Diesel'!$Z293*'RD Feedstock Breakdown'!BW$3*'Feedstock Conversion Rates'!$B$4)/12</f>
        <v>71.875</v>
      </c>
      <c r="BX284" s="104">
        <f>('Renewable Diesel'!$Z293*'RD Feedstock Breakdown'!BX$3*'Feedstock Conversion Rates'!$B$5)/12</f>
        <v>7.2354166666666666</v>
      </c>
      <c r="BY284" s="104">
        <f>('Renewable Diesel'!$Z293*'RD Feedstock Breakdown'!BY$3*'Feedstock Conversion Rates'!$B$7)/12</f>
        <v>61.716666666666661</v>
      </c>
      <c r="BZ284" s="104">
        <f>('Renewable Diesel'!$Z293*'RD Feedstock Breakdown'!BZ$3*'Feedstock Conversion Rates'!$B$3)/12</f>
        <v>15.352499999999999</v>
      </c>
      <c r="CA284" s="106">
        <f t="shared" si="228"/>
        <v>156.17958333333331</v>
      </c>
      <c r="CB284" s="104">
        <f>('Renewable Diesel'!AA293*'Feedstock Conversion Rates'!B$4)/12</f>
        <v>191.25</v>
      </c>
      <c r="CC284" s="106">
        <f t="shared" ref="CC284:CC347" si="298">CB284</f>
        <v>191.25</v>
      </c>
      <c r="CD284" s="104">
        <f>('Renewable Diesel'!$AB293*'RD Feedstock Breakdown'!CD$3*'Feedstock Conversion Rates'!$B$6)/12-15-5</f>
        <v>12.830000000000005</v>
      </c>
      <c r="CE284" s="104">
        <f>('Renewable Diesel'!$AB293*'RD Feedstock Breakdown'!CE$3*'Feedstock Conversion Rates'!$B$4)/12+15+5</f>
        <v>31.25</v>
      </c>
      <c r="CF284" s="106">
        <f t="shared" si="294"/>
        <v>44.080000000000005</v>
      </c>
      <c r="CG284" s="104">
        <f>('Renewable Diesel'!AD293*'Feedstock Conversion Rates'!B$4)/12</f>
        <v>112.5</v>
      </c>
      <c r="CH284" s="106">
        <f t="shared" si="278"/>
        <v>112.5</v>
      </c>
      <c r="CI284" s="104">
        <f>('Renewable Diesel'!$AE293*'RD Feedstock Breakdown'!CI$3*'Feedstock Conversion Rates'!$B$5)/12</f>
        <v>0.34604166666666664</v>
      </c>
      <c r="CJ284" s="104">
        <f>('Renewable Diesel'!$AE293*'RD Feedstock Breakdown'!CJ$3*'Feedstock Conversion Rates'!$B$4)/12</f>
        <v>0.34375</v>
      </c>
      <c r="CK284" s="106">
        <f t="shared" si="286"/>
        <v>0.68979166666666658</v>
      </c>
      <c r="CL284" s="104">
        <f>(((CL$3*'Renewable Diesel'!$AF293)*'Feedstock Conversion Rates'!$B$3)/12)</f>
        <v>91.78125</v>
      </c>
      <c r="CM284" s="104">
        <f>(((CM$3*'Renewable Diesel'!$AF293)*'Feedstock Conversion Rates'!$B$6)/12)</f>
        <v>53.739583333333336</v>
      </c>
      <c r="CN284" s="104">
        <f>(((CN$3*'Renewable Diesel'!$AF293)*'Feedstock Conversion Rates'!$B$4)/12)</f>
        <v>42.96875</v>
      </c>
      <c r="CO284" s="106">
        <f t="shared" si="280"/>
        <v>188.48958333333334</v>
      </c>
      <c r="CP284" s="104">
        <f>('Renewable Diesel'!$AG293*'RD Feedstock Breakdown'!CP$3*'Feedstock Conversion Rates'!$B$3)/12+4-4</f>
        <v>6.0075000000000003</v>
      </c>
      <c r="CQ284" s="104">
        <f>('Renewable Diesel'!$AG293*'RD Feedstock Breakdown'!CQ$3*'Feedstock Conversion Rates'!$B$6)/12</f>
        <v>3.5175000000000001</v>
      </c>
      <c r="CR284" s="104">
        <f>('Renewable Diesel'!$AG293*'RD Feedstock Breakdown'!CR$3*'Feedstock Conversion Rates'!$B$4)/12-4+4</f>
        <v>2.8125</v>
      </c>
      <c r="CS284" s="106">
        <f t="shared" si="231"/>
        <v>12.3375</v>
      </c>
      <c r="CT284" s="104">
        <f>('Renewable Diesel'!AI293*'Feedstock Conversion Rates'!$B$4*'RD Feedstock Breakdown'!$CT$3)/12</f>
        <v>29.375</v>
      </c>
      <c r="CU284" s="106">
        <f t="shared" si="282"/>
        <v>29.375</v>
      </c>
      <c r="CV284" s="104">
        <f>('Renewable Diesel'!AN293*'Feedstock Conversion Rates'!$B$3*'RD Feedstock Breakdown'!$CV$3)/12</f>
        <v>0.50062499999999999</v>
      </c>
      <c r="CW284" s="106">
        <f t="shared" si="255"/>
        <v>0.50062499999999999</v>
      </c>
      <c r="CX284" s="104">
        <f>('Renewable Diesel'!AO293*'RD Feedstock Breakdown'!$CX$3*'Feedstock Conversion Rates'!$B$3)/12</f>
        <v>6.3412499999999996</v>
      </c>
      <c r="CY284" s="104">
        <f>('Renewable Diesel'!AO293*'RD Feedstock Breakdown'!$CY$3*'Feedstock Conversion Rates'!$B$6)/12</f>
        <v>7.4258333333333342</v>
      </c>
      <c r="CZ284" s="106">
        <f t="shared" si="233"/>
        <v>13.767083333333334</v>
      </c>
      <c r="DA284" s="104">
        <f>('Renewable Diesel'!$AP293*'RD Feedstock Breakdown'!DA$3*'Feedstock Conversion Rates'!$B$3)/12</f>
        <v>6.3412499999999996</v>
      </c>
      <c r="DB284" s="104">
        <f>('Renewable Diesel'!$AP293*'RD Feedstock Breakdown'!DB$3*'Feedstock Conversion Rates'!$B$8)/12</f>
        <v>7.421875</v>
      </c>
      <c r="DC284" s="106">
        <f t="shared" si="260"/>
        <v>13.763124999999999</v>
      </c>
      <c r="DD284" s="104">
        <f>('Renewable Diesel'!AQ293*$DD$3*'Feedstock Conversion Rates'!$B$14)/12</f>
        <v>3.1041666666666665</v>
      </c>
      <c r="DE284" s="106">
        <f t="shared" si="261"/>
        <v>3.1041666666666665</v>
      </c>
      <c r="DF284" s="104">
        <f>('Renewable Diesel'!AR293*'Feedstock Conversion Rates'!$B$4*$DF$3)/12</f>
        <v>75</v>
      </c>
      <c r="DG284" s="106">
        <f t="shared" si="234"/>
        <v>75</v>
      </c>
      <c r="DH284" s="104">
        <f>('Renewable Diesel'!AS293*'Feedstock Conversion Rates'!$B$4*$DH$3)/12</f>
        <v>75</v>
      </c>
      <c r="DI284" s="106">
        <f t="shared" si="240"/>
        <v>75</v>
      </c>
      <c r="DJ284" s="104">
        <f>('Renewable Diesel'!AT293*'Feedstock Conversion Rates'!$B$4*0.25)/12</f>
        <v>8.59375</v>
      </c>
      <c r="DK284" s="104">
        <f>('Renewable Diesel'!$AT293*'RD Feedstock Breakdown'!DK$3*'Feedstock Conversion Rates'!$B$3)/12*0.5</f>
        <v>9.1781249999999996</v>
      </c>
      <c r="DL284" s="104">
        <f>('Renewable Diesel'!$AT293*'RD Feedstock Breakdown'!$DL$3*'Feedstock Conversion Rates'!$B$6)/12</f>
        <v>10.747916666666669</v>
      </c>
      <c r="DM284" s="104">
        <f>('Renewable Diesel'!$AT293*'RD Feedstock Breakdown'!$DM$3*'Feedstock Conversion Rates'!$B$8)/12</f>
        <v>10.7421875</v>
      </c>
      <c r="DN284" s="106">
        <f t="shared" si="297"/>
        <v>39.26197916666667</v>
      </c>
      <c r="DP284" s="104">
        <f t="shared" si="265"/>
        <v>12.720250000000007</v>
      </c>
      <c r="DQ284" s="104">
        <f t="shared" si="266"/>
        <v>782.11776750000001</v>
      </c>
      <c r="DR284" s="104">
        <f t="shared" si="271"/>
        <v>1794.953125</v>
      </c>
      <c r="DS284" s="104">
        <f t="shared" si="283"/>
        <v>67.401250000000005</v>
      </c>
      <c r="DT284" s="104">
        <f t="shared" si="267"/>
        <v>304.53923333333341</v>
      </c>
      <c r="DU284" s="104">
        <f t="shared" si="268"/>
        <v>252.15610000000001</v>
      </c>
      <c r="DV284" s="104">
        <f t="shared" si="272"/>
        <v>39.75</v>
      </c>
      <c r="DW284" s="104">
        <f t="shared" si="269"/>
        <v>3</v>
      </c>
      <c r="DX284" s="106">
        <f t="shared" si="273"/>
        <v>3256.6377258333337</v>
      </c>
      <c r="DY284" s="109">
        <f t="shared" si="257"/>
        <v>-135.00000000000048</v>
      </c>
      <c r="EA284" s="110">
        <f t="shared" si="250"/>
        <v>3.9059456626373912E-3</v>
      </c>
      <c r="EB284" s="110">
        <f t="shared" si="250"/>
        <v>0.24016112117594096</v>
      </c>
      <c r="EC284" s="110">
        <f t="shared" si="250"/>
        <v>0.55116757714912656</v>
      </c>
      <c r="ED284" s="110">
        <f t="shared" si="250"/>
        <v>2.0696575939453888E-2</v>
      </c>
      <c r="EE284" s="110">
        <f t="shared" si="250"/>
        <v>9.3513389873724914E-2</v>
      </c>
      <c r="EF284" s="110">
        <f t="shared" si="250"/>
        <v>7.742835440361312E-2</v>
      </c>
      <c r="EG284" s="110">
        <f t="shared" si="250"/>
        <v>1.2205840301081836E-2</v>
      </c>
      <c r="EH284" s="111">
        <f t="shared" si="274"/>
        <v>9.2119549442127061E-4</v>
      </c>
      <c r="EI284" s="110">
        <f t="shared" si="236"/>
        <v>0.99907880450557873</v>
      </c>
      <c r="EK284" s="132">
        <f>(EA284*'Renewable Diesel'!BF293*'Feedstock Conversion Rates'!B$2)+FB284</f>
        <v>40.26893649397509</v>
      </c>
      <c r="EL284" s="132">
        <f>(EB284*'Renewable Diesel'!BF293*'Feedstock Conversion Rates'!B$3)+FC284</f>
        <v>2333.2445250150158</v>
      </c>
      <c r="EM284" s="132">
        <f>(EC284*'Renewable Diesel'!BF293*'Feedstock Conversion Rates'!B$4)+FD284</f>
        <v>5013.8341297135366</v>
      </c>
      <c r="EN284" s="132">
        <f>(ED284*'Renewable Diesel'!BF293*'Feedstock Conversion Rates'!B$5)+FE284</f>
        <v>189.526738877702</v>
      </c>
      <c r="EO284" s="132">
        <f>(EE284*'Renewable Diesel'!BF293*'Feedstock Conversion Rates'!B$6)+FF284</f>
        <v>1063.9021238352816</v>
      </c>
      <c r="EP284" s="132">
        <f>(EF284*'Renewable Diesel'!BF293*'Feedstock Conversion Rates'!B$7)+FG284</f>
        <v>863.99831110153946</v>
      </c>
      <c r="EQ284" s="132">
        <f>(EG284*'Renewable Diesel'!BF293*'Feedstock Conversion Rates'!B$8)+FH284</f>
        <v>138.79186027219589</v>
      </c>
      <c r="ER284" s="132">
        <f>(EH284*'Renewable Diesel'!BF293*'Feedstock Conversion Rates'!B$9)+FI284</f>
        <v>10.335192613979871</v>
      </c>
      <c r="ES284" s="132">
        <f t="shared" si="275"/>
        <v>9653.901817923228</v>
      </c>
      <c r="ET284" s="133">
        <f>ES284/'Renewable Diesel'!BF293</f>
        <v>13.123160579421846</v>
      </c>
      <c r="EW284" s="73">
        <f t="shared" si="223"/>
        <v>7250.8209320175047</v>
      </c>
      <c r="EX284" s="73">
        <f t="shared" si="224"/>
        <v>6201.7754080843233</v>
      </c>
      <c r="EY284" s="92">
        <f t="shared" si="258"/>
        <v>0.75107672201055387</v>
      </c>
      <c r="EZ284" s="92">
        <f t="shared" si="258"/>
        <v>0.64241127836728562</v>
      </c>
      <c r="FB284" s="102">
        <f>IF('Renewable Diesel'!$BG293&lt;1,0,(((('Renewable Diesel'!$BG293-1)*'Renewable Diesel'!$BF293)*'RD Feedstock Breakdown'!EA284)*'Feedstock Conversion Rates'!$B$2))</f>
        <v>15.845343298356473</v>
      </c>
      <c r="FC284" s="102">
        <f>IF('Renewable Diesel'!$BG293&lt;1,0,(((('Renewable Diesel'!$BG293-1)*'Renewable Diesel'!$BF293)*'RD Feedstock Breakdown'!EB284)*'Feedstock Conversion Rates'!$B$3))</f>
        <v>918.10372254070091</v>
      </c>
      <c r="FD284" s="102">
        <f>IF('Renewable Diesel'!$BG293&lt;1,0,(((('Renewable Diesel'!$BG293-1)*'Renewable Diesel'!$BF293)*'RD Feedstock Breakdown'!EC284)*'Feedstock Conversion Rates'!$B$4))</f>
        <v>1972.8835659271458</v>
      </c>
      <c r="FE284" s="102">
        <f>IF('Renewable Diesel'!$BG293&lt;1,0,(((('Renewable Diesel'!$BG293-1)*'Renewable Diesel'!$BF293)*'RD Feedstock Breakdown'!ED284)*'Feedstock Conversion Rates'!$B$5))</f>
        <v>74.576497499119924</v>
      </c>
      <c r="FF284" s="102">
        <f>IF('Renewable Diesel'!$BG293&lt;1,0,(((('Renewable Diesel'!$BG293-1)*'Renewable Diesel'!$BF293)*'RD Feedstock Breakdown'!EE284)*'Feedstock Conversion Rates'!$B$6))</f>
        <v>418.63271930568175</v>
      </c>
      <c r="FG284" s="102">
        <f>IF('Renewable Diesel'!$BG293&lt;1,0,(((('Renewable Diesel'!$BG293-1)*'Renewable Diesel'!$BF293)*'RD Feedstock Breakdown'!EF284)*'Feedstock Conversion Rates'!$B$7))</f>
        <v>339.97296776517538</v>
      </c>
      <c r="FH284" s="102">
        <f>IF('Renewable Diesel'!$BG293&lt;1,0,(((('Renewable Diesel'!$BG293-1)*'Renewable Diesel'!$BF293)*'RD Feedstock Breakdown'!EG284)*'Feedstock Conversion Rates'!$B$8))</f>
        <v>54.612931567226894</v>
      </c>
      <c r="FI284" s="102">
        <f>IF('Renewable Diesel'!$BG293&lt;1,0,(((('Renewable Diesel'!$BG293-1)*'Renewable Diesel'!$BF293)*'RD Feedstock Breakdown'!EH284)*'Feedstock Conversion Rates'!$B$9))</f>
        <v>4.0667742751947573</v>
      </c>
      <c r="FJ284" s="102">
        <f t="shared" si="225"/>
        <v>3798.6945221786018</v>
      </c>
      <c r="GD284" s="91">
        <f>'Renewable Diesel'!BB293*0.32</f>
        <v>0</v>
      </c>
      <c r="GE284" s="91">
        <f>'Renewable Diesel'!BC293</f>
        <v>426.36492953210126</v>
      </c>
      <c r="GF284" s="91">
        <f>'Renewable Diesel'!BD293</f>
        <v>0</v>
      </c>
      <c r="GG284" s="91">
        <f t="shared" si="295"/>
        <v>426.36492953210126</v>
      </c>
      <c r="GH284" s="124">
        <v>1</v>
      </c>
      <c r="GI284" s="102">
        <f>$GG284*EA284*'Feedstock Conversion Rates'!$B$2</f>
        <v>14.155545101256168</v>
      </c>
      <c r="GJ284" s="102">
        <f>$GG284*EB284*'Feedstock Conversion Rates'!$B$3</f>
        <v>820.19419884730928</v>
      </c>
      <c r="GK284" s="102">
        <f>$GG284*EC284*'Feedstock Conversion Rates'!$B$4</f>
        <v>1762.4889389367474</v>
      </c>
      <c r="GL284" s="102">
        <f>$GG284*ED284*'Feedstock Conversion Rates'!$B$5</f>
        <v>66.623420771956845</v>
      </c>
      <c r="GM284" s="102">
        <f>$GG284*EE284*'Feedstock Conversion Rates'!$B$6</f>
        <v>373.98838431021886</v>
      </c>
      <c r="GN284" s="102">
        <f>$GG284*EF284*'Feedstock Conversion Rates'!$B$7</f>
        <v>303.71716079556421</v>
      </c>
      <c r="GO284" s="102">
        <f>$GG284*EG284*'Feedstock Conversion Rates'!$B$8</f>
        <v>48.788833498601612</v>
      </c>
      <c r="GP284" s="102">
        <f>$GG284*EH284*'Feedstock Conversion Rates'!B$9</f>
        <v>3.6330804315939815</v>
      </c>
      <c r="GQ284" s="102">
        <f t="shared" si="276"/>
        <v>3393.5895626932479</v>
      </c>
      <c r="GR284" s="85">
        <f t="shared" si="293"/>
        <v>7.959354364387849</v>
      </c>
      <c r="GT284" s="103">
        <f t="shared" si="254"/>
        <v>4.171260206853631E-3</v>
      </c>
      <c r="GU284" s="103">
        <f t="shared" si="254"/>
        <v>0.24168927434948262</v>
      </c>
      <c r="GV284" s="103">
        <f t="shared" si="254"/>
        <v>0.51935830965309382</v>
      </c>
      <c r="GW284" s="103">
        <f t="shared" si="254"/>
        <v>1.9632138637025572E-2</v>
      </c>
      <c r="GX284" s="103">
        <f t="shared" si="253"/>
        <v>0.11020436543699499</v>
      </c>
      <c r="GY284" s="103">
        <f t="shared" si="253"/>
        <v>8.9497316980939115E-2</v>
      </c>
      <c r="GZ284" s="103">
        <f t="shared" si="253"/>
        <v>1.437676318755572E-2</v>
      </c>
      <c r="HA284" s="103">
        <f t="shared" si="251"/>
        <v>1.0705715480544636E-3</v>
      </c>
    </row>
    <row r="285" spans="1:209" x14ac:dyDescent="0.25">
      <c r="A285" s="96">
        <v>49096</v>
      </c>
      <c r="B285" s="104">
        <f>115.75+145+100+235+31.5-21-287-20-28-32-70-39-47+40+20-3-10+65-105+5-15-75-1+20+33+40+14-5-40+26+55-55.5-91+70-70+200+100</f>
        <v>300.75</v>
      </c>
      <c r="C285" s="104">
        <f t="shared" si="287"/>
        <v>4</v>
      </c>
      <c r="D285" s="104">
        <f t="shared" si="288"/>
        <v>2</v>
      </c>
      <c r="E285" s="104">
        <f>('Renewable Diesel'!B294*E$3*'Feedstock Conversion Rates'!$B$2)/12+26+13-100+27.5+39+105-40-14-26+55.5-51+29-10-139</f>
        <v>4.9300000000000068</v>
      </c>
      <c r="F285" s="104">
        <f>('Renewable Diesel'!B294*'RD Feedstock Breakdown'!F$3*'Feedstock Conversion Rates'!B$8)/12+77+23-10-12-115.75+24+8-33+5-16</f>
        <v>4.15625</v>
      </c>
      <c r="G285" s="104">
        <f>('Renewable Diesel'!B294*'RD Feedstock Breakdown'!G$3*'Feedstock Conversion Rates'!B$7)/12-25-15-25+4+4-20-40-20+10-17.5+20+50-12+32.5+35-75-75+22.5+5-20+15+125-10-60+5-85+45+20+20-70</f>
        <v>19.657000000000011</v>
      </c>
      <c r="H285" s="104">
        <f>('Renewable Diesel'!B294*'RD Feedstock Breakdown'!H$3*'Feedstock Conversion Rates'!B$3)/12-85+4-15+70-65-80+50-22.5-5+25+27.5+15+50+15-10+5+50+75-5-25-85-12.5+30+22.5-25-30+150+90-120+25+10+20+85-30-45-20-20+95+70-200-100</f>
        <v>160.40022499999998</v>
      </c>
      <c r="I285" s="106">
        <f t="shared" si="291"/>
        <v>495.89347499999997</v>
      </c>
      <c r="J285" s="104">
        <f>54-15-35+7+35+20+34-7.5+35+37.5-145-20+15+40-32-5-18+40</f>
        <v>40</v>
      </c>
      <c r="K285" s="104"/>
      <c r="L285" s="104">
        <v>1</v>
      </c>
      <c r="M285" s="104">
        <f>('Renewable Diesel'!C294*'RD Feedstock Breakdown'!M$3*'Feedstock Conversion Rates'!B$2)/12</f>
        <v>7.7902500000000003</v>
      </c>
      <c r="N285" s="104">
        <f>('Renewable Diesel'!C294*'RD Feedstock Breakdown'!N$3*'Feedstock Conversion Rates'!B$8)/12</f>
        <v>3.671875</v>
      </c>
      <c r="O285" s="104">
        <f>('Renewable Diesel'!C294*'RD Feedstock Breakdown'!O$3*'Feedstock Conversion Rates'!B$7)/12</f>
        <v>11.9991</v>
      </c>
      <c r="P285" s="104">
        <f>('Renewable Diesel'!C294*'RD Feedstock Breakdown'!P$3*'Feedstock Conversion Rates'!B$3)/12</f>
        <v>10.4470425</v>
      </c>
      <c r="Q285" s="106">
        <f t="shared" si="216"/>
        <v>74.908267499999994</v>
      </c>
      <c r="R285" s="104">
        <f>('Renewable Diesel'!D294*'RD Feedstock Breakdown'!R$3*'Feedstock Conversion Rates'!B$7)/12</f>
        <v>2.2999999999999998</v>
      </c>
      <c r="S285" s="106">
        <f t="shared" si="249"/>
        <v>2.2999999999999998</v>
      </c>
      <c r="T285" s="104">
        <f t="shared" si="292"/>
        <v>0.82500000000000284</v>
      </c>
      <c r="U285" s="104">
        <v>30</v>
      </c>
      <c r="V285" s="104">
        <f>('Renewable Diesel'!E294*'RD Feedstock Breakdown'!V$3*'Feedstock Conversion Rates'!B$6)/12-20+25-35</f>
        <v>14.250150000000012</v>
      </c>
      <c r="W285" s="104">
        <f>('Renewable Diesel'!E294*'RD Feedstock Breakdown'!W$3*'Feedstock Conversion Rates'!B$8)/12-6+5</f>
        <v>21.1796875</v>
      </c>
      <c r="X285" s="106">
        <f t="shared" si="277"/>
        <v>66.254837500000008</v>
      </c>
      <c r="Y285" s="104">
        <f t="shared" si="289"/>
        <v>66</v>
      </c>
      <c r="Z285" s="104">
        <f>('Renewable Diesel'!F294*'RD Feedstock Breakdown'!Z$3*'Feedstock Conversion Rates'!B$6)/12-142+15+5+75-45+52.5-87.5+80-10-20-17+2+7+15+20</f>
        <v>109.46000000000001</v>
      </c>
      <c r="AA285" s="104">
        <f>('Renewable Diesel'!F294*'RD Feedstock Breakdown'!AA$3*'Feedstock Conversion Rates'!B$7)/12+24-30-55+15+30</f>
        <v>88.266666666666652</v>
      </c>
      <c r="AB285" s="106">
        <f t="shared" si="235"/>
        <v>263.72666666666669</v>
      </c>
      <c r="AC285" s="104">
        <f>('Renewable Diesel'!G294*'RD Feedstock Breakdown'!AC$3*'Feedstock Conversion Rates'!B$5)/12</f>
        <v>11.796875</v>
      </c>
      <c r="AD285" s="104">
        <f>('Renewable Diesel'!G294*'RD Feedstock Breakdown'!AD$3*'Feedstock Conversion Rates'!B$4)/12</f>
        <v>5.859375</v>
      </c>
      <c r="AE285" s="104">
        <f>('Renewable Diesel'!G294*'RD Feedstock Breakdown'!AE$3*'Feedstock Conversion Rates'!B$6)/12</f>
        <v>7.3281250000000009</v>
      </c>
      <c r="AF285" s="106">
        <f t="shared" si="284"/>
        <v>24.984375</v>
      </c>
      <c r="AG285" s="104">
        <f t="shared" si="230"/>
        <v>6.5</v>
      </c>
      <c r="AH285" s="104">
        <v>135</v>
      </c>
      <c r="AI285" s="104">
        <f>('Renewable Diesel'!H294*'RD Feedstock Breakdown'!AI$3*'Feedstock Conversion Rates'!B$6)/12-130-20+51-52.5+10</f>
        <v>7.0166666666666799</v>
      </c>
      <c r="AJ285" s="106">
        <f t="shared" si="248"/>
        <v>13.51666666666668</v>
      </c>
      <c r="AK285" s="104">
        <f>('Renewable Diesel'!J294*'RD Feedstock Breakdown'!AK$3*'Feedstock Conversion Rates'!B$4)/12</f>
        <v>95.8125</v>
      </c>
      <c r="AL285" s="106">
        <f t="shared" si="252"/>
        <v>95.8125</v>
      </c>
      <c r="AM285" s="104">
        <f>('Renewable Diesel'!K294*'RD Feedstock Breakdown'!AM$3*'Feedstock Conversion Rates'!B$4)/12+5+15-10-5+10-35-15</f>
        <v>23.59375</v>
      </c>
      <c r="AN285" s="104">
        <f>('Renewable Diesel'!K294*'RD Feedstock Breakdown'!AN$3*'Feedstock Conversion Rates'!B$6)/12-5-15+10+5-10+35+15</f>
        <v>59.427083333333329</v>
      </c>
      <c r="AO285" s="106">
        <f t="shared" si="270"/>
        <v>83.020833333333329</v>
      </c>
      <c r="AP285" s="104">
        <f>('Renewable Diesel'!L294*'RD Feedstock Breakdown'!AP$3*'Feedstock Conversion Rates'!B$4)/12+15-10-10+22</f>
        <v>75.59375</v>
      </c>
      <c r="AQ285" s="104">
        <f>('Renewable Diesel'!L294*'RD Feedstock Breakdown'!AQ$3*'Feedstock Conversion Rates'!B$6)/12-15+10+10-22</f>
        <v>7.4270833333333321</v>
      </c>
      <c r="AR285" s="106">
        <f t="shared" si="256"/>
        <v>83.020833333333329</v>
      </c>
      <c r="AS285" s="104">
        <f>('Renewable Diesel'!M294*'RD Feedstock Breakdown'!AS$3*'Feedstock Conversion Rates'!B$4)/12-25</f>
        <v>431.25</v>
      </c>
      <c r="AT285" s="104">
        <f>('Renewable Diesel'!M294*'RD Feedstock Breakdown'!AT$3*'Feedstock Conversion Rates'!B$5)/12+25</f>
        <v>25</v>
      </c>
      <c r="AU285" s="106">
        <f t="shared" si="290"/>
        <v>456.25</v>
      </c>
      <c r="AV285" s="104">
        <f>'Renewable Diesel'!N294*'RD Feedstock Breakdown'!$AV$3*'Feedstock Conversion Rates'!$B$4/12-15-10+25+25-22+25-77.5+56</f>
        <v>85.249999999999986</v>
      </c>
      <c r="AW285" s="104">
        <f>'Renewable Diesel'!N294*'RD Feedstock Breakdown'!$AW$3*'Feedstock Conversion Rates'!$B$7/12+15+10-25-25+22-25+77.5-56</f>
        <v>34.900000000000006</v>
      </c>
      <c r="AX285" s="106">
        <f t="shared" si="239"/>
        <v>120.14999999999999</v>
      </c>
      <c r="AY285" s="104">
        <f>('Renewable Diesel'!O294*'RD Feedstock Breakdown'!AY$3*'Feedstock Conversion Rates'!B$4)/12-95-250-3</f>
        <v>-137.0625</v>
      </c>
      <c r="AZ285" s="104">
        <f>('Renewable Diesel'!O294*'RD Feedstock Breakdown'!AZ$3*'Feedstock Conversion Rates'!B$3)/12+95+250+3</f>
        <v>373.03125</v>
      </c>
      <c r="BA285" s="106">
        <f t="shared" si="217"/>
        <v>235.96875</v>
      </c>
      <c r="BB285" s="104">
        <f>('Renewable Diesel'!Q294*'RD Feedstock Breakdown'!BB$3*'Feedstock Conversion Rates'!B$4)/12</f>
        <v>11.156249999999998</v>
      </c>
      <c r="BC285" s="104">
        <f>('Renewable Diesel'!Q294*'RD Feedstock Breakdown'!BC$3*'Feedstock Conversion Rates'!B$3)/12</f>
        <v>1.4017500000000001</v>
      </c>
      <c r="BD285" s="104">
        <f>('Renewable Diesel'!Q294*'RD Feedstock Breakdown'!BD$3*'Feedstock Conversion Rates'!B$6)/12</f>
        <v>0.8207500000000002</v>
      </c>
      <c r="BE285" s="106">
        <f t="shared" si="279"/>
        <v>13.378749999999998</v>
      </c>
      <c r="BF285" s="104">
        <f>('Renewable Diesel'!R294*'RD Feedstock Breakdown'!BF$3*'Feedstock Conversion Rates'!B$4)/12</f>
        <v>62.5</v>
      </c>
      <c r="BG285" s="106">
        <f t="shared" si="262"/>
        <v>62.5</v>
      </c>
      <c r="BH285" s="104">
        <f>('Renewable Diesel'!T294*'RD Feedstock Breakdown'!BH$3*'Feedstock Conversion Rates'!B$7)/12</f>
        <v>27.599999999999998</v>
      </c>
      <c r="BI285" s="106">
        <f t="shared" si="243"/>
        <v>27.599999999999998</v>
      </c>
      <c r="BJ285" s="104">
        <f>('Renewable Diesel'!W294*'RD Feedstock Breakdown'!BJ$3*'Feedstock Conversion Rates'!B$4)/12</f>
        <v>7.5</v>
      </c>
      <c r="BK285" s="104">
        <f>('Renewable Diesel'!W294*'RD Feedstock Breakdown'!BK$3*'Feedstock Conversion Rates'!B$3)/12</f>
        <v>1.335</v>
      </c>
      <c r="BL285" s="104">
        <f>('Renewable Diesel'!W294*'RD Feedstock Breakdown'!BL$3*'Feedstock Conversion Rates'!B$6)/12</f>
        <v>3.1266666666666669</v>
      </c>
      <c r="BM285" s="104">
        <f>('Renewable Diesel'!W294*'RD Feedstock Breakdown'!BM$3*'Feedstock Conversion Rates'!B$7)/12</f>
        <v>1.5333333333333332</v>
      </c>
      <c r="BN285" s="106">
        <f t="shared" si="296"/>
        <v>13.495000000000001</v>
      </c>
      <c r="BO285" s="104">
        <f>('Renewable Diesel'!P294*'Feedstock Conversion Rates'!B$4)/12</f>
        <v>31.25</v>
      </c>
      <c r="BP285" s="106">
        <f t="shared" si="285"/>
        <v>31.25</v>
      </c>
      <c r="BQ285" s="104">
        <f>('Renewable Diesel'!$S294*'RD Feedstock Breakdown'!BQ$3*'Feedstock Conversion Rates'!B$4)/12+10+15-15</f>
        <v>38.125</v>
      </c>
      <c r="BR285" s="104">
        <f>('Renewable Diesel'!$S294*'RD Feedstock Breakdown'!BR$3*'Feedstock Conversion Rates'!B$7)/12-10-15+15</f>
        <v>1.5</v>
      </c>
      <c r="BS285" s="106">
        <f t="shared" si="222"/>
        <v>39.625</v>
      </c>
      <c r="BT285" s="106"/>
      <c r="BU285" s="104">
        <f>('Renewable Diesel'!Y294*'Feedstock Conversion Rates'!B$7)/12</f>
        <v>2.6833333333333331</v>
      </c>
      <c r="BV285" s="106">
        <f t="shared" si="281"/>
        <v>2.6833333333333331</v>
      </c>
      <c r="BW285" s="104">
        <f>('Renewable Diesel'!$Z294*'RD Feedstock Breakdown'!BW$3*'Feedstock Conversion Rates'!$B$4)/12</f>
        <v>71.875</v>
      </c>
      <c r="BX285" s="104">
        <f>('Renewable Diesel'!$Z294*'RD Feedstock Breakdown'!BX$3*'Feedstock Conversion Rates'!$B$5)/12</f>
        <v>7.2354166666666666</v>
      </c>
      <c r="BY285" s="104">
        <f>('Renewable Diesel'!$Z294*'RD Feedstock Breakdown'!BY$3*'Feedstock Conversion Rates'!$B$7)/12</f>
        <v>61.716666666666661</v>
      </c>
      <c r="BZ285" s="104">
        <f>('Renewable Diesel'!$Z294*'RD Feedstock Breakdown'!BZ$3*'Feedstock Conversion Rates'!$B$3)/12</f>
        <v>15.352499999999999</v>
      </c>
      <c r="CA285" s="106">
        <f t="shared" si="228"/>
        <v>156.17958333333331</v>
      </c>
      <c r="CB285" s="104">
        <f>('Renewable Diesel'!AA294*'Feedstock Conversion Rates'!B$4)/12</f>
        <v>191.25</v>
      </c>
      <c r="CC285" s="106">
        <f t="shared" si="298"/>
        <v>191.25</v>
      </c>
      <c r="CD285" s="104">
        <f>('Renewable Diesel'!$AB294*'RD Feedstock Breakdown'!CD$3*'Feedstock Conversion Rates'!$B$6)/12-15-5</f>
        <v>12.830000000000005</v>
      </c>
      <c r="CE285" s="104">
        <f>('Renewable Diesel'!$AB294*'RD Feedstock Breakdown'!CE$3*'Feedstock Conversion Rates'!$B$4)/12+15+5</f>
        <v>31.25</v>
      </c>
      <c r="CF285" s="106">
        <f t="shared" si="294"/>
        <v>44.080000000000005</v>
      </c>
      <c r="CG285" s="104">
        <f>('Renewable Diesel'!AD294*'Feedstock Conversion Rates'!B$4)/12</f>
        <v>112.5</v>
      </c>
      <c r="CH285" s="106">
        <f t="shared" si="278"/>
        <v>112.5</v>
      </c>
      <c r="CI285" s="104">
        <f>('Renewable Diesel'!$AE294*'RD Feedstock Breakdown'!CI$3*'Feedstock Conversion Rates'!$B$5)/12</f>
        <v>0.34604166666666664</v>
      </c>
      <c r="CJ285" s="104">
        <f>('Renewable Diesel'!$AE294*'RD Feedstock Breakdown'!CJ$3*'Feedstock Conversion Rates'!$B$4)/12</f>
        <v>0.34375</v>
      </c>
      <c r="CK285" s="106">
        <f t="shared" si="286"/>
        <v>0.68979166666666658</v>
      </c>
      <c r="CL285" s="104">
        <f>(((CL$3*'Renewable Diesel'!$AF294)*'Feedstock Conversion Rates'!$B$3)/12)</f>
        <v>91.78125</v>
      </c>
      <c r="CM285" s="104">
        <f>(((CM$3*'Renewable Diesel'!$AF294)*'Feedstock Conversion Rates'!$B$6)/12)</f>
        <v>53.739583333333336</v>
      </c>
      <c r="CN285" s="104">
        <f>(((CN$3*'Renewable Diesel'!$AF294)*'Feedstock Conversion Rates'!$B$4)/12)</f>
        <v>42.96875</v>
      </c>
      <c r="CO285" s="106">
        <f t="shared" si="280"/>
        <v>188.48958333333334</v>
      </c>
      <c r="CP285" s="104">
        <f>('Renewable Diesel'!$AG294*'RD Feedstock Breakdown'!CP$3*'Feedstock Conversion Rates'!$B$3)/12+4-4</f>
        <v>6.0075000000000003</v>
      </c>
      <c r="CQ285" s="104">
        <f>('Renewable Diesel'!$AG294*'RD Feedstock Breakdown'!CQ$3*'Feedstock Conversion Rates'!$B$6)/12</f>
        <v>3.5175000000000001</v>
      </c>
      <c r="CR285" s="104">
        <f>('Renewable Diesel'!$AG294*'RD Feedstock Breakdown'!CR$3*'Feedstock Conversion Rates'!$B$4)/12-4+4</f>
        <v>2.8125</v>
      </c>
      <c r="CS285" s="106">
        <f t="shared" si="231"/>
        <v>12.3375</v>
      </c>
      <c r="CT285" s="104">
        <f>('Renewable Diesel'!AI294*'Feedstock Conversion Rates'!$B$4*'RD Feedstock Breakdown'!$CT$3)/12</f>
        <v>29.375</v>
      </c>
      <c r="CU285" s="106">
        <f t="shared" si="282"/>
        <v>29.375</v>
      </c>
      <c r="CV285" s="104">
        <f>('Renewable Diesel'!AN294*'Feedstock Conversion Rates'!$B$3*'RD Feedstock Breakdown'!$CV$3)/12</f>
        <v>0.50062499999999999</v>
      </c>
      <c r="CW285" s="106">
        <f t="shared" si="255"/>
        <v>0.50062499999999999</v>
      </c>
      <c r="CX285" s="104">
        <f>('Renewable Diesel'!AO294*'RD Feedstock Breakdown'!$CX$3*'Feedstock Conversion Rates'!$B$3)/12</f>
        <v>6.3412499999999996</v>
      </c>
      <c r="CY285" s="104">
        <f>('Renewable Diesel'!AO294*'RD Feedstock Breakdown'!$CY$3*'Feedstock Conversion Rates'!$B$6)/12</f>
        <v>7.4258333333333342</v>
      </c>
      <c r="CZ285" s="106">
        <f t="shared" si="233"/>
        <v>13.767083333333334</v>
      </c>
      <c r="DA285" s="104">
        <f>('Renewable Diesel'!$AP294*'RD Feedstock Breakdown'!DA$3*'Feedstock Conversion Rates'!$B$3)/12</f>
        <v>6.3412499999999996</v>
      </c>
      <c r="DB285" s="104">
        <f>('Renewable Diesel'!$AP294*'RD Feedstock Breakdown'!DB$3*'Feedstock Conversion Rates'!$B$8)/12</f>
        <v>7.421875</v>
      </c>
      <c r="DC285" s="106">
        <f t="shared" si="260"/>
        <v>13.763124999999999</v>
      </c>
      <c r="DD285" s="104">
        <f>('Renewable Diesel'!AQ294*$DD$3*'Feedstock Conversion Rates'!$B$14)/12</f>
        <v>3.1041666666666665</v>
      </c>
      <c r="DE285" s="106">
        <f t="shared" si="261"/>
        <v>3.1041666666666665</v>
      </c>
      <c r="DF285" s="104">
        <f>('Renewable Diesel'!AR294*'Feedstock Conversion Rates'!$B$4*$DF$3)/12</f>
        <v>75</v>
      </c>
      <c r="DG285" s="106">
        <f t="shared" si="234"/>
        <v>75</v>
      </c>
      <c r="DH285" s="104">
        <f>('Renewable Diesel'!AS294*'Feedstock Conversion Rates'!$B$4*$DH$3)/12</f>
        <v>75</v>
      </c>
      <c r="DI285" s="106">
        <f t="shared" si="240"/>
        <v>75</v>
      </c>
      <c r="DJ285" s="104">
        <f>('Renewable Diesel'!AT294*'Feedstock Conversion Rates'!$B$4*0.25)/12</f>
        <v>8.59375</v>
      </c>
      <c r="DK285" s="104">
        <f>('Renewable Diesel'!$AT294*'RD Feedstock Breakdown'!DK$3*'Feedstock Conversion Rates'!$B$3)/12*0.5</f>
        <v>9.1781249999999996</v>
      </c>
      <c r="DL285" s="104">
        <f>('Renewable Diesel'!$AT294*'RD Feedstock Breakdown'!$DL$3*'Feedstock Conversion Rates'!$B$6)/12</f>
        <v>10.747916666666669</v>
      </c>
      <c r="DM285" s="104">
        <f>('Renewable Diesel'!$AT294*'RD Feedstock Breakdown'!$DM$3*'Feedstock Conversion Rates'!$B$8)/12</f>
        <v>10.7421875</v>
      </c>
      <c r="DN285" s="106">
        <f t="shared" si="297"/>
        <v>39.26197916666667</v>
      </c>
      <c r="DP285" s="104">
        <f t="shared" si="265"/>
        <v>12.720250000000007</v>
      </c>
      <c r="DQ285" s="104">
        <f t="shared" si="266"/>
        <v>682.11776750000001</v>
      </c>
      <c r="DR285" s="104">
        <f t="shared" si="271"/>
        <v>1934.953125</v>
      </c>
      <c r="DS285" s="104">
        <f t="shared" si="283"/>
        <v>67.401250000000005</v>
      </c>
      <c r="DT285" s="104">
        <f t="shared" si="267"/>
        <v>304.53923333333341</v>
      </c>
      <c r="DU285" s="104">
        <f t="shared" si="268"/>
        <v>252.15610000000001</v>
      </c>
      <c r="DV285" s="104">
        <f t="shared" si="272"/>
        <v>39.75</v>
      </c>
      <c r="DW285" s="104">
        <f t="shared" si="269"/>
        <v>3</v>
      </c>
      <c r="DX285" s="106">
        <f t="shared" si="273"/>
        <v>3296.6377258333337</v>
      </c>
      <c r="DY285" s="109">
        <f t="shared" si="257"/>
        <v>-135.00000000000048</v>
      </c>
      <c r="EA285" s="110">
        <f t="shared" si="250"/>
        <v>3.858552579290327E-3</v>
      </c>
      <c r="EB285" s="110">
        <f t="shared" si="250"/>
        <v>0.20691317160958969</v>
      </c>
      <c r="EC285" s="110">
        <f t="shared" si="250"/>
        <v>0.58694745553543559</v>
      </c>
      <c r="ED285" s="110">
        <f t="shared" si="250"/>
        <v>2.044545248991899E-2</v>
      </c>
      <c r="EE285" s="110">
        <f t="shared" si="250"/>
        <v>9.2378738175227029E-2</v>
      </c>
      <c r="EF285" s="110">
        <f t="shared" si="250"/>
        <v>7.6488871684030513E-2</v>
      </c>
      <c r="EG285" s="110">
        <f t="shared" si="250"/>
        <v>1.205773982640203E-2</v>
      </c>
      <c r="EH285" s="111">
        <f t="shared" si="274"/>
        <v>9.1001810010581346E-4</v>
      </c>
      <c r="EI285" s="110">
        <f t="shared" si="236"/>
        <v>0.99908998189989418</v>
      </c>
      <c r="EK285" s="132">
        <f>(EA285*'Renewable Diesel'!BF294*'Feedstock Conversion Rates'!B$2)+FB285</f>
        <v>36.214430049303637</v>
      </c>
      <c r="EL285" s="132">
        <f>(EB285*'Renewable Diesel'!BF294*'Feedstock Conversion Rates'!B$3)+FC285</f>
        <v>1830.0331636461301</v>
      </c>
      <c r="EM285" s="132">
        <f>(EC285*'Renewable Diesel'!BF294*'Feedstock Conversion Rates'!B$4)+FD285</f>
        <v>4860.6997361081694</v>
      </c>
      <c r="EN285" s="132">
        <f>(ED285*'Renewable Diesel'!BF294*'Feedstock Conversion Rates'!B$5)+FE285</f>
        <v>170.4441046906239</v>
      </c>
      <c r="EO285" s="132">
        <f>(EE285*'Renewable Diesel'!BF294*'Feedstock Conversion Rates'!B$6)+FF285</f>
        <v>956.7823835800308</v>
      </c>
      <c r="EP285" s="132">
        <f>(EF285*'Renewable Diesel'!BF294*'Feedstock Conversion Rates'!B$7)+FG285</f>
        <v>777.00602807786015</v>
      </c>
      <c r="EQ285" s="132">
        <f>(EG285*'Renewable Diesel'!BF294*'Feedstock Conversion Rates'!B$8)+FH285</f>
        <v>124.81750333764529</v>
      </c>
      <c r="ER285" s="132">
        <f>(EH285*'Renewable Diesel'!BF294*'Feedstock Conversion Rates'!B$9)+FI285</f>
        <v>9.2945864120611326</v>
      </c>
      <c r="ES285" s="132">
        <f t="shared" si="275"/>
        <v>8765.2919359018233</v>
      </c>
      <c r="ET285" s="133">
        <f>ES285/'Renewable Diesel'!BF294</f>
        <v>12.284998178837714</v>
      </c>
      <c r="EW285" s="73">
        <f t="shared" si="223"/>
        <v>6811.2671176238537</v>
      </c>
      <c r="EX285" s="73">
        <f t="shared" si="224"/>
        <v>5055.3673155317365</v>
      </c>
      <c r="EY285" s="92">
        <f t="shared" si="258"/>
        <v>0.77707247715567063</v>
      </c>
      <c r="EZ285" s="92">
        <f t="shared" si="258"/>
        <v>0.57674831055260356</v>
      </c>
      <c r="FB285" s="102">
        <f>IF('Renewable Diesel'!$BG294&lt;1,0,(((('Renewable Diesel'!$BG294-1)*'Renewable Diesel'!$BF294)*'RD Feedstock Breakdown'!EA285)*'Feedstock Conversion Rates'!$B$2))</f>
        <v>12.813418166450798</v>
      </c>
      <c r="FC285" s="102">
        <f>IF('Renewable Diesel'!$BG294&lt;1,0,(((('Renewable Diesel'!$BG294-1)*'Renewable Diesel'!$BF294)*'RD Feedstock Breakdown'!EB285)*'Feedstock Conversion Rates'!$B$3))</f>
        <v>647.50377549353846</v>
      </c>
      <c r="FD285" s="102">
        <f>IF('Renewable Diesel'!$BG294&lt;1,0,(((('Renewable Diesel'!$BG294-1)*'Renewable Diesel'!$BF294)*'RD Feedstock Breakdown'!EC285)*'Feedstock Conversion Rates'!$B$4))</f>
        <v>1719.816609443192</v>
      </c>
      <c r="FE285" s="102">
        <f>IF('Renewable Diesel'!$BG294&lt;1,0,(((('Renewable Diesel'!$BG294-1)*'Renewable Diesel'!$BF294)*'RD Feedstock Breakdown'!ED285)*'Feedstock Conversion Rates'!$B$5))</f>
        <v>60.30666738186806</v>
      </c>
      <c r="FF285" s="102">
        <f>IF('Renewable Diesel'!$BG294&lt;1,0,(((('Renewable Diesel'!$BG294-1)*'Renewable Diesel'!$BF294)*'RD Feedstock Breakdown'!EE285)*'Feedstock Conversion Rates'!$B$6))</f>
        <v>338.52949662368644</v>
      </c>
      <c r="FG285" s="102">
        <f>IF('Renewable Diesel'!$BG294&lt;1,0,(((('Renewable Diesel'!$BG294-1)*'Renewable Diesel'!$BF294)*'RD Feedstock Breakdown'!EF285)*'Feedstock Conversion Rates'!$B$7))</f>
        <v>274.92088490858572</v>
      </c>
      <c r="FH285" s="102">
        <f>IF('Renewable Diesel'!$BG294&lt;1,0,(((('Renewable Diesel'!$BG294-1)*'Renewable Diesel'!$BF294)*'RD Feedstock Breakdown'!EG285)*'Feedstock Conversion Rates'!$B$8))</f>
        <v>44.163027350705768</v>
      </c>
      <c r="FI285" s="102">
        <f>IF('Renewable Diesel'!$BG294&lt;1,0,(((('Renewable Diesel'!$BG294-1)*'Renewable Diesel'!$BF294)*'RD Feedstock Breakdown'!EH285)*'Feedstock Conversion Rates'!$B$9))</f>
        <v>3.2886178857380899</v>
      </c>
      <c r="FJ285" s="102">
        <f t="shared" si="225"/>
        <v>3101.342497253765</v>
      </c>
      <c r="GD285" s="91">
        <f>'Renewable Diesel'!BB294*0.32</f>
        <v>0</v>
      </c>
      <c r="GE285" s="91">
        <f>'Renewable Diesel'!BC294</f>
        <v>406.74466362686309</v>
      </c>
      <c r="GF285" s="91">
        <f>'Renewable Diesel'!BD294</f>
        <v>0</v>
      </c>
      <c r="GG285" s="91">
        <f t="shared" si="295"/>
        <v>406.74466362686309</v>
      </c>
      <c r="GH285" s="124">
        <v>1</v>
      </c>
      <c r="GI285" s="102">
        <f>$GG285*EA285*'Feedstock Conversion Rates'!$B$2</f>
        <v>13.340288203075078</v>
      </c>
      <c r="GJ285" s="102">
        <f>$GG285*EB285*'Feedstock Conversion Rates'!$B$3</f>
        <v>674.12823537434281</v>
      </c>
      <c r="GK285" s="102">
        <f>$GG285*EC285*'Feedstock Conversion Rates'!$B$4</f>
        <v>1790.5330902630294</v>
      </c>
      <c r="GL285" s="102">
        <f>$GG285*ED285*'Feedstock Conversion Rates'!$B$5</f>
        <v>62.786394152618875</v>
      </c>
      <c r="GM285" s="102">
        <f>$GG285*EE285*'Feedstock Conversion Rates'!$B$6</f>
        <v>352.44936140664652</v>
      </c>
      <c r="GN285" s="102">
        <f>$GG285*EF285*'Feedstock Conversion Rates'!$B$7</f>
        <v>286.22525153573741</v>
      </c>
      <c r="GO285" s="102">
        <f>$GG285*EG285*'Feedstock Conversion Rates'!$B$8</f>
        <v>45.978949966782416</v>
      </c>
      <c r="GP285" s="102">
        <f>$GG285*EH285*'Feedstock Conversion Rates'!B$9</f>
        <v>3.4238413057025388</v>
      </c>
      <c r="GQ285" s="102">
        <f t="shared" si="276"/>
        <v>3228.8654122079342</v>
      </c>
      <c r="GR285" s="85">
        <f t="shared" si="293"/>
        <v>7.9383104462066427</v>
      </c>
      <c r="GT285" s="103">
        <f t="shared" si="254"/>
        <v>4.1315714655176155E-3</v>
      </c>
      <c r="GU285" s="103">
        <f t="shared" si="254"/>
        <v>0.20878176985189553</v>
      </c>
      <c r="GV285" s="103">
        <f t="shared" si="254"/>
        <v>0.55453940058735451</v>
      </c>
      <c r="GW285" s="103">
        <f t="shared" si="254"/>
        <v>1.9445342600912196E-2</v>
      </c>
      <c r="GX285" s="103">
        <f t="shared" si="253"/>
        <v>0.1091557920234395</v>
      </c>
      <c r="GY285" s="103">
        <f t="shared" si="253"/>
        <v>8.864576716439021E-2</v>
      </c>
      <c r="GZ285" s="103">
        <f t="shared" si="253"/>
        <v>1.423997104151253E-2</v>
      </c>
      <c r="HA285" s="103">
        <f t="shared" si="251"/>
        <v>1.06038526497804E-3</v>
      </c>
    </row>
    <row r="286" spans="1:209" x14ac:dyDescent="0.25">
      <c r="A286" s="96">
        <v>49126</v>
      </c>
      <c r="B286" s="104">
        <f>115.75+145+100+235+31.5-21-287-20-28-32-70-39-47+40+20-3-10+65-105+5-15-75-1+20+33+40+14-5-40+26+55-55.5-91+70-70+200+100</f>
        <v>300.75</v>
      </c>
      <c r="C286" s="104">
        <f t="shared" si="287"/>
        <v>4</v>
      </c>
      <c r="D286" s="104">
        <f t="shared" si="288"/>
        <v>2</v>
      </c>
      <c r="E286" s="104">
        <f>('Renewable Diesel'!B295*E$3*'Feedstock Conversion Rates'!$B$2)/12+26+13-100+27.5+39+105-40-14-26+55.5-51+29-10-139</f>
        <v>4.9300000000000068</v>
      </c>
      <c r="F286" s="104">
        <f>('Renewable Diesel'!B295*'RD Feedstock Breakdown'!F$3*'Feedstock Conversion Rates'!B$8)/12+77+23-10-12-115.75+24+8-33+5-16</f>
        <v>4.15625</v>
      </c>
      <c r="G286" s="104">
        <f>('Renewable Diesel'!B295*'RD Feedstock Breakdown'!G$3*'Feedstock Conversion Rates'!B$7)/12-25-15-25+4+4-20-40-20+10-17.5+20+50-12+32.5+35-75-75+22.5+5-20+15+125-10-60+5-85+45+20+20-70</f>
        <v>19.657000000000011</v>
      </c>
      <c r="H286" s="104">
        <f>('Renewable Diesel'!B295*'RD Feedstock Breakdown'!H$3*'Feedstock Conversion Rates'!B$3)/12-85+4-15+70-65-80+50-22.5-5+25+27.5+15+50+15-10+5+50+75-5-25-85-12.5+30+22.5-25-30+150+90-120+25+10+20+85-30-45-20-20+95+70-200-100</f>
        <v>160.40022499999998</v>
      </c>
      <c r="I286" s="106">
        <f t="shared" si="291"/>
        <v>495.89347499999997</v>
      </c>
      <c r="J286" s="104">
        <f>54-15-35+7+35+20+34-7.5+35+37.5-145-20+15+40-32-5-18</f>
        <v>0</v>
      </c>
      <c r="K286" s="104"/>
      <c r="L286" s="104">
        <v>1</v>
      </c>
      <c r="M286" s="104">
        <f>('Renewable Diesel'!C295*'RD Feedstock Breakdown'!M$3*'Feedstock Conversion Rates'!B$2)/12</f>
        <v>7.7902500000000003</v>
      </c>
      <c r="N286" s="104">
        <f>('Renewable Diesel'!C295*'RD Feedstock Breakdown'!N$3*'Feedstock Conversion Rates'!B$8)/12</f>
        <v>3.671875</v>
      </c>
      <c r="O286" s="104">
        <f>('Renewable Diesel'!C295*'RD Feedstock Breakdown'!O$3*'Feedstock Conversion Rates'!B$7)/12</f>
        <v>11.9991</v>
      </c>
      <c r="P286" s="104">
        <f>('Renewable Diesel'!C295*'RD Feedstock Breakdown'!P$3*'Feedstock Conversion Rates'!B$3)/12</f>
        <v>10.4470425</v>
      </c>
      <c r="Q286" s="106">
        <f t="shared" si="216"/>
        <v>34.908267500000001</v>
      </c>
      <c r="R286" s="104">
        <f>('Renewable Diesel'!D295*'RD Feedstock Breakdown'!R$3*'Feedstock Conversion Rates'!B$7)/12</f>
        <v>2.2999999999999998</v>
      </c>
      <c r="S286" s="106">
        <f t="shared" si="249"/>
        <v>2.2999999999999998</v>
      </c>
      <c r="T286" s="104">
        <f t="shared" si="292"/>
        <v>0.82500000000000284</v>
      </c>
      <c r="U286" s="104">
        <v>30</v>
      </c>
      <c r="V286" s="104">
        <f>('Renewable Diesel'!E295*'RD Feedstock Breakdown'!V$3*'Feedstock Conversion Rates'!B$6)/12-20+25-35</f>
        <v>14.250150000000012</v>
      </c>
      <c r="W286" s="104">
        <f>('Renewable Diesel'!E295*'RD Feedstock Breakdown'!W$3*'Feedstock Conversion Rates'!B$8)/12-6+5</f>
        <v>21.1796875</v>
      </c>
      <c r="X286" s="106">
        <f t="shared" si="277"/>
        <v>66.254837500000008</v>
      </c>
      <c r="Y286" s="104">
        <f t="shared" si="289"/>
        <v>66</v>
      </c>
      <c r="Z286" s="104">
        <f>('Renewable Diesel'!F295*'RD Feedstock Breakdown'!Z$3*'Feedstock Conversion Rates'!B$6)/12-142+15+5+75-45+52.5-87.5+80-10-20-17+2+7+15+20</f>
        <v>109.46000000000001</v>
      </c>
      <c r="AA286" s="104">
        <f>('Renewable Diesel'!F295*'RD Feedstock Breakdown'!AA$3*'Feedstock Conversion Rates'!B$7)/12+24-30-55+15+30</f>
        <v>88.266666666666652</v>
      </c>
      <c r="AB286" s="106">
        <f t="shared" si="235"/>
        <v>263.72666666666669</v>
      </c>
      <c r="AC286" s="104">
        <f>('Renewable Diesel'!G295*'RD Feedstock Breakdown'!AC$3*'Feedstock Conversion Rates'!B$5)/12</f>
        <v>11.796875</v>
      </c>
      <c r="AD286" s="104">
        <f>('Renewable Diesel'!G295*'RD Feedstock Breakdown'!AD$3*'Feedstock Conversion Rates'!B$4)/12</f>
        <v>5.859375</v>
      </c>
      <c r="AE286" s="104">
        <f>('Renewable Diesel'!G295*'RD Feedstock Breakdown'!AE$3*'Feedstock Conversion Rates'!B$6)/12</f>
        <v>7.3281250000000009</v>
      </c>
      <c r="AF286" s="106">
        <f t="shared" si="284"/>
        <v>24.984375</v>
      </c>
      <c r="AG286" s="104">
        <f t="shared" si="230"/>
        <v>6.5</v>
      </c>
      <c r="AH286" s="104">
        <v>135</v>
      </c>
      <c r="AI286" s="104">
        <f>('Renewable Diesel'!H295*'RD Feedstock Breakdown'!AI$3*'Feedstock Conversion Rates'!B$6)/12-130-20+51-52.5+10</f>
        <v>7.0166666666666799</v>
      </c>
      <c r="AJ286" s="106">
        <f t="shared" si="248"/>
        <v>13.51666666666668</v>
      </c>
      <c r="AK286" s="104">
        <f>('Renewable Diesel'!J295*'RD Feedstock Breakdown'!AK$3*'Feedstock Conversion Rates'!B$4)/12</f>
        <v>95.8125</v>
      </c>
      <c r="AL286" s="106">
        <f t="shared" si="252"/>
        <v>95.8125</v>
      </c>
      <c r="AM286" s="104">
        <f>('Renewable Diesel'!K295*'RD Feedstock Breakdown'!AM$3*'Feedstock Conversion Rates'!B$4)/12+5+15-10-5+10-35-15</f>
        <v>23.59375</v>
      </c>
      <c r="AN286" s="104">
        <f>('Renewable Diesel'!K295*'RD Feedstock Breakdown'!AN$3*'Feedstock Conversion Rates'!B$6)/12-5-15+10+5-10+35+15</f>
        <v>59.427083333333329</v>
      </c>
      <c r="AO286" s="106">
        <f t="shared" si="270"/>
        <v>83.020833333333329</v>
      </c>
      <c r="AP286" s="104">
        <f>('Renewable Diesel'!L295*'RD Feedstock Breakdown'!AP$3*'Feedstock Conversion Rates'!B$4)/12+15-10-10+22</f>
        <v>75.59375</v>
      </c>
      <c r="AQ286" s="104">
        <f>('Renewable Diesel'!L295*'RD Feedstock Breakdown'!AQ$3*'Feedstock Conversion Rates'!B$6)/12-15+10+10-22</f>
        <v>7.4270833333333321</v>
      </c>
      <c r="AR286" s="106">
        <f t="shared" si="256"/>
        <v>83.020833333333329</v>
      </c>
      <c r="AS286" s="104">
        <f>('Renewable Diesel'!M295*'RD Feedstock Breakdown'!AS$3*'Feedstock Conversion Rates'!B$4)/12-25</f>
        <v>431.25</v>
      </c>
      <c r="AT286" s="104">
        <f>('Renewable Diesel'!M295*'RD Feedstock Breakdown'!AT$3*'Feedstock Conversion Rates'!B$5)/12+25</f>
        <v>25</v>
      </c>
      <c r="AU286" s="106">
        <f t="shared" si="290"/>
        <v>456.25</v>
      </c>
      <c r="AV286" s="104">
        <f>'Renewable Diesel'!N295*'RD Feedstock Breakdown'!$AV$3*'Feedstock Conversion Rates'!$B$4/12-15-10+25+25-22+25-77.5+56</f>
        <v>85.249999999999986</v>
      </c>
      <c r="AW286" s="104">
        <f>'Renewable Diesel'!N295*'RD Feedstock Breakdown'!$AW$3*'Feedstock Conversion Rates'!$B$7/12+15+10-25-25+22-25+77.5-56</f>
        <v>34.900000000000006</v>
      </c>
      <c r="AX286" s="106">
        <f t="shared" si="239"/>
        <v>120.14999999999999</v>
      </c>
      <c r="AY286" s="104">
        <f>('Renewable Diesel'!O295*'RD Feedstock Breakdown'!AY$3*'Feedstock Conversion Rates'!B$4)/12-95-250-3</f>
        <v>-137.0625</v>
      </c>
      <c r="AZ286" s="104">
        <f>('Renewable Diesel'!O295*'RD Feedstock Breakdown'!AZ$3*'Feedstock Conversion Rates'!B$3)/12+95+250+3</f>
        <v>373.03125</v>
      </c>
      <c r="BA286" s="106">
        <f t="shared" si="217"/>
        <v>235.96875</v>
      </c>
      <c r="BB286" s="104">
        <f>('Renewable Diesel'!Q295*'RD Feedstock Breakdown'!BB$3*'Feedstock Conversion Rates'!B$4)/12</f>
        <v>11.156249999999998</v>
      </c>
      <c r="BC286" s="104">
        <f>('Renewable Diesel'!Q295*'RD Feedstock Breakdown'!BC$3*'Feedstock Conversion Rates'!B$3)/12</f>
        <v>1.4017500000000001</v>
      </c>
      <c r="BD286" s="104">
        <f>('Renewable Diesel'!Q295*'RD Feedstock Breakdown'!BD$3*'Feedstock Conversion Rates'!B$6)/12</f>
        <v>0.8207500000000002</v>
      </c>
      <c r="BE286" s="106">
        <f t="shared" si="279"/>
        <v>13.378749999999998</v>
      </c>
      <c r="BF286" s="104">
        <f>('Renewable Diesel'!R295*'RD Feedstock Breakdown'!BF$3*'Feedstock Conversion Rates'!B$4)/12</f>
        <v>62.5</v>
      </c>
      <c r="BG286" s="106">
        <f t="shared" si="262"/>
        <v>62.5</v>
      </c>
      <c r="BH286" s="104">
        <f>('Renewable Diesel'!T295*'RD Feedstock Breakdown'!BH$3*'Feedstock Conversion Rates'!B$7)/12</f>
        <v>27.599999999999998</v>
      </c>
      <c r="BI286" s="106">
        <f t="shared" si="243"/>
        <v>27.599999999999998</v>
      </c>
      <c r="BJ286" s="104">
        <f>('Renewable Diesel'!W295*'RD Feedstock Breakdown'!BJ$3*'Feedstock Conversion Rates'!B$4)/12</f>
        <v>7.5</v>
      </c>
      <c r="BK286" s="104">
        <f>('Renewable Diesel'!W295*'RD Feedstock Breakdown'!BK$3*'Feedstock Conversion Rates'!B$3)/12</f>
        <v>1.335</v>
      </c>
      <c r="BL286" s="104">
        <f>('Renewable Diesel'!W295*'RD Feedstock Breakdown'!BL$3*'Feedstock Conversion Rates'!B$6)/12</f>
        <v>3.1266666666666669</v>
      </c>
      <c r="BM286" s="104">
        <f>('Renewable Diesel'!W295*'RD Feedstock Breakdown'!BM$3*'Feedstock Conversion Rates'!B$7)/12</f>
        <v>1.5333333333333332</v>
      </c>
      <c r="BN286" s="106">
        <f t="shared" si="296"/>
        <v>13.495000000000001</v>
      </c>
      <c r="BO286" s="104">
        <f>('Renewable Diesel'!P295*'Feedstock Conversion Rates'!B$4)/12</f>
        <v>31.25</v>
      </c>
      <c r="BP286" s="106">
        <f t="shared" si="285"/>
        <v>31.25</v>
      </c>
      <c r="BQ286" s="104">
        <f>('Renewable Diesel'!$S295*'RD Feedstock Breakdown'!BQ$3*'Feedstock Conversion Rates'!B$4)/12+10+15-15</f>
        <v>38.125</v>
      </c>
      <c r="BR286" s="104">
        <f>('Renewable Diesel'!$S295*'RD Feedstock Breakdown'!BR$3*'Feedstock Conversion Rates'!B$7)/12-10-15+15</f>
        <v>1.5</v>
      </c>
      <c r="BS286" s="106">
        <f t="shared" si="222"/>
        <v>39.625</v>
      </c>
      <c r="BT286" s="106"/>
      <c r="BU286" s="104">
        <f>('Renewable Diesel'!Y295*'Feedstock Conversion Rates'!B$7)/12</f>
        <v>2.6833333333333331</v>
      </c>
      <c r="BV286" s="106">
        <f t="shared" si="281"/>
        <v>2.6833333333333331</v>
      </c>
      <c r="BW286" s="104">
        <f>('Renewable Diesel'!$Z295*'RD Feedstock Breakdown'!BW$3*'Feedstock Conversion Rates'!$B$4)/12</f>
        <v>71.875</v>
      </c>
      <c r="BX286" s="104">
        <f>('Renewable Diesel'!$Z295*'RD Feedstock Breakdown'!BX$3*'Feedstock Conversion Rates'!$B$5)/12</f>
        <v>7.2354166666666666</v>
      </c>
      <c r="BY286" s="104">
        <f>('Renewable Diesel'!$Z295*'RD Feedstock Breakdown'!BY$3*'Feedstock Conversion Rates'!$B$7)/12</f>
        <v>61.716666666666661</v>
      </c>
      <c r="BZ286" s="104">
        <f>('Renewable Diesel'!$Z295*'RD Feedstock Breakdown'!BZ$3*'Feedstock Conversion Rates'!$B$3)/12</f>
        <v>15.352499999999999</v>
      </c>
      <c r="CA286" s="106">
        <f t="shared" si="228"/>
        <v>156.17958333333331</v>
      </c>
      <c r="CB286" s="104">
        <f>('Renewable Diesel'!AA295*'Feedstock Conversion Rates'!B$4)/12</f>
        <v>191.25</v>
      </c>
      <c r="CC286" s="106">
        <f t="shared" si="298"/>
        <v>191.25</v>
      </c>
      <c r="CD286" s="104">
        <f>('Renewable Diesel'!$AB295*'RD Feedstock Breakdown'!CD$3*'Feedstock Conversion Rates'!$B$6)/12-15-5</f>
        <v>12.830000000000005</v>
      </c>
      <c r="CE286" s="104">
        <f>('Renewable Diesel'!$AB295*'RD Feedstock Breakdown'!CE$3*'Feedstock Conversion Rates'!$B$4)/12+15+5</f>
        <v>31.25</v>
      </c>
      <c r="CF286" s="106">
        <f t="shared" si="294"/>
        <v>44.080000000000005</v>
      </c>
      <c r="CG286" s="104">
        <f>('Renewable Diesel'!AD295*'Feedstock Conversion Rates'!B$4)/12</f>
        <v>112.5</v>
      </c>
      <c r="CH286" s="106">
        <f t="shared" si="278"/>
        <v>112.5</v>
      </c>
      <c r="CI286" s="104">
        <f>('Renewable Diesel'!$AE295*'RD Feedstock Breakdown'!CI$3*'Feedstock Conversion Rates'!$B$5)/12</f>
        <v>0.34604166666666664</v>
      </c>
      <c r="CJ286" s="104">
        <f>('Renewable Diesel'!$AE295*'RD Feedstock Breakdown'!CJ$3*'Feedstock Conversion Rates'!$B$4)/12</f>
        <v>0.34375</v>
      </c>
      <c r="CK286" s="106">
        <f t="shared" si="286"/>
        <v>0.68979166666666658</v>
      </c>
      <c r="CL286" s="104">
        <f>(((CL$3*'Renewable Diesel'!$AF295)*'Feedstock Conversion Rates'!$B$3)/12)</f>
        <v>91.78125</v>
      </c>
      <c r="CM286" s="104">
        <f>(((CM$3*'Renewable Diesel'!$AF295)*'Feedstock Conversion Rates'!$B$6)/12)</f>
        <v>53.739583333333336</v>
      </c>
      <c r="CN286" s="104">
        <f>(((CN$3*'Renewable Diesel'!$AF295)*'Feedstock Conversion Rates'!$B$4)/12)</f>
        <v>42.96875</v>
      </c>
      <c r="CO286" s="106">
        <f t="shared" si="280"/>
        <v>188.48958333333334</v>
      </c>
      <c r="CP286" s="104">
        <f>('Renewable Diesel'!$AG295*'RD Feedstock Breakdown'!CP$3*'Feedstock Conversion Rates'!$B$3)/12+4-4</f>
        <v>6.0075000000000003</v>
      </c>
      <c r="CQ286" s="104">
        <f>('Renewable Diesel'!$AG295*'RD Feedstock Breakdown'!CQ$3*'Feedstock Conversion Rates'!$B$6)/12</f>
        <v>3.5175000000000001</v>
      </c>
      <c r="CR286" s="104">
        <f>('Renewable Diesel'!$AG295*'RD Feedstock Breakdown'!CR$3*'Feedstock Conversion Rates'!$B$4)/12-4+4</f>
        <v>2.8125</v>
      </c>
      <c r="CS286" s="106">
        <f t="shared" si="231"/>
        <v>12.3375</v>
      </c>
      <c r="CT286" s="104">
        <f>('Renewable Diesel'!AI295*'Feedstock Conversion Rates'!$B$4*'RD Feedstock Breakdown'!$CT$3)/12</f>
        <v>29.375</v>
      </c>
      <c r="CU286" s="106">
        <f t="shared" si="282"/>
        <v>29.375</v>
      </c>
      <c r="CV286" s="104">
        <f>('Renewable Diesel'!AN295*'Feedstock Conversion Rates'!$B$3*'RD Feedstock Breakdown'!$CV$3)/12</f>
        <v>0.50062499999999999</v>
      </c>
      <c r="CW286" s="106">
        <f t="shared" si="255"/>
        <v>0.50062499999999999</v>
      </c>
      <c r="CX286" s="104">
        <f>('Renewable Diesel'!AO295*'RD Feedstock Breakdown'!$CX$3*'Feedstock Conversion Rates'!$B$3)/12</f>
        <v>6.3412499999999996</v>
      </c>
      <c r="CY286" s="104">
        <f>('Renewable Diesel'!AO295*'RD Feedstock Breakdown'!$CY$3*'Feedstock Conversion Rates'!$B$6)/12</f>
        <v>7.4258333333333342</v>
      </c>
      <c r="CZ286" s="106">
        <f t="shared" si="233"/>
        <v>13.767083333333334</v>
      </c>
      <c r="DA286" s="104">
        <f>('Renewable Diesel'!$AP295*'RD Feedstock Breakdown'!DA$3*'Feedstock Conversion Rates'!$B$3)/12</f>
        <v>6.3412499999999996</v>
      </c>
      <c r="DB286" s="104">
        <f>('Renewable Diesel'!$AP295*'RD Feedstock Breakdown'!DB$3*'Feedstock Conversion Rates'!$B$8)/12</f>
        <v>7.421875</v>
      </c>
      <c r="DC286" s="106">
        <f t="shared" si="260"/>
        <v>13.763124999999999</v>
      </c>
      <c r="DD286" s="104">
        <f>('Renewable Diesel'!AQ295*$DD$3*'Feedstock Conversion Rates'!$B$14)/12</f>
        <v>3.1041666666666665</v>
      </c>
      <c r="DE286" s="106">
        <f t="shared" si="261"/>
        <v>3.1041666666666665</v>
      </c>
      <c r="DF286" s="104">
        <f>('Renewable Diesel'!AR295*'Feedstock Conversion Rates'!$B$4*$DF$3)/12</f>
        <v>75</v>
      </c>
      <c r="DG286" s="106">
        <f t="shared" si="234"/>
        <v>75</v>
      </c>
      <c r="DH286" s="104">
        <f>('Renewable Diesel'!AS295*'Feedstock Conversion Rates'!$B$4*$DH$3)/12</f>
        <v>75</v>
      </c>
      <c r="DI286" s="106">
        <f t="shared" si="240"/>
        <v>75</v>
      </c>
      <c r="DJ286" s="104">
        <f>('Renewable Diesel'!AT295*'Feedstock Conversion Rates'!$B$4*0.25)/12</f>
        <v>8.59375</v>
      </c>
      <c r="DK286" s="104">
        <f>('Renewable Diesel'!$AT295*'RD Feedstock Breakdown'!DK$3*'Feedstock Conversion Rates'!$B$3)/12*0.5</f>
        <v>9.1781249999999996</v>
      </c>
      <c r="DL286" s="104">
        <f>('Renewable Diesel'!$AT295*'RD Feedstock Breakdown'!$DL$3*'Feedstock Conversion Rates'!$B$6)/12</f>
        <v>10.747916666666669</v>
      </c>
      <c r="DM286" s="104">
        <f>('Renewable Diesel'!$AT295*'RD Feedstock Breakdown'!$DM$3*'Feedstock Conversion Rates'!$B$8)/12</f>
        <v>10.7421875</v>
      </c>
      <c r="DN286" s="106">
        <f t="shared" si="297"/>
        <v>39.26197916666667</v>
      </c>
      <c r="DP286" s="104">
        <f t="shared" si="265"/>
        <v>12.720250000000007</v>
      </c>
      <c r="DQ286" s="104">
        <f t="shared" si="266"/>
        <v>682.11776750000001</v>
      </c>
      <c r="DR286" s="104">
        <f t="shared" si="271"/>
        <v>1894.953125</v>
      </c>
      <c r="DS286" s="104">
        <f t="shared" si="283"/>
        <v>67.401250000000005</v>
      </c>
      <c r="DT286" s="104">
        <f t="shared" si="267"/>
        <v>304.53923333333341</v>
      </c>
      <c r="DU286" s="104">
        <f t="shared" si="268"/>
        <v>252.15610000000001</v>
      </c>
      <c r="DV286" s="104">
        <f t="shared" si="272"/>
        <v>39.75</v>
      </c>
      <c r="DW286" s="104">
        <f t="shared" si="269"/>
        <v>3</v>
      </c>
      <c r="DX286" s="106">
        <f t="shared" si="273"/>
        <v>3256.6377258333337</v>
      </c>
      <c r="DY286" s="109">
        <f t="shared" si="257"/>
        <v>-135.00000000000048</v>
      </c>
      <c r="EA286" s="110">
        <f t="shared" si="250"/>
        <v>3.9059456626373912E-3</v>
      </c>
      <c r="EB286" s="110">
        <f t="shared" si="250"/>
        <v>0.20945460469523194</v>
      </c>
      <c r="EC286" s="110">
        <f t="shared" si="250"/>
        <v>0.58187409362983555</v>
      </c>
      <c r="ED286" s="110">
        <f t="shared" si="250"/>
        <v>2.0696575939453888E-2</v>
      </c>
      <c r="EE286" s="110">
        <f t="shared" si="250"/>
        <v>9.3513389873724914E-2</v>
      </c>
      <c r="EF286" s="110">
        <f t="shared" si="250"/>
        <v>7.742835440361312E-2</v>
      </c>
      <c r="EG286" s="110">
        <f t="shared" si="250"/>
        <v>1.2205840301081836E-2</v>
      </c>
      <c r="EH286" s="111">
        <f t="shared" si="274"/>
        <v>9.2119549442127061E-4</v>
      </c>
      <c r="EI286" s="110">
        <f t="shared" si="236"/>
        <v>0.99907880450557873</v>
      </c>
      <c r="EK286" s="132">
        <f>(EA286*'Renewable Diesel'!BF295*'Feedstock Conversion Rates'!B$2)+FB286</f>
        <v>41.063227779822647</v>
      </c>
      <c r="EL286" s="132">
        <f>(EB286*'Renewable Diesel'!BF295*'Feedstock Conversion Rates'!B$3)+FC286</f>
        <v>2075.0587139193567</v>
      </c>
      <c r="EM286" s="132">
        <f>(EC286*'Renewable Diesel'!BF295*'Feedstock Conversion Rates'!B$4)+FD286</f>
        <v>5397.5695402741367</v>
      </c>
      <c r="EN286" s="132">
        <f>(ED286*'Renewable Diesel'!BF295*'Feedstock Conversion Rates'!B$5)+FE286</f>
        <v>193.26509032753944</v>
      </c>
      <c r="EO286" s="132">
        <f>(EE286*'Renewable Diesel'!BF295*'Feedstock Conversion Rates'!B$6)+FF286</f>
        <v>1084.88723691577</v>
      </c>
      <c r="EP286" s="132">
        <f>(EF286*'Renewable Diesel'!BF295*'Feedstock Conversion Rates'!B$7)+FG286</f>
        <v>881.04038842577256</v>
      </c>
      <c r="EQ286" s="132">
        <f>(EG286*'Renewable Diesel'!BF295*'Feedstock Conversion Rates'!B$8)+FH286</f>
        <v>141.5294832331914</v>
      </c>
      <c r="ER286" s="132">
        <f>(EH286*'Renewable Diesel'!BF295*'Feedstock Conversion Rates'!B$9)+FI286</f>
        <v>10.539050826924441</v>
      </c>
      <c r="ES286" s="132">
        <f t="shared" si="275"/>
        <v>9824.9527317025131</v>
      </c>
      <c r="ET286" s="133">
        <f>ES286/'Renewable Diesel'!BF295</f>
        <v>13.225879847182931</v>
      </c>
      <c r="EW286" s="73">
        <f t="shared" si="223"/>
        <v>7823.716500980011</v>
      </c>
      <c r="EX286" s="73">
        <f t="shared" si="224"/>
        <v>5925.1510451339818</v>
      </c>
      <c r="EY286" s="92">
        <f t="shared" si="258"/>
        <v>0.79631085407006141</v>
      </c>
      <c r="EZ286" s="92">
        <f t="shared" si="258"/>
        <v>0.60307171005668991</v>
      </c>
      <c r="FB286" s="102">
        <f>IF('Renewable Diesel'!$BG295&lt;1,0,(((('Renewable Diesel'!$BG295-1)*'Renewable Diesel'!$BF295)*'RD Feedstock Breakdown'!EA286)*'Feedstock Conversion Rates'!$B$2))</f>
        <v>16.399937202026408</v>
      </c>
      <c r="FC286" s="102">
        <f>IF('Renewable Diesel'!$BG295&lt;1,0,(((('Renewable Diesel'!$BG295-1)*'Renewable Diesel'!$BF295)*'RD Feedstock Breakdown'!EB286)*'Feedstock Conversion Rates'!$B$3))</f>
        <v>828.7422698786711</v>
      </c>
      <c r="FD286" s="102">
        <f>IF('Renewable Diesel'!$BG295&lt;1,0,(((('Renewable Diesel'!$BG295-1)*'Renewable Diesel'!$BF295)*'RD Feedstock Breakdown'!EC286)*'Feedstock Conversion Rates'!$B$4))</f>
        <v>2155.695163047134</v>
      </c>
      <c r="FE286" s="102">
        <f>IF('Renewable Diesel'!$BG295&lt;1,0,(((('Renewable Diesel'!$BG295-1)*'Renewable Diesel'!$BF295)*'RD Feedstock Breakdown'!ED286)*'Feedstock Conversion Rates'!$B$5))</f>
        <v>77.186707331200878</v>
      </c>
      <c r="FF286" s="102">
        <f>IF('Renewable Diesel'!$BG295&lt;1,0,(((('Renewable Diesel'!$BG295-1)*'Renewable Diesel'!$BF295)*'RD Feedstock Breakdown'!EE286)*'Feedstock Conversion Rates'!$B$6))</f>
        <v>433.28504646780635</v>
      </c>
      <c r="FG286" s="102">
        <f>IF('Renewable Diesel'!$BG295&lt;1,0,(((('Renewable Diesel'!$BG295-1)*'Renewable Diesel'!$BF295)*'RD Feedstock Breakdown'!EF286)*'Feedstock Conversion Rates'!$B$7))</f>
        <v>351.87216942871385</v>
      </c>
      <c r="FH286" s="102">
        <f>IF('Renewable Diesel'!$BG295&lt;1,0,(((('Renewable Diesel'!$BG295-1)*'Renewable Diesel'!$BF295)*'RD Feedstock Breakdown'!EG286)*'Feedstock Conversion Rates'!$B$8))</f>
        <v>56.524407913206019</v>
      </c>
      <c r="FI286" s="102">
        <f>IF('Renewable Diesel'!$BG295&lt;1,0,(((('Renewable Diesel'!$BG295-1)*'Renewable Diesel'!$BF295)*'RD Feedstock Breakdown'!EH286)*'Feedstock Conversion Rates'!$B$9))</f>
        <v>4.2091131427192403</v>
      </c>
      <c r="FJ286" s="102">
        <f t="shared" si="225"/>
        <v>3923.9148144114779</v>
      </c>
      <c r="GD286" s="91">
        <f>'Renewable Diesel'!BB295*0.32</f>
        <v>0</v>
      </c>
      <c r="GE286" s="91">
        <f>'Renewable Diesel'!BC295</f>
        <v>442.4119633709019</v>
      </c>
      <c r="GF286" s="91">
        <f>'Renewable Diesel'!BD295</f>
        <v>0</v>
      </c>
      <c r="GG286" s="91">
        <f t="shared" si="295"/>
        <v>442.4119633709019</v>
      </c>
      <c r="GH286" s="124">
        <v>1</v>
      </c>
      <c r="GI286" s="102">
        <f>$GG286*EA286*'Feedstock Conversion Rates'!$B$2</f>
        <v>14.688315260133466</v>
      </c>
      <c r="GJ286" s="102">
        <f>$GG286*EB286*'Feedstock Conversion Rates'!$B$3</f>
        <v>742.2484354313525</v>
      </c>
      <c r="GK286" s="102">
        <f>$GG286*EC286*'Feedstock Conversion Rates'!$B$4</f>
        <v>1930.7104514807966</v>
      </c>
      <c r="GL286" s="102">
        <f>$GG286*ED286*'Feedstock Conversion Rates'!$B$5</f>
        <v>69.130916613037158</v>
      </c>
      <c r="GM286" s="102">
        <f>$GG286*EE286*'Feedstock Conversion Rates'!$B$6</f>
        <v>388.06412985742054</v>
      </c>
      <c r="GN286" s="102">
        <f>$GG286*EF286*'Feedstock Conversion Rates'!$B$7</f>
        <v>315.14811868898056</v>
      </c>
      <c r="GO286" s="102">
        <f>$GG286*EG286*'Feedstock Conversion Rates'!$B$8</f>
        <v>50.62509161431214</v>
      </c>
      <c r="GP286" s="102">
        <f>$GG286*EH286*'Feedstock Conversion Rates'!B$9</f>
        <v>3.7698181428519231</v>
      </c>
      <c r="GQ286" s="102">
        <f t="shared" si="276"/>
        <v>3514.3852770888848</v>
      </c>
      <c r="GR286" s="85">
        <f t="shared" si="293"/>
        <v>7.9436940409826882</v>
      </c>
      <c r="GT286" s="103">
        <f t="shared" si="254"/>
        <v>4.1794834948490405E-3</v>
      </c>
      <c r="GU286" s="103">
        <f t="shared" si="254"/>
        <v>0.21120292082665126</v>
      </c>
      <c r="GV286" s="103">
        <f t="shared" si="254"/>
        <v>0.54937358862375119</v>
      </c>
      <c r="GW286" s="103">
        <f t="shared" si="254"/>
        <v>1.9670841743993774E-2</v>
      </c>
      <c r="GX286" s="103">
        <f t="shared" si="253"/>
        <v>0.11042162405678829</v>
      </c>
      <c r="GY286" s="103">
        <f t="shared" si="253"/>
        <v>8.9673753399636139E-2</v>
      </c>
      <c r="GZ286" s="103">
        <f t="shared" si="253"/>
        <v>1.4405105764683566E-2</v>
      </c>
      <c r="HA286" s="103">
        <f t="shared" si="251"/>
        <v>1.0726820896468769E-3</v>
      </c>
    </row>
    <row r="287" spans="1:209" x14ac:dyDescent="0.25">
      <c r="A287" s="96">
        <v>49157</v>
      </c>
      <c r="B287" s="104">
        <f>115.75+145+100+235+31.5-21-287-20-28-32-70-39-47+40+20-3-10+65-105+5-15-75-1+20+33+40+14-5-40+26+55-55.5-91+70-70+200+100</f>
        <v>300.75</v>
      </c>
      <c r="C287" s="104">
        <f t="shared" si="287"/>
        <v>4</v>
      </c>
      <c r="D287" s="104">
        <f t="shared" si="288"/>
        <v>2</v>
      </c>
      <c r="E287" s="104">
        <f>('Renewable Diesel'!B296*E$3*'Feedstock Conversion Rates'!$B$2)/12+26+13-100+27.5+39+105-40-14-26+55.5-51+29-10-139</f>
        <v>4.9300000000000068</v>
      </c>
      <c r="F287" s="104">
        <f>('Renewable Diesel'!B296*'RD Feedstock Breakdown'!F$3*'Feedstock Conversion Rates'!B$8)/12+77+23-10-12-115.75+24+8-33+5-16</f>
        <v>4.15625</v>
      </c>
      <c r="G287" s="104">
        <f>('Renewable Diesel'!B296*'RD Feedstock Breakdown'!G$3*'Feedstock Conversion Rates'!B$7)/12-25-15-25+4+4-20-40-20+10-17.5+20+50-12+32.5+35-75-75+22.5+5-20+15+125-10-60+5-85+45+20+20-70</f>
        <v>19.657000000000011</v>
      </c>
      <c r="H287" s="104">
        <f>('Renewable Diesel'!B296*'RD Feedstock Breakdown'!H$3*'Feedstock Conversion Rates'!B$3)/12-85+4-15+70-65-80+50-22.5-5+25+27.5+15+50+15-10+5+50+75-5-25-85-12.5+30+22.5-25-30+150+90-120+25+10+20+85-30-45-20-20+95+70-200-100</f>
        <v>160.40022499999998</v>
      </c>
      <c r="I287" s="106">
        <f t="shared" si="291"/>
        <v>495.89347499999997</v>
      </c>
      <c r="J287" s="104">
        <f>54-15-35+7+35+20+34-7.5+35+37.5-145-20+15+40-32-5-18+20</f>
        <v>20</v>
      </c>
      <c r="K287" s="104"/>
      <c r="L287" s="104">
        <v>1</v>
      </c>
      <c r="M287" s="104">
        <f>('Renewable Diesel'!C296*'RD Feedstock Breakdown'!M$3*'Feedstock Conversion Rates'!B$2)/12</f>
        <v>7.7902500000000003</v>
      </c>
      <c r="N287" s="104">
        <f>('Renewable Diesel'!C296*'RD Feedstock Breakdown'!N$3*'Feedstock Conversion Rates'!B$8)/12</f>
        <v>3.671875</v>
      </c>
      <c r="O287" s="104">
        <f>('Renewable Diesel'!C296*'RD Feedstock Breakdown'!O$3*'Feedstock Conversion Rates'!B$7)/12</f>
        <v>11.9991</v>
      </c>
      <c r="P287" s="104">
        <f>('Renewable Diesel'!C296*'RD Feedstock Breakdown'!P$3*'Feedstock Conversion Rates'!B$3)/12</f>
        <v>10.4470425</v>
      </c>
      <c r="Q287" s="106">
        <f t="shared" si="216"/>
        <v>54.908267500000001</v>
      </c>
      <c r="R287" s="104">
        <f>('Renewable Diesel'!D296*'RD Feedstock Breakdown'!R$3*'Feedstock Conversion Rates'!B$7)/12</f>
        <v>2.2999999999999998</v>
      </c>
      <c r="S287" s="106">
        <f t="shared" si="249"/>
        <v>2.2999999999999998</v>
      </c>
      <c r="T287" s="104">
        <f t="shared" si="292"/>
        <v>0.82500000000000284</v>
      </c>
      <c r="U287" s="104">
        <v>30</v>
      </c>
      <c r="V287" s="104">
        <f>('Renewable Diesel'!E296*'RD Feedstock Breakdown'!V$3*'Feedstock Conversion Rates'!B$6)/12-20+25-35</f>
        <v>14.250150000000012</v>
      </c>
      <c r="W287" s="104">
        <f>('Renewable Diesel'!E296*'RD Feedstock Breakdown'!W$3*'Feedstock Conversion Rates'!B$8)/12-6+5</f>
        <v>21.1796875</v>
      </c>
      <c r="X287" s="106">
        <f t="shared" si="277"/>
        <v>66.254837500000008</v>
      </c>
      <c r="Y287" s="104">
        <f t="shared" si="289"/>
        <v>66</v>
      </c>
      <c r="Z287" s="104">
        <f>('Renewable Diesel'!F296*'RD Feedstock Breakdown'!Z$3*'Feedstock Conversion Rates'!B$6)/12-142+15+5+75-45+52.5-87.5+80-10-20-17+2+7+15+20</f>
        <v>109.46000000000001</v>
      </c>
      <c r="AA287" s="104">
        <f>('Renewable Diesel'!F296*'RD Feedstock Breakdown'!AA$3*'Feedstock Conversion Rates'!B$7)/12+24-30-55+15+30</f>
        <v>88.266666666666652</v>
      </c>
      <c r="AB287" s="106">
        <f t="shared" si="235"/>
        <v>263.72666666666669</v>
      </c>
      <c r="AC287" s="104">
        <f>('Renewable Diesel'!G296*'RD Feedstock Breakdown'!AC$3*'Feedstock Conversion Rates'!B$5)/12</f>
        <v>11.796875</v>
      </c>
      <c r="AD287" s="104">
        <f>('Renewable Diesel'!G296*'RD Feedstock Breakdown'!AD$3*'Feedstock Conversion Rates'!B$4)/12</f>
        <v>5.859375</v>
      </c>
      <c r="AE287" s="104">
        <f>('Renewable Diesel'!G296*'RD Feedstock Breakdown'!AE$3*'Feedstock Conversion Rates'!B$6)/12</f>
        <v>7.3281250000000009</v>
      </c>
      <c r="AF287" s="106">
        <f t="shared" si="284"/>
        <v>24.984375</v>
      </c>
      <c r="AG287" s="104">
        <f t="shared" si="230"/>
        <v>6.5</v>
      </c>
      <c r="AH287" s="104">
        <v>135</v>
      </c>
      <c r="AI287" s="104">
        <f>('Renewable Diesel'!H296*'RD Feedstock Breakdown'!AI$3*'Feedstock Conversion Rates'!B$6)/12-130-20+51-52.5+10</f>
        <v>7.0166666666666799</v>
      </c>
      <c r="AJ287" s="106">
        <f t="shared" si="248"/>
        <v>13.51666666666668</v>
      </c>
      <c r="AK287" s="104">
        <f>('Renewable Diesel'!J296*'RD Feedstock Breakdown'!AK$3*'Feedstock Conversion Rates'!B$4)/12</f>
        <v>95.8125</v>
      </c>
      <c r="AL287" s="106">
        <f t="shared" si="252"/>
        <v>95.8125</v>
      </c>
      <c r="AM287" s="104">
        <f>('Renewable Diesel'!K296*'RD Feedstock Breakdown'!AM$3*'Feedstock Conversion Rates'!B$4)/12+5+15-10-5+10-35-15</f>
        <v>23.59375</v>
      </c>
      <c r="AN287" s="104">
        <f>('Renewable Diesel'!K296*'RD Feedstock Breakdown'!AN$3*'Feedstock Conversion Rates'!B$6)/12-5-15+10+5-10+35+15</f>
        <v>59.427083333333329</v>
      </c>
      <c r="AO287" s="106">
        <f t="shared" si="270"/>
        <v>83.020833333333329</v>
      </c>
      <c r="AP287" s="104">
        <f>('Renewable Diesel'!L296*'RD Feedstock Breakdown'!AP$3*'Feedstock Conversion Rates'!B$4)/12+15-10-10+22</f>
        <v>75.59375</v>
      </c>
      <c r="AQ287" s="104">
        <f>('Renewable Diesel'!L296*'RD Feedstock Breakdown'!AQ$3*'Feedstock Conversion Rates'!B$6)/12-15+10+10-22</f>
        <v>7.4270833333333321</v>
      </c>
      <c r="AR287" s="106">
        <f t="shared" si="256"/>
        <v>83.020833333333329</v>
      </c>
      <c r="AS287" s="104">
        <f>('Renewable Diesel'!M296*'RD Feedstock Breakdown'!AS$3*'Feedstock Conversion Rates'!B$4)/12-25</f>
        <v>431.25</v>
      </c>
      <c r="AT287" s="104">
        <f>('Renewable Diesel'!M296*'RD Feedstock Breakdown'!AT$3*'Feedstock Conversion Rates'!B$5)/12+25</f>
        <v>25</v>
      </c>
      <c r="AU287" s="106">
        <f t="shared" si="290"/>
        <v>456.25</v>
      </c>
      <c r="AV287" s="104">
        <f>'Renewable Diesel'!N296*'RD Feedstock Breakdown'!$AV$3*'Feedstock Conversion Rates'!$B$4/12-15-10+25+25-22+25-77.5+56</f>
        <v>85.249999999999986</v>
      </c>
      <c r="AW287" s="104">
        <f>'Renewable Diesel'!N296*'RD Feedstock Breakdown'!$AW$3*'Feedstock Conversion Rates'!$B$7/12+15+10-25-25+22-25+77.5-56</f>
        <v>34.900000000000006</v>
      </c>
      <c r="AX287" s="106">
        <f t="shared" si="239"/>
        <v>120.14999999999999</v>
      </c>
      <c r="AY287" s="104">
        <f>('Renewable Diesel'!O296*'RD Feedstock Breakdown'!AY$3*'Feedstock Conversion Rates'!B$4)/12-95-250-3</f>
        <v>-137.0625</v>
      </c>
      <c r="AZ287" s="104">
        <f>('Renewable Diesel'!O296*'RD Feedstock Breakdown'!AZ$3*'Feedstock Conversion Rates'!B$3)/12+95+250+3</f>
        <v>373.03125</v>
      </c>
      <c r="BA287" s="106">
        <f t="shared" si="217"/>
        <v>235.96875</v>
      </c>
      <c r="BB287" s="104">
        <f>('Renewable Diesel'!Q296*'RD Feedstock Breakdown'!BB$3*'Feedstock Conversion Rates'!B$4)/12</f>
        <v>11.156249999999998</v>
      </c>
      <c r="BC287" s="104">
        <f>('Renewable Diesel'!Q296*'RD Feedstock Breakdown'!BC$3*'Feedstock Conversion Rates'!B$3)/12</f>
        <v>1.4017500000000001</v>
      </c>
      <c r="BD287" s="104">
        <f>('Renewable Diesel'!Q296*'RD Feedstock Breakdown'!BD$3*'Feedstock Conversion Rates'!B$6)/12</f>
        <v>0.8207500000000002</v>
      </c>
      <c r="BE287" s="106">
        <f t="shared" si="279"/>
        <v>13.378749999999998</v>
      </c>
      <c r="BF287" s="104">
        <f>('Renewable Diesel'!R296*'RD Feedstock Breakdown'!BF$3*'Feedstock Conversion Rates'!B$4)/12</f>
        <v>62.5</v>
      </c>
      <c r="BG287" s="106">
        <f t="shared" si="262"/>
        <v>62.5</v>
      </c>
      <c r="BH287" s="104">
        <f>('Renewable Diesel'!T296*'RD Feedstock Breakdown'!BH$3*'Feedstock Conversion Rates'!B$7)/12</f>
        <v>27.599999999999998</v>
      </c>
      <c r="BI287" s="106">
        <f t="shared" si="243"/>
        <v>27.599999999999998</v>
      </c>
      <c r="BJ287" s="104">
        <f>('Renewable Diesel'!W296*'RD Feedstock Breakdown'!BJ$3*'Feedstock Conversion Rates'!B$4)/12</f>
        <v>7.5</v>
      </c>
      <c r="BK287" s="104">
        <f>('Renewable Diesel'!W296*'RD Feedstock Breakdown'!BK$3*'Feedstock Conversion Rates'!B$3)/12</f>
        <v>1.335</v>
      </c>
      <c r="BL287" s="104">
        <f>('Renewable Diesel'!W296*'RD Feedstock Breakdown'!BL$3*'Feedstock Conversion Rates'!B$6)/12</f>
        <v>3.1266666666666669</v>
      </c>
      <c r="BM287" s="104">
        <f>('Renewable Diesel'!W296*'RD Feedstock Breakdown'!BM$3*'Feedstock Conversion Rates'!B$7)/12</f>
        <v>1.5333333333333332</v>
      </c>
      <c r="BN287" s="106">
        <f t="shared" si="296"/>
        <v>13.495000000000001</v>
      </c>
      <c r="BO287" s="104">
        <f>('Renewable Diesel'!P296*'Feedstock Conversion Rates'!B$4)/12</f>
        <v>31.25</v>
      </c>
      <c r="BP287" s="106">
        <f t="shared" si="285"/>
        <v>31.25</v>
      </c>
      <c r="BQ287" s="104">
        <f>('Renewable Diesel'!$S296*'RD Feedstock Breakdown'!BQ$3*'Feedstock Conversion Rates'!B$4)/12+10+15-15</f>
        <v>38.125</v>
      </c>
      <c r="BR287" s="104">
        <f>('Renewable Diesel'!$S296*'RD Feedstock Breakdown'!BR$3*'Feedstock Conversion Rates'!B$7)/12-10-15+15</f>
        <v>1.5</v>
      </c>
      <c r="BS287" s="106">
        <f t="shared" si="222"/>
        <v>39.625</v>
      </c>
      <c r="BT287" s="106"/>
      <c r="BU287" s="104">
        <f>('Renewable Diesel'!Y296*'Feedstock Conversion Rates'!B$7)/12</f>
        <v>2.6833333333333331</v>
      </c>
      <c r="BV287" s="106">
        <f t="shared" si="281"/>
        <v>2.6833333333333331</v>
      </c>
      <c r="BW287" s="104">
        <f>('Renewable Diesel'!$Z296*'RD Feedstock Breakdown'!BW$3*'Feedstock Conversion Rates'!$B$4)/12</f>
        <v>71.875</v>
      </c>
      <c r="BX287" s="104">
        <f>('Renewable Diesel'!$Z296*'RD Feedstock Breakdown'!BX$3*'Feedstock Conversion Rates'!$B$5)/12</f>
        <v>7.2354166666666666</v>
      </c>
      <c r="BY287" s="104">
        <f>('Renewable Diesel'!$Z296*'RD Feedstock Breakdown'!BY$3*'Feedstock Conversion Rates'!$B$7)/12</f>
        <v>61.716666666666661</v>
      </c>
      <c r="BZ287" s="104">
        <f>('Renewable Diesel'!$Z296*'RD Feedstock Breakdown'!BZ$3*'Feedstock Conversion Rates'!$B$3)/12</f>
        <v>15.352499999999999</v>
      </c>
      <c r="CA287" s="106">
        <f t="shared" si="228"/>
        <v>156.17958333333331</v>
      </c>
      <c r="CB287" s="104">
        <f>('Renewable Diesel'!AA296*'Feedstock Conversion Rates'!B$4)/12</f>
        <v>191.25</v>
      </c>
      <c r="CC287" s="106">
        <f t="shared" si="298"/>
        <v>191.25</v>
      </c>
      <c r="CD287" s="104">
        <f>('Renewable Diesel'!$AB296*'RD Feedstock Breakdown'!CD$3*'Feedstock Conversion Rates'!$B$6)/12-15-5</f>
        <v>12.830000000000005</v>
      </c>
      <c r="CE287" s="104">
        <f>('Renewable Diesel'!$AB296*'RD Feedstock Breakdown'!CE$3*'Feedstock Conversion Rates'!$B$4)/12+15+5</f>
        <v>31.25</v>
      </c>
      <c r="CF287" s="106">
        <f t="shared" si="294"/>
        <v>44.080000000000005</v>
      </c>
      <c r="CG287" s="104">
        <f>('Renewable Diesel'!AD296*'Feedstock Conversion Rates'!B$4)/12</f>
        <v>112.5</v>
      </c>
      <c r="CH287" s="106">
        <f t="shared" si="278"/>
        <v>112.5</v>
      </c>
      <c r="CI287" s="104">
        <f>('Renewable Diesel'!$AE296*'RD Feedstock Breakdown'!CI$3*'Feedstock Conversion Rates'!$B$5)/12</f>
        <v>0.34604166666666664</v>
      </c>
      <c r="CJ287" s="104">
        <f>('Renewable Diesel'!$AE296*'RD Feedstock Breakdown'!CJ$3*'Feedstock Conversion Rates'!$B$4)/12</f>
        <v>0.34375</v>
      </c>
      <c r="CK287" s="106">
        <f t="shared" si="286"/>
        <v>0.68979166666666658</v>
      </c>
      <c r="CL287" s="104">
        <f>(((CL$3*'Renewable Diesel'!$AF296)*'Feedstock Conversion Rates'!$B$3)/12)</f>
        <v>91.78125</v>
      </c>
      <c r="CM287" s="104">
        <f>(((CM$3*'Renewable Diesel'!$AF296)*'Feedstock Conversion Rates'!$B$6)/12)</f>
        <v>53.739583333333336</v>
      </c>
      <c r="CN287" s="104">
        <f>(((CN$3*'Renewable Diesel'!$AF296)*'Feedstock Conversion Rates'!$B$4)/12)</f>
        <v>42.96875</v>
      </c>
      <c r="CO287" s="106">
        <f t="shared" si="280"/>
        <v>188.48958333333334</v>
      </c>
      <c r="CP287" s="104">
        <f>('Renewable Diesel'!$AG296*'RD Feedstock Breakdown'!CP$3*'Feedstock Conversion Rates'!$B$3)/12+4-4</f>
        <v>6.0075000000000003</v>
      </c>
      <c r="CQ287" s="104">
        <f>('Renewable Diesel'!$AG296*'RD Feedstock Breakdown'!CQ$3*'Feedstock Conversion Rates'!$B$6)/12</f>
        <v>3.5175000000000001</v>
      </c>
      <c r="CR287" s="104">
        <f>('Renewable Diesel'!$AG296*'RD Feedstock Breakdown'!CR$3*'Feedstock Conversion Rates'!$B$4)/12-4+4</f>
        <v>2.8125</v>
      </c>
      <c r="CS287" s="106">
        <f t="shared" si="231"/>
        <v>12.3375</v>
      </c>
      <c r="CT287" s="104">
        <f>('Renewable Diesel'!AI296*'Feedstock Conversion Rates'!$B$4*'RD Feedstock Breakdown'!$CT$3)/12</f>
        <v>29.375</v>
      </c>
      <c r="CU287" s="106">
        <f t="shared" si="282"/>
        <v>29.375</v>
      </c>
      <c r="CV287" s="104">
        <f>('Renewable Diesel'!AN296*'Feedstock Conversion Rates'!$B$3*'RD Feedstock Breakdown'!$CV$3)/12</f>
        <v>0.50062499999999999</v>
      </c>
      <c r="CW287" s="106">
        <f t="shared" si="255"/>
        <v>0.50062499999999999</v>
      </c>
      <c r="CX287" s="104">
        <f>('Renewable Diesel'!AO296*'RD Feedstock Breakdown'!$CX$3*'Feedstock Conversion Rates'!$B$3)/12</f>
        <v>6.3412499999999996</v>
      </c>
      <c r="CY287" s="104">
        <f>('Renewable Diesel'!AO296*'RD Feedstock Breakdown'!$CY$3*'Feedstock Conversion Rates'!$B$6)/12</f>
        <v>7.4258333333333342</v>
      </c>
      <c r="CZ287" s="106">
        <f t="shared" si="233"/>
        <v>13.767083333333334</v>
      </c>
      <c r="DA287" s="104">
        <f>('Renewable Diesel'!$AP296*'RD Feedstock Breakdown'!DA$3*'Feedstock Conversion Rates'!$B$3)/12</f>
        <v>6.3412499999999996</v>
      </c>
      <c r="DB287" s="104">
        <f>('Renewable Diesel'!$AP296*'RD Feedstock Breakdown'!DB$3*'Feedstock Conversion Rates'!$B$8)/12</f>
        <v>7.421875</v>
      </c>
      <c r="DC287" s="106">
        <f t="shared" si="260"/>
        <v>13.763124999999999</v>
      </c>
      <c r="DD287" s="104">
        <f>('Renewable Diesel'!AQ296*$DD$3*'Feedstock Conversion Rates'!$B$14)/12</f>
        <v>3.1041666666666665</v>
      </c>
      <c r="DE287" s="106">
        <f t="shared" si="261"/>
        <v>3.1041666666666665</v>
      </c>
      <c r="DF287" s="104">
        <f>('Renewable Diesel'!AR296*'Feedstock Conversion Rates'!$B$4*$DF$3)/12</f>
        <v>75</v>
      </c>
      <c r="DG287" s="106">
        <f t="shared" si="234"/>
        <v>75</v>
      </c>
      <c r="DH287" s="104">
        <f>('Renewable Diesel'!AS296*'Feedstock Conversion Rates'!$B$4*$DH$3)/12</f>
        <v>75</v>
      </c>
      <c r="DI287" s="106">
        <f t="shared" si="240"/>
        <v>75</v>
      </c>
      <c r="DJ287" s="104">
        <f>('Renewable Diesel'!AT296*'Feedstock Conversion Rates'!$B$4*0.25)/12</f>
        <v>8.59375</v>
      </c>
      <c r="DK287" s="104">
        <f>('Renewable Diesel'!$AT296*'RD Feedstock Breakdown'!DK$3*'Feedstock Conversion Rates'!$B$3)/12*0.5</f>
        <v>9.1781249999999996</v>
      </c>
      <c r="DL287" s="104">
        <f>('Renewable Diesel'!$AT296*'RD Feedstock Breakdown'!$DL$3*'Feedstock Conversion Rates'!$B$6)/12</f>
        <v>10.747916666666669</v>
      </c>
      <c r="DM287" s="104">
        <f>('Renewable Diesel'!$AT296*'RD Feedstock Breakdown'!$DM$3*'Feedstock Conversion Rates'!$B$8)/12</f>
        <v>10.7421875</v>
      </c>
      <c r="DN287" s="106">
        <f t="shared" si="297"/>
        <v>39.26197916666667</v>
      </c>
      <c r="DP287" s="104">
        <f t="shared" si="265"/>
        <v>12.720250000000007</v>
      </c>
      <c r="DQ287" s="104">
        <f t="shared" si="266"/>
        <v>682.11776750000001</v>
      </c>
      <c r="DR287" s="104">
        <f t="shared" si="271"/>
        <v>1914.953125</v>
      </c>
      <c r="DS287" s="104">
        <f t="shared" si="283"/>
        <v>67.401250000000005</v>
      </c>
      <c r="DT287" s="104">
        <f t="shared" si="267"/>
        <v>304.53923333333341</v>
      </c>
      <c r="DU287" s="104">
        <f t="shared" si="268"/>
        <v>252.15610000000001</v>
      </c>
      <c r="DV287" s="104">
        <f t="shared" si="272"/>
        <v>39.75</v>
      </c>
      <c r="DW287" s="104">
        <f t="shared" si="269"/>
        <v>3</v>
      </c>
      <c r="DX287" s="106">
        <f t="shared" si="273"/>
        <v>3276.6377258333337</v>
      </c>
      <c r="DY287" s="109">
        <f t="shared" si="257"/>
        <v>-135.00000000000048</v>
      </c>
      <c r="EA287" s="110">
        <f t="shared" si="250"/>
        <v>3.8821044815886439E-3</v>
      </c>
      <c r="EB287" s="110">
        <f t="shared" si="250"/>
        <v>0.20817613193003198</v>
      </c>
      <c r="EC287" s="110">
        <f t="shared" si="250"/>
        <v>0.58442625802123971</v>
      </c>
      <c r="ED287" s="110">
        <f t="shared" si="250"/>
        <v>2.0570247808783353E-2</v>
      </c>
      <c r="EE287" s="110">
        <f t="shared" si="250"/>
        <v>9.2942601170802677E-2</v>
      </c>
      <c r="EF287" s="110">
        <f t="shared" si="250"/>
        <v>7.695574582810194E-2</v>
      </c>
      <c r="EG287" s="110">
        <f t="shared" si="250"/>
        <v>1.213133807457782E-2</v>
      </c>
      <c r="EH287" s="111">
        <f t="shared" si="274"/>
        <v>9.1557268487379767E-4</v>
      </c>
      <c r="EI287" s="110">
        <f t="shared" si="236"/>
        <v>0.99908442731512614</v>
      </c>
      <c r="EK287" s="132">
        <f>(EA287*'Renewable Diesel'!BF296*'Feedstock Conversion Rates'!B$2)+FB287</f>
        <v>44.267870144556497</v>
      </c>
      <c r="EL287" s="132">
        <f>(EB287*'Renewable Diesel'!BF296*'Feedstock Conversion Rates'!B$3)+FC287</f>
        <v>2236.9997356917274</v>
      </c>
      <c r="EM287" s="132">
        <f>(EC287*'Renewable Diesel'!BF296*'Feedstock Conversion Rates'!B$4)+FD287</f>
        <v>5880.2185216771741</v>
      </c>
      <c r="EN287" s="132">
        <f>(ED287*'Renewable Diesel'!BF296*'Feedstock Conversion Rates'!B$5)+FE287</f>
        <v>208.34781834416353</v>
      </c>
      <c r="EO287" s="132">
        <f>(EE287*'Renewable Diesel'!BF296*'Feedstock Conversion Rates'!B$6)+FF287</f>
        <v>1169.5536352569075</v>
      </c>
      <c r="EP287" s="132">
        <f>(EF287*'Renewable Diesel'!BF296*'Feedstock Conversion Rates'!B$7)+FG287</f>
        <v>949.79824080234926</v>
      </c>
      <c r="EQ287" s="132">
        <f>(EG287*'Renewable Diesel'!BF296*'Feedstock Conversion Rates'!B$8)+FH287</f>
        <v>152.57467871221894</v>
      </c>
      <c r="ER287" s="132">
        <f>(EH287*'Renewable Diesel'!BF296*'Feedstock Conversion Rates'!B$9)+FI287</f>
        <v>11.361535823601709</v>
      </c>
      <c r="ES287" s="132">
        <f t="shared" si="275"/>
        <v>10653.122036452698</v>
      </c>
      <c r="ET287" s="133">
        <f>ES287/'Renewable Diesel'!BF296</f>
        <v>13.545764641305865</v>
      </c>
      <c r="EW287" s="73">
        <f t="shared" si="223"/>
        <v>8607.8089681617221</v>
      </c>
      <c r="EX287" s="73">
        <f t="shared" si="224"/>
        <v>6453.2143143697531</v>
      </c>
      <c r="EY287" s="92">
        <f t="shared" si="258"/>
        <v>0.80800810679795521</v>
      </c>
      <c r="EZ287" s="92">
        <f t="shared" si="258"/>
        <v>0.60575803903196057</v>
      </c>
      <c r="FB287" s="102">
        <f>IF('Renewable Diesel'!$BG296&lt;1,0,(((('Renewable Diesel'!$BG296-1)*'Renewable Diesel'!$BF296)*'RD Feedstock Breakdown'!EA287)*'Feedstock Conversion Rates'!$B$2))</f>
        <v>18.316546013812335</v>
      </c>
      <c r="FC287" s="102">
        <f>IF('Renewable Diesel'!$BG296&lt;1,0,(((('Renewable Diesel'!$BG296-1)*'Renewable Diesel'!$BF296)*'RD Feedstock Breakdown'!EB287)*'Feedstock Conversion Rates'!$B$3))</f>
        <v>925.59475885970619</v>
      </c>
      <c r="FD287" s="102">
        <f>IF('Renewable Diesel'!$BG296&lt;1,0,(((('Renewable Diesel'!$BG296-1)*'Renewable Diesel'!$BF296)*'RD Feedstock Breakdown'!EC287)*'Feedstock Conversion Rates'!$B$4))</f>
        <v>2433.0353543520487</v>
      </c>
      <c r="FE287" s="102">
        <f>IF('Renewable Diesel'!$BG296&lt;1,0,(((('Renewable Diesel'!$BG296-1)*'Renewable Diesel'!$BF296)*'RD Feedstock Breakdown'!ED287)*'Feedstock Conversion Rates'!$B$5))</f>
        <v>86.207273788335939</v>
      </c>
      <c r="FF287" s="102">
        <f>IF('Renewable Diesel'!$BG296&lt;1,0,(((('Renewable Diesel'!$BG296-1)*'Renewable Diesel'!$BF296)*'RD Feedstock Breakdown'!EE287)*'Feedstock Conversion Rates'!$B$6))</f>
        <v>483.92170000161758</v>
      </c>
      <c r="FG287" s="102">
        <f>IF('Renewable Diesel'!$BG296&lt;1,0,(((('Renewable Diesel'!$BG296-1)*'Renewable Diesel'!$BF296)*'RD Feedstock Breakdown'!EF287)*'Feedstock Conversion Rates'!$B$7))</f>
        <v>392.99435741282224</v>
      </c>
      <c r="FH287" s="102">
        <f>IF('Renewable Diesel'!$BG296&lt;1,0,(((('Renewable Diesel'!$BG296-1)*'Renewable Diesel'!$BF296)*'RD Feedstock Breakdown'!EG287)*'Feedstock Conversion Rates'!$B$8))</f>
        <v>63.130236761992506</v>
      </c>
      <c r="FI287" s="102">
        <f>IF('Renewable Diesel'!$BG296&lt;1,0,(((('Renewable Diesel'!$BG296-1)*'Renewable Diesel'!$BF296)*'RD Feedstock Breakdown'!EH287)*'Feedstock Conversion Rates'!$B$9))</f>
        <v>4.7010188884401964</v>
      </c>
      <c r="FJ287" s="102">
        <f t="shared" si="225"/>
        <v>4407.9012460787762</v>
      </c>
      <c r="GD287" s="91">
        <f>'Renewable Diesel'!BB296*0.32</f>
        <v>0</v>
      </c>
      <c r="GE287" s="91">
        <f>'Renewable Diesel'!BC296</f>
        <v>481.70835294362729</v>
      </c>
      <c r="GF287" s="91">
        <f>'Renewable Diesel'!BD296</f>
        <v>0</v>
      </c>
      <c r="GG287" s="91">
        <f t="shared" si="295"/>
        <v>481.70835294362729</v>
      </c>
      <c r="GH287" s="124">
        <v>1</v>
      </c>
      <c r="GI287" s="102">
        <f>$GG287*EA287*'Feedstock Conversion Rates'!$B$2</f>
        <v>15.895358324139687</v>
      </c>
      <c r="GJ287" s="102">
        <f>$GG287*EB287*'Feedstock Conversion Rates'!$B$3</f>
        <v>803.24425488986958</v>
      </c>
      <c r="GK287" s="102">
        <f>$GG287*EC287*'Feedstock Conversion Rates'!$B$4</f>
        <v>2111.4225762631404</v>
      </c>
      <c r="GL287" s="102">
        <f>$GG287*ED287*'Feedstock Conversion Rates'!$B$5</f>
        <v>74.811894446665221</v>
      </c>
      <c r="GM287" s="102">
        <f>$GG287*EE287*'Feedstock Conversion Rates'!$B$6</f>
        <v>419.95411233930207</v>
      </c>
      <c r="GN287" s="102">
        <f>$GG287*EF287*'Feedstock Conversion Rates'!$B$7</f>
        <v>341.04607526611125</v>
      </c>
      <c r="GO287" s="102">
        <f>$GG287*EG287*'Feedstock Conversion Rates'!$B$8</f>
        <v>54.785314527254968</v>
      </c>
      <c r="GP287" s="102">
        <f>$GG287*EH287*'Feedstock Conversion Rates'!B$9</f>
        <v>4.0796108427842688</v>
      </c>
      <c r="GQ287" s="102">
        <f t="shared" si="276"/>
        <v>3825.2391968992674</v>
      </c>
      <c r="GR287" s="85">
        <f t="shared" si="293"/>
        <v>7.9409858133535884</v>
      </c>
      <c r="GT287" s="103">
        <f t="shared" si="254"/>
        <v>4.1553893772249429E-3</v>
      </c>
      <c r="GU287" s="103">
        <f t="shared" si="254"/>
        <v>0.2099853665467451</v>
      </c>
      <c r="GV287" s="103">
        <f t="shared" si="254"/>
        <v>0.55197138468482077</v>
      </c>
      <c r="GW287" s="103">
        <f t="shared" si="254"/>
        <v>1.9557442187486635E-2</v>
      </c>
      <c r="GX287" s="103">
        <f t="shared" si="253"/>
        <v>0.10978505937085352</v>
      </c>
      <c r="GY287" s="103">
        <f t="shared" si="253"/>
        <v>8.9156797186059025E-2</v>
      </c>
      <c r="GZ287" s="103">
        <f t="shared" si="253"/>
        <v>1.4322062414205068E-2</v>
      </c>
      <c r="HA287" s="103">
        <f t="shared" si="251"/>
        <v>1.0664982326049558E-3</v>
      </c>
    </row>
    <row r="288" spans="1:209" x14ac:dyDescent="0.25">
      <c r="A288" s="96">
        <v>49188</v>
      </c>
      <c r="B288" s="104">
        <f>115.75+145+100+235+31.5-21-287-20-28-32-70-39-47+40+20-3-10+65-105+5-15-75-1+20+33+40+14-5-40+26+55-55.5-91+70-70+200+100+150</f>
        <v>450.75</v>
      </c>
      <c r="C288" s="104">
        <f t="shared" si="287"/>
        <v>4</v>
      </c>
      <c r="D288" s="104">
        <f t="shared" si="288"/>
        <v>2</v>
      </c>
      <c r="E288" s="104">
        <f>('Renewable Diesel'!B297*E$3*'Feedstock Conversion Rates'!$B$2)/12+26+13-100+27.5+39+105-40-14-26+55.5-51+29-10-139</f>
        <v>4.9300000000000068</v>
      </c>
      <c r="F288" s="104">
        <f>('Renewable Diesel'!B297*'RD Feedstock Breakdown'!F$3*'Feedstock Conversion Rates'!B$8)/12+77+23-10-12-115.75+24+8-33+5-16</f>
        <v>4.15625</v>
      </c>
      <c r="G288" s="104">
        <f>('Renewable Diesel'!B297*'RD Feedstock Breakdown'!G$3*'Feedstock Conversion Rates'!B$7)/12-25-15-25+4+4-20-40-20+10-17.5+20+50-12+32.5+35-75-75+22.5+5-20+15+125-10-60+5-85+45+20+20-70</f>
        <v>19.657000000000011</v>
      </c>
      <c r="H288" s="104">
        <f>('Renewable Diesel'!B297*'RD Feedstock Breakdown'!H$3*'Feedstock Conversion Rates'!B$3)/12-85+4-15+70-65-80+50-22.5-5+25+27.5+15+50+15-10+5+50+75-5-25-85-12.5+30+22.5-25-30+150+90-120+25+10+20+85-30-45-20-20+95+70-200-100-150</f>
        <v>10.400224999999978</v>
      </c>
      <c r="I288" s="106">
        <f t="shared" si="291"/>
        <v>495.89347499999997</v>
      </c>
      <c r="J288" s="104">
        <f>54-15-35+7+35+20+34-7.5+35+37.5-145-20+15+40-32-5-18+120+10</f>
        <v>130</v>
      </c>
      <c r="K288" s="104"/>
      <c r="L288" s="104">
        <v>1</v>
      </c>
      <c r="M288" s="104">
        <f>('Renewable Diesel'!C297*'RD Feedstock Breakdown'!M$3*'Feedstock Conversion Rates'!B$2)/12</f>
        <v>7.7902500000000003</v>
      </c>
      <c r="N288" s="104">
        <f>('Renewable Diesel'!C297*'RD Feedstock Breakdown'!N$3*'Feedstock Conversion Rates'!B$8)/12</f>
        <v>3.671875</v>
      </c>
      <c r="O288" s="104">
        <f>('Renewable Diesel'!C297*'RD Feedstock Breakdown'!O$3*'Feedstock Conversion Rates'!B$7)/12</f>
        <v>11.9991</v>
      </c>
      <c r="P288" s="104">
        <f>('Renewable Diesel'!C297*'RD Feedstock Breakdown'!P$3*'Feedstock Conversion Rates'!B$3)/12</f>
        <v>10.4470425</v>
      </c>
      <c r="Q288" s="106">
        <f t="shared" si="216"/>
        <v>164.90826750000002</v>
      </c>
      <c r="R288" s="104">
        <f>('Renewable Diesel'!D297*'RD Feedstock Breakdown'!R$3*'Feedstock Conversion Rates'!B$7)/12</f>
        <v>2.2999999999999998</v>
      </c>
      <c r="S288" s="106">
        <f t="shared" si="249"/>
        <v>2.2999999999999998</v>
      </c>
      <c r="T288" s="104">
        <f t="shared" si="292"/>
        <v>0.82500000000000284</v>
      </c>
      <c r="U288" s="104">
        <v>30</v>
      </c>
      <c r="V288" s="104">
        <f>('Renewable Diesel'!E297*'RD Feedstock Breakdown'!V$3*'Feedstock Conversion Rates'!B$6)/12-20+25-35</f>
        <v>14.250150000000012</v>
      </c>
      <c r="W288" s="104">
        <f>('Renewable Diesel'!E297*'RD Feedstock Breakdown'!W$3*'Feedstock Conversion Rates'!B$8)/12-6+5</f>
        <v>21.1796875</v>
      </c>
      <c r="X288" s="106">
        <f t="shared" si="277"/>
        <v>66.254837500000008</v>
      </c>
      <c r="Y288" s="104">
        <f t="shared" si="289"/>
        <v>66</v>
      </c>
      <c r="Z288" s="104">
        <f>('Renewable Diesel'!F297*'RD Feedstock Breakdown'!Z$3*'Feedstock Conversion Rates'!B$6)/12-142+15+5+75-45+52.5-87.5+80-10-20-17+2+7+15+20</f>
        <v>109.46000000000001</v>
      </c>
      <c r="AA288" s="104">
        <f>('Renewable Diesel'!F297*'RD Feedstock Breakdown'!AA$3*'Feedstock Conversion Rates'!B$7)/12+24-30-55+15+30</f>
        <v>88.266666666666652</v>
      </c>
      <c r="AB288" s="106">
        <f t="shared" si="235"/>
        <v>263.72666666666669</v>
      </c>
      <c r="AC288" s="104">
        <f>('Renewable Diesel'!G297*'RD Feedstock Breakdown'!AC$3*'Feedstock Conversion Rates'!B$5)/12</f>
        <v>11.796875</v>
      </c>
      <c r="AD288" s="104">
        <f>('Renewable Diesel'!G297*'RD Feedstock Breakdown'!AD$3*'Feedstock Conversion Rates'!B$4)/12</f>
        <v>5.859375</v>
      </c>
      <c r="AE288" s="104">
        <f>('Renewable Diesel'!G297*'RD Feedstock Breakdown'!AE$3*'Feedstock Conversion Rates'!B$6)/12</f>
        <v>7.3281250000000009</v>
      </c>
      <c r="AF288" s="106">
        <f t="shared" si="284"/>
        <v>24.984375</v>
      </c>
      <c r="AG288" s="104">
        <f t="shared" si="230"/>
        <v>6.5</v>
      </c>
      <c r="AH288" s="104">
        <v>135</v>
      </c>
      <c r="AI288" s="104">
        <f>('Renewable Diesel'!H297*'RD Feedstock Breakdown'!AI$3*'Feedstock Conversion Rates'!B$6)/12-130-20+51-52.5+10</f>
        <v>7.0166666666666799</v>
      </c>
      <c r="AJ288" s="106">
        <f t="shared" si="248"/>
        <v>13.51666666666668</v>
      </c>
      <c r="AK288" s="104">
        <f>('Renewable Diesel'!J297*'RD Feedstock Breakdown'!AK$3*'Feedstock Conversion Rates'!B$4)/12</f>
        <v>95.8125</v>
      </c>
      <c r="AL288" s="106">
        <f t="shared" si="252"/>
        <v>95.8125</v>
      </c>
      <c r="AM288" s="104">
        <f>('Renewable Diesel'!K297*'RD Feedstock Breakdown'!AM$3*'Feedstock Conversion Rates'!B$4)/12+5+15-10-5+10-35-15</f>
        <v>23.59375</v>
      </c>
      <c r="AN288" s="104">
        <f>('Renewable Diesel'!K297*'RD Feedstock Breakdown'!AN$3*'Feedstock Conversion Rates'!B$6)/12-5-15+10+5-10+35+15</f>
        <v>59.427083333333329</v>
      </c>
      <c r="AO288" s="106">
        <f t="shared" si="270"/>
        <v>83.020833333333329</v>
      </c>
      <c r="AP288" s="104">
        <f>('Renewable Diesel'!L297*'RD Feedstock Breakdown'!AP$3*'Feedstock Conversion Rates'!B$4)/12+15-10-10+22</f>
        <v>75.59375</v>
      </c>
      <c r="AQ288" s="104">
        <f>('Renewable Diesel'!L297*'RD Feedstock Breakdown'!AQ$3*'Feedstock Conversion Rates'!B$6)/12-15+10+10-22</f>
        <v>7.4270833333333321</v>
      </c>
      <c r="AR288" s="106">
        <f t="shared" si="256"/>
        <v>83.020833333333329</v>
      </c>
      <c r="AS288" s="104">
        <f>('Renewable Diesel'!M297*'RD Feedstock Breakdown'!AS$3*'Feedstock Conversion Rates'!B$4)/12-25</f>
        <v>431.25</v>
      </c>
      <c r="AT288" s="104">
        <f>('Renewable Diesel'!M297*'RD Feedstock Breakdown'!AT$3*'Feedstock Conversion Rates'!B$5)/12+25</f>
        <v>25</v>
      </c>
      <c r="AU288" s="106">
        <f t="shared" si="290"/>
        <v>456.25</v>
      </c>
      <c r="AV288" s="104">
        <f>'Renewable Diesel'!N297*'RD Feedstock Breakdown'!$AV$3*'Feedstock Conversion Rates'!$B$4/12-15-10+25+25-22+25-77.5+56</f>
        <v>85.249999999999986</v>
      </c>
      <c r="AW288" s="104">
        <f>'Renewable Diesel'!N297*'RD Feedstock Breakdown'!$AW$3*'Feedstock Conversion Rates'!$B$7/12+15+10-25-25+22-25+77.5-56</f>
        <v>34.900000000000006</v>
      </c>
      <c r="AX288" s="106">
        <f t="shared" si="239"/>
        <v>120.14999999999999</v>
      </c>
      <c r="AY288" s="104">
        <f>('Renewable Diesel'!O297*'RD Feedstock Breakdown'!AY$3*'Feedstock Conversion Rates'!B$4)/12-95-250-3+80</f>
        <v>-57.0625</v>
      </c>
      <c r="AZ288" s="104">
        <f>('Renewable Diesel'!O297*'RD Feedstock Breakdown'!AZ$3*'Feedstock Conversion Rates'!B$3)/12+95+250+3-80</f>
        <v>293.03125</v>
      </c>
      <c r="BA288" s="106">
        <f t="shared" si="217"/>
        <v>235.96875</v>
      </c>
      <c r="BB288" s="104">
        <f>('Renewable Diesel'!Q297*'RD Feedstock Breakdown'!BB$3*'Feedstock Conversion Rates'!B$4)/12</f>
        <v>11.156249999999998</v>
      </c>
      <c r="BC288" s="104">
        <f>('Renewable Diesel'!Q297*'RD Feedstock Breakdown'!BC$3*'Feedstock Conversion Rates'!B$3)/12</f>
        <v>1.4017500000000001</v>
      </c>
      <c r="BD288" s="104">
        <f>('Renewable Diesel'!Q297*'RD Feedstock Breakdown'!BD$3*'Feedstock Conversion Rates'!B$6)/12</f>
        <v>0.8207500000000002</v>
      </c>
      <c r="BE288" s="106">
        <f t="shared" si="279"/>
        <v>13.378749999999998</v>
      </c>
      <c r="BF288" s="104">
        <f>('Renewable Diesel'!R297*'RD Feedstock Breakdown'!BF$3*'Feedstock Conversion Rates'!B$4)/12</f>
        <v>62.5</v>
      </c>
      <c r="BG288" s="106">
        <f t="shared" si="262"/>
        <v>62.5</v>
      </c>
      <c r="BH288" s="104">
        <f>('Renewable Diesel'!T297*'RD Feedstock Breakdown'!BH$3*'Feedstock Conversion Rates'!B$7)/12</f>
        <v>27.599999999999998</v>
      </c>
      <c r="BI288" s="106">
        <f t="shared" si="243"/>
        <v>27.599999999999998</v>
      </c>
      <c r="BJ288" s="104">
        <f>('Renewable Diesel'!W297*'RD Feedstock Breakdown'!BJ$3*'Feedstock Conversion Rates'!B$4)/12</f>
        <v>7.5</v>
      </c>
      <c r="BK288" s="104">
        <f>('Renewable Diesel'!W297*'RD Feedstock Breakdown'!BK$3*'Feedstock Conversion Rates'!B$3)/12</f>
        <v>1.335</v>
      </c>
      <c r="BL288" s="104">
        <f>('Renewable Diesel'!W297*'RD Feedstock Breakdown'!BL$3*'Feedstock Conversion Rates'!B$6)/12</f>
        <v>3.1266666666666669</v>
      </c>
      <c r="BM288" s="104">
        <f>('Renewable Diesel'!W297*'RD Feedstock Breakdown'!BM$3*'Feedstock Conversion Rates'!B$7)/12</f>
        <v>1.5333333333333332</v>
      </c>
      <c r="BN288" s="106">
        <f t="shared" si="296"/>
        <v>13.495000000000001</v>
      </c>
      <c r="BO288" s="104">
        <f>('Renewable Diesel'!P297*'Feedstock Conversion Rates'!B$4)/12</f>
        <v>31.25</v>
      </c>
      <c r="BP288" s="106">
        <f t="shared" si="285"/>
        <v>31.25</v>
      </c>
      <c r="BQ288" s="104">
        <f>('Renewable Diesel'!$S297*'RD Feedstock Breakdown'!BQ$3*'Feedstock Conversion Rates'!B$4)/12+10+15-15</f>
        <v>38.125</v>
      </c>
      <c r="BR288" s="104">
        <f>('Renewable Diesel'!$S297*'RD Feedstock Breakdown'!BR$3*'Feedstock Conversion Rates'!B$7)/12-10-15+15</f>
        <v>1.5</v>
      </c>
      <c r="BS288" s="106">
        <f t="shared" si="222"/>
        <v>39.625</v>
      </c>
      <c r="BT288" s="106"/>
      <c r="BU288" s="104">
        <f>('Renewable Diesel'!Y297*'Feedstock Conversion Rates'!B$7)/12</f>
        <v>2.6833333333333331</v>
      </c>
      <c r="BV288" s="106">
        <f t="shared" si="281"/>
        <v>2.6833333333333331</v>
      </c>
      <c r="BW288" s="104">
        <f>('Renewable Diesel'!$Z297*'RD Feedstock Breakdown'!BW$3*'Feedstock Conversion Rates'!$B$4)/12</f>
        <v>71.875</v>
      </c>
      <c r="BX288" s="104">
        <f>('Renewable Diesel'!$Z297*'RD Feedstock Breakdown'!BX$3*'Feedstock Conversion Rates'!$B$5)/12</f>
        <v>7.2354166666666666</v>
      </c>
      <c r="BY288" s="104">
        <f>('Renewable Diesel'!$Z297*'RD Feedstock Breakdown'!BY$3*'Feedstock Conversion Rates'!$B$7)/12</f>
        <v>61.716666666666661</v>
      </c>
      <c r="BZ288" s="104">
        <f>('Renewable Diesel'!$Z297*'RD Feedstock Breakdown'!BZ$3*'Feedstock Conversion Rates'!$B$3)/12</f>
        <v>15.352499999999999</v>
      </c>
      <c r="CA288" s="106">
        <f t="shared" si="228"/>
        <v>156.17958333333331</v>
      </c>
      <c r="CB288" s="104">
        <f>('Renewable Diesel'!AA297*'Feedstock Conversion Rates'!B$4)/12</f>
        <v>191.25</v>
      </c>
      <c r="CC288" s="106">
        <f t="shared" si="298"/>
        <v>191.25</v>
      </c>
      <c r="CD288" s="104">
        <f>('Renewable Diesel'!$AB297*'RD Feedstock Breakdown'!CD$3*'Feedstock Conversion Rates'!$B$6)/12-15-5</f>
        <v>12.830000000000005</v>
      </c>
      <c r="CE288" s="104">
        <f>('Renewable Diesel'!$AB297*'RD Feedstock Breakdown'!CE$3*'Feedstock Conversion Rates'!$B$4)/12+15+5</f>
        <v>31.25</v>
      </c>
      <c r="CF288" s="106">
        <f t="shared" si="294"/>
        <v>44.080000000000005</v>
      </c>
      <c r="CG288" s="104">
        <f>('Renewable Diesel'!AD297*'Feedstock Conversion Rates'!B$4)/12</f>
        <v>112.5</v>
      </c>
      <c r="CH288" s="106">
        <f t="shared" si="278"/>
        <v>112.5</v>
      </c>
      <c r="CI288" s="104">
        <f>('Renewable Diesel'!$AE297*'RD Feedstock Breakdown'!CI$3*'Feedstock Conversion Rates'!$B$5)/12</f>
        <v>0.34604166666666664</v>
      </c>
      <c r="CJ288" s="104">
        <f>('Renewable Diesel'!$AE297*'RD Feedstock Breakdown'!CJ$3*'Feedstock Conversion Rates'!$B$4)/12</f>
        <v>0.34375</v>
      </c>
      <c r="CK288" s="106">
        <f t="shared" si="286"/>
        <v>0.68979166666666658</v>
      </c>
      <c r="CL288" s="104">
        <f>(((CL$3*'Renewable Diesel'!$AF297)*'Feedstock Conversion Rates'!$B$3)/12)</f>
        <v>91.78125</v>
      </c>
      <c r="CM288" s="104">
        <f>(((CM$3*'Renewable Diesel'!$AF297)*'Feedstock Conversion Rates'!$B$6)/12)</f>
        <v>53.739583333333336</v>
      </c>
      <c r="CN288" s="104">
        <f>(((CN$3*'Renewable Diesel'!$AF297)*'Feedstock Conversion Rates'!$B$4)/12)</f>
        <v>42.96875</v>
      </c>
      <c r="CO288" s="106">
        <f t="shared" si="280"/>
        <v>188.48958333333334</v>
      </c>
      <c r="CP288" s="104">
        <f>('Renewable Diesel'!$AG297*'RD Feedstock Breakdown'!CP$3*'Feedstock Conversion Rates'!$B$3)/12+4-4</f>
        <v>6.0075000000000003</v>
      </c>
      <c r="CQ288" s="104">
        <f>('Renewable Diesel'!$AG297*'RD Feedstock Breakdown'!CQ$3*'Feedstock Conversion Rates'!$B$6)/12</f>
        <v>3.5175000000000001</v>
      </c>
      <c r="CR288" s="104">
        <f>('Renewable Diesel'!$AG297*'RD Feedstock Breakdown'!CR$3*'Feedstock Conversion Rates'!$B$4)/12-4+4</f>
        <v>2.8125</v>
      </c>
      <c r="CS288" s="106">
        <f t="shared" si="231"/>
        <v>12.3375</v>
      </c>
      <c r="CT288" s="104">
        <f>('Renewable Diesel'!AI297*'Feedstock Conversion Rates'!$B$4*'RD Feedstock Breakdown'!$CT$3)/12</f>
        <v>29.375</v>
      </c>
      <c r="CU288" s="106">
        <f t="shared" si="282"/>
        <v>29.375</v>
      </c>
      <c r="CV288" s="104">
        <f>('Renewable Diesel'!AN297*'Feedstock Conversion Rates'!$B$3*'RD Feedstock Breakdown'!$CV$3)/12</f>
        <v>0.50062499999999999</v>
      </c>
      <c r="CW288" s="106">
        <f t="shared" si="255"/>
        <v>0.50062499999999999</v>
      </c>
      <c r="CX288" s="104">
        <f>('Renewable Diesel'!AO297*'RD Feedstock Breakdown'!$CX$3*'Feedstock Conversion Rates'!$B$3)/12</f>
        <v>6.3412499999999996</v>
      </c>
      <c r="CY288" s="104">
        <f>('Renewable Diesel'!AO297*'RD Feedstock Breakdown'!$CY$3*'Feedstock Conversion Rates'!$B$6)/12</f>
        <v>7.4258333333333342</v>
      </c>
      <c r="CZ288" s="106">
        <f t="shared" si="233"/>
        <v>13.767083333333334</v>
      </c>
      <c r="DA288" s="104">
        <f>('Renewable Diesel'!$AP297*'RD Feedstock Breakdown'!DA$3*'Feedstock Conversion Rates'!$B$3)/12</f>
        <v>6.3412499999999996</v>
      </c>
      <c r="DB288" s="104">
        <f>('Renewable Diesel'!$AP297*'RD Feedstock Breakdown'!DB$3*'Feedstock Conversion Rates'!$B$8)/12</f>
        <v>7.421875</v>
      </c>
      <c r="DC288" s="106">
        <f t="shared" si="260"/>
        <v>13.763124999999999</v>
      </c>
      <c r="DD288" s="104">
        <f>('Renewable Diesel'!AQ297*$DD$3*'Feedstock Conversion Rates'!$B$14)/12</f>
        <v>3.1041666666666665</v>
      </c>
      <c r="DE288" s="106">
        <f t="shared" si="261"/>
        <v>3.1041666666666665</v>
      </c>
      <c r="DF288" s="104">
        <f>('Renewable Diesel'!AR297*'Feedstock Conversion Rates'!$B$4*$DF$3)/12</f>
        <v>75</v>
      </c>
      <c r="DG288" s="106">
        <f t="shared" si="234"/>
        <v>75</v>
      </c>
      <c r="DH288" s="104">
        <f>('Renewable Diesel'!AS297*'Feedstock Conversion Rates'!$B$4*$DH$3)/12</f>
        <v>75</v>
      </c>
      <c r="DI288" s="106">
        <f t="shared" si="240"/>
        <v>75</v>
      </c>
      <c r="DJ288" s="104">
        <f>('Renewable Diesel'!AT297*'Feedstock Conversion Rates'!$B$4*0.25)/12</f>
        <v>8.59375</v>
      </c>
      <c r="DK288" s="104">
        <f>('Renewable Diesel'!$AT297*'RD Feedstock Breakdown'!DK$3*'Feedstock Conversion Rates'!$B$3)/12*0.5</f>
        <v>9.1781249999999996</v>
      </c>
      <c r="DL288" s="104">
        <f>('Renewable Diesel'!$AT297*'RD Feedstock Breakdown'!$DL$3*'Feedstock Conversion Rates'!$B$6)/12</f>
        <v>10.747916666666669</v>
      </c>
      <c r="DM288" s="104">
        <f>('Renewable Diesel'!$AT297*'RD Feedstock Breakdown'!$DM$3*'Feedstock Conversion Rates'!$B$8)/12</f>
        <v>10.7421875</v>
      </c>
      <c r="DN288" s="106">
        <f t="shared" si="297"/>
        <v>39.26197916666667</v>
      </c>
      <c r="DP288" s="104">
        <f t="shared" si="265"/>
        <v>12.720250000000007</v>
      </c>
      <c r="DQ288" s="104">
        <f t="shared" si="266"/>
        <v>452.11776750000001</v>
      </c>
      <c r="DR288" s="104">
        <f t="shared" si="271"/>
        <v>2254.953125</v>
      </c>
      <c r="DS288" s="104">
        <f t="shared" si="283"/>
        <v>67.401250000000005</v>
      </c>
      <c r="DT288" s="104">
        <f t="shared" si="267"/>
        <v>304.53923333333341</v>
      </c>
      <c r="DU288" s="104">
        <f t="shared" si="268"/>
        <v>252.15610000000001</v>
      </c>
      <c r="DV288" s="104">
        <f t="shared" si="272"/>
        <v>39.75</v>
      </c>
      <c r="DW288" s="104">
        <f t="shared" si="269"/>
        <v>3</v>
      </c>
      <c r="DX288" s="106">
        <f t="shared" si="273"/>
        <v>3386.6377258333337</v>
      </c>
      <c r="DY288" s="109">
        <f t="shared" si="257"/>
        <v>-135.00000000000048</v>
      </c>
      <c r="EA288" s="110">
        <f t="shared" si="250"/>
        <v>3.7560114277856503E-3</v>
      </c>
      <c r="EB288" s="110">
        <f t="shared" si="250"/>
        <v>0.13350048162850059</v>
      </c>
      <c r="EC288" s="110">
        <f t="shared" si="250"/>
        <v>0.66583830558526436</v>
      </c>
      <c r="ED288" s="110">
        <f t="shared" si="250"/>
        <v>1.9902113971583691E-2</v>
      </c>
      <c r="EE288" s="110">
        <f t="shared" si="250"/>
        <v>8.9923770414031198E-2</v>
      </c>
      <c r="EF288" s="110">
        <f t="shared" si="250"/>
        <v>7.4456177605460638E-2</v>
      </c>
      <c r="EG288" s="110">
        <f t="shared" si="250"/>
        <v>1.1737305025803699E-2</v>
      </c>
      <c r="EH288" s="111">
        <f t="shared" si="274"/>
        <v>8.8583434157009052E-4</v>
      </c>
      <c r="EI288" s="110">
        <f t="shared" si="236"/>
        <v>0.99911416565842992</v>
      </c>
      <c r="EK288" s="132">
        <f>(EA288*'Renewable Diesel'!BF297*'Feedstock Conversion Rates'!B$2)+FB288</f>
        <v>55.629362962670925</v>
      </c>
      <c r="EL288" s="132">
        <f>(EB288*'Renewable Diesel'!BF297*'Feedstock Conversion Rates'!B$3)+FC288</f>
        <v>1863.2606171488112</v>
      </c>
      <c r="EM288" s="132">
        <f>(EC288*'Renewable Diesel'!BF297*'Feedstock Conversion Rates'!B$4)+FD288</f>
        <v>8701.383217433573</v>
      </c>
      <c r="EN288" s="132">
        <f>(ED288*'Renewable Diesel'!BF297*'Feedstock Conversion Rates'!B$5)+FE288</f>
        <v>261.82096340529102</v>
      </c>
      <c r="EO288" s="132">
        <f>(EE288*'Renewable Diesel'!BF297*'Feedstock Conversion Rates'!B$6)+FF288</f>
        <v>1469.7233787747118</v>
      </c>
      <c r="EP288" s="132">
        <f>(EF288*'Renewable Diesel'!BF297*'Feedstock Conversion Rates'!B$7)+FG288</f>
        <v>1193.5670477563604</v>
      </c>
      <c r="EQ288" s="132">
        <f>(EG288*'Renewable Diesel'!BF297*'Feedstock Conversion Rates'!B$8)+FH288</f>
        <v>191.73346612969203</v>
      </c>
      <c r="ER288" s="132">
        <f>(EH288*'Renewable Diesel'!BF297*'Feedstock Conversion Rates'!B$9)+FI288</f>
        <v>14.277510936953167</v>
      </c>
      <c r="ES288" s="132">
        <f t="shared" si="275"/>
        <v>13751.395564548064</v>
      </c>
      <c r="ET288" s="133">
        <f>ES288/'Renewable Diesel'!BF297</f>
        <v>15.342478071172444</v>
      </c>
      <c r="EW288" s="73">
        <f t="shared" si="223"/>
        <v>13315.820554846057</v>
      </c>
      <c r="EX288" s="73">
        <f t="shared" si="224"/>
        <v>7113.3822192773687</v>
      </c>
      <c r="EY288" s="92">
        <f t="shared" si="258"/>
        <v>0.9683250323461754</v>
      </c>
      <c r="EZ288" s="92">
        <f t="shared" si="258"/>
        <v>0.51728438658372256</v>
      </c>
      <c r="FB288" s="102">
        <f>IF('Renewable Diesel'!$BG297&lt;1,0,(((('Renewable Diesel'!$BG297-1)*'Renewable Diesel'!$BF297)*'RD Feedstock Breakdown'!EA288)*'Feedstock Conversion Rates'!$B$2))</f>
        <v>27.01414262374302</v>
      </c>
      <c r="FC288" s="102">
        <f>IF('Renewable Diesel'!$BG297&lt;1,0,(((('Renewable Diesel'!$BG297-1)*'Renewable Diesel'!$BF297)*'RD Feedstock Breakdown'!EB288)*'Feedstock Conversion Rates'!$B$3))</f>
        <v>904.81690560859738</v>
      </c>
      <c r="FD288" s="102">
        <f>IF('Renewable Diesel'!$BG297&lt;1,0,(((('Renewable Diesel'!$BG297-1)*'Renewable Diesel'!$BF297)*'RD Feedstock Breakdown'!EC288)*'Feedstock Conversion Rates'!$B$4))</f>
        <v>4225.4736481042837</v>
      </c>
      <c r="FE288" s="102">
        <f>IF('Renewable Diesel'!$BG297&lt;1,0,(((('Renewable Diesel'!$BG297-1)*'Renewable Diesel'!$BF297)*'RD Feedstock Breakdown'!ED288)*'Feedstock Conversion Rates'!$B$5))</f>
        <v>127.14272590290948</v>
      </c>
      <c r="FF288" s="102">
        <f>IF('Renewable Diesel'!$BG297&lt;1,0,(((('Renewable Diesel'!$BG297-1)*'Renewable Diesel'!$BF297)*'RD Feedstock Breakdown'!EE288)*'Feedstock Conversion Rates'!$B$6))</f>
        <v>713.71151595447418</v>
      </c>
      <c r="FG288" s="102">
        <f>IF('Renewable Diesel'!$BG297&lt;1,0,(((('Renewable Diesel'!$BG297-1)*'Renewable Diesel'!$BF297)*'RD Feedstock Breakdown'!EF288)*'Feedstock Conversion Rates'!$B$7))</f>
        <v>579.60740051483992</v>
      </c>
      <c r="FH288" s="102">
        <f>IF('Renewable Diesel'!$BG297&lt;1,0,(((('Renewable Diesel'!$BG297-1)*'Renewable Diesel'!$BF297)*'RD Feedstock Breakdown'!EG288)*'Feedstock Conversion Rates'!$B$8))</f>
        <v>93.107577076655033</v>
      </c>
      <c r="FI288" s="102">
        <f>IF('Renewable Diesel'!$BG297&lt;1,0,(((('Renewable Diesel'!$BG297-1)*'Renewable Diesel'!$BF297)*'RD Feedstock Breakdown'!EH288)*'Feedstock Conversion Rates'!$B$9))</f>
        <v>6.9332937898590909</v>
      </c>
      <c r="FJ288" s="102">
        <f t="shared" si="225"/>
        <v>6677.8072095753623</v>
      </c>
      <c r="GD288" s="91">
        <f>'Renewable Diesel'!BB297*0.32</f>
        <v>0</v>
      </c>
      <c r="GE288" s="91">
        <f>'Renewable Diesel'!BC297</f>
        <v>585.99562815935928</v>
      </c>
      <c r="GF288" s="91">
        <f>'Renewable Diesel'!BD297</f>
        <v>0</v>
      </c>
      <c r="GG288" s="91">
        <f t="shared" si="295"/>
        <v>585.99562815935928</v>
      </c>
      <c r="GH288" s="124">
        <v>1</v>
      </c>
      <c r="GI288" s="102">
        <f>$GG288*EA288*'Feedstock Conversion Rates'!$B$2</f>
        <v>18.708553345991366</v>
      </c>
      <c r="GJ288" s="102">
        <f>$GG288*EB288*'Feedstock Conversion Rates'!$B$3</f>
        <v>626.62789571767632</v>
      </c>
      <c r="GK288" s="102">
        <f>$GG288*EC288*'Feedstock Conversion Rates'!$B$4</f>
        <v>2926.3375210050031</v>
      </c>
      <c r="GL288" s="102">
        <f>$GG288*ED288*'Feedstock Conversion Rates'!$B$5</f>
        <v>88.052265927503953</v>
      </c>
      <c r="GM288" s="102">
        <f>$GG288*EE288*'Feedstock Conversion Rates'!$B$6</f>
        <v>494.27850277754072</v>
      </c>
      <c r="GN288" s="102">
        <f>$GG288*EF288*'Feedstock Conversion Rates'!$B$7</f>
        <v>401.40515000956185</v>
      </c>
      <c r="GO288" s="102">
        <f>$GG288*EG288*'Feedstock Conversion Rates'!$B$8</f>
        <v>64.481338420254787</v>
      </c>
      <c r="GP288" s="102">
        <f>$GG288*EH288*'Feedstock Conversion Rates'!B$9</f>
        <v>4.8016292257598536</v>
      </c>
      <c r="GQ288" s="102">
        <f t="shared" si="276"/>
        <v>4624.6928564292912</v>
      </c>
      <c r="GR288" s="85">
        <f t="shared" si="293"/>
        <v>7.8920262100856897</v>
      </c>
      <c r="GT288" s="103">
        <f t="shared" si="254"/>
        <v>4.0453612654476187E-3</v>
      </c>
      <c r="GU288" s="103">
        <f t="shared" si="254"/>
        <v>0.13549611080583054</v>
      </c>
      <c r="GV288" s="103">
        <f t="shared" si="254"/>
        <v>0.63276364763051907</v>
      </c>
      <c r="GW288" s="103">
        <f t="shared" si="254"/>
        <v>1.9039592176395642E-2</v>
      </c>
      <c r="GX288" s="103">
        <f t="shared" si="253"/>
        <v>0.10687812534196517</v>
      </c>
      <c r="GY288" s="103">
        <f t="shared" si="253"/>
        <v>8.6796066781283571E-2</v>
      </c>
      <c r="GZ288" s="103">
        <f t="shared" si="253"/>
        <v>1.3942836945509195E-2</v>
      </c>
      <c r="HA288" s="103">
        <f t="shared" si="251"/>
        <v>1.0382590530492381E-3</v>
      </c>
    </row>
    <row r="289" spans="1:209" x14ac:dyDescent="0.25">
      <c r="A289" s="96">
        <v>49218</v>
      </c>
      <c r="B289" s="104">
        <f>115.75+145+100+235+31.5-21-287-20-28-32-70-39-47+40+20-3-10+50+12.5-65-1-1-15+20-130+20+50</f>
        <v>70.75</v>
      </c>
      <c r="C289" s="104">
        <f>50-1+20-50</f>
        <v>19</v>
      </c>
      <c r="D289" s="104">
        <f t="shared" si="288"/>
        <v>2</v>
      </c>
      <c r="E289" s="104">
        <f>('Renewable Diesel'!B298*E$3*'Feedstock Conversion Rates'!$B$2)/12+26+13-100+27.5+39-90</f>
        <v>5.4300000000000068</v>
      </c>
      <c r="F289" s="104">
        <f>('Renewable Diesel'!B298*'RD Feedstock Breakdown'!F$3*'Feedstock Conversion Rates'!B$8)/12+77+23-10-12-115.75+24+8+1+15-40-20</f>
        <v>4.15625</v>
      </c>
      <c r="G289" s="104">
        <f>('Renewable Diesel'!B298*'RD Feedstock Breakdown'!G$3*'Feedstock Conversion Rates'!B$7)/12+116.75-39-57.5-145-31.5+32+70-40+10-50-12.5-25</f>
        <v>4.4070000000000391</v>
      </c>
      <c r="H289" s="104">
        <f>('Renewable Diesel'!B298*'RD Feedstock Breakdown'!H$3*'Feedstock Conversion Rates'!B$3)/12+67+10+12+3-235+20+47-20+65+25+130+90</f>
        <v>390.40022499999998</v>
      </c>
      <c r="I289" s="106">
        <f t="shared" si="291"/>
        <v>496.14347500000002</v>
      </c>
      <c r="J289" s="104">
        <f>54-15-35+10+45+7</f>
        <v>66</v>
      </c>
      <c r="K289" s="104"/>
      <c r="L289" s="104">
        <v>1</v>
      </c>
      <c r="M289" s="104">
        <f>('Renewable Diesel'!C298*'RD Feedstock Breakdown'!M$3*'Feedstock Conversion Rates'!B$2)/12</f>
        <v>7.7902500000000003</v>
      </c>
      <c r="N289" s="104">
        <f>('Renewable Diesel'!C298*'RD Feedstock Breakdown'!N$3*'Feedstock Conversion Rates'!B$8)/12</f>
        <v>3.671875</v>
      </c>
      <c r="O289" s="104">
        <f>('Renewable Diesel'!C298*'RD Feedstock Breakdown'!O$3*'Feedstock Conversion Rates'!B$7)/12</f>
        <v>11.9991</v>
      </c>
      <c r="P289" s="104">
        <f>('Renewable Diesel'!C298*'RD Feedstock Breakdown'!P$3*'Feedstock Conversion Rates'!B$3)/12</f>
        <v>10.4470425</v>
      </c>
      <c r="Q289" s="106">
        <f t="shared" ref="Q289:Q352" si="299">SUM(J289:P289)</f>
        <v>100.90826749999999</v>
      </c>
      <c r="R289" s="104">
        <f>('Renewable Diesel'!D298*'RD Feedstock Breakdown'!R$3*'Feedstock Conversion Rates'!B$7)/12</f>
        <v>2.2999999999999998</v>
      </c>
      <c r="S289" s="106">
        <f t="shared" si="249"/>
        <v>2.2999999999999998</v>
      </c>
      <c r="T289" s="104">
        <f t="shared" ref="T289:T352" si="300">5.825+20-25</f>
        <v>0.82499999999999929</v>
      </c>
      <c r="U289" s="104"/>
      <c r="V289" s="104">
        <f>('Renewable Diesel'!E298*'RD Feedstock Breakdown'!V$3*'Feedstock Conversion Rates'!B$6)/12-20+25</f>
        <v>49.250150000000012</v>
      </c>
      <c r="W289" s="104">
        <f>('Renewable Diesel'!E298*'RD Feedstock Breakdown'!W$3*'Feedstock Conversion Rates'!B$8)/12-6</f>
        <v>16.1796875</v>
      </c>
      <c r="X289" s="106">
        <f t="shared" si="277"/>
        <v>66.254837500000008</v>
      </c>
      <c r="Y289" s="104">
        <f t="shared" ref="Y289:Y352" si="301">142-15-5-24</f>
        <v>98</v>
      </c>
      <c r="Z289" s="104">
        <f>('Renewable Diesel'!F298*'RD Feedstock Breakdown'!Z$3*'Feedstock Conversion Rates'!B$6)/12-142+15+5</f>
        <v>37.460000000000008</v>
      </c>
      <c r="AA289" s="104">
        <f>('Renewable Diesel'!F298*'RD Feedstock Breakdown'!AA$3*'Feedstock Conversion Rates'!B$7)/12+24</f>
        <v>128.26666666666665</v>
      </c>
      <c r="AB289" s="106">
        <f t="shared" si="235"/>
        <v>263.72666666666669</v>
      </c>
      <c r="AC289" s="104">
        <f>('Renewable Diesel'!G298*'RD Feedstock Breakdown'!AC$3*'Feedstock Conversion Rates'!B$5)/12</f>
        <v>11.796875</v>
      </c>
      <c r="AD289" s="104">
        <f>('Renewable Diesel'!G298*'RD Feedstock Breakdown'!AD$3*'Feedstock Conversion Rates'!B$4)/12</f>
        <v>5.859375</v>
      </c>
      <c r="AE289" s="104">
        <f>('Renewable Diesel'!G298*'RD Feedstock Breakdown'!AE$3*'Feedstock Conversion Rates'!B$6)/12</f>
        <v>7.3281250000000009</v>
      </c>
      <c r="AF289" s="106">
        <f t="shared" si="284"/>
        <v>24.984375</v>
      </c>
      <c r="AG289" s="104">
        <f>130+20-51+49</f>
        <v>148</v>
      </c>
      <c r="AH289" s="104"/>
      <c r="AI289" s="104">
        <f>('Renewable Diesel'!H298*'RD Feedstock Breakdown'!AI$3*'Feedstock Conversion Rates'!B$6)/12-130-20+51-49</f>
        <v>0.51666666666667993</v>
      </c>
      <c r="AJ289" s="106">
        <f t="shared" si="248"/>
        <v>148.51666666666668</v>
      </c>
      <c r="AK289" s="104">
        <f>('Renewable Diesel'!J298*'RD Feedstock Breakdown'!AK$3*'Feedstock Conversion Rates'!B$4)/12</f>
        <v>95.8125</v>
      </c>
      <c r="AL289" s="106">
        <f t="shared" si="252"/>
        <v>95.8125</v>
      </c>
      <c r="AM289" s="104">
        <f>('Renewable Diesel'!K298*'RD Feedstock Breakdown'!AM$3*'Feedstock Conversion Rates'!B$4)/12+5+15-10</f>
        <v>68.59375</v>
      </c>
      <c r="AN289" s="104">
        <f>('Renewable Diesel'!K298*'RD Feedstock Breakdown'!AN$3*'Feedstock Conversion Rates'!B$6)/12-5-15+10</f>
        <v>14.427083333333332</v>
      </c>
      <c r="AO289" s="106">
        <f t="shared" si="270"/>
        <v>83.020833333333329</v>
      </c>
      <c r="AP289" s="104">
        <f>('Renewable Diesel'!L298*'RD Feedstock Breakdown'!AP$3*'Feedstock Conversion Rates'!B$4)/12+15-10</f>
        <v>63.59375</v>
      </c>
      <c r="AQ289" s="104">
        <f>('Renewable Diesel'!L298*'RD Feedstock Breakdown'!AQ$3*'Feedstock Conversion Rates'!B$6)/12-15+10</f>
        <v>19.427083333333332</v>
      </c>
      <c r="AR289" s="106">
        <f t="shared" si="256"/>
        <v>83.020833333333329</v>
      </c>
      <c r="AS289" s="104">
        <f>('Renewable Diesel'!M298*'RD Feedstock Breakdown'!AS$3*'Feedstock Conversion Rates'!B$4)/12-25</f>
        <v>431.25</v>
      </c>
      <c r="AT289" s="104">
        <f>('Renewable Diesel'!M298*'RD Feedstock Breakdown'!AT$3*'Feedstock Conversion Rates'!B$5)/12+25</f>
        <v>25</v>
      </c>
      <c r="AU289" s="106">
        <f t="shared" si="290"/>
        <v>456.25</v>
      </c>
      <c r="AV289" s="104">
        <f>'Renewable Diesel'!N298*'RD Feedstock Breakdown'!$AV$3*'Feedstock Conversion Rates'!$B$4/12-15-10+25+25-22+25</f>
        <v>106.74999999999999</v>
      </c>
      <c r="AW289" s="104">
        <f>'Renewable Diesel'!N298*'RD Feedstock Breakdown'!$AW$3*'Feedstock Conversion Rates'!$B$7/12+15+10-25-25+22-25</f>
        <v>13.400000000000006</v>
      </c>
      <c r="AX289" s="106">
        <f t="shared" si="239"/>
        <v>120.14999999999999</v>
      </c>
      <c r="AY289" s="104">
        <f>('Renewable Diesel'!O298*'RD Feedstock Breakdown'!AY$3*'Feedstock Conversion Rates'!B$4)/12-90-258</f>
        <v>-137.0625</v>
      </c>
      <c r="AZ289" s="104">
        <f>('Renewable Diesel'!O298*'RD Feedstock Breakdown'!AZ$3*'Feedstock Conversion Rates'!B$3)/12+90+258</f>
        <v>373.03125</v>
      </c>
      <c r="BA289" s="106">
        <f t="shared" ref="BA289:BA352" si="302">SUM(AY289:AZ289)</f>
        <v>235.96875</v>
      </c>
      <c r="BB289" s="104">
        <f>('Renewable Diesel'!Q298*'RD Feedstock Breakdown'!BB$3*'Feedstock Conversion Rates'!B$4)/12</f>
        <v>11.156249999999998</v>
      </c>
      <c r="BC289" s="104">
        <f>('Renewable Diesel'!Q298*'RD Feedstock Breakdown'!BC$3*'Feedstock Conversion Rates'!B$3)/12</f>
        <v>1.4017500000000001</v>
      </c>
      <c r="BD289" s="104">
        <f>('Renewable Diesel'!Q298*'RD Feedstock Breakdown'!BD$3*'Feedstock Conversion Rates'!B$6)/12</f>
        <v>0.8207500000000002</v>
      </c>
      <c r="BE289" s="106">
        <f t="shared" si="279"/>
        <v>13.378749999999998</v>
      </c>
      <c r="BF289" s="104">
        <f>('Renewable Diesel'!R298*'RD Feedstock Breakdown'!BF$3*'Feedstock Conversion Rates'!B$4)/12</f>
        <v>62.5</v>
      </c>
      <c r="BG289" s="106">
        <f t="shared" si="262"/>
        <v>62.5</v>
      </c>
      <c r="BH289" s="104">
        <f>('Renewable Diesel'!T298*'RD Feedstock Breakdown'!BH$3*'Feedstock Conversion Rates'!B$7)/12</f>
        <v>27.599999999999998</v>
      </c>
      <c r="BI289" s="106">
        <f t="shared" si="243"/>
        <v>27.599999999999998</v>
      </c>
      <c r="BJ289" s="104">
        <f>('Renewable Diesel'!W298*'RD Feedstock Breakdown'!BJ$3*'Feedstock Conversion Rates'!B$4)/12</f>
        <v>7.5</v>
      </c>
      <c r="BK289" s="104">
        <f>('Renewable Diesel'!W298*'RD Feedstock Breakdown'!BK$3*'Feedstock Conversion Rates'!B$3)/12</f>
        <v>1.335</v>
      </c>
      <c r="BL289" s="104">
        <f>('Renewable Diesel'!W298*'RD Feedstock Breakdown'!BL$3*'Feedstock Conversion Rates'!B$6)/12</f>
        <v>3.1266666666666669</v>
      </c>
      <c r="BM289" s="104">
        <f>('Renewable Diesel'!W298*'RD Feedstock Breakdown'!BM$3*'Feedstock Conversion Rates'!B$7)/12</f>
        <v>1.5333333333333332</v>
      </c>
      <c r="BN289" s="106">
        <f t="shared" si="296"/>
        <v>13.495000000000001</v>
      </c>
      <c r="BO289" s="104">
        <f>('Renewable Diesel'!P298*'Feedstock Conversion Rates'!B$4)/12</f>
        <v>31.25</v>
      </c>
      <c r="BP289" s="106">
        <f t="shared" si="285"/>
        <v>31.25</v>
      </c>
      <c r="BQ289" s="104">
        <f>('Renewable Diesel'!$S298*'RD Feedstock Breakdown'!BQ$3*'Feedstock Conversion Rates'!B$4)/12+10+15-15</f>
        <v>38.125</v>
      </c>
      <c r="BR289" s="104">
        <f>('Renewable Diesel'!$S298*'RD Feedstock Breakdown'!BR$3*'Feedstock Conversion Rates'!B$7)/12-10-15+15</f>
        <v>1.5</v>
      </c>
      <c r="BS289" s="106">
        <f t="shared" si="222"/>
        <v>39.625</v>
      </c>
      <c r="BT289" s="106"/>
      <c r="BU289" s="104">
        <f>('Renewable Diesel'!Y298*'Feedstock Conversion Rates'!B$7)/12</f>
        <v>2.6833333333333331</v>
      </c>
      <c r="BV289" s="106">
        <f t="shared" si="281"/>
        <v>2.6833333333333331</v>
      </c>
      <c r="BW289" s="104">
        <f>('Renewable Diesel'!$Z298*'RD Feedstock Breakdown'!BW$3*'Feedstock Conversion Rates'!$B$4)/12</f>
        <v>71.875</v>
      </c>
      <c r="BX289" s="104">
        <f>('Renewable Diesel'!$Z298*'RD Feedstock Breakdown'!BX$3*'Feedstock Conversion Rates'!$B$5)/12</f>
        <v>7.2354166666666666</v>
      </c>
      <c r="BY289" s="104">
        <f>('Renewable Diesel'!$Z298*'RD Feedstock Breakdown'!BY$3*'Feedstock Conversion Rates'!$B$7)/12</f>
        <v>61.716666666666661</v>
      </c>
      <c r="BZ289" s="104">
        <f>('Renewable Diesel'!$Z298*'RD Feedstock Breakdown'!BZ$3*'Feedstock Conversion Rates'!$B$3)/12</f>
        <v>15.352499999999999</v>
      </c>
      <c r="CA289" s="106">
        <f t="shared" si="228"/>
        <v>156.17958333333331</v>
      </c>
      <c r="CB289" s="104">
        <f>('Renewable Diesel'!AA298*'Feedstock Conversion Rates'!B$4)/12</f>
        <v>191.25</v>
      </c>
      <c r="CC289" s="106">
        <f t="shared" si="298"/>
        <v>191.25</v>
      </c>
      <c r="CD289" s="104">
        <f>('Renewable Diesel'!$AB298*'RD Feedstock Breakdown'!CD$3*'Feedstock Conversion Rates'!$B$6)/12-15-5</f>
        <v>12.830000000000005</v>
      </c>
      <c r="CE289" s="104">
        <f>('Renewable Diesel'!$AB298*'RD Feedstock Breakdown'!CE$3*'Feedstock Conversion Rates'!$B$4)/12+15+5</f>
        <v>31.25</v>
      </c>
      <c r="CF289" s="106">
        <f t="shared" si="294"/>
        <v>44.080000000000005</v>
      </c>
      <c r="CG289" s="104">
        <f>('Renewable Diesel'!AD298*'Feedstock Conversion Rates'!B$4)/12</f>
        <v>112.5</v>
      </c>
      <c r="CH289" s="106">
        <f t="shared" si="278"/>
        <v>112.5</v>
      </c>
      <c r="CI289" s="104">
        <f>('Renewable Diesel'!$AE298*'RD Feedstock Breakdown'!CI$3*'Feedstock Conversion Rates'!$B$5)/12</f>
        <v>0.34604166666666664</v>
      </c>
      <c r="CJ289" s="104">
        <f>('Renewable Diesel'!$AE298*'RD Feedstock Breakdown'!CJ$3*'Feedstock Conversion Rates'!$B$4)/12</f>
        <v>0.34375</v>
      </c>
      <c r="CK289" s="106">
        <f t="shared" si="286"/>
        <v>0.68979166666666658</v>
      </c>
      <c r="CL289" s="104">
        <f>(((CL$3*'Renewable Diesel'!$AF298)*'Feedstock Conversion Rates'!$B$3)/12)</f>
        <v>91.78125</v>
      </c>
      <c r="CM289" s="104">
        <f>(((CM$3*'Renewable Diesel'!$AF298)*'Feedstock Conversion Rates'!$B$6)/12)</f>
        <v>53.739583333333336</v>
      </c>
      <c r="CN289" s="104">
        <f>(((CN$3*'Renewable Diesel'!$AF298)*'Feedstock Conversion Rates'!$B$4)/12)</f>
        <v>42.96875</v>
      </c>
      <c r="CO289" s="106">
        <f t="shared" si="280"/>
        <v>188.48958333333334</v>
      </c>
      <c r="CP289" s="104">
        <f>('Renewable Diesel'!$AG298*'RD Feedstock Breakdown'!CP$3*'Feedstock Conversion Rates'!$B$3)/12</f>
        <v>6.0075000000000003</v>
      </c>
      <c r="CQ289" s="104">
        <f>('Renewable Diesel'!$AG298*'RD Feedstock Breakdown'!CQ$3*'Feedstock Conversion Rates'!$B$6)/12</f>
        <v>3.5175000000000001</v>
      </c>
      <c r="CR289" s="104">
        <f>('Renewable Diesel'!$AG298*'RD Feedstock Breakdown'!CR$3*'Feedstock Conversion Rates'!$B$4)/12</f>
        <v>2.8125</v>
      </c>
      <c r="CS289" s="106">
        <f t="shared" si="231"/>
        <v>12.3375</v>
      </c>
      <c r="CT289" s="104">
        <f>('Renewable Diesel'!AI298*'Feedstock Conversion Rates'!$B$4*'RD Feedstock Breakdown'!$CT$3)/12</f>
        <v>29.375</v>
      </c>
      <c r="CU289" s="106">
        <f t="shared" si="282"/>
        <v>29.375</v>
      </c>
      <c r="CV289" s="104">
        <f>('Renewable Diesel'!AN298*'Feedstock Conversion Rates'!$B$3*'RD Feedstock Breakdown'!$CV$3)/12</f>
        <v>0.50062499999999999</v>
      </c>
      <c r="CW289" s="106">
        <f t="shared" si="255"/>
        <v>0.50062499999999999</v>
      </c>
      <c r="CX289" s="104">
        <f>('Renewable Diesel'!AO298*'RD Feedstock Breakdown'!$CX$3*'Feedstock Conversion Rates'!$B$3)/12</f>
        <v>6.3412499999999996</v>
      </c>
      <c r="CY289" s="104">
        <f>('Renewable Diesel'!AO298*'RD Feedstock Breakdown'!$CY$3*'Feedstock Conversion Rates'!$B$6)/12</f>
        <v>7.4258333333333342</v>
      </c>
      <c r="CZ289" s="106">
        <f t="shared" si="233"/>
        <v>13.767083333333334</v>
      </c>
      <c r="DA289" s="104">
        <f>('Renewable Diesel'!$AP298*'RD Feedstock Breakdown'!DA$3*'Feedstock Conversion Rates'!$B$3)/12</f>
        <v>6.3412499999999996</v>
      </c>
      <c r="DB289" s="104">
        <f>('Renewable Diesel'!$AP298*'RD Feedstock Breakdown'!DB$3*'Feedstock Conversion Rates'!$B$8)/12</f>
        <v>7.421875</v>
      </c>
      <c r="DC289" s="106">
        <f t="shared" si="260"/>
        <v>13.763124999999999</v>
      </c>
      <c r="DD289" s="104">
        <f>('Renewable Diesel'!AQ298*$DD$3*'Feedstock Conversion Rates'!$B$14)/12</f>
        <v>3.1041666666666665</v>
      </c>
      <c r="DE289" s="106">
        <f t="shared" si="261"/>
        <v>3.1041666666666665</v>
      </c>
      <c r="DF289" s="104">
        <f>('Renewable Diesel'!AR298*'Feedstock Conversion Rates'!$B$4*$DF$3)/12</f>
        <v>75</v>
      </c>
      <c r="DG289" s="106">
        <f t="shared" si="234"/>
        <v>75</v>
      </c>
      <c r="DH289" s="104">
        <f>('Renewable Diesel'!AS298*'Feedstock Conversion Rates'!$B$4*$DH$3)/12</f>
        <v>75</v>
      </c>
      <c r="DI289" s="106">
        <f t="shared" si="240"/>
        <v>75</v>
      </c>
      <c r="DJ289" s="104">
        <f>('Renewable Diesel'!AT298*'Feedstock Conversion Rates'!$B$4*0.25)/12</f>
        <v>8.59375</v>
      </c>
      <c r="DK289" s="104">
        <f>('Renewable Diesel'!$AT298*'RD Feedstock Breakdown'!DK$3*'Feedstock Conversion Rates'!$B$3)/12*0.5</f>
        <v>9.1781249999999996</v>
      </c>
      <c r="DL289" s="104">
        <f>('Renewable Diesel'!$AT298*'RD Feedstock Breakdown'!$DL$3*'Feedstock Conversion Rates'!$B$6)/12</f>
        <v>10.747916666666669</v>
      </c>
      <c r="DM289" s="104">
        <f>('Renewable Diesel'!$AT298*'RD Feedstock Breakdown'!$DM$3*'Feedstock Conversion Rates'!$B$8)/12</f>
        <v>10.7421875</v>
      </c>
      <c r="DN289" s="106">
        <f t="shared" si="297"/>
        <v>39.26197916666667</v>
      </c>
      <c r="DP289" s="104">
        <f t="shared" si="265"/>
        <v>13.220250000000007</v>
      </c>
      <c r="DQ289" s="104">
        <f t="shared" si="266"/>
        <v>912.11776750000001</v>
      </c>
      <c r="DR289" s="104">
        <f t="shared" si="271"/>
        <v>1652.453125</v>
      </c>
      <c r="DS289" s="104">
        <f t="shared" si="283"/>
        <v>223.90124999999998</v>
      </c>
      <c r="DT289" s="104">
        <f t="shared" si="267"/>
        <v>228.03923333333341</v>
      </c>
      <c r="DU289" s="104">
        <f t="shared" si="268"/>
        <v>255.40610000000004</v>
      </c>
      <c r="DV289" s="104">
        <f t="shared" si="272"/>
        <v>34.75</v>
      </c>
      <c r="DW289" s="104">
        <f t="shared" si="269"/>
        <v>3</v>
      </c>
      <c r="DX289" s="106">
        <f t="shared" si="273"/>
        <v>3322.8877258333337</v>
      </c>
      <c r="DY289" s="109">
        <f t="shared" si="257"/>
        <v>-5.631051180898794E-13</v>
      </c>
      <c r="EA289" s="110">
        <f t="shared" si="250"/>
        <v>3.9785424879754411E-3</v>
      </c>
      <c r="EB289" s="110">
        <f t="shared" si="250"/>
        <v>0.27449551196354482</v>
      </c>
      <c r="EC289" s="110">
        <f t="shared" si="250"/>
        <v>0.49729429982037321</v>
      </c>
      <c r="ED289" s="110">
        <f t="shared" si="250"/>
        <v>6.7381527296065558E-2</v>
      </c>
      <c r="EE289" s="110">
        <f t="shared" si="250"/>
        <v>6.8626824662318189E-2</v>
      </c>
      <c r="EF289" s="110">
        <f t="shared" si="250"/>
        <v>7.6862693257548381E-2</v>
      </c>
      <c r="EG289" s="110">
        <f t="shared" si="250"/>
        <v>1.0457771332398896E-2</v>
      </c>
      <c r="EH289" s="111">
        <f t="shared" si="274"/>
        <v>9.0282917977544427E-4</v>
      </c>
      <c r="EI289" s="110">
        <f t="shared" si="236"/>
        <v>0.99909717082022442</v>
      </c>
      <c r="EK289" s="132">
        <f>(EA289*'Renewable Diesel'!BF298*'Feedstock Conversion Rates'!B$2)+FB289</f>
        <v>63.192642212461891</v>
      </c>
      <c r="EL289" s="132">
        <f>(EB289*'Renewable Diesel'!BF298*'Feedstock Conversion Rates'!B$3)+FC289</f>
        <v>4108.5762613764609</v>
      </c>
      <c r="EM289" s="132">
        <f>(EC289*'Renewable Diesel'!BF298*'Feedstock Conversion Rates'!B$4)+FD289</f>
        <v>6969.4472117299665</v>
      </c>
      <c r="EN289" s="132">
        <f>(ED289*'Renewable Diesel'!BF298*'Feedstock Conversion Rates'!B$5)+FE289</f>
        <v>950.62972641485555</v>
      </c>
      <c r="EO289" s="132">
        <f>(EE289*'Renewable Diesel'!BF298*'Feedstock Conversion Rates'!B$6)+FF289</f>
        <v>1202.8745365566706</v>
      </c>
      <c r="EP289" s="132">
        <f>(EF289*'Renewable Diesel'!BF298*'Feedstock Conversion Rates'!B$7)+FG289</f>
        <v>1321.3778232355967</v>
      </c>
      <c r="EQ289" s="132">
        <f>(EG289*'Renewable Diesel'!BF298*'Feedstock Conversion Rates'!B$8)+FH289</f>
        <v>183.20360116691384</v>
      </c>
      <c r="ER289" s="132">
        <f>(EH289*'Renewable Diesel'!BF298*'Feedstock Conversion Rates'!B$9)+FI289</f>
        <v>15.605256387167337</v>
      </c>
      <c r="ES289" s="132">
        <f t="shared" si="275"/>
        <v>14814.907059080093</v>
      </c>
      <c r="ET289" s="133">
        <f>ES289/'Renewable Diesel'!BF298</f>
        <v>16.225019258615916</v>
      </c>
      <c r="EW289" s="73">
        <f t="shared" si="223"/>
        <v>11970.077620499107</v>
      </c>
      <c r="EX289" s="73">
        <f t="shared" si="224"/>
        <v>10420.561867304588</v>
      </c>
      <c r="EY289" s="92">
        <f t="shared" si="258"/>
        <v>0.80797520853582516</v>
      </c>
      <c r="EZ289" s="92">
        <f t="shared" si="258"/>
        <v>0.70338354643391432</v>
      </c>
      <c r="FB289" s="102">
        <f>IF('Renewable Diesel'!$BG298&lt;1,0,(((('Renewable Diesel'!$BG298-1)*'Renewable Diesel'!$BF298)*'RD Feedstock Breakdown'!EA289)*'Feedstock Conversion Rates'!$B$2))</f>
        <v>32.314110845012735</v>
      </c>
      <c r="FC289" s="102">
        <f>IF('Renewable Diesel'!$BG298&lt;1,0,(((('Renewable Diesel'!$BG298-1)*'Renewable Diesel'!$BF298)*'RD Feedstock Breakdown'!EB289)*'Feedstock Conversion Rates'!$B$3))</f>
        <v>2100.9564417156953</v>
      </c>
      <c r="FD289" s="102">
        <f>IF('Renewable Diesel'!$BG298&lt;1,0,(((('Renewable Diesel'!$BG298-1)*'Renewable Diesel'!$BF298)*'RD Feedstock Breakdown'!EC289)*'Feedstock Conversion Rates'!$B$4))</f>
        <v>3563.8878490175603</v>
      </c>
      <c r="FE289" s="102">
        <f>IF('Renewable Diesel'!$BG298&lt;1,0,(((('Renewable Diesel'!$BG298-1)*'Renewable Diesel'!$BF298)*'RD Feedstock Breakdown'!ED289)*'Feedstock Conversion Rates'!$B$5))</f>
        <v>486.11283333672486</v>
      </c>
      <c r="FF289" s="102">
        <f>IF('Renewable Diesel'!$BG298&lt;1,0,(((('Renewable Diesel'!$BG298-1)*'Renewable Diesel'!$BF298)*'RD Feedstock Breakdown'!EE289)*'Feedstock Conversion Rates'!$B$6))</f>
        <v>615.10042539842186</v>
      </c>
      <c r="FG289" s="102">
        <f>IF('Renewable Diesel'!$BG298&lt;1,0,(((('Renewable Diesel'!$BG298-1)*'Renewable Diesel'!$BF298)*'RD Feedstock Breakdown'!EF289)*'Feedstock Conversion Rates'!$B$7))</f>
        <v>675.69811853437955</v>
      </c>
      <c r="FH289" s="102">
        <f>IF('Renewable Diesel'!$BG298&lt;1,0,(((('Renewable Diesel'!$BG298-1)*'Renewable Diesel'!$BF298)*'RD Feedstock Breakdown'!EG289)*'Feedstock Conversion Rates'!$B$8))</f>
        <v>93.682765398685831</v>
      </c>
      <c r="FI289" s="102">
        <f>IF('Renewable Diesel'!$BG298&lt;1,0,(((('Renewable Diesel'!$BG298-1)*'Renewable Diesel'!$BF298)*'RD Feedstock Breakdown'!EH289)*'Feedstock Conversion Rates'!$B$9))</f>
        <v>7.97988447712547</v>
      </c>
      <c r="FJ289" s="102">
        <f t="shared" si="225"/>
        <v>7575.7324287236061</v>
      </c>
      <c r="GD289" s="91">
        <f>'Renewable Diesel'!BB298*0.32</f>
        <v>0</v>
      </c>
      <c r="GE289" s="91">
        <f>'Renewable Diesel'!BC298</f>
        <v>572.11171976345895</v>
      </c>
      <c r="GF289" s="91">
        <f>'Renewable Diesel'!BD298</f>
        <v>0</v>
      </c>
      <c r="GG289" s="91">
        <f t="shared" si="295"/>
        <v>572.11171976345895</v>
      </c>
      <c r="GH289" s="124">
        <v>1</v>
      </c>
      <c r="GI289" s="102">
        <f>$GG289*EA289*'Feedstock Conversion Rates'!$B$2</f>
        <v>19.347451672054774</v>
      </c>
      <c r="GJ289" s="102">
        <f>$GG289*EB289*'Feedstock Conversion Rates'!$B$3</f>
        <v>1257.9072163286862</v>
      </c>
      <c r="GK289" s="102">
        <f>$GG289*EC289*'Feedstock Conversion Rates'!$B$4</f>
        <v>2133.8092282409916</v>
      </c>
      <c r="GL289" s="102">
        <f>$GG289*ED289*'Feedstock Conversion Rates'!$B$5</f>
        <v>291.05069903538595</v>
      </c>
      <c r="GM289" s="102">
        <f>$GG289*EE289*'Feedstock Conversion Rates'!$B$6</f>
        <v>368.27953617337437</v>
      </c>
      <c r="GN289" s="102">
        <f>$GG289*EF289*'Feedstock Conversion Rates'!$B$7</f>
        <v>404.56123815209043</v>
      </c>
      <c r="GO289" s="102">
        <f>$GG289*EG289*'Feedstock Conversion Rates'!$B$8</f>
        <v>56.090751955047487</v>
      </c>
      <c r="GP289" s="102">
        <f>$GG289*EH289*'Feedstock Conversion Rates'!B$9</f>
        <v>4.7778021809191529</v>
      </c>
      <c r="GQ289" s="102">
        <f t="shared" si="276"/>
        <v>4535.8239237385496</v>
      </c>
      <c r="GR289" s="85">
        <f t="shared" si="293"/>
        <v>7.9282136111700305</v>
      </c>
      <c r="GT289" s="103">
        <f t="shared" si="254"/>
        <v>4.2654767904015279E-3</v>
      </c>
      <c r="GU289" s="103">
        <f t="shared" si="254"/>
        <v>0.27732717086863562</v>
      </c>
      <c r="GV289" s="103">
        <f t="shared" si="254"/>
        <v>0.47043475763544362</v>
      </c>
      <c r="GW289" s="103">
        <f t="shared" si="254"/>
        <v>6.4167106997287046E-2</v>
      </c>
      <c r="GX289" s="103">
        <f t="shared" si="253"/>
        <v>8.1193525667069624E-2</v>
      </c>
      <c r="GY289" s="103">
        <f t="shared" si="253"/>
        <v>8.9192447712705764E-2</v>
      </c>
      <c r="GZ289" s="103">
        <f t="shared" si="253"/>
        <v>1.2366166080983135E-2</v>
      </c>
      <c r="HA289" s="103">
        <f t="shared" si="251"/>
        <v>1.0533482474736713E-3</v>
      </c>
    </row>
    <row r="290" spans="1:209" x14ac:dyDescent="0.25">
      <c r="A290" s="96">
        <v>49249</v>
      </c>
      <c r="B290" s="104">
        <f t="shared" ref="B290:B300" si="303">115.75+145+100+235+31.5-21-287-20-28-32-70-39-47+40+20-3-10+50+12.5-65-1-1-15+20-130+20+50</f>
        <v>70.75</v>
      </c>
      <c r="C290" s="104">
        <f t="shared" ref="C290:C300" si="304">50-1+20-50</f>
        <v>19</v>
      </c>
      <c r="D290" s="104">
        <f t="shared" si="288"/>
        <v>2</v>
      </c>
      <c r="E290" s="104">
        <f>('Renewable Diesel'!B299*E$3*'Feedstock Conversion Rates'!$B$2)/12+26+13-100+27.5+39-90</f>
        <v>5.4300000000000068</v>
      </c>
      <c r="F290" s="104">
        <f>('Renewable Diesel'!B299*'RD Feedstock Breakdown'!F$3*'Feedstock Conversion Rates'!B$8)/12+77+23-10-12-115.75+24+8+1+15-40-20</f>
        <v>4.15625</v>
      </c>
      <c r="G290" s="104">
        <f>('Renewable Diesel'!B299*'RD Feedstock Breakdown'!G$3*'Feedstock Conversion Rates'!B$7)/12+116.75-39-57.5-145-31.5+32+70-40+10-50-12.5-25</f>
        <v>4.4070000000000391</v>
      </c>
      <c r="H290" s="104">
        <f>('Renewable Diesel'!B299*'RD Feedstock Breakdown'!H$3*'Feedstock Conversion Rates'!B$3)/12+67+10+12+3-235+20+47-20+65+25+130+90</f>
        <v>390.40022499999998</v>
      </c>
      <c r="I290" s="106">
        <f t="shared" si="291"/>
        <v>496.14347500000002</v>
      </c>
      <c r="J290" s="104">
        <f t="shared" ref="J290:J300" si="305">54-15-35+10+45+7</f>
        <v>66</v>
      </c>
      <c r="K290" s="104"/>
      <c r="L290" s="104">
        <v>1</v>
      </c>
      <c r="M290" s="104">
        <f>('Renewable Diesel'!C299*'RD Feedstock Breakdown'!M$3*'Feedstock Conversion Rates'!B$2)/12</f>
        <v>7.7902500000000003</v>
      </c>
      <c r="N290" s="104">
        <f>('Renewable Diesel'!C299*'RD Feedstock Breakdown'!N$3*'Feedstock Conversion Rates'!B$8)/12</f>
        <v>3.671875</v>
      </c>
      <c r="O290" s="104">
        <f>('Renewable Diesel'!C299*'RD Feedstock Breakdown'!O$3*'Feedstock Conversion Rates'!B$7)/12</f>
        <v>11.9991</v>
      </c>
      <c r="P290" s="104">
        <f>('Renewable Diesel'!C299*'RD Feedstock Breakdown'!P$3*'Feedstock Conversion Rates'!B$3)/12</f>
        <v>10.4470425</v>
      </c>
      <c r="Q290" s="106">
        <f t="shared" si="299"/>
        <v>100.90826749999999</v>
      </c>
      <c r="R290" s="104">
        <f>('Renewable Diesel'!D299*'RD Feedstock Breakdown'!R$3*'Feedstock Conversion Rates'!B$7)/12</f>
        <v>2.2999999999999998</v>
      </c>
      <c r="S290" s="106">
        <f t="shared" si="249"/>
        <v>2.2999999999999998</v>
      </c>
      <c r="T290" s="104">
        <f t="shared" si="300"/>
        <v>0.82499999999999929</v>
      </c>
      <c r="U290" s="104"/>
      <c r="V290" s="104">
        <f>('Renewable Diesel'!E299*'RD Feedstock Breakdown'!V$3*'Feedstock Conversion Rates'!B$6)/12-20+25</f>
        <v>49.250150000000012</v>
      </c>
      <c r="W290" s="104">
        <f>('Renewable Diesel'!E299*'RD Feedstock Breakdown'!W$3*'Feedstock Conversion Rates'!B$8)/12-6</f>
        <v>16.1796875</v>
      </c>
      <c r="X290" s="106">
        <f t="shared" si="277"/>
        <v>66.254837500000008</v>
      </c>
      <c r="Y290" s="104">
        <f t="shared" si="301"/>
        <v>98</v>
      </c>
      <c r="Z290" s="104">
        <f>('Renewable Diesel'!F299*'RD Feedstock Breakdown'!Z$3*'Feedstock Conversion Rates'!B$6)/12-142+15+5</f>
        <v>37.460000000000008</v>
      </c>
      <c r="AA290" s="104">
        <f>('Renewable Diesel'!F299*'RD Feedstock Breakdown'!AA$3*'Feedstock Conversion Rates'!B$7)/12+24</f>
        <v>128.26666666666665</v>
      </c>
      <c r="AB290" s="106">
        <f t="shared" si="235"/>
        <v>263.72666666666669</v>
      </c>
      <c r="AC290" s="104">
        <f>('Renewable Diesel'!G299*'RD Feedstock Breakdown'!AC$3*'Feedstock Conversion Rates'!B$5)/12</f>
        <v>11.796875</v>
      </c>
      <c r="AD290" s="104">
        <f>('Renewable Diesel'!G299*'RD Feedstock Breakdown'!AD$3*'Feedstock Conversion Rates'!B$4)/12</f>
        <v>5.859375</v>
      </c>
      <c r="AE290" s="104">
        <f>('Renewable Diesel'!G299*'RD Feedstock Breakdown'!AE$3*'Feedstock Conversion Rates'!B$6)/12</f>
        <v>7.3281250000000009</v>
      </c>
      <c r="AF290" s="106">
        <f t="shared" si="284"/>
        <v>24.984375</v>
      </c>
      <c r="AG290" s="104">
        <f t="shared" ref="AG290:AG353" si="306">130+20-51+49</f>
        <v>148</v>
      </c>
      <c r="AH290" s="104"/>
      <c r="AI290" s="104">
        <f>('Renewable Diesel'!H299*'RD Feedstock Breakdown'!AI$3*'Feedstock Conversion Rates'!B$6)/12-130-20+51-49</f>
        <v>0.51666666666667993</v>
      </c>
      <c r="AJ290" s="106">
        <f t="shared" si="248"/>
        <v>148.51666666666668</v>
      </c>
      <c r="AK290" s="104">
        <f>('Renewable Diesel'!J299*'RD Feedstock Breakdown'!AK$3*'Feedstock Conversion Rates'!B$4)/12</f>
        <v>95.8125</v>
      </c>
      <c r="AL290" s="106">
        <f t="shared" si="252"/>
        <v>95.8125</v>
      </c>
      <c r="AM290" s="104">
        <f>('Renewable Diesel'!K299*'RD Feedstock Breakdown'!AM$3*'Feedstock Conversion Rates'!B$4)/12+5+15-10</f>
        <v>68.59375</v>
      </c>
      <c r="AN290" s="104">
        <f>('Renewable Diesel'!K299*'RD Feedstock Breakdown'!AN$3*'Feedstock Conversion Rates'!B$6)/12-5-15+10</f>
        <v>14.427083333333332</v>
      </c>
      <c r="AO290" s="106">
        <f t="shared" si="270"/>
        <v>83.020833333333329</v>
      </c>
      <c r="AP290" s="104">
        <f>('Renewable Diesel'!L299*'RD Feedstock Breakdown'!AP$3*'Feedstock Conversion Rates'!B$4)/12+15-10</f>
        <v>63.59375</v>
      </c>
      <c r="AQ290" s="104">
        <f>('Renewable Diesel'!L299*'RD Feedstock Breakdown'!AQ$3*'Feedstock Conversion Rates'!B$6)/12-15+10</f>
        <v>19.427083333333332</v>
      </c>
      <c r="AR290" s="106">
        <f t="shared" si="256"/>
        <v>83.020833333333329</v>
      </c>
      <c r="AS290" s="104">
        <f>('Renewable Diesel'!M299*'RD Feedstock Breakdown'!AS$3*'Feedstock Conversion Rates'!B$4)/12-25</f>
        <v>431.25</v>
      </c>
      <c r="AT290" s="104">
        <f>('Renewable Diesel'!M299*'RD Feedstock Breakdown'!AT$3*'Feedstock Conversion Rates'!B$5)/12+25</f>
        <v>25</v>
      </c>
      <c r="AU290" s="106">
        <f t="shared" si="290"/>
        <v>456.25</v>
      </c>
      <c r="AV290" s="104">
        <f>'Renewable Diesel'!N299*'RD Feedstock Breakdown'!$AV$3*'Feedstock Conversion Rates'!$B$4/12-15-10+25+25-22+25</f>
        <v>106.74999999999999</v>
      </c>
      <c r="AW290" s="104">
        <f>'Renewable Diesel'!N299*'RD Feedstock Breakdown'!$AW$3*'Feedstock Conversion Rates'!$B$7/12+15+10-25-25+22-25</f>
        <v>13.400000000000006</v>
      </c>
      <c r="AX290" s="106">
        <f t="shared" si="239"/>
        <v>120.14999999999999</v>
      </c>
      <c r="AY290" s="104">
        <f>('Renewable Diesel'!O299*'RD Feedstock Breakdown'!AY$3*'Feedstock Conversion Rates'!B$4)/12-90-258</f>
        <v>-137.0625</v>
      </c>
      <c r="AZ290" s="104">
        <f>('Renewable Diesel'!O299*'RD Feedstock Breakdown'!AZ$3*'Feedstock Conversion Rates'!B$3)/12+90+258</f>
        <v>373.03125</v>
      </c>
      <c r="BA290" s="106">
        <f t="shared" si="302"/>
        <v>235.96875</v>
      </c>
      <c r="BB290" s="104">
        <f>('Renewable Diesel'!Q299*'RD Feedstock Breakdown'!BB$3*'Feedstock Conversion Rates'!B$4)/12</f>
        <v>11.156249999999998</v>
      </c>
      <c r="BC290" s="104">
        <f>('Renewable Diesel'!Q299*'RD Feedstock Breakdown'!BC$3*'Feedstock Conversion Rates'!B$3)/12</f>
        <v>1.4017500000000001</v>
      </c>
      <c r="BD290" s="104">
        <f>('Renewable Diesel'!Q299*'RD Feedstock Breakdown'!BD$3*'Feedstock Conversion Rates'!B$6)/12</f>
        <v>0.8207500000000002</v>
      </c>
      <c r="BE290" s="106">
        <f t="shared" si="279"/>
        <v>13.378749999999998</v>
      </c>
      <c r="BF290" s="104">
        <f>('Renewable Diesel'!R299*'RD Feedstock Breakdown'!BF$3*'Feedstock Conversion Rates'!B$4)/12</f>
        <v>62.5</v>
      </c>
      <c r="BG290" s="106">
        <f t="shared" si="262"/>
        <v>62.5</v>
      </c>
      <c r="BH290" s="104">
        <f>('Renewable Diesel'!T299*'RD Feedstock Breakdown'!BH$3*'Feedstock Conversion Rates'!B$7)/12</f>
        <v>27.599999999999998</v>
      </c>
      <c r="BI290" s="106">
        <f t="shared" si="243"/>
        <v>27.599999999999998</v>
      </c>
      <c r="BJ290" s="104">
        <f>('Renewable Diesel'!W299*'RD Feedstock Breakdown'!BJ$3*'Feedstock Conversion Rates'!B$4)/12</f>
        <v>7.5</v>
      </c>
      <c r="BK290" s="104">
        <f>('Renewable Diesel'!W299*'RD Feedstock Breakdown'!BK$3*'Feedstock Conversion Rates'!B$3)/12</f>
        <v>1.335</v>
      </c>
      <c r="BL290" s="104">
        <f>('Renewable Diesel'!W299*'RD Feedstock Breakdown'!BL$3*'Feedstock Conversion Rates'!B$6)/12</f>
        <v>3.1266666666666669</v>
      </c>
      <c r="BM290" s="104">
        <f>('Renewable Diesel'!W299*'RD Feedstock Breakdown'!BM$3*'Feedstock Conversion Rates'!B$7)/12</f>
        <v>1.5333333333333332</v>
      </c>
      <c r="BN290" s="106">
        <f t="shared" si="296"/>
        <v>13.495000000000001</v>
      </c>
      <c r="BO290" s="104">
        <f>('Renewable Diesel'!P299*'Feedstock Conversion Rates'!B$4)/12</f>
        <v>31.25</v>
      </c>
      <c r="BP290" s="106">
        <f t="shared" si="285"/>
        <v>31.25</v>
      </c>
      <c r="BQ290" s="104">
        <f>('Renewable Diesel'!$S299*'RD Feedstock Breakdown'!BQ$3*'Feedstock Conversion Rates'!B$4)/12+10+15-15</f>
        <v>38.125</v>
      </c>
      <c r="BR290" s="104">
        <f>('Renewable Diesel'!$S299*'RD Feedstock Breakdown'!BR$3*'Feedstock Conversion Rates'!B$7)/12-10-15+15</f>
        <v>1.5</v>
      </c>
      <c r="BS290" s="106">
        <f t="shared" si="222"/>
        <v>39.625</v>
      </c>
      <c r="BT290" s="106"/>
      <c r="BU290" s="104">
        <f>('Renewable Diesel'!Y299*'Feedstock Conversion Rates'!B$7)/12</f>
        <v>2.6833333333333331</v>
      </c>
      <c r="BV290" s="106">
        <f t="shared" si="281"/>
        <v>2.6833333333333331</v>
      </c>
      <c r="BW290" s="104">
        <f>('Renewable Diesel'!$Z299*'RD Feedstock Breakdown'!BW$3*'Feedstock Conversion Rates'!$B$4)/12</f>
        <v>71.875</v>
      </c>
      <c r="BX290" s="104">
        <f>('Renewable Diesel'!$Z299*'RD Feedstock Breakdown'!BX$3*'Feedstock Conversion Rates'!$B$5)/12</f>
        <v>7.2354166666666666</v>
      </c>
      <c r="BY290" s="104">
        <f>('Renewable Diesel'!$Z299*'RD Feedstock Breakdown'!BY$3*'Feedstock Conversion Rates'!$B$7)/12</f>
        <v>61.716666666666661</v>
      </c>
      <c r="BZ290" s="104">
        <f>('Renewable Diesel'!$Z299*'RD Feedstock Breakdown'!BZ$3*'Feedstock Conversion Rates'!$B$3)/12</f>
        <v>15.352499999999999</v>
      </c>
      <c r="CA290" s="106">
        <f t="shared" si="228"/>
        <v>156.17958333333331</v>
      </c>
      <c r="CB290" s="104">
        <f>('Renewable Diesel'!AA299*'Feedstock Conversion Rates'!B$4)/12</f>
        <v>191.25</v>
      </c>
      <c r="CC290" s="106">
        <f t="shared" si="298"/>
        <v>191.25</v>
      </c>
      <c r="CD290" s="104">
        <f>('Renewable Diesel'!$AB299*'RD Feedstock Breakdown'!CD$3*'Feedstock Conversion Rates'!$B$6)/12-15-5</f>
        <v>12.830000000000005</v>
      </c>
      <c r="CE290" s="104">
        <f>('Renewable Diesel'!$AB299*'RD Feedstock Breakdown'!CE$3*'Feedstock Conversion Rates'!$B$4)/12+15+5</f>
        <v>31.25</v>
      </c>
      <c r="CF290" s="106">
        <f t="shared" si="294"/>
        <v>44.080000000000005</v>
      </c>
      <c r="CG290" s="104">
        <f>('Renewable Diesel'!AD299*'Feedstock Conversion Rates'!B$4)/12</f>
        <v>112.5</v>
      </c>
      <c r="CH290" s="106">
        <f t="shared" si="278"/>
        <v>112.5</v>
      </c>
      <c r="CI290" s="104">
        <f>('Renewable Diesel'!$AE299*'RD Feedstock Breakdown'!CI$3*'Feedstock Conversion Rates'!$B$5)/12</f>
        <v>0.34604166666666664</v>
      </c>
      <c r="CJ290" s="104">
        <f>('Renewable Diesel'!$AE299*'RD Feedstock Breakdown'!CJ$3*'Feedstock Conversion Rates'!$B$4)/12</f>
        <v>0.34375</v>
      </c>
      <c r="CK290" s="106">
        <f t="shared" si="286"/>
        <v>0.68979166666666658</v>
      </c>
      <c r="CL290" s="104">
        <f>(((CL$3*'Renewable Diesel'!$AF299)*'Feedstock Conversion Rates'!$B$3)/12)</f>
        <v>91.78125</v>
      </c>
      <c r="CM290" s="104">
        <f>(((CM$3*'Renewable Diesel'!$AF299)*'Feedstock Conversion Rates'!$B$6)/12)</f>
        <v>53.739583333333336</v>
      </c>
      <c r="CN290" s="104">
        <f>(((CN$3*'Renewable Diesel'!$AF299)*'Feedstock Conversion Rates'!$B$4)/12)</f>
        <v>42.96875</v>
      </c>
      <c r="CO290" s="106">
        <f t="shared" si="280"/>
        <v>188.48958333333334</v>
      </c>
      <c r="CP290" s="104">
        <f>('Renewable Diesel'!$AG299*'RD Feedstock Breakdown'!CP$3*'Feedstock Conversion Rates'!$B$3)/12</f>
        <v>6.0075000000000003</v>
      </c>
      <c r="CQ290" s="104">
        <f>('Renewable Diesel'!$AG299*'RD Feedstock Breakdown'!CQ$3*'Feedstock Conversion Rates'!$B$6)/12</f>
        <v>3.5175000000000001</v>
      </c>
      <c r="CR290" s="104">
        <f>('Renewable Diesel'!$AG299*'RD Feedstock Breakdown'!CR$3*'Feedstock Conversion Rates'!$B$4)/12</f>
        <v>2.8125</v>
      </c>
      <c r="CS290" s="106">
        <f t="shared" si="231"/>
        <v>12.3375</v>
      </c>
      <c r="CT290" s="104">
        <f>('Renewable Diesel'!AI299*'Feedstock Conversion Rates'!$B$4*'RD Feedstock Breakdown'!$CT$3)/12</f>
        <v>29.375</v>
      </c>
      <c r="CU290" s="106">
        <f t="shared" si="282"/>
        <v>29.375</v>
      </c>
      <c r="CV290" s="104">
        <f>('Renewable Diesel'!AN299*'Feedstock Conversion Rates'!$B$3*'RD Feedstock Breakdown'!$CV$3)/12</f>
        <v>0.50062499999999999</v>
      </c>
      <c r="CW290" s="106">
        <f t="shared" si="255"/>
        <v>0.50062499999999999</v>
      </c>
      <c r="CX290" s="104">
        <f>('Renewable Diesel'!AO299*'RD Feedstock Breakdown'!$CX$3*'Feedstock Conversion Rates'!$B$3)/12</f>
        <v>6.3412499999999996</v>
      </c>
      <c r="CY290" s="104">
        <f>('Renewable Diesel'!AO299*'RD Feedstock Breakdown'!$CY$3*'Feedstock Conversion Rates'!$B$6)/12</f>
        <v>7.4258333333333342</v>
      </c>
      <c r="CZ290" s="106">
        <f t="shared" si="233"/>
        <v>13.767083333333334</v>
      </c>
      <c r="DA290" s="104">
        <f>('Renewable Diesel'!$AP299*'RD Feedstock Breakdown'!DA$3*'Feedstock Conversion Rates'!$B$3)/12</f>
        <v>6.3412499999999996</v>
      </c>
      <c r="DB290" s="104">
        <f>('Renewable Diesel'!$AP299*'RD Feedstock Breakdown'!DB$3*'Feedstock Conversion Rates'!$B$8)/12</f>
        <v>7.421875</v>
      </c>
      <c r="DC290" s="106">
        <f t="shared" si="260"/>
        <v>13.763124999999999</v>
      </c>
      <c r="DD290" s="104">
        <f>('Renewable Diesel'!AQ299*$DD$3*'Feedstock Conversion Rates'!$B$14)/12</f>
        <v>3.1041666666666665</v>
      </c>
      <c r="DE290" s="106">
        <f t="shared" si="261"/>
        <v>3.1041666666666665</v>
      </c>
      <c r="DF290" s="104">
        <f>('Renewable Diesel'!AR299*'Feedstock Conversion Rates'!$B$4*$DF$3)/12</f>
        <v>75</v>
      </c>
      <c r="DG290" s="106">
        <f t="shared" si="234"/>
        <v>75</v>
      </c>
      <c r="DH290" s="104">
        <f>('Renewable Diesel'!AS299*'Feedstock Conversion Rates'!$B$4*$DH$3)/12</f>
        <v>75</v>
      </c>
      <c r="DI290" s="106">
        <f t="shared" si="240"/>
        <v>75</v>
      </c>
      <c r="DJ290" s="104">
        <f>('Renewable Diesel'!AT299*'Feedstock Conversion Rates'!$B$4*0.25)/12</f>
        <v>8.59375</v>
      </c>
      <c r="DK290" s="104">
        <f>('Renewable Diesel'!$AT299*'RD Feedstock Breakdown'!DK$3*'Feedstock Conversion Rates'!$B$3)/12*0.5</f>
        <v>9.1781249999999996</v>
      </c>
      <c r="DL290" s="104">
        <f>('Renewable Diesel'!$AT299*'RD Feedstock Breakdown'!$DL$3*'Feedstock Conversion Rates'!$B$6)/12</f>
        <v>10.747916666666669</v>
      </c>
      <c r="DM290" s="104">
        <f>('Renewable Diesel'!$AT299*'RD Feedstock Breakdown'!$DM$3*'Feedstock Conversion Rates'!$B$8)/12</f>
        <v>10.7421875</v>
      </c>
      <c r="DN290" s="106">
        <f t="shared" si="297"/>
        <v>39.26197916666667</v>
      </c>
      <c r="DP290" s="104">
        <f t="shared" si="265"/>
        <v>13.220250000000007</v>
      </c>
      <c r="DQ290" s="104">
        <f t="shared" si="266"/>
        <v>912.11776750000001</v>
      </c>
      <c r="DR290" s="104">
        <f t="shared" si="271"/>
        <v>1652.453125</v>
      </c>
      <c r="DS290" s="104">
        <f t="shared" si="283"/>
        <v>223.90124999999998</v>
      </c>
      <c r="DT290" s="104">
        <f t="shared" si="267"/>
        <v>228.03923333333341</v>
      </c>
      <c r="DU290" s="104">
        <f t="shared" si="268"/>
        <v>255.40610000000004</v>
      </c>
      <c r="DV290" s="104">
        <f t="shared" si="272"/>
        <v>34.75</v>
      </c>
      <c r="DW290" s="104">
        <f t="shared" si="269"/>
        <v>3</v>
      </c>
      <c r="DX290" s="106">
        <f t="shared" si="273"/>
        <v>3322.8877258333337</v>
      </c>
      <c r="DY290" s="109">
        <f t="shared" si="257"/>
        <v>-5.631051180898794E-13</v>
      </c>
      <c r="EA290" s="110">
        <f t="shared" si="250"/>
        <v>3.9785424879754411E-3</v>
      </c>
      <c r="EB290" s="110">
        <f t="shared" si="250"/>
        <v>0.27449551196354482</v>
      </c>
      <c r="EC290" s="110">
        <f t="shared" si="250"/>
        <v>0.49729429982037321</v>
      </c>
      <c r="ED290" s="110">
        <f t="shared" si="250"/>
        <v>6.7381527296065558E-2</v>
      </c>
      <c r="EE290" s="110">
        <f t="shared" si="250"/>
        <v>6.8626824662318189E-2</v>
      </c>
      <c r="EF290" s="110">
        <f t="shared" si="250"/>
        <v>7.6862693257548381E-2</v>
      </c>
      <c r="EG290" s="110">
        <f t="shared" si="250"/>
        <v>1.0457771332398896E-2</v>
      </c>
      <c r="EH290" s="111">
        <f t="shared" si="274"/>
        <v>9.0282917977544427E-4</v>
      </c>
      <c r="EI290" s="110">
        <f t="shared" si="236"/>
        <v>0.99909717082022442</v>
      </c>
      <c r="EK290" s="132">
        <f>(EA290*'Renewable Diesel'!BF299*'Feedstock Conversion Rates'!B$2)+FB290</f>
        <v>60.664513763722795</v>
      </c>
      <c r="EL290" s="132">
        <f>(EB290*'Renewable Diesel'!BF299*'Feedstock Conversion Rates'!B$3)+FC290</f>
        <v>3944.2057244510152</v>
      </c>
      <c r="EM290" s="132">
        <f>(EC290*'Renewable Diesel'!BF299*'Feedstock Conversion Rates'!B$4)+FD290</f>
        <v>6690.6226974974343</v>
      </c>
      <c r="EN290" s="132">
        <f>(ED290*'Renewable Diesel'!BF299*'Feedstock Conversion Rates'!B$5)+FE290</f>
        <v>912.5981776233649</v>
      </c>
      <c r="EO290" s="132">
        <f>(EE290*'Renewable Diesel'!BF299*'Feedstock Conversion Rates'!B$6)+FF290</f>
        <v>1154.7515078358824</v>
      </c>
      <c r="EP290" s="132">
        <f>(EF290*'Renewable Diesel'!BF299*'Feedstock Conversion Rates'!B$7)+FG290</f>
        <v>1268.5138702579179</v>
      </c>
      <c r="EQ290" s="132">
        <f>(EG290*'Renewable Diesel'!BF299*'Feedstock Conversion Rates'!B$8)+FH290</f>
        <v>175.87423148390053</v>
      </c>
      <c r="ER290" s="132">
        <f>(EH290*'Renewable Diesel'!BF299*'Feedstock Conversion Rates'!B$9)+FI290</f>
        <v>14.980941732153831</v>
      </c>
      <c r="ES290" s="132">
        <f t="shared" si="275"/>
        <v>14222.211664645392</v>
      </c>
      <c r="ET290" s="133">
        <f>ES290/'Renewable Diesel'!BF299</f>
        <v>15.638644405027584</v>
      </c>
      <c r="EW290" s="73">
        <f t="shared" si="223"/>
        <v>11351.890315368781</v>
      </c>
      <c r="EX290" s="73">
        <f t="shared" si="224"/>
        <v>9882.3983513336498</v>
      </c>
      <c r="EY290" s="92">
        <f t="shared" si="258"/>
        <v>0.79818038031230643</v>
      </c>
      <c r="EZ290" s="92">
        <f t="shared" si="258"/>
        <v>0.69485664989082074</v>
      </c>
      <c r="FB290" s="102">
        <f>IF('Renewable Diesel'!$BG299&lt;1,0,(((('Renewable Diesel'!$BG299-1)*'Renewable Diesel'!$BF299)*'RD Feedstock Breakdown'!EA290)*'Feedstock Conversion Rates'!$B$2))</f>
        <v>29.909851704782628</v>
      </c>
      <c r="FC290" s="102">
        <f>IF('Renewable Diesel'!$BG299&lt;1,0,(((('Renewable Diesel'!$BG299-1)*'Renewable Diesel'!$BF299)*'RD Feedstock Breakdown'!EB290)*'Feedstock Conversion Rates'!$B$3))</f>
        <v>1944.6394768935029</v>
      </c>
      <c r="FD290" s="102">
        <f>IF('Renewable Diesel'!$BG299&lt;1,0,(((('Renewable Diesel'!$BG299-1)*'Renewable Diesel'!$BF299)*'RD Feedstock Breakdown'!EC290)*'Feedstock Conversion Rates'!$B$4))</f>
        <v>3298.7247449837719</v>
      </c>
      <c r="FE290" s="102">
        <f>IF('Renewable Diesel'!$BG299&lt;1,0,(((('Renewable Diesel'!$BG299-1)*'Renewable Diesel'!$BF299)*'RD Feedstock Breakdown'!ED290)*'Feedstock Conversion Rates'!$B$5))</f>
        <v>449.94469526420994</v>
      </c>
      <c r="FF290" s="102">
        <f>IF('Renewable Diesel'!$BG299&lt;1,0,(((('Renewable Diesel'!$BG299-1)*'Renewable Diesel'!$BF299)*'RD Feedstock Breakdown'!EE290)*'Feedstock Conversion Rates'!$B$6))</f>
        <v>569.33525404598686</v>
      </c>
      <c r="FG290" s="102">
        <f>IF('Renewable Diesel'!$BG299&lt;1,0,(((('Renewable Diesel'!$BG299-1)*'Renewable Diesel'!$BF299)*'RD Feedstock Breakdown'!EF290)*'Feedstock Conversion Rates'!$B$7))</f>
        <v>625.42431136343907</v>
      </c>
      <c r="FH290" s="102">
        <f>IF('Renewable Diesel'!$BG299&lt;1,0,(((('Renewable Diesel'!$BG299-1)*'Renewable Diesel'!$BF299)*'RD Feedstock Breakdown'!EG290)*'Feedstock Conversion Rates'!$B$8))</f>
        <v>86.712508780079673</v>
      </c>
      <c r="FI290" s="102">
        <f>IF('Renewable Diesel'!$BG299&lt;1,0,(((('Renewable Diesel'!$BG299-1)*'Renewable Diesel'!$BF299)*'RD Feedstock Breakdown'!EH290)*'Feedstock Conversion Rates'!$B$9))</f>
        <v>7.3861590212672183</v>
      </c>
      <c r="FJ290" s="102">
        <f t="shared" si="225"/>
        <v>7012.0770020570408</v>
      </c>
      <c r="GD290" s="91">
        <f>'Renewable Diesel'!BB299*0.32</f>
        <v>0</v>
      </c>
      <c r="GE290" s="91">
        <f>'Renewable Diesel'!BC299</f>
        <v>495.14602060505655</v>
      </c>
      <c r="GF290" s="91">
        <f>'Renewable Diesel'!BD299</f>
        <v>0</v>
      </c>
      <c r="GG290" s="91">
        <f t="shared" si="295"/>
        <v>495.14602060505655</v>
      </c>
      <c r="GH290" s="124">
        <v>1</v>
      </c>
      <c r="GI290" s="102">
        <f>$GG290*EA290*'Feedstock Conversion Rates'!$B$2</f>
        <v>16.744655586198036</v>
      </c>
      <c r="GJ290" s="102">
        <f>$GG290*EB290*'Feedstock Conversion Rates'!$B$3</f>
        <v>1088.6820369858024</v>
      </c>
      <c r="GK290" s="102">
        <f>$GG290*EC290*'Feedstock Conversion Rates'!$B$4</f>
        <v>1846.7497021922677</v>
      </c>
      <c r="GL290" s="102">
        <f>$GG290*ED290*'Feedstock Conversion Rates'!$B$5</f>
        <v>251.89589802718078</v>
      </c>
      <c r="GM290" s="102">
        <f>$GG290*EE290*'Feedstock Conversion Rates'!$B$6</f>
        <v>318.73520591732728</v>
      </c>
      <c r="GN290" s="102">
        <f>$GG290*EF290*'Feedstock Conversion Rates'!$B$7</f>
        <v>350.13596163505213</v>
      </c>
      <c r="GO290" s="102">
        <f>$GG290*EG290*'Feedstock Conversion Rates'!$B$8</f>
        <v>48.544911184077691</v>
      </c>
      <c r="GP290" s="102">
        <f>$GG290*EH290*'Feedstock Conversion Rates'!B$9</f>
        <v>4.1350485497804303</v>
      </c>
      <c r="GQ290" s="102">
        <f t="shared" si="276"/>
        <v>3925.6234200776867</v>
      </c>
      <c r="GR290" s="85">
        <f t="shared" si="293"/>
        <v>7.9282136111700323</v>
      </c>
      <c r="GT290" s="103">
        <f t="shared" si="254"/>
        <v>4.2654767904015279E-3</v>
      </c>
      <c r="GU290" s="103">
        <f t="shared" si="254"/>
        <v>0.27732717086863562</v>
      </c>
      <c r="GV290" s="103">
        <f t="shared" si="254"/>
        <v>0.47043475763544362</v>
      </c>
      <c r="GW290" s="103">
        <f t="shared" si="254"/>
        <v>6.416710699728706E-2</v>
      </c>
      <c r="GX290" s="103">
        <f t="shared" si="253"/>
        <v>8.119352566706961E-2</v>
      </c>
      <c r="GY290" s="103">
        <f t="shared" si="253"/>
        <v>8.919244771270575E-2</v>
      </c>
      <c r="GZ290" s="103">
        <f t="shared" si="253"/>
        <v>1.2366166080983135E-2</v>
      </c>
      <c r="HA290" s="103">
        <f t="shared" si="251"/>
        <v>1.0533482474736713E-3</v>
      </c>
    </row>
    <row r="291" spans="1:209" x14ac:dyDescent="0.25">
      <c r="A291" s="96">
        <v>49279</v>
      </c>
      <c r="B291" s="104">
        <f t="shared" si="303"/>
        <v>70.75</v>
      </c>
      <c r="C291" s="104">
        <f t="shared" si="304"/>
        <v>19</v>
      </c>
      <c r="D291" s="104">
        <f t="shared" si="288"/>
        <v>2</v>
      </c>
      <c r="E291" s="104">
        <f>('Renewable Diesel'!B300*E$3*'Feedstock Conversion Rates'!$B$2)/12+26+13-100+27.5+39-90</f>
        <v>5.4300000000000068</v>
      </c>
      <c r="F291" s="104">
        <f>('Renewable Diesel'!B300*'RD Feedstock Breakdown'!F$3*'Feedstock Conversion Rates'!B$8)/12+77+23-10-12-115.75+24+8+1+15-40-20</f>
        <v>4.15625</v>
      </c>
      <c r="G291" s="104">
        <f>('Renewable Diesel'!B300*'RD Feedstock Breakdown'!G$3*'Feedstock Conversion Rates'!B$7)/12+116.75-39-57.5-145-31.5+32+70-40+10-50-12.5-25</f>
        <v>4.4070000000000391</v>
      </c>
      <c r="H291" s="104">
        <f>('Renewable Diesel'!B300*'RD Feedstock Breakdown'!H$3*'Feedstock Conversion Rates'!B$3)/12+67+10+12+3-235+20+47-20+65+25+130+90</f>
        <v>390.40022499999998</v>
      </c>
      <c r="I291" s="106">
        <f t="shared" si="291"/>
        <v>496.14347500000002</v>
      </c>
      <c r="J291" s="104">
        <f t="shared" si="305"/>
        <v>66</v>
      </c>
      <c r="K291" s="104"/>
      <c r="L291" s="104">
        <v>1</v>
      </c>
      <c r="M291" s="104">
        <f>('Renewable Diesel'!C300*'RD Feedstock Breakdown'!M$3*'Feedstock Conversion Rates'!B$2)/12</f>
        <v>7.7902500000000003</v>
      </c>
      <c r="N291" s="104">
        <f>('Renewable Diesel'!C300*'RD Feedstock Breakdown'!N$3*'Feedstock Conversion Rates'!B$8)/12</f>
        <v>3.671875</v>
      </c>
      <c r="O291" s="104">
        <f>('Renewable Diesel'!C300*'RD Feedstock Breakdown'!O$3*'Feedstock Conversion Rates'!B$7)/12</f>
        <v>11.9991</v>
      </c>
      <c r="P291" s="104">
        <f>('Renewable Diesel'!C300*'RD Feedstock Breakdown'!P$3*'Feedstock Conversion Rates'!B$3)/12</f>
        <v>10.4470425</v>
      </c>
      <c r="Q291" s="106">
        <f t="shared" si="299"/>
        <v>100.90826749999999</v>
      </c>
      <c r="R291" s="104">
        <f>('Renewable Diesel'!D300*'RD Feedstock Breakdown'!R$3*'Feedstock Conversion Rates'!B$7)/12</f>
        <v>2.2999999999999998</v>
      </c>
      <c r="S291" s="106">
        <f t="shared" si="249"/>
        <v>2.2999999999999998</v>
      </c>
      <c r="T291" s="104">
        <f t="shared" si="300"/>
        <v>0.82499999999999929</v>
      </c>
      <c r="U291" s="104"/>
      <c r="V291" s="104">
        <f>('Renewable Diesel'!E300*'RD Feedstock Breakdown'!V$3*'Feedstock Conversion Rates'!B$6)/12-20+25</f>
        <v>49.250150000000012</v>
      </c>
      <c r="W291" s="104">
        <f>('Renewable Diesel'!E300*'RD Feedstock Breakdown'!W$3*'Feedstock Conversion Rates'!B$8)/12-6</f>
        <v>16.1796875</v>
      </c>
      <c r="X291" s="106">
        <f t="shared" si="277"/>
        <v>66.254837500000008</v>
      </c>
      <c r="Y291" s="104">
        <f t="shared" si="301"/>
        <v>98</v>
      </c>
      <c r="Z291" s="104">
        <f>('Renewable Diesel'!F300*'RD Feedstock Breakdown'!Z$3*'Feedstock Conversion Rates'!B$6)/12-142+15+5</f>
        <v>37.460000000000008</v>
      </c>
      <c r="AA291" s="104">
        <f>('Renewable Diesel'!F300*'RD Feedstock Breakdown'!AA$3*'Feedstock Conversion Rates'!B$7)/12+24</f>
        <v>128.26666666666665</v>
      </c>
      <c r="AB291" s="106">
        <f t="shared" si="235"/>
        <v>263.72666666666669</v>
      </c>
      <c r="AC291" s="104">
        <f>('Renewable Diesel'!G300*'RD Feedstock Breakdown'!AC$3*'Feedstock Conversion Rates'!B$5)/12</f>
        <v>11.796875</v>
      </c>
      <c r="AD291" s="104">
        <f>('Renewable Diesel'!G300*'RD Feedstock Breakdown'!AD$3*'Feedstock Conversion Rates'!B$4)/12</f>
        <v>5.859375</v>
      </c>
      <c r="AE291" s="104">
        <f>('Renewable Diesel'!G300*'RD Feedstock Breakdown'!AE$3*'Feedstock Conversion Rates'!B$6)/12</f>
        <v>7.3281250000000009</v>
      </c>
      <c r="AF291" s="106">
        <f t="shared" si="284"/>
        <v>24.984375</v>
      </c>
      <c r="AG291" s="104">
        <f t="shared" si="306"/>
        <v>148</v>
      </c>
      <c r="AH291" s="104"/>
      <c r="AI291" s="104">
        <f>('Renewable Diesel'!H300*'RD Feedstock Breakdown'!AI$3*'Feedstock Conversion Rates'!B$6)/12-130-20+51-49</f>
        <v>0.51666666666667993</v>
      </c>
      <c r="AJ291" s="106">
        <f t="shared" si="248"/>
        <v>148.51666666666668</v>
      </c>
      <c r="AK291" s="104">
        <f>('Renewable Diesel'!J300*'RD Feedstock Breakdown'!AK$3*'Feedstock Conversion Rates'!B$4)/12</f>
        <v>95.8125</v>
      </c>
      <c r="AL291" s="106">
        <f t="shared" si="252"/>
        <v>95.8125</v>
      </c>
      <c r="AM291" s="104">
        <f>('Renewable Diesel'!K300*'RD Feedstock Breakdown'!AM$3*'Feedstock Conversion Rates'!B$4)/12+5+15-10</f>
        <v>68.59375</v>
      </c>
      <c r="AN291" s="104">
        <f>('Renewable Diesel'!K300*'RD Feedstock Breakdown'!AN$3*'Feedstock Conversion Rates'!B$6)/12-5-15+10</f>
        <v>14.427083333333332</v>
      </c>
      <c r="AO291" s="106">
        <f t="shared" si="270"/>
        <v>83.020833333333329</v>
      </c>
      <c r="AP291" s="104">
        <f>('Renewable Diesel'!L300*'RD Feedstock Breakdown'!AP$3*'Feedstock Conversion Rates'!B$4)/12+15-10</f>
        <v>63.59375</v>
      </c>
      <c r="AQ291" s="104">
        <f>('Renewable Diesel'!L300*'RD Feedstock Breakdown'!AQ$3*'Feedstock Conversion Rates'!B$6)/12-15+10</f>
        <v>19.427083333333332</v>
      </c>
      <c r="AR291" s="106">
        <f t="shared" si="256"/>
        <v>83.020833333333329</v>
      </c>
      <c r="AS291" s="104">
        <f>('Renewable Diesel'!M300*'RD Feedstock Breakdown'!AS$3*'Feedstock Conversion Rates'!B$4)/12-25</f>
        <v>431.25</v>
      </c>
      <c r="AT291" s="104">
        <f>('Renewable Diesel'!M300*'RD Feedstock Breakdown'!AT$3*'Feedstock Conversion Rates'!B$5)/12+25</f>
        <v>25</v>
      </c>
      <c r="AU291" s="106">
        <f t="shared" si="290"/>
        <v>456.25</v>
      </c>
      <c r="AV291" s="104">
        <f>'Renewable Diesel'!N300*'RD Feedstock Breakdown'!$AV$3*'Feedstock Conversion Rates'!$B$4/12-15-10+25+25-22+25</f>
        <v>106.74999999999999</v>
      </c>
      <c r="AW291" s="104">
        <f>'Renewable Diesel'!N300*'RD Feedstock Breakdown'!$AW$3*'Feedstock Conversion Rates'!$B$7/12+15+10-25-25+22-25</f>
        <v>13.400000000000006</v>
      </c>
      <c r="AX291" s="106">
        <f t="shared" si="239"/>
        <v>120.14999999999999</v>
      </c>
      <c r="AY291" s="104">
        <f>('Renewable Diesel'!O300*'RD Feedstock Breakdown'!AY$3*'Feedstock Conversion Rates'!B$4)/12-90-258</f>
        <v>-137.0625</v>
      </c>
      <c r="AZ291" s="104">
        <f>('Renewable Diesel'!O300*'RD Feedstock Breakdown'!AZ$3*'Feedstock Conversion Rates'!B$3)/12+90+258</f>
        <v>373.03125</v>
      </c>
      <c r="BA291" s="106">
        <f t="shared" si="302"/>
        <v>235.96875</v>
      </c>
      <c r="BB291" s="104">
        <f>('Renewable Diesel'!Q300*'RD Feedstock Breakdown'!BB$3*'Feedstock Conversion Rates'!B$4)/12</f>
        <v>11.156249999999998</v>
      </c>
      <c r="BC291" s="104">
        <f>('Renewable Diesel'!Q300*'RD Feedstock Breakdown'!BC$3*'Feedstock Conversion Rates'!B$3)/12</f>
        <v>1.4017500000000001</v>
      </c>
      <c r="BD291" s="104">
        <f>('Renewable Diesel'!Q300*'RD Feedstock Breakdown'!BD$3*'Feedstock Conversion Rates'!B$6)/12</f>
        <v>0.8207500000000002</v>
      </c>
      <c r="BE291" s="106">
        <f t="shared" si="279"/>
        <v>13.378749999999998</v>
      </c>
      <c r="BF291" s="104">
        <f>('Renewable Diesel'!R300*'RD Feedstock Breakdown'!BF$3*'Feedstock Conversion Rates'!B$4)/12</f>
        <v>62.5</v>
      </c>
      <c r="BG291" s="106">
        <f t="shared" si="262"/>
        <v>62.5</v>
      </c>
      <c r="BH291" s="104">
        <f>('Renewable Diesel'!T300*'RD Feedstock Breakdown'!BH$3*'Feedstock Conversion Rates'!B$7)/12</f>
        <v>27.599999999999998</v>
      </c>
      <c r="BI291" s="106">
        <f t="shared" si="243"/>
        <v>27.599999999999998</v>
      </c>
      <c r="BJ291" s="104">
        <f>('Renewable Diesel'!W300*'RD Feedstock Breakdown'!BJ$3*'Feedstock Conversion Rates'!B$4)/12</f>
        <v>7.5</v>
      </c>
      <c r="BK291" s="104">
        <f>('Renewable Diesel'!W300*'RD Feedstock Breakdown'!BK$3*'Feedstock Conversion Rates'!B$3)/12</f>
        <v>1.335</v>
      </c>
      <c r="BL291" s="104">
        <f>('Renewable Diesel'!W300*'RD Feedstock Breakdown'!BL$3*'Feedstock Conversion Rates'!B$6)/12</f>
        <v>3.1266666666666669</v>
      </c>
      <c r="BM291" s="104">
        <f>('Renewable Diesel'!W300*'RD Feedstock Breakdown'!BM$3*'Feedstock Conversion Rates'!B$7)/12</f>
        <v>1.5333333333333332</v>
      </c>
      <c r="BN291" s="106">
        <f t="shared" si="296"/>
        <v>13.495000000000001</v>
      </c>
      <c r="BO291" s="104">
        <f>('Renewable Diesel'!P300*'Feedstock Conversion Rates'!B$4)/12</f>
        <v>31.25</v>
      </c>
      <c r="BP291" s="106">
        <f t="shared" si="285"/>
        <v>31.25</v>
      </c>
      <c r="BQ291" s="104">
        <f>('Renewable Diesel'!$S300*'RD Feedstock Breakdown'!BQ$3*'Feedstock Conversion Rates'!B$4)/12+10+15-15</f>
        <v>38.125</v>
      </c>
      <c r="BR291" s="104">
        <f>('Renewable Diesel'!$S300*'RD Feedstock Breakdown'!BR$3*'Feedstock Conversion Rates'!B$7)/12-10-15+15</f>
        <v>1.5</v>
      </c>
      <c r="BS291" s="106">
        <f t="shared" si="222"/>
        <v>39.625</v>
      </c>
      <c r="BT291" s="106"/>
      <c r="BU291" s="104">
        <f>('Renewable Diesel'!Y300*'Feedstock Conversion Rates'!B$7)/12</f>
        <v>2.6833333333333331</v>
      </c>
      <c r="BV291" s="106">
        <f t="shared" si="281"/>
        <v>2.6833333333333331</v>
      </c>
      <c r="BW291" s="104">
        <f>('Renewable Diesel'!$Z300*'RD Feedstock Breakdown'!BW$3*'Feedstock Conversion Rates'!$B$4)/12</f>
        <v>71.875</v>
      </c>
      <c r="BX291" s="104">
        <f>('Renewable Diesel'!$Z300*'RD Feedstock Breakdown'!BX$3*'Feedstock Conversion Rates'!$B$5)/12</f>
        <v>7.2354166666666666</v>
      </c>
      <c r="BY291" s="104">
        <f>('Renewable Diesel'!$Z300*'RD Feedstock Breakdown'!BY$3*'Feedstock Conversion Rates'!$B$7)/12</f>
        <v>61.716666666666661</v>
      </c>
      <c r="BZ291" s="104">
        <f>('Renewable Diesel'!$Z300*'RD Feedstock Breakdown'!BZ$3*'Feedstock Conversion Rates'!$B$3)/12</f>
        <v>15.352499999999999</v>
      </c>
      <c r="CA291" s="106">
        <f t="shared" si="228"/>
        <v>156.17958333333331</v>
      </c>
      <c r="CB291" s="104">
        <f>('Renewable Diesel'!AA300*'Feedstock Conversion Rates'!B$4)/12</f>
        <v>191.25</v>
      </c>
      <c r="CC291" s="106">
        <f t="shared" si="298"/>
        <v>191.25</v>
      </c>
      <c r="CD291" s="104">
        <f>('Renewable Diesel'!$AB300*'RD Feedstock Breakdown'!CD$3*'Feedstock Conversion Rates'!$B$6)/12-15-5</f>
        <v>12.830000000000005</v>
      </c>
      <c r="CE291" s="104">
        <f>('Renewable Diesel'!$AB300*'RD Feedstock Breakdown'!CE$3*'Feedstock Conversion Rates'!$B$4)/12+15+5</f>
        <v>31.25</v>
      </c>
      <c r="CF291" s="106">
        <f t="shared" si="294"/>
        <v>44.080000000000005</v>
      </c>
      <c r="CG291" s="104">
        <f>('Renewable Diesel'!AD300*'Feedstock Conversion Rates'!B$4)/12</f>
        <v>112.5</v>
      </c>
      <c r="CH291" s="106">
        <f t="shared" si="278"/>
        <v>112.5</v>
      </c>
      <c r="CI291" s="104">
        <f>('Renewable Diesel'!$AE300*'RD Feedstock Breakdown'!CI$3*'Feedstock Conversion Rates'!$B$5)/12</f>
        <v>0.34604166666666664</v>
      </c>
      <c r="CJ291" s="104">
        <f>('Renewable Diesel'!$AE300*'RD Feedstock Breakdown'!CJ$3*'Feedstock Conversion Rates'!$B$4)/12</f>
        <v>0.34375</v>
      </c>
      <c r="CK291" s="106">
        <f t="shared" si="286"/>
        <v>0.68979166666666658</v>
      </c>
      <c r="CL291" s="104">
        <f>(((CL$3*'Renewable Diesel'!$AF300)*'Feedstock Conversion Rates'!$B$3)/12)</f>
        <v>91.78125</v>
      </c>
      <c r="CM291" s="104">
        <f>(((CM$3*'Renewable Diesel'!$AF300)*'Feedstock Conversion Rates'!$B$6)/12)</f>
        <v>53.739583333333336</v>
      </c>
      <c r="CN291" s="104">
        <f>(((CN$3*'Renewable Diesel'!$AF300)*'Feedstock Conversion Rates'!$B$4)/12)</f>
        <v>42.96875</v>
      </c>
      <c r="CO291" s="106">
        <f t="shared" si="280"/>
        <v>188.48958333333334</v>
      </c>
      <c r="CP291" s="104">
        <f>('Renewable Diesel'!$AG300*'RD Feedstock Breakdown'!CP$3*'Feedstock Conversion Rates'!$B$3)/12</f>
        <v>6.0075000000000003</v>
      </c>
      <c r="CQ291" s="104">
        <f>('Renewable Diesel'!$AG300*'RD Feedstock Breakdown'!CQ$3*'Feedstock Conversion Rates'!$B$6)/12</f>
        <v>3.5175000000000001</v>
      </c>
      <c r="CR291" s="104">
        <f>('Renewable Diesel'!$AG300*'RD Feedstock Breakdown'!CR$3*'Feedstock Conversion Rates'!$B$4)/12</f>
        <v>2.8125</v>
      </c>
      <c r="CS291" s="106">
        <f t="shared" si="231"/>
        <v>12.3375</v>
      </c>
      <c r="CT291" s="104">
        <f>('Renewable Diesel'!AI300*'Feedstock Conversion Rates'!$B$4*'RD Feedstock Breakdown'!$CT$3)/12</f>
        <v>29.375</v>
      </c>
      <c r="CU291" s="106">
        <f t="shared" si="282"/>
        <v>29.375</v>
      </c>
      <c r="CV291" s="104">
        <f>('Renewable Diesel'!AN300*'Feedstock Conversion Rates'!$B$3*'RD Feedstock Breakdown'!$CV$3)/12</f>
        <v>0.50062499999999999</v>
      </c>
      <c r="CW291" s="106">
        <f t="shared" si="255"/>
        <v>0.50062499999999999</v>
      </c>
      <c r="CX291" s="104">
        <f>('Renewable Diesel'!AO300*'RD Feedstock Breakdown'!$CX$3*'Feedstock Conversion Rates'!$B$3)/12</f>
        <v>6.3412499999999996</v>
      </c>
      <c r="CY291" s="104">
        <f>('Renewable Diesel'!AO300*'RD Feedstock Breakdown'!$CY$3*'Feedstock Conversion Rates'!$B$6)/12</f>
        <v>7.4258333333333342</v>
      </c>
      <c r="CZ291" s="106">
        <f t="shared" si="233"/>
        <v>13.767083333333334</v>
      </c>
      <c r="DA291" s="104">
        <f>('Renewable Diesel'!$AP300*'RD Feedstock Breakdown'!DA$3*'Feedstock Conversion Rates'!$B$3)/12</f>
        <v>6.3412499999999996</v>
      </c>
      <c r="DB291" s="104">
        <f>('Renewable Diesel'!$AP300*'RD Feedstock Breakdown'!DB$3*'Feedstock Conversion Rates'!$B$8)/12</f>
        <v>7.421875</v>
      </c>
      <c r="DC291" s="106">
        <f t="shared" si="260"/>
        <v>13.763124999999999</v>
      </c>
      <c r="DD291" s="104">
        <f>('Renewable Diesel'!AQ300*$DD$3*'Feedstock Conversion Rates'!$B$14)/12</f>
        <v>3.1041666666666665</v>
      </c>
      <c r="DE291" s="106">
        <f t="shared" si="261"/>
        <v>3.1041666666666665</v>
      </c>
      <c r="DF291" s="104">
        <f>('Renewable Diesel'!AR300*'Feedstock Conversion Rates'!$B$4*$DF$3)/12</f>
        <v>75</v>
      </c>
      <c r="DG291" s="106">
        <f t="shared" si="234"/>
        <v>75</v>
      </c>
      <c r="DH291" s="104">
        <f>('Renewable Diesel'!AS300*'Feedstock Conversion Rates'!$B$4*$DH$3)/12</f>
        <v>75</v>
      </c>
      <c r="DI291" s="106">
        <f t="shared" si="240"/>
        <v>75</v>
      </c>
      <c r="DJ291" s="104">
        <f>('Renewable Diesel'!AT300*'Feedstock Conversion Rates'!$B$4*0.25)/12</f>
        <v>8.59375</v>
      </c>
      <c r="DK291" s="104">
        <f>('Renewable Diesel'!$AT300*'RD Feedstock Breakdown'!DK$3*'Feedstock Conversion Rates'!$B$3)/12*0.5</f>
        <v>9.1781249999999996</v>
      </c>
      <c r="DL291" s="104">
        <f>('Renewable Diesel'!$AT300*'RD Feedstock Breakdown'!$DL$3*'Feedstock Conversion Rates'!$B$6)/12</f>
        <v>10.747916666666669</v>
      </c>
      <c r="DM291" s="104">
        <f>('Renewable Diesel'!$AT300*'RD Feedstock Breakdown'!$DM$3*'Feedstock Conversion Rates'!$B$8)/12</f>
        <v>10.7421875</v>
      </c>
      <c r="DN291" s="106">
        <f t="shared" si="297"/>
        <v>39.26197916666667</v>
      </c>
      <c r="DP291" s="104">
        <f t="shared" si="265"/>
        <v>13.220250000000007</v>
      </c>
      <c r="DQ291" s="104">
        <f t="shared" si="266"/>
        <v>912.11776750000001</v>
      </c>
      <c r="DR291" s="104">
        <f t="shared" si="271"/>
        <v>1652.453125</v>
      </c>
      <c r="DS291" s="104">
        <f t="shared" si="283"/>
        <v>223.90124999999998</v>
      </c>
      <c r="DT291" s="104">
        <f t="shared" si="267"/>
        <v>228.03923333333341</v>
      </c>
      <c r="DU291" s="104">
        <f t="shared" si="268"/>
        <v>255.40610000000004</v>
      </c>
      <c r="DV291" s="104">
        <f t="shared" si="272"/>
        <v>34.75</v>
      </c>
      <c r="DW291" s="104">
        <f t="shared" si="269"/>
        <v>3</v>
      </c>
      <c r="DX291" s="106">
        <f t="shared" si="273"/>
        <v>3322.8877258333337</v>
      </c>
      <c r="DY291" s="109">
        <f t="shared" si="257"/>
        <v>-5.631051180898794E-13</v>
      </c>
      <c r="EA291" s="110">
        <f t="shared" si="250"/>
        <v>3.9785424879754411E-3</v>
      </c>
      <c r="EB291" s="110">
        <f t="shared" si="250"/>
        <v>0.27449551196354482</v>
      </c>
      <c r="EC291" s="110">
        <f t="shared" si="250"/>
        <v>0.49729429982037321</v>
      </c>
      <c r="ED291" s="110">
        <f t="shared" si="250"/>
        <v>6.7381527296065558E-2</v>
      </c>
      <c r="EE291" s="110">
        <f t="shared" si="250"/>
        <v>6.8626824662318189E-2</v>
      </c>
      <c r="EF291" s="110">
        <f t="shared" si="250"/>
        <v>7.6862693257548381E-2</v>
      </c>
      <c r="EG291" s="110">
        <f t="shared" si="250"/>
        <v>1.0457771332398896E-2</v>
      </c>
      <c r="EH291" s="111">
        <f t="shared" si="274"/>
        <v>9.0282917977544427E-4</v>
      </c>
      <c r="EI291" s="110">
        <f t="shared" si="236"/>
        <v>0.99909717082022442</v>
      </c>
      <c r="EK291" s="132">
        <f>(EA291*'Renewable Diesel'!BF300*'Feedstock Conversion Rates'!B$2)+FB291</f>
        <v>63.45767791406719</v>
      </c>
      <c r="EL291" s="132">
        <f>(EB291*'Renewable Diesel'!BF300*'Feedstock Conversion Rates'!B$3)+FC291</f>
        <v>4125.8080047236017</v>
      </c>
      <c r="EM291" s="132">
        <f>(EC291*'Renewable Diesel'!BF300*'Feedstock Conversion Rates'!B$4)+FD291</f>
        <v>6998.6777086183811</v>
      </c>
      <c r="EN291" s="132">
        <f>(ED291*'Renewable Diesel'!BF300*'Feedstock Conversion Rates'!B$5)+FE291</f>
        <v>954.61675413969942</v>
      </c>
      <c r="EO291" s="132">
        <f>(EE291*'Renewable Diesel'!BF300*'Feedstock Conversion Rates'!B$6)+FF291</f>
        <v>1207.9195020079896</v>
      </c>
      <c r="EP291" s="132">
        <f>(EF291*'Renewable Diesel'!BF300*'Feedstock Conversion Rates'!B$7)+FG291</f>
        <v>1326.9198022731161</v>
      </c>
      <c r="EQ291" s="132">
        <f>(EG291*'Renewable Diesel'!BF300*'Feedstock Conversion Rates'!B$8)+FH291</f>
        <v>183.97197376967102</v>
      </c>
      <c r="ER291" s="132">
        <f>(EH291*'Renewable Diesel'!BF300*'Feedstock Conversion Rates'!B$9)+FI291</f>
        <v>15.670706254912982</v>
      </c>
      <c r="ES291" s="132">
        <f t="shared" si="275"/>
        <v>14877.042129701436</v>
      </c>
      <c r="ET291" s="133">
        <f>ES291/'Renewable Diesel'!BF300</f>
        <v>16.259008262520847</v>
      </c>
      <c r="EW291" s="73">
        <f t="shared" si="223"/>
        <v>12028.40543515944</v>
      </c>
      <c r="EX291" s="73">
        <f t="shared" si="224"/>
        <v>10471.339198957961</v>
      </c>
      <c r="EY291" s="92">
        <f t="shared" si="258"/>
        <v>0.80852129948232088</v>
      </c>
      <c r="EZ291" s="92">
        <f t="shared" si="258"/>
        <v>0.70385894639985858</v>
      </c>
      <c r="FB291" s="102">
        <f>IF('Renewable Diesel'!$BG300&lt;1,0,(((('Renewable Diesel'!$BG300-1)*'Renewable Diesel'!$BF300)*'RD Feedstock Breakdown'!EA291)*'Feedstock Conversion Rates'!$B$2))</f>
        <v>32.514460612721884</v>
      </c>
      <c r="FC291" s="102">
        <f>IF('Renewable Diesel'!$BG300&lt;1,0,(((('Renewable Diesel'!$BG300-1)*'Renewable Diesel'!$BF300)*'RD Feedstock Breakdown'!EB291)*'Feedstock Conversion Rates'!$B$3))</f>
        <v>2113.9825199229426</v>
      </c>
      <c r="FD291" s="102">
        <f>IF('Renewable Diesel'!$BG300&lt;1,0,(((('Renewable Diesel'!$BG300-1)*'Renewable Diesel'!$BF300)*'RD Feedstock Breakdown'!EC291)*'Feedstock Conversion Rates'!$B$4))</f>
        <v>3585.9842051920127</v>
      </c>
      <c r="FE291" s="102">
        <f>IF('Renewable Diesel'!$BG300&lt;1,0,(((('Renewable Diesel'!$BG300-1)*'Renewable Diesel'!$BF300)*'RD Feedstock Breakdown'!ED291)*'Feedstock Conversion Rates'!$B$5))</f>
        <v>489.12676720934707</v>
      </c>
      <c r="FF291" s="102">
        <f>IF('Renewable Diesel'!$BG300&lt;1,0,(((('Renewable Diesel'!$BG300-1)*'Renewable Diesel'!$BF300)*'RD Feedstock Breakdown'!EE291)*'Feedstock Conversion Rates'!$B$6))</f>
        <v>618.91409144473334</v>
      </c>
      <c r="FG291" s="102">
        <f>IF('Renewable Diesel'!$BG300&lt;1,0,(((('Renewable Diesel'!$BG300-1)*'Renewable Diesel'!$BF300)*'RD Feedstock Breakdown'!EF291)*'Feedstock Conversion Rates'!$B$7))</f>
        <v>679.88749455463187</v>
      </c>
      <c r="FH291" s="102">
        <f>IF('Renewable Diesel'!$BG300&lt;1,0,(((('Renewable Diesel'!$BG300-1)*'Renewable Diesel'!$BF300)*'RD Feedstock Breakdown'!EG291)*'Feedstock Conversion Rates'!$B$8))</f>
        <v>94.263605155533867</v>
      </c>
      <c r="FI291" s="102">
        <f>IF('Renewable Diesel'!$BG300&lt;1,0,(((('Renewable Diesel'!$BG300-1)*'Renewable Diesel'!$BF300)*'RD Feedstock Breakdown'!EH291)*'Feedstock Conversion Rates'!$B$9))</f>
        <v>8.0293603240397182</v>
      </c>
      <c r="FJ291" s="102">
        <f t="shared" si="225"/>
        <v>7622.7025044159636</v>
      </c>
      <c r="GD291" s="91">
        <f>'Renewable Diesel'!BB300*0.32</f>
        <v>0</v>
      </c>
      <c r="GE291" s="91">
        <f>'Renewable Diesel'!BC300</f>
        <v>444.93008194314382</v>
      </c>
      <c r="GF291" s="91">
        <f>'Renewable Diesel'!BD300</f>
        <v>0</v>
      </c>
      <c r="GG291" s="91">
        <f t="shared" si="295"/>
        <v>444.93008194314382</v>
      </c>
      <c r="GH291" s="124">
        <v>1</v>
      </c>
      <c r="GI291" s="102">
        <f>$GG291*EA291*'Feedstock Conversion Rates'!$B$2</f>
        <v>15.046472499108134</v>
      </c>
      <c r="GJ291" s="102">
        <f>$GG291*EB291*'Feedstock Conversion Rates'!$B$3</f>
        <v>978.27179815403133</v>
      </c>
      <c r="GK291" s="102">
        <f>$GG291*EC291*'Feedstock Conversion Rates'!$B$4</f>
        <v>1659.4589517670274</v>
      </c>
      <c r="GL291" s="102">
        <f>$GG291*ED291*'Feedstock Conversion Rates'!$B$5</f>
        <v>226.34951688275936</v>
      </c>
      <c r="GM291" s="102">
        <f>$GG291*EE291*'Feedstock Conversion Rates'!$B$6</f>
        <v>286.41022119831814</v>
      </c>
      <c r="GN291" s="102">
        <f>$GG291*EF291*'Feedstock Conversion Rates'!$B$7</f>
        <v>314.6264245669559</v>
      </c>
      <c r="GO291" s="102">
        <f>$GG291*EG291*'Feedstock Conversion Rates'!$B$8</f>
        <v>43.621659898752199</v>
      </c>
      <c r="GP291" s="102">
        <f>$GG291*EH291*'Feedstock Conversion Rates'!B$9</f>
        <v>3.7156867136778851</v>
      </c>
      <c r="GQ291" s="102">
        <f t="shared" si="276"/>
        <v>3527.5007316806305</v>
      </c>
      <c r="GR291" s="85">
        <f t="shared" si="293"/>
        <v>7.9282136111700323</v>
      </c>
      <c r="GT291" s="103">
        <f t="shared" si="254"/>
        <v>4.265476790401527E-3</v>
      </c>
      <c r="GU291" s="103">
        <f t="shared" si="254"/>
        <v>0.27732717086863562</v>
      </c>
      <c r="GV291" s="103">
        <f t="shared" si="254"/>
        <v>0.47043475763544368</v>
      </c>
      <c r="GW291" s="103">
        <f t="shared" si="254"/>
        <v>6.416710699728706E-2</v>
      </c>
      <c r="GX291" s="103">
        <f t="shared" si="253"/>
        <v>8.1193525667069624E-2</v>
      </c>
      <c r="GY291" s="103">
        <f t="shared" si="253"/>
        <v>8.919244771270575E-2</v>
      </c>
      <c r="GZ291" s="103">
        <f t="shared" si="253"/>
        <v>1.2366166080983136E-2</v>
      </c>
      <c r="HA291" s="103">
        <f t="shared" si="251"/>
        <v>1.0533482474736711E-3</v>
      </c>
    </row>
    <row r="292" spans="1:209" x14ac:dyDescent="0.25">
      <c r="A292" s="96">
        <v>49310</v>
      </c>
      <c r="B292" s="104">
        <f t="shared" si="303"/>
        <v>70.75</v>
      </c>
      <c r="C292" s="104">
        <f t="shared" si="304"/>
        <v>19</v>
      </c>
      <c r="D292" s="104">
        <f t="shared" si="288"/>
        <v>2</v>
      </c>
      <c r="E292" s="104">
        <f>('Renewable Diesel'!B301*E$3*'Feedstock Conversion Rates'!$B$2)/12+26+13-100+27.5+39-90</f>
        <v>5.4300000000000068</v>
      </c>
      <c r="F292" s="104">
        <f>('Renewable Diesel'!B301*'RD Feedstock Breakdown'!F$3*'Feedstock Conversion Rates'!B$8)/12+77+23-10-12-115.75+24+8+1+15-40-20</f>
        <v>4.15625</v>
      </c>
      <c r="G292" s="104">
        <f>('Renewable Diesel'!B301*'RD Feedstock Breakdown'!G$3*'Feedstock Conversion Rates'!B$7)/12+116.75-39-57.5-145-31.5+32+70-40+10-50-12.5-25</f>
        <v>4.4070000000000391</v>
      </c>
      <c r="H292" s="104">
        <f>('Renewable Diesel'!B301*'RD Feedstock Breakdown'!H$3*'Feedstock Conversion Rates'!B$3)/12+67+10+12+3-235+20+47-20+65+25+130+90</f>
        <v>390.40022499999998</v>
      </c>
      <c r="I292" s="106">
        <f t="shared" si="291"/>
        <v>496.14347500000002</v>
      </c>
      <c r="J292" s="104">
        <f t="shared" si="305"/>
        <v>66</v>
      </c>
      <c r="K292" s="104"/>
      <c r="L292" s="104">
        <v>1</v>
      </c>
      <c r="M292" s="104">
        <f>('Renewable Diesel'!C301*'RD Feedstock Breakdown'!M$3*'Feedstock Conversion Rates'!B$2)/12</f>
        <v>7.7902500000000003</v>
      </c>
      <c r="N292" s="104">
        <f>('Renewable Diesel'!C301*'RD Feedstock Breakdown'!N$3*'Feedstock Conversion Rates'!B$8)/12</f>
        <v>3.671875</v>
      </c>
      <c r="O292" s="104">
        <f>('Renewable Diesel'!C301*'RD Feedstock Breakdown'!O$3*'Feedstock Conversion Rates'!B$7)/12</f>
        <v>11.9991</v>
      </c>
      <c r="P292" s="104">
        <f>('Renewable Diesel'!C301*'RD Feedstock Breakdown'!P$3*'Feedstock Conversion Rates'!B$3)/12</f>
        <v>10.4470425</v>
      </c>
      <c r="Q292" s="106">
        <f t="shared" si="299"/>
        <v>100.90826749999999</v>
      </c>
      <c r="R292" s="104">
        <f>('Renewable Diesel'!D301*'RD Feedstock Breakdown'!R$3*'Feedstock Conversion Rates'!B$7)/12</f>
        <v>2.2999999999999998</v>
      </c>
      <c r="S292" s="106">
        <f t="shared" si="249"/>
        <v>2.2999999999999998</v>
      </c>
      <c r="T292" s="104">
        <f t="shared" si="300"/>
        <v>0.82499999999999929</v>
      </c>
      <c r="U292" s="104"/>
      <c r="V292" s="104">
        <f>('Renewable Diesel'!E301*'RD Feedstock Breakdown'!V$3*'Feedstock Conversion Rates'!B$6)/12-20+25</f>
        <v>49.250150000000012</v>
      </c>
      <c r="W292" s="104">
        <f>('Renewable Diesel'!E301*'RD Feedstock Breakdown'!W$3*'Feedstock Conversion Rates'!B$8)/12-6</f>
        <v>16.1796875</v>
      </c>
      <c r="X292" s="106">
        <f t="shared" si="277"/>
        <v>66.254837500000008</v>
      </c>
      <c r="Y292" s="104">
        <f t="shared" si="301"/>
        <v>98</v>
      </c>
      <c r="Z292" s="104">
        <f>('Renewable Diesel'!F301*'RD Feedstock Breakdown'!Z$3*'Feedstock Conversion Rates'!B$6)/12-142+15+5</f>
        <v>37.460000000000008</v>
      </c>
      <c r="AA292" s="104">
        <f>('Renewable Diesel'!F301*'RD Feedstock Breakdown'!AA$3*'Feedstock Conversion Rates'!B$7)/12+24</f>
        <v>128.26666666666665</v>
      </c>
      <c r="AB292" s="106">
        <f t="shared" si="235"/>
        <v>263.72666666666669</v>
      </c>
      <c r="AC292" s="104">
        <f>('Renewable Diesel'!G301*'RD Feedstock Breakdown'!AC$3*'Feedstock Conversion Rates'!B$5)/12</f>
        <v>11.796875</v>
      </c>
      <c r="AD292" s="104">
        <f>('Renewable Diesel'!G301*'RD Feedstock Breakdown'!AD$3*'Feedstock Conversion Rates'!B$4)/12</f>
        <v>5.859375</v>
      </c>
      <c r="AE292" s="104">
        <f>('Renewable Diesel'!G301*'RD Feedstock Breakdown'!AE$3*'Feedstock Conversion Rates'!B$6)/12</f>
        <v>7.3281250000000009</v>
      </c>
      <c r="AF292" s="106">
        <f t="shared" si="284"/>
        <v>24.984375</v>
      </c>
      <c r="AG292" s="104">
        <f t="shared" si="306"/>
        <v>148</v>
      </c>
      <c r="AH292" s="104"/>
      <c r="AI292" s="104">
        <f>('Renewable Diesel'!H301*'RD Feedstock Breakdown'!AI$3*'Feedstock Conversion Rates'!B$6)/12-130-20+51-49</f>
        <v>0.51666666666667993</v>
      </c>
      <c r="AJ292" s="106">
        <f t="shared" si="248"/>
        <v>148.51666666666668</v>
      </c>
      <c r="AK292" s="104">
        <f>('Renewable Diesel'!J301*'RD Feedstock Breakdown'!AK$3*'Feedstock Conversion Rates'!B$4)/12</f>
        <v>95.8125</v>
      </c>
      <c r="AL292" s="106">
        <f t="shared" si="252"/>
        <v>95.8125</v>
      </c>
      <c r="AM292" s="104">
        <f>('Renewable Diesel'!K301*'RD Feedstock Breakdown'!AM$3*'Feedstock Conversion Rates'!B$4)/12+5+15-10</f>
        <v>68.59375</v>
      </c>
      <c r="AN292" s="104">
        <f>('Renewable Diesel'!K301*'RD Feedstock Breakdown'!AN$3*'Feedstock Conversion Rates'!B$6)/12-5-15+10</f>
        <v>14.427083333333332</v>
      </c>
      <c r="AO292" s="106">
        <f t="shared" si="270"/>
        <v>83.020833333333329</v>
      </c>
      <c r="AP292" s="104">
        <f>('Renewable Diesel'!L301*'RD Feedstock Breakdown'!AP$3*'Feedstock Conversion Rates'!B$4)/12+15-10</f>
        <v>63.59375</v>
      </c>
      <c r="AQ292" s="104">
        <f>('Renewable Diesel'!L301*'RD Feedstock Breakdown'!AQ$3*'Feedstock Conversion Rates'!B$6)/12-15+10</f>
        <v>19.427083333333332</v>
      </c>
      <c r="AR292" s="106">
        <f t="shared" si="256"/>
        <v>83.020833333333329</v>
      </c>
      <c r="AS292" s="104">
        <f>('Renewable Diesel'!M301*'RD Feedstock Breakdown'!AS$3*'Feedstock Conversion Rates'!B$4)/12-25</f>
        <v>431.25</v>
      </c>
      <c r="AT292" s="104">
        <f>('Renewable Diesel'!M301*'RD Feedstock Breakdown'!AT$3*'Feedstock Conversion Rates'!B$5)/12+25</f>
        <v>25</v>
      </c>
      <c r="AU292" s="106">
        <f t="shared" si="290"/>
        <v>456.25</v>
      </c>
      <c r="AV292" s="104">
        <f>'Renewable Diesel'!N301*'RD Feedstock Breakdown'!$AV$3*'Feedstock Conversion Rates'!$B$4/12-15-10+25+25-22+25</f>
        <v>106.74999999999999</v>
      </c>
      <c r="AW292" s="104">
        <f>'Renewable Diesel'!N301*'RD Feedstock Breakdown'!$AW$3*'Feedstock Conversion Rates'!$B$7/12+15+10-25-25+22-25</f>
        <v>13.400000000000006</v>
      </c>
      <c r="AX292" s="106">
        <f t="shared" si="239"/>
        <v>120.14999999999999</v>
      </c>
      <c r="AY292" s="104">
        <f>('Renewable Diesel'!O301*'RD Feedstock Breakdown'!AY$3*'Feedstock Conversion Rates'!B$4)/12-90-258</f>
        <v>-137.0625</v>
      </c>
      <c r="AZ292" s="104">
        <f>('Renewable Diesel'!O301*'RD Feedstock Breakdown'!AZ$3*'Feedstock Conversion Rates'!B$3)/12+90+258</f>
        <v>373.03125</v>
      </c>
      <c r="BA292" s="106">
        <f t="shared" si="302"/>
        <v>235.96875</v>
      </c>
      <c r="BB292" s="104">
        <f>('Renewable Diesel'!Q301*'RD Feedstock Breakdown'!BB$3*'Feedstock Conversion Rates'!B$4)/12</f>
        <v>11.156249999999998</v>
      </c>
      <c r="BC292" s="104">
        <f>('Renewable Diesel'!Q301*'RD Feedstock Breakdown'!BC$3*'Feedstock Conversion Rates'!B$3)/12</f>
        <v>1.4017500000000001</v>
      </c>
      <c r="BD292" s="104">
        <f>('Renewable Diesel'!Q301*'RD Feedstock Breakdown'!BD$3*'Feedstock Conversion Rates'!B$6)/12</f>
        <v>0.8207500000000002</v>
      </c>
      <c r="BE292" s="106">
        <f t="shared" si="279"/>
        <v>13.378749999999998</v>
      </c>
      <c r="BF292" s="104">
        <f>('Renewable Diesel'!R301*'RD Feedstock Breakdown'!BF$3*'Feedstock Conversion Rates'!B$4)/12</f>
        <v>62.5</v>
      </c>
      <c r="BG292" s="106">
        <f t="shared" si="262"/>
        <v>62.5</v>
      </c>
      <c r="BH292" s="104">
        <f>('Renewable Diesel'!T301*'RD Feedstock Breakdown'!BH$3*'Feedstock Conversion Rates'!B$7)/12</f>
        <v>27.599999999999998</v>
      </c>
      <c r="BI292" s="106">
        <f t="shared" si="243"/>
        <v>27.599999999999998</v>
      </c>
      <c r="BJ292" s="104">
        <f>('Renewable Diesel'!W301*'RD Feedstock Breakdown'!BJ$3*'Feedstock Conversion Rates'!B$4)/12</f>
        <v>7.5</v>
      </c>
      <c r="BK292" s="104">
        <f>('Renewable Diesel'!W301*'RD Feedstock Breakdown'!BK$3*'Feedstock Conversion Rates'!B$3)/12</f>
        <v>1.335</v>
      </c>
      <c r="BL292" s="104">
        <f>('Renewable Diesel'!W301*'RD Feedstock Breakdown'!BL$3*'Feedstock Conversion Rates'!B$6)/12</f>
        <v>3.1266666666666669</v>
      </c>
      <c r="BM292" s="104">
        <f>('Renewable Diesel'!W301*'RD Feedstock Breakdown'!BM$3*'Feedstock Conversion Rates'!B$7)/12</f>
        <v>1.5333333333333332</v>
      </c>
      <c r="BN292" s="106">
        <f t="shared" si="296"/>
        <v>13.495000000000001</v>
      </c>
      <c r="BO292" s="104">
        <f>('Renewable Diesel'!P301*'Feedstock Conversion Rates'!B$4)/12</f>
        <v>31.25</v>
      </c>
      <c r="BP292" s="106">
        <f t="shared" si="285"/>
        <v>31.25</v>
      </c>
      <c r="BQ292" s="104">
        <f>('Renewable Diesel'!$S301*'RD Feedstock Breakdown'!BQ$3*'Feedstock Conversion Rates'!B$4)/12+10+15-15</f>
        <v>38.125</v>
      </c>
      <c r="BR292" s="104">
        <f>('Renewable Diesel'!$S301*'RD Feedstock Breakdown'!BR$3*'Feedstock Conversion Rates'!B$7)/12-10-15+15</f>
        <v>1.5</v>
      </c>
      <c r="BS292" s="106">
        <f t="shared" si="222"/>
        <v>39.625</v>
      </c>
      <c r="BT292" s="106"/>
      <c r="BU292" s="104">
        <f>('Renewable Diesel'!Y301*'Feedstock Conversion Rates'!B$7)/12</f>
        <v>2.6833333333333331</v>
      </c>
      <c r="BV292" s="106">
        <f t="shared" si="281"/>
        <v>2.6833333333333331</v>
      </c>
      <c r="BW292" s="104">
        <f>('Renewable Diesel'!$Z301*'RD Feedstock Breakdown'!BW$3*'Feedstock Conversion Rates'!$B$4)/12</f>
        <v>71.875</v>
      </c>
      <c r="BX292" s="104">
        <f>('Renewable Diesel'!$Z301*'RD Feedstock Breakdown'!BX$3*'Feedstock Conversion Rates'!$B$5)/12</f>
        <v>7.2354166666666666</v>
      </c>
      <c r="BY292" s="104">
        <f>('Renewable Diesel'!$Z301*'RD Feedstock Breakdown'!BY$3*'Feedstock Conversion Rates'!$B$7)/12</f>
        <v>61.716666666666661</v>
      </c>
      <c r="BZ292" s="104">
        <f>('Renewable Diesel'!$Z301*'RD Feedstock Breakdown'!BZ$3*'Feedstock Conversion Rates'!$B$3)/12</f>
        <v>15.352499999999999</v>
      </c>
      <c r="CA292" s="106">
        <f t="shared" si="228"/>
        <v>156.17958333333331</v>
      </c>
      <c r="CB292" s="104">
        <f>('Renewable Diesel'!AA301*'Feedstock Conversion Rates'!B$4)/12</f>
        <v>191.25</v>
      </c>
      <c r="CC292" s="106">
        <f t="shared" si="298"/>
        <v>191.25</v>
      </c>
      <c r="CD292" s="104">
        <f>('Renewable Diesel'!$AB301*'RD Feedstock Breakdown'!CD$3*'Feedstock Conversion Rates'!$B$6)/12-15-5</f>
        <v>12.830000000000005</v>
      </c>
      <c r="CE292" s="104">
        <f>('Renewable Diesel'!$AB301*'RD Feedstock Breakdown'!CE$3*'Feedstock Conversion Rates'!$B$4)/12+15+5</f>
        <v>31.25</v>
      </c>
      <c r="CF292" s="106">
        <f t="shared" si="294"/>
        <v>44.080000000000005</v>
      </c>
      <c r="CG292" s="104">
        <f>('Renewable Diesel'!AD301*'Feedstock Conversion Rates'!B$4)/12</f>
        <v>112.5</v>
      </c>
      <c r="CH292" s="106">
        <f t="shared" si="278"/>
        <v>112.5</v>
      </c>
      <c r="CI292" s="104">
        <f>('Renewable Diesel'!$AE301*'RD Feedstock Breakdown'!CI$3*'Feedstock Conversion Rates'!$B$5)/12</f>
        <v>0.34604166666666664</v>
      </c>
      <c r="CJ292" s="104">
        <f>('Renewable Diesel'!$AE301*'RD Feedstock Breakdown'!CJ$3*'Feedstock Conversion Rates'!$B$4)/12</f>
        <v>0.34375</v>
      </c>
      <c r="CK292" s="106">
        <f t="shared" si="286"/>
        <v>0.68979166666666658</v>
      </c>
      <c r="CL292" s="104">
        <f>(((CL$3*'Renewable Diesel'!$AF301)*'Feedstock Conversion Rates'!$B$3)/12)</f>
        <v>91.78125</v>
      </c>
      <c r="CM292" s="104">
        <f>(((CM$3*'Renewable Diesel'!$AF301)*'Feedstock Conversion Rates'!$B$6)/12)</f>
        <v>53.739583333333336</v>
      </c>
      <c r="CN292" s="104">
        <f>(((CN$3*'Renewable Diesel'!$AF301)*'Feedstock Conversion Rates'!$B$4)/12)</f>
        <v>42.96875</v>
      </c>
      <c r="CO292" s="106">
        <f t="shared" si="280"/>
        <v>188.48958333333334</v>
      </c>
      <c r="CP292" s="104">
        <f>('Renewable Diesel'!$AG301*'RD Feedstock Breakdown'!CP$3*'Feedstock Conversion Rates'!$B$3)/12</f>
        <v>6.0075000000000003</v>
      </c>
      <c r="CQ292" s="104">
        <f>('Renewable Diesel'!$AG301*'RD Feedstock Breakdown'!CQ$3*'Feedstock Conversion Rates'!$B$6)/12</f>
        <v>3.5175000000000001</v>
      </c>
      <c r="CR292" s="104">
        <f>('Renewable Diesel'!$AG301*'RD Feedstock Breakdown'!CR$3*'Feedstock Conversion Rates'!$B$4)/12</f>
        <v>2.8125</v>
      </c>
      <c r="CS292" s="106">
        <f t="shared" si="231"/>
        <v>12.3375</v>
      </c>
      <c r="CT292" s="104">
        <f>('Renewable Diesel'!AI301*'Feedstock Conversion Rates'!$B$4*'RD Feedstock Breakdown'!$CT$3)/12</f>
        <v>29.375</v>
      </c>
      <c r="CU292" s="106">
        <f t="shared" si="282"/>
        <v>29.375</v>
      </c>
      <c r="CV292" s="104">
        <f>('Renewable Diesel'!AN301*'Feedstock Conversion Rates'!$B$3*'RD Feedstock Breakdown'!$CV$3)/12</f>
        <v>0.50062499999999999</v>
      </c>
      <c r="CW292" s="106">
        <f t="shared" si="255"/>
        <v>0.50062499999999999</v>
      </c>
      <c r="CX292" s="104">
        <f>('Renewable Diesel'!AO301*'RD Feedstock Breakdown'!$CX$3*'Feedstock Conversion Rates'!$B$3)/12</f>
        <v>6.3412499999999996</v>
      </c>
      <c r="CY292" s="104">
        <f>('Renewable Diesel'!AO301*'RD Feedstock Breakdown'!$CY$3*'Feedstock Conversion Rates'!$B$6)/12</f>
        <v>7.4258333333333342</v>
      </c>
      <c r="CZ292" s="106">
        <f t="shared" si="233"/>
        <v>13.767083333333334</v>
      </c>
      <c r="DA292" s="104">
        <f>('Renewable Diesel'!$AP301*'RD Feedstock Breakdown'!DA$3*'Feedstock Conversion Rates'!$B$3)/12</f>
        <v>6.3412499999999996</v>
      </c>
      <c r="DB292" s="104">
        <f>('Renewable Diesel'!$AP301*'RD Feedstock Breakdown'!DB$3*'Feedstock Conversion Rates'!$B$8)/12</f>
        <v>7.421875</v>
      </c>
      <c r="DC292" s="106">
        <f t="shared" si="260"/>
        <v>13.763124999999999</v>
      </c>
      <c r="DD292" s="104">
        <f>('Renewable Diesel'!AQ301*$DD$3*'Feedstock Conversion Rates'!$B$14)/12</f>
        <v>3.1041666666666665</v>
      </c>
      <c r="DE292" s="106">
        <f t="shared" si="261"/>
        <v>3.1041666666666665</v>
      </c>
      <c r="DF292" s="104">
        <f>('Renewable Diesel'!AR301*'Feedstock Conversion Rates'!$B$4*$DF$3)/12</f>
        <v>75</v>
      </c>
      <c r="DG292" s="106">
        <f t="shared" si="234"/>
        <v>75</v>
      </c>
      <c r="DH292" s="104">
        <f>('Renewable Diesel'!AS301*'Feedstock Conversion Rates'!$B$4*$DH$3)/12</f>
        <v>75</v>
      </c>
      <c r="DI292" s="106">
        <f t="shared" si="240"/>
        <v>75</v>
      </c>
      <c r="DJ292" s="104">
        <f>('Renewable Diesel'!AT301*'Feedstock Conversion Rates'!$B$4*0.25)/12</f>
        <v>8.59375</v>
      </c>
      <c r="DK292" s="104">
        <f>('Renewable Diesel'!$AT301*'RD Feedstock Breakdown'!DK$3*'Feedstock Conversion Rates'!$B$3)/12*0.5</f>
        <v>9.1781249999999996</v>
      </c>
      <c r="DL292" s="104">
        <f>('Renewable Diesel'!$AT301*'RD Feedstock Breakdown'!$DL$3*'Feedstock Conversion Rates'!$B$6)/12</f>
        <v>10.747916666666669</v>
      </c>
      <c r="DM292" s="104">
        <f>('Renewable Diesel'!$AT301*'RD Feedstock Breakdown'!$DM$3*'Feedstock Conversion Rates'!$B$8)/12</f>
        <v>10.7421875</v>
      </c>
      <c r="DN292" s="106">
        <f t="shared" si="297"/>
        <v>39.26197916666667</v>
      </c>
      <c r="DP292" s="104">
        <f t="shared" si="265"/>
        <v>13.220250000000007</v>
      </c>
      <c r="DQ292" s="104">
        <f t="shared" si="266"/>
        <v>912.11776750000001</v>
      </c>
      <c r="DR292" s="104">
        <f t="shared" si="271"/>
        <v>1652.453125</v>
      </c>
      <c r="DS292" s="104">
        <f t="shared" si="283"/>
        <v>223.90124999999998</v>
      </c>
      <c r="DT292" s="104">
        <f t="shared" si="267"/>
        <v>228.03923333333341</v>
      </c>
      <c r="DU292" s="104">
        <f t="shared" si="268"/>
        <v>255.40610000000004</v>
      </c>
      <c r="DV292" s="104">
        <f t="shared" si="272"/>
        <v>34.75</v>
      </c>
      <c r="DW292" s="104">
        <f t="shared" si="269"/>
        <v>3</v>
      </c>
      <c r="DX292" s="106">
        <f t="shared" si="273"/>
        <v>3322.8877258333337</v>
      </c>
      <c r="DY292" s="109">
        <f t="shared" si="257"/>
        <v>-5.631051180898794E-13</v>
      </c>
      <c r="EA292" s="110">
        <f t="shared" si="250"/>
        <v>3.9785424879754411E-3</v>
      </c>
      <c r="EB292" s="110">
        <f t="shared" si="250"/>
        <v>0.27449551196354482</v>
      </c>
      <c r="EC292" s="110">
        <f t="shared" si="250"/>
        <v>0.49729429982037321</v>
      </c>
      <c r="ED292" s="110">
        <f t="shared" si="250"/>
        <v>6.7381527296065558E-2</v>
      </c>
      <c r="EE292" s="110">
        <f t="shared" si="250"/>
        <v>6.8626824662318189E-2</v>
      </c>
      <c r="EF292" s="110">
        <f t="shared" si="250"/>
        <v>7.6862693257548381E-2</v>
      </c>
      <c r="EG292" s="110">
        <f t="shared" si="250"/>
        <v>1.0457771332398896E-2</v>
      </c>
      <c r="EH292" s="111">
        <f t="shared" si="274"/>
        <v>9.0282917977544427E-4</v>
      </c>
      <c r="EI292" s="110">
        <f t="shared" si="236"/>
        <v>0.99909717082022442</v>
      </c>
      <c r="EK292" s="132">
        <f>(EA292*'Renewable Diesel'!BF301*'Feedstock Conversion Rates'!B$2)+FB292</f>
        <v>21.266425652430947</v>
      </c>
      <c r="EL292" s="132">
        <f>(EB292*'Renewable Diesel'!BF301*'Feedstock Conversion Rates'!B$3)+FC292</f>
        <v>1382.6725476383781</v>
      </c>
      <c r="EM292" s="132">
        <f>(EC292*'Renewable Diesel'!BF301*'Feedstock Conversion Rates'!B$4)+FD292</f>
        <v>2345.4507641645778</v>
      </c>
      <c r="EN292" s="132">
        <f>(ED292*'Renewable Diesel'!BF301*'Feedstock Conversion Rates'!B$5)+FE292</f>
        <v>319.91851728278431</v>
      </c>
      <c r="EO292" s="132">
        <f>(EE292*'Renewable Diesel'!BF301*'Feedstock Conversion Rates'!B$6)+FF292</f>
        <v>404.80728460251174</v>
      </c>
      <c r="EP292" s="132">
        <f>(EF292*'Renewable Diesel'!BF301*'Feedstock Conversion Rates'!B$7)+FG292</f>
        <v>444.68758154045349</v>
      </c>
      <c r="EQ292" s="132">
        <f>(EG292*'Renewable Diesel'!BF301*'Feedstock Conversion Rates'!B$8)+FH292</f>
        <v>61.654104450556702</v>
      </c>
      <c r="ER292" s="132">
        <f>(EH292*'Renewable Diesel'!BF301*'Feedstock Conversion Rates'!B$9)+FI292</f>
        <v>5.2516877460042544</v>
      </c>
      <c r="ES292" s="132">
        <f t="shared" si="275"/>
        <v>4985.7089130776976</v>
      </c>
      <c r="ET292" s="133">
        <f>ES292/'Renewable Diesel'!BF301</f>
        <v>9.2593179055450037</v>
      </c>
      <c r="EW292" s="73">
        <f t="shared" si="223"/>
        <v>3048.5383801673702</v>
      </c>
      <c r="EX292" s="73">
        <f t="shared" si="224"/>
        <v>2653.9078360681524</v>
      </c>
      <c r="EY292" s="92">
        <f t="shared" si="258"/>
        <v>0.61145534833992055</v>
      </c>
      <c r="EZ292" s="92">
        <f t="shared" si="258"/>
        <v>0.53230300491608218</v>
      </c>
      <c r="FB292" s="102">
        <f>IF('Renewable Diesel'!$BG301&lt;1,0,(((('Renewable Diesel'!$BG301-1)*'Renewable Diesel'!$BF301)*'RD Feedstock Breakdown'!EA292)*'Feedstock Conversion Rates'!$B$2))</f>
        <v>3.0572263314346904</v>
      </c>
      <c r="FC292" s="102">
        <f>IF('Renewable Diesel'!$BG301&lt;1,0,(((('Renewable Diesel'!$BG301-1)*'Renewable Diesel'!$BF301)*'RD Feedstock Breakdown'!EB292)*'Feedstock Conversion Rates'!$B$3))</f>
        <v>198.77072854077548</v>
      </c>
      <c r="FD292" s="102">
        <f>IF('Renewable Diesel'!$BG301&lt;1,0,(((('Renewable Diesel'!$BG301-1)*'Renewable Diesel'!$BF301)*'RD Feedstock Breakdown'!EC292)*'Feedstock Conversion Rates'!$B$4))</f>
        <v>337.17813949933333</v>
      </c>
      <c r="FE292" s="102">
        <f>IF('Renewable Diesel'!$BG301&lt;1,0,(((('Renewable Diesel'!$BG301-1)*'Renewable Diesel'!$BF301)*'RD Feedstock Breakdown'!ED292)*'Feedstock Conversion Rates'!$B$5))</f>
        <v>45.990959220675187</v>
      </c>
      <c r="FF292" s="102">
        <f>IF('Renewable Diesel'!$BG301&lt;1,0,(((('Renewable Diesel'!$BG301-1)*'Renewable Diesel'!$BF301)*'RD Feedstock Breakdown'!EE292)*'Feedstock Conversion Rates'!$B$6))</f>
        <v>58.194428620491202</v>
      </c>
      <c r="FG292" s="102">
        <f>IF('Renewable Diesel'!$BG301&lt;1,0,(((('Renewable Diesel'!$BG301-1)*'Renewable Diesel'!$BF301)*'RD Feedstock Breakdown'!EF292)*'Feedstock Conversion Rates'!$B$7))</f>
        <v>63.927554435650116</v>
      </c>
      <c r="FH292" s="102">
        <f>IF('Renewable Diesel'!$BG301&lt;1,0,(((('Renewable Diesel'!$BG301-1)*'Renewable Diesel'!$BF301)*'RD Feedstock Breakdown'!EG292)*'Feedstock Conversion Rates'!$B$8))</f>
        <v>8.8632925272856333</v>
      </c>
      <c r="FI292" s="102">
        <f>IF('Renewable Diesel'!$BG301&lt;1,0,(((('Renewable Diesel'!$BG301-1)*'Renewable Diesel'!$BF301)*'RD Feedstock Breakdown'!EH292)*'Feedstock Conversion Rates'!$B$9))</f>
        <v>0.75497398218030143</v>
      </c>
      <c r="FJ292" s="102">
        <f t="shared" si="225"/>
        <v>716.73730315782586</v>
      </c>
      <c r="GD292" s="91">
        <f>'Renewable Diesel'!BB301*0.32</f>
        <v>0</v>
      </c>
      <c r="GE292" s="91">
        <f>'Renewable Diesel'!BC301</f>
        <v>278.35862171511189</v>
      </c>
      <c r="GF292" s="91">
        <f>'Renewable Diesel'!BD301</f>
        <v>0</v>
      </c>
      <c r="GG292" s="91">
        <f t="shared" si="295"/>
        <v>278.35862171511189</v>
      </c>
      <c r="GH292" s="124">
        <v>1</v>
      </c>
      <c r="GI292" s="102">
        <f>$GG292*EA292*'Feedstock Conversion Rates'!$B$2</f>
        <v>9.4134236287967745</v>
      </c>
      <c r="GJ292" s="102">
        <f>$GG292*EB292*'Feedstock Conversion Rates'!$B$3</f>
        <v>612.02962094102224</v>
      </c>
      <c r="GK292" s="102">
        <f>$GG292*EC292*'Feedstock Conversion Rates'!$B$4</f>
        <v>1038.1961691358554</v>
      </c>
      <c r="GL292" s="102">
        <f>$GG292*ED292*'Feedstock Conversion Rates'!$B$5</f>
        <v>141.6095294572996</v>
      </c>
      <c r="GM292" s="102">
        <f>$GG292*EE292*'Feedstock Conversion Rates'!$B$6</f>
        <v>179.18490489494917</v>
      </c>
      <c r="GN292" s="102">
        <f>$GG292*EF292*'Feedstock Conversion Rates'!$B$7</f>
        <v>196.83761887963985</v>
      </c>
      <c r="GO292" s="102">
        <f>$GG292*EG292*'Feedstock Conversion Rates'!$B$8</f>
        <v>27.290726384047183</v>
      </c>
      <c r="GP292" s="102">
        <f>$GG292*EH292*'Feedstock Conversion Rates'!B$9</f>
        <v>2.3246201466699183</v>
      </c>
      <c r="GQ292" s="102">
        <f t="shared" si="276"/>
        <v>2206.8866134682798</v>
      </c>
      <c r="GR292" s="85">
        <f t="shared" si="293"/>
        <v>7.9282136111700305</v>
      </c>
      <c r="GT292" s="103">
        <f t="shared" si="254"/>
        <v>4.2654767904015279E-3</v>
      </c>
      <c r="GU292" s="103">
        <f t="shared" si="254"/>
        <v>0.27732717086863562</v>
      </c>
      <c r="GV292" s="103">
        <f t="shared" si="254"/>
        <v>0.47043475763544373</v>
      </c>
      <c r="GW292" s="103">
        <f t="shared" si="254"/>
        <v>6.416710699728706E-2</v>
      </c>
      <c r="GX292" s="103">
        <f t="shared" si="253"/>
        <v>8.1193525667069624E-2</v>
      </c>
      <c r="GY292" s="103">
        <f t="shared" si="253"/>
        <v>8.9192447712705764E-2</v>
      </c>
      <c r="GZ292" s="103">
        <f t="shared" si="253"/>
        <v>1.2366166080983135E-2</v>
      </c>
      <c r="HA292" s="103">
        <f t="shared" si="251"/>
        <v>1.0533482474736713E-3</v>
      </c>
    </row>
    <row r="293" spans="1:209" x14ac:dyDescent="0.25">
      <c r="A293" s="96">
        <v>49341</v>
      </c>
      <c r="B293" s="104">
        <f t="shared" si="303"/>
        <v>70.75</v>
      </c>
      <c r="C293" s="104">
        <f t="shared" si="304"/>
        <v>19</v>
      </c>
      <c r="D293" s="104">
        <f t="shared" si="288"/>
        <v>2</v>
      </c>
      <c r="E293" s="104">
        <f>('Renewable Diesel'!B302*E$3*'Feedstock Conversion Rates'!$B$2)/12+26+13-100+27.5+39-90</f>
        <v>5.4300000000000068</v>
      </c>
      <c r="F293" s="104">
        <f>('Renewable Diesel'!B302*'RD Feedstock Breakdown'!F$3*'Feedstock Conversion Rates'!B$8)/12+77+23-10-12-115.75+24+8+1+15-40-20</f>
        <v>4.15625</v>
      </c>
      <c r="G293" s="104">
        <f>('Renewable Diesel'!B302*'RD Feedstock Breakdown'!G$3*'Feedstock Conversion Rates'!B$7)/12+116.75-39-57.5-145-31.5+32+70-40+10-50-12.5-25</f>
        <v>4.4070000000000391</v>
      </c>
      <c r="H293" s="104">
        <f>('Renewable Diesel'!B302*'RD Feedstock Breakdown'!H$3*'Feedstock Conversion Rates'!B$3)/12+67+10+12+3-235+20+47-20+65+25+130+90</f>
        <v>390.40022499999998</v>
      </c>
      <c r="I293" s="106">
        <f t="shared" si="291"/>
        <v>496.14347500000002</v>
      </c>
      <c r="J293" s="104">
        <f t="shared" si="305"/>
        <v>66</v>
      </c>
      <c r="K293" s="104"/>
      <c r="L293" s="104">
        <v>1</v>
      </c>
      <c r="M293" s="104">
        <f>('Renewable Diesel'!C302*'RD Feedstock Breakdown'!M$3*'Feedstock Conversion Rates'!B$2)/12</f>
        <v>7.7902500000000003</v>
      </c>
      <c r="N293" s="104">
        <f>('Renewable Diesel'!C302*'RD Feedstock Breakdown'!N$3*'Feedstock Conversion Rates'!B$8)/12</f>
        <v>3.671875</v>
      </c>
      <c r="O293" s="104">
        <f>('Renewable Diesel'!C302*'RD Feedstock Breakdown'!O$3*'Feedstock Conversion Rates'!B$7)/12</f>
        <v>11.9991</v>
      </c>
      <c r="P293" s="104">
        <f>('Renewable Diesel'!C302*'RD Feedstock Breakdown'!P$3*'Feedstock Conversion Rates'!B$3)/12</f>
        <v>10.4470425</v>
      </c>
      <c r="Q293" s="106">
        <f t="shared" si="299"/>
        <v>100.90826749999999</v>
      </c>
      <c r="R293" s="104">
        <f>('Renewable Diesel'!D302*'RD Feedstock Breakdown'!R$3*'Feedstock Conversion Rates'!B$7)/12</f>
        <v>2.2999999999999998</v>
      </c>
      <c r="S293" s="106">
        <f t="shared" si="249"/>
        <v>2.2999999999999998</v>
      </c>
      <c r="T293" s="104">
        <f t="shared" si="300"/>
        <v>0.82499999999999929</v>
      </c>
      <c r="U293" s="104"/>
      <c r="V293" s="104">
        <f>('Renewable Diesel'!E302*'RD Feedstock Breakdown'!V$3*'Feedstock Conversion Rates'!B$6)/12-20+25</f>
        <v>49.250150000000012</v>
      </c>
      <c r="W293" s="104">
        <f>('Renewable Diesel'!E302*'RD Feedstock Breakdown'!W$3*'Feedstock Conversion Rates'!B$8)/12-6</f>
        <v>16.1796875</v>
      </c>
      <c r="X293" s="106">
        <f t="shared" si="277"/>
        <v>66.254837500000008</v>
      </c>
      <c r="Y293" s="104">
        <f t="shared" si="301"/>
        <v>98</v>
      </c>
      <c r="Z293" s="104">
        <f>('Renewable Diesel'!F302*'RD Feedstock Breakdown'!Z$3*'Feedstock Conversion Rates'!B$6)/12-142+15+5</f>
        <v>37.460000000000008</v>
      </c>
      <c r="AA293" s="104">
        <f>('Renewable Diesel'!F302*'RD Feedstock Breakdown'!AA$3*'Feedstock Conversion Rates'!B$7)/12+24</f>
        <v>128.26666666666665</v>
      </c>
      <c r="AB293" s="106">
        <f t="shared" si="235"/>
        <v>263.72666666666669</v>
      </c>
      <c r="AC293" s="104">
        <f>('Renewable Diesel'!G302*'RD Feedstock Breakdown'!AC$3*'Feedstock Conversion Rates'!B$5)/12</f>
        <v>11.796875</v>
      </c>
      <c r="AD293" s="104">
        <f>('Renewable Diesel'!G302*'RD Feedstock Breakdown'!AD$3*'Feedstock Conversion Rates'!B$4)/12</f>
        <v>5.859375</v>
      </c>
      <c r="AE293" s="104">
        <f>('Renewable Diesel'!G302*'RD Feedstock Breakdown'!AE$3*'Feedstock Conversion Rates'!B$6)/12</f>
        <v>7.3281250000000009</v>
      </c>
      <c r="AF293" s="106">
        <f t="shared" si="284"/>
        <v>24.984375</v>
      </c>
      <c r="AG293" s="104">
        <f t="shared" si="306"/>
        <v>148</v>
      </c>
      <c r="AH293" s="104"/>
      <c r="AI293" s="104">
        <f>('Renewable Diesel'!H302*'RD Feedstock Breakdown'!AI$3*'Feedstock Conversion Rates'!B$6)/12-130-20+51-49</f>
        <v>0.51666666666667993</v>
      </c>
      <c r="AJ293" s="106">
        <f t="shared" si="248"/>
        <v>148.51666666666668</v>
      </c>
      <c r="AK293" s="104">
        <f>('Renewable Diesel'!J302*'RD Feedstock Breakdown'!AK$3*'Feedstock Conversion Rates'!B$4)/12</f>
        <v>95.8125</v>
      </c>
      <c r="AL293" s="106">
        <f t="shared" si="252"/>
        <v>95.8125</v>
      </c>
      <c r="AM293" s="104">
        <f>('Renewable Diesel'!K302*'RD Feedstock Breakdown'!AM$3*'Feedstock Conversion Rates'!B$4)/12+5+15-10</f>
        <v>68.59375</v>
      </c>
      <c r="AN293" s="104">
        <f>('Renewable Diesel'!K302*'RD Feedstock Breakdown'!AN$3*'Feedstock Conversion Rates'!B$6)/12-5-15+10</f>
        <v>14.427083333333332</v>
      </c>
      <c r="AO293" s="106">
        <f t="shared" si="270"/>
        <v>83.020833333333329</v>
      </c>
      <c r="AP293" s="104">
        <f>('Renewable Diesel'!L302*'RD Feedstock Breakdown'!AP$3*'Feedstock Conversion Rates'!B$4)/12+15-10</f>
        <v>63.59375</v>
      </c>
      <c r="AQ293" s="104">
        <f>('Renewable Diesel'!L302*'RD Feedstock Breakdown'!AQ$3*'Feedstock Conversion Rates'!B$6)/12-15+10</f>
        <v>19.427083333333332</v>
      </c>
      <c r="AR293" s="106">
        <f t="shared" si="256"/>
        <v>83.020833333333329</v>
      </c>
      <c r="AS293" s="104">
        <f>('Renewable Diesel'!M302*'RD Feedstock Breakdown'!AS$3*'Feedstock Conversion Rates'!B$4)/12-25</f>
        <v>431.25</v>
      </c>
      <c r="AT293" s="104">
        <f>('Renewable Diesel'!M302*'RD Feedstock Breakdown'!AT$3*'Feedstock Conversion Rates'!B$5)/12+25</f>
        <v>25</v>
      </c>
      <c r="AU293" s="106">
        <f t="shared" si="290"/>
        <v>456.25</v>
      </c>
      <c r="AV293" s="104">
        <f>'Renewable Diesel'!N302*'RD Feedstock Breakdown'!$AV$3*'Feedstock Conversion Rates'!$B$4/12-15-10+25+25-22+25</f>
        <v>106.74999999999999</v>
      </c>
      <c r="AW293" s="104">
        <f>'Renewable Diesel'!N302*'RD Feedstock Breakdown'!$AW$3*'Feedstock Conversion Rates'!$B$7/12+15+10-25-25+22-25</f>
        <v>13.400000000000006</v>
      </c>
      <c r="AX293" s="106">
        <f t="shared" si="239"/>
        <v>120.14999999999999</v>
      </c>
      <c r="AY293" s="104">
        <f>('Renewable Diesel'!O302*'RD Feedstock Breakdown'!AY$3*'Feedstock Conversion Rates'!B$4)/12-90-258</f>
        <v>-137.0625</v>
      </c>
      <c r="AZ293" s="104">
        <f>('Renewable Diesel'!O302*'RD Feedstock Breakdown'!AZ$3*'Feedstock Conversion Rates'!B$3)/12+90+258</f>
        <v>373.03125</v>
      </c>
      <c r="BA293" s="106">
        <f t="shared" si="302"/>
        <v>235.96875</v>
      </c>
      <c r="BB293" s="104">
        <f>('Renewable Diesel'!Q302*'RD Feedstock Breakdown'!BB$3*'Feedstock Conversion Rates'!B$4)/12</f>
        <v>11.156249999999998</v>
      </c>
      <c r="BC293" s="104">
        <f>('Renewable Diesel'!Q302*'RD Feedstock Breakdown'!BC$3*'Feedstock Conversion Rates'!B$3)/12</f>
        <v>1.4017500000000001</v>
      </c>
      <c r="BD293" s="104">
        <f>('Renewable Diesel'!Q302*'RD Feedstock Breakdown'!BD$3*'Feedstock Conversion Rates'!B$6)/12</f>
        <v>0.8207500000000002</v>
      </c>
      <c r="BE293" s="106">
        <f t="shared" si="279"/>
        <v>13.378749999999998</v>
      </c>
      <c r="BF293" s="104">
        <f>('Renewable Diesel'!R302*'RD Feedstock Breakdown'!BF$3*'Feedstock Conversion Rates'!B$4)/12</f>
        <v>62.5</v>
      </c>
      <c r="BG293" s="106">
        <f t="shared" si="262"/>
        <v>62.5</v>
      </c>
      <c r="BH293" s="104">
        <f>('Renewable Diesel'!T302*'RD Feedstock Breakdown'!BH$3*'Feedstock Conversion Rates'!B$7)/12</f>
        <v>27.599999999999998</v>
      </c>
      <c r="BI293" s="106">
        <f t="shared" si="243"/>
        <v>27.599999999999998</v>
      </c>
      <c r="BJ293" s="104">
        <f>('Renewable Diesel'!W302*'RD Feedstock Breakdown'!BJ$3*'Feedstock Conversion Rates'!B$4)/12</f>
        <v>7.5</v>
      </c>
      <c r="BK293" s="104">
        <f>('Renewable Diesel'!W302*'RD Feedstock Breakdown'!BK$3*'Feedstock Conversion Rates'!B$3)/12</f>
        <v>1.335</v>
      </c>
      <c r="BL293" s="104">
        <f>('Renewable Diesel'!W302*'RD Feedstock Breakdown'!BL$3*'Feedstock Conversion Rates'!B$6)/12</f>
        <v>3.1266666666666669</v>
      </c>
      <c r="BM293" s="104">
        <f>('Renewable Diesel'!W302*'RD Feedstock Breakdown'!BM$3*'Feedstock Conversion Rates'!B$7)/12</f>
        <v>1.5333333333333332</v>
      </c>
      <c r="BN293" s="106">
        <f t="shared" si="296"/>
        <v>13.495000000000001</v>
      </c>
      <c r="BO293" s="104">
        <f>('Renewable Diesel'!P302*'Feedstock Conversion Rates'!B$4)/12</f>
        <v>31.25</v>
      </c>
      <c r="BP293" s="106">
        <f t="shared" si="285"/>
        <v>31.25</v>
      </c>
      <c r="BQ293" s="104">
        <f>('Renewable Diesel'!$S302*'RD Feedstock Breakdown'!BQ$3*'Feedstock Conversion Rates'!B$4)/12+10+15-15</f>
        <v>38.125</v>
      </c>
      <c r="BR293" s="104">
        <f>('Renewable Diesel'!$S302*'RD Feedstock Breakdown'!BR$3*'Feedstock Conversion Rates'!B$7)/12-10-15+15</f>
        <v>1.5</v>
      </c>
      <c r="BS293" s="106">
        <f t="shared" ref="BS293:BS356" si="307">SUM(BQ293:BR293)</f>
        <v>39.625</v>
      </c>
      <c r="BT293" s="106"/>
      <c r="BU293" s="104">
        <f>('Renewable Diesel'!Y302*'Feedstock Conversion Rates'!B$7)/12</f>
        <v>2.6833333333333331</v>
      </c>
      <c r="BV293" s="106">
        <f t="shared" si="281"/>
        <v>2.6833333333333331</v>
      </c>
      <c r="BW293" s="104">
        <f>('Renewable Diesel'!$Z302*'RD Feedstock Breakdown'!BW$3*'Feedstock Conversion Rates'!$B$4)/12</f>
        <v>71.875</v>
      </c>
      <c r="BX293" s="104">
        <f>('Renewable Diesel'!$Z302*'RD Feedstock Breakdown'!BX$3*'Feedstock Conversion Rates'!$B$5)/12</f>
        <v>7.2354166666666666</v>
      </c>
      <c r="BY293" s="104">
        <f>('Renewable Diesel'!$Z302*'RD Feedstock Breakdown'!BY$3*'Feedstock Conversion Rates'!$B$7)/12</f>
        <v>61.716666666666661</v>
      </c>
      <c r="BZ293" s="104">
        <f>('Renewable Diesel'!$Z302*'RD Feedstock Breakdown'!BZ$3*'Feedstock Conversion Rates'!$B$3)/12</f>
        <v>15.352499999999999</v>
      </c>
      <c r="CA293" s="106">
        <f t="shared" si="228"/>
        <v>156.17958333333331</v>
      </c>
      <c r="CB293" s="104">
        <f>('Renewable Diesel'!AA302*'Feedstock Conversion Rates'!B$4)/12</f>
        <v>191.25</v>
      </c>
      <c r="CC293" s="106">
        <f t="shared" si="298"/>
        <v>191.25</v>
      </c>
      <c r="CD293" s="104">
        <f>('Renewable Diesel'!$AB302*'RD Feedstock Breakdown'!CD$3*'Feedstock Conversion Rates'!$B$6)/12-15-5</f>
        <v>12.830000000000005</v>
      </c>
      <c r="CE293" s="104">
        <f>('Renewable Diesel'!$AB302*'RD Feedstock Breakdown'!CE$3*'Feedstock Conversion Rates'!$B$4)/12+15+5</f>
        <v>31.25</v>
      </c>
      <c r="CF293" s="106">
        <f t="shared" si="294"/>
        <v>44.080000000000005</v>
      </c>
      <c r="CG293" s="104">
        <f>('Renewable Diesel'!AD302*'Feedstock Conversion Rates'!B$4)/12</f>
        <v>112.5</v>
      </c>
      <c r="CH293" s="106">
        <f t="shared" si="278"/>
        <v>112.5</v>
      </c>
      <c r="CI293" s="104">
        <f>('Renewable Diesel'!$AE302*'RD Feedstock Breakdown'!CI$3*'Feedstock Conversion Rates'!$B$5)/12</f>
        <v>0.34604166666666664</v>
      </c>
      <c r="CJ293" s="104">
        <f>('Renewable Diesel'!$AE302*'RD Feedstock Breakdown'!CJ$3*'Feedstock Conversion Rates'!$B$4)/12</f>
        <v>0.34375</v>
      </c>
      <c r="CK293" s="106">
        <f t="shared" si="286"/>
        <v>0.68979166666666658</v>
      </c>
      <c r="CL293" s="104">
        <f>(((CL$3*'Renewable Diesel'!$AF302)*'Feedstock Conversion Rates'!$B$3)/12)</f>
        <v>91.78125</v>
      </c>
      <c r="CM293" s="104">
        <f>(((CM$3*'Renewable Diesel'!$AF302)*'Feedstock Conversion Rates'!$B$6)/12)</f>
        <v>53.739583333333336</v>
      </c>
      <c r="CN293" s="104">
        <f>(((CN$3*'Renewable Diesel'!$AF302)*'Feedstock Conversion Rates'!$B$4)/12)</f>
        <v>42.96875</v>
      </c>
      <c r="CO293" s="106">
        <f t="shared" si="280"/>
        <v>188.48958333333334</v>
      </c>
      <c r="CP293" s="104">
        <f>('Renewable Diesel'!$AG302*'RD Feedstock Breakdown'!CP$3*'Feedstock Conversion Rates'!$B$3)/12</f>
        <v>6.0075000000000003</v>
      </c>
      <c r="CQ293" s="104">
        <f>('Renewable Diesel'!$AG302*'RD Feedstock Breakdown'!CQ$3*'Feedstock Conversion Rates'!$B$6)/12</f>
        <v>3.5175000000000001</v>
      </c>
      <c r="CR293" s="104">
        <f>('Renewable Diesel'!$AG302*'RD Feedstock Breakdown'!CR$3*'Feedstock Conversion Rates'!$B$4)/12</f>
        <v>2.8125</v>
      </c>
      <c r="CS293" s="106">
        <f t="shared" si="231"/>
        <v>12.3375</v>
      </c>
      <c r="CT293" s="104">
        <f>('Renewable Diesel'!AI302*'Feedstock Conversion Rates'!$B$4*'RD Feedstock Breakdown'!$CT$3)/12</f>
        <v>29.375</v>
      </c>
      <c r="CU293" s="106">
        <f t="shared" si="282"/>
        <v>29.375</v>
      </c>
      <c r="CV293" s="104">
        <f>('Renewable Diesel'!AN302*'Feedstock Conversion Rates'!$B$3*'RD Feedstock Breakdown'!$CV$3)/12</f>
        <v>0.50062499999999999</v>
      </c>
      <c r="CW293" s="106">
        <f t="shared" si="255"/>
        <v>0.50062499999999999</v>
      </c>
      <c r="CX293" s="104">
        <f>('Renewable Diesel'!AO302*'RD Feedstock Breakdown'!$CX$3*'Feedstock Conversion Rates'!$B$3)/12</f>
        <v>6.3412499999999996</v>
      </c>
      <c r="CY293" s="104">
        <f>('Renewable Diesel'!AO302*'RD Feedstock Breakdown'!$CY$3*'Feedstock Conversion Rates'!$B$6)/12</f>
        <v>7.4258333333333342</v>
      </c>
      <c r="CZ293" s="106">
        <f t="shared" si="233"/>
        <v>13.767083333333334</v>
      </c>
      <c r="DA293" s="104">
        <f>('Renewable Diesel'!$AP302*'RD Feedstock Breakdown'!DA$3*'Feedstock Conversion Rates'!$B$3)/12</f>
        <v>6.3412499999999996</v>
      </c>
      <c r="DB293" s="104">
        <f>('Renewable Diesel'!$AP302*'RD Feedstock Breakdown'!DB$3*'Feedstock Conversion Rates'!$B$8)/12</f>
        <v>7.421875</v>
      </c>
      <c r="DC293" s="106">
        <f t="shared" si="260"/>
        <v>13.763124999999999</v>
      </c>
      <c r="DD293" s="104">
        <f>('Renewable Diesel'!AQ302*$DD$3*'Feedstock Conversion Rates'!$B$14)/12</f>
        <v>3.1041666666666665</v>
      </c>
      <c r="DE293" s="106">
        <f t="shared" si="261"/>
        <v>3.1041666666666665</v>
      </c>
      <c r="DF293" s="104">
        <f>('Renewable Diesel'!AR302*'Feedstock Conversion Rates'!$B$4*$DF$3)/12</f>
        <v>75</v>
      </c>
      <c r="DG293" s="106">
        <f t="shared" si="234"/>
        <v>75</v>
      </c>
      <c r="DH293" s="104">
        <f>('Renewable Diesel'!AS302*'Feedstock Conversion Rates'!$B$4*$DH$3)/12</f>
        <v>75</v>
      </c>
      <c r="DI293" s="106">
        <f t="shared" si="240"/>
        <v>75</v>
      </c>
      <c r="DJ293" s="104">
        <f>('Renewable Diesel'!AT302*'Feedstock Conversion Rates'!$B$4*0.25)/12</f>
        <v>8.59375</v>
      </c>
      <c r="DK293" s="104">
        <f>('Renewable Diesel'!$AT302*'RD Feedstock Breakdown'!DK$3*'Feedstock Conversion Rates'!$B$3)/12*0.5</f>
        <v>9.1781249999999996</v>
      </c>
      <c r="DL293" s="104">
        <f>('Renewable Diesel'!$AT302*'RD Feedstock Breakdown'!$DL$3*'Feedstock Conversion Rates'!$B$6)/12</f>
        <v>10.747916666666669</v>
      </c>
      <c r="DM293" s="104">
        <f>('Renewable Diesel'!$AT302*'RD Feedstock Breakdown'!$DM$3*'Feedstock Conversion Rates'!$B$8)/12</f>
        <v>10.7421875</v>
      </c>
      <c r="DN293" s="106">
        <f t="shared" si="297"/>
        <v>39.26197916666667</v>
      </c>
      <c r="DP293" s="104">
        <f t="shared" si="265"/>
        <v>13.220250000000007</v>
      </c>
      <c r="DQ293" s="104">
        <f t="shared" si="266"/>
        <v>912.11776750000001</v>
      </c>
      <c r="DR293" s="104">
        <f t="shared" si="271"/>
        <v>1652.453125</v>
      </c>
      <c r="DS293" s="104">
        <f t="shared" si="283"/>
        <v>223.90124999999998</v>
      </c>
      <c r="DT293" s="104">
        <f t="shared" si="267"/>
        <v>228.03923333333341</v>
      </c>
      <c r="DU293" s="104">
        <f t="shared" si="268"/>
        <v>255.40610000000004</v>
      </c>
      <c r="DV293" s="104">
        <f t="shared" si="272"/>
        <v>34.75</v>
      </c>
      <c r="DW293" s="104">
        <f t="shared" si="269"/>
        <v>3</v>
      </c>
      <c r="DX293" s="106">
        <f t="shared" si="273"/>
        <v>3322.8877258333337</v>
      </c>
      <c r="DY293" s="109">
        <f t="shared" si="257"/>
        <v>-5.631051180898794E-13</v>
      </c>
      <c r="EA293" s="110">
        <f t="shared" si="250"/>
        <v>3.9785424879754411E-3</v>
      </c>
      <c r="EB293" s="110">
        <f t="shared" si="250"/>
        <v>0.27449551196354482</v>
      </c>
      <c r="EC293" s="110">
        <f t="shared" si="250"/>
        <v>0.49729429982037321</v>
      </c>
      <c r="ED293" s="110">
        <f t="shared" ref="ED293:EG356" si="308">DS293/$DX293</f>
        <v>6.7381527296065558E-2</v>
      </c>
      <c r="EE293" s="110">
        <f t="shared" si="308"/>
        <v>6.8626824662318189E-2</v>
      </c>
      <c r="EF293" s="110">
        <f t="shared" si="308"/>
        <v>7.6862693257548381E-2</v>
      </c>
      <c r="EG293" s="110">
        <f t="shared" si="308"/>
        <v>1.0457771332398896E-2</v>
      </c>
      <c r="EH293" s="111">
        <f t="shared" si="274"/>
        <v>9.0282917977544427E-4</v>
      </c>
      <c r="EI293" s="110">
        <f t="shared" si="236"/>
        <v>0.99909717082022442</v>
      </c>
      <c r="EK293" s="132">
        <f>(EA293*'Renewable Diesel'!BF302*'Feedstock Conversion Rates'!B$2)+FB293</f>
        <v>48.736878932068734</v>
      </c>
      <c r="EL293" s="132">
        <f>(EB293*'Renewable Diesel'!BF302*'Feedstock Conversion Rates'!B$3)+FC293</f>
        <v>3168.7104198087804</v>
      </c>
      <c r="EM293" s="132">
        <f>(EC293*'Renewable Diesel'!BF302*'Feedstock Conversion Rates'!B$4)+FD293</f>
        <v>5375.1369319155165</v>
      </c>
      <c r="EN293" s="132">
        <f>(ED293*'Renewable Diesel'!BF302*'Feedstock Conversion Rates'!B$5)+FE293</f>
        <v>733.16646152785484</v>
      </c>
      <c r="EO293" s="132">
        <f>(EE293*'Renewable Diesel'!BF302*'Feedstock Conversion Rates'!B$6)+FF293</f>
        <v>927.70848956636496</v>
      </c>
      <c r="EP293" s="132">
        <f>(EF293*'Renewable Diesel'!BF302*'Feedstock Conversion Rates'!B$7)+FG293</f>
        <v>1019.1033123450222</v>
      </c>
      <c r="EQ293" s="132">
        <f>(EG293*'Renewable Diesel'!BF302*'Feedstock Conversion Rates'!B$8)+FH293</f>
        <v>141.2944833034706</v>
      </c>
      <c r="ER293" s="132">
        <f>(EH293*'Renewable Diesel'!BF302*'Feedstock Conversion Rates'!B$9)+FI293</f>
        <v>12.035443757648142</v>
      </c>
      <c r="ES293" s="132">
        <f t="shared" si="275"/>
        <v>11425.892421156725</v>
      </c>
      <c r="ET293" s="133">
        <f>ES293/'Renewable Diesel'!BF302</f>
        <v>14.017178412006643</v>
      </c>
      <c r="EW293" s="73">
        <f t="shared" ref="EW293:EW356" si="309">EN293+EM293+FD293+FE293</f>
        <v>8761.7078991354047</v>
      </c>
      <c r="EX293" s="73">
        <f t="shared" ref="EX293:EX356" si="310">EQ293+EO293+EL293+EK293+ER293+EP293+FB293+FC293+FF293+FG293+FH293+FI293</f>
        <v>7627.5127130198925</v>
      </c>
      <c r="EY293" s="92">
        <f t="shared" si="258"/>
        <v>0.7668291960207686</v>
      </c>
      <c r="EZ293" s="92">
        <f t="shared" si="258"/>
        <v>0.66756384813289749</v>
      </c>
      <c r="FB293" s="102">
        <f>IF('Renewable Diesel'!$BG302&lt;1,0,(((('Renewable Diesel'!$BG302-1)*'Renewable Diesel'!$BF302)*'RD Feedstock Breakdown'!EA293)*'Feedstock Conversion Rates'!$B$2))</f>
        <v>21.170961201849998</v>
      </c>
      <c r="FC293" s="102">
        <f>IF('Renewable Diesel'!$BG302&lt;1,0,(((('Renewable Diesel'!$BG302-1)*'Renewable Diesel'!$BF302)*'RD Feedstock Breakdown'!EB293)*'Feedstock Conversion Rates'!$B$3))</f>
        <v>1376.4657653021766</v>
      </c>
      <c r="FD293" s="102">
        <f>IF('Renewable Diesel'!$BG302&lt;1,0,(((('Renewable Diesel'!$BG302-1)*'Renewable Diesel'!$BF302)*'RD Feedstock Breakdown'!EC293)*'Feedstock Conversion Rates'!$B$4))</f>
        <v>2334.9220945975771</v>
      </c>
      <c r="FE293" s="102">
        <f>IF('Renewable Diesel'!$BG302&lt;1,0,(((('Renewable Diesel'!$BG302-1)*'Renewable Diesel'!$BF302)*'RD Feedstock Breakdown'!ED293)*'Feedstock Conversion Rates'!$B$5))</f>
        <v>318.48241109445638</v>
      </c>
      <c r="FF293" s="102">
        <f>IF('Renewable Diesel'!$BG302&lt;1,0,(((('Renewable Diesel'!$BG302-1)*'Renewable Diesel'!$BF302)*'RD Feedstock Breakdown'!EE293)*'Feedstock Conversion Rates'!$B$6))</f>
        <v>402.9901148699326</v>
      </c>
      <c r="FG293" s="102">
        <f>IF('Renewable Diesel'!$BG302&lt;1,0,(((('Renewable Diesel'!$BG302-1)*'Renewable Diesel'!$BF302)*'RD Feedstock Breakdown'!EF293)*'Feedstock Conversion Rates'!$B$7))</f>
        <v>442.69139015663836</v>
      </c>
      <c r="FH293" s="102">
        <f>IF('Renewable Diesel'!$BG302&lt;1,0,(((('Renewable Diesel'!$BG302-1)*'Renewable Diesel'!$BF302)*'RD Feedstock Breakdown'!EG293)*'Feedstock Conversion Rates'!$B$8))</f>
        <v>61.377340724313896</v>
      </c>
      <c r="FI293" s="102">
        <f>IF('Renewable Diesel'!$BG302&lt;1,0,(((('Renewable Diesel'!$BG302-1)*'Renewable Diesel'!$BF302)*'RD Feedstock Breakdown'!EH293)*'Feedstock Conversion Rates'!$B$9))</f>
        <v>5.2281130516250114</v>
      </c>
      <c r="FJ293" s="102">
        <f t="shared" ref="FJ293:FJ356" si="311">SUM(FB293:FI293)</f>
        <v>4963.3281909985708</v>
      </c>
      <c r="GD293" s="91">
        <f>'Renewable Diesel'!BB302*0.32</f>
        <v>0</v>
      </c>
      <c r="GE293" s="91">
        <f>'Renewable Diesel'!BC302</f>
        <v>528.32834224558314</v>
      </c>
      <c r="GF293" s="91">
        <f>'Renewable Diesel'!BD302</f>
        <v>0</v>
      </c>
      <c r="GG293" s="91">
        <f t="shared" si="295"/>
        <v>528.32834224558314</v>
      </c>
      <c r="GH293" s="124">
        <v>1</v>
      </c>
      <c r="GI293" s="102">
        <f>$GG293*EA293*'Feedstock Conversion Rates'!$B$2</f>
        <v>17.866802436418304</v>
      </c>
      <c r="GJ293" s="102">
        <f>$GG293*EB293*'Feedstock Conversion Rates'!$B$3</f>
        <v>1161.6403079043137</v>
      </c>
      <c r="GK293" s="102">
        <f>$GG293*EC293*'Feedstock Conversion Rates'!$B$4</f>
        <v>1970.5100477420685</v>
      </c>
      <c r="GL293" s="102">
        <f>$GG293*ED293*'Feedstock Conversion Rates'!$B$5</f>
        <v>268.77675813800897</v>
      </c>
      <c r="GM293" s="102">
        <f>$GG293*EE293*'Feedstock Conversion Rates'!$B$6</f>
        <v>340.09531723960777</v>
      </c>
      <c r="GN293" s="102">
        <f>$GG293*EF293*'Feedstock Conversion Rates'!$B$7</f>
        <v>373.60040164547991</v>
      </c>
      <c r="GO293" s="102">
        <f>$GG293*EG293*'Feedstock Conversion Rates'!$B$8</f>
        <v>51.798159296528361</v>
      </c>
      <c r="GP293" s="102">
        <f>$GG293*EH293*'Feedstock Conversion Rates'!B$9</f>
        <v>4.4121597559057255</v>
      </c>
      <c r="GQ293" s="102">
        <f t="shared" si="276"/>
        <v>4188.6999541583309</v>
      </c>
      <c r="GR293" s="85">
        <f t="shared" si="293"/>
        <v>7.9282136111700314</v>
      </c>
      <c r="GT293" s="103">
        <f t="shared" si="254"/>
        <v>4.2654767904015279E-3</v>
      </c>
      <c r="GU293" s="103">
        <f t="shared" si="254"/>
        <v>0.27732717086863562</v>
      </c>
      <c r="GV293" s="103">
        <f t="shared" si="254"/>
        <v>0.47043475763544368</v>
      </c>
      <c r="GW293" s="103">
        <f t="shared" si="254"/>
        <v>6.4167106997287046E-2</v>
      </c>
      <c r="GX293" s="103">
        <f t="shared" si="253"/>
        <v>8.1193525667069624E-2</v>
      </c>
      <c r="GY293" s="103">
        <f t="shared" si="253"/>
        <v>8.919244771270575E-2</v>
      </c>
      <c r="GZ293" s="103">
        <f t="shared" si="253"/>
        <v>1.2366166080983136E-2</v>
      </c>
      <c r="HA293" s="103">
        <f t="shared" si="251"/>
        <v>1.0533482474736715E-3</v>
      </c>
    </row>
    <row r="294" spans="1:209" x14ac:dyDescent="0.25">
      <c r="A294" s="96">
        <v>49369</v>
      </c>
      <c r="B294" s="104">
        <f t="shared" si="303"/>
        <v>70.75</v>
      </c>
      <c r="C294" s="104">
        <f t="shared" si="304"/>
        <v>19</v>
      </c>
      <c r="D294" s="104">
        <f t="shared" si="288"/>
        <v>2</v>
      </c>
      <c r="E294" s="104">
        <f>('Renewable Diesel'!B303*E$3*'Feedstock Conversion Rates'!$B$2)/12+26+13-100+27.5+39-90</f>
        <v>5.4300000000000068</v>
      </c>
      <c r="F294" s="104">
        <f>('Renewable Diesel'!B303*'RD Feedstock Breakdown'!F$3*'Feedstock Conversion Rates'!B$8)/12+77+23-10-12-115.75+24+8+1+15-40-20</f>
        <v>4.15625</v>
      </c>
      <c r="G294" s="104">
        <f>('Renewable Diesel'!B303*'RD Feedstock Breakdown'!G$3*'Feedstock Conversion Rates'!B$7)/12+116.75-39-57.5-145-31.5+32+70-40+10-50-12.5-25</f>
        <v>4.4070000000000391</v>
      </c>
      <c r="H294" s="104">
        <f>('Renewable Diesel'!B303*'RD Feedstock Breakdown'!H$3*'Feedstock Conversion Rates'!B$3)/12+67+10+12+3-235+20+47-20+65+25+130+90</f>
        <v>390.40022499999998</v>
      </c>
      <c r="I294" s="106">
        <f t="shared" si="291"/>
        <v>496.14347500000002</v>
      </c>
      <c r="J294" s="104">
        <f t="shared" si="305"/>
        <v>66</v>
      </c>
      <c r="K294" s="104"/>
      <c r="L294" s="104">
        <v>1</v>
      </c>
      <c r="M294" s="104">
        <f>('Renewable Diesel'!C303*'RD Feedstock Breakdown'!M$3*'Feedstock Conversion Rates'!B$2)/12</f>
        <v>7.7902500000000003</v>
      </c>
      <c r="N294" s="104">
        <f>('Renewable Diesel'!C303*'RD Feedstock Breakdown'!N$3*'Feedstock Conversion Rates'!B$8)/12</f>
        <v>3.671875</v>
      </c>
      <c r="O294" s="104">
        <f>('Renewable Diesel'!C303*'RD Feedstock Breakdown'!O$3*'Feedstock Conversion Rates'!B$7)/12</f>
        <v>11.9991</v>
      </c>
      <c r="P294" s="104">
        <f>('Renewable Diesel'!C303*'RD Feedstock Breakdown'!P$3*'Feedstock Conversion Rates'!B$3)/12</f>
        <v>10.4470425</v>
      </c>
      <c r="Q294" s="106">
        <f t="shared" si="299"/>
        <v>100.90826749999999</v>
      </c>
      <c r="R294" s="104">
        <f>('Renewable Diesel'!D303*'RD Feedstock Breakdown'!R$3*'Feedstock Conversion Rates'!B$7)/12</f>
        <v>2.2999999999999998</v>
      </c>
      <c r="S294" s="106">
        <f t="shared" si="249"/>
        <v>2.2999999999999998</v>
      </c>
      <c r="T294" s="104">
        <f t="shared" si="300"/>
        <v>0.82499999999999929</v>
      </c>
      <c r="U294" s="104"/>
      <c r="V294" s="104">
        <f>('Renewable Diesel'!E303*'RD Feedstock Breakdown'!V$3*'Feedstock Conversion Rates'!B$6)/12-20+25</f>
        <v>49.250150000000012</v>
      </c>
      <c r="W294" s="104">
        <f>('Renewable Diesel'!E303*'RD Feedstock Breakdown'!W$3*'Feedstock Conversion Rates'!B$8)/12-6</f>
        <v>16.1796875</v>
      </c>
      <c r="X294" s="106">
        <f t="shared" si="277"/>
        <v>66.254837500000008</v>
      </c>
      <c r="Y294" s="104">
        <f t="shared" si="301"/>
        <v>98</v>
      </c>
      <c r="Z294" s="104">
        <f>('Renewable Diesel'!F303*'RD Feedstock Breakdown'!Z$3*'Feedstock Conversion Rates'!B$6)/12-142+15+5</f>
        <v>37.460000000000008</v>
      </c>
      <c r="AA294" s="104">
        <f>('Renewable Diesel'!F303*'RD Feedstock Breakdown'!AA$3*'Feedstock Conversion Rates'!B$7)/12+24</f>
        <v>128.26666666666665</v>
      </c>
      <c r="AB294" s="106">
        <f t="shared" si="235"/>
        <v>263.72666666666669</v>
      </c>
      <c r="AC294" s="104">
        <f>('Renewable Diesel'!G303*'RD Feedstock Breakdown'!AC$3*'Feedstock Conversion Rates'!B$5)/12</f>
        <v>11.796875</v>
      </c>
      <c r="AD294" s="104">
        <f>('Renewable Diesel'!G303*'RD Feedstock Breakdown'!AD$3*'Feedstock Conversion Rates'!B$4)/12</f>
        <v>5.859375</v>
      </c>
      <c r="AE294" s="104">
        <f>('Renewable Diesel'!G303*'RD Feedstock Breakdown'!AE$3*'Feedstock Conversion Rates'!B$6)/12</f>
        <v>7.3281250000000009</v>
      </c>
      <c r="AF294" s="106">
        <f t="shared" si="284"/>
        <v>24.984375</v>
      </c>
      <c r="AG294" s="104">
        <f t="shared" si="306"/>
        <v>148</v>
      </c>
      <c r="AH294" s="104"/>
      <c r="AI294" s="104">
        <f>('Renewable Diesel'!H303*'RD Feedstock Breakdown'!AI$3*'Feedstock Conversion Rates'!B$6)/12-130-20+51-49</f>
        <v>0.51666666666667993</v>
      </c>
      <c r="AJ294" s="106">
        <f t="shared" si="248"/>
        <v>148.51666666666668</v>
      </c>
      <c r="AK294" s="104">
        <f>('Renewable Diesel'!J303*'RD Feedstock Breakdown'!AK$3*'Feedstock Conversion Rates'!B$4)/12</f>
        <v>95.8125</v>
      </c>
      <c r="AL294" s="106">
        <f t="shared" si="252"/>
        <v>95.8125</v>
      </c>
      <c r="AM294" s="104">
        <f>('Renewable Diesel'!K303*'RD Feedstock Breakdown'!AM$3*'Feedstock Conversion Rates'!B$4)/12+5+15-10</f>
        <v>68.59375</v>
      </c>
      <c r="AN294" s="104">
        <f>('Renewable Diesel'!K303*'RD Feedstock Breakdown'!AN$3*'Feedstock Conversion Rates'!B$6)/12-5-15+10</f>
        <v>14.427083333333332</v>
      </c>
      <c r="AO294" s="106">
        <f t="shared" si="270"/>
        <v>83.020833333333329</v>
      </c>
      <c r="AP294" s="104">
        <f>('Renewable Diesel'!L303*'RD Feedstock Breakdown'!AP$3*'Feedstock Conversion Rates'!B$4)/12+15-10</f>
        <v>63.59375</v>
      </c>
      <c r="AQ294" s="104">
        <f>('Renewable Diesel'!L303*'RD Feedstock Breakdown'!AQ$3*'Feedstock Conversion Rates'!B$6)/12-15+10</f>
        <v>19.427083333333332</v>
      </c>
      <c r="AR294" s="106">
        <f t="shared" si="256"/>
        <v>83.020833333333329</v>
      </c>
      <c r="AS294" s="104">
        <f>('Renewable Diesel'!M303*'RD Feedstock Breakdown'!AS$3*'Feedstock Conversion Rates'!B$4)/12-25</f>
        <v>431.25</v>
      </c>
      <c r="AT294" s="104">
        <f>('Renewable Diesel'!M303*'RD Feedstock Breakdown'!AT$3*'Feedstock Conversion Rates'!B$5)/12+25</f>
        <v>25</v>
      </c>
      <c r="AU294" s="106">
        <f t="shared" si="290"/>
        <v>456.25</v>
      </c>
      <c r="AV294" s="104">
        <f>'Renewable Diesel'!N303*'RD Feedstock Breakdown'!$AV$3*'Feedstock Conversion Rates'!$B$4/12-15-10+25+25-22+25</f>
        <v>106.74999999999999</v>
      </c>
      <c r="AW294" s="104">
        <f>'Renewable Diesel'!N303*'RD Feedstock Breakdown'!$AW$3*'Feedstock Conversion Rates'!$B$7/12+15+10-25-25+22-25</f>
        <v>13.400000000000006</v>
      </c>
      <c r="AX294" s="106">
        <f t="shared" si="239"/>
        <v>120.14999999999999</v>
      </c>
      <c r="AY294" s="104">
        <f>('Renewable Diesel'!O303*'RD Feedstock Breakdown'!AY$3*'Feedstock Conversion Rates'!B$4)/12-90-258</f>
        <v>-137.0625</v>
      </c>
      <c r="AZ294" s="104">
        <f>('Renewable Diesel'!O303*'RD Feedstock Breakdown'!AZ$3*'Feedstock Conversion Rates'!B$3)/12+90+258</f>
        <v>373.03125</v>
      </c>
      <c r="BA294" s="106">
        <f t="shared" si="302"/>
        <v>235.96875</v>
      </c>
      <c r="BB294" s="104">
        <f>('Renewable Diesel'!Q303*'RD Feedstock Breakdown'!BB$3*'Feedstock Conversion Rates'!B$4)/12</f>
        <v>11.156249999999998</v>
      </c>
      <c r="BC294" s="104">
        <f>('Renewable Diesel'!Q303*'RD Feedstock Breakdown'!BC$3*'Feedstock Conversion Rates'!B$3)/12</f>
        <v>1.4017500000000001</v>
      </c>
      <c r="BD294" s="104">
        <f>('Renewable Diesel'!Q303*'RD Feedstock Breakdown'!BD$3*'Feedstock Conversion Rates'!B$6)/12</f>
        <v>0.8207500000000002</v>
      </c>
      <c r="BE294" s="106">
        <f t="shared" si="279"/>
        <v>13.378749999999998</v>
      </c>
      <c r="BF294" s="104">
        <f>('Renewable Diesel'!R303*'RD Feedstock Breakdown'!BF$3*'Feedstock Conversion Rates'!B$4)/12</f>
        <v>62.5</v>
      </c>
      <c r="BG294" s="106">
        <f t="shared" si="262"/>
        <v>62.5</v>
      </c>
      <c r="BH294" s="104">
        <f>('Renewable Diesel'!T303*'RD Feedstock Breakdown'!BH$3*'Feedstock Conversion Rates'!B$7)/12</f>
        <v>27.599999999999998</v>
      </c>
      <c r="BI294" s="106">
        <f t="shared" si="243"/>
        <v>27.599999999999998</v>
      </c>
      <c r="BJ294" s="104">
        <f>('Renewable Diesel'!W303*'RD Feedstock Breakdown'!BJ$3*'Feedstock Conversion Rates'!B$4)/12</f>
        <v>7.5</v>
      </c>
      <c r="BK294" s="104">
        <f>('Renewable Diesel'!W303*'RD Feedstock Breakdown'!BK$3*'Feedstock Conversion Rates'!B$3)/12</f>
        <v>1.335</v>
      </c>
      <c r="BL294" s="104">
        <f>('Renewable Diesel'!W303*'RD Feedstock Breakdown'!BL$3*'Feedstock Conversion Rates'!B$6)/12</f>
        <v>3.1266666666666669</v>
      </c>
      <c r="BM294" s="104">
        <f>('Renewable Diesel'!W303*'RD Feedstock Breakdown'!BM$3*'Feedstock Conversion Rates'!B$7)/12</f>
        <v>1.5333333333333332</v>
      </c>
      <c r="BN294" s="106">
        <f t="shared" si="296"/>
        <v>13.495000000000001</v>
      </c>
      <c r="BO294" s="104">
        <f>('Renewable Diesel'!P303*'Feedstock Conversion Rates'!B$4)/12</f>
        <v>31.25</v>
      </c>
      <c r="BP294" s="106">
        <f t="shared" si="285"/>
        <v>31.25</v>
      </c>
      <c r="BQ294" s="104">
        <f>('Renewable Diesel'!$S303*'RD Feedstock Breakdown'!BQ$3*'Feedstock Conversion Rates'!B$4)/12+10+15-15</f>
        <v>38.125</v>
      </c>
      <c r="BR294" s="104">
        <f>('Renewable Diesel'!$S303*'RD Feedstock Breakdown'!BR$3*'Feedstock Conversion Rates'!B$7)/12-10-15+15</f>
        <v>1.5</v>
      </c>
      <c r="BS294" s="106">
        <f t="shared" si="307"/>
        <v>39.625</v>
      </c>
      <c r="BT294" s="106"/>
      <c r="BU294" s="104">
        <f>('Renewable Diesel'!Y303*'Feedstock Conversion Rates'!B$7)/12</f>
        <v>2.6833333333333331</v>
      </c>
      <c r="BV294" s="106">
        <f t="shared" si="281"/>
        <v>2.6833333333333331</v>
      </c>
      <c r="BW294" s="104">
        <f>('Renewable Diesel'!$Z303*'RD Feedstock Breakdown'!BW$3*'Feedstock Conversion Rates'!$B$4)/12</f>
        <v>71.875</v>
      </c>
      <c r="BX294" s="104">
        <f>('Renewable Diesel'!$Z303*'RD Feedstock Breakdown'!BX$3*'Feedstock Conversion Rates'!$B$5)/12</f>
        <v>7.2354166666666666</v>
      </c>
      <c r="BY294" s="104">
        <f>('Renewable Diesel'!$Z303*'RD Feedstock Breakdown'!BY$3*'Feedstock Conversion Rates'!$B$7)/12</f>
        <v>61.716666666666661</v>
      </c>
      <c r="BZ294" s="104">
        <f>('Renewable Diesel'!$Z303*'RD Feedstock Breakdown'!BZ$3*'Feedstock Conversion Rates'!$B$3)/12</f>
        <v>15.352499999999999</v>
      </c>
      <c r="CA294" s="106">
        <f t="shared" ref="CA294:CA357" si="312">SUM(BW294:BZ294)</f>
        <v>156.17958333333331</v>
      </c>
      <c r="CB294" s="104">
        <f>('Renewable Diesel'!AA303*'Feedstock Conversion Rates'!B$4)/12</f>
        <v>191.25</v>
      </c>
      <c r="CC294" s="106">
        <f t="shared" si="298"/>
        <v>191.25</v>
      </c>
      <c r="CD294" s="104">
        <f>('Renewable Diesel'!$AB303*'RD Feedstock Breakdown'!CD$3*'Feedstock Conversion Rates'!$B$6)/12-15-5</f>
        <v>12.830000000000005</v>
      </c>
      <c r="CE294" s="104">
        <f>('Renewable Diesel'!$AB303*'RD Feedstock Breakdown'!CE$3*'Feedstock Conversion Rates'!$B$4)/12+15+5</f>
        <v>31.25</v>
      </c>
      <c r="CF294" s="106">
        <f t="shared" si="294"/>
        <v>44.080000000000005</v>
      </c>
      <c r="CG294" s="104">
        <f>('Renewable Diesel'!AD303*'Feedstock Conversion Rates'!B$4)/12</f>
        <v>112.5</v>
      </c>
      <c r="CH294" s="106">
        <f t="shared" si="278"/>
        <v>112.5</v>
      </c>
      <c r="CI294" s="104">
        <f>('Renewable Diesel'!$AE303*'RD Feedstock Breakdown'!CI$3*'Feedstock Conversion Rates'!$B$5)/12</f>
        <v>0.34604166666666664</v>
      </c>
      <c r="CJ294" s="104">
        <f>('Renewable Diesel'!$AE303*'RD Feedstock Breakdown'!CJ$3*'Feedstock Conversion Rates'!$B$4)/12</f>
        <v>0.34375</v>
      </c>
      <c r="CK294" s="106">
        <f t="shared" si="286"/>
        <v>0.68979166666666658</v>
      </c>
      <c r="CL294" s="104">
        <f>(((CL$3*'Renewable Diesel'!$AF303)*'Feedstock Conversion Rates'!$B$3)/12)</f>
        <v>91.78125</v>
      </c>
      <c r="CM294" s="104">
        <f>(((CM$3*'Renewable Diesel'!$AF303)*'Feedstock Conversion Rates'!$B$6)/12)</f>
        <v>53.739583333333336</v>
      </c>
      <c r="CN294" s="104">
        <f>(((CN$3*'Renewable Diesel'!$AF303)*'Feedstock Conversion Rates'!$B$4)/12)</f>
        <v>42.96875</v>
      </c>
      <c r="CO294" s="106">
        <f t="shared" si="280"/>
        <v>188.48958333333334</v>
      </c>
      <c r="CP294" s="104">
        <f>('Renewable Diesel'!$AG303*'RD Feedstock Breakdown'!CP$3*'Feedstock Conversion Rates'!$B$3)/12</f>
        <v>6.0075000000000003</v>
      </c>
      <c r="CQ294" s="104">
        <f>('Renewable Diesel'!$AG303*'RD Feedstock Breakdown'!CQ$3*'Feedstock Conversion Rates'!$B$6)/12</f>
        <v>3.5175000000000001</v>
      </c>
      <c r="CR294" s="104">
        <f>('Renewable Diesel'!$AG303*'RD Feedstock Breakdown'!CR$3*'Feedstock Conversion Rates'!$B$4)/12</f>
        <v>2.8125</v>
      </c>
      <c r="CS294" s="106">
        <f t="shared" si="231"/>
        <v>12.3375</v>
      </c>
      <c r="CT294" s="104">
        <f>('Renewable Diesel'!AI303*'Feedstock Conversion Rates'!$B$4*'RD Feedstock Breakdown'!$CT$3)/12</f>
        <v>29.375</v>
      </c>
      <c r="CU294" s="106">
        <f t="shared" si="282"/>
        <v>29.375</v>
      </c>
      <c r="CV294" s="104">
        <f>('Renewable Diesel'!AN303*'Feedstock Conversion Rates'!$B$3*'RD Feedstock Breakdown'!$CV$3)/12</f>
        <v>0.50062499999999999</v>
      </c>
      <c r="CW294" s="106">
        <f t="shared" si="255"/>
        <v>0.50062499999999999</v>
      </c>
      <c r="CX294" s="104">
        <f>('Renewable Diesel'!AO303*'RD Feedstock Breakdown'!$CX$3*'Feedstock Conversion Rates'!$B$3)/12</f>
        <v>6.3412499999999996</v>
      </c>
      <c r="CY294" s="104">
        <f>('Renewable Diesel'!AO303*'RD Feedstock Breakdown'!$CY$3*'Feedstock Conversion Rates'!$B$6)/12</f>
        <v>7.4258333333333342</v>
      </c>
      <c r="CZ294" s="106">
        <f t="shared" si="233"/>
        <v>13.767083333333334</v>
      </c>
      <c r="DA294" s="104">
        <f>('Renewable Diesel'!$AP303*'RD Feedstock Breakdown'!DA$3*'Feedstock Conversion Rates'!$B$3)/12</f>
        <v>6.3412499999999996</v>
      </c>
      <c r="DB294" s="104">
        <f>('Renewable Diesel'!$AP303*'RD Feedstock Breakdown'!DB$3*'Feedstock Conversion Rates'!$B$8)/12</f>
        <v>7.421875</v>
      </c>
      <c r="DC294" s="106">
        <f t="shared" si="260"/>
        <v>13.763124999999999</v>
      </c>
      <c r="DD294" s="104">
        <f>('Renewable Diesel'!AQ303*$DD$3*'Feedstock Conversion Rates'!$B$14)/12</f>
        <v>3.1041666666666665</v>
      </c>
      <c r="DE294" s="106">
        <f t="shared" si="261"/>
        <v>3.1041666666666665</v>
      </c>
      <c r="DF294" s="104">
        <f>('Renewable Diesel'!AR303*'Feedstock Conversion Rates'!$B$4*$DF$3)/12</f>
        <v>75</v>
      </c>
      <c r="DG294" s="106">
        <f t="shared" si="234"/>
        <v>75</v>
      </c>
      <c r="DH294" s="104">
        <f>('Renewable Diesel'!AS303*'Feedstock Conversion Rates'!$B$4*$DH$3)/12</f>
        <v>75</v>
      </c>
      <c r="DI294" s="106">
        <f t="shared" si="240"/>
        <v>75</v>
      </c>
      <c r="DJ294" s="104">
        <f>('Renewable Diesel'!AT303*'Feedstock Conversion Rates'!$B$4*0.25)/12</f>
        <v>8.59375</v>
      </c>
      <c r="DK294" s="104">
        <f>('Renewable Diesel'!$AT303*'RD Feedstock Breakdown'!DK$3*'Feedstock Conversion Rates'!$B$3)/12*0.5</f>
        <v>9.1781249999999996</v>
      </c>
      <c r="DL294" s="104">
        <f>('Renewable Diesel'!$AT303*'RD Feedstock Breakdown'!$DL$3*'Feedstock Conversion Rates'!$B$6)/12</f>
        <v>10.747916666666669</v>
      </c>
      <c r="DM294" s="104">
        <f>('Renewable Diesel'!$AT303*'RD Feedstock Breakdown'!$DM$3*'Feedstock Conversion Rates'!$B$8)/12</f>
        <v>10.7421875</v>
      </c>
      <c r="DN294" s="106">
        <f t="shared" si="297"/>
        <v>39.26197916666667</v>
      </c>
      <c r="DP294" s="104">
        <f t="shared" si="265"/>
        <v>13.220250000000007</v>
      </c>
      <c r="DQ294" s="104">
        <f t="shared" si="266"/>
        <v>912.11776750000001</v>
      </c>
      <c r="DR294" s="104">
        <f t="shared" si="271"/>
        <v>1652.453125</v>
      </c>
      <c r="DS294" s="104">
        <f t="shared" si="283"/>
        <v>223.90124999999998</v>
      </c>
      <c r="DT294" s="104">
        <f t="shared" si="267"/>
        <v>228.03923333333341</v>
      </c>
      <c r="DU294" s="104">
        <f t="shared" si="268"/>
        <v>255.40610000000004</v>
      </c>
      <c r="DV294" s="104">
        <f t="shared" si="272"/>
        <v>34.75</v>
      </c>
      <c r="DW294" s="104">
        <f t="shared" si="269"/>
        <v>3</v>
      </c>
      <c r="DX294" s="106">
        <f t="shared" si="273"/>
        <v>3322.8877258333337</v>
      </c>
      <c r="DY294" s="109">
        <f t="shared" si="257"/>
        <v>-5.631051180898794E-13</v>
      </c>
      <c r="EA294" s="110">
        <f t="shared" ref="EA294:EF357" si="313">DP294/$DX294</f>
        <v>3.9785424879754411E-3</v>
      </c>
      <c r="EB294" s="110">
        <f t="shared" si="313"/>
        <v>0.27449551196354482</v>
      </c>
      <c r="EC294" s="110">
        <f t="shared" si="313"/>
        <v>0.49729429982037321</v>
      </c>
      <c r="ED294" s="110">
        <f t="shared" si="308"/>
        <v>6.7381527296065558E-2</v>
      </c>
      <c r="EE294" s="110">
        <f t="shared" si="308"/>
        <v>6.8626824662318189E-2</v>
      </c>
      <c r="EF294" s="110">
        <f t="shared" si="308"/>
        <v>7.6862693257548381E-2</v>
      </c>
      <c r="EG294" s="110">
        <f t="shared" si="308"/>
        <v>1.0457771332398896E-2</v>
      </c>
      <c r="EH294" s="111">
        <f t="shared" si="274"/>
        <v>9.0282917977544427E-4</v>
      </c>
      <c r="EI294" s="110">
        <f t="shared" si="236"/>
        <v>0.99909717082022442</v>
      </c>
      <c r="EK294" s="132">
        <f>(EA294*'Renewable Diesel'!BF303*'Feedstock Conversion Rates'!B$2)+FB294</f>
        <v>21.361104358293922</v>
      </c>
      <c r="EL294" s="132">
        <f>(EB294*'Renewable Diesel'!BF303*'Feedstock Conversion Rates'!B$3)+FC294</f>
        <v>1388.8282434559169</v>
      </c>
      <c r="EM294" s="132">
        <f>(EC294*'Renewable Diesel'!BF303*'Feedstock Conversion Rates'!B$4)+FD294</f>
        <v>2355.8927748082915</v>
      </c>
      <c r="EN294" s="132">
        <f>(ED294*'Renewable Diesel'!BF303*'Feedstock Conversion Rates'!B$5)+FE294</f>
        <v>321.34280322970244</v>
      </c>
      <c r="EO294" s="132">
        <f>(EE294*'Renewable Diesel'!BF303*'Feedstock Conversion Rates'!B$6)+FF294</f>
        <v>406.60949765215474</v>
      </c>
      <c r="EP294" s="132">
        <f>(EF294*'Renewable Diesel'!BF303*'Feedstock Conversion Rates'!B$7)+FG294</f>
        <v>446.66734275758006</v>
      </c>
      <c r="EQ294" s="132">
        <f>(EG294*'Renewable Diesel'!BF303*'Feedstock Conversion Rates'!B$8)+FH294</f>
        <v>61.928590201755448</v>
      </c>
      <c r="ER294" s="132">
        <f>(EH294*'Renewable Diesel'!BF303*'Feedstock Conversion Rates'!B$9)+FI294</f>
        <v>5.2750684027970109</v>
      </c>
      <c r="ES294" s="132">
        <f t="shared" si="275"/>
        <v>5007.9054248664916</v>
      </c>
      <c r="ET294" s="133">
        <f>ES294/'Renewable Diesel'!BF303</f>
        <v>9.7643969477887111</v>
      </c>
      <c r="EW294" s="73">
        <f t="shared" si="309"/>
        <v>3180.6865727980262</v>
      </c>
      <c r="EX294" s="73">
        <f t="shared" si="310"/>
        <v>2768.9495643358105</v>
      </c>
      <c r="EY294" s="92">
        <f t="shared" si="258"/>
        <v>0.63513311513522075</v>
      </c>
      <c r="EZ294" s="92">
        <f t="shared" si="258"/>
        <v>0.5529157061526635</v>
      </c>
      <c r="FB294" s="102">
        <f>IF('Renewable Diesel'!$BG303&lt;1,0,(((('Renewable Diesel'!$BG303-1)*'Renewable Diesel'!$BF303)*'RD Feedstock Breakdown'!EA294)*'Feedstock Conversion Rates'!$B$2))</f>
        <v>4.0169304959846581</v>
      </c>
      <c r="FC294" s="102">
        <f>IF('Renewable Diesel'!$BG303&lt;1,0,(((('Renewable Diesel'!$BG303-1)*'Renewable Diesel'!$BF303)*'RD Feedstock Breakdown'!EB294)*'Feedstock Conversion Rates'!$B$3))</f>
        <v>261.16751415320783</v>
      </c>
      <c r="FD294" s="102">
        <f>IF('Renewable Diesel'!$BG303&lt;1,0,(((('Renewable Diesel'!$BG303-1)*'Renewable Diesel'!$BF303)*'RD Feedstock Breakdown'!EC294)*'Feedstock Conversion Rates'!$B$4))</f>
        <v>443.02285938334199</v>
      </c>
      <c r="FE294" s="102">
        <f>IF('Renewable Diesel'!$BG303&lt;1,0,(((('Renewable Diesel'!$BG303-1)*'Renewable Diesel'!$BF303)*'RD Feedstock Breakdown'!ED294)*'Feedstock Conversion Rates'!$B$5))</f>
        <v>60.428135376690051</v>
      </c>
      <c r="FF294" s="102">
        <f>IF('Renewable Diesel'!$BG303&lt;1,0,(((('Renewable Diesel'!$BG303-1)*'Renewable Diesel'!$BF303)*'RD Feedstock Breakdown'!EE294)*'Feedstock Conversion Rates'!$B$6))</f>
        <v>76.462436757946406</v>
      </c>
      <c r="FG294" s="102">
        <f>IF('Renewable Diesel'!$BG303&lt;1,0,(((('Renewable Diesel'!$BG303-1)*'Renewable Diesel'!$BF303)*'RD Feedstock Breakdown'!EF294)*'Feedstock Conversion Rates'!$B$7))</f>
        <v>83.995267313354276</v>
      </c>
      <c r="FH294" s="102">
        <f>IF('Renewable Diesel'!$BG303&lt;1,0,(((('Renewable Diesel'!$BG303-1)*'Renewable Diesel'!$BF303)*'RD Feedstock Breakdown'!EG294)*'Feedstock Conversion Rates'!$B$8))</f>
        <v>11.645598391460526</v>
      </c>
      <c r="FI294" s="102">
        <f>IF('Renewable Diesel'!$BG303&lt;1,0,(((('Renewable Diesel'!$BG303-1)*'Renewable Diesel'!$BF303)*'RD Feedstock Breakdown'!EH294)*'Feedstock Conversion Rates'!$B$9))</f>
        <v>0.99197039535893983</v>
      </c>
      <c r="FJ294" s="102">
        <f t="shared" si="311"/>
        <v>941.73071226734476</v>
      </c>
      <c r="GD294" s="91">
        <f>'Renewable Diesel'!BB303*0.32</f>
        <v>0</v>
      </c>
      <c r="GE294" s="91">
        <f>'Renewable Diesel'!BC303</f>
        <v>210.79240077562943</v>
      </c>
      <c r="GF294" s="91">
        <f>'Renewable Diesel'!BD303</f>
        <v>0</v>
      </c>
      <c r="GG294" s="91">
        <f t="shared" si="295"/>
        <v>210.79240077562943</v>
      </c>
      <c r="GH294" s="124">
        <v>1</v>
      </c>
      <c r="GI294" s="102">
        <f>$GG294*EA294*'Feedstock Conversion Rates'!$B$2</f>
        <v>7.1284954423396067</v>
      </c>
      <c r="GJ294" s="102">
        <f>$GG294*EB294*'Feedstock Conversion Rates'!$B$3</f>
        <v>463.47115943113829</v>
      </c>
      <c r="GK294" s="102">
        <f>$GG294*EC294*'Feedstock Conversion Rates'!$B$4</f>
        <v>786.19394513379098</v>
      </c>
      <c r="GL294" s="102">
        <f>$GG294*ED294*'Feedstock Conversion Rates'!$B$5</f>
        <v>107.2365299953303</v>
      </c>
      <c r="GM294" s="102">
        <f>$GG294*EE294*'Feedstock Conversion Rates'!$B$6</f>
        <v>135.69120314231176</v>
      </c>
      <c r="GN294" s="102">
        <f>$GG294*EF294*'Feedstock Conversion Rates'!$B$7</f>
        <v>149.05905910492257</v>
      </c>
      <c r="GO294" s="102">
        <f>$GG294*EG294*'Feedstock Conversion Rates'!$B$8</f>
        <v>20.666425555489838</v>
      </c>
      <c r="GP294" s="102">
        <f>$GG294*EH294*'Feedstock Conversion Rates'!B$9</f>
        <v>1.7603631552302137</v>
      </c>
      <c r="GQ294" s="102">
        <f t="shared" si="276"/>
        <v>1671.2071809605536</v>
      </c>
      <c r="GR294" s="85">
        <f t="shared" si="293"/>
        <v>7.9282136111700314</v>
      </c>
      <c r="GT294" s="103">
        <f t="shared" si="254"/>
        <v>4.2654767904015279E-3</v>
      </c>
      <c r="GU294" s="103">
        <f t="shared" si="254"/>
        <v>0.27732717086863562</v>
      </c>
      <c r="GV294" s="103">
        <f t="shared" si="254"/>
        <v>0.47043475763544362</v>
      </c>
      <c r="GW294" s="103">
        <f t="shared" si="254"/>
        <v>6.4167106997287046E-2</v>
      </c>
      <c r="GX294" s="103">
        <f t="shared" si="253"/>
        <v>8.1193525667069624E-2</v>
      </c>
      <c r="GY294" s="103">
        <f t="shared" si="253"/>
        <v>8.9192447712705764E-2</v>
      </c>
      <c r="GZ294" s="103">
        <f t="shared" si="253"/>
        <v>1.2366166080983135E-2</v>
      </c>
      <c r="HA294" s="103">
        <f t="shared" si="251"/>
        <v>1.0533482474736713E-3</v>
      </c>
    </row>
    <row r="295" spans="1:209" x14ac:dyDescent="0.25">
      <c r="A295" s="96">
        <v>49400</v>
      </c>
      <c r="B295" s="104">
        <f t="shared" si="303"/>
        <v>70.75</v>
      </c>
      <c r="C295" s="104">
        <f t="shared" si="304"/>
        <v>19</v>
      </c>
      <c r="D295" s="104">
        <f t="shared" si="288"/>
        <v>2</v>
      </c>
      <c r="E295" s="104">
        <f>('Renewable Diesel'!B304*E$3*'Feedstock Conversion Rates'!$B$2)/12+26+13-100+27.5+39-90</f>
        <v>5.4300000000000068</v>
      </c>
      <c r="F295" s="104">
        <f>('Renewable Diesel'!B304*'RD Feedstock Breakdown'!F$3*'Feedstock Conversion Rates'!B$8)/12+77+23-10-12-115.75+24+8+1+15-40-20</f>
        <v>4.15625</v>
      </c>
      <c r="G295" s="104">
        <f>('Renewable Diesel'!B304*'RD Feedstock Breakdown'!G$3*'Feedstock Conversion Rates'!B$7)/12+116.75-39-57.5-145-31.5+32+70-40+10-50-12.5-25</f>
        <v>4.4070000000000391</v>
      </c>
      <c r="H295" s="104">
        <f>('Renewable Diesel'!B304*'RD Feedstock Breakdown'!H$3*'Feedstock Conversion Rates'!B$3)/12+67+10+12+3-235+20+47-20+65+25+130+90</f>
        <v>390.40022499999998</v>
      </c>
      <c r="I295" s="106">
        <f t="shared" si="291"/>
        <v>496.14347500000002</v>
      </c>
      <c r="J295" s="104">
        <f t="shared" si="305"/>
        <v>66</v>
      </c>
      <c r="K295" s="104"/>
      <c r="L295" s="104">
        <v>1</v>
      </c>
      <c r="M295" s="104">
        <f>('Renewable Diesel'!C304*'RD Feedstock Breakdown'!M$3*'Feedstock Conversion Rates'!B$2)/12</f>
        <v>7.7902500000000003</v>
      </c>
      <c r="N295" s="104">
        <f>('Renewable Diesel'!C304*'RD Feedstock Breakdown'!N$3*'Feedstock Conversion Rates'!B$8)/12</f>
        <v>3.671875</v>
      </c>
      <c r="O295" s="104">
        <f>('Renewable Diesel'!C304*'RD Feedstock Breakdown'!O$3*'Feedstock Conversion Rates'!B$7)/12</f>
        <v>11.9991</v>
      </c>
      <c r="P295" s="104">
        <f>('Renewable Diesel'!C304*'RD Feedstock Breakdown'!P$3*'Feedstock Conversion Rates'!B$3)/12</f>
        <v>10.4470425</v>
      </c>
      <c r="Q295" s="106">
        <f t="shared" si="299"/>
        <v>100.90826749999999</v>
      </c>
      <c r="R295" s="104">
        <f>('Renewable Diesel'!D304*'RD Feedstock Breakdown'!R$3*'Feedstock Conversion Rates'!B$7)/12</f>
        <v>2.2999999999999998</v>
      </c>
      <c r="S295" s="106">
        <f t="shared" si="249"/>
        <v>2.2999999999999998</v>
      </c>
      <c r="T295" s="104">
        <f t="shared" si="300"/>
        <v>0.82499999999999929</v>
      </c>
      <c r="U295" s="104"/>
      <c r="V295" s="104">
        <f>('Renewable Diesel'!E304*'RD Feedstock Breakdown'!V$3*'Feedstock Conversion Rates'!B$6)/12-20+25</f>
        <v>49.250150000000012</v>
      </c>
      <c r="W295" s="104">
        <f>('Renewable Diesel'!E304*'RD Feedstock Breakdown'!W$3*'Feedstock Conversion Rates'!B$8)/12-6</f>
        <v>16.1796875</v>
      </c>
      <c r="X295" s="106">
        <f t="shared" si="277"/>
        <v>66.254837500000008</v>
      </c>
      <c r="Y295" s="104">
        <f t="shared" si="301"/>
        <v>98</v>
      </c>
      <c r="Z295" s="104">
        <f>('Renewable Diesel'!F304*'RD Feedstock Breakdown'!Z$3*'Feedstock Conversion Rates'!B$6)/12-142+15+5</f>
        <v>37.460000000000008</v>
      </c>
      <c r="AA295" s="104">
        <f>('Renewable Diesel'!F304*'RD Feedstock Breakdown'!AA$3*'Feedstock Conversion Rates'!B$7)/12+24</f>
        <v>128.26666666666665</v>
      </c>
      <c r="AB295" s="106">
        <f t="shared" si="235"/>
        <v>263.72666666666669</v>
      </c>
      <c r="AC295" s="104">
        <f>('Renewable Diesel'!G304*'RD Feedstock Breakdown'!AC$3*'Feedstock Conversion Rates'!B$5)/12</f>
        <v>11.796875</v>
      </c>
      <c r="AD295" s="104">
        <f>('Renewable Diesel'!G304*'RD Feedstock Breakdown'!AD$3*'Feedstock Conversion Rates'!B$4)/12</f>
        <v>5.859375</v>
      </c>
      <c r="AE295" s="104">
        <f>('Renewable Diesel'!G304*'RD Feedstock Breakdown'!AE$3*'Feedstock Conversion Rates'!B$6)/12</f>
        <v>7.3281250000000009</v>
      </c>
      <c r="AF295" s="106">
        <f t="shared" si="284"/>
        <v>24.984375</v>
      </c>
      <c r="AG295" s="104">
        <f t="shared" si="306"/>
        <v>148</v>
      </c>
      <c r="AH295" s="104"/>
      <c r="AI295" s="104">
        <f>('Renewable Diesel'!H304*'RD Feedstock Breakdown'!AI$3*'Feedstock Conversion Rates'!B$6)/12-130-20+51-49</f>
        <v>0.51666666666667993</v>
      </c>
      <c r="AJ295" s="106">
        <f t="shared" si="248"/>
        <v>148.51666666666668</v>
      </c>
      <c r="AK295" s="104">
        <f>('Renewable Diesel'!J304*'RD Feedstock Breakdown'!AK$3*'Feedstock Conversion Rates'!B$4)/12</f>
        <v>95.8125</v>
      </c>
      <c r="AL295" s="106">
        <f t="shared" si="252"/>
        <v>95.8125</v>
      </c>
      <c r="AM295" s="104">
        <f>('Renewable Diesel'!K304*'RD Feedstock Breakdown'!AM$3*'Feedstock Conversion Rates'!B$4)/12+5+15-10</f>
        <v>68.59375</v>
      </c>
      <c r="AN295" s="104">
        <f>('Renewable Diesel'!K304*'RD Feedstock Breakdown'!AN$3*'Feedstock Conversion Rates'!B$6)/12-5-15+10</f>
        <v>14.427083333333332</v>
      </c>
      <c r="AO295" s="106">
        <f t="shared" si="270"/>
        <v>83.020833333333329</v>
      </c>
      <c r="AP295" s="104">
        <f>('Renewable Diesel'!L304*'RD Feedstock Breakdown'!AP$3*'Feedstock Conversion Rates'!B$4)/12+15-10</f>
        <v>63.59375</v>
      </c>
      <c r="AQ295" s="104">
        <f>('Renewable Diesel'!L304*'RD Feedstock Breakdown'!AQ$3*'Feedstock Conversion Rates'!B$6)/12-15+10</f>
        <v>19.427083333333332</v>
      </c>
      <c r="AR295" s="106">
        <f t="shared" si="256"/>
        <v>83.020833333333329</v>
      </c>
      <c r="AS295" s="104">
        <f>('Renewable Diesel'!M304*'RD Feedstock Breakdown'!AS$3*'Feedstock Conversion Rates'!B$4)/12-25</f>
        <v>431.25</v>
      </c>
      <c r="AT295" s="104">
        <f>('Renewable Diesel'!M304*'RD Feedstock Breakdown'!AT$3*'Feedstock Conversion Rates'!B$5)/12+25</f>
        <v>25</v>
      </c>
      <c r="AU295" s="106">
        <f t="shared" si="290"/>
        <v>456.25</v>
      </c>
      <c r="AV295" s="104">
        <f>'Renewable Diesel'!N304*'RD Feedstock Breakdown'!$AV$3*'Feedstock Conversion Rates'!$B$4/12-15-10+25+25-22+25</f>
        <v>106.74999999999999</v>
      </c>
      <c r="AW295" s="104">
        <f>'Renewable Diesel'!N304*'RD Feedstock Breakdown'!$AW$3*'Feedstock Conversion Rates'!$B$7/12+15+10-25-25+22-25</f>
        <v>13.400000000000006</v>
      </c>
      <c r="AX295" s="106">
        <f t="shared" si="239"/>
        <v>120.14999999999999</v>
      </c>
      <c r="AY295" s="104">
        <f>('Renewable Diesel'!O304*'RD Feedstock Breakdown'!AY$3*'Feedstock Conversion Rates'!B$4)/12-90-258</f>
        <v>-137.0625</v>
      </c>
      <c r="AZ295" s="104">
        <f>('Renewable Diesel'!O304*'RD Feedstock Breakdown'!AZ$3*'Feedstock Conversion Rates'!B$3)/12+90+258</f>
        <v>373.03125</v>
      </c>
      <c r="BA295" s="106">
        <f t="shared" si="302"/>
        <v>235.96875</v>
      </c>
      <c r="BB295" s="104">
        <f>('Renewable Diesel'!Q304*'RD Feedstock Breakdown'!BB$3*'Feedstock Conversion Rates'!B$4)/12</f>
        <v>11.156249999999998</v>
      </c>
      <c r="BC295" s="104">
        <f>('Renewable Diesel'!Q304*'RD Feedstock Breakdown'!BC$3*'Feedstock Conversion Rates'!B$3)/12</f>
        <v>1.4017500000000001</v>
      </c>
      <c r="BD295" s="104">
        <f>('Renewable Diesel'!Q304*'RD Feedstock Breakdown'!BD$3*'Feedstock Conversion Rates'!B$6)/12</f>
        <v>0.8207500000000002</v>
      </c>
      <c r="BE295" s="106">
        <f t="shared" si="279"/>
        <v>13.378749999999998</v>
      </c>
      <c r="BF295" s="104">
        <f>('Renewable Diesel'!R304*'RD Feedstock Breakdown'!BF$3*'Feedstock Conversion Rates'!B$4)/12</f>
        <v>62.5</v>
      </c>
      <c r="BG295" s="106">
        <f t="shared" si="262"/>
        <v>62.5</v>
      </c>
      <c r="BH295" s="104">
        <f>('Renewable Diesel'!T304*'RD Feedstock Breakdown'!BH$3*'Feedstock Conversion Rates'!B$7)/12</f>
        <v>27.599999999999998</v>
      </c>
      <c r="BI295" s="106">
        <f t="shared" si="243"/>
        <v>27.599999999999998</v>
      </c>
      <c r="BJ295" s="104">
        <f>('Renewable Diesel'!W304*'RD Feedstock Breakdown'!BJ$3*'Feedstock Conversion Rates'!B$4)/12</f>
        <v>7.5</v>
      </c>
      <c r="BK295" s="104">
        <f>('Renewable Diesel'!W304*'RD Feedstock Breakdown'!BK$3*'Feedstock Conversion Rates'!B$3)/12</f>
        <v>1.335</v>
      </c>
      <c r="BL295" s="104">
        <f>('Renewable Diesel'!W304*'RD Feedstock Breakdown'!BL$3*'Feedstock Conversion Rates'!B$6)/12</f>
        <v>3.1266666666666669</v>
      </c>
      <c r="BM295" s="104">
        <f>('Renewable Diesel'!W304*'RD Feedstock Breakdown'!BM$3*'Feedstock Conversion Rates'!B$7)/12</f>
        <v>1.5333333333333332</v>
      </c>
      <c r="BN295" s="106">
        <f t="shared" si="296"/>
        <v>13.495000000000001</v>
      </c>
      <c r="BO295" s="104">
        <f>('Renewable Diesel'!P304*'Feedstock Conversion Rates'!B$4)/12</f>
        <v>31.25</v>
      </c>
      <c r="BP295" s="106">
        <f t="shared" si="285"/>
        <v>31.25</v>
      </c>
      <c r="BQ295" s="104">
        <f>('Renewable Diesel'!$S304*'RD Feedstock Breakdown'!BQ$3*'Feedstock Conversion Rates'!B$4)/12+10+15-15</f>
        <v>38.125</v>
      </c>
      <c r="BR295" s="104">
        <f>('Renewable Diesel'!$S304*'RD Feedstock Breakdown'!BR$3*'Feedstock Conversion Rates'!B$7)/12-10-15+15</f>
        <v>1.5</v>
      </c>
      <c r="BS295" s="106">
        <f t="shared" si="307"/>
        <v>39.625</v>
      </c>
      <c r="BT295" s="106"/>
      <c r="BU295" s="104">
        <f>('Renewable Diesel'!Y304*'Feedstock Conversion Rates'!B$7)/12</f>
        <v>2.6833333333333331</v>
      </c>
      <c r="BV295" s="106">
        <f t="shared" si="281"/>
        <v>2.6833333333333331</v>
      </c>
      <c r="BW295" s="104">
        <f>('Renewable Diesel'!$Z304*'RD Feedstock Breakdown'!BW$3*'Feedstock Conversion Rates'!$B$4)/12</f>
        <v>71.875</v>
      </c>
      <c r="BX295" s="104">
        <f>('Renewable Diesel'!$Z304*'RD Feedstock Breakdown'!BX$3*'Feedstock Conversion Rates'!$B$5)/12</f>
        <v>7.2354166666666666</v>
      </c>
      <c r="BY295" s="104">
        <f>('Renewable Diesel'!$Z304*'RD Feedstock Breakdown'!BY$3*'Feedstock Conversion Rates'!$B$7)/12</f>
        <v>61.716666666666661</v>
      </c>
      <c r="BZ295" s="104">
        <f>('Renewable Diesel'!$Z304*'RD Feedstock Breakdown'!BZ$3*'Feedstock Conversion Rates'!$B$3)/12</f>
        <v>15.352499999999999</v>
      </c>
      <c r="CA295" s="106">
        <f t="shared" si="312"/>
        <v>156.17958333333331</v>
      </c>
      <c r="CB295" s="104">
        <f>('Renewable Diesel'!AA304*'Feedstock Conversion Rates'!B$4)/12</f>
        <v>191.25</v>
      </c>
      <c r="CC295" s="106">
        <f t="shared" si="298"/>
        <v>191.25</v>
      </c>
      <c r="CD295" s="104">
        <f>('Renewable Diesel'!$AB304*'RD Feedstock Breakdown'!CD$3*'Feedstock Conversion Rates'!$B$6)/12-15-5</f>
        <v>12.830000000000005</v>
      </c>
      <c r="CE295" s="104">
        <f>('Renewable Diesel'!$AB304*'RD Feedstock Breakdown'!CE$3*'Feedstock Conversion Rates'!$B$4)/12+15+5</f>
        <v>31.25</v>
      </c>
      <c r="CF295" s="106">
        <f t="shared" si="294"/>
        <v>44.080000000000005</v>
      </c>
      <c r="CG295" s="104">
        <f>('Renewable Diesel'!AD304*'Feedstock Conversion Rates'!B$4)/12</f>
        <v>112.5</v>
      </c>
      <c r="CH295" s="106">
        <f t="shared" si="278"/>
        <v>112.5</v>
      </c>
      <c r="CI295" s="104">
        <f>('Renewable Diesel'!$AE304*'RD Feedstock Breakdown'!CI$3*'Feedstock Conversion Rates'!$B$5)/12</f>
        <v>0.34604166666666664</v>
      </c>
      <c r="CJ295" s="104">
        <f>('Renewable Diesel'!$AE304*'RD Feedstock Breakdown'!CJ$3*'Feedstock Conversion Rates'!$B$4)/12</f>
        <v>0.34375</v>
      </c>
      <c r="CK295" s="106">
        <f t="shared" si="286"/>
        <v>0.68979166666666658</v>
      </c>
      <c r="CL295" s="104">
        <f>(((CL$3*'Renewable Diesel'!$AF304)*'Feedstock Conversion Rates'!$B$3)/12)</f>
        <v>91.78125</v>
      </c>
      <c r="CM295" s="104">
        <f>(((CM$3*'Renewable Diesel'!$AF304)*'Feedstock Conversion Rates'!$B$6)/12)</f>
        <v>53.739583333333336</v>
      </c>
      <c r="CN295" s="104">
        <f>(((CN$3*'Renewable Diesel'!$AF304)*'Feedstock Conversion Rates'!$B$4)/12)</f>
        <v>42.96875</v>
      </c>
      <c r="CO295" s="106">
        <f t="shared" si="280"/>
        <v>188.48958333333334</v>
      </c>
      <c r="CP295" s="104">
        <f>('Renewable Diesel'!$AG304*'RD Feedstock Breakdown'!CP$3*'Feedstock Conversion Rates'!$B$3)/12</f>
        <v>6.0075000000000003</v>
      </c>
      <c r="CQ295" s="104">
        <f>('Renewable Diesel'!$AG304*'RD Feedstock Breakdown'!CQ$3*'Feedstock Conversion Rates'!$B$6)/12</f>
        <v>3.5175000000000001</v>
      </c>
      <c r="CR295" s="104">
        <f>('Renewable Diesel'!$AG304*'RD Feedstock Breakdown'!CR$3*'Feedstock Conversion Rates'!$B$4)/12</f>
        <v>2.8125</v>
      </c>
      <c r="CS295" s="106">
        <f t="shared" si="231"/>
        <v>12.3375</v>
      </c>
      <c r="CT295" s="104">
        <f>('Renewable Diesel'!AI304*'Feedstock Conversion Rates'!$B$4*'RD Feedstock Breakdown'!$CT$3)/12</f>
        <v>29.375</v>
      </c>
      <c r="CU295" s="106">
        <f t="shared" si="282"/>
        <v>29.375</v>
      </c>
      <c r="CV295" s="104">
        <f>('Renewable Diesel'!AN304*'Feedstock Conversion Rates'!$B$3*'RD Feedstock Breakdown'!$CV$3)/12</f>
        <v>0.50062499999999999</v>
      </c>
      <c r="CW295" s="106">
        <f t="shared" si="255"/>
        <v>0.50062499999999999</v>
      </c>
      <c r="CX295" s="104">
        <f>('Renewable Diesel'!AO304*'RD Feedstock Breakdown'!$CX$3*'Feedstock Conversion Rates'!$B$3)/12</f>
        <v>6.3412499999999996</v>
      </c>
      <c r="CY295" s="104">
        <f>('Renewable Diesel'!AO304*'RD Feedstock Breakdown'!$CY$3*'Feedstock Conversion Rates'!$B$6)/12</f>
        <v>7.4258333333333342</v>
      </c>
      <c r="CZ295" s="106">
        <f t="shared" si="233"/>
        <v>13.767083333333334</v>
      </c>
      <c r="DA295" s="104">
        <f>('Renewable Diesel'!$AP304*'RD Feedstock Breakdown'!DA$3*'Feedstock Conversion Rates'!$B$3)/12</f>
        <v>6.3412499999999996</v>
      </c>
      <c r="DB295" s="104">
        <f>('Renewable Diesel'!$AP304*'RD Feedstock Breakdown'!DB$3*'Feedstock Conversion Rates'!$B$8)/12</f>
        <v>7.421875</v>
      </c>
      <c r="DC295" s="106">
        <f t="shared" si="260"/>
        <v>13.763124999999999</v>
      </c>
      <c r="DD295" s="104">
        <f>('Renewable Diesel'!AQ304*$DD$3*'Feedstock Conversion Rates'!$B$14)/12</f>
        <v>3.1041666666666665</v>
      </c>
      <c r="DE295" s="106">
        <f t="shared" si="261"/>
        <v>3.1041666666666665</v>
      </c>
      <c r="DF295" s="104">
        <f>('Renewable Diesel'!AR304*'Feedstock Conversion Rates'!$B$4*$DF$3)/12</f>
        <v>75</v>
      </c>
      <c r="DG295" s="106">
        <f t="shared" si="234"/>
        <v>75</v>
      </c>
      <c r="DH295" s="104">
        <f>('Renewable Diesel'!AS304*'Feedstock Conversion Rates'!$B$4*$DH$3)/12</f>
        <v>75</v>
      </c>
      <c r="DI295" s="106">
        <f t="shared" si="240"/>
        <v>75</v>
      </c>
      <c r="DJ295" s="104">
        <f>('Renewable Diesel'!AT304*'Feedstock Conversion Rates'!$B$4*0.25)/12</f>
        <v>8.59375</v>
      </c>
      <c r="DK295" s="104">
        <f>('Renewable Diesel'!$AT304*'RD Feedstock Breakdown'!DK$3*'Feedstock Conversion Rates'!$B$3)/12*0.5</f>
        <v>9.1781249999999996</v>
      </c>
      <c r="DL295" s="104">
        <f>('Renewable Diesel'!$AT304*'RD Feedstock Breakdown'!$DL$3*'Feedstock Conversion Rates'!$B$6)/12</f>
        <v>10.747916666666669</v>
      </c>
      <c r="DM295" s="104">
        <f>('Renewable Diesel'!$AT304*'RD Feedstock Breakdown'!$DM$3*'Feedstock Conversion Rates'!$B$8)/12</f>
        <v>10.7421875</v>
      </c>
      <c r="DN295" s="106">
        <f t="shared" si="297"/>
        <v>39.26197916666667</v>
      </c>
      <c r="DP295" s="104">
        <f t="shared" si="265"/>
        <v>13.220250000000007</v>
      </c>
      <c r="DQ295" s="104">
        <f t="shared" si="266"/>
        <v>912.11776750000001</v>
      </c>
      <c r="DR295" s="104">
        <f t="shared" si="271"/>
        <v>1652.453125</v>
      </c>
      <c r="DS295" s="104">
        <f t="shared" si="283"/>
        <v>223.90124999999998</v>
      </c>
      <c r="DT295" s="104">
        <f t="shared" si="267"/>
        <v>228.03923333333341</v>
      </c>
      <c r="DU295" s="104">
        <f t="shared" si="268"/>
        <v>255.40610000000004</v>
      </c>
      <c r="DV295" s="104">
        <f t="shared" si="272"/>
        <v>34.75</v>
      </c>
      <c r="DW295" s="104">
        <f t="shared" si="269"/>
        <v>3</v>
      </c>
      <c r="DX295" s="106">
        <f t="shared" si="273"/>
        <v>3322.8877258333337</v>
      </c>
      <c r="DY295" s="109">
        <f t="shared" si="257"/>
        <v>-5.631051180898794E-13</v>
      </c>
      <c r="EA295" s="110">
        <f t="shared" si="313"/>
        <v>3.9785424879754411E-3</v>
      </c>
      <c r="EB295" s="110">
        <f t="shared" si="313"/>
        <v>0.27449551196354482</v>
      </c>
      <c r="EC295" s="110">
        <f t="shared" si="313"/>
        <v>0.49729429982037321</v>
      </c>
      <c r="ED295" s="110">
        <f t="shared" si="308"/>
        <v>6.7381527296065558E-2</v>
      </c>
      <c r="EE295" s="110">
        <f t="shared" si="308"/>
        <v>6.8626824662318189E-2</v>
      </c>
      <c r="EF295" s="110">
        <f t="shared" si="308"/>
        <v>7.6862693257548381E-2</v>
      </c>
      <c r="EG295" s="110">
        <f t="shared" si="308"/>
        <v>1.0457771332398896E-2</v>
      </c>
      <c r="EH295" s="111">
        <f t="shared" si="274"/>
        <v>9.0282917977544427E-4</v>
      </c>
      <c r="EI295" s="110">
        <f t="shared" si="236"/>
        <v>0.99909717082022442</v>
      </c>
      <c r="EK295" s="132">
        <f>(EA295*'Renewable Diesel'!BF304*'Feedstock Conversion Rates'!B$2)+FB295</f>
        <v>29.269795185383021</v>
      </c>
      <c r="EL295" s="132">
        <f>(EB295*'Renewable Diesel'!BF304*'Feedstock Conversion Rates'!B$3)+FC295</f>
        <v>1903.0251222871075</v>
      </c>
      <c r="EM295" s="132">
        <f>(EC295*'Renewable Diesel'!BF304*'Feedstock Conversion Rates'!B$4)+FD295</f>
        <v>3228.1336133535851</v>
      </c>
      <c r="EN295" s="132">
        <f>(ED295*'Renewable Diesel'!BF304*'Feedstock Conversion Rates'!B$5)+FE295</f>
        <v>440.31609401216565</v>
      </c>
      <c r="EO295" s="132">
        <f>(EE295*'Renewable Diesel'!BF304*'Feedstock Conversion Rates'!B$6)+FF295</f>
        <v>557.15175194530957</v>
      </c>
      <c r="EP295" s="132">
        <f>(EF295*'Renewable Diesel'!BF304*'Feedstock Conversion Rates'!B$7)+FG295</f>
        <v>612.04053026581596</v>
      </c>
      <c r="EQ295" s="132">
        <f>(EG295*'Renewable Diesel'!BF304*'Feedstock Conversion Rates'!B$8)+FH295</f>
        <v>84.85690257025982</v>
      </c>
      <c r="ER295" s="132">
        <f>(EH295*'Renewable Diesel'!BF304*'Feedstock Conversion Rates'!B$9)+FI295</f>
        <v>7.2280987513084618</v>
      </c>
      <c r="ES295" s="132">
        <f t="shared" si="275"/>
        <v>6862.0219083709353</v>
      </c>
      <c r="ET295" s="133">
        <f>ES295/'Renewable Diesel'!BF304</f>
        <v>10.862795054950096</v>
      </c>
      <c r="EW295" s="73">
        <f t="shared" si="309"/>
        <v>4659.4805041559612</v>
      </c>
      <c r="EX295" s="73">
        <f t="shared" si="310"/>
        <v>4056.3149548759766</v>
      </c>
      <c r="EY295" s="92">
        <f t="shared" si="258"/>
        <v>0.67902442842274979</v>
      </c>
      <c r="EZ295" s="92">
        <f t="shared" si="258"/>
        <v>0.59112532851690613</v>
      </c>
      <c r="FB295" s="102">
        <f>IF('Renewable Diesel'!$BG304&lt;1,0,(((('Renewable Diesel'!$BG304-1)*'Renewable Diesel'!$BF304)*'RD Feedstock Breakdown'!EA295)*'Feedstock Conversion Rates'!$B$2))</f>
        <v>7.9072280550047358</v>
      </c>
      <c r="FC295" s="102">
        <f>IF('Renewable Diesel'!$BG304&lt;1,0,(((('Renewable Diesel'!$BG304-1)*'Renewable Diesel'!$BF304)*'RD Feedstock Breakdown'!EB295)*'Feedstock Conversion Rates'!$B$3))</f>
        <v>514.10177423592108</v>
      </c>
      <c r="FD295" s="102">
        <f>IF('Renewable Diesel'!$BG304&lt;1,0,(((('Renewable Diesel'!$BG304-1)*'Renewable Diesel'!$BF304)*'RD Feedstock Breakdown'!EC295)*'Feedstock Conversion Rates'!$B$4))</f>
        <v>872.07951101620449</v>
      </c>
      <c r="FE295" s="102">
        <f>IF('Renewable Diesel'!$BG304&lt;1,0,(((('Renewable Diesel'!$BG304-1)*'Renewable Diesel'!$BF304)*'RD Feedstock Breakdown'!ED295)*'Feedstock Conversion Rates'!$B$5))</f>
        <v>118.95128577400527</v>
      </c>
      <c r="FF295" s="102">
        <f>IF('Renewable Diesel'!$BG304&lt;1,0,(((('Renewable Diesel'!$BG304-1)*'Renewable Diesel'!$BF304)*'RD Feedstock Breakdown'!EE295)*'Feedstock Conversion Rates'!$B$6))</f>
        <v>150.51441036652889</v>
      </c>
      <c r="FG295" s="102">
        <f>IF('Renewable Diesel'!$BG304&lt;1,0,(((('Renewable Diesel'!$BG304-1)*'Renewable Diesel'!$BF304)*'RD Feedstock Breakdown'!EF295)*'Feedstock Conversion Rates'!$B$7))</f>
        <v>165.34260048852832</v>
      </c>
      <c r="FH295" s="102">
        <f>IF('Renewable Diesel'!$BG304&lt;1,0,(((('Renewable Diesel'!$BG304-1)*'Renewable Diesel'!$BF304)*'RD Feedstock Breakdown'!EG295)*'Feedstock Conversion Rates'!$B$8))</f>
        <v>22.924071604007757</v>
      </c>
      <c r="FI295" s="102">
        <f>IF('Renewable Diesel'!$BG304&lt;1,0,(((('Renewable Diesel'!$BG304-1)*'Renewable Diesel'!$BF304)*'RD Feedstock Breakdown'!EH295)*'Feedstock Conversion Rates'!$B$9))</f>
        <v>1.9526691208018119</v>
      </c>
      <c r="FJ295" s="102">
        <f t="shared" si="311"/>
        <v>1853.7735506610024</v>
      </c>
      <c r="GD295" s="91">
        <f>'Renewable Diesel'!BB304*0.32</f>
        <v>0</v>
      </c>
      <c r="GE295" s="91">
        <f>'Renewable Diesel'!BC304</f>
        <v>338.39310916389786</v>
      </c>
      <c r="GF295" s="91">
        <f>'Renewable Diesel'!BD304</f>
        <v>0</v>
      </c>
      <c r="GG295" s="91">
        <f t="shared" si="295"/>
        <v>338.39310916389786</v>
      </c>
      <c r="GH295" s="124">
        <v>1</v>
      </c>
      <c r="GI295" s="102">
        <f>$GG295*EA295*'Feedstock Conversion Rates'!$B$2</f>
        <v>11.443646580796774</v>
      </c>
      <c r="GJ295" s="102">
        <f>$GG295*EB295*'Feedstock Conversion Rates'!$B$3</f>
        <v>744.02799185648757</v>
      </c>
      <c r="GK295" s="102">
        <f>$GG295*EC295*'Feedstock Conversion Rates'!$B$4</f>
        <v>1262.1072321427478</v>
      </c>
      <c r="GL295" s="102">
        <f>$GG295*ED295*'Feedstock Conversion Rates'!$B$5</f>
        <v>172.15090614055393</v>
      </c>
      <c r="GM295" s="102">
        <f>$GG295*EE295*'Feedstock Conversion Rates'!$B$6</f>
        <v>217.83028206216812</v>
      </c>
      <c r="GN295" s="102">
        <f>$GG295*EF295*'Feedstock Conversion Rates'!$B$7</f>
        <v>239.29021290122142</v>
      </c>
      <c r="GO295" s="102">
        <f>$GG295*EG295*'Feedstock Conversion Rates'!$B$8</f>
        <v>33.176603963395699</v>
      </c>
      <c r="GP295" s="102">
        <f>$GG295*EH295*'Feedstock Conversion Rates'!B$9</f>
        <v>2.8259783519899644</v>
      </c>
      <c r="GQ295" s="102">
        <f t="shared" si="276"/>
        <v>2682.8528539993608</v>
      </c>
      <c r="GR295" s="85">
        <f t="shared" si="293"/>
        <v>7.9282136111700297</v>
      </c>
      <c r="GT295" s="103">
        <f t="shared" si="254"/>
        <v>4.2654767904015279E-3</v>
      </c>
      <c r="GU295" s="103">
        <f t="shared" si="254"/>
        <v>0.27732717086863562</v>
      </c>
      <c r="GV295" s="103">
        <f t="shared" si="254"/>
        <v>0.47043475763544357</v>
      </c>
      <c r="GW295" s="103">
        <f t="shared" si="254"/>
        <v>6.4167106997287046E-2</v>
      </c>
      <c r="GX295" s="103">
        <f t="shared" si="253"/>
        <v>8.1193525667069624E-2</v>
      </c>
      <c r="GY295" s="103">
        <f t="shared" si="253"/>
        <v>8.919244771270575E-2</v>
      </c>
      <c r="GZ295" s="103">
        <f t="shared" si="253"/>
        <v>1.2366166080983136E-2</v>
      </c>
      <c r="HA295" s="103">
        <f t="shared" si="251"/>
        <v>1.0533482474736713E-3</v>
      </c>
    </row>
    <row r="296" spans="1:209" x14ac:dyDescent="0.25">
      <c r="A296" s="96">
        <v>49430</v>
      </c>
      <c r="B296" s="104">
        <f t="shared" si="303"/>
        <v>70.75</v>
      </c>
      <c r="C296" s="104">
        <f t="shared" si="304"/>
        <v>19</v>
      </c>
      <c r="D296" s="104">
        <f t="shared" si="288"/>
        <v>2</v>
      </c>
      <c r="E296" s="104">
        <f>('Renewable Diesel'!B305*E$3*'Feedstock Conversion Rates'!$B$2)/12+26+13-100+27.5+39-90</f>
        <v>5.4300000000000068</v>
      </c>
      <c r="F296" s="104">
        <f>('Renewable Diesel'!B305*'RD Feedstock Breakdown'!F$3*'Feedstock Conversion Rates'!B$8)/12+77+23-10-12-115.75+24+8+1+15-40-20</f>
        <v>4.15625</v>
      </c>
      <c r="G296" s="104">
        <f>('Renewable Diesel'!B305*'RD Feedstock Breakdown'!G$3*'Feedstock Conversion Rates'!B$7)/12+116.75-39-57.5-145-31.5+32+70-40+10-50-12.5-25</f>
        <v>4.4070000000000391</v>
      </c>
      <c r="H296" s="104">
        <f>('Renewable Diesel'!B305*'RD Feedstock Breakdown'!H$3*'Feedstock Conversion Rates'!B$3)/12+67+10+12+3-235+20+47-20+65+25+130+90</f>
        <v>390.40022499999998</v>
      </c>
      <c r="I296" s="106">
        <f t="shared" si="291"/>
        <v>496.14347500000002</v>
      </c>
      <c r="J296" s="104">
        <f t="shared" si="305"/>
        <v>66</v>
      </c>
      <c r="K296" s="104"/>
      <c r="L296" s="104">
        <v>1</v>
      </c>
      <c r="M296" s="104">
        <f>('Renewable Diesel'!C305*'RD Feedstock Breakdown'!M$3*'Feedstock Conversion Rates'!B$2)/12</f>
        <v>7.7902500000000003</v>
      </c>
      <c r="N296" s="104">
        <f>('Renewable Diesel'!C305*'RD Feedstock Breakdown'!N$3*'Feedstock Conversion Rates'!B$8)/12</f>
        <v>3.671875</v>
      </c>
      <c r="O296" s="104">
        <f>('Renewable Diesel'!C305*'RD Feedstock Breakdown'!O$3*'Feedstock Conversion Rates'!B$7)/12</f>
        <v>11.9991</v>
      </c>
      <c r="P296" s="104">
        <f>('Renewable Diesel'!C305*'RD Feedstock Breakdown'!P$3*'Feedstock Conversion Rates'!B$3)/12</f>
        <v>10.4470425</v>
      </c>
      <c r="Q296" s="106">
        <f t="shared" si="299"/>
        <v>100.90826749999999</v>
      </c>
      <c r="R296" s="104">
        <f>('Renewable Diesel'!D305*'RD Feedstock Breakdown'!R$3*'Feedstock Conversion Rates'!B$7)/12</f>
        <v>2.2999999999999998</v>
      </c>
      <c r="S296" s="106">
        <f t="shared" si="249"/>
        <v>2.2999999999999998</v>
      </c>
      <c r="T296" s="104">
        <f t="shared" si="300"/>
        <v>0.82499999999999929</v>
      </c>
      <c r="U296" s="104"/>
      <c r="V296" s="104">
        <f>('Renewable Diesel'!E305*'RD Feedstock Breakdown'!V$3*'Feedstock Conversion Rates'!B$6)/12-20+25</f>
        <v>49.250150000000012</v>
      </c>
      <c r="W296" s="104">
        <f>('Renewable Diesel'!E305*'RD Feedstock Breakdown'!W$3*'Feedstock Conversion Rates'!B$8)/12-6</f>
        <v>16.1796875</v>
      </c>
      <c r="X296" s="106">
        <f t="shared" si="277"/>
        <v>66.254837500000008</v>
      </c>
      <c r="Y296" s="104">
        <f t="shared" si="301"/>
        <v>98</v>
      </c>
      <c r="Z296" s="104">
        <f>('Renewable Diesel'!F305*'RD Feedstock Breakdown'!Z$3*'Feedstock Conversion Rates'!B$6)/12-142+15+5</f>
        <v>37.460000000000008</v>
      </c>
      <c r="AA296" s="104">
        <f>('Renewable Diesel'!F305*'RD Feedstock Breakdown'!AA$3*'Feedstock Conversion Rates'!B$7)/12+24</f>
        <v>128.26666666666665</v>
      </c>
      <c r="AB296" s="106">
        <f t="shared" si="235"/>
        <v>263.72666666666669</v>
      </c>
      <c r="AC296" s="104">
        <f>('Renewable Diesel'!G305*'RD Feedstock Breakdown'!AC$3*'Feedstock Conversion Rates'!B$5)/12</f>
        <v>11.796875</v>
      </c>
      <c r="AD296" s="104">
        <f>('Renewable Diesel'!G305*'RD Feedstock Breakdown'!AD$3*'Feedstock Conversion Rates'!B$4)/12</f>
        <v>5.859375</v>
      </c>
      <c r="AE296" s="104">
        <f>('Renewable Diesel'!G305*'RD Feedstock Breakdown'!AE$3*'Feedstock Conversion Rates'!B$6)/12</f>
        <v>7.3281250000000009</v>
      </c>
      <c r="AF296" s="106">
        <f t="shared" si="284"/>
        <v>24.984375</v>
      </c>
      <c r="AG296" s="104">
        <f t="shared" si="306"/>
        <v>148</v>
      </c>
      <c r="AH296" s="104"/>
      <c r="AI296" s="104">
        <f>('Renewable Diesel'!H305*'RD Feedstock Breakdown'!AI$3*'Feedstock Conversion Rates'!B$6)/12-130-20+51-49</f>
        <v>0.51666666666667993</v>
      </c>
      <c r="AJ296" s="106">
        <f t="shared" si="248"/>
        <v>148.51666666666668</v>
      </c>
      <c r="AK296" s="104">
        <f>('Renewable Diesel'!J305*'RD Feedstock Breakdown'!AK$3*'Feedstock Conversion Rates'!B$4)/12</f>
        <v>95.8125</v>
      </c>
      <c r="AL296" s="106">
        <f t="shared" si="252"/>
        <v>95.8125</v>
      </c>
      <c r="AM296" s="104">
        <f>('Renewable Diesel'!K305*'RD Feedstock Breakdown'!AM$3*'Feedstock Conversion Rates'!B$4)/12+5+15-10</f>
        <v>68.59375</v>
      </c>
      <c r="AN296" s="104">
        <f>('Renewable Diesel'!K305*'RD Feedstock Breakdown'!AN$3*'Feedstock Conversion Rates'!B$6)/12-5-15+10</f>
        <v>14.427083333333332</v>
      </c>
      <c r="AO296" s="106">
        <f t="shared" si="270"/>
        <v>83.020833333333329</v>
      </c>
      <c r="AP296" s="104">
        <f>('Renewable Diesel'!L305*'RD Feedstock Breakdown'!AP$3*'Feedstock Conversion Rates'!B$4)/12+15-10</f>
        <v>63.59375</v>
      </c>
      <c r="AQ296" s="104">
        <f>('Renewable Diesel'!L305*'RD Feedstock Breakdown'!AQ$3*'Feedstock Conversion Rates'!B$6)/12-15+10</f>
        <v>19.427083333333332</v>
      </c>
      <c r="AR296" s="106">
        <f t="shared" si="256"/>
        <v>83.020833333333329</v>
      </c>
      <c r="AS296" s="104">
        <f>('Renewable Diesel'!M305*'RD Feedstock Breakdown'!AS$3*'Feedstock Conversion Rates'!B$4)/12-25</f>
        <v>431.25</v>
      </c>
      <c r="AT296" s="104">
        <f>('Renewable Diesel'!M305*'RD Feedstock Breakdown'!AT$3*'Feedstock Conversion Rates'!B$5)/12+25</f>
        <v>25</v>
      </c>
      <c r="AU296" s="106">
        <f t="shared" si="290"/>
        <v>456.25</v>
      </c>
      <c r="AV296" s="104">
        <f>'Renewable Diesel'!N305*'RD Feedstock Breakdown'!$AV$3*'Feedstock Conversion Rates'!$B$4/12-15-10+25+25-22+25</f>
        <v>106.74999999999999</v>
      </c>
      <c r="AW296" s="104">
        <f>'Renewable Diesel'!N305*'RD Feedstock Breakdown'!$AW$3*'Feedstock Conversion Rates'!$B$7/12+15+10-25-25+22-25</f>
        <v>13.400000000000006</v>
      </c>
      <c r="AX296" s="106">
        <f t="shared" si="239"/>
        <v>120.14999999999999</v>
      </c>
      <c r="AY296" s="104">
        <f>('Renewable Diesel'!O305*'RD Feedstock Breakdown'!AY$3*'Feedstock Conversion Rates'!B$4)/12-90-258</f>
        <v>-137.0625</v>
      </c>
      <c r="AZ296" s="104">
        <f>('Renewable Diesel'!O305*'RD Feedstock Breakdown'!AZ$3*'Feedstock Conversion Rates'!B$3)/12+90+258</f>
        <v>373.03125</v>
      </c>
      <c r="BA296" s="106">
        <f t="shared" si="302"/>
        <v>235.96875</v>
      </c>
      <c r="BB296" s="104">
        <f>('Renewable Diesel'!Q305*'RD Feedstock Breakdown'!BB$3*'Feedstock Conversion Rates'!B$4)/12</f>
        <v>11.156249999999998</v>
      </c>
      <c r="BC296" s="104">
        <f>('Renewable Diesel'!Q305*'RD Feedstock Breakdown'!BC$3*'Feedstock Conversion Rates'!B$3)/12</f>
        <v>1.4017500000000001</v>
      </c>
      <c r="BD296" s="104">
        <f>('Renewable Diesel'!Q305*'RD Feedstock Breakdown'!BD$3*'Feedstock Conversion Rates'!B$6)/12</f>
        <v>0.8207500000000002</v>
      </c>
      <c r="BE296" s="106">
        <f t="shared" si="279"/>
        <v>13.378749999999998</v>
      </c>
      <c r="BF296" s="104">
        <f>('Renewable Diesel'!R305*'RD Feedstock Breakdown'!BF$3*'Feedstock Conversion Rates'!B$4)/12</f>
        <v>62.5</v>
      </c>
      <c r="BG296" s="106">
        <f t="shared" si="262"/>
        <v>62.5</v>
      </c>
      <c r="BH296" s="104">
        <f>('Renewable Diesel'!T305*'RD Feedstock Breakdown'!BH$3*'Feedstock Conversion Rates'!B$7)/12</f>
        <v>27.599999999999998</v>
      </c>
      <c r="BI296" s="106">
        <f t="shared" si="243"/>
        <v>27.599999999999998</v>
      </c>
      <c r="BJ296" s="104">
        <f>('Renewable Diesel'!W305*'RD Feedstock Breakdown'!BJ$3*'Feedstock Conversion Rates'!B$4)/12</f>
        <v>7.5</v>
      </c>
      <c r="BK296" s="104">
        <f>('Renewable Diesel'!W305*'RD Feedstock Breakdown'!BK$3*'Feedstock Conversion Rates'!B$3)/12</f>
        <v>1.335</v>
      </c>
      <c r="BL296" s="104">
        <f>('Renewable Diesel'!W305*'RD Feedstock Breakdown'!BL$3*'Feedstock Conversion Rates'!B$6)/12</f>
        <v>3.1266666666666669</v>
      </c>
      <c r="BM296" s="104">
        <f>('Renewable Diesel'!W305*'RD Feedstock Breakdown'!BM$3*'Feedstock Conversion Rates'!B$7)/12</f>
        <v>1.5333333333333332</v>
      </c>
      <c r="BN296" s="106">
        <f t="shared" si="296"/>
        <v>13.495000000000001</v>
      </c>
      <c r="BO296" s="104">
        <f>('Renewable Diesel'!P305*'Feedstock Conversion Rates'!B$4)/12</f>
        <v>31.25</v>
      </c>
      <c r="BP296" s="106">
        <f t="shared" si="285"/>
        <v>31.25</v>
      </c>
      <c r="BQ296" s="104">
        <f>('Renewable Diesel'!$S305*'RD Feedstock Breakdown'!BQ$3*'Feedstock Conversion Rates'!B$4)/12+10+15-15</f>
        <v>38.125</v>
      </c>
      <c r="BR296" s="104">
        <f>('Renewable Diesel'!$S305*'RD Feedstock Breakdown'!BR$3*'Feedstock Conversion Rates'!B$7)/12-10-15+15</f>
        <v>1.5</v>
      </c>
      <c r="BS296" s="106">
        <f t="shared" si="307"/>
        <v>39.625</v>
      </c>
      <c r="BT296" s="106"/>
      <c r="BU296" s="104">
        <f>('Renewable Diesel'!Y305*'Feedstock Conversion Rates'!B$7)/12</f>
        <v>2.6833333333333331</v>
      </c>
      <c r="BV296" s="106">
        <f t="shared" si="281"/>
        <v>2.6833333333333331</v>
      </c>
      <c r="BW296" s="104">
        <f>('Renewable Diesel'!$Z305*'RD Feedstock Breakdown'!BW$3*'Feedstock Conversion Rates'!$B$4)/12</f>
        <v>71.875</v>
      </c>
      <c r="BX296" s="104">
        <f>('Renewable Diesel'!$Z305*'RD Feedstock Breakdown'!BX$3*'Feedstock Conversion Rates'!$B$5)/12</f>
        <v>7.2354166666666666</v>
      </c>
      <c r="BY296" s="104">
        <f>('Renewable Diesel'!$Z305*'RD Feedstock Breakdown'!BY$3*'Feedstock Conversion Rates'!$B$7)/12</f>
        <v>61.716666666666661</v>
      </c>
      <c r="BZ296" s="104">
        <f>('Renewable Diesel'!$Z305*'RD Feedstock Breakdown'!BZ$3*'Feedstock Conversion Rates'!$B$3)/12</f>
        <v>15.352499999999999</v>
      </c>
      <c r="CA296" s="106">
        <f t="shared" si="312"/>
        <v>156.17958333333331</v>
      </c>
      <c r="CB296" s="104">
        <f>('Renewable Diesel'!AA305*'Feedstock Conversion Rates'!B$4)/12</f>
        <v>191.25</v>
      </c>
      <c r="CC296" s="106">
        <f t="shared" si="298"/>
        <v>191.25</v>
      </c>
      <c r="CD296" s="104">
        <f>('Renewable Diesel'!$AB305*'RD Feedstock Breakdown'!CD$3*'Feedstock Conversion Rates'!$B$6)/12-15-5</f>
        <v>12.830000000000005</v>
      </c>
      <c r="CE296" s="104">
        <f>('Renewable Diesel'!$AB305*'RD Feedstock Breakdown'!CE$3*'Feedstock Conversion Rates'!$B$4)/12+15+5</f>
        <v>31.25</v>
      </c>
      <c r="CF296" s="106">
        <f t="shared" si="294"/>
        <v>44.080000000000005</v>
      </c>
      <c r="CG296" s="104">
        <f>('Renewable Diesel'!AD305*'Feedstock Conversion Rates'!B$4)/12</f>
        <v>112.5</v>
      </c>
      <c r="CH296" s="106">
        <f t="shared" si="278"/>
        <v>112.5</v>
      </c>
      <c r="CI296" s="104">
        <f>('Renewable Diesel'!$AE305*'RD Feedstock Breakdown'!CI$3*'Feedstock Conversion Rates'!$B$5)/12</f>
        <v>0.34604166666666664</v>
      </c>
      <c r="CJ296" s="104">
        <f>('Renewable Diesel'!$AE305*'RD Feedstock Breakdown'!CJ$3*'Feedstock Conversion Rates'!$B$4)/12</f>
        <v>0.34375</v>
      </c>
      <c r="CK296" s="106">
        <f t="shared" si="286"/>
        <v>0.68979166666666658</v>
      </c>
      <c r="CL296" s="104">
        <f>(((CL$3*'Renewable Diesel'!$AF305)*'Feedstock Conversion Rates'!$B$3)/12)</f>
        <v>91.78125</v>
      </c>
      <c r="CM296" s="104">
        <f>(((CM$3*'Renewable Diesel'!$AF305)*'Feedstock Conversion Rates'!$B$6)/12)</f>
        <v>53.739583333333336</v>
      </c>
      <c r="CN296" s="104">
        <f>(((CN$3*'Renewable Diesel'!$AF305)*'Feedstock Conversion Rates'!$B$4)/12)</f>
        <v>42.96875</v>
      </c>
      <c r="CO296" s="106">
        <f t="shared" si="280"/>
        <v>188.48958333333334</v>
      </c>
      <c r="CP296" s="104">
        <f>('Renewable Diesel'!$AG305*'RD Feedstock Breakdown'!CP$3*'Feedstock Conversion Rates'!$B$3)/12</f>
        <v>6.0075000000000003</v>
      </c>
      <c r="CQ296" s="104">
        <f>('Renewable Diesel'!$AG305*'RD Feedstock Breakdown'!CQ$3*'Feedstock Conversion Rates'!$B$6)/12</f>
        <v>3.5175000000000001</v>
      </c>
      <c r="CR296" s="104">
        <f>('Renewable Diesel'!$AG305*'RD Feedstock Breakdown'!CR$3*'Feedstock Conversion Rates'!$B$4)/12</f>
        <v>2.8125</v>
      </c>
      <c r="CS296" s="106">
        <f t="shared" si="231"/>
        <v>12.3375</v>
      </c>
      <c r="CT296" s="104">
        <f>('Renewable Diesel'!AI305*'Feedstock Conversion Rates'!$B$4*'RD Feedstock Breakdown'!$CT$3)/12</f>
        <v>29.375</v>
      </c>
      <c r="CU296" s="106">
        <f t="shared" si="282"/>
        <v>29.375</v>
      </c>
      <c r="CV296" s="104">
        <f>('Renewable Diesel'!AN305*'Feedstock Conversion Rates'!$B$3*'RD Feedstock Breakdown'!$CV$3)/12</f>
        <v>0.50062499999999999</v>
      </c>
      <c r="CW296" s="106">
        <f t="shared" si="255"/>
        <v>0.50062499999999999</v>
      </c>
      <c r="CX296" s="104">
        <f>('Renewable Diesel'!AO305*'RD Feedstock Breakdown'!$CX$3*'Feedstock Conversion Rates'!$B$3)/12</f>
        <v>6.3412499999999996</v>
      </c>
      <c r="CY296" s="104">
        <f>('Renewable Diesel'!AO305*'RD Feedstock Breakdown'!$CY$3*'Feedstock Conversion Rates'!$B$6)/12</f>
        <v>7.4258333333333342</v>
      </c>
      <c r="CZ296" s="106">
        <f t="shared" si="233"/>
        <v>13.767083333333334</v>
      </c>
      <c r="DA296" s="104">
        <f>('Renewable Diesel'!$AP305*'RD Feedstock Breakdown'!DA$3*'Feedstock Conversion Rates'!$B$3)/12</f>
        <v>6.3412499999999996</v>
      </c>
      <c r="DB296" s="104">
        <f>('Renewable Diesel'!$AP305*'RD Feedstock Breakdown'!DB$3*'Feedstock Conversion Rates'!$B$8)/12</f>
        <v>7.421875</v>
      </c>
      <c r="DC296" s="106">
        <f t="shared" si="260"/>
        <v>13.763124999999999</v>
      </c>
      <c r="DD296" s="104">
        <f>('Renewable Diesel'!AQ305*$DD$3*'Feedstock Conversion Rates'!$B$14)/12</f>
        <v>3.1041666666666665</v>
      </c>
      <c r="DE296" s="106">
        <f t="shared" si="261"/>
        <v>3.1041666666666665</v>
      </c>
      <c r="DF296" s="104">
        <f>('Renewable Diesel'!AR305*'Feedstock Conversion Rates'!$B$4*$DF$3)/12</f>
        <v>75</v>
      </c>
      <c r="DG296" s="106">
        <f t="shared" si="234"/>
        <v>75</v>
      </c>
      <c r="DH296" s="104">
        <f>('Renewable Diesel'!AS305*'Feedstock Conversion Rates'!$B$4*$DH$3)/12</f>
        <v>75</v>
      </c>
      <c r="DI296" s="106">
        <f t="shared" si="240"/>
        <v>75</v>
      </c>
      <c r="DJ296" s="104">
        <f>('Renewable Diesel'!AT305*'Feedstock Conversion Rates'!$B$4*0.25)/12</f>
        <v>8.59375</v>
      </c>
      <c r="DK296" s="104">
        <f>('Renewable Diesel'!$AT305*'RD Feedstock Breakdown'!DK$3*'Feedstock Conversion Rates'!$B$3)/12*0.5</f>
        <v>9.1781249999999996</v>
      </c>
      <c r="DL296" s="104">
        <f>('Renewable Diesel'!$AT305*'RD Feedstock Breakdown'!$DL$3*'Feedstock Conversion Rates'!$B$6)/12</f>
        <v>10.747916666666669</v>
      </c>
      <c r="DM296" s="104">
        <f>('Renewable Diesel'!$AT305*'RD Feedstock Breakdown'!$DM$3*'Feedstock Conversion Rates'!$B$8)/12</f>
        <v>10.7421875</v>
      </c>
      <c r="DN296" s="106">
        <f t="shared" si="297"/>
        <v>39.26197916666667</v>
      </c>
      <c r="DP296" s="104">
        <f t="shared" si="265"/>
        <v>13.220250000000007</v>
      </c>
      <c r="DQ296" s="104">
        <f t="shared" si="266"/>
        <v>912.11776750000001</v>
      </c>
      <c r="DR296" s="104">
        <f t="shared" si="271"/>
        <v>1652.453125</v>
      </c>
      <c r="DS296" s="104">
        <f t="shared" si="283"/>
        <v>223.90124999999998</v>
      </c>
      <c r="DT296" s="104">
        <f t="shared" si="267"/>
        <v>228.03923333333341</v>
      </c>
      <c r="DU296" s="104">
        <f t="shared" si="268"/>
        <v>255.40610000000004</v>
      </c>
      <c r="DV296" s="104">
        <f t="shared" si="272"/>
        <v>34.75</v>
      </c>
      <c r="DW296" s="104">
        <f t="shared" si="269"/>
        <v>3</v>
      </c>
      <c r="DX296" s="106">
        <f t="shared" si="273"/>
        <v>3322.8877258333337</v>
      </c>
      <c r="DY296" s="109">
        <f t="shared" si="257"/>
        <v>-5.631051180898794E-13</v>
      </c>
      <c r="EA296" s="110">
        <f t="shared" si="313"/>
        <v>3.9785424879754411E-3</v>
      </c>
      <c r="EB296" s="110">
        <f t="shared" si="313"/>
        <v>0.27449551196354482</v>
      </c>
      <c r="EC296" s="110">
        <f t="shared" si="313"/>
        <v>0.49729429982037321</v>
      </c>
      <c r="ED296" s="110">
        <f t="shared" si="308"/>
        <v>6.7381527296065558E-2</v>
      </c>
      <c r="EE296" s="110">
        <f t="shared" si="308"/>
        <v>6.8626824662318189E-2</v>
      </c>
      <c r="EF296" s="110">
        <f t="shared" si="308"/>
        <v>7.6862693257548381E-2</v>
      </c>
      <c r="EG296" s="110">
        <f t="shared" si="308"/>
        <v>1.0457771332398896E-2</v>
      </c>
      <c r="EH296" s="111">
        <f t="shared" si="274"/>
        <v>9.0282917977544427E-4</v>
      </c>
      <c r="EI296" s="110">
        <f t="shared" si="236"/>
        <v>0.99909717082022442</v>
      </c>
      <c r="EK296" s="132">
        <f>(EA296*'Renewable Diesel'!BF305*'Feedstock Conversion Rates'!B$2)+FB296</f>
        <v>45.300311864068561</v>
      </c>
      <c r="EL296" s="132">
        <f>(EB296*'Renewable Diesel'!BF305*'Feedstock Conversion Rates'!B$3)+FC296</f>
        <v>2945.2762132006383</v>
      </c>
      <c r="EM296" s="132">
        <f>(EC296*'Renewable Diesel'!BF305*'Feedstock Conversion Rates'!B$4)+FD296</f>
        <v>4996.1217185704172</v>
      </c>
      <c r="EN296" s="132">
        <f>(ED296*'Renewable Diesel'!BF305*'Feedstock Conversion Rates'!B$5)+FE296</f>
        <v>681.46894268261406</v>
      </c>
      <c r="EO296" s="132">
        <f>(EE296*'Renewable Diesel'!BF305*'Feedstock Conversion Rates'!B$6)+FF296</f>
        <v>862.29329446551139</v>
      </c>
      <c r="EP296" s="132">
        <f>(EF296*'Renewable Diesel'!BF305*'Feedstock Conversion Rates'!B$7)+FG296</f>
        <v>947.24362500278755</v>
      </c>
      <c r="EQ296" s="132">
        <f>(EG296*'Renewable Diesel'!BF305*'Feedstock Conversion Rates'!B$8)+FH296</f>
        <v>131.33143316873358</v>
      </c>
      <c r="ER296" s="132">
        <f>(EH296*'Renewable Diesel'!BF305*'Feedstock Conversion Rates'!B$9)+FI296</f>
        <v>11.186792580703637</v>
      </c>
      <c r="ES296" s="132">
        <f t="shared" si="275"/>
        <v>10620.222331535475</v>
      </c>
      <c r="ET296" s="133">
        <f>ES296/'Renewable Diesel'!BF305</f>
        <v>13.737337231221153</v>
      </c>
      <c r="EW296" s="73">
        <f t="shared" si="309"/>
        <v>8078.4799646260399</v>
      </c>
      <c r="EX296" s="73">
        <f t="shared" si="310"/>
        <v>7032.7280184885012</v>
      </c>
      <c r="EY296" s="92">
        <f t="shared" si="258"/>
        <v>0.76066957097856258</v>
      </c>
      <c r="EZ296" s="92">
        <f t="shared" si="258"/>
        <v>0.66220158099757098</v>
      </c>
      <c r="FB296" s="102">
        <f>IF('Renewable Diesel'!$BG305&lt;1,0,(((('Renewable Diesel'!$BG305-1)*'Renewable Diesel'!$BF305)*'RD Feedstock Breakdown'!EA296)*'Feedstock Conversion Rates'!$B$2))</f>
        <v>19.156195062836787</v>
      </c>
      <c r="FC296" s="102">
        <f>IF('Renewable Diesel'!$BG305&lt;1,0,(((('Renewable Diesel'!$BG305-1)*'Renewable Diesel'!$BF305)*'RD Feedstock Breakdown'!EB296)*'Feedstock Conversion Rates'!$B$3))</f>
        <v>1245.4723451640587</v>
      </c>
      <c r="FD296" s="102">
        <f>IF('Renewable Diesel'!$BG305&lt;1,0,(((('Renewable Diesel'!$BG305-1)*'Renewable Diesel'!$BF305)*'RD Feedstock Breakdown'!EC296)*'Feedstock Conversion Rates'!$B$4))</f>
        <v>2112.7157465448531</v>
      </c>
      <c r="FE296" s="102">
        <f>IF('Renewable Diesel'!$BG305&lt;1,0,(((('Renewable Diesel'!$BG305-1)*'Renewable Diesel'!$BF305)*'RD Feedstock Breakdown'!ED296)*'Feedstock Conversion Rates'!$B$5))</f>
        <v>288.17355682815486</v>
      </c>
      <c r="FF296" s="102">
        <f>IF('Renewable Diesel'!$BG305&lt;1,0,(((('Renewable Diesel'!$BG305-1)*'Renewable Diesel'!$BF305)*'RD Feedstock Breakdown'!EE296)*'Feedstock Conversion Rates'!$B$6))</f>
        <v>364.6389587719263</v>
      </c>
      <c r="FG296" s="102">
        <f>IF('Renewable Diesel'!$BG305&lt;1,0,(((('Renewable Diesel'!$BG305-1)*'Renewable Diesel'!$BF305)*'RD Feedstock Breakdown'!EF296)*'Feedstock Conversion Rates'!$B$7))</f>
        <v>400.56200290697757</v>
      </c>
      <c r="FH296" s="102">
        <f>IF('Renewable Diesel'!$BG305&lt;1,0,(((('Renewable Diesel'!$BG305-1)*'Renewable Diesel'!$BF305)*'RD Feedstock Breakdown'!EG296)*'Feedstock Conversion Rates'!$B$8))</f>
        <v>55.536274434738985</v>
      </c>
      <c r="FI296" s="102">
        <f>IF('Renewable Diesel'!$BG305&lt;1,0,(((('Renewable Diesel'!$BG305-1)*'Renewable Diesel'!$BF305)*'RD Feedstock Breakdown'!EH296)*'Feedstock Conversion Rates'!$B$9))</f>
        <v>4.7305718655202122</v>
      </c>
      <c r="FJ296" s="102">
        <f t="shared" si="311"/>
        <v>4490.9856515790661</v>
      </c>
      <c r="GD296" s="91">
        <f>'Renewable Diesel'!BB305*0.32</f>
        <v>0</v>
      </c>
      <c r="GE296" s="91">
        <f>'Renewable Diesel'!BC305</f>
        <v>445.44073938154668</v>
      </c>
      <c r="GF296" s="91">
        <f>'Renewable Diesel'!BD305</f>
        <v>0</v>
      </c>
      <c r="GG296" s="91">
        <f t="shared" si="295"/>
        <v>445.44073938154668</v>
      </c>
      <c r="GH296" s="124">
        <v>1</v>
      </c>
      <c r="GI296" s="102">
        <f>$GG296*EA296*'Feedstock Conversion Rates'!$B$2</f>
        <v>15.063741713789771</v>
      </c>
      <c r="GJ296" s="102">
        <f>$GG296*EB296*'Feedstock Conversion Rates'!$B$3</f>
        <v>979.39458528572038</v>
      </c>
      <c r="GK296" s="102">
        <f>$GG296*EC296*'Feedstock Conversion Rates'!$B$4</f>
        <v>1661.3635545166171</v>
      </c>
      <c r="GL296" s="102">
        <f>$GG296*ED296*'Feedstock Conversion Rates'!$B$5</f>
        <v>226.60930391260069</v>
      </c>
      <c r="GM296" s="102">
        <f>$GG296*EE296*'Feedstock Conversion Rates'!$B$6</f>
        <v>286.73894140813348</v>
      </c>
      <c r="GN296" s="102">
        <f>$GG296*EF296*'Feedstock Conversion Rates'!$B$7</f>
        <v>314.98752922259422</v>
      </c>
      <c r="GO296" s="102">
        <f>$GG296*EG296*'Feedstock Conversion Rates'!$B$8</f>
        <v>43.67172557425225</v>
      </c>
      <c r="GP296" s="102">
        <f>$GG296*EH296*'Feedstock Conversion Rates'!B$9</f>
        <v>3.7199513007132854</v>
      </c>
      <c r="GQ296" s="102">
        <f t="shared" si="276"/>
        <v>3531.5493329344213</v>
      </c>
      <c r="GR296" s="85">
        <f t="shared" si="293"/>
        <v>7.9282136111700323</v>
      </c>
      <c r="GT296" s="103">
        <f t="shared" si="254"/>
        <v>4.265476790401527E-3</v>
      </c>
      <c r="GU296" s="103">
        <f t="shared" si="254"/>
        <v>0.27732717086863562</v>
      </c>
      <c r="GV296" s="103">
        <f t="shared" si="254"/>
        <v>0.47043475763544368</v>
      </c>
      <c r="GW296" s="103">
        <f t="shared" si="254"/>
        <v>6.4167106997287032E-2</v>
      </c>
      <c r="GX296" s="103">
        <f t="shared" si="253"/>
        <v>8.119352566706961E-2</v>
      </c>
      <c r="GY296" s="103">
        <f t="shared" si="253"/>
        <v>8.9192447712705722E-2</v>
      </c>
      <c r="GZ296" s="103">
        <f t="shared" si="253"/>
        <v>1.2366166080983131E-2</v>
      </c>
      <c r="HA296" s="103">
        <f t="shared" si="251"/>
        <v>1.0533482474736711E-3</v>
      </c>
    </row>
    <row r="297" spans="1:209" x14ac:dyDescent="0.25">
      <c r="A297" s="96">
        <v>49461</v>
      </c>
      <c r="B297" s="104">
        <f t="shared" si="303"/>
        <v>70.75</v>
      </c>
      <c r="C297" s="104">
        <f t="shared" si="304"/>
        <v>19</v>
      </c>
      <c r="D297" s="104">
        <f t="shared" si="288"/>
        <v>2</v>
      </c>
      <c r="E297" s="104">
        <f>('Renewable Diesel'!B306*E$3*'Feedstock Conversion Rates'!$B$2)/12+26+13-100+27.5+39-90</f>
        <v>5.4300000000000068</v>
      </c>
      <c r="F297" s="104">
        <f>('Renewable Diesel'!B306*'RD Feedstock Breakdown'!F$3*'Feedstock Conversion Rates'!B$8)/12+77+23-10-12-115.75+24+8+1+15-40-20</f>
        <v>4.15625</v>
      </c>
      <c r="G297" s="104">
        <f>('Renewable Diesel'!B306*'RD Feedstock Breakdown'!G$3*'Feedstock Conversion Rates'!B$7)/12+116.75-39-57.5-145-31.5+32+70-40+10-50-12.5-25</f>
        <v>4.4070000000000391</v>
      </c>
      <c r="H297" s="104">
        <f>('Renewable Diesel'!B306*'RD Feedstock Breakdown'!H$3*'Feedstock Conversion Rates'!B$3)/12+67+10+12+3-235+20+47-20+65+25+130+90</f>
        <v>390.40022499999998</v>
      </c>
      <c r="I297" s="106">
        <f t="shared" si="291"/>
        <v>496.14347500000002</v>
      </c>
      <c r="J297" s="104">
        <f t="shared" si="305"/>
        <v>66</v>
      </c>
      <c r="K297" s="104"/>
      <c r="L297" s="104">
        <v>1</v>
      </c>
      <c r="M297" s="104">
        <f>('Renewable Diesel'!C306*'RD Feedstock Breakdown'!M$3*'Feedstock Conversion Rates'!B$2)/12</f>
        <v>7.7902500000000003</v>
      </c>
      <c r="N297" s="104">
        <f>('Renewable Diesel'!C306*'RD Feedstock Breakdown'!N$3*'Feedstock Conversion Rates'!B$8)/12</f>
        <v>3.671875</v>
      </c>
      <c r="O297" s="104">
        <f>('Renewable Diesel'!C306*'RD Feedstock Breakdown'!O$3*'Feedstock Conversion Rates'!B$7)/12</f>
        <v>11.9991</v>
      </c>
      <c r="P297" s="104">
        <f>('Renewable Diesel'!C306*'RD Feedstock Breakdown'!P$3*'Feedstock Conversion Rates'!B$3)/12</f>
        <v>10.4470425</v>
      </c>
      <c r="Q297" s="106">
        <f t="shared" si="299"/>
        <v>100.90826749999999</v>
      </c>
      <c r="R297" s="104">
        <f>('Renewable Diesel'!D306*'RD Feedstock Breakdown'!R$3*'Feedstock Conversion Rates'!B$7)/12</f>
        <v>2.2999999999999998</v>
      </c>
      <c r="S297" s="106">
        <f t="shared" si="249"/>
        <v>2.2999999999999998</v>
      </c>
      <c r="T297" s="104">
        <f t="shared" si="300"/>
        <v>0.82499999999999929</v>
      </c>
      <c r="U297" s="104"/>
      <c r="V297" s="104">
        <f>('Renewable Diesel'!E306*'RD Feedstock Breakdown'!V$3*'Feedstock Conversion Rates'!B$6)/12-20+25</f>
        <v>49.250150000000012</v>
      </c>
      <c r="W297" s="104">
        <f>('Renewable Diesel'!E306*'RD Feedstock Breakdown'!W$3*'Feedstock Conversion Rates'!B$8)/12-6</f>
        <v>16.1796875</v>
      </c>
      <c r="X297" s="106">
        <f t="shared" si="277"/>
        <v>66.254837500000008</v>
      </c>
      <c r="Y297" s="104">
        <f t="shared" si="301"/>
        <v>98</v>
      </c>
      <c r="Z297" s="104">
        <f>('Renewable Diesel'!F306*'RD Feedstock Breakdown'!Z$3*'Feedstock Conversion Rates'!B$6)/12-142+15+5</f>
        <v>37.460000000000008</v>
      </c>
      <c r="AA297" s="104">
        <f>('Renewable Diesel'!F306*'RD Feedstock Breakdown'!AA$3*'Feedstock Conversion Rates'!B$7)/12+24</f>
        <v>128.26666666666665</v>
      </c>
      <c r="AB297" s="106">
        <f t="shared" si="235"/>
        <v>263.72666666666669</v>
      </c>
      <c r="AC297" s="104">
        <f>('Renewable Diesel'!G306*'RD Feedstock Breakdown'!AC$3*'Feedstock Conversion Rates'!B$5)/12</f>
        <v>11.796875</v>
      </c>
      <c r="AD297" s="104">
        <f>('Renewable Diesel'!G306*'RD Feedstock Breakdown'!AD$3*'Feedstock Conversion Rates'!B$4)/12</f>
        <v>5.859375</v>
      </c>
      <c r="AE297" s="104">
        <f>('Renewable Diesel'!G306*'RD Feedstock Breakdown'!AE$3*'Feedstock Conversion Rates'!B$6)/12</f>
        <v>7.3281250000000009</v>
      </c>
      <c r="AF297" s="106">
        <f t="shared" si="284"/>
        <v>24.984375</v>
      </c>
      <c r="AG297" s="104">
        <f t="shared" si="306"/>
        <v>148</v>
      </c>
      <c r="AH297" s="104"/>
      <c r="AI297" s="104">
        <f>('Renewable Diesel'!H306*'RD Feedstock Breakdown'!AI$3*'Feedstock Conversion Rates'!B$6)/12-130-20+51-49</f>
        <v>0.51666666666667993</v>
      </c>
      <c r="AJ297" s="106">
        <f t="shared" si="248"/>
        <v>148.51666666666668</v>
      </c>
      <c r="AK297" s="104">
        <f>('Renewable Diesel'!J306*'RD Feedstock Breakdown'!AK$3*'Feedstock Conversion Rates'!B$4)/12</f>
        <v>95.8125</v>
      </c>
      <c r="AL297" s="106">
        <f t="shared" si="252"/>
        <v>95.8125</v>
      </c>
      <c r="AM297" s="104">
        <f>('Renewable Diesel'!K306*'RD Feedstock Breakdown'!AM$3*'Feedstock Conversion Rates'!B$4)/12+5+15-10</f>
        <v>68.59375</v>
      </c>
      <c r="AN297" s="104">
        <f>('Renewable Diesel'!K306*'RD Feedstock Breakdown'!AN$3*'Feedstock Conversion Rates'!B$6)/12-5-15+10</f>
        <v>14.427083333333332</v>
      </c>
      <c r="AO297" s="106">
        <f t="shared" si="270"/>
        <v>83.020833333333329</v>
      </c>
      <c r="AP297" s="104">
        <f>('Renewable Diesel'!L306*'RD Feedstock Breakdown'!AP$3*'Feedstock Conversion Rates'!B$4)/12+15-10</f>
        <v>63.59375</v>
      </c>
      <c r="AQ297" s="104">
        <f>('Renewable Diesel'!L306*'RD Feedstock Breakdown'!AQ$3*'Feedstock Conversion Rates'!B$6)/12-15+10</f>
        <v>19.427083333333332</v>
      </c>
      <c r="AR297" s="106">
        <f t="shared" si="256"/>
        <v>83.020833333333329</v>
      </c>
      <c r="AS297" s="104">
        <f>('Renewable Diesel'!M306*'RD Feedstock Breakdown'!AS$3*'Feedstock Conversion Rates'!B$4)/12-25</f>
        <v>431.25</v>
      </c>
      <c r="AT297" s="104">
        <f>('Renewable Diesel'!M306*'RD Feedstock Breakdown'!AT$3*'Feedstock Conversion Rates'!B$5)/12+25</f>
        <v>25</v>
      </c>
      <c r="AU297" s="106">
        <f t="shared" si="290"/>
        <v>456.25</v>
      </c>
      <c r="AV297" s="104">
        <f>'Renewable Diesel'!N306*'RD Feedstock Breakdown'!$AV$3*'Feedstock Conversion Rates'!$B$4/12-15-10+25+25-22+25</f>
        <v>106.74999999999999</v>
      </c>
      <c r="AW297" s="104">
        <f>'Renewable Diesel'!N306*'RD Feedstock Breakdown'!$AW$3*'Feedstock Conversion Rates'!$B$7/12+15+10-25-25+22-25</f>
        <v>13.400000000000006</v>
      </c>
      <c r="AX297" s="106">
        <f t="shared" si="239"/>
        <v>120.14999999999999</v>
      </c>
      <c r="AY297" s="104">
        <f>('Renewable Diesel'!O306*'RD Feedstock Breakdown'!AY$3*'Feedstock Conversion Rates'!B$4)/12-90-258</f>
        <v>-137.0625</v>
      </c>
      <c r="AZ297" s="104">
        <f>('Renewable Diesel'!O306*'RD Feedstock Breakdown'!AZ$3*'Feedstock Conversion Rates'!B$3)/12+90+258</f>
        <v>373.03125</v>
      </c>
      <c r="BA297" s="106">
        <f t="shared" si="302"/>
        <v>235.96875</v>
      </c>
      <c r="BB297" s="104">
        <f>('Renewable Diesel'!Q306*'RD Feedstock Breakdown'!BB$3*'Feedstock Conversion Rates'!B$4)/12</f>
        <v>11.156249999999998</v>
      </c>
      <c r="BC297" s="104">
        <f>('Renewable Diesel'!Q306*'RD Feedstock Breakdown'!BC$3*'Feedstock Conversion Rates'!B$3)/12</f>
        <v>1.4017500000000001</v>
      </c>
      <c r="BD297" s="104">
        <f>('Renewable Diesel'!Q306*'RD Feedstock Breakdown'!BD$3*'Feedstock Conversion Rates'!B$6)/12</f>
        <v>0.8207500000000002</v>
      </c>
      <c r="BE297" s="106">
        <f t="shared" si="279"/>
        <v>13.378749999999998</v>
      </c>
      <c r="BF297" s="104">
        <f>('Renewable Diesel'!R306*'RD Feedstock Breakdown'!BF$3*'Feedstock Conversion Rates'!B$4)/12</f>
        <v>62.5</v>
      </c>
      <c r="BG297" s="106">
        <f t="shared" si="262"/>
        <v>62.5</v>
      </c>
      <c r="BH297" s="104">
        <f>('Renewable Diesel'!T306*'RD Feedstock Breakdown'!BH$3*'Feedstock Conversion Rates'!B$7)/12</f>
        <v>27.599999999999998</v>
      </c>
      <c r="BI297" s="106">
        <f t="shared" si="243"/>
        <v>27.599999999999998</v>
      </c>
      <c r="BJ297" s="104">
        <f>('Renewable Diesel'!W306*'RD Feedstock Breakdown'!BJ$3*'Feedstock Conversion Rates'!B$4)/12</f>
        <v>7.5</v>
      </c>
      <c r="BK297" s="104">
        <f>('Renewable Diesel'!W306*'RD Feedstock Breakdown'!BK$3*'Feedstock Conversion Rates'!B$3)/12</f>
        <v>1.335</v>
      </c>
      <c r="BL297" s="104">
        <f>('Renewable Diesel'!W306*'RD Feedstock Breakdown'!BL$3*'Feedstock Conversion Rates'!B$6)/12</f>
        <v>3.1266666666666669</v>
      </c>
      <c r="BM297" s="104">
        <f>('Renewable Diesel'!W306*'RD Feedstock Breakdown'!BM$3*'Feedstock Conversion Rates'!B$7)/12</f>
        <v>1.5333333333333332</v>
      </c>
      <c r="BN297" s="106">
        <f t="shared" si="296"/>
        <v>13.495000000000001</v>
      </c>
      <c r="BO297" s="104">
        <f>('Renewable Diesel'!P306*'Feedstock Conversion Rates'!B$4)/12</f>
        <v>31.25</v>
      </c>
      <c r="BP297" s="106">
        <f t="shared" si="285"/>
        <v>31.25</v>
      </c>
      <c r="BQ297" s="104">
        <f>('Renewable Diesel'!$S306*'RD Feedstock Breakdown'!BQ$3*'Feedstock Conversion Rates'!B$4)/12+10+15-15</f>
        <v>38.125</v>
      </c>
      <c r="BR297" s="104">
        <f>('Renewable Diesel'!$S306*'RD Feedstock Breakdown'!BR$3*'Feedstock Conversion Rates'!B$7)/12-10-15+15</f>
        <v>1.5</v>
      </c>
      <c r="BS297" s="106">
        <f t="shared" si="307"/>
        <v>39.625</v>
      </c>
      <c r="BT297" s="106"/>
      <c r="BU297" s="104">
        <f>('Renewable Diesel'!Y306*'Feedstock Conversion Rates'!B$7)/12</f>
        <v>2.6833333333333331</v>
      </c>
      <c r="BV297" s="106">
        <f t="shared" si="281"/>
        <v>2.6833333333333331</v>
      </c>
      <c r="BW297" s="104">
        <f>('Renewable Diesel'!$Z306*'RD Feedstock Breakdown'!BW$3*'Feedstock Conversion Rates'!$B$4)/12</f>
        <v>71.875</v>
      </c>
      <c r="BX297" s="104">
        <f>('Renewable Diesel'!$Z306*'RD Feedstock Breakdown'!BX$3*'Feedstock Conversion Rates'!$B$5)/12</f>
        <v>7.2354166666666666</v>
      </c>
      <c r="BY297" s="104">
        <f>('Renewable Diesel'!$Z306*'RD Feedstock Breakdown'!BY$3*'Feedstock Conversion Rates'!$B$7)/12</f>
        <v>61.716666666666661</v>
      </c>
      <c r="BZ297" s="104">
        <f>('Renewable Diesel'!$Z306*'RD Feedstock Breakdown'!BZ$3*'Feedstock Conversion Rates'!$B$3)/12</f>
        <v>15.352499999999999</v>
      </c>
      <c r="CA297" s="106">
        <f t="shared" si="312"/>
        <v>156.17958333333331</v>
      </c>
      <c r="CB297" s="104">
        <f>('Renewable Diesel'!AA306*'Feedstock Conversion Rates'!B$4)/12</f>
        <v>191.25</v>
      </c>
      <c r="CC297" s="106">
        <f t="shared" si="298"/>
        <v>191.25</v>
      </c>
      <c r="CD297" s="104">
        <f>('Renewable Diesel'!$AB306*'RD Feedstock Breakdown'!CD$3*'Feedstock Conversion Rates'!$B$6)/12-15-5</f>
        <v>12.830000000000005</v>
      </c>
      <c r="CE297" s="104">
        <f>('Renewable Diesel'!$AB306*'RD Feedstock Breakdown'!CE$3*'Feedstock Conversion Rates'!$B$4)/12+15+5</f>
        <v>31.25</v>
      </c>
      <c r="CF297" s="106">
        <f t="shared" si="294"/>
        <v>44.080000000000005</v>
      </c>
      <c r="CG297" s="104">
        <f>('Renewable Diesel'!AD306*'Feedstock Conversion Rates'!B$4)/12</f>
        <v>112.5</v>
      </c>
      <c r="CH297" s="106">
        <f t="shared" si="278"/>
        <v>112.5</v>
      </c>
      <c r="CI297" s="104">
        <f>('Renewable Diesel'!$AE306*'RD Feedstock Breakdown'!CI$3*'Feedstock Conversion Rates'!$B$5)/12</f>
        <v>0.34604166666666664</v>
      </c>
      <c r="CJ297" s="104">
        <f>('Renewable Diesel'!$AE306*'RD Feedstock Breakdown'!CJ$3*'Feedstock Conversion Rates'!$B$4)/12</f>
        <v>0.34375</v>
      </c>
      <c r="CK297" s="106">
        <f t="shared" si="286"/>
        <v>0.68979166666666658</v>
      </c>
      <c r="CL297" s="104">
        <f>(((CL$3*'Renewable Diesel'!$AF306)*'Feedstock Conversion Rates'!$B$3)/12)</f>
        <v>91.78125</v>
      </c>
      <c r="CM297" s="104">
        <f>(((CM$3*'Renewable Diesel'!$AF306)*'Feedstock Conversion Rates'!$B$6)/12)</f>
        <v>53.739583333333336</v>
      </c>
      <c r="CN297" s="104">
        <f>(((CN$3*'Renewable Diesel'!$AF306)*'Feedstock Conversion Rates'!$B$4)/12)</f>
        <v>42.96875</v>
      </c>
      <c r="CO297" s="106">
        <f t="shared" si="280"/>
        <v>188.48958333333334</v>
      </c>
      <c r="CP297" s="104">
        <f>('Renewable Diesel'!$AG306*'RD Feedstock Breakdown'!CP$3*'Feedstock Conversion Rates'!$B$3)/12</f>
        <v>6.0075000000000003</v>
      </c>
      <c r="CQ297" s="104">
        <f>('Renewable Diesel'!$AG306*'RD Feedstock Breakdown'!CQ$3*'Feedstock Conversion Rates'!$B$6)/12</f>
        <v>3.5175000000000001</v>
      </c>
      <c r="CR297" s="104">
        <f>('Renewable Diesel'!$AG306*'RD Feedstock Breakdown'!CR$3*'Feedstock Conversion Rates'!$B$4)/12</f>
        <v>2.8125</v>
      </c>
      <c r="CS297" s="106">
        <f t="shared" si="231"/>
        <v>12.3375</v>
      </c>
      <c r="CT297" s="104">
        <f>('Renewable Diesel'!AI306*'Feedstock Conversion Rates'!$B$4*'RD Feedstock Breakdown'!$CT$3)/12</f>
        <v>29.375</v>
      </c>
      <c r="CU297" s="106">
        <f t="shared" si="282"/>
        <v>29.375</v>
      </c>
      <c r="CV297" s="104">
        <f>('Renewable Diesel'!AN306*'Feedstock Conversion Rates'!$B$3*'RD Feedstock Breakdown'!$CV$3)/12</f>
        <v>0.50062499999999999</v>
      </c>
      <c r="CW297" s="106">
        <f t="shared" si="255"/>
        <v>0.50062499999999999</v>
      </c>
      <c r="CX297" s="104">
        <f>('Renewable Diesel'!AO306*'RD Feedstock Breakdown'!$CX$3*'Feedstock Conversion Rates'!$B$3)/12</f>
        <v>6.3412499999999996</v>
      </c>
      <c r="CY297" s="104">
        <f>('Renewable Diesel'!AO306*'RD Feedstock Breakdown'!$CY$3*'Feedstock Conversion Rates'!$B$6)/12</f>
        <v>7.4258333333333342</v>
      </c>
      <c r="CZ297" s="106">
        <f t="shared" si="233"/>
        <v>13.767083333333334</v>
      </c>
      <c r="DA297" s="104">
        <f>('Renewable Diesel'!$AP306*'RD Feedstock Breakdown'!DA$3*'Feedstock Conversion Rates'!$B$3)/12</f>
        <v>6.3412499999999996</v>
      </c>
      <c r="DB297" s="104">
        <f>('Renewable Diesel'!$AP306*'RD Feedstock Breakdown'!DB$3*'Feedstock Conversion Rates'!$B$8)/12</f>
        <v>7.421875</v>
      </c>
      <c r="DC297" s="106">
        <f t="shared" si="260"/>
        <v>13.763124999999999</v>
      </c>
      <c r="DD297" s="104">
        <f>('Renewable Diesel'!AQ306*$DD$3*'Feedstock Conversion Rates'!$B$14)/12</f>
        <v>3.1041666666666665</v>
      </c>
      <c r="DE297" s="106">
        <f t="shared" si="261"/>
        <v>3.1041666666666665</v>
      </c>
      <c r="DF297" s="104">
        <f>('Renewable Diesel'!AR306*'Feedstock Conversion Rates'!$B$4*$DF$3)/12</f>
        <v>75</v>
      </c>
      <c r="DG297" s="106">
        <f t="shared" si="234"/>
        <v>75</v>
      </c>
      <c r="DH297" s="104">
        <f>('Renewable Diesel'!AS306*'Feedstock Conversion Rates'!$B$4*$DH$3)/12</f>
        <v>75</v>
      </c>
      <c r="DI297" s="106">
        <f t="shared" si="240"/>
        <v>75</v>
      </c>
      <c r="DJ297" s="104">
        <f>('Renewable Diesel'!AT306*'Feedstock Conversion Rates'!$B$4*0.25)/12</f>
        <v>8.59375</v>
      </c>
      <c r="DK297" s="104">
        <f>('Renewable Diesel'!$AT306*'RD Feedstock Breakdown'!DK$3*'Feedstock Conversion Rates'!$B$3)/12*0.5</f>
        <v>9.1781249999999996</v>
      </c>
      <c r="DL297" s="104">
        <f>('Renewable Diesel'!$AT306*'RD Feedstock Breakdown'!$DL$3*'Feedstock Conversion Rates'!$B$6)/12</f>
        <v>10.747916666666669</v>
      </c>
      <c r="DM297" s="104">
        <f>('Renewable Diesel'!$AT306*'RD Feedstock Breakdown'!$DM$3*'Feedstock Conversion Rates'!$B$8)/12</f>
        <v>10.7421875</v>
      </c>
      <c r="DN297" s="106">
        <f t="shared" si="297"/>
        <v>39.26197916666667</v>
      </c>
      <c r="DP297" s="104">
        <f t="shared" si="265"/>
        <v>13.220250000000007</v>
      </c>
      <c r="DQ297" s="104">
        <f t="shared" si="266"/>
        <v>912.11776750000001</v>
      </c>
      <c r="DR297" s="104">
        <f t="shared" si="271"/>
        <v>1652.453125</v>
      </c>
      <c r="DS297" s="104">
        <f t="shared" si="283"/>
        <v>223.90124999999998</v>
      </c>
      <c r="DT297" s="104">
        <f t="shared" si="267"/>
        <v>228.03923333333341</v>
      </c>
      <c r="DU297" s="104">
        <f t="shared" si="268"/>
        <v>255.40610000000004</v>
      </c>
      <c r="DV297" s="104">
        <f t="shared" si="272"/>
        <v>34.75</v>
      </c>
      <c r="DW297" s="104">
        <f t="shared" si="269"/>
        <v>3</v>
      </c>
      <c r="DX297" s="106">
        <f t="shared" si="273"/>
        <v>3322.8877258333337</v>
      </c>
      <c r="DY297" s="109">
        <f t="shared" si="257"/>
        <v>-5.631051180898794E-13</v>
      </c>
      <c r="EA297" s="110">
        <f t="shared" si="313"/>
        <v>3.9785424879754411E-3</v>
      </c>
      <c r="EB297" s="110">
        <f t="shared" si="313"/>
        <v>0.27449551196354482</v>
      </c>
      <c r="EC297" s="110">
        <f t="shared" si="313"/>
        <v>0.49729429982037321</v>
      </c>
      <c r="ED297" s="110">
        <f t="shared" si="308"/>
        <v>6.7381527296065558E-2</v>
      </c>
      <c r="EE297" s="110">
        <f t="shared" si="308"/>
        <v>6.8626824662318189E-2</v>
      </c>
      <c r="EF297" s="110">
        <f t="shared" si="308"/>
        <v>7.6862693257548381E-2</v>
      </c>
      <c r="EG297" s="110">
        <f t="shared" si="308"/>
        <v>1.0457771332398896E-2</v>
      </c>
      <c r="EH297" s="111">
        <f t="shared" si="274"/>
        <v>9.0282917977544427E-4</v>
      </c>
      <c r="EI297" s="110">
        <f t="shared" si="236"/>
        <v>0.99909717082022442</v>
      </c>
      <c r="EK297" s="132">
        <f>(EA297*'Renewable Diesel'!BF306*'Feedstock Conversion Rates'!B$2)+FB297</f>
        <v>41.249765711100565</v>
      </c>
      <c r="EL297" s="132">
        <f>(EB297*'Renewable Diesel'!BF306*'Feedstock Conversion Rates'!B$3)+FC297</f>
        <v>2681.923120387371</v>
      </c>
      <c r="EM297" s="132">
        <f>(EC297*'Renewable Diesel'!BF306*'Feedstock Conversion Rates'!B$4)+FD297</f>
        <v>4549.3914252417544</v>
      </c>
      <c r="EN297" s="132">
        <f>(ED297*'Renewable Diesel'!BF306*'Feedstock Conversion Rates'!B$5)+FE297</f>
        <v>620.53511484423075</v>
      </c>
      <c r="EO297" s="132">
        <f>(EE297*'Renewable Diesel'!BF306*'Feedstock Conversion Rates'!B$6)+FF297</f>
        <v>785.1909822980366</v>
      </c>
      <c r="EP297" s="132">
        <f>(EF297*'Renewable Diesel'!BF306*'Feedstock Conversion Rates'!B$7)+FG297</f>
        <v>862.54544383591963</v>
      </c>
      <c r="EQ297" s="132">
        <f>(EG297*'Renewable Diesel'!BF306*'Feedstock Conversion Rates'!B$8)+FH297</f>
        <v>119.58837866214128</v>
      </c>
      <c r="ER297" s="132">
        <f>(EH297*'Renewable Diesel'!BF306*'Feedstock Conversion Rates'!B$9)+FI297</f>
        <v>10.186520887480237</v>
      </c>
      <c r="ES297" s="132">
        <f t="shared" si="275"/>
        <v>9670.6107518680346</v>
      </c>
      <c r="ET297" s="133">
        <f>ES297/'Renewable Diesel'!BF306</f>
        <v>12.895627724405886</v>
      </c>
      <c r="EW297" s="73">
        <f t="shared" si="309"/>
        <v>7161.3895854259417</v>
      </c>
      <c r="EX297" s="73">
        <f t="shared" si="310"/>
        <v>6234.3541618312584</v>
      </c>
      <c r="EY297" s="92">
        <f t="shared" si="258"/>
        <v>0.74053126210695674</v>
      </c>
      <c r="EZ297" s="92">
        <f t="shared" si="258"/>
        <v>0.64467015804839334</v>
      </c>
      <c r="FB297" s="102">
        <f>IF('Renewable Diesel'!$BG306&lt;1,0,(((('Renewable Diesel'!$BG306-1)*'Renewable Diesel'!$BF306)*'RD Feedstock Breakdown'!EA297)*'Feedstock Conversion Rates'!$B$2))</f>
        <v>15.889468332991402</v>
      </c>
      <c r="FC297" s="102">
        <f>IF('Renewable Diesel'!$BG306&lt;1,0,(((('Renewable Diesel'!$BG306-1)*'Renewable Diesel'!$BF306)*'RD Feedstock Breakdown'!EB297)*'Feedstock Conversion Rates'!$B$3))</f>
        <v>1033.0805947206834</v>
      </c>
      <c r="FD297" s="102">
        <f>IF('Renewable Diesel'!$BG306&lt;1,0,(((('Renewable Diesel'!$BG306-1)*'Renewable Diesel'!$BF306)*'RD Feedstock Breakdown'!EC297)*'Feedstock Conversion Rates'!$B$4))</f>
        <v>1752.432037845696</v>
      </c>
      <c r="FE297" s="102">
        <f>IF('Renewable Diesel'!$BG306&lt;1,0,(((('Renewable Diesel'!$BG306-1)*'Renewable Diesel'!$BF306)*'RD Feedstock Breakdown'!ED297)*'Feedstock Conversion Rates'!$B$5))</f>
        <v>239.03100749426093</v>
      </c>
      <c r="FF297" s="102">
        <f>IF('Renewable Diesel'!$BG306&lt;1,0,(((('Renewable Diesel'!$BG306-1)*'Renewable Diesel'!$BF306)*'RD Feedstock Breakdown'!EE297)*'Feedstock Conversion Rates'!$B$6))</f>
        <v>302.45668147437806</v>
      </c>
      <c r="FG297" s="102">
        <f>IF('Renewable Diesel'!$BG306&lt;1,0,(((('Renewable Diesel'!$BG306-1)*'Renewable Diesel'!$BF306)*'RD Feedstock Breakdown'!EF297)*'Feedstock Conversion Rates'!$B$7))</f>
        <v>332.25372991412303</v>
      </c>
      <c r="FH297" s="102">
        <f>IF('Renewable Diesel'!$BG306&lt;1,0,(((('Renewable Diesel'!$BG306-1)*'Renewable Diesel'!$BF306)*'RD Feedstock Breakdown'!EG297)*'Feedstock Conversion Rates'!$B$8))</f>
        <v>46.065613294732586</v>
      </c>
      <c r="FI297" s="102">
        <f>IF('Renewable Diesel'!$BG306&lt;1,0,(((('Renewable Diesel'!$BG306-1)*'Renewable Diesel'!$BF306)*'RD Feedstock Breakdown'!EH297)*'Feedstock Conversion Rates'!$B$9))</f>
        <v>3.9238623122995246</v>
      </c>
      <c r="FJ297" s="102">
        <f t="shared" si="311"/>
        <v>3725.1329953891645</v>
      </c>
      <c r="GD297" s="91">
        <f>'Renewable Diesel'!BB306*0.32</f>
        <v>0</v>
      </c>
      <c r="GE297" s="91">
        <f>'Renewable Diesel'!BC306</f>
        <v>424.93541513276676</v>
      </c>
      <c r="GF297" s="91">
        <f>'Renewable Diesel'!BD306</f>
        <v>0</v>
      </c>
      <c r="GG297" s="91">
        <f t="shared" si="295"/>
        <v>424.93541513276676</v>
      </c>
      <c r="GH297" s="124">
        <v>1</v>
      </c>
      <c r="GI297" s="102">
        <f>$GG297*EA297*'Feedstock Conversion Rates'!$B$2</f>
        <v>14.370300631885156</v>
      </c>
      <c r="GJ297" s="102">
        <f>$GG297*EB297*'Feedstock Conversion Rates'!$B$3</f>
        <v>934.30934326976524</v>
      </c>
      <c r="GK297" s="102">
        <f>$GG297*EC297*'Feedstock Conversion Rates'!$B$4</f>
        <v>1584.8846980299666</v>
      </c>
      <c r="GL297" s="102">
        <f>$GG297*ED297*'Feedstock Conversion Rates'!$B$5</f>
        <v>216.17761941744271</v>
      </c>
      <c r="GM297" s="102">
        <f>$GG297*EE297*'Feedstock Conversion Rates'!$B$6</f>
        <v>273.53926197043978</v>
      </c>
      <c r="GN297" s="102">
        <f>$GG297*EF297*'Feedstock Conversion Rates'!$B$7</f>
        <v>300.48746030209327</v>
      </c>
      <c r="GO297" s="102">
        <f>$GG297*EG297*'Feedstock Conversion Rates'!$B$8</f>
        <v>41.661350648404429</v>
      </c>
      <c r="GP297" s="102">
        <f>$GG297*EH297*'Feedstock Conversion Rates'!B$9</f>
        <v>3.5487078537921466</v>
      </c>
      <c r="GQ297" s="102">
        <f t="shared" si="276"/>
        <v>3368.9787421237893</v>
      </c>
      <c r="GR297" s="85">
        <f t="shared" si="293"/>
        <v>7.9282136111700314</v>
      </c>
      <c r="GT297" s="103">
        <f t="shared" si="254"/>
        <v>4.2654767904015279E-3</v>
      </c>
      <c r="GU297" s="103">
        <f t="shared" si="254"/>
        <v>0.27732717086863568</v>
      </c>
      <c r="GV297" s="103">
        <f t="shared" si="254"/>
        <v>0.47043475763544373</v>
      </c>
      <c r="GW297" s="103">
        <f t="shared" si="254"/>
        <v>6.416710699728706E-2</v>
      </c>
      <c r="GX297" s="103">
        <f t="shared" si="253"/>
        <v>8.119352566706961E-2</v>
      </c>
      <c r="GY297" s="103">
        <f t="shared" si="253"/>
        <v>8.919244771270575E-2</v>
      </c>
      <c r="GZ297" s="103">
        <f t="shared" si="253"/>
        <v>1.2366166080983133E-2</v>
      </c>
      <c r="HA297" s="103">
        <f t="shared" si="251"/>
        <v>1.0533482474736713E-3</v>
      </c>
    </row>
    <row r="298" spans="1:209" x14ac:dyDescent="0.25">
      <c r="A298" s="96">
        <v>49491</v>
      </c>
      <c r="B298" s="104">
        <f t="shared" si="303"/>
        <v>70.75</v>
      </c>
      <c r="C298" s="104">
        <f t="shared" si="304"/>
        <v>19</v>
      </c>
      <c r="D298" s="104">
        <f t="shared" si="288"/>
        <v>2</v>
      </c>
      <c r="E298" s="104">
        <f>('Renewable Diesel'!B307*E$3*'Feedstock Conversion Rates'!$B$2)/12+26+13-100+27.5+39-90</f>
        <v>5.4300000000000068</v>
      </c>
      <c r="F298" s="104">
        <f>('Renewable Diesel'!B307*'RD Feedstock Breakdown'!F$3*'Feedstock Conversion Rates'!B$8)/12+77+23-10-12-115.75+24+8+1+15-40-20</f>
        <v>4.15625</v>
      </c>
      <c r="G298" s="104">
        <f>('Renewable Diesel'!B307*'RD Feedstock Breakdown'!G$3*'Feedstock Conversion Rates'!B$7)/12+116.75-39-57.5-145-31.5+32+70-40+10-50-12.5-25</f>
        <v>4.4070000000000391</v>
      </c>
      <c r="H298" s="104">
        <f>('Renewable Diesel'!B307*'RD Feedstock Breakdown'!H$3*'Feedstock Conversion Rates'!B$3)/12+67+10+12+3-235+20+47-20+65+25+130+90</f>
        <v>390.40022499999998</v>
      </c>
      <c r="I298" s="106">
        <f t="shared" si="291"/>
        <v>496.14347500000002</v>
      </c>
      <c r="J298" s="104">
        <f t="shared" si="305"/>
        <v>66</v>
      </c>
      <c r="K298" s="104"/>
      <c r="L298" s="104">
        <v>1</v>
      </c>
      <c r="M298" s="104">
        <f>('Renewable Diesel'!C307*'RD Feedstock Breakdown'!M$3*'Feedstock Conversion Rates'!B$2)/12</f>
        <v>7.7902500000000003</v>
      </c>
      <c r="N298" s="104">
        <f>('Renewable Diesel'!C307*'RD Feedstock Breakdown'!N$3*'Feedstock Conversion Rates'!B$8)/12</f>
        <v>3.671875</v>
      </c>
      <c r="O298" s="104">
        <f>('Renewable Diesel'!C307*'RD Feedstock Breakdown'!O$3*'Feedstock Conversion Rates'!B$7)/12</f>
        <v>11.9991</v>
      </c>
      <c r="P298" s="104">
        <f>('Renewable Diesel'!C307*'RD Feedstock Breakdown'!P$3*'Feedstock Conversion Rates'!B$3)/12</f>
        <v>10.4470425</v>
      </c>
      <c r="Q298" s="106">
        <f t="shared" si="299"/>
        <v>100.90826749999999</v>
      </c>
      <c r="R298" s="104">
        <f>('Renewable Diesel'!D307*'RD Feedstock Breakdown'!R$3*'Feedstock Conversion Rates'!B$7)/12</f>
        <v>2.2999999999999998</v>
      </c>
      <c r="S298" s="106">
        <f t="shared" si="249"/>
        <v>2.2999999999999998</v>
      </c>
      <c r="T298" s="104">
        <f t="shared" si="300"/>
        <v>0.82499999999999929</v>
      </c>
      <c r="U298" s="104"/>
      <c r="V298" s="104">
        <f>('Renewable Diesel'!E307*'RD Feedstock Breakdown'!V$3*'Feedstock Conversion Rates'!B$6)/12-20+25</f>
        <v>49.250150000000012</v>
      </c>
      <c r="W298" s="104">
        <f>('Renewable Diesel'!E307*'RD Feedstock Breakdown'!W$3*'Feedstock Conversion Rates'!B$8)/12-6</f>
        <v>16.1796875</v>
      </c>
      <c r="X298" s="106">
        <f t="shared" si="277"/>
        <v>66.254837500000008</v>
      </c>
      <c r="Y298" s="104">
        <f t="shared" si="301"/>
        <v>98</v>
      </c>
      <c r="Z298" s="104">
        <f>('Renewable Diesel'!F307*'RD Feedstock Breakdown'!Z$3*'Feedstock Conversion Rates'!B$6)/12-142+15+5</f>
        <v>37.460000000000008</v>
      </c>
      <c r="AA298" s="104">
        <f>('Renewable Diesel'!F307*'RD Feedstock Breakdown'!AA$3*'Feedstock Conversion Rates'!B$7)/12+24</f>
        <v>128.26666666666665</v>
      </c>
      <c r="AB298" s="106">
        <f t="shared" si="235"/>
        <v>263.72666666666669</v>
      </c>
      <c r="AC298" s="104">
        <f>('Renewable Diesel'!G307*'RD Feedstock Breakdown'!AC$3*'Feedstock Conversion Rates'!B$5)/12</f>
        <v>11.796875</v>
      </c>
      <c r="AD298" s="104">
        <f>('Renewable Diesel'!G307*'RD Feedstock Breakdown'!AD$3*'Feedstock Conversion Rates'!B$4)/12</f>
        <v>5.859375</v>
      </c>
      <c r="AE298" s="104">
        <f>('Renewable Diesel'!G307*'RD Feedstock Breakdown'!AE$3*'Feedstock Conversion Rates'!B$6)/12</f>
        <v>7.3281250000000009</v>
      </c>
      <c r="AF298" s="106">
        <f t="shared" si="284"/>
        <v>24.984375</v>
      </c>
      <c r="AG298" s="104">
        <f t="shared" si="306"/>
        <v>148</v>
      </c>
      <c r="AH298" s="104"/>
      <c r="AI298" s="104">
        <f>('Renewable Diesel'!H307*'RD Feedstock Breakdown'!AI$3*'Feedstock Conversion Rates'!B$6)/12-130-20+51-49</f>
        <v>0.51666666666667993</v>
      </c>
      <c r="AJ298" s="106">
        <f t="shared" si="248"/>
        <v>148.51666666666668</v>
      </c>
      <c r="AK298" s="104">
        <f>('Renewable Diesel'!J307*'RD Feedstock Breakdown'!AK$3*'Feedstock Conversion Rates'!B$4)/12</f>
        <v>95.8125</v>
      </c>
      <c r="AL298" s="106">
        <f t="shared" si="252"/>
        <v>95.8125</v>
      </c>
      <c r="AM298" s="104">
        <f>('Renewable Diesel'!K307*'RD Feedstock Breakdown'!AM$3*'Feedstock Conversion Rates'!B$4)/12+5+15-10</f>
        <v>68.59375</v>
      </c>
      <c r="AN298" s="104">
        <f>('Renewable Diesel'!K307*'RD Feedstock Breakdown'!AN$3*'Feedstock Conversion Rates'!B$6)/12-5-15+10</f>
        <v>14.427083333333332</v>
      </c>
      <c r="AO298" s="106">
        <f t="shared" si="270"/>
        <v>83.020833333333329</v>
      </c>
      <c r="AP298" s="104">
        <f>('Renewable Diesel'!L307*'RD Feedstock Breakdown'!AP$3*'Feedstock Conversion Rates'!B$4)/12+15-10</f>
        <v>63.59375</v>
      </c>
      <c r="AQ298" s="104">
        <f>('Renewable Diesel'!L307*'RD Feedstock Breakdown'!AQ$3*'Feedstock Conversion Rates'!B$6)/12-15+10</f>
        <v>19.427083333333332</v>
      </c>
      <c r="AR298" s="106">
        <f t="shared" si="256"/>
        <v>83.020833333333329</v>
      </c>
      <c r="AS298" s="104">
        <f>('Renewable Diesel'!M307*'RD Feedstock Breakdown'!AS$3*'Feedstock Conversion Rates'!B$4)/12-25</f>
        <v>431.25</v>
      </c>
      <c r="AT298" s="104">
        <f>('Renewable Diesel'!M307*'RD Feedstock Breakdown'!AT$3*'Feedstock Conversion Rates'!B$5)/12+25</f>
        <v>25</v>
      </c>
      <c r="AU298" s="106">
        <f t="shared" si="290"/>
        <v>456.25</v>
      </c>
      <c r="AV298" s="104">
        <f>'Renewable Diesel'!N307*'RD Feedstock Breakdown'!$AV$3*'Feedstock Conversion Rates'!$B$4/12-15-10+25+25-22+25</f>
        <v>106.74999999999999</v>
      </c>
      <c r="AW298" s="104">
        <f>'Renewable Diesel'!N307*'RD Feedstock Breakdown'!$AW$3*'Feedstock Conversion Rates'!$B$7/12+15+10-25-25+22-25</f>
        <v>13.400000000000006</v>
      </c>
      <c r="AX298" s="106">
        <f t="shared" si="239"/>
        <v>120.14999999999999</v>
      </c>
      <c r="AY298" s="104">
        <f>('Renewable Diesel'!O307*'RD Feedstock Breakdown'!AY$3*'Feedstock Conversion Rates'!B$4)/12-90-258</f>
        <v>-137.0625</v>
      </c>
      <c r="AZ298" s="104">
        <f>('Renewable Diesel'!O307*'RD Feedstock Breakdown'!AZ$3*'Feedstock Conversion Rates'!B$3)/12+90+258</f>
        <v>373.03125</v>
      </c>
      <c r="BA298" s="106">
        <f t="shared" si="302"/>
        <v>235.96875</v>
      </c>
      <c r="BB298" s="104">
        <f>('Renewable Diesel'!Q307*'RD Feedstock Breakdown'!BB$3*'Feedstock Conversion Rates'!B$4)/12</f>
        <v>11.156249999999998</v>
      </c>
      <c r="BC298" s="104">
        <f>('Renewable Diesel'!Q307*'RD Feedstock Breakdown'!BC$3*'Feedstock Conversion Rates'!B$3)/12</f>
        <v>1.4017500000000001</v>
      </c>
      <c r="BD298" s="104">
        <f>('Renewable Diesel'!Q307*'RD Feedstock Breakdown'!BD$3*'Feedstock Conversion Rates'!B$6)/12</f>
        <v>0.8207500000000002</v>
      </c>
      <c r="BE298" s="106">
        <f t="shared" si="279"/>
        <v>13.378749999999998</v>
      </c>
      <c r="BF298" s="104">
        <f>('Renewable Diesel'!R307*'RD Feedstock Breakdown'!BF$3*'Feedstock Conversion Rates'!B$4)/12</f>
        <v>62.5</v>
      </c>
      <c r="BG298" s="106">
        <f t="shared" si="262"/>
        <v>62.5</v>
      </c>
      <c r="BH298" s="104">
        <f>('Renewable Diesel'!T307*'RD Feedstock Breakdown'!BH$3*'Feedstock Conversion Rates'!B$7)/12</f>
        <v>27.599999999999998</v>
      </c>
      <c r="BI298" s="106">
        <f t="shared" si="243"/>
        <v>27.599999999999998</v>
      </c>
      <c r="BJ298" s="104">
        <f>('Renewable Diesel'!W307*'RD Feedstock Breakdown'!BJ$3*'Feedstock Conversion Rates'!B$4)/12</f>
        <v>7.5</v>
      </c>
      <c r="BK298" s="104">
        <f>('Renewable Diesel'!W307*'RD Feedstock Breakdown'!BK$3*'Feedstock Conversion Rates'!B$3)/12</f>
        <v>1.335</v>
      </c>
      <c r="BL298" s="104">
        <f>('Renewable Diesel'!W307*'RD Feedstock Breakdown'!BL$3*'Feedstock Conversion Rates'!B$6)/12</f>
        <v>3.1266666666666669</v>
      </c>
      <c r="BM298" s="104">
        <f>('Renewable Diesel'!W307*'RD Feedstock Breakdown'!BM$3*'Feedstock Conversion Rates'!B$7)/12</f>
        <v>1.5333333333333332</v>
      </c>
      <c r="BN298" s="106">
        <f t="shared" si="296"/>
        <v>13.495000000000001</v>
      </c>
      <c r="BO298" s="104">
        <f>('Renewable Diesel'!P307*'Feedstock Conversion Rates'!B$4)/12</f>
        <v>31.25</v>
      </c>
      <c r="BP298" s="106">
        <f t="shared" si="285"/>
        <v>31.25</v>
      </c>
      <c r="BQ298" s="104">
        <f>('Renewable Diesel'!$S307*'RD Feedstock Breakdown'!BQ$3*'Feedstock Conversion Rates'!B$4)/12+10+15-15</f>
        <v>38.125</v>
      </c>
      <c r="BR298" s="104">
        <f>('Renewable Diesel'!$S307*'RD Feedstock Breakdown'!BR$3*'Feedstock Conversion Rates'!B$7)/12-10-15+15</f>
        <v>1.5</v>
      </c>
      <c r="BS298" s="106">
        <f t="shared" si="307"/>
        <v>39.625</v>
      </c>
      <c r="BT298" s="106"/>
      <c r="BU298" s="104">
        <f>('Renewable Diesel'!Y307*'Feedstock Conversion Rates'!B$7)/12</f>
        <v>2.6833333333333331</v>
      </c>
      <c r="BV298" s="106">
        <f t="shared" si="281"/>
        <v>2.6833333333333331</v>
      </c>
      <c r="BW298" s="104">
        <f>('Renewable Diesel'!$Z307*'RD Feedstock Breakdown'!BW$3*'Feedstock Conversion Rates'!$B$4)/12</f>
        <v>71.875</v>
      </c>
      <c r="BX298" s="104">
        <f>('Renewable Diesel'!$Z307*'RD Feedstock Breakdown'!BX$3*'Feedstock Conversion Rates'!$B$5)/12</f>
        <v>7.2354166666666666</v>
      </c>
      <c r="BY298" s="104">
        <f>('Renewable Diesel'!$Z307*'RD Feedstock Breakdown'!BY$3*'Feedstock Conversion Rates'!$B$7)/12</f>
        <v>61.716666666666661</v>
      </c>
      <c r="BZ298" s="104">
        <f>('Renewable Diesel'!$Z307*'RD Feedstock Breakdown'!BZ$3*'Feedstock Conversion Rates'!$B$3)/12</f>
        <v>15.352499999999999</v>
      </c>
      <c r="CA298" s="106">
        <f t="shared" si="312"/>
        <v>156.17958333333331</v>
      </c>
      <c r="CB298" s="104">
        <f>('Renewable Diesel'!AA307*'Feedstock Conversion Rates'!B$4)/12</f>
        <v>191.25</v>
      </c>
      <c r="CC298" s="106">
        <f t="shared" si="298"/>
        <v>191.25</v>
      </c>
      <c r="CD298" s="104">
        <f>('Renewable Diesel'!$AB307*'RD Feedstock Breakdown'!CD$3*'Feedstock Conversion Rates'!$B$6)/12-15-5</f>
        <v>12.830000000000005</v>
      </c>
      <c r="CE298" s="104">
        <f>('Renewable Diesel'!$AB307*'RD Feedstock Breakdown'!CE$3*'Feedstock Conversion Rates'!$B$4)/12+15+5</f>
        <v>31.25</v>
      </c>
      <c r="CF298" s="106">
        <f t="shared" si="294"/>
        <v>44.080000000000005</v>
      </c>
      <c r="CG298" s="104">
        <f>('Renewable Diesel'!AD307*'Feedstock Conversion Rates'!B$4)/12</f>
        <v>112.5</v>
      </c>
      <c r="CH298" s="106">
        <f t="shared" si="278"/>
        <v>112.5</v>
      </c>
      <c r="CI298" s="104">
        <f>('Renewable Diesel'!$AE307*'RD Feedstock Breakdown'!CI$3*'Feedstock Conversion Rates'!$B$5)/12</f>
        <v>0.34604166666666664</v>
      </c>
      <c r="CJ298" s="104">
        <f>('Renewable Diesel'!$AE307*'RD Feedstock Breakdown'!CJ$3*'Feedstock Conversion Rates'!$B$4)/12</f>
        <v>0.34375</v>
      </c>
      <c r="CK298" s="106">
        <f t="shared" si="286"/>
        <v>0.68979166666666658</v>
      </c>
      <c r="CL298" s="104">
        <f>(((CL$3*'Renewable Diesel'!$AF307)*'Feedstock Conversion Rates'!$B$3)/12)</f>
        <v>91.78125</v>
      </c>
      <c r="CM298" s="104">
        <f>(((CM$3*'Renewable Diesel'!$AF307)*'Feedstock Conversion Rates'!$B$6)/12)</f>
        <v>53.739583333333336</v>
      </c>
      <c r="CN298" s="104">
        <f>(((CN$3*'Renewable Diesel'!$AF307)*'Feedstock Conversion Rates'!$B$4)/12)</f>
        <v>42.96875</v>
      </c>
      <c r="CO298" s="106">
        <f t="shared" si="280"/>
        <v>188.48958333333334</v>
      </c>
      <c r="CP298" s="104">
        <f>('Renewable Diesel'!$AG307*'RD Feedstock Breakdown'!CP$3*'Feedstock Conversion Rates'!$B$3)/12</f>
        <v>6.0075000000000003</v>
      </c>
      <c r="CQ298" s="104">
        <f>('Renewable Diesel'!$AG307*'RD Feedstock Breakdown'!CQ$3*'Feedstock Conversion Rates'!$B$6)/12</f>
        <v>3.5175000000000001</v>
      </c>
      <c r="CR298" s="104">
        <f>('Renewable Diesel'!$AG307*'RD Feedstock Breakdown'!CR$3*'Feedstock Conversion Rates'!$B$4)/12</f>
        <v>2.8125</v>
      </c>
      <c r="CS298" s="106">
        <f t="shared" si="231"/>
        <v>12.3375</v>
      </c>
      <c r="CT298" s="104">
        <f>('Renewable Diesel'!AI307*'Feedstock Conversion Rates'!$B$4*'RD Feedstock Breakdown'!$CT$3)/12</f>
        <v>29.375</v>
      </c>
      <c r="CU298" s="106">
        <f t="shared" si="282"/>
        <v>29.375</v>
      </c>
      <c r="CV298" s="104">
        <f>('Renewable Diesel'!AN307*'Feedstock Conversion Rates'!$B$3*'RD Feedstock Breakdown'!$CV$3)/12</f>
        <v>0.50062499999999999</v>
      </c>
      <c r="CW298" s="106">
        <f t="shared" si="255"/>
        <v>0.50062499999999999</v>
      </c>
      <c r="CX298" s="104">
        <f>('Renewable Diesel'!AO307*'RD Feedstock Breakdown'!$CX$3*'Feedstock Conversion Rates'!$B$3)/12</f>
        <v>6.3412499999999996</v>
      </c>
      <c r="CY298" s="104">
        <f>('Renewable Diesel'!AO307*'RD Feedstock Breakdown'!$CY$3*'Feedstock Conversion Rates'!$B$6)/12</f>
        <v>7.4258333333333342</v>
      </c>
      <c r="CZ298" s="106">
        <f t="shared" si="233"/>
        <v>13.767083333333334</v>
      </c>
      <c r="DA298" s="104">
        <f>('Renewable Diesel'!$AP307*'RD Feedstock Breakdown'!DA$3*'Feedstock Conversion Rates'!$B$3)/12</f>
        <v>6.3412499999999996</v>
      </c>
      <c r="DB298" s="104">
        <f>('Renewable Diesel'!$AP307*'RD Feedstock Breakdown'!DB$3*'Feedstock Conversion Rates'!$B$8)/12</f>
        <v>7.421875</v>
      </c>
      <c r="DC298" s="106">
        <f t="shared" si="260"/>
        <v>13.763124999999999</v>
      </c>
      <c r="DD298" s="104">
        <f>('Renewable Diesel'!AQ307*$DD$3*'Feedstock Conversion Rates'!$B$14)/12</f>
        <v>3.1041666666666665</v>
      </c>
      <c r="DE298" s="106">
        <f t="shared" si="261"/>
        <v>3.1041666666666665</v>
      </c>
      <c r="DF298" s="104">
        <f>('Renewable Diesel'!AR307*'Feedstock Conversion Rates'!$B$4*$DF$3)/12</f>
        <v>75</v>
      </c>
      <c r="DG298" s="106">
        <f t="shared" si="234"/>
        <v>75</v>
      </c>
      <c r="DH298" s="104">
        <f>('Renewable Diesel'!AS307*'Feedstock Conversion Rates'!$B$4*$DH$3)/12</f>
        <v>75</v>
      </c>
      <c r="DI298" s="106">
        <f t="shared" si="240"/>
        <v>75</v>
      </c>
      <c r="DJ298" s="104">
        <f>('Renewable Diesel'!AT307*'Feedstock Conversion Rates'!$B$4*0.25)/12</f>
        <v>8.59375</v>
      </c>
      <c r="DK298" s="104">
        <f>('Renewable Diesel'!$AT307*'RD Feedstock Breakdown'!DK$3*'Feedstock Conversion Rates'!$B$3)/12*0.5</f>
        <v>9.1781249999999996</v>
      </c>
      <c r="DL298" s="104">
        <f>('Renewable Diesel'!$AT307*'RD Feedstock Breakdown'!$DL$3*'Feedstock Conversion Rates'!$B$6)/12</f>
        <v>10.747916666666669</v>
      </c>
      <c r="DM298" s="104">
        <f>('Renewable Diesel'!$AT307*'RD Feedstock Breakdown'!$DM$3*'Feedstock Conversion Rates'!$B$8)/12</f>
        <v>10.7421875</v>
      </c>
      <c r="DN298" s="106">
        <f t="shared" si="297"/>
        <v>39.26197916666667</v>
      </c>
      <c r="DP298" s="104">
        <f t="shared" si="265"/>
        <v>13.220250000000007</v>
      </c>
      <c r="DQ298" s="104">
        <f t="shared" si="266"/>
        <v>912.11776750000001</v>
      </c>
      <c r="DR298" s="104">
        <f t="shared" si="271"/>
        <v>1652.453125</v>
      </c>
      <c r="DS298" s="104">
        <f t="shared" si="283"/>
        <v>223.90124999999998</v>
      </c>
      <c r="DT298" s="104">
        <f t="shared" si="267"/>
        <v>228.03923333333341</v>
      </c>
      <c r="DU298" s="104">
        <f t="shared" si="268"/>
        <v>255.40610000000004</v>
      </c>
      <c r="DV298" s="104">
        <f t="shared" si="272"/>
        <v>34.75</v>
      </c>
      <c r="DW298" s="104">
        <f t="shared" si="269"/>
        <v>3</v>
      </c>
      <c r="DX298" s="106">
        <f t="shared" si="273"/>
        <v>3322.8877258333337</v>
      </c>
      <c r="DY298" s="109">
        <f t="shared" si="257"/>
        <v>-5.631051180898794E-13</v>
      </c>
      <c r="EA298" s="110">
        <f t="shared" si="313"/>
        <v>3.9785424879754411E-3</v>
      </c>
      <c r="EB298" s="110">
        <f t="shared" si="313"/>
        <v>0.27449551196354482</v>
      </c>
      <c r="EC298" s="110">
        <f t="shared" si="313"/>
        <v>0.49729429982037321</v>
      </c>
      <c r="ED298" s="110">
        <f t="shared" si="308"/>
        <v>6.7381527296065558E-2</v>
      </c>
      <c r="EE298" s="110">
        <f t="shared" si="308"/>
        <v>6.8626824662318189E-2</v>
      </c>
      <c r="EF298" s="110">
        <f t="shared" si="308"/>
        <v>7.6862693257548381E-2</v>
      </c>
      <c r="EG298" s="110">
        <f t="shared" si="308"/>
        <v>1.0457771332398896E-2</v>
      </c>
      <c r="EH298" s="111">
        <f t="shared" si="274"/>
        <v>9.0282917977544427E-4</v>
      </c>
      <c r="EI298" s="110">
        <f t="shared" si="236"/>
        <v>0.99909717082022442</v>
      </c>
      <c r="EK298" s="132">
        <f>(EA298*'Renewable Diesel'!BF307*'Feedstock Conversion Rates'!B$2)+FB298</f>
        <v>46.175711792410809</v>
      </c>
      <c r="EL298" s="132">
        <f>(EB298*'Renewable Diesel'!BF307*'Feedstock Conversion Rates'!B$3)+FC298</f>
        <v>3002.1918166455016</v>
      </c>
      <c r="EM298" s="132">
        <f>(EC298*'Renewable Diesel'!BF307*'Feedstock Conversion Rates'!B$4)+FD298</f>
        <v>5092.66861669221</v>
      </c>
      <c r="EN298" s="132">
        <f>(ED298*'Renewable Diesel'!BF307*'Feedstock Conversion Rates'!B$5)+FE298</f>
        <v>694.63789978343721</v>
      </c>
      <c r="EO298" s="132">
        <f>(EE298*'Renewable Diesel'!BF307*'Feedstock Conversion Rates'!B$6)+FF298</f>
        <v>878.95656800875258</v>
      </c>
      <c r="EP298" s="132">
        <f>(EF298*'Renewable Diesel'!BF307*'Feedstock Conversion Rates'!B$7)+FG298</f>
        <v>965.54851005387297</v>
      </c>
      <c r="EQ298" s="132">
        <f>(EG298*'Renewable Diesel'!BF307*'Feedstock Conversion Rates'!B$8)+FH298</f>
        <v>133.86933020418832</v>
      </c>
      <c r="ER298" s="132">
        <f>(EH298*'Renewable Diesel'!BF307*'Feedstock Conversion Rates'!B$9)+FI298</f>
        <v>11.402970285018631</v>
      </c>
      <c r="ES298" s="132">
        <f t="shared" si="275"/>
        <v>10825.451423465393</v>
      </c>
      <c r="ET298" s="133">
        <f>ES298/'Renewable Diesel'!BF307</f>
        <v>13.869434794123279</v>
      </c>
      <c r="EW298" s="73">
        <f t="shared" si="309"/>
        <v>8266.4030750821621</v>
      </c>
      <c r="EX298" s="73">
        <f t="shared" si="310"/>
        <v>7196.3246517677017</v>
      </c>
      <c r="EY298" s="92">
        <f t="shared" si="258"/>
        <v>0.76360816299667622</v>
      </c>
      <c r="EZ298" s="92">
        <f t="shared" si="258"/>
        <v>0.66475977492900229</v>
      </c>
      <c r="FB298" s="102">
        <f>IF('Renewable Diesel'!$BG307&lt;1,0,(((('Renewable Diesel'!$BG307-1)*'Renewable Diesel'!$BF307)*'RD Feedstock Breakdown'!EA298)*'Feedstock Conversion Rates'!$B$2))</f>
        <v>19.780194442765456</v>
      </c>
      <c r="FC298" s="102">
        <f>IF('Renewable Diesel'!$BG307&lt;1,0,(((('Renewable Diesel'!$BG307-1)*'Renewable Diesel'!$BF307)*'RD Feedstock Breakdown'!EB298)*'Feedstock Conversion Rates'!$B$3))</f>
        <v>1286.0427177537804</v>
      </c>
      <c r="FD298" s="102">
        <f>IF('Renewable Diesel'!$BG307&lt;1,0,(((('Renewable Diesel'!$BG307-1)*'Renewable Diesel'!$BF307)*'RD Feedstock Breakdown'!EC298)*'Feedstock Conversion Rates'!$B$4))</f>
        <v>2181.5359538712601</v>
      </c>
      <c r="FE298" s="102">
        <f>IF('Renewable Diesel'!$BG307&lt;1,0,(((('Renewable Diesel'!$BG307-1)*'Renewable Diesel'!$BF307)*'RD Feedstock Breakdown'!ED298)*'Feedstock Conversion Rates'!$B$5))</f>
        <v>297.5606047352552</v>
      </c>
      <c r="FF298" s="102">
        <f>IF('Renewable Diesel'!$BG307&lt;1,0,(((('Renewable Diesel'!$BG307-1)*'Renewable Diesel'!$BF307)*'RD Feedstock Breakdown'!EE298)*'Feedstock Conversion Rates'!$B$6))</f>
        <v>376.51681256414082</v>
      </c>
      <c r="FG298" s="102">
        <f>IF('Renewable Diesel'!$BG307&lt;1,0,(((('Renewable Diesel'!$BG307-1)*'Renewable Diesel'!$BF307)*'RD Feedstock Breakdown'!EF298)*'Feedstock Conversion Rates'!$B$7))</f>
        <v>413.61002421898888</v>
      </c>
      <c r="FH298" s="102">
        <f>IF('Renewable Diesel'!$BG307&lt;1,0,(((('Renewable Diesel'!$BG307-1)*'Renewable Diesel'!$BF307)*'RD Feedstock Breakdown'!EG298)*'Feedstock Conversion Rates'!$B$8))</f>
        <v>57.34532893105991</v>
      </c>
      <c r="FI298" s="102">
        <f>IF('Renewable Diesel'!$BG307&lt;1,0,(((('Renewable Diesel'!$BG307-1)*'Renewable Diesel'!$BF307)*'RD Feedstock Breakdown'!EH298)*'Feedstock Conversion Rates'!$B$9))</f>
        <v>4.8846668672212177</v>
      </c>
      <c r="FJ298" s="102">
        <f t="shared" si="311"/>
        <v>4637.2763033844722</v>
      </c>
      <c r="GD298" s="91">
        <f>'Renewable Diesel'!BB307*0.32</f>
        <v>0</v>
      </c>
      <c r="GE298" s="91">
        <f>'Renewable Diesel'!BC307</f>
        <v>462.22663622094757</v>
      </c>
      <c r="GF298" s="91">
        <f>'Renewable Diesel'!BD307</f>
        <v>0</v>
      </c>
      <c r="GG298" s="91">
        <f t="shared" si="295"/>
        <v>462.22663622094757</v>
      </c>
      <c r="GH298" s="124">
        <v>1</v>
      </c>
      <c r="GI298" s="102">
        <f>$GG298*EA298*'Feedstock Conversion Rates'!$B$2</f>
        <v>15.631400645871567</v>
      </c>
      <c r="GJ298" s="102">
        <f>$GG298*EB298*'Feedstock Conversion Rates'!$B$3</f>
        <v>1016.3018885927761</v>
      </c>
      <c r="GK298" s="102">
        <f>$GG298*EC298*'Feedstock Conversion Rates'!$B$4</f>
        <v>1723.9700356336684</v>
      </c>
      <c r="GL298" s="102">
        <f>$GG298*ED298*'Feedstock Conversion Rates'!$B$5</f>
        <v>235.1488021264521</v>
      </c>
      <c r="GM298" s="102">
        <f>$GG298*EE298*'Feedstock Conversion Rates'!$B$6</f>
        <v>297.54435246460446</v>
      </c>
      <c r="GN298" s="102">
        <f>$GG298*EF298*'Feedstock Conversion Rates'!$B$7</f>
        <v>326.85745422893564</v>
      </c>
      <c r="GO298" s="102">
        <f>$GG298*EG298*'Feedstock Conversion Rates'!$B$8</f>
        <v>45.317441862586861</v>
      </c>
      <c r="GP298" s="102">
        <f>$GG298*EH298*'Feedstock Conversion Rates'!B$9</f>
        <v>3.8601331773599168</v>
      </c>
      <c r="GQ298" s="102">
        <f t="shared" si="276"/>
        <v>3664.631508732255</v>
      </c>
      <c r="GR298" s="85">
        <f t="shared" si="293"/>
        <v>7.9282136111700314</v>
      </c>
      <c r="GT298" s="103">
        <f t="shared" si="254"/>
        <v>4.265476790401527E-3</v>
      </c>
      <c r="GU298" s="103">
        <f t="shared" si="254"/>
        <v>0.27732717086863562</v>
      </c>
      <c r="GV298" s="103">
        <f t="shared" si="254"/>
        <v>0.47043475763544362</v>
      </c>
      <c r="GW298" s="103">
        <f t="shared" si="254"/>
        <v>6.4167106997287046E-2</v>
      </c>
      <c r="GX298" s="103">
        <f t="shared" si="253"/>
        <v>8.119352566706961E-2</v>
      </c>
      <c r="GY298" s="103">
        <f t="shared" si="253"/>
        <v>8.9192447712705736E-2</v>
      </c>
      <c r="GZ298" s="103">
        <f t="shared" si="253"/>
        <v>1.2366166080983133E-2</v>
      </c>
      <c r="HA298" s="103">
        <f t="shared" si="251"/>
        <v>1.0533482474736713E-3</v>
      </c>
    </row>
    <row r="299" spans="1:209" x14ac:dyDescent="0.25">
      <c r="A299" s="96">
        <v>49522</v>
      </c>
      <c r="B299" s="104">
        <f t="shared" si="303"/>
        <v>70.75</v>
      </c>
      <c r="C299" s="104">
        <f t="shared" si="304"/>
        <v>19</v>
      </c>
      <c r="D299" s="104">
        <f t="shared" si="288"/>
        <v>2</v>
      </c>
      <c r="E299" s="104">
        <f>('Renewable Diesel'!B308*E$3*'Feedstock Conversion Rates'!$B$2)/12+26+13-100+27.5+39-90</f>
        <v>5.4300000000000068</v>
      </c>
      <c r="F299" s="104">
        <f>('Renewable Diesel'!B308*'RD Feedstock Breakdown'!F$3*'Feedstock Conversion Rates'!B$8)/12+77+23-10-12-115.75+24+8+1+15-40-20</f>
        <v>4.15625</v>
      </c>
      <c r="G299" s="104">
        <f>('Renewable Diesel'!B308*'RD Feedstock Breakdown'!G$3*'Feedstock Conversion Rates'!B$7)/12+116.75-39-57.5-145-31.5+32+70-40+10-50-12.5-25</f>
        <v>4.4070000000000391</v>
      </c>
      <c r="H299" s="104">
        <f>('Renewable Diesel'!B308*'RD Feedstock Breakdown'!H$3*'Feedstock Conversion Rates'!B$3)/12+67+10+12+3-235+20+47-20+65+25+130+90</f>
        <v>390.40022499999998</v>
      </c>
      <c r="I299" s="106">
        <f t="shared" si="291"/>
        <v>496.14347500000002</v>
      </c>
      <c r="J299" s="104">
        <f t="shared" si="305"/>
        <v>66</v>
      </c>
      <c r="K299" s="104"/>
      <c r="L299" s="104">
        <v>1</v>
      </c>
      <c r="M299" s="104">
        <f>('Renewable Diesel'!C308*'RD Feedstock Breakdown'!M$3*'Feedstock Conversion Rates'!B$2)/12</f>
        <v>7.7902500000000003</v>
      </c>
      <c r="N299" s="104">
        <f>('Renewable Diesel'!C308*'RD Feedstock Breakdown'!N$3*'Feedstock Conversion Rates'!B$8)/12</f>
        <v>3.671875</v>
      </c>
      <c r="O299" s="104">
        <f>('Renewable Diesel'!C308*'RD Feedstock Breakdown'!O$3*'Feedstock Conversion Rates'!B$7)/12</f>
        <v>11.9991</v>
      </c>
      <c r="P299" s="104">
        <f>('Renewable Diesel'!C308*'RD Feedstock Breakdown'!P$3*'Feedstock Conversion Rates'!B$3)/12</f>
        <v>10.4470425</v>
      </c>
      <c r="Q299" s="106">
        <f t="shared" si="299"/>
        <v>100.90826749999999</v>
      </c>
      <c r="R299" s="104">
        <f>('Renewable Diesel'!D308*'RD Feedstock Breakdown'!R$3*'Feedstock Conversion Rates'!B$7)/12</f>
        <v>2.2999999999999998</v>
      </c>
      <c r="S299" s="106">
        <f t="shared" si="249"/>
        <v>2.2999999999999998</v>
      </c>
      <c r="T299" s="104">
        <f t="shared" si="300"/>
        <v>0.82499999999999929</v>
      </c>
      <c r="U299" s="104"/>
      <c r="V299" s="104">
        <f>('Renewable Diesel'!E308*'RD Feedstock Breakdown'!V$3*'Feedstock Conversion Rates'!B$6)/12-20+25</f>
        <v>49.250150000000012</v>
      </c>
      <c r="W299" s="104">
        <f>('Renewable Diesel'!E308*'RD Feedstock Breakdown'!W$3*'Feedstock Conversion Rates'!B$8)/12-6</f>
        <v>16.1796875</v>
      </c>
      <c r="X299" s="106">
        <f t="shared" si="277"/>
        <v>66.254837500000008</v>
      </c>
      <c r="Y299" s="104">
        <f t="shared" si="301"/>
        <v>98</v>
      </c>
      <c r="Z299" s="104">
        <f>('Renewable Diesel'!F308*'RD Feedstock Breakdown'!Z$3*'Feedstock Conversion Rates'!B$6)/12-142+15+5</f>
        <v>37.460000000000008</v>
      </c>
      <c r="AA299" s="104">
        <f>('Renewable Diesel'!F308*'RD Feedstock Breakdown'!AA$3*'Feedstock Conversion Rates'!B$7)/12+24</f>
        <v>128.26666666666665</v>
      </c>
      <c r="AB299" s="106">
        <f t="shared" si="235"/>
        <v>263.72666666666669</v>
      </c>
      <c r="AC299" s="104">
        <f>('Renewable Diesel'!G308*'RD Feedstock Breakdown'!AC$3*'Feedstock Conversion Rates'!B$5)/12</f>
        <v>11.796875</v>
      </c>
      <c r="AD299" s="104">
        <f>('Renewable Diesel'!G308*'RD Feedstock Breakdown'!AD$3*'Feedstock Conversion Rates'!B$4)/12</f>
        <v>5.859375</v>
      </c>
      <c r="AE299" s="104">
        <f>('Renewable Diesel'!G308*'RD Feedstock Breakdown'!AE$3*'Feedstock Conversion Rates'!B$6)/12</f>
        <v>7.3281250000000009</v>
      </c>
      <c r="AF299" s="106">
        <f t="shared" si="284"/>
        <v>24.984375</v>
      </c>
      <c r="AG299" s="104">
        <f t="shared" si="306"/>
        <v>148</v>
      </c>
      <c r="AH299" s="104"/>
      <c r="AI299" s="104">
        <f>('Renewable Diesel'!H308*'RD Feedstock Breakdown'!AI$3*'Feedstock Conversion Rates'!B$6)/12-130-20+51-49</f>
        <v>0.51666666666667993</v>
      </c>
      <c r="AJ299" s="106">
        <f t="shared" si="248"/>
        <v>148.51666666666668</v>
      </c>
      <c r="AK299" s="104">
        <f>('Renewable Diesel'!J308*'RD Feedstock Breakdown'!AK$3*'Feedstock Conversion Rates'!B$4)/12</f>
        <v>95.8125</v>
      </c>
      <c r="AL299" s="106">
        <f t="shared" si="252"/>
        <v>95.8125</v>
      </c>
      <c r="AM299" s="104">
        <f>('Renewable Diesel'!K308*'RD Feedstock Breakdown'!AM$3*'Feedstock Conversion Rates'!B$4)/12+5+15-10</f>
        <v>68.59375</v>
      </c>
      <c r="AN299" s="104">
        <f>('Renewable Diesel'!K308*'RD Feedstock Breakdown'!AN$3*'Feedstock Conversion Rates'!B$6)/12-5-15+10</f>
        <v>14.427083333333332</v>
      </c>
      <c r="AO299" s="106">
        <f t="shared" si="270"/>
        <v>83.020833333333329</v>
      </c>
      <c r="AP299" s="104">
        <f>('Renewable Diesel'!L308*'RD Feedstock Breakdown'!AP$3*'Feedstock Conversion Rates'!B$4)/12+15-10</f>
        <v>63.59375</v>
      </c>
      <c r="AQ299" s="104">
        <f>('Renewable Diesel'!L308*'RD Feedstock Breakdown'!AQ$3*'Feedstock Conversion Rates'!B$6)/12-15+10</f>
        <v>19.427083333333332</v>
      </c>
      <c r="AR299" s="106">
        <f t="shared" si="256"/>
        <v>83.020833333333329</v>
      </c>
      <c r="AS299" s="104">
        <f>('Renewable Diesel'!M308*'RD Feedstock Breakdown'!AS$3*'Feedstock Conversion Rates'!B$4)/12-25</f>
        <v>431.25</v>
      </c>
      <c r="AT299" s="104">
        <f>('Renewable Diesel'!M308*'RD Feedstock Breakdown'!AT$3*'Feedstock Conversion Rates'!B$5)/12+25</f>
        <v>25</v>
      </c>
      <c r="AU299" s="106">
        <f t="shared" si="290"/>
        <v>456.25</v>
      </c>
      <c r="AV299" s="104">
        <f>'Renewable Diesel'!N308*'RD Feedstock Breakdown'!$AV$3*'Feedstock Conversion Rates'!$B$4/12-15-10+25+25-22+25</f>
        <v>106.74999999999999</v>
      </c>
      <c r="AW299" s="104">
        <f>'Renewable Diesel'!N308*'RD Feedstock Breakdown'!$AW$3*'Feedstock Conversion Rates'!$B$7/12+15+10-25-25+22-25</f>
        <v>13.400000000000006</v>
      </c>
      <c r="AX299" s="106">
        <f t="shared" si="239"/>
        <v>120.14999999999999</v>
      </c>
      <c r="AY299" s="104">
        <f>('Renewable Diesel'!O308*'RD Feedstock Breakdown'!AY$3*'Feedstock Conversion Rates'!B$4)/12-90-258</f>
        <v>-137.0625</v>
      </c>
      <c r="AZ299" s="104">
        <f>('Renewable Diesel'!O308*'RD Feedstock Breakdown'!AZ$3*'Feedstock Conversion Rates'!B$3)/12+90+258</f>
        <v>373.03125</v>
      </c>
      <c r="BA299" s="106">
        <f t="shared" si="302"/>
        <v>235.96875</v>
      </c>
      <c r="BB299" s="104">
        <f>('Renewable Diesel'!Q308*'RD Feedstock Breakdown'!BB$3*'Feedstock Conversion Rates'!B$4)/12</f>
        <v>11.156249999999998</v>
      </c>
      <c r="BC299" s="104">
        <f>('Renewable Diesel'!Q308*'RD Feedstock Breakdown'!BC$3*'Feedstock Conversion Rates'!B$3)/12</f>
        <v>1.4017500000000001</v>
      </c>
      <c r="BD299" s="104">
        <f>('Renewable Diesel'!Q308*'RD Feedstock Breakdown'!BD$3*'Feedstock Conversion Rates'!B$6)/12</f>
        <v>0.8207500000000002</v>
      </c>
      <c r="BE299" s="106">
        <f t="shared" si="279"/>
        <v>13.378749999999998</v>
      </c>
      <c r="BF299" s="104">
        <f>('Renewable Diesel'!R308*'RD Feedstock Breakdown'!BF$3*'Feedstock Conversion Rates'!B$4)/12</f>
        <v>62.5</v>
      </c>
      <c r="BG299" s="106">
        <f t="shared" si="262"/>
        <v>62.5</v>
      </c>
      <c r="BH299" s="104">
        <f>('Renewable Diesel'!T308*'RD Feedstock Breakdown'!BH$3*'Feedstock Conversion Rates'!B$7)/12</f>
        <v>27.599999999999998</v>
      </c>
      <c r="BI299" s="106">
        <f t="shared" si="243"/>
        <v>27.599999999999998</v>
      </c>
      <c r="BJ299" s="104">
        <f>('Renewable Diesel'!W308*'RD Feedstock Breakdown'!BJ$3*'Feedstock Conversion Rates'!B$4)/12</f>
        <v>7.5</v>
      </c>
      <c r="BK299" s="104">
        <f>('Renewable Diesel'!W308*'RD Feedstock Breakdown'!BK$3*'Feedstock Conversion Rates'!B$3)/12</f>
        <v>1.335</v>
      </c>
      <c r="BL299" s="104">
        <f>('Renewable Diesel'!W308*'RD Feedstock Breakdown'!BL$3*'Feedstock Conversion Rates'!B$6)/12</f>
        <v>3.1266666666666669</v>
      </c>
      <c r="BM299" s="104">
        <f>('Renewable Diesel'!W308*'RD Feedstock Breakdown'!BM$3*'Feedstock Conversion Rates'!B$7)/12</f>
        <v>1.5333333333333332</v>
      </c>
      <c r="BN299" s="106">
        <f t="shared" si="296"/>
        <v>13.495000000000001</v>
      </c>
      <c r="BO299" s="104">
        <f>('Renewable Diesel'!P308*'Feedstock Conversion Rates'!B$4)/12</f>
        <v>31.25</v>
      </c>
      <c r="BP299" s="106">
        <f t="shared" si="285"/>
        <v>31.25</v>
      </c>
      <c r="BQ299" s="104">
        <f>('Renewable Diesel'!$S308*'RD Feedstock Breakdown'!BQ$3*'Feedstock Conversion Rates'!B$4)/12+10+15-15</f>
        <v>38.125</v>
      </c>
      <c r="BR299" s="104">
        <f>('Renewable Diesel'!$S308*'RD Feedstock Breakdown'!BR$3*'Feedstock Conversion Rates'!B$7)/12-10-15+15</f>
        <v>1.5</v>
      </c>
      <c r="BS299" s="106">
        <f t="shared" si="307"/>
        <v>39.625</v>
      </c>
      <c r="BT299" s="106"/>
      <c r="BU299" s="104">
        <f>('Renewable Diesel'!Y308*'Feedstock Conversion Rates'!B$7)/12</f>
        <v>2.6833333333333331</v>
      </c>
      <c r="BV299" s="106">
        <f t="shared" si="281"/>
        <v>2.6833333333333331</v>
      </c>
      <c r="BW299" s="104">
        <f>('Renewable Diesel'!$Z308*'RD Feedstock Breakdown'!BW$3*'Feedstock Conversion Rates'!$B$4)/12</f>
        <v>71.875</v>
      </c>
      <c r="BX299" s="104">
        <f>('Renewable Diesel'!$Z308*'RD Feedstock Breakdown'!BX$3*'Feedstock Conversion Rates'!$B$5)/12</f>
        <v>7.2354166666666666</v>
      </c>
      <c r="BY299" s="104">
        <f>('Renewable Diesel'!$Z308*'RD Feedstock Breakdown'!BY$3*'Feedstock Conversion Rates'!$B$7)/12</f>
        <v>61.716666666666661</v>
      </c>
      <c r="BZ299" s="104">
        <f>('Renewable Diesel'!$Z308*'RD Feedstock Breakdown'!BZ$3*'Feedstock Conversion Rates'!$B$3)/12</f>
        <v>15.352499999999999</v>
      </c>
      <c r="CA299" s="106">
        <f t="shared" si="312"/>
        <v>156.17958333333331</v>
      </c>
      <c r="CB299" s="104">
        <f>('Renewable Diesel'!AA308*'Feedstock Conversion Rates'!B$4)/12</f>
        <v>191.25</v>
      </c>
      <c r="CC299" s="106">
        <f t="shared" si="298"/>
        <v>191.25</v>
      </c>
      <c r="CD299" s="104">
        <f>('Renewable Diesel'!$AB308*'RD Feedstock Breakdown'!CD$3*'Feedstock Conversion Rates'!$B$6)/12-15-5</f>
        <v>12.830000000000005</v>
      </c>
      <c r="CE299" s="104">
        <f>('Renewable Diesel'!$AB308*'RD Feedstock Breakdown'!CE$3*'Feedstock Conversion Rates'!$B$4)/12+15+5</f>
        <v>31.25</v>
      </c>
      <c r="CF299" s="106">
        <f t="shared" si="294"/>
        <v>44.080000000000005</v>
      </c>
      <c r="CG299" s="104">
        <f>('Renewable Diesel'!AD308*'Feedstock Conversion Rates'!B$4)/12</f>
        <v>112.5</v>
      </c>
      <c r="CH299" s="106">
        <f t="shared" si="278"/>
        <v>112.5</v>
      </c>
      <c r="CI299" s="104">
        <f>('Renewable Diesel'!$AE308*'RD Feedstock Breakdown'!CI$3*'Feedstock Conversion Rates'!$B$5)/12</f>
        <v>0.34604166666666664</v>
      </c>
      <c r="CJ299" s="104">
        <f>('Renewable Diesel'!$AE308*'RD Feedstock Breakdown'!CJ$3*'Feedstock Conversion Rates'!$B$4)/12</f>
        <v>0.34375</v>
      </c>
      <c r="CK299" s="106">
        <f t="shared" si="286"/>
        <v>0.68979166666666658</v>
      </c>
      <c r="CL299" s="104">
        <f>(((CL$3*'Renewable Diesel'!$AF308)*'Feedstock Conversion Rates'!$B$3)/12)</f>
        <v>91.78125</v>
      </c>
      <c r="CM299" s="104">
        <f>(((CM$3*'Renewable Diesel'!$AF308)*'Feedstock Conversion Rates'!$B$6)/12)</f>
        <v>53.739583333333336</v>
      </c>
      <c r="CN299" s="104">
        <f>(((CN$3*'Renewable Diesel'!$AF308)*'Feedstock Conversion Rates'!$B$4)/12)</f>
        <v>42.96875</v>
      </c>
      <c r="CO299" s="106">
        <f t="shared" si="280"/>
        <v>188.48958333333334</v>
      </c>
      <c r="CP299" s="104">
        <f>('Renewable Diesel'!$AG308*'RD Feedstock Breakdown'!CP$3*'Feedstock Conversion Rates'!$B$3)/12</f>
        <v>6.0075000000000003</v>
      </c>
      <c r="CQ299" s="104">
        <f>('Renewable Diesel'!$AG308*'RD Feedstock Breakdown'!CQ$3*'Feedstock Conversion Rates'!$B$6)/12</f>
        <v>3.5175000000000001</v>
      </c>
      <c r="CR299" s="104">
        <f>('Renewable Diesel'!$AG308*'RD Feedstock Breakdown'!CR$3*'Feedstock Conversion Rates'!$B$4)/12</f>
        <v>2.8125</v>
      </c>
      <c r="CS299" s="106">
        <f t="shared" si="231"/>
        <v>12.3375</v>
      </c>
      <c r="CT299" s="104">
        <f>('Renewable Diesel'!AI308*'Feedstock Conversion Rates'!$B$4*'RD Feedstock Breakdown'!$CT$3)/12</f>
        <v>29.375</v>
      </c>
      <c r="CU299" s="106">
        <f t="shared" si="282"/>
        <v>29.375</v>
      </c>
      <c r="CV299" s="104">
        <f>('Renewable Diesel'!AN308*'Feedstock Conversion Rates'!$B$3*'RD Feedstock Breakdown'!$CV$3)/12</f>
        <v>0.50062499999999999</v>
      </c>
      <c r="CW299" s="106">
        <f t="shared" si="255"/>
        <v>0.50062499999999999</v>
      </c>
      <c r="CX299" s="104">
        <f>('Renewable Diesel'!AO308*'RD Feedstock Breakdown'!$CX$3*'Feedstock Conversion Rates'!$B$3)/12</f>
        <v>6.3412499999999996</v>
      </c>
      <c r="CY299" s="104">
        <f>('Renewable Diesel'!AO308*'RD Feedstock Breakdown'!$CY$3*'Feedstock Conversion Rates'!$B$6)/12</f>
        <v>7.4258333333333342</v>
      </c>
      <c r="CZ299" s="106">
        <f t="shared" si="233"/>
        <v>13.767083333333334</v>
      </c>
      <c r="DA299" s="104">
        <f>('Renewable Diesel'!$AP308*'RD Feedstock Breakdown'!DA$3*'Feedstock Conversion Rates'!$B$3)/12</f>
        <v>6.3412499999999996</v>
      </c>
      <c r="DB299" s="104">
        <f>('Renewable Diesel'!$AP308*'RD Feedstock Breakdown'!DB$3*'Feedstock Conversion Rates'!$B$8)/12</f>
        <v>7.421875</v>
      </c>
      <c r="DC299" s="106">
        <f t="shared" si="260"/>
        <v>13.763124999999999</v>
      </c>
      <c r="DD299" s="104">
        <f>('Renewable Diesel'!AQ308*$DD$3*'Feedstock Conversion Rates'!$B$14)/12</f>
        <v>3.1041666666666665</v>
      </c>
      <c r="DE299" s="106">
        <f t="shared" si="261"/>
        <v>3.1041666666666665</v>
      </c>
      <c r="DF299" s="104">
        <f>('Renewable Diesel'!AR308*'Feedstock Conversion Rates'!$B$4*$DF$3)/12</f>
        <v>75</v>
      </c>
      <c r="DG299" s="106">
        <f t="shared" si="234"/>
        <v>75</v>
      </c>
      <c r="DH299" s="104">
        <f>('Renewable Diesel'!AS308*'Feedstock Conversion Rates'!$B$4*$DH$3)/12</f>
        <v>75</v>
      </c>
      <c r="DI299" s="106">
        <f t="shared" si="240"/>
        <v>75</v>
      </c>
      <c r="DJ299" s="104">
        <f>('Renewable Diesel'!AT308*'Feedstock Conversion Rates'!$B$4*0.25)/12</f>
        <v>8.59375</v>
      </c>
      <c r="DK299" s="104">
        <f>('Renewable Diesel'!$AT308*'RD Feedstock Breakdown'!DK$3*'Feedstock Conversion Rates'!$B$3)/12*0.5</f>
        <v>9.1781249999999996</v>
      </c>
      <c r="DL299" s="104">
        <f>('Renewable Diesel'!$AT308*'RD Feedstock Breakdown'!$DL$3*'Feedstock Conversion Rates'!$B$6)/12</f>
        <v>10.747916666666669</v>
      </c>
      <c r="DM299" s="104">
        <f>('Renewable Diesel'!$AT308*'RD Feedstock Breakdown'!$DM$3*'Feedstock Conversion Rates'!$B$8)/12</f>
        <v>10.7421875</v>
      </c>
      <c r="DN299" s="106">
        <f t="shared" si="297"/>
        <v>39.26197916666667</v>
      </c>
      <c r="DP299" s="104">
        <f t="shared" si="265"/>
        <v>13.220250000000007</v>
      </c>
      <c r="DQ299" s="104">
        <f t="shared" si="266"/>
        <v>912.11776750000001</v>
      </c>
      <c r="DR299" s="104">
        <f t="shared" si="271"/>
        <v>1652.453125</v>
      </c>
      <c r="DS299" s="104">
        <f t="shared" si="283"/>
        <v>223.90124999999998</v>
      </c>
      <c r="DT299" s="104">
        <f t="shared" si="267"/>
        <v>228.03923333333341</v>
      </c>
      <c r="DU299" s="104">
        <f t="shared" si="268"/>
        <v>255.40610000000004</v>
      </c>
      <c r="DV299" s="104">
        <f t="shared" si="272"/>
        <v>34.75</v>
      </c>
      <c r="DW299" s="104">
        <f t="shared" si="269"/>
        <v>3</v>
      </c>
      <c r="DX299" s="106">
        <f t="shared" si="273"/>
        <v>3322.8877258333337</v>
      </c>
      <c r="DY299" s="109">
        <f t="shared" si="257"/>
        <v>-5.631051180898794E-13</v>
      </c>
      <c r="EA299" s="110">
        <f t="shared" si="313"/>
        <v>3.9785424879754411E-3</v>
      </c>
      <c r="EB299" s="110">
        <f t="shared" si="313"/>
        <v>0.27449551196354482</v>
      </c>
      <c r="EC299" s="110">
        <f t="shared" si="313"/>
        <v>0.49729429982037321</v>
      </c>
      <c r="ED299" s="110">
        <f t="shared" si="308"/>
        <v>6.7381527296065558E-2</v>
      </c>
      <c r="EE299" s="110">
        <f t="shared" si="308"/>
        <v>6.8626824662318189E-2</v>
      </c>
      <c r="EF299" s="110">
        <f t="shared" si="308"/>
        <v>7.6862693257548381E-2</v>
      </c>
      <c r="EG299" s="110">
        <f t="shared" si="308"/>
        <v>1.0457771332398896E-2</v>
      </c>
      <c r="EH299" s="111">
        <f t="shared" si="274"/>
        <v>9.0282917977544427E-4</v>
      </c>
      <c r="EI299" s="110">
        <f t="shared" si="236"/>
        <v>0.99909717082022442</v>
      </c>
      <c r="EK299" s="132">
        <f>(EA299*'Renewable Diesel'!BF308*'Feedstock Conversion Rates'!B$2)+FB299</f>
        <v>50.05857655741557</v>
      </c>
      <c r="EL299" s="132">
        <f>(EB299*'Renewable Diesel'!BF308*'Feedstock Conversion Rates'!B$3)+FC299</f>
        <v>3254.6428210836038</v>
      </c>
      <c r="EM299" s="132">
        <f>(EC299*'Renewable Diesel'!BF308*'Feedstock Conversion Rates'!B$4)+FD299</f>
        <v>5520.9055136240222</v>
      </c>
      <c r="EN299" s="132">
        <f>(ED299*'Renewable Diesel'!BF308*'Feedstock Conversion Rates'!B$5)+FE299</f>
        <v>753.04923597748621</v>
      </c>
      <c r="EO299" s="132">
        <f>(EE299*'Renewable Diesel'!BF308*'Feedstock Conversion Rates'!B$6)+FF299</f>
        <v>952.8670580783745</v>
      </c>
      <c r="EP299" s="132">
        <f>(EF299*'Renewable Diesel'!BF308*'Feedstock Conversion Rates'!B$7)+FG299</f>
        <v>1046.74042119204</v>
      </c>
      <c r="EQ299" s="132">
        <f>(EG299*'Renewable Diesel'!BF308*'Feedstock Conversion Rates'!B$8)+FH299</f>
        <v>145.12625479046099</v>
      </c>
      <c r="ER299" s="132">
        <f>(EH299*'Renewable Diesel'!BF308*'Feedstock Conversion Rates'!B$9)+FI299</f>
        <v>12.361833501575958</v>
      </c>
      <c r="ES299" s="132">
        <f t="shared" si="275"/>
        <v>11735.751714804979</v>
      </c>
      <c r="ET299" s="133">
        <f>ES299/'Renewable Diesel'!BF308</f>
        <v>14.205973238271728</v>
      </c>
      <c r="EW299" s="73">
        <f t="shared" si="309"/>
        <v>9046.477206788888</v>
      </c>
      <c r="EX299" s="73">
        <f t="shared" si="310"/>
        <v>7875.4188906064728</v>
      </c>
      <c r="EY299" s="92">
        <f t="shared" si="258"/>
        <v>0.77084769911896689</v>
      </c>
      <c r="EZ299" s="92">
        <f t="shared" si="258"/>
        <v>0.67106215962897475</v>
      </c>
      <c r="FB299" s="102">
        <f>IF('Renewable Diesel'!$BG308&lt;1,0,(((('Renewable Diesel'!$BG308-1)*'Renewable Diesel'!$BF308)*'RD Feedstock Breakdown'!EA299)*'Feedstock Conversion Rates'!$B$2))</f>
        <v>22.121378495610532</v>
      </c>
      <c r="FC299" s="102">
        <f>IF('Renewable Diesel'!$BG308&lt;1,0,(((('Renewable Diesel'!$BG308-1)*'Renewable Diesel'!$BF308)*'RD Feedstock Breakdown'!EB299)*'Feedstock Conversion Rates'!$B$3))</f>
        <v>1438.2587493400574</v>
      </c>
      <c r="FD299" s="102">
        <f>IF('Renewable Diesel'!$BG308&lt;1,0,(((('Renewable Diesel'!$BG308-1)*'Renewable Diesel'!$BF308)*'RD Feedstock Breakdown'!EC299)*'Feedstock Conversion Rates'!$B$4))</f>
        <v>2439.7425756863236</v>
      </c>
      <c r="FE299" s="102">
        <f>IF('Renewable Diesel'!$BG308&lt;1,0,(((('Renewable Diesel'!$BG308-1)*'Renewable Diesel'!$BF308)*'RD Feedstock Breakdown'!ED299)*'Feedstock Conversion Rates'!$B$5))</f>
        <v>332.7798815010562</v>
      </c>
      <c r="FF299" s="102">
        <f>IF('Renewable Diesel'!$BG308&lt;1,0,(((('Renewable Diesel'!$BG308-1)*'Renewable Diesel'!$BF308)*'RD Feedstock Breakdown'!EE299)*'Feedstock Conversion Rates'!$B$6))</f>
        <v>421.08134704098109</v>
      </c>
      <c r="FG299" s="102">
        <f>IF('Renewable Diesel'!$BG308&lt;1,0,(((('Renewable Diesel'!$BG308-1)*'Renewable Diesel'!$BF308)*'RD Feedstock Breakdown'!EF299)*'Feedstock Conversion Rates'!$B$7))</f>
        <v>462.56491167473524</v>
      </c>
      <c r="FH299" s="102">
        <f>IF('Renewable Diesel'!$BG308&lt;1,0,(((('Renewable Diesel'!$BG308-1)*'Renewable Diesel'!$BF308)*'RD Feedstock Breakdown'!EG299)*'Feedstock Conversion Rates'!$B$8))</f>
        <v>64.13272275507039</v>
      </c>
      <c r="FI299" s="102">
        <f>IF('Renewable Diesel'!$BG308&lt;1,0,(((('Renewable Diesel'!$BG308-1)*'Renewable Diesel'!$BF308)*'RD Feedstock Breakdown'!EH299)*'Feedstock Conversion Rates'!$B$9))</f>
        <v>5.4628160965470034</v>
      </c>
      <c r="FJ299" s="102">
        <f t="shared" si="311"/>
        <v>5186.1443825903816</v>
      </c>
      <c r="GD299" s="91">
        <f>'Renewable Diesel'!BB308*0.32</f>
        <v>0</v>
      </c>
      <c r="GE299" s="91">
        <f>'Renewable Diesel'!BC308</f>
        <v>503.25970761227575</v>
      </c>
      <c r="GF299" s="91">
        <f>'Renewable Diesel'!BD308</f>
        <v>0</v>
      </c>
      <c r="GG299" s="91">
        <f t="shared" si="295"/>
        <v>503.25970761227575</v>
      </c>
      <c r="GH299" s="124">
        <v>1</v>
      </c>
      <c r="GI299" s="102">
        <f>$GG299*EA299*'Feedstock Conversion Rates'!$B$2</f>
        <v>17.01904109838306</v>
      </c>
      <c r="GJ299" s="102">
        <f>$GG299*EB299*'Feedstock Conversion Rates'!$B$3</f>
        <v>1106.5216740441606</v>
      </c>
      <c r="GK299" s="102">
        <f>$GG299*EC299*'Feedstock Conversion Rates'!$B$4</f>
        <v>1877.0113794363931</v>
      </c>
      <c r="GL299" s="102">
        <f>$GG299*ED299*'Feedstock Conversion Rates'!$B$5</f>
        <v>256.02357832742331</v>
      </c>
      <c r="GM299" s="102">
        <f>$GG299*EE299*'Feedstock Conversion Rates'!$B$6</f>
        <v>323.95814539654305</v>
      </c>
      <c r="GN299" s="102">
        <f>$GG299*EF299*'Feedstock Conversion Rates'!$B$7</f>
        <v>355.87344812278963</v>
      </c>
      <c r="GO299" s="102">
        <f>$GG299*EG299*'Feedstock Conversion Rates'!$B$8</f>
        <v>49.340390090804135</v>
      </c>
      <c r="GP299" s="102">
        <f>$GG299*EH299*'Feedstock Conversion Rates'!B$9</f>
        <v>4.2028073285979923</v>
      </c>
      <c r="GQ299" s="102">
        <f t="shared" si="276"/>
        <v>3989.9504638450949</v>
      </c>
      <c r="GR299" s="85">
        <f t="shared" si="293"/>
        <v>7.9282136111700314</v>
      </c>
      <c r="GT299" s="103">
        <f t="shared" si="254"/>
        <v>4.265476790401527E-3</v>
      </c>
      <c r="GU299" s="103">
        <f t="shared" si="254"/>
        <v>0.27732717086863556</v>
      </c>
      <c r="GV299" s="103">
        <f t="shared" si="254"/>
        <v>0.47043475763544357</v>
      </c>
      <c r="GW299" s="103">
        <f t="shared" si="254"/>
        <v>6.4167106997287046E-2</v>
      </c>
      <c r="GX299" s="103">
        <f t="shared" si="253"/>
        <v>8.1193525667069624E-2</v>
      </c>
      <c r="GY299" s="103">
        <f t="shared" si="253"/>
        <v>8.919244771270575E-2</v>
      </c>
      <c r="GZ299" s="103">
        <f t="shared" si="253"/>
        <v>1.2366166080983131E-2</v>
      </c>
      <c r="HA299" s="103">
        <f t="shared" si="251"/>
        <v>1.0533482474736713E-3</v>
      </c>
    </row>
    <row r="300" spans="1:209" x14ac:dyDescent="0.25">
      <c r="A300" s="96">
        <v>49553</v>
      </c>
      <c r="B300" s="104">
        <f t="shared" si="303"/>
        <v>70.75</v>
      </c>
      <c r="C300" s="104">
        <f t="shared" si="304"/>
        <v>19</v>
      </c>
      <c r="D300" s="104">
        <f t="shared" si="288"/>
        <v>2</v>
      </c>
      <c r="E300" s="104">
        <f>('Renewable Diesel'!B309*E$3*'Feedstock Conversion Rates'!$B$2)/12+26+13-100+27.5+39-90</f>
        <v>5.4300000000000068</v>
      </c>
      <c r="F300" s="104">
        <f>('Renewable Diesel'!B309*'RD Feedstock Breakdown'!F$3*'Feedstock Conversion Rates'!B$8)/12+77+23-10-12-115.75+24+8+1+15-40-20</f>
        <v>4.15625</v>
      </c>
      <c r="G300" s="104">
        <f>('Renewable Diesel'!B309*'RD Feedstock Breakdown'!G$3*'Feedstock Conversion Rates'!B$7)/12+116.75-39-57.5-145-31.5+32+70-40+10-50-12.5-25</f>
        <v>4.4070000000000391</v>
      </c>
      <c r="H300" s="104">
        <f>('Renewable Diesel'!B309*'RD Feedstock Breakdown'!H$3*'Feedstock Conversion Rates'!B$3)/12+67+10+12+3-235+20+47-20+65+25+130+90</f>
        <v>390.40022499999998</v>
      </c>
      <c r="I300" s="106">
        <f t="shared" si="291"/>
        <v>496.14347500000002</v>
      </c>
      <c r="J300" s="104">
        <f t="shared" si="305"/>
        <v>66</v>
      </c>
      <c r="K300" s="104"/>
      <c r="L300" s="104">
        <v>1</v>
      </c>
      <c r="M300" s="104">
        <f>('Renewable Diesel'!C309*'RD Feedstock Breakdown'!M$3*'Feedstock Conversion Rates'!B$2)/12</f>
        <v>7.7902500000000003</v>
      </c>
      <c r="N300" s="104">
        <f>('Renewable Diesel'!C309*'RD Feedstock Breakdown'!N$3*'Feedstock Conversion Rates'!B$8)/12</f>
        <v>3.671875</v>
      </c>
      <c r="O300" s="104">
        <f>('Renewable Diesel'!C309*'RD Feedstock Breakdown'!O$3*'Feedstock Conversion Rates'!B$7)/12</f>
        <v>11.9991</v>
      </c>
      <c r="P300" s="104">
        <f>('Renewable Diesel'!C309*'RD Feedstock Breakdown'!P$3*'Feedstock Conversion Rates'!B$3)/12</f>
        <v>10.4470425</v>
      </c>
      <c r="Q300" s="106">
        <f t="shared" si="299"/>
        <v>100.90826749999999</v>
      </c>
      <c r="R300" s="104">
        <f>('Renewable Diesel'!D309*'RD Feedstock Breakdown'!R$3*'Feedstock Conversion Rates'!B$7)/12</f>
        <v>2.2999999999999998</v>
      </c>
      <c r="S300" s="106">
        <f t="shared" si="249"/>
        <v>2.2999999999999998</v>
      </c>
      <c r="T300" s="104">
        <f t="shared" si="300"/>
        <v>0.82499999999999929</v>
      </c>
      <c r="U300" s="104"/>
      <c r="V300" s="104">
        <f>('Renewable Diesel'!E309*'RD Feedstock Breakdown'!V$3*'Feedstock Conversion Rates'!B$6)/12-20+25</f>
        <v>49.250150000000012</v>
      </c>
      <c r="W300" s="104">
        <f>('Renewable Diesel'!E309*'RD Feedstock Breakdown'!W$3*'Feedstock Conversion Rates'!B$8)/12-6</f>
        <v>16.1796875</v>
      </c>
      <c r="X300" s="106">
        <f t="shared" si="277"/>
        <v>66.254837500000008</v>
      </c>
      <c r="Y300" s="104">
        <f t="shared" si="301"/>
        <v>98</v>
      </c>
      <c r="Z300" s="104">
        <f>('Renewable Diesel'!F309*'RD Feedstock Breakdown'!Z$3*'Feedstock Conversion Rates'!B$6)/12-142+15+5</f>
        <v>37.460000000000008</v>
      </c>
      <c r="AA300" s="104">
        <f>('Renewable Diesel'!F309*'RD Feedstock Breakdown'!AA$3*'Feedstock Conversion Rates'!B$7)/12+24</f>
        <v>128.26666666666665</v>
      </c>
      <c r="AB300" s="106">
        <f t="shared" si="235"/>
        <v>263.72666666666669</v>
      </c>
      <c r="AC300" s="104">
        <f>('Renewable Diesel'!G309*'RD Feedstock Breakdown'!AC$3*'Feedstock Conversion Rates'!B$5)/12</f>
        <v>11.796875</v>
      </c>
      <c r="AD300" s="104">
        <f>('Renewable Diesel'!G309*'RD Feedstock Breakdown'!AD$3*'Feedstock Conversion Rates'!B$4)/12</f>
        <v>5.859375</v>
      </c>
      <c r="AE300" s="104">
        <f>('Renewable Diesel'!G309*'RD Feedstock Breakdown'!AE$3*'Feedstock Conversion Rates'!B$6)/12</f>
        <v>7.3281250000000009</v>
      </c>
      <c r="AF300" s="106">
        <f t="shared" si="284"/>
        <v>24.984375</v>
      </c>
      <c r="AG300" s="104">
        <f t="shared" si="306"/>
        <v>148</v>
      </c>
      <c r="AH300" s="104"/>
      <c r="AI300" s="104">
        <f>('Renewable Diesel'!H309*'RD Feedstock Breakdown'!AI$3*'Feedstock Conversion Rates'!B$6)/12-130-20+51-49</f>
        <v>0.51666666666667993</v>
      </c>
      <c r="AJ300" s="106">
        <f t="shared" si="248"/>
        <v>148.51666666666668</v>
      </c>
      <c r="AK300" s="104">
        <f>('Renewable Diesel'!J309*'RD Feedstock Breakdown'!AK$3*'Feedstock Conversion Rates'!B$4)/12</f>
        <v>95.8125</v>
      </c>
      <c r="AL300" s="106">
        <f t="shared" si="252"/>
        <v>95.8125</v>
      </c>
      <c r="AM300" s="104">
        <f>('Renewable Diesel'!K309*'RD Feedstock Breakdown'!AM$3*'Feedstock Conversion Rates'!B$4)/12+5+15-10+10</f>
        <v>78.59375</v>
      </c>
      <c r="AN300" s="104">
        <f>('Renewable Diesel'!K309*'RD Feedstock Breakdown'!AN$3*'Feedstock Conversion Rates'!B$6)/12-5-15+10-10</f>
        <v>4.4270833333333321</v>
      </c>
      <c r="AO300" s="106">
        <f t="shared" si="270"/>
        <v>83.020833333333329</v>
      </c>
      <c r="AP300" s="104">
        <f>('Renewable Diesel'!L309*'RD Feedstock Breakdown'!AP$3*'Feedstock Conversion Rates'!B$4)/12+15-10+15</f>
        <v>78.59375</v>
      </c>
      <c r="AQ300" s="104">
        <f>('Renewable Diesel'!L309*'RD Feedstock Breakdown'!AQ$3*'Feedstock Conversion Rates'!B$6)/12-15+10-15</f>
        <v>4.4270833333333321</v>
      </c>
      <c r="AR300" s="106">
        <f t="shared" si="256"/>
        <v>83.020833333333329</v>
      </c>
      <c r="AS300" s="104">
        <f>('Renewable Diesel'!M309*'RD Feedstock Breakdown'!AS$3*'Feedstock Conversion Rates'!B$4)/12-25</f>
        <v>431.25</v>
      </c>
      <c r="AT300" s="104">
        <f>('Renewable Diesel'!M309*'RD Feedstock Breakdown'!AT$3*'Feedstock Conversion Rates'!B$5)/12+25</f>
        <v>25</v>
      </c>
      <c r="AU300" s="106">
        <f t="shared" si="290"/>
        <v>456.25</v>
      </c>
      <c r="AV300" s="104">
        <f>'Renewable Diesel'!N309*'RD Feedstock Breakdown'!$AV$3*'Feedstock Conversion Rates'!$B$4/12-15-10+25+25-22+25</f>
        <v>106.74999999999999</v>
      </c>
      <c r="AW300" s="104">
        <f>'Renewable Diesel'!N309*'RD Feedstock Breakdown'!$AW$3*'Feedstock Conversion Rates'!$B$7/12+15+10-25-25+22-25</f>
        <v>13.400000000000006</v>
      </c>
      <c r="AX300" s="106">
        <f t="shared" si="239"/>
        <v>120.14999999999999</v>
      </c>
      <c r="AY300" s="104">
        <f>('Renewable Diesel'!O309*'RD Feedstock Breakdown'!AY$3*'Feedstock Conversion Rates'!B$4)/12-90-258</f>
        <v>-137.0625</v>
      </c>
      <c r="AZ300" s="104">
        <f>('Renewable Diesel'!O309*'RD Feedstock Breakdown'!AZ$3*'Feedstock Conversion Rates'!B$3)/12+90+258</f>
        <v>373.03125</v>
      </c>
      <c r="BA300" s="106">
        <f t="shared" si="302"/>
        <v>235.96875</v>
      </c>
      <c r="BB300" s="104">
        <f>('Renewable Diesel'!Q309*'RD Feedstock Breakdown'!BB$3*'Feedstock Conversion Rates'!B$4)/12</f>
        <v>11.156249999999998</v>
      </c>
      <c r="BC300" s="104">
        <f>('Renewable Diesel'!Q309*'RD Feedstock Breakdown'!BC$3*'Feedstock Conversion Rates'!B$3)/12</f>
        <v>1.4017500000000001</v>
      </c>
      <c r="BD300" s="104">
        <f>('Renewable Diesel'!Q309*'RD Feedstock Breakdown'!BD$3*'Feedstock Conversion Rates'!B$6)/12</f>
        <v>0.8207500000000002</v>
      </c>
      <c r="BE300" s="106">
        <f t="shared" si="279"/>
        <v>13.378749999999998</v>
      </c>
      <c r="BF300" s="104">
        <f>('Renewable Diesel'!R309*'RD Feedstock Breakdown'!BF$3*'Feedstock Conversion Rates'!B$4)/12</f>
        <v>62.5</v>
      </c>
      <c r="BG300" s="106">
        <f t="shared" si="262"/>
        <v>62.5</v>
      </c>
      <c r="BH300" s="104">
        <f>('Renewable Diesel'!T309*'RD Feedstock Breakdown'!BH$3*'Feedstock Conversion Rates'!B$7)/12</f>
        <v>27.599999999999998</v>
      </c>
      <c r="BI300" s="106">
        <f t="shared" si="243"/>
        <v>27.599999999999998</v>
      </c>
      <c r="BJ300" s="104">
        <f>('Renewable Diesel'!W309*'RD Feedstock Breakdown'!BJ$3*'Feedstock Conversion Rates'!B$4)/12</f>
        <v>7.5</v>
      </c>
      <c r="BK300" s="104">
        <f>('Renewable Diesel'!W309*'RD Feedstock Breakdown'!BK$3*'Feedstock Conversion Rates'!B$3)/12</f>
        <v>1.335</v>
      </c>
      <c r="BL300" s="104">
        <f>('Renewable Diesel'!W309*'RD Feedstock Breakdown'!BL$3*'Feedstock Conversion Rates'!B$6)/12</f>
        <v>3.1266666666666669</v>
      </c>
      <c r="BM300" s="104">
        <f>('Renewable Diesel'!W309*'RD Feedstock Breakdown'!BM$3*'Feedstock Conversion Rates'!B$7)/12</f>
        <v>1.5333333333333332</v>
      </c>
      <c r="BN300" s="106">
        <f t="shared" si="296"/>
        <v>13.495000000000001</v>
      </c>
      <c r="BO300" s="104">
        <f>('Renewable Diesel'!P309*'Feedstock Conversion Rates'!B$4)/12</f>
        <v>31.25</v>
      </c>
      <c r="BP300" s="106">
        <f t="shared" si="285"/>
        <v>31.25</v>
      </c>
      <c r="BQ300" s="104">
        <f>('Renewable Diesel'!$S309*'RD Feedstock Breakdown'!BQ$3*'Feedstock Conversion Rates'!B$4)/12+10+15-15</f>
        <v>38.125</v>
      </c>
      <c r="BR300" s="104">
        <f>('Renewable Diesel'!$S309*'RD Feedstock Breakdown'!BR$3*'Feedstock Conversion Rates'!B$7)/12-10-15+15</f>
        <v>1.5</v>
      </c>
      <c r="BS300" s="106">
        <f t="shared" si="307"/>
        <v>39.625</v>
      </c>
      <c r="BT300" s="106"/>
      <c r="BU300" s="104">
        <f>('Renewable Diesel'!Y309*'Feedstock Conversion Rates'!B$7)/12</f>
        <v>2.6833333333333331</v>
      </c>
      <c r="BV300" s="106">
        <f t="shared" si="281"/>
        <v>2.6833333333333331</v>
      </c>
      <c r="BW300" s="104">
        <f>('Renewable Diesel'!$Z309*'RD Feedstock Breakdown'!BW$3*'Feedstock Conversion Rates'!$B$4)/12</f>
        <v>71.875</v>
      </c>
      <c r="BX300" s="104">
        <f>('Renewable Diesel'!$Z309*'RD Feedstock Breakdown'!BX$3*'Feedstock Conversion Rates'!$B$5)/12</f>
        <v>7.2354166666666666</v>
      </c>
      <c r="BY300" s="104">
        <f>('Renewable Diesel'!$Z309*'RD Feedstock Breakdown'!BY$3*'Feedstock Conversion Rates'!$B$7)/12</f>
        <v>61.716666666666661</v>
      </c>
      <c r="BZ300" s="104">
        <f>('Renewable Diesel'!$Z309*'RD Feedstock Breakdown'!BZ$3*'Feedstock Conversion Rates'!$B$3)/12</f>
        <v>15.352499999999999</v>
      </c>
      <c r="CA300" s="106">
        <f t="shared" si="312"/>
        <v>156.17958333333331</v>
      </c>
      <c r="CB300" s="104">
        <f>('Renewable Diesel'!AA309*'Feedstock Conversion Rates'!B$4)/12</f>
        <v>191.25</v>
      </c>
      <c r="CC300" s="106">
        <f t="shared" si="298"/>
        <v>191.25</v>
      </c>
      <c r="CD300" s="104">
        <f>('Renewable Diesel'!$AB309*'RD Feedstock Breakdown'!CD$3*'Feedstock Conversion Rates'!$B$6)/12-15-5</f>
        <v>12.830000000000005</v>
      </c>
      <c r="CE300" s="104">
        <f>('Renewable Diesel'!$AB309*'RD Feedstock Breakdown'!CE$3*'Feedstock Conversion Rates'!$B$4)/12+15+5</f>
        <v>31.25</v>
      </c>
      <c r="CF300" s="106">
        <f t="shared" si="294"/>
        <v>44.080000000000005</v>
      </c>
      <c r="CG300" s="104">
        <f>('Renewable Diesel'!AD309*'Feedstock Conversion Rates'!B$4)/12</f>
        <v>112.5</v>
      </c>
      <c r="CH300" s="106">
        <f t="shared" si="278"/>
        <v>112.5</v>
      </c>
      <c r="CI300" s="104">
        <f>('Renewable Diesel'!$AE309*'RD Feedstock Breakdown'!CI$3*'Feedstock Conversion Rates'!$B$5)/12</f>
        <v>0.34604166666666664</v>
      </c>
      <c r="CJ300" s="104">
        <f>('Renewable Diesel'!$AE309*'RD Feedstock Breakdown'!CJ$3*'Feedstock Conversion Rates'!$B$4)/12</f>
        <v>0.34375</v>
      </c>
      <c r="CK300" s="106">
        <f t="shared" si="286"/>
        <v>0.68979166666666658</v>
      </c>
      <c r="CL300" s="104">
        <f>(((CL$3*'Renewable Diesel'!$AF309)*'Feedstock Conversion Rates'!$B$3)/12)</f>
        <v>91.78125</v>
      </c>
      <c r="CM300" s="104">
        <f>(((CM$3*'Renewable Diesel'!$AF309)*'Feedstock Conversion Rates'!$B$6)/12)</f>
        <v>53.739583333333336</v>
      </c>
      <c r="CN300" s="104">
        <f>(((CN$3*'Renewable Diesel'!$AF309)*'Feedstock Conversion Rates'!$B$4)/12)</f>
        <v>42.96875</v>
      </c>
      <c r="CO300" s="106">
        <f t="shared" si="280"/>
        <v>188.48958333333334</v>
      </c>
      <c r="CP300" s="104">
        <f>('Renewable Diesel'!$AG309*'RD Feedstock Breakdown'!CP$3*'Feedstock Conversion Rates'!$B$3)/12</f>
        <v>6.0075000000000003</v>
      </c>
      <c r="CQ300" s="104">
        <f>('Renewable Diesel'!$AG309*'RD Feedstock Breakdown'!CQ$3*'Feedstock Conversion Rates'!$B$6)/12</f>
        <v>3.5175000000000001</v>
      </c>
      <c r="CR300" s="104">
        <f>('Renewable Diesel'!$AG309*'RD Feedstock Breakdown'!CR$3*'Feedstock Conversion Rates'!$B$4)/12</f>
        <v>2.8125</v>
      </c>
      <c r="CS300" s="106">
        <f t="shared" si="231"/>
        <v>12.3375</v>
      </c>
      <c r="CT300" s="104">
        <f>('Renewable Diesel'!AI309*'Feedstock Conversion Rates'!$B$4*'RD Feedstock Breakdown'!$CT$3)/12</f>
        <v>29.375</v>
      </c>
      <c r="CU300" s="106">
        <f t="shared" si="282"/>
        <v>29.375</v>
      </c>
      <c r="CV300" s="104">
        <f>('Renewable Diesel'!AN309*'Feedstock Conversion Rates'!$B$3*'RD Feedstock Breakdown'!$CV$3)/12</f>
        <v>0.50062499999999999</v>
      </c>
      <c r="CW300" s="106">
        <f t="shared" si="255"/>
        <v>0.50062499999999999</v>
      </c>
      <c r="CX300" s="104">
        <f>('Renewable Diesel'!AO309*'RD Feedstock Breakdown'!$CX$3*'Feedstock Conversion Rates'!$B$3)/12</f>
        <v>6.3412499999999996</v>
      </c>
      <c r="CY300" s="104">
        <f>('Renewable Diesel'!AO309*'RD Feedstock Breakdown'!$CY$3*'Feedstock Conversion Rates'!$B$6)/12</f>
        <v>7.4258333333333342</v>
      </c>
      <c r="CZ300" s="106">
        <f t="shared" si="233"/>
        <v>13.767083333333334</v>
      </c>
      <c r="DA300" s="104">
        <f>('Renewable Diesel'!$AP309*'RD Feedstock Breakdown'!DA$3*'Feedstock Conversion Rates'!$B$3)/12</f>
        <v>6.3412499999999996</v>
      </c>
      <c r="DB300" s="104">
        <f>('Renewable Diesel'!$AP309*'RD Feedstock Breakdown'!DB$3*'Feedstock Conversion Rates'!$B$8)/12</f>
        <v>7.421875</v>
      </c>
      <c r="DC300" s="106">
        <f t="shared" si="260"/>
        <v>13.763124999999999</v>
      </c>
      <c r="DD300" s="104">
        <f>('Renewable Diesel'!AQ309*$DD$3*'Feedstock Conversion Rates'!$B$14)/12</f>
        <v>3.1041666666666665</v>
      </c>
      <c r="DE300" s="106">
        <f t="shared" si="261"/>
        <v>3.1041666666666665</v>
      </c>
      <c r="DF300" s="104">
        <f>('Renewable Diesel'!AR309*'Feedstock Conversion Rates'!$B$4*$DF$3)/12</f>
        <v>75</v>
      </c>
      <c r="DG300" s="106">
        <f t="shared" si="234"/>
        <v>75</v>
      </c>
      <c r="DH300" s="104">
        <f>('Renewable Diesel'!AS309*'Feedstock Conversion Rates'!$B$4*$DH$3)/12</f>
        <v>75</v>
      </c>
      <c r="DI300" s="106">
        <f t="shared" si="240"/>
        <v>75</v>
      </c>
      <c r="DJ300" s="104">
        <f>('Renewable Diesel'!AT309*'Feedstock Conversion Rates'!$B$4*0.25)/12</f>
        <v>8.59375</v>
      </c>
      <c r="DK300" s="104">
        <f>('Renewable Diesel'!$AT309*'RD Feedstock Breakdown'!DK$3*'Feedstock Conversion Rates'!$B$3)/12*0.5</f>
        <v>9.1781249999999996</v>
      </c>
      <c r="DL300" s="104">
        <f>('Renewable Diesel'!$AT309*'RD Feedstock Breakdown'!$DL$3*'Feedstock Conversion Rates'!$B$6)/12</f>
        <v>10.747916666666669</v>
      </c>
      <c r="DM300" s="104">
        <f>('Renewable Diesel'!$AT309*'RD Feedstock Breakdown'!$DM$3*'Feedstock Conversion Rates'!$B$8)/12</f>
        <v>10.7421875</v>
      </c>
      <c r="DN300" s="106">
        <f t="shared" si="297"/>
        <v>39.26197916666667</v>
      </c>
      <c r="DP300" s="104">
        <f t="shared" si="265"/>
        <v>13.220250000000007</v>
      </c>
      <c r="DQ300" s="104">
        <f t="shared" si="266"/>
        <v>912.11776750000001</v>
      </c>
      <c r="DR300" s="104">
        <f t="shared" si="271"/>
        <v>1677.453125</v>
      </c>
      <c r="DS300" s="104">
        <f t="shared" si="283"/>
        <v>223.90124999999998</v>
      </c>
      <c r="DT300" s="104">
        <f t="shared" si="267"/>
        <v>203.03923333333341</v>
      </c>
      <c r="DU300" s="104">
        <f t="shared" si="268"/>
        <v>255.40610000000004</v>
      </c>
      <c r="DV300" s="104">
        <f t="shared" si="272"/>
        <v>34.75</v>
      </c>
      <c r="DW300" s="104">
        <f t="shared" si="269"/>
        <v>3</v>
      </c>
      <c r="DX300" s="106">
        <f t="shared" si="273"/>
        <v>3322.8877258333337</v>
      </c>
      <c r="DY300" s="109">
        <f t="shared" si="257"/>
        <v>-5.631051180898794E-13</v>
      </c>
      <c r="EA300" s="110">
        <f t="shared" si="313"/>
        <v>3.9785424879754411E-3</v>
      </c>
      <c r="EB300" s="110">
        <f t="shared" si="313"/>
        <v>0.27449551196354482</v>
      </c>
      <c r="EC300" s="110">
        <f t="shared" si="313"/>
        <v>0.50481787631850195</v>
      </c>
      <c r="ED300" s="110">
        <f t="shared" si="308"/>
        <v>6.7381527296065558E-2</v>
      </c>
      <c r="EE300" s="110">
        <f t="shared" si="308"/>
        <v>6.110324816418948E-2</v>
      </c>
      <c r="EF300" s="110">
        <f t="shared" si="308"/>
        <v>7.6862693257548381E-2</v>
      </c>
      <c r="EG300" s="110">
        <f t="shared" si="308"/>
        <v>1.0457771332398896E-2</v>
      </c>
      <c r="EH300" s="111">
        <f t="shared" si="274"/>
        <v>9.0282917977544427E-4</v>
      </c>
      <c r="EI300" s="110">
        <f t="shared" si="236"/>
        <v>0.99909717082022442</v>
      </c>
      <c r="EK300" s="132">
        <f>(EA300*'Renewable Diesel'!BF309*'Feedstock Conversion Rates'!B$2)+FB300</f>
        <v>64.905557812080815</v>
      </c>
      <c r="EL300" s="132">
        <f>(EB300*'Renewable Diesel'!BF309*'Feedstock Conversion Rates'!B$3)+FC300</f>
        <v>4219.9443593691722</v>
      </c>
      <c r="EM300" s="132">
        <f>(EC300*'Renewable Diesel'!BF309*'Feedstock Conversion Rates'!B$4)+FD300</f>
        <v>7266.6618243899293</v>
      </c>
      <c r="EN300" s="132">
        <f>(ED300*'Renewable Diesel'!BF309*'Feedstock Conversion Rates'!B$5)+FE300</f>
        <v>976.39773406300492</v>
      </c>
      <c r="EO300" s="132">
        <f>(EE300*'Renewable Diesel'!BF309*'Feedstock Conversion Rates'!B$6)+FF300</f>
        <v>1100.0339689232117</v>
      </c>
      <c r="EP300" s="132">
        <f>(EF300*'Renewable Diesel'!BF309*'Feedstock Conversion Rates'!B$7)+FG300</f>
        <v>1357.1954217275363</v>
      </c>
      <c r="EQ300" s="132">
        <f>(EG300*'Renewable Diesel'!BF309*'Feedstock Conversion Rates'!B$8)+FH300</f>
        <v>188.16956390178564</v>
      </c>
      <c r="ER300" s="132">
        <f>(EH300*'Renewable Diesel'!BF309*'Feedstock Conversion Rates'!B$9)+FI300</f>
        <v>16.028256378396705</v>
      </c>
      <c r="ES300" s="132">
        <f t="shared" si="275"/>
        <v>15189.336686565117</v>
      </c>
      <c r="ET300" s="133">
        <f>ES300/'Renewable Diesel'!BF309</f>
        <v>16.147198820983615</v>
      </c>
      <c r="EW300" s="73">
        <f t="shared" si="309"/>
        <v>12446.028621419879</v>
      </c>
      <c r="EX300" s="73">
        <f t="shared" si="310"/>
        <v>10488.04310289664</v>
      </c>
      <c r="EY300" s="92">
        <f t="shared" si="258"/>
        <v>0.81939250398131747</v>
      </c>
      <c r="EZ300" s="92">
        <f t="shared" si="258"/>
        <v>0.69048723583652305</v>
      </c>
      <c r="FB300" s="102">
        <f>IF('Renewable Diesel'!$BG309&lt;1,0,(((('Renewable Diesel'!$BG309-1)*'Renewable Diesel'!$BF309)*'RD Feedstock Breakdown'!EA300)*'Feedstock Conversion Rates'!$B$2))</f>
        <v>33.09402892995557</v>
      </c>
      <c r="FC300" s="102">
        <f>IF('Renewable Diesel'!$BG309&lt;1,0,(((('Renewable Diesel'!$BG309-1)*'Renewable Diesel'!$BF309)*'RD Feedstock Breakdown'!EB300)*'Feedstock Conversion Rates'!$B$3))</f>
        <v>2151.6641320009167</v>
      </c>
      <c r="FD300" s="102">
        <f>IF('Renewable Diesel'!$BG309&lt;1,0,(((('Renewable Diesel'!$BG309-1)*'Renewable Diesel'!$BF309)*'RD Feedstock Breakdown'!EC300)*'Feedstock Conversion Rates'!$B$4))</f>
        <v>3705.123640364171</v>
      </c>
      <c r="FE300" s="102">
        <f>IF('Renewable Diesel'!$BG309&lt;1,0,(((('Renewable Diesel'!$BG309-1)*'Renewable Diesel'!$BF309)*'RD Feedstock Breakdown'!ED300)*'Feedstock Conversion Rates'!$B$5))</f>
        <v>497.84542260277391</v>
      </c>
      <c r="FF300" s="102">
        <f>IF('Renewable Diesel'!$BG309&lt;1,0,(((('Renewable Diesel'!$BG309-1)*'Renewable Diesel'!$BF309)*'RD Feedstock Breakdown'!EE300)*'Feedstock Conversion Rates'!$B$6))</f>
        <v>560.88503386535353</v>
      </c>
      <c r="FG300" s="102">
        <f>IF('Renewable Diesel'!$BG309&lt;1,0,(((('Renewable Diesel'!$BG309-1)*'Renewable Diesel'!$BF309)*'RD Feedstock Breakdown'!EF300)*'Feedstock Conversion Rates'!$B$7))</f>
        <v>692.00644851240054</v>
      </c>
      <c r="FH300" s="102">
        <f>IF('Renewable Diesel'!$BG309&lt;1,0,(((('Renewable Diesel'!$BG309-1)*'Renewable Diesel'!$BF309)*'RD Feedstock Breakdown'!EG300)*'Feedstock Conversion Rates'!$B$8))</f>
        <v>95.943848283878964</v>
      </c>
      <c r="FI300" s="102">
        <f>IF('Renewable Diesel'!$BG309&lt;1,0,(((('Renewable Diesel'!$BG309-1)*'Renewable Diesel'!$BF309)*'RD Feedstock Breakdown'!EH300)*'Feedstock Conversion Rates'!$B$9))</f>
        <v>8.1724831919505547</v>
      </c>
      <c r="FJ300" s="102">
        <f t="shared" si="311"/>
        <v>7744.7350377514013</v>
      </c>
      <c r="GD300" s="91">
        <f>'Renewable Diesel'!BB309*0.32</f>
        <v>0</v>
      </c>
      <c r="GE300" s="91">
        <f>'Renewable Diesel'!BC309</f>
        <v>611.94091526851037</v>
      </c>
      <c r="GF300" s="91">
        <f>'Renewable Diesel'!BD309</f>
        <v>0</v>
      </c>
      <c r="GG300" s="91">
        <f t="shared" si="295"/>
        <v>611.94091526851037</v>
      </c>
      <c r="GH300" s="124">
        <v>1</v>
      </c>
      <c r="GI300" s="102">
        <f>$GG300*EA300*'Feedstock Conversion Rates'!$B$2</f>
        <v>20.694379917973954</v>
      </c>
      <c r="GJ300" s="102">
        <f>$GG300*EB300*'Feedstock Conversion Rates'!$B$3</f>
        <v>1345.4800289728405</v>
      </c>
      <c r="GK300" s="102">
        <f>$GG300*EC300*'Feedstock Conversion Rates'!$B$4</f>
        <v>2316.8903495868731</v>
      </c>
      <c r="GL300" s="102">
        <f>$GG300*ED300*'Feedstock Conversion Rates'!$B$5</f>
        <v>311.31302681737077</v>
      </c>
      <c r="GM300" s="102">
        <f>$GG300*EE300*'Feedstock Conversion Rates'!$B$6</f>
        <v>350.73299795809714</v>
      </c>
      <c r="GN300" s="102">
        <f>$GG300*EF300*'Feedstock Conversion Rates'!$B$7</f>
        <v>432.72592713064762</v>
      </c>
      <c r="GO300" s="102">
        <f>$GG300*EG300*'Feedstock Conversion Rates'!$B$8</f>
        <v>59.995670257659086</v>
      </c>
      <c r="GP300" s="102">
        <f>$GG300*EH300*'Feedstock Conversion Rates'!B$9</f>
        <v>5.1104225600768611</v>
      </c>
      <c r="GQ300" s="102">
        <f t="shared" si="276"/>
        <v>4842.9428032015385</v>
      </c>
      <c r="GR300" s="85">
        <f t="shared" si="293"/>
        <v>7.9140692873535494</v>
      </c>
      <c r="GT300" s="103">
        <f t="shared" si="254"/>
        <v>4.2731002117748444E-3</v>
      </c>
      <c r="GU300" s="103">
        <f t="shared" si="254"/>
        <v>0.27782282047258122</v>
      </c>
      <c r="GV300" s="103">
        <f t="shared" si="254"/>
        <v>0.47840547446797005</v>
      </c>
      <c r="GW300" s="103">
        <f t="shared" si="254"/>
        <v>6.428178887670738E-2</v>
      </c>
      <c r="GX300" s="103">
        <f t="shared" si="253"/>
        <v>7.2421461952067043E-2</v>
      </c>
      <c r="GY300" s="103">
        <f t="shared" si="253"/>
        <v>8.9351855827119048E-2</v>
      </c>
      <c r="GZ300" s="103">
        <f t="shared" si="253"/>
        <v>1.2388267360497746E-2</v>
      </c>
      <c r="HA300" s="103">
        <f t="shared" si="251"/>
        <v>1.0552308312826858E-3</v>
      </c>
    </row>
    <row r="301" spans="1:209" x14ac:dyDescent="0.25">
      <c r="A301" s="96">
        <v>49583</v>
      </c>
      <c r="B301" s="104">
        <f>115.75+145+100+235+31.5-21-287-20-28-32-70-39-47+40+20-3-10+35-105-1</f>
        <v>59.25</v>
      </c>
      <c r="C301" s="104">
        <f t="shared" ref="C301:C364" si="314">50-1</f>
        <v>49</v>
      </c>
      <c r="D301" s="104">
        <f t="shared" si="288"/>
        <v>2</v>
      </c>
      <c r="E301" s="104">
        <f>('Renewable Diesel'!B310*E$3*'Feedstock Conversion Rates'!$B$2)/12+26+13-100+27.5+39</f>
        <v>95.43</v>
      </c>
      <c r="F301" s="104">
        <f>('Renewable Diesel'!B310*'RD Feedstock Breakdown'!F$3*'Feedstock Conversion Rates'!B$8)/12+77+23-10-12-115.75+24+8</f>
        <v>48.15625</v>
      </c>
      <c r="G301" s="104">
        <f>('Renewable Diesel'!B310*'RD Feedstock Breakdown'!G$3*'Feedstock Conversion Rates'!B$7)/12+116.75-39-57.5-145-31.5+32+70-40+10-35</f>
        <v>56.907000000000039</v>
      </c>
      <c r="H301" s="104">
        <f>('Renewable Diesel'!B310*'RD Feedstock Breakdown'!H$3*'Feedstock Conversion Rates'!B$3)/12+67+10+12+3-235+20+47-20+105</f>
        <v>185.40022499999998</v>
      </c>
      <c r="I301" s="106">
        <f t="shared" si="291"/>
        <v>496.14347500000002</v>
      </c>
      <c r="J301" s="104">
        <f>54-15-35+65</f>
        <v>69</v>
      </c>
      <c r="K301" s="104"/>
      <c r="L301" s="104">
        <v>1</v>
      </c>
      <c r="M301" s="104">
        <f>('Renewable Diesel'!C310*'RD Feedstock Breakdown'!M$3*'Feedstock Conversion Rates'!B$2)/12</f>
        <v>7.7902500000000003</v>
      </c>
      <c r="N301" s="104">
        <f>('Renewable Diesel'!C310*'RD Feedstock Breakdown'!N$3*'Feedstock Conversion Rates'!B$8)/12</f>
        <v>3.671875</v>
      </c>
      <c r="O301" s="104">
        <f>('Renewable Diesel'!C310*'RD Feedstock Breakdown'!O$3*'Feedstock Conversion Rates'!B$7)/12</f>
        <v>11.9991</v>
      </c>
      <c r="P301" s="104">
        <f>('Renewable Diesel'!C310*'RD Feedstock Breakdown'!P$3*'Feedstock Conversion Rates'!B$3)/12</f>
        <v>10.4470425</v>
      </c>
      <c r="Q301" s="106">
        <f t="shared" si="299"/>
        <v>103.90826749999999</v>
      </c>
      <c r="R301" s="104">
        <f>('Renewable Diesel'!D310*'RD Feedstock Breakdown'!R$3*'Feedstock Conversion Rates'!B$7)/12</f>
        <v>2.2999999999999998</v>
      </c>
      <c r="S301" s="106">
        <f t="shared" si="249"/>
        <v>2.2999999999999998</v>
      </c>
      <c r="T301" s="104">
        <f t="shared" si="300"/>
        <v>0.82499999999999929</v>
      </c>
      <c r="U301" s="104"/>
      <c r="V301" s="104">
        <f>('Renewable Diesel'!E310*'RD Feedstock Breakdown'!V$3*'Feedstock Conversion Rates'!B$6)/12-20+25</f>
        <v>49.250150000000012</v>
      </c>
      <c r="W301" s="104">
        <f>('Renewable Diesel'!E310*'RD Feedstock Breakdown'!W$3*'Feedstock Conversion Rates'!B$8)/12-6</f>
        <v>16.1796875</v>
      </c>
      <c r="X301" s="106">
        <f t="shared" si="277"/>
        <v>66.254837500000008</v>
      </c>
      <c r="Y301" s="104">
        <f t="shared" si="301"/>
        <v>98</v>
      </c>
      <c r="Z301" s="104">
        <f>('Renewable Diesel'!F310*'RD Feedstock Breakdown'!Z$3*'Feedstock Conversion Rates'!B$6)/12-142+15+5</f>
        <v>37.460000000000008</v>
      </c>
      <c r="AA301" s="104">
        <f>('Renewable Diesel'!F310*'RD Feedstock Breakdown'!AA$3*'Feedstock Conversion Rates'!B$7)/12+24</f>
        <v>128.26666666666665</v>
      </c>
      <c r="AB301" s="106">
        <f t="shared" si="235"/>
        <v>263.72666666666669</v>
      </c>
      <c r="AC301" s="104">
        <f>('Renewable Diesel'!G310*'RD Feedstock Breakdown'!AC$3*'Feedstock Conversion Rates'!B$5)/12</f>
        <v>11.796875</v>
      </c>
      <c r="AD301" s="104">
        <f>('Renewable Diesel'!G310*'RD Feedstock Breakdown'!AD$3*'Feedstock Conversion Rates'!B$4)/12</f>
        <v>5.859375</v>
      </c>
      <c r="AE301" s="104">
        <f>('Renewable Diesel'!G310*'RD Feedstock Breakdown'!AE$3*'Feedstock Conversion Rates'!B$6)/12</f>
        <v>7.3281250000000009</v>
      </c>
      <c r="AF301" s="106">
        <f t="shared" si="284"/>
        <v>24.984375</v>
      </c>
      <c r="AG301" s="104">
        <f t="shared" si="306"/>
        <v>148</v>
      </c>
      <c r="AH301" s="104"/>
      <c r="AI301" s="104">
        <f>('Renewable Diesel'!H310*'RD Feedstock Breakdown'!AI$3*'Feedstock Conversion Rates'!B$6)/12-130-20+51-49</f>
        <v>0.51666666666667993</v>
      </c>
      <c r="AJ301" s="106">
        <f t="shared" si="248"/>
        <v>148.51666666666668</v>
      </c>
      <c r="AK301" s="104">
        <f>('Renewable Diesel'!J310*'RD Feedstock Breakdown'!AK$3*'Feedstock Conversion Rates'!B$4)/12</f>
        <v>95.8125</v>
      </c>
      <c r="AL301" s="106">
        <f t="shared" si="252"/>
        <v>95.8125</v>
      </c>
      <c r="AM301" s="104">
        <f>('Renewable Diesel'!K310*'RD Feedstock Breakdown'!AM$3*'Feedstock Conversion Rates'!B$4)/12+5+15-10+10</f>
        <v>78.59375</v>
      </c>
      <c r="AN301" s="104">
        <f>('Renewable Diesel'!K310*'RD Feedstock Breakdown'!AN$3*'Feedstock Conversion Rates'!B$6)/12-5-15+10-10</f>
        <v>4.4270833333333321</v>
      </c>
      <c r="AO301" s="106">
        <f t="shared" si="270"/>
        <v>83.020833333333329</v>
      </c>
      <c r="AP301" s="104">
        <f>('Renewable Diesel'!L310*'RD Feedstock Breakdown'!AP$3*'Feedstock Conversion Rates'!B$4)/12+15-10+15</f>
        <v>78.59375</v>
      </c>
      <c r="AQ301" s="104">
        <f>('Renewable Diesel'!L310*'RD Feedstock Breakdown'!AQ$3*'Feedstock Conversion Rates'!B$6)/12-15+10-15</f>
        <v>4.4270833333333321</v>
      </c>
      <c r="AR301" s="106">
        <f t="shared" si="256"/>
        <v>83.020833333333329</v>
      </c>
      <c r="AS301" s="104">
        <f>('Renewable Diesel'!M310*'RD Feedstock Breakdown'!AS$3*'Feedstock Conversion Rates'!B$4)/12-25</f>
        <v>431.25</v>
      </c>
      <c r="AT301" s="104">
        <f>('Renewable Diesel'!M310*'RD Feedstock Breakdown'!AT$3*'Feedstock Conversion Rates'!B$5)/12+25</f>
        <v>25</v>
      </c>
      <c r="AU301" s="106">
        <f t="shared" si="290"/>
        <v>456.25</v>
      </c>
      <c r="AV301" s="104">
        <f>'Renewable Diesel'!N310*'RD Feedstock Breakdown'!$AV$3*'Feedstock Conversion Rates'!$B$4/12-15-10+25+25-22+25</f>
        <v>106.74999999999999</v>
      </c>
      <c r="AW301" s="104">
        <f>'Renewable Diesel'!N310*'RD Feedstock Breakdown'!$AW$3*'Feedstock Conversion Rates'!$B$7/12+15+10-25-25+22-25</f>
        <v>13.400000000000006</v>
      </c>
      <c r="AX301" s="106">
        <f t="shared" si="239"/>
        <v>120.14999999999999</v>
      </c>
      <c r="AY301" s="104">
        <f>('Renewable Diesel'!O310*'RD Feedstock Breakdown'!AY$3*'Feedstock Conversion Rates'!B$4)/12</f>
        <v>210.9375</v>
      </c>
      <c r="AZ301" s="104">
        <f>('Renewable Diesel'!O310*'RD Feedstock Breakdown'!AZ$3*'Feedstock Conversion Rates'!B$3)/12</f>
        <v>25.03125</v>
      </c>
      <c r="BA301" s="106">
        <f t="shared" si="302"/>
        <v>235.96875</v>
      </c>
      <c r="BB301" s="104">
        <f>('Renewable Diesel'!Q310*'RD Feedstock Breakdown'!BB$3*'Feedstock Conversion Rates'!B$4)/12</f>
        <v>11.156249999999998</v>
      </c>
      <c r="BC301" s="104">
        <f>('Renewable Diesel'!Q310*'RD Feedstock Breakdown'!BC$3*'Feedstock Conversion Rates'!B$3)/12</f>
        <v>1.4017500000000001</v>
      </c>
      <c r="BD301" s="104">
        <f>('Renewable Diesel'!Q310*'RD Feedstock Breakdown'!BD$3*'Feedstock Conversion Rates'!B$6)/12</f>
        <v>0.8207500000000002</v>
      </c>
      <c r="BE301" s="106">
        <f t="shared" si="279"/>
        <v>13.378749999999998</v>
      </c>
      <c r="BF301" s="104">
        <f>('Renewable Diesel'!R310*'RD Feedstock Breakdown'!BF$3*'Feedstock Conversion Rates'!B$4)/12</f>
        <v>62.5</v>
      </c>
      <c r="BG301" s="106">
        <f t="shared" si="262"/>
        <v>62.5</v>
      </c>
      <c r="BH301" s="104">
        <f>('Renewable Diesel'!T310*'RD Feedstock Breakdown'!BH$3*'Feedstock Conversion Rates'!B$7)/12</f>
        <v>27.599999999999998</v>
      </c>
      <c r="BI301" s="106">
        <f t="shared" si="243"/>
        <v>27.599999999999998</v>
      </c>
      <c r="BJ301" s="104">
        <f>('Renewable Diesel'!W310*'RD Feedstock Breakdown'!BJ$3*'Feedstock Conversion Rates'!B$4)/12</f>
        <v>7.5</v>
      </c>
      <c r="BK301" s="104">
        <f>('Renewable Diesel'!W310*'RD Feedstock Breakdown'!BK$3*'Feedstock Conversion Rates'!B$3)/12</f>
        <v>1.335</v>
      </c>
      <c r="BL301" s="104">
        <f>('Renewable Diesel'!W310*'RD Feedstock Breakdown'!BL$3*'Feedstock Conversion Rates'!B$6)/12</f>
        <v>3.1266666666666669</v>
      </c>
      <c r="BM301" s="104">
        <f>('Renewable Diesel'!W310*'RD Feedstock Breakdown'!BM$3*'Feedstock Conversion Rates'!B$7)/12</f>
        <v>1.5333333333333332</v>
      </c>
      <c r="BN301" s="106">
        <f t="shared" si="296"/>
        <v>13.495000000000001</v>
      </c>
      <c r="BO301" s="104">
        <f>('Renewable Diesel'!P310*'Feedstock Conversion Rates'!B$4)/12</f>
        <v>31.25</v>
      </c>
      <c r="BP301" s="106">
        <f t="shared" si="285"/>
        <v>31.25</v>
      </c>
      <c r="BQ301" s="104">
        <f>('Renewable Diesel'!$S310*'RD Feedstock Breakdown'!BQ$3*'Feedstock Conversion Rates'!B$4)/12+10+15-15</f>
        <v>38.125</v>
      </c>
      <c r="BR301" s="104">
        <f>('Renewable Diesel'!$S310*'RD Feedstock Breakdown'!BR$3*'Feedstock Conversion Rates'!B$7)/12-10-15+15</f>
        <v>1.5</v>
      </c>
      <c r="BS301" s="106">
        <f t="shared" si="307"/>
        <v>39.625</v>
      </c>
      <c r="BT301" s="106"/>
      <c r="BU301" s="104">
        <f>('Renewable Diesel'!Y310*'Feedstock Conversion Rates'!B$7)/12</f>
        <v>2.6833333333333331</v>
      </c>
      <c r="BV301" s="106">
        <f t="shared" si="281"/>
        <v>2.6833333333333331</v>
      </c>
      <c r="BW301" s="104">
        <f>('Renewable Diesel'!$Z310*'RD Feedstock Breakdown'!BW$3*'Feedstock Conversion Rates'!$B$4)/12</f>
        <v>71.875</v>
      </c>
      <c r="BX301" s="104">
        <f>('Renewable Diesel'!$Z310*'RD Feedstock Breakdown'!BX$3*'Feedstock Conversion Rates'!$B$5)/12</f>
        <v>7.2354166666666666</v>
      </c>
      <c r="BY301" s="104">
        <f>('Renewable Diesel'!$Z310*'RD Feedstock Breakdown'!BY$3*'Feedstock Conversion Rates'!$B$7)/12</f>
        <v>61.716666666666661</v>
      </c>
      <c r="BZ301" s="104">
        <f>('Renewable Diesel'!$Z310*'RD Feedstock Breakdown'!BZ$3*'Feedstock Conversion Rates'!$B$3)/12</f>
        <v>15.352499999999999</v>
      </c>
      <c r="CA301" s="106">
        <f t="shared" si="312"/>
        <v>156.17958333333331</v>
      </c>
      <c r="CB301" s="104">
        <f>('Renewable Diesel'!AA310*'Feedstock Conversion Rates'!B$4)/12</f>
        <v>191.25</v>
      </c>
      <c r="CC301" s="106">
        <f t="shared" si="298"/>
        <v>191.25</v>
      </c>
      <c r="CD301" s="104">
        <f>('Renewable Diesel'!$AB310*'RD Feedstock Breakdown'!CD$3*'Feedstock Conversion Rates'!$B$6)/12-15-5</f>
        <v>12.830000000000005</v>
      </c>
      <c r="CE301" s="104">
        <f>('Renewable Diesel'!$AB310*'RD Feedstock Breakdown'!CE$3*'Feedstock Conversion Rates'!$B$4)/12+15+5</f>
        <v>31.25</v>
      </c>
      <c r="CF301" s="106">
        <f t="shared" si="294"/>
        <v>44.080000000000005</v>
      </c>
      <c r="CG301" s="104">
        <f>('Renewable Diesel'!AD310*'Feedstock Conversion Rates'!B$4)/12</f>
        <v>112.5</v>
      </c>
      <c r="CH301" s="106">
        <f t="shared" si="278"/>
        <v>112.5</v>
      </c>
      <c r="CI301" s="104">
        <f>('Renewable Diesel'!$AE310*'RD Feedstock Breakdown'!CI$3*'Feedstock Conversion Rates'!$B$5)/12</f>
        <v>0.34604166666666664</v>
      </c>
      <c r="CJ301" s="104">
        <f>('Renewable Diesel'!$AE310*'RD Feedstock Breakdown'!CJ$3*'Feedstock Conversion Rates'!$B$4)/12</f>
        <v>0.34375</v>
      </c>
      <c r="CK301" s="106">
        <f t="shared" si="286"/>
        <v>0.68979166666666658</v>
      </c>
      <c r="CL301" s="104">
        <f>(((CL$3*'Renewable Diesel'!$AF310)*'Feedstock Conversion Rates'!$B$3)/12)</f>
        <v>91.78125</v>
      </c>
      <c r="CM301" s="104">
        <f>(((CM$3*'Renewable Diesel'!$AF310)*'Feedstock Conversion Rates'!$B$6)/12)</f>
        <v>53.739583333333336</v>
      </c>
      <c r="CN301" s="104">
        <f>(((CN$3*'Renewable Diesel'!$AF310)*'Feedstock Conversion Rates'!$B$4)/12)</f>
        <v>42.96875</v>
      </c>
      <c r="CO301" s="106">
        <f t="shared" si="280"/>
        <v>188.48958333333334</v>
      </c>
      <c r="CP301" s="104">
        <f>('Renewable Diesel'!$AG310*'RD Feedstock Breakdown'!CP$3*'Feedstock Conversion Rates'!$B$3)/12</f>
        <v>6.0075000000000003</v>
      </c>
      <c r="CQ301" s="104">
        <f>('Renewable Diesel'!$AG310*'RD Feedstock Breakdown'!CQ$3*'Feedstock Conversion Rates'!$B$6)/12</f>
        <v>3.5175000000000001</v>
      </c>
      <c r="CR301" s="104">
        <f>('Renewable Diesel'!$AG310*'RD Feedstock Breakdown'!CR$3*'Feedstock Conversion Rates'!$B$4)/12</f>
        <v>2.8125</v>
      </c>
      <c r="CS301" s="106">
        <f t="shared" si="231"/>
        <v>12.3375</v>
      </c>
      <c r="CT301" s="104">
        <f>('Renewable Diesel'!AI310*'Feedstock Conversion Rates'!$B$4*'RD Feedstock Breakdown'!$CT$3)/12</f>
        <v>29.375</v>
      </c>
      <c r="CU301" s="106">
        <f t="shared" si="282"/>
        <v>29.375</v>
      </c>
      <c r="CV301" s="104">
        <f>('Renewable Diesel'!AN310*'Feedstock Conversion Rates'!$B$3*'RD Feedstock Breakdown'!$CV$3)/12</f>
        <v>0.50062499999999999</v>
      </c>
      <c r="CW301" s="106">
        <f t="shared" si="255"/>
        <v>0.50062499999999999</v>
      </c>
      <c r="CX301" s="104">
        <f>('Renewable Diesel'!AO310*'RD Feedstock Breakdown'!$CX$3*'Feedstock Conversion Rates'!$B$3)/12</f>
        <v>6.3412499999999996</v>
      </c>
      <c r="CY301" s="104">
        <f>('Renewable Diesel'!AO310*'RD Feedstock Breakdown'!$CY$3*'Feedstock Conversion Rates'!$B$6)/12</f>
        <v>7.4258333333333342</v>
      </c>
      <c r="CZ301" s="106">
        <f t="shared" si="233"/>
        <v>13.767083333333334</v>
      </c>
      <c r="DA301" s="104">
        <f>('Renewable Diesel'!$AP310*'RD Feedstock Breakdown'!DA$3*'Feedstock Conversion Rates'!$B$3)/12</f>
        <v>6.3412499999999996</v>
      </c>
      <c r="DB301" s="104">
        <f>('Renewable Diesel'!$AP310*'RD Feedstock Breakdown'!DB$3*'Feedstock Conversion Rates'!$B$8)/12</f>
        <v>7.421875</v>
      </c>
      <c r="DC301" s="106">
        <f t="shared" si="260"/>
        <v>13.763124999999999</v>
      </c>
      <c r="DD301" s="104">
        <f>('Renewable Diesel'!AQ310*$DD$3*'Feedstock Conversion Rates'!$B$14)/12</f>
        <v>3.1041666666666665</v>
      </c>
      <c r="DE301" s="106">
        <f t="shared" si="261"/>
        <v>3.1041666666666665</v>
      </c>
      <c r="DF301" s="104">
        <f>('Renewable Diesel'!AR310*'Feedstock Conversion Rates'!$B$4*$DF$3)/12</f>
        <v>75</v>
      </c>
      <c r="DG301" s="106">
        <f t="shared" si="234"/>
        <v>75</v>
      </c>
      <c r="DH301" s="104">
        <f>('Renewable Diesel'!AS310*'Feedstock Conversion Rates'!$B$4*$DH$3)/12</f>
        <v>75</v>
      </c>
      <c r="DI301" s="106">
        <f t="shared" si="240"/>
        <v>75</v>
      </c>
      <c r="DJ301" s="104">
        <f>('Renewable Diesel'!AT310*'Feedstock Conversion Rates'!$B$4*0.25)/12</f>
        <v>8.59375</v>
      </c>
      <c r="DK301" s="104">
        <f>('Renewable Diesel'!$AT310*'RD Feedstock Breakdown'!DK$3*'Feedstock Conversion Rates'!$B$3)/12*0.5</f>
        <v>9.1781249999999996</v>
      </c>
      <c r="DL301" s="104">
        <f>('Renewable Diesel'!$AT310*'RD Feedstock Breakdown'!$DL$3*'Feedstock Conversion Rates'!$B$6)/12</f>
        <v>10.747916666666669</v>
      </c>
      <c r="DM301" s="104">
        <f>('Renewable Diesel'!$AT310*'RD Feedstock Breakdown'!$DM$3*'Feedstock Conversion Rates'!$B$8)/12</f>
        <v>10.7421875</v>
      </c>
      <c r="DN301" s="106">
        <f t="shared" si="297"/>
        <v>39.26197916666667</v>
      </c>
      <c r="DP301" s="104">
        <f t="shared" si="265"/>
        <v>103.22025000000001</v>
      </c>
      <c r="DQ301" s="104">
        <f t="shared" si="266"/>
        <v>359.11776750000001</v>
      </c>
      <c r="DR301" s="104">
        <f t="shared" si="271"/>
        <v>2016.953125</v>
      </c>
      <c r="DS301" s="104">
        <f t="shared" si="283"/>
        <v>253.90125</v>
      </c>
      <c r="DT301" s="104">
        <f t="shared" si="267"/>
        <v>203.03923333333341</v>
      </c>
      <c r="DU301" s="104">
        <f t="shared" si="268"/>
        <v>307.90610000000004</v>
      </c>
      <c r="DV301" s="104">
        <f t="shared" si="272"/>
        <v>78.75</v>
      </c>
      <c r="DW301" s="104">
        <f t="shared" si="269"/>
        <v>3</v>
      </c>
      <c r="DX301" s="106">
        <f t="shared" si="273"/>
        <v>3325.8877258333337</v>
      </c>
      <c r="DY301" s="109">
        <f t="shared" si="257"/>
        <v>-5.631051180898794E-13</v>
      </c>
      <c r="EA301" s="110">
        <f t="shared" si="313"/>
        <v>3.1035398218121499E-2</v>
      </c>
      <c r="EB301" s="110">
        <f t="shared" si="313"/>
        <v>0.10797651547603566</v>
      </c>
      <c r="EC301" s="110">
        <f t="shared" si="313"/>
        <v>0.60644053295414013</v>
      </c>
      <c r="ED301" s="110">
        <f t="shared" si="308"/>
        <v>7.6340896305025621E-2</v>
      </c>
      <c r="EE301" s="110">
        <f t="shared" si="308"/>
        <v>6.1048132129132515E-2</v>
      </c>
      <c r="EF301" s="110">
        <f t="shared" si="308"/>
        <v>9.2578621222955196E-2</v>
      </c>
      <c r="EG301" s="110">
        <f t="shared" si="308"/>
        <v>2.3677888880108969E-2</v>
      </c>
      <c r="EH301" s="111">
        <f t="shared" si="274"/>
        <v>9.0201481448034171E-4</v>
      </c>
      <c r="EI301" s="110">
        <f t="shared" si="236"/>
        <v>0.99909798518551962</v>
      </c>
      <c r="EK301" s="132">
        <f>(EA301*'Renewable Diesel'!BF310*'Feedstock Conversion Rates'!B$2)+FB301</f>
        <v>543.68470570436455</v>
      </c>
      <c r="EL301" s="132">
        <f>(EB301*'Renewable Diesel'!BF310*'Feedstock Conversion Rates'!B$3)+FC301</f>
        <v>1782.5129448567011</v>
      </c>
      <c r="EM301" s="132">
        <f>(EC301*'Renewable Diesel'!BF310*'Feedstock Conversion Rates'!B$4)+FD301</f>
        <v>9373.9007794308764</v>
      </c>
      <c r="EN301" s="132">
        <f>(ED301*'Renewable Diesel'!BF310*'Feedstock Conversion Rates'!B$5)+FE301</f>
        <v>1187.8868492669096</v>
      </c>
      <c r="EO301" s="132">
        <f>(EE301*'Renewable Diesel'!BF310*'Feedstock Conversion Rates'!B$6)+FF301</f>
        <v>1180.174120762661</v>
      </c>
      <c r="EP301" s="132">
        <f>(EF301*'Renewable Diesel'!BF310*'Feedstock Conversion Rates'!B$7)+FG301</f>
        <v>1755.3729596097251</v>
      </c>
      <c r="EQ301" s="132">
        <f>(EG301*'Renewable Diesel'!BF310*'Feedstock Conversion Rates'!B$8)+FH301</f>
        <v>457.49370500379223</v>
      </c>
      <c r="ER301" s="132">
        <f>(EH301*'Renewable Diesel'!BF310*'Feedstock Conversion Rates'!B$9)+FI301</f>
        <v>17.195953864269526</v>
      </c>
      <c r="ES301" s="132">
        <f t="shared" si="275"/>
        <v>16298.222018499298</v>
      </c>
      <c r="ET301" s="133">
        <f>ES301/'Renewable Diesel'!BF310</f>
        <v>16.996240952175548</v>
      </c>
      <c r="EW301" s="73">
        <f t="shared" si="309"/>
        <v>16209.362978917101</v>
      </c>
      <c r="EX301" s="73">
        <f t="shared" si="310"/>
        <v>8803.8076978925219</v>
      </c>
      <c r="EY301" s="92">
        <f t="shared" si="258"/>
        <v>0.99454793047478807</v>
      </c>
      <c r="EZ301" s="92">
        <f t="shared" si="258"/>
        <v>0.5401698226898467</v>
      </c>
      <c r="FB301" s="102">
        <f>IF('Renewable Diesel'!$BG310&lt;1,0,(((('Renewable Diesel'!$BG310-1)*'Renewable Diesel'!$BF310)*'RD Feedstock Breakdown'!EA301)*'Feedstock Conversion Rates'!$B$2))</f>
        <v>290.7178642642134</v>
      </c>
      <c r="FC301" s="102">
        <f>IF('Renewable Diesel'!$BG310&lt;1,0,(((('Renewable Diesel'!$BG310-1)*'Renewable Diesel'!$BF310)*'RD Feedstock Breakdown'!EB301)*'Feedstock Conversion Rates'!$B$3))</f>
        <v>953.1413168606515</v>
      </c>
      <c r="FD301" s="102">
        <f>IF('Renewable Diesel'!$BG310&lt;1,0,(((('Renewable Diesel'!$BG310-1)*'Renewable Diesel'!$BF310)*'RD Feedstock Breakdown'!EC301)*'Feedstock Conversion Rates'!$B$4))</f>
        <v>5012.3911631654955</v>
      </c>
      <c r="FE301" s="102">
        <f>IF('Renewable Diesel'!$BG310&lt;1,0,(((('Renewable Diesel'!$BG310-1)*'Renewable Diesel'!$BF310)*'RD Feedstock Breakdown'!ED301)*'Feedstock Conversion Rates'!$B$5))</f>
        <v>635.18418705381896</v>
      </c>
      <c r="FF301" s="102">
        <f>IF('Renewable Diesel'!$BG310&lt;1,0,(((('Renewable Diesel'!$BG310-1)*'Renewable Diesel'!$BF310)*'RD Feedstock Breakdown'!EE301)*'Feedstock Conversion Rates'!$B$6))</f>
        <v>631.06005419725818</v>
      </c>
      <c r="FG301" s="102">
        <f>IF('Renewable Diesel'!$BG310&lt;1,0,(((('Renewable Diesel'!$BG310-1)*'Renewable Diesel'!$BF310)*'RD Feedstock Breakdown'!EF301)*'Feedstock Conversion Rates'!$B$7))</f>
        <v>938.62908492846714</v>
      </c>
      <c r="FH301" s="102">
        <f>IF('Renewable Diesel'!$BG310&lt;1,0,(((('Renewable Diesel'!$BG310-1)*'Renewable Diesel'!$BF310)*'RD Feedstock Breakdown'!EG301)*'Feedstock Conversion Rates'!$B$8))</f>
        <v>244.63000602659196</v>
      </c>
      <c r="FI301" s="102">
        <f>IF('Renewable Diesel'!$BG310&lt;1,0,(((('Renewable Diesel'!$BG310-1)*'Renewable Diesel'!$BF310)*'RD Feedstock Breakdown'!EH301)*'Feedstock Conversion Rates'!$B$9))</f>
        <v>9.1949818138249171</v>
      </c>
      <c r="FJ301" s="102">
        <f t="shared" si="311"/>
        <v>8714.9486583103208</v>
      </c>
      <c r="GD301" s="91">
        <f>'Renewable Diesel'!BB310*0.32</f>
        <v>0</v>
      </c>
      <c r="GE301" s="91">
        <f>'Renewable Diesel'!BC310</f>
        <v>597.69099903600704</v>
      </c>
      <c r="GF301" s="91">
        <f>'Renewable Diesel'!BD310</f>
        <v>0</v>
      </c>
      <c r="GG301" s="91">
        <f t="shared" si="295"/>
        <v>597.69099903600704</v>
      </c>
      <c r="GH301" s="124">
        <v>1</v>
      </c>
      <c r="GI301" s="102">
        <f>$GG301*EA301*'Feedstock Conversion Rates'!$B$2</f>
        <v>157.6714144149895</v>
      </c>
      <c r="GJ301" s="102">
        <f>$GG301*EB301*'Feedstock Conversion Rates'!$B$3</f>
        <v>516.93809717246199</v>
      </c>
      <c r="GK301" s="102">
        <f>$GG301*EC301*'Feedstock Conversion Rates'!$B$4</f>
        <v>2718.4803599796642</v>
      </c>
      <c r="GL301" s="102">
        <f>$GG301*ED301*'Feedstock Conversion Rates'!$B$5</f>
        <v>344.4934126779051</v>
      </c>
      <c r="GM301" s="102">
        <f>$GG301*EE301*'Feedstock Conversion Rates'!$B$6</f>
        <v>342.25668098487688</v>
      </c>
      <c r="GN301" s="102">
        <f>$GG301*EF301*'Feedstock Conversion Rates'!$B$7</f>
        <v>509.06735919474238</v>
      </c>
      <c r="GO301" s="102">
        <f>$GG301*EG301*'Feedstock Conversion Rates'!$B$8</f>
        <v>132.675572435774</v>
      </c>
      <c r="GP301" s="102">
        <f>$GG301*EH301*'Feedstock Conversion Rates'!B$9</f>
        <v>4.9869167544113147</v>
      </c>
      <c r="GQ301" s="102">
        <f t="shared" si="276"/>
        <v>4726.5698136148249</v>
      </c>
      <c r="GR301" s="85">
        <f t="shared" si="293"/>
        <v>7.9080491779834876</v>
      </c>
      <c r="GT301" s="103">
        <f t="shared" si="254"/>
        <v>3.3358528622769723E-2</v>
      </c>
      <c r="GU301" s="103">
        <f t="shared" si="254"/>
        <v>0.10936855215455157</v>
      </c>
      <c r="GV301" s="103">
        <f t="shared" si="254"/>
        <v>0.57514867381184465</v>
      </c>
      <c r="GW301" s="103">
        <f t="shared" si="254"/>
        <v>7.2884443954598144E-2</v>
      </c>
      <c r="GX301" s="103">
        <f t="shared" si="253"/>
        <v>7.2411218807984346E-2</v>
      </c>
      <c r="GY301" s="103">
        <f t="shared" si="253"/>
        <v>0.1077033407458365</v>
      </c>
      <c r="GZ301" s="103">
        <f t="shared" si="253"/>
        <v>2.8070160320832174E-2</v>
      </c>
      <c r="HA301" s="103">
        <f t="shared" si="251"/>
        <v>1.0550815815830253E-3</v>
      </c>
    </row>
    <row r="302" spans="1:209" x14ac:dyDescent="0.25">
      <c r="A302" s="96">
        <v>49614</v>
      </c>
      <c r="B302" s="104">
        <f t="shared" ref="B302:B312" si="315">115.75+145+100+235+31.5-21-287-20-28-32-70-39-47+40+20-3-10+35-105-1</f>
        <v>59.25</v>
      </c>
      <c r="C302" s="104">
        <f t="shared" si="314"/>
        <v>49</v>
      </c>
      <c r="D302" s="104">
        <f t="shared" si="288"/>
        <v>2</v>
      </c>
      <c r="E302" s="104">
        <f>('Renewable Diesel'!B311*E$3*'Feedstock Conversion Rates'!$B$2)/12+26+13-100+27.5+39</f>
        <v>95.43</v>
      </c>
      <c r="F302" s="104">
        <f>('Renewable Diesel'!B311*'RD Feedstock Breakdown'!F$3*'Feedstock Conversion Rates'!B$8)/12+77+23-10-12-115.75+24+8</f>
        <v>48.15625</v>
      </c>
      <c r="G302" s="104">
        <f>('Renewable Diesel'!B311*'RD Feedstock Breakdown'!G$3*'Feedstock Conversion Rates'!B$7)/12+116.75-39-57.5-145-31.5+32+70-40+10-35</f>
        <v>56.907000000000039</v>
      </c>
      <c r="H302" s="104">
        <f>('Renewable Diesel'!B311*'RD Feedstock Breakdown'!H$3*'Feedstock Conversion Rates'!B$3)/12+67+10+12+3-235+20+47-20+105</f>
        <v>185.40022499999998</v>
      </c>
      <c r="I302" s="106">
        <f t="shared" si="291"/>
        <v>496.14347500000002</v>
      </c>
      <c r="J302" s="104">
        <f t="shared" ref="J302:J312" si="316">54-15-35+65</f>
        <v>69</v>
      </c>
      <c r="K302" s="104"/>
      <c r="L302" s="104">
        <v>1</v>
      </c>
      <c r="M302" s="104">
        <f>('Renewable Diesel'!C311*'RD Feedstock Breakdown'!M$3*'Feedstock Conversion Rates'!B$2)/12</f>
        <v>7.7902500000000003</v>
      </c>
      <c r="N302" s="104">
        <f>('Renewable Diesel'!C311*'RD Feedstock Breakdown'!N$3*'Feedstock Conversion Rates'!B$8)/12</f>
        <v>3.671875</v>
      </c>
      <c r="O302" s="104">
        <f>('Renewable Diesel'!C311*'RD Feedstock Breakdown'!O$3*'Feedstock Conversion Rates'!B$7)/12</f>
        <v>11.9991</v>
      </c>
      <c r="P302" s="104">
        <f>('Renewable Diesel'!C311*'RD Feedstock Breakdown'!P$3*'Feedstock Conversion Rates'!B$3)/12</f>
        <v>10.4470425</v>
      </c>
      <c r="Q302" s="106">
        <f t="shared" si="299"/>
        <v>103.90826749999999</v>
      </c>
      <c r="R302" s="104">
        <f>('Renewable Diesel'!D311*'RD Feedstock Breakdown'!R$3*'Feedstock Conversion Rates'!B$7)/12</f>
        <v>2.2999999999999998</v>
      </c>
      <c r="S302" s="106">
        <f t="shared" si="249"/>
        <v>2.2999999999999998</v>
      </c>
      <c r="T302" s="104">
        <f t="shared" si="300"/>
        <v>0.82499999999999929</v>
      </c>
      <c r="U302" s="104"/>
      <c r="V302" s="104">
        <f>('Renewable Diesel'!E311*'RD Feedstock Breakdown'!V$3*'Feedstock Conversion Rates'!B$6)/12-20+25</f>
        <v>49.250150000000012</v>
      </c>
      <c r="W302" s="104">
        <f>('Renewable Diesel'!E311*'RD Feedstock Breakdown'!W$3*'Feedstock Conversion Rates'!B$8)/12-6</f>
        <v>16.1796875</v>
      </c>
      <c r="X302" s="106">
        <f t="shared" si="277"/>
        <v>66.254837500000008</v>
      </c>
      <c r="Y302" s="104">
        <f t="shared" si="301"/>
        <v>98</v>
      </c>
      <c r="Z302" s="104">
        <f>('Renewable Diesel'!F311*'RD Feedstock Breakdown'!Z$3*'Feedstock Conversion Rates'!B$6)/12-142+15+5</f>
        <v>37.460000000000008</v>
      </c>
      <c r="AA302" s="104">
        <f>('Renewable Diesel'!F311*'RD Feedstock Breakdown'!AA$3*'Feedstock Conversion Rates'!B$7)/12+24</f>
        <v>128.26666666666665</v>
      </c>
      <c r="AB302" s="106">
        <f t="shared" si="235"/>
        <v>263.72666666666669</v>
      </c>
      <c r="AC302" s="104">
        <f>('Renewable Diesel'!G311*'RD Feedstock Breakdown'!AC$3*'Feedstock Conversion Rates'!B$5)/12</f>
        <v>11.796875</v>
      </c>
      <c r="AD302" s="104">
        <f>('Renewable Diesel'!G311*'RD Feedstock Breakdown'!AD$3*'Feedstock Conversion Rates'!B$4)/12</f>
        <v>5.859375</v>
      </c>
      <c r="AE302" s="104">
        <f>('Renewable Diesel'!G311*'RD Feedstock Breakdown'!AE$3*'Feedstock Conversion Rates'!B$6)/12</f>
        <v>7.3281250000000009</v>
      </c>
      <c r="AF302" s="106">
        <f t="shared" si="284"/>
        <v>24.984375</v>
      </c>
      <c r="AG302" s="104">
        <f t="shared" si="306"/>
        <v>148</v>
      </c>
      <c r="AH302" s="104"/>
      <c r="AI302" s="104">
        <f>('Renewable Diesel'!H311*'RD Feedstock Breakdown'!AI$3*'Feedstock Conversion Rates'!B$6)/12-130-20+51-49</f>
        <v>0.51666666666667993</v>
      </c>
      <c r="AJ302" s="106">
        <f t="shared" si="248"/>
        <v>148.51666666666668</v>
      </c>
      <c r="AK302" s="104">
        <f>('Renewable Diesel'!J311*'RD Feedstock Breakdown'!AK$3*'Feedstock Conversion Rates'!B$4)/12</f>
        <v>95.8125</v>
      </c>
      <c r="AL302" s="106">
        <f t="shared" si="252"/>
        <v>95.8125</v>
      </c>
      <c r="AM302" s="104">
        <f>('Renewable Diesel'!K311*'RD Feedstock Breakdown'!AM$3*'Feedstock Conversion Rates'!B$4)/12+5+15-10+10</f>
        <v>78.59375</v>
      </c>
      <c r="AN302" s="104">
        <f>('Renewable Diesel'!K311*'RD Feedstock Breakdown'!AN$3*'Feedstock Conversion Rates'!B$6)/12-5-15+10-10</f>
        <v>4.4270833333333321</v>
      </c>
      <c r="AO302" s="106">
        <f t="shared" si="270"/>
        <v>83.020833333333329</v>
      </c>
      <c r="AP302" s="104">
        <f>('Renewable Diesel'!L311*'RD Feedstock Breakdown'!AP$3*'Feedstock Conversion Rates'!B$4)/12+15-10+15</f>
        <v>78.59375</v>
      </c>
      <c r="AQ302" s="104">
        <f>('Renewable Diesel'!L311*'RD Feedstock Breakdown'!AQ$3*'Feedstock Conversion Rates'!B$6)/12-15+10-15</f>
        <v>4.4270833333333321</v>
      </c>
      <c r="AR302" s="106">
        <f t="shared" si="256"/>
        <v>83.020833333333329</v>
      </c>
      <c r="AS302" s="104">
        <f>('Renewable Diesel'!M311*'RD Feedstock Breakdown'!AS$3*'Feedstock Conversion Rates'!B$4)/12-25</f>
        <v>431.25</v>
      </c>
      <c r="AT302" s="104">
        <f>('Renewable Diesel'!M311*'RD Feedstock Breakdown'!AT$3*'Feedstock Conversion Rates'!B$5)/12+25</f>
        <v>25</v>
      </c>
      <c r="AU302" s="106">
        <f t="shared" si="290"/>
        <v>456.25</v>
      </c>
      <c r="AV302" s="104">
        <f>'Renewable Diesel'!N311*'RD Feedstock Breakdown'!$AV$3*'Feedstock Conversion Rates'!$B$4/12-15-10+25+25-22+25</f>
        <v>106.74999999999999</v>
      </c>
      <c r="AW302" s="104">
        <f>'Renewable Diesel'!N311*'RD Feedstock Breakdown'!$AW$3*'Feedstock Conversion Rates'!$B$7/12+15+10-25-25+22-25</f>
        <v>13.400000000000006</v>
      </c>
      <c r="AX302" s="106">
        <f t="shared" si="239"/>
        <v>120.14999999999999</v>
      </c>
      <c r="AY302" s="104">
        <f>('Renewable Diesel'!O311*'RD Feedstock Breakdown'!AY$3*'Feedstock Conversion Rates'!B$4)/12</f>
        <v>210.9375</v>
      </c>
      <c r="AZ302" s="104">
        <f>('Renewable Diesel'!O311*'RD Feedstock Breakdown'!AZ$3*'Feedstock Conversion Rates'!B$3)/12</f>
        <v>25.03125</v>
      </c>
      <c r="BA302" s="106">
        <f t="shared" si="302"/>
        <v>235.96875</v>
      </c>
      <c r="BB302" s="104">
        <f>('Renewable Diesel'!Q311*'RD Feedstock Breakdown'!BB$3*'Feedstock Conversion Rates'!B$4)/12</f>
        <v>11.156249999999998</v>
      </c>
      <c r="BC302" s="104">
        <f>('Renewable Diesel'!Q311*'RD Feedstock Breakdown'!BC$3*'Feedstock Conversion Rates'!B$3)/12</f>
        <v>1.4017500000000001</v>
      </c>
      <c r="BD302" s="104">
        <f>('Renewable Diesel'!Q311*'RD Feedstock Breakdown'!BD$3*'Feedstock Conversion Rates'!B$6)/12</f>
        <v>0.8207500000000002</v>
      </c>
      <c r="BE302" s="106">
        <f t="shared" si="279"/>
        <v>13.378749999999998</v>
      </c>
      <c r="BF302" s="104">
        <f>('Renewable Diesel'!R311*'RD Feedstock Breakdown'!BF$3*'Feedstock Conversion Rates'!B$4)/12</f>
        <v>62.5</v>
      </c>
      <c r="BG302" s="106">
        <f t="shared" si="262"/>
        <v>62.5</v>
      </c>
      <c r="BH302" s="104">
        <f>('Renewable Diesel'!T311*'RD Feedstock Breakdown'!BH$3*'Feedstock Conversion Rates'!B$7)/12</f>
        <v>27.599999999999998</v>
      </c>
      <c r="BI302" s="106">
        <f t="shared" si="243"/>
        <v>27.599999999999998</v>
      </c>
      <c r="BJ302" s="104">
        <f>('Renewable Diesel'!W311*'RD Feedstock Breakdown'!BJ$3*'Feedstock Conversion Rates'!B$4)/12</f>
        <v>7.5</v>
      </c>
      <c r="BK302" s="104">
        <f>('Renewable Diesel'!W311*'RD Feedstock Breakdown'!BK$3*'Feedstock Conversion Rates'!B$3)/12</f>
        <v>1.335</v>
      </c>
      <c r="BL302" s="104">
        <f>('Renewable Diesel'!W311*'RD Feedstock Breakdown'!BL$3*'Feedstock Conversion Rates'!B$6)/12</f>
        <v>3.1266666666666669</v>
      </c>
      <c r="BM302" s="104">
        <f>('Renewable Diesel'!W311*'RD Feedstock Breakdown'!BM$3*'Feedstock Conversion Rates'!B$7)/12</f>
        <v>1.5333333333333332</v>
      </c>
      <c r="BN302" s="106">
        <f t="shared" si="296"/>
        <v>13.495000000000001</v>
      </c>
      <c r="BO302" s="104">
        <f>('Renewable Diesel'!P311*'Feedstock Conversion Rates'!B$4)/12</f>
        <v>31.25</v>
      </c>
      <c r="BP302" s="106">
        <f t="shared" si="285"/>
        <v>31.25</v>
      </c>
      <c r="BQ302" s="104">
        <f>('Renewable Diesel'!$S311*'RD Feedstock Breakdown'!BQ$3*'Feedstock Conversion Rates'!B$4)/12+10+15-15</f>
        <v>38.125</v>
      </c>
      <c r="BR302" s="104">
        <f>('Renewable Diesel'!$S311*'RD Feedstock Breakdown'!BR$3*'Feedstock Conversion Rates'!B$7)/12-10-15+15</f>
        <v>1.5</v>
      </c>
      <c r="BS302" s="106">
        <f t="shared" si="307"/>
        <v>39.625</v>
      </c>
      <c r="BT302" s="106"/>
      <c r="BU302" s="104">
        <f>('Renewable Diesel'!Y311*'Feedstock Conversion Rates'!B$7)/12</f>
        <v>2.6833333333333331</v>
      </c>
      <c r="BV302" s="106">
        <f t="shared" si="281"/>
        <v>2.6833333333333331</v>
      </c>
      <c r="BW302" s="104">
        <f>('Renewable Diesel'!$Z311*'RD Feedstock Breakdown'!BW$3*'Feedstock Conversion Rates'!$B$4)/12</f>
        <v>71.875</v>
      </c>
      <c r="BX302" s="104">
        <f>('Renewable Diesel'!$Z311*'RD Feedstock Breakdown'!BX$3*'Feedstock Conversion Rates'!$B$5)/12</f>
        <v>7.2354166666666666</v>
      </c>
      <c r="BY302" s="104">
        <f>('Renewable Diesel'!$Z311*'RD Feedstock Breakdown'!BY$3*'Feedstock Conversion Rates'!$B$7)/12</f>
        <v>61.716666666666661</v>
      </c>
      <c r="BZ302" s="104">
        <f>('Renewable Diesel'!$Z311*'RD Feedstock Breakdown'!BZ$3*'Feedstock Conversion Rates'!$B$3)/12</f>
        <v>15.352499999999999</v>
      </c>
      <c r="CA302" s="106">
        <f t="shared" si="312"/>
        <v>156.17958333333331</v>
      </c>
      <c r="CB302" s="104">
        <f>('Renewable Diesel'!AA311*'Feedstock Conversion Rates'!B$4)/12</f>
        <v>191.25</v>
      </c>
      <c r="CC302" s="106">
        <f t="shared" si="298"/>
        <v>191.25</v>
      </c>
      <c r="CD302" s="104">
        <f>('Renewable Diesel'!$AB311*'RD Feedstock Breakdown'!CD$3*'Feedstock Conversion Rates'!$B$6)/12-15-5</f>
        <v>12.830000000000005</v>
      </c>
      <c r="CE302" s="104">
        <f>('Renewable Diesel'!$AB311*'RD Feedstock Breakdown'!CE$3*'Feedstock Conversion Rates'!$B$4)/12+15+5</f>
        <v>31.25</v>
      </c>
      <c r="CF302" s="106">
        <f t="shared" si="294"/>
        <v>44.080000000000005</v>
      </c>
      <c r="CG302" s="104">
        <f>('Renewable Diesel'!AD311*'Feedstock Conversion Rates'!B$4)/12</f>
        <v>112.5</v>
      </c>
      <c r="CH302" s="106">
        <f t="shared" si="278"/>
        <v>112.5</v>
      </c>
      <c r="CI302" s="104">
        <f>('Renewable Diesel'!$AE311*'RD Feedstock Breakdown'!CI$3*'Feedstock Conversion Rates'!$B$5)/12</f>
        <v>0.34604166666666664</v>
      </c>
      <c r="CJ302" s="104">
        <f>('Renewable Diesel'!$AE311*'RD Feedstock Breakdown'!CJ$3*'Feedstock Conversion Rates'!$B$4)/12</f>
        <v>0.34375</v>
      </c>
      <c r="CK302" s="106">
        <f t="shared" si="286"/>
        <v>0.68979166666666658</v>
      </c>
      <c r="CL302" s="104">
        <f>(((CL$3*'Renewable Diesel'!$AF311)*'Feedstock Conversion Rates'!$B$3)/12)</f>
        <v>91.78125</v>
      </c>
      <c r="CM302" s="104">
        <f>(((CM$3*'Renewable Diesel'!$AF311)*'Feedstock Conversion Rates'!$B$6)/12)</f>
        <v>53.739583333333336</v>
      </c>
      <c r="CN302" s="104">
        <f>(((CN$3*'Renewable Diesel'!$AF311)*'Feedstock Conversion Rates'!$B$4)/12)</f>
        <v>42.96875</v>
      </c>
      <c r="CO302" s="106">
        <f t="shared" si="280"/>
        <v>188.48958333333334</v>
      </c>
      <c r="CP302" s="104">
        <f>('Renewable Diesel'!$AG311*'RD Feedstock Breakdown'!CP$3*'Feedstock Conversion Rates'!$B$3)/12</f>
        <v>6.0075000000000003</v>
      </c>
      <c r="CQ302" s="104">
        <f>('Renewable Diesel'!$AG311*'RD Feedstock Breakdown'!CQ$3*'Feedstock Conversion Rates'!$B$6)/12</f>
        <v>3.5175000000000001</v>
      </c>
      <c r="CR302" s="104">
        <f>('Renewable Diesel'!$AG311*'RD Feedstock Breakdown'!CR$3*'Feedstock Conversion Rates'!$B$4)/12</f>
        <v>2.8125</v>
      </c>
      <c r="CS302" s="106">
        <f t="shared" si="231"/>
        <v>12.3375</v>
      </c>
      <c r="CT302" s="104">
        <f>('Renewable Diesel'!AI311*'Feedstock Conversion Rates'!$B$4*'RD Feedstock Breakdown'!$CT$3)/12</f>
        <v>29.375</v>
      </c>
      <c r="CU302" s="106">
        <f t="shared" si="282"/>
        <v>29.375</v>
      </c>
      <c r="CV302" s="104">
        <f>('Renewable Diesel'!AN311*'Feedstock Conversion Rates'!$B$3*'RD Feedstock Breakdown'!$CV$3)/12</f>
        <v>0.50062499999999999</v>
      </c>
      <c r="CW302" s="106">
        <f t="shared" si="255"/>
        <v>0.50062499999999999</v>
      </c>
      <c r="CX302" s="104">
        <f>('Renewable Diesel'!AO311*'RD Feedstock Breakdown'!$CX$3*'Feedstock Conversion Rates'!$B$3)/12</f>
        <v>6.3412499999999996</v>
      </c>
      <c r="CY302" s="104">
        <f>('Renewable Diesel'!AO311*'RD Feedstock Breakdown'!$CY$3*'Feedstock Conversion Rates'!$B$6)/12</f>
        <v>7.4258333333333342</v>
      </c>
      <c r="CZ302" s="106">
        <f t="shared" si="233"/>
        <v>13.767083333333334</v>
      </c>
      <c r="DA302" s="104">
        <f>('Renewable Diesel'!$AP311*'RD Feedstock Breakdown'!DA$3*'Feedstock Conversion Rates'!$B$3)/12</f>
        <v>6.3412499999999996</v>
      </c>
      <c r="DB302" s="104">
        <f>('Renewable Diesel'!$AP311*'RD Feedstock Breakdown'!DB$3*'Feedstock Conversion Rates'!$B$8)/12</f>
        <v>7.421875</v>
      </c>
      <c r="DC302" s="106">
        <f t="shared" si="260"/>
        <v>13.763124999999999</v>
      </c>
      <c r="DD302" s="104">
        <f>('Renewable Diesel'!AQ311*$DD$3*'Feedstock Conversion Rates'!$B$14)/12</f>
        <v>3.1041666666666665</v>
      </c>
      <c r="DE302" s="106">
        <f t="shared" si="261"/>
        <v>3.1041666666666665</v>
      </c>
      <c r="DF302" s="104">
        <f>('Renewable Diesel'!AR311*'Feedstock Conversion Rates'!$B$4*$DF$3)/12</f>
        <v>75</v>
      </c>
      <c r="DG302" s="106">
        <f t="shared" si="234"/>
        <v>75</v>
      </c>
      <c r="DH302" s="104">
        <f>('Renewable Diesel'!AS311*'Feedstock Conversion Rates'!$B$4*$DH$3)/12</f>
        <v>75</v>
      </c>
      <c r="DI302" s="106">
        <f t="shared" si="240"/>
        <v>75</v>
      </c>
      <c r="DJ302" s="104">
        <f>('Renewable Diesel'!AT311*'Feedstock Conversion Rates'!$B$4*0.25)/12</f>
        <v>8.59375</v>
      </c>
      <c r="DK302" s="104">
        <f>('Renewable Diesel'!$AT311*'RD Feedstock Breakdown'!DK$3*'Feedstock Conversion Rates'!$B$3)/12*0.5</f>
        <v>9.1781249999999996</v>
      </c>
      <c r="DL302" s="104">
        <f>('Renewable Diesel'!$AT311*'RD Feedstock Breakdown'!$DL$3*'Feedstock Conversion Rates'!$B$6)/12</f>
        <v>10.747916666666669</v>
      </c>
      <c r="DM302" s="104">
        <f>('Renewable Diesel'!$AT311*'RD Feedstock Breakdown'!$DM$3*'Feedstock Conversion Rates'!$B$8)/12</f>
        <v>10.7421875</v>
      </c>
      <c r="DN302" s="106">
        <f t="shared" si="297"/>
        <v>39.26197916666667</v>
      </c>
      <c r="DP302" s="104">
        <f t="shared" si="265"/>
        <v>103.22025000000001</v>
      </c>
      <c r="DQ302" s="104">
        <f t="shared" si="266"/>
        <v>359.11776750000001</v>
      </c>
      <c r="DR302" s="104">
        <f t="shared" si="271"/>
        <v>2016.953125</v>
      </c>
      <c r="DS302" s="104">
        <f t="shared" si="283"/>
        <v>253.90125</v>
      </c>
      <c r="DT302" s="104">
        <f t="shared" si="267"/>
        <v>203.03923333333341</v>
      </c>
      <c r="DU302" s="104">
        <f t="shared" si="268"/>
        <v>307.90610000000004</v>
      </c>
      <c r="DV302" s="104">
        <f t="shared" si="272"/>
        <v>78.75</v>
      </c>
      <c r="DW302" s="104">
        <f t="shared" si="269"/>
        <v>3</v>
      </c>
      <c r="DX302" s="106">
        <f t="shared" si="273"/>
        <v>3325.8877258333337</v>
      </c>
      <c r="DY302" s="109">
        <f t="shared" si="257"/>
        <v>-5.631051180898794E-13</v>
      </c>
      <c r="EA302" s="110">
        <f t="shared" si="313"/>
        <v>3.1035398218121499E-2</v>
      </c>
      <c r="EB302" s="110">
        <f t="shared" si="313"/>
        <v>0.10797651547603566</v>
      </c>
      <c r="EC302" s="110">
        <f t="shared" si="313"/>
        <v>0.60644053295414013</v>
      </c>
      <c r="ED302" s="110">
        <f t="shared" si="308"/>
        <v>7.6340896305025621E-2</v>
      </c>
      <c r="EE302" s="110">
        <f t="shared" si="308"/>
        <v>6.1048132129132515E-2</v>
      </c>
      <c r="EF302" s="110">
        <f t="shared" si="308"/>
        <v>9.2578621222955196E-2</v>
      </c>
      <c r="EG302" s="110">
        <f t="shared" si="308"/>
        <v>2.3677888880108969E-2</v>
      </c>
      <c r="EH302" s="111">
        <f t="shared" si="274"/>
        <v>9.0201481448034171E-4</v>
      </c>
      <c r="EI302" s="110">
        <f t="shared" si="236"/>
        <v>0.99909798518551962</v>
      </c>
      <c r="EK302" s="132">
        <f>(EA302*'Renewable Diesel'!BF311*'Feedstock Conversion Rates'!B$2)+FB302</f>
        <v>523.11933122921016</v>
      </c>
      <c r="EL302" s="132">
        <f>(EB302*'Renewable Diesel'!BF311*'Feedstock Conversion Rates'!B$3)+FC302</f>
        <v>1715.0877518483815</v>
      </c>
      <c r="EM302" s="132">
        <f>(EC302*'Renewable Diesel'!BF311*'Feedstock Conversion Rates'!B$4)+FD302</f>
        <v>9019.324353426422</v>
      </c>
      <c r="EN302" s="132">
        <f>(ED302*'Renewable Diesel'!BF311*'Feedstock Conversion Rates'!B$5)+FE302</f>
        <v>1142.9539356995947</v>
      </c>
      <c r="EO302" s="132">
        <f>(EE302*'Renewable Diesel'!BF311*'Feedstock Conversion Rates'!B$6)+FF302</f>
        <v>1135.5329482508712</v>
      </c>
      <c r="EP302" s="132">
        <f>(EF302*'Renewable Diesel'!BF311*'Feedstock Conversion Rates'!B$7)+FG302</f>
        <v>1688.974361526733</v>
      </c>
      <c r="EQ302" s="132">
        <f>(EG302*'Renewable Diesel'!BF311*'Feedstock Conversion Rates'!B$8)+FH302</f>
        <v>440.18858447214211</v>
      </c>
      <c r="ER302" s="132">
        <f>(EH302*'Renewable Diesel'!BF311*'Feedstock Conversion Rates'!B$9)+FI302</f>
        <v>16.545501079841785</v>
      </c>
      <c r="ES302" s="132">
        <f t="shared" si="275"/>
        <v>15681.726767533197</v>
      </c>
      <c r="ET302" s="133">
        <f>ES302/'Renewable Diesel'!BF311</f>
        <v>16.400590549236412</v>
      </c>
      <c r="EW302" s="73">
        <f t="shared" si="309"/>
        <v>15424.501532703442</v>
      </c>
      <c r="EX302" s="73">
        <f t="shared" si="310"/>
        <v>8377.5251073340787</v>
      </c>
      <c r="EY302" s="92">
        <f t="shared" si="258"/>
        <v>0.9835971357846699</v>
      </c>
      <c r="EZ302" s="92">
        <f t="shared" si="258"/>
        <v>0.53422210650159796</v>
      </c>
      <c r="FB302" s="102">
        <f>IF('Renewable Diesel'!$BG311&lt;1,0,(((('Renewable Diesel'!$BG311-1)*'Renewable Diesel'!$BF311)*'RD Feedstock Breakdown'!EA302)*'Feedstock Conversion Rates'!$B$2))</f>
        <v>270.88125572240875</v>
      </c>
      <c r="FC302" s="102">
        <f>IF('Renewable Diesel'!$BG311&lt;1,0,(((('Renewable Diesel'!$BG311-1)*'Renewable Diesel'!$BF311)*'RD Feedstock Breakdown'!EB302)*'Feedstock Conversion Rates'!$B$3))</f>
        <v>888.10544011658737</v>
      </c>
      <c r="FD302" s="102">
        <f>IF('Renewable Diesel'!$BG311&lt;1,0,(((('Renewable Diesel'!$BG311-1)*'Renewable Diesel'!$BF311)*'RD Feedstock Breakdown'!EC302)*'Feedstock Conversion Rates'!$B$4))</f>
        <v>4670.3797026253524</v>
      </c>
      <c r="FE302" s="102">
        <f>IF('Renewable Diesel'!$BG311&lt;1,0,(((('Renewable Diesel'!$BG311-1)*'Renewable Diesel'!$BF311)*'RD Feedstock Breakdown'!ED302)*'Feedstock Conversion Rates'!$B$5))</f>
        <v>591.84354095207175</v>
      </c>
      <c r="FF302" s="102">
        <f>IF('Renewable Diesel'!$BG311&lt;1,0,(((('Renewable Diesel'!$BG311-1)*'Renewable Diesel'!$BF311)*'RD Feedstock Breakdown'!EE302)*'Feedstock Conversion Rates'!$B$6))</f>
        <v>588.00081085435784</v>
      </c>
      <c r="FG302" s="102">
        <f>IF('Renewable Diesel'!$BG311&lt;1,0,(((('Renewable Diesel'!$BG311-1)*'Renewable Diesel'!$BF311)*'RD Feedstock Breakdown'!EF302)*'Feedstock Conversion Rates'!$B$7))</f>
        <v>874.58342412670572</v>
      </c>
      <c r="FH302" s="102">
        <f>IF('Renewable Diesel'!$BG311&lt;1,0,(((('Renewable Diesel'!$BG311-1)*'Renewable Diesel'!$BF311)*'RD Feedstock Breakdown'!EG302)*'Feedstock Conversion Rates'!$B$8))</f>
        <v>227.9381192744294</v>
      </c>
      <c r="FI302" s="102">
        <f>IF('Renewable Diesel'!$BG311&lt;1,0,(((('Renewable Diesel'!$BG311-1)*'Renewable Diesel'!$BF311)*'RD Feedstock Breakdown'!EH302)*'Feedstock Conversion Rates'!$B$9))</f>
        <v>8.5675788324102982</v>
      </c>
      <c r="FJ302" s="102">
        <f t="shared" si="311"/>
        <v>8120.2998725043235</v>
      </c>
      <c r="GD302" s="91">
        <f>'Renewable Diesel'!BB311*0.32</f>
        <v>0</v>
      </c>
      <c r="GE302" s="91">
        <f>'Renewable Diesel'!BC311</f>
        <v>517.26984189440452</v>
      </c>
      <c r="GF302" s="91">
        <f>'Renewable Diesel'!BD311</f>
        <v>0</v>
      </c>
      <c r="GG302" s="91">
        <f t="shared" si="295"/>
        <v>517.26984189440452</v>
      </c>
      <c r="GH302" s="124">
        <v>1</v>
      </c>
      <c r="GI302" s="102">
        <f>$GG302*EA302*'Feedstock Conversion Rates'!$B$2</f>
        <v>136.45624200004954</v>
      </c>
      <c r="GJ302" s="102">
        <f>$GG302*EB302*'Feedstock Conversion Rates'!$B$3</f>
        <v>447.3824906596675</v>
      </c>
      <c r="GK302" s="102">
        <f>$GG302*EC302*'Feedstock Conversion Rates'!$B$4</f>
        <v>2352.7004894965985</v>
      </c>
      <c r="GL302" s="102">
        <f>$GG302*ED302*'Feedstock Conversion Rates'!$B$5</f>
        <v>298.14076738142188</v>
      </c>
      <c r="GM302" s="102">
        <f>$GG302*EE302*'Feedstock Conversion Rates'!$B$6</f>
        <v>296.20499479813219</v>
      </c>
      <c r="GN302" s="102">
        <f>$GG302*EF302*'Feedstock Conversion Rates'!$B$7</f>
        <v>440.5707846177599</v>
      </c>
      <c r="GO302" s="102">
        <f>$GG302*EG302*'Feedstock Conversion Rates'!$B$8</f>
        <v>114.82366722569293</v>
      </c>
      <c r="GP302" s="102">
        <f>$GG302*EH302*'Feedstock Conversion Rates'!B$9</f>
        <v>4.3159118093720767</v>
      </c>
      <c r="GQ302" s="102">
        <f t="shared" si="276"/>
        <v>4090.5953479886948</v>
      </c>
      <c r="GR302" s="85">
        <f t="shared" si="293"/>
        <v>7.9080491779834885</v>
      </c>
      <c r="GT302" s="103">
        <f t="shared" si="254"/>
        <v>3.3358528622769723E-2</v>
      </c>
      <c r="GU302" s="103">
        <f t="shared" si="254"/>
        <v>0.10936855215455155</v>
      </c>
      <c r="GV302" s="103">
        <f t="shared" si="254"/>
        <v>0.57514867381184454</v>
      </c>
      <c r="GW302" s="103">
        <f t="shared" si="254"/>
        <v>7.288444395459813E-2</v>
      </c>
      <c r="GX302" s="103">
        <f t="shared" si="253"/>
        <v>7.2411218807984332E-2</v>
      </c>
      <c r="GY302" s="103">
        <f t="shared" si="253"/>
        <v>0.10770334074583648</v>
      </c>
      <c r="GZ302" s="103">
        <f t="shared" si="253"/>
        <v>2.8070160320832174E-2</v>
      </c>
      <c r="HA302" s="103">
        <f t="shared" si="251"/>
        <v>1.055081581583025E-3</v>
      </c>
    </row>
    <row r="303" spans="1:209" x14ac:dyDescent="0.25">
      <c r="A303" s="96">
        <v>49644</v>
      </c>
      <c r="B303" s="104">
        <f t="shared" si="315"/>
        <v>59.25</v>
      </c>
      <c r="C303" s="104">
        <f t="shared" si="314"/>
        <v>49</v>
      </c>
      <c r="D303" s="104">
        <f t="shared" si="288"/>
        <v>2</v>
      </c>
      <c r="E303" s="104">
        <f>('Renewable Diesel'!B312*E$3*'Feedstock Conversion Rates'!$B$2)/12+26+13-100+27.5+39</f>
        <v>95.43</v>
      </c>
      <c r="F303" s="104">
        <f>('Renewable Diesel'!B312*'RD Feedstock Breakdown'!F$3*'Feedstock Conversion Rates'!B$8)/12+77+23-10-12-115.75+24+8</f>
        <v>48.15625</v>
      </c>
      <c r="G303" s="104">
        <f>('Renewable Diesel'!B312*'RD Feedstock Breakdown'!G$3*'Feedstock Conversion Rates'!B$7)/12+116.75-39-57.5-145-31.5+32+70-40+10-35</f>
        <v>56.907000000000039</v>
      </c>
      <c r="H303" s="104">
        <f>('Renewable Diesel'!B312*'RD Feedstock Breakdown'!H$3*'Feedstock Conversion Rates'!B$3)/12+67+10+12+3-235+20+47-20+105</f>
        <v>185.40022499999998</v>
      </c>
      <c r="I303" s="106">
        <f t="shared" si="291"/>
        <v>496.14347500000002</v>
      </c>
      <c r="J303" s="104">
        <f t="shared" si="316"/>
        <v>69</v>
      </c>
      <c r="K303" s="104"/>
      <c r="L303" s="104">
        <v>1</v>
      </c>
      <c r="M303" s="104">
        <f>('Renewable Diesel'!C312*'RD Feedstock Breakdown'!M$3*'Feedstock Conversion Rates'!B$2)/12</f>
        <v>7.7902500000000003</v>
      </c>
      <c r="N303" s="104">
        <f>('Renewable Diesel'!C312*'RD Feedstock Breakdown'!N$3*'Feedstock Conversion Rates'!B$8)/12</f>
        <v>3.671875</v>
      </c>
      <c r="O303" s="104">
        <f>('Renewable Diesel'!C312*'RD Feedstock Breakdown'!O$3*'Feedstock Conversion Rates'!B$7)/12</f>
        <v>11.9991</v>
      </c>
      <c r="P303" s="104">
        <f>('Renewable Diesel'!C312*'RD Feedstock Breakdown'!P$3*'Feedstock Conversion Rates'!B$3)/12</f>
        <v>10.4470425</v>
      </c>
      <c r="Q303" s="106">
        <f t="shared" si="299"/>
        <v>103.90826749999999</v>
      </c>
      <c r="R303" s="104">
        <f>('Renewable Diesel'!D312*'RD Feedstock Breakdown'!R$3*'Feedstock Conversion Rates'!B$7)/12</f>
        <v>2.2999999999999998</v>
      </c>
      <c r="S303" s="106">
        <f t="shared" si="249"/>
        <v>2.2999999999999998</v>
      </c>
      <c r="T303" s="104">
        <f t="shared" si="300"/>
        <v>0.82499999999999929</v>
      </c>
      <c r="U303" s="104"/>
      <c r="V303" s="104">
        <f>('Renewable Diesel'!E312*'RD Feedstock Breakdown'!V$3*'Feedstock Conversion Rates'!B$6)/12-20+25</f>
        <v>49.250150000000012</v>
      </c>
      <c r="W303" s="104">
        <f>('Renewable Diesel'!E312*'RD Feedstock Breakdown'!W$3*'Feedstock Conversion Rates'!B$8)/12-6</f>
        <v>16.1796875</v>
      </c>
      <c r="X303" s="106">
        <f t="shared" si="277"/>
        <v>66.254837500000008</v>
      </c>
      <c r="Y303" s="104">
        <f t="shared" si="301"/>
        <v>98</v>
      </c>
      <c r="Z303" s="104">
        <f>('Renewable Diesel'!F312*'RD Feedstock Breakdown'!Z$3*'Feedstock Conversion Rates'!B$6)/12-142+15+10</f>
        <v>42.460000000000008</v>
      </c>
      <c r="AA303" s="104">
        <f>('Renewable Diesel'!F312*'RD Feedstock Breakdown'!AA$3*'Feedstock Conversion Rates'!B$7)/12+24</f>
        <v>128.26666666666665</v>
      </c>
      <c r="AB303" s="106">
        <f t="shared" si="235"/>
        <v>268.72666666666669</v>
      </c>
      <c r="AC303" s="104">
        <f>('Renewable Diesel'!G312*'RD Feedstock Breakdown'!AC$3*'Feedstock Conversion Rates'!B$5)/12</f>
        <v>11.796875</v>
      </c>
      <c r="AD303" s="104">
        <f>('Renewable Diesel'!G312*'RD Feedstock Breakdown'!AD$3*'Feedstock Conversion Rates'!B$4)/12</f>
        <v>5.859375</v>
      </c>
      <c r="AE303" s="104">
        <f>('Renewable Diesel'!G312*'RD Feedstock Breakdown'!AE$3*'Feedstock Conversion Rates'!B$6)/12</f>
        <v>7.3281250000000009</v>
      </c>
      <c r="AF303" s="106">
        <f t="shared" si="284"/>
        <v>24.984375</v>
      </c>
      <c r="AG303" s="104">
        <f t="shared" si="306"/>
        <v>148</v>
      </c>
      <c r="AH303" s="104"/>
      <c r="AI303" s="104">
        <f>('Renewable Diesel'!H312*'RD Feedstock Breakdown'!AI$3*'Feedstock Conversion Rates'!B$6)/12-130-20+51-49</f>
        <v>0.51666666666667993</v>
      </c>
      <c r="AJ303" s="106">
        <f t="shared" si="248"/>
        <v>148.51666666666668</v>
      </c>
      <c r="AK303" s="104">
        <f>('Renewable Diesel'!J312*'RD Feedstock Breakdown'!AK$3*'Feedstock Conversion Rates'!B$4)/12</f>
        <v>95.8125</v>
      </c>
      <c r="AL303" s="106">
        <f t="shared" si="252"/>
        <v>95.8125</v>
      </c>
      <c r="AM303" s="104">
        <f>('Renewable Diesel'!K312*'RD Feedstock Breakdown'!AM$3*'Feedstock Conversion Rates'!B$4)/12+5+15-10+10</f>
        <v>78.59375</v>
      </c>
      <c r="AN303" s="104">
        <f>('Renewable Diesel'!K312*'RD Feedstock Breakdown'!AN$3*'Feedstock Conversion Rates'!B$6)/12-5-15+10-10</f>
        <v>4.4270833333333321</v>
      </c>
      <c r="AO303" s="106">
        <f t="shared" si="270"/>
        <v>83.020833333333329</v>
      </c>
      <c r="AP303" s="104">
        <f>('Renewable Diesel'!L312*'RD Feedstock Breakdown'!AP$3*'Feedstock Conversion Rates'!B$4)/12+15-10+15</f>
        <v>78.59375</v>
      </c>
      <c r="AQ303" s="104">
        <f>('Renewable Diesel'!L312*'RD Feedstock Breakdown'!AQ$3*'Feedstock Conversion Rates'!B$6)/12-15+10-15</f>
        <v>4.4270833333333321</v>
      </c>
      <c r="AR303" s="106">
        <f t="shared" si="256"/>
        <v>83.020833333333329</v>
      </c>
      <c r="AS303" s="104">
        <f>('Renewable Diesel'!M312*'RD Feedstock Breakdown'!AS$3*'Feedstock Conversion Rates'!B$4)/12-25</f>
        <v>431.25</v>
      </c>
      <c r="AT303" s="104">
        <f>('Renewable Diesel'!M312*'RD Feedstock Breakdown'!AT$3*'Feedstock Conversion Rates'!B$5)/12+25</f>
        <v>25</v>
      </c>
      <c r="AU303" s="106">
        <f t="shared" si="290"/>
        <v>456.25</v>
      </c>
      <c r="AV303" s="104">
        <f>'Renewable Diesel'!N312*'RD Feedstock Breakdown'!$AV$3*'Feedstock Conversion Rates'!$B$4/12-15-10+25+25-22+25</f>
        <v>106.74999999999999</v>
      </c>
      <c r="AW303" s="104">
        <f>'Renewable Diesel'!N312*'RD Feedstock Breakdown'!$AW$3*'Feedstock Conversion Rates'!$B$7/12+15+10-25-25+22-25</f>
        <v>13.400000000000006</v>
      </c>
      <c r="AX303" s="106">
        <f t="shared" si="239"/>
        <v>120.14999999999999</v>
      </c>
      <c r="AY303" s="104">
        <f>('Renewable Diesel'!O312*'RD Feedstock Breakdown'!AY$3*'Feedstock Conversion Rates'!B$4)/12</f>
        <v>210.9375</v>
      </c>
      <c r="AZ303" s="104">
        <f>('Renewable Diesel'!O312*'RD Feedstock Breakdown'!AZ$3*'Feedstock Conversion Rates'!B$3)/12</f>
        <v>25.03125</v>
      </c>
      <c r="BA303" s="106">
        <f t="shared" si="302"/>
        <v>235.96875</v>
      </c>
      <c r="BB303" s="104">
        <f>('Renewable Diesel'!Q312*'RD Feedstock Breakdown'!BB$3*'Feedstock Conversion Rates'!B$4)/12</f>
        <v>11.156249999999998</v>
      </c>
      <c r="BC303" s="104">
        <f>('Renewable Diesel'!Q312*'RD Feedstock Breakdown'!BC$3*'Feedstock Conversion Rates'!B$3)/12</f>
        <v>1.4017500000000001</v>
      </c>
      <c r="BD303" s="104">
        <f>('Renewable Diesel'!Q312*'RD Feedstock Breakdown'!BD$3*'Feedstock Conversion Rates'!B$6)/12</f>
        <v>0.8207500000000002</v>
      </c>
      <c r="BE303" s="106">
        <f t="shared" si="279"/>
        <v>13.378749999999998</v>
      </c>
      <c r="BF303" s="104">
        <f>('Renewable Diesel'!R312*'RD Feedstock Breakdown'!BF$3*'Feedstock Conversion Rates'!B$4)/12</f>
        <v>62.5</v>
      </c>
      <c r="BG303" s="106">
        <f t="shared" si="262"/>
        <v>62.5</v>
      </c>
      <c r="BH303" s="104">
        <f>('Renewable Diesel'!T312*'RD Feedstock Breakdown'!BH$3*'Feedstock Conversion Rates'!B$7)/12</f>
        <v>27.599999999999998</v>
      </c>
      <c r="BI303" s="106">
        <f t="shared" si="243"/>
        <v>27.599999999999998</v>
      </c>
      <c r="BJ303" s="104">
        <f>('Renewable Diesel'!W312*'RD Feedstock Breakdown'!BJ$3*'Feedstock Conversion Rates'!B$4)/12</f>
        <v>7.5</v>
      </c>
      <c r="BK303" s="104">
        <f>('Renewable Diesel'!W312*'RD Feedstock Breakdown'!BK$3*'Feedstock Conversion Rates'!B$3)/12</f>
        <v>1.335</v>
      </c>
      <c r="BL303" s="104">
        <f>('Renewable Diesel'!W312*'RD Feedstock Breakdown'!BL$3*'Feedstock Conversion Rates'!B$6)/12</f>
        <v>3.1266666666666669</v>
      </c>
      <c r="BM303" s="104">
        <f>('Renewable Diesel'!W312*'RD Feedstock Breakdown'!BM$3*'Feedstock Conversion Rates'!B$7)/12</f>
        <v>1.5333333333333332</v>
      </c>
      <c r="BN303" s="106">
        <f t="shared" si="296"/>
        <v>13.495000000000001</v>
      </c>
      <c r="BO303" s="104">
        <f>('Renewable Diesel'!P312*'Feedstock Conversion Rates'!B$4)/12</f>
        <v>31.25</v>
      </c>
      <c r="BP303" s="106">
        <f t="shared" si="285"/>
        <v>31.25</v>
      </c>
      <c r="BQ303" s="104">
        <f>('Renewable Diesel'!$S312*'RD Feedstock Breakdown'!BQ$3*'Feedstock Conversion Rates'!B$4)/12+10+15-15</f>
        <v>38.125</v>
      </c>
      <c r="BR303" s="104">
        <f>('Renewable Diesel'!$S312*'RD Feedstock Breakdown'!BR$3*'Feedstock Conversion Rates'!B$7)/12-10-15+15</f>
        <v>1.5</v>
      </c>
      <c r="BS303" s="106">
        <f t="shared" si="307"/>
        <v>39.625</v>
      </c>
      <c r="BT303" s="106"/>
      <c r="BU303" s="104">
        <f>('Renewable Diesel'!Y312*'Feedstock Conversion Rates'!B$7)/12</f>
        <v>2.6833333333333331</v>
      </c>
      <c r="BV303" s="106">
        <f t="shared" si="281"/>
        <v>2.6833333333333331</v>
      </c>
      <c r="BW303" s="104">
        <f>('Renewable Diesel'!$Z312*'RD Feedstock Breakdown'!BW$3*'Feedstock Conversion Rates'!$B$4)/12</f>
        <v>71.875</v>
      </c>
      <c r="BX303" s="104">
        <f>('Renewable Diesel'!$Z312*'RD Feedstock Breakdown'!BX$3*'Feedstock Conversion Rates'!$B$5)/12</f>
        <v>7.2354166666666666</v>
      </c>
      <c r="BY303" s="104">
        <f>('Renewable Diesel'!$Z312*'RD Feedstock Breakdown'!BY$3*'Feedstock Conversion Rates'!$B$7)/12</f>
        <v>61.716666666666661</v>
      </c>
      <c r="BZ303" s="104">
        <f>('Renewable Diesel'!$Z312*'RD Feedstock Breakdown'!BZ$3*'Feedstock Conversion Rates'!$B$3)/12</f>
        <v>15.352499999999999</v>
      </c>
      <c r="CA303" s="106">
        <f t="shared" si="312"/>
        <v>156.17958333333331</v>
      </c>
      <c r="CB303" s="104">
        <f>('Renewable Diesel'!AA312*'Feedstock Conversion Rates'!B$4)/12</f>
        <v>191.25</v>
      </c>
      <c r="CC303" s="106">
        <f t="shared" si="298"/>
        <v>191.25</v>
      </c>
      <c r="CD303" s="104">
        <f>('Renewable Diesel'!$AB312*'RD Feedstock Breakdown'!CD$3*'Feedstock Conversion Rates'!$B$6)/12-15-5</f>
        <v>12.830000000000005</v>
      </c>
      <c r="CE303" s="104">
        <f>('Renewable Diesel'!$AB312*'RD Feedstock Breakdown'!CE$3*'Feedstock Conversion Rates'!$B$4)/12+15+5</f>
        <v>31.25</v>
      </c>
      <c r="CF303" s="106">
        <f t="shared" si="294"/>
        <v>44.080000000000005</v>
      </c>
      <c r="CG303" s="104">
        <f>('Renewable Diesel'!AD312*'Feedstock Conversion Rates'!B$4)/12</f>
        <v>112.5</v>
      </c>
      <c r="CH303" s="106">
        <f t="shared" si="278"/>
        <v>112.5</v>
      </c>
      <c r="CI303" s="104">
        <f>('Renewable Diesel'!$AE312*'RD Feedstock Breakdown'!CI$3*'Feedstock Conversion Rates'!$B$5)/12</f>
        <v>0.34604166666666664</v>
      </c>
      <c r="CJ303" s="104">
        <f>('Renewable Diesel'!$AE312*'RD Feedstock Breakdown'!CJ$3*'Feedstock Conversion Rates'!$B$4)/12</f>
        <v>0.34375</v>
      </c>
      <c r="CK303" s="106">
        <f t="shared" si="286"/>
        <v>0.68979166666666658</v>
      </c>
      <c r="CL303" s="104">
        <f>(((CL$3*'Renewable Diesel'!$AF312)*'Feedstock Conversion Rates'!$B$3)/12)</f>
        <v>91.78125</v>
      </c>
      <c r="CM303" s="104">
        <f>(((CM$3*'Renewable Diesel'!$AF312)*'Feedstock Conversion Rates'!$B$6)/12)</f>
        <v>53.739583333333336</v>
      </c>
      <c r="CN303" s="104">
        <f>(((CN$3*'Renewable Diesel'!$AF312)*'Feedstock Conversion Rates'!$B$4)/12)</f>
        <v>42.96875</v>
      </c>
      <c r="CO303" s="106">
        <f t="shared" si="280"/>
        <v>188.48958333333334</v>
      </c>
      <c r="CP303" s="104">
        <f>('Renewable Diesel'!$AG312*'RD Feedstock Breakdown'!CP$3*'Feedstock Conversion Rates'!$B$3)/12</f>
        <v>6.0075000000000003</v>
      </c>
      <c r="CQ303" s="104">
        <f>('Renewable Diesel'!$AG312*'RD Feedstock Breakdown'!CQ$3*'Feedstock Conversion Rates'!$B$6)/12</f>
        <v>3.5175000000000001</v>
      </c>
      <c r="CR303" s="104">
        <f>('Renewable Diesel'!$AG312*'RD Feedstock Breakdown'!CR$3*'Feedstock Conversion Rates'!$B$4)/12</f>
        <v>2.8125</v>
      </c>
      <c r="CS303" s="106">
        <f t="shared" si="231"/>
        <v>12.3375</v>
      </c>
      <c r="CT303" s="104">
        <f>('Renewable Diesel'!AI312*'Feedstock Conversion Rates'!$B$4*'RD Feedstock Breakdown'!$CT$3)/12</f>
        <v>29.375</v>
      </c>
      <c r="CU303" s="106">
        <f t="shared" si="282"/>
        <v>29.375</v>
      </c>
      <c r="CV303" s="104">
        <f>('Renewable Diesel'!AN312*'Feedstock Conversion Rates'!$B$3*'RD Feedstock Breakdown'!$CV$3)/12</f>
        <v>0.50062499999999999</v>
      </c>
      <c r="CW303" s="106">
        <f t="shared" si="255"/>
        <v>0.50062499999999999</v>
      </c>
      <c r="CX303" s="104">
        <f>('Renewable Diesel'!AO312*'RD Feedstock Breakdown'!$CX$3*'Feedstock Conversion Rates'!$B$3)/12</f>
        <v>6.3412499999999996</v>
      </c>
      <c r="CY303" s="104">
        <f>('Renewable Diesel'!AO312*'RD Feedstock Breakdown'!$CY$3*'Feedstock Conversion Rates'!$B$6)/12</f>
        <v>7.4258333333333342</v>
      </c>
      <c r="CZ303" s="106">
        <f t="shared" si="233"/>
        <v>13.767083333333334</v>
      </c>
      <c r="DA303" s="104">
        <f>('Renewable Diesel'!$AP312*'RD Feedstock Breakdown'!DA$3*'Feedstock Conversion Rates'!$B$3)/12</f>
        <v>6.3412499999999996</v>
      </c>
      <c r="DB303" s="104">
        <f>('Renewable Diesel'!$AP312*'RD Feedstock Breakdown'!DB$3*'Feedstock Conversion Rates'!$B$8)/12</f>
        <v>7.421875</v>
      </c>
      <c r="DC303" s="106">
        <f t="shared" si="260"/>
        <v>13.763124999999999</v>
      </c>
      <c r="DD303" s="104">
        <f>('Renewable Diesel'!AQ312*$DD$3*'Feedstock Conversion Rates'!$B$14)/12</f>
        <v>3.1041666666666665</v>
      </c>
      <c r="DE303" s="106">
        <f t="shared" si="261"/>
        <v>3.1041666666666665</v>
      </c>
      <c r="DF303" s="104">
        <f>('Renewable Diesel'!AR312*'Feedstock Conversion Rates'!$B$4*$DF$3)/12</f>
        <v>75</v>
      </c>
      <c r="DG303" s="106">
        <f t="shared" si="234"/>
        <v>75</v>
      </c>
      <c r="DH303" s="104">
        <f>('Renewable Diesel'!AS312*'Feedstock Conversion Rates'!$B$4*$DH$3)/12</f>
        <v>75</v>
      </c>
      <c r="DI303" s="106">
        <f t="shared" si="240"/>
        <v>75</v>
      </c>
      <c r="DJ303" s="104">
        <f>('Renewable Diesel'!AT312*'Feedstock Conversion Rates'!$B$4*0.25)/12</f>
        <v>8.59375</v>
      </c>
      <c r="DK303" s="104">
        <f>('Renewable Diesel'!$AT312*'RD Feedstock Breakdown'!DK$3*'Feedstock Conversion Rates'!$B$3)/12*0.5</f>
        <v>9.1781249999999996</v>
      </c>
      <c r="DL303" s="104">
        <f>('Renewable Diesel'!$AT312*'RD Feedstock Breakdown'!$DL$3*'Feedstock Conversion Rates'!$B$6)/12</f>
        <v>10.747916666666669</v>
      </c>
      <c r="DM303" s="104">
        <f>('Renewable Diesel'!$AT312*'RD Feedstock Breakdown'!$DM$3*'Feedstock Conversion Rates'!$B$8)/12</f>
        <v>10.7421875</v>
      </c>
      <c r="DN303" s="106">
        <f t="shared" si="297"/>
        <v>39.26197916666667</v>
      </c>
      <c r="DP303" s="104">
        <f t="shared" si="265"/>
        <v>103.22025000000001</v>
      </c>
      <c r="DQ303" s="104">
        <f t="shared" si="266"/>
        <v>359.11776750000001</v>
      </c>
      <c r="DR303" s="104">
        <f t="shared" si="271"/>
        <v>2016.953125</v>
      </c>
      <c r="DS303" s="104">
        <f t="shared" si="283"/>
        <v>253.90125</v>
      </c>
      <c r="DT303" s="104">
        <f t="shared" si="267"/>
        <v>208.03923333333341</v>
      </c>
      <c r="DU303" s="104">
        <f t="shared" si="268"/>
        <v>307.90610000000004</v>
      </c>
      <c r="DV303" s="104">
        <f t="shared" si="272"/>
        <v>78.75</v>
      </c>
      <c r="DW303" s="104">
        <f t="shared" si="269"/>
        <v>3</v>
      </c>
      <c r="DX303" s="106">
        <f t="shared" si="273"/>
        <v>3330.8877258333337</v>
      </c>
      <c r="DY303" s="109">
        <f t="shared" si="257"/>
        <v>-5.631051180898794E-13</v>
      </c>
      <c r="EA303" s="110">
        <f t="shared" si="313"/>
        <v>3.0988810940535676E-2</v>
      </c>
      <c r="EB303" s="110">
        <f t="shared" si="313"/>
        <v>0.1078144317848944</v>
      </c>
      <c r="EC303" s="110">
        <f t="shared" si="313"/>
        <v>0.60553020426270632</v>
      </c>
      <c r="ED303" s="110">
        <f t="shared" si="308"/>
        <v>7.6226300883941694E-2</v>
      </c>
      <c r="EE303" s="110">
        <f t="shared" si="308"/>
        <v>6.2457594028116153E-2</v>
      </c>
      <c r="EF303" s="110">
        <f t="shared" si="308"/>
        <v>9.243965133137802E-2</v>
      </c>
      <c r="EG303" s="110">
        <f t="shared" si="308"/>
        <v>2.3642345969586243E-2</v>
      </c>
      <c r="EH303" s="111">
        <f t="shared" si="274"/>
        <v>9.006607988413807E-4</v>
      </c>
      <c r="EI303" s="110">
        <f t="shared" si="236"/>
        <v>0.99909933920115845</v>
      </c>
      <c r="EK303" s="132">
        <f>(EA303*'Renewable Diesel'!BF312*'Feedstock Conversion Rates'!B$2)+FB303</f>
        <v>547.25691988736673</v>
      </c>
      <c r="EL303" s="132">
        <f>(EB303*'Renewable Diesel'!BF312*'Feedstock Conversion Rates'!B$3)+FC303</f>
        <v>1794.2247291982392</v>
      </c>
      <c r="EM303" s="132">
        <f>(EC303*'Renewable Diesel'!BF312*'Feedstock Conversion Rates'!B$4)+FD303</f>
        <v>9435.4908535363393</v>
      </c>
      <c r="EN303" s="132">
        <f>(ED303*'Renewable Diesel'!BF312*'Feedstock Conversion Rates'!B$5)+FE303</f>
        <v>1195.691715223651</v>
      </c>
      <c r="EO303" s="132">
        <f>(EE303*'Renewable Diesel'!BF312*'Feedstock Conversion Rates'!B$6)+FF303</f>
        <v>1217.1819753977943</v>
      </c>
      <c r="EP303" s="132">
        <f>(EF303*'Renewable Diesel'!BF312*'Feedstock Conversion Rates'!B$7)+FG303</f>
        <v>1766.9064239816032</v>
      </c>
      <c r="EQ303" s="132">
        <f>(EG303*'Renewable Diesel'!BF312*'Feedstock Conversion Rates'!B$8)+FH303</f>
        <v>460.49961170762634</v>
      </c>
      <c r="ER303" s="132">
        <f>(EH303*'Renewable Diesel'!BF312*'Feedstock Conversion Rates'!B$9)+FI303</f>
        <v>17.308937786089828</v>
      </c>
      <c r="ES303" s="132">
        <f t="shared" si="275"/>
        <v>16434.561166718711</v>
      </c>
      <c r="ET303" s="133">
        <f>ES303/'Renewable Diesel'!BF312</f>
        <v>17.069566196047194</v>
      </c>
      <c r="EW303" s="73">
        <f t="shared" si="309"/>
        <v>16335.737025875247</v>
      </c>
      <c r="EX303" s="73">
        <f t="shared" si="310"/>
        <v>8917.3961621565759</v>
      </c>
      <c r="EY303" s="92">
        <f t="shared" si="258"/>
        <v>0.99398680987943921</v>
      </c>
      <c r="EZ303" s="92">
        <f t="shared" si="258"/>
        <v>0.54260019915925772</v>
      </c>
      <c r="FB303" s="102">
        <f>IF('Renewable Diesel'!$BG312&lt;1,0,(((('Renewable Diesel'!$BG312-1)*'Renewable Diesel'!$BF312)*'RD Feedstock Breakdown'!EA303)*'Feedstock Conversion Rates'!$B$2))</f>
        <v>293.65095381809209</v>
      </c>
      <c r="FC303" s="102">
        <f>IF('Renewable Diesel'!$BG312&lt;1,0,(((('Renewable Diesel'!$BG312-1)*'Renewable Diesel'!$BF312)*'RD Feedstock Breakdown'!EB303)*'Feedstock Conversion Rates'!$B$3))</f>
        <v>962.75768098374976</v>
      </c>
      <c r="FD303" s="102">
        <f>IF('Renewable Diesel'!$BG312&lt;1,0,(((('Renewable Diesel'!$BG312-1)*'Renewable Diesel'!$BF312)*'RD Feedstock Breakdown'!EC303)*'Feedstock Conversion Rates'!$B$4))</f>
        <v>5062.9618159110496</v>
      </c>
      <c r="FE303" s="102">
        <f>IF('Renewable Diesel'!$BG312&lt;1,0,(((('Renewable Diesel'!$BG312-1)*'Renewable Diesel'!$BF312)*'RD Feedstock Breakdown'!ED303)*'Feedstock Conversion Rates'!$B$5))</f>
        <v>641.59264120420869</v>
      </c>
      <c r="FF303" s="102">
        <f>IF('Renewable Diesel'!$BG312&lt;1,0,(((('Renewable Diesel'!$BG312-1)*'Renewable Diesel'!$BF312)*'RD Feedstock Breakdown'!EE303)*'Feedstock Conversion Rates'!$B$6))</f>
        <v>653.12403563451562</v>
      </c>
      <c r="FG303" s="102">
        <f>IF('Renewable Diesel'!$BG312&lt;1,0,(((('Renewable Diesel'!$BG312-1)*'Renewable Diesel'!$BF312)*'RD Feedstock Breakdown'!EF303)*'Feedstock Conversion Rates'!$B$7))</f>
        <v>948.09903329554891</v>
      </c>
      <c r="FH303" s="102">
        <f>IF('Renewable Diesel'!$BG312&lt;1,0,(((('Renewable Diesel'!$BG312-1)*'Renewable Diesel'!$BF312)*'RD Feedstock Breakdown'!EG303)*'Feedstock Conversion Rates'!$B$8))</f>
        <v>247.09810930967669</v>
      </c>
      <c r="FI303" s="102">
        <f>IF('Renewable Diesel'!$BG312&lt;1,0,(((('Renewable Diesel'!$BG312-1)*'Renewable Diesel'!$BF312)*'RD Feedstock Breakdown'!EH303)*'Feedstock Conversion Rates'!$B$9))</f>
        <v>9.2877511562748314</v>
      </c>
      <c r="FJ303" s="102">
        <f t="shared" si="311"/>
        <v>8818.5720213131171</v>
      </c>
      <c r="GD303" s="91">
        <f>'Renewable Diesel'!BB312*0.32</f>
        <v>0</v>
      </c>
      <c r="GE303" s="91">
        <f>'Renewable Diesel'!BC312</f>
        <v>464.79360662914945</v>
      </c>
      <c r="GF303" s="91">
        <f>'Renewable Diesel'!BD312</f>
        <v>0</v>
      </c>
      <c r="GG303" s="91">
        <f t="shared" si="295"/>
        <v>464.79360662914945</v>
      </c>
      <c r="GH303" s="124">
        <v>1</v>
      </c>
      <c r="GI303" s="102">
        <f>$GG303*EA303*'Feedstock Conversion Rates'!$B$2</f>
        <v>122.42891021870359</v>
      </c>
      <c r="GJ303" s="102">
        <f>$GG303*EB303*'Feedstock Conversion Rates'!$B$3</f>
        <v>401.39278335374752</v>
      </c>
      <c r="GK303" s="102">
        <f>$GG303*EC303*'Feedstock Conversion Rates'!$B$4</f>
        <v>2110.8492567161165</v>
      </c>
      <c r="GL303" s="102">
        <f>$GG303*ED303*'Feedstock Conversion Rates'!$B$5</f>
        <v>267.49270467423719</v>
      </c>
      <c r="GM303" s="102">
        <f>$GG303*EE303*'Feedstock Conversion Rates'!$B$6</f>
        <v>272.30037185545478</v>
      </c>
      <c r="GN303" s="102">
        <f>$GG303*EF303*'Feedstock Conversion Rates'!$B$7</f>
        <v>395.28130222824063</v>
      </c>
      <c r="GO303" s="102">
        <f>$GG303*EG303*'Feedstock Conversion Rates'!$B$8</f>
        <v>103.02010549104493</v>
      </c>
      <c r="GP303" s="102">
        <f>$GG303*EH303*'Feedstock Conversion Rates'!B$9</f>
        <v>3.8722477746475299</v>
      </c>
      <c r="GQ303" s="102">
        <f t="shared" si="276"/>
        <v>3676.6376823121927</v>
      </c>
      <c r="GR303" s="85">
        <f t="shared" si="293"/>
        <v>7.9102587253221763</v>
      </c>
      <c r="GT303" s="103">
        <f t="shared" si="254"/>
        <v>3.3299150146801931E-2</v>
      </c>
      <c r="GU303" s="103">
        <f t="shared" si="254"/>
        <v>0.10917387516447269</v>
      </c>
      <c r="GV303" s="103">
        <f t="shared" si="254"/>
        <v>0.57412490408590622</v>
      </c>
      <c r="GW303" s="103">
        <f t="shared" si="254"/>
        <v>7.2754708999776735E-2</v>
      </c>
      <c r="GX303" s="103">
        <f t="shared" si="253"/>
        <v>7.4062335042001867E-2</v>
      </c>
      <c r="GY303" s="103">
        <f t="shared" si="253"/>
        <v>0.10751162784679209</v>
      </c>
      <c r="GZ303" s="103">
        <f t="shared" si="253"/>
        <v>2.8020195187211598E-2</v>
      </c>
      <c r="HA303" s="103">
        <f t="shared" si="251"/>
        <v>1.053203527036779E-3</v>
      </c>
    </row>
    <row r="304" spans="1:209" x14ac:dyDescent="0.25">
      <c r="A304" s="96">
        <v>49675</v>
      </c>
      <c r="B304" s="104">
        <f t="shared" si="315"/>
        <v>59.25</v>
      </c>
      <c r="C304" s="104">
        <f t="shared" si="314"/>
        <v>49</v>
      </c>
      <c r="D304" s="104">
        <f t="shared" si="288"/>
        <v>2</v>
      </c>
      <c r="E304" s="104">
        <f>('Renewable Diesel'!B313*E$3*'Feedstock Conversion Rates'!$B$2)/12+26+13-100+27.5+39</f>
        <v>95.43</v>
      </c>
      <c r="F304" s="104">
        <f>('Renewable Diesel'!B313*'RD Feedstock Breakdown'!F$3*'Feedstock Conversion Rates'!B$8)/12+77+23-10-12-115.75+24+8</f>
        <v>48.15625</v>
      </c>
      <c r="G304" s="104">
        <f>('Renewable Diesel'!B313*'RD Feedstock Breakdown'!G$3*'Feedstock Conversion Rates'!B$7)/12+116.75-39-57.5-145-31.5+32+70-40+10-35</f>
        <v>56.907000000000039</v>
      </c>
      <c r="H304" s="104">
        <f>('Renewable Diesel'!B313*'RD Feedstock Breakdown'!H$3*'Feedstock Conversion Rates'!B$3)/12+67+10+12+3-235+20+47-20+105</f>
        <v>185.40022499999998</v>
      </c>
      <c r="I304" s="106">
        <f t="shared" si="291"/>
        <v>496.14347500000002</v>
      </c>
      <c r="J304" s="104">
        <f t="shared" si="316"/>
        <v>69</v>
      </c>
      <c r="K304" s="104"/>
      <c r="L304" s="104">
        <v>1</v>
      </c>
      <c r="M304" s="104">
        <f>('Renewable Diesel'!C313*'RD Feedstock Breakdown'!M$3*'Feedstock Conversion Rates'!B$2)/12</f>
        <v>7.7902500000000003</v>
      </c>
      <c r="N304" s="104">
        <f>('Renewable Diesel'!C313*'RD Feedstock Breakdown'!N$3*'Feedstock Conversion Rates'!B$8)/12</f>
        <v>3.671875</v>
      </c>
      <c r="O304" s="104">
        <f>('Renewable Diesel'!C313*'RD Feedstock Breakdown'!O$3*'Feedstock Conversion Rates'!B$7)/12</f>
        <v>11.9991</v>
      </c>
      <c r="P304" s="104">
        <f>('Renewable Diesel'!C313*'RD Feedstock Breakdown'!P$3*'Feedstock Conversion Rates'!B$3)/12</f>
        <v>10.4470425</v>
      </c>
      <c r="Q304" s="106">
        <f t="shared" si="299"/>
        <v>103.90826749999999</v>
      </c>
      <c r="R304" s="104">
        <f>('Renewable Diesel'!D313*'RD Feedstock Breakdown'!R$3*'Feedstock Conversion Rates'!B$7)/12</f>
        <v>2.2999999999999998</v>
      </c>
      <c r="S304" s="106">
        <f t="shared" si="249"/>
        <v>2.2999999999999998</v>
      </c>
      <c r="T304" s="104">
        <f t="shared" si="300"/>
        <v>0.82499999999999929</v>
      </c>
      <c r="U304" s="104"/>
      <c r="V304" s="104">
        <f>('Renewable Diesel'!E313*'RD Feedstock Breakdown'!V$3*'Feedstock Conversion Rates'!B$6)/12-20+25</f>
        <v>49.250150000000012</v>
      </c>
      <c r="W304" s="104">
        <f>('Renewable Diesel'!E313*'RD Feedstock Breakdown'!W$3*'Feedstock Conversion Rates'!B$8)/12-6</f>
        <v>16.1796875</v>
      </c>
      <c r="X304" s="106">
        <f t="shared" si="277"/>
        <v>66.254837500000008</v>
      </c>
      <c r="Y304" s="104">
        <f t="shared" si="301"/>
        <v>98</v>
      </c>
      <c r="Z304" s="104">
        <f>('Renewable Diesel'!F313*'RD Feedstock Breakdown'!Z$3*'Feedstock Conversion Rates'!B$6)/12-142+15+10</f>
        <v>42.460000000000008</v>
      </c>
      <c r="AA304" s="104">
        <f>('Renewable Diesel'!F313*'RD Feedstock Breakdown'!AA$3*'Feedstock Conversion Rates'!B$7)/12+24</f>
        <v>128.26666666666665</v>
      </c>
      <c r="AB304" s="106">
        <f t="shared" si="235"/>
        <v>268.72666666666669</v>
      </c>
      <c r="AC304" s="104">
        <f>('Renewable Diesel'!G313*'RD Feedstock Breakdown'!AC$3*'Feedstock Conversion Rates'!B$5)/12</f>
        <v>11.796875</v>
      </c>
      <c r="AD304" s="104">
        <f>('Renewable Diesel'!G313*'RD Feedstock Breakdown'!AD$3*'Feedstock Conversion Rates'!B$4)/12</f>
        <v>5.859375</v>
      </c>
      <c r="AE304" s="104">
        <f>('Renewable Diesel'!G313*'RD Feedstock Breakdown'!AE$3*'Feedstock Conversion Rates'!B$6)/12</f>
        <v>7.3281250000000009</v>
      </c>
      <c r="AF304" s="106">
        <f t="shared" si="284"/>
        <v>24.984375</v>
      </c>
      <c r="AG304" s="104">
        <f t="shared" si="306"/>
        <v>148</v>
      </c>
      <c r="AH304" s="104"/>
      <c r="AI304" s="104">
        <f>('Renewable Diesel'!H313*'RD Feedstock Breakdown'!AI$3*'Feedstock Conversion Rates'!B$6)/12-130-20+51-49</f>
        <v>0.51666666666667993</v>
      </c>
      <c r="AJ304" s="106">
        <f t="shared" si="248"/>
        <v>148.51666666666668</v>
      </c>
      <c r="AK304" s="104">
        <f>('Renewable Diesel'!J313*'RD Feedstock Breakdown'!AK$3*'Feedstock Conversion Rates'!B$4)/12</f>
        <v>95.8125</v>
      </c>
      <c r="AL304" s="106">
        <f t="shared" si="252"/>
        <v>95.8125</v>
      </c>
      <c r="AM304" s="104">
        <f>('Renewable Diesel'!K313*'RD Feedstock Breakdown'!AM$3*'Feedstock Conversion Rates'!B$4)/12+5+15-10+10</f>
        <v>78.59375</v>
      </c>
      <c r="AN304" s="104">
        <f>('Renewable Diesel'!K313*'RD Feedstock Breakdown'!AN$3*'Feedstock Conversion Rates'!B$6)/12-5-15+10-10</f>
        <v>4.4270833333333321</v>
      </c>
      <c r="AO304" s="106">
        <f t="shared" si="270"/>
        <v>83.020833333333329</v>
      </c>
      <c r="AP304" s="104">
        <f>('Renewable Diesel'!L313*'RD Feedstock Breakdown'!AP$3*'Feedstock Conversion Rates'!B$4)/12+15-10+15</f>
        <v>78.59375</v>
      </c>
      <c r="AQ304" s="104">
        <f>('Renewable Diesel'!L313*'RD Feedstock Breakdown'!AQ$3*'Feedstock Conversion Rates'!B$6)/12-15+10-15</f>
        <v>4.4270833333333321</v>
      </c>
      <c r="AR304" s="106">
        <f t="shared" si="256"/>
        <v>83.020833333333329</v>
      </c>
      <c r="AS304" s="104">
        <f>('Renewable Diesel'!M313*'RD Feedstock Breakdown'!AS$3*'Feedstock Conversion Rates'!B$4)/12-25</f>
        <v>431.25</v>
      </c>
      <c r="AT304" s="104">
        <f>('Renewable Diesel'!M313*'RD Feedstock Breakdown'!AT$3*'Feedstock Conversion Rates'!B$5)/12+25</f>
        <v>25</v>
      </c>
      <c r="AU304" s="106">
        <f t="shared" si="290"/>
        <v>456.25</v>
      </c>
      <c r="AV304" s="104">
        <f>'Renewable Diesel'!N313*'RD Feedstock Breakdown'!$AV$3*'Feedstock Conversion Rates'!$B$4/12-15-10+25+25-22+25</f>
        <v>106.74999999999999</v>
      </c>
      <c r="AW304" s="104">
        <f>'Renewable Diesel'!N313*'RD Feedstock Breakdown'!$AW$3*'Feedstock Conversion Rates'!$B$7/12+15+10-25-25+22-25</f>
        <v>13.400000000000006</v>
      </c>
      <c r="AX304" s="106">
        <f t="shared" si="239"/>
        <v>120.14999999999999</v>
      </c>
      <c r="AY304" s="104">
        <f>('Renewable Diesel'!O313*'RD Feedstock Breakdown'!AY$3*'Feedstock Conversion Rates'!B$4)/12</f>
        <v>210.9375</v>
      </c>
      <c r="AZ304" s="104">
        <f>('Renewable Diesel'!O313*'RD Feedstock Breakdown'!AZ$3*'Feedstock Conversion Rates'!B$3)/12</f>
        <v>25.03125</v>
      </c>
      <c r="BA304" s="106">
        <f t="shared" si="302"/>
        <v>235.96875</v>
      </c>
      <c r="BB304" s="104">
        <f>('Renewable Diesel'!Q313*'RD Feedstock Breakdown'!BB$3*'Feedstock Conversion Rates'!B$4)/12</f>
        <v>11.156249999999998</v>
      </c>
      <c r="BC304" s="104">
        <f>('Renewable Diesel'!Q313*'RD Feedstock Breakdown'!BC$3*'Feedstock Conversion Rates'!B$3)/12</f>
        <v>1.4017500000000001</v>
      </c>
      <c r="BD304" s="104">
        <f>('Renewable Diesel'!Q313*'RD Feedstock Breakdown'!BD$3*'Feedstock Conversion Rates'!B$6)/12</f>
        <v>0.8207500000000002</v>
      </c>
      <c r="BE304" s="106">
        <f t="shared" si="279"/>
        <v>13.378749999999998</v>
      </c>
      <c r="BF304" s="104">
        <f>('Renewable Diesel'!R313*'RD Feedstock Breakdown'!BF$3*'Feedstock Conversion Rates'!B$4)/12</f>
        <v>62.5</v>
      </c>
      <c r="BG304" s="106">
        <f t="shared" si="262"/>
        <v>62.5</v>
      </c>
      <c r="BH304" s="104">
        <f>('Renewable Diesel'!T313*'RD Feedstock Breakdown'!BH$3*'Feedstock Conversion Rates'!B$7)/12</f>
        <v>27.599999999999998</v>
      </c>
      <c r="BI304" s="106">
        <f t="shared" si="243"/>
        <v>27.599999999999998</v>
      </c>
      <c r="BJ304" s="104">
        <f>('Renewable Diesel'!W313*'RD Feedstock Breakdown'!BJ$3*'Feedstock Conversion Rates'!B$4)/12</f>
        <v>7.5</v>
      </c>
      <c r="BK304" s="104">
        <f>('Renewable Diesel'!W313*'RD Feedstock Breakdown'!BK$3*'Feedstock Conversion Rates'!B$3)/12</f>
        <v>1.335</v>
      </c>
      <c r="BL304" s="104">
        <f>('Renewable Diesel'!W313*'RD Feedstock Breakdown'!BL$3*'Feedstock Conversion Rates'!B$6)/12</f>
        <v>3.1266666666666669</v>
      </c>
      <c r="BM304" s="104">
        <f>('Renewable Diesel'!W313*'RD Feedstock Breakdown'!BM$3*'Feedstock Conversion Rates'!B$7)/12</f>
        <v>1.5333333333333332</v>
      </c>
      <c r="BN304" s="106">
        <f t="shared" si="296"/>
        <v>13.495000000000001</v>
      </c>
      <c r="BO304" s="104">
        <f>('Renewable Diesel'!P313*'Feedstock Conversion Rates'!B$4)/12</f>
        <v>31.25</v>
      </c>
      <c r="BP304" s="106">
        <f t="shared" si="285"/>
        <v>31.25</v>
      </c>
      <c r="BQ304" s="104">
        <f>('Renewable Diesel'!$S313*'RD Feedstock Breakdown'!BQ$3*'Feedstock Conversion Rates'!B$4)/12+10+15-15</f>
        <v>38.125</v>
      </c>
      <c r="BR304" s="104">
        <f>('Renewable Diesel'!$S313*'RD Feedstock Breakdown'!BR$3*'Feedstock Conversion Rates'!B$7)/12-10-15+15</f>
        <v>1.5</v>
      </c>
      <c r="BS304" s="106">
        <f t="shared" si="307"/>
        <v>39.625</v>
      </c>
      <c r="BT304" s="106"/>
      <c r="BU304" s="104">
        <f>('Renewable Diesel'!Y313*'Feedstock Conversion Rates'!B$7)/12</f>
        <v>2.6833333333333331</v>
      </c>
      <c r="BV304" s="106">
        <f t="shared" si="281"/>
        <v>2.6833333333333331</v>
      </c>
      <c r="BW304" s="104">
        <f>('Renewable Diesel'!$Z313*'RD Feedstock Breakdown'!BW$3*'Feedstock Conversion Rates'!$B$4)/12</f>
        <v>71.875</v>
      </c>
      <c r="BX304" s="104">
        <f>('Renewable Diesel'!$Z313*'RD Feedstock Breakdown'!BX$3*'Feedstock Conversion Rates'!$B$5)/12</f>
        <v>7.2354166666666666</v>
      </c>
      <c r="BY304" s="104">
        <f>('Renewable Diesel'!$Z313*'RD Feedstock Breakdown'!BY$3*'Feedstock Conversion Rates'!$B$7)/12</f>
        <v>61.716666666666661</v>
      </c>
      <c r="BZ304" s="104">
        <f>('Renewable Diesel'!$Z313*'RD Feedstock Breakdown'!BZ$3*'Feedstock Conversion Rates'!$B$3)/12</f>
        <v>15.352499999999999</v>
      </c>
      <c r="CA304" s="106">
        <f t="shared" si="312"/>
        <v>156.17958333333331</v>
      </c>
      <c r="CB304" s="104">
        <f>('Renewable Diesel'!AA313*'Feedstock Conversion Rates'!B$4)/12</f>
        <v>191.25</v>
      </c>
      <c r="CC304" s="106">
        <f t="shared" si="298"/>
        <v>191.25</v>
      </c>
      <c r="CD304" s="104">
        <f>('Renewable Diesel'!$AB313*'RD Feedstock Breakdown'!CD$3*'Feedstock Conversion Rates'!$B$6)/12-15-5</f>
        <v>12.830000000000005</v>
      </c>
      <c r="CE304" s="104">
        <f>('Renewable Diesel'!$AB313*'RD Feedstock Breakdown'!CE$3*'Feedstock Conversion Rates'!$B$4)/12+15+5</f>
        <v>31.25</v>
      </c>
      <c r="CF304" s="106">
        <f t="shared" si="294"/>
        <v>44.080000000000005</v>
      </c>
      <c r="CG304" s="104">
        <f>('Renewable Diesel'!AD313*'Feedstock Conversion Rates'!B$4)/12</f>
        <v>112.5</v>
      </c>
      <c r="CH304" s="106">
        <f t="shared" si="278"/>
        <v>112.5</v>
      </c>
      <c r="CI304" s="104">
        <f>('Renewable Diesel'!$AE313*'RD Feedstock Breakdown'!CI$3*'Feedstock Conversion Rates'!$B$5)/12</f>
        <v>0.34604166666666664</v>
      </c>
      <c r="CJ304" s="104">
        <f>('Renewable Diesel'!$AE313*'RD Feedstock Breakdown'!CJ$3*'Feedstock Conversion Rates'!$B$4)/12</f>
        <v>0.34375</v>
      </c>
      <c r="CK304" s="106">
        <f t="shared" si="286"/>
        <v>0.68979166666666658</v>
      </c>
      <c r="CL304" s="104">
        <f>(((CL$3*'Renewable Diesel'!$AF313)*'Feedstock Conversion Rates'!$B$3)/12)</f>
        <v>91.78125</v>
      </c>
      <c r="CM304" s="104">
        <f>(((CM$3*'Renewable Diesel'!$AF313)*'Feedstock Conversion Rates'!$B$6)/12)</f>
        <v>53.739583333333336</v>
      </c>
      <c r="CN304" s="104">
        <f>(((CN$3*'Renewable Diesel'!$AF313)*'Feedstock Conversion Rates'!$B$4)/12)</f>
        <v>42.96875</v>
      </c>
      <c r="CO304" s="106">
        <f t="shared" si="280"/>
        <v>188.48958333333334</v>
      </c>
      <c r="CP304" s="104">
        <f>('Renewable Diesel'!$AG313*'RD Feedstock Breakdown'!CP$3*'Feedstock Conversion Rates'!$B$3)/12</f>
        <v>6.0075000000000003</v>
      </c>
      <c r="CQ304" s="104">
        <f>('Renewable Diesel'!$AG313*'RD Feedstock Breakdown'!CQ$3*'Feedstock Conversion Rates'!$B$6)/12</f>
        <v>3.5175000000000001</v>
      </c>
      <c r="CR304" s="104">
        <f>('Renewable Diesel'!$AG313*'RD Feedstock Breakdown'!CR$3*'Feedstock Conversion Rates'!$B$4)/12</f>
        <v>2.8125</v>
      </c>
      <c r="CS304" s="106">
        <f t="shared" si="231"/>
        <v>12.3375</v>
      </c>
      <c r="CT304" s="104">
        <f>('Renewable Diesel'!AI313*'Feedstock Conversion Rates'!$B$4*'RD Feedstock Breakdown'!$CT$3)/12</f>
        <v>29.375</v>
      </c>
      <c r="CU304" s="106">
        <f t="shared" si="282"/>
        <v>29.375</v>
      </c>
      <c r="CV304" s="104">
        <f>('Renewable Diesel'!AN313*'Feedstock Conversion Rates'!$B$3*'RD Feedstock Breakdown'!$CV$3)/12</f>
        <v>0.50062499999999999</v>
      </c>
      <c r="CW304" s="106">
        <f t="shared" si="255"/>
        <v>0.50062499999999999</v>
      </c>
      <c r="CX304" s="104">
        <f>('Renewable Diesel'!AO313*'RD Feedstock Breakdown'!$CX$3*'Feedstock Conversion Rates'!$B$3)/12</f>
        <v>6.3412499999999996</v>
      </c>
      <c r="CY304" s="104">
        <f>('Renewable Diesel'!AO313*'RD Feedstock Breakdown'!$CY$3*'Feedstock Conversion Rates'!$B$6)/12</f>
        <v>7.4258333333333342</v>
      </c>
      <c r="CZ304" s="106">
        <f t="shared" si="233"/>
        <v>13.767083333333334</v>
      </c>
      <c r="DA304" s="104">
        <f>('Renewable Diesel'!$AP313*'RD Feedstock Breakdown'!DA$3*'Feedstock Conversion Rates'!$B$3)/12</f>
        <v>6.3412499999999996</v>
      </c>
      <c r="DB304" s="104">
        <f>('Renewable Diesel'!$AP313*'RD Feedstock Breakdown'!DB$3*'Feedstock Conversion Rates'!$B$8)/12</f>
        <v>7.421875</v>
      </c>
      <c r="DC304" s="106">
        <f t="shared" si="260"/>
        <v>13.763124999999999</v>
      </c>
      <c r="DD304" s="104">
        <f>('Renewable Diesel'!AQ313*$DD$3*'Feedstock Conversion Rates'!$B$14)/12</f>
        <v>3.1041666666666665</v>
      </c>
      <c r="DE304" s="106">
        <f t="shared" si="261"/>
        <v>3.1041666666666665</v>
      </c>
      <c r="DF304" s="104">
        <f>('Renewable Diesel'!AR313*'Feedstock Conversion Rates'!$B$4*$DF$3)/12</f>
        <v>75</v>
      </c>
      <c r="DG304" s="106">
        <f t="shared" si="234"/>
        <v>75</v>
      </c>
      <c r="DH304" s="104">
        <f>('Renewable Diesel'!AS313*'Feedstock Conversion Rates'!$B$4*$DH$3)/12</f>
        <v>75</v>
      </c>
      <c r="DI304" s="106">
        <f t="shared" si="240"/>
        <v>75</v>
      </c>
      <c r="DJ304" s="104">
        <f>('Renewable Diesel'!AT313*'Feedstock Conversion Rates'!$B$4*0.25)/12</f>
        <v>8.59375</v>
      </c>
      <c r="DK304" s="104">
        <f>('Renewable Diesel'!$AT313*'RD Feedstock Breakdown'!DK$3*'Feedstock Conversion Rates'!$B$3)/12*0.5</f>
        <v>9.1781249999999996</v>
      </c>
      <c r="DL304" s="104">
        <f>('Renewable Diesel'!$AT313*'RD Feedstock Breakdown'!$DL$3*'Feedstock Conversion Rates'!$B$6)/12</f>
        <v>10.747916666666669</v>
      </c>
      <c r="DM304" s="104">
        <f>('Renewable Diesel'!$AT313*'RD Feedstock Breakdown'!$DM$3*'Feedstock Conversion Rates'!$B$8)/12</f>
        <v>10.7421875</v>
      </c>
      <c r="DN304" s="106">
        <f t="shared" si="297"/>
        <v>39.26197916666667</v>
      </c>
      <c r="DP304" s="104">
        <f t="shared" si="265"/>
        <v>103.22025000000001</v>
      </c>
      <c r="DQ304" s="104">
        <f t="shared" si="266"/>
        <v>359.11776750000001</v>
      </c>
      <c r="DR304" s="104">
        <f t="shared" si="271"/>
        <v>2016.953125</v>
      </c>
      <c r="DS304" s="104">
        <f t="shared" si="283"/>
        <v>253.90125</v>
      </c>
      <c r="DT304" s="104">
        <f t="shared" si="267"/>
        <v>208.03923333333341</v>
      </c>
      <c r="DU304" s="104">
        <f t="shared" si="268"/>
        <v>307.90610000000004</v>
      </c>
      <c r="DV304" s="104">
        <f t="shared" si="272"/>
        <v>78.75</v>
      </c>
      <c r="DW304" s="104">
        <f t="shared" si="269"/>
        <v>3</v>
      </c>
      <c r="DX304" s="106">
        <f t="shared" si="273"/>
        <v>3330.8877258333337</v>
      </c>
      <c r="DY304" s="109">
        <f t="shared" si="257"/>
        <v>-5.631051180898794E-13</v>
      </c>
      <c r="EA304" s="110">
        <f t="shared" si="313"/>
        <v>3.0988810940535676E-2</v>
      </c>
      <c r="EB304" s="110">
        <f t="shared" si="313"/>
        <v>0.1078144317848944</v>
      </c>
      <c r="EC304" s="110">
        <f t="shared" si="313"/>
        <v>0.60553020426270632</v>
      </c>
      <c r="ED304" s="110">
        <f t="shared" si="308"/>
        <v>7.6226300883941694E-2</v>
      </c>
      <c r="EE304" s="110">
        <f t="shared" si="308"/>
        <v>6.2457594028116153E-2</v>
      </c>
      <c r="EF304" s="110">
        <f t="shared" si="308"/>
        <v>9.243965133137802E-2</v>
      </c>
      <c r="EG304" s="110">
        <f t="shared" si="308"/>
        <v>2.3642345969586243E-2</v>
      </c>
      <c r="EH304" s="111">
        <f t="shared" si="274"/>
        <v>9.006607988413807E-4</v>
      </c>
      <c r="EI304" s="110">
        <f t="shared" si="236"/>
        <v>0.99909933920115845</v>
      </c>
      <c r="EK304" s="132">
        <f>(EA304*'Renewable Diesel'!BF313*'Feedstock Conversion Rates'!B$2)+FB304</f>
        <v>140.58933684215094</v>
      </c>
      <c r="EL304" s="132">
        <f>(EB304*'Renewable Diesel'!BF313*'Feedstock Conversion Rates'!B$3)+FC304</f>
        <v>460.93316622781987</v>
      </c>
      <c r="EM304" s="132">
        <f>(EC304*'Renewable Diesel'!BF313*'Feedstock Conversion Rates'!B$4)+FD304</f>
        <v>2423.9609471760964</v>
      </c>
      <c r="EN304" s="132">
        <f>(ED304*'Renewable Diesel'!BF313*'Feedstock Conversion Rates'!B$5)+FE304</f>
        <v>307.17109131401162</v>
      </c>
      <c r="EO304" s="132">
        <f>(EE304*'Renewable Diesel'!BF313*'Feedstock Conversion Rates'!B$6)+FF304</f>
        <v>312.69190122367871</v>
      </c>
      <c r="EP304" s="132">
        <f>(EF304*'Renewable Diesel'!BF313*'Feedstock Conversion Rates'!B$7)+FG304</f>
        <v>453.91514183289974</v>
      </c>
      <c r="EQ304" s="132">
        <f>(EG304*'Renewable Diesel'!BF313*'Feedstock Conversion Rates'!B$8)+FH304</f>
        <v>118.30153749242291</v>
      </c>
      <c r="ER304" s="132">
        <f>(EH304*'Renewable Diesel'!BF313*'Feedstock Conversion Rates'!B$9)+FI304</f>
        <v>4.4466355679691647</v>
      </c>
      <c r="ES304" s="132">
        <f t="shared" si="275"/>
        <v>4222.0097576770486</v>
      </c>
      <c r="ET304" s="133">
        <f>ES304/'Renewable Diesel'!BF313</f>
        <v>8.5110437876649154</v>
      </c>
      <c r="EW304" s="73">
        <f t="shared" si="309"/>
        <v>2923.919594628474</v>
      </c>
      <c r="EX304" s="73">
        <f t="shared" si="310"/>
        <v>1596.1171100082258</v>
      </c>
      <c r="EY304" s="92">
        <f t="shared" si="258"/>
        <v>0.69254212151257932</v>
      </c>
      <c r="EZ304" s="92">
        <f t="shared" si="258"/>
        <v>0.37804676010185495</v>
      </c>
      <c r="FB304" s="102">
        <f>IF('Renewable Diesel'!$BG313&lt;1,0,(((('Renewable Diesel'!$BG313-1)*'Renewable Diesel'!$BF313)*'RD Feedstock Breakdown'!EA304)*'Feedstock Conversion Rates'!$B$2))</f>
        <v>9.9240440546023621</v>
      </c>
      <c r="FC304" s="102">
        <f>IF('Renewable Diesel'!$BG313&lt;1,0,(((('Renewable Diesel'!$BG313-1)*'Renewable Diesel'!$BF313)*'RD Feedstock Breakdown'!EB304)*'Feedstock Conversion Rates'!$B$3))</f>
        <v>32.536756703021751</v>
      </c>
      <c r="FD304" s="102">
        <f>IF('Renewable Diesel'!$BG313&lt;1,0,(((('Renewable Diesel'!$BG313-1)*'Renewable Diesel'!$BF313)*'RD Feedstock Breakdown'!EC304)*'Feedstock Conversion Rates'!$B$4))</f>
        <v>171.10469233822454</v>
      </c>
      <c r="FE304" s="102">
        <f>IF('Renewable Diesel'!$BG313&lt;1,0,(((('Renewable Diesel'!$BG313-1)*'Renewable Diesel'!$BF313)*'RD Feedstock Breakdown'!ED304)*'Feedstock Conversion Rates'!$B$5))</f>
        <v>21.682863800141231</v>
      </c>
      <c r="FF304" s="102">
        <f>IF('Renewable Diesel'!$BG313&lt;1,0,(((('Renewable Diesel'!$BG313-1)*'Renewable Diesel'!$BF313)*'RD Feedstock Breakdown'!EE304)*'Feedstock Conversion Rates'!$B$6))</f>
        <v>22.072571597270514</v>
      </c>
      <c r="FG304" s="102">
        <f>IF('Renewable Diesel'!$BG313&lt;1,0,(((('Renewable Diesel'!$BG313-1)*'Renewable Diesel'!$BF313)*'RD Feedstock Breakdown'!EF304)*'Feedstock Conversion Rates'!$B$7))</f>
        <v>32.041362209841537</v>
      </c>
      <c r="FH304" s="102">
        <f>IF('Renewable Diesel'!$BG313&lt;1,0,(((('Renewable Diesel'!$BG313-1)*'Renewable Diesel'!$BF313)*'RD Feedstock Breakdown'!EG304)*'Feedstock Conversion Rates'!$B$8))</f>
        <v>8.3507732248581519</v>
      </c>
      <c r="FI304" s="102">
        <f>IF('Renewable Diesel'!$BG313&lt;1,0,(((('Renewable Diesel'!$BG313-1)*'Renewable Diesel'!$BF313)*'RD Feedstock Breakdown'!EH304)*'Feedstock Conversion Rates'!$B$9))</f>
        <v>0.31388303168990639</v>
      </c>
      <c r="FJ304" s="102">
        <f t="shared" si="311"/>
        <v>298.02694695964999</v>
      </c>
      <c r="GD304" s="91">
        <f>'Renewable Diesel'!BB313*0.32</f>
        <v>0</v>
      </c>
      <c r="GE304" s="91">
        <f>'Renewable Diesel'!BC313</f>
        <v>214.09789414772646</v>
      </c>
      <c r="GF304" s="91">
        <f>'Renewable Diesel'!BD313</f>
        <v>0</v>
      </c>
      <c r="GG304" s="91">
        <f t="shared" si="295"/>
        <v>214.09789414772646</v>
      </c>
      <c r="GH304" s="124">
        <v>1</v>
      </c>
      <c r="GI304" s="102">
        <f>$GG304*EA304*'Feedstock Conversion Rates'!$B$2</f>
        <v>56.39443289834108</v>
      </c>
      <c r="GJ304" s="102">
        <f>$GG304*EB304*'Feedstock Conversion Rates'!$B$3</f>
        <v>184.89357085907557</v>
      </c>
      <c r="GK304" s="102">
        <f>$GG304*EC304*'Feedstock Conversion Rates'!$B$4</f>
        <v>972.32056181616065</v>
      </c>
      <c r="GL304" s="102">
        <f>$GG304*ED304*'Feedstock Conversion Rates'!$B$5</f>
        <v>123.21517325931788</v>
      </c>
      <c r="GM304" s="102">
        <f>$GG304*EE304*'Feedstock Conversion Rates'!$B$6</f>
        <v>125.42972914946183</v>
      </c>
      <c r="GN304" s="102">
        <f>$GG304*EF304*'Feedstock Conversion Rates'!$B$7</f>
        <v>182.07843910934264</v>
      </c>
      <c r="GO304" s="102">
        <f>$GG304*EG304*'Feedstock Conversion Rates'!$B$8</f>
        <v>47.454154545003775</v>
      </c>
      <c r="GP304" s="102">
        <f>$GG304*EH304*'Feedstock Conversion Rates'!B$9</f>
        <v>1.7836736184534754</v>
      </c>
      <c r="GQ304" s="102">
        <f t="shared" si="276"/>
        <v>1693.569735255157</v>
      </c>
      <c r="GR304" s="85">
        <f t="shared" si="293"/>
        <v>7.9102587253221763</v>
      </c>
      <c r="GT304" s="103">
        <f t="shared" si="254"/>
        <v>3.3299150146801945E-2</v>
      </c>
      <c r="GU304" s="103">
        <f t="shared" si="254"/>
        <v>0.10917387516447272</v>
      </c>
      <c r="GV304" s="103">
        <f t="shared" si="254"/>
        <v>0.57412490408590633</v>
      </c>
      <c r="GW304" s="103">
        <f t="shared" si="254"/>
        <v>7.2754708999776749E-2</v>
      </c>
      <c r="GX304" s="103">
        <f t="shared" si="253"/>
        <v>7.4062335042001881E-2</v>
      </c>
      <c r="GY304" s="103">
        <f t="shared" si="253"/>
        <v>0.10751162784679209</v>
      </c>
      <c r="GZ304" s="103">
        <f t="shared" si="253"/>
        <v>2.8020195187211612E-2</v>
      </c>
      <c r="HA304" s="103">
        <f t="shared" si="251"/>
        <v>1.0532035270367792E-3</v>
      </c>
    </row>
    <row r="305" spans="1:209" x14ac:dyDescent="0.25">
      <c r="A305" s="96">
        <v>49706</v>
      </c>
      <c r="B305" s="104">
        <f t="shared" si="315"/>
        <v>59.25</v>
      </c>
      <c r="C305" s="104">
        <f t="shared" si="314"/>
        <v>49</v>
      </c>
      <c r="D305" s="104">
        <f t="shared" si="288"/>
        <v>2</v>
      </c>
      <c r="E305" s="104">
        <f>('Renewable Diesel'!B314*E$3*'Feedstock Conversion Rates'!$B$2)/12+26+13-100+27.5+39</f>
        <v>95.43</v>
      </c>
      <c r="F305" s="104">
        <f>('Renewable Diesel'!B314*'RD Feedstock Breakdown'!F$3*'Feedstock Conversion Rates'!B$8)/12+77+23-10-12-115.75+24+8</f>
        <v>48.15625</v>
      </c>
      <c r="G305" s="104">
        <f>('Renewable Diesel'!B314*'RD Feedstock Breakdown'!G$3*'Feedstock Conversion Rates'!B$7)/12+116.75-39-57.5-145-31.5+32+70-40+10-35</f>
        <v>56.907000000000039</v>
      </c>
      <c r="H305" s="104">
        <f>('Renewable Diesel'!B314*'RD Feedstock Breakdown'!H$3*'Feedstock Conversion Rates'!B$3)/12+67+10+12+3-235+20+47-20+105</f>
        <v>185.40022499999998</v>
      </c>
      <c r="I305" s="106">
        <f t="shared" si="291"/>
        <v>496.14347500000002</v>
      </c>
      <c r="J305" s="104">
        <f t="shared" si="316"/>
        <v>69</v>
      </c>
      <c r="K305" s="104"/>
      <c r="L305" s="104">
        <v>1</v>
      </c>
      <c r="M305" s="104">
        <f>('Renewable Diesel'!C314*'RD Feedstock Breakdown'!M$3*'Feedstock Conversion Rates'!B$2)/12</f>
        <v>7.7902500000000003</v>
      </c>
      <c r="N305" s="104">
        <f>('Renewable Diesel'!C314*'RD Feedstock Breakdown'!N$3*'Feedstock Conversion Rates'!B$8)/12</f>
        <v>3.671875</v>
      </c>
      <c r="O305" s="104">
        <f>('Renewable Diesel'!C314*'RD Feedstock Breakdown'!O$3*'Feedstock Conversion Rates'!B$7)/12</f>
        <v>11.9991</v>
      </c>
      <c r="P305" s="104">
        <f>('Renewable Diesel'!C314*'RD Feedstock Breakdown'!P$3*'Feedstock Conversion Rates'!B$3)/12</f>
        <v>10.4470425</v>
      </c>
      <c r="Q305" s="106">
        <f t="shared" si="299"/>
        <v>103.90826749999999</v>
      </c>
      <c r="R305" s="104">
        <f>('Renewable Diesel'!D314*'RD Feedstock Breakdown'!R$3*'Feedstock Conversion Rates'!B$7)/12</f>
        <v>2.2999999999999998</v>
      </c>
      <c r="S305" s="106">
        <f t="shared" si="249"/>
        <v>2.2999999999999998</v>
      </c>
      <c r="T305" s="104">
        <f t="shared" si="300"/>
        <v>0.82499999999999929</v>
      </c>
      <c r="U305" s="104"/>
      <c r="V305" s="104">
        <f>('Renewable Diesel'!E314*'RD Feedstock Breakdown'!V$3*'Feedstock Conversion Rates'!B$6)/12-20+25</f>
        <v>49.250150000000012</v>
      </c>
      <c r="W305" s="104">
        <f>('Renewable Diesel'!E314*'RD Feedstock Breakdown'!W$3*'Feedstock Conversion Rates'!B$8)/12-6</f>
        <v>16.1796875</v>
      </c>
      <c r="X305" s="106">
        <f t="shared" si="277"/>
        <v>66.254837500000008</v>
      </c>
      <c r="Y305" s="104">
        <f t="shared" si="301"/>
        <v>98</v>
      </c>
      <c r="Z305" s="104">
        <f>('Renewable Diesel'!F314*'RD Feedstock Breakdown'!Z$3*'Feedstock Conversion Rates'!B$6)/12-142+15+10</f>
        <v>42.460000000000008</v>
      </c>
      <c r="AA305" s="104">
        <f>('Renewable Diesel'!F314*'RD Feedstock Breakdown'!AA$3*'Feedstock Conversion Rates'!B$7)/12+24</f>
        <v>128.26666666666665</v>
      </c>
      <c r="AB305" s="106">
        <f t="shared" si="235"/>
        <v>268.72666666666669</v>
      </c>
      <c r="AC305" s="104">
        <f>('Renewable Diesel'!G314*'RD Feedstock Breakdown'!AC$3*'Feedstock Conversion Rates'!B$5)/12</f>
        <v>11.796875</v>
      </c>
      <c r="AD305" s="104">
        <f>('Renewable Diesel'!G314*'RD Feedstock Breakdown'!AD$3*'Feedstock Conversion Rates'!B$4)/12</f>
        <v>5.859375</v>
      </c>
      <c r="AE305" s="104">
        <f>('Renewable Diesel'!G314*'RD Feedstock Breakdown'!AE$3*'Feedstock Conversion Rates'!B$6)/12</f>
        <v>7.3281250000000009</v>
      </c>
      <c r="AF305" s="106">
        <f t="shared" si="284"/>
        <v>24.984375</v>
      </c>
      <c r="AG305" s="104">
        <f t="shared" si="306"/>
        <v>148</v>
      </c>
      <c r="AH305" s="104"/>
      <c r="AI305" s="104">
        <f>('Renewable Diesel'!H314*'RD Feedstock Breakdown'!AI$3*'Feedstock Conversion Rates'!B$6)/12-130-20+51-49</f>
        <v>0.51666666666667993</v>
      </c>
      <c r="AJ305" s="106">
        <f t="shared" si="248"/>
        <v>148.51666666666668</v>
      </c>
      <c r="AK305" s="104">
        <f>('Renewable Diesel'!J314*'RD Feedstock Breakdown'!AK$3*'Feedstock Conversion Rates'!B$4)/12</f>
        <v>95.8125</v>
      </c>
      <c r="AL305" s="106">
        <f t="shared" si="252"/>
        <v>95.8125</v>
      </c>
      <c r="AM305" s="104">
        <f>('Renewable Diesel'!K314*'RD Feedstock Breakdown'!AM$3*'Feedstock Conversion Rates'!B$4)/12+5+15-10+10</f>
        <v>78.59375</v>
      </c>
      <c r="AN305" s="104">
        <f>('Renewable Diesel'!K314*'RD Feedstock Breakdown'!AN$3*'Feedstock Conversion Rates'!B$6)/12-5-15+10-10</f>
        <v>4.4270833333333321</v>
      </c>
      <c r="AO305" s="106">
        <f t="shared" si="270"/>
        <v>83.020833333333329</v>
      </c>
      <c r="AP305" s="104">
        <f>('Renewable Diesel'!L314*'RD Feedstock Breakdown'!AP$3*'Feedstock Conversion Rates'!B$4)/12+15-10+15</f>
        <v>78.59375</v>
      </c>
      <c r="AQ305" s="104">
        <f>('Renewable Diesel'!L314*'RD Feedstock Breakdown'!AQ$3*'Feedstock Conversion Rates'!B$6)/12-15+10-15</f>
        <v>4.4270833333333321</v>
      </c>
      <c r="AR305" s="106">
        <f t="shared" si="256"/>
        <v>83.020833333333329</v>
      </c>
      <c r="AS305" s="104">
        <f>('Renewable Diesel'!M314*'RD Feedstock Breakdown'!AS$3*'Feedstock Conversion Rates'!B$4)/12-25</f>
        <v>431.25</v>
      </c>
      <c r="AT305" s="104">
        <f>('Renewable Diesel'!M314*'RD Feedstock Breakdown'!AT$3*'Feedstock Conversion Rates'!B$5)/12+25</f>
        <v>25</v>
      </c>
      <c r="AU305" s="106">
        <f t="shared" si="290"/>
        <v>456.25</v>
      </c>
      <c r="AV305" s="104">
        <f>'Renewable Diesel'!N314*'RD Feedstock Breakdown'!$AV$3*'Feedstock Conversion Rates'!$B$4/12-15-10+25+25-22+25</f>
        <v>106.74999999999999</v>
      </c>
      <c r="AW305" s="104">
        <f>'Renewable Diesel'!N314*'RD Feedstock Breakdown'!$AW$3*'Feedstock Conversion Rates'!$B$7/12+15+10-25-25+22-25</f>
        <v>13.400000000000006</v>
      </c>
      <c r="AX305" s="106">
        <f t="shared" si="239"/>
        <v>120.14999999999999</v>
      </c>
      <c r="AY305" s="104">
        <f>('Renewable Diesel'!O314*'RD Feedstock Breakdown'!AY$3*'Feedstock Conversion Rates'!B$4)/12</f>
        <v>210.9375</v>
      </c>
      <c r="AZ305" s="104">
        <f>('Renewable Diesel'!O314*'RD Feedstock Breakdown'!AZ$3*'Feedstock Conversion Rates'!B$3)/12</f>
        <v>25.03125</v>
      </c>
      <c r="BA305" s="106">
        <f t="shared" si="302"/>
        <v>235.96875</v>
      </c>
      <c r="BB305" s="104">
        <f>('Renewable Diesel'!Q314*'RD Feedstock Breakdown'!BB$3*'Feedstock Conversion Rates'!B$4)/12</f>
        <v>11.156249999999998</v>
      </c>
      <c r="BC305" s="104">
        <f>('Renewable Diesel'!Q314*'RD Feedstock Breakdown'!BC$3*'Feedstock Conversion Rates'!B$3)/12</f>
        <v>1.4017500000000001</v>
      </c>
      <c r="BD305" s="104">
        <f>('Renewable Diesel'!Q314*'RD Feedstock Breakdown'!BD$3*'Feedstock Conversion Rates'!B$6)/12</f>
        <v>0.8207500000000002</v>
      </c>
      <c r="BE305" s="106">
        <f t="shared" si="279"/>
        <v>13.378749999999998</v>
      </c>
      <c r="BF305" s="104">
        <f>('Renewable Diesel'!R314*'RD Feedstock Breakdown'!BF$3*'Feedstock Conversion Rates'!B$4)/12</f>
        <v>62.5</v>
      </c>
      <c r="BG305" s="106">
        <f t="shared" si="262"/>
        <v>62.5</v>
      </c>
      <c r="BH305" s="104">
        <f>('Renewable Diesel'!T314*'RD Feedstock Breakdown'!BH$3*'Feedstock Conversion Rates'!B$7)/12</f>
        <v>27.599999999999998</v>
      </c>
      <c r="BI305" s="106">
        <f t="shared" si="243"/>
        <v>27.599999999999998</v>
      </c>
      <c r="BJ305" s="104">
        <f>('Renewable Diesel'!W314*'RD Feedstock Breakdown'!BJ$3*'Feedstock Conversion Rates'!B$4)/12</f>
        <v>7.5</v>
      </c>
      <c r="BK305" s="104">
        <f>('Renewable Diesel'!W314*'RD Feedstock Breakdown'!BK$3*'Feedstock Conversion Rates'!B$3)/12</f>
        <v>1.335</v>
      </c>
      <c r="BL305" s="104">
        <f>('Renewable Diesel'!W314*'RD Feedstock Breakdown'!BL$3*'Feedstock Conversion Rates'!B$6)/12</f>
        <v>3.1266666666666669</v>
      </c>
      <c r="BM305" s="104">
        <f>('Renewable Diesel'!W314*'RD Feedstock Breakdown'!BM$3*'Feedstock Conversion Rates'!B$7)/12</f>
        <v>1.5333333333333332</v>
      </c>
      <c r="BN305" s="106">
        <f t="shared" si="296"/>
        <v>13.495000000000001</v>
      </c>
      <c r="BO305" s="104">
        <f>('Renewable Diesel'!P314*'Feedstock Conversion Rates'!B$4)/12</f>
        <v>31.25</v>
      </c>
      <c r="BP305" s="106">
        <f t="shared" si="285"/>
        <v>31.25</v>
      </c>
      <c r="BQ305" s="104">
        <f>('Renewable Diesel'!$S314*'RD Feedstock Breakdown'!BQ$3*'Feedstock Conversion Rates'!B$4)/12+10+15-15</f>
        <v>38.125</v>
      </c>
      <c r="BR305" s="104">
        <f>('Renewable Diesel'!$S314*'RD Feedstock Breakdown'!BR$3*'Feedstock Conversion Rates'!B$7)/12-10-15+15</f>
        <v>1.5</v>
      </c>
      <c r="BS305" s="106">
        <f t="shared" si="307"/>
        <v>39.625</v>
      </c>
      <c r="BT305" s="106"/>
      <c r="BU305" s="104">
        <f>('Renewable Diesel'!Y314*'Feedstock Conversion Rates'!B$7)/12</f>
        <v>2.6833333333333331</v>
      </c>
      <c r="BV305" s="106">
        <f t="shared" si="281"/>
        <v>2.6833333333333331</v>
      </c>
      <c r="BW305" s="104">
        <f>('Renewable Diesel'!$Z314*'RD Feedstock Breakdown'!BW$3*'Feedstock Conversion Rates'!$B$4)/12</f>
        <v>71.875</v>
      </c>
      <c r="BX305" s="104">
        <f>('Renewable Diesel'!$Z314*'RD Feedstock Breakdown'!BX$3*'Feedstock Conversion Rates'!$B$5)/12</f>
        <v>7.2354166666666666</v>
      </c>
      <c r="BY305" s="104">
        <f>('Renewable Diesel'!$Z314*'RD Feedstock Breakdown'!BY$3*'Feedstock Conversion Rates'!$B$7)/12</f>
        <v>61.716666666666661</v>
      </c>
      <c r="BZ305" s="104">
        <f>('Renewable Diesel'!$Z314*'RD Feedstock Breakdown'!BZ$3*'Feedstock Conversion Rates'!$B$3)/12</f>
        <v>15.352499999999999</v>
      </c>
      <c r="CA305" s="106">
        <f t="shared" si="312"/>
        <v>156.17958333333331</v>
      </c>
      <c r="CB305" s="104">
        <f>('Renewable Diesel'!AA314*'Feedstock Conversion Rates'!B$4)/12</f>
        <v>191.25</v>
      </c>
      <c r="CC305" s="106">
        <f t="shared" si="298"/>
        <v>191.25</v>
      </c>
      <c r="CD305" s="104">
        <f>('Renewable Diesel'!$AB314*'RD Feedstock Breakdown'!CD$3*'Feedstock Conversion Rates'!$B$6)/12-15-5</f>
        <v>12.830000000000005</v>
      </c>
      <c r="CE305" s="104">
        <f>('Renewable Diesel'!$AB314*'RD Feedstock Breakdown'!CE$3*'Feedstock Conversion Rates'!$B$4)/12+15+5</f>
        <v>31.25</v>
      </c>
      <c r="CF305" s="106">
        <f t="shared" si="294"/>
        <v>44.080000000000005</v>
      </c>
      <c r="CG305" s="104">
        <f>('Renewable Diesel'!AD314*'Feedstock Conversion Rates'!B$4)/12</f>
        <v>112.5</v>
      </c>
      <c r="CH305" s="106">
        <f t="shared" si="278"/>
        <v>112.5</v>
      </c>
      <c r="CI305" s="104">
        <f>('Renewable Diesel'!$AE314*'RD Feedstock Breakdown'!CI$3*'Feedstock Conversion Rates'!$B$5)/12</f>
        <v>0.34604166666666664</v>
      </c>
      <c r="CJ305" s="104">
        <f>('Renewable Diesel'!$AE314*'RD Feedstock Breakdown'!CJ$3*'Feedstock Conversion Rates'!$B$4)/12</f>
        <v>0.34375</v>
      </c>
      <c r="CK305" s="106">
        <f t="shared" si="286"/>
        <v>0.68979166666666658</v>
      </c>
      <c r="CL305" s="104">
        <f>(((CL$3*'Renewable Diesel'!$AF314)*'Feedstock Conversion Rates'!$B$3)/12)</f>
        <v>91.78125</v>
      </c>
      <c r="CM305" s="104">
        <f>(((CM$3*'Renewable Diesel'!$AF314)*'Feedstock Conversion Rates'!$B$6)/12)</f>
        <v>53.739583333333336</v>
      </c>
      <c r="CN305" s="104">
        <f>(((CN$3*'Renewable Diesel'!$AF314)*'Feedstock Conversion Rates'!$B$4)/12)</f>
        <v>42.96875</v>
      </c>
      <c r="CO305" s="106">
        <f t="shared" si="280"/>
        <v>188.48958333333334</v>
      </c>
      <c r="CP305" s="104">
        <f>('Renewable Diesel'!$AG314*'RD Feedstock Breakdown'!CP$3*'Feedstock Conversion Rates'!$B$3)/12</f>
        <v>6.0075000000000003</v>
      </c>
      <c r="CQ305" s="104">
        <f>('Renewable Diesel'!$AG314*'RD Feedstock Breakdown'!CQ$3*'Feedstock Conversion Rates'!$B$6)/12</f>
        <v>3.5175000000000001</v>
      </c>
      <c r="CR305" s="104">
        <f>('Renewable Diesel'!$AG314*'RD Feedstock Breakdown'!CR$3*'Feedstock Conversion Rates'!$B$4)/12</f>
        <v>2.8125</v>
      </c>
      <c r="CS305" s="106">
        <f t="shared" ref="CS305:CS368" si="317">SUM(CP305:CR305)</f>
        <v>12.3375</v>
      </c>
      <c r="CT305" s="104">
        <f>('Renewable Diesel'!AI314*'Feedstock Conversion Rates'!$B$4*'RD Feedstock Breakdown'!$CT$3)/12</f>
        <v>29.375</v>
      </c>
      <c r="CU305" s="106">
        <f t="shared" si="282"/>
        <v>29.375</v>
      </c>
      <c r="CV305" s="104">
        <f>('Renewable Diesel'!AN314*'Feedstock Conversion Rates'!$B$3*'RD Feedstock Breakdown'!$CV$3)/12</f>
        <v>0.50062499999999999</v>
      </c>
      <c r="CW305" s="106">
        <f t="shared" si="255"/>
        <v>0.50062499999999999</v>
      </c>
      <c r="CX305" s="104">
        <f>('Renewable Diesel'!AO314*'RD Feedstock Breakdown'!$CX$3*'Feedstock Conversion Rates'!$B$3)/12</f>
        <v>6.3412499999999996</v>
      </c>
      <c r="CY305" s="104">
        <f>('Renewable Diesel'!AO314*'RD Feedstock Breakdown'!$CY$3*'Feedstock Conversion Rates'!$B$6)/12</f>
        <v>7.4258333333333342</v>
      </c>
      <c r="CZ305" s="106">
        <f t="shared" si="233"/>
        <v>13.767083333333334</v>
      </c>
      <c r="DA305" s="104">
        <f>('Renewable Diesel'!$AP314*'RD Feedstock Breakdown'!DA$3*'Feedstock Conversion Rates'!$B$3)/12</f>
        <v>6.3412499999999996</v>
      </c>
      <c r="DB305" s="104">
        <f>('Renewable Diesel'!$AP314*'RD Feedstock Breakdown'!DB$3*'Feedstock Conversion Rates'!$B$8)/12</f>
        <v>7.421875</v>
      </c>
      <c r="DC305" s="106">
        <f t="shared" si="260"/>
        <v>13.763124999999999</v>
      </c>
      <c r="DD305" s="104">
        <f>('Renewable Diesel'!AQ314*$DD$3*'Feedstock Conversion Rates'!$B$14)/12</f>
        <v>3.1041666666666665</v>
      </c>
      <c r="DE305" s="106">
        <f t="shared" si="261"/>
        <v>3.1041666666666665</v>
      </c>
      <c r="DF305" s="104">
        <f>('Renewable Diesel'!AR314*'Feedstock Conversion Rates'!$B$4*$DF$3)/12</f>
        <v>75</v>
      </c>
      <c r="DG305" s="106">
        <f t="shared" si="234"/>
        <v>75</v>
      </c>
      <c r="DH305" s="104">
        <f>('Renewable Diesel'!AS314*'Feedstock Conversion Rates'!$B$4*$DH$3)/12</f>
        <v>75</v>
      </c>
      <c r="DI305" s="106">
        <f t="shared" si="240"/>
        <v>75</v>
      </c>
      <c r="DJ305" s="104">
        <f>('Renewable Diesel'!AT314*'Feedstock Conversion Rates'!$B$4*0.25)/12</f>
        <v>8.59375</v>
      </c>
      <c r="DK305" s="104">
        <f>('Renewable Diesel'!$AT314*'RD Feedstock Breakdown'!DK$3*'Feedstock Conversion Rates'!$B$3)/12*0.5</f>
        <v>9.1781249999999996</v>
      </c>
      <c r="DL305" s="104">
        <f>('Renewable Diesel'!$AT314*'RD Feedstock Breakdown'!$DL$3*'Feedstock Conversion Rates'!$B$6)/12</f>
        <v>10.747916666666669</v>
      </c>
      <c r="DM305" s="104">
        <f>('Renewable Diesel'!$AT314*'RD Feedstock Breakdown'!$DM$3*'Feedstock Conversion Rates'!$B$8)/12</f>
        <v>10.7421875</v>
      </c>
      <c r="DN305" s="106">
        <f t="shared" si="297"/>
        <v>39.26197916666667</v>
      </c>
      <c r="DP305" s="104">
        <f t="shared" si="265"/>
        <v>103.22025000000001</v>
      </c>
      <c r="DQ305" s="104">
        <f t="shared" si="266"/>
        <v>359.11776750000001</v>
      </c>
      <c r="DR305" s="104">
        <f t="shared" si="271"/>
        <v>2016.953125</v>
      </c>
      <c r="DS305" s="104">
        <f t="shared" si="283"/>
        <v>253.90125</v>
      </c>
      <c r="DT305" s="104">
        <f t="shared" si="267"/>
        <v>208.03923333333341</v>
      </c>
      <c r="DU305" s="104">
        <f t="shared" si="268"/>
        <v>307.90610000000004</v>
      </c>
      <c r="DV305" s="104">
        <f t="shared" si="272"/>
        <v>78.75</v>
      </c>
      <c r="DW305" s="104">
        <f t="shared" si="269"/>
        <v>3</v>
      </c>
      <c r="DX305" s="106">
        <f t="shared" si="273"/>
        <v>3330.8877258333337</v>
      </c>
      <c r="DY305" s="109">
        <f t="shared" si="257"/>
        <v>-5.631051180898794E-13</v>
      </c>
      <c r="EA305" s="110">
        <f t="shared" si="313"/>
        <v>3.0988810940535676E-2</v>
      </c>
      <c r="EB305" s="110">
        <f t="shared" si="313"/>
        <v>0.1078144317848944</v>
      </c>
      <c r="EC305" s="110">
        <f t="shared" si="313"/>
        <v>0.60553020426270632</v>
      </c>
      <c r="ED305" s="110">
        <f t="shared" si="308"/>
        <v>7.6226300883941694E-2</v>
      </c>
      <c r="EE305" s="110">
        <f t="shared" si="308"/>
        <v>6.2457594028116153E-2</v>
      </c>
      <c r="EF305" s="110">
        <f t="shared" si="308"/>
        <v>9.243965133137802E-2</v>
      </c>
      <c r="EG305" s="110">
        <f t="shared" si="308"/>
        <v>2.3642345969586243E-2</v>
      </c>
      <c r="EH305" s="111">
        <f t="shared" si="274"/>
        <v>9.006607988413807E-4</v>
      </c>
      <c r="EI305" s="110">
        <f t="shared" si="236"/>
        <v>0.99909933920115845</v>
      </c>
      <c r="EK305" s="132">
        <f>(EA305*'Renewable Diesel'!BF314*'Feedstock Conversion Rates'!B$2)+FB305</f>
        <v>293.95752571844918</v>
      </c>
      <c r="EL305" s="132">
        <f>(EB305*'Renewable Diesel'!BF314*'Feedstock Conversion Rates'!B$3)+FC305</f>
        <v>963.76280100125666</v>
      </c>
      <c r="EM305" s="132">
        <f>(EC305*'Renewable Diesel'!BF314*'Feedstock Conversion Rates'!B$4)+FD305</f>
        <v>5068.2475532980989</v>
      </c>
      <c r="EN305" s="132">
        <f>(ED305*'Renewable Diesel'!BF314*'Feedstock Conversion Rates'!B$5)+FE305</f>
        <v>642.2624645870776</v>
      </c>
      <c r="EO305" s="132">
        <f>(EE305*'Renewable Diesel'!BF314*'Feedstock Conversion Rates'!B$6)+FF305</f>
        <v>653.80589780512992</v>
      </c>
      <c r="EP305" s="132">
        <f>(EF305*'Renewable Diesel'!BF314*'Feedstock Conversion Rates'!B$7)+FG305</f>
        <v>949.08884966966548</v>
      </c>
      <c r="EQ305" s="132">
        <f>(EG305*'Renewable Diesel'!BF314*'Feedstock Conversion Rates'!B$8)+FH305</f>
        <v>247.35607999208295</v>
      </c>
      <c r="ER305" s="132">
        <f>(EH305*'Renewable Diesel'!BF314*'Feedstock Conversion Rates'!B$9)+FI305</f>
        <v>9.2974475781151185</v>
      </c>
      <c r="ES305" s="132">
        <f t="shared" si="275"/>
        <v>8827.7786196498764</v>
      </c>
      <c r="ET305" s="133">
        <f>ES305/'Renewable Diesel'!BF314</f>
        <v>12.306907185174872</v>
      </c>
      <c r="EW305" s="73">
        <f t="shared" si="309"/>
        <v>7750.5924445530836</v>
      </c>
      <c r="EX305" s="73">
        <f t="shared" si="310"/>
        <v>4230.914296062766</v>
      </c>
      <c r="EY305" s="92">
        <f t="shared" si="258"/>
        <v>0.87797766329356419</v>
      </c>
      <c r="EZ305" s="92">
        <f t="shared" si="258"/>
        <v>0.47927281350770562</v>
      </c>
      <c r="FB305" s="102">
        <f>IF('Renewable Diesel'!$BG314&lt;1,0,(((('Renewable Diesel'!$BG314-1)*'Renewable Diesel'!$BF314)*'RD Feedstock Breakdown'!EA305)*'Feedstock Conversion Rates'!$B$2))</f>
        <v>105.0164662222375</v>
      </c>
      <c r="FC305" s="102">
        <f>IF('Renewable Diesel'!$BG314&lt;1,0,(((('Renewable Diesel'!$BG314-1)*'Renewable Diesel'!$BF314)*'RD Feedstock Breakdown'!EB305)*'Feedstock Conversion Rates'!$B$3))</f>
        <v>344.30472018102625</v>
      </c>
      <c r="FD305" s="102">
        <f>IF('Renewable Diesel'!$BG314&lt;1,0,(((('Renewable Diesel'!$BG314-1)*'Renewable Diesel'!$BF314)*'RD Feedstock Breakdown'!EC305)*'Feedstock Conversion Rates'!$B$4))</f>
        <v>1810.633854962615</v>
      </c>
      <c r="FE305" s="102">
        <f>IF('Renewable Diesel'!$BG314&lt;1,0,(((('Renewable Diesel'!$BG314-1)*'Renewable Diesel'!$BF314)*'RD Feedstock Breakdown'!ED305)*'Feedstock Conversion Rates'!$B$5))</f>
        <v>229.44857170529212</v>
      </c>
      <c r="FF305" s="102">
        <f>IF('Renewable Diesel'!$BG314&lt;1,0,(((('Renewable Diesel'!$BG314-1)*'Renewable Diesel'!$BF314)*'RD Feedstock Breakdown'!EE305)*'Feedstock Conversion Rates'!$B$6))</f>
        <v>233.57246872636492</v>
      </c>
      <c r="FG305" s="102">
        <f>IF('Renewable Diesel'!$BG314&lt;1,0,(((('Renewable Diesel'!$BG314-1)*'Renewable Diesel'!$BF314)*'RD Feedstock Breakdown'!EF305)*'Feedstock Conversion Rates'!$B$7))</f>
        <v>339.06244407125661</v>
      </c>
      <c r="FH305" s="102">
        <f>IF('Renewable Diesel'!$BG314&lt;1,0,(((('Renewable Diesel'!$BG314-1)*'Renewable Diesel'!$BF314)*'RD Feedstock Breakdown'!EG305)*'Feedstock Conversion Rates'!$B$8))</f>
        <v>88.368077516864673</v>
      </c>
      <c r="FI305" s="102">
        <f>IF('Renewable Diesel'!$BG314&lt;1,0,(((('Renewable Diesel'!$BG314-1)*'Renewable Diesel'!$BF314)*'RD Feedstock Breakdown'!EH305)*'Feedstock Conversion Rates'!$B$9))</f>
        <v>3.3215175803164372</v>
      </c>
      <c r="FJ305" s="102">
        <f t="shared" si="311"/>
        <v>3153.7281209659741</v>
      </c>
      <c r="GD305" s="91">
        <f>'Renewable Diesel'!BB314*0.32</f>
        <v>0</v>
      </c>
      <c r="GE305" s="91">
        <f>'Renewable Diesel'!BC314</f>
        <v>406.37995600577483</v>
      </c>
      <c r="GF305" s="91">
        <f>'Renewable Diesel'!BD314</f>
        <v>0</v>
      </c>
      <c r="GG305" s="91">
        <f t="shared" si="295"/>
        <v>406.37995600577483</v>
      </c>
      <c r="GH305" s="124">
        <v>1</v>
      </c>
      <c r="GI305" s="102">
        <f>$GG305*EA305*'Feedstock Conversion Rates'!$B$2</f>
        <v>107.04246882683238</v>
      </c>
      <c r="GJ305" s="102">
        <f>$GG305*EB305*'Feedstock Conversion Rates'!$B$3</f>
        <v>350.9471286047193</v>
      </c>
      <c r="GK305" s="102">
        <f>$GG305*EC305*'Feedstock Conversion Rates'!$B$4</f>
        <v>1845.5650332633484</v>
      </c>
      <c r="GL305" s="102">
        <f>$GG305*ED305*'Feedstock Conversion Rates'!$B$5</f>
        <v>233.87514803772879</v>
      </c>
      <c r="GM305" s="102">
        <f>$GG305*EE305*'Feedstock Conversion Rates'!$B$6</f>
        <v>238.07860425943304</v>
      </c>
      <c r="GN305" s="102">
        <f>$GG305*EF305*'Feedstock Conversion Rates'!$B$7</f>
        <v>345.60371725935795</v>
      </c>
      <c r="GO305" s="102">
        <f>$GG305*EG305*'Feedstock Conversion Rates'!$B$8</f>
        <v>90.07289545306655</v>
      </c>
      <c r="GP305" s="102">
        <f>$GG305*EH305*'Feedstock Conversion Rates'!B$9</f>
        <v>3.3855970862358982</v>
      </c>
      <c r="GQ305" s="102">
        <f t="shared" si="276"/>
        <v>3214.570592790722</v>
      </c>
      <c r="GR305" s="85">
        <f t="shared" si="293"/>
        <v>7.9102587253221754</v>
      </c>
      <c r="GT305" s="103">
        <f t="shared" si="254"/>
        <v>3.3299150146801938E-2</v>
      </c>
      <c r="GU305" s="103">
        <f t="shared" si="254"/>
        <v>0.1091738751644727</v>
      </c>
      <c r="GV305" s="103">
        <f t="shared" si="254"/>
        <v>0.57412490408590622</v>
      </c>
      <c r="GW305" s="103">
        <f t="shared" si="254"/>
        <v>7.2754708999776749E-2</v>
      </c>
      <c r="GX305" s="103">
        <f t="shared" si="253"/>
        <v>7.4062335042001867E-2</v>
      </c>
      <c r="GY305" s="103">
        <f t="shared" si="253"/>
        <v>0.10751162784679209</v>
      </c>
      <c r="GZ305" s="103">
        <f t="shared" si="253"/>
        <v>2.8020195187211602E-2</v>
      </c>
      <c r="HA305" s="103">
        <f t="shared" si="251"/>
        <v>1.053203527036779E-3</v>
      </c>
    </row>
    <row r="306" spans="1:209" x14ac:dyDescent="0.25">
      <c r="A306" s="96">
        <v>49735</v>
      </c>
      <c r="B306" s="104">
        <f t="shared" si="315"/>
        <v>59.25</v>
      </c>
      <c r="C306" s="104">
        <f t="shared" si="314"/>
        <v>49</v>
      </c>
      <c r="D306" s="104">
        <f t="shared" si="288"/>
        <v>2</v>
      </c>
      <c r="E306" s="104">
        <f>('Renewable Diesel'!B315*E$3*'Feedstock Conversion Rates'!$B$2)/12+26+13-100+27.5+39</f>
        <v>95.43</v>
      </c>
      <c r="F306" s="104">
        <f>('Renewable Diesel'!B315*'RD Feedstock Breakdown'!F$3*'Feedstock Conversion Rates'!B$8)/12+77+23-10-12-115.75+24+8</f>
        <v>48.15625</v>
      </c>
      <c r="G306" s="104">
        <f>('Renewable Diesel'!B315*'RD Feedstock Breakdown'!G$3*'Feedstock Conversion Rates'!B$7)/12+116.75-39-57.5-145-31.5+32+70-40+10-35</f>
        <v>56.907000000000039</v>
      </c>
      <c r="H306" s="104">
        <f>('Renewable Diesel'!B315*'RD Feedstock Breakdown'!H$3*'Feedstock Conversion Rates'!B$3)/12+67+10+12+3-235+20+47-20+105</f>
        <v>185.40022499999998</v>
      </c>
      <c r="I306" s="106">
        <f t="shared" si="291"/>
        <v>496.14347500000002</v>
      </c>
      <c r="J306" s="104">
        <f t="shared" si="316"/>
        <v>69</v>
      </c>
      <c r="K306" s="104"/>
      <c r="L306" s="104">
        <v>1</v>
      </c>
      <c r="M306" s="104">
        <f>('Renewable Diesel'!C315*'RD Feedstock Breakdown'!M$3*'Feedstock Conversion Rates'!B$2)/12</f>
        <v>7.7902500000000003</v>
      </c>
      <c r="N306" s="104">
        <f>('Renewable Diesel'!C315*'RD Feedstock Breakdown'!N$3*'Feedstock Conversion Rates'!B$8)/12</f>
        <v>3.671875</v>
      </c>
      <c r="O306" s="104">
        <f>('Renewable Diesel'!C315*'RD Feedstock Breakdown'!O$3*'Feedstock Conversion Rates'!B$7)/12</f>
        <v>11.9991</v>
      </c>
      <c r="P306" s="104">
        <f>('Renewable Diesel'!C315*'RD Feedstock Breakdown'!P$3*'Feedstock Conversion Rates'!B$3)/12</f>
        <v>10.4470425</v>
      </c>
      <c r="Q306" s="106">
        <f t="shared" si="299"/>
        <v>103.90826749999999</v>
      </c>
      <c r="R306" s="104">
        <f>('Renewable Diesel'!D315*'RD Feedstock Breakdown'!R$3*'Feedstock Conversion Rates'!B$7)/12</f>
        <v>2.2999999999999998</v>
      </c>
      <c r="S306" s="106">
        <f t="shared" si="249"/>
        <v>2.2999999999999998</v>
      </c>
      <c r="T306" s="104">
        <f t="shared" si="300"/>
        <v>0.82499999999999929</v>
      </c>
      <c r="U306" s="104"/>
      <c r="V306" s="104">
        <f>('Renewable Diesel'!E315*'RD Feedstock Breakdown'!V$3*'Feedstock Conversion Rates'!B$6)/12-20+25</f>
        <v>49.250150000000012</v>
      </c>
      <c r="W306" s="104">
        <f>('Renewable Diesel'!E315*'RD Feedstock Breakdown'!W$3*'Feedstock Conversion Rates'!B$8)/12-6</f>
        <v>16.1796875</v>
      </c>
      <c r="X306" s="106">
        <f t="shared" si="277"/>
        <v>66.254837500000008</v>
      </c>
      <c r="Y306" s="104">
        <f t="shared" si="301"/>
        <v>98</v>
      </c>
      <c r="Z306" s="104">
        <f>('Renewable Diesel'!F315*'RD Feedstock Breakdown'!Z$3*'Feedstock Conversion Rates'!B$6)/12-142+15+10</f>
        <v>42.460000000000008</v>
      </c>
      <c r="AA306" s="104">
        <f>('Renewable Diesel'!F315*'RD Feedstock Breakdown'!AA$3*'Feedstock Conversion Rates'!B$7)/12+24</f>
        <v>128.26666666666665</v>
      </c>
      <c r="AB306" s="106">
        <f t="shared" si="235"/>
        <v>268.72666666666669</v>
      </c>
      <c r="AC306" s="104">
        <f>('Renewable Diesel'!G315*'RD Feedstock Breakdown'!AC$3*'Feedstock Conversion Rates'!B$5)/12</f>
        <v>11.796875</v>
      </c>
      <c r="AD306" s="104">
        <f>('Renewable Diesel'!G315*'RD Feedstock Breakdown'!AD$3*'Feedstock Conversion Rates'!B$4)/12</f>
        <v>5.859375</v>
      </c>
      <c r="AE306" s="104">
        <f>('Renewable Diesel'!G315*'RD Feedstock Breakdown'!AE$3*'Feedstock Conversion Rates'!B$6)/12</f>
        <v>7.3281250000000009</v>
      </c>
      <c r="AF306" s="106">
        <f t="shared" si="284"/>
        <v>24.984375</v>
      </c>
      <c r="AG306" s="104">
        <f t="shared" si="306"/>
        <v>148</v>
      </c>
      <c r="AH306" s="104"/>
      <c r="AI306" s="104">
        <f>('Renewable Diesel'!H315*'RD Feedstock Breakdown'!AI$3*'Feedstock Conversion Rates'!B$6)/12-130-20+51-49</f>
        <v>0.51666666666667993</v>
      </c>
      <c r="AJ306" s="106">
        <f t="shared" si="248"/>
        <v>148.51666666666668</v>
      </c>
      <c r="AK306" s="104">
        <f>('Renewable Diesel'!J315*'RD Feedstock Breakdown'!AK$3*'Feedstock Conversion Rates'!B$4)/12</f>
        <v>95.8125</v>
      </c>
      <c r="AL306" s="106">
        <f t="shared" si="252"/>
        <v>95.8125</v>
      </c>
      <c r="AM306" s="104">
        <f>('Renewable Diesel'!K315*'RD Feedstock Breakdown'!AM$3*'Feedstock Conversion Rates'!B$4)/12+5+15-10+10</f>
        <v>78.59375</v>
      </c>
      <c r="AN306" s="104">
        <f>('Renewable Diesel'!K315*'RD Feedstock Breakdown'!AN$3*'Feedstock Conversion Rates'!B$6)/12-5-15+10-10</f>
        <v>4.4270833333333321</v>
      </c>
      <c r="AO306" s="106">
        <f t="shared" si="270"/>
        <v>83.020833333333329</v>
      </c>
      <c r="AP306" s="104">
        <f>('Renewable Diesel'!L315*'RD Feedstock Breakdown'!AP$3*'Feedstock Conversion Rates'!B$4)/12+15-10+15</f>
        <v>78.59375</v>
      </c>
      <c r="AQ306" s="104">
        <f>('Renewable Diesel'!L315*'RD Feedstock Breakdown'!AQ$3*'Feedstock Conversion Rates'!B$6)/12-15+10-15</f>
        <v>4.4270833333333321</v>
      </c>
      <c r="AR306" s="106">
        <f t="shared" si="256"/>
        <v>83.020833333333329</v>
      </c>
      <c r="AS306" s="104">
        <f>('Renewable Diesel'!M315*'RD Feedstock Breakdown'!AS$3*'Feedstock Conversion Rates'!B$4)/12-25</f>
        <v>431.25</v>
      </c>
      <c r="AT306" s="104">
        <f>('Renewable Diesel'!M315*'RD Feedstock Breakdown'!AT$3*'Feedstock Conversion Rates'!B$5)/12+25</f>
        <v>25</v>
      </c>
      <c r="AU306" s="106">
        <f t="shared" si="290"/>
        <v>456.25</v>
      </c>
      <c r="AV306" s="104">
        <f>'Renewable Diesel'!N315*'RD Feedstock Breakdown'!$AV$3*'Feedstock Conversion Rates'!$B$4/12-15-10+25+25-22+25</f>
        <v>106.74999999999999</v>
      </c>
      <c r="AW306" s="104">
        <f>'Renewable Diesel'!N315*'RD Feedstock Breakdown'!$AW$3*'Feedstock Conversion Rates'!$B$7/12+15+10-25-25+22-25</f>
        <v>13.400000000000006</v>
      </c>
      <c r="AX306" s="106">
        <f t="shared" si="239"/>
        <v>120.14999999999999</v>
      </c>
      <c r="AY306" s="104">
        <f>('Renewable Diesel'!O315*'RD Feedstock Breakdown'!AY$3*'Feedstock Conversion Rates'!B$4)/12</f>
        <v>210.9375</v>
      </c>
      <c r="AZ306" s="104">
        <f>('Renewable Diesel'!O315*'RD Feedstock Breakdown'!AZ$3*'Feedstock Conversion Rates'!B$3)/12</f>
        <v>25.03125</v>
      </c>
      <c r="BA306" s="106">
        <f t="shared" si="302"/>
        <v>235.96875</v>
      </c>
      <c r="BB306" s="104">
        <f>('Renewable Diesel'!Q315*'RD Feedstock Breakdown'!BB$3*'Feedstock Conversion Rates'!B$4)/12</f>
        <v>11.156249999999998</v>
      </c>
      <c r="BC306" s="104">
        <f>('Renewable Diesel'!Q315*'RD Feedstock Breakdown'!BC$3*'Feedstock Conversion Rates'!B$3)/12</f>
        <v>1.4017500000000001</v>
      </c>
      <c r="BD306" s="104">
        <f>('Renewable Diesel'!Q315*'RD Feedstock Breakdown'!BD$3*'Feedstock Conversion Rates'!B$6)/12</f>
        <v>0.8207500000000002</v>
      </c>
      <c r="BE306" s="106">
        <f t="shared" si="279"/>
        <v>13.378749999999998</v>
      </c>
      <c r="BF306" s="104">
        <f>('Renewable Diesel'!R315*'RD Feedstock Breakdown'!BF$3*'Feedstock Conversion Rates'!B$4)/12</f>
        <v>62.5</v>
      </c>
      <c r="BG306" s="106">
        <f t="shared" si="262"/>
        <v>62.5</v>
      </c>
      <c r="BH306" s="104">
        <f>('Renewable Diesel'!T315*'RD Feedstock Breakdown'!BH$3*'Feedstock Conversion Rates'!B$7)/12</f>
        <v>27.599999999999998</v>
      </c>
      <c r="BI306" s="106">
        <f t="shared" si="243"/>
        <v>27.599999999999998</v>
      </c>
      <c r="BJ306" s="104">
        <f>('Renewable Diesel'!W315*'RD Feedstock Breakdown'!BJ$3*'Feedstock Conversion Rates'!B$4)/12</f>
        <v>7.5</v>
      </c>
      <c r="BK306" s="104">
        <f>('Renewable Diesel'!W315*'RD Feedstock Breakdown'!BK$3*'Feedstock Conversion Rates'!B$3)/12</f>
        <v>1.335</v>
      </c>
      <c r="BL306" s="104">
        <f>('Renewable Diesel'!W315*'RD Feedstock Breakdown'!BL$3*'Feedstock Conversion Rates'!B$6)/12</f>
        <v>3.1266666666666669</v>
      </c>
      <c r="BM306" s="104">
        <f>('Renewable Diesel'!W315*'RD Feedstock Breakdown'!BM$3*'Feedstock Conversion Rates'!B$7)/12</f>
        <v>1.5333333333333332</v>
      </c>
      <c r="BN306" s="106">
        <f t="shared" si="296"/>
        <v>13.495000000000001</v>
      </c>
      <c r="BO306" s="104">
        <f>('Renewable Diesel'!P315*'Feedstock Conversion Rates'!B$4)/12</f>
        <v>31.25</v>
      </c>
      <c r="BP306" s="106">
        <f t="shared" si="285"/>
        <v>31.25</v>
      </c>
      <c r="BQ306" s="104">
        <f>('Renewable Diesel'!$S315*'RD Feedstock Breakdown'!BQ$3*'Feedstock Conversion Rates'!B$4)/12+10+15-15</f>
        <v>38.125</v>
      </c>
      <c r="BR306" s="104">
        <f>('Renewable Diesel'!$S315*'RD Feedstock Breakdown'!BR$3*'Feedstock Conversion Rates'!B$7)/12-10-15+15</f>
        <v>1.5</v>
      </c>
      <c r="BS306" s="106">
        <f t="shared" si="307"/>
        <v>39.625</v>
      </c>
      <c r="BT306" s="106"/>
      <c r="BU306" s="104">
        <f>('Renewable Diesel'!Y315*'Feedstock Conversion Rates'!B$7)/12</f>
        <v>2.6833333333333331</v>
      </c>
      <c r="BV306" s="106">
        <f t="shared" si="281"/>
        <v>2.6833333333333331</v>
      </c>
      <c r="BW306" s="104">
        <f>('Renewable Diesel'!$Z315*'RD Feedstock Breakdown'!BW$3*'Feedstock Conversion Rates'!$B$4)/12</f>
        <v>71.875</v>
      </c>
      <c r="BX306" s="104">
        <f>('Renewable Diesel'!$Z315*'RD Feedstock Breakdown'!BX$3*'Feedstock Conversion Rates'!$B$5)/12</f>
        <v>7.2354166666666666</v>
      </c>
      <c r="BY306" s="104">
        <f>('Renewable Diesel'!$Z315*'RD Feedstock Breakdown'!BY$3*'Feedstock Conversion Rates'!$B$7)/12</f>
        <v>61.716666666666661</v>
      </c>
      <c r="BZ306" s="104">
        <f>('Renewable Diesel'!$Z315*'RD Feedstock Breakdown'!BZ$3*'Feedstock Conversion Rates'!$B$3)/12</f>
        <v>15.352499999999999</v>
      </c>
      <c r="CA306" s="106">
        <f t="shared" si="312"/>
        <v>156.17958333333331</v>
      </c>
      <c r="CB306" s="104">
        <f>('Renewable Diesel'!AA315*'Feedstock Conversion Rates'!B$4)/12</f>
        <v>191.25</v>
      </c>
      <c r="CC306" s="106">
        <f t="shared" si="298"/>
        <v>191.25</v>
      </c>
      <c r="CD306" s="104">
        <f>('Renewable Diesel'!$AB315*'RD Feedstock Breakdown'!CD$3*'Feedstock Conversion Rates'!$B$6)/12-15-5</f>
        <v>12.830000000000005</v>
      </c>
      <c r="CE306" s="104">
        <f>('Renewable Diesel'!$AB315*'RD Feedstock Breakdown'!CE$3*'Feedstock Conversion Rates'!$B$4)/12+15+5</f>
        <v>31.25</v>
      </c>
      <c r="CF306" s="106">
        <f t="shared" si="294"/>
        <v>44.080000000000005</v>
      </c>
      <c r="CG306" s="104">
        <f>('Renewable Diesel'!AD315*'Feedstock Conversion Rates'!B$4)/12</f>
        <v>112.5</v>
      </c>
      <c r="CH306" s="106">
        <f t="shared" si="278"/>
        <v>112.5</v>
      </c>
      <c r="CI306" s="104">
        <f>('Renewable Diesel'!$AE315*'RD Feedstock Breakdown'!CI$3*'Feedstock Conversion Rates'!$B$5)/12</f>
        <v>0.34604166666666664</v>
      </c>
      <c r="CJ306" s="104">
        <f>('Renewable Diesel'!$AE315*'RD Feedstock Breakdown'!CJ$3*'Feedstock Conversion Rates'!$B$4)/12</f>
        <v>0.34375</v>
      </c>
      <c r="CK306" s="106">
        <f t="shared" si="286"/>
        <v>0.68979166666666658</v>
      </c>
      <c r="CL306" s="104">
        <f>(((CL$3*'Renewable Diesel'!$AF315)*'Feedstock Conversion Rates'!$B$3)/12)</f>
        <v>91.78125</v>
      </c>
      <c r="CM306" s="104">
        <f>(((CM$3*'Renewable Diesel'!$AF315)*'Feedstock Conversion Rates'!$B$6)/12)</f>
        <v>53.739583333333336</v>
      </c>
      <c r="CN306" s="104">
        <f>(((CN$3*'Renewable Diesel'!$AF315)*'Feedstock Conversion Rates'!$B$4)/12)</f>
        <v>42.96875</v>
      </c>
      <c r="CO306" s="106">
        <f t="shared" si="280"/>
        <v>188.48958333333334</v>
      </c>
      <c r="CP306" s="104">
        <f>('Renewable Diesel'!$AG315*'RD Feedstock Breakdown'!CP$3*'Feedstock Conversion Rates'!$B$3)/12</f>
        <v>6.0075000000000003</v>
      </c>
      <c r="CQ306" s="104">
        <f>('Renewable Diesel'!$AG315*'RD Feedstock Breakdown'!CQ$3*'Feedstock Conversion Rates'!$B$6)/12</f>
        <v>3.5175000000000001</v>
      </c>
      <c r="CR306" s="104">
        <f>('Renewable Diesel'!$AG315*'RD Feedstock Breakdown'!CR$3*'Feedstock Conversion Rates'!$B$4)/12</f>
        <v>2.8125</v>
      </c>
      <c r="CS306" s="106">
        <f t="shared" si="317"/>
        <v>12.3375</v>
      </c>
      <c r="CT306" s="104">
        <f>('Renewable Diesel'!AI315*'Feedstock Conversion Rates'!$B$4*'RD Feedstock Breakdown'!$CT$3)/12</f>
        <v>29.375</v>
      </c>
      <c r="CU306" s="106">
        <f t="shared" si="282"/>
        <v>29.375</v>
      </c>
      <c r="CV306" s="104">
        <f>('Renewable Diesel'!AN315*'Feedstock Conversion Rates'!$B$3*'RD Feedstock Breakdown'!$CV$3)/12</f>
        <v>0.50062499999999999</v>
      </c>
      <c r="CW306" s="106">
        <f t="shared" si="255"/>
        <v>0.50062499999999999</v>
      </c>
      <c r="CX306" s="104">
        <f>('Renewable Diesel'!AO315*'RD Feedstock Breakdown'!$CX$3*'Feedstock Conversion Rates'!$B$3)/12</f>
        <v>6.3412499999999996</v>
      </c>
      <c r="CY306" s="104">
        <f>('Renewable Diesel'!AO315*'RD Feedstock Breakdown'!$CY$3*'Feedstock Conversion Rates'!$B$6)/12</f>
        <v>7.4258333333333342</v>
      </c>
      <c r="CZ306" s="106">
        <f t="shared" ref="CZ306:CZ369" si="318">CY306+CX306</f>
        <v>13.767083333333334</v>
      </c>
      <c r="DA306" s="104">
        <f>('Renewable Diesel'!$AP315*'RD Feedstock Breakdown'!DA$3*'Feedstock Conversion Rates'!$B$3)/12</f>
        <v>6.3412499999999996</v>
      </c>
      <c r="DB306" s="104">
        <f>('Renewable Diesel'!$AP315*'RD Feedstock Breakdown'!DB$3*'Feedstock Conversion Rates'!$B$8)/12</f>
        <v>7.421875</v>
      </c>
      <c r="DC306" s="106">
        <f t="shared" si="260"/>
        <v>13.763124999999999</v>
      </c>
      <c r="DD306" s="104">
        <f>('Renewable Diesel'!AQ315*$DD$3*'Feedstock Conversion Rates'!$B$14)/12</f>
        <v>3.1041666666666665</v>
      </c>
      <c r="DE306" s="106">
        <f t="shared" si="261"/>
        <v>3.1041666666666665</v>
      </c>
      <c r="DF306" s="104">
        <f>('Renewable Diesel'!AR315*'Feedstock Conversion Rates'!$B$4*$DF$3)/12</f>
        <v>75</v>
      </c>
      <c r="DG306" s="106">
        <f t="shared" ref="DG306:DG369" si="319">DF306</f>
        <v>75</v>
      </c>
      <c r="DH306" s="104">
        <f>('Renewable Diesel'!AS315*'Feedstock Conversion Rates'!$B$4*$DH$3)/12</f>
        <v>75</v>
      </c>
      <c r="DI306" s="106">
        <f t="shared" si="240"/>
        <v>75</v>
      </c>
      <c r="DJ306" s="104">
        <f>('Renewable Diesel'!AT315*'Feedstock Conversion Rates'!$B$4*0.25)/12</f>
        <v>8.59375</v>
      </c>
      <c r="DK306" s="104">
        <f>('Renewable Diesel'!$AT315*'RD Feedstock Breakdown'!DK$3*'Feedstock Conversion Rates'!$B$3)/12*0.5</f>
        <v>9.1781249999999996</v>
      </c>
      <c r="DL306" s="104">
        <f>('Renewable Diesel'!$AT315*'RD Feedstock Breakdown'!$DL$3*'Feedstock Conversion Rates'!$B$6)/12</f>
        <v>10.747916666666669</v>
      </c>
      <c r="DM306" s="104">
        <f>('Renewable Diesel'!$AT315*'RD Feedstock Breakdown'!$DM$3*'Feedstock Conversion Rates'!$B$8)/12</f>
        <v>10.7421875</v>
      </c>
      <c r="DN306" s="106">
        <f t="shared" si="297"/>
        <v>39.26197916666667</v>
      </c>
      <c r="DP306" s="104">
        <f t="shared" si="265"/>
        <v>103.22025000000001</v>
      </c>
      <c r="DQ306" s="104">
        <f t="shared" si="266"/>
        <v>359.11776750000001</v>
      </c>
      <c r="DR306" s="104">
        <f t="shared" si="271"/>
        <v>2016.953125</v>
      </c>
      <c r="DS306" s="104">
        <f t="shared" si="283"/>
        <v>253.90125</v>
      </c>
      <c r="DT306" s="104">
        <f t="shared" si="267"/>
        <v>208.03923333333341</v>
      </c>
      <c r="DU306" s="104">
        <f t="shared" si="268"/>
        <v>307.90610000000004</v>
      </c>
      <c r="DV306" s="104">
        <f t="shared" si="272"/>
        <v>78.75</v>
      </c>
      <c r="DW306" s="104">
        <f t="shared" si="269"/>
        <v>3</v>
      </c>
      <c r="DX306" s="106">
        <f t="shared" si="273"/>
        <v>3330.8877258333337</v>
      </c>
      <c r="DY306" s="109">
        <f t="shared" si="257"/>
        <v>-5.631051180898794E-13</v>
      </c>
      <c r="EA306" s="110">
        <f t="shared" si="313"/>
        <v>3.0988810940535676E-2</v>
      </c>
      <c r="EB306" s="110">
        <f t="shared" si="313"/>
        <v>0.1078144317848944</v>
      </c>
      <c r="EC306" s="110">
        <f t="shared" si="313"/>
        <v>0.60553020426270632</v>
      </c>
      <c r="ED306" s="110">
        <f t="shared" si="308"/>
        <v>7.6226300883941694E-2</v>
      </c>
      <c r="EE306" s="110">
        <f t="shared" si="308"/>
        <v>6.2457594028116153E-2</v>
      </c>
      <c r="EF306" s="110">
        <f t="shared" si="308"/>
        <v>9.243965133137802E-2</v>
      </c>
      <c r="EG306" s="110">
        <f t="shared" si="308"/>
        <v>2.3642345969586243E-2</v>
      </c>
      <c r="EH306" s="111">
        <f t="shared" si="274"/>
        <v>9.006607988413807E-4</v>
      </c>
      <c r="EI306" s="110">
        <f t="shared" si="236"/>
        <v>0.99909933920115845</v>
      </c>
      <c r="EK306" s="132">
        <f>(EA306*'Renewable Diesel'!BF315*'Feedstock Conversion Rates'!B$2)+FB306</f>
        <v>146.47156961452578</v>
      </c>
      <c r="EL306" s="132">
        <f>(EB306*'Renewable Diesel'!BF315*'Feedstock Conversion Rates'!B$3)+FC306</f>
        <v>480.21852767243604</v>
      </c>
      <c r="EM306" s="132">
        <f>(EC306*'Renewable Diesel'!BF315*'Feedstock Conversion Rates'!B$4)+FD306</f>
        <v>2525.3790407719484</v>
      </c>
      <c r="EN306" s="132">
        <f>(ED306*'Renewable Diesel'!BF315*'Feedstock Conversion Rates'!B$5)+FE306</f>
        <v>320.02307497534787</v>
      </c>
      <c r="EO306" s="132">
        <f>(EE306*'Renewable Diesel'!BF315*'Feedstock Conversion Rates'!B$6)+FF306</f>
        <v>325.77487458672448</v>
      </c>
      <c r="EP306" s="132">
        <f>(EF306*'Renewable Diesel'!BF315*'Feedstock Conversion Rates'!B$7)+FG306</f>
        <v>472.9068703888463</v>
      </c>
      <c r="EQ306" s="132">
        <f>(EG306*'Renewable Diesel'!BF315*'Feedstock Conversion Rates'!B$8)+FH306</f>
        <v>123.25125271614267</v>
      </c>
      <c r="ER306" s="132">
        <f>(EH306*'Renewable Diesel'!BF315*'Feedstock Conversion Rates'!B$9)+FI306</f>
        <v>4.6326820068543784</v>
      </c>
      <c r="ES306" s="132">
        <f t="shared" si="275"/>
        <v>4398.6578927328255</v>
      </c>
      <c r="ET306" s="133">
        <f>ES306/'Renewable Diesel'!BF315</f>
        <v>8.9818365885327296</v>
      </c>
      <c r="EW306" s="73">
        <f t="shared" si="309"/>
        <v>3184.8727673354224</v>
      </c>
      <c r="EX306" s="73">
        <f t="shared" si="310"/>
        <v>1738.566931348616</v>
      </c>
      <c r="EY306" s="92">
        <f t="shared" si="258"/>
        <v>0.72405557445084801</v>
      </c>
      <c r="EZ306" s="92">
        <f t="shared" si="258"/>
        <v>0.3952494087391889</v>
      </c>
      <c r="FB306" s="102">
        <f>IF('Renewable Diesel'!$BG315&lt;1,0,(((('Renewable Diesel'!$BG315-1)*'Renewable Diesel'!$BF315)*'RD Feedstock Breakdown'!EA306)*'Feedstock Conversion Rates'!$B$2))</f>
        <v>17.474788150679302</v>
      </c>
      <c r="FC306" s="102">
        <f>IF('Renewable Diesel'!$BG315&lt;1,0,(((('Renewable Diesel'!$BG315-1)*'Renewable Diesel'!$BF315)*'RD Feedstock Breakdown'!EB306)*'Feedstock Conversion Rates'!$B$3))</f>
        <v>57.292463371504205</v>
      </c>
      <c r="FD306" s="102">
        <f>IF('Renewable Diesel'!$BG315&lt;1,0,(((('Renewable Diesel'!$BG315-1)*'Renewable Diesel'!$BF315)*'RD Feedstock Breakdown'!EC306)*'Feedstock Conversion Rates'!$B$4))</f>
        <v>301.29030400776855</v>
      </c>
      <c r="FE306" s="102">
        <f>IF('Renewable Diesel'!$BG315&lt;1,0,(((('Renewable Diesel'!$BG315-1)*'Renewable Diesel'!$BF315)*'RD Feedstock Breakdown'!ED306)*'Feedstock Conversion Rates'!$B$5))</f>
        <v>38.180347580357768</v>
      </c>
      <c r="FF306" s="102">
        <f>IF('Renewable Diesel'!$BG315&lt;1,0,(((('Renewable Diesel'!$BG315-1)*'Renewable Diesel'!$BF315)*'RD Feedstock Breakdown'!EE306)*'Feedstock Conversion Rates'!$B$6))</f>
        <v>38.866565936305506</v>
      </c>
      <c r="FG306" s="102">
        <f>IF('Renewable Diesel'!$BG315&lt;1,0,(((('Renewable Diesel'!$BG315-1)*'Renewable Diesel'!$BF315)*'RD Feedstock Breakdown'!EF306)*'Feedstock Conversion Rates'!$B$7))</f>
        <v>56.420146222194219</v>
      </c>
      <c r="FH306" s="102">
        <f>IF('Renewable Diesel'!$BG315&lt;1,0,(((('Renewable Diesel'!$BG315-1)*'Renewable Diesel'!$BF315)*'RD Feedstock Breakdown'!EG306)*'Feedstock Conversion Rates'!$B$8))</f>
        <v>14.704488633450378</v>
      </c>
      <c r="FI306" s="102">
        <f>IF('Renewable Diesel'!$BG315&lt;1,0,(((('Renewable Diesel'!$BG315-1)*'Renewable Diesel'!$BF315)*'RD Feedstock Breakdown'!EH306)*'Feedstock Conversion Rates'!$B$9))</f>
        <v>0.5527020489525476</v>
      </c>
      <c r="FJ306" s="102">
        <f t="shared" si="311"/>
        <v>524.7818059512125</v>
      </c>
      <c r="GD306" s="91">
        <f>'Renewable Diesel'!BB315*0.32</f>
        <v>0</v>
      </c>
      <c r="GE306" s="91">
        <f>'Renewable Diesel'!BC315</f>
        <v>162.24592725913061</v>
      </c>
      <c r="GF306" s="91">
        <f>'Renewable Diesel'!BD315</f>
        <v>0</v>
      </c>
      <c r="GG306" s="91">
        <f t="shared" si="295"/>
        <v>162.24592725913061</v>
      </c>
      <c r="GH306" s="124">
        <v>1</v>
      </c>
      <c r="GI306" s="102">
        <f>$GG306*EA306*'Feedstock Conversion Rates'!$B$2</f>
        <v>42.736371108493366</v>
      </c>
      <c r="GJ306" s="102">
        <f>$GG306*EB306*'Feedstock Conversion Rates'!$B$3</f>
        <v>140.11454417942036</v>
      </c>
      <c r="GK306" s="102">
        <f>$GG306*EC306*'Feedstock Conversion Rates'!$B$4</f>
        <v>736.83607105510168</v>
      </c>
      <c r="GL306" s="102">
        <f>$GG306*ED306*'Feedstock Conversion Rates'!$B$5</f>
        <v>93.373921856786993</v>
      </c>
      <c r="GM306" s="102">
        <f>$GG306*EE306*'Feedstock Conversion Rates'!$B$6</f>
        <v>95.052138615031495</v>
      </c>
      <c r="GN306" s="102">
        <f>$GG306*EF306*'Feedstock Conversion Rates'!$B$7</f>
        <v>137.98120390108539</v>
      </c>
      <c r="GO306" s="102">
        <f>$GG306*EG306*'Feedstock Conversion Rates'!$B$8</f>
        <v>35.961321978906462</v>
      </c>
      <c r="GP306" s="102">
        <f>$GG306*EH306*'Feedstock Conversion Rates'!B$9</f>
        <v>1.3516890546992142</v>
      </c>
      <c r="GQ306" s="102">
        <f t="shared" si="276"/>
        <v>1283.4072617495249</v>
      </c>
      <c r="GR306" s="85">
        <f t="shared" si="293"/>
        <v>7.9102587253221754</v>
      </c>
      <c r="GT306" s="103">
        <f t="shared" si="254"/>
        <v>3.3299150146801938E-2</v>
      </c>
      <c r="GU306" s="103">
        <f t="shared" si="254"/>
        <v>0.1091738751644727</v>
      </c>
      <c r="GV306" s="103">
        <f t="shared" si="254"/>
        <v>0.57412490408590633</v>
      </c>
      <c r="GW306" s="103">
        <f t="shared" si="254"/>
        <v>7.2754708999776735E-2</v>
      </c>
      <c r="GX306" s="103">
        <f t="shared" si="253"/>
        <v>7.4062335042001867E-2</v>
      </c>
      <c r="GY306" s="103">
        <f t="shared" si="253"/>
        <v>0.10751162784679209</v>
      </c>
      <c r="GZ306" s="103">
        <f t="shared" si="253"/>
        <v>2.8020195187211609E-2</v>
      </c>
      <c r="HA306" s="103">
        <f t="shared" si="251"/>
        <v>1.0532035270367792E-3</v>
      </c>
    </row>
    <row r="307" spans="1:209" x14ac:dyDescent="0.25">
      <c r="A307" s="96">
        <v>49766</v>
      </c>
      <c r="B307" s="104">
        <f t="shared" si="315"/>
        <v>59.25</v>
      </c>
      <c r="C307" s="104">
        <f t="shared" si="314"/>
        <v>49</v>
      </c>
      <c r="D307" s="104">
        <f t="shared" si="288"/>
        <v>2</v>
      </c>
      <c r="E307" s="104">
        <f>('Renewable Diesel'!B316*E$3*'Feedstock Conversion Rates'!$B$2)/12+26+13-100+27.5+39</f>
        <v>95.43</v>
      </c>
      <c r="F307" s="104">
        <f>('Renewable Diesel'!B316*'RD Feedstock Breakdown'!F$3*'Feedstock Conversion Rates'!B$8)/12+77+23-10-12-115.75+24+8</f>
        <v>48.15625</v>
      </c>
      <c r="G307" s="104">
        <f>('Renewable Diesel'!B316*'RD Feedstock Breakdown'!G$3*'Feedstock Conversion Rates'!B$7)/12+116.75-39-57.5-145-31.5+32+70-40+10-35</f>
        <v>56.907000000000039</v>
      </c>
      <c r="H307" s="104">
        <f>('Renewable Diesel'!B316*'RD Feedstock Breakdown'!H$3*'Feedstock Conversion Rates'!B$3)/12+67+10+12+3-235+20+47-20+105</f>
        <v>185.40022499999998</v>
      </c>
      <c r="I307" s="106">
        <f t="shared" si="291"/>
        <v>496.14347500000002</v>
      </c>
      <c r="J307" s="104">
        <f t="shared" si="316"/>
        <v>69</v>
      </c>
      <c r="K307" s="104"/>
      <c r="L307" s="104">
        <v>1</v>
      </c>
      <c r="M307" s="104">
        <f>('Renewable Diesel'!C316*'RD Feedstock Breakdown'!M$3*'Feedstock Conversion Rates'!B$2)/12</f>
        <v>7.7902500000000003</v>
      </c>
      <c r="N307" s="104">
        <f>('Renewable Diesel'!C316*'RD Feedstock Breakdown'!N$3*'Feedstock Conversion Rates'!B$8)/12</f>
        <v>3.671875</v>
      </c>
      <c r="O307" s="104">
        <f>('Renewable Diesel'!C316*'RD Feedstock Breakdown'!O$3*'Feedstock Conversion Rates'!B$7)/12</f>
        <v>11.9991</v>
      </c>
      <c r="P307" s="104">
        <f>('Renewable Diesel'!C316*'RD Feedstock Breakdown'!P$3*'Feedstock Conversion Rates'!B$3)/12</f>
        <v>10.4470425</v>
      </c>
      <c r="Q307" s="106">
        <f t="shared" si="299"/>
        <v>103.90826749999999</v>
      </c>
      <c r="R307" s="104">
        <f>('Renewable Diesel'!D316*'RD Feedstock Breakdown'!R$3*'Feedstock Conversion Rates'!B$7)/12</f>
        <v>2.2999999999999998</v>
      </c>
      <c r="S307" s="106">
        <f t="shared" si="249"/>
        <v>2.2999999999999998</v>
      </c>
      <c r="T307" s="104">
        <f t="shared" si="300"/>
        <v>0.82499999999999929</v>
      </c>
      <c r="U307" s="104"/>
      <c r="V307" s="104">
        <f>('Renewable Diesel'!E316*'RD Feedstock Breakdown'!V$3*'Feedstock Conversion Rates'!B$6)/12-20+25</f>
        <v>49.250150000000012</v>
      </c>
      <c r="W307" s="104">
        <f>('Renewable Diesel'!E316*'RD Feedstock Breakdown'!W$3*'Feedstock Conversion Rates'!B$8)/12-6</f>
        <v>16.1796875</v>
      </c>
      <c r="X307" s="106">
        <f t="shared" si="277"/>
        <v>66.254837500000008</v>
      </c>
      <c r="Y307" s="104">
        <f t="shared" si="301"/>
        <v>98</v>
      </c>
      <c r="Z307" s="104">
        <f>('Renewable Diesel'!F316*'RD Feedstock Breakdown'!Z$3*'Feedstock Conversion Rates'!B$6)/12-142+15+10</f>
        <v>42.460000000000008</v>
      </c>
      <c r="AA307" s="104">
        <f>('Renewable Diesel'!F316*'RD Feedstock Breakdown'!AA$3*'Feedstock Conversion Rates'!B$7)/12+24</f>
        <v>128.26666666666665</v>
      </c>
      <c r="AB307" s="106">
        <f t="shared" ref="AB307:AB370" si="320">SUM(Y307:AA307)</f>
        <v>268.72666666666669</v>
      </c>
      <c r="AC307" s="104">
        <f>('Renewable Diesel'!G316*'RD Feedstock Breakdown'!AC$3*'Feedstock Conversion Rates'!B$5)/12</f>
        <v>11.796875</v>
      </c>
      <c r="AD307" s="104">
        <f>('Renewable Diesel'!G316*'RD Feedstock Breakdown'!AD$3*'Feedstock Conversion Rates'!B$4)/12</f>
        <v>5.859375</v>
      </c>
      <c r="AE307" s="104">
        <f>('Renewable Diesel'!G316*'RD Feedstock Breakdown'!AE$3*'Feedstock Conversion Rates'!B$6)/12</f>
        <v>7.3281250000000009</v>
      </c>
      <c r="AF307" s="106">
        <f t="shared" si="284"/>
        <v>24.984375</v>
      </c>
      <c r="AG307" s="104">
        <f t="shared" si="306"/>
        <v>148</v>
      </c>
      <c r="AH307" s="104"/>
      <c r="AI307" s="104">
        <f>('Renewable Diesel'!H316*'RD Feedstock Breakdown'!AI$3*'Feedstock Conversion Rates'!B$6)/12-130-20+51-49</f>
        <v>0.51666666666667993</v>
      </c>
      <c r="AJ307" s="106">
        <f t="shared" si="248"/>
        <v>148.51666666666668</v>
      </c>
      <c r="AK307" s="104">
        <f>('Renewable Diesel'!J316*'RD Feedstock Breakdown'!AK$3*'Feedstock Conversion Rates'!B$4)/12</f>
        <v>95.8125</v>
      </c>
      <c r="AL307" s="106">
        <f t="shared" si="252"/>
        <v>95.8125</v>
      </c>
      <c r="AM307" s="104">
        <f>('Renewable Diesel'!K316*'RD Feedstock Breakdown'!AM$3*'Feedstock Conversion Rates'!B$4)/12+5+15-10+10</f>
        <v>78.59375</v>
      </c>
      <c r="AN307" s="104">
        <f>('Renewable Diesel'!K316*'RD Feedstock Breakdown'!AN$3*'Feedstock Conversion Rates'!B$6)/12-5-15+10-10</f>
        <v>4.4270833333333321</v>
      </c>
      <c r="AO307" s="106">
        <f t="shared" si="270"/>
        <v>83.020833333333329</v>
      </c>
      <c r="AP307" s="104">
        <f>('Renewable Diesel'!L316*'RD Feedstock Breakdown'!AP$3*'Feedstock Conversion Rates'!B$4)/12+15-10+15</f>
        <v>78.59375</v>
      </c>
      <c r="AQ307" s="104">
        <f>('Renewable Diesel'!L316*'RD Feedstock Breakdown'!AQ$3*'Feedstock Conversion Rates'!B$6)/12-15+10-15</f>
        <v>4.4270833333333321</v>
      </c>
      <c r="AR307" s="106">
        <f t="shared" si="256"/>
        <v>83.020833333333329</v>
      </c>
      <c r="AS307" s="104">
        <f>('Renewable Diesel'!M316*'RD Feedstock Breakdown'!AS$3*'Feedstock Conversion Rates'!B$4)/12-25</f>
        <v>431.25</v>
      </c>
      <c r="AT307" s="104">
        <f>('Renewable Diesel'!M316*'RD Feedstock Breakdown'!AT$3*'Feedstock Conversion Rates'!B$5)/12+25</f>
        <v>25</v>
      </c>
      <c r="AU307" s="106">
        <f t="shared" si="290"/>
        <v>456.25</v>
      </c>
      <c r="AV307" s="104">
        <f>'Renewable Diesel'!N316*'RD Feedstock Breakdown'!$AV$3*'Feedstock Conversion Rates'!$B$4/12-15-10+25+25-22+25</f>
        <v>106.74999999999999</v>
      </c>
      <c r="AW307" s="104">
        <f>'Renewable Diesel'!N316*'RD Feedstock Breakdown'!$AW$3*'Feedstock Conversion Rates'!$B$7/12+15+10-25-25+22-25</f>
        <v>13.400000000000006</v>
      </c>
      <c r="AX307" s="106">
        <f t="shared" si="239"/>
        <v>120.14999999999999</v>
      </c>
      <c r="AY307" s="104">
        <f>('Renewable Diesel'!O316*'RD Feedstock Breakdown'!AY$3*'Feedstock Conversion Rates'!B$4)/12</f>
        <v>210.9375</v>
      </c>
      <c r="AZ307" s="104">
        <f>('Renewable Diesel'!O316*'RD Feedstock Breakdown'!AZ$3*'Feedstock Conversion Rates'!B$3)/12</f>
        <v>25.03125</v>
      </c>
      <c r="BA307" s="106">
        <f t="shared" si="302"/>
        <v>235.96875</v>
      </c>
      <c r="BB307" s="104">
        <f>('Renewable Diesel'!Q316*'RD Feedstock Breakdown'!BB$3*'Feedstock Conversion Rates'!B$4)/12</f>
        <v>11.156249999999998</v>
      </c>
      <c r="BC307" s="104">
        <f>('Renewable Diesel'!Q316*'RD Feedstock Breakdown'!BC$3*'Feedstock Conversion Rates'!B$3)/12</f>
        <v>1.4017500000000001</v>
      </c>
      <c r="BD307" s="104">
        <f>('Renewable Diesel'!Q316*'RD Feedstock Breakdown'!BD$3*'Feedstock Conversion Rates'!B$6)/12</f>
        <v>0.8207500000000002</v>
      </c>
      <c r="BE307" s="106">
        <f t="shared" si="279"/>
        <v>13.378749999999998</v>
      </c>
      <c r="BF307" s="104">
        <f>('Renewable Diesel'!R316*'RD Feedstock Breakdown'!BF$3*'Feedstock Conversion Rates'!B$4)/12</f>
        <v>62.5</v>
      </c>
      <c r="BG307" s="106">
        <f t="shared" si="262"/>
        <v>62.5</v>
      </c>
      <c r="BH307" s="104">
        <f>('Renewable Diesel'!T316*'RD Feedstock Breakdown'!BH$3*'Feedstock Conversion Rates'!B$7)/12</f>
        <v>27.599999999999998</v>
      </c>
      <c r="BI307" s="106">
        <f t="shared" si="243"/>
        <v>27.599999999999998</v>
      </c>
      <c r="BJ307" s="104">
        <f>('Renewable Diesel'!W316*'RD Feedstock Breakdown'!BJ$3*'Feedstock Conversion Rates'!B$4)/12</f>
        <v>7.5</v>
      </c>
      <c r="BK307" s="104">
        <f>('Renewable Diesel'!W316*'RD Feedstock Breakdown'!BK$3*'Feedstock Conversion Rates'!B$3)/12</f>
        <v>1.335</v>
      </c>
      <c r="BL307" s="104">
        <f>('Renewable Diesel'!W316*'RD Feedstock Breakdown'!BL$3*'Feedstock Conversion Rates'!B$6)/12</f>
        <v>3.1266666666666669</v>
      </c>
      <c r="BM307" s="104">
        <f>('Renewable Diesel'!W316*'RD Feedstock Breakdown'!BM$3*'Feedstock Conversion Rates'!B$7)/12</f>
        <v>1.5333333333333332</v>
      </c>
      <c r="BN307" s="106">
        <f t="shared" si="296"/>
        <v>13.495000000000001</v>
      </c>
      <c r="BO307" s="104">
        <f>('Renewable Diesel'!P316*'Feedstock Conversion Rates'!B$4)/12</f>
        <v>31.25</v>
      </c>
      <c r="BP307" s="106">
        <f t="shared" si="285"/>
        <v>31.25</v>
      </c>
      <c r="BQ307" s="104">
        <f>('Renewable Diesel'!$S316*'RD Feedstock Breakdown'!BQ$3*'Feedstock Conversion Rates'!B$4)/12+10+15-15</f>
        <v>38.125</v>
      </c>
      <c r="BR307" s="104">
        <f>('Renewable Diesel'!$S316*'RD Feedstock Breakdown'!BR$3*'Feedstock Conversion Rates'!B$7)/12-10-15+15</f>
        <v>1.5</v>
      </c>
      <c r="BS307" s="106">
        <f t="shared" si="307"/>
        <v>39.625</v>
      </c>
      <c r="BT307" s="106"/>
      <c r="BU307" s="104">
        <f>('Renewable Diesel'!Y316*'Feedstock Conversion Rates'!B$7)/12</f>
        <v>2.6833333333333331</v>
      </c>
      <c r="BV307" s="106">
        <f t="shared" si="281"/>
        <v>2.6833333333333331</v>
      </c>
      <c r="BW307" s="104">
        <f>('Renewable Diesel'!$Z316*'RD Feedstock Breakdown'!BW$3*'Feedstock Conversion Rates'!$B$4)/12</f>
        <v>71.875</v>
      </c>
      <c r="BX307" s="104">
        <f>('Renewable Diesel'!$Z316*'RD Feedstock Breakdown'!BX$3*'Feedstock Conversion Rates'!$B$5)/12</f>
        <v>7.2354166666666666</v>
      </c>
      <c r="BY307" s="104">
        <f>('Renewable Diesel'!$Z316*'RD Feedstock Breakdown'!BY$3*'Feedstock Conversion Rates'!$B$7)/12</f>
        <v>61.716666666666661</v>
      </c>
      <c r="BZ307" s="104">
        <f>('Renewable Diesel'!$Z316*'RD Feedstock Breakdown'!BZ$3*'Feedstock Conversion Rates'!$B$3)/12</f>
        <v>15.352499999999999</v>
      </c>
      <c r="CA307" s="106">
        <f t="shared" si="312"/>
        <v>156.17958333333331</v>
      </c>
      <c r="CB307" s="104">
        <f>('Renewable Diesel'!AA316*'Feedstock Conversion Rates'!B$4)/12</f>
        <v>191.25</v>
      </c>
      <c r="CC307" s="106">
        <f t="shared" si="298"/>
        <v>191.25</v>
      </c>
      <c r="CD307" s="104">
        <f>('Renewable Diesel'!$AB316*'RD Feedstock Breakdown'!CD$3*'Feedstock Conversion Rates'!$B$6)/12-15-5</f>
        <v>12.830000000000005</v>
      </c>
      <c r="CE307" s="104">
        <f>('Renewable Diesel'!$AB316*'RD Feedstock Breakdown'!CE$3*'Feedstock Conversion Rates'!$B$4)/12+15+5</f>
        <v>31.25</v>
      </c>
      <c r="CF307" s="106">
        <f t="shared" si="294"/>
        <v>44.080000000000005</v>
      </c>
      <c r="CG307" s="104">
        <f>('Renewable Diesel'!AD316*'Feedstock Conversion Rates'!B$4)/12</f>
        <v>112.5</v>
      </c>
      <c r="CH307" s="106">
        <f t="shared" si="278"/>
        <v>112.5</v>
      </c>
      <c r="CI307" s="104">
        <f>('Renewable Diesel'!$AE316*'RD Feedstock Breakdown'!CI$3*'Feedstock Conversion Rates'!$B$5)/12</f>
        <v>0.34604166666666664</v>
      </c>
      <c r="CJ307" s="104">
        <f>('Renewable Diesel'!$AE316*'RD Feedstock Breakdown'!CJ$3*'Feedstock Conversion Rates'!$B$4)/12</f>
        <v>0.34375</v>
      </c>
      <c r="CK307" s="106">
        <f t="shared" si="286"/>
        <v>0.68979166666666658</v>
      </c>
      <c r="CL307" s="104">
        <f>(((CL$3*'Renewable Diesel'!$AF316)*'Feedstock Conversion Rates'!$B$3)/12)</f>
        <v>91.78125</v>
      </c>
      <c r="CM307" s="104">
        <f>(((CM$3*'Renewable Diesel'!$AF316)*'Feedstock Conversion Rates'!$B$6)/12)</f>
        <v>53.739583333333336</v>
      </c>
      <c r="CN307" s="104">
        <f>(((CN$3*'Renewable Diesel'!$AF316)*'Feedstock Conversion Rates'!$B$4)/12)</f>
        <v>42.96875</v>
      </c>
      <c r="CO307" s="106">
        <f t="shared" si="280"/>
        <v>188.48958333333334</v>
      </c>
      <c r="CP307" s="104">
        <f>('Renewable Diesel'!$AG316*'RD Feedstock Breakdown'!CP$3*'Feedstock Conversion Rates'!$B$3)/12</f>
        <v>6.0075000000000003</v>
      </c>
      <c r="CQ307" s="104">
        <f>('Renewable Diesel'!$AG316*'RD Feedstock Breakdown'!CQ$3*'Feedstock Conversion Rates'!$B$6)/12</f>
        <v>3.5175000000000001</v>
      </c>
      <c r="CR307" s="104">
        <f>('Renewable Diesel'!$AG316*'RD Feedstock Breakdown'!CR$3*'Feedstock Conversion Rates'!$B$4)/12</f>
        <v>2.8125</v>
      </c>
      <c r="CS307" s="106">
        <f t="shared" si="317"/>
        <v>12.3375</v>
      </c>
      <c r="CT307" s="104">
        <f>('Renewable Diesel'!AI316*'Feedstock Conversion Rates'!$B$4*'RD Feedstock Breakdown'!$CT$3)/12</f>
        <v>29.375</v>
      </c>
      <c r="CU307" s="106">
        <f t="shared" si="282"/>
        <v>29.375</v>
      </c>
      <c r="CV307" s="104">
        <f>('Renewable Diesel'!AN316*'Feedstock Conversion Rates'!$B$3*'RD Feedstock Breakdown'!$CV$3)/12</f>
        <v>0.50062499999999999</v>
      </c>
      <c r="CW307" s="106">
        <f t="shared" si="255"/>
        <v>0.50062499999999999</v>
      </c>
      <c r="CX307" s="104">
        <f>('Renewable Diesel'!AO316*'RD Feedstock Breakdown'!$CX$3*'Feedstock Conversion Rates'!$B$3)/12</f>
        <v>6.3412499999999996</v>
      </c>
      <c r="CY307" s="104">
        <f>('Renewable Diesel'!AO316*'RD Feedstock Breakdown'!$CY$3*'Feedstock Conversion Rates'!$B$6)/12</f>
        <v>7.4258333333333342</v>
      </c>
      <c r="CZ307" s="106">
        <f t="shared" si="318"/>
        <v>13.767083333333334</v>
      </c>
      <c r="DA307" s="104">
        <f>('Renewable Diesel'!$AP316*'RD Feedstock Breakdown'!DA$3*'Feedstock Conversion Rates'!$B$3)/12</f>
        <v>6.3412499999999996</v>
      </c>
      <c r="DB307" s="104">
        <f>('Renewable Diesel'!$AP316*'RD Feedstock Breakdown'!DB$3*'Feedstock Conversion Rates'!$B$8)/12</f>
        <v>7.421875</v>
      </c>
      <c r="DC307" s="106">
        <f t="shared" si="260"/>
        <v>13.763124999999999</v>
      </c>
      <c r="DD307" s="104">
        <f>('Renewable Diesel'!AQ316*$DD$3*'Feedstock Conversion Rates'!$B$14)/12</f>
        <v>3.1041666666666665</v>
      </c>
      <c r="DE307" s="106">
        <f t="shared" si="261"/>
        <v>3.1041666666666665</v>
      </c>
      <c r="DF307" s="104">
        <f>('Renewable Diesel'!AR316*'Feedstock Conversion Rates'!$B$4*$DF$3)/12</f>
        <v>75</v>
      </c>
      <c r="DG307" s="106">
        <f t="shared" si="319"/>
        <v>75</v>
      </c>
      <c r="DH307" s="104">
        <f>('Renewable Diesel'!AS316*'Feedstock Conversion Rates'!$B$4*$DH$3)/12</f>
        <v>75</v>
      </c>
      <c r="DI307" s="106">
        <f t="shared" si="240"/>
        <v>75</v>
      </c>
      <c r="DJ307" s="104">
        <f>('Renewable Diesel'!AT316*'Feedstock Conversion Rates'!$B$4*0.25)/12</f>
        <v>8.59375</v>
      </c>
      <c r="DK307" s="104">
        <f>('Renewable Diesel'!$AT316*'RD Feedstock Breakdown'!DK$3*'Feedstock Conversion Rates'!$B$3)/12*0.5</f>
        <v>9.1781249999999996</v>
      </c>
      <c r="DL307" s="104">
        <f>('Renewable Diesel'!$AT316*'RD Feedstock Breakdown'!$DL$3*'Feedstock Conversion Rates'!$B$6)/12</f>
        <v>10.747916666666669</v>
      </c>
      <c r="DM307" s="104">
        <f>('Renewable Diesel'!$AT316*'RD Feedstock Breakdown'!$DM$3*'Feedstock Conversion Rates'!$B$8)/12</f>
        <v>10.7421875</v>
      </c>
      <c r="DN307" s="106">
        <f t="shared" si="297"/>
        <v>39.26197916666667</v>
      </c>
      <c r="DP307" s="104">
        <f t="shared" si="265"/>
        <v>103.22025000000001</v>
      </c>
      <c r="DQ307" s="104">
        <f t="shared" si="266"/>
        <v>359.11776750000001</v>
      </c>
      <c r="DR307" s="104">
        <f t="shared" si="271"/>
        <v>2016.953125</v>
      </c>
      <c r="DS307" s="104">
        <f t="shared" si="283"/>
        <v>253.90125</v>
      </c>
      <c r="DT307" s="104">
        <f t="shared" si="267"/>
        <v>208.03923333333341</v>
      </c>
      <c r="DU307" s="104">
        <f t="shared" si="268"/>
        <v>307.90610000000004</v>
      </c>
      <c r="DV307" s="104">
        <f t="shared" si="272"/>
        <v>78.75</v>
      </c>
      <c r="DW307" s="104">
        <f t="shared" si="269"/>
        <v>3</v>
      </c>
      <c r="DX307" s="106">
        <f t="shared" si="273"/>
        <v>3330.8877258333337</v>
      </c>
      <c r="DY307" s="109">
        <f t="shared" si="257"/>
        <v>-5.631051180898794E-13</v>
      </c>
      <c r="EA307" s="110">
        <f t="shared" si="313"/>
        <v>3.0988810940535676E-2</v>
      </c>
      <c r="EB307" s="110">
        <f t="shared" si="313"/>
        <v>0.1078144317848944</v>
      </c>
      <c r="EC307" s="110">
        <f t="shared" si="313"/>
        <v>0.60553020426270632</v>
      </c>
      <c r="ED307" s="110">
        <f t="shared" si="308"/>
        <v>7.6226300883941694E-2</v>
      </c>
      <c r="EE307" s="110">
        <f t="shared" si="308"/>
        <v>6.2457594028116153E-2</v>
      </c>
      <c r="EF307" s="110">
        <f t="shared" si="308"/>
        <v>9.243965133137802E-2</v>
      </c>
      <c r="EG307" s="110">
        <f t="shared" si="308"/>
        <v>2.3642345969586243E-2</v>
      </c>
      <c r="EH307" s="111">
        <f t="shared" si="274"/>
        <v>9.006607988413807E-4</v>
      </c>
      <c r="EI307" s="110">
        <f t="shared" si="236"/>
        <v>0.99909933920115845</v>
      </c>
      <c r="EK307" s="132">
        <f>(EA307*'Renewable Diesel'!BF316*'Feedstock Conversion Rates'!B$2)+FB307</f>
        <v>191.09323558433718</v>
      </c>
      <c r="EL307" s="132">
        <f>(EB307*'Renewable Diesel'!BF316*'Feedstock Conversion Rates'!B$3)+FC307</f>
        <v>626.51415890453995</v>
      </c>
      <c r="EM307" s="132">
        <f>(EC307*'Renewable Diesel'!BF316*'Feedstock Conversion Rates'!B$4)+FD307</f>
        <v>3294.7202876845731</v>
      </c>
      <c r="EN307" s="132">
        <f>(ED307*'Renewable Diesel'!BF316*'Feedstock Conversion Rates'!B$5)+FE307</f>
        <v>417.51614336918681</v>
      </c>
      <c r="EO307" s="132">
        <f>(EE307*'Renewable Diesel'!BF316*'Feedstock Conversion Rates'!B$6)+FF307</f>
        <v>425.02019347982116</v>
      </c>
      <c r="EP307" s="132">
        <f>(EF307*'Renewable Diesel'!BF316*'Feedstock Conversion Rates'!B$7)+FG307</f>
        <v>616.97505004210313</v>
      </c>
      <c r="EQ307" s="132">
        <f>(EG307*'Renewable Diesel'!BF316*'Feedstock Conversion Rates'!B$8)+FH307</f>
        <v>160.7989914584407</v>
      </c>
      <c r="ER307" s="132">
        <f>(EH307*'Renewable Diesel'!BF316*'Feedstock Conversion Rates'!B$9)+FI307</f>
        <v>6.0440001868823421</v>
      </c>
      <c r="ES307" s="132">
        <f t="shared" si="275"/>
        <v>5738.6820607098844</v>
      </c>
      <c r="ET307" s="133">
        <f>ES307/'Renewable Diesel'!BF316</f>
        <v>9.9226869641007873</v>
      </c>
      <c r="EW307" s="73">
        <f t="shared" si="309"/>
        <v>4465.118130325659</v>
      </c>
      <c r="EX307" s="73">
        <f t="shared" si="310"/>
        <v>2437.4307211160813</v>
      </c>
      <c r="EY307" s="92">
        <f t="shared" si="258"/>
        <v>0.77807379518309061</v>
      </c>
      <c r="EZ307" s="92">
        <f t="shared" si="258"/>
        <v>0.42473702068355518</v>
      </c>
      <c r="FB307" s="102">
        <f>IF('Renewable Diesel'!$BG316&lt;1,0,(((('Renewable Diesel'!$BG316-1)*'Renewable Diesel'!$BF316)*'RD Feedstock Breakdown'!EA307)*'Feedstock Conversion Rates'!$B$2))</f>
        <v>38.755775015456585</v>
      </c>
      <c r="FC307" s="102">
        <f>IF('Renewable Diesel'!$BG316&lt;1,0,(((('Renewable Diesel'!$BG316-1)*'Renewable Diesel'!$BF316)*'RD Feedstock Breakdown'!EB307)*'Feedstock Conversion Rates'!$B$3))</f>
        <v>127.0638477194351</v>
      </c>
      <c r="FD307" s="102">
        <f>IF('Renewable Diesel'!$BG316&lt;1,0,(((('Renewable Diesel'!$BG316-1)*'Renewable Diesel'!$BF316)*'RD Feedstock Breakdown'!EC307)*'Feedstock Conversion Rates'!$B$4))</f>
        <v>668.20490959769836</v>
      </c>
      <c r="FE307" s="102">
        <f>IF('Renewable Diesel'!$BG316&lt;1,0,(((('Renewable Diesel'!$BG316-1)*'Renewable Diesel'!$BF316)*'RD Feedstock Breakdown'!ED307)*'Feedstock Conversion Rates'!$B$5))</f>
        <v>84.676789674200222</v>
      </c>
      <c r="FF307" s="102">
        <f>IF('Renewable Diesel'!$BG316&lt;1,0,(((('Renewable Diesel'!$BG316-1)*'Renewable Diesel'!$BF316)*'RD Feedstock Breakdown'!EE307)*'Feedstock Conversion Rates'!$B$6))</f>
        <v>86.198692199442178</v>
      </c>
      <c r="FG307" s="102">
        <f>IF('Renewable Diesel'!$BG316&lt;1,0,(((('Renewable Diesel'!$BG316-1)*'Renewable Diesel'!$BF316)*'RD Feedstock Breakdown'!EF307)*'Feedstock Conversion Rates'!$B$7))</f>
        <v>125.12921326840355</v>
      </c>
      <c r="FH307" s="102">
        <f>IF('Renewable Diesel'!$BG316&lt;1,0,(((('Renewable Diesel'!$BG316-1)*'Renewable Diesel'!$BF316)*'RD Feedstock Breakdown'!EG307)*'Feedstock Conversion Rates'!$B$8))</f>
        <v>32.611774648220162</v>
      </c>
      <c r="FI307" s="102">
        <f>IF('Renewable Diesel'!$BG316&lt;1,0,(((('Renewable Diesel'!$BG316-1)*'Renewable Diesel'!$BF316)*'RD Feedstock Breakdown'!EH307)*'Feedstock Conversion Rates'!$B$9))</f>
        <v>1.2257886089997674</v>
      </c>
      <c r="FJ307" s="102">
        <f t="shared" si="311"/>
        <v>1163.8667907318561</v>
      </c>
      <c r="GD307" s="91">
        <f>'Renewable Diesel'!BB316*0.32</f>
        <v>0</v>
      </c>
      <c r="GE307" s="91">
        <f>'Renewable Diesel'!BC316</f>
        <v>260.37045206182569</v>
      </c>
      <c r="GF307" s="91">
        <f>'Renewable Diesel'!BD316</f>
        <v>0</v>
      </c>
      <c r="GG307" s="91">
        <f t="shared" si="295"/>
        <v>260.37045206182569</v>
      </c>
      <c r="GH307" s="124">
        <v>1</v>
      </c>
      <c r="GI307" s="102">
        <f>$GG307*EA307*'Feedstock Conversion Rates'!$B$2</f>
        <v>68.582851064288647</v>
      </c>
      <c r="GJ307" s="102">
        <f>$GG307*EB307*'Feedstock Conversion Rates'!$B$3</f>
        <v>224.8542556644008</v>
      </c>
      <c r="GK307" s="102">
        <f>$GG307*EC307*'Feedstock Conversion Rates'!$B$4</f>
        <v>1182.4662976572788</v>
      </c>
      <c r="GL307" s="102">
        <f>$GG307*ED307*'Feedstock Conversion Rates'!$B$5</f>
        <v>149.84542697215244</v>
      </c>
      <c r="GM307" s="102">
        <f>$GG307*EE307*'Feedstock Conversion Rates'!$B$6</f>
        <v>152.53861048303324</v>
      </c>
      <c r="GN307" s="102">
        <f>$GG307*EF307*'Feedstock Conversion Rates'!$B$7</f>
        <v>221.43069501141366</v>
      </c>
      <c r="GO307" s="102">
        <f>$GG307*EG307*'Feedstock Conversion Rates'!$B$8</f>
        <v>57.710327886592992</v>
      </c>
      <c r="GP307" s="102">
        <f>$GG307*EH307*'Feedstock Conversion Rates'!B$9</f>
        <v>2.1691754989754322</v>
      </c>
      <c r="GQ307" s="102">
        <f t="shared" si="276"/>
        <v>2059.5976402381361</v>
      </c>
      <c r="GR307" s="85">
        <f t="shared" si="293"/>
        <v>7.9102587253221763</v>
      </c>
      <c r="GT307" s="103">
        <f t="shared" si="254"/>
        <v>3.3299150146801938E-2</v>
      </c>
      <c r="GU307" s="103">
        <f t="shared" si="254"/>
        <v>0.1091738751644727</v>
      </c>
      <c r="GV307" s="103">
        <f t="shared" si="254"/>
        <v>0.57412490408590633</v>
      </c>
      <c r="GW307" s="103">
        <f t="shared" si="254"/>
        <v>7.2754708999776735E-2</v>
      </c>
      <c r="GX307" s="103">
        <f t="shared" si="253"/>
        <v>7.4062335042001867E-2</v>
      </c>
      <c r="GY307" s="103">
        <f t="shared" si="253"/>
        <v>0.10751162784679211</v>
      </c>
      <c r="GZ307" s="103">
        <f t="shared" si="253"/>
        <v>2.8020195187211609E-2</v>
      </c>
      <c r="HA307" s="103">
        <f t="shared" si="251"/>
        <v>1.0532035270367792E-3</v>
      </c>
    </row>
    <row r="308" spans="1:209" x14ac:dyDescent="0.25">
      <c r="A308" s="96">
        <v>49796</v>
      </c>
      <c r="B308" s="104">
        <f t="shared" si="315"/>
        <v>59.25</v>
      </c>
      <c r="C308" s="104">
        <f t="shared" si="314"/>
        <v>49</v>
      </c>
      <c r="D308" s="104">
        <f t="shared" si="288"/>
        <v>2</v>
      </c>
      <c r="E308" s="104">
        <f>('Renewable Diesel'!B317*E$3*'Feedstock Conversion Rates'!$B$2)/12+26+13-100+27.5+39</f>
        <v>95.43</v>
      </c>
      <c r="F308" s="104">
        <f>('Renewable Diesel'!B317*'RD Feedstock Breakdown'!F$3*'Feedstock Conversion Rates'!B$8)/12+77+23-10-12-115.75+24+8</f>
        <v>48.15625</v>
      </c>
      <c r="G308" s="104">
        <f>('Renewable Diesel'!B317*'RD Feedstock Breakdown'!G$3*'Feedstock Conversion Rates'!B$7)/12+116.75-39-57.5-145-31.5+32+70-40+10-35</f>
        <v>56.907000000000039</v>
      </c>
      <c r="H308" s="104">
        <f>('Renewable Diesel'!B317*'RD Feedstock Breakdown'!H$3*'Feedstock Conversion Rates'!B$3)/12+67+10+12+3-235+20+47-20+105</f>
        <v>185.40022499999998</v>
      </c>
      <c r="I308" s="106">
        <f t="shared" si="291"/>
        <v>496.14347500000002</v>
      </c>
      <c r="J308" s="104">
        <f t="shared" si="316"/>
        <v>69</v>
      </c>
      <c r="K308" s="104"/>
      <c r="L308" s="104">
        <v>1</v>
      </c>
      <c r="M308" s="104">
        <f>('Renewable Diesel'!C317*'RD Feedstock Breakdown'!M$3*'Feedstock Conversion Rates'!B$2)/12</f>
        <v>7.7902500000000003</v>
      </c>
      <c r="N308" s="104">
        <f>('Renewable Diesel'!C317*'RD Feedstock Breakdown'!N$3*'Feedstock Conversion Rates'!B$8)/12</f>
        <v>3.671875</v>
      </c>
      <c r="O308" s="104">
        <f>('Renewable Diesel'!C317*'RD Feedstock Breakdown'!O$3*'Feedstock Conversion Rates'!B$7)/12</f>
        <v>11.9991</v>
      </c>
      <c r="P308" s="104">
        <f>('Renewable Diesel'!C317*'RD Feedstock Breakdown'!P$3*'Feedstock Conversion Rates'!B$3)/12</f>
        <v>10.4470425</v>
      </c>
      <c r="Q308" s="106">
        <f t="shared" si="299"/>
        <v>103.90826749999999</v>
      </c>
      <c r="R308" s="104">
        <f>('Renewable Diesel'!D317*'RD Feedstock Breakdown'!R$3*'Feedstock Conversion Rates'!B$7)/12</f>
        <v>2.2999999999999998</v>
      </c>
      <c r="S308" s="106">
        <f t="shared" si="249"/>
        <v>2.2999999999999998</v>
      </c>
      <c r="T308" s="104">
        <f t="shared" si="300"/>
        <v>0.82499999999999929</v>
      </c>
      <c r="U308" s="104"/>
      <c r="V308" s="104">
        <f>('Renewable Diesel'!E317*'RD Feedstock Breakdown'!V$3*'Feedstock Conversion Rates'!B$6)/12-20+25</f>
        <v>49.250150000000012</v>
      </c>
      <c r="W308" s="104">
        <f>('Renewable Diesel'!E317*'RD Feedstock Breakdown'!W$3*'Feedstock Conversion Rates'!B$8)/12-6</f>
        <v>16.1796875</v>
      </c>
      <c r="X308" s="106">
        <f t="shared" si="277"/>
        <v>66.254837500000008</v>
      </c>
      <c r="Y308" s="104">
        <f t="shared" si="301"/>
        <v>98</v>
      </c>
      <c r="Z308" s="104">
        <f>('Renewable Diesel'!F317*'RD Feedstock Breakdown'!Z$3*'Feedstock Conversion Rates'!B$6)/12-142+15+10</f>
        <v>42.460000000000008</v>
      </c>
      <c r="AA308" s="104">
        <f>('Renewable Diesel'!F317*'RD Feedstock Breakdown'!AA$3*'Feedstock Conversion Rates'!B$7)/12+24</f>
        <v>128.26666666666665</v>
      </c>
      <c r="AB308" s="106">
        <f t="shared" si="320"/>
        <v>268.72666666666669</v>
      </c>
      <c r="AC308" s="104">
        <f>('Renewable Diesel'!G317*'RD Feedstock Breakdown'!AC$3*'Feedstock Conversion Rates'!B$5)/12</f>
        <v>11.796875</v>
      </c>
      <c r="AD308" s="104">
        <f>('Renewable Diesel'!G317*'RD Feedstock Breakdown'!AD$3*'Feedstock Conversion Rates'!B$4)/12</f>
        <v>5.859375</v>
      </c>
      <c r="AE308" s="104">
        <f>('Renewable Diesel'!G317*'RD Feedstock Breakdown'!AE$3*'Feedstock Conversion Rates'!B$6)/12</f>
        <v>7.3281250000000009</v>
      </c>
      <c r="AF308" s="106">
        <f t="shared" si="284"/>
        <v>24.984375</v>
      </c>
      <c r="AG308" s="104">
        <f t="shared" si="306"/>
        <v>148</v>
      </c>
      <c r="AH308" s="104"/>
      <c r="AI308" s="104">
        <f>('Renewable Diesel'!H317*'RD Feedstock Breakdown'!AI$3*'Feedstock Conversion Rates'!B$6)/12-130-20+51-49</f>
        <v>0.51666666666667993</v>
      </c>
      <c r="AJ308" s="106">
        <f t="shared" si="248"/>
        <v>148.51666666666668</v>
      </c>
      <c r="AK308" s="104">
        <f>('Renewable Diesel'!J317*'RD Feedstock Breakdown'!AK$3*'Feedstock Conversion Rates'!B$4)/12</f>
        <v>95.8125</v>
      </c>
      <c r="AL308" s="106">
        <f t="shared" si="252"/>
        <v>95.8125</v>
      </c>
      <c r="AM308" s="104">
        <f>('Renewable Diesel'!K317*'RD Feedstock Breakdown'!AM$3*'Feedstock Conversion Rates'!B$4)/12+5+15-10+10</f>
        <v>78.59375</v>
      </c>
      <c r="AN308" s="104">
        <f>('Renewable Diesel'!K317*'RD Feedstock Breakdown'!AN$3*'Feedstock Conversion Rates'!B$6)/12-5-15+10-10</f>
        <v>4.4270833333333321</v>
      </c>
      <c r="AO308" s="106">
        <f t="shared" si="270"/>
        <v>83.020833333333329</v>
      </c>
      <c r="AP308" s="104">
        <f>('Renewable Diesel'!L317*'RD Feedstock Breakdown'!AP$3*'Feedstock Conversion Rates'!B$4)/12+15-10+15</f>
        <v>78.59375</v>
      </c>
      <c r="AQ308" s="104">
        <f>('Renewable Diesel'!L317*'RD Feedstock Breakdown'!AQ$3*'Feedstock Conversion Rates'!B$6)/12-15+10-15</f>
        <v>4.4270833333333321</v>
      </c>
      <c r="AR308" s="106">
        <f t="shared" si="256"/>
        <v>83.020833333333329</v>
      </c>
      <c r="AS308" s="104">
        <f>('Renewable Diesel'!M317*'RD Feedstock Breakdown'!AS$3*'Feedstock Conversion Rates'!B$4)/12-25</f>
        <v>431.25</v>
      </c>
      <c r="AT308" s="104">
        <f>('Renewable Diesel'!M317*'RD Feedstock Breakdown'!AT$3*'Feedstock Conversion Rates'!B$5)/12+25</f>
        <v>25</v>
      </c>
      <c r="AU308" s="106">
        <f t="shared" si="290"/>
        <v>456.25</v>
      </c>
      <c r="AV308" s="104">
        <f>'Renewable Diesel'!N317*'RD Feedstock Breakdown'!$AV$3*'Feedstock Conversion Rates'!$B$4/12-15-10+25+25-22+25</f>
        <v>106.74999999999999</v>
      </c>
      <c r="AW308" s="104">
        <f>'Renewable Diesel'!N317*'RD Feedstock Breakdown'!$AW$3*'Feedstock Conversion Rates'!$B$7/12+15+10-25-25+22-25</f>
        <v>13.400000000000006</v>
      </c>
      <c r="AX308" s="106">
        <f t="shared" si="239"/>
        <v>120.14999999999999</v>
      </c>
      <c r="AY308" s="104">
        <f>('Renewable Diesel'!O317*'RD Feedstock Breakdown'!AY$3*'Feedstock Conversion Rates'!B$4)/12</f>
        <v>210.9375</v>
      </c>
      <c r="AZ308" s="104">
        <f>('Renewable Diesel'!O317*'RD Feedstock Breakdown'!AZ$3*'Feedstock Conversion Rates'!B$3)/12</f>
        <v>25.03125</v>
      </c>
      <c r="BA308" s="106">
        <f t="shared" si="302"/>
        <v>235.96875</v>
      </c>
      <c r="BB308" s="104">
        <f>('Renewable Diesel'!Q317*'RD Feedstock Breakdown'!BB$3*'Feedstock Conversion Rates'!B$4)/12</f>
        <v>11.156249999999998</v>
      </c>
      <c r="BC308" s="104">
        <f>('Renewable Diesel'!Q317*'RD Feedstock Breakdown'!BC$3*'Feedstock Conversion Rates'!B$3)/12</f>
        <v>1.4017500000000001</v>
      </c>
      <c r="BD308" s="104">
        <f>('Renewable Diesel'!Q317*'RD Feedstock Breakdown'!BD$3*'Feedstock Conversion Rates'!B$6)/12</f>
        <v>0.8207500000000002</v>
      </c>
      <c r="BE308" s="106">
        <f t="shared" si="279"/>
        <v>13.378749999999998</v>
      </c>
      <c r="BF308" s="104">
        <f>('Renewable Diesel'!R317*'RD Feedstock Breakdown'!BF$3*'Feedstock Conversion Rates'!B$4)/12</f>
        <v>62.5</v>
      </c>
      <c r="BG308" s="106">
        <f t="shared" si="262"/>
        <v>62.5</v>
      </c>
      <c r="BH308" s="104">
        <f>('Renewable Diesel'!T317*'RD Feedstock Breakdown'!BH$3*'Feedstock Conversion Rates'!B$7)/12</f>
        <v>27.599999999999998</v>
      </c>
      <c r="BI308" s="106">
        <f t="shared" si="243"/>
        <v>27.599999999999998</v>
      </c>
      <c r="BJ308" s="104">
        <f>('Renewable Diesel'!W317*'RD Feedstock Breakdown'!BJ$3*'Feedstock Conversion Rates'!B$4)/12</f>
        <v>7.5</v>
      </c>
      <c r="BK308" s="104">
        <f>('Renewable Diesel'!W317*'RD Feedstock Breakdown'!BK$3*'Feedstock Conversion Rates'!B$3)/12</f>
        <v>1.335</v>
      </c>
      <c r="BL308" s="104">
        <f>('Renewable Diesel'!W317*'RD Feedstock Breakdown'!BL$3*'Feedstock Conversion Rates'!B$6)/12</f>
        <v>3.1266666666666669</v>
      </c>
      <c r="BM308" s="104">
        <f>('Renewable Diesel'!W317*'RD Feedstock Breakdown'!BM$3*'Feedstock Conversion Rates'!B$7)/12</f>
        <v>1.5333333333333332</v>
      </c>
      <c r="BN308" s="106">
        <f t="shared" si="296"/>
        <v>13.495000000000001</v>
      </c>
      <c r="BO308" s="104">
        <f>('Renewable Diesel'!P317*'Feedstock Conversion Rates'!B$4)/12</f>
        <v>31.25</v>
      </c>
      <c r="BP308" s="106">
        <f t="shared" si="285"/>
        <v>31.25</v>
      </c>
      <c r="BQ308" s="104">
        <f>('Renewable Diesel'!$S317*'RD Feedstock Breakdown'!BQ$3*'Feedstock Conversion Rates'!B$4)/12+10+15-15</f>
        <v>38.125</v>
      </c>
      <c r="BR308" s="104">
        <f>('Renewable Diesel'!$S317*'RD Feedstock Breakdown'!BR$3*'Feedstock Conversion Rates'!B$7)/12-10-15+15</f>
        <v>1.5</v>
      </c>
      <c r="BS308" s="106">
        <f t="shared" si="307"/>
        <v>39.625</v>
      </c>
      <c r="BT308" s="106"/>
      <c r="BU308" s="104">
        <f>('Renewable Diesel'!Y317*'Feedstock Conversion Rates'!B$7)/12</f>
        <v>2.6833333333333331</v>
      </c>
      <c r="BV308" s="106">
        <f t="shared" si="281"/>
        <v>2.6833333333333331</v>
      </c>
      <c r="BW308" s="104">
        <f>('Renewable Diesel'!$Z317*'RD Feedstock Breakdown'!BW$3*'Feedstock Conversion Rates'!$B$4)/12</f>
        <v>71.875</v>
      </c>
      <c r="BX308" s="104">
        <f>('Renewable Diesel'!$Z317*'RD Feedstock Breakdown'!BX$3*'Feedstock Conversion Rates'!$B$5)/12</f>
        <v>7.2354166666666666</v>
      </c>
      <c r="BY308" s="104">
        <f>('Renewable Diesel'!$Z317*'RD Feedstock Breakdown'!BY$3*'Feedstock Conversion Rates'!$B$7)/12</f>
        <v>61.716666666666661</v>
      </c>
      <c r="BZ308" s="104">
        <f>('Renewable Diesel'!$Z317*'RD Feedstock Breakdown'!BZ$3*'Feedstock Conversion Rates'!$B$3)/12</f>
        <v>15.352499999999999</v>
      </c>
      <c r="CA308" s="106">
        <f t="shared" si="312"/>
        <v>156.17958333333331</v>
      </c>
      <c r="CB308" s="104">
        <f>('Renewable Diesel'!AA317*'Feedstock Conversion Rates'!B$4)/12</f>
        <v>191.25</v>
      </c>
      <c r="CC308" s="106">
        <f t="shared" si="298"/>
        <v>191.25</v>
      </c>
      <c r="CD308" s="104">
        <f>('Renewable Diesel'!$AB317*'RD Feedstock Breakdown'!CD$3*'Feedstock Conversion Rates'!$B$6)/12-15-5</f>
        <v>12.830000000000005</v>
      </c>
      <c r="CE308" s="104">
        <f>('Renewable Diesel'!$AB317*'RD Feedstock Breakdown'!CE$3*'Feedstock Conversion Rates'!$B$4)/12+15+5</f>
        <v>31.25</v>
      </c>
      <c r="CF308" s="106">
        <f t="shared" si="294"/>
        <v>44.080000000000005</v>
      </c>
      <c r="CG308" s="104">
        <f>('Renewable Diesel'!AD317*'Feedstock Conversion Rates'!B$4)/12</f>
        <v>112.5</v>
      </c>
      <c r="CH308" s="106">
        <f t="shared" si="278"/>
        <v>112.5</v>
      </c>
      <c r="CI308" s="104">
        <f>('Renewable Diesel'!$AE317*'RD Feedstock Breakdown'!CI$3*'Feedstock Conversion Rates'!$B$5)/12</f>
        <v>0.34604166666666664</v>
      </c>
      <c r="CJ308" s="104">
        <f>('Renewable Diesel'!$AE317*'RD Feedstock Breakdown'!CJ$3*'Feedstock Conversion Rates'!$B$4)/12</f>
        <v>0.34375</v>
      </c>
      <c r="CK308" s="106">
        <f t="shared" si="286"/>
        <v>0.68979166666666658</v>
      </c>
      <c r="CL308" s="104">
        <f>(((CL$3*'Renewable Diesel'!$AF317)*'Feedstock Conversion Rates'!$B$3)/12)</f>
        <v>91.78125</v>
      </c>
      <c r="CM308" s="104">
        <f>(((CM$3*'Renewable Diesel'!$AF317)*'Feedstock Conversion Rates'!$B$6)/12)</f>
        <v>53.739583333333336</v>
      </c>
      <c r="CN308" s="104">
        <f>(((CN$3*'Renewable Diesel'!$AF317)*'Feedstock Conversion Rates'!$B$4)/12)</f>
        <v>42.96875</v>
      </c>
      <c r="CO308" s="106">
        <f t="shared" si="280"/>
        <v>188.48958333333334</v>
      </c>
      <c r="CP308" s="104">
        <f>('Renewable Diesel'!$AG317*'RD Feedstock Breakdown'!CP$3*'Feedstock Conversion Rates'!$B$3)/12</f>
        <v>6.0075000000000003</v>
      </c>
      <c r="CQ308" s="104">
        <f>('Renewable Diesel'!$AG317*'RD Feedstock Breakdown'!CQ$3*'Feedstock Conversion Rates'!$B$6)/12</f>
        <v>3.5175000000000001</v>
      </c>
      <c r="CR308" s="104">
        <f>('Renewable Diesel'!$AG317*'RD Feedstock Breakdown'!CR$3*'Feedstock Conversion Rates'!$B$4)/12</f>
        <v>2.8125</v>
      </c>
      <c r="CS308" s="106">
        <f t="shared" si="317"/>
        <v>12.3375</v>
      </c>
      <c r="CT308" s="104">
        <f>('Renewable Diesel'!AI317*'Feedstock Conversion Rates'!$B$4*'RD Feedstock Breakdown'!$CT$3)/12</f>
        <v>29.375</v>
      </c>
      <c r="CU308" s="106">
        <f t="shared" si="282"/>
        <v>29.375</v>
      </c>
      <c r="CV308" s="104">
        <f>('Renewable Diesel'!AN317*'Feedstock Conversion Rates'!$B$3*'RD Feedstock Breakdown'!$CV$3)/12</f>
        <v>0.50062499999999999</v>
      </c>
      <c r="CW308" s="106">
        <f t="shared" si="255"/>
        <v>0.50062499999999999</v>
      </c>
      <c r="CX308" s="104">
        <f>('Renewable Diesel'!AO317*'RD Feedstock Breakdown'!$CX$3*'Feedstock Conversion Rates'!$B$3)/12</f>
        <v>6.3412499999999996</v>
      </c>
      <c r="CY308" s="104">
        <f>('Renewable Diesel'!AO317*'RD Feedstock Breakdown'!$CY$3*'Feedstock Conversion Rates'!$B$6)/12</f>
        <v>7.4258333333333342</v>
      </c>
      <c r="CZ308" s="106">
        <f t="shared" si="318"/>
        <v>13.767083333333334</v>
      </c>
      <c r="DA308" s="104">
        <f>('Renewable Diesel'!$AP317*'RD Feedstock Breakdown'!DA$3*'Feedstock Conversion Rates'!$B$3)/12</f>
        <v>6.3412499999999996</v>
      </c>
      <c r="DB308" s="104">
        <f>('Renewable Diesel'!$AP317*'RD Feedstock Breakdown'!DB$3*'Feedstock Conversion Rates'!$B$8)/12</f>
        <v>7.421875</v>
      </c>
      <c r="DC308" s="106">
        <f t="shared" si="260"/>
        <v>13.763124999999999</v>
      </c>
      <c r="DD308" s="104">
        <f>('Renewable Diesel'!AQ317*$DD$3*'Feedstock Conversion Rates'!$B$14)/12</f>
        <v>3.1041666666666665</v>
      </c>
      <c r="DE308" s="106">
        <f t="shared" si="261"/>
        <v>3.1041666666666665</v>
      </c>
      <c r="DF308" s="104">
        <f>('Renewable Diesel'!AR317*'Feedstock Conversion Rates'!$B$4*$DF$3)/12</f>
        <v>75</v>
      </c>
      <c r="DG308" s="106">
        <f t="shared" si="319"/>
        <v>75</v>
      </c>
      <c r="DH308" s="104">
        <f>('Renewable Diesel'!AS317*'Feedstock Conversion Rates'!$B$4*$DH$3)/12</f>
        <v>75</v>
      </c>
      <c r="DI308" s="106">
        <f t="shared" si="240"/>
        <v>75</v>
      </c>
      <c r="DJ308" s="104">
        <f>('Renewable Diesel'!AT317*'Feedstock Conversion Rates'!$B$4*0.25)/12</f>
        <v>8.59375</v>
      </c>
      <c r="DK308" s="104">
        <f>('Renewable Diesel'!$AT317*'RD Feedstock Breakdown'!DK$3*'Feedstock Conversion Rates'!$B$3)/12*0.5</f>
        <v>9.1781249999999996</v>
      </c>
      <c r="DL308" s="104">
        <f>('Renewable Diesel'!$AT317*'RD Feedstock Breakdown'!$DL$3*'Feedstock Conversion Rates'!$B$6)/12</f>
        <v>10.747916666666669</v>
      </c>
      <c r="DM308" s="104">
        <f>('Renewable Diesel'!$AT317*'RD Feedstock Breakdown'!$DM$3*'Feedstock Conversion Rates'!$B$8)/12</f>
        <v>10.7421875</v>
      </c>
      <c r="DN308" s="106">
        <f t="shared" si="297"/>
        <v>39.26197916666667</v>
      </c>
      <c r="DP308" s="104">
        <f t="shared" si="265"/>
        <v>103.22025000000001</v>
      </c>
      <c r="DQ308" s="104">
        <f t="shared" si="266"/>
        <v>359.11776750000001</v>
      </c>
      <c r="DR308" s="104">
        <f t="shared" si="271"/>
        <v>2016.953125</v>
      </c>
      <c r="DS308" s="104">
        <f t="shared" si="283"/>
        <v>253.90125</v>
      </c>
      <c r="DT308" s="104">
        <f t="shared" si="267"/>
        <v>208.03923333333341</v>
      </c>
      <c r="DU308" s="104">
        <f t="shared" si="268"/>
        <v>307.90610000000004</v>
      </c>
      <c r="DV308" s="104">
        <f t="shared" si="272"/>
        <v>78.75</v>
      </c>
      <c r="DW308" s="104">
        <f t="shared" si="269"/>
        <v>3</v>
      </c>
      <c r="DX308" s="106">
        <f t="shared" si="273"/>
        <v>3330.8877258333337</v>
      </c>
      <c r="DY308" s="109">
        <f t="shared" si="257"/>
        <v>-5.631051180898794E-13</v>
      </c>
      <c r="EA308" s="110">
        <f t="shared" si="313"/>
        <v>3.0988810940535676E-2</v>
      </c>
      <c r="EB308" s="110">
        <f t="shared" si="313"/>
        <v>0.1078144317848944</v>
      </c>
      <c r="EC308" s="110">
        <f t="shared" si="313"/>
        <v>0.60553020426270632</v>
      </c>
      <c r="ED308" s="110">
        <f t="shared" si="308"/>
        <v>7.6226300883941694E-2</v>
      </c>
      <c r="EE308" s="110">
        <f t="shared" si="308"/>
        <v>6.2457594028116153E-2</v>
      </c>
      <c r="EF308" s="110">
        <f t="shared" si="308"/>
        <v>9.243965133137802E-2</v>
      </c>
      <c r="EG308" s="110">
        <f t="shared" si="308"/>
        <v>2.3642345969586243E-2</v>
      </c>
      <c r="EH308" s="111">
        <f t="shared" si="274"/>
        <v>9.006607988413807E-4</v>
      </c>
      <c r="EI308" s="110">
        <f t="shared" ref="EI308:EI371" si="321">SUM(EA308:EG308)</f>
        <v>0.99909933920115845</v>
      </c>
      <c r="EK308" s="132">
        <f>(EA308*'Renewable Diesel'!BF317*'Feedstock Conversion Rates'!B$2)+FB308</f>
        <v>287.57844996679933</v>
      </c>
      <c r="EL308" s="132">
        <f>(EB308*'Renewable Diesel'!BF317*'Feedstock Conversion Rates'!B$3)+FC308</f>
        <v>942.8485008853354</v>
      </c>
      <c r="EM308" s="132">
        <f>(EC308*'Renewable Diesel'!BF317*'Feedstock Conversion Rates'!B$4)+FD308</f>
        <v>4958.2631771825891</v>
      </c>
      <c r="EN308" s="132">
        <f>(ED308*'Renewable Diesel'!BF317*'Feedstock Conversion Rates'!B$5)+FE308</f>
        <v>628.32493771468705</v>
      </c>
      <c r="EO308" s="132">
        <f>(EE308*'Renewable Diesel'!BF317*'Feedstock Conversion Rates'!B$6)+FF308</f>
        <v>639.61787067848638</v>
      </c>
      <c r="EP308" s="132">
        <f>(EF308*'Renewable Diesel'!BF317*'Feedstock Conversion Rates'!B$7)+FG308</f>
        <v>928.4929841537479</v>
      </c>
      <c r="EQ308" s="132">
        <f>(EG308*'Renewable Diesel'!BF317*'Feedstock Conversion Rates'!B$8)+FH308</f>
        <v>241.98828691366396</v>
      </c>
      <c r="ER308" s="132">
        <f>(EH308*'Renewable Diesel'!BF317*'Feedstock Conversion Rates'!B$9)+FI308</f>
        <v>9.0956867208183532</v>
      </c>
      <c r="ES308" s="132">
        <f t="shared" si="275"/>
        <v>8636.2098942161283</v>
      </c>
      <c r="ET308" s="133">
        <f>ES308/'Renewable Diesel'!BF317</f>
        <v>12.373854999719175</v>
      </c>
      <c r="EW308" s="73">
        <f t="shared" si="309"/>
        <v>7601.8270114910983</v>
      </c>
      <c r="EX308" s="73">
        <f t="shared" si="310"/>
        <v>4149.7058204520717</v>
      </c>
      <c r="EY308" s="92">
        <f t="shared" si="258"/>
        <v>0.88022721825950756</v>
      </c>
      <c r="EZ308" s="92">
        <f t="shared" si="258"/>
        <v>0.48050080663639577</v>
      </c>
      <c r="FB308" s="102">
        <f>IF('Renewable Diesel'!$BG317&lt;1,0,(((('Renewable Diesel'!$BG317-1)*'Renewable Diesel'!$BF317)*'RD Feedstock Breakdown'!EA308)*'Feedstock Conversion Rates'!$B$2))</f>
        <v>103.7376062591489</v>
      </c>
      <c r="FC308" s="102">
        <f>IF('Renewable Diesel'!$BG317&lt;1,0,(((('Renewable Diesel'!$BG317-1)*'Renewable Diesel'!$BF317)*'RD Feedstock Breakdown'!EB308)*'Feedstock Conversion Rates'!$B$3))</f>
        <v>340.11187750043052</v>
      </c>
      <c r="FD308" s="102">
        <f>IF('Renewable Diesel'!$BG317&lt;1,0,(((('Renewable Diesel'!$BG317-1)*'Renewable Diesel'!$BF317)*'RD Feedstock Breakdown'!EC308)*'Feedstock Conversion Rates'!$B$4))</f>
        <v>1788.5844828191623</v>
      </c>
      <c r="FE308" s="102">
        <f>IF('Renewable Diesel'!$BG317&lt;1,0,(((('Renewable Diesel'!$BG317-1)*'Renewable Diesel'!$BF317)*'RD Feedstock Breakdown'!ED308)*'Feedstock Conversion Rates'!$B$5))</f>
        <v>226.65441377466061</v>
      </c>
      <c r="FF308" s="102">
        <f>IF('Renewable Diesel'!$BG317&lt;1,0,(((('Renewable Diesel'!$BG317-1)*'Renewable Diesel'!$BF317)*'RD Feedstock Breakdown'!EE308)*'Feedstock Conversion Rates'!$B$6))</f>
        <v>230.72809117797377</v>
      </c>
      <c r="FG308" s="102">
        <f>IF('Renewable Diesel'!$BG317&lt;1,0,(((('Renewable Diesel'!$BG317-1)*'Renewable Diesel'!$BF317)*'RD Feedstock Breakdown'!EF308)*'Feedstock Conversion Rates'!$B$7))</f>
        <v>334.93344030348487</v>
      </c>
      <c r="FH308" s="102">
        <f>IF('Renewable Diesel'!$BG317&lt;1,0,(((('Renewable Diesel'!$BG317-1)*'Renewable Diesel'!$BF317)*'RD Feedstock Breakdown'!EG308)*'Feedstock Conversion Rates'!$B$8))</f>
        <v>87.2919567863092</v>
      </c>
      <c r="FI308" s="102">
        <f>IF('Renewable Diesel'!$BG317&lt;1,0,(((('Renewable Diesel'!$BG317-1)*'Renewable Diesel'!$BF317)*'RD Feedstock Breakdown'!EH308)*'Feedstock Conversion Rates'!$B$9))</f>
        <v>3.2810691058727013</v>
      </c>
      <c r="FJ308" s="102">
        <f t="shared" si="311"/>
        <v>3115.3229377270427</v>
      </c>
      <c r="GD308" s="91">
        <f>'Renewable Diesel'!BB317*0.32</f>
        <v>0</v>
      </c>
      <c r="GE308" s="91">
        <f>'Renewable Diesel'!BC317</f>
        <v>342.73851004728289</v>
      </c>
      <c r="GF308" s="91">
        <f>'Renewable Diesel'!BD317</f>
        <v>0</v>
      </c>
      <c r="GG308" s="91">
        <f t="shared" si="295"/>
        <v>342.73851004728289</v>
      </c>
      <c r="GH308" s="124">
        <v>1</v>
      </c>
      <c r="GI308" s="102">
        <f>$GG308*EA308*'Feedstock Conversion Rates'!$B$2</f>
        <v>90.279000564117169</v>
      </c>
      <c r="GJ308" s="102">
        <f>$GG308*EB308*'Feedstock Conversion Rates'!$B$3</f>
        <v>295.98678326950852</v>
      </c>
      <c r="GK308" s="102">
        <f>$GG308*EC308*'Feedstock Conversion Rates'!$B$4</f>
        <v>1556.5388999822012</v>
      </c>
      <c r="GL308" s="102">
        <f>$GG308*ED308*'Feedstock Conversion Rates'!$B$5</f>
        <v>197.24895037490435</v>
      </c>
      <c r="GM308" s="102">
        <f>$GG308*EE308*'Feedstock Conversion Rates'!$B$6</f>
        <v>200.7941210979786</v>
      </c>
      <c r="GN308" s="102">
        <f>$GG308*EF308*'Feedstock Conversion Rates'!$B$7</f>
        <v>291.48018097278282</v>
      </c>
      <c r="GO308" s="102">
        <f>$GG308*EG308*'Feedstock Conversion Rates'!$B$8</f>
        <v>75.966960296609741</v>
      </c>
      <c r="GP308" s="102">
        <f>$GG308*EH308*'Feedstock Conversion Rates'!B$9</f>
        <v>2.8553930473392364</v>
      </c>
      <c r="GQ308" s="102">
        <f t="shared" si="276"/>
        <v>2711.1502896054412</v>
      </c>
      <c r="GR308" s="85">
        <f t="shared" si="293"/>
        <v>7.9102587253221746</v>
      </c>
      <c r="GT308" s="103">
        <f t="shared" si="254"/>
        <v>3.3299150146801938E-2</v>
      </c>
      <c r="GU308" s="103">
        <f t="shared" si="254"/>
        <v>0.10917387516447269</v>
      </c>
      <c r="GV308" s="103">
        <f t="shared" si="254"/>
        <v>0.57412490408590622</v>
      </c>
      <c r="GW308" s="103">
        <f t="shared" si="254"/>
        <v>7.2754708999776735E-2</v>
      </c>
      <c r="GX308" s="103">
        <f t="shared" si="253"/>
        <v>7.4062335042001853E-2</v>
      </c>
      <c r="GY308" s="103">
        <f t="shared" si="253"/>
        <v>0.10751162784679208</v>
      </c>
      <c r="GZ308" s="103">
        <f t="shared" si="253"/>
        <v>2.8020195187211605E-2</v>
      </c>
      <c r="HA308" s="103">
        <f t="shared" si="251"/>
        <v>1.053203527036779E-3</v>
      </c>
    </row>
    <row r="309" spans="1:209" x14ac:dyDescent="0.25">
      <c r="A309" s="96">
        <v>49827</v>
      </c>
      <c r="B309" s="104">
        <f t="shared" si="315"/>
        <v>59.25</v>
      </c>
      <c r="C309" s="104">
        <f t="shared" si="314"/>
        <v>49</v>
      </c>
      <c r="D309" s="104">
        <f t="shared" si="288"/>
        <v>2</v>
      </c>
      <c r="E309" s="104">
        <f>('Renewable Diesel'!B318*E$3*'Feedstock Conversion Rates'!$B$2)/12+26+13-100+27.5+39</f>
        <v>95.43</v>
      </c>
      <c r="F309" s="104">
        <f>('Renewable Diesel'!B318*'RD Feedstock Breakdown'!F$3*'Feedstock Conversion Rates'!B$8)/12+77+23-10-12-115.75+24+8</f>
        <v>48.15625</v>
      </c>
      <c r="G309" s="104">
        <f>('Renewable Diesel'!B318*'RD Feedstock Breakdown'!G$3*'Feedstock Conversion Rates'!B$7)/12+116.75-39-57.5-145-31.5+32+70-40+10-35</f>
        <v>56.907000000000039</v>
      </c>
      <c r="H309" s="104">
        <f>('Renewable Diesel'!B318*'RD Feedstock Breakdown'!H$3*'Feedstock Conversion Rates'!B$3)/12+67+10+12+3-235+20+47-20+105</f>
        <v>185.40022499999998</v>
      </c>
      <c r="I309" s="106">
        <f t="shared" si="291"/>
        <v>496.14347500000002</v>
      </c>
      <c r="J309" s="104">
        <f t="shared" si="316"/>
        <v>69</v>
      </c>
      <c r="K309" s="104"/>
      <c r="L309" s="104">
        <v>1</v>
      </c>
      <c r="M309" s="104">
        <f>('Renewable Diesel'!C318*'RD Feedstock Breakdown'!M$3*'Feedstock Conversion Rates'!B$2)/12</f>
        <v>7.7902500000000003</v>
      </c>
      <c r="N309" s="104">
        <f>('Renewable Diesel'!C318*'RD Feedstock Breakdown'!N$3*'Feedstock Conversion Rates'!B$8)/12</f>
        <v>3.671875</v>
      </c>
      <c r="O309" s="104">
        <f>('Renewable Diesel'!C318*'RD Feedstock Breakdown'!O$3*'Feedstock Conversion Rates'!B$7)/12</f>
        <v>11.9991</v>
      </c>
      <c r="P309" s="104">
        <f>('Renewable Diesel'!C318*'RD Feedstock Breakdown'!P$3*'Feedstock Conversion Rates'!B$3)/12</f>
        <v>10.4470425</v>
      </c>
      <c r="Q309" s="106">
        <f t="shared" si="299"/>
        <v>103.90826749999999</v>
      </c>
      <c r="R309" s="104">
        <f>('Renewable Diesel'!D318*'RD Feedstock Breakdown'!R$3*'Feedstock Conversion Rates'!B$7)/12</f>
        <v>2.2999999999999998</v>
      </c>
      <c r="S309" s="106">
        <f t="shared" si="249"/>
        <v>2.2999999999999998</v>
      </c>
      <c r="T309" s="104">
        <f t="shared" si="300"/>
        <v>0.82499999999999929</v>
      </c>
      <c r="U309" s="104"/>
      <c r="V309" s="104">
        <f>('Renewable Diesel'!E318*'RD Feedstock Breakdown'!V$3*'Feedstock Conversion Rates'!B$6)/12-20+25</f>
        <v>49.250150000000012</v>
      </c>
      <c r="W309" s="104">
        <f>('Renewable Diesel'!E318*'RD Feedstock Breakdown'!W$3*'Feedstock Conversion Rates'!B$8)/12-6</f>
        <v>16.1796875</v>
      </c>
      <c r="X309" s="106">
        <f t="shared" si="277"/>
        <v>66.254837500000008</v>
      </c>
      <c r="Y309" s="104">
        <f t="shared" si="301"/>
        <v>98</v>
      </c>
      <c r="Z309" s="104">
        <f>('Renewable Diesel'!F318*'RD Feedstock Breakdown'!Z$3*'Feedstock Conversion Rates'!B$6)/12-142+15+10</f>
        <v>42.460000000000008</v>
      </c>
      <c r="AA309" s="104">
        <f>('Renewable Diesel'!F318*'RD Feedstock Breakdown'!AA$3*'Feedstock Conversion Rates'!B$7)/12+24</f>
        <v>128.26666666666665</v>
      </c>
      <c r="AB309" s="106">
        <f t="shared" si="320"/>
        <v>268.72666666666669</v>
      </c>
      <c r="AC309" s="104">
        <f>('Renewable Diesel'!G318*'RD Feedstock Breakdown'!AC$3*'Feedstock Conversion Rates'!B$5)/12</f>
        <v>11.796875</v>
      </c>
      <c r="AD309" s="104">
        <f>('Renewable Diesel'!G318*'RD Feedstock Breakdown'!AD$3*'Feedstock Conversion Rates'!B$4)/12</f>
        <v>5.859375</v>
      </c>
      <c r="AE309" s="104">
        <f>('Renewable Diesel'!G318*'RD Feedstock Breakdown'!AE$3*'Feedstock Conversion Rates'!B$6)/12</f>
        <v>7.3281250000000009</v>
      </c>
      <c r="AF309" s="106">
        <f t="shared" si="284"/>
        <v>24.984375</v>
      </c>
      <c r="AG309" s="104">
        <f t="shared" si="306"/>
        <v>148</v>
      </c>
      <c r="AH309" s="104"/>
      <c r="AI309" s="104">
        <f>('Renewable Diesel'!H318*'RD Feedstock Breakdown'!AI$3*'Feedstock Conversion Rates'!B$6)/12-130-20+51-49</f>
        <v>0.51666666666667993</v>
      </c>
      <c r="AJ309" s="106">
        <f t="shared" si="248"/>
        <v>148.51666666666668</v>
      </c>
      <c r="AK309" s="104">
        <f>('Renewable Diesel'!J318*'RD Feedstock Breakdown'!AK$3*'Feedstock Conversion Rates'!B$4)/12</f>
        <v>95.8125</v>
      </c>
      <c r="AL309" s="106">
        <f t="shared" si="252"/>
        <v>95.8125</v>
      </c>
      <c r="AM309" s="104">
        <f>('Renewable Diesel'!K318*'RD Feedstock Breakdown'!AM$3*'Feedstock Conversion Rates'!B$4)/12+5+15-10+10</f>
        <v>78.59375</v>
      </c>
      <c r="AN309" s="104">
        <f>('Renewable Diesel'!K318*'RD Feedstock Breakdown'!AN$3*'Feedstock Conversion Rates'!B$6)/12-5-15+10-10</f>
        <v>4.4270833333333321</v>
      </c>
      <c r="AO309" s="106">
        <f t="shared" si="270"/>
        <v>83.020833333333329</v>
      </c>
      <c r="AP309" s="104">
        <f>('Renewable Diesel'!L318*'RD Feedstock Breakdown'!AP$3*'Feedstock Conversion Rates'!B$4)/12+15-10+15</f>
        <v>78.59375</v>
      </c>
      <c r="AQ309" s="104">
        <f>('Renewable Diesel'!L318*'RD Feedstock Breakdown'!AQ$3*'Feedstock Conversion Rates'!B$6)/12-15+10-15</f>
        <v>4.4270833333333321</v>
      </c>
      <c r="AR309" s="106">
        <f t="shared" si="256"/>
        <v>83.020833333333329</v>
      </c>
      <c r="AS309" s="104">
        <f>('Renewable Diesel'!M318*'RD Feedstock Breakdown'!AS$3*'Feedstock Conversion Rates'!B$4)/12-25</f>
        <v>431.25</v>
      </c>
      <c r="AT309" s="104">
        <f>('Renewable Diesel'!M318*'RD Feedstock Breakdown'!AT$3*'Feedstock Conversion Rates'!B$5)/12+25</f>
        <v>25</v>
      </c>
      <c r="AU309" s="106">
        <f t="shared" si="290"/>
        <v>456.25</v>
      </c>
      <c r="AV309" s="104">
        <f>'Renewable Diesel'!N318*'RD Feedstock Breakdown'!$AV$3*'Feedstock Conversion Rates'!$B$4/12-15-10+25+25-22+25</f>
        <v>106.74999999999999</v>
      </c>
      <c r="AW309" s="104">
        <f>'Renewable Diesel'!N318*'RD Feedstock Breakdown'!$AW$3*'Feedstock Conversion Rates'!$B$7/12+15+10-25-25+22-25</f>
        <v>13.400000000000006</v>
      </c>
      <c r="AX309" s="106">
        <f t="shared" si="239"/>
        <v>120.14999999999999</v>
      </c>
      <c r="AY309" s="104">
        <f>('Renewable Diesel'!O318*'RD Feedstock Breakdown'!AY$3*'Feedstock Conversion Rates'!B$4)/12</f>
        <v>210.9375</v>
      </c>
      <c r="AZ309" s="104">
        <f>('Renewable Diesel'!O318*'RD Feedstock Breakdown'!AZ$3*'Feedstock Conversion Rates'!B$3)/12</f>
        <v>25.03125</v>
      </c>
      <c r="BA309" s="106">
        <f t="shared" si="302"/>
        <v>235.96875</v>
      </c>
      <c r="BB309" s="104">
        <f>('Renewable Diesel'!Q318*'RD Feedstock Breakdown'!BB$3*'Feedstock Conversion Rates'!B$4)/12</f>
        <v>11.156249999999998</v>
      </c>
      <c r="BC309" s="104">
        <f>('Renewable Diesel'!Q318*'RD Feedstock Breakdown'!BC$3*'Feedstock Conversion Rates'!B$3)/12</f>
        <v>1.4017500000000001</v>
      </c>
      <c r="BD309" s="104">
        <f>('Renewable Diesel'!Q318*'RD Feedstock Breakdown'!BD$3*'Feedstock Conversion Rates'!B$6)/12</f>
        <v>0.8207500000000002</v>
      </c>
      <c r="BE309" s="106">
        <f t="shared" si="279"/>
        <v>13.378749999999998</v>
      </c>
      <c r="BF309" s="104">
        <f>('Renewable Diesel'!R318*'RD Feedstock Breakdown'!BF$3*'Feedstock Conversion Rates'!B$4)/12</f>
        <v>62.5</v>
      </c>
      <c r="BG309" s="106">
        <f t="shared" si="262"/>
        <v>62.5</v>
      </c>
      <c r="BH309" s="104">
        <f>('Renewable Diesel'!T318*'RD Feedstock Breakdown'!BH$3*'Feedstock Conversion Rates'!B$7)/12</f>
        <v>27.599999999999998</v>
      </c>
      <c r="BI309" s="106">
        <f t="shared" si="243"/>
        <v>27.599999999999998</v>
      </c>
      <c r="BJ309" s="104">
        <f>('Renewable Diesel'!W318*'RD Feedstock Breakdown'!BJ$3*'Feedstock Conversion Rates'!B$4)/12</f>
        <v>7.5</v>
      </c>
      <c r="BK309" s="104">
        <f>('Renewable Diesel'!W318*'RD Feedstock Breakdown'!BK$3*'Feedstock Conversion Rates'!B$3)/12</f>
        <v>1.335</v>
      </c>
      <c r="BL309" s="104">
        <f>('Renewable Diesel'!W318*'RD Feedstock Breakdown'!BL$3*'Feedstock Conversion Rates'!B$6)/12</f>
        <v>3.1266666666666669</v>
      </c>
      <c r="BM309" s="104">
        <f>('Renewable Diesel'!W318*'RD Feedstock Breakdown'!BM$3*'Feedstock Conversion Rates'!B$7)/12</f>
        <v>1.5333333333333332</v>
      </c>
      <c r="BN309" s="106">
        <f t="shared" si="296"/>
        <v>13.495000000000001</v>
      </c>
      <c r="BO309" s="104">
        <f>('Renewable Diesel'!P318*'Feedstock Conversion Rates'!B$4)/12</f>
        <v>31.25</v>
      </c>
      <c r="BP309" s="106">
        <f t="shared" si="285"/>
        <v>31.25</v>
      </c>
      <c r="BQ309" s="104">
        <f>('Renewable Diesel'!$S318*'RD Feedstock Breakdown'!BQ$3*'Feedstock Conversion Rates'!B$4)/12+10+15-15</f>
        <v>38.125</v>
      </c>
      <c r="BR309" s="104">
        <f>('Renewable Diesel'!$S318*'RD Feedstock Breakdown'!BR$3*'Feedstock Conversion Rates'!B$7)/12-10-15+15</f>
        <v>1.5</v>
      </c>
      <c r="BS309" s="106">
        <f t="shared" si="307"/>
        <v>39.625</v>
      </c>
      <c r="BT309" s="106"/>
      <c r="BU309" s="104">
        <f>('Renewable Diesel'!Y318*'Feedstock Conversion Rates'!B$7)/12</f>
        <v>2.6833333333333331</v>
      </c>
      <c r="BV309" s="106">
        <f t="shared" si="281"/>
        <v>2.6833333333333331</v>
      </c>
      <c r="BW309" s="104">
        <f>('Renewable Diesel'!$Z318*'RD Feedstock Breakdown'!BW$3*'Feedstock Conversion Rates'!$B$4)/12</f>
        <v>71.875</v>
      </c>
      <c r="BX309" s="104">
        <f>('Renewable Diesel'!$Z318*'RD Feedstock Breakdown'!BX$3*'Feedstock Conversion Rates'!$B$5)/12</f>
        <v>7.2354166666666666</v>
      </c>
      <c r="BY309" s="104">
        <f>('Renewable Diesel'!$Z318*'RD Feedstock Breakdown'!BY$3*'Feedstock Conversion Rates'!$B$7)/12</f>
        <v>61.716666666666661</v>
      </c>
      <c r="BZ309" s="104">
        <f>('Renewable Diesel'!$Z318*'RD Feedstock Breakdown'!BZ$3*'Feedstock Conversion Rates'!$B$3)/12</f>
        <v>15.352499999999999</v>
      </c>
      <c r="CA309" s="106">
        <f t="shared" si="312"/>
        <v>156.17958333333331</v>
      </c>
      <c r="CB309" s="104">
        <f>('Renewable Diesel'!AA318*'Feedstock Conversion Rates'!B$4)/12</f>
        <v>191.25</v>
      </c>
      <c r="CC309" s="106">
        <f t="shared" si="298"/>
        <v>191.25</v>
      </c>
      <c r="CD309" s="104">
        <f>('Renewable Diesel'!$AB318*'RD Feedstock Breakdown'!CD$3*'Feedstock Conversion Rates'!$B$6)/12-15-5</f>
        <v>12.830000000000005</v>
      </c>
      <c r="CE309" s="104">
        <f>('Renewable Diesel'!$AB318*'RD Feedstock Breakdown'!CE$3*'Feedstock Conversion Rates'!$B$4)/12+15+5</f>
        <v>31.25</v>
      </c>
      <c r="CF309" s="106">
        <f t="shared" si="294"/>
        <v>44.080000000000005</v>
      </c>
      <c r="CG309" s="104">
        <f>('Renewable Diesel'!AD318*'Feedstock Conversion Rates'!B$4)/12</f>
        <v>112.5</v>
      </c>
      <c r="CH309" s="106">
        <f t="shared" si="278"/>
        <v>112.5</v>
      </c>
      <c r="CI309" s="104">
        <f>('Renewable Diesel'!$AE318*'RD Feedstock Breakdown'!CI$3*'Feedstock Conversion Rates'!$B$5)/12</f>
        <v>0.34604166666666664</v>
      </c>
      <c r="CJ309" s="104">
        <f>('Renewable Diesel'!$AE318*'RD Feedstock Breakdown'!CJ$3*'Feedstock Conversion Rates'!$B$4)/12</f>
        <v>0.34375</v>
      </c>
      <c r="CK309" s="106">
        <f t="shared" si="286"/>
        <v>0.68979166666666658</v>
      </c>
      <c r="CL309" s="104">
        <f>(((CL$3*'Renewable Diesel'!$AF318)*'Feedstock Conversion Rates'!$B$3)/12)</f>
        <v>91.78125</v>
      </c>
      <c r="CM309" s="104">
        <f>(((CM$3*'Renewable Diesel'!$AF318)*'Feedstock Conversion Rates'!$B$6)/12)</f>
        <v>53.739583333333336</v>
      </c>
      <c r="CN309" s="104">
        <f>(((CN$3*'Renewable Diesel'!$AF318)*'Feedstock Conversion Rates'!$B$4)/12)</f>
        <v>42.96875</v>
      </c>
      <c r="CO309" s="106">
        <f t="shared" si="280"/>
        <v>188.48958333333334</v>
      </c>
      <c r="CP309" s="104">
        <f>('Renewable Diesel'!$AG318*'RD Feedstock Breakdown'!CP$3*'Feedstock Conversion Rates'!$B$3)/12</f>
        <v>6.0075000000000003</v>
      </c>
      <c r="CQ309" s="104">
        <f>('Renewable Diesel'!$AG318*'RD Feedstock Breakdown'!CQ$3*'Feedstock Conversion Rates'!$B$6)/12</f>
        <v>3.5175000000000001</v>
      </c>
      <c r="CR309" s="104">
        <f>('Renewable Diesel'!$AG318*'RD Feedstock Breakdown'!CR$3*'Feedstock Conversion Rates'!$B$4)/12</f>
        <v>2.8125</v>
      </c>
      <c r="CS309" s="106">
        <f t="shared" si="317"/>
        <v>12.3375</v>
      </c>
      <c r="CT309" s="104">
        <f>('Renewable Diesel'!AI318*'Feedstock Conversion Rates'!$B$4*'RD Feedstock Breakdown'!$CT$3)/12</f>
        <v>29.375</v>
      </c>
      <c r="CU309" s="106">
        <f t="shared" si="282"/>
        <v>29.375</v>
      </c>
      <c r="CV309" s="104">
        <f>('Renewable Diesel'!AN318*'Feedstock Conversion Rates'!$B$3*'RD Feedstock Breakdown'!$CV$3)/12</f>
        <v>0.50062499999999999</v>
      </c>
      <c r="CW309" s="106">
        <f t="shared" si="255"/>
        <v>0.50062499999999999</v>
      </c>
      <c r="CX309" s="104">
        <f>('Renewable Diesel'!AO318*'RD Feedstock Breakdown'!$CX$3*'Feedstock Conversion Rates'!$B$3)/12</f>
        <v>6.3412499999999996</v>
      </c>
      <c r="CY309" s="104">
        <f>('Renewable Diesel'!AO318*'RD Feedstock Breakdown'!$CY$3*'Feedstock Conversion Rates'!$B$6)/12</f>
        <v>7.4258333333333342</v>
      </c>
      <c r="CZ309" s="106">
        <f t="shared" si="318"/>
        <v>13.767083333333334</v>
      </c>
      <c r="DA309" s="104">
        <f>('Renewable Diesel'!$AP318*'RD Feedstock Breakdown'!DA$3*'Feedstock Conversion Rates'!$B$3)/12</f>
        <v>6.3412499999999996</v>
      </c>
      <c r="DB309" s="104">
        <f>('Renewable Diesel'!$AP318*'RD Feedstock Breakdown'!DB$3*'Feedstock Conversion Rates'!$B$8)/12</f>
        <v>7.421875</v>
      </c>
      <c r="DC309" s="106">
        <f t="shared" si="260"/>
        <v>13.763124999999999</v>
      </c>
      <c r="DD309" s="104">
        <f>('Renewable Diesel'!AQ318*$DD$3*'Feedstock Conversion Rates'!$B$14)/12</f>
        <v>3.1041666666666665</v>
      </c>
      <c r="DE309" s="106">
        <f t="shared" si="261"/>
        <v>3.1041666666666665</v>
      </c>
      <c r="DF309" s="104">
        <f>('Renewable Diesel'!AR318*'Feedstock Conversion Rates'!$B$4*$DF$3)/12</f>
        <v>75</v>
      </c>
      <c r="DG309" s="106">
        <f t="shared" si="319"/>
        <v>75</v>
      </c>
      <c r="DH309" s="104">
        <f>('Renewable Diesel'!AS318*'Feedstock Conversion Rates'!$B$4*$DH$3)/12</f>
        <v>75</v>
      </c>
      <c r="DI309" s="106">
        <f t="shared" si="240"/>
        <v>75</v>
      </c>
      <c r="DJ309" s="104">
        <f>('Renewable Diesel'!AT318*'Feedstock Conversion Rates'!$B$4*0.25)/12</f>
        <v>8.59375</v>
      </c>
      <c r="DK309" s="104">
        <f>('Renewable Diesel'!$AT318*'RD Feedstock Breakdown'!DK$3*'Feedstock Conversion Rates'!$B$3)/12*0.5</f>
        <v>9.1781249999999996</v>
      </c>
      <c r="DL309" s="104">
        <f>('Renewable Diesel'!$AT318*'RD Feedstock Breakdown'!$DL$3*'Feedstock Conversion Rates'!$B$6)/12</f>
        <v>10.747916666666669</v>
      </c>
      <c r="DM309" s="104">
        <f>('Renewable Diesel'!$AT318*'RD Feedstock Breakdown'!$DM$3*'Feedstock Conversion Rates'!$B$8)/12</f>
        <v>10.7421875</v>
      </c>
      <c r="DN309" s="106">
        <f t="shared" si="297"/>
        <v>39.26197916666667</v>
      </c>
      <c r="DP309" s="104">
        <f t="shared" si="265"/>
        <v>103.22025000000001</v>
      </c>
      <c r="DQ309" s="104">
        <f t="shared" si="266"/>
        <v>359.11776750000001</v>
      </c>
      <c r="DR309" s="104">
        <f t="shared" si="271"/>
        <v>2016.953125</v>
      </c>
      <c r="DS309" s="104">
        <f t="shared" si="283"/>
        <v>253.90125</v>
      </c>
      <c r="DT309" s="104">
        <f t="shared" si="267"/>
        <v>208.03923333333341</v>
      </c>
      <c r="DU309" s="104">
        <f t="shared" si="268"/>
        <v>307.90610000000004</v>
      </c>
      <c r="DV309" s="104">
        <f t="shared" si="272"/>
        <v>78.75</v>
      </c>
      <c r="DW309" s="104">
        <f t="shared" si="269"/>
        <v>3</v>
      </c>
      <c r="DX309" s="106">
        <f t="shared" si="273"/>
        <v>3330.8877258333337</v>
      </c>
      <c r="DY309" s="109">
        <f t="shared" si="257"/>
        <v>-5.631051180898794E-13</v>
      </c>
      <c r="EA309" s="110">
        <f t="shared" si="313"/>
        <v>3.0988810940535676E-2</v>
      </c>
      <c r="EB309" s="110">
        <f t="shared" si="313"/>
        <v>0.1078144317848944</v>
      </c>
      <c r="EC309" s="110">
        <f t="shared" si="313"/>
        <v>0.60553020426270632</v>
      </c>
      <c r="ED309" s="110">
        <f t="shared" si="308"/>
        <v>7.6226300883941694E-2</v>
      </c>
      <c r="EE309" s="110">
        <f t="shared" si="308"/>
        <v>6.2457594028116153E-2</v>
      </c>
      <c r="EF309" s="110">
        <f t="shared" si="308"/>
        <v>9.243965133137802E-2</v>
      </c>
      <c r="EG309" s="110">
        <f t="shared" si="308"/>
        <v>2.3642345969586243E-2</v>
      </c>
      <c r="EH309" s="111">
        <f t="shared" si="274"/>
        <v>9.006607988413807E-4</v>
      </c>
      <c r="EI309" s="110">
        <f t="shared" si="321"/>
        <v>0.99909933920115845</v>
      </c>
      <c r="EK309" s="132">
        <f>(EA309*'Renewable Diesel'!BF318*'Feedstock Conversion Rates'!B$2)+FB309</f>
        <v>263.5937185038818</v>
      </c>
      <c r="EL309" s="132">
        <f>(EB309*'Renewable Diesel'!BF318*'Feedstock Conversion Rates'!B$3)+FC309</f>
        <v>864.21267783753797</v>
      </c>
      <c r="EM309" s="132">
        <f>(EC309*'Renewable Diesel'!BF318*'Feedstock Conversion Rates'!B$4)+FD309</f>
        <v>4544.7321534187213</v>
      </c>
      <c r="EN309" s="132">
        <f>(ED309*'Renewable Diesel'!BF318*'Feedstock Conversion Rates'!B$5)+FE309</f>
        <v>575.92113310317666</v>
      </c>
      <c r="EO309" s="132">
        <f>(EE309*'Renewable Diesel'!BF318*'Feedstock Conversion Rates'!B$6)+FF309</f>
        <v>586.27220841179792</v>
      </c>
      <c r="EP309" s="132">
        <f>(EF309*'Renewable Diesel'!BF318*'Feedstock Conversion Rates'!B$7)+FG309</f>
        <v>851.05444558209354</v>
      </c>
      <c r="EQ309" s="132">
        <f>(EG309*'Renewable Diesel'!BF318*'Feedstock Conversion Rates'!B$8)+FH309</f>
        <v>221.80588423548784</v>
      </c>
      <c r="ER309" s="132">
        <f>(EH309*'Renewable Diesel'!BF318*'Feedstock Conversion Rates'!B$9)+FI309</f>
        <v>8.3370846645973842</v>
      </c>
      <c r="ES309" s="132">
        <f t="shared" si="275"/>
        <v>7915.9293057572941</v>
      </c>
      <c r="ET309" s="133">
        <f>ES309/'Renewable Diesel'!BF318</f>
        <v>11.653977145134608</v>
      </c>
      <c r="EW309" s="73">
        <f t="shared" si="309"/>
        <v>6765.6096642018092</v>
      </c>
      <c r="EX309" s="73">
        <f t="shared" si="310"/>
        <v>3693.2292408135263</v>
      </c>
      <c r="EY309" s="92">
        <f t="shared" si="258"/>
        <v>0.85468293145078345</v>
      </c>
      <c r="EZ309" s="92">
        <f t="shared" si="258"/>
        <v>0.46655662249629021</v>
      </c>
      <c r="FB309" s="102">
        <f>IF('Renewable Diesel'!$BG318&lt;1,0,(((('Renewable Diesel'!$BG318-1)*'Renewable Diesel'!$BF318)*'RD Feedstock Breakdown'!EA309)*'Feedstock Conversion Rates'!$B$2))</f>
        <v>84.676728555437492</v>
      </c>
      <c r="FC309" s="102">
        <f>IF('Renewable Diesel'!$BG318&lt;1,0,(((('Renewable Diesel'!$BG318-1)*'Renewable Diesel'!$BF318)*'RD Feedstock Breakdown'!EB309)*'Feedstock Conversion Rates'!$B$3))</f>
        <v>277.61929514393682</v>
      </c>
      <c r="FD309" s="102">
        <f>IF('Renewable Diesel'!$BG318&lt;1,0,(((('Renewable Diesel'!$BG318-1)*'Renewable Diesel'!$BF318)*'RD Feedstock Breakdown'!EC309)*'Feedstock Conversion Rates'!$B$4))</f>
        <v>1459.9477297731537</v>
      </c>
      <c r="FE309" s="102">
        <f>IF('Renewable Diesel'!$BG318&lt;1,0,(((('Renewable Diesel'!$BG318-1)*'Renewable Diesel'!$BF318)*'RD Feedstock Breakdown'!ED309)*'Feedstock Conversion Rates'!$B$5))</f>
        <v>185.00864790675774</v>
      </c>
      <c r="FF309" s="102">
        <f>IF('Renewable Diesel'!$BG318&lt;1,0,(((('Renewable Diesel'!$BG318-1)*'Renewable Diesel'!$BF318)*'RD Feedstock Breakdown'!EE309)*'Feedstock Conversion Rates'!$B$6))</f>
        <v>188.33382272177181</v>
      </c>
      <c r="FG309" s="102">
        <f>IF('Renewable Diesel'!$BG318&lt;1,0,(((('Renewable Diesel'!$BG318-1)*'Renewable Diesel'!$BF318)*'RD Feedstock Breakdown'!EF309)*'Feedstock Conversion Rates'!$B$7))</f>
        <v>273.39235048346586</v>
      </c>
      <c r="FH309" s="102">
        <f>IF('Renewable Diesel'!$BG318&lt;1,0,(((('Renewable Diesel'!$BG318-1)*'Renewable Diesel'!$BF318)*'RD Feedstock Breakdown'!EG309)*'Feedstock Conversion Rates'!$B$8))</f>
        <v>71.252823314644388</v>
      </c>
      <c r="FI309" s="102">
        <f>IF('Renewable Diesel'!$BG318&lt;1,0,(((('Renewable Diesel'!$BG318-1)*'Renewable Diesel'!$BF318)*'RD Feedstock Breakdown'!EH309)*'Feedstock Conversion Rates'!$B$9))</f>
        <v>2.6782013588742521</v>
      </c>
      <c r="FJ309" s="102">
        <f t="shared" si="311"/>
        <v>2542.9095992580415</v>
      </c>
      <c r="GD309" s="91">
        <f>'Renewable Diesel'!BB318*0.32</f>
        <v>0</v>
      </c>
      <c r="GE309" s="91">
        <f>'Renewable Diesel'!BC318</f>
        <v>326.94265339627157</v>
      </c>
      <c r="GF309" s="91">
        <f>'Renewable Diesel'!BD318</f>
        <v>0</v>
      </c>
      <c r="GG309" s="91">
        <f t="shared" si="295"/>
        <v>326.94265339627157</v>
      </c>
      <c r="GH309" s="124">
        <v>1</v>
      </c>
      <c r="GI309" s="102">
        <f>$GG309*EA309*'Feedstock Conversion Rates'!$B$2</f>
        <v>86.118294633200222</v>
      </c>
      <c r="GJ309" s="102">
        <f>$GG309*EB309*'Feedstock Conversion Rates'!$B$3</f>
        <v>282.34558258133922</v>
      </c>
      <c r="GK309" s="102">
        <f>$GG309*EC309*'Feedstock Conversion Rates'!$B$4</f>
        <v>1484.8023876992665</v>
      </c>
      <c r="GL309" s="102">
        <f>$GG309*ED309*'Feedstock Conversion Rates'!$B$5</f>
        <v>188.15829947531736</v>
      </c>
      <c r="GM309" s="102">
        <f>$GG309*EE309*'Feedstock Conversion Rates'!$B$6</f>
        <v>191.54008322288857</v>
      </c>
      <c r="GN309" s="102">
        <f>$GG309*EF309*'Feedstock Conversion Rates'!$B$7</f>
        <v>278.04667694482362</v>
      </c>
      <c r="GO309" s="102">
        <f>$GG309*EG309*'Feedstock Conversion Rates'!$B$8</f>
        <v>72.465856160710999</v>
      </c>
      <c r="GP309" s="102">
        <f>$GG309*EH309*'Feedstock Conversion Rates'!B$9</f>
        <v>2.7237959902946609</v>
      </c>
      <c r="GQ309" s="102">
        <f t="shared" si="276"/>
        <v>2586.2009767078412</v>
      </c>
      <c r="GR309" s="85">
        <f t="shared" si="293"/>
        <v>7.9102587253221763</v>
      </c>
      <c r="GT309" s="103">
        <f t="shared" si="254"/>
        <v>3.3299150146801945E-2</v>
      </c>
      <c r="GU309" s="103">
        <f t="shared" si="254"/>
        <v>0.10917387516447272</v>
      </c>
      <c r="GV309" s="103">
        <f t="shared" si="254"/>
        <v>0.57412490408590633</v>
      </c>
      <c r="GW309" s="103">
        <f t="shared" si="254"/>
        <v>7.2754708999776749E-2</v>
      </c>
      <c r="GX309" s="103">
        <f t="shared" si="253"/>
        <v>7.4062335042001867E-2</v>
      </c>
      <c r="GY309" s="103">
        <f t="shared" si="253"/>
        <v>0.10751162784679211</v>
      </c>
      <c r="GZ309" s="103">
        <f t="shared" si="253"/>
        <v>2.8020195187211605E-2</v>
      </c>
      <c r="HA309" s="103">
        <f t="shared" si="251"/>
        <v>1.053203527036779E-3</v>
      </c>
    </row>
    <row r="310" spans="1:209" x14ac:dyDescent="0.25">
      <c r="A310" s="96">
        <v>49857</v>
      </c>
      <c r="B310" s="104">
        <f t="shared" si="315"/>
        <v>59.25</v>
      </c>
      <c r="C310" s="104">
        <f t="shared" si="314"/>
        <v>49</v>
      </c>
      <c r="D310" s="104">
        <f t="shared" si="288"/>
        <v>2</v>
      </c>
      <c r="E310" s="104">
        <f>('Renewable Diesel'!B319*E$3*'Feedstock Conversion Rates'!$B$2)/12+26+13-100+27.5+39</f>
        <v>95.43</v>
      </c>
      <c r="F310" s="104">
        <f>('Renewable Diesel'!B319*'RD Feedstock Breakdown'!F$3*'Feedstock Conversion Rates'!B$8)/12+77+23-10-12-115.75+24+8</f>
        <v>48.15625</v>
      </c>
      <c r="G310" s="104">
        <f>('Renewable Diesel'!B319*'RD Feedstock Breakdown'!G$3*'Feedstock Conversion Rates'!B$7)/12+116.75-39-57.5-145-31.5+32+70-40+10-35</f>
        <v>56.907000000000039</v>
      </c>
      <c r="H310" s="104">
        <f>('Renewable Diesel'!B319*'RD Feedstock Breakdown'!H$3*'Feedstock Conversion Rates'!B$3)/12+67+10+12+3-235+20+47-20+105</f>
        <v>185.40022499999998</v>
      </c>
      <c r="I310" s="106">
        <f t="shared" si="291"/>
        <v>496.14347500000002</v>
      </c>
      <c r="J310" s="104">
        <f t="shared" si="316"/>
        <v>69</v>
      </c>
      <c r="K310" s="104"/>
      <c r="L310" s="104">
        <v>1</v>
      </c>
      <c r="M310" s="104">
        <f>('Renewable Diesel'!C319*'RD Feedstock Breakdown'!M$3*'Feedstock Conversion Rates'!B$2)/12</f>
        <v>7.7902500000000003</v>
      </c>
      <c r="N310" s="104">
        <f>('Renewable Diesel'!C319*'RD Feedstock Breakdown'!N$3*'Feedstock Conversion Rates'!B$8)/12</f>
        <v>3.671875</v>
      </c>
      <c r="O310" s="104">
        <f>('Renewable Diesel'!C319*'RD Feedstock Breakdown'!O$3*'Feedstock Conversion Rates'!B$7)/12</f>
        <v>11.9991</v>
      </c>
      <c r="P310" s="104">
        <f>('Renewable Diesel'!C319*'RD Feedstock Breakdown'!P$3*'Feedstock Conversion Rates'!B$3)/12</f>
        <v>10.4470425</v>
      </c>
      <c r="Q310" s="106">
        <f t="shared" si="299"/>
        <v>103.90826749999999</v>
      </c>
      <c r="R310" s="104">
        <f>('Renewable Diesel'!D319*'RD Feedstock Breakdown'!R$3*'Feedstock Conversion Rates'!B$7)/12</f>
        <v>2.2999999999999998</v>
      </c>
      <c r="S310" s="106">
        <f t="shared" si="249"/>
        <v>2.2999999999999998</v>
      </c>
      <c r="T310" s="104">
        <f t="shared" si="300"/>
        <v>0.82499999999999929</v>
      </c>
      <c r="U310" s="104"/>
      <c r="V310" s="104">
        <f>('Renewable Diesel'!E319*'RD Feedstock Breakdown'!V$3*'Feedstock Conversion Rates'!B$6)/12-20+25</f>
        <v>49.250150000000012</v>
      </c>
      <c r="W310" s="104">
        <f>('Renewable Diesel'!E319*'RD Feedstock Breakdown'!W$3*'Feedstock Conversion Rates'!B$8)/12-6</f>
        <v>16.1796875</v>
      </c>
      <c r="X310" s="106">
        <f t="shared" si="277"/>
        <v>66.254837500000008</v>
      </c>
      <c r="Y310" s="104">
        <f t="shared" si="301"/>
        <v>98</v>
      </c>
      <c r="Z310" s="104">
        <f>('Renewable Diesel'!F319*'RD Feedstock Breakdown'!Z$3*'Feedstock Conversion Rates'!B$6)/12-142+15+10</f>
        <v>42.460000000000008</v>
      </c>
      <c r="AA310" s="104">
        <f>('Renewable Diesel'!F319*'RD Feedstock Breakdown'!AA$3*'Feedstock Conversion Rates'!B$7)/12+24</f>
        <v>128.26666666666665</v>
      </c>
      <c r="AB310" s="106">
        <f t="shared" si="320"/>
        <v>268.72666666666669</v>
      </c>
      <c r="AC310" s="104">
        <f>('Renewable Diesel'!G319*'RD Feedstock Breakdown'!AC$3*'Feedstock Conversion Rates'!B$5)/12</f>
        <v>11.796875</v>
      </c>
      <c r="AD310" s="104">
        <f>('Renewable Diesel'!G319*'RD Feedstock Breakdown'!AD$3*'Feedstock Conversion Rates'!B$4)/12</f>
        <v>5.859375</v>
      </c>
      <c r="AE310" s="104">
        <f>('Renewable Diesel'!G319*'RD Feedstock Breakdown'!AE$3*'Feedstock Conversion Rates'!B$6)/12</f>
        <v>7.3281250000000009</v>
      </c>
      <c r="AF310" s="106">
        <f t="shared" si="284"/>
        <v>24.984375</v>
      </c>
      <c r="AG310" s="104">
        <f t="shared" si="306"/>
        <v>148</v>
      </c>
      <c r="AH310" s="104"/>
      <c r="AI310" s="104">
        <f>('Renewable Diesel'!H319*'RD Feedstock Breakdown'!AI$3*'Feedstock Conversion Rates'!B$6)/12-130-20+51-49</f>
        <v>0.51666666666667993</v>
      </c>
      <c r="AJ310" s="106">
        <f t="shared" si="248"/>
        <v>148.51666666666668</v>
      </c>
      <c r="AK310" s="104">
        <f>('Renewable Diesel'!J319*'RD Feedstock Breakdown'!AK$3*'Feedstock Conversion Rates'!B$4)/12</f>
        <v>95.8125</v>
      </c>
      <c r="AL310" s="106">
        <f t="shared" si="252"/>
        <v>95.8125</v>
      </c>
      <c r="AM310" s="104">
        <f>('Renewable Diesel'!K319*'RD Feedstock Breakdown'!AM$3*'Feedstock Conversion Rates'!B$4)/12+5+15-10+10</f>
        <v>78.59375</v>
      </c>
      <c r="AN310" s="104">
        <f>('Renewable Diesel'!K319*'RD Feedstock Breakdown'!AN$3*'Feedstock Conversion Rates'!B$6)/12-5-15+10-10</f>
        <v>4.4270833333333321</v>
      </c>
      <c r="AO310" s="106">
        <f t="shared" si="270"/>
        <v>83.020833333333329</v>
      </c>
      <c r="AP310" s="104">
        <f>('Renewable Diesel'!L319*'RD Feedstock Breakdown'!AP$3*'Feedstock Conversion Rates'!B$4)/12+15-10+15</f>
        <v>78.59375</v>
      </c>
      <c r="AQ310" s="104">
        <f>('Renewable Diesel'!L319*'RD Feedstock Breakdown'!AQ$3*'Feedstock Conversion Rates'!B$6)/12-15+10-15</f>
        <v>4.4270833333333321</v>
      </c>
      <c r="AR310" s="106">
        <f t="shared" si="256"/>
        <v>83.020833333333329</v>
      </c>
      <c r="AS310" s="104">
        <f>('Renewable Diesel'!M319*'RD Feedstock Breakdown'!AS$3*'Feedstock Conversion Rates'!B$4)/12-25</f>
        <v>431.25</v>
      </c>
      <c r="AT310" s="104">
        <f>('Renewable Diesel'!M319*'RD Feedstock Breakdown'!AT$3*'Feedstock Conversion Rates'!B$5)/12+25</f>
        <v>25</v>
      </c>
      <c r="AU310" s="106">
        <f t="shared" si="290"/>
        <v>456.25</v>
      </c>
      <c r="AV310" s="104">
        <f>'Renewable Diesel'!N319*'RD Feedstock Breakdown'!$AV$3*'Feedstock Conversion Rates'!$B$4/12-15-10+25+25-22+25</f>
        <v>106.74999999999999</v>
      </c>
      <c r="AW310" s="104">
        <f>'Renewable Diesel'!N319*'RD Feedstock Breakdown'!$AW$3*'Feedstock Conversion Rates'!$B$7/12+15+10-25-25+22-25</f>
        <v>13.400000000000006</v>
      </c>
      <c r="AX310" s="106">
        <f t="shared" si="239"/>
        <v>120.14999999999999</v>
      </c>
      <c r="AY310" s="104">
        <f>('Renewable Diesel'!O319*'RD Feedstock Breakdown'!AY$3*'Feedstock Conversion Rates'!B$4)/12</f>
        <v>210.9375</v>
      </c>
      <c r="AZ310" s="104">
        <f>('Renewable Diesel'!O319*'RD Feedstock Breakdown'!AZ$3*'Feedstock Conversion Rates'!B$3)/12</f>
        <v>25.03125</v>
      </c>
      <c r="BA310" s="106">
        <f t="shared" si="302"/>
        <v>235.96875</v>
      </c>
      <c r="BB310" s="104">
        <f>('Renewable Diesel'!Q319*'RD Feedstock Breakdown'!BB$3*'Feedstock Conversion Rates'!B$4)/12</f>
        <v>11.156249999999998</v>
      </c>
      <c r="BC310" s="104">
        <f>('Renewable Diesel'!Q319*'RD Feedstock Breakdown'!BC$3*'Feedstock Conversion Rates'!B$3)/12</f>
        <v>1.4017500000000001</v>
      </c>
      <c r="BD310" s="104">
        <f>('Renewable Diesel'!Q319*'RD Feedstock Breakdown'!BD$3*'Feedstock Conversion Rates'!B$6)/12</f>
        <v>0.8207500000000002</v>
      </c>
      <c r="BE310" s="106">
        <f t="shared" si="279"/>
        <v>13.378749999999998</v>
      </c>
      <c r="BF310" s="104">
        <f>('Renewable Diesel'!R319*'RD Feedstock Breakdown'!BF$3*'Feedstock Conversion Rates'!B$4)/12</f>
        <v>62.5</v>
      </c>
      <c r="BG310" s="106">
        <f t="shared" si="262"/>
        <v>62.5</v>
      </c>
      <c r="BH310" s="104">
        <f>('Renewable Diesel'!T319*'RD Feedstock Breakdown'!BH$3*'Feedstock Conversion Rates'!B$7)/12</f>
        <v>27.599999999999998</v>
      </c>
      <c r="BI310" s="106">
        <f t="shared" si="243"/>
        <v>27.599999999999998</v>
      </c>
      <c r="BJ310" s="104">
        <f>('Renewable Diesel'!W319*'RD Feedstock Breakdown'!BJ$3*'Feedstock Conversion Rates'!B$4)/12</f>
        <v>7.5</v>
      </c>
      <c r="BK310" s="104">
        <f>('Renewable Diesel'!W319*'RD Feedstock Breakdown'!BK$3*'Feedstock Conversion Rates'!B$3)/12</f>
        <v>1.335</v>
      </c>
      <c r="BL310" s="104">
        <f>('Renewable Diesel'!W319*'RD Feedstock Breakdown'!BL$3*'Feedstock Conversion Rates'!B$6)/12</f>
        <v>3.1266666666666669</v>
      </c>
      <c r="BM310" s="104">
        <f>('Renewable Diesel'!W319*'RD Feedstock Breakdown'!BM$3*'Feedstock Conversion Rates'!B$7)/12</f>
        <v>1.5333333333333332</v>
      </c>
      <c r="BN310" s="106">
        <f t="shared" si="296"/>
        <v>13.495000000000001</v>
      </c>
      <c r="BO310" s="104">
        <f>('Renewable Diesel'!P319*'Feedstock Conversion Rates'!B$4)/12</f>
        <v>31.25</v>
      </c>
      <c r="BP310" s="106">
        <f t="shared" si="285"/>
        <v>31.25</v>
      </c>
      <c r="BQ310" s="104">
        <f>('Renewable Diesel'!$S319*'RD Feedstock Breakdown'!BQ$3*'Feedstock Conversion Rates'!B$4)/12+10+15-15</f>
        <v>38.125</v>
      </c>
      <c r="BR310" s="104">
        <f>('Renewable Diesel'!$S319*'RD Feedstock Breakdown'!BR$3*'Feedstock Conversion Rates'!B$7)/12-10-15+15</f>
        <v>1.5</v>
      </c>
      <c r="BS310" s="106">
        <f t="shared" si="307"/>
        <v>39.625</v>
      </c>
      <c r="BT310" s="106"/>
      <c r="BU310" s="104">
        <f>('Renewable Diesel'!Y319*'Feedstock Conversion Rates'!B$7)/12</f>
        <v>2.6833333333333331</v>
      </c>
      <c r="BV310" s="106">
        <f t="shared" si="281"/>
        <v>2.6833333333333331</v>
      </c>
      <c r="BW310" s="104">
        <f>('Renewable Diesel'!$Z319*'RD Feedstock Breakdown'!BW$3*'Feedstock Conversion Rates'!$B$4)/12</f>
        <v>71.875</v>
      </c>
      <c r="BX310" s="104">
        <f>('Renewable Diesel'!$Z319*'RD Feedstock Breakdown'!BX$3*'Feedstock Conversion Rates'!$B$5)/12</f>
        <v>7.2354166666666666</v>
      </c>
      <c r="BY310" s="104">
        <f>('Renewable Diesel'!$Z319*'RD Feedstock Breakdown'!BY$3*'Feedstock Conversion Rates'!$B$7)/12</f>
        <v>61.716666666666661</v>
      </c>
      <c r="BZ310" s="104">
        <f>('Renewable Diesel'!$Z319*'RD Feedstock Breakdown'!BZ$3*'Feedstock Conversion Rates'!$B$3)/12</f>
        <v>15.352499999999999</v>
      </c>
      <c r="CA310" s="106">
        <f t="shared" si="312"/>
        <v>156.17958333333331</v>
      </c>
      <c r="CB310" s="104">
        <f>('Renewable Diesel'!AA319*'Feedstock Conversion Rates'!B$4)/12</f>
        <v>191.25</v>
      </c>
      <c r="CC310" s="106">
        <f t="shared" si="298"/>
        <v>191.25</v>
      </c>
      <c r="CD310" s="104">
        <f>('Renewable Diesel'!$AB319*'RD Feedstock Breakdown'!CD$3*'Feedstock Conversion Rates'!$B$6)/12-15-5</f>
        <v>12.830000000000005</v>
      </c>
      <c r="CE310" s="104">
        <f>('Renewable Diesel'!$AB319*'RD Feedstock Breakdown'!CE$3*'Feedstock Conversion Rates'!$B$4)/12+15+5</f>
        <v>31.25</v>
      </c>
      <c r="CF310" s="106">
        <f t="shared" si="294"/>
        <v>44.080000000000005</v>
      </c>
      <c r="CG310" s="104">
        <f>('Renewable Diesel'!AD319*'Feedstock Conversion Rates'!B$4)/12</f>
        <v>112.5</v>
      </c>
      <c r="CH310" s="106">
        <f t="shared" si="278"/>
        <v>112.5</v>
      </c>
      <c r="CI310" s="104">
        <f>('Renewable Diesel'!$AE319*'RD Feedstock Breakdown'!CI$3*'Feedstock Conversion Rates'!$B$5)/12</f>
        <v>0.34604166666666664</v>
      </c>
      <c r="CJ310" s="104">
        <f>('Renewable Diesel'!$AE319*'RD Feedstock Breakdown'!CJ$3*'Feedstock Conversion Rates'!$B$4)/12</f>
        <v>0.34375</v>
      </c>
      <c r="CK310" s="106">
        <f t="shared" si="286"/>
        <v>0.68979166666666658</v>
      </c>
      <c r="CL310" s="104">
        <f>(((CL$3*'Renewable Diesel'!$AF319)*'Feedstock Conversion Rates'!$B$3)/12)</f>
        <v>91.78125</v>
      </c>
      <c r="CM310" s="104">
        <f>(((CM$3*'Renewable Diesel'!$AF319)*'Feedstock Conversion Rates'!$B$6)/12)</f>
        <v>53.739583333333336</v>
      </c>
      <c r="CN310" s="104">
        <f>(((CN$3*'Renewable Diesel'!$AF319)*'Feedstock Conversion Rates'!$B$4)/12)</f>
        <v>42.96875</v>
      </c>
      <c r="CO310" s="106">
        <f t="shared" si="280"/>
        <v>188.48958333333334</v>
      </c>
      <c r="CP310" s="104">
        <f>('Renewable Diesel'!$AG319*'RD Feedstock Breakdown'!CP$3*'Feedstock Conversion Rates'!$B$3)/12</f>
        <v>6.0075000000000003</v>
      </c>
      <c r="CQ310" s="104">
        <f>('Renewable Diesel'!$AG319*'RD Feedstock Breakdown'!CQ$3*'Feedstock Conversion Rates'!$B$6)/12</f>
        <v>3.5175000000000001</v>
      </c>
      <c r="CR310" s="104">
        <f>('Renewable Diesel'!$AG319*'RD Feedstock Breakdown'!CR$3*'Feedstock Conversion Rates'!$B$4)/12</f>
        <v>2.8125</v>
      </c>
      <c r="CS310" s="106">
        <f t="shared" si="317"/>
        <v>12.3375</v>
      </c>
      <c r="CT310" s="104">
        <f>('Renewable Diesel'!AI319*'Feedstock Conversion Rates'!$B$4*'RD Feedstock Breakdown'!$CT$3)/12</f>
        <v>29.375</v>
      </c>
      <c r="CU310" s="106">
        <f t="shared" si="282"/>
        <v>29.375</v>
      </c>
      <c r="CV310" s="104">
        <f>('Renewable Diesel'!AN319*'Feedstock Conversion Rates'!$B$3*'RD Feedstock Breakdown'!$CV$3)/12</f>
        <v>0.50062499999999999</v>
      </c>
      <c r="CW310" s="106">
        <f t="shared" si="255"/>
        <v>0.50062499999999999</v>
      </c>
      <c r="CX310" s="104">
        <f>('Renewable Diesel'!AO319*'RD Feedstock Breakdown'!$CX$3*'Feedstock Conversion Rates'!$B$3)/12</f>
        <v>6.3412499999999996</v>
      </c>
      <c r="CY310" s="104">
        <f>('Renewable Diesel'!AO319*'RD Feedstock Breakdown'!$CY$3*'Feedstock Conversion Rates'!$B$6)/12</f>
        <v>7.4258333333333342</v>
      </c>
      <c r="CZ310" s="106">
        <f t="shared" si="318"/>
        <v>13.767083333333334</v>
      </c>
      <c r="DA310" s="104">
        <f>('Renewable Diesel'!$AP319*'RD Feedstock Breakdown'!DA$3*'Feedstock Conversion Rates'!$B$3)/12</f>
        <v>6.3412499999999996</v>
      </c>
      <c r="DB310" s="104">
        <f>('Renewable Diesel'!$AP319*'RD Feedstock Breakdown'!DB$3*'Feedstock Conversion Rates'!$B$8)/12</f>
        <v>7.421875</v>
      </c>
      <c r="DC310" s="106">
        <f t="shared" si="260"/>
        <v>13.763124999999999</v>
      </c>
      <c r="DD310" s="104">
        <f>('Renewable Diesel'!AQ319*$DD$3*'Feedstock Conversion Rates'!$B$14)/12</f>
        <v>3.1041666666666665</v>
      </c>
      <c r="DE310" s="106">
        <f t="shared" si="261"/>
        <v>3.1041666666666665</v>
      </c>
      <c r="DF310" s="104">
        <f>('Renewable Diesel'!AR319*'Feedstock Conversion Rates'!$B$4*$DF$3)/12</f>
        <v>75</v>
      </c>
      <c r="DG310" s="106">
        <f t="shared" si="319"/>
        <v>75</v>
      </c>
      <c r="DH310" s="104">
        <f>('Renewable Diesel'!AS319*'Feedstock Conversion Rates'!$B$4*$DH$3)/12</f>
        <v>75</v>
      </c>
      <c r="DI310" s="106">
        <f t="shared" si="240"/>
        <v>75</v>
      </c>
      <c r="DJ310" s="104">
        <f>('Renewable Diesel'!AT319*'Feedstock Conversion Rates'!$B$4*0.25)/12</f>
        <v>8.59375</v>
      </c>
      <c r="DK310" s="104">
        <f>('Renewable Diesel'!$AT319*'RD Feedstock Breakdown'!DK$3*'Feedstock Conversion Rates'!$B$3)/12*0.5</f>
        <v>9.1781249999999996</v>
      </c>
      <c r="DL310" s="104">
        <f>('Renewable Diesel'!$AT319*'RD Feedstock Breakdown'!$DL$3*'Feedstock Conversion Rates'!$B$6)/12</f>
        <v>10.747916666666669</v>
      </c>
      <c r="DM310" s="104">
        <f>('Renewable Diesel'!$AT319*'RD Feedstock Breakdown'!$DM$3*'Feedstock Conversion Rates'!$B$8)/12</f>
        <v>10.7421875</v>
      </c>
      <c r="DN310" s="106">
        <f t="shared" si="297"/>
        <v>39.26197916666667</v>
      </c>
      <c r="DP310" s="104">
        <f t="shared" si="265"/>
        <v>103.22025000000001</v>
      </c>
      <c r="DQ310" s="104">
        <f t="shared" si="266"/>
        <v>359.11776750000001</v>
      </c>
      <c r="DR310" s="104">
        <f t="shared" si="271"/>
        <v>2016.953125</v>
      </c>
      <c r="DS310" s="104">
        <f t="shared" si="283"/>
        <v>253.90125</v>
      </c>
      <c r="DT310" s="104">
        <f t="shared" si="267"/>
        <v>208.03923333333341</v>
      </c>
      <c r="DU310" s="104">
        <f t="shared" si="268"/>
        <v>307.90610000000004</v>
      </c>
      <c r="DV310" s="104">
        <f t="shared" si="272"/>
        <v>78.75</v>
      </c>
      <c r="DW310" s="104">
        <f t="shared" si="269"/>
        <v>3</v>
      </c>
      <c r="DX310" s="106">
        <f t="shared" si="273"/>
        <v>3330.8877258333337</v>
      </c>
      <c r="DY310" s="109">
        <f t="shared" si="257"/>
        <v>-5.631051180898794E-13</v>
      </c>
      <c r="EA310" s="110">
        <f t="shared" si="313"/>
        <v>3.0988810940535676E-2</v>
      </c>
      <c r="EB310" s="110">
        <f t="shared" si="313"/>
        <v>0.1078144317848944</v>
      </c>
      <c r="EC310" s="110">
        <f t="shared" si="313"/>
        <v>0.60553020426270632</v>
      </c>
      <c r="ED310" s="110">
        <f t="shared" si="308"/>
        <v>7.6226300883941694E-2</v>
      </c>
      <c r="EE310" s="110">
        <f t="shared" si="308"/>
        <v>6.2457594028116153E-2</v>
      </c>
      <c r="EF310" s="110">
        <f t="shared" si="308"/>
        <v>9.243965133137802E-2</v>
      </c>
      <c r="EG310" s="110">
        <f t="shared" si="308"/>
        <v>2.3642345969586243E-2</v>
      </c>
      <c r="EH310" s="111">
        <f t="shared" si="274"/>
        <v>9.006607988413807E-4</v>
      </c>
      <c r="EI310" s="110">
        <f t="shared" si="321"/>
        <v>0.99909933920115845</v>
      </c>
      <c r="EK310" s="132">
        <f>(EA310*'Renewable Diesel'!BF319*'Feedstock Conversion Rates'!B$2)+FB310</f>
        <v>289.87987759741225</v>
      </c>
      <c r="EL310" s="132">
        <f>(EB310*'Renewable Diesel'!BF319*'Feedstock Conversion Rates'!B$3)+FC310</f>
        <v>950.39391185639397</v>
      </c>
      <c r="EM310" s="132">
        <f>(EC310*'Renewable Diesel'!BF319*'Feedstock Conversion Rates'!B$4)+FD310</f>
        <v>4997.9430762749444</v>
      </c>
      <c r="EN310" s="132">
        <f>(ED310*'Renewable Diesel'!BF319*'Feedstock Conversion Rates'!B$5)+FE310</f>
        <v>633.3532851893558</v>
      </c>
      <c r="EO310" s="132">
        <f>(EE310*'Renewable Diesel'!BF319*'Feedstock Conversion Rates'!B$6)+FF310</f>
        <v>644.7365930333192</v>
      </c>
      <c r="EP310" s="132">
        <f>(EF310*'Renewable Diesel'!BF319*'Feedstock Conversion Rates'!B$7)+FG310</f>
        <v>935.9235110545236</v>
      </c>
      <c r="EQ310" s="132">
        <f>(EG310*'Renewable Diesel'!BF319*'Feedstock Conversion Rates'!B$8)+FH310</f>
        <v>243.92486640997913</v>
      </c>
      <c r="ER310" s="132">
        <f>(EH310*'Renewable Diesel'!BF319*'Feedstock Conversion Rates'!B$9)+FI310</f>
        <v>9.1684775183941341</v>
      </c>
      <c r="ES310" s="132">
        <f t="shared" si="275"/>
        <v>8705.3235989343248</v>
      </c>
      <c r="ET310" s="133">
        <f>ES310/'Renewable Diesel'!BF319</f>
        <v>12.423268966190266</v>
      </c>
      <c r="EW310" s="73">
        <f t="shared" si="309"/>
        <v>7676.9816169164415</v>
      </c>
      <c r="EX310" s="73">
        <f t="shared" si="310"/>
        <v>4190.7314190477628</v>
      </c>
      <c r="EY310" s="92">
        <f t="shared" si="258"/>
        <v>0.88187205560701165</v>
      </c>
      <c r="EZ310" s="92">
        <f t="shared" si="258"/>
        <v>0.48139869488146053</v>
      </c>
      <c r="FB310" s="102">
        <f>IF('Renewable Diesel'!$BG319&lt;1,0,(((('Renewable Diesel'!$BG319-1)*'Renewable Diesel'!$BF319)*'RD Feedstock Breakdown'!EA310)*'Feedstock Conversion Rates'!$B$2))</f>
        <v>105.30488068631848</v>
      </c>
      <c r="FC310" s="102">
        <f>IF('Renewable Diesel'!$BG319&lt;1,0,(((('Renewable Diesel'!$BG319-1)*'Renewable Diesel'!$BF319)*'RD Feedstock Breakdown'!EB310)*'Feedstock Conversion Rates'!$B$3))</f>
        <v>345.25030961974744</v>
      </c>
      <c r="FD310" s="102">
        <f>IF('Renewable Diesel'!$BG319&lt;1,0,(((('Renewable Diesel'!$BG319-1)*'Renewable Diesel'!$BF319)*'RD Feedstock Breakdown'!EC310)*'Feedstock Conversion Rates'!$B$4))</f>
        <v>1815.6065322170641</v>
      </c>
      <c r="FE310" s="102">
        <f>IF('Renewable Diesel'!$BG319&lt;1,0,(((('Renewable Diesel'!$BG319-1)*'Renewable Diesel'!$BF319)*'RD Feedstock Breakdown'!ED310)*'Feedstock Conversion Rates'!$B$5))</f>
        <v>230.07872323507686</v>
      </c>
      <c r="FF310" s="102">
        <f>IF('Renewable Diesel'!$BG319&lt;1,0,(((('Renewable Diesel'!$BG319-1)*'Renewable Diesel'!$BF319)*'RD Feedstock Breakdown'!EE310)*'Feedstock Conversion Rates'!$B$6))</f>
        <v>234.21394601859475</v>
      </c>
      <c r="FG310" s="102">
        <f>IF('Renewable Diesel'!$BG319&lt;1,0,(((('Renewable Diesel'!$BG319-1)*'Renewable Diesel'!$BF319)*'RD Feedstock Breakdown'!EF310)*'Feedstock Conversion Rates'!$B$7))</f>
        <v>339.993636260583</v>
      </c>
      <c r="FH310" s="102">
        <f>IF('Renewable Diesel'!$BG319&lt;1,0,(((('Renewable Diesel'!$BG319-1)*'Renewable Diesel'!$BF319)*'RD Feedstock Breakdown'!EG310)*'Feedstock Conversion Rates'!$B$8))</f>
        <v>88.610769283553509</v>
      </c>
      <c r="FI310" s="102">
        <f>IF('Renewable Diesel'!$BG319&lt;1,0,(((('Renewable Diesel'!$BG319-1)*'Renewable Diesel'!$BF319)*'RD Feedstock Breakdown'!EH310)*'Feedstock Conversion Rates'!$B$9))</f>
        <v>3.3306397089437256</v>
      </c>
      <c r="FJ310" s="102">
        <f t="shared" si="311"/>
        <v>3162.3894370298822</v>
      </c>
      <c r="GD310" s="91">
        <f>'Renewable Diesel'!BB319*0.32</f>
        <v>0</v>
      </c>
      <c r="GE310" s="91">
        <f>'Renewable Diesel'!BC319</f>
        <v>355.66391497845484</v>
      </c>
      <c r="GF310" s="91">
        <f>'Renewable Diesel'!BD319</f>
        <v>0</v>
      </c>
      <c r="GG310" s="91">
        <f t="shared" si="295"/>
        <v>355.66391497845484</v>
      </c>
      <c r="GH310" s="124">
        <v>1</v>
      </c>
      <c r="GI310" s="102">
        <f>$GG310*EA310*'Feedstock Conversion Rates'!$B$2</f>
        <v>93.683615466923769</v>
      </c>
      <c r="GJ310" s="102">
        <f>$GG310*EB310*'Feedstock Conversion Rates'!$B$3</f>
        <v>307.14908022734272</v>
      </c>
      <c r="GK310" s="102">
        <f>$GG310*EC310*'Feedstock Conversion Rates'!$B$4</f>
        <v>1615.2393231433318</v>
      </c>
      <c r="GL310" s="102">
        <f>$GG310*ED310*'Feedstock Conversion Rates'!$B$5</f>
        <v>204.68763170514811</v>
      </c>
      <c r="GM310" s="102">
        <f>$GG310*EE310*'Feedstock Conversion Rates'!$B$6</f>
        <v>208.3664984261992</v>
      </c>
      <c r="GN310" s="102">
        <f>$GG310*EF310*'Feedstock Conversion Rates'!$B$7</f>
        <v>302.47252428420336</v>
      </c>
      <c r="GO310" s="102">
        <f>$GG310*EG310*'Feedstock Conversion Rates'!$B$8</f>
        <v>78.831837438920033</v>
      </c>
      <c r="GP310" s="102">
        <f>$GG310*EH310*'Feedstock Conversion Rates'!B$9</f>
        <v>2.9630760484978191</v>
      </c>
      <c r="GQ310" s="102">
        <f t="shared" si="276"/>
        <v>2813.3935867405667</v>
      </c>
      <c r="GR310" s="85">
        <f t="shared" si="293"/>
        <v>7.9102587253221754</v>
      </c>
      <c r="GT310" s="103">
        <f t="shared" si="254"/>
        <v>3.3299150146801931E-2</v>
      </c>
      <c r="GU310" s="103">
        <f t="shared" si="254"/>
        <v>0.10917387516447268</v>
      </c>
      <c r="GV310" s="103">
        <f t="shared" si="254"/>
        <v>0.57412490408590611</v>
      </c>
      <c r="GW310" s="103">
        <f t="shared" si="254"/>
        <v>7.2754708999776735E-2</v>
      </c>
      <c r="GX310" s="103">
        <f t="shared" si="253"/>
        <v>7.4062335042001853E-2</v>
      </c>
      <c r="GY310" s="103">
        <f t="shared" si="253"/>
        <v>0.10751162784679207</v>
      </c>
      <c r="GZ310" s="103">
        <f t="shared" si="253"/>
        <v>2.8020195187211602E-2</v>
      </c>
      <c r="HA310" s="103">
        <f t="shared" si="251"/>
        <v>1.0532035270367788E-3</v>
      </c>
    </row>
    <row r="311" spans="1:209" x14ac:dyDescent="0.25">
      <c r="A311" s="96">
        <v>49888</v>
      </c>
      <c r="B311" s="104">
        <f t="shared" si="315"/>
        <v>59.25</v>
      </c>
      <c r="C311" s="104">
        <f t="shared" si="314"/>
        <v>49</v>
      </c>
      <c r="D311" s="104">
        <f t="shared" si="288"/>
        <v>2</v>
      </c>
      <c r="E311" s="104">
        <f>('Renewable Diesel'!B320*E$3*'Feedstock Conversion Rates'!$B$2)/12+26+13-100+27.5+39</f>
        <v>95.43</v>
      </c>
      <c r="F311" s="104">
        <f>('Renewable Diesel'!B320*'RD Feedstock Breakdown'!F$3*'Feedstock Conversion Rates'!B$8)/12+77+23-10-12-115.75+24+8</f>
        <v>48.15625</v>
      </c>
      <c r="G311" s="104">
        <f>('Renewable Diesel'!B320*'RD Feedstock Breakdown'!G$3*'Feedstock Conversion Rates'!B$7)/12+116.75-39-57.5-145-31.5+32+70-40+10-35</f>
        <v>56.907000000000039</v>
      </c>
      <c r="H311" s="104">
        <f>('Renewable Diesel'!B320*'RD Feedstock Breakdown'!H$3*'Feedstock Conversion Rates'!B$3)/12+67+10+12+3-235+20+47-20+105</f>
        <v>185.40022499999998</v>
      </c>
      <c r="I311" s="106">
        <f t="shared" si="291"/>
        <v>496.14347500000002</v>
      </c>
      <c r="J311" s="104">
        <f t="shared" si="316"/>
        <v>69</v>
      </c>
      <c r="K311" s="104"/>
      <c r="L311" s="104">
        <v>1</v>
      </c>
      <c r="M311" s="104">
        <f>('Renewable Diesel'!C320*'RD Feedstock Breakdown'!M$3*'Feedstock Conversion Rates'!B$2)/12</f>
        <v>7.7902500000000003</v>
      </c>
      <c r="N311" s="104">
        <f>('Renewable Diesel'!C320*'RD Feedstock Breakdown'!N$3*'Feedstock Conversion Rates'!B$8)/12</f>
        <v>3.671875</v>
      </c>
      <c r="O311" s="104">
        <f>('Renewable Diesel'!C320*'RD Feedstock Breakdown'!O$3*'Feedstock Conversion Rates'!B$7)/12</f>
        <v>11.9991</v>
      </c>
      <c r="P311" s="104">
        <f>('Renewable Diesel'!C320*'RD Feedstock Breakdown'!P$3*'Feedstock Conversion Rates'!B$3)/12</f>
        <v>10.4470425</v>
      </c>
      <c r="Q311" s="106">
        <f t="shared" si="299"/>
        <v>103.90826749999999</v>
      </c>
      <c r="R311" s="104">
        <f>('Renewable Diesel'!D320*'RD Feedstock Breakdown'!R$3*'Feedstock Conversion Rates'!B$7)/12</f>
        <v>2.2999999999999998</v>
      </c>
      <c r="S311" s="106">
        <f t="shared" si="249"/>
        <v>2.2999999999999998</v>
      </c>
      <c r="T311" s="104">
        <f t="shared" si="300"/>
        <v>0.82499999999999929</v>
      </c>
      <c r="U311" s="104"/>
      <c r="V311" s="104">
        <f>('Renewable Diesel'!E320*'RD Feedstock Breakdown'!V$3*'Feedstock Conversion Rates'!B$6)/12-20+25</f>
        <v>49.250150000000012</v>
      </c>
      <c r="W311" s="104">
        <f>('Renewable Diesel'!E320*'RD Feedstock Breakdown'!W$3*'Feedstock Conversion Rates'!B$8)/12-6</f>
        <v>16.1796875</v>
      </c>
      <c r="X311" s="106">
        <f t="shared" si="277"/>
        <v>66.254837500000008</v>
      </c>
      <c r="Y311" s="104">
        <f t="shared" si="301"/>
        <v>98</v>
      </c>
      <c r="Z311" s="104">
        <f>('Renewable Diesel'!F320*'RD Feedstock Breakdown'!Z$3*'Feedstock Conversion Rates'!B$6)/12-142+15+10</f>
        <v>42.460000000000008</v>
      </c>
      <c r="AA311" s="104">
        <f>('Renewable Diesel'!F320*'RD Feedstock Breakdown'!AA$3*'Feedstock Conversion Rates'!B$7)/12+24</f>
        <v>128.26666666666665</v>
      </c>
      <c r="AB311" s="106">
        <f t="shared" si="320"/>
        <v>268.72666666666669</v>
      </c>
      <c r="AC311" s="104">
        <f>('Renewable Diesel'!G320*'RD Feedstock Breakdown'!AC$3*'Feedstock Conversion Rates'!B$5)/12</f>
        <v>11.796875</v>
      </c>
      <c r="AD311" s="104">
        <f>('Renewable Diesel'!G320*'RD Feedstock Breakdown'!AD$3*'Feedstock Conversion Rates'!B$4)/12</f>
        <v>5.859375</v>
      </c>
      <c r="AE311" s="104">
        <f>('Renewable Diesel'!G320*'RD Feedstock Breakdown'!AE$3*'Feedstock Conversion Rates'!B$6)/12</f>
        <v>7.3281250000000009</v>
      </c>
      <c r="AF311" s="106">
        <f t="shared" si="284"/>
        <v>24.984375</v>
      </c>
      <c r="AG311" s="104">
        <f t="shared" si="306"/>
        <v>148</v>
      </c>
      <c r="AH311" s="104"/>
      <c r="AI311" s="104">
        <f>('Renewable Diesel'!H320*'RD Feedstock Breakdown'!AI$3*'Feedstock Conversion Rates'!B$6)/12-130-20+51-49</f>
        <v>0.51666666666667993</v>
      </c>
      <c r="AJ311" s="106">
        <f t="shared" si="248"/>
        <v>148.51666666666668</v>
      </c>
      <c r="AK311" s="104">
        <f>('Renewable Diesel'!J320*'RD Feedstock Breakdown'!AK$3*'Feedstock Conversion Rates'!B$4)/12</f>
        <v>95.8125</v>
      </c>
      <c r="AL311" s="106">
        <f t="shared" si="252"/>
        <v>95.8125</v>
      </c>
      <c r="AM311" s="104">
        <f>('Renewable Diesel'!K320*'RD Feedstock Breakdown'!AM$3*'Feedstock Conversion Rates'!B$4)/12+5+15-10+10</f>
        <v>78.59375</v>
      </c>
      <c r="AN311" s="104">
        <f>('Renewable Diesel'!K320*'RD Feedstock Breakdown'!AN$3*'Feedstock Conversion Rates'!B$6)/12-5-15+10-10</f>
        <v>4.4270833333333321</v>
      </c>
      <c r="AO311" s="106">
        <f t="shared" si="270"/>
        <v>83.020833333333329</v>
      </c>
      <c r="AP311" s="104">
        <f>('Renewable Diesel'!L320*'RD Feedstock Breakdown'!AP$3*'Feedstock Conversion Rates'!B$4)/12+15-10+15</f>
        <v>78.59375</v>
      </c>
      <c r="AQ311" s="104">
        <f>('Renewable Diesel'!L320*'RD Feedstock Breakdown'!AQ$3*'Feedstock Conversion Rates'!B$6)/12-15+10-15</f>
        <v>4.4270833333333321</v>
      </c>
      <c r="AR311" s="106">
        <f t="shared" si="256"/>
        <v>83.020833333333329</v>
      </c>
      <c r="AS311" s="104">
        <f>('Renewable Diesel'!M320*'RD Feedstock Breakdown'!AS$3*'Feedstock Conversion Rates'!B$4)/12-25</f>
        <v>431.25</v>
      </c>
      <c r="AT311" s="104">
        <f>('Renewable Diesel'!M320*'RD Feedstock Breakdown'!AT$3*'Feedstock Conversion Rates'!B$5)/12+25</f>
        <v>25</v>
      </c>
      <c r="AU311" s="106">
        <f t="shared" si="290"/>
        <v>456.25</v>
      </c>
      <c r="AV311" s="104">
        <f>'Renewable Diesel'!N320*'RD Feedstock Breakdown'!$AV$3*'Feedstock Conversion Rates'!$B$4/12-15-10+25+25-22+25</f>
        <v>106.74999999999999</v>
      </c>
      <c r="AW311" s="104">
        <f>'Renewable Diesel'!N320*'RD Feedstock Breakdown'!$AW$3*'Feedstock Conversion Rates'!$B$7/12+15+10-25-25+22-25</f>
        <v>13.400000000000006</v>
      </c>
      <c r="AX311" s="106">
        <f t="shared" ref="AX311:AX374" si="322">SUM(AV311:AW311)</f>
        <v>120.14999999999999</v>
      </c>
      <c r="AY311" s="104">
        <f>('Renewable Diesel'!O320*'RD Feedstock Breakdown'!AY$3*'Feedstock Conversion Rates'!B$4)/12</f>
        <v>210.9375</v>
      </c>
      <c r="AZ311" s="104">
        <f>('Renewable Diesel'!O320*'RD Feedstock Breakdown'!AZ$3*'Feedstock Conversion Rates'!B$3)/12</f>
        <v>25.03125</v>
      </c>
      <c r="BA311" s="106">
        <f t="shared" si="302"/>
        <v>235.96875</v>
      </c>
      <c r="BB311" s="104">
        <f>('Renewable Diesel'!Q320*'RD Feedstock Breakdown'!BB$3*'Feedstock Conversion Rates'!B$4)/12</f>
        <v>11.156249999999998</v>
      </c>
      <c r="BC311" s="104">
        <f>('Renewable Diesel'!Q320*'RD Feedstock Breakdown'!BC$3*'Feedstock Conversion Rates'!B$3)/12</f>
        <v>1.4017500000000001</v>
      </c>
      <c r="BD311" s="104">
        <f>('Renewable Diesel'!Q320*'RD Feedstock Breakdown'!BD$3*'Feedstock Conversion Rates'!B$6)/12</f>
        <v>0.8207500000000002</v>
      </c>
      <c r="BE311" s="106">
        <f t="shared" si="279"/>
        <v>13.378749999999998</v>
      </c>
      <c r="BF311" s="104">
        <f>('Renewable Diesel'!R320*'RD Feedstock Breakdown'!BF$3*'Feedstock Conversion Rates'!B$4)/12</f>
        <v>62.5</v>
      </c>
      <c r="BG311" s="106">
        <f t="shared" si="262"/>
        <v>62.5</v>
      </c>
      <c r="BH311" s="104">
        <f>('Renewable Diesel'!T320*'RD Feedstock Breakdown'!BH$3*'Feedstock Conversion Rates'!B$7)/12</f>
        <v>27.599999999999998</v>
      </c>
      <c r="BI311" s="106">
        <f t="shared" si="243"/>
        <v>27.599999999999998</v>
      </c>
      <c r="BJ311" s="104">
        <f>('Renewable Diesel'!W320*'RD Feedstock Breakdown'!BJ$3*'Feedstock Conversion Rates'!B$4)/12</f>
        <v>7.5</v>
      </c>
      <c r="BK311" s="104">
        <f>('Renewable Diesel'!W320*'RD Feedstock Breakdown'!BK$3*'Feedstock Conversion Rates'!B$3)/12</f>
        <v>1.335</v>
      </c>
      <c r="BL311" s="104">
        <f>('Renewable Diesel'!W320*'RD Feedstock Breakdown'!BL$3*'Feedstock Conversion Rates'!B$6)/12</f>
        <v>3.1266666666666669</v>
      </c>
      <c r="BM311" s="104">
        <f>('Renewable Diesel'!W320*'RD Feedstock Breakdown'!BM$3*'Feedstock Conversion Rates'!B$7)/12</f>
        <v>1.5333333333333332</v>
      </c>
      <c r="BN311" s="106">
        <f t="shared" si="296"/>
        <v>13.495000000000001</v>
      </c>
      <c r="BO311" s="104">
        <f>('Renewable Diesel'!P320*'Feedstock Conversion Rates'!B$4)/12</f>
        <v>31.25</v>
      </c>
      <c r="BP311" s="106">
        <f t="shared" si="285"/>
        <v>31.25</v>
      </c>
      <c r="BQ311" s="104">
        <f>('Renewable Diesel'!$S320*'RD Feedstock Breakdown'!BQ$3*'Feedstock Conversion Rates'!B$4)/12+10+15-15</f>
        <v>38.125</v>
      </c>
      <c r="BR311" s="104">
        <f>('Renewable Diesel'!$S320*'RD Feedstock Breakdown'!BR$3*'Feedstock Conversion Rates'!B$7)/12-10-15+15</f>
        <v>1.5</v>
      </c>
      <c r="BS311" s="106">
        <f t="shared" si="307"/>
        <v>39.625</v>
      </c>
      <c r="BT311" s="106"/>
      <c r="BU311" s="104">
        <f>('Renewable Diesel'!Y320*'Feedstock Conversion Rates'!B$7)/12</f>
        <v>2.6833333333333331</v>
      </c>
      <c r="BV311" s="106">
        <f t="shared" si="281"/>
        <v>2.6833333333333331</v>
      </c>
      <c r="BW311" s="104">
        <f>('Renewable Diesel'!$Z320*'RD Feedstock Breakdown'!BW$3*'Feedstock Conversion Rates'!$B$4)/12</f>
        <v>71.875</v>
      </c>
      <c r="BX311" s="104">
        <f>('Renewable Diesel'!$Z320*'RD Feedstock Breakdown'!BX$3*'Feedstock Conversion Rates'!$B$5)/12</f>
        <v>7.2354166666666666</v>
      </c>
      <c r="BY311" s="104">
        <f>('Renewable Diesel'!$Z320*'RD Feedstock Breakdown'!BY$3*'Feedstock Conversion Rates'!$B$7)/12</f>
        <v>61.716666666666661</v>
      </c>
      <c r="BZ311" s="104">
        <f>('Renewable Diesel'!$Z320*'RD Feedstock Breakdown'!BZ$3*'Feedstock Conversion Rates'!$B$3)/12</f>
        <v>15.352499999999999</v>
      </c>
      <c r="CA311" s="106">
        <f t="shared" si="312"/>
        <v>156.17958333333331</v>
      </c>
      <c r="CB311" s="104">
        <f>('Renewable Diesel'!AA320*'Feedstock Conversion Rates'!B$4)/12</f>
        <v>191.25</v>
      </c>
      <c r="CC311" s="106">
        <f t="shared" si="298"/>
        <v>191.25</v>
      </c>
      <c r="CD311" s="104">
        <f>('Renewable Diesel'!$AB320*'RD Feedstock Breakdown'!CD$3*'Feedstock Conversion Rates'!$B$6)/12-15-5</f>
        <v>12.830000000000005</v>
      </c>
      <c r="CE311" s="104">
        <f>('Renewable Diesel'!$AB320*'RD Feedstock Breakdown'!CE$3*'Feedstock Conversion Rates'!$B$4)/12+15+5</f>
        <v>31.25</v>
      </c>
      <c r="CF311" s="106">
        <f t="shared" si="294"/>
        <v>44.080000000000005</v>
      </c>
      <c r="CG311" s="104">
        <f>('Renewable Diesel'!AD320*'Feedstock Conversion Rates'!B$4)/12</f>
        <v>112.5</v>
      </c>
      <c r="CH311" s="106">
        <f t="shared" si="278"/>
        <v>112.5</v>
      </c>
      <c r="CI311" s="104">
        <f>('Renewable Diesel'!$AE320*'RD Feedstock Breakdown'!CI$3*'Feedstock Conversion Rates'!$B$5)/12</f>
        <v>0.34604166666666664</v>
      </c>
      <c r="CJ311" s="104">
        <f>('Renewable Diesel'!$AE320*'RD Feedstock Breakdown'!CJ$3*'Feedstock Conversion Rates'!$B$4)/12</f>
        <v>0.34375</v>
      </c>
      <c r="CK311" s="106">
        <f t="shared" si="286"/>
        <v>0.68979166666666658</v>
      </c>
      <c r="CL311" s="104">
        <f>(((CL$3*'Renewable Diesel'!$AF320)*'Feedstock Conversion Rates'!$B$3)/12)</f>
        <v>91.78125</v>
      </c>
      <c r="CM311" s="104">
        <f>(((CM$3*'Renewable Diesel'!$AF320)*'Feedstock Conversion Rates'!$B$6)/12)</f>
        <v>53.739583333333336</v>
      </c>
      <c r="CN311" s="104">
        <f>(((CN$3*'Renewable Diesel'!$AF320)*'Feedstock Conversion Rates'!$B$4)/12)</f>
        <v>42.96875</v>
      </c>
      <c r="CO311" s="106">
        <f t="shared" si="280"/>
        <v>188.48958333333334</v>
      </c>
      <c r="CP311" s="104">
        <f>('Renewable Diesel'!$AG320*'RD Feedstock Breakdown'!CP$3*'Feedstock Conversion Rates'!$B$3)/12</f>
        <v>6.0075000000000003</v>
      </c>
      <c r="CQ311" s="104">
        <f>('Renewable Diesel'!$AG320*'RD Feedstock Breakdown'!CQ$3*'Feedstock Conversion Rates'!$B$6)/12</f>
        <v>3.5175000000000001</v>
      </c>
      <c r="CR311" s="104">
        <f>('Renewable Diesel'!$AG320*'RD Feedstock Breakdown'!CR$3*'Feedstock Conversion Rates'!$B$4)/12</f>
        <v>2.8125</v>
      </c>
      <c r="CS311" s="106">
        <f t="shared" si="317"/>
        <v>12.3375</v>
      </c>
      <c r="CT311" s="104">
        <f>('Renewable Diesel'!AI320*'Feedstock Conversion Rates'!$B$4*'RD Feedstock Breakdown'!$CT$3)/12</f>
        <v>29.375</v>
      </c>
      <c r="CU311" s="106">
        <f t="shared" si="282"/>
        <v>29.375</v>
      </c>
      <c r="CV311" s="104">
        <f>('Renewable Diesel'!AN320*'Feedstock Conversion Rates'!$B$3*'RD Feedstock Breakdown'!$CV$3)/12</f>
        <v>0.50062499999999999</v>
      </c>
      <c r="CW311" s="106">
        <f t="shared" si="255"/>
        <v>0.50062499999999999</v>
      </c>
      <c r="CX311" s="104">
        <f>('Renewable Diesel'!AO320*'RD Feedstock Breakdown'!$CX$3*'Feedstock Conversion Rates'!$B$3)/12</f>
        <v>6.3412499999999996</v>
      </c>
      <c r="CY311" s="104">
        <f>('Renewable Diesel'!AO320*'RD Feedstock Breakdown'!$CY$3*'Feedstock Conversion Rates'!$B$6)/12</f>
        <v>7.4258333333333342</v>
      </c>
      <c r="CZ311" s="106">
        <f t="shared" si="318"/>
        <v>13.767083333333334</v>
      </c>
      <c r="DA311" s="104">
        <f>('Renewable Diesel'!$AP320*'RD Feedstock Breakdown'!DA$3*'Feedstock Conversion Rates'!$B$3)/12</f>
        <v>6.3412499999999996</v>
      </c>
      <c r="DB311" s="104">
        <f>('Renewable Diesel'!$AP320*'RD Feedstock Breakdown'!DB$3*'Feedstock Conversion Rates'!$B$8)/12</f>
        <v>7.421875</v>
      </c>
      <c r="DC311" s="106">
        <f t="shared" si="260"/>
        <v>13.763124999999999</v>
      </c>
      <c r="DD311" s="104">
        <f>('Renewable Diesel'!AQ320*$DD$3*'Feedstock Conversion Rates'!$B$14)/12</f>
        <v>3.1041666666666665</v>
      </c>
      <c r="DE311" s="106">
        <f t="shared" si="261"/>
        <v>3.1041666666666665</v>
      </c>
      <c r="DF311" s="104">
        <f>('Renewable Diesel'!AR320*'Feedstock Conversion Rates'!$B$4*$DF$3)/12</f>
        <v>75</v>
      </c>
      <c r="DG311" s="106">
        <f t="shared" si="319"/>
        <v>75</v>
      </c>
      <c r="DH311" s="104">
        <f>('Renewable Diesel'!AS320*'Feedstock Conversion Rates'!$B$4*$DH$3)/12</f>
        <v>75</v>
      </c>
      <c r="DI311" s="106">
        <f t="shared" si="240"/>
        <v>75</v>
      </c>
      <c r="DJ311" s="104">
        <f>('Renewable Diesel'!AT320*'Feedstock Conversion Rates'!$B$4*0.25)/12</f>
        <v>8.59375</v>
      </c>
      <c r="DK311" s="104">
        <f>('Renewable Diesel'!$AT320*'RD Feedstock Breakdown'!DK$3*'Feedstock Conversion Rates'!$B$3)/12*0.5</f>
        <v>9.1781249999999996</v>
      </c>
      <c r="DL311" s="104">
        <f>('Renewable Diesel'!$AT320*'RD Feedstock Breakdown'!$DL$3*'Feedstock Conversion Rates'!$B$6)/12</f>
        <v>10.747916666666669</v>
      </c>
      <c r="DM311" s="104">
        <f>('Renewable Diesel'!$AT320*'RD Feedstock Breakdown'!$DM$3*'Feedstock Conversion Rates'!$B$8)/12</f>
        <v>10.7421875</v>
      </c>
      <c r="DN311" s="106">
        <f t="shared" si="297"/>
        <v>39.26197916666667</v>
      </c>
      <c r="DP311" s="104">
        <f t="shared" si="265"/>
        <v>103.22025000000001</v>
      </c>
      <c r="DQ311" s="104">
        <f t="shared" si="266"/>
        <v>359.11776750000001</v>
      </c>
      <c r="DR311" s="104">
        <f t="shared" si="271"/>
        <v>2016.953125</v>
      </c>
      <c r="DS311" s="104">
        <f t="shared" si="283"/>
        <v>253.90125</v>
      </c>
      <c r="DT311" s="104">
        <f t="shared" si="267"/>
        <v>208.03923333333341</v>
      </c>
      <c r="DU311" s="104">
        <f t="shared" si="268"/>
        <v>307.90610000000004</v>
      </c>
      <c r="DV311" s="104">
        <f t="shared" si="272"/>
        <v>78.75</v>
      </c>
      <c r="DW311" s="104">
        <f t="shared" si="269"/>
        <v>3</v>
      </c>
      <c r="DX311" s="106">
        <f t="shared" si="273"/>
        <v>3330.8877258333337</v>
      </c>
      <c r="DY311" s="109">
        <f t="shared" si="257"/>
        <v>-5.631051180898794E-13</v>
      </c>
      <c r="EA311" s="110">
        <f t="shared" si="313"/>
        <v>3.0988810940535676E-2</v>
      </c>
      <c r="EB311" s="110">
        <f t="shared" si="313"/>
        <v>0.1078144317848944</v>
      </c>
      <c r="EC311" s="110">
        <f t="shared" si="313"/>
        <v>0.60553020426270632</v>
      </c>
      <c r="ED311" s="110">
        <f t="shared" si="308"/>
        <v>7.6226300883941694E-2</v>
      </c>
      <c r="EE311" s="110">
        <f t="shared" si="308"/>
        <v>6.2457594028116153E-2</v>
      </c>
      <c r="EF311" s="110">
        <f t="shared" si="308"/>
        <v>9.243965133137802E-2</v>
      </c>
      <c r="EG311" s="110">
        <f t="shared" si="308"/>
        <v>2.3642345969586243E-2</v>
      </c>
      <c r="EH311" s="111">
        <f t="shared" si="274"/>
        <v>9.006607988413807E-4</v>
      </c>
      <c r="EI311" s="110">
        <f t="shared" si="321"/>
        <v>0.99909933920115845</v>
      </c>
      <c r="EK311" s="132">
        <f>(EA311*'Renewable Diesel'!BF320*'Feedstock Conversion Rates'!B$2)+FB311</f>
        <v>310.5409183578916</v>
      </c>
      <c r="EL311" s="132">
        <f>(EB311*'Renewable Diesel'!BF320*'Feedstock Conversion Rates'!B$3)+FC311</f>
        <v>1018.132754283557</v>
      </c>
      <c r="EM311" s="132">
        <f>(EC311*'Renewable Diesel'!BF320*'Feedstock Conversion Rates'!B$4)+FD311</f>
        <v>5354.1689256624086</v>
      </c>
      <c r="EN311" s="132">
        <f>(ED311*'Renewable Diesel'!BF320*'Feedstock Conversion Rates'!B$5)+FE311</f>
        <v>678.49521828777665</v>
      </c>
      <c r="EO311" s="132">
        <f>(EE311*'Renewable Diesel'!BF320*'Feedstock Conversion Rates'!B$6)+FF311</f>
        <v>690.68986560553367</v>
      </c>
      <c r="EP311" s="132">
        <f>(EF311*'Renewable Diesel'!BF320*'Feedstock Conversion Rates'!B$7)+FG311</f>
        <v>1002.630983028291</v>
      </c>
      <c r="EQ311" s="132">
        <f>(EG311*'Renewable Diesel'!BF320*'Feedstock Conversion Rates'!B$8)+FH311</f>
        <v>261.31048713385121</v>
      </c>
      <c r="ER311" s="132">
        <f>(EH311*'Renewable Diesel'!BF320*'Feedstock Conversion Rates'!B$9)+FI311</f>
        <v>9.8219560878247556</v>
      </c>
      <c r="ES311" s="132">
        <f t="shared" si="275"/>
        <v>9325.7911084471343</v>
      </c>
      <c r="ET311" s="133">
        <f>ES311/'Renewable Diesel'!BF320</f>
        <v>12.649287110392081</v>
      </c>
      <c r="EW311" s="73">
        <f t="shared" si="309"/>
        <v>8292.7888740059989</v>
      </c>
      <c r="EX311" s="73">
        <f t="shared" si="310"/>
        <v>4526.8899445125398</v>
      </c>
      <c r="EY311" s="92">
        <f t="shared" si="258"/>
        <v>0.88923167778168866</v>
      </c>
      <c r="EZ311" s="92">
        <f t="shared" si="258"/>
        <v>0.48541618527270725</v>
      </c>
      <c r="FB311" s="102">
        <f>IF('Renewable Diesel'!$BG320&lt;1,0,(((('Renewable Diesel'!$BG320-1)*'Renewable Diesel'!$BF320)*'RD Feedstock Breakdown'!EA311)*'Feedstock Conversion Rates'!$B$2))</f>
        <v>116.34349145373365</v>
      </c>
      <c r="FC311" s="102">
        <f>IF('Renewable Diesel'!$BG320&lt;1,0,(((('Renewable Diesel'!$BG320-1)*'Renewable Diesel'!$BF320)*'RD Feedstock Breakdown'!EB311)*'Feedstock Conversion Rates'!$B$3))</f>
        <v>381.4412606980207</v>
      </c>
      <c r="FD311" s="102">
        <f>IF('Renewable Diesel'!$BG320&lt;1,0,(((('Renewable Diesel'!$BG320-1)*'Renewable Diesel'!$BF320)*'RD Feedstock Breakdown'!EC311)*'Feedstock Conversion Rates'!$B$4))</f>
        <v>2005.927946431671</v>
      </c>
      <c r="FE311" s="102">
        <f>IF('Renewable Diesel'!$BG320&lt;1,0,(((('Renewable Diesel'!$BG320-1)*'Renewable Diesel'!$BF320)*'RD Feedstock Breakdown'!ED311)*'Feedstock Conversion Rates'!$B$5))</f>
        <v>254.19678362414123</v>
      </c>
      <c r="FF311" s="102">
        <f>IF('Renewable Diesel'!$BG320&lt;1,0,(((('Renewable Diesel'!$BG320-1)*'Renewable Diesel'!$BF320)*'RD Feedstock Breakdown'!EE311)*'Feedstock Conversion Rates'!$B$6))</f>
        <v>258.76548218244091</v>
      </c>
      <c r="FG311" s="102">
        <f>IF('Renewable Diesel'!$BG320&lt;1,0,(((('Renewable Diesel'!$BG320-1)*'Renewable Diesel'!$BF320)*'RD Feedstock Breakdown'!EF311)*'Feedstock Conversion Rates'!$B$7))</f>
        <v>375.63355522367726</v>
      </c>
      <c r="FH311" s="102">
        <f>IF('Renewable Diesel'!$BG320&lt;1,0,(((('Renewable Diesel'!$BG320-1)*'Renewable Diesel'!$BF320)*'RD Feedstock Breakdown'!EG311)*'Feedstock Conversion Rates'!$B$8))</f>
        <v>97.899415598400495</v>
      </c>
      <c r="FI311" s="102">
        <f>IF('Renewable Diesel'!$BG320&lt;1,0,(((('Renewable Diesel'!$BG320-1)*'Renewable Diesel'!$BF320)*'RD Feedstock Breakdown'!EH311)*'Feedstock Conversion Rates'!$B$9))</f>
        <v>3.6797748593176567</v>
      </c>
      <c r="FJ311" s="102">
        <f t="shared" si="311"/>
        <v>3493.8877100714026</v>
      </c>
      <c r="GD311" s="91">
        <f>'Renewable Diesel'!BB320*0.32</f>
        <v>0</v>
      </c>
      <c r="GE311" s="91">
        <f>'Renewable Diesel'!BC320</f>
        <v>387.25682003295844</v>
      </c>
      <c r="GF311" s="91">
        <f>'Renewable Diesel'!BD320</f>
        <v>0</v>
      </c>
      <c r="GG311" s="91">
        <f t="shared" si="295"/>
        <v>387.25682003295844</v>
      </c>
      <c r="GH311" s="124">
        <v>1</v>
      </c>
      <c r="GI311" s="102">
        <f>$GG311*EA311*'Feedstock Conversion Rates'!$B$2</f>
        <v>102.00534124219239</v>
      </c>
      <c r="GJ311" s="102">
        <f>$GG311*EB311*'Feedstock Conversion Rates'!$B$3</f>
        <v>334.432510793495</v>
      </c>
      <c r="GK311" s="102">
        <f>$GG311*EC311*'Feedstock Conversion Rates'!$B$4</f>
        <v>1758.7177600251257</v>
      </c>
      <c r="GL311" s="102">
        <f>$GG311*ED311*'Feedstock Conversion Rates'!$B$5</f>
        <v>222.86961936809016</v>
      </c>
      <c r="GM311" s="102">
        <f>$GG311*EE311*'Feedstock Conversion Rates'!$B$6</f>
        <v>226.87527236723017</v>
      </c>
      <c r="GN311" s="102">
        <f>$GG311*EF311*'Feedstock Conversion Rates'!$B$7</f>
        <v>329.34054585981289</v>
      </c>
      <c r="GO311" s="102">
        <f>$GG311*EG311*'Feedstock Conversion Rates'!$B$8</f>
        <v>85.83430985907188</v>
      </c>
      <c r="GP311" s="102">
        <f>$GG311*EH311*'Feedstock Conversion Rates'!B$9</f>
        <v>3.2262800912108287</v>
      </c>
      <c r="GQ311" s="102">
        <f t="shared" si="276"/>
        <v>3063.3016396062285</v>
      </c>
      <c r="GR311" s="85">
        <f t="shared" si="293"/>
        <v>7.9102587253221746</v>
      </c>
      <c r="GT311" s="103">
        <f t="shared" si="254"/>
        <v>3.3299150146801945E-2</v>
      </c>
      <c r="GU311" s="103">
        <f t="shared" si="254"/>
        <v>0.10917387516447272</v>
      </c>
      <c r="GV311" s="103">
        <f t="shared" si="254"/>
        <v>0.57412490408590633</v>
      </c>
      <c r="GW311" s="103">
        <f t="shared" si="254"/>
        <v>7.2754708999776749E-2</v>
      </c>
      <c r="GX311" s="103">
        <f t="shared" si="253"/>
        <v>7.4062335042001881E-2</v>
      </c>
      <c r="GY311" s="103">
        <f t="shared" si="253"/>
        <v>0.10751162784679211</v>
      </c>
      <c r="GZ311" s="103">
        <f t="shared" si="253"/>
        <v>2.8020195187211609E-2</v>
      </c>
      <c r="HA311" s="103">
        <f t="shared" si="251"/>
        <v>1.0532035270367792E-3</v>
      </c>
    </row>
    <row r="312" spans="1:209" x14ac:dyDescent="0.25">
      <c r="A312" s="96">
        <v>49919</v>
      </c>
      <c r="B312" s="104">
        <f t="shared" si="315"/>
        <v>59.25</v>
      </c>
      <c r="C312" s="104">
        <f t="shared" si="314"/>
        <v>49</v>
      </c>
      <c r="D312" s="104">
        <f t="shared" si="288"/>
        <v>2</v>
      </c>
      <c r="E312" s="104">
        <f>('Renewable Diesel'!B321*E$3*'Feedstock Conversion Rates'!$B$2)/12+26+13-100+27.5+39</f>
        <v>95.43</v>
      </c>
      <c r="F312" s="104">
        <f>('Renewable Diesel'!B321*'RD Feedstock Breakdown'!F$3*'Feedstock Conversion Rates'!B$8)/12+77+23-10-12-115.75+24+8</f>
        <v>48.15625</v>
      </c>
      <c r="G312" s="104">
        <f>('Renewable Diesel'!B321*'RD Feedstock Breakdown'!G$3*'Feedstock Conversion Rates'!B$7)/12+116.75-39-57.5-145-31.5+32+70-40+10-35</f>
        <v>56.907000000000039</v>
      </c>
      <c r="H312" s="104">
        <f>('Renewable Diesel'!B321*'RD Feedstock Breakdown'!H$3*'Feedstock Conversion Rates'!B$3)/12+67+10+12+3-235+20+47-20+105</f>
        <v>185.40022499999998</v>
      </c>
      <c r="I312" s="106">
        <f t="shared" si="291"/>
        <v>496.14347500000002</v>
      </c>
      <c r="J312" s="104">
        <f t="shared" si="316"/>
        <v>69</v>
      </c>
      <c r="K312" s="104"/>
      <c r="L312" s="104">
        <v>1</v>
      </c>
      <c r="M312" s="104">
        <f>('Renewable Diesel'!C321*'RD Feedstock Breakdown'!M$3*'Feedstock Conversion Rates'!B$2)/12</f>
        <v>7.7902500000000003</v>
      </c>
      <c r="N312" s="104">
        <f>('Renewable Diesel'!C321*'RD Feedstock Breakdown'!N$3*'Feedstock Conversion Rates'!B$8)/12</f>
        <v>3.671875</v>
      </c>
      <c r="O312" s="104">
        <f>('Renewable Diesel'!C321*'RD Feedstock Breakdown'!O$3*'Feedstock Conversion Rates'!B$7)/12</f>
        <v>11.9991</v>
      </c>
      <c r="P312" s="104">
        <f>('Renewable Diesel'!C321*'RD Feedstock Breakdown'!P$3*'Feedstock Conversion Rates'!B$3)/12</f>
        <v>10.4470425</v>
      </c>
      <c r="Q312" s="106">
        <f t="shared" si="299"/>
        <v>103.90826749999999</v>
      </c>
      <c r="R312" s="104">
        <f>('Renewable Diesel'!D321*'RD Feedstock Breakdown'!R$3*'Feedstock Conversion Rates'!B$7)/12</f>
        <v>2.2999999999999998</v>
      </c>
      <c r="S312" s="106">
        <f t="shared" si="249"/>
        <v>2.2999999999999998</v>
      </c>
      <c r="T312" s="104">
        <f t="shared" si="300"/>
        <v>0.82499999999999929</v>
      </c>
      <c r="U312" s="104"/>
      <c r="V312" s="104">
        <f>('Renewable Diesel'!E321*'RD Feedstock Breakdown'!V$3*'Feedstock Conversion Rates'!B$6)/12-20+25</f>
        <v>49.250150000000012</v>
      </c>
      <c r="W312" s="104">
        <f>('Renewable Diesel'!E321*'RD Feedstock Breakdown'!W$3*'Feedstock Conversion Rates'!B$8)/12-6</f>
        <v>16.1796875</v>
      </c>
      <c r="X312" s="106">
        <f t="shared" si="277"/>
        <v>66.254837500000008</v>
      </c>
      <c r="Y312" s="104">
        <f t="shared" si="301"/>
        <v>98</v>
      </c>
      <c r="Z312" s="104">
        <f>('Renewable Diesel'!F321*'RD Feedstock Breakdown'!Z$3*'Feedstock Conversion Rates'!B$6)/12-142+15+10</f>
        <v>42.460000000000008</v>
      </c>
      <c r="AA312" s="104">
        <f>('Renewable Diesel'!F321*'RD Feedstock Breakdown'!AA$3*'Feedstock Conversion Rates'!B$7)/12+24</f>
        <v>128.26666666666665</v>
      </c>
      <c r="AB312" s="106">
        <f t="shared" si="320"/>
        <v>268.72666666666669</v>
      </c>
      <c r="AC312" s="104">
        <f>('Renewable Diesel'!G321*'RD Feedstock Breakdown'!AC$3*'Feedstock Conversion Rates'!B$5)/12</f>
        <v>11.796875</v>
      </c>
      <c r="AD312" s="104">
        <f>('Renewable Diesel'!G321*'RD Feedstock Breakdown'!AD$3*'Feedstock Conversion Rates'!B$4)/12</f>
        <v>5.859375</v>
      </c>
      <c r="AE312" s="104">
        <f>('Renewable Diesel'!G321*'RD Feedstock Breakdown'!AE$3*'Feedstock Conversion Rates'!B$6)/12</f>
        <v>7.3281250000000009</v>
      </c>
      <c r="AF312" s="106">
        <f t="shared" si="284"/>
        <v>24.984375</v>
      </c>
      <c r="AG312" s="104">
        <f t="shared" si="306"/>
        <v>148</v>
      </c>
      <c r="AH312" s="104"/>
      <c r="AI312" s="104">
        <f>('Renewable Diesel'!H321*'RD Feedstock Breakdown'!AI$3*'Feedstock Conversion Rates'!B$6)/12-130-20+51-49</f>
        <v>0.51666666666667993</v>
      </c>
      <c r="AJ312" s="106">
        <f t="shared" si="248"/>
        <v>148.51666666666668</v>
      </c>
      <c r="AK312" s="104">
        <f>('Renewable Diesel'!J321*'RD Feedstock Breakdown'!AK$3*'Feedstock Conversion Rates'!B$4)/12</f>
        <v>95.8125</v>
      </c>
      <c r="AL312" s="106">
        <f t="shared" si="252"/>
        <v>95.8125</v>
      </c>
      <c r="AM312" s="104">
        <f>('Renewable Diesel'!K321*'RD Feedstock Breakdown'!AM$3*'Feedstock Conversion Rates'!B$4)/12+5+15-10+10</f>
        <v>78.59375</v>
      </c>
      <c r="AN312" s="104">
        <f>('Renewable Diesel'!K321*'RD Feedstock Breakdown'!AN$3*'Feedstock Conversion Rates'!B$6)/12-5-15+10-10</f>
        <v>4.4270833333333321</v>
      </c>
      <c r="AO312" s="106">
        <f t="shared" si="270"/>
        <v>83.020833333333329</v>
      </c>
      <c r="AP312" s="104">
        <f>('Renewable Diesel'!L321*'RD Feedstock Breakdown'!AP$3*'Feedstock Conversion Rates'!B$4)/12+15-10+15</f>
        <v>78.59375</v>
      </c>
      <c r="AQ312" s="104">
        <f>('Renewable Diesel'!L321*'RD Feedstock Breakdown'!AQ$3*'Feedstock Conversion Rates'!B$6)/12-15+10-15</f>
        <v>4.4270833333333321</v>
      </c>
      <c r="AR312" s="106">
        <f t="shared" si="256"/>
        <v>83.020833333333329</v>
      </c>
      <c r="AS312" s="104">
        <f>('Renewable Diesel'!M321*'RD Feedstock Breakdown'!AS$3*'Feedstock Conversion Rates'!B$4)/12-25</f>
        <v>431.25</v>
      </c>
      <c r="AT312" s="104">
        <f>('Renewable Diesel'!M321*'RD Feedstock Breakdown'!AT$3*'Feedstock Conversion Rates'!B$5)/12+25</f>
        <v>25</v>
      </c>
      <c r="AU312" s="106">
        <f t="shared" si="290"/>
        <v>456.25</v>
      </c>
      <c r="AV312" s="104">
        <f>'Renewable Diesel'!N321*'RD Feedstock Breakdown'!$AV$3*'Feedstock Conversion Rates'!$B$4/12-15-10+25+25-22+25</f>
        <v>106.74999999999999</v>
      </c>
      <c r="AW312" s="104">
        <f>'Renewable Diesel'!N321*'RD Feedstock Breakdown'!$AW$3*'Feedstock Conversion Rates'!$B$7/12+15+10-25-25+22-25</f>
        <v>13.400000000000006</v>
      </c>
      <c r="AX312" s="106">
        <f t="shared" si="322"/>
        <v>120.14999999999999</v>
      </c>
      <c r="AY312" s="104">
        <f>('Renewable Diesel'!O321*'RD Feedstock Breakdown'!AY$3*'Feedstock Conversion Rates'!B$4)/12</f>
        <v>210.9375</v>
      </c>
      <c r="AZ312" s="104">
        <f>('Renewable Diesel'!O321*'RD Feedstock Breakdown'!AZ$3*'Feedstock Conversion Rates'!B$3)/12</f>
        <v>25.03125</v>
      </c>
      <c r="BA312" s="106">
        <f t="shared" si="302"/>
        <v>235.96875</v>
      </c>
      <c r="BB312" s="104">
        <f>('Renewable Diesel'!Q321*'RD Feedstock Breakdown'!BB$3*'Feedstock Conversion Rates'!B$4)/12</f>
        <v>11.156249999999998</v>
      </c>
      <c r="BC312" s="104">
        <f>('Renewable Diesel'!Q321*'RD Feedstock Breakdown'!BC$3*'Feedstock Conversion Rates'!B$3)/12</f>
        <v>1.4017500000000001</v>
      </c>
      <c r="BD312" s="104">
        <f>('Renewable Diesel'!Q321*'RD Feedstock Breakdown'!BD$3*'Feedstock Conversion Rates'!B$6)/12</f>
        <v>0.8207500000000002</v>
      </c>
      <c r="BE312" s="106">
        <f t="shared" si="279"/>
        <v>13.378749999999998</v>
      </c>
      <c r="BF312" s="104">
        <f>('Renewable Diesel'!R321*'RD Feedstock Breakdown'!BF$3*'Feedstock Conversion Rates'!B$4)/12</f>
        <v>62.5</v>
      </c>
      <c r="BG312" s="106">
        <f t="shared" si="262"/>
        <v>62.5</v>
      </c>
      <c r="BH312" s="104">
        <f>('Renewable Diesel'!T321*'RD Feedstock Breakdown'!BH$3*'Feedstock Conversion Rates'!B$7)/12</f>
        <v>27.599999999999998</v>
      </c>
      <c r="BI312" s="106">
        <f t="shared" si="243"/>
        <v>27.599999999999998</v>
      </c>
      <c r="BJ312" s="104">
        <f>('Renewable Diesel'!W321*'RD Feedstock Breakdown'!BJ$3*'Feedstock Conversion Rates'!B$4)/12</f>
        <v>7.5</v>
      </c>
      <c r="BK312" s="104">
        <f>('Renewable Diesel'!W321*'RD Feedstock Breakdown'!BK$3*'Feedstock Conversion Rates'!B$3)/12</f>
        <v>1.335</v>
      </c>
      <c r="BL312" s="104">
        <f>('Renewable Diesel'!W321*'RD Feedstock Breakdown'!BL$3*'Feedstock Conversion Rates'!B$6)/12</f>
        <v>3.1266666666666669</v>
      </c>
      <c r="BM312" s="104">
        <f>('Renewable Diesel'!W321*'RD Feedstock Breakdown'!BM$3*'Feedstock Conversion Rates'!B$7)/12</f>
        <v>1.5333333333333332</v>
      </c>
      <c r="BN312" s="106">
        <f t="shared" si="296"/>
        <v>13.495000000000001</v>
      </c>
      <c r="BO312" s="104">
        <f>('Renewable Diesel'!P321*'Feedstock Conversion Rates'!B$4)/12</f>
        <v>31.25</v>
      </c>
      <c r="BP312" s="106">
        <f t="shared" si="285"/>
        <v>31.25</v>
      </c>
      <c r="BQ312" s="104">
        <f>('Renewable Diesel'!$S321*'RD Feedstock Breakdown'!BQ$3*'Feedstock Conversion Rates'!B$4)/12+10+15-15</f>
        <v>38.125</v>
      </c>
      <c r="BR312" s="104">
        <f>('Renewable Diesel'!$S321*'RD Feedstock Breakdown'!BR$3*'Feedstock Conversion Rates'!B$7)/12-10-15+15</f>
        <v>1.5</v>
      </c>
      <c r="BS312" s="106">
        <f t="shared" si="307"/>
        <v>39.625</v>
      </c>
      <c r="BT312" s="106"/>
      <c r="BU312" s="104">
        <f>('Renewable Diesel'!Y321*'Feedstock Conversion Rates'!B$7)/12</f>
        <v>2.6833333333333331</v>
      </c>
      <c r="BV312" s="106">
        <f t="shared" si="281"/>
        <v>2.6833333333333331</v>
      </c>
      <c r="BW312" s="104">
        <f>('Renewable Diesel'!$Z321*'RD Feedstock Breakdown'!BW$3*'Feedstock Conversion Rates'!$B$4)/12</f>
        <v>71.875</v>
      </c>
      <c r="BX312" s="104">
        <f>('Renewable Diesel'!$Z321*'RD Feedstock Breakdown'!BX$3*'Feedstock Conversion Rates'!$B$5)/12</f>
        <v>7.2354166666666666</v>
      </c>
      <c r="BY312" s="104">
        <f>('Renewable Diesel'!$Z321*'RD Feedstock Breakdown'!BY$3*'Feedstock Conversion Rates'!$B$7)/12</f>
        <v>61.716666666666661</v>
      </c>
      <c r="BZ312" s="104">
        <f>('Renewable Diesel'!$Z321*'RD Feedstock Breakdown'!BZ$3*'Feedstock Conversion Rates'!$B$3)/12</f>
        <v>15.352499999999999</v>
      </c>
      <c r="CA312" s="106">
        <f t="shared" si="312"/>
        <v>156.17958333333331</v>
      </c>
      <c r="CB312" s="104">
        <f>('Renewable Diesel'!AA321*'Feedstock Conversion Rates'!B$4)/12</f>
        <v>191.25</v>
      </c>
      <c r="CC312" s="106">
        <f t="shared" si="298"/>
        <v>191.25</v>
      </c>
      <c r="CD312" s="104">
        <f>('Renewable Diesel'!$AB321*'RD Feedstock Breakdown'!CD$3*'Feedstock Conversion Rates'!$B$6)/12-15-5</f>
        <v>12.830000000000005</v>
      </c>
      <c r="CE312" s="104">
        <f>('Renewable Diesel'!$AB321*'RD Feedstock Breakdown'!CE$3*'Feedstock Conversion Rates'!$B$4)/12+15+5</f>
        <v>31.25</v>
      </c>
      <c r="CF312" s="106">
        <f t="shared" si="294"/>
        <v>44.080000000000005</v>
      </c>
      <c r="CG312" s="104">
        <f>('Renewable Diesel'!AD321*'Feedstock Conversion Rates'!B$4)/12</f>
        <v>112.5</v>
      </c>
      <c r="CH312" s="106">
        <f t="shared" si="278"/>
        <v>112.5</v>
      </c>
      <c r="CI312" s="104">
        <f>('Renewable Diesel'!$AE321*'RD Feedstock Breakdown'!CI$3*'Feedstock Conversion Rates'!$B$5)/12</f>
        <v>0.34604166666666664</v>
      </c>
      <c r="CJ312" s="104">
        <f>('Renewable Diesel'!$AE321*'RD Feedstock Breakdown'!CJ$3*'Feedstock Conversion Rates'!$B$4)/12</f>
        <v>0.34375</v>
      </c>
      <c r="CK312" s="106">
        <f t="shared" si="286"/>
        <v>0.68979166666666658</v>
      </c>
      <c r="CL312" s="104">
        <f>(((CL$3*'Renewable Diesel'!$AF321)*'Feedstock Conversion Rates'!$B$3)/12)</f>
        <v>91.78125</v>
      </c>
      <c r="CM312" s="104">
        <f>(((CM$3*'Renewable Diesel'!$AF321)*'Feedstock Conversion Rates'!$B$6)/12)</f>
        <v>53.739583333333336</v>
      </c>
      <c r="CN312" s="104">
        <f>(((CN$3*'Renewable Diesel'!$AF321)*'Feedstock Conversion Rates'!$B$4)/12)</f>
        <v>42.96875</v>
      </c>
      <c r="CO312" s="106">
        <f t="shared" si="280"/>
        <v>188.48958333333334</v>
      </c>
      <c r="CP312" s="104">
        <f>('Renewable Diesel'!$AG321*'RD Feedstock Breakdown'!CP$3*'Feedstock Conversion Rates'!$B$3)/12</f>
        <v>6.0075000000000003</v>
      </c>
      <c r="CQ312" s="104">
        <f>('Renewable Diesel'!$AG321*'RD Feedstock Breakdown'!CQ$3*'Feedstock Conversion Rates'!$B$6)/12</f>
        <v>3.5175000000000001</v>
      </c>
      <c r="CR312" s="104">
        <f>('Renewable Diesel'!$AG321*'RD Feedstock Breakdown'!CR$3*'Feedstock Conversion Rates'!$B$4)/12</f>
        <v>2.8125</v>
      </c>
      <c r="CS312" s="106">
        <f t="shared" si="317"/>
        <v>12.3375</v>
      </c>
      <c r="CT312" s="104">
        <f>('Renewable Diesel'!AI321*'Feedstock Conversion Rates'!$B$4*'RD Feedstock Breakdown'!$CT$3)/12</f>
        <v>29.375</v>
      </c>
      <c r="CU312" s="106">
        <f t="shared" si="282"/>
        <v>29.375</v>
      </c>
      <c r="CV312" s="104">
        <f>('Renewable Diesel'!AN321*'Feedstock Conversion Rates'!$B$3*'RD Feedstock Breakdown'!$CV$3)/12</f>
        <v>0.50062499999999999</v>
      </c>
      <c r="CW312" s="106">
        <f t="shared" si="255"/>
        <v>0.50062499999999999</v>
      </c>
      <c r="CX312" s="104">
        <f>('Renewable Diesel'!AO321*'RD Feedstock Breakdown'!$CX$3*'Feedstock Conversion Rates'!$B$3)/12</f>
        <v>6.3412499999999996</v>
      </c>
      <c r="CY312" s="104">
        <f>('Renewable Diesel'!AO321*'RD Feedstock Breakdown'!$CY$3*'Feedstock Conversion Rates'!$B$6)/12</f>
        <v>7.4258333333333342</v>
      </c>
      <c r="CZ312" s="106">
        <f t="shared" si="318"/>
        <v>13.767083333333334</v>
      </c>
      <c r="DA312" s="104">
        <f>('Renewable Diesel'!$AP321*'RD Feedstock Breakdown'!DA$3*'Feedstock Conversion Rates'!$B$3)/12</f>
        <v>6.3412499999999996</v>
      </c>
      <c r="DB312" s="104">
        <f>('Renewable Diesel'!$AP321*'RD Feedstock Breakdown'!DB$3*'Feedstock Conversion Rates'!$B$8)/12</f>
        <v>7.421875</v>
      </c>
      <c r="DC312" s="106">
        <f t="shared" si="260"/>
        <v>13.763124999999999</v>
      </c>
      <c r="DD312" s="104">
        <f>('Renewable Diesel'!AQ321*$DD$3*'Feedstock Conversion Rates'!$B$14)/12</f>
        <v>3.1041666666666665</v>
      </c>
      <c r="DE312" s="106">
        <f t="shared" si="261"/>
        <v>3.1041666666666665</v>
      </c>
      <c r="DF312" s="104">
        <f>('Renewable Diesel'!AR321*'Feedstock Conversion Rates'!$B$4*$DF$3)/12</f>
        <v>75</v>
      </c>
      <c r="DG312" s="106">
        <f t="shared" si="319"/>
        <v>75</v>
      </c>
      <c r="DH312" s="104">
        <f>('Renewable Diesel'!AS321*'Feedstock Conversion Rates'!$B$4*$DH$3)/12</f>
        <v>75</v>
      </c>
      <c r="DI312" s="106">
        <f t="shared" si="240"/>
        <v>75</v>
      </c>
      <c r="DJ312" s="104">
        <f>('Renewable Diesel'!AT321*'Feedstock Conversion Rates'!$B$4*0.25)/12</f>
        <v>8.59375</v>
      </c>
      <c r="DK312" s="104">
        <f>('Renewable Diesel'!$AT321*'RD Feedstock Breakdown'!DK$3*'Feedstock Conversion Rates'!$B$3)/12*0.5</f>
        <v>9.1781249999999996</v>
      </c>
      <c r="DL312" s="104">
        <f>('Renewable Diesel'!$AT321*'RD Feedstock Breakdown'!$DL$3*'Feedstock Conversion Rates'!$B$6)/12</f>
        <v>10.747916666666669</v>
      </c>
      <c r="DM312" s="104">
        <f>('Renewable Diesel'!$AT321*'RD Feedstock Breakdown'!$DM$3*'Feedstock Conversion Rates'!$B$8)/12</f>
        <v>10.7421875</v>
      </c>
      <c r="DN312" s="106">
        <f t="shared" si="297"/>
        <v>39.26197916666667</v>
      </c>
      <c r="DP312" s="104">
        <f t="shared" si="265"/>
        <v>103.22025000000001</v>
      </c>
      <c r="DQ312" s="104">
        <f t="shared" si="266"/>
        <v>359.11776750000001</v>
      </c>
      <c r="DR312" s="104">
        <f t="shared" si="271"/>
        <v>2016.953125</v>
      </c>
      <c r="DS312" s="104">
        <f t="shared" si="283"/>
        <v>253.90125</v>
      </c>
      <c r="DT312" s="104">
        <f t="shared" si="267"/>
        <v>208.03923333333341</v>
      </c>
      <c r="DU312" s="104">
        <f t="shared" si="268"/>
        <v>307.90610000000004</v>
      </c>
      <c r="DV312" s="104">
        <f t="shared" si="272"/>
        <v>78.75</v>
      </c>
      <c r="DW312" s="104">
        <f t="shared" si="269"/>
        <v>3</v>
      </c>
      <c r="DX312" s="106">
        <f t="shared" si="273"/>
        <v>3330.8877258333337</v>
      </c>
      <c r="DY312" s="109">
        <f t="shared" si="257"/>
        <v>-5.631051180898794E-13</v>
      </c>
      <c r="EA312" s="110">
        <f t="shared" si="313"/>
        <v>3.0988810940535676E-2</v>
      </c>
      <c r="EB312" s="110">
        <f t="shared" si="313"/>
        <v>0.1078144317848944</v>
      </c>
      <c r="EC312" s="110">
        <f t="shared" si="313"/>
        <v>0.60553020426270632</v>
      </c>
      <c r="ED312" s="110">
        <f t="shared" si="308"/>
        <v>7.6226300883941694E-2</v>
      </c>
      <c r="EE312" s="110">
        <f t="shared" si="308"/>
        <v>6.2457594028116153E-2</v>
      </c>
      <c r="EF312" s="110">
        <f t="shared" si="308"/>
        <v>9.243965133137802E-2</v>
      </c>
      <c r="EG312" s="110">
        <f t="shared" si="308"/>
        <v>2.3642345969586243E-2</v>
      </c>
      <c r="EH312" s="111">
        <f t="shared" si="274"/>
        <v>9.006607988413807E-4</v>
      </c>
      <c r="EI312" s="110">
        <f t="shared" si="321"/>
        <v>0.99909933920115845</v>
      </c>
      <c r="EK312" s="132">
        <f>(EA312*'Renewable Diesel'!BF321*'Feedstock Conversion Rates'!B$2)+FB312</f>
        <v>391.10253748844093</v>
      </c>
      <c r="EL312" s="132">
        <f>(EB312*'Renewable Diesel'!BF321*'Feedstock Conversion Rates'!B$3)+FC312</f>
        <v>1282.2603404601393</v>
      </c>
      <c r="EM312" s="132">
        <f>(EC312*'Renewable Diesel'!BF321*'Feedstock Conversion Rates'!B$4)+FD312</f>
        <v>6743.166292034356</v>
      </c>
      <c r="EN312" s="132">
        <f>(ED312*'Renewable Diesel'!BF321*'Feedstock Conversion Rates'!B$5)+FE312</f>
        <v>854.51283827369912</v>
      </c>
      <c r="EO312" s="132">
        <f>(EE312*'Renewable Diesel'!BF321*'Feedstock Conversion Rates'!B$6)+FF312</f>
        <v>869.87106396251102</v>
      </c>
      <c r="EP312" s="132">
        <f>(EF312*'Renewable Diesel'!BF321*'Feedstock Conversion Rates'!B$7)+FG312</f>
        <v>1262.7370450903722</v>
      </c>
      <c r="EQ312" s="132">
        <f>(EG312*'Renewable Diesel'!BF321*'Feedstock Conversion Rates'!B$8)+FH312</f>
        <v>329.10057434881242</v>
      </c>
      <c r="ER312" s="132">
        <f>(EH312*'Renewable Diesel'!BF321*'Feedstock Conversion Rates'!B$9)+FI312</f>
        <v>12.370002540602981</v>
      </c>
      <c r="ES312" s="132">
        <f t="shared" si="275"/>
        <v>11745.120694198935</v>
      </c>
      <c r="ET312" s="133">
        <f>ES312/'Renewable Diesel'!BF321</f>
        <v>14.195541070345868</v>
      </c>
      <c r="EW312" s="73">
        <f t="shared" si="309"/>
        <v>10961.662106669286</v>
      </c>
      <c r="EX312" s="73">
        <f t="shared" si="310"/>
        <v>5983.7816589504355</v>
      </c>
      <c r="EY312" s="92">
        <f t="shared" si="258"/>
        <v>0.93329497346786661</v>
      </c>
      <c r="EZ312" s="92">
        <f t="shared" si="258"/>
        <v>0.50946957589851771</v>
      </c>
      <c r="FB312" s="102">
        <f>IF('Renewable Diesel'!$BG321&lt;1,0,(((('Renewable Diesel'!$BG321-1)*'Renewable Diesel'!$BF321)*'RD Feedstock Breakdown'!EA312)*'Feedstock Conversion Rates'!$B$2))</f>
        <v>173.16633876711904</v>
      </c>
      <c r="FC312" s="102">
        <f>IF('Renewable Diesel'!$BG321&lt;1,0,(((('Renewable Diesel'!$BG321-1)*'Renewable Diesel'!$BF321)*'RD Feedstock Breakdown'!EB312)*'Feedstock Conversion Rates'!$B$3))</f>
        <v>567.73942181422035</v>
      </c>
      <c r="FD312" s="102">
        <f>IF('Renewable Diesel'!$BG321&lt;1,0,(((('Renewable Diesel'!$BG321-1)*'Renewable Diesel'!$BF321)*'RD Feedstock Breakdown'!EC312)*'Feedstock Conversion Rates'!$B$4))</f>
        <v>2985.6349845951854</v>
      </c>
      <c r="FE312" s="102">
        <f>IF('Renewable Diesel'!$BG321&lt;1,0,(((('Renewable Diesel'!$BG321-1)*'Renewable Diesel'!$BF321)*'RD Feedstock Breakdown'!ED312)*'Feedstock Conversion Rates'!$B$5))</f>
        <v>378.34799176604457</v>
      </c>
      <c r="FF312" s="102">
        <f>IF('Renewable Diesel'!$BG321&lt;1,0,(((('Renewable Diesel'!$BG321-1)*'Renewable Diesel'!$BF321)*'RD Feedstock Breakdown'!EE312)*'Feedstock Conversion Rates'!$B$6))</f>
        <v>385.14806964221856</v>
      </c>
      <c r="FG312" s="102">
        <f>IF('Renewable Diesel'!$BG321&lt;1,0,(((('Renewable Diesel'!$BG321-1)*'Renewable Diesel'!$BF321)*'RD Feedstock Breakdown'!EF312)*'Feedstock Conversion Rates'!$B$7))</f>
        <v>559.09519873767852</v>
      </c>
      <c r="FH312" s="102">
        <f>IF('Renewable Diesel'!$BG321&lt;1,0,(((('Renewable Diesel'!$BG321-1)*'Renewable Diesel'!$BF321)*'RD Feedstock Breakdown'!EG312)*'Feedstock Conversion Rates'!$B$8))</f>
        <v>145.71406749777023</v>
      </c>
      <c r="FI312" s="102">
        <f>IF('Renewable Diesel'!$BG321&lt;1,0,(((('Renewable Diesel'!$BG321-1)*'Renewable Diesel'!$BF321)*'RD Feedstock Breakdown'!EH312)*'Feedstock Conversion Rates'!$B$9))</f>
        <v>5.4769986005511102</v>
      </c>
      <c r="FJ312" s="102">
        <f t="shared" si="311"/>
        <v>5200.3230714207875</v>
      </c>
      <c r="GD312" s="91">
        <f>'Renewable Diesel'!BB321*0.32</f>
        <v>0</v>
      </c>
      <c r="GE312" s="91">
        <f>'Renewable Diesel'!BC321</f>
        <v>471.00051314091451</v>
      </c>
      <c r="GF312" s="91">
        <f>'Renewable Diesel'!BD321</f>
        <v>0</v>
      </c>
      <c r="GG312" s="91">
        <f t="shared" si="295"/>
        <v>471.00051314091451</v>
      </c>
      <c r="GH312" s="124">
        <v>1</v>
      </c>
      <c r="GI312" s="102">
        <f>$GG312*EA312*'Feedstock Conversion Rates'!$B$2</f>
        <v>124.06383976426226</v>
      </c>
      <c r="GJ312" s="102">
        <f>$GG312*EB312*'Feedstock Conversion Rates'!$B$3</f>
        <v>406.7530280843979</v>
      </c>
      <c r="GK312" s="102">
        <f>$GG312*EC312*'Feedstock Conversion Rates'!$B$4</f>
        <v>2139.0377769754309</v>
      </c>
      <c r="GL312" s="102">
        <f>$GG312*ED312*'Feedstock Conversion Rates'!$B$5</f>
        <v>271.06483257533563</v>
      </c>
      <c r="GM312" s="102">
        <f>$GG312*EE312*'Feedstock Conversion Rates'!$B$6</f>
        <v>275.93670188908675</v>
      </c>
      <c r="GN312" s="102">
        <f>$GG312*EF312*'Feedstock Conversion Rates'!$B$7</f>
        <v>400.55993354714565</v>
      </c>
      <c r="GO312" s="102">
        <f>$GG312*EG312*'Feedstock Conversion Rates'!$B$8</f>
        <v>104.39584765809518</v>
      </c>
      <c r="GP312" s="102">
        <f>$GG312*EH312*'Feedstock Conversion Rates'!B$9</f>
        <v>3.9239582103868158</v>
      </c>
      <c r="GQ312" s="102">
        <f t="shared" si="276"/>
        <v>3725.7359187041411</v>
      </c>
      <c r="GR312" s="85">
        <f t="shared" si="293"/>
        <v>7.9102587253221754</v>
      </c>
      <c r="GT312" s="103">
        <f t="shared" si="254"/>
        <v>3.3299150146801938E-2</v>
      </c>
      <c r="GU312" s="103">
        <f t="shared" si="254"/>
        <v>0.10917387516447269</v>
      </c>
      <c r="GV312" s="103">
        <f t="shared" si="254"/>
        <v>0.57412490408590633</v>
      </c>
      <c r="GW312" s="103">
        <f t="shared" si="254"/>
        <v>7.2754708999776735E-2</v>
      </c>
      <c r="GX312" s="103">
        <f t="shared" si="253"/>
        <v>7.4062335042001867E-2</v>
      </c>
      <c r="GY312" s="103">
        <f t="shared" si="253"/>
        <v>0.10751162784679209</v>
      </c>
      <c r="GZ312" s="103">
        <f t="shared" si="253"/>
        <v>2.8020195187211602E-2</v>
      </c>
      <c r="HA312" s="103">
        <f t="shared" si="251"/>
        <v>1.0532035270367792E-3</v>
      </c>
    </row>
    <row r="313" spans="1:209" x14ac:dyDescent="0.25">
      <c r="A313" s="96">
        <v>49949</v>
      </c>
      <c r="B313" s="104">
        <f>115.75+145+100+235+31.5-21-287-20-28-32-70-39-47+40+20-3-10+17.5-135-1+5</f>
        <v>16.75</v>
      </c>
      <c r="C313" s="104">
        <f t="shared" si="314"/>
        <v>49</v>
      </c>
      <c r="D313" s="104">
        <f>1+1</f>
        <v>2</v>
      </c>
      <c r="E313" s="104">
        <f>('Renewable Diesel'!B322*E$3*'Feedstock Conversion Rates'!$B$2)/12+26+13-100+27.5+39</f>
        <v>95.43</v>
      </c>
      <c r="F313" s="104">
        <f>('Renewable Diesel'!B322*'RD Feedstock Breakdown'!F$3*'Feedstock Conversion Rates'!B$8)/12+77+23-10-12-115.75+24+8</f>
        <v>48.15625</v>
      </c>
      <c r="G313" s="104">
        <f>('Renewable Diesel'!B322*'RD Feedstock Breakdown'!G$3*'Feedstock Conversion Rates'!B$7)/12+116.75-39-57.5-145-31.5+32+70-40+10-17.5-5</f>
        <v>69.407000000000039</v>
      </c>
      <c r="H313" s="104">
        <f>('Renewable Diesel'!B322*'RD Feedstock Breakdown'!H$3*'Feedstock Conversion Rates'!B$3)/12+67+10+12+3-235+20+47-20+135</f>
        <v>215.40022499999998</v>
      </c>
      <c r="I313" s="106">
        <f t="shared" si="291"/>
        <v>496.14347500000002</v>
      </c>
      <c r="J313" s="104">
        <f>54-15-35+75</f>
        <v>79</v>
      </c>
      <c r="K313" s="104"/>
      <c r="L313" s="104">
        <v>1</v>
      </c>
      <c r="M313" s="104">
        <f>('Renewable Diesel'!C322*'RD Feedstock Breakdown'!M$3*'Feedstock Conversion Rates'!B$2)/12</f>
        <v>7.7902500000000003</v>
      </c>
      <c r="N313" s="104">
        <f>('Renewable Diesel'!C322*'RD Feedstock Breakdown'!N$3*'Feedstock Conversion Rates'!B$8)/12</f>
        <v>3.671875</v>
      </c>
      <c r="O313" s="104">
        <f>('Renewable Diesel'!C322*'RD Feedstock Breakdown'!O$3*'Feedstock Conversion Rates'!B$7)/12</f>
        <v>11.9991</v>
      </c>
      <c r="P313" s="104">
        <f>('Renewable Diesel'!C322*'RD Feedstock Breakdown'!P$3*'Feedstock Conversion Rates'!B$3)/12</f>
        <v>10.4470425</v>
      </c>
      <c r="Q313" s="106">
        <f t="shared" si="299"/>
        <v>113.90826749999999</v>
      </c>
      <c r="R313" s="104">
        <f>('Renewable Diesel'!D322*'RD Feedstock Breakdown'!R$3*'Feedstock Conversion Rates'!B$7)/12</f>
        <v>2.2999999999999998</v>
      </c>
      <c r="S313" s="106">
        <f t="shared" si="249"/>
        <v>2.2999999999999998</v>
      </c>
      <c r="T313" s="104">
        <f t="shared" si="300"/>
        <v>0.82499999999999929</v>
      </c>
      <c r="U313" s="104"/>
      <c r="V313" s="104">
        <f>('Renewable Diesel'!E322*'RD Feedstock Breakdown'!V$3*'Feedstock Conversion Rates'!B$6)/12-20+25</f>
        <v>49.250150000000012</v>
      </c>
      <c r="W313" s="104">
        <f>('Renewable Diesel'!E322*'RD Feedstock Breakdown'!W$3*'Feedstock Conversion Rates'!B$8)/12-6</f>
        <v>16.1796875</v>
      </c>
      <c r="X313" s="106">
        <f t="shared" si="277"/>
        <v>66.254837500000008</v>
      </c>
      <c r="Y313" s="104">
        <f t="shared" si="301"/>
        <v>98</v>
      </c>
      <c r="Z313" s="104">
        <f>('Renewable Diesel'!F322*'RD Feedstock Breakdown'!Z$3*'Feedstock Conversion Rates'!B$6)/12-142+15+10</f>
        <v>42.460000000000008</v>
      </c>
      <c r="AA313" s="104">
        <f>('Renewable Diesel'!F322*'RD Feedstock Breakdown'!AA$3*'Feedstock Conversion Rates'!B$7)/12+24</f>
        <v>128.26666666666665</v>
      </c>
      <c r="AB313" s="106">
        <f t="shared" si="320"/>
        <v>268.72666666666669</v>
      </c>
      <c r="AC313" s="104">
        <f>('Renewable Diesel'!G322*'RD Feedstock Breakdown'!AC$3*'Feedstock Conversion Rates'!B$5)/12</f>
        <v>11.796875</v>
      </c>
      <c r="AD313" s="104">
        <f>('Renewable Diesel'!G322*'RD Feedstock Breakdown'!AD$3*'Feedstock Conversion Rates'!B$4)/12</f>
        <v>5.859375</v>
      </c>
      <c r="AE313" s="104">
        <f>('Renewable Diesel'!G322*'RD Feedstock Breakdown'!AE$3*'Feedstock Conversion Rates'!B$6)/12</f>
        <v>7.3281250000000009</v>
      </c>
      <c r="AF313" s="106">
        <f t="shared" si="284"/>
        <v>24.984375</v>
      </c>
      <c r="AG313" s="104">
        <f t="shared" si="306"/>
        <v>148</v>
      </c>
      <c r="AH313" s="104"/>
      <c r="AI313" s="104">
        <f>('Renewable Diesel'!H322*'RD Feedstock Breakdown'!AI$3*'Feedstock Conversion Rates'!B$6)/12-130-20+51-49</f>
        <v>0.51666666666667993</v>
      </c>
      <c r="AJ313" s="106">
        <f t="shared" si="248"/>
        <v>148.51666666666668</v>
      </c>
      <c r="AK313" s="104">
        <f>('Renewable Diesel'!J322*'RD Feedstock Breakdown'!AK$3*'Feedstock Conversion Rates'!B$4)/12</f>
        <v>95.8125</v>
      </c>
      <c r="AL313" s="106">
        <f t="shared" si="252"/>
        <v>95.8125</v>
      </c>
      <c r="AM313" s="104">
        <f>('Renewable Diesel'!K322*'RD Feedstock Breakdown'!AM$3*'Feedstock Conversion Rates'!B$4)/12+5+15-10+10</f>
        <v>78.59375</v>
      </c>
      <c r="AN313" s="104">
        <f>('Renewable Diesel'!K322*'RD Feedstock Breakdown'!AN$3*'Feedstock Conversion Rates'!B$6)/12-5-15+10-10</f>
        <v>4.4270833333333321</v>
      </c>
      <c r="AO313" s="106">
        <f t="shared" si="270"/>
        <v>83.020833333333329</v>
      </c>
      <c r="AP313" s="104">
        <f>('Renewable Diesel'!L322*'RD Feedstock Breakdown'!AP$3*'Feedstock Conversion Rates'!B$4)/12+15-10+15</f>
        <v>78.59375</v>
      </c>
      <c r="AQ313" s="104">
        <f>('Renewable Diesel'!L322*'RD Feedstock Breakdown'!AQ$3*'Feedstock Conversion Rates'!B$6)/12-15+10-15</f>
        <v>4.4270833333333321</v>
      </c>
      <c r="AR313" s="106">
        <f t="shared" si="256"/>
        <v>83.020833333333329</v>
      </c>
      <c r="AS313" s="104">
        <f>('Renewable Diesel'!M322*'RD Feedstock Breakdown'!AS$3*'Feedstock Conversion Rates'!B$4)/12-25</f>
        <v>431.25</v>
      </c>
      <c r="AT313" s="104">
        <f>('Renewable Diesel'!M322*'RD Feedstock Breakdown'!AT$3*'Feedstock Conversion Rates'!B$5)/12+25</f>
        <v>25</v>
      </c>
      <c r="AU313" s="106">
        <f t="shared" si="290"/>
        <v>456.25</v>
      </c>
      <c r="AV313" s="104">
        <f>'Renewable Diesel'!N322*'RD Feedstock Breakdown'!$AV$3*'Feedstock Conversion Rates'!$B$4/12-15-10+25+25-22+25</f>
        <v>106.74999999999999</v>
      </c>
      <c r="AW313" s="104">
        <f>'Renewable Diesel'!N322*'RD Feedstock Breakdown'!$AW$3*'Feedstock Conversion Rates'!$B$7/12+15+10-25-25+22-25</f>
        <v>13.400000000000006</v>
      </c>
      <c r="AX313" s="106">
        <f t="shared" si="322"/>
        <v>120.14999999999999</v>
      </c>
      <c r="AY313" s="104">
        <f>('Renewable Diesel'!O322*'RD Feedstock Breakdown'!AY$3*'Feedstock Conversion Rates'!B$4)/12</f>
        <v>210.9375</v>
      </c>
      <c r="AZ313" s="104">
        <f>('Renewable Diesel'!O322*'RD Feedstock Breakdown'!AZ$3*'Feedstock Conversion Rates'!B$3)/12</f>
        <v>25.03125</v>
      </c>
      <c r="BA313" s="106">
        <f t="shared" si="302"/>
        <v>235.96875</v>
      </c>
      <c r="BB313" s="104">
        <f>('Renewable Diesel'!Q322*'RD Feedstock Breakdown'!BB$3*'Feedstock Conversion Rates'!B$4)/12</f>
        <v>11.156249999999998</v>
      </c>
      <c r="BC313" s="104">
        <f>('Renewable Diesel'!Q322*'RD Feedstock Breakdown'!BC$3*'Feedstock Conversion Rates'!B$3)/12</f>
        <v>1.4017500000000001</v>
      </c>
      <c r="BD313" s="104">
        <f>('Renewable Diesel'!Q322*'RD Feedstock Breakdown'!BD$3*'Feedstock Conversion Rates'!B$6)/12</f>
        <v>0.8207500000000002</v>
      </c>
      <c r="BE313" s="106">
        <f t="shared" si="279"/>
        <v>13.378749999999998</v>
      </c>
      <c r="BF313" s="104">
        <f>('Renewable Diesel'!R322*'RD Feedstock Breakdown'!BF$3*'Feedstock Conversion Rates'!B$4)/12</f>
        <v>62.5</v>
      </c>
      <c r="BG313" s="106">
        <f t="shared" si="262"/>
        <v>62.5</v>
      </c>
      <c r="BH313" s="104">
        <f>('Renewable Diesel'!T322*'RD Feedstock Breakdown'!BH$3*'Feedstock Conversion Rates'!B$7)/12</f>
        <v>27.599999999999998</v>
      </c>
      <c r="BI313" s="106">
        <f t="shared" si="243"/>
        <v>27.599999999999998</v>
      </c>
      <c r="BJ313" s="104">
        <f>('Renewable Diesel'!W322*'RD Feedstock Breakdown'!BJ$3*'Feedstock Conversion Rates'!B$4)/12</f>
        <v>7.5</v>
      </c>
      <c r="BK313" s="104">
        <f>('Renewable Diesel'!W322*'RD Feedstock Breakdown'!BK$3*'Feedstock Conversion Rates'!B$3)/12</f>
        <v>1.335</v>
      </c>
      <c r="BL313" s="104">
        <f>('Renewable Diesel'!W322*'RD Feedstock Breakdown'!BL$3*'Feedstock Conversion Rates'!B$6)/12</f>
        <v>3.1266666666666669</v>
      </c>
      <c r="BM313" s="104">
        <f>('Renewable Diesel'!W322*'RD Feedstock Breakdown'!BM$3*'Feedstock Conversion Rates'!B$7)/12</f>
        <v>1.5333333333333332</v>
      </c>
      <c r="BN313" s="106">
        <f t="shared" si="296"/>
        <v>13.495000000000001</v>
      </c>
      <c r="BO313" s="104">
        <f>('Renewable Diesel'!P322*'Feedstock Conversion Rates'!B$4)/12</f>
        <v>31.25</v>
      </c>
      <c r="BP313" s="106">
        <f t="shared" si="285"/>
        <v>31.25</v>
      </c>
      <c r="BQ313" s="104">
        <f>('Renewable Diesel'!$S322*'RD Feedstock Breakdown'!BQ$3*'Feedstock Conversion Rates'!B$4)/12+10+15-15</f>
        <v>38.125</v>
      </c>
      <c r="BR313" s="104">
        <f>('Renewable Diesel'!$S322*'RD Feedstock Breakdown'!BR$3*'Feedstock Conversion Rates'!B$7)/12-10-15+15</f>
        <v>1.5</v>
      </c>
      <c r="BS313" s="106">
        <f t="shared" si="307"/>
        <v>39.625</v>
      </c>
      <c r="BT313" s="106"/>
      <c r="BU313" s="104">
        <f>('Renewable Diesel'!Y322*'Feedstock Conversion Rates'!B$7)/12</f>
        <v>2.6833333333333331</v>
      </c>
      <c r="BV313" s="106">
        <f t="shared" si="281"/>
        <v>2.6833333333333331</v>
      </c>
      <c r="BW313" s="104">
        <f>('Renewable Diesel'!$Z322*'RD Feedstock Breakdown'!BW$3*'Feedstock Conversion Rates'!$B$4)/12</f>
        <v>71.875</v>
      </c>
      <c r="BX313" s="104">
        <f>('Renewable Diesel'!$Z322*'RD Feedstock Breakdown'!BX$3*'Feedstock Conversion Rates'!$B$5)/12</f>
        <v>7.2354166666666666</v>
      </c>
      <c r="BY313" s="104">
        <f>('Renewable Diesel'!$Z322*'RD Feedstock Breakdown'!BY$3*'Feedstock Conversion Rates'!$B$7)/12</f>
        <v>61.716666666666661</v>
      </c>
      <c r="BZ313" s="104">
        <f>('Renewable Diesel'!$Z322*'RD Feedstock Breakdown'!BZ$3*'Feedstock Conversion Rates'!$B$3)/12</f>
        <v>15.352499999999999</v>
      </c>
      <c r="CA313" s="106">
        <f t="shared" si="312"/>
        <v>156.17958333333331</v>
      </c>
      <c r="CB313" s="104">
        <f>('Renewable Diesel'!AA322*'Feedstock Conversion Rates'!B$4)/12</f>
        <v>191.25</v>
      </c>
      <c r="CC313" s="106">
        <f t="shared" si="298"/>
        <v>191.25</v>
      </c>
      <c r="CD313" s="104">
        <f>('Renewable Diesel'!$AB322*'RD Feedstock Breakdown'!CD$3*'Feedstock Conversion Rates'!$B$6)/12-15-5</f>
        <v>12.830000000000005</v>
      </c>
      <c r="CE313" s="104">
        <f>('Renewable Diesel'!$AB322*'RD Feedstock Breakdown'!CE$3*'Feedstock Conversion Rates'!$B$4)/12+15+5</f>
        <v>31.25</v>
      </c>
      <c r="CF313" s="106">
        <f t="shared" si="294"/>
        <v>44.080000000000005</v>
      </c>
      <c r="CG313" s="104">
        <f>('Renewable Diesel'!AD322*'Feedstock Conversion Rates'!B$4)/12</f>
        <v>112.5</v>
      </c>
      <c r="CH313" s="106">
        <f t="shared" si="278"/>
        <v>112.5</v>
      </c>
      <c r="CI313" s="104">
        <f>('Renewable Diesel'!$AE322*'RD Feedstock Breakdown'!CI$3*'Feedstock Conversion Rates'!$B$5)/12</f>
        <v>0.34604166666666664</v>
      </c>
      <c r="CJ313" s="104">
        <f>('Renewable Diesel'!$AE322*'RD Feedstock Breakdown'!CJ$3*'Feedstock Conversion Rates'!$B$4)/12</f>
        <v>0.34375</v>
      </c>
      <c r="CK313" s="106">
        <f t="shared" si="286"/>
        <v>0.68979166666666658</v>
      </c>
      <c r="CL313" s="104">
        <f>(((CL$3*'Renewable Diesel'!$AF322)*'Feedstock Conversion Rates'!$B$3)/12)</f>
        <v>91.78125</v>
      </c>
      <c r="CM313" s="104">
        <f>(((CM$3*'Renewable Diesel'!$AF322)*'Feedstock Conversion Rates'!$B$6)/12)</f>
        <v>53.739583333333336</v>
      </c>
      <c r="CN313" s="104">
        <f>(((CN$3*'Renewable Diesel'!$AF322)*'Feedstock Conversion Rates'!$B$4)/12)</f>
        <v>42.96875</v>
      </c>
      <c r="CO313" s="106">
        <f t="shared" si="280"/>
        <v>188.48958333333334</v>
      </c>
      <c r="CP313" s="104">
        <f>('Renewable Diesel'!$AG322*'RD Feedstock Breakdown'!CP$3*'Feedstock Conversion Rates'!$B$3)/12</f>
        <v>6.0075000000000003</v>
      </c>
      <c r="CQ313" s="104">
        <f>('Renewable Diesel'!$AG322*'RD Feedstock Breakdown'!CQ$3*'Feedstock Conversion Rates'!$B$6)/12</f>
        <v>3.5175000000000001</v>
      </c>
      <c r="CR313" s="104">
        <f>('Renewable Diesel'!$AG322*'RD Feedstock Breakdown'!CR$3*'Feedstock Conversion Rates'!$B$4)/12</f>
        <v>2.8125</v>
      </c>
      <c r="CS313" s="106">
        <f t="shared" si="317"/>
        <v>12.3375</v>
      </c>
      <c r="CT313" s="104">
        <f>('Renewable Diesel'!AI322*'Feedstock Conversion Rates'!$B$4*'RD Feedstock Breakdown'!$CT$3)/12</f>
        <v>29.375</v>
      </c>
      <c r="CU313" s="106">
        <f t="shared" si="282"/>
        <v>29.375</v>
      </c>
      <c r="CV313" s="104">
        <f>('Renewable Diesel'!AN322*'Feedstock Conversion Rates'!$B$3*'RD Feedstock Breakdown'!$CV$3)/12</f>
        <v>0.50062499999999999</v>
      </c>
      <c r="CW313" s="106">
        <f t="shared" si="255"/>
        <v>0.50062499999999999</v>
      </c>
      <c r="CX313" s="104">
        <f>('Renewable Diesel'!AO322*'RD Feedstock Breakdown'!$CX$3*'Feedstock Conversion Rates'!$B$3)/12</f>
        <v>6.3412499999999996</v>
      </c>
      <c r="CY313" s="104">
        <f>('Renewable Diesel'!AO322*'RD Feedstock Breakdown'!$CY$3*'Feedstock Conversion Rates'!$B$6)/12</f>
        <v>7.4258333333333342</v>
      </c>
      <c r="CZ313" s="106">
        <f t="shared" si="318"/>
        <v>13.767083333333334</v>
      </c>
      <c r="DA313" s="104">
        <f>('Renewable Diesel'!$AP322*'RD Feedstock Breakdown'!DA$3*'Feedstock Conversion Rates'!$B$3)/12</f>
        <v>6.3412499999999996</v>
      </c>
      <c r="DB313" s="104">
        <f>('Renewable Diesel'!$AP322*'RD Feedstock Breakdown'!DB$3*'Feedstock Conversion Rates'!$B$8)/12</f>
        <v>7.421875</v>
      </c>
      <c r="DC313" s="106">
        <f t="shared" si="260"/>
        <v>13.763124999999999</v>
      </c>
      <c r="DD313" s="104">
        <f>('Renewable Diesel'!AQ322*$DD$3*'Feedstock Conversion Rates'!$B$14)/12</f>
        <v>3.1041666666666665</v>
      </c>
      <c r="DE313" s="106">
        <f t="shared" si="261"/>
        <v>3.1041666666666665</v>
      </c>
      <c r="DF313" s="104">
        <f>('Renewable Diesel'!AR322*'Feedstock Conversion Rates'!$B$4*$DF$3)/12</f>
        <v>75</v>
      </c>
      <c r="DG313" s="106">
        <f t="shared" si="319"/>
        <v>75</v>
      </c>
      <c r="DH313" s="104">
        <f>('Renewable Diesel'!AS322*'Feedstock Conversion Rates'!$B$4*$DH$3)/12</f>
        <v>75</v>
      </c>
      <c r="DI313" s="106">
        <f t="shared" ref="DI313:DI376" si="323">DH313</f>
        <v>75</v>
      </c>
      <c r="DJ313" s="104">
        <f>('Renewable Diesel'!AT322*'Feedstock Conversion Rates'!$B$4*0.25)/12</f>
        <v>8.59375</v>
      </c>
      <c r="DK313" s="104">
        <f>('Renewable Diesel'!$AT322*'RD Feedstock Breakdown'!DK$3*'Feedstock Conversion Rates'!$B$3)/12*0.5</f>
        <v>9.1781249999999996</v>
      </c>
      <c r="DL313" s="104">
        <f>('Renewable Diesel'!$AT322*'RD Feedstock Breakdown'!$DL$3*'Feedstock Conversion Rates'!$B$6)/12</f>
        <v>10.747916666666669</v>
      </c>
      <c r="DM313" s="104">
        <f>('Renewable Diesel'!$AT322*'RD Feedstock Breakdown'!$DM$3*'Feedstock Conversion Rates'!$B$8)/12</f>
        <v>10.7421875</v>
      </c>
      <c r="DN313" s="106">
        <f t="shared" si="297"/>
        <v>39.26197916666667</v>
      </c>
      <c r="DP313" s="104">
        <f t="shared" si="265"/>
        <v>103.22025000000001</v>
      </c>
      <c r="DQ313" s="104">
        <f t="shared" si="266"/>
        <v>389.11776750000001</v>
      </c>
      <c r="DR313" s="104">
        <f t="shared" si="271"/>
        <v>1984.453125</v>
      </c>
      <c r="DS313" s="104">
        <f t="shared" si="283"/>
        <v>253.90125</v>
      </c>
      <c r="DT313" s="104">
        <f t="shared" si="267"/>
        <v>208.03923333333341</v>
      </c>
      <c r="DU313" s="104">
        <f t="shared" si="268"/>
        <v>320.40610000000004</v>
      </c>
      <c r="DV313" s="104">
        <f t="shared" si="272"/>
        <v>78.75</v>
      </c>
      <c r="DW313" s="104">
        <f t="shared" si="269"/>
        <v>3</v>
      </c>
      <c r="DX313" s="106">
        <f t="shared" si="273"/>
        <v>3340.8877258333337</v>
      </c>
      <c r="DY313" s="109">
        <f t="shared" si="257"/>
        <v>-5.631051180898794E-13</v>
      </c>
      <c r="EA313" s="110">
        <f t="shared" si="313"/>
        <v>3.0896054722776799E-2</v>
      </c>
      <c r="EB313" s="110">
        <f t="shared" si="313"/>
        <v>0.11647136911879925</v>
      </c>
      <c r="EC313" s="110">
        <f t="shared" si="313"/>
        <v>0.59398976794558644</v>
      </c>
      <c r="ED313" s="110">
        <f t="shared" si="308"/>
        <v>7.5998139068462173E-2</v>
      </c>
      <c r="EE313" s="110">
        <f t="shared" si="308"/>
        <v>6.2270644932086484E-2</v>
      </c>
      <c r="EF313" s="110">
        <f t="shared" si="308"/>
        <v>9.5904479974728757E-2</v>
      </c>
      <c r="EG313" s="110">
        <f t="shared" si="308"/>
        <v>2.3571579311411014E-2</v>
      </c>
      <c r="EH313" s="111">
        <f t="shared" si="274"/>
        <v>8.9796492614899106E-4</v>
      </c>
      <c r="EI313" s="110">
        <f t="shared" si="321"/>
        <v>0.99910203507385087</v>
      </c>
      <c r="EK313" s="132">
        <f>(EA313*'Renewable Diesel'!BF322*'Feedstock Conversion Rates'!B$2)+FB313</f>
        <v>426.74616274777532</v>
      </c>
      <c r="EL313" s="132">
        <f>(EB313*'Renewable Diesel'!BF322*'Feedstock Conversion Rates'!B$3)+FC313</f>
        <v>1516.0005889658551</v>
      </c>
      <c r="EM313" s="132">
        <f>(EC313*'Renewable Diesel'!BF322*'Feedstock Conversion Rates'!B$4)+FD313</f>
        <v>7239.1554174910198</v>
      </c>
      <c r="EN313" s="132">
        <f>(ED313*'Renewable Diesel'!BF322*'Feedstock Conversion Rates'!B$5)+FE313</f>
        <v>932.38994841036799</v>
      </c>
      <c r="EO313" s="132">
        <f>(EE313*'Renewable Diesel'!BF322*'Feedstock Conversion Rates'!B$6)+FF313</f>
        <v>949.14786545535367</v>
      </c>
      <c r="EP313" s="132">
        <f>(EF313*'Renewable Diesel'!BF322*'Feedstock Conversion Rates'!B$7)+FG313</f>
        <v>1433.7531842637645</v>
      </c>
      <c r="EQ313" s="132">
        <f>(EG313*'Renewable Diesel'!BF322*'Feedstock Conversion Rates'!B$8)+FH313</f>
        <v>359.09357214435204</v>
      </c>
      <c r="ER313" s="132">
        <f>(EH313*'Renewable Diesel'!BF322*'Feedstock Conversion Rates'!B$9)+FI313</f>
        <v>13.497358394251201</v>
      </c>
      <c r="ES313" s="132">
        <f t="shared" si="275"/>
        <v>12869.78409787274</v>
      </c>
      <c r="ET313" s="133">
        <f>ES313/'Renewable Diesel'!BF322</f>
        <v>15.114559984458859</v>
      </c>
      <c r="EW313" s="73">
        <f t="shared" si="309"/>
        <v>12061.232584125908</v>
      </c>
      <c r="EX313" s="73">
        <f t="shared" si="310"/>
        <v>6934.618550674164</v>
      </c>
      <c r="EY313" s="92">
        <f t="shared" si="258"/>
        <v>0.93717443061997607</v>
      </c>
      <c r="EZ313" s="92">
        <f t="shared" si="258"/>
        <v>0.53882943940142669</v>
      </c>
      <c r="FB313" s="102">
        <f>IF('Renewable Diesel'!$BG322&lt;1,0,(((('Renewable Diesel'!$BG322-1)*'Renewable Diesel'!$BF322)*'RD Feedstock Breakdown'!EA313)*'Feedstock Conversion Rates'!$B$2))</f>
        <v>203.13282498472452</v>
      </c>
      <c r="FC313" s="102">
        <f>IF('Renewable Diesel'!$BG322&lt;1,0,(((('Renewable Diesel'!$BG322-1)*'Renewable Diesel'!$BF322)*'RD Feedstock Breakdown'!EB313)*'Feedstock Conversion Rates'!$B$3))</f>
        <v>721.62214730247319</v>
      </c>
      <c r="FD313" s="102">
        <f>IF('Renewable Diesel'!$BG322&lt;1,0,(((('Renewable Diesel'!$BG322-1)*'Renewable Diesel'!$BF322)*'RD Feedstock Breakdown'!EC313)*'Feedstock Conversion Rates'!$B$4))</f>
        <v>3445.8659944121305</v>
      </c>
      <c r="FE313" s="102">
        <f>IF('Renewable Diesel'!$BG322&lt;1,0,(((('Renewable Diesel'!$BG322-1)*'Renewable Diesel'!$BF322)*'RD Feedstock Breakdown'!ED313)*'Feedstock Conversion Rates'!$B$5))</f>
        <v>443.82122381239145</v>
      </c>
      <c r="FF313" s="102">
        <f>IF('Renewable Diesel'!$BG322&lt;1,0,(((('Renewable Diesel'!$BG322-1)*'Renewable Diesel'!$BF322)*'RD Feedstock Breakdown'!EE313)*'Feedstock Conversion Rates'!$B$6))</f>
        <v>451.79805717930225</v>
      </c>
      <c r="FG313" s="102">
        <f>IF('Renewable Diesel'!$BG322&lt;1,0,(((('Renewable Diesel'!$BG322-1)*'Renewable Diesel'!$BF322)*'RD Feedstock Breakdown'!EF313)*'Feedstock Conversion Rates'!$B$7))</f>
        <v>682.47206436506156</v>
      </c>
      <c r="FH313" s="102">
        <f>IF('Renewable Diesel'!$BG322&lt;1,0,(((('Renewable Diesel'!$BG322-1)*'Renewable Diesel'!$BF322)*'RD Feedstock Breakdown'!EG313)*'Feedstock Conversion Rates'!$B$8))</f>
        <v>170.92993004052141</v>
      </c>
      <c r="FI313" s="102">
        <f>IF('Renewable Diesel'!$BG322&lt;1,0,(((('Renewable Diesel'!$BG322-1)*'Renewable Diesel'!$BF322)*'RD Feedstock Breakdown'!EH313)*'Feedstock Conversion Rates'!$B$9))</f>
        <v>6.4247948307294402</v>
      </c>
      <c r="FJ313" s="102">
        <f t="shared" si="311"/>
        <v>6126.0670369273339</v>
      </c>
      <c r="GD313" s="91">
        <f>'Renewable Diesel'!BB322*0.32</f>
        <v>0</v>
      </c>
      <c r="GE313" s="91">
        <f>'Renewable Diesel'!BC322</f>
        <v>459.86765155774253</v>
      </c>
      <c r="GF313" s="91">
        <f>'Renewable Diesel'!BD322</f>
        <v>0</v>
      </c>
      <c r="GG313" s="91">
        <f t="shared" si="295"/>
        <v>459.86765155774253</v>
      </c>
      <c r="GH313" s="124">
        <v>1</v>
      </c>
      <c r="GI313" s="102">
        <f>$GG313*EA313*'Feedstock Conversion Rates'!$B$2</f>
        <v>120.76881708598437</v>
      </c>
      <c r="GJ313" s="102">
        <f>$GG313*EB313*'Feedstock Conversion Rates'!$B$3</f>
        <v>429.02693407292128</v>
      </c>
      <c r="GK313" s="102">
        <f>$GG313*EC313*'Feedstock Conversion Rates'!$B$4</f>
        <v>2048.67509725849</v>
      </c>
      <c r="GL313" s="102">
        <f>$GG313*ED313*'Feedstock Conversion Rates'!$B$5</f>
        <v>263.86559730810177</v>
      </c>
      <c r="GM313" s="102">
        <f>$GG313*EE313*'Feedstock Conversion Rates'!$B$6</f>
        <v>268.60807420658568</v>
      </c>
      <c r="GN313" s="102">
        <f>$GG313*EF313*'Feedstock Conversion Rates'!$B$7</f>
        <v>405.75098541457453</v>
      </c>
      <c r="GO313" s="102">
        <f>$GG313*EG313*'Feedstock Conversion Rates'!$B$8</f>
        <v>101.623188951053</v>
      </c>
      <c r="GP313" s="102">
        <f>$GG313*EH313*'Feedstock Conversion Rates'!B$9</f>
        <v>3.8197414513665633</v>
      </c>
      <c r="GQ313" s="102">
        <f t="shared" si="276"/>
        <v>3642.1384357490774</v>
      </c>
      <c r="GR313" s="85">
        <f t="shared" si="293"/>
        <v>7.9199709381858057</v>
      </c>
      <c r="GT313" s="103">
        <f t="shared" si="254"/>
        <v>3.315876626231147E-2</v>
      </c>
      <c r="GU313" s="103">
        <f t="shared" si="254"/>
        <v>0.11779533964493127</v>
      </c>
      <c r="GV313" s="103">
        <f t="shared" si="254"/>
        <v>0.56249237457585533</v>
      </c>
      <c r="GW313" s="103">
        <f t="shared" si="254"/>
        <v>7.2447986797578343E-2</v>
      </c>
      <c r="GX313" s="103">
        <f t="shared" si="253"/>
        <v>7.3750100097812771E-2</v>
      </c>
      <c r="GY313" s="103">
        <f t="shared" si="253"/>
        <v>0.11140460270042533</v>
      </c>
      <c r="GZ313" s="103">
        <f t="shared" si="253"/>
        <v>2.7902066531458512E-2</v>
      </c>
      <c r="HA313" s="103">
        <f t="shared" si="251"/>
        <v>1.0487633896268851E-3</v>
      </c>
    </row>
    <row r="314" spans="1:209" x14ac:dyDescent="0.25">
      <c r="A314" s="96">
        <v>49980</v>
      </c>
      <c r="B314" s="104">
        <f t="shared" ref="B314:B324" si="324">115.75+145+100+235+31.5-21-287-20-28-32-70-39-47+40+20-3-10+17.5-135-1+5</f>
        <v>16.75</v>
      </c>
      <c r="C314" s="104">
        <f t="shared" si="314"/>
        <v>49</v>
      </c>
      <c r="D314" s="104">
        <f t="shared" ref="D314:D324" si="325">1+1</f>
        <v>2</v>
      </c>
      <c r="E314" s="104">
        <f>('Renewable Diesel'!B323*E$3*'Feedstock Conversion Rates'!$B$2)/12+26+13-100+27.5+39</f>
        <v>95.43</v>
      </c>
      <c r="F314" s="104">
        <f>('Renewable Diesel'!B323*'RD Feedstock Breakdown'!F$3*'Feedstock Conversion Rates'!B$8)/12+77+23-10-12-115.75+24+8</f>
        <v>48.15625</v>
      </c>
      <c r="G314" s="104">
        <f>('Renewable Diesel'!B323*'RD Feedstock Breakdown'!G$3*'Feedstock Conversion Rates'!B$7)/12+116.75-39-57.5-145-31.5+32+70-40+10-17.5-5</f>
        <v>69.407000000000039</v>
      </c>
      <c r="H314" s="104">
        <f>('Renewable Diesel'!B323*'RD Feedstock Breakdown'!H$3*'Feedstock Conversion Rates'!B$3)/12+67+10+12+3-235+20+47-20+135</f>
        <v>215.40022499999998</v>
      </c>
      <c r="I314" s="106">
        <f t="shared" si="291"/>
        <v>496.14347500000002</v>
      </c>
      <c r="J314" s="104">
        <f t="shared" ref="J314:J324" si="326">54-15-35+75</f>
        <v>79</v>
      </c>
      <c r="K314" s="104"/>
      <c r="L314" s="104">
        <v>1</v>
      </c>
      <c r="M314" s="104">
        <f>('Renewable Diesel'!C323*'RD Feedstock Breakdown'!M$3*'Feedstock Conversion Rates'!B$2)/12</f>
        <v>7.7902500000000003</v>
      </c>
      <c r="N314" s="104">
        <f>('Renewable Diesel'!C323*'RD Feedstock Breakdown'!N$3*'Feedstock Conversion Rates'!B$8)/12</f>
        <v>3.671875</v>
      </c>
      <c r="O314" s="104">
        <f>('Renewable Diesel'!C323*'RD Feedstock Breakdown'!O$3*'Feedstock Conversion Rates'!B$7)/12</f>
        <v>11.9991</v>
      </c>
      <c r="P314" s="104">
        <f>('Renewable Diesel'!C323*'RD Feedstock Breakdown'!P$3*'Feedstock Conversion Rates'!B$3)/12</f>
        <v>10.4470425</v>
      </c>
      <c r="Q314" s="106">
        <f t="shared" si="299"/>
        <v>113.90826749999999</v>
      </c>
      <c r="R314" s="104">
        <f>('Renewable Diesel'!D323*'RD Feedstock Breakdown'!R$3*'Feedstock Conversion Rates'!B$7)/12</f>
        <v>2.2999999999999998</v>
      </c>
      <c r="S314" s="106">
        <f t="shared" si="249"/>
        <v>2.2999999999999998</v>
      </c>
      <c r="T314" s="104">
        <f t="shared" si="300"/>
        <v>0.82499999999999929</v>
      </c>
      <c r="U314" s="104"/>
      <c r="V314" s="104">
        <f>('Renewable Diesel'!E323*'RD Feedstock Breakdown'!V$3*'Feedstock Conversion Rates'!B$6)/12-20+25</f>
        <v>49.250150000000012</v>
      </c>
      <c r="W314" s="104">
        <f>('Renewable Diesel'!E323*'RD Feedstock Breakdown'!W$3*'Feedstock Conversion Rates'!B$8)/12-6</f>
        <v>16.1796875</v>
      </c>
      <c r="X314" s="106">
        <f t="shared" si="277"/>
        <v>66.254837500000008</v>
      </c>
      <c r="Y314" s="104">
        <f t="shared" si="301"/>
        <v>98</v>
      </c>
      <c r="Z314" s="104">
        <f>('Renewable Diesel'!F323*'RD Feedstock Breakdown'!Z$3*'Feedstock Conversion Rates'!B$6)/12-142+15+10</f>
        <v>42.460000000000008</v>
      </c>
      <c r="AA314" s="104">
        <f>('Renewable Diesel'!F323*'RD Feedstock Breakdown'!AA$3*'Feedstock Conversion Rates'!B$7)/12+24</f>
        <v>128.26666666666665</v>
      </c>
      <c r="AB314" s="106">
        <f t="shared" si="320"/>
        <v>268.72666666666669</v>
      </c>
      <c r="AC314" s="104">
        <f>('Renewable Diesel'!G323*'RD Feedstock Breakdown'!AC$3*'Feedstock Conversion Rates'!B$5)/12</f>
        <v>11.796875</v>
      </c>
      <c r="AD314" s="104">
        <f>('Renewable Diesel'!G323*'RD Feedstock Breakdown'!AD$3*'Feedstock Conversion Rates'!B$4)/12</f>
        <v>5.859375</v>
      </c>
      <c r="AE314" s="104">
        <f>('Renewable Diesel'!G323*'RD Feedstock Breakdown'!AE$3*'Feedstock Conversion Rates'!B$6)/12</f>
        <v>7.3281250000000009</v>
      </c>
      <c r="AF314" s="106">
        <f t="shared" si="284"/>
        <v>24.984375</v>
      </c>
      <c r="AG314" s="104">
        <f t="shared" si="306"/>
        <v>148</v>
      </c>
      <c r="AH314" s="104"/>
      <c r="AI314" s="104">
        <f>('Renewable Diesel'!H323*'RD Feedstock Breakdown'!AI$3*'Feedstock Conversion Rates'!B$6)/12-130-20+51-49</f>
        <v>0.51666666666667993</v>
      </c>
      <c r="AJ314" s="106">
        <f t="shared" si="248"/>
        <v>148.51666666666668</v>
      </c>
      <c r="AK314" s="104">
        <f>('Renewable Diesel'!J323*'RD Feedstock Breakdown'!AK$3*'Feedstock Conversion Rates'!B$4)/12</f>
        <v>95.8125</v>
      </c>
      <c r="AL314" s="106">
        <f t="shared" si="252"/>
        <v>95.8125</v>
      </c>
      <c r="AM314" s="104">
        <f>('Renewable Diesel'!K323*'RD Feedstock Breakdown'!AM$3*'Feedstock Conversion Rates'!B$4)/12+5+15-10+10</f>
        <v>78.59375</v>
      </c>
      <c r="AN314" s="104">
        <f>('Renewable Diesel'!K323*'RD Feedstock Breakdown'!AN$3*'Feedstock Conversion Rates'!B$6)/12-5-15+10-10</f>
        <v>4.4270833333333321</v>
      </c>
      <c r="AO314" s="106">
        <f t="shared" si="270"/>
        <v>83.020833333333329</v>
      </c>
      <c r="AP314" s="104">
        <f>('Renewable Diesel'!L323*'RD Feedstock Breakdown'!AP$3*'Feedstock Conversion Rates'!B$4)/12+15-10+15</f>
        <v>78.59375</v>
      </c>
      <c r="AQ314" s="104">
        <f>('Renewable Diesel'!L323*'RD Feedstock Breakdown'!AQ$3*'Feedstock Conversion Rates'!B$6)/12-15+10-15</f>
        <v>4.4270833333333321</v>
      </c>
      <c r="AR314" s="106">
        <f t="shared" si="256"/>
        <v>83.020833333333329</v>
      </c>
      <c r="AS314" s="104">
        <f>('Renewable Diesel'!M323*'RD Feedstock Breakdown'!AS$3*'Feedstock Conversion Rates'!B$4)/12-25</f>
        <v>431.25</v>
      </c>
      <c r="AT314" s="104">
        <f>('Renewable Diesel'!M323*'RD Feedstock Breakdown'!AT$3*'Feedstock Conversion Rates'!B$5)/12+25</f>
        <v>25</v>
      </c>
      <c r="AU314" s="106">
        <f t="shared" si="290"/>
        <v>456.25</v>
      </c>
      <c r="AV314" s="104">
        <f>'Renewable Diesel'!N323*'RD Feedstock Breakdown'!$AV$3*'Feedstock Conversion Rates'!$B$4/12-15-10+25+25-22+25</f>
        <v>106.74999999999999</v>
      </c>
      <c r="AW314" s="104">
        <f>'Renewable Diesel'!N323*'RD Feedstock Breakdown'!$AW$3*'Feedstock Conversion Rates'!$B$7/12+15+10-25-25+22-25</f>
        <v>13.400000000000006</v>
      </c>
      <c r="AX314" s="106">
        <f t="shared" si="322"/>
        <v>120.14999999999999</v>
      </c>
      <c r="AY314" s="104">
        <f>('Renewable Diesel'!O323*'RD Feedstock Breakdown'!AY$3*'Feedstock Conversion Rates'!B$4)/12</f>
        <v>210.9375</v>
      </c>
      <c r="AZ314" s="104">
        <f>('Renewable Diesel'!O323*'RD Feedstock Breakdown'!AZ$3*'Feedstock Conversion Rates'!B$3)/12</f>
        <v>25.03125</v>
      </c>
      <c r="BA314" s="106">
        <f t="shared" si="302"/>
        <v>235.96875</v>
      </c>
      <c r="BB314" s="104">
        <f>('Renewable Diesel'!Q323*'RD Feedstock Breakdown'!BB$3*'Feedstock Conversion Rates'!B$4)/12</f>
        <v>11.156249999999998</v>
      </c>
      <c r="BC314" s="104">
        <f>('Renewable Diesel'!Q323*'RD Feedstock Breakdown'!BC$3*'Feedstock Conversion Rates'!B$3)/12</f>
        <v>1.4017500000000001</v>
      </c>
      <c r="BD314" s="104">
        <f>('Renewable Diesel'!Q323*'RD Feedstock Breakdown'!BD$3*'Feedstock Conversion Rates'!B$6)/12</f>
        <v>0.8207500000000002</v>
      </c>
      <c r="BE314" s="106">
        <f t="shared" si="279"/>
        <v>13.378749999999998</v>
      </c>
      <c r="BF314" s="104">
        <f>('Renewable Diesel'!R323*'RD Feedstock Breakdown'!BF$3*'Feedstock Conversion Rates'!B$4)/12</f>
        <v>62.5</v>
      </c>
      <c r="BG314" s="106">
        <f t="shared" si="262"/>
        <v>62.5</v>
      </c>
      <c r="BH314" s="104">
        <f>('Renewable Diesel'!T323*'RD Feedstock Breakdown'!BH$3*'Feedstock Conversion Rates'!B$7)/12</f>
        <v>27.599999999999998</v>
      </c>
      <c r="BI314" s="106">
        <f t="shared" si="243"/>
        <v>27.599999999999998</v>
      </c>
      <c r="BJ314" s="104">
        <f>('Renewable Diesel'!W323*'RD Feedstock Breakdown'!BJ$3*'Feedstock Conversion Rates'!B$4)/12</f>
        <v>7.5</v>
      </c>
      <c r="BK314" s="104">
        <f>('Renewable Diesel'!W323*'RD Feedstock Breakdown'!BK$3*'Feedstock Conversion Rates'!B$3)/12</f>
        <v>1.335</v>
      </c>
      <c r="BL314" s="104">
        <f>('Renewable Diesel'!W323*'RD Feedstock Breakdown'!BL$3*'Feedstock Conversion Rates'!B$6)/12</f>
        <v>3.1266666666666669</v>
      </c>
      <c r="BM314" s="104">
        <f>('Renewable Diesel'!W323*'RD Feedstock Breakdown'!BM$3*'Feedstock Conversion Rates'!B$7)/12</f>
        <v>1.5333333333333332</v>
      </c>
      <c r="BN314" s="106">
        <f t="shared" si="296"/>
        <v>13.495000000000001</v>
      </c>
      <c r="BO314" s="104">
        <f>('Renewable Diesel'!P323*'Feedstock Conversion Rates'!B$4)/12</f>
        <v>31.25</v>
      </c>
      <c r="BP314" s="106">
        <f t="shared" si="285"/>
        <v>31.25</v>
      </c>
      <c r="BQ314" s="104">
        <f>('Renewable Diesel'!$S323*'RD Feedstock Breakdown'!BQ$3*'Feedstock Conversion Rates'!B$4)/12+10+15-15</f>
        <v>38.125</v>
      </c>
      <c r="BR314" s="104">
        <f>('Renewable Diesel'!$S323*'RD Feedstock Breakdown'!BR$3*'Feedstock Conversion Rates'!B$7)/12-10-15+15</f>
        <v>1.5</v>
      </c>
      <c r="BS314" s="106">
        <f t="shared" si="307"/>
        <v>39.625</v>
      </c>
      <c r="BT314" s="106"/>
      <c r="BU314" s="104">
        <f>('Renewable Diesel'!Y323*'Feedstock Conversion Rates'!B$7)/12</f>
        <v>2.6833333333333331</v>
      </c>
      <c r="BV314" s="106">
        <f t="shared" si="281"/>
        <v>2.6833333333333331</v>
      </c>
      <c r="BW314" s="104">
        <f>('Renewable Diesel'!$Z323*'RD Feedstock Breakdown'!BW$3*'Feedstock Conversion Rates'!$B$4)/12</f>
        <v>71.875</v>
      </c>
      <c r="BX314" s="104">
        <f>('Renewable Diesel'!$Z323*'RD Feedstock Breakdown'!BX$3*'Feedstock Conversion Rates'!$B$5)/12</f>
        <v>7.2354166666666666</v>
      </c>
      <c r="BY314" s="104">
        <f>('Renewable Diesel'!$Z323*'RD Feedstock Breakdown'!BY$3*'Feedstock Conversion Rates'!$B$7)/12</f>
        <v>61.716666666666661</v>
      </c>
      <c r="BZ314" s="104">
        <f>('Renewable Diesel'!$Z323*'RD Feedstock Breakdown'!BZ$3*'Feedstock Conversion Rates'!$B$3)/12</f>
        <v>15.352499999999999</v>
      </c>
      <c r="CA314" s="106">
        <f t="shared" si="312"/>
        <v>156.17958333333331</v>
      </c>
      <c r="CB314" s="104">
        <f>('Renewable Diesel'!AA323*'Feedstock Conversion Rates'!B$4)/12</f>
        <v>191.25</v>
      </c>
      <c r="CC314" s="106">
        <f t="shared" si="298"/>
        <v>191.25</v>
      </c>
      <c r="CD314" s="104">
        <f>('Renewable Diesel'!$AB323*'RD Feedstock Breakdown'!CD$3*'Feedstock Conversion Rates'!$B$6)/12-15-5</f>
        <v>12.830000000000005</v>
      </c>
      <c r="CE314" s="104">
        <f>('Renewable Diesel'!$AB323*'RD Feedstock Breakdown'!CE$3*'Feedstock Conversion Rates'!$B$4)/12+15+5</f>
        <v>31.25</v>
      </c>
      <c r="CF314" s="106">
        <f t="shared" si="294"/>
        <v>44.080000000000005</v>
      </c>
      <c r="CG314" s="104">
        <f>('Renewable Diesel'!AD323*'Feedstock Conversion Rates'!B$4)/12</f>
        <v>112.5</v>
      </c>
      <c r="CH314" s="106">
        <f t="shared" si="278"/>
        <v>112.5</v>
      </c>
      <c r="CI314" s="104">
        <f>('Renewable Diesel'!$AE323*'RD Feedstock Breakdown'!CI$3*'Feedstock Conversion Rates'!$B$5)/12</f>
        <v>0.34604166666666664</v>
      </c>
      <c r="CJ314" s="104">
        <f>('Renewable Diesel'!$AE323*'RD Feedstock Breakdown'!CJ$3*'Feedstock Conversion Rates'!$B$4)/12</f>
        <v>0.34375</v>
      </c>
      <c r="CK314" s="106">
        <f t="shared" si="286"/>
        <v>0.68979166666666658</v>
      </c>
      <c r="CL314" s="104">
        <f>(((CL$3*'Renewable Diesel'!$AF323)*'Feedstock Conversion Rates'!$B$3)/12)</f>
        <v>91.78125</v>
      </c>
      <c r="CM314" s="104">
        <f>(((CM$3*'Renewable Diesel'!$AF323)*'Feedstock Conversion Rates'!$B$6)/12)</f>
        <v>53.739583333333336</v>
      </c>
      <c r="CN314" s="104">
        <f>(((CN$3*'Renewable Diesel'!$AF323)*'Feedstock Conversion Rates'!$B$4)/12)</f>
        <v>42.96875</v>
      </c>
      <c r="CO314" s="106">
        <f t="shared" si="280"/>
        <v>188.48958333333334</v>
      </c>
      <c r="CP314" s="104">
        <f>('Renewable Diesel'!$AG323*'RD Feedstock Breakdown'!CP$3*'Feedstock Conversion Rates'!$B$3)/12</f>
        <v>6.0075000000000003</v>
      </c>
      <c r="CQ314" s="104">
        <f>('Renewable Diesel'!$AG323*'RD Feedstock Breakdown'!CQ$3*'Feedstock Conversion Rates'!$B$6)/12</f>
        <v>3.5175000000000001</v>
      </c>
      <c r="CR314" s="104">
        <f>('Renewable Diesel'!$AG323*'RD Feedstock Breakdown'!CR$3*'Feedstock Conversion Rates'!$B$4)/12</f>
        <v>2.8125</v>
      </c>
      <c r="CS314" s="106">
        <f t="shared" si="317"/>
        <v>12.3375</v>
      </c>
      <c r="CT314" s="104">
        <f>('Renewable Diesel'!AI323*'Feedstock Conversion Rates'!$B$4*'RD Feedstock Breakdown'!$CT$3)/12</f>
        <v>29.375</v>
      </c>
      <c r="CU314" s="106">
        <f t="shared" si="282"/>
        <v>29.375</v>
      </c>
      <c r="CV314" s="104">
        <f>('Renewable Diesel'!AN323*'Feedstock Conversion Rates'!$B$3*'RD Feedstock Breakdown'!$CV$3)/12</f>
        <v>0.50062499999999999</v>
      </c>
      <c r="CW314" s="106">
        <f t="shared" si="255"/>
        <v>0.50062499999999999</v>
      </c>
      <c r="CX314" s="104">
        <f>('Renewable Diesel'!AO323*'RD Feedstock Breakdown'!$CX$3*'Feedstock Conversion Rates'!$B$3)/12</f>
        <v>6.3412499999999996</v>
      </c>
      <c r="CY314" s="104">
        <f>('Renewable Diesel'!AO323*'RD Feedstock Breakdown'!$CY$3*'Feedstock Conversion Rates'!$B$6)/12</f>
        <v>7.4258333333333342</v>
      </c>
      <c r="CZ314" s="106">
        <f t="shared" si="318"/>
        <v>13.767083333333334</v>
      </c>
      <c r="DA314" s="104">
        <f>('Renewable Diesel'!$AP323*'RD Feedstock Breakdown'!DA$3*'Feedstock Conversion Rates'!$B$3)/12</f>
        <v>6.3412499999999996</v>
      </c>
      <c r="DB314" s="104">
        <f>('Renewable Diesel'!$AP323*'RD Feedstock Breakdown'!DB$3*'Feedstock Conversion Rates'!$B$8)/12</f>
        <v>7.421875</v>
      </c>
      <c r="DC314" s="106">
        <f t="shared" si="260"/>
        <v>13.763124999999999</v>
      </c>
      <c r="DD314" s="104">
        <f>('Renewable Diesel'!AQ323*$DD$3*'Feedstock Conversion Rates'!$B$14)/12</f>
        <v>3.1041666666666665</v>
      </c>
      <c r="DE314" s="106">
        <f t="shared" si="261"/>
        <v>3.1041666666666665</v>
      </c>
      <c r="DF314" s="104">
        <f>('Renewable Diesel'!AR323*'Feedstock Conversion Rates'!$B$4*$DF$3)/12</f>
        <v>75</v>
      </c>
      <c r="DG314" s="106">
        <f t="shared" si="319"/>
        <v>75</v>
      </c>
      <c r="DH314" s="104">
        <f>('Renewable Diesel'!AS323*'Feedstock Conversion Rates'!$B$4*$DH$3)/12</f>
        <v>75</v>
      </c>
      <c r="DI314" s="106">
        <f t="shared" si="323"/>
        <v>75</v>
      </c>
      <c r="DJ314" s="104">
        <f>('Renewable Diesel'!AT323*'Feedstock Conversion Rates'!$B$4*0.25)/12</f>
        <v>8.59375</v>
      </c>
      <c r="DK314" s="104">
        <f>('Renewable Diesel'!$AT323*'RD Feedstock Breakdown'!DK$3*'Feedstock Conversion Rates'!$B$3)/12*0.5</f>
        <v>9.1781249999999996</v>
      </c>
      <c r="DL314" s="104">
        <f>('Renewable Diesel'!$AT323*'RD Feedstock Breakdown'!$DL$3*'Feedstock Conversion Rates'!$B$6)/12</f>
        <v>10.747916666666669</v>
      </c>
      <c r="DM314" s="104">
        <f>('Renewable Diesel'!$AT323*'RD Feedstock Breakdown'!$DM$3*'Feedstock Conversion Rates'!$B$8)/12</f>
        <v>10.7421875</v>
      </c>
      <c r="DN314" s="106">
        <f t="shared" si="297"/>
        <v>39.26197916666667</v>
      </c>
      <c r="DP314" s="104">
        <f t="shared" si="265"/>
        <v>103.22025000000001</v>
      </c>
      <c r="DQ314" s="104">
        <f t="shared" si="266"/>
        <v>389.11776750000001</v>
      </c>
      <c r="DR314" s="104">
        <f t="shared" si="271"/>
        <v>1984.453125</v>
      </c>
      <c r="DS314" s="104">
        <f t="shared" si="283"/>
        <v>253.90125</v>
      </c>
      <c r="DT314" s="104">
        <f t="shared" si="267"/>
        <v>208.03923333333341</v>
      </c>
      <c r="DU314" s="104">
        <f t="shared" si="268"/>
        <v>320.40610000000004</v>
      </c>
      <c r="DV314" s="104">
        <f t="shared" si="272"/>
        <v>78.75</v>
      </c>
      <c r="DW314" s="104">
        <f t="shared" si="269"/>
        <v>3</v>
      </c>
      <c r="DX314" s="106">
        <f t="shared" si="273"/>
        <v>3340.8877258333337</v>
      </c>
      <c r="DY314" s="109">
        <f t="shared" si="257"/>
        <v>-5.631051180898794E-13</v>
      </c>
      <c r="EA314" s="110">
        <f t="shared" si="313"/>
        <v>3.0896054722776799E-2</v>
      </c>
      <c r="EB314" s="110">
        <f t="shared" si="313"/>
        <v>0.11647136911879925</v>
      </c>
      <c r="EC314" s="110">
        <f t="shared" si="313"/>
        <v>0.59398976794558644</v>
      </c>
      <c r="ED314" s="110">
        <f t="shared" si="308"/>
        <v>7.5998139068462173E-2</v>
      </c>
      <c r="EE314" s="110">
        <f t="shared" si="308"/>
        <v>6.2270644932086484E-2</v>
      </c>
      <c r="EF314" s="110">
        <f t="shared" si="308"/>
        <v>9.5904479974728757E-2</v>
      </c>
      <c r="EG314" s="110">
        <f t="shared" si="308"/>
        <v>2.3571579311411014E-2</v>
      </c>
      <c r="EH314" s="111">
        <f t="shared" si="274"/>
        <v>8.9796492614899106E-4</v>
      </c>
      <c r="EI314" s="110">
        <f t="shared" si="321"/>
        <v>0.99910203507385087</v>
      </c>
      <c r="EK314" s="132">
        <f>(EA314*'Renewable Diesel'!BF323*'Feedstock Conversion Rates'!B$2)+FB314</f>
        <v>434.7633878063134</v>
      </c>
      <c r="EL314" s="132">
        <f>(EB314*'Renewable Diesel'!BF323*'Feedstock Conversion Rates'!B$3)+FC314</f>
        <v>1544.4814962863952</v>
      </c>
      <c r="EM314" s="132">
        <f>(EC314*'Renewable Diesel'!BF323*'Feedstock Conversion Rates'!B$4)+FD314</f>
        <v>7375.1564956074835</v>
      </c>
      <c r="EN314" s="132">
        <f>(ED314*'Renewable Diesel'!BF323*'Feedstock Conversion Rates'!B$5)+FE314</f>
        <v>949.90663798196897</v>
      </c>
      <c r="EO314" s="132">
        <f>(EE314*'Renewable Diesel'!BF323*'Feedstock Conversion Rates'!B$6)+FF314</f>
        <v>966.97938385071461</v>
      </c>
      <c r="EP314" s="132">
        <f>(EF314*'Renewable Diesel'!BF323*'Feedstock Conversion Rates'!B$7)+FG314</f>
        <v>1460.6889202118628</v>
      </c>
      <c r="EQ314" s="132">
        <f>(EG314*'Renewable Diesel'!BF323*'Feedstock Conversion Rates'!B$8)+FH314</f>
        <v>365.83981671845316</v>
      </c>
      <c r="ER314" s="132">
        <f>(EH314*'Renewable Diesel'!BF323*'Feedstock Conversion Rates'!B$9)+FI314</f>
        <v>13.75093152363964</v>
      </c>
      <c r="ES314" s="132">
        <f t="shared" si="275"/>
        <v>13111.56706998683</v>
      </c>
      <c r="ET314" s="133">
        <f>ES314/'Renewable Diesel'!BF323</f>
        <v>15.007797416563774</v>
      </c>
      <c r="EW314" s="73">
        <f t="shared" si="309"/>
        <v>12256.792838795849</v>
      </c>
      <c r="EX314" s="73">
        <f t="shared" si="310"/>
        <v>7047.056127874489</v>
      </c>
      <c r="EY314" s="92">
        <f t="shared" si="258"/>
        <v>0.93480762241245663</v>
      </c>
      <c r="EZ314" s="92">
        <f t="shared" si="258"/>
        <v>0.5374686404957365</v>
      </c>
      <c r="FB314" s="102">
        <f>IF('Renewable Diesel'!$BG323&lt;1,0,(((('Renewable Diesel'!$BG323-1)*'Renewable Diesel'!$BF323)*'RD Feedstock Breakdown'!EA314)*'Feedstock Conversion Rates'!$B$2))</f>
        <v>205.32842804247107</v>
      </c>
      <c r="FC314" s="102">
        <f>IF('Renewable Diesel'!$BG323&lt;1,0,(((('Renewable Diesel'!$BG323-1)*'Renewable Diesel'!$BF323)*'RD Feedstock Breakdown'!EB314)*'Feedstock Conversion Rates'!$B$3))</f>
        <v>729.42194919699261</v>
      </c>
      <c r="FD314" s="102">
        <f>IF('Renewable Diesel'!$BG323&lt;1,0,(((('Renewable Diesel'!$BG323-1)*'Renewable Diesel'!$BF323)*'RD Feedstock Breakdown'!EC314)*'Feedstock Conversion Rates'!$B$4))</f>
        <v>3483.1113481085858</v>
      </c>
      <c r="FE314" s="102">
        <f>IF('Renewable Diesel'!$BG323&lt;1,0,(((('Renewable Diesel'!$BG323-1)*'Renewable Diesel'!$BF323)*'RD Feedstock Breakdown'!ED314)*'Feedstock Conversion Rates'!$B$5))</f>
        <v>448.61835709780991</v>
      </c>
      <c r="FF314" s="102">
        <f>IF('Renewable Diesel'!$BG323&lt;1,0,(((('Renewable Diesel'!$BG323-1)*'Renewable Diesel'!$BF323)*'RD Feedstock Breakdown'!EE314)*'Feedstock Conversion Rates'!$B$6))</f>
        <v>456.68140971428238</v>
      </c>
      <c r="FG314" s="102">
        <f>IF('Renewable Diesel'!$BG323&lt;1,0,(((('Renewable Diesel'!$BG323-1)*'Renewable Diesel'!$BF323)*'RD Feedstock Breakdown'!EF314)*'Feedstock Conversion Rates'!$B$7))</f>
        <v>689.84870450906203</v>
      </c>
      <c r="FH314" s="102">
        <f>IF('Renewable Diesel'!$BG323&lt;1,0,(((('Renewable Diesel'!$BG323-1)*'Renewable Diesel'!$BF323)*'RD Feedstock Breakdown'!EG314)*'Feedstock Conversion Rates'!$B$8))</f>
        <v>172.77746146280927</v>
      </c>
      <c r="FI314" s="102">
        <f>IF('Renewable Diesel'!$BG323&lt;1,0,(((('Renewable Diesel'!$BG323-1)*'Renewable Diesel'!$BF323)*'RD Feedstock Breakdown'!EH314)*'Feedstock Conversion Rates'!$B$9))</f>
        <v>6.4942385514909908</v>
      </c>
      <c r="FJ314" s="102">
        <f t="shared" si="311"/>
        <v>6192.2818966835057</v>
      </c>
      <c r="GD314" s="91">
        <f>'Renewable Diesel'!BB323*0.32</f>
        <v>0</v>
      </c>
      <c r="GE314" s="91">
        <f>'Renewable Diesel'!BC323</f>
        <v>397.84689276238311</v>
      </c>
      <c r="GF314" s="91">
        <f>'Renewable Diesel'!BD323</f>
        <v>0</v>
      </c>
      <c r="GG314" s="91">
        <f t="shared" si="295"/>
        <v>397.84689276238311</v>
      </c>
      <c r="GH314" s="124">
        <v>1</v>
      </c>
      <c r="GI314" s="102">
        <f>$GG314*EA314*'Feedstock Conversion Rates'!$B$2</f>
        <v>104.48114464562306</v>
      </c>
      <c r="GJ314" s="102">
        <f>$GG314*EB314*'Feedstock Conversion Rates'!$B$3</f>
        <v>371.16555612055589</v>
      </c>
      <c r="GK314" s="102">
        <f>$GG314*EC314*'Feedstock Conversion Rates'!$B$4</f>
        <v>1772.3773763235042</v>
      </c>
      <c r="GL314" s="102">
        <f>$GG314*ED314*'Feedstock Conversion Rates'!$B$5</f>
        <v>228.27895730503917</v>
      </c>
      <c r="GM314" s="102">
        <f>$GG314*EE314*'Feedstock Conversion Rates'!$B$6</f>
        <v>232.38183275554752</v>
      </c>
      <c r="GN314" s="102">
        <f>$GG314*EF314*'Feedstock Conversion Rates'!$B$7</f>
        <v>351.02875411142981</v>
      </c>
      <c r="GO314" s="102">
        <f>$GG314*EG314*'Feedstock Conversion Rates'!$B$8</f>
        <v>87.917621123877623</v>
      </c>
      <c r="GP314" s="102">
        <f>$GG314*EH314*'Feedstock Conversion Rates'!B$9</f>
        <v>3.3045861400213052</v>
      </c>
      <c r="GQ314" s="102">
        <f t="shared" si="276"/>
        <v>3150.9358285255985</v>
      </c>
      <c r="GR314" s="85">
        <f t="shared" si="293"/>
        <v>7.9199709381858048</v>
      </c>
      <c r="GT314" s="103">
        <f t="shared" si="254"/>
        <v>3.315876626231147E-2</v>
      </c>
      <c r="GU314" s="103">
        <f t="shared" si="254"/>
        <v>0.11779533964493127</v>
      </c>
      <c r="GV314" s="103">
        <f t="shared" si="254"/>
        <v>0.56249237457585533</v>
      </c>
      <c r="GW314" s="103">
        <f t="shared" si="254"/>
        <v>7.2447986797578356E-2</v>
      </c>
      <c r="GX314" s="103">
        <f t="shared" si="253"/>
        <v>7.3750100097812785E-2</v>
      </c>
      <c r="GY314" s="103">
        <f t="shared" si="253"/>
        <v>0.11140460270042533</v>
      </c>
      <c r="GZ314" s="103">
        <f t="shared" si="253"/>
        <v>2.7902066531458516E-2</v>
      </c>
      <c r="HA314" s="103">
        <f t="shared" si="251"/>
        <v>1.0487633896268855E-3</v>
      </c>
    </row>
    <row r="315" spans="1:209" x14ac:dyDescent="0.25">
      <c r="A315" s="96">
        <v>50010</v>
      </c>
      <c r="B315" s="104">
        <f t="shared" si="324"/>
        <v>16.75</v>
      </c>
      <c r="C315" s="104">
        <f t="shared" si="314"/>
        <v>49</v>
      </c>
      <c r="D315" s="104">
        <f t="shared" si="325"/>
        <v>2</v>
      </c>
      <c r="E315" s="104">
        <f>('Renewable Diesel'!B324*E$3*'Feedstock Conversion Rates'!$B$2)/12+26+13-100+27.5+39</f>
        <v>95.43</v>
      </c>
      <c r="F315" s="104">
        <f>('Renewable Diesel'!B324*'RD Feedstock Breakdown'!F$3*'Feedstock Conversion Rates'!B$8)/12+77+23-10-12-115.75+24+8</f>
        <v>48.15625</v>
      </c>
      <c r="G315" s="104">
        <f>('Renewable Diesel'!B324*'RD Feedstock Breakdown'!G$3*'Feedstock Conversion Rates'!B$7)/12+116.75-39-57.5-145-31.5+32+70-40+10-17.5-5</f>
        <v>69.407000000000039</v>
      </c>
      <c r="H315" s="104">
        <f>('Renewable Diesel'!B324*'RD Feedstock Breakdown'!H$3*'Feedstock Conversion Rates'!B$3)/12+67+10+12+3-235+20+47-20+135</f>
        <v>215.40022499999998</v>
      </c>
      <c r="I315" s="106">
        <f t="shared" si="291"/>
        <v>496.14347500000002</v>
      </c>
      <c r="J315" s="104">
        <f t="shared" si="326"/>
        <v>79</v>
      </c>
      <c r="K315" s="104"/>
      <c r="L315" s="104">
        <v>1</v>
      </c>
      <c r="M315" s="104">
        <f>('Renewable Diesel'!C324*'RD Feedstock Breakdown'!M$3*'Feedstock Conversion Rates'!B$2)/12</f>
        <v>7.7902500000000003</v>
      </c>
      <c r="N315" s="104">
        <f>('Renewable Diesel'!C324*'RD Feedstock Breakdown'!N$3*'Feedstock Conversion Rates'!B$8)/12</f>
        <v>3.671875</v>
      </c>
      <c r="O315" s="104">
        <f>('Renewable Diesel'!C324*'RD Feedstock Breakdown'!O$3*'Feedstock Conversion Rates'!B$7)/12</f>
        <v>11.9991</v>
      </c>
      <c r="P315" s="104">
        <f>('Renewable Diesel'!C324*'RD Feedstock Breakdown'!P$3*'Feedstock Conversion Rates'!B$3)/12</f>
        <v>10.4470425</v>
      </c>
      <c r="Q315" s="106">
        <f t="shared" si="299"/>
        <v>113.90826749999999</v>
      </c>
      <c r="R315" s="104">
        <f>('Renewable Diesel'!D324*'RD Feedstock Breakdown'!R$3*'Feedstock Conversion Rates'!B$7)/12</f>
        <v>2.2999999999999998</v>
      </c>
      <c r="S315" s="106">
        <f t="shared" si="249"/>
        <v>2.2999999999999998</v>
      </c>
      <c r="T315" s="104">
        <f t="shared" si="300"/>
        <v>0.82499999999999929</v>
      </c>
      <c r="U315" s="104"/>
      <c r="V315" s="104">
        <f>('Renewable Diesel'!E324*'RD Feedstock Breakdown'!V$3*'Feedstock Conversion Rates'!B$6)/12-20+25</f>
        <v>49.250150000000012</v>
      </c>
      <c r="W315" s="104">
        <f>('Renewable Diesel'!E324*'RD Feedstock Breakdown'!W$3*'Feedstock Conversion Rates'!B$8)/12-6</f>
        <v>16.1796875</v>
      </c>
      <c r="X315" s="106">
        <f t="shared" si="277"/>
        <v>66.254837500000008</v>
      </c>
      <c r="Y315" s="104">
        <f t="shared" si="301"/>
        <v>98</v>
      </c>
      <c r="Z315" s="104">
        <f>('Renewable Diesel'!F324*'RD Feedstock Breakdown'!Z$3*'Feedstock Conversion Rates'!B$6)/12-142+15+10</f>
        <v>42.460000000000008</v>
      </c>
      <c r="AA315" s="104">
        <f>('Renewable Diesel'!F324*'RD Feedstock Breakdown'!AA$3*'Feedstock Conversion Rates'!B$7)/12+24</f>
        <v>128.26666666666665</v>
      </c>
      <c r="AB315" s="106">
        <f t="shared" si="320"/>
        <v>268.72666666666669</v>
      </c>
      <c r="AC315" s="104">
        <f>('Renewable Diesel'!G324*'RD Feedstock Breakdown'!AC$3*'Feedstock Conversion Rates'!B$5)/12</f>
        <v>11.796875</v>
      </c>
      <c r="AD315" s="104">
        <f>('Renewable Diesel'!G324*'RD Feedstock Breakdown'!AD$3*'Feedstock Conversion Rates'!B$4)/12</f>
        <v>5.859375</v>
      </c>
      <c r="AE315" s="104">
        <f>('Renewable Diesel'!G324*'RD Feedstock Breakdown'!AE$3*'Feedstock Conversion Rates'!B$6)/12</f>
        <v>7.3281250000000009</v>
      </c>
      <c r="AF315" s="106">
        <f t="shared" si="284"/>
        <v>24.984375</v>
      </c>
      <c r="AG315" s="104">
        <f t="shared" si="306"/>
        <v>148</v>
      </c>
      <c r="AH315" s="104"/>
      <c r="AI315" s="104">
        <f>('Renewable Diesel'!H324*'RD Feedstock Breakdown'!AI$3*'Feedstock Conversion Rates'!B$6)/12-130-20+51-49</f>
        <v>0.51666666666667993</v>
      </c>
      <c r="AJ315" s="106">
        <f t="shared" si="248"/>
        <v>148.51666666666668</v>
      </c>
      <c r="AK315" s="104">
        <f>('Renewable Diesel'!J324*'RD Feedstock Breakdown'!AK$3*'Feedstock Conversion Rates'!B$4)/12</f>
        <v>95.8125</v>
      </c>
      <c r="AL315" s="106">
        <f t="shared" si="252"/>
        <v>95.8125</v>
      </c>
      <c r="AM315" s="104">
        <f>('Renewable Diesel'!K324*'RD Feedstock Breakdown'!AM$3*'Feedstock Conversion Rates'!B$4)/12+5+15-10+10</f>
        <v>78.59375</v>
      </c>
      <c r="AN315" s="104">
        <f>('Renewable Diesel'!K324*'RD Feedstock Breakdown'!AN$3*'Feedstock Conversion Rates'!B$6)/12-5-15+10-10</f>
        <v>4.4270833333333321</v>
      </c>
      <c r="AO315" s="106">
        <f t="shared" si="270"/>
        <v>83.020833333333329</v>
      </c>
      <c r="AP315" s="104">
        <f>('Renewable Diesel'!L324*'RD Feedstock Breakdown'!AP$3*'Feedstock Conversion Rates'!B$4)/12+15-10+15</f>
        <v>78.59375</v>
      </c>
      <c r="AQ315" s="104">
        <f>('Renewable Diesel'!L324*'RD Feedstock Breakdown'!AQ$3*'Feedstock Conversion Rates'!B$6)/12-15+10-15</f>
        <v>4.4270833333333321</v>
      </c>
      <c r="AR315" s="106">
        <f t="shared" si="256"/>
        <v>83.020833333333329</v>
      </c>
      <c r="AS315" s="104">
        <f>('Renewable Diesel'!M324*'RD Feedstock Breakdown'!AS$3*'Feedstock Conversion Rates'!B$4)/12-25</f>
        <v>431.25</v>
      </c>
      <c r="AT315" s="104">
        <f>('Renewable Diesel'!M324*'RD Feedstock Breakdown'!AT$3*'Feedstock Conversion Rates'!B$5)/12+25</f>
        <v>25</v>
      </c>
      <c r="AU315" s="106">
        <f t="shared" si="290"/>
        <v>456.25</v>
      </c>
      <c r="AV315" s="104">
        <f>'Renewable Diesel'!N324*'RD Feedstock Breakdown'!$AV$3*'Feedstock Conversion Rates'!$B$4/12-15-10+25+25-22+25</f>
        <v>106.74999999999999</v>
      </c>
      <c r="AW315" s="104">
        <f>'Renewable Diesel'!N324*'RD Feedstock Breakdown'!$AW$3*'Feedstock Conversion Rates'!$B$7/12+15+10-25-25+22-25</f>
        <v>13.400000000000006</v>
      </c>
      <c r="AX315" s="106">
        <f t="shared" si="322"/>
        <v>120.14999999999999</v>
      </c>
      <c r="AY315" s="104">
        <f>('Renewable Diesel'!O324*'RD Feedstock Breakdown'!AY$3*'Feedstock Conversion Rates'!B$4)/12</f>
        <v>210.9375</v>
      </c>
      <c r="AZ315" s="104">
        <f>('Renewable Diesel'!O324*'RD Feedstock Breakdown'!AZ$3*'Feedstock Conversion Rates'!B$3)/12</f>
        <v>25.03125</v>
      </c>
      <c r="BA315" s="106">
        <f t="shared" si="302"/>
        <v>235.96875</v>
      </c>
      <c r="BB315" s="104">
        <f>('Renewable Diesel'!Q324*'RD Feedstock Breakdown'!BB$3*'Feedstock Conversion Rates'!B$4)/12</f>
        <v>11.156249999999998</v>
      </c>
      <c r="BC315" s="104">
        <f>('Renewable Diesel'!Q324*'RD Feedstock Breakdown'!BC$3*'Feedstock Conversion Rates'!B$3)/12</f>
        <v>1.4017500000000001</v>
      </c>
      <c r="BD315" s="104">
        <f>('Renewable Diesel'!Q324*'RD Feedstock Breakdown'!BD$3*'Feedstock Conversion Rates'!B$6)/12</f>
        <v>0.8207500000000002</v>
      </c>
      <c r="BE315" s="106">
        <f t="shared" si="279"/>
        <v>13.378749999999998</v>
      </c>
      <c r="BF315" s="104">
        <f>('Renewable Diesel'!R324*'RD Feedstock Breakdown'!BF$3*'Feedstock Conversion Rates'!B$4)/12</f>
        <v>62.5</v>
      </c>
      <c r="BG315" s="106">
        <f t="shared" si="262"/>
        <v>62.5</v>
      </c>
      <c r="BH315" s="104">
        <f>('Renewable Diesel'!T324*'RD Feedstock Breakdown'!BH$3*'Feedstock Conversion Rates'!B$7)/12</f>
        <v>27.599999999999998</v>
      </c>
      <c r="BI315" s="106">
        <f t="shared" si="243"/>
        <v>27.599999999999998</v>
      </c>
      <c r="BJ315" s="104">
        <f>('Renewable Diesel'!W324*'RD Feedstock Breakdown'!BJ$3*'Feedstock Conversion Rates'!B$4)/12</f>
        <v>7.5</v>
      </c>
      <c r="BK315" s="104">
        <f>('Renewable Diesel'!W324*'RD Feedstock Breakdown'!BK$3*'Feedstock Conversion Rates'!B$3)/12</f>
        <v>1.335</v>
      </c>
      <c r="BL315" s="104">
        <f>('Renewable Diesel'!W324*'RD Feedstock Breakdown'!BL$3*'Feedstock Conversion Rates'!B$6)/12</f>
        <v>3.1266666666666669</v>
      </c>
      <c r="BM315" s="104">
        <f>('Renewable Diesel'!W324*'RD Feedstock Breakdown'!BM$3*'Feedstock Conversion Rates'!B$7)/12</f>
        <v>1.5333333333333332</v>
      </c>
      <c r="BN315" s="106">
        <f t="shared" si="296"/>
        <v>13.495000000000001</v>
      </c>
      <c r="BO315" s="104">
        <f>('Renewable Diesel'!P324*'Feedstock Conversion Rates'!B$4)/12</f>
        <v>31.25</v>
      </c>
      <c r="BP315" s="106">
        <f t="shared" si="285"/>
        <v>31.25</v>
      </c>
      <c r="BQ315" s="104">
        <f>('Renewable Diesel'!$S324*'RD Feedstock Breakdown'!BQ$3*'Feedstock Conversion Rates'!B$4)/12+10+15-15</f>
        <v>38.125</v>
      </c>
      <c r="BR315" s="104">
        <f>('Renewable Diesel'!$S324*'RD Feedstock Breakdown'!BR$3*'Feedstock Conversion Rates'!B$7)/12-10-15+15</f>
        <v>1.5</v>
      </c>
      <c r="BS315" s="106">
        <f t="shared" si="307"/>
        <v>39.625</v>
      </c>
      <c r="BT315" s="106"/>
      <c r="BU315" s="104">
        <f>('Renewable Diesel'!Y324*'Feedstock Conversion Rates'!B$7)/12</f>
        <v>2.6833333333333331</v>
      </c>
      <c r="BV315" s="106">
        <f t="shared" si="281"/>
        <v>2.6833333333333331</v>
      </c>
      <c r="BW315" s="104">
        <f>('Renewable Diesel'!$Z324*'RD Feedstock Breakdown'!BW$3*'Feedstock Conversion Rates'!$B$4)/12</f>
        <v>71.875</v>
      </c>
      <c r="BX315" s="104">
        <f>('Renewable Diesel'!$Z324*'RD Feedstock Breakdown'!BX$3*'Feedstock Conversion Rates'!$B$5)/12</f>
        <v>7.2354166666666666</v>
      </c>
      <c r="BY315" s="104">
        <f>('Renewable Diesel'!$Z324*'RD Feedstock Breakdown'!BY$3*'Feedstock Conversion Rates'!$B$7)/12</f>
        <v>61.716666666666661</v>
      </c>
      <c r="BZ315" s="104">
        <f>('Renewable Diesel'!$Z324*'RD Feedstock Breakdown'!BZ$3*'Feedstock Conversion Rates'!$B$3)/12</f>
        <v>15.352499999999999</v>
      </c>
      <c r="CA315" s="106">
        <f t="shared" si="312"/>
        <v>156.17958333333331</v>
      </c>
      <c r="CB315" s="104">
        <f>('Renewable Diesel'!AA324*'Feedstock Conversion Rates'!B$4)/12</f>
        <v>191.25</v>
      </c>
      <c r="CC315" s="106">
        <f t="shared" si="298"/>
        <v>191.25</v>
      </c>
      <c r="CD315" s="104">
        <f>('Renewable Diesel'!$AB324*'RD Feedstock Breakdown'!CD$3*'Feedstock Conversion Rates'!$B$6)/12-15-5</f>
        <v>12.830000000000005</v>
      </c>
      <c r="CE315" s="104">
        <f>('Renewable Diesel'!$AB324*'RD Feedstock Breakdown'!CE$3*'Feedstock Conversion Rates'!$B$4)/12+15+5</f>
        <v>31.25</v>
      </c>
      <c r="CF315" s="106">
        <f t="shared" si="294"/>
        <v>44.080000000000005</v>
      </c>
      <c r="CG315" s="104">
        <f>('Renewable Diesel'!AD324*'Feedstock Conversion Rates'!B$4)/12</f>
        <v>112.5</v>
      </c>
      <c r="CH315" s="106">
        <f t="shared" si="278"/>
        <v>112.5</v>
      </c>
      <c r="CI315" s="104">
        <f>('Renewable Diesel'!$AE324*'RD Feedstock Breakdown'!CI$3*'Feedstock Conversion Rates'!$B$5)/12</f>
        <v>0.34604166666666664</v>
      </c>
      <c r="CJ315" s="104">
        <f>('Renewable Diesel'!$AE324*'RD Feedstock Breakdown'!CJ$3*'Feedstock Conversion Rates'!$B$4)/12</f>
        <v>0.34375</v>
      </c>
      <c r="CK315" s="106">
        <f t="shared" si="286"/>
        <v>0.68979166666666658</v>
      </c>
      <c r="CL315" s="104">
        <f>(((CL$3*'Renewable Diesel'!$AF324)*'Feedstock Conversion Rates'!$B$3)/12)</f>
        <v>91.78125</v>
      </c>
      <c r="CM315" s="104">
        <f>(((CM$3*'Renewable Diesel'!$AF324)*'Feedstock Conversion Rates'!$B$6)/12)</f>
        <v>53.739583333333336</v>
      </c>
      <c r="CN315" s="104">
        <f>(((CN$3*'Renewable Diesel'!$AF324)*'Feedstock Conversion Rates'!$B$4)/12)</f>
        <v>42.96875</v>
      </c>
      <c r="CO315" s="106">
        <f t="shared" si="280"/>
        <v>188.48958333333334</v>
      </c>
      <c r="CP315" s="104">
        <f>('Renewable Diesel'!$AG324*'RD Feedstock Breakdown'!CP$3*'Feedstock Conversion Rates'!$B$3)/12</f>
        <v>6.0075000000000003</v>
      </c>
      <c r="CQ315" s="104">
        <f>('Renewable Diesel'!$AG324*'RD Feedstock Breakdown'!CQ$3*'Feedstock Conversion Rates'!$B$6)/12</f>
        <v>3.5175000000000001</v>
      </c>
      <c r="CR315" s="104">
        <f>('Renewable Diesel'!$AG324*'RD Feedstock Breakdown'!CR$3*'Feedstock Conversion Rates'!$B$4)/12</f>
        <v>2.8125</v>
      </c>
      <c r="CS315" s="106">
        <f t="shared" si="317"/>
        <v>12.3375</v>
      </c>
      <c r="CT315" s="104">
        <f>('Renewable Diesel'!AI324*'Feedstock Conversion Rates'!$B$4*'RD Feedstock Breakdown'!$CT$3)/12</f>
        <v>29.375</v>
      </c>
      <c r="CU315" s="106">
        <f t="shared" si="282"/>
        <v>29.375</v>
      </c>
      <c r="CV315" s="104">
        <f>('Renewable Diesel'!AN324*'Feedstock Conversion Rates'!$B$3*'RD Feedstock Breakdown'!$CV$3)/12</f>
        <v>0.50062499999999999</v>
      </c>
      <c r="CW315" s="106">
        <f t="shared" si="255"/>
        <v>0.50062499999999999</v>
      </c>
      <c r="CX315" s="104">
        <f>('Renewable Diesel'!AO324*'RD Feedstock Breakdown'!$CX$3*'Feedstock Conversion Rates'!$B$3)/12</f>
        <v>6.3412499999999996</v>
      </c>
      <c r="CY315" s="104">
        <f>('Renewable Diesel'!AO324*'RD Feedstock Breakdown'!$CY$3*'Feedstock Conversion Rates'!$B$6)/12</f>
        <v>7.4258333333333342</v>
      </c>
      <c r="CZ315" s="106">
        <f t="shared" si="318"/>
        <v>13.767083333333334</v>
      </c>
      <c r="DA315" s="104">
        <f>('Renewable Diesel'!$AP324*'RD Feedstock Breakdown'!DA$3*'Feedstock Conversion Rates'!$B$3)/12</f>
        <v>6.3412499999999996</v>
      </c>
      <c r="DB315" s="104">
        <f>('Renewable Diesel'!$AP324*'RD Feedstock Breakdown'!DB$3*'Feedstock Conversion Rates'!$B$8)/12</f>
        <v>7.421875</v>
      </c>
      <c r="DC315" s="106">
        <f t="shared" si="260"/>
        <v>13.763124999999999</v>
      </c>
      <c r="DD315" s="104">
        <f>('Renewable Diesel'!AQ324*$DD$3*'Feedstock Conversion Rates'!$B$14)/12</f>
        <v>3.1041666666666665</v>
      </c>
      <c r="DE315" s="106">
        <f t="shared" si="261"/>
        <v>3.1041666666666665</v>
      </c>
      <c r="DF315" s="104">
        <f>('Renewable Diesel'!AR324*'Feedstock Conversion Rates'!$B$4*$DF$3)/12</f>
        <v>75</v>
      </c>
      <c r="DG315" s="106">
        <f t="shared" si="319"/>
        <v>75</v>
      </c>
      <c r="DH315" s="104">
        <f>('Renewable Diesel'!AS324*'Feedstock Conversion Rates'!$B$4*$DH$3)/12</f>
        <v>75</v>
      </c>
      <c r="DI315" s="106">
        <f t="shared" si="323"/>
        <v>75</v>
      </c>
      <c r="DJ315" s="104">
        <f>('Renewable Diesel'!AT324*'Feedstock Conversion Rates'!$B$4*0.25)/12</f>
        <v>8.59375</v>
      </c>
      <c r="DK315" s="104">
        <f>('Renewable Diesel'!$AT324*'RD Feedstock Breakdown'!DK$3*'Feedstock Conversion Rates'!$B$3)/12*0.5</f>
        <v>9.1781249999999996</v>
      </c>
      <c r="DL315" s="104">
        <f>('Renewable Diesel'!$AT324*'RD Feedstock Breakdown'!$DL$3*'Feedstock Conversion Rates'!$B$6)/12</f>
        <v>10.747916666666669</v>
      </c>
      <c r="DM315" s="104">
        <f>('Renewable Diesel'!$AT324*'RD Feedstock Breakdown'!$DM$3*'Feedstock Conversion Rates'!$B$8)/12</f>
        <v>10.7421875</v>
      </c>
      <c r="DN315" s="106">
        <f t="shared" si="297"/>
        <v>39.26197916666667</v>
      </c>
      <c r="DP315" s="104">
        <f t="shared" si="265"/>
        <v>103.22025000000001</v>
      </c>
      <c r="DQ315" s="104">
        <f t="shared" si="266"/>
        <v>389.11776750000001</v>
      </c>
      <c r="DR315" s="104">
        <f t="shared" si="271"/>
        <v>1984.453125</v>
      </c>
      <c r="DS315" s="104">
        <f t="shared" si="283"/>
        <v>253.90125</v>
      </c>
      <c r="DT315" s="104">
        <f t="shared" si="267"/>
        <v>208.03923333333341</v>
      </c>
      <c r="DU315" s="104">
        <f t="shared" si="268"/>
        <v>320.40610000000004</v>
      </c>
      <c r="DV315" s="104">
        <f t="shared" si="272"/>
        <v>78.75</v>
      </c>
      <c r="DW315" s="104">
        <f t="shared" si="269"/>
        <v>3</v>
      </c>
      <c r="DX315" s="106">
        <f t="shared" si="273"/>
        <v>3340.8877258333337</v>
      </c>
      <c r="DY315" s="109">
        <f t="shared" si="257"/>
        <v>-5.631051180898794E-13</v>
      </c>
      <c r="EA315" s="110">
        <f t="shared" si="313"/>
        <v>3.0896054722776799E-2</v>
      </c>
      <c r="EB315" s="110">
        <f t="shared" si="313"/>
        <v>0.11647136911879925</v>
      </c>
      <c r="EC315" s="110">
        <f t="shared" si="313"/>
        <v>0.59398976794558644</v>
      </c>
      <c r="ED315" s="110">
        <f t="shared" si="308"/>
        <v>7.5998139068462173E-2</v>
      </c>
      <c r="EE315" s="110">
        <f t="shared" si="308"/>
        <v>6.2270644932086484E-2</v>
      </c>
      <c r="EF315" s="110">
        <f t="shared" si="308"/>
        <v>9.5904479974728757E-2</v>
      </c>
      <c r="EG315" s="110">
        <f t="shared" si="308"/>
        <v>2.3571579311411014E-2</v>
      </c>
      <c r="EH315" s="111">
        <f t="shared" si="274"/>
        <v>8.9796492614899106E-4</v>
      </c>
      <c r="EI315" s="110">
        <f t="shared" si="321"/>
        <v>0.99910203507385087</v>
      </c>
      <c r="EK315" s="132">
        <f>(EA315*'Renewable Diesel'!BF324*'Feedstock Conversion Rates'!B$2)+FB315</f>
        <v>473.96067597534557</v>
      </c>
      <c r="EL315" s="132">
        <f>(EB315*'Renewable Diesel'!BF324*'Feedstock Conversion Rates'!B$3)+FC315</f>
        <v>1683.7284705708216</v>
      </c>
      <c r="EM315" s="132">
        <f>(EC315*'Renewable Diesel'!BF324*'Feedstock Conversion Rates'!B$4)+FD315</f>
        <v>8040.0839999879199</v>
      </c>
      <c r="EN315" s="132">
        <f>(ED315*'Renewable Diesel'!BF324*'Feedstock Conversion Rates'!B$5)+FE315</f>
        <v>1035.5480817349176</v>
      </c>
      <c r="EO315" s="132">
        <f>(EE315*'Renewable Diesel'!BF324*'Feedstock Conversion Rates'!B$6)+FF315</f>
        <v>1054.1600679316734</v>
      </c>
      <c r="EP315" s="132">
        <f>(EF315*'Renewable Diesel'!BF324*'Feedstock Conversion Rates'!B$7)+FG315</f>
        <v>1592.3813444975158</v>
      </c>
      <c r="EQ315" s="132">
        <f>(EG315*'Renewable Diesel'!BF324*'Feedstock Conversion Rates'!B$8)+FH315</f>
        <v>398.82311090054645</v>
      </c>
      <c r="ER315" s="132">
        <f>(EH315*'Renewable Diesel'!BF324*'Feedstock Conversion Rates'!B$9)+FI315</f>
        <v>14.990684549404664</v>
      </c>
      <c r="ES315" s="132">
        <f t="shared" si="275"/>
        <v>14293.676436148147</v>
      </c>
      <c r="ET315" s="133">
        <f>ES315/'Renewable Diesel'!BF324</f>
        <v>15.928755690587538</v>
      </c>
      <c r="EW315" s="73">
        <f t="shared" si="309"/>
        <v>13638.749581067748</v>
      </c>
      <c r="EX315" s="73">
        <f t="shared" si="310"/>
        <v>7841.6136322045868</v>
      </c>
      <c r="EY315" s="92">
        <f t="shared" si="258"/>
        <v>0.95418065757917159</v>
      </c>
      <c r="EZ315" s="92">
        <f t="shared" si="258"/>
        <v>0.54860718774726513</v>
      </c>
      <c r="FB315" s="102">
        <f>IF('Renewable Diesel'!$BG324&lt;1,0,(((('Renewable Diesel'!$BG324-1)*'Renewable Diesel'!$BF324)*'RD Feedstock Breakdown'!EA315)*'Feedstock Conversion Rates'!$B$2))</f>
        <v>238.30166704310562</v>
      </c>
      <c r="FC315" s="102">
        <f>IF('Renewable Diesel'!$BG324&lt;1,0,(((('Renewable Diesel'!$BG324-1)*'Renewable Diesel'!$BF324)*'RD Feedstock Breakdown'!EB315)*'Feedstock Conversion Rates'!$B$3))</f>
        <v>846.55820983308081</v>
      </c>
      <c r="FD315" s="102">
        <f>IF('Renewable Diesel'!$BG324&lt;1,0,(((('Renewable Diesel'!$BG324-1)*'Renewable Diesel'!$BF324)*'RD Feedstock Breakdown'!EC315)*'Feedstock Conversion Rates'!$B$4))</f>
        <v>4042.4565105974875</v>
      </c>
      <c r="FE315" s="102">
        <f>IF('Renewable Diesel'!$BG324&lt;1,0,(((('Renewable Diesel'!$BG324-1)*'Renewable Diesel'!$BF324)*'RD Feedstock Breakdown'!ED315)*'Feedstock Conversion Rates'!$B$5))</f>
        <v>520.66098874742431</v>
      </c>
      <c r="FF315" s="102">
        <f>IF('Renewable Diesel'!$BG324&lt;1,0,(((('Renewable Diesel'!$BG324-1)*'Renewable Diesel'!$BF324)*'RD Feedstock Breakdown'!EE315)*'Feedstock Conversion Rates'!$B$6))</f>
        <v>530.01886918453658</v>
      </c>
      <c r="FG315" s="102">
        <f>IF('Renewable Diesel'!$BG324&lt;1,0,(((('Renewable Diesel'!$BG324-1)*'Renewable Diesel'!$BF324)*'RD Feedstock Breakdown'!EF315)*'Feedstock Conversion Rates'!$B$7))</f>
        <v>800.62998513792081</v>
      </c>
      <c r="FH315" s="102">
        <f>IF('Renewable Diesel'!$BG324&lt;1,0,(((('Renewable Diesel'!$BG324-1)*'Renewable Diesel'!$BF324)*'RD Feedstock Breakdown'!EG315)*'Feedstock Conversion Rates'!$B$8))</f>
        <v>200.5234125960724</v>
      </c>
      <c r="FI315" s="102">
        <f>IF('Renewable Diesel'!$BG324&lt;1,0,(((('Renewable Diesel'!$BG324-1)*'Renewable Diesel'!$BF324)*'RD Feedstock Breakdown'!EH315)*'Feedstock Conversion Rates'!$B$9))</f>
        <v>7.5371339845634822</v>
      </c>
      <c r="FJ315" s="102">
        <f t="shared" si="311"/>
        <v>7186.6867771241914</v>
      </c>
      <c r="GD315" s="91">
        <f>'Renewable Diesel'!BB324*0.32</f>
        <v>0</v>
      </c>
      <c r="GE315" s="91">
        <f>'Renewable Diesel'!BC324</f>
        <v>357.4702276679468</v>
      </c>
      <c r="GF315" s="91">
        <f>'Renewable Diesel'!BD324</f>
        <v>0</v>
      </c>
      <c r="GG315" s="91">
        <f t="shared" si="295"/>
        <v>357.4702276679468</v>
      </c>
      <c r="GH315" s="124">
        <v>1</v>
      </c>
      <c r="GI315" s="102">
        <f>$GG315*EA315*'Feedstock Conversion Rates'!$B$2</f>
        <v>93.877567584235109</v>
      </c>
      <c r="GJ315" s="102">
        <f>$GG315*EB315*'Feedstock Conversion Rates'!$B$3</f>
        <v>333.49672515391404</v>
      </c>
      <c r="GK315" s="102">
        <f>$GG315*EC315*'Feedstock Conversion Rates'!$B$4</f>
        <v>1592.5024318495475</v>
      </c>
      <c r="GL315" s="102">
        <f>$GG315*ED315*'Feedstock Conversion Rates'!$B$5</f>
        <v>205.11139416733309</v>
      </c>
      <c r="GM315" s="102">
        <f>$GG315*EE315*'Feedstock Conversion Rates'!$B$6</f>
        <v>208.79787720406861</v>
      </c>
      <c r="GN315" s="102">
        <f>$GG315*EF315*'Feedstock Conversion Rates'!$B$7</f>
        <v>315.40356587666946</v>
      </c>
      <c r="GO315" s="102">
        <f>$GG315*EG315*'Feedstock Conversion Rates'!$B$8</f>
        <v>78.995042090092127</v>
      </c>
      <c r="GP315" s="102">
        <f>$GG315*EH315*'Feedstock Conversion Rates'!B$9</f>
        <v>2.9692104709418756</v>
      </c>
      <c r="GQ315" s="102">
        <f t="shared" si="276"/>
        <v>2831.1538143968019</v>
      </c>
      <c r="GR315" s="85">
        <f t="shared" si="293"/>
        <v>7.9199709381858048</v>
      </c>
      <c r="GT315" s="103">
        <f t="shared" si="254"/>
        <v>3.315876626231147E-2</v>
      </c>
      <c r="GU315" s="103">
        <f t="shared" si="254"/>
        <v>0.11779533964493126</v>
      </c>
      <c r="GV315" s="103">
        <f t="shared" si="254"/>
        <v>0.56249237457585533</v>
      </c>
      <c r="GW315" s="103">
        <f t="shared" si="254"/>
        <v>7.2447986797578343E-2</v>
      </c>
      <c r="GX315" s="103">
        <f t="shared" si="253"/>
        <v>7.3750100097812757E-2</v>
      </c>
      <c r="GY315" s="103">
        <f t="shared" si="253"/>
        <v>0.11140460270042533</v>
      </c>
      <c r="GZ315" s="103">
        <f t="shared" si="253"/>
        <v>2.7902066531458516E-2</v>
      </c>
      <c r="HA315" s="103">
        <f t="shared" si="251"/>
        <v>1.0487633896268851E-3</v>
      </c>
    </row>
    <row r="316" spans="1:209" x14ac:dyDescent="0.25">
      <c r="A316" s="96">
        <v>50041</v>
      </c>
      <c r="B316" s="104">
        <f t="shared" si="324"/>
        <v>16.75</v>
      </c>
      <c r="C316" s="104">
        <f t="shared" si="314"/>
        <v>49</v>
      </c>
      <c r="D316" s="104">
        <f t="shared" si="325"/>
        <v>2</v>
      </c>
      <c r="E316" s="104">
        <f>('Renewable Diesel'!B325*E$3*'Feedstock Conversion Rates'!$B$2)/12+26+13-100+27.5+39</f>
        <v>95.43</v>
      </c>
      <c r="F316" s="104">
        <f>('Renewable Diesel'!B325*'RD Feedstock Breakdown'!F$3*'Feedstock Conversion Rates'!B$8)/12+77+23-10-12-115.75+24+8</f>
        <v>48.15625</v>
      </c>
      <c r="G316" s="104">
        <f>('Renewable Diesel'!B325*'RD Feedstock Breakdown'!G$3*'Feedstock Conversion Rates'!B$7)/12+116.75-39-57.5-145-31.5+32+70-40+10-17.5-5</f>
        <v>69.407000000000039</v>
      </c>
      <c r="H316" s="104">
        <f>('Renewable Diesel'!B325*'RD Feedstock Breakdown'!H$3*'Feedstock Conversion Rates'!B$3)/12+67+10+12+3-235+20+47-20+135</f>
        <v>215.40022499999998</v>
      </c>
      <c r="I316" s="106">
        <f t="shared" si="291"/>
        <v>496.14347500000002</v>
      </c>
      <c r="J316" s="104">
        <f t="shared" si="326"/>
        <v>79</v>
      </c>
      <c r="K316" s="104"/>
      <c r="L316" s="104">
        <v>1</v>
      </c>
      <c r="M316" s="104">
        <f>('Renewable Diesel'!C325*'RD Feedstock Breakdown'!M$3*'Feedstock Conversion Rates'!B$2)/12</f>
        <v>7.7902500000000003</v>
      </c>
      <c r="N316" s="104">
        <f>('Renewable Diesel'!C325*'RD Feedstock Breakdown'!N$3*'Feedstock Conversion Rates'!B$8)/12</f>
        <v>3.671875</v>
      </c>
      <c r="O316" s="104">
        <f>('Renewable Diesel'!C325*'RD Feedstock Breakdown'!O$3*'Feedstock Conversion Rates'!B$7)/12</f>
        <v>11.9991</v>
      </c>
      <c r="P316" s="104">
        <f>('Renewable Diesel'!C325*'RD Feedstock Breakdown'!P$3*'Feedstock Conversion Rates'!B$3)/12</f>
        <v>10.4470425</v>
      </c>
      <c r="Q316" s="106">
        <f t="shared" si="299"/>
        <v>113.90826749999999</v>
      </c>
      <c r="R316" s="104">
        <f>('Renewable Diesel'!D325*'RD Feedstock Breakdown'!R$3*'Feedstock Conversion Rates'!B$7)/12</f>
        <v>2.2999999999999998</v>
      </c>
      <c r="S316" s="106">
        <f t="shared" si="249"/>
        <v>2.2999999999999998</v>
      </c>
      <c r="T316" s="104">
        <f t="shared" si="300"/>
        <v>0.82499999999999929</v>
      </c>
      <c r="U316" s="104"/>
      <c r="V316" s="104">
        <f>('Renewable Diesel'!E325*'RD Feedstock Breakdown'!V$3*'Feedstock Conversion Rates'!B$6)/12-20+25</f>
        <v>49.250150000000012</v>
      </c>
      <c r="W316" s="104">
        <f>('Renewable Diesel'!E325*'RD Feedstock Breakdown'!W$3*'Feedstock Conversion Rates'!B$8)/12-6</f>
        <v>16.1796875</v>
      </c>
      <c r="X316" s="106">
        <f t="shared" si="277"/>
        <v>66.254837500000008</v>
      </c>
      <c r="Y316" s="104">
        <f t="shared" si="301"/>
        <v>98</v>
      </c>
      <c r="Z316" s="104">
        <f>('Renewable Diesel'!F325*'RD Feedstock Breakdown'!Z$3*'Feedstock Conversion Rates'!B$6)/12-142+15+5+20+2.5</f>
        <v>59.960000000000008</v>
      </c>
      <c r="AA316" s="104">
        <f>('Renewable Diesel'!F325*'RD Feedstock Breakdown'!AA$3*'Feedstock Conversion Rates'!B$7)/12+24</f>
        <v>128.26666666666665</v>
      </c>
      <c r="AB316" s="106">
        <f t="shared" si="320"/>
        <v>286.22666666666669</v>
      </c>
      <c r="AC316" s="104">
        <f>('Renewable Diesel'!G325*'RD Feedstock Breakdown'!AC$3*'Feedstock Conversion Rates'!B$5)/12</f>
        <v>11.796875</v>
      </c>
      <c r="AD316" s="104">
        <f>('Renewable Diesel'!G325*'RD Feedstock Breakdown'!AD$3*'Feedstock Conversion Rates'!B$4)/12</f>
        <v>5.859375</v>
      </c>
      <c r="AE316" s="104">
        <f>('Renewable Diesel'!G325*'RD Feedstock Breakdown'!AE$3*'Feedstock Conversion Rates'!B$6)/12</f>
        <v>7.3281250000000009</v>
      </c>
      <c r="AF316" s="106">
        <f t="shared" si="284"/>
        <v>24.984375</v>
      </c>
      <c r="AG316" s="104">
        <f t="shared" si="306"/>
        <v>148</v>
      </c>
      <c r="AH316" s="104"/>
      <c r="AI316" s="104">
        <f>('Renewable Diesel'!H325*'RD Feedstock Breakdown'!AI$3*'Feedstock Conversion Rates'!B$6)/12-130-20+51-49</f>
        <v>0.51666666666667993</v>
      </c>
      <c r="AJ316" s="106">
        <f t="shared" si="248"/>
        <v>148.51666666666668</v>
      </c>
      <c r="AK316" s="104">
        <f>('Renewable Diesel'!J325*'RD Feedstock Breakdown'!AK$3*'Feedstock Conversion Rates'!B$4)/12</f>
        <v>95.8125</v>
      </c>
      <c r="AL316" s="106">
        <f t="shared" si="252"/>
        <v>95.8125</v>
      </c>
      <c r="AM316" s="104">
        <f>('Renewable Diesel'!K325*'RD Feedstock Breakdown'!AM$3*'Feedstock Conversion Rates'!B$4)/12+5+15-10+10</f>
        <v>78.59375</v>
      </c>
      <c r="AN316" s="104">
        <f>('Renewable Diesel'!K325*'RD Feedstock Breakdown'!AN$3*'Feedstock Conversion Rates'!B$6)/12-5-15+10-10</f>
        <v>4.4270833333333321</v>
      </c>
      <c r="AO316" s="106">
        <f t="shared" si="270"/>
        <v>83.020833333333329</v>
      </c>
      <c r="AP316" s="104">
        <f>('Renewable Diesel'!L325*'RD Feedstock Breakdown'!AP$3*'Feedstock Conversion Rates'!B$4)/12+15-10+15</f>
        <v>78.59375</v>
      </c>
      <c r="AQ316" s="104">
        <f>('Renewable Diesel'!L325*'RD Feedstock Breakdown'!AQ$3*'Feedstock Conversion Rates'!B$6)/12-15+10-15</f>
        <v>4.4270833333333321</v>
      </c>
      <c r="AR316" s="106">
        <f t="shared" si="256"/>
        <v>83.020833333333329</v>
      </c>
      <c r="AS316" s="104">
        <f>('Renewable Diesel'!M325*'RD Feedstock Breakdown'!AS$3*'Feedstock Conversion Rates'!B$4)/12-25</f>
        <v>431.25</v>
      </c>
      <c r="AT316" s="104">
        <f>('Renewable Diesel'!M325*'RD Feedstock Breakdown'!AT$3*'Feedstock Conversion Rates'!B$5)/12+25</f>
        <v>25</v>
      </c>
      <c r="AU316" s="106">
        <f t="shared" si="290"/>
        <v>456.25</v>
      </c>
      <c r="AV316" s="104">
        <f>'Renewable Diesel'!N325*'RD Feedstock Breakdown'!$AV$3*'Feedstock Conversion Rates'!$B$4/12-15-10+25+25-22+25</f>
        <v>106.74999999999999</v>
      </c>
      <c r="AW316" s="104">
        <f>'Renewable Diesel'!N325*'RD Feedstock Breakdown'!$AW$3*'Feedstock Conversion Rates'!$B$7/12+15+10-25-25+22-25</f>
        <v>13.400000000000006</v>
      </c>
      <c r="AX316" s="106">
        <f t="shared" si="322"/>
        <v>120.14999999999999</v>
      </c>
      <c r="AY316" s="104">
        <f>('Renewable Diesel'!O325*'RD Feedstock Breakdown'!AY$3*'Feedstock Conversion Rates'!B$4)/12</f>
        <v>210.9375</v>
      </c>
      <c r="AZ316" s="104">
        <f>('Renewable Diesel'!O325*'RD Feedstock Breakdown'!AZ$3*'Feedstock Conversion Rates'!B$3)/12</f>
        <v>25.03125</v>
      </c>
      <c r="BA316" s="106">
        <f t="shared" si="302"/>
        <v>235.96875</v>
      </c>
      <c r="BB316" s="104">
        <f>('Renewable Diesel'!Q325*'RD Feedstock Breakdown'!BB$3*'Feedstock Conversion Rates'!B$4)/12</f>
        <v>11.156249999999998</v>
      </c>
      <c r="BC316" s="104">
        <f>('Renewable Diesel'!Q325*'RD Feedstock Breakdown'!BC$3*'Feedstock Conversion Rates'!B$3)/12</f>
        <v>1.4017500000000001</v>
      </c>
      <c r="BD316" s="104">
        <f>('Renewable Diesel'!Q325*'RD Feedstock Breakdown'!BD$3*'Feedstock Conversion Rates'!B$6)/12</f>
        <v>0.8207500000000002</v>
      </c>
      <c r="BE316" s="106">
        <f t="shared" si="279"/>
        <v>13.378749999999998</v>
      </c>
      <c r="BF316" s="104">
        <f>('Renewable Diesel'!R325*'RD Feedstock Breakdown'!BF$3*'Feedstock Conversion Rates'!B$4)/12</f>
        <v>62.5</v>
      </c>
      <c r="BG316" s="106">
        <f t="shared" si="262"/>
        <v>62.5</v>
      </c>
      <c r="BH316" s="104">
        <f>('Renewable Diesel'!T325*'RD Feedstock Breakdown'!BH$3*'Feedstock Conversion Rates'!B$7)/12</f>
        <v>27.599999999999998</v>
      </c>
      <c r="BI316" s="106">
        <f t="shared" si="243"/>
        <v>27.599999999999998</v>
      </c>
      <c r="BJ316" s="104">
        <f>('Renewable Diesel'!W325*'RD Feedstock Breakdown'!BJ$3*'Feedstock Conversion Rates'!B$4)/12</f>
        <v>7.5</v>
      </c>
      <c r="BK316" s="104">
        <f>('Renewable Diesel'!W325*'RD Feedstock Breakdown'!BK$3*'Feedstock Conversion Rates'!B$3)/12</f>
        <v>1.335</v>
      </c>
      <c r="BL316" s="104">
        <f>('Renewable Diesel'!W325*'RD Feedstock Breakdown'!BL$3*'Feedstock Conversion Rates'!B$6)/12</f>
        <v>3.1266666666666669</v>
      </c>
      <c r="BM316" s="104">
        <f>('Renewable Diesel'!W325*'RD Feedstock Breakdown'!BM$3*'Feedstock Conversion Rates'!B$7)/12</f>
        <v>1.5333333333333332</v>
      </c>
      <c r="BN316" s="106">
        <f t="shared" si="296"/>
        <v>13.495000000000001</v>
      </c>
      <c r="BO316" s="104">
        <f>('Renewable Diesel'!P325*'Feedstock Conversion Rates'!B$4)/12</f>
        <v>31.25</v>
      </c>
      <c r="BP316" s="106">
        <f t="shared" si="285"/>
        <v>31.25</v>
      </c>
      <c r="BQ316" s="104">
        <f>('Renewable Diesel'!$S325*'RD Feedstock Breakdown'!BQ$3*'Feedstock Conversion Rates'!B$4)/12+10+15-15</f>
        <v>38.125</v>
      </c>
      <c r="BR316" s="104">
        <f>('Renewable Diesel'!$S325*'RD Feedstock Breakdown'!BR$3*'Feedstock Conversion Rates'!B$7)/12-10-15+15</f>
        <v>1.5</v>
      </c>
      <c r="BS316" s="106">
        <f t="shared" si="307"/>
        <v>39.625</v>
      </c>
      <c r="BT316" s="106"/>
      <c r="BU316" s="104">
        <f>('Renewable Diesel'!Y325*'Feedstock Conversion Rates'!B$7)/12</f>
        <v>2.6833333333333331</v>
      </c>
      <c r="BV316" s="106">
        <f t="shared" si="281"/>
        <v>2.6833333333333331</v>
      </c>
      <c r="BW316" s="104">
        <f>('Renewable Diesel'!$Z325*'RD Feedstock Breakdown'!BW$3*'Feedstock Conversion Rates'!$B$4)/12</f>
        <v>71.875</v>
      </c>
      <c r="BX316" s="104">
        <f>('Renewable Diesel'!$Z325*'RD Feedstock Breakdown'!BX$3*'Feedstock Conversion Rates'!$B$5)/12</f>
        <v>7.2354166666666666</v>
      </c>
      <c r="BY316" s="104">
        <f>('Renewable Diesel'!$Z325*'RD Feedstock Breakdown'!BY$3*'Feedstock Conversion Rates'!$B$7)/12</f>
        <v>61.716666666666661</v>
      </c>
      <c r="BZ316" s="104">
        <f>('Renewable Diesel'!$Z325*'RD Feedstock Breakdown'!BZ$3*'Feedstock Conversion Rates'!$B$3)/12</f>
        <v>15.352499999999999</v>
      </c>
      <c r="CA316" s="106">
        <f t="shared" si="312"/>
        <v>156.17958333333331</v>
      </c>
      <c r="CB316" s="104">
        <f>('Renewable Diesel'!AA325*'Feedstock Conversion Rates'!B$4)/12</f>
        <v>191.25</v>
      </c>
      <c r="CC316" s="106">
        <f t="shared" si="298"/>
        <v>191.25</v>
      </c>
      <c r="CD316" s="104">
        <f>('Renewable Diesel'!$AB325*'RD Feedstock Breakdown'!CD$3*'Feedstock Conversion Rates'!$B$6)/12-15-5</f>
        <v>12.830000000000005</v>
      </c>
      <c r="CE316" s="104">
        <f>('Renewable Diesel'!$AB325*'RD Feedstock Breakdown'!CE$3*'Feedstock Conversion Rates'!$B$4)/12+15+5</f>
        <v>31.25</v>
      </c>
      <c r="CF316" s="106">
        <f t="shared" si="294"/>
        <v>44.080000000000005</v>
      </c>
      <c r="CG316" s="104">
        <f>('Renewable Diesel'!AD325*'Feedstock Conversion Rates'!B$4)/12</f>
        <v>112.5</v>
      </c>
      <c r="CH316" s="106">
        <f t="shared" si="278"/>
        <v>112.5</v>
      </c>
      <c r="CI316" s="104">
        <f>('Renewable Diesel'!$AE325*'RD Feedstock Breakdown'!CI$3*'Feedstock Conversion Rates'!$B$5)/12</f>
        <v>0.34604166666666664</v>
      </c>
      <c r="CJ316" s="104">
        <f>('Renewable Diesel'!$AE325*'RD Feedstock Breakdown'!CJ$3*'Feedstock Conversion Rates'!$B$4)/12</f>
        <v>0.34375</v>
      </c>
      <c r="CK316" s="106">
        <f t="shared" si="286"/>
        <v>0.68979166666666658</v>
      </c>
      <c r="CL316" s="104">
        <f>(((CL$3*'Renewable Diesel'!$AF325)*'Feedstock Conversion Rates'!$B$3)/12)</f>
        <v>91.78125</v>
      </c>
      <c r="CM316" s="104">
        <f>(((CM$3*'Renewable Diesel'!$AF325)*'Feedstock Conversion Rates'!$B$6)/12)</f>
        <v>53.739583333333336</v>
      </c>
      <c r="CN316" s="104">
        <f>(((CN$3*'Renewable Diesel'!$AF325)*'Feedstock Conversion Rates'!$B$4)/12)</f>
        <v>42.96875</v>
      </c>
      <c r="CO316" s="106">
        <f t="shared" si="280"/>
        <v>188.48958333333334</v>
      </c>
      <c r="CP316" s="104">
        <f>('Renewable Diesel'!$AG325*'RD Feedstock Breakdown'!CP$3*'Feedstock Conversion Rates'!$B$3)/12</f>
        <v>6.0075000000000003</v>
      </c>
      <c r="CQ316" s="104">
        <f>('Renewable Diesel'!$AG325*'RD Feedstock Breakdown'!CQ$3*'Feedstock Conversion Rates'!$B$6)/12</f>
        <v>3.5175000000000001</v>
      </c>
      <c r="CR316" s="104">
        <f>('Renewable Diesel'!$AG325*'RD Feedstock Breakdown'!CR$3*'Feedstock Conversion Rates'!$B$4)/12</f>
        <v>2.8125</v>
      </c>
      <c r="CS316" s="106">
        <f t="shared" si="317"/>
        <v>12.3375</v>
      </c>
      <c r="CT316" s="104">
        <f>('Renewable Diesel'!AI325*'Feedstock Conversion Rates'!$B$4*'RD Feedstock Breakdown'!$CT$3)/12</f>
        <v>29.375</v>
      </c>
      <c r="CU316" s="106">
        <f t="shared" si="282"/>
        <v>29.375</v>
      </c>
      <c r="CV316" s="104">
        <f>('Renewable Diesel'!AN325*'Feedstock Conversion Rates'!$B$3*'RD Feedstock Breakdown'!$CV$3)/12</f>
        <v>0.50062499999999999</v>
      </c>
      <c r="CW316" s="106">
        <f t="shared" si="255"/>
        <v>0.50062499999999999</v>
      </c>
      <c r="CX316" s="104">
        <f>('Renewable Diesel'!AO325*'RD Feedstock Breakdown'!$CX$3*'Feedstock Conversion Rates'!$B$3)/12</f>
        <v>6.3412499999999996</v>
      </c>
      <c r="CY316" s="104">
        <f>('Renewable Diesel'!AO325*'RD Feedstock Breakdown'!$CY$3*'Feedstock Conversion Rates'!$B$6)/12</f>
        <v>7.4258333333333342</v>
      </c>
      <c r="CZ316" s="106">
        <f t="shared" si="318"/>
        <v>13.767083333333334</v>
      </c>
      <c r="DA316" s="104">
        <f>('Renewable Diesel'!$AP325*'RD Feedstock Breakdown'!DA$3*'Feedstock Conversion Rates'!$B$3)/12</f>
        <v>6.3412499999999996</v>
      </c>
      <c r="DB316" s="104">
        <f>('Renewable Diesel'!$AP325*'RD Feedstock Breakdown'!DB$3*'Feedstock Conversion Rates'!$B$8)/12</f>
        <v>7.421875</v>
      </c>
      <c r="DC316" s="106">
        <f t="shared" si="260"/>
        <v>13.763124999999999</v>
      </c>
      <c r="DD316" s="104">
        <f>('Renewable Diesel'!AQ325*$DD$3*'Feedstock Conversion Rates'!$B$14)/12</f>
        <v>3.1041666666666665</v>
      </c>
      <c r="DE316" s="106">
        <f t="shared" si="261"/>
        <v>3.1041666666666665</v>
      </c>
      <c r="DF316" s="104">
        <f>('Renewable Diesel'!AR325*'Feedstock Conversion Rates'!$B$4*$DF$3)/12</f>
        <v>75</v>
      </c>
      <c r="DG316" s="106">
        <f t="shared" si="319"/>
        <v>75</v>
      </c>
      <c r="DH316" s="104">
        <f>('Renewable Diesel'!AS325*'Feedstock Conversion Rates'!$B$4*$DH$3)/12</f>
        <v>75</v>
      </c>
      <c r="DI316" s="106">
        <f t="shared" si="323"/>
        <v>75</v>
      </c>
      <c r="DJ316" s="104">
        <f>('Renewable Diesel'!AT325*'Feedstock Conversion Rates'!$B$4*0.25)/12</f>
        <v>8.59375</v>
      </c>
      <c r="DK316" s="104">
        <f>('Renewable Diesel'!$AT325*'RD Feedstock Breakdown'!DK$3*'Feedstock Conversion Rates'!$B$3)/12*0.5</f>
        <v>9.1781249999999996</v>
      </c>
      <c r="DL316" s="104">
        <f>('Renewable Diesel'!$AT325*'RD Feedstock Breakdown'!$DL$3*'Feedstock Conversion Rates'!$B$6)/12</f>
        <v>10.747916666666669</v>
      </c>
      <c r="DM316" s="104">
        <f>('Renewable Diesel'!$AT325*'RD Feedstock Breakdown'!$DM$3*'Feedstock Conversion Rates'!$B$8)/12</f>
        <v>10.7421875</v>
      </c>
      <c r="DN316" s="106">
        <f t="shared" si="297"/>
        <v>39.26197916666667</v>
      </c>
      <c r="DP316" s="104">
        <f t="shared" si="265"/>
        <v>103.22025000000001</v>
      </c>
      <c r="DQ316" s="104">
        <f t="shared" si="266"/>
        <v>389.11776750000001</v>
      </c>
      <c r="DR316" s="104">
        <f t="shared" si="271"/>
        <v>1984.453125</v>
      </c>
      <c r="DS316" s="104">
        <f t="shared" si="283"/>
        <v>253.90125</v>
      </c>
      <c r="DT316" s="104">
        <f t="shared" si="267"/>
        <v>225.53923333333341</v>
      </c>
      <c r="DU316" s="104">
        <f t="shared" si="268"/>
        <v>320.40610000000004</v>
      </c>
      <c r="DV316" s="104">
        <f t="shared" si="272"/>
        <v>78.75</v>
      </c>
      <c r="DW316" s="104">
        <f t="shared" si="269"/>
        <v>3</v>
      </c>
      <c r="DX316" s="106">
        <f t="shared" si="273"/>
        <v>3358.3877258333337</v>
      </c>
      <c r="DY316" s="109">
        <f t="shared" si="257"/>
        <v>-5.631051180898794E-13</v>
      </c>
      <c r="EA316" s="110">
        <f t="shared" si="313"/>
        <v>3.0735060519073164E-2</v>
      </c>
      <c r="EB316" s="110">
        <f t="shared" si="313"/>
        <v>0.11586445618140957</v>
      </c>
      <c r="EC316" s="110">
        <f t="shared" si="313"/>
        <v>0.59089458603460909</v>
      </c>
      <c r="ED316" s="110">
        <f t="shared" si="308"/>
        <v>7.5602125402896472E-2</v>
      </c>
      <c r="EE316" s="110">
        <f t="shared" si="308"/>
        <v>6.7156996673863573E-2</v>
      </c>
      <c r="EF316" s="110">
        <f t="shared" si="308"/>
        <v>9.5404737676766035E-2</v>
      </c>
      <c r="EG316" s="110">
        <f t="shared" si="308"/>
        <v>2.3448751731147827E-2</v>
      </c>
      <c r="EH316" s="111">
        <f t="shared" si="274"/>
        <v>8.9328578023420294E-4</v>
      </c>
      <c r="EI316" s="110">
        <f t="shared" si="321"/>
        <v>0.99910671421976571</v>
      </c>
      <c r="EK316" s="132">
        <f>(EA316*'Renewable Diesel'!BF325*'Feedstock Conversion Rates'!B$2)+FB316</f>
        <v>174.58742574825456</v>
      </c>
      <c r="EL316" s="132">
        <f>(EB316*'Renewable Diesel'!BF325*'Feedstock Conversion Rates'!B$3)+FC316</f>
        <v>620.21563019143093</v>
      </c>
      <c r="EM316" s="132">
        <f>(EC316*'Renewable Diesel'!BF325*'Feedstock Conversion Rates'!B$4)+FD316</f>
        <v>2961.6329782402408</v>
      </c>
      <c r="EN316" s="132">
        <f>(ED316*'Renewable Diesel'!BF325*'Feedstock Conversion Rates'!B$5)+FE316</f>
        <v>381.45289892794153</v>
      </c>
      <c r="EO316" s="132">
        <f>(EE316*'Renewable Diesel'!BF325*'Feedstock Conversion Rates'!B$6)+FF316</f>
        <v>420.97283037595605</v>
      </c>
      <c r="EP316" s="132">
        <f>(EF316*'Renewable Diesel'!BF325*'Feedstock Conversion Rates'!B$7)+FG316</f>
        <v>586.5671433041573</v>
      </c>
      <c r="EQ316" s="132">
        <f>(EG316*'Renewable Diesel'!BF325*'Feedstock Conversion Rates'!B$8)+FH316</f>
        <v>146.90986782342048</v>
      </c>
      <c r="ER316" s="132">
        <f>(EH316*'Renewable Diesel'!BF325*'Feedstock Conversion Rates'!B$9)+FI316</f>
        <v>5.5219455080295194</v>
      </c>
      <c r="ES316" s="132">
        <f t="shared" si="275"/>
        <v>5297.8607201194309</v>
      </c>
      <c r="ET316" s="133">
        <f>ES316/'Renewable Diesel'!BF325</f>
        <v>9.5443953248777138</v>
      </c>
      <c r="EW316" s="73">
        <f t="shared" si="309"/>
        <v>3909.4031711503412</v>
      </c>
      <c r="EX316" s="73">
        <f t="shared" si="310"/>
        <v>2285.9128513898099</v>
      </c>
      <c r="EY316" s="92">
        <f t="shared" si="258"/>
        <v>0.73792109262211991</v>
      </c>
      <c r="EZ316" s="92">
        <f t="shared" si="258"/>
        <v>0.43147847256699456</v>
      </c>
      <c r="FB316" s="102">
        <f>IF('Renewable Diesel'!$BG325&lt;1,0,(((('Renewable Diesel'!$BG325-1)*'Renewable Diesel'!$BF325)*'RD Feedstock Breakdown'!EA316)*'Feedstock Conversion Rates'!$B$2))</f>
        <v>29.575034009241111</v>
      </c>
      <c r="FC316" s="102">
        <f>IF('Renewable Diesel'!$BG325&lt;1,0,(((('Renewable Diesel'!$BG325-1)*'Renewable Diesel'!$BF325)*'RD Feedstock Breakdown'!EB316)*'Feedstock Conversion Rates'!$B$3))</f>
        <v>105.06425807792097</v>
      </c>
      <c r="FD316" s="102">
        <f>IF('Renewable Diesel'!$BG325&lt;1,0,(((('Renewable Diesel'!$BG325-1)*'Renewable Diesel'!$BF325)*'RD Feedstock Breakdown'!EC316)*'Feedstock Conversion Rates'!$B$4))</f>
        <v>501.69933876363865</v>
      </c>
      <c r="FE316" s="102">
        <f>IF('Renewable Diesel'!$BG325&lt;1,0,(((('Renewable Diesel'!$BG325-1)*'Renewable Diesel'!$BF325)*'RD Feedstock Breakdown'!ED316)*'Feedstock Conversion Rates'!$B$5))</f>
        <v>64.617955218520478</v>
      </c>
      <c r="FF316" s="102">
        <f>IF('Renewable Diesel'!$BG325&lt;1,0,(((('Renewable Diesel'!$BG325-1)*'Renewable Diesel'!$BF325)*'RD Feedstock Breakdown'!EE316)*'Feedstock Conversion Rates'!$B$6))</f>
        <v>71.312614422117761</v>
      </c>
      <c r="FG316" s="102">
        <f>IF('Renewable Diesel'!$BG325&lt;1,0,(((('Renewable Diesel'!$BG325-1)*'Renewable Diesel'!$BF325)*'RD Feedstock Breakdown'!EF316)*'Feedstock Conversion Rates'!$B$7))</f>
        <v>99.36421902994519</v>
      </c>
      <c r="FH316" s="102">
        <f>IF('Renewable Diesel'!$BG325&lt;1,0,(((('Renewable Diesel'!$BG325-1)*'Renewable Diesel'!$BF325)*'RD Feedstock Breakdown'!EG316)*'Feedstock Conversion Rates'!$B$8))</f>
        <v>24.886467731277694</v>
      </c>
      <c r="FI316" s="102">
        <f>IF('Renewable Diesel'!$BG325&lt;1,0,(((('Renewable Diesel'!$BG325-1)*'Renewable Diesel'!$BF325)*'RD Feedstock Breakdown'!EH316)*'Feedstock Conversion Rates'!$B$9))</f>
        <v>0.9354151680581837</v>
      </c>
      <c r="FJ316" s="102">
        <f t="shared" si="311"/>
        <v>897.45530242072005</v>
      </c>
      <c r="GD316" s="91">
        <f>'Renewable Diesel'!BB325*0.32</f>
        <v>0</v>
      </c>
      <c r="GE316" s="91">
        <f>'Renewable Diesel'!BC325</f>
        <v>233.71817831806746</v>
      </c>
      <c r="GF316" s="91">
        <f>'Renewable Diesel'!BD325</f>
        <v>0</v>
      </c>
      <c r="GG316" s="91">
        <f t="shared" si="295"/>
        <v>233.71817831806746</v>
      </c>
      <c r="GH316" s="124">
        <v>1</v>
      </c>
      <c r="GI316" s="102">
        <f>$GG316*EA316*'Feedstock Conversion Rates'!$B$2</f>
        <v>61.058410017613362</v>
      </c>
      <c r="GJ316" s="102">
        <f>$GG316*EB316*'Feedstock Conversion Rates'!$B$3</f>
        <v>216.9078333405661</v>
      </c>
      <c r="GK316" s="102">
        <f>$GG316*EC316*'Feedstock Conversion Rates'!$B$4</f>
        <v>1035.7710466951307</v>
      </c>
      <c r="GL316" s="102">
        <f>$GG316*ED316*'Feedstock Conversion Rates'!$B$5</f>
        <v>133.40541224734986</v>
      </c>
      <c r="GM316" s="102">
        <f>$GG316*EE316*'Feedstock Conversion Rates'!$B$6</f>
        <v>147.2267064664438</v>
      </c>
      <c r="GN316" s="102">
        <f>$GG316*EF316*'Feedstock Conversion Rates'!$B$7</f>
        <v>205.13995773308704</v>
      </c>
      <c r="GO316" s="102">
        <f>$GG316*EG316*'Feedstock Conversion Rates'!$B$8</f>
        <v>51.3787456728422</v>
      </c>
      <c r="GP316" s="102">
        <f>$GG316*EH316*'Feedstock Conversion Rates'!B$9</f>
        <v>1.9311884087823861</v>
      </c>
      <c r="GQ316" s="102">
        <f t="shared" si="276"/>
        <v>1852.8193005818155</v>
      </c>
      <c r="GR316" s="85">
        <f t="shared" si="293"/>
        <v>7.9275789068504148</v>
      </c>
      <c r="GT316" s="103">
        <f t="shared" si="254"/>
        <v>3.2954325334607661E-2</v>
      </c>
      <c r="GU316" s="103">
        <f t="shared" si="254"/>
        <v>0.11706907050917136</v>
      </c>
      <c r="GV316" s="103">
        <f t="shared" si="254"/>
        <v>0.55902431843724953</v>
      </c>
      <c r="GW316" s="103">
        <f t="shared" si="254"/>
        <v>7.2001307523868296E-2</v>
      </c>
      <c r="GX316" s="103">
        <f t="shared" si="253"/>
        <v>7.9460909339735514E-2</v>
      </c>
      <c r="GY316" s="103">
        <f t="shared" si="253"/>
        <v>0.11071773576013039</v>
      </c>
      <c r="GZ316" s="103">
        <f t="shared" si="253"/>
        <v>2.7730035873821283E-2</v>
      </c>
      <c r="HA316" s="103">
        <f t="shared" si="251"/>
        <v>1.0422972214160127E-3</v>
      </c>
    </row>
    <row r="317" spans="1:209" x14ac:dyDescent="0.25">
      <c r="A317" s="96">
        <v>50072</v>
      </c>
      <c r="B317" s="104">
        <f t="shared" si="324"/>
        <v>16.75</v>
      </c>
      <c r="C317" s="104">
        <f t="shared" si="314"/>
        <v>49</v>
      </c>
      <c r="D317" s="104">
        <f t="shared" si="325"/>
        <v>2</v>
      </c>
      <c r="E317" s="104">
        <f>('Renewable Diesel'!B326*E$3*'Feedstock Conversion Rates'!$B$2)/12+26+13-100+27.5+39</f>
        <v>95.43</v>
      </c>
      <c r="F317" s="104">
        <f>('Renewable Diesel'!B326*'RD Feedstock Breakdown'!F$3*'Feedstock Conversion Rates'!B$8)/12+77+23-10-12-115.75+24+8</f>
        <v>48.15625</v>
      </c>
      <c r="G317" s="104">
        <f>('Renewable Diesel'!B326*'RD Feedstock Breakdown'!G$3*'Feedstock Conversion Rates'!B$7)/12+116.75-39-57.5-145-31.5+32+70-40+10-17.5-5</f>
        <v>69.407000000000039</v>
      </c>
      <c r="H317" s="104">
        <f>('Renewable Diesel'!B326*'RD Feedstock Breakdown'!H$3*'Feedstock Conversion Rates'!B$3)/12+67+10+12+3-235+20+47-20+135</f>
        <v>215.40022499999998</v>
      </c>
      <c r="I317" s="106">
        <f t="shared" si="291"/>
        <v>496.14347500000002</v>
      </c>
      <c r="J317" s="104">
        <f t="shared" si="326"/>
        <v>79</v>
      </c>
      <c r="K317" s="104"/>
      <c r="L317" s="104">
        <v>1</v>
      </c>
      <c r="M317" s="104">
        <f>('Renewable Diesel'!C326*'RD Feedstock Breakdown'!M$3*'Feedstock Conversion Rates'!B$2)/12</f>
        <v>7.7902500000000003</v>
      </c>
      <c r="N317" s="104">
        <f>('Renewable Diesel'!C326*'RD Feedstock Breakdown'!N$3*'Feedstock Conversion Rates'!B$8)/12</f>
        <v>3.671875</v>
      </c>
      <c r="O317" s="104">
        <f>('Renewable Diesel'!C326*'RD Feedstock Breakdown'!O$3*'Feedstock Conversion Rates'!B$7)/12</f>
        <v>11.9991</v>
      </c>
      <c r="P317" s="104">
        <f>('Renewable Diesel'!C326*'RD Feedstock Breakdown'!P$3*'Feedstock Conversion Rates'!B$3)/12</f>
        <v>10.4470425</v>
      </c>
      <c r="Q317" s="106">
        <f t="shared" si="299"/>
        <v>113.90826749999999</v>
      </c>
      <c r="R317" s="104">
        <f>('Renewable Diesel'!D326*'RD Feedstock Breakdown'!R$3*'Feedstock Conversion Rates'!B$7)/12</f>
        <v>2.2999999999999998</v>
      </c>
      <c r="S317" s="106">
        <f t="shared" si="249"/>
        <v>2.2999999999999998</v>
      </c>
      <c r="T317" s="104">
        <f t="shared" si="300"/>
        <v>0.82499999999999929</v>
      </c>
      <c r="U317" s="104"/>
      <c r="V317" s="104">
        <f>('Renewable Diesel'!E326*'RD Feedstock Breakdown'!V$3*'Feedstock Conversion Rates'!B$6)/12-20+25</f>
        <v>49.250150000000012</v>
      </c>
      <c r="W317" s="104">
        <f>('Renewable Diesel'!E326*'RD Feedstock Breakdown'!W$3*'Feedstock Conversion Rates'!B$8)/12-6</f>
        <v>16.1796875</v>
      </c>
      <c r="X317" s="106">
        <f t="shared" si="277"/>
        <v>66.254837500000008</v>
      </c>
      <c r="Y317" s="104">
        <f t="shared" si="301"/>
        <v>98</v>
      </c>
      <c r="Z317" s="104">
        <f>('Renewable Diesel'!F326*'RD Feedstock Breakdown'!Z$3*'Feedstock Conversion Rates'!B$6)/12-142+15+5+20+2.5</f>
        <v>59.960000000000008</v>
      </c>
      <c r="AA317" s="104">
        <f>('Renewable Diesel'!F326*'RD Feedstock Breakdown'!AA$3*'Feedstock Conversion Rates'!B$7)/12+24</f>
        <v>128.26666666666665</v>
      </c>
      <c r="AB317" s="106">
        <f t="shared" si="320"/>
        <v>286.22666666666669</v>
      </c>
      <c r="AC317" s="104">
        <f>('Renewable Diesel'!G326*'RD Feedstock Breakdown'!AC$3*'Feedstock Conversion Rates'!B$5)/12</f>
        <v>11.796875</v>
      </c>
      <c r="AD317" s="104">
        <f>('Renewable Diesel'!G326*'RD Feedstock Breakdown'!AD$3*'Feedstock Conversion Rates'!B$4)/12</f>
        <v>5.859375</v>
      </c>
      <c r="AE317" s="104">
        <f>('Renewable Diesel'!G326*'RD Feedstock Breakdown'!AE$3*'Feedstock Conversion Rates'!B$6)/12</f>
        <v>7.3281250000000009</v>
      </c>
      <c r="AF317" s="106">
        <f t="shared" si="284"/>
        <v>24.984375</v>
      </c>
      <c r="AG317" s="104">
        <f t="shared" si="306"/>
        <v>148</v>
      </c>
      <c r="AH317" s="104"/>
      <c r="AI317" s="104">
        <f>('Renewable Diesel'!H326*'RD Feedstock Breakdown'!AI$3*'Feedstock Conversion Rates'!B$6)/12-130-20+51-49</f>
        <v>0.51666666666667993</v>
      </c>
      <c r="AJ317" s="106">
        <f t="shared" si="248"/>
        <v>148.51666666666668</v>
      </c>
      <c r="AK317" s="104">
        <f>('Renewable Diesel'!J326*'RD Feedstock Breakdown'!AK$3*'Feedstock Conversion Rates'!B$4)/12</f>
        <v>95.8125</v>
      </c>
      <c r="AL317" s="106">
        <f t="shared" si="252"/>
        <v>95.8125</v>
      </c>
      <c r="AM317" s="104">
        <f>('Renewable Diesel'!K326*'RD Feedstock Breakdown'!AM$3*'Feedstock Conversion Rates'!B$4)/12+5+15-10+10</f>
        <v>78.59375</v>
      </c>
      <c r="AN317" s="104">
        <f>('Renewable Diesel'!K326*'RD Feedstock Breakdown'!AN$3*'Feedstock Conversion Rates'!B$6)/12-5-15+10-10</f>
        <v>4.4270833333333321</v>
      </c>
      <c r="AO317" s="106">
        <f t="shared" si="270"/>
        <v>83.020833333333329</v>
      </c>
      <c r="AP317" s="104">
        <f>('Renewable Diesel'!L326*'RD Feedstock Breakdown'!AP$3*'Feedstock Conversion Rates'!B$4)/12+15-10+15</f>
        <v>78.59375</v>
      </c>
      <c r="AQ317" s="104">
        <f>('Renewable Diesel'!L326*'RD Feedstock Breakdown'!AQ$3*'Feedstock Conversion Rates'!B$6)/12-15+10-15</f>
        <v>4.4270833333333321</v>
      </c>
      <c r="AR317" s="106">
        <f t="shared" si="256"/>
        <v>83.020833333333329</v>
      </c>
      <c r="AS317" s="104">
        <f>('Renewable Diesel'!M326*'RD Feedstock Breakdown'!AS$3*'Feedstock Conversion Rates'!B$4)/12-25</f>
        <v>431.25</v>
      </c>
      <c r="AT317" s="104">
        <f>('Renewable Diesel'!M326*'RD Feedstock Breakdown'!AT$3*'Feedstock Conversion Rates'!B$5)/12+25</f>
        <v>25</v>
      </c>
      <c r="AU317" s="106">
        <f t="shared" si="290"/>
        <v>456.25</v>
      </c>
      <c r="AV317" s="104">
        <f>'Renewable Diesel'!N326*'RD Feedstock Breakdown'!$AV$3*'Feedstock Conversion Rates'!$B$4/12-15-10+25+25-22+25</f>
        <v>106.74999999999999</v>
      </c>
      <c r="AW317" s="104">
        <f>'Renewable Diesel'!N326*'RD Feedstock Breakdown'!$AW$3*'Feedstock Conversion Rates'!$B$7/12+15+10-25-25+22-25</f>
        <v>13.400000000000006</v>
      </c>
      <c r="AX317" s="106">
        <f t="shared" si="322"/>
        <v>120.14999999999999</v>
      </c>
      <c r="AY317" s="104">
        <f>('Renewable Diesel'!O326*'RD Feedstock Breakdown'!AY$3*'Feedstock Conversion Rates'!B$4)/12</f>
        <v>210.9375</v>
      </c>
      <c r="AZ317" s="104">
        <f>('Renewable Diesel'!O326*'RD Feedstock Breakdown'!AZ$3*'Feedstock Conversion Rates'!B$3)/12</f>
        <v>25.03125</v>
      </c>
      <c r="BA317" s="106">
        <f t="shared" si="302"/>
        <v>235.96875</v>
      </c>
      <c r="BB317" s="104">
        <f>('Renewable Diesel'!Q326*'RD Feedstock Breakdown'!BB$3*'Feedstock Conversion Rates'!B$4)/12</f>
        <v>11.156249999999998</v>
      </c>
      <c r="BC317" s="104">
        <f>('Renewable Diesel'!Q326*'RD Feedstock Breakdown'!BC$3*'Feedstock Conversion Rates'!B$3)/12</f>
        <v>1.4017500000000001</v>
      </c>
      <c r="BD317" s="104">
        <f>('Renewable Diesel'!Q326*'RD Feedstock Breakdown'!BD$3*'Feedstock Conversion Rates'!B$6)/12</f>
        <v>0.8207500000000002</v>
      </c>
      <c r="BE317" s="106">
        <f t="shared" si="279"/>
        <v>13.378749999999998</v>
      </c>
      <c r="BF317" s="104">
        <f>('Renewable Diesel'!R326*'RD Feedstock Breakdown'!BF$3*'Feedstock Conversion Rates'!B$4)/12</f>
        <v>62.5</v>
      </c>
      <c r="BG317" s="106">
        <f t="shared" si="262"/>
        <v>62.5</v>
      </c>
      <c r="BH317" s="104">
        <f>('Renewable Diesel'!T326*'RD Feedstock Breakdown'!BH$3*'Feedstock Conversion Rates'!B$7)/12</f>
        <v>27.599999999999998</v>
      </c>
      <c r="BI317" s="106">
        <f t="shared" ref="BI317:BI380" si="327">BH317</f>
        <v>27.599999999999998</v>
      </c>
      <c r="BJ317" s="104">
        <f>('Renewable Diesel'!W326*'RD Feedstock Breakdown'!BJ$3*'Feedstock Conversion Rates'!B$4)/12</f>
        <v>7.5</v>
      </c>
      <c r="BK317" s="104">
        <f>('Renewable Diesel'!W326*'RD Feedstock Breakdown'!BK$3*'Feedstock Conversion Rates'!B$3)/12</f>
        <v>1.335</v>
      </c>
      <c r="BL317" s="104">
        <f>('Renewable Diesel'!W326*'RD Feedstock Breakdown'!BL$3*'Feedstock Conversion Rates'!B$6)/12</f>
        <v>3.1266666666666669</v>
      </c>
      <c r="BM317" s="104">
        <f>('Renewable Diesel'!W326*'RD Feedstock Breakdown'!BM$3*'Feedstock Conversion Rates'!B$7)/12</f>
        <v>1.5333333333333332</v>
      </c>
      <c r="BN317" s="106">
        <f t="shared" si="296"/>
        <v>13.495000000000001</v>
      </c>
      <c r="BO317" s="104">
        <f>('Renewable Diesel'!P326*'Feedstock Conversion Rates'!B$4)/12</f>
        <v>31.25</v>
      </c>
      <c r="BP317" s="106">
        <f t="shared" si="285"/>
        <v>31.25</v>
      </c>
      <c r="BQ317" s="104">
        <f>('Renewable Diesel'!$S326*'RD Feedstock Breakdown'!BQ$3*'Feedstock Conversion Rates'!B$4)/12+10+15-15</f>
        <v>38.125</v>
      </c>
      <c r="BR317" s="104">
        <f>('Renewable Diesel'!$S326*'RD Feedstock Breakdown'!BR$3*'Feedstock Conversion Rates'!B$7)/12-10-15+15</f>
        <v>1.5</v>
      </c>
      <c r="BS317" s="106">
        <f t="shared" si="307"/>
        <v>39.625</v>
      </c>
      <c r="BT317" s="106"/>
      <c r="BU317" s="104">
        <f>('Renewable Diesel'!Y326*'Feedstock Conversion Rates'!B$7)/12</f>
        <v>2.6833333333333331</v>
      </c>
      <c r="BV317" s="106">
        <f t="shared" si="281"/>
        <v>2.6833333333333331</v>
      </c>
      <c r="BW317" s="104">
        <f>('Renewable Diesel'!$Z326*'RD Feedstock Breakdown'!BW$3*'Feedstock Conversion Rates'!$B$4)/12</f>
        <v>71.875</v>
      </c>
      <c r="BX317" s="104">
        <f>('Renewable Diesel'!$Z326*'RD Feedstock Breakdown'!BX$3*'Feedstock Conversion Rates'!$B$5)/12</f>
        <v>7.2354166666666666</v>
      </c>
      <c r="BY317" s="104">
        <f>('Renewable Diesel'!$Z326*'RD Feedstock Breakdown'!BY$3*'Feedstock Conversion Rates'!$B$7)/12</f>
        <v>61.716666666666661</v>
      </c>
      <c r="BZ317" s="104">
        <f>('Renewable Diesel'!$Z326*'RD Feedstock Breakdown'!BZ$3*'Feedstock Conversion Rates'!$B$3)/12</f>
        <v>15.352499999999999</v>
      </c>
      <c r="CA317" s="106">
        <f t="shared" si="312"/>
        <v>156.17958333333331</v>
      </c>
      <c r="CB317" s="104">
        <f>('Renewable Diesel'!AA326*'Feedstock Conversion Rates'!B$4)/12</f>
        <v>191.25</v>
      </c>
      <c r="CC317" s="106">
        <f t="shared" si="298"/>
        <v>191.25</v>
      </c>
      <c r="CD317" s="104">
        <f>('Renewable Diesel'!$AB326*'RD Feedstock Breakdown'!CD$3*'Feedstock Conversion Rates'!$B$6)/12-15-5</f>
        <v>12.830000000000005</v>
      </c>
      <c r="CE317" s="104">
        <f>('Renewable Diesel'!$AB326*'RD Feedstock Breakdown'!CE$3*'Feedstock Conversion Rates'!$B$4)/12+15+5</f>
        <v>31.25</v>
      </c>
      <c r="CF317" s="106">
        <f t="shared" si="294"/>
        <v>44.080000000000005</v>
      </c>
      <c r="CG317" s="104">
        <f>('Renewable Diesel'!AD326*'Feedstock Conversion Rates'!B$4)/12</f>
        <v>112.5</v>
      </c>
      <c r="CH317" s="106">
        <f t="shared" si="278"/>
        <v>112.5</v>
      </c>
      <c r="CI317" s="104">
        <f>('Renewable Diesel'!$AE326*'RD Feedstock Breakdown'!CI$3*'Feedstock Conversion Rates'!$B$5)/12</f>
        <v>0.34604166666666664</v>
      </c>
      <c r="CJ317" s="104">
        <f>('Renewable Diesel'!$AE326*'RD Feedstock Breakdown'!CJ$3*'Feedstock Conversion Rates'!$B$4)/12</f>
        <v>0.34375</v>
      </c>
      <c r="CK317" s="106">
        <f t="shared" si="286"/>
        <v>0.68979166666666658</v>
      </c>
      <c r="CL317" s="104">
        <f>(((CL$3*'Renewable Diesel'!$AF326)*'Feedstock Conversion Rates'!$B$3)/12)</f>
        <v>91.78125</v>
      </c>
      <c r="CM317" s="104">
        <f>(((CM$3*'Renewable Diesel'!$AF326)*'Feedstock Conversion Rates'!$B$6)/12)</f>
        <v>53.739583333333336</v>
      </c>
      <c r="CN317" s="104">
        <f>(((CN$3*'Renewable Diesel'!$AF326)*'Feedstock Conversion Rates'!$B$4)/12)</f>
        <v>42.96875</v>
      </c>
      <c r="CO317" s="106">
        <f t="shared" si="280"/>
        <v>188.48958333333334</v>
      </c>
      <c r="CP317" s="104">
        <f>('Renewable Diesel'!$AG326*'RD Feedstock Breakdown'!CP$3*'Feedstock Conversion Rates'!$B$3)/12</f>
        <v>6.0075000000000003</v>
      </c>
      <c r="CQ317" s="104">
        <f>('Renewable Diesel'!$AG326*'RD Feedstock Breakdown'!CQ$3*'Feedstock Conversion Rates'!$B$6)/12</f>
        <v>3.5175000000000001</v>
      </c>
      <c r="CR317" s="104">
        <f>('Renewable Diesel'!$AG326*'RD Feedstock Breakdown'!CR$3*'Feedstock Conversion Rates'!$B$4)/12</f>
        <v>2.8125</v>
      </c>
      <c r="CS317" s="106">
        <f t="shared" si="317"/>
        <v>12.3375</v>
      </c>
      <c r="CT317" s="104">
        <f>('Renewable Diesel'!AI326*'Feedstock Conversion Rates'!$B$4*'RD Feedstock Breakdown'!$CT$3)/12</f>
        <v>29.375</v>
      </c>
      <c r="CU317" s="106">
        <f t="shared" si="282"/>
        <v>29.375</v>
      </c>
      <c r="CV317" s="104">
        <f>('Renewable Diesel'!AN326*'Feedstock Conversion Rates'!$B$3*'RD Feedstock Breakdown'!$CV$3)/12</f>
        <v>0.50062499999999999</v>
      </c>
      <c r="CW317" s="106">
        <f t="shared" si="255"/>
        <v>0.50062499999999999</v>
      </c>
      <c r="CX317" s="104">
        <f>('Renewable Diesel'!AO326*'RD Feedstock Breakdown'!$CX$3*'Feedstock Conversion Rates'!$B$3)/12</f>
        <v>6.3412499999999996</v>
      </c>
      <c r="CY317" s="104">
        <f>('Renewable Diesel'!AO326*'RD Feedstock Breakdown'!$CY$3*'Feedstock Conversion Rates'!$B$6)/12</f>
        <v>7.4258333333333342</v>
      </c>
      <c r="CZ317" s="106">
        <f t="shared" si="318"/>
        <v>13.767083333333334</v>
      </c>
      <c r="DA317" s="104">
        <f>('Renewable Diesel'!$AP326*'RD Feedstock Breakdown'!DA$3*'Feedstock Conversion Rates'!$B$3)/12</f>
        <v>6.3412499999999996</v>
      </c>
      <c r="DB317" s="104">
        <f>('Renewable Diesel'!$AP326*'RD Feedstock Breakdown'!DB$3*'Feedstock Conversion Rates'!$B$8)/12</f>
        <v>7.421875</v>
      </c>
      <c r="DC317" s="106">
        <f t="shared" si="260"/>
        <v>13.763124999999999</v>
      </c>
      <c r="DD317" s="104">
        <f>('Renewable Diesel'!AQ326*$DD$3*'Feedstock Conversion Rates'!$B$14)/12</f>
        <v>3.1041666666666665</v>
      </c>
      <c r="DE317" s="106">
        <f t="shared" si="261"/>
        <v>3.1041666666666665</v>
      </c>
      <c r="DF317" s="104">
        <f>('Renewable Diesel'!AR326*'Feedstock Conversion Rates'!$B$4*$DF$3)/12</f>
        <v>75</v>
      </c>
      <c r="DG317" s="106">
        <f t="shared" si="319"/>
        <v>75</v>
      </c>
      <c r="DH317" s="104">
        <f>('Renewable Diesel'!AS326*'Feedstock Conversion Rates'!$B$4*$DH$3)/12</f>
        <v>75</v>
      </c>
      <c r="DI317" s="106">
        <f t="shared" si="323"/>
        <v>75</v>
      </c>
      <c r="DJ317" s="104">
        <f>('Renewable Diesel'!AT326*'Feedstock Conversion Rates'!$B$4*0.25)/12</f>
        <v>8.59375</v>
      </c>
      <c r="DK317" s="104">
        <f>('Renewable Diesel'!$AT326*'RD Feedstock Breakdown'!DK$3*'Feedstock Conversion Rates'!$B$3)/12*0.5</f>
        <v>9.1781249999999996</v>
      </c>
      <c r="DL317" s="104">
        <f>('Renewable Diesel'!$AT326*'RD Feedstock Breakdown'!$DL$3*'Feedstock Conversion Rates'!$B$6)/12</f>
        <v>10.747916666666669</v>
      </c>
      <c r="DM317" s="104">
        <f>('Renewable Diesel'!$AT326*'RD Feedstock Breakdown'!$DM$3*'Feedstock Conversion Rates'!$B$8)/12</f>
        <v>10.7421875</v>
      </c>
      <c r="DN317" s="106">
        <f t="shared" si="297"/>
        <v>39.26197916666667</v>
      </c>
      <c r="DP317" s="104">
        <f t="shared" si="265"/>
        <v>103.22025000000001</v>
      </c>
      <c r="DQ317" s="104">
        <f t="shared" si="266"/>
        <v>389.11776750000001</v>
      </c>
      <c r="DR317" s="104">
        <f t="shared" si="271"/>
        <v>1984.453125</v>
      </c>
      <c r="DS317" s="104">
        <f t="shared" si="283"/>
        <v>253.90125</v>
      </c>
      <c r="DT317" s="104">
        <f t="shared" si="267"/>
        <v>225.53923333333341</v>
      </c>
      <c r="DU317" s="104">
        <f t="shared" si="268"/>
        <v>320.40610000000004</v>
      </c>
      <c r="DV317" s="104">
        <f t="shared" si="272"/>
        <v>78.75</v>
      </c>
      <c r="DW317" s="104">
        <f t="shared" si="269"/>
        <v>3</v>
      </c>
      <c r="DX317" s="106">
        <f t="shared" si="273"/>
        <v>3358.3877258333337</v>
      </c>
      <c r="DY317" s="109">
        <f t="shared" si="257"/>
        <v>-5.631051180898794E-13</v>
      </c>
      <c r="EA317" s="110">
        <f t="shared" si="313"/>
        <v>3.0735060519073164E-2</v>
      </c>
      <c r="EB317" s="110">
        <f t="shared" si="313"/>
        <v>0.11586445618140957</v>
      </c>
      <c r="EC317" s="110">
        <f t="shared" si="313"/>
        <v>0.59089458603460909</v>
      </c>
      <c r="ED317" s="110">
        <f t="shared" si="308"/>
        <v>7.5602125402896472E-2</v>
      </c>
      <c r="EE317" s="110">
        <f t="shared" si="308"/>
        <v>6.7156996673863573E-2</v>
      </c>
      <c r="EF317" s="110">
        <f t="shared" si="308"/>
        <v>9.5404737676766035E-2</v>
      </c>
      <c r="EG317" s="110">
        <f t="shared" si="308"/>
        <v>2.3448751731147827E-2</v>
      </c>
      <c r="EH317" s="111">
        <f t="shared" si="274"/>
        <v>8.9328578023420294E-4</v>
      </c>
      <c r="EI317" s="110">
        <f t="shared" si="321"/>
        <v>0.99910671421976571</v>
      </c>
      <c r="EK317" s="132">
        <f>(EA317*'Renewable Diesel'!BF326*'Feedstock Conversion Rates'!B$2)+FB317</f>
        <v>360.8243330429234</v>
      </c>
      <c r="EL317" s="132">
        <f>(EB317*'Renewable Diesel'!BF326*'Feedstock Conversion Rates'!B$3)+FC317</f>
        <v>1281.815629891415</v>
      </c>
      <c r="EM317" s="132">
        <f>(EC317*'Renewable Diesel'!BF326*'Feedstock Conversion Rates'!B$4)+FD317</f>
        <v>6120.8832165975482</v>
      </c>
      <c r="EN317" s="132">
        <f>(ED317*'Renewable Diesel'!BF326*'Feedstock Conversion Rates'!B$5)+FE317</f>
        <v>788.35853872678013</v>
      </c>
      <c r="EO317" s="132">
        <f>(EE317*'Renewable Diesel'!BF326*'Feedstock Conversion Rates'!B$6)+FF317</f>
        <v>870.03539973505053</v>
      </c>
      <c r="EP317" s="132">
        <f>(EF317*'Renewable Diesel'!BF326*'Feedstock Conversion Rates'!B$7)+FG317</f>
        <v>1212.2734347019914</v>
      </c>
      <c r="EQ317" s="132">
        <f>(EG317*'Renewable Diesel'!BF326*'Feedstock Conversion Rates'!B$8)+FH317</f>
        <v>303.62241064969533</v>
      </c>
      <c r="ER317" s="132">
        <f>(EH317*'Renewable Diesel'!BF326*'Feedstock Conversion Rates'!B$9)+FI317</f>
        <v>11.412347117753626</v>
      </c>
      <c r="ES317" s="132">
        <f t="shared" si="275"/>
        <v>10949.225310463158</v>
      </c>
      <c r="ET317" s="133">
        <f>ES317/'Renewable Diesel'!BF326</f>
        <v>13.721128999213631</v>
      </c>
      <c r="EW317" s="73">
        <f t="shared" si="309"/>
        <v>9826.5700751741861</v>
      </c>
      <c r="EX317" s="73">
        <f t="shared" si="310"/>
        <v>5745.8087172200148</v>
      </c>
      <c r="EY317" s="92">
        <f t="shared" si="258"/>
        <v>0.89746715375231567</v>
      </c>
      <c r="EZ317" s="92">
        <f t="shared" si="258"/>
        <v>0.52476851597247509</v>
      </c>
      <c r="FB317" s="102">
        <f>IF('Renewable Diesel'!$BG326&lt;1,0,(((('Renewable Diesel'!$BG326-1)*'Renewable Diesel'!$BF326)*'RD Feedstock Breakdown'!EA317)*'Feedstock Conversion Rates'!$B$2))</f>
        <v>152.35290391537973</v>
      </c>
      <c r="FC317" s="102">
        <f>IF('Renewable Diesel'!$BG326&lt;1,0,(((('Renewable Diesel'!$BG326-1)*'Renewable Diesel'!$BF326)*'RD Feedstock Breakdown'!EB317)*'Feedstock Conversion Rates'!$B$3))</f>
        <v>541.2282809509062</v>
      </c>
      <c r="FD317" s="102">
        <f>IF('Renewable Diesel'!$BG326&lt;1,0,(((('Renewable Diesel'!$BG326-1)*'Renewable Diesel'!$BF326)*'RD Feedstock Breakdown'!EC317)*'Feedstock Conversion Rates'!$B$4))</f>
        <v>2584.4552242672976</v>
      </c>
      <c r="FE317" s="102">
        <f>IF('Renewable Diesel'!$BG326&lt;1,0,(((('Renewable Diesel'!$BG326-1)*'Renewable Diesel'!$BF326)*'RD Feedstock Breakdown'!ED317)*'Feedstock Conversion Rates'!$B$5))</f>
        <v>332.87309558255947</v>
      </c>
      <c r="FF317" s="102">
        <f>IF('Renewable Diesel'!$BG326&lt;1,0,(((('Renewable Diesel'!$BG326-1)*'Renewable Diesel'!$BF326)*'RD Feedstock Breakdown'!EE317)*'Feedstock Conversion Rates'!$B$6))</f>
        <v>367.3599796914051</v>
      </c>
      <c r="FG317" s="102">
        <f>IF('Renewable Diesel'!$BG326&lt;1,0,(((('Renewable Diesel'!$BG326-1)*'Renewable Diesel'!$BF326)*'RD Feedstock Breakdown'!EF317)*'Feedstock Conversion Rates'!$B$7))</f>
        <v>511.86508559096779</v>
      </c>
      <c r="FH317" s="102">
        <f>IF('Renewable Diesel'!$BG326&lt;1,0,(((('Renewable Diesel'!$BG326-1)*'Renewable Diesel'!$BF326)*'RD Feedstock Breakdown'!EG317)*'Feedstock Conversion Rates'!$B$8))</f>
        <v>128.20021190412956</v>
      </c>
      <c r="FI317" s="102">
        <f>IF('Renewable Diesel'!$BG326&lt;1,0,(((('Renewable Diesel'!$BG326-1)*'Renewable Diesel'!$BF326)*'RD Feedstock Breakdown'!EH317)*'Feedstock Conversion Rates'!$B$9))</f>
        <v>4.8187000283964885</v>
      </c>
      <c r="FJ317" s="102">
        <f t="shared" si="311"/>
        <v>4623.1534819310418</v>
      </c>
      <c r="GD317" s="91">
        <f>'Renewable Diesel'!BB326*0.32</f>
        <v>0</v>
      </c>
      <c r="GE317" s="91">
        <f>'Renewable Diesel'!BC326</f>
        <v>443.62153519489544</v>
      </c>
      <c r="GF317" s="91">
        <f>'Renewable Diesel'!BD326</f>
        <v>0</v>
      </c>
      <c r="GG317" s="91">
        <f t="shared" si="295"/>
        <v>443.62153519489544</v>
      </c>
      <c r="GH317" s="124">
        <v>1</v>
      </c>
      <c r="GI317" s="102">
        <f>$GG317*EA317*'Feedstock Conversion Rates'!$B$2</f>
        <v>115.89524522012368</v>
      </c>
      <c r="GJ317" s="102">
        <f>$GG317*EB317*'Feedstock Conversion Rates'!$B$3</f>
        <v>411.713743085006</v>
      </c>
      <c r="GK317" s="102">
        <f>$GG317*EC317*'Feedstock Conversion Rates'!$B$4</f>
        <v>1966.0017254626914</v>
      </c>
      <c r="GL317" s="102">
        <f>$GG317*ED317*'Feedstock Conversion Rates'!$B$5</f>
        <v>253.217418560986</v>
      </c>
      <c r="GM317" s="102">
        <f>$GG317*EE317*'Feedstock Conversion Rates'!$B$6</f>
        <v>279.45167985798497</v>
      </c>
      <c r="GN317" s="102">
        <f>$GG317*EF317*'Feedstock Conversion Rates'!$B$7</f>
        <v>389.37708497590569</v>
      </c>
      <c r="GO317" s="102">
        <f>$GG317*EG317*'Feedstock Conversion Rates'!$B$8</f>
        <v>97.522230387897764</v>
      </c>
      <c r="GP317" s="102">
        <f>$GG317*EH317*'Feedstock Conversion Rates'!B$9</f>
        <v>3.6655974850562205</v>
      </c>
      <c r="GQ317" s="102">
        <f t="shared" si="276"/>
        <v>3516.8447250356517</v>
      </c>
      <c r="GR317" s="85">
        <f t="shared" si="293"/>
        <v>7.9275789068504139</v>
      </c>
      <c r="GT317" s="103">
        <f t="shared" si="254"/>
        <v>3.2954325334607654E-2</v>
      </c>
      <c r="GU317" s="103">
        <f t="shared" si="254"/>
        <v>0.11706907050917136</v>
      </c>
      <c r="GV317" s="103">
        <f t="shared" si="254"/>
        <v>0.55902431843724942</v>
      </c>
      <c r="GW317" s="103">
        <f t="shared" si="254"/>
        <v>7.2001307523868296E-2</v>
      </c>
      <c r="GX317" s="103">
        <f t="shared" si="253"/>
        <v>7.9460909339735514E-2</v>
      </c>
      <c r="GY317" s="103">
        <f t="shared" si="253"/>
        <v>0.11071773576013039</v>
      </c>
      <c r="GZ317" s="103">
        <f t="shared" si="253"/>
        <v>2.7730035873821279E-2</v>
      </c>
      <c r="HA317" s="103">
        <f t="shared" si="251"/>
        <v>1.0422972214160124E-3</v>
      </c>
    </row>
    <row r="318" spans="1:209" x14ac:dyDescent="0.25">
      <c r="A318" s="96">
        <v>50100</v>
      </c>
      <c r="B318" s="104">
        <f t="shared" si="324"/>
        <v>16.75</v>
      </c>
      <c r="C318" s="104">
        <f t="shared" si="314"/>
        <v>49</v>
      </c>
      <c r="D318" s="104">
        <f t="shared" si="325"/>
        <v>2</v>
      </c>
      <c r="E318" s="104">
        <f>('Renewable Diesel'!B327*E$3*'Feedstock Conversion Rates'!$B$2)/12+26+13-100+27.5+39</f>
        <v>95.43</v>
      </c>
      <c r="F318" s="104">
        <f>('Renewable Diesel'!B327*'RD Feedstock Breakdown'!F$3*'Feedstock Conversion Rates'!B$8)/12+77+23-10-12-115.75+24+8</f>
        <v>48.15625</v>
      </c>
      <c r="G318" s="104">
        <f>('Renewable Diesel'!B327*'RD Feedstock Breakdown'!G$3*'Feedstock Conversion Rates'!B$7)/12+116.75-39-57.5-145-31.5+32+70-40+10-17.5-5</f>
        <v>69.407000000000039</v>
      </c>
      <c r="H318" s="104">
        <f>('Renewable Diesel'!B327*'RD Feedstock Breakdown'!H$3*'Feedstock Conversion Rates'!B$3)/12+67+10+12+3-235+20+47-20+135</f>
        <v>215.40022499999998</v>
      </c>
      <c r="I318" s="106">
        <f t="shared" si="291"/>
        <v>496.14347500000002</v>
      </c>
      <c r="J318" s="104">
        <f t="shared" si="326"/>
        <v>79</v>
      </c>
      <c r="K318" s="104"/>
      <c r="L318" s="104">
        <v>1</v>
      </c>
      <c r="M318" s="104">
        <f>('Renewable Diesel'!C327*'RD Feedstock Breakdown'!M$3*'Feedstock Conversion Rates'!B$2)/12</f>
        <v>7.7902500000000003</v>
      </c>
      <c r="N318" s="104">
        <f>('Renewable Diesel'!C327*'RD Feedstock Breakdown'!N$3*'Feedstock Conversion Rates'!B$8)/12</f>
        <v>3.671875</v>
      </c>
      <c r="O318" s="104">
        <f>('Renewable Diesel'!C327*'RD Feedstock Breakdown'!O$3*'Feedstock Conversion Rates'!B$7)/12</f>
        <v>11.9991</v>
      </c>
      <c r="P318" s="104">
        <f>('Renewable Diesel'!C327*'RD Feedstock Breakdown'!P$3*'Feedstock Conversion Rates'!B$3)/12</f>
        <v>10.4470425</v>
      </c>
      <c r="Q318" s="106">
        <f t="shared" si="299"/>
        <v>113.90826749999999</v>
      </c>
      <c r="R318" s="104">
        <f>('Renewable Diesel'!D327*'RD Feedstock Breakdown'!R$3*'Feedstock Conversion Rates'!B$7)/12</f>
        <v>2.2999999999999998</v>
      </c>
      <c r="S318" s="106">
        <f t="shared" si="249"/>
        <v>2.2999999999999998</v>
      </c>
      <c r="T318" s="104">
        <f t="shared" si="300"/>
        <v>0.82499999999999929</v>
      </c>
      <c r="U318" s="104"/>
      <c r="V318" s="104">
        <f>('Renewable Diesel'!E327*'RD Feedstock Breakdown'!V$3*'Feedstock Conversion Rates'!B$6)/12-20+25</f>
        <v>49.250150000000012</v>
      </c>
      <c r="W318" s="104">
        <f>('Renewable Diesel'!E327*'RD Feedstock Breakdown'!W$3*'Feedstock Conversion Rates'!B$8)/12-6</f>
        <v>16.1796875</v>
      </c>
      <c r="X318" s="106">
        <f t="shared" si="277"/>
        <v>66.254837500000008</v>
      </c>
      <c r="Y318" s="104">
        <f t="shared" si="301"/>
        <v>98</v>
      </c>
      <c r="Z318" s="104">
        <f>('Renewable Diesel'!F327*'RD Feedstock Breakdown'!Z$3*'Feedstock Conversion Rates'!B$6)/12-142+15+5+20+2.5</f>
        <v>59.960000000000008</v>
      </c>
      <c r="AA318" s="104">
        <f>('Renewable Diesel'!F327*'RD Feedstock Breakdown'!AA$3*'Feedstock Conversion Rates'!B$7)/12+24</f>
        <v>128.26666666666665</v>
      </c>
      <c r="AB318" s="106">
        <f t="shared" si="320"/>
        <v>286.22666666666669</v>
      </c>
      <c r="AC318" s="104">
        <f>('Renewable Diesel'!G327*'RD Feedstock Breakdown'!AC$3*'Feedstock Conversion Rates'!B$5)/12</f>
        <v>11.796875</v>
      </c>
      <c r="AD318" s="104">
        <f>('Renewable Diesel'!G327*'RD Feedstock Breakdown'!AD$3*'Feedstock Conversion Rates'!B$4)/12</f>
        <v>5.859375</v>
      </c>
      <c r="AE318" s="104">
        <f>('Renewable Diesel'!G327*'RD Feedstock Breakdown'!AE$3*'Feedstock Conversion Rates'!B$6)/12</f>
        <v>7.3281250000000009</v>
      </c>
      <c r="AF318" s="106">
        <f t="shared" si="284"/>
        <v>24.984375</v>
      </c>
      <c r="AG318" s="104">
        <f t="shared" si="306"/>
        <v>148</v>
      </c>
      <c r="AH318" s="104"/>
      <c r="AI318" s="104">
        <f>('Renewable Diesel'!H327*'RD Feedstock Breakdown'!AI$3*'Feedstock Conversion Rates'!B$6)/12-130-20+51-49</f>
        <v>0.51666666666667993</v>
      </c>
      <c r="AJ318" s="106">
        <f t="shared" si="248"/>
        <v>148.51666666666668</v>
      </c>
      <c r="AK318" s="104">
        <f>('Renewable Diesel'!J327*'RD Feedstock Breakdown'!AK$3*'Feedstock Conversion Rates'!B$4)/12</f>
        <v>95.8125</v>
      </c>
      <c r="AL318" s="106">
        <f t="shared" si="252"/>
        <v>95.8125</v>
      </c>
      <c r="AM318" s="104">
        <f>('Renewable Diesel'!K327*'RD Feedstock Breakdown'!AM$3*'Feedstock Conversion Rates'!B$4)/12+5+15-10+10</f>
        <v>78.59375</v>
      </c>
      <c r="AN318" s="104">
        <f>('Renewable Diesel'!K327*'RD Feedstock Breakdown'!AN$3*'Feedstock Conversion Rates'!B$6)/12-5-15+10-10</f>
        <v>4.4270833333333321</v>
      </c>
      <c r="AO318" s="106">
        <f t="shared" si="270"/>
        <v>83.020833333333329</v>
      </c>
      <c r="AP318" s="104">
        <f>('Renewable Diesel'!L327*'RD Feedstock Breakdown'!AP$3*'Feedstock Conversion Rates'!B$4)/12+15-10+15</f>
        <v>78.59375</v>
      </c>
      <c r="AQ318" s="104">
        <f>('Renewable Diesel'!L327*'RD Feedstock Breakdown'!AQ$3*'Feedstock Conversion Rates'!B$6)/12-15+10-15</f>
        <v>4.4270833333333321</v>
      </c>
      <c r="AR318" s="106">
        <f t="shared" si="256"/>
        <v>83.020833333333329</v>
      </c>
      <c r="AS318" s="104">
        <f>('Renewable Diesel'!M327*'RD Feedstock Breakdown'!AS$3*'Feedstock Conversion Rates'!B$4)/12-25</f>
        <v>431.25</v>
      </c>
      <c r="AT318" s="104">
        <f>('Renewable Diesel'!M327*'RD Feedstock Breakdown'!AT$3*'Feedstock Conversion Rates'!B$5)/12+25</f>
        <v>25</v>
      </c>
      <c r="AU318" s="106">
        <f t="shared" si="290"/>
        <v>456.25</v>
      </c>
      <c r="AV318" s="104">
        <f>'Renewable Diesel'!N327*'RD Feedstock Breakdown'!$AV$3*'Feedstock Conversion Rates'!$B$4/12-15-10+25+25-22+25</f>
        <v>106.74999999999999</v>
      </c>
      <c r="AW318" s="104">
        <f>'Renewable Diesel'!N327*'RD Feedstock Breakdown'!$AW$3*'Feedstock Conversion Rates'!$B$7/12+15+10-25-25+22-25</f>
        <v>13.400000000000006</v>
      </c>
      <c r="AX318" s="106">
        <f t="shared" si="322"/>
        <v>120.14999999999999</v>
      </c>
      <c r="AY318" s="104">
        <f>('Renewable Diesel'!O327*'RD Feedstock Breakdown'!AY$3*'Feedstock Conversion Rates'!B$4)/12</f>
        <v>210.9375</v>
      </c>
      <c r="AZ318" s="104">
        <f>('Renewable Diesel'!O327*'RD Feedstock Breakdown'!AZ$3*'Feedstock Conversion Rates'!B$3)/12</f>
        <v>25.03125</v>
      </c>
      <c r="BA318" s="106">
        <f t="shared" si="302"/>
        <v>235.96875</v>
      </c>
      <c r="BB318" s="104">
        <f>('Renewable Diesel'!Q327*'RD Feedstock Breakdown'!BB$3*'Feedstock Conversion Rates'!B$4)/12</f>
        <v>11.156249999999998</v>
      </c>
      <c r="BC318" s="104">
        <f>('Renewable Diesel'!Q327*'RD Feedstock Breakdown'!BC$3*'Feedstock Conversion Rates'!B$3)/12</f>
        <v>1.4017500000000001</v>
      </c>
      <c r="BD318" s="104">
        <f>('Renewable Diesel'!Q327*'RD Feedstock Breakdown'!BD$3*'Feedstock Conversion Rates'!B$6)/12</f>
        <v>0.8207500000000002</v>
      </c>
      <c r="BE318" s="106">
        <f t="shared" si="279"/>
        <v>13.378749999999998</v>
      </c>
      <c r="BF318" s="104">
        <f>('Renewable Diesel'!R327*'RD Feedstock Breakdown'!BF$3*'Feedstock Conversion Rates'!B$4)/12</f>
        <v>62.5</v>
      </c>
      <c r="BG318" s="106">
        <f t="shared" si="262"/>
        <v>62.5</v>
      </c>
      <c r="BH318" s="104">
        <f>('Renewable Diesel'!T327*'RD Feedstock Breakdown'!BH$3*'Feedstock Conversion Rates'!B$7)/12</f>
        <v>27.599999999999998</v>
      </c>
      <c r="BI318" s="106">
        <f t="shared" si="327"/>
        <v>27.599999999999998</v>
      </c>
      <c r="BJ318" s="104">
        <f>('Renewable Diesel'!W327*'RD Feedstock Breakdown'!BJ$3*'Feedstock Conversion Rates'!B$4)/12</f>
        <v>7.5</v>
      </c>
      <c r="BK318" s="104">
        <f>('Renewable Diesel'!W327*'RD Feedstock Breakdown'!BK$3*'Feedstock Conversion Rates'!B$3)/12</f>
        <v>1.335</v>
      </c>
      <c r="BL318" s="104">
        <f>('Renewable Diesel'!W327*'RD Feedstock Breakdown'!BL$3*'Feedstock Conversion Rates'!B$6)/12</f>
        <v>3.1266666666666669</v>
      </c>
      <c r="BM318" s="104">
        <f>('Renewable Diesel'!W327*'RD Feedstock Breakdown'!BM$3*'Feedstock Conversion Rates'!B$7)/12</f>
        <v>1.5333333333333332</v>
      </c>
      <c r="BN318" s="106">
        <f t="shared" si="296"/>
        <v>13.495000000000001</v>
      </c>
      <c r="BO318" s="104">
        <f>('Renewable Diesel'!P327*'Feedstock Conversion Rates'!B$4)/12</f>
        <v>31.25</v>
      </c>
      <c r="BP318" s="106">
        <f t="shared" si="285"/>
        <v>31.25</v>
      </c>
      <c r="BQ318" s="104">
        <f>('Renewable Diesel'!$S327*'RD Feedstock Breakdown'!BQ$3*'Feedstock Conversion Rates'!B$4)/12+10+15-15</f>
        <v>38.125</v>
      </c>
      <c r="BR318" s="104">
        <f>('Renewable Diesel'!$S327*'RD Feedstock Breakdown'!BR$3*'Feedstock Conversion Rates'!B$7)/12-10-15+15</f>
        <v>1.5</v>
      </c>
      <c r="BS318" s="106">
        <f t="shared" si="307"/>
        <v>39.625</v>
      </c>
      <c r="BT318" s="106"/>
      <c r="BU318" s="104">
        <f>('Renewable Diesel'!Y327*'Feedstock Conversion Rates'!B$7)/12</f>
        <v>2.6833333333333331</v>
      </c>
      <c r="BV318" s="106">
        <f t="shared" si="281"/>
        <v>2.6833333333333331</v>
      </c>
      <c r="BW318" s="104">
        <f>('Renewable Diesel'!$Z327*'RD Feedstock Breakdown'!BW$3*'Feedstock Conversion Rates'!$B$4)/12</f>
        <v>71.875</v>
      </c>
      <c r="BX318" s="104">
        <f>('Renewable Diesel'!$Z327*'RD Feedstock Breakdown'!BX$3*'Feedstock Conversion Rates'!$B$5)/12</f>
        <v>7.2354166666666666</v>
      </c>
      <c r="BY318" s="104">
        <f>('Renewable Diesel'!$Z327*'RD Feedstock Breakdown'!BY$3*'Feedstock Conversion Rates'!$B$7)/12</f>
        <v>61.716666666666661</v>
      </c>
      <c r="BZ318" s="104">
        <f>('Renewable Diesel'!$Z327*'RD Feedstock Breakdown'!BZ$3*'Feedstock Conversion Rates'!$B$3)/12</f>
        <v>15.352499999999999</v>
      </c>
      <c r="CA318" s="106">
        <f t="shared" si="312"/>
        <v>156.17958333333331</v>
      </c>
      <c r="CB318" s="104">
        <f>('Renewable Diesel'!AA327*'Feedstock Conversion Rates'!B$4)/12</f>
        <v>191.25</v>
      </c>
      <c r="CC318" s="106">
        <f t="shared" si="298"/>
        <v>191.25</v>
      </c>
      <c r="CD318" s="104">
        <f>('Renewable Diesel'!$AB327*'RD Feedstock Breakdown'!CD$3*'Feedstock Conversion Rates'!$B$6)/12-15-5</f>
        <v>12.830000000000005</v>
      </c>
      <c r="CE318" s="104">
        <f>('Renewable Diesel'!$AB327*'RD Feedstock Breakdown'!CE$3*'Feedstock Conversion Rates'!$B$4)/12+15+5</f>
        <v>31.25</v>
      </c>
      <c r="CF318" s="106">
        <f t="shared" si="294"/>
        <v>44.080000000000005</v>
      </c>
      <c r="CG318" s="104">
        <f>('Renewable Diesel'!AD327*'Feedstock Conversion Rates'!B$4)/12</f>
        <v>112.5</v>
      </c>
      <c r="CH318" s="106">
        <f t="shared" si="278"/>
        <v>112.5</v>
      </c>
      <c r="CI318" s="104">
        <f>('Renewable Diesel'!$AE327*'RD Feedstock Breakdown'!CI$3*'Feedstock Conversion Rates'!$B$5)/12</f>
        <v>0.34604166666666664</v>
      </c>
      <c r="CJ318" s="104">
        <f>('Renewable Diesel'!$AE327*'RD Feedstock Breakdown'!CJ$3*'Feedstock Conversion Rates'!$B$4)/12</f>
        <v>0.34375</v>
      </c>
      <c r="CK318" s="106">
        <f t="shared" si="286"/>
        <v>0.68979166666666658</v>
      </c>
      <c r="CL318" s="104">
        <f>(((CL$3*'Renewable Diesel'!$AF327)*'Feedstock Conversion Rates'!$B$3)/12)</f>
        <v>91.78125</v>
      </c>
      <c r="CM318" s="104">
        <f>(((CM$3*'Renewable Diesel'!$AF327)*'Feedstock Conversion Rates'!$B$6)/12)</f>
        <v>53.739583333333336</v>
      </c>
      <c r="CN318" s="104">
        <f>(((CN$3*'Renewable Diesel'!$AF327)*'Feedstock Conversion Rates'!$B$4)/12)</f>
        <v>42.96875</v>
      </c>
      <c r="CO318" s="106">
        <f t="shared" si="280"/>
        <v>188.48958333333334</v>
      </c>
      <c r="CP318" s="104">
        <f>('Renewable Diesel'!$AG327*'RD Feedstock Breakdown'!CP$3*'Feedstock Conversion Rates'!$B$3)/12</f>
        <v>6.0075000000000003</v>
      </c>
      <c r="CQ318" s="104">
        <f>('Renewable Diesel'!$AG327*'RD Feedstock Breakdown'!CQ$3*'Feedstock Conversion Rates'!$B$6)/12</f>
        <v>3.5175000000000001</v>
      </c>
      <c r="CR318" s="104">
        <f>('Renewable Diesel'!$AG327*'RD Feedstock Breakdown'!CR$3*'Feedstock Conversion Rates'!$B$4)/12</f>
        <v>2.8125</v>
      </c>
      <c r="CS318" s="106">
        <f t="shared" si="317"/>
        <v>12.3375</v>
      </c>
      <c r="CT318" s="104">
        <f>('Renewable Diesel'!AI327*'Feedstock Conversion Rates'!$B$4*'RD Feedstock Breakdown'!$CT$3)/12</f>
        <v>29.375</v>
      </c>
      <c r="CU318" s="106">
        <f t="shared" si="282"/>
        <v>29.375</v>
      </c>
      <c r="CV318" s="104">
        <f>('Renewable Diesel'!AN327*'Feedstock Conversion Rates'!$B$3*'RD Feedstock Breakdown'!$CV$3)/12</f>
        <v>0.50062499999999999</v>
      </c>
      <c r="CW318" s="106">
        <f t="shared" si="255"/>
        <v>0.50062499999999999</v>
      </c>
      <c r="CX318" s="104">
        <f>('Renewable Diesel'!AO327*'RD Feedstock Breakdown'!$CX$3*'Feedstock Conversion Rates'!$B$3)/12</f>
        <v>6.3412499999999996</v>
      </c>
      <c r="CY318" s="104">
        <f>('Renewable Diesel'!AO327*'RD Feedstock Breakdown'!$CY$3*'Feedstock Conversion Rates'!$B$6)/12</f>
        <v>7.4258333333333342</v>
      </c>
      <c r="CZ318" s="106">
        <f t="shared" si="318"/>
        <v>13.767083333333334</v>
      </c>
      <c r="DA318" s="104">
        <f>('Renewable Diesel'!$AP327*'RD Feedstock Breakdown'!DA$3*'Feedstock Conversion Rates'!$B$3)/12</f>
        <v>6.3412499999999996</v>
      </c>
      <c r="DB318" s="104">
        <f>('Renewable Diesel'!$AP327*'RD Feedstock Breakdown'!DB$3*'Feedstock Conversion Rates'!$B$8)/12</f>
        <v>7.421875</v>
      </c>
      <c r="DC318" s="106">
        <f t="shared" si="260"/>
        <v>13.763124999999999</v>
      </c>
      <c r="DD318" s="104">
        <f>('Renewable Diesel'!AQ327*$DD$3*'Feedstock Conversion Rates'!$B$14)/12</f>
        <v>3.1041666666666665</v>
      </c>
      <c r="DE318" s="106">
        <f t="shared" si="261"/>
        <v>3.1041666666666665</v>
      </c>
      <c r="DF318" s="104">
        <f>('Renewable Diesel'!AR327*'Feedstock Conversion Rates'!$B$4*$DF$3)/12</f>
        <v>75</v>
      </c>
      <c r="DG318" s="106">
        <f t="shared" si="319"/>
        <v>75</v>
      </c>
      <c r="DH318" s="104">
        <f>('Renewable Diesel'!AS327*'Feedstock Conversion Rates'!$B$4*$DH$3)/12</f>
        <v>75</v>
      </c>
      <c r="DI318" s="106">
        <f t="shared" si="323"/>
        <v>75</v>
      </c>
      <c r="DJ318" s="104">
        <f>('Renewable Diesel'!AT327*'Feedstock Conversion Rates'!$B$4*0.25)/12</f>
        <v>8.59375</v>
      </c>
      <c r="DK318" s="104">
        <f>('Renewable Diesel'!$AT327*'RD Feedstock Breakdown'!DK$3*'Feedstock Conversion Rates'!$B$3)/12*0.5</f>
        <v>9.1781249999999996</v>
      </c>
      <c r="DL318" s="104">
        <f>('Renewable Diesel'!$AT327*'RD Feedstock Breakdown'!$DL$3*'Feedstock Conversion Rates'!$B$6)/12</f>
        <v>10.747916666666669</v>
      </c>
      <c r="DM318" s="104">
        <f>('Renewable Diesel'!$AT327*'RD Feedstock Breakdown'!$DM$3*'Feedstock Conversion Rates'!$B$8)/12</f>
        <v>10.7421875</v>
      </c>
      <c r="DN318" s="106">
        <f t="shared" si="297"/>
        <v>39.26197916666667</v>
      </c>
      <c r="DP318" s="104">
        <f t="shared" si="265"/>
        <v>103.22025000000001</v>
      </c>
      <c r="DQ318" s="104">
        <f t="shared" si="266"/>
        <v>389.11776750000001</v>
      </c>
      <c r="DR318" s="104">
        <f t="shared" si="271"/>
        <v>1984.453125</v>
      </c>
      <c r="DS318" s="104">
        <f t="shared" si="283"/>
        <v>253.90125</v>
      </c>
      <c r="DT318" s="104">
        <f t="shared" si="267"/>
        <v>225.53923333333341</v>
      </c>
      <c r="DU318" s="104">
        <f t="shared" si="268"/>
        <v>320.40610000000004</v>
      </c>
      <c r="DV318" s="104">
        <f t="shared" si="272"/>
        <v>78.75</v>
      </c>
      <c r="DW318" s="104">
        <f t="shared" si="269"/>
        <v>3</v>
      </c>
      <c r="DX318" s="106">
        <f t="shared" si="273"/>
        <v>3358.3877258333337</v>
      </c>
      <c r="DY318" s="109">
        <f t="shared" si="257"/>
        <v>-5.631051180898794E-13</v>
      </c>
      <c r="EA318" s="110">
        <f t="shared" si="313"/>
        <v>3.0735060519073164E-2</v>
      </c>
      <c r="EB318" s="110">
        <f t="shared" si="313"/>
        <v>0.11586445618140957</v>
      </c>
      <c r="EC318" s="110">
        <f t="shared" si="313"/>
        <v>0.59089458603460909</v>
      </c>
      <c r="ED318" s="110">
        <f t="shared" si="308"/>
        <v>7.5602125402896472E-2</v>
      </c>
      <c r="EE318" s="110">
        <f t="shared" si="308"/>
        <v>6.7156996673863573E-2</v>
      </c>
      <c r="EF318" s="110">
        <f t="shared" si="308"/>
        <v>9.5404737676766035E-2</v>
      </c>
      <c r="EG318" s="110">
        <f t="shared" si="308"/>
        <v>2.3448751731147827E-2</v>
      </c>
      <c r="EH318" s="111">
        <f t="shared" si="274"/>
        <v>8.9328578023420294E-4</v>
      </c>
      <c r="EI318" s="110">
        <f t="shared" si="321"/>
        <v>0.99910671421976571</v>
      </c>
      <c r="EK318" s="132">
        <f>(EA318*'Renewable Diesel'!BF327*'Feedstock Conversion Rates'!B$2)+FB318</f>
        <v>189.99400361858258</v>
      </c>
      <c r="EL318" s="132">
        <f>(EB318*'Renewable Diesel'!BF327*'Feedstock Conversion Rates'!B$3)+FC318</f>
        <v>674.94695097232852</v>
      </c>
      <c r="EM318" s="132">
        <f>(EC318*'Renewable Diesel'!BF327*'Feedstock Conversion Rates'!B$4)+FD318</f>
        <v>3222.9841546324269</v>
      </c>
      <c r="EN318" s="132">
        <f>(ED318*'Renewable Diesel'!BF327*'Feedstock Conversion Rates'!B$5)+FE318</f>
        <v>415.11445139088835</v>
      </c>
      <c r="EO318" s="132">
        <f>(EE318*'Renewable Diesel'!BF327*'Feedstock Conversion Rates'!B$6)+FF318</f>
        <v>458.12184419916031</v>
      </c>
      <c r="EP318" s="132">
        <f>(EF318*'Renewable Diesel'!BF327*'Feedstock Conversion Rates'!B$7)+FG318</f>
        <v>638.32913206572016</v>
      </c>
      <c r="EQ318" s="132">
        <f>(EG318*'Renewable Diesel'!BF327*'Feedstock Conversion Rates'!B$8)+FH318</f>
        <v>159.874022079322</v>
      </c>
      <c r="ER318" s="132">
        <f>(EH318*'Renewable Diesel'!BF327*'Feedstock Conversion Rates'!B$9)+FI318</f>
        <v>6.009233083870388</v>
      </c>
      <c r="ES318" s="132">
        <f t="shared" si="275"/>
        <v>5765.3737920422991</v>
      </c>
      <c r="ET318" s="133">
        <f>ES318/'Renewable Diesel'!BF327</f>
        <v>10.476439686523619</v>
      </c>
      <c r="EW318" s="73">
        <f t="shared" si="309"/>
        <v>4523.228204144797</v>
      </c>
      <c r="EX318" s="73">
        <f t="shared" si="310"/>
        <v>2644.8296655422678</v>
      </c>
      <c r="EY318" s="92">
        <f t="shared" si="258"/>
        <v>0.78455072772350287</v>
      </c>
      <c r="EZ318" s="92">
        <f t="shared" si="258"/>
        <v>0.45874383187310663</v>
      </c>
      <c r="FB318" s="102">
        <f>IF('Renewable Diesel'!$BG327&lt;1,0,(((('Renewable Diesel'!$BG327-1)*'Renewable Diesel'!$BF327)*'RD Feedstock Breakdown'!EA318)*'Feedstock Conversion Rates'!$B$2))</f>
        <v>46.224507436379689</v>
      </c>
      <c r="FC318" s="102">
        <f>IF('Renewable Diesel'!$BG327&lt;1,0,(((('Renewable Diesel'!$BG327-1)*'Renewable Diesel'!$BF327)*'RD Feedstock Breakdown'!EB318)*'Feedstock Conversion Rates'!$B$3))</f>
        <v>164.21092118788707</v>
      </c>
      <c r="FD318" s="102">
        <f>IF('Renewable Diesel'!$BG327&lt;1,0,(((('Renewable Diesel'!$BG327-1)*'Renewable Diesel'!$BF327)*'RD Feedstock Breakdown'!EC318)*'Feedstock Conversion Rates'!$B$4))</f>
        <v>784.13451048814716</v>
      </c>
      <c r="FE318" s="102">
        <f>IF('Renewable Diesel'!$BG327&lt;1,0,(((('Renewable Diesel'!$BG327-1)*'Renewable Diesel'!$BF327)*'RD Feedstock Breakdown'!ED318)*'Feedstock Conversion Rates'!$B$5))</f>
        <v>100.99508763333435</v>
      </c>
      <c r="FF318" s="102">
        <f>IF('Renewable Diesel'!$BG327&lt;1,0,(((('Renewable Diesel'!$BG327-1)*'Renewable Diesel'!$BF327)*'RD Feedstock Breakdown'!EE318)*'Feedstock Conversion Rates'!$B$6))</f>
        <v>111.45855232602126</v>
      </c>
      <c r="FG318" s="102">
        <f>IF('Renewable Diesel'!$BG327&lt;1,0,(((('Renewable Diesel'!$BG327-1)*'Renewable Diesel'!$BF327)*'RD Feedstock Breakdown'!EF318)*'Feedstock Conversion Rates'!$B$7))</f>
        <v>155.30200506361538</v>
      </c>
      <c r="FH318" s="102">
        <f>IF('Renewable Diesel'!$BG327&lt;1,0,(((('Renewable Diesel'!$BG327-1)*'Renewable Diesel'!$BF327)*'RD Feedstock Breakdown'!EG318)*'Feedstock Conversion Rates'!$B$8))</f>
        <v>38.89647979272727</v>
      </c>
      <c r="FI318" s="102">
        <f>IF('Renewable Diesel'!$BG327&lt;1,0,(((('Renewable Diesel'!$BG327-1)*'Renewable Diesel'!$BF327)*'RD Feedstock Breakdown'!EH318)*'Feedstock Conversion Rates'!$B$9))</f>
        <v>1.4620137166536218</v>
      </c>
      <c r="FJ318" s="102">
        <f t="shared" si="311"/>
        <v>1402.6840776447657</v>
      </c>
      <c r="GD318" s="91">
        <f>'Renewable Diesel'!BB327*0.32</f>
        <v>0</v>
      </c>
      <c r="GE318" s="91">
        <f>'Renewable Diesel'!BC327</f>
        <v>177.08389867480091</v>
      </c>
      <c r="GF318" s="91">
        <f>'Renewable Diesel'!BD327</f>
        <v>0</v>
      </c>
      <c r="GG318" s="91">
        <f t="shared" si="295"/>
        <v>177.08389867480091</v>
      </c>
      <c r="GH318" s="124">
        <v>1</v>
      </c>
      <c r="GI318" s="102">
        <f>$GG318*EA318*'Feedstock Conversion Rates'!$B$2</f>
        <v>46.262816913149123</v>
      </c>
      <c r="GJ318" s="102">
        <f>$GG318*EB318*'Feedstock Conversion Rates'!$B$3</f>
        <v>164.34701424370152</v>
      </c>
      <c r="GK318" s="102">
        <f>$GG318*EC318*'Feedstock Conversion Rates'!$B$4</f>
        <v>784.7843775063086</v>
      </c>
      <c r="GL318" s="102">
        <f>$GG318*ED318*'Feedstock Conversion Rates'!$B$5</f>
        <v>101.07878931406813</v>
      </c>
      <c r="GM318" s="102">
        <f>$GG318*EE318*'Feedstock Conversion Rates'!$B$6</f>
        <v>111.55092581051898</v>
      </c>
      <c r="GN318" s="102">
        <f>$GG318*EF318*'Feedstock Conversion Rates'!$B$7</f>
        <v>155.43071467860523</v>
      </c>
      <c r="GO318" s="102">
        <f>$GG318*EG318*'Feedstock Conversion Rates'!$B$8</f>
        <v>38.928716021335724</v>
      </c>
      <c r="GP318" s="102">
        <f>$GG318*EH318*'Feedstock Conversion Rates'!B$9</f>
        <v>1.4632253895003651</v>
      </c>
      <c r="GQ318" s="102">
        <f t="shared" si="276"/>
        <v>1403.8465798771877</v>
      </c>
      <c r="GR318" s="85">
        <f t="shared" si="293"/>
        <v>7.9275789068504139</v>
      </c>
      <c r="GT318" s="103">
        <f t="shared" si="254"/>
        <v>3.2954325334607661E-2</v>
      </c>
      <c r="GU318" s="103">
        <f t="shared" si="254"/>
        <v>0.11706907050917136</v>
      </c>
      <c r="GV318" s="103">
        <f t="shared" si="254"/>
        <v>0.55902431843724953</v>
      </c>
      <c r="GW318" s="103">
        <f t="shared" si="254"/>
        <v>7.200130752386831E-2</v>
      </c>
      <c r="GX318" s="103">
        <f t="shared" si="253"/>
        <v>7.9460909339735528E-2</v>
      </c>
      <c r="GY318" s="103">
        <f t="shared" si="253"/>
        <v>0.11071773576013039</v>
      </c>
      <c r="GZ318" s="103">
        <f t="shared" si="253"/>
        <v>2.7730035873821283E-2</v>
      </c>
      <c r="HA318" s="103">
        <f t="shared" si="251"/>
        <v>1.0422972214160127E-3</v>
      </c>
    </row>
    <row r="319" spans="1:209" x14ac:dyDescent="0.25">
      <c r="A319" s="96">
        <v>50131</v>
      </c>
      <c r="B319" s="104">
        <f t="shared" si="324"/>
        <v>16.75</v>
      </c>
      <c r="C319" s="104">
        <f t="shared" si="314"/>
        <v>49</v>
      </c>
      <c r="D319" s="104">
        <f t="shared" si="325"/>
        <v>2</v>
      </c>
      <c r="E319" s="104">
        <f>('Renewable Diesel'!B328*E$3*'Feedstock Conversion Rates'!$B$2)/12+26+13-100+27.5+39</f>
        <v>95.43</v>
      </c>
      <c r="F319" s="104">
        <f>('Renewable Diesel'!B328*'RD Feedstock Breakdown'!F$3*'Feedstock Conversion Rates'!B$8)/12+77+23-10-12-115.75+24+8</f>
        <v>48.15625</v>
      </c>
      <c r="G319" s="104">
        <f>('Renewable Diesel'!B328*'RD Feedstock Breakdown'!G$3*'Feedstock Conversion Rates'!B$7)/12+116.75-39-57.5-145-31.5+32+70-40+10-17.5-5</f>
        <v>69.407000000000039</v>
      </c>
      <c r="H319" s="104">
        <f>('Renewable Diesel'!B328*'RD Feedstock Breakdown'!H$3*'Feedstock Conversion Rates'!B$3)/12+67+10+12+3-235+20+47-20+135</f>
        <v>215.40022499999998</v>
      </c>
      <c r="I319" s="106">
        <f t="shared" si="291"/>
        <v>496.14347500000002</v>
      </c>
      <c r="J319" s="104">
        <f t="shared" si="326"/>
        <v>79</v>
      </c>
      <c r="K319" s="104"/>
      <c r="L319" s="104">
        <v>1</v>
      </c>
      <c r="M319" s="104">
        <f>('Renewable Diesel'!C328*'RD Feedstock Breakdown'!M$3*'Feedstock Conversion Rates'!B$2)/12</f>
        <v>7.7902500000000003</v>
      </c>
      <c r="N319" s="104">
        <f>('Renewable Diesel'!C328*'RD Feedstock Breakdown'!N$3*'Feedstock Conversion Rates'!B$8)/12</f>
        <v>3.671875</v>
      </c>
      <c r="O319" s="104">
        <f>('Renewable Diesel'!C328*'RD Feedstock Breakdown'!O$3*'Feedstock Conversion Rates'!B$7)/12</f>
        <v>11.9991</v>
      </c>
      <c r="P319" s="104">
        <f>('Renewable Diesel'!C328*'RD Feedstock Breakdown'!P$3*'Feedstock Conversion Rates'!B$3)/12</f>
        <v>10.4470425</v>
      </c>
      <c r="Q319" s="106">
        <f t="shared" si="299"/>
        <v>113.90826749999999</v>
      </c>
      <c r="R319" s="104">
        <f>('Renewable Diesel'!D328*'RD Feedstock Breakdown'!R$3*'Feedstock Conversion Rates'!B$7)/12</f>
        <v>2.2999999999999998</v>
      </c>
      <c r="S319" s="106">
        <f t="shared" si="249"/>
        <v>2.2999999999999998</v>
      </c>
      <c r="T319" s="104">
        <f t="shared" si="300"/>
        <v>0.82499999999999929</v>
      </c>
      <c r="U319" s="104"/>
      <c r="V319" s="104">
        <f>('Renewable Diesel'!E328*'RD Feedstock Breakdown'!V$3*'Feedstock Conversion Rates'!B$6)/12-20+25</f>
        <v>49.250150000000012</v>
      </c>
      <c r="W319" s="104">
        <f>('Renewable Diesel'!E328*'RD Feedstock Breakdown'!W$3*'Feedstock Conversion Rates'!B$8)/12-6</f>
        <v>16.1796875</v>
      </c>
      <c r="X319" s="106">
        <f t="shared" si="277"/>
        <v>66.254837500000008</v>
      </c>
      <c r="Y319" s="104">
        <f t="shared" si="301"/>
        <v>98</v>
      </c>
      <c r="Z319" s="104">
        <f>('Renewable Diesel'!F328*'RD Feedstock Breakdown'!Z$3*'Feedstock Conversion Rates'!B$6)/12-142+15+5+20+2.5</f>
        <v>59.960000000000008</v>
      </c>
      <c r="AA319" s="104">
        <f>('Renewable Diesel'!F328*'RD Feedstock Breakdown'!AA$3*'Feedstock Conversion Rates'!B$7)/12+24</f>
        <v>128.26666666666665</v>
      </c>
      <c r="AB319" s="106">
        <f t="shared" si="320"/>
        <v>286.22666666666669</v>
      </c>
      <c r="AC319" s="104">
        <f>('Renewable Diesel'!G328*'RD Feedstock Breakdown'!AC$3*'Feedstock Conversion Rates'!B$5)/12</f>
        <v>11.796875</v>
      </c>
      <c r="AD319" s="104">
        <f>('Renewable Diesel'!G328*'RD Feedstock Breakdown'!AD$3*'Feedstock Conversion Rates'!B$4)/12</f>
        <v>5.859375</v>
      </c>
      <c r="AE319" s="104">
        <f>('Renewable Diesel'!G328*'RD Feedstock Breakdown'!AE$3*'Feedstock Conversion Rates'!B$6)/12</f>
        <v>7.3281250000000009</v>
      </c>
      <c r="AF319" s="106">
        <f t="shared" si="284"/>
        <v>24.984375</v>
      </c>
      <c r="AG319" s="104">
        <f t="shared" si="306"/>
        <v>148</v>
      </c>
      <c r="AH319" s="104"/>
      <c r="AI319" s="104">
        <f>('Renewable Diesel'!H328*'RD Feedstock Breakdown'!AI$3*'Feedstock Conversion Rates'!B$6)/12-130-20+51-49</f>
        <v>0.51666666666667993</v>
      </c>
      <c r="AJ319" s="106">
        <f t="shared" si="248"/>
        <v>148.51666666666668</v>
      </c>
      <c r="AK319" s="104">
        <f>('Renewable Diesel'!J328*'RD Feedstock Breakdown'!AK$3*'Feedstock Conversion Rates'!B$4)/12</f>
        <v>95.8125</v>
      </c>
      <c r="AL319" s="106">
        <f t="shared" si="252"/>
        <v>95.8125</v>
      </c>
      <c r="AM319" s="104">
        <f>('Renewable Diesel'!K328*'RD Feedstock Breakdown'!AM$3*'Feedstock Conversion Rates'!B$4)/12+5+15-10+10</f>
        <v>78.59375</v>
      </c>
      <c r="AN319" s="104">
        <f>('Renewable Diesel'!K328*'RD Feedstock Breakdown'!AN$3*'Feedstock Conversion Rates'!B$6)/12-5-15+10-10</f>
        <v>4.4270833333333321</v>
      </c>
      <c r="AO319" s="106">
        <f t="shared" si="270"/>
        <v>83.020833333333329</v>
      </c>
      <c r="AP319" s="104">
        <f>('Renewable Diesel'!L328*'RD Feedstock Breakdown'!AP$3*'Feedstock Conversion Rates'!B$4)/12+15-10+15</f>
        <v>78.59375</v>
      </c>
      <c r="AQ319" s="104">
        <f>('Renewable Diesel'!L328*'RD Feedstock Breakdown'!AQ$3*'Feedstock Conversion Rates'!B$6)/12-15+10-15</f>
        <v>4.4270833333333321</v>
      </c>
      <c r="AR319" s="106">
        <f t="shared" si="256"/>
        <v>83.020833333333329</v>
      </c>
      <c r="AS319" s="104">
        <f>('Renewable Diesel'!M328*'RD Feedstock Breakdown'!AS$3*'Feedstock Conversion Rates'!B$4)/12-25</f>
        <v>431.25</v>
      </c>
      <c r="AT319" s="104">
        <f>('Renewable Diesel'!M328*'RD Feedstock Breakdown'!AT$3*'Feedstock Conversion Rates'!B$5)/12+25</f>
        <v>25</v>
      </c>
      <c r="AU319" s="106">
        <f t="shared" si="290"/>
        <v>456.25</v>
      </c>
      <c r="AV319" s="104">
        <f>'Renewable Diesel'!N328*'RD Feedstock Breakdown'!$AV$3*'Feedstock Conversion Rates'!$B$4/12-15-10+25+25-22+25</f>
        <v>106.74999999999999</v>
      </c>
      <c r="AW319" s="104">
        <f>'Renewable Diesel'!N328*'RD Feedstock Breakdown'!$AW$3*'Feedstock Conversion Rates'!$B$7/12+15+10-25-25+22-25</f>
        <v>13.400000000000006</v>
      </c>
      <c r="AX319" s="106">
        <f t="shared" si="322"/>
        <v>120.14999999999999</v>
      </c>
      <c r="AY319" s="104">
        <f>('Renewable Diesel'!O328*'RD Feedstock Breakdown'!AY$3*'Feedstock Conversion Rates'!B$4)/12</f>
        <v>210.9375</v>
      </c>
      <c r="AZ319" s="104">
        <f>('Renewable Diesel'!O328*'RD Feedstock Breakdown'!AZ$3*'Feedstock Conversion Rates'!B$3)/12</f>
        <v>25.03125</v>
      </c>
      <c r="BA319" s="106">
        <f t="shared" si="302"/>
        <v>235.96875</v>
      </c>
      <c r="BB319" s="104">
        <f>('Renewable Diesel'!Q328*'RD Feedstock Breakdown'!BB$3*'Feedstock Conversion Rates'!B$4)/12</f>
        <v>11.156249999999998</v>
      </c>
      <c r="BC319" s="104">
        <f>('Renewable Diesel'!Q328*'RD Feedstock Breakdown'!BC$3*'Feedstock Conversion Rates'!B$3)/12</f>
        <v>1.4017500000000001</v>
      </c>
      <c r="BD319" s="104">
        <f>('Renewable Diesel'!Q328*'RD Feedstock Breakdown'!BD$3*'Feedstock Conversion Rates'!B$6)/12</f>
        <v>0.8207500000000002</v>
      </c>
      <c r="BE319" s="106">
        <f t="shared" si="279"/>
        <v>13.378749999999998</v>
      </c>
      <c r="BF319" s="104">
        <f>('Renewable Diesel'!R328*'RD Feedstock Breakdown'!BF$3*'Feedstock Conversion Rates'!B$4)/12</f>
        <v>62.5</v>
      </c>
      <c r="BG319" s="106">
        <f t="shared" si="262"/>
        <v>62.5</v>
      </c>
      <c r="BH319" s="104">
        <f>('Renewable Diesel'!T328*'RD Feedstock Breakdown'!BH$3*'Feedstock Conversion Rates'!B$7)/12</f>
        <v>27.599999999999998</v>
      </c>
      <c r="BI319" s="106">
        <f t="shared" si="327"/>
        <v>27.599999999999998</v>
      </c>
      <c r="BJ319" s="104">
        <f>('Renewable Diesel'!W328*'RD Feedstock Breakdown'!BJ$3*'Feedstock Conversion Rates'!B$4)/12</f>
        <v>7.5</v>
      </c>
      <c r="BK319" s="104">
        <f>('Renewable Diesel'!W328*'RD Feedstock Breakdown'!BK$3*'Feedstock Conversion Rates'!B$3)/12</f>
        <v>1.335</v>
      </c>
      <c r="BL319" s="104">
        <f>('Renewable Diesel'!W328*'RD Feedstock Breakdown'!BL$3*'Feedstock Conversion Rates'!B$6)/12</f>
        <v>3.1266666666666669</v>
      </c>
      <c r="BM319" s="104">
        <f>('Renewable Diesel'!W328*'RD Feedstock Breakdown'!BM$3*'Feedstock Conversion Rates'!B$7)/12</f>
        <v>1.5333333333333332</v>
      </c>
      <c r="BN319" s="106">
        <f t="shared" si="296"/>
        <v>13.495000000000001</v>
      </c>
      <c r="BO319" s="104">
        <f>('Renewable Diesel'!P328*'Feedstock Conversion Rates'!B$4)/12</f>
        <v>31.25</v>
      </c>
      <c r="BP319" s="106">
        <f t="shared" si="285"/>
        <v>31.25</v>
      </c>
      <c r="BQ319" s="104">
        <f>('Renewable Diesel'!$S328*'RD Feedstock Breakdown'!BQ$3*'Feedstock Conversion Rates'!B$4)/12+10+15-15</f>
        <v>38.125</v>
      </c>
      <c r="BR319" s="104">
        <f>('Renewable Diesel'!$S328*'RD Feedstock Breakdown'!BR$3*'Feedstock Conversion Rates'!B$7)/12-10-15+15</f>
        <v>1.5</v>
      </c>
      <c r="BS319" s="106">
        <f t="shared" si="307"/>
        <v>39.625</v>
      </c>
      <c r="BT319" s="106"/>
      <c r="BU319" s="104">
        <f>('Renewable Diesel'!Y328*'Feedstock Conversion Rates'!B$7)/12</f>
        <v>2.6833333333333331</v>
      </c>
      <c r="BV319" s="106">
        <f t="shared" si="281"/>
        <v>2.6833333333333331</v>
      </c>
      <c r="BW319" s="104">
        <f>('Renewable Diesel'!$Z328*'RD Feedstock Breakdown'!BW$3*'Feedstock Conversion Rates'!$B$4)/12</f>
        <v>71.875</v>
      </c>
      <c r="BX319" s="104">
        <f>('Renewable Diesel'!$Z328*'RD Feedstock Breakdown'!BX$3*'Feedstock Conversion Rates'!$B$5)/12</f>
        <v>7.2354166666666666</v>
      </c>
      <c r="BY319" s="104">
        <f>('Renewable Diesel'!$Z328*'RD Feedstock Breakdown'!BY$3*'Feedstock Conversion Rates'!$B$7)/12</f>
        <v>61.716666666666661</v>
      </c>
      <c r="BZ319" s="104">
        <f>('Renewable Diesel'!$Z328*'RD Feedstock Breakdown'!BZ$3*'Feedstock Conversion Rates'!$B$3)/12</f>
        <v>15.352499999999999</v>
      </c>
      <c r="CA319" s="106">
        <f t="shared" si="312"/>
        <v>156.17958333333331</v>
      </c>
      <c r="CB319" s="104">
        <f>('Renewable Diesel'!AA328*'Feedstock Conversion Rates'!B$4)/12</f>
        <v>191.25</v>
      </c>
      <c r="CC319" s="106">
        <f t="shared" si="298"/>
        <v>191.25</v>
      </c>
      <c r="CD319" s="104">
        <f>('Renewable Diesel'!$AB328*'RD Feedstock Breakdown'!CD$3*'Feedstock Conversion Rates'!$B$6)/12-15-5</f>
        <v>12.830000000000005</v>
      </c>
      <c r="CE319" s="104">
        <f>('Renewable Diesel'!$AB328*'RD Feedstock Breakdown'!CE$3*'Feedstock Conversion Rates'!$B$4)/12+15+5</f>
        <v>31.25</v>
      </c>
      <c r="CF319" s="106">
        <f t="shared" si="294"/>
        <v>44.080000000000005</v>
      </c>
      <c r="CG319" s="104">
        <f>('Renewable Diesel'!AD328*'Feedstock Conversion Rates'!B$4)/12</f>
        <v>112.5</v>
      </c>
      <c r="CH319" s="106">
        <f t="shared" si="278"/>
        <v>112.5</v>
      </c>
      <c r="CI319" s="104">
        <f>('Renewable Diesel'!$AE328*'RD Feedstock Breakdown'!CI$3*'Feedstock Conversion Rates'!$B$5)/12</f>
        <v>0.34604166666666664</v>
      </c>
      <c r="CJ319" s="104">
        <f>('Renewable Diesel'!$AE328*'RD Feedstock Breakdown'!CJ$3*'Feedstock Conversion Rates'!$B$4)/12</f>
        <v>0.34375</v>
      </c>
      <c r="CK319" s="106">
        <f t="shared" si="286"/>
        <v>0.68979166666666658</v>
      </c>
      <c r="CL319" s="104">
        <f>(((CL$3*'Renewable Diesel'!$AF328)*'Feedstock Conversion Rates'!$B$3)/12)</f>
        <v>91.78125</v>
      </c>
      <c r="CM319" s="104">
        <f>(((CM$3*'Renewable Diesel'!$AF328)*'Feedstock Conversion Rates'!$B$6)/12)</f>
        <v>53.739583333333336</v>
      </c>
      <c r="CN319" s="104">
        <f>(((CN$3*'Renewable Diesel'!$AF328)*'Feedstock Conversion Rates'!$B$4)/12)</f>
        <v>42.96875</v>
      </c>
      <c r="CO319" s="106">
        <f t="shared" si="280"/>
        <v>188.48958333333334</v>
      </c>
      <c r="CP319" s="104">
        <f>('Renewable Diesel'!$AG328*'RD Feedstock Breakdown'!CP$3*'Feedstock Conversion Rates'!$B$3)/12</f>
        <v>6.0075000000000003</v>
      </c>
      <c r="CQ319" s="104">
        <f>('Renewable Diesel'!$AG328*'RD Feedstock Breakdown'!CQ$3*'Feedstock Conversion Rates'!$B$6)/12</f>
        <v>3.5175000000000001</v>
      </c>
      <c r="CR319" s="104">
        <f>('Renewable Diesel'!$AG328*'RD Feedstock Breakdown'!CR$3*'Feedstock Conversion Rates'!$B$4)/12</f>
        <v>2.8125</v>
      </c>
      <c r="CS319" s="106">
        <f t="shared" si="317"/>
        <v>12.3375</v>
      </c>
      <c r="CT319" s="104">
        <f>('Renewable Diesel'!AI328*'Feedstock Conversion Rates'!$B$4*'RD Feedstock Breakdown'!$CT$3)/12</f>
        <v>29.375</v>
      </c>
      <c r="CU319" s="106">
        <f t="shared" si="282"/>
        <v>29.375</v>
      </c>
      <c r="CV319" s="104">
        <f>('Renewable Diesel'!AN328*'Feedstock Conversion Rates'!$B$3*'RD Feedstock Breakdown'!$CV$3)/12</f>
        <v>0.50062499999999999</v>
      </c>
      <c r="CW319" s="106">
        <f t="shared" si="255"/>
        <v>0.50062499999999999</v>
      </c>
      <c r="CX319" s="104">
        <f>('Renewable Diesel'!AO328*'RD Feedstock Breakdown'!$CX$3*'Feedstock Conversion Rates'!$B$3)/12</f>
        <v>6.3412499999999996</v>
      </c>
      <c r="CY319" s="104">
        <f>('Renewable Diesel'!AO328*'RD Feedstock Breakdown'!$CY$3*'Feedstock Conversion Rates'!$B$6)/12</f>
        <v>7.4258333333333342</v>
      </c>
      <c r="CZ319" s="106">
        <f t="shared" si="318"/>
        <v>13.767083333333334</v>
      </c>
      <c r="DA319" s="104">
        <f>('Renewable Diesel'!$AP328*'RD Feedstock Breakdown'!DA$3*'Feedstock Conversion Rates'!$B$3)/12</f>
        <v>6.3412499999999996</v>
      </c>
      <c r="DB319" s="104">
        <f>('Renewable Diesel'!$AP328*'RD Feedstock Breakdown'!DB$3*'Feedstock Conversion Rates'!$B$8)/12</f>
        <v>7.421875</v>
      </c>
      <c r="DC319" s="106">
        <f t="shared" si="260"/>
        <v>13.763124999999999</v>
      </c>
      <c r="DD319" s="104">
        <f>('Renewable Diesel'!AQ328*$DD$3*'Feedstock Conversion Rates'!$B$14)/12</f>
        <v>3.1041666666666665</v>
      </c>
      <c r="DE319" s="106">
        <f t="shared" si="261"/>
        <v>3.1041666666666665</v>
      </c>
      <c r="DF319" s="104">
        <f>('Renewable Diesel'!AR328*'Feedstock Conversion Rates'!$B$4*$DF$3)/12</f>
        <v>75</v>
      </c>
      <c r="DG319" s="106">
        <f t="shared" si="319"/>
        <v>75</v>
      </c>
      <c r="DH319" s="104">
        <f>('Renewable Diesel'!AS328*'Feedstock Conversion Rates'!$B$4*$DH$3)/12</f>
        <v>75</v>
      </c>
      <c r="DI319" s="106">
        <f t="shared" si="323"/>
        <v>75</v>
      </c>
      <c r="DJ319" s="104">
        <f>('Renewable Diesel'!AT328*'Feedstock Conversion Rates'!$B$4*0.25)/12</f>
        <v>8.59375</v>
      </c>
      <c r="DK319" s="104">
        <f>('Renewable Diesel'!$AT328*'RD Feedstock Breakdown'!DK$3*'Feedstock Conversion Rates'!$B$3)/12*0.5</f>
        <v>9.1781249999999996</v>
      </c>
      <c r="DL319" s="104">
        <f>('Renewable Diesel'!$AT328*'RD Feedstock Breakdown'!$DL$3*'Feedstock Conversion Rates'!$B$6)/12</f>
        <v>10.747916666666669</v>
      </c>
      <c r="DM319" s="104">
        <f>('Renewable Diesel'!$AT328*'RD Feedstock Breakdown'!$DM$3*'Feedstock Conversion Rates'!$B$8)/12</f>
        <v>10.7421875</v>
      </c>
      <c r="DN319" s="106">
        <f t="shared" si="297"/>
        <v>39.26197916666667</v>
      </c>
      <c r="DP319" s="104">
        <f t="shared" si="265"/>
        <v>103.22025000000001</v>
      </c>
      <c r="DQ319" s="104">
        <f t="shared" si="266"/>
        <v>389.11776750000001</v>
      </c>
      <c r="DR319" s="104">
        <f t="shared" si="271"/>
        <v>1984.453125</v>
      </c>
      <c r="DS319" s="104">
        <f t="shared" si="283"/>
        <v>253.90125</v>
      </c>
      <c r="DT319" s="104">
        <f t="shared" si="267"/>
        <v>225.53923333333341</v>
      </c>
      <c r="DU319" s="104">
        <f t="shared" si="268"/>
        <v>320.40610000000004</v>
      </c>
      <c r="DV319" s="104">
        <f t="shared" si="272"/>
        <v>78.75</v>
      </c>
      <c r="DW319" s="104">
        <f t="shared" si="269"/>
        <v>3</v>
      </c>
      <c r="DX319" s="106">
        <f t="shared" si="273"/>
        <v>3358.3877258333337</v>
      </c>
      <c r="DY319" s="109">
        <f t="shared" si="257"/>
        <v>-5.631051180898794E-13</v>
      </c>
      <c r="EA319" s="110">
        <f t="shared" si="313"/>
        <v>3.0735060519073164E-2</v>
      </c>
      <c r="EB319" s="110">
        <f t="shared" si="313"/>
        <v>0.11586445618140957</v>
      </c>
      <c r="EC319" s="110">
        <f t="shared" si="313"/>
        <v>0.59089458603460909</v>
      </c>
      <c r="ED319" s="110">
        <f t="shared" si="308"/>
        <v>7.5602125402896472E-2</v>
      </c>
      <c r="EE319" s="110">
        <f t="shared" si="308"/>
        <v>6.7156996673863573E-2</v>
      </c>
      <c r="EF319" s="110">
        <f t="shared" si="308"/>
        <v>9.5404737676766035E-2</v>
      </c>
      <c r="EG319" s="110">
        <f t="shared" si="308"/>
        <v>2.3448751731147827E-2</v>
      </c>
      <c r="EH319" s="111">
        <f t="shared" si="274"/>
        <v>8.9328578023420294E-4</v>
      </c>
      <c r="EI319" s="110">
        <f t="shared" si="321"/>
        <v>0.99910671421976571</v>
      </c>
      <c r="EK319" s="132">
        <f>(EA319*'Renewable Diesel'!BF328*'Feedstock Conversion Rates'!B$2)+FB319</f>
        <v>236.92090517113292</v>
      </c>
      <c r="EL319" s="132">
        <f>(EB319*'Renewable Diesel'!BF328*'Feedstock Conversion Rates'!B$3)+FC319</f>
        <v>841.65310231517356</v>
      </c>
      <c r="EM319" s="132">
        <f>(EC319*'Renewable Diesel'!BF328*'Feedstock Conversion Rates'!B$4)+FD319</f>
        <v>4019.0338048808253</v>
      </c>
      <c r="EN319" s="132">
        <f>(ED319*'Renewable Diesel'!BF328*'Feedstock Conversion Rates'!B$5)+FE319</f>
        <v>517.64418718490731</v>
      </c>
      <c r="EO319" s="132">
        <f>(EE319*'Renewable Diesel'!BF328*'Feedstock Conversion Rates'!B$6)+FF319</f>
        <v>571.27403991247877</v>
      </c>
      <c r="EP319" s="132">
        <f>(EF319*'Renewable Diesel'!BF328*'Feedstock Conversion Rates'!B$7)+FG319</f>
        <v>795.99099385114755</v>
      </c>
      <c r="EQ319" s="132">
        <f>(EG319*'Renewable Diesel'!BF328*'Feedstock Conversion Rates'!B$8)+FH319</f>
        <v>199.36154459075783</v>
      </c>
      <c r="ER319" s="132">
        <f>(EH319*'Renewable Diesel'!BF328*'Feedstock Conversion Rates'!B$9)+FI319</f>
        <v>7.493462501443088</v>
      </c>
      <c r="ES319" s="132">
        <f t="shared" si="275"/>
        <v>7189.3720404078667</v>
      </c>
      <c r="ET319" s="133">
        <f>ES319/'Renewable Diesel'!BF328</f>
        <v>11.118434200043556</v>
      </c>
      <c r="EW319" s="73">
        <f t="shared" si="309"/>
        <v>5838.649359980026</v>
      </c>
      <c r="EX319" s="73">
        <f t="shared" si="310"/>
        <v>3413.9849543351083</v>
      </c>
      <c r="EY319" s="92">
        <f t="shared" si="258"/>
        <v>0.81212230041287281</v>
      </c>
      <c r="EZ319" s="92">
        <f t="shared" si="258"/>
        <v>0.4748655286090086</v>
      </c>
      <c r="FB319" s="102">
        <f>IF('Renewable Diesel'!$BG328&lt;1,0,(((('Renewable Diesel'!$BG328-1)*'Renewable Diesel'!$BF328)*'RD Feedstock Breakdown'!EA319)*'Feedstock Conversion Rates'!$B$2))</f>
        <v>67.993416224962516</v>
      </c>
      <c r="FC319" s="102">
        <f>IF('Renewable Diesel'!$BG328&lt;1,0,(((('Renewable Diesel'!$BG328-1)*'Renewable Diesel'!$BF328)*'RD Feedstock Breakdown'!EB319)*'Feedstock Conversion Rates'!$B$3))</f>
        <v>241.54419662296323</v>
      </c>
      <c r="FD319" s="102">
        <f>IF('Renewable Diesel'!$BG328&lt;1,0,(((('Renewable Diesel'!$BG328-1)*'Renewable Diesel'!$BF328)*'RD Feedstock Breakdown'!EC319)*'Feedstock Conversion Rates'!$B$4))</f>
        <v>1153.4137864283005</v>
      </c>
      <c r="FE319" s="102">
        <f>IF('Renewable Diesel'!$BG328&lt;1,0,(((('Renewable Diesel'!$BG328-1)*'Renewable Diesel'!$BF328)*'RD Feedstock Breakdown'!ED319)*'Feedstock Conversion Rates'!$B$5))</f>
        <v>148.55758148599304</v>
      </c>
      <c r="FF319" s="102">
        <f>IF('Renewable Diesel'!$BG328&lt;1,0,(((('Renewable Diesel'!$BG328-1)*'Renewable Diesel'!$BF328)*'RD Feedstock Breakdown'!EE319)*'Feedstock Conversion Rates'!$B$6))</f>
        <v>163.94869649104203</v>
      </c>
      <c r="FG319" s="102">
        <f>IF('Renewable Diesel'!$BG328&lt;1,0,(((('Renewable Diesel'!$BG328-1)*'Renewable Diesel'!$BF328)*'RD Feedstock Breakdown'!EF319)*'Feedstock Conversion Rates'!$B$7))</f>
        <v>228.43972724631072</v>
      </c>
      <c r="FH319" s="102">
        <f>IF('Renewable Diesel'!$BG328&lt;1,0,(((('Renewable Diesel'!$BG328-1)*'Renewable Diesel'!$BF328)*'RD Feedstock Breakdown'!EG319)*'Feedstock Conversion Rates'!$B$8))</f>
        <v>57.214336872550625</v>
      </c>
      <c r="FI319" s="102">
        <f>IF('Renewable Diesel'!$BG328&lt;1,0,(((('Renewable Diesel'!$BG328-1)*'Renewable Diesel'!$BF328)*'RD Feedstock Breakdown'!EH319)*'Feedstock Conversion Rates'!$B$9))</f>
        <v>2.1505325351460298</v>
      </c>
      <c r="FJ319" s="102">
        <f t="shared" si="311"/>
        <v>2063.2622739072685</v>
      </c>
      <c r="GD319" s="91">
        <f>'Renewable Diesel'!BB328*0.32</f>
        <v>0</v>
      </c>
      <c r="GE319" s="91">
        <f>'Renewable Diesel'!BC328</f>
        <v>284.22534216662228</v>
      </c>
      <c r="GF319" s="91">
        <f>'Renewable Diesel'!BD328</f>
        <v>0</v>
      </c>
      <c r="GG319" s="91">
        <f t="shared" si="295"/>
        <v>284.22534216662228</v>
      </c>
      <c r="GH319" s="124">
        <v>1</v>
      </c>
      <c r="GI319" s="102">
        <f>$GG319*EA319*'Feedstock Conversion Rates'!$B$2</f>
        <v>74.253306286636004</v>
      </c>
      <c r="GJ319" s="102">
        <f>$GG319*EB319*'Feedstock Conversion Rates'!$B$3</f>
        <v>263.78223377191711</v>
      </c>
      <c r="GK319" s="102">
        <f>$GG319*EC319*'Feedstock Conversion Rates'!$B$4</f>
        <v>1259.6041192506855</v>
      </c>
      <c r="GL319" s="102">
        <f>$GG319*ED319*'Feedstock Conversion Rates'!$B$5</f>
        <v>162.23470170677413</v>
      </c>
      <c r="GM319" s="102">
        <f>$GG319*EE319*'Feedstock Conversion Rates'!$B$6</f>
        <v>179.04281696283871</v>
      </c>
      <c r="GN319" s="102">
        <f>$GG319*EF319*'Feedstock Conversion Rates'!$B$7</f>
        <v>249.47128673656013</v>
      </c>
      <c r="GO319" s="102">
        <f>$GG319*EG319*'Feedstock Conversion Rates'!$B$8</f>
        <v>62.481838914053135</v>
      </c>
      <c r="GP319" s="102">
        <f>$GG319*EH319*'Feedstock Conversion Rates'!B$9</f>
        <v>2.3485237229917115</v>
      </c>
      <c r="GQ319" s="102">
        <f t="shared" si="276"/>
        <v>2253.2188273524562</v>
      </c>
      <c r="GR319" s="85">
        <f t="shared" si="293"/>
        <v>7.927578906850413</v>
      </c>
      <c r="GT319" s="103">
        <f t="shared" si="254"/>
        <v>3.2954325334607661E-2</v>
      </c>
      <c r="GU319" s="103">
        <f t="shared" si="254"/>
        <v>0.11706907050917136</v>
      </c>
      <c r="GV319" s="103">
        <f t="shared" si="254"/>
        <v>0.55902431843724953</v>
      </c>
      <c r="GW319" s="103">
        <f t="shared" si="254"/>
        <v>7.200130752386831E-2</v>
      </c>
      <c r="GX319" s="103">
        <f t="shared" si="253"/>
        <v>7.9460909339735528E-2</v>
      </c>
      <c r="GY319" s="103">
        <f t="shared" si="253"/>
        <v>0.11071773576013039</v>
      </c>
      <c r="GZ319" s="103">
        <f t="shared" si="253"/>
        <v>2.7730035873821283E-2</v>
      </c>
      <c r="HA319" s="103">
        <f t="shared" si="251"/>
        <v>1.0422972214160127E-3</v>
      </c>
    </row>
    <row r="320" spans="1:209" x14ac:dyDescent="0.25">
      <c r="A320" s="96">
        <v>50161</v>
      </c>
      <c r="B320" s="104">
        <f t="shared" si="324"/>
        <v>16.75</v>
      </c>
      <c r="C320" s="104">
        <f t="shared" si="314"/>
        <v>49</v>
      </c>
      <c r="D320" s="104">
        <f t="shared" si="325"/>
        <v>2</v>
      </c>
      <c r="E320" s="104">
        <f>('Renewable Diesel'!B329*E$3*'Feedstock Conversion Rates'!$B$2)/12+26+13-100+27.5+39</f>
        <v>95.43</v>
      </c>
      <c r="F320" s="104">
        <f>('Renewable Diesel'!B329*'RD Feedstock Breakdown'!F$3*'Feedstock Conversion Rates'!B$8)/12+77+23-10-12-115.75+24+8</f>
        <v>48.15625</v>
      </c>
      <c r="G320" s="104">
        <f>('Renewable Diesel'!B329*'RD Feedstock Breakdown'!G$3*'Feedstock Conversion Rates'!B$7)/12+116.75-39-57.5-145-31.5+32+70-40+10-17.5-5</f>
        <v>69.407000000000039</v>
      </c>
      <c r="H320" s="104">
        <f>('Renewable Diesel'!B329*'RD Feedstock Breakdown'!H$3*'Feedstock Conversion Rates'!B$3)/12+67+10+12+3-235+20+47-20+135</f>
        <v>215.40022499999998</v>
      </c>
      <c r="I320" s="106">
        <f t="shared" si="291"/>
        <v>496.14347500000002</v>
      </c>
      <c r="J320" s="104">
        <f t="shared" si="326"/>
        <v>79</v>
      </c>
      <c r="K320" s="104"/>
      <c r="L320" s="104">
        <v>1</v>
      </c>
      <c r="M320" s="104">
        <f>('Renewable Diesel'!C329*'RD Feedstock Breakdown'!M$3*'Feedstock Conversion Rates'!B$2)/12</f>
        <v>7.7902500000000003</v>
      </c>
      <c r="N320" s="104">
        <f>('Renewable Diesel'!C329*'RD Feedstock Breakdown'!N$3*'Feedstock Conversion Rates'!B$8)/12</f>
        <v>3.671875</v>
      </c>
      <c r="O320" s="104">
        <f>('Renewable Diesel'!C329*'RD Feedstock Breakdown'!O$3*'Feedstock Conversion Rates'!B$7)/12</f>
        <v>11.9991</v>
      </c>
      <c r="P320" s="104">
        <f>('Renewable Diesel'!C329*'RD Feedstock Breakdown'!P$3*'Feedstock Conversion Rates'!B$3)/12</f>
        <v>10.4470425</v>
      </c>
      <c r="Q320" s="106">
        <f t="shared" si="299"/>
        <v>113.90826749999999</v>
      </c>
      <c r="R320" s="104">
        <f>('Renewable Diesel'!D329*'RD Feedstock Breakdown'!R$3*'Feedstock Conversion Rates'!B$7)/12</f>
        <v>2.2999999999999998</v>
      </c>
      <c r="S320" s="106">
        <f t="shared" si="249"/>
        <v>2.2999999999999998</v>
      </c>
      <c r="T320" s="104">
        <f t="shared" si="300"/>
        <v>0.82499999999999929</v>
      </c>
      <c r="U320" s="104"/>
      <c r="V320" s="104">
        <f>('Renewable Diesel'!E329*'RD Feedstock Breakdown'!V$3*'Feedstock Conversion Rates'!B$6)/12-20+25</f>
        <v>49.250150000000012</v>
      </c>
      <c r="W320" s="104">
        <f>('Renewable Diesel'!E329*'RD Feedstock Breakdown'!W$3*'Feedstock Conversion Rates'!B$8)/12-6</f>
        <v>16.1796875</v>
      </c>
      <c r="X320" s="106">
        <f t="shared" si="277"/>
        <v>66.254837500000008</v>
      </c>
      <c r="Y320" s="104">
        <f t="shared" si="301"/>
        <v>98</v>
      </c>
      <c r="Z320" s="104">
        <f>('Renewable Diesel'!F329*'RD Feedstock Breakdown'!Z$3*'Feedstock Conversion Rates'!B$6)/12-142+15+5+20+2.5</f>
        <v>59.960000000000008</v>
      </c>
      <c r="AA320" s="104">
        <f>('Renewable Diesel'!F329*'RD Feedstock Breakdown'!AA$3*'Feedstock Conversion Rates'!B$7)/12+24</f>
        <v>128.26666666666665</v>
      </c>
      <c r="AB320" s="106">
        <f t="shared" si="320"/>
        <v>286.22666666666669</v>
      </c>
      <c r="AC320" s="104">
        <f>('Renewable Diesel'!G329*'RD Feedstock Breakdown'!AC$3*'Feedstock Conversion Rates'!B$5)/12</f>
        <v>11.796875</v>
      </c>
      <c r="AD320" s="104">
        <f>('Renewable Diesel'!G329*'RD Feedstock Breakdown'!AD$3*'Feedstock Conversion Rates'!B$4)/12</f>
        <v>5.859375</v>
      </c>
      <c r="AE320" s="104">
        <f>('Renewable Diesel'!G329*'RD Feedstock Breakdown'!AE$3*'Feedstock Conversion Rates'!B$6)/12</f>
        <v>7.3281250000000009</v>
      </c>
      <c r="AF320" s="106">
        <f t="shared" si="284"/>
        <v>24.984375</v>
      </c>
      <c r="AG320" s="104">
        <f t="shared" si="306"/>
        <v>148</v>
      </c>
      <c r="AH320" s="104"/>
      <c r="AI320" s="104">
        <f>('Renewable Diesel'!H329*'RD Feedstock Breakdown'!AI$3*'Feedstock Conversion Rates'!B$6)/12-130-20+51-49</f>
        <v>0.51666666666667993</v>
      </c>
      <c r="AJ320" s="106">
        <f t="shared" ref="AJ320:AJ383" si="328">AI320+AG320</f>
        <v>148.51666666666668</v>
      </c>
      <c r="AK320" s="104">
        <f>('Renewable Diesel'!J329*'RD Feedstock Breakdown'!AK$3*'Feedstock Conversion Rates'!B$4)/12</f>
        <v>95.8125</v>
      </c>
      <c r="AL320" s="106">
        <f t="shared" si="252"/>
        <v>95.8125</v>
      </c>
      <c r="AM320" s="104">
        <f>('Renewable Diesel'!K329*'RD Feedstock Breakdown'!AM$3*'Feedstock Conversion Rates'!B$4)/12+5+15-10+10</f>
        <v>78.59375</v>
      </c>
      <c r="AN320" s="104">
        <f>('Renewable Diesel'!K329*'RD Feedstock Breakdown'!AN$3*'Feedstock Conversion Rates'!B$6)/12-5-15+10-10</f>
        <v>4.4270833333333321</v>
      </c>
      <c r="AO320" s="106">
        <f t="shared" si="270"/>
        <v>83.020833333333329</v>
      </c>
      <c r="AP320" s="104">
        <f>('Renewable Diesel'!L329*'RD Feedstock Breakdown'!AP$3*'Feedstock Conversion Rates'!B$4)/12+15-10+15</f>
        <v>78.59375</v>
      </c>
      <c r="AQ320" s="104">
        <f>('Renewable Diesel'!L329*'RD Feedstock Breakdown'!AQ$3*'Feedstock Conversion Rates'!B$6)/12-15+10-15</f>
        <v>4.4270833333333321</v>
      </c>
      <c r="AR320" s="106">
        <f t="shared" si="256"/>
        <v>83.020833333333329</v>
      </c>
      <c r="AS320" s="104">
        <f>('Renewable Diesel'!M329*'RD Feedstock Breakdown'!AS$3*'Feedstock Conversion Rates'!B$4)/12-25</f>
        <v>431.25</v>
      </c>
      <c r="AT320" s="104">
        <f>('Renewable Diesel'!M329*'RD Feedstock Breakdown'!AT$3*'Feedstock Conversion Rates'!B$5)/12+25</f>
        <v>25</v>
      </c>
      <c r="AU320" s="106">
        <f t="shared" si="290"/>
        <v>456.25</v>
      </c>
      <c r="AV320" s="104">
        <f>'Renewable Diesel'!N329*'RD Feedstock Breakdown'!$AV$3*'Feedstock Conversion Rates'!$B$4/12-15-10+25+25-22+25</f>
        <v>106.74999999999999</v>
      </c>
      <c r="AW320" s="104">
        <f>'Renewable Diesel'!N329*'RD Feedstock Breakdown'!$AW$3*'Feedstock Conversion Rates'!$B$7/12+15+10-25-25+22-25</f>
        <v>13.400000000000006</v>
      </c>
      <c r="AX320" s="106">
        <f t="shared" si="322"/>
        <v>120.14999999999999</v>
      </c>
      <c r="AY320" s="104">
        <f>('Renewable Diesel'!O329*'RD Feedstock Breakdown'!AY$3*'Feedstock Conversion Rates'!B$4)/12</f>
        <v>210.9375</v>
      </c>
      <c r="AZ320" s="104">
        <f>('Renewable Diesel'!O329*'RD Feedstock Breakdown'!AZ$3*'Feedstock Conversion Rates'!B$3)/12</f>
        <v>25.03125</v>
      </c>
      <c r="BA320" s="106">
        <f t="shared" si="302"/>
        <v>235.96875</v>
      </c>
      <c r="BB320" s="104">
        <f>('Renewable Diesel'!Q329*'RD Feedstock Breakdown'!BB$3*'Feedstock Conversion Rates'!B$4)/12</f>
        <v>11.156249999999998</v>
      </c>
      <c r="BC320" s="104">
        <f>('Renewable Diesel'!Q329*'RD Feedstock Breakdown'!BC$3*'Feedstock Conversion Rates'!B$3)/12</f>
        <v>1.4017500000000001</v>
      </c>
      <c r="BD320" s="104">
        <f>('Renewable Diesel'!Q329*'RD Feedstock Breakdown'!BD$3*'Feedstock Conversion Rates'!B$6)/12</f>
        <v>0.8207500000000002</v>
      </c>
      <c r="BE320" s="106">
        <f t="shared" si="279"/>
        <v>13.378749999999998</v>
      </c>
      <c r="BF320" s="104">
        <f>('Renewable Diesel'!R329*'RD Feedstock Breakdown'!BF$3*'Feedstock Conversion Rates'!B$4)/12</f>
        <v>62.5</v>
      </c>
      <c r="BG320" s="106">
        <f t="shared" si="262"/>
        <v>62.5</v>
      </c>
      <c r="BH320" s="104">
        <f>('Renewable Diesel'!T329*'RD Feedstock Breakdown'!BH$3*'Feedstock Conversion Rates'!B$7)/12</f>
        <v>27.599999999999998</v>
      </c>
      <c r="BI320" s="106">
        <f t="shared" si="327"/>
        <v>27.599999999999998</v>
      </c>
      <c r="BJ320" s="104">
        <f>('Renewable Diesel'!W329*'RD Feedstock Breakdown'!BJ$3*'Feedstock Conversion Rates'!B$4)/12</f>
        <v>7.5</v>
      </c>
      <c r="BK320" s="104">
        <f>('Renewable Diesel'!W329*'RD Feedstock Breakdown'!BK$3*'Feedstock Conversion Rates'!B$3)/12</f>
        <v>1.335</v>
      </c>
      <c r="BL320" s="104">
        <f>('Renewable Diesel'!W329*'RD Feedstock Breakdown'!BL$3*'Feedstock Conversion Rates'!B$6)/12</f>
        <v>3.1266666666666669</v>
      </c>
      <c r="BM320" s="104">
        <f>('Renewable Diesel'!W329*'RD Feedstock Breakdown'!BM$3*'Feedstock Conversion Rates'!B$7)/12</f>
        <v>1.5333333333333332</v>
      </c>
      <c r="BN320" s="106">
        <f t="shared" si="296"/>
        <v>13.495000000000001</v>
      </c>
      <c r="BO320" s="104">
        <f>('Renewable Diesel'!P329*'Feedstock Conversion Rates'!B$4)/12</f>
        <v>31.25</v>
      </c>
      <c r="BP320" s="106">
        <f t="shared" si="285"/>
        <v>31.25</v>
      </c>
      <c r="BQ320" s="104">
        <f>('Renewable Diesel'!$S329*'RD Feedstock Breakdown'!BQ$3*'Feedstock Conversion Rates'!B$4)/12+10+15-15</f>
        <v>38.125</v>
      </c>
      <c r="BR320" s="104">
        <f>('Renewable Diesel'!$S329*'RD Feedstock Breakdown'!BR$3*'Feedstock Conversion Rates'!B$7)/12-10-15+15</f>
        <v>1.5</v>
      </c>
      <c r="BS320" s="106">
        <f t="shared" si="307"/>
        <v>39.625</v>
      </c>
      <c r="BT320" s="106"/>
      <c r="BU320" s="104">
        <f>('Renewable Diesel'!Y329*'Feedstock Conversion Rates'!B$7)/12</f>
        <v>2.6833333333333331</v>
      </c>
      <c r="BV320" s="106">
        <f t="shared" si="281"/>
        <v>2.6833333333333331</v>
      </c>
      <c r="BW320" s="104">
        <f>('Renewable Diesel'!$Z329*'RD Feedstock Breakdown'!BW$3*'Feedstock Conversion Rates'!$B$4)/12</f>
        <v>71.875</v>
      </c>
      <c r="BX320" s="104">
        <f>('Renewable Diesel'!$Z329*'RD Feedstock Breakdown'!BX$3*'Feedstock Conversion Rates'!$B$5)/12</f>
        <v>7.2354166666666666</v>
      </c>
      <c r="BY320" s="104">
        <f>('Renewable Diesel'!$Z329*'RD Feedstock Breakdown'!BY$3*'Feedstock Conversion Rates'!$B$7)/12</f>
        <v>61.716666666666661</v>
      </c>
      <c r="BZ320" s="104">
        <f>('Renewable Diesel'!$Z329*'RD Feedstock Breakdown'!BZ$3*'Feedstock Conversion Rates'!$B$3)/12</f>
        <v>15.352499999999999</v>
      </c>
      <c r="CA320" s="106">
        <f t="shared" si="312"/>
        <v>156.17958333333331</v>
      </c>
      <c r="CB320" s="104">
        <f>('Renewable Diesel'!AA329*'Feedstock Conversion Rates'!B$4)/12</f>
        <v>191.25</v>
      </c>
      <c r="CC320" s="106">
        <f t="shared" si="298"/>
        <v>191.25</v>
      </c>
      <c r="CD320" s="104">
        <f>('Renewable Diesel'!$AB329*'RD Feedstock Breakdown'!CD$3*'Feedstock Conversion Rates'!$B$6)/12-15-5</f>
        <v>12.830000000000005</v>
      </c>
      <c r="CE320" s="104">
        <f>('Renewable Diesel'!$AB329*'RD Feedstock Breakdown'!CE$3*'Feedstock Conversion Rates'!$B$4)/12+15+5</f>
        <v>31.25</v>
      </c>
      <c r="CF320" s="106">
        <f t="shared" si="294"/>
        <v>44.080000000000005</v>
      </c>
      <c r="CG320" s="104">
        <f>('Renewable Diesel'!AD329*'Feedstock Conversion Rates'!B$4)/12</f>
        <v>112.5</v>
      </c>
      <c r="CH320" s="106">
        <f t="shared" si="278"/>
        <v>112.5</v>
      </c>
      <c r="CI320" s="104">
        <f>('Renewable Diesel'!$AE329*'RD Feedstock Breakdown'!CI$3*'Feedstock Conversion Rates'!$B$5)/12</f>
        <v>0.34604166666666664</v>
      </c>
      <c r="CJ320" s="104">
        <f>('Renewable Diesel'!$AE329*'RD Feedstock Breakdown'!CJ$3*'Feedstock Conversion Rates'!$B$4)/12</f>
        <v>0.34375</v>
      </c>
      <c r="CK320" s="106">
        <f t="shared" si="286"/>
        <v>0.68979166666666658</v>
      </c>
      <c r="CL320" s="104">
        <f>(((CL$3*'Renewable Diesel'!$AF329)*'Feedstock Conversion Rates'!$B$3)/12)</f>
        <v>91.78125</v>
      </c>
      <c r="CM320" s="104">
        <f>(((CM$3*'Renewable Diesel'!$AF329)*'Feedstock Conversion Rates'!$B$6)/12)</f>
        <v>53.739583333333336</v>
      </c>
      <c r="CN320" s="104">
        <f>(((CN$3*'Renewable Diesel'!$AF329)*'Feedstock Conversion Rates'!$B$4)/12)</f>
        <v>42.96875</v>
      </c>
      <c r="CO320" s="106">
        <f t="shared" si="280"/>
        <v>188.48958333333334</v>
      </c>
      <c r="CP320" s="104">
        <f>('Renewable Diesel'!$AG329*'RD Feedstock Breakdown'!CP$3*'Feedstock Conversion Rates'!$B$3)/12</f>
        <v>6.0075000000000003</v>
      </c>
      <c r="CQ320" s="104">
        <f>('Renewable Diesel'!$AG329*'RD Feedstock Breakdown'!CQ$3*'Feedstock Conversion Rates'!$B$6)/12</f>
        <v>3.5175000000000001</v>
      </c>
      <c r="CR320" s="104">
        <f>('Renewable Diesel'!$AG329*'RD Feedstock Breakdown'!CR$3*'Feedstock Conversion Rates'!$B$4)/12</f>
        <v>2.8125</v>
      </c>
      <c r="CS320" s="106">
        <f t="shared" si="317"/>
        <v>12.3375</v>
      </c>
      <c r="CT320" s="104">
        <f>('Renewable Diesel'!AI329*'Feedstock Conversion Rates'!$B$4*'RD Feedstock Breakdown'!$CT$3)/12</f>
        <v>29.375</v>
      </c>
      <c r="CU320" s="106">
        <f t="shared" si="282"/>
        <v>29.375</v>
      </c>
      <c r="CV320" s="104">
        <f>('Renewable Diesel'!AN329*'Feedstock Conversion Rates'!$B$3*'RD Feedstock Breakdown'!$CV$3)/12</f>
        <v>0.50062499999999999</v>
      </c>
      <c r="CW320" s="106">
        <f t="shared" si="255"/>
        <v>0.50062499999999999</v>
      </c>
      <c r="CX320" s="104">
        <f>('Renewable Diesel'!AO329*'RD Feedstock Breakdown'!$CX$3*'Feedstock Conversion Rates'!$B$3)/12</f>
        <v>6.3412499999999996</v>
      </c>
      <c r="CY320" s="104">
        <f>('Renewable Diesel'!AO329*'RD Feedstock Breakdown'!$CY$3*'Feedstock Conversion Rates'!$B$6)/12</f>
        <v>7.4258333333333342</v>
      </c>
      <c r="CZ320" s="106">
        <f t="shared" si="318"/>
        <v>13.767083333333334</v>
      </c>
      <c r="DA320" s="104">
        <f>('Renewable Diesel'!$AP329*'RD Feedstock Breakdown'!DA$3*'Feedstock Conversion Rates'!$B$3)/12</f>
        <v>6.3412499999999996</v>
      </c>
      <c r="DB320" s="104">
        <f>('Renewable Diesel'!$AP329*'RD Feedstock Breakdown'!DB$3*'Feedstock Conversion Rates'!$B$8)/12</f>
        <v>7.421875</v>
      </c>
      <c r="DC320" s="106">
        <f t="shared" si="260"/>
        <v>13.763124999999999</v>
      </c>
      <c r="DD320" s="104">
        <f>('Renewable Diesel'!AQ329*$DD$3*'Feedstock Conversion Rates'!$B$14)/12</f>
        <v>3.1041666666666665</v>
      </c>
      <c r="DE320" s="106">
        <f t="shared" si="261"/>
        <v>3.1041666666666665</v>
      </c>
      <c r="DF320" s="104">
        <f>('Renewable Diesel'!AR329*'Feedstock Conversion Rates'!$B$4*$DF$3)/12</f>
        <v>75</v>
      </c>
      <c r="DG320" s="106">
        <f t="shared" si="319"/>
        <v>75</v>
      </c>
      <c r="DH320" s="104">
        <f>('Renewable Diesel'!AS329*'Feedstock Conversion Rates'!$B$4*$DH$3)/12</f>
        <v>75</v>
      </c>
      <c r="DI320" s="106">
        <f t="shared" si="323"/>
        <v>75</v>
      </c>
      <c r="DJ320" s="104">
        <f>('Renewable Diesel'!AT329*'Feedstock Conversion Rates'!$B$4*0.25)/12</f>
        <v>8.59375</v>
      </c>
      <c r="DK320" s="104">
        <f>('Renewable Diesel'!$AT329*'RD Feedstock Breakdown'!DK$3*'Feedstock Conversion Rates'!$B$3)/12*0.5</f>
        <v>9.1781249999999996</v>
      </c>
      <c r="DL320" s="104">
        <f>('Renewable Diesel'!$AT329*'RD Feedstock Breakdown'!$DL$3*'Feedstock Conversion Rates'!$B$6)/12</f>
        <v>10.747916666666669</v>
      </c>
      <c r="DM320" s="104">
        <f>('Renewable Diesel'!$AT329*'RD Feedstock Breakdown'!$DM$3*'Feedstock Conversion Rates'!$B$8)/12</f>
        <v>10.7421875</v>
      </c>
      <c r="DN320" s="106">
        <f t="shared" si="297"/>
        <v>39.26197916666667</v>
      </c>
      <c r="DP320" s="104">
        <f t="shared" si="265"/>
        <v>103.22025000000001</v>
      </c>
      <c r="DQ320" s="104">
        <f t="shared" si="266"/>
        <v>389.11776750000001</v>
      </c>
      <c r="DR320" s="104">
        <f t="shared" si="271"/>
        <v>1984.453125</v>
      </c>
      <c r="DS320" s="104">
        <f t="shared" si="283"/>
        <v>253.90125</v>
      </c>
      <c r="DT320" s="104">
        <f t="shared" si="267"/>
        <v>225.53923333333341</v>
      </c>
      <c r="DU320" s="104">
        <f t="shared" si="268"/>
        <v>320.40610000000004</v>
      </c>
      <c r="DV320" s="104">
        <f t="shared" si="272"/>
        <v>78.75</v>
      </c>
      <c r="DW320" s="104">
        <f t="shared" si="269"/>
        <v>3</v>
      </c>
      <c r="DX320" s="106">
        <f t="shared" si="273"/>
        <v>3358.3877258333337</v>
      </c>
      <c r="DY320" s="109">
        <f t="shared" si="257"/>
        <v>-5.631051180898794E-13</v>
      </c>
      <c r="EA320" s="110">
        <f t="shared" si="313"/>
        <v>3.0735060519073164E-2</v>
      </c>
      <c r="EB320" s="110">
        <f t="shared" si="313"/>
        <v>0.11586445618140957</v>
      </c>
      <c r="EC320" s="110">
        <f t="shared" si="313"/>
        <v>0.59089458603460909</v>
      </c>
      <c r="ED320" s="110">
        <f t="shared" si="308"/>
        <v>7.5602125402896472E-2</v>
      </c>
      <c r="EE320" s="110">
        <f t="shared" si="308"/>
        <v>6.7156996673863573E-2</v>
      </c>
      <c r="EF320" s="110">
        <f t="shared" si="308"/>
        <v>9.5404737676766035E-2</v>
      </c>
      <c r="EG320" s="110">
        <f t="shared" si="308"/>
        <v>2.3448751731147827E-2</v>
      </c>
      <c r="EH320" s="111">
        <f t="shared" si="274"/>
        <v>8.9328578023420294E-4</v>
      </c>
      <c r="EI320" s="110">
        <f t="shared" si="321"/>
        <v>0.99910671421976571</v>
      </c>
      <c r="EK320" s="132">
        <f>(EA320*'Renewable Diesel'!BF329*'Feedstock Conversion Rates'!B$2)+FB320</f>
        <v>355.28948919633228</v>
      </c>
      <c r="EL320" s="132">
        <f>(EB320*'Renewable Diesel'!BF329*'Feedstock Conversion Rates'!B$3)+FC320</f>
        <v>1262.1532936744034</v>
      </c>
      <c r="EM320" s="132">
        <f>(EC320*'Renewable Diesel'!BF329*'Feedstock Conversion Rates'!B$4)+FD320</f>
        <v>6026.9922849040413</v>
      </c>
      <c r="EN320" s="132">
        <f>(ED320*'Renewable Diesel'!BF329*'Feedstock Conversion Rates'!B$5)+FE320</f>
        <v>776.26555882661228</v>
      </c>
      <c r="EO320" s="132">
        <f>(EE320*'Renewable Diesel'!BF329*'Feedstock Conversion Rates'!B$6)+FF320</f>
        <v>856.68954238133597</v>
      </c>
      <c r="EP320" s="132">
        <f>(EF320*'Renewable Diesel'!BF329*'Feedstock Conversion Rates'!B$7)+FG320</f>
        <v>1193.6778369387771</v>
      </c>
      <c r="EQ320" s="132">
        <f>(EG320*'Renewable Diesel'!BF329*'Feedstock Conversion Rates'!B$8)+FH320</f>
        <v>298.96501236089495</v>
      </c>
      <c r="ER320" s="132">
        <f>(EH320*'Renewable Diesel'!BF329*'Feedstock Conversion Rates'!B$9)+FI320</f>
        <v>11.237288083660305</v>
      </c>
      <c r="ES320" s="132">
        <f t="shared" si="275"/>
        <v>10781.270306366059</v>
      </c>
      <c r="ET320" s="133">
        <f>ES320/'Renewable Diesel'!BF329</f>
        <v>13.84054966149955</v>
      </c>
      <c r="EW320" s="73">
        <f t="shared" si="309"/>
        <v>9709.7511297753554</v>
      </c>
      <c r="EX320" s="73">
        <f t="shared" si="310"/>
        <v>5677.5021453771269</v>
      </c>
      <c r="EY320" s="92">
        <f t="shared" si="258"/>
        <v>0.90061290124986482</v>
      </c>
      <c r="EZ320" s="92">
        <f t="shared" si="258"/>
        <v>0.52660790278346981</v>
      </c>
      <c r="FB320" s="102">
        <f>IF('Renewable Diesel'!$BG329&lt;1,0,(((('Renewable Diesel'!$BG329-1)*'Renewable Diesel'!$BF329)*'RD Feedstock Breakdown'!EA320)*'Feedstock Conversion Rates'!$B$2))</f>
        <v>151.78706123904982</v>
      </c>
      <c r="FC320" s="102">
        <f>IF('Renewable Diesel'!$BG329&lt;1,0,(((('Renewable Diesel'!$BG329-1)*'Renewable Diesel'!$BF329)*'RD Feedstock Breakdown'!EB320)*'Feedstock Conversion Rates'!$B$3))</f>
        <v>539.2181449369001</v>
      </c>
      <c r="FD320" s="102">
        <f>IF('Renewable Diesel'!$BG329&lt;1,0,(((('Renewable Diesel'!$BG329-1)*'Renewable Diesel'!$BF329)*'RD Feedstock Breakdown'!EC320)*'Feedstock Conversion Rates'!$B$4))</f>
        <v>2574.8564898594091</v>
      </c>
      <c r="FE320" s="102">
        <f>IF('Renewable Diesel'!$BG329&lt;1,0,(((('Renewable Diesel'!$BG329-1)*'Renewable Diesel'!$BF329)*'RD Feedstock Breakdown'!ED320)*'Feedstock Conversion Rates'!$B$5))</f>
        <v>331.63679618529113</v>
      </c>
      <c r="FF320" s="102">
        <f>IF('Renewable Diesel'!$BG329&lt;1,0,(((('Renewable Diesel'!$BG329-1)*'Renewable Diesel'!$BF329)*'RD Feedstock Breakdown'!EE320)*'Feedstock Conversion Rates'!$B$6))</f>
        <v>365.99559510310382</v>
      </c>
      <c r="FG320" s="102">
        <f>IF('Renewable Diesel'!$BG329&lt;1,0,(((('Renewable Diesel'!$BG329-1)*'Renewable Diesel'!$BF329)*'RD Feedstock Breakdown'!EF320)*'Feedstock Conversion Rates'!$B$7))</f>
        <v>509.964005253756</v>
      </c>
      <c r="FH320" s="102">
        <f>IF('Renewable Diesel'!$BG329&lt;1,0,(((('Renewable Diesel'!$BG329-1)*'Renewable Diesel'!$BF329)*'RD Feedstock Breakdown'!EG320)*'Feedstock Conversion Rates'!$B$8))</f>
        <v>127.72407295865735</v>
      </c>
      <c r="FI320" s="102">
        <f>IF('Renewable Diesel'!$BG329&lt;1,0,(((('Renewable Diesel'!$BG329-1)*'Renewable Diesel'!$BF329)*'RD Feedstock Breakdown'!EH320)*'Feedstock Conversion Rates'!$B$9))</f>
        <v>4.8008032502555649</v>
      </c>
      <c r="FJ320" s="102">
        <f t="shared" si="311"/>
        <v>4605.982968786423</v>
      </c>
      <c r="GD320" s="91">
        <f>'Renewable Diesel'!BB329*0.32</f>
        <v>0</v>
      </c>
      <c r="GE320" s="91">
        <f>'Renewable Diesel'!BC329</f>
        <v>374.13637792329394</v>
      </c>
      <c r="GF320" s="91">
        <f>'Renewable Diesel'!BD329</f>
        <v>0</v>
      </c>
      <c r="GG320" s="91">
        <f t="shared" si="295"/>
        <v>374.13637792329394</v>
      </c>
      <c r="GH320" s="124">
        <v>1</v>
      </c>
      <c r="GI320" s="102">
        <f>$GG320*EA320*'Feedstock Conversion Rates'!$B$2</f>
        <v>97.742385851803775</v>
      </c>
      <c r="GJ320" s="102">
        <f>$GG320*EB320*'Feedstock Conversion Rates'!$B$3</f>
        <v>347.22635480577588</v>
      </c>
      <c r="GK320" s="102">
        <f>$GG320*EC320*'Feedstock Conversion Rates'!$B$4</f>
        <v>1658.0637011510462</v>
      </c>
      <c r="GL320" s="102">
        <f>$GG320*ED320*'Feedstock Conversion Rates'!$B$5</f>
        <v>213.55556547964463</v>
      </c>
      <c r="GM320" s="102">
        <f>$GG320*EE320*'Feedstock Conversion Rates'!$B$6</f>
        <v>235.68071207524525</v>
      </c>
      <c r="GN320" s="102">
        <f>$GG320*EF320*'Feedstock Conversion Rates'!$B$7</f>
        <v>328.38832351818672</v>
      </c>
      <c r="GO320" s="102">
        <f>$GG320*EG320*'Feedstock Conversion Rates'!$B$8</f>
        <v>82.247165995445769</v>
      </c>
      <c r="GP320" s="102">
        <f>$GG320*EH320*'Feedstock Conversion Rates'!B$9</f>
        <v>3.0914490329716759</v>
      </c>
      <c r="GQ320" s="102">
        <f t="shared" si="276"/>
        <v>2965.995657910119</v>
      </c>
      <c r="GR320" s="85">
        <f t="shared" si="293"/>
        <v>7.9275789068504112</v>
      </c>
      <c r="GT320" s="103">
        <f t="shared" si="254"/>
        <v>3.2954325334607654E-2</v>
      </c>
      <c r="GU320" s="103">
        <f t="shared" si="254"/>
        <v>0.11706907050917136</v>
      </c>
      <c r="GV320" s="103">
        <f t="shared" si="254"/>
        <v>0.55902431843724942</v>
      </c>
      <c r="GW320" s="103">
        <f t="shared" si="254"/>
        <v>7.2001307523868296E-2</v>
      </c>
      <c r="GX320" s="103">
        <f t="shared" si="253"/>
        <v>7.9460909339735528E-2</v>
      </c>
      <c r="GY320" s="103">
        <f t="shared" si="253"/>
        <v>0.11071773576013037</v>
      </c>
      <c r="GZ320" s="103">
        <f t="shared" si="253"/>
        <v>2.7730035873821279E-2</v>
      </c>
      <c r="HA320" s="103">
        <f t="shared" si="251"/>
        <v>1.0422972214160127E-3</v>
      </c>
    </row>
    <row r="321" spans="1:209" x14ac:dyDescent="0.25">
      <c r="A321" s="96">
        <v>50192</v>
      </c>
      <c r="B321" s="104">
        <f t="shared" si="324"/>
        <v>16.75</v>
      </c>
      <c r="C321" s="104">
        <f t="shared" si="314"/>
        <v>49</v>
      </c>
      <c r="D321" s="104">
        <f t="shared" si="325"/>
        <v>2</v>
      </c>
      <c r="E321" s="104">
        <f>('Renewable Diesel'!B330*E$3*'Feedstock Conversion Rates'!$B$2)/12+26+13-100+27.5+39</f>
        <v>95.43</v>
      </c>
      <c r="F321" s="104">
        <f>('Renewable Diesel'!B330*'RD Feedstock Breakdown'!F$3*'Feedstock Conversion Rates'!B$8)/12+77+23-10-12-115.75+24+8</f>
        <v>48.15625</v>
      </c>
      <c r="G321" s="104">
        <f>('Renewable Diesel'!B330*'RD Feedstock Breakdown'!G$3*'Feedstock Conversion Rates'!B$7)/12+116.75-39-57.5-145-31.5+32+70-40+10-17.5-5</f>
        <v>69.407000000000039</v>
      </c>
      <c r="H321" s="104">
        <f>('Renewable Diesel'!B330*'RD Feedstock Breakdown'!H$3*'Feedstock Conversion Rates'!B$3)/12+67+10+12+3-235+20+47-20+135</f>
        <v>215.40022499999998</v>
      </c>
      <c r="I321" s="106">
        <f t="shared" si="291"/>
        <v>496.14347500000002</v>
      </c>
      <c r="J321" s="104">
        <f t="shared" si="326"/>
        <v>79</v>
      </c>
      <c r="K321" s="104"/>
      <c r="L321" s="104">
        <v>1</v>
      </c>
      <c r="M321" s="104">
        <f>('Renewable Diesel'!C330*'RD Feedstock Breakdown'!M$3*'Feedstock Conversion Rates'!B$2)/12</f>
        <v>7.7902500000000003</v>
      </c>
      <c r="N321" s="104">
        <f>('Renewable Diesel'!C330*'RD Feedstock Breakdown'!N$3*'Feedstock Conversion Rates'!B$8)/12</f>
        <v>3.671875</v>
      </c>
      <c r="O321" s="104">
        <f>('Renewable Diesel'!C330*'RD Feedstock Breakdown'!O$3*'Feedstock Conversion Rates'!B$7)/12</f>
        <v>11.9991</v>
      </c>
      <c r="P321" s="104">
        <f>('Renewable Diesel'!C330*'RD Feedstock Breakdown'!P$3*'Feedstock Conversion Rates'!B$3)/12</f>
        <v>10.4470425</v>
      </c>
      <c r="Q321" s="106">
        <f t="shared" si="299"/>
        <v>113.90826749999999</v>
      </c>
      <c r="R321" s="104">
        <f>('Renewable Diesel'!D330*'RD Feedstock Breakdown'!R$3*'Feedstock Conversion Rates'!B$7)/12</f>
        <v>2.2999999999999998</v>
      </c>
      <c r="S321" s="106">
        <f t="shared" ref="S321:S384" si="329">R321</f>
        <v>2.2999999999999998</v>
      </c>
      <c r="T321" s="104">
        <f t="shared" si="300"/>
        <v>0.82499999999999929</v>
      </c>
      <c r="U321" s="104"/>
      <c r="V321" s="104">
        <f>('Renewable Diesel'!E330*'RD Feedstock Breakdown'!V$3*'Feedstock Conversion Rates'!B$6)/12-20+25</f>
        <v>49.250150000000012</v>
      </c>
      <c r="W321" s="104">
        <f>('Renewable Diesel'!E330*'RD Feedstock Breakdown'!W$3*'Feedstock Conversion Rates'!B$8)/12-6</f>
        <v>16.1796875</v>
      </c>
      <c r="X321" s="106">
        <f t="shared" si="277"/>
        <v>66.254837500000008</v>
      </c>
      <c r="Y321" s="104">
        <f t="shared" si="301"/>
        <v>98</v>
      </c>
      <c r="Z321" s="104">
        <f>('Renewable Diesel'!F330*'RD Feedstock Breakdown'!Z$3*'Feedstock Conversion Rates'!B$6)/12-142+15+5+20+2.5</f>
        <v>59.960000000000008</v>
      </c>
      <c r="AA321" s="104">
        <f>('Renewable Diesel'!F330*'RD Feedstock Breakdown'!AA$3*'Feedstock Conversion Rates'!B$7)/12+24</f>
        <v>128.26666666666665</v>
      </c>
      <c r="AB321" s="106">
        <f t="shared" si="320"/>
        <v>286.22666666666669</v>
      </c>
      <c r="AC321" s="104">
        <f>('Renewable Diesel'!G330*'RD Feedstock Breakdown'!AC$3*'Feedstock Conversion Rates'!B$5)/12</f>
        <v>11.796875</v>
      </c>
      <c r="AD321" s="104">
        <f>('Renewable Diesel'!G330*'RD Feedstock Breakdown'!AD$3*'Feedstock Conversion Rates'!B$4)/12</f>
        <v>5.859375</v>
      </c>
      <c r="AE321" s="104">
        <f>('Renewable Diesel'!G330*'RD Feedstock Breakdown'!AE$3*'Feedstock Conversion Rates'!B$6)/12</f>
        <v>7.3281250000000009</v>
      </c>
      <c r="AF321" s="106">
        <f t="shared" si="284"/>
        <v>24.984375</v>
      </c>
      <c r="AG321" s="104">
        <f t="shared" si="306"/>
        <v>148</v>
      </c>
      <c r="AH321" s="104"/>
      <c r="AI321" s="104">
        <f>('Renewable Diesel'!H330*'RD Feedstock Breakdown'!AI$3*'Feedstock Conversion Rates'!B$6)/12-130-20+51-49</f>
        <v>0.51666666666667993</v>
      </c>
      <c r="AJ321" s="106">
        <f t="shared" si="328"/>
        <v>148.51666666666668</v>
      </c>
      <c r="AK321" s="104">
        <f>('Renewable Diesel'!J330*'RD Feedstock Breakdown'!AK$3*'Feedstock Conversion Rates'!B$4)/12</f>
        <v>95.8125</v>
      </c>
      <c r="AL321" s="106">
        <f t="shared" si="252"/>
        <v>95.8125</v>
      </c>
      <c r="AM321" s="104">
        <f>('Renewable Diesel'!K330*'RD Feedstock Breakdown'!AM$3*'Feedstock Conversion Rates'!B$4)/12+5+15-10+10</f>
        <v>78.59375</v>
      </c>
      <c r="AN321" s="104">
        <f>('Renewable Diesel'!K330*'RD Feedstock Breakdown'!AN$3*'Feedstock Conversion Rates'!B$6)/12-5-15+10-10</f>
        <v>4.4270833333333321</v>
      </c>
      <c r="AO321" s="106">
        <f t="shared" si="270"/>
        <v>83.020833333333329</v>
      </c>
      <c r="AP321" s="104">
        <f>('Renewable Diesel'!L330*'RD Feedstock Breakdown'!AP$3*'Feedstock Conversion Rates'!B$4)/12+15-10+15</f>
        <v>78.59375</v>
      </c>
      <c r="AQ321" s="104">
        <f>('Renewable Diesel'!L330*'RD Feedstock Breakdown'!AQ$3*'Feedstock Conversion Rates'!B$6)/12-15+10-15</f>
        <v>4.4270833333333321</v>
      </c>
      <c r="AR321" s="106">
        <f t="shared" si="256"/>
        <v>83.020833333333329</v>
      </c>
      <c r="AS321" s="104">
        <f>('Renewable Diesel'!M330*'RD Feedstock Breakdown'!AS$3*'Feedstock Conversion Rates'!B$4)/12-25</f>
        <v>431.25</v>
      </c>
      <c r="AT321" s="104">
        <f>('Renewable Diesel'!M330*'RD Feedstock Breakdown'!AT$3*'Feedstock Conversion Rates'!B$5)/12+25</f>
        <v>25</v>
      </c>
      <c r="AU321" s="106">
        <f t="shared" si="290"/>
        <v>456.25</v>
      </c>
      <c r="AV321" s="104">
        <f>'Renewable Diesel'!N330*'RD Feedstock Breakdown'!$AV$3*'Feedstock Conversion Rates'!$B$4/12-15-10+25+25-22+25</f>
        <v>106.74999999999999</v>
      </c>
      <c r="AW321" s="104">
        <f>'Renewable Diesel'!N330*'RD Feedstock Breakdown'!$AW$3*'Feedstock Conversion Rates'!$B$7/12+15+10-25-25+22-25</f>
        <v>13.400000000000006</v>
      </c>
      <c r="AX321" s="106">
        <f t="shared" si="322"/>
        <v>120.14999999999999</v>
      </c>
      <c r="AY321" s="104">
        <f>('Renewable Diesel'!O330*'RD Feedstock Breakdown'!AY$3*'Feedstock Conversion Rates'!B$4)/12</f>
        <v>210.9375</v>
      </c>
      <c r="AZ321" s="104">
        <f>('Renewable Diesel'!O330*'RD Feedstock Breakdown'!AZ$3*'Feedstock Conversion Rates'!B$3)/12</f>
        <v>25.03125</v>
      </c>
      <c r="BA321" s="106">
        <f t="shared" si="302"/>
        <v>235.96875</v>
      </c>
      <c r="BB321" s="104">
        <f>('Renewable Diesel'!Q330*'RD Feedstock Breakdown'!BB$3*'Feedstock Conversion Rates'!B$4)/12</f>
        <v>11.156249999999998</v>
      </c>
      <c r="BC321" s="104">
        <f>('Renewable Diesel'!Q330*'RD Feedstock Breakdown'!BC$3*'Feedstock Conversion Rates'!B$3)/12</f>
        <v>1.4017500000000001</v>
      </c>
      <c r="BD321" s="104">
        <f>('Renewable Diesel'!Q330*'RD Feedstock Breakdown'!BD$3*'Feedstock Conversion Rates'!B$6)/12</f>
        <v>0.8207500000000002</v>
      </c>
      <c r="BE321" s="106">
        <f t="shared" si="279"/>
        <v>13.378749999999998</v>
      </c>
      <c r="BF321" s="104">
        <f>('Renewable Diesel'!R330*'RD Feedstock Breakdown'!BF$3*'Feedstock Conversion Rates'!B$4)/12</f>
        <v>62.5</v>
      </c>
      <c r="BG321" s="106">
        <f t="shared" si="262"/>
        <v>62.5</v>
      </c>
      <c r="BH321" s="104">
        <f>('Renewable Diesel'!T330*'RD Feedstock Breakdown'!BH$3*'Feedstock Conversion Rates'!B$7)/12</f>
        <v>27.599999999999998</v>
      </c>
      <c r="BI321" s="106">
        <f t="shared" si="327"/>
        <v>27.599999999999998</v>
      </c>
      <c r="BJ321" s="104">
        <f>('Renewable Diesel'!W330*'RD Feedstock Breakdown'!BJ$3*'Feedstock Conversion Rates'!B$4)/12</f>
        <v>7.5</v>
      </c>
      <c r="BK321" s="104">
        <f>('Renewable Diesel'!W330*'RD Feedstock Breakdown'!BK$3*'Feedstock Conversion Rates'!B$3)/12</f>
        <v>1.335</v>
      </c>
      <c r="BL321" s="104">
        <f>('Renewable Diesel'!W330*'RD Feedstock Breakdown'!BL$3*'Feedstock Conversion Rates'!B$6)/12</f>
        <v>3.1266666666666669</v>
      </c>
      <c r="BM321" s="104">
        <f>('Renewable Diesel'!W330*'RD Feedstock Breakdown'!BM$3*'Feedstock Conversion Rates'!B$7)/12</f>
        <v>1.5333333333333332</v>
      </c>
      <c r="BN321" s="106">
        <f t="shared" si="296"/>
        <v>13.495000000000001</v>
      </c>
      <c r="BO321" s="104">
        <f>('Renewable Diesel'!P330*'Feedstock Conversion Rates'!B$4)/12</f>
        <v>31.25</v>
      </c>
      <c r="BP321" s="106">
        <f t="shared" si="285"/>
        <v>31.25</v>
      </c>
      <c r="BQ321" s="104">
        <f>('Renewable Diesel'!$S330*'RD Feedstock Breakdown'!BQ$3*'Feedstock Conversion Rates'!B$4)/12+10+15-15</f>
        <v>38.125</v>
      </c>
      <c r="BR321" s="104">
        <f>('Renewable Diesel'!$S330*'RD Feedstock Breakdown'!BR$3*'Feedstock Conversion Rates'!B$7)/12-10-15+15</f>
        <v>1.5</v>
      </c>
      <c r="BS321" s="106">
        <f t="shared" si="307"/>
        <v>39.625</v>
      </c>
      <c r="BT321" s="106"/>
      <c r="BU321" s="104">
        <f>('Renewable Diesel'!Y330*'Feedstock Conversion Rates'!B$7)/12</f>
        <v>2.6833333333333331</v>
      </c>
      <c r="BV321" s="106">
        <f t="shared" si="281"/>
        <v>2.6833333333333331</v>
      </c>
      <c r="BW321" s="104">
        <f>('Renewable Diesel'!$Z330*'RD Feedstock Breakdown'!BW$3*'Feedstock Conversion Rates'!$B$4)/12</f>
        <v>71.875</v>
      </c>
      <c r="BX321" s="104">
        <f>('Renewable Diesel'!$Z330*'RD Feedstock Breakdown'!BX$3*'Feedstock Conversion Rates'!$B$5)/12</f>
        <v>7.2354166666666666</v>
      </c>
      <c r="BY321" s="104">
        <f>('Renewable Diesel'!$Z330*'RD Feedstock Breakdown'!BY$3*'Feedstock Conversion Rates'!$B$7)/12</f>
        <v>61.716666666666661</v>
      </c>
      <c r="BZ321" s="104">
        <f>('Renewable Diesel'!$Z330*'RD Feedstock Breakdown'!BZ$3*'Feedstock Conversion Rates'!$B$3)/12</f>
        <v>15.352499999999999</v>
      </c>
      <c r="CA321" s="106">
        <f t="shared" si="312"/>
        <v>156.17958333333331</v>
      </c>
      <c r="CB321" s="104">
        <f>('Renewable Diesel'!AA330*'Feedstock Conversion Rates'!B$4)/12</f>
        <v>191.25</v>
      </c>
      <c r="CC321" s="106">
        <f t="shared" si="298"/>
        <v>191.25</v>
      </c>
      <c r="CD321" s="104">
        <f>('Renewable Diesel'!$AB330*'RD Feedstock Breakdown'!CD$3*'Feedstock Conversion Rates'!$B$6)/12-15-5</f>
        <v>12.830000000000005</v>
      </c>
      <c r="CE321" s="104">
        <f>('Renewable Diesel'!$AB330*'RD Feedstock Breakdown'!CE$3*'Feedstock Conversion Rates'!$B$4)/12+15+5</f>
        <v>31.25</v>
      </c>
      <c r="CF321" s="106">
        <f t="shared" si="294"/>
        <v>44.080000000000005</v>
      </c>
      <c r="CG321" s="104">
        <f>('Renewable Diesel'!AD330*'Feedstock Conversion Rates'!B$4)/12</f>
        <v>112.5</v>
      </c>
      <c r="CH321" s="106">
        <f t="shared" si="278"/>
        <v>112.5</v>
      </c>
      <c r="CI321" s="104">
        <f>('Renewable Diesel'!$AE330*'RD Feedstock Breakdown'!CI$3*'Feedstock Conversion Rates'!$B$5)/12</f>
        <v>0.34604166666666664</v>
      </c>
      <c r="CJ321" s="104">
        <f>('Renewable Diesel'!$AE330*'RD Feedstock Breakdown'!CJ$3*'Feedstock Conversion Rates'!$B$4)/12</f>
        <v>0.34375</v>
      </c>
      <c r="CK321" s="106">
        <f t="shared" si="286"/>
        <v>0.68979166666666658</v>
      </c>
      <c r="CL321" s="104">
        <f>(((CL$3*'Renewable Diesel'!$AF330)*'Feedstock Conversion Rates'!$B$3)/12)</f>
        <v>91.78125</v>
      </c>
      <c r="CM321" s="104">
        <f>(((CM$3*'Renewable Diesel'!$AF330)*'Feedstock Conversion Rates'!$B$6)/12)</f>
        <v>53.739583333333336</v>
      </c>
      <c r="CN321" s="104">
        <f>(((CN$3*'Renewable Diesel'!$AF330)*'Feedstock Conversion Rates'!$B$4)/12)</f>
        <v>42.96875</v>
      </c>
      <c r="CO321" s="106">
        <f t="shared" si="280"/>
        <v>188.48958333333334</v>
      </c>
      <c r="CP321" s="104">
        <f>('Renewable Diesel'!$AG330*'RD Feedstock Breakdown'!CP$3*'Feedstock Conversion Rates'!$B$3)/12</f>
        <v>6.0075000000000003</v>
      </c>
      <c r="CQ321" s="104">
        <f>('Renewable Diesel'!$AG330*'RD Feedstock Breakdown'!CQ$3*'Feedstock Conversion Rates'!$B$6)/12</f>
        <v>3.5175000000000001</v>
      </c>
      <c r="CR321" s="104">
        <f>('Renewable Diesel'!$AG330*'RD Feedstock Breakdown'!CR$3*'Feedstock Conversion Rates'!$B$4)/12</f>
        <v>2.8125</v>
      </c>
      <c r="CS321" s="106">
        <f t="shared" si="317"/>
        <v>12.3375</v>
      </c>
      <c r="CT321" s="104">
        <f>('Renewable Diesel'!AI330*'Feedstock Conversion Rates'!$B$4*'RD Feedstock Breakdown'!$CT$3)/12</f>
        <v>29.375</v>
      </c>
      <c r="CU321" s="106">
        <f t="shared" si="282"/>
        <v>29.375</v>
      </c>
      <c r="CV321" s="104">
        <f>('Renewable Diesel'!AN330*'Feedstock Conversion Rates'!$B$3*'RD Feedstock Breakdown'!$CV$3)/12</f>
        <v>0.50062499999999999</v>
      </c>
      <c r="CW321" s="106">
        <f t="shared" si="255"/>
        <v>0.50062499999999999</v>
      </c>
      <c r="CX321" s="104">
        <f>('Renewable Diesel'!AO330*'RD Feedstock Breakdown'!$CX$3*'Feedstock Conversion Rates'!$B$3)/12</f>
        <v>6.3412499999999996</v>
      </c>
      <c r="CY321" s="104">
        <f>('Renewable Diesel'!AO330*'RD Feedstock Breakdown'!$CY$3*'Feedstock Conversion Rates'!$B$6)/12</f>
        <v>7.4258333333333342</v>
      </c>
      <c r="CZ321" s="106">
        <f t="shared" si="318"/>
        <v>13.767083333333334</v>
      </c>
      <c r="DA321" s="104">
        <f>('Renewable Diesel'!$AP330*'RD Feedstock Breakdown'!DA$3*'Feedstock Conversion Rates'!$B$3)/12</f>
        <v>6.3412499999999996</v>
      </c>
      <c r="DB321" s="104">
        <f>('Renewable Diesel'!$AP330*'RD Feedstock Breakdown'!DB$3*'Feedstock Conversion Rates'!$B$8)/12</f>
        <v>7.421875</v>
      </c>
      <c r="DC321" s="106">
        <f t="shared" si="260"/>
        <v>13.763124999999999</v>
      </c>
      <c r="DD321" s="104">
        <f>('Renewable Diesel'!AQ330*$DD$3*'Feedstock Conversion Rates'!$B$14)/12</f>
        <v>3.1041666666666665</v>
      </c>
      <c r="DE321" s="106">
        <f t="shared" si="261"/>
        <v>3.1041666666666665</v>
      </c>
      <c r="DF321" s="104">
        <f>('Renewable Diesel'!AR330*'Feedstock Conversion Rates'!$B$4*$DF$3)/12</f>
        <v>75</v>
      </c>
      <c r="DG321" s="106">
        <f t="shared" si="319"/>
        <v>75</v>
      </c>
      <c r="DH321" s="104">
        <f>('Renewable Diesel'!AS330*'Feedstock Conversion Rates'!$B$4*$DH$3)/12</f>
        <v>75</v>
      </c>
      <c r="DI321" s="106">
        <f t="shared" si="323"/>
        <v>75</v>
      </c>
      <c r="DJ321" s="104">
        <f>('Renewable Diesel'!AT330*'Feedstock Conversion Rates'!$B$4*0.25)/12</f>
        <v>8.59375</v>
      </c>
      <c r="DK321" s="104">
        <f>('Renewable Diesel'!$AT330*'RD Feedstock Breakdown'!DK$3*'Feedstock Conversion Rates'!$B$3)/12*0.5</f>
        <v>9.1781249999999996</v>
      </c>
      <c r="DL321" s="104">
        <f>('Renewable Diesel'!$AT330*'RD Feedstock Breakdown'!$DL$3*'Feedstock Conversion Rates'!$B$6)/12</f>
        <v>10.747916666666669</v>
      </c>
      <c r="DM321" s="104">
        <f>('Renewable Diesel'!$AT330*'RD Feedstock Breakdown'!$DM$3*'Feedstock Conversion Rates'!$B$8)/12</f>
        <v>10.7421875</v>
      </c>
      <c r="DN321" s="106">
        <f t="shared" si="297"/>
        <v>39.26197916666667</v>
      </c>
      <c r="DP321" s="104">
        <f t="shared" si="265"/>
        <v>103.22025000000001</v>
      </c>
      <c r="DQ321" s="104">
        <f t="shared" si="266"/>
        <v>389.11776750000001</v>
      </c>
      <c r="DR321" s="104">
        <f t="shared" si="271"/>
        <v>1984.453125</v>
      </c>
      <c r="DS321" s="104">
        <f t="shared" si="283"/>
        <v>253.90125</v>
      </c>
      <c r="DT321" s="104">
        <f t="shared" si="267"/>
        <v>225.53923333333341</v>
      </c>
      <c r="DU321" s="104">
        <f t="shared" si="268"/>
        <v>320.40610000000004</v>
      </c>
      <c r="DV321" s="104">
        <f t="shared" si="272"/>
        <v>78.75</v>
      </c>
      <c r="DW321" s="104">
        <f t="shared" si="269"/>
        <v>3</v>
      </c>
      <c r="DX321" s="106">
        <f t="shared" si="273"/>
        <v>3358.3877258333337</v>
      </c>
      <c r="DY321" s="109">
        <f t="shared" si="257"/>
        <v>-5.631051180898794E-13</v>
      </c>
      <c r="EA321" s="110">
        <f t="shared" si="313"/>
        <v>3.0735060519073164E-2</v>
      </c>
      <c r="EB321" s="110">
        <f t="shared" si="313"/>
        <v>0.11586445618140957</v>
      </c>
      <c r="EC321" s="110">
        <f t="shared" si="313"/>
        <v>0.59089458603460909</v>
      </c>
      <c r="ED321" s="110">
        <f t="shared" si="308"/>
        <v>7.5602125402896472E-2</v>
      </c>
      <c r="EE321" s="110">
        <f t="shared" si="308"/>
        <v>6.7156996673863573E-2</v>
      </c>
      <c r="EF321" s="110">
        <f t="shared" si="308"/>
        <v>9.5404737676766035E-2</v>
      </c>
      <c r="EG321" s="110">
        <f t="shared" si="308"/>
        <v>2.3448751731147827E-2</v>
      </c>
      <c r="EH321" s="111">
        <f t="shared" si="274"/>
        <v>8.9328578023420294E-4</v>
      </c>
      <c r="EI321" s="110">
        <f t="shared" si="321"/>
        <v>0.99910671421976571</v>
      </c>
      <c r="EK321" s="132">
        <f>(EA321*'Renewable Diesel'!BF330*'Feedstock Conversion Rates'!B$2)+FB321</f>
        <v>325.93025723816999</v>
      </c>
      <c r="EL321" s="132">
        <f>(EB321*'Renewable Diesel'!BF330*'Feedstock Conversion Rates'!B$3)+FC321</f>
        <v>1157.8556647195869</v>
      </c>
      <c r="EM321" s="132">
        <f>(EC321*'Renewable Diesel'!BF330*'Feedstock Conversion Rates'!B$4)+FD321</f>
        <v>5528.9537279436045</v>
      </c>
      <c r="EN321" s="132">
        <f>(ED321*'Renewable Diesel'!BF330*'Feedstock Conversion Rates'!B$5)+FE321</f>
        <v>712.11910559413593</v>
      </c>
      <c r="EO321" s="132">
        <f>(EE321*'Renewable Diesel'!BF330*'Feedstock Conversion Rates'!B$6)+FF321</f>
        <v>785.89727929525645</v>
      </c>
      <c r="EP321" s="132">
        <f>(EF321*'Renewable Diesel'!BF330*'Feedstock Conversion Rates'!B$7)+FG321</f>
        <v>1095.0386551907438</v>
      </c>
      <c r="EQ321" s="132">
        <f>(EG321*'Renewable Diesel'!BF330*'Feedstock Conversion Rates'!B$8)+FH321</f>
        <v>274.26013531785918</v>
      </c>
      <c r="ER321" s="132">
        <f>(EH321*'Renewable Diesel'!BF330*'Feedstock Conversion Rates'!B$9)+FI321</f>
        <v>10.308698419566516</v>
      </c>
      <c r="ES321" s="132">
        <f t="shared" si="275"/>
        <v>9890.3635237189246</v>
      </c>
      <c r="ET321" s="133">
        <f>ES321/'Renewable Diesel'!BF330</f>
        <v>13.040801318080677</v>
      </c>
      <c r="EW321" s="73">
        <f t="shared" si="309"/>
        <v>8688.1612220649477</v>
      </c>
      <c r="EX321" s="73">
        <f t="shared" si="310"/>
        <v>5080.1563622359636</v>
      </c>
      <c r="EY321" s="92">
        <f t="shared" si="258"/>
        <v>0.878447106744775</v>
      </c>
      <c r="EZ321" s="92">
        <f t="shared" si="258"/>
        <v>0.51364708183403041</v>
      </c>
      <c r="FB321" s="102">
        <f>IF('Renewable Diesel'!$BG330&lt;1,0,(((('Renewable Diesel'!$BG330-1)*'Renewable Diesel'!$BF330)*'RD Feedstock Breakdown'!EA321)*'Feedstock Conversion Rates'!$B$2))</f>
        <v>127.79535974508164</v>
      </c>
      <c r="FC321" s="102">
        <f>IF('Renewable Diesel'!$BG330&lt;1,0,(((('Renewable Diesel'!$BG330-1)*'Renewable Diesel'!$BF330)*'RD Feedstock Breakdown'!EB321)*'Feedstock Conversion Rates'!$B$3))</f>
        <v>453.98847734960003</v>
      </c>
      <c r="FD321" s="102">
        <f>IF('Renewable Diesel'!$BG330&lt;1,0,(((('Renewable Diesel'!$BG330-1)*'Renewable Diesel'!$BF330)*'RD Feedstock Breakdown'!EC321)*'Feedstock Conversion Rates'!$B$4))</f>
        <v>2167.8706256478099</v>
      </c>
      <c r="FE321" s="102">
        <f>IF('Renewable Diesel'!$BG330&lt;1,0,(((('Renewable Diesel'!$BG330-1)*'Renewable Diesel'!$BF330)*'RD Feedstock Breakdown'!ED321)*'Feedstock Conversion Rates'!$B$5))</f>
        <v>279.21776287939753</v>
      </c>
      <c r="FF321" s="102">
        <f>IF('Renewable Diesel'!$BG330&lt;1,0,(((('Renewable Diesel'!$BG330-1)*'Renewable Diesel'!$BF330)*'RD Feedstock Breakdown'!EE321)*'Feedstock Conversion Rates'!$B$6))</f>
        <v>308.14575603156459</v>
      </c>
      <c r="FG321" s="102">
        <f>IF('Renewable Diesel'!$BG330&lt;1,0,(((('Renewable Diesel'!$BG330-1)*'Renewable Diesel'!$BF330)*'RD Feedstock Breakdown'!EF321)*'Feedstock Conversion Rates'!$B$7))</f>
        <v>429.35829296944115</v>
      </c>
      <c r="FH321" s="102">
        <f>IF('Renewable Diesel'!$BG330&lt;1,0,(((('Renewable Diesel'!$BG330-1)*'Renewable Diesel'!$BF330)*'RD Feedstock Breakdown'!EG321)*'Feedstock Conversion Rates'!$B$8))</f>
        <v>107.53580521696942</v>
      </c>
      <c r="FI321" s="102">
        <f>IF('Renewable Diesel'!$BG330&lt;1,0,(((('Renewable Diesel'!$BG330-1)*'Renewable Diesel'!$BF330)*'RD Feedstock Breakdown'!EH321)*'Feedstock Conversion Rates'!$B$9))</f>
        <v>4.041980742123549</v>
      </c>
      <c r="FJ321" s="102">
        <f t="shared" si="311"/>
        <v>3877.954060581988</v>
      </c>
      <c r="GD321" s="91">
        <f>'Renewable Diesel'!BB330*0.32</f>
        <v>0</v>
      </c>
      <c r="GE321" s="91">
        <f>'Renewable Diesel'!BC330</f>
        <v>356.89266165201229</v>
      </c>
      <c r="GF321" s="91">
        <f>'Renewable Diesel'!BD330</f>
        <v>0</v>
      </c>
      <c r="GG321" s="91">
        <f t="shared" si="295"/>
        <v>356.89266165201229</v>
      </c>
      <c r="GH321" s="124">
        <v>1</v>
      </c>
      <c r="GI321" s="102">
        <f>$GG321*EA321*'Feedstock Conversion Rates'!$B$2</f>
        <v>93.237499214845457</v>
      </c>
      <c r="GJ321" s="102">
        <f>$GG321*EB321*'Feedstock Conversion Rates'!$B$3</f>
        <v>331.22290500114411</v>
      </c>
      <c r="GK321" s="102">
        <f>$GG321*EC321*'Feedstock Conversion Rates'!$B$4</f>
        <v>1581.644561742417</v>
      </c>
      <c r="GL321" s="102">
        <f>$GG321*ED321*'Feedstock Conversion Rates'!$B$5</f>
        <v>203.71292039999645</v>
      </c>
      <c r="GM321" s="102">
        <f>$GG321*EE321*'Feedstock Conversion Rates'!$B$6</f>
        <v>224.81833255418096</v>
      </c>
      <c r="GN321" s="102">
        <f>$GG321*EF321*'Feedstock Conversion Rates'!$B$7</f>
        <v>313.25310702579202</v>
      </c>
      <c r="GO321" s="102">
        <f>$GG321*EG321*'Feedstock Conversion Rates'!$B$8</f>
        <v>78.456444541374168</v>
      </c>
      <c r="GP321" s="102">
        <f>$GG321*EH321*'Feedstock Conversion Rates'!B$9</f>
        <v>2.9489660424440327</v>
      </c>
      <c r="GQ321" s="102">
        <f t="shared" si="276"/>
        <v>2829.2947365221944</v>
      </c>
      <c r="GR321" s="85">
        <f t="shared" si="293"/>
        <v>7.9275789068504139</v>
      </c>
      <c r="GT321" s="103">
        <f t="shared" si="254"/>
        <v>3.2954325334607654E-2</v>
      </c>
      <c r="GU321" s="103">
        <f t="shared" si="254"/>
        <v>0.11706907050917131</v>
      </c>
      <c r="GV321" s="103">
        <f t="shared" si="254"/>
        <v>0.55902431843724942</v>
      </c>
      <c r="GW321" s="103">
        <f t="shared" si="254"/>
        <v>7.2001307523868296E-2</v>
      </c>
      <c r="GX321" s="103">
        <f t="shared" si="253"/>
        <v>7.9460909339735514E-2</v>
      </c>
      <c r="GY321" s="103">
        <f t="shared" si="253"/>
        <v>0.11071773576013037</v>
      </c>
      <c r="GZ321" s="103">
        <f t="shared" si="253"/>
        <v>2.7730035873821276E-2</v>
      </c>
      <c r="HA321" s="103">
        <f t="shared" si="251"/>
        <v>1.0422972214160124E-3</v>
      </c>
    </row>
    <row r="322" spans="1:209" x14ac:dyDescent="0.25">
      <c r="A322" s="96">
        <v>50222</v>
      </c>
      <c r="B322" s="104">
        <f t="shared" si="324"/>
        <v>16.75</v>
      </c>
      <c r="C322" s="104">
        <f t="shared" si="314"/>
        <v>49</v>
      </c>
      <c r="D322" s="104">
        <f t="shared" si="325"/>
        <v>2</v>
      </c>
      <c r="E322" s="104">
        <f>('Renewable Diesel'!B331*E$3*'Feedstock Conversion Rates'!$B$2)/12+26+13-100+27.5+39</f>
        <v>95.43</v>
      </c>
      <c r="F322" s="104">
        <f>('Renewable Diesel'!B331*'RD Feedstock Breakdown'!F$3*'Feedstock Conversion Rates'!B$8)/12+77+23-10-12-115.75+24+8</f>
        <v>48.15625</v>
      </c>
      <c r="G322" s="104">
        <f>('Renewable Diesel'!B331*'RD Feedstock Breakdown'!G$3*'Feedstock Conversion Rates'!B$7)/12+116.75-39-57.5-145-31.5+32+70-40+10-17.5-5</f>
        <v>69.407000000000039</v>
      </c>
      <c r="H322" s="104">
        <f>('Renewable Diesel'!B331*'RD Feedstock Breakdown'!H$3*'Feedstock Conversion Rates'!B$3)/12+67+10+12+3-235+20+47-20+135</f>
        <v>215.40022499999998</v>
      </c>
      <c r="I322" s="106">
        <f t="shared" si="291"/>
        <v>496.14347500000002</v>
      </c>
      <c r="J322" s="104">
        <f t="shared" si="326"/>
        <v>79</v>
      </c>
      <c r="K322" s="104"/>
      <c r="L322" s="104">
        <v>1</v>
      </c>
      <c r="M322" s="104">
        <f>('Renewable Diesel'!C331*'RD Feedstock Breakdown'!M$3*'Feedstock Conversion Rates'!B$2)/12</f>
        <v>7.7902500000000003</v>
      </c>
      <c r="N322" s="104">
        <f>('Renewable Diesel'!C331*'RD Feedstock Breakdown'!N$3*'Feedstock Conversion Rates'!B$8)/12</f>
        <v>3.671875</v>
      </c>
      <c r="O322" s="104">
        <f>('Renewable Diesel'!C331*'RD Feedstock Breakdown'!O$3*'Feedstock Conversion Rates'!B$7)/12</f>
        <v>11.9991</v>
      </c>
      <c r="P322" s="104">
        <f>('Renewable Diesel'!C331*'RD Feedstock Breakdown'!P$3*'Feedstock Conversion Rates'!B$3)/12</f>
        <v>10.4470425</v>
      </c>
      <c r="Q322" s="106">
        <f t="shared" si="299"/>
        <v>113.90826749999999</v>
      </c>
      <c r="R322" s="104">
        <f>('Renewable Diesel'!D331*'RD Feedstock Breakdown'!R$3*'Feedstock Conversion Rates'!B$7)/12</f>
        <v>2.2999999999999998</v>
      </c>
      <c r="S322" s="106">
        <f t="shared" si="329"/>
        <v>2.2999999999999998</v>
      </c>
      <c r="T322" s="104">
        <f t="shared" si="300"/>
        <v>0.82499999999999929</v>
      </c>
      <c r="U322" s="104"/>
      <c r="V322" s="104">
        <f>('Renewable Diesel'!E331*'RD Feedstock Breakdown'!V$3*'Feedstock Conversion Rates'!B$6)/12-20+25</f>
        <v>49.250150000000012</v>
      </c>
      <c r="W322" s="104">
        <f>('Renewable Diesel'!E331*'RD Feedstock Breakdown'!W$3*'Feedstock Conversion Rates'!B$8)/12-6</f>
        <v>16.1796875</v>
      </c>
      <c r="X322" s="106">
        <f t="shared" si="277"/>
        <v>66.254837500000008</v>
      </c>
      <c r="Y322" s="104">
        <f t="shared" si="301"/>
        <v>98</v>
      </c>
      <c r="Z322" s="104">
        <f>('Renewable Diesel'!F331*'RD Feedstock Breakdown'!Z$3*'Feedstock Conversion Rates'!B$6)/12-142+15+5+20+2.5</f>
        <v>59.960000000000008</v>
      </c>
      <c r="AA322" s="104">
        <f>('Renewable Diesel'!F331*'RD Feedstock Breakdown'!AA$3*'Feedstock Conversion Rates'!B$7)/12+24</f>
        <v>128.26666666666665</v>
      </c>
      <c r="AB322" s="106">
        <f t="shared" si="320"/>
        <v>286.22666666666669</v>
      </c>
      <c r="AC322" s="104">
        <f>('Renewable Diesel'!G331*'RD Feedstock Breakdown'!AC$3*'Feedstock Conversion Rates'!B$5)/12</f>
        <v>11.796875</v>
      </c>
      <c r="AD322" s="104">
        <f>('Renewable Diesel'!G331*'RD Feedstock Breakdown'!AD$3*'Feedstock Conversion Rates'!B$4)/12</f>
        <v>5.859375</v>
      </c>
      <c r="AE322" s="104">
        <f>('Renewable Diesel'!G331*'RD Feedstock Breakdown'!AE$3*'Feedstock Conversion Rates'!B$6)/12</f>
        <v>7.3281250000000009</v>
      </c>
      <c r="AF322" s="106">
        <f t="shared" si="284"/>
        <v>24.984375</v>
      </c>
      <c r="AG322" s="104">
        <f t="shared" si="306"/>
        <v>148</v>
      </c>
      <c r="AH322" s="104"/>
      <c r="AI322" s="104">
        <f>('Renewable Diesel'!H331*'RD Feedstock Breakdown'!AI$3*'Feedstock Conversion Rates'!B$6)/12-130-20+51-49</f>
        <v>0.51666666666667993</v>
      </c>
      <c r="AJ322" s="106">
        <f t="shared" si="328"/>
        <v>148.51666666666668</v>
      </c>
      <c r="AK322" s="104">
        <f>('Renewable Diesel'!J331*'RD Feedstock Breakdown'!AK$3*'Feedstock Conversion Rates'!B$4)/12</f>
        <v>95.8125</v>
      </c>
      <c r="AL322" s="106">
        <f t="shared" si="252"/>
        <v>95.8125</v>
      </c>
      <c r="AM322" s="104">
        <f>('Renewable Diesel'!K331*'RD Feedstock Breakdown'!AM$3*'Feedstock Conversion Rates'!B$4)/12+5+15-10+10</f>
        <v>78.59375</v>
      </c>
      <c r="AN322" s="104">
        <f>('Renewable Diesel'!K331*'RD Feedstock Breakdown'!AN$3*'Feedstock Conversion Rates'!B$6)/12-5-15+10-10</f>
        <v>4.4270833333333321</v>
      </c>
      <c r="AO322" s="106">
        <f t="shared" si="270"/>
        <v>83.020833333333329</v>
      </c>
      <c r="AP322" s="104">
        <f>('Renewable Diesel'!L331*'RD Feedstock Breakdown'!AP$3*'Feedstock Conversion Rates'!B$4)/12+15-10+15</f>
        <v>78.59375</v>
      </c>
      <c r="AQ322" s="104">
        <f>('Renewable Diesel'!L331*'RD Feedstock Breakdown'!AQ$3*'Feedstock Conversion Rates'!B$6)/12-15+10-15</f>
        <v>4.4270833333333321</v>
      </c>
      <c r="AR322" s="106">
        <f t="shared" si="256"/>
        <v>83.020833333333329</v>
      </c>
      <c r="AS322" s="104">
        <f>('Renewable Diesel'!M331*'RD Feedstock Breakdown'!AS$3*'Feedstock Conversion Rates'!B$4)/12-25</f>
        <v>431.25</v>
      </c>
      <c r="AT322" s="104">
        <f>('Renewable Diesel'!M331*'RD Feedstock Breakdown'!AT$3*'Feedstock Conversion Rates'!B$5)/12+25</f>
        <v>25</v>
      </c>
      <c r="AU322" s="106">
        <f t="shared" si="290"/>
        <v>456.25</v>
      </c>
      <c r="AV322" s="104">
        <f>'Renewable Diesel'!N331*'RD Feedstock Breakdown'!$AV$3*'Feedstock Conversion Rates'!$B$4/12-15-10+25+25-22+25</f>
        <v>106.74999999999999</v>
      </c>
      <c r="AW322" s="104">
        <f>'Renewable Diesel'!N331*'RD Feedstock Breakdown'!$AW$3*'Feedstock Conversion Rates'!$B$7/12+15+10-25-25+22-25</f>
        <v>13.400000000000006</v>
      </c>
      <c r="AX322" s="106">
        <f t="shared" si="322"/>
        <v>120.14999999999999</v>
      </c>
      <c r="AY322" s="104">
        <f>('Renewable Diesel'!O331*'RD Feedstock Breakdown'!AY$3*'Feedstock Conversion Rates'!B$4)/12</f>
        <v>210.9375</v>
      </c>
      <c r="AZ322" s="104">
        <f>('Renewable Diesel'!O331*'RD Feedstock Breakdown'!AZ$3*'Feedstock Conversion Rates'!B$3)/12</f>
        <v>25.03125</v>
      </c>
      <c r="BA322" s="106">
        <f t="shared" si="302"/>
        <v>235.96875</v>
      </c>
      <c r="BB322" s="104">
        <f>('Renewable Diesel'!Q331*'RD Feedstock Breakdown'!BB$3*'Feedstock Conversion Rates'!B$4)/12</f>
        <v>11.156249999999998</v>
      </c>
      <c r="BC322" s="104">
        <f>('Renewable Diesel'!Q331*'RD Feedstock Breakdown'!BC$3*'Feedstock Conversion Rates'!B$3)/12</f>
        <v>1.4017500000000001</v>
      </c>
      <c r="BD322" s="104">
        <f>('Renewable Diesel'!Q331*'RD Feedstock Breakdown'!BD$3*'Feedstock Conversion Rates'!B$6)/12</f>
        <v>0.8207500000000002</v>
      </c>
      <c r="BE322" s="106">
        <f t="shared" si="279"/>
        <v>13.378749999999998</v>
      </c>
      <c r="BF322" s="104">
        <f>('Renewable Diesel'!R331*'RD Feedstock Breakdown'!BF$3*'Feedstock Conversion Rates'!B$4)/12</f>
        <v>62.5</v>
      </c>
      <c r="BG322" s="106">
        <f t="shared" si="262"/>
        <v>62.5</v>
      </c>
      <c r="BH322" s="104">
        <f>('Renewable Diesel'!T331*'RD Feedstock Breakdown'!BH$3*'Feedstock Conversion Rates'!B$7)/12</f>
        <v>27.599999999999998</v>
      </c>
      <c r="BI322" s="106">
        <f t="shared" si="327"/>
        <v>27.599999999999998</v>
      </c>
      <c r="BJ322" s="104">
        <f>('Renewable Diesel'!W331*'RD Feedstock Breakdown'!BJ$3*'Feedstock Conversion Rates'!B$4)/12</f>
        <v>7.5</v>
      </c>
      <c r="BK322" s="104">
        <f>('Renewable Diesel'!W331*'RD Feedstock Breakdown'!BK$3*'Feedstock Conversion Rates'!B$3)/12</f>
        <v>1.335</v>
      </c>
      <c r="BL322" s="104">
        <f>('Renewable Diesel'!W331*'RD Feedstock Breakdown'!BL$3*'Feedstock Conversion Rates'!B$6)/12</f>
        <v>3.1266666666666669</v>
      </c>
      <c r="BM322" s="104">
        <f>('Renewable Diesel'!W331*'RD Feedstock Breakdown'!BM$3*'Feedstock Conversion Rates'!B$7)/12</f>
        <v>1.5333333333333332</v>
      </c>
      <c r="BN322" s="106">
        <f t="shared" si="296"/>
        <v>13.495000000000001</v>
      </c>
      <c r="BO322" s="104">
        <f>('Renewable Diesel'!P331*'Feedstock Conversion Rates'!B$4)/12</f>
        <v>31.25</v>
      </c>
      <c r="BP322" s="106">
        <f t="shared" si="285"/>
        <v>31.25</v>
      </c>
      <c r="BQ322" s="104">
        <f>('Renewable Diesel'!$S331*'RD Feedstock Breakdown'!BQ$3*'Feedstock Conversion Rates'!B$4)/12+10+15-15</f>
        <v>38.125</v>
      </c>
      <c r="BR322" s="104">
        <f>('Renewable Diesel'!$S331*'RD Feedstock Breakdown'!BR$3*'Feedstock Conversion Rates'!B$7)/12-10-15+15</f>
        <v>1.5</v>
      </c>
      <c r="BS322" s="106">
        <f t="shared" si="307"/>
        <v>39.625</v>
      </c>
      <c r="BT322" s="106"/>
      <c r="BU322" s="104">
        <f>('Renewable Diesel'!Y331*'Feedstock Conversion Rates'!B$7)/12</f>
        <v>2.6833333333333331</v>
      </c>
      <c r="BV322" s="106">
        <f t="shared" si="281"/>
        <v>2.6833333333333331</v>
      </c>
      <c r="BW322" s="104">
        <f>('Renewable Diesel'!$Z331*'RD Feedstock Breakdown'!BW$3*'Feedstock Conversion Rates'!$B$4)/12</f>
        <v>71.875</v>
      </c>
      <c r="BX322" s="104">
        <f>('Renewable Diesel'!$Z331*'RD Feedstock Breakdown'!BX$3*'Feedstock Conversion Rates'!$B$5)/12</f>
        <v>7.2354166666666666</v>
      </c>
      <c r="BY322" s="104">
        <f>('Renewable Diesel'!$Z331*'RD Feedstock Breakdown'!BY$3*'Feedstock Conversion Rates'!$B$7)/12</f>
        <v>61.716666666666661</v>
      </c>
      <c r="BZ322" s="104">
        <f>('Renewable Diesel'!$Z331*'RD Feedstock Breakdown'!BZ$3*'Feedstock Conversion Rates'!$B$3)/12</f>
        <v>15.352499999999999</v>
      </c>
      <c r="CA322" s="106">
        <f t="shared" si="312"/>
        <v>156.17958333333331</v>
      </c>
      <c r="CB322" s="104">
        <f>('Renewable Diesel'!AA331*'Feedstock Conversion Rates'!B$4)/12</f>
        <v>191.25</v>
      </c>
      <c r="CC322" s="106">
        <f t="shared" si="298"/>
        <v>191.25</v>
      </c>
      <c r="CD322" s="104">
        <f>('Renewable Diesel'!$AB331*'RD Feedstock Breakdown'!CD$3*'Feedstock Conversion Rates'!$B$6)/12-15-5</f>
        <v>12.830000000000005</v>
      </c>
      <c r="CE322" s="104">
        <f>('Renewable Diesel'!$AB331*'RD Feedstock Breakdown'!CE$3*'Feedstock Conversion Rates'!$B$4)/12+15+5</f>
        <v>31.25</v>
      </c>
      <c r="CF322" s="106">
        <f t="shared" si="294"/>
        <v>44.080000000000005</v>
      </c>
      <c r="CG322" s="104">
        <f>('Renewable Diesel'!AD331*'Feedstock Conversion Rates'!B$4)/12</f>
        <v>112.5</v>
      </c>
      <c r="CH322" s="106">
        <f t="shared" si="278"/>
        <v>112.5</v>
      </c>
      <c r="CI322" s="104">
        <f>('Renewable Diesel'!$AE331*'RD Feedstock Breakdown'!CI$3*'Feedstock Conversion Rates'!$B$5)/12</f>
        <v>0.34604166666666664</v>
      </c>
      <c r="CJ322" s="104">
        <f>('Renewable Diesel'!$AE331*'RD Feedstock Breakdown'!CJ$3*'Feedstock Conversion Rates'!$B$4)/12</f>
        <v>0.34375</v>
      </c>
      <c r="CK322" s="106">
        <f t="shared" si="286"/>
        <v>0.68979166666666658</v>
      </c>
      <c r="CL322" s="104">
        <f>(((CL$3*'Renewable Diesel'!$AF331)*'Feedstock Conversion Rates'!$B$3)/12)</f>
        <v>91.78125</v>
      </c>
      <c r="CM322" s="104">
        <f>(((CM$3*'Renewable Diesel'!$AF331)*'Feedstock Conversion Rates'!$B$6)/12)</f>
        <v>53.739583333333336</v>
      </c>
      <c r="CN322" s="104">
        <f>(((CN$3*'Renewable Diesel'!$AF331)*'Feedstock Conversion Rates'!$B$4)/12)</f>
        <v>42.96875</v>
      </c>
      <c r="CO322" s="106">
        <f t="shared" si="280"/>
        <v>188.48958333333334</v>
      </c>
      <c r="CP322" s="104">
        <f>('Renewable Diesel'!$AG331*'RD Feedstock Breakdown'!CP$3*'Feedstock Conversion Rates'!$B$3)/12</f>
        <v>6.0075000000000003</v>
      </c>
      <c r="CQ322" s="104">
        <f>('Renewable Diesel'!$AG331*'RD Feedstock Breakdown'!CQ$3*'Feedstock Conversion Rates'!$B$6)/12</f>
        <v>3.5175000000000001</v>
      </c>
      <c r="CR322" s="104">
        <f>('Renewable Diesel'!$AG331*'RD Feedstock Breakdown'!CR$3*'Feedstock Conversion Rates'!$B$4)/12</f>
        <v>2.8125</v>
      </c>
      <c r="CS322" s="106">
        <f t="shared" si="317"/>
        <v>12.3375</v>
      </c>
      <c r="CT322" s="104">
        <f>('Renewable Diesel'!AI331*'Feedstock Conversion Rates'!$B$4*'RD Feedstock Breakdown'!$CT$3)/12</f>
        <v>29.375</v>
      </c>
      <c r="CU322" s="106">
        <f t="shared" si="282"/>
        <v>29.375</v>
      </c>
      <c r="CV322" s="104">
        <f>('Renewable Diesel'!AN331*'Feedstock Conversion Rates'!$B$3*'RD Feedstock Breakdown'!$CV$3)/12</f>
        <v>0.50062499999999999</v>
      </c>
      <c r="CW322" s="106">
        <f t="shared" si="255"/>
        <v>0.50062499999999999</v>
      </c>
      <c r="CX322" s="104">
        <f>('Renewable Diesel'!AO331*'RD Feedstock Breakdown'!$CX$3*'Feedstock Conversion Rates'!$B$3)/12</f>
        <v>6.3412499999999996</v>
      </c>
      <c r="CY322" s="104">
        <f>('Renewable Diesel'!AO331*'RD Feedstock Breakdown'!$CY$3*'Feedstock Conversion Rates'!$B$6)/12</f>
        <v>7.4258333333333342</v>
      </c>
      <c r="CZ322" s="106">
        <f t="shared" si="318"/>
        <v>13.767083333333334</v>
      </c>
      <c r="DA322" s="104">
        <f>('Renewable Diesel'!$AP331*'RD Feedstock Breakdown'!DA$3*'Feedstock Conversion Rates'!$B$3)/12</f>
        <v>6.3412499999999996</v>
      </c>
      <c r="DB322" s="104">
        <f>('Renewable Diesel'!$AP331*'RD Feedstock Breakdown'!DB$3*'Feedstock Conversion Rates'!$B$8)/12</f>
        <v>7.421875</v>
      </c>
      <c r="DC322" s="106">
        <f t="shared" si="260"/>
        <v>13.763124999999999</v>
      </c>
      <c r="DD322" s="104">
        <f>('Renewable Diesel'!AQ331*$DD$3*'Feedstock Conversion Rates'!$B$14)/12</f>
        <v>3.1041666666666665</v>
      </c>
      <c r="DE322" s="106">
        <f t="shared" si="261"/>
        <v>3.1041666666666665</v>
      </c>
      <c r="DF322" s="104">
        <f>('Renewable Diesel'!AR331*'Feedstock Conversion Rates'!$B$4*$DF$3)/12</f>
        <v>75</v>
      </c>
      <c r="DG322" s="106">
        <f t="shared" si="319"/>
        <v>75</v>
      </c>
      <c r="DH322" s="104">
        <f>('Renewable Diesel'!AS331*'Feedstock Conversion Rates'!$B$4*$DH$3)/12</f>
        <v>75</v>
      </c>
      <c r="DI322" s="106">
        <f t="shared" si="323"/>
        <v>75</v>
      </c>
      <c r="DJ322" s="104">
        <f>('Renewable Diesel'!AT331*'Feedstock Conversion Rates'!$B$4*0.25)/12</f>
        <v>8.59375</v>
      </c>
      <c r="DK322" s="104">
        <f>('Renewable Diesel'!$AT331*'RD Feedstock Breakdown'!DK$3*'Feedstock Conversion Rates'!$B$3)/12*0.5</f>
        <v>9.1781249999999996</v>
      </c>
      <c r="DL322" s="104">
        <f>('Renewable Diesel'!$AT331*'RD Feedstock Breakdown'!$DL$3*'Feedstock Conversion Rates'!$B$6)/12</f>
        <v>10.747916666666669</v>
      </c>
      <c r="DM322" s="104">
        <f>('Renewable Diesel'!$AT331*'RD Feedstock Breakdown'!$DM$3*'Feedstock Conversion Rates'!$B$8)/12</f>
        <v>10.7421875</v>
      </c>
      <c r="DN322" s="106">
        <f t="shared" si="297"/>
        <v>39.26197916666667</v>
      </c>
      <c r="DP322" s="104">
        <f t="shared" si="265"/>
        <v>103.22025000000001</v>
      </c>
      <c r="DQ322" s="104">
        <f t="shared" si="266"/>
        <v>389.11776750000001</v>
      </c>
      <c r="DR322" s="104">
        <f t="shared" si="271"/>
        <v>1984.453125</v>
      </c>
      <c r="DS322" s="104">
        <f t="shared" si="283"/>
        <v>253.90125</v>
      </c>
      <c r="DT322" s="104">
        <f t="shared" si="267"/>
        <v>225.53923333333341</v>
      </c>
      <c r="DU322" s="104">
        <f t="shared" si="268"/>
        <v>320.40610000000004</v>
      </c>
      <c r="DV322" s="104">
        <f t="shared" si="272"/>
        <v>78.75</v>
      </c>
      <c r="DW322" s="104">
        <f t="shared" si="269"/>
        <v>3</v>
      </c>
      <c r="DX322" s="106">
        <f t="shared" si="273"/>
        <v>3358.3877258333337</v>
      </c>
      <c r="DY322" s="109">
        <f t="shared" si="257"/>
        <v>-5.631051180898794E-13</v>
      </c>
      <c r="EA322" s="110">
        <f t="shared" si="313"/>
        <v>3.0735060519073164E-2</v>
      </c>
      <c r="EB322" s="110">
        <f t="shared" si="313"/>
        <v>0.11586445618140957</v>
      </c>
      <c r="EC322" s="110">
        <f t="shared" si="313"/>
        <v>0.59089458603460909</v>
      </c>
      <c r="ED322" s="110">
        <f t="shared" si="308"/>
        <v>7.5602125402896472E-2</v>
      </c>
      <c r="EE322" s="110">
        <f t="shared" si="308"/>
        <v>6.7156996673863573E-2</v>
      </c>
      <c r="EF322" s="110">
        <f t="shared" si="308"/>
        <v>9.5404737676766035E-2</v>
      </c>
      <c r="EG322" s="110">
        <f t="shared" si="308"/>
        <v>2.3448751731147827E-2</v>
      </c>
      <c r="EH322" s="111">
        <f t="shared" si="274"/>
        <v>8.9328578023420294E-4</v>
      </c>
      <c r="EI322" s="110">
        <f t="shared" si="321"/>
        <v>0.99910671421976571</v>
      </c>
      <c r="EK322" s="132">
        <f>(EA322*'Renewable Diesel'!BF331*'Feedstock Conversion Rates'!B$2)+FB322</f>
        <v>357.60469804244894</v>
      </c>
      <c r="EL322" s="132">
        <f>(EB322*'Renewable Diesel'!BF331*'Feedstock Conversion Rates'!B$3)+FC322</f>
        <v>1270.3779908847832</v>
      </c>
      <c r="EM322" s="132">
        <f>(EC322*'Renewable Diesel'!BF331*'Feedstock Conversion Rates'!B$4)+FD322</f>
        <v>6066.2665845323536</v>
      </c>
      <c r="EN322" s="132">
        <f>(ED322*'Renewable Diesel'!BF331*'Feedstock Conversion Rates'!B$5)+FE322</f>
        <v>781.32401662899883</v>
      </c>
      <c r="EO322" s="132">
        <f>(EE322*'Renewable Diesel'!BF331*'Feedstock Conversion Rates'!B$6)+FF322</f>
        <v>862.2720751249401</v>
      </c>
      <c r="EP322" s="132">
        <f>(EF322*'Renewable Diesel'!BF331*'Feedstock Conversion Rates'!B$7)+FG322</f>
        <v>1201.4563206021846</v>
      </c>
      <c r="EQ322" s="132">
        <f>(EG322*'Renewable Diesel'!BF331*'Feedstock Conversion Rates'!B$8)+FH322</f>
        <v>300.91318831978128</v>
      </c>
      <c r="ER322" s="132">
        <f>(EH322*'Renewable Diesel'!BF331*'Feedstock Conversion Rates'!B$9)+FI322</f>
        <v>11.310514760972099</v>
      </c>
      <c r="ES322" s="132">
        <f t="shared" si="275"/>
        <v>10851.525388896462</v>
      </c>
      <c r="ET322" s="133">
        <f>ES322/'Renewable Diesel'!BF331</f>
        <v>13.88557172220936</v>
      </c>
      <c r="EW322" s="73">
        <f t="shared" si="309"/>
        <v>9785.7408207151038</v>
      </c>
      <c r="EX322" s="73">
        <f t="shared" si="310"/>
        <v>5721.934966318744</v>
      </c>
      <c r="EY322" s="92">
        <f t="shared" si="258"/>
        <v>0.90178481549958922</v>
      </c>
      <c r="EZ322" s="92">
        <f t="shared" si="258"/>
        <v>0.52729314647077763</v>
      </c>
      <c r="FB322" s="102">
        <f>IF('Renewable Diesel'!$BG331&lt;1,0,(((('Renewable Diesel'!$BG331-1)*'Renewable Diesel'!$BF331)*'RD Feedstock Breakdown'!EA322)*'Feedstock Conversion Rates'!$B$2))</f>
        <v>153.44029502708236</v>
      </c>
      <c r="FC322" s="102">
        <f>IF('Renewable Diesel'!$BG331&lt;1,0,(((('Renewable Diesel'!$BG331-1)*'Renewable Diesel'!$BF331)*'RD Feedstock Breakdown'!EB322)*'Feedstock Conversion Rates'!$B$3))</f>
        <v>545.09119926085179</v>
      </c>
      <c r="FD322" s="102">
        <f>IF('Renewable Diesel'!$BG331&lt;1,0,(((('Renewable Diesel'!$BG331-1)*'Renewable Diesel'!$BF331)*'RD Feedstock Breakdown'!EC322)*'Feedstock Conversion Rates'!$B$4))</f>
        <v>2602.9013028600793</v>
      </c>
      <c r="FE322" s="102">
        <f>IF('Renewable Diesel'!$BG331&lt;1,0,(((('Renewable Diesel'!$BG331-1)*'Renewable Diesel'!$BF331)*'RD Feedstock Breakdown'!ED322)*'Feedstock Conversion Rates'!$B$5))</f>
        <v>335.24891669367167</v>
      </c>
      <c r="FF322" s="102">
        <f>IF('Renewable Diesel'!$BG331&lt;1,0,(((('Renewable Diesel'!$BG331-1)*'Renewable Diesel'!$BF331)*'RD Feedstock Breakdown'!EE322)*'Feedstock Conversion Rates'!$B$6))</f>
        <v>369.98194465856818</v>
      </c>
      <c r="FG322" s="102">
        <f>IF('Renewable Diesel'!$BG331&lt;1,0,(((('Renewable Diesel'!$BG331-1)*'Renewable Diesel'!$BF331)*'RD Feedstock Breakdown'!EF322)*'Feedstock Conversion Rates'!$B$7))</f>
        <v>515.51842944040084</v>
      </c>
      <c r="FH322" s="102">
        <f>IF('Renewable Diesel'!$BG331&lt;1,0,(((('Renewable Diesel'!$BG331-1)*'Renewable Diesel'!$BF331)*'RD Feedstock Breakdown'!EG322)*'Feedstock Conversion Rates'!$B$8))</f>
        <v>129.11521757425692</v>
      </c>
      <c r="FI322" s="102">
        <f>IF('Renewable Diesel'!$BG331&lt;1,0,(((('Renewable Diesel'!$BG331-1)*'Renewable Diesel'!$BF331)*'RD Feedstock Breakdown'!EH322)*'Feedstock Conversion Rates'!$B$9))</f>
        <v>4.8530926224736568</v>
      </c>
      <c r="FJ322" s="102">
        <f t="shared" si="311"/>
        <v>4656.1503981373853</v>
      </c>
      <c r="GD322" s="91">
        <f>'Renewable Diesel'!BB331*0.32</f>
        <v>0</v>
      </c>
      <c r="GE322" s="91">
        <f>'Renewable Diesel'!BC331</f>
        <v>388.22490721705157</v>
      </c>
      <c r="GF322" s="91">
        <f>'Renewable Diesel'!BD331</f>
        <v>0</v>
      </c>
      <c r="GG322" s="91">
        <f t="shared" si="295"/>
        <v>388.22490721705157</v>
      </c>
      <c r="GH322" s="124">
        <v>1</v>
      </c>
      <c r="GI322" s="102">
        <f>$GG322*EA322*'Feedstock Conversion Rates'!$B$2</f>
        <v>101.42298615578497</v>
      </c>
      <c r="GJ322" s="102">
        <f>$GG322*EB322*'Feedstock Conversion Rates'!$B$3</f>
        <v>360.30155668376273</v>
      </c>
      <c r="GK322" s="102">
        <f>$GG322*EC322*'Feedstock Conversion Rates'!$B$4</f>
        <v>1720.4999687875816</v>
      </c>
      <c r="GL322" s="102">
        <f>$GG322*ED322*'Feedstock Conversion Rates'!$B$5</f>
        <v>221.59724230563293</v>
      </c>
      <c r="GM322" s="102">
        <f>$GG322*EE322*'Feedstock Conversion Rates'!$B$6</f>
        <v>244.55553636919961</v>
      </c>
      <c r="GN322" s="102">
        <f>$GG322*EF322*'Feedstock Conversion Rates'!$B$7</f>
        <v>340.75415798019264</v>
      </c>
      <c r="GO322" s="102">
        <f>$GG322*EG322*'Feedstock Conversion Rates'!$B$8</f>
        <v>85.344276236067586</v>
      </c>
      <c r="GP322" s="102">
        <f>$GG322*EH322*'Feedstock Conversion Rates'!B$9</f>
        <v>3.2078610496350484</v>
      </c>
      <c r="GQ322" s="102">
        <f t="shared" si="276"/>
        <v>3077.6835855678573</v>
      </c>
      <c r="GR322" s="85">
        <f t="shared" si="293"/>
        <v>7.9275789068504148</v>
      </c>
      <c r="GT322" s="103">
        <f t="shared" si="254"/>
        <v>3.2954325334607661E-2</v>
      </c>
      <c r="GU322" s="103">
        <f t="shared" si="254"/>
        <v>0.11706907050917134</v>
      </c>
      <c r="GV322" s="103">
        <f t="shared" si="254"/>
        <v>0.55902431843724942</v>
      </c>
      <c r="GW322" s="103">
        <f t="shared" si="254"/>
        <v>7.2001307523868296E-2</v>
      </c>
      <c r="GX322" s="103">
        <f t="shared" si="253"/>
        <v>7.9460909339735514E-2</v>
      </c>
      <c r="GY322" s="103">
        <f t="shared" si="253"/>
        <v>0.11071773576013039</v>
      </c>
      <c r="GZ322" s="103">
        <f t="shared" si="253"/>
        <v>2.7730035873821276E-2</v>
      </c>
      <c r="HA322" s="103">
        <f t="shared" si="251"/>
        <v>1.0422972214160127E-3</v>
      </c>
    </row>
    <row r="323" spans="1:209" x14ac:dyDescent="0.25">
      <c r="A323" s="96">
        <v>50253</v>
      </c>
      <c r="B323" s="104">
        <f t="shared" si="324"/>
        <v>16.75</v>
      </c>
      <c r="C323" s="104">
        <f t="shared" si="314"/>
        <v>49</v>
      </c>
      <c r="D323" s="104">
        <f t="shared" si="325"/>
        <v>2</v>
      </c>
      <c r="E323" s="104">
        <f>('Renewable Diesel'!B332*E$3*'Feedstock Conversion Rates'!$B$2)/12+26+13-100+27.5+39</f>
        <v>95.43</v>
      </c>
      <c r="F323" s="104">
        <f>('Renewable Diesel'!B332*'RD Feedstock Breakdown'!F$3*'Feedstock Conversion Rates'!B$8)/12+77+23-10-12-115.75+24+8</f>
        <v>48.15625</v>
      </c>
      <c r="G323" s="104">
        <f>('Renewable Diesel'!B332*'RD Feedstock Breakdown'!G$3*'Feedstock Conversion Rates'!B$7)/12+116.75-39-57.5-145-31.5+32+70-40+10-17.5-5</f>
        <v>69.407000000000039</v>
      </c>
      <c r="H323" s="104">
        <f>('Renewable Diesel'!B332*'RD Feedstock Breakdown'!H$3*'Feedstock Conversion Rates'!B$3)/12+67+10+12+3-235+20+47-20+135</f>
        <v>215.40022499999998</v>
      </c>
      <c r="I323" s="106">
        <f t="shared" si="291"/>
        <v>496.14347500000002</v>
      </c>
      <c r="J323" s="104">
        <f t="shared" si="326"/>
        <v>79</v>
      </c>
      <c r="K323" s="104"/>
      <c r="L323" s="104">
        <v>1</v>
      </c>
      <c r="M323" s="104">
        <f>('Renewable Diesel'!C332*'RD Feedstock Breakdown'!M$3*'Feedstock Conversion Rates'!B$2)/12</f>
        <v>7.7902500000000003</v>
      </c>
      <c r="N323" s="104">
        <f>('Renewable Diesel'!C332*'RD Feedstock Breakdown'!N$3*'Feedstock Conversion Rates'!B$8)/12</f>
        <v>3.671875</v>
      </c>
      <c r="O323" s="104">
        <f>('Renewable Diesel'!C332*'RD Feedstock Breakdown'!O$3*'Feedstock Conversion Rates'!B$7)/12</f>
        <v>11.9991</v>
      </c>
      <c r="P323" s="104">
        <f>('Renewable Diesel'!C332*'RD Feedstock Breakdown'!P$3*'Feedstock Conversion Rates'!B$3)/12</f>
        <v>10.4470425</v>
      </c>
      <c r="Q323" s="106">
        <f t="shared" si="299"/>
        <v>113.90826749999999</v>
      </c>
      <c r="R323" s="104">
        <f>('Renewable Diesel'!D332*'RD Feedstock Breakdown'!R$3*'Feedstock Conversion Rates'!B$7)/12</f>
        <v>2.2999999999999998</v>
      </c>
      <c r="S323" s="106">
        <f t="shared" si="329"/>
        <v>2.2999999999999998</v>
      </c>
      <c r="T323" s="104">
        <f t="shared" si="300"/>
        <v>0.82499999999999929</v>
      </c>
      <c r="U323" s="104"/>
      <c r="V323" s="104">
        <f>('Renewable Diesel'!E332*'RD Feedstock Breakdown'!V$3*'Feedstock Conversion Rates'!B$6)/12-20+25</f>
        <v>49.250150000000012</v>
      </c>
      <c r="W323" s="104">
        <f>('Renewable Diesel'!E332*'RD Feedstock Breakdown'!W$3*'Feedstock Conversion Rates'!B$8)/12-6</f>
        <v>16.1796875</v>
      </c>
      <c r="X323" s="106">
        <f t="shared" si="277"/>
        <v>66.254837500000008</v>
      </c>
      <c r="Y323" s="104">
        <f t="shared" si="301"/>
        <v>98</v>
      </c>
      <c r="Z323" s="104">
        <f>('Renewable Diesel'!F332*'RD Feedstock Breakdown'!Z$3*'Feedstock Conversion Rates'!B$6)/12-142+15+5+20+2.5</f>
        <v>59.960000000000008</v>
      </c>
      <c r="AA323" s="104">
        <f>('Renewable Diesel'!F332*'RD Feedstock Breakdown'!AA$3*'Feedstock Conversion Rates'!B$7)/12+24</f>
        <v>128.26666666666665</v>
      </c>
      <c r="AB323" s="106">
        <f t="shared" si="320"/>
        <v>286.22666666666669</v>
      </c>
      <c r="AC323" s="104">
        <f>('Renewable Diesel'!G332*'RD Feedstock Breakdown'!AC$3*'Feedstock Conversion Rates'!B$5)/12</f>
        <v>11.796875</v>
      </c>
      <c r="AD323" s="104">
        <f>('Renewable Diesel'!G332*'RD Feedstock Breakdown'!AD$3*'Feedstock Conversion Rates'!B$4)/12</f>
        <v>5.859375</v>
      </c>
      <c r="AE323" s="104">
        <f>('Renewable Diesel'!G332*'RD Feedstock Breakdown'!AE$3*'Feedstock Conversion Rates'!B$6)/12</f>
        <v>7.3281250000000009</v>
      </c>
      <c r="AF323" s="106">
        <f t="shared" si="284"/>
        <v>24.984375</v>
      </c>
      <c r="AG323" s="104">
        <f t="shared" si="306"/>
        <v>148</v>
      </c>
      <c r="AH323" s="104"/>
      <c r="AI323" s="104">
        <f>('Renewable Diesel'!H332*'RD Feedstock Breakdown'!AI$3*'Feedstock Conversion Rates'!B$6)/12-130-20+51-49</f>
        <v>0.51666666666667993</v>
      </c>
      <c r="AJ323" s="106">
        <f t="shared" si="328"/>
        <v>148.51666666666668</v>
      </c>
      <c r="AK323" s="104">
        <f>('Renewable Diesel'!J332*'RD Feedstock Breakdown'!AK$3*'Feedstock Conversion Rates'!B$4)/12</f>
        <v>95.8125</v>
      </c>
      <c r="AL323" s="106">
        <f t="shared" si="252"/>
        <v>95.8125</v>
      </c>
      <c r="AM323" s="104">
        <f>('Renewable Diesel'!K332*'RD Feedstock Breakdown'!AM$3*'Feedstock Conversion Rates'!B$4)/12+5+15-10+10</f>
        <v>78.59375</v>
      </c>
      <c r="AN323" s="104">
        <f>('Renewable Diesel'!K332*'RD Feedstock Breakdown'!AN$3*'Feedstock Conversion Rates'!B$6)/12-5-15+10-10</f>
        <v>4.4270833333333321</v>
      </c>
      <c r="AO323" s="106">
        <f t="shared" si="270"/>
        <v>83.020833333333329</v>
      </c>
      <c r="AP323" s="104">
        <f>('Renewable Diesel'!L332*'RD Feedstock Breakdown'!AP$3*'Feedstock Conversion Rates'!B$4)/12+15-10+15</f>
        <v>78.59375</v>
      </c>
      <c r="AQ323" s="104">
        <f>('Renewable Diesel'!L332*'RD Feedstock Breakdown'!AQ$3*'Feedstock Conversion Rates'!B$6)/12-15+10-15</f>
        <v>4.4270833333333321</v>
      </c>
      <c r="AR323" s="106">
        <f t="shared" si="256"/>
        <v>83.020833333333329</v>
      </c>
      <c r="AS323" s="104">
        <f>('Renewable Diesel'!M332*'RD Feedstock Breakdown'!AS$3*'Feedstock Conversion Rates'!B$4)/12-25</f>
        <v>431.25</v>
      </c>
      <c r="AT323" s="104">
        <f>('Renewable Diesel'!M332*'RD Feedstock Breakdown'!AT$3*'Feedstock Conversion Rates'!B$5)/12+25</f>
        <v>25</v>
      </c>
      <c r="AU323" s="106">
        <f t="shared" si="290"/>
        <v>456.25</v>
      </c>
      <c r="AV323" s="104">
        <f>'Renewable Diesel'!N332*'RD Feedstock Breakdown'!$AV$3*'Feedstock Conversion Rates'!$B$4/12-15-10+25+25-22+25</f>
        <v>106.74999999999999</v>
      </c>
      <c r="AW323" s="104">
        <f>'Renewable Diesel'!N332*'RD Feedstock Breakdown'!$AW$3*'Feedstock Conversion Rates'!$B$7/12+15+10-25-25+22-25</f>
        <v>13.400000000000006</v>
      </c>
      <c r="AX323" s="106">
        <f t="shared" si="322"/>
        <v>120.14999999999999</v>
      </c>
      <c r="AY323" s="104">
        <f>('Renewable Diesel'!O332*'RD Feedstock Breakdown'!AY$3*'Feedstock Conversion Rates'!B$4)/12</f>
        <v>210.9375</v>
      </c>
      <c r="AZ323" s="104">
        <f>('Renewable Diesel'!O332*'RD Feedstock Breakdown'!AZ$3*'Feedstock Conversion Rates'!B$3)/12</f>
        <v>25.03125</v>
      </c>
      <c r="BA323" s="106">
        <f t="shared" si="302"/>
        <v>235.96875</v>
      </c>
      <c r="BB323" s="104">
        <f>('Renewable Diesel'!Q332*'RD Feedstock Breakdown'!BB$3*'Feedstock Conversion Rates'!B$4)/12</f>
        <v>11.156249999999998</v>
      </c>
      <c r="BC323" s="104">
        <f>('Renewable Diesel'!Q332*'RD Feedstock Breakdown'!BC$3*'Feedstock Conversion Rates'!B$3)/12</f>
        <v>1.4017500000000001</v>
      </c>
      <c r="BD323" s="104">
        <f>('Renewable Diesel'!Q332*'RD Feedstock Breakdown'!BD$3*'Feedstock Conversion Rates'!B$6)/12</f>
        <v>0.8207500000000002</v>
      </c>
      <c r="BE323" s="106">
        <f t="shared" si="279"/>
        <v>13.378749999999998</v>
      </c>
      <c r="BF323" s="104">
        <f>('Renewable Diesel'!R332*'RD Feedstock Breakdown'!BF$3*'Feedstock Conversion Rates'!B$4)/12</f>
        <v>62.5</v>
      </c>
      <c r="BG323" s="106">
        <f t="shared" si="262"/>
        <v>62.5</v>
      </c>
      <c r="BH323" s="104">
        <f>('Renewable Diesel'!T332*'RD Feedstock Breakdown'!BH$3*'Feedstock Conversion Rates'!B$7)/12</f>
        <v>27.599999999999998</v>
      </c>
      <c r="BI323" s="106">
        <f t="shared" si="327"/>
        <v>27.599999999999998</v>
      </c>
      <c r="BJ323" s="104">
        <f>('Renewable Diesel'!W332*'RD Feedstock Breakdown'!BJ$3*'Feedstock Conversion Rates'!B$4)/12</f>
        <v>7.5</v>
      </c>
      <c r="BK323" s="104">
        <f>('Renewable Diesel'!W332*'RD Feedstock Breakdown'!BK$3*'Feedstock Conversion Rates'!B$3)/12</f>
        <v>1.335</v>
      </c>
      <c r="BL323" s="104">
        <f>('Renewable Diesel'!W332*'RD Feedstock Breakdown'!BL$3*'Feedstock Conversion Rates'!B$6)/12</f>
        <v>3.1266666666666669</v>
      </c>
      <c r="BM323" s="104">
        <f>('Renewable Diesel'!W332*'RD Feedstock Breakdown'!BM$3*'Feedstock Conversion Rates'!B$7)/12</f>
        <v>1.5333333333333332</v>
      </c>
      <c r="BN323" s="106">
        <f t="shared" si="296"/>
        <v>13.495000000000001</v>
      </c>
      <c r="BO323" s="104">
        <f>('Renewable Diesel'!P332*'Feedstock Conversion Rates'!B$4)/12</f>
        <v>31.25</v>
      </c>
      <c r="BP323" s="106">
        <f t="shared" si="285"/>
        <v>31.25</v>
      </c>
      <c r="BQ323" s="104">
        <f>('Renewable Diesel'!$S332*'RD Feedstock Breakdown'!BQ$3*'Feedstock Conversion Rates'!B$4)/12+10+15-15</f>
        <v>38.125</v>
      </c>
      <c r="BR323" s="104">
        <f>('Renewable Diesel'!$S332*'RD Feedstock Breakdown'!BR$3*'Feedstock Conversion Rates'!B$7)/12-10-15+15</f>
        <v>1.5</v>
      </c>
      <c r="BS323" s="106">
        <f t="shared" si="307"/>
        <v>39.625</v>
      </c>
      <c r="BT323" s="106"/>
      <c r="BU323" s="104">
        <f>('Renewable Diesel'!Y332*'Feedstock Conversion Rates'!B$7)/12</f>
        <v>2.6833333333333331</v>
      </c>
      <c r="BV323" s="106">
        <f t="shared" si="281"/>
        <v>2.6833333333333331</v>
      </c>
      <c r="BW323" s="104">
        <f>('Renewable Diesel'!$Z332*'RD Feedstock Breakdown'!BW$3*'Feedstock Conversion Rates'!$B$4)/12</f>
        <v>71.875</v>
      </c>
      <c r="BX323" s="104">
        <f>('Renewable Diesel'!$Z332*'RD Feedstock Breakdown'!BX$3*'Feedstock Conversion Rates'!$B$5)/12</f>
        <v>7.2354166666666666</v>
      </c>
      <c r="BY323" s="104">
        <f>('Renewable Diesel'!$Z332*'RD Feedstock Breakdown'!BY$3*'Feedstock Conversion Rates'!$B$7)/12</f>
        <v>61.716666666666661</v>
      </c>
      <c r="BZ323" s="104">
        <f>('Renewable Diesel'!$Z332*'RD Feedstock Breakdown'!BZ$3*'Feedstock Conversion Rates'!$B$3)/12</f>
        <v>15.352499999999999</v>
      </c>
      <c r="CA323" s="106">
        <f t="shared" si="312"/>
        <v>156.17958333333331</v>
      </c>
      <c r="CB323" s="104">
        <f>('Renewable Diesel'!AA332*'Feedstock Conversion Rates'!B$4)/12</f>
        <v>191.25</v>
      </c>
      <c r="CC323" s="106">
        <f t="shared" si="298"/>
        <v>191.25</v>
      </c>
      <c r="CD323" s="104">
        <f>('Renewable Diesel'!$AB332*'RD Feedstock Breakdown'!CD$3*'Feedstock Conversion Rates'!$B$6)/12-15-5</f>
        <v>12.830000000000005</v>
      </c>
      <c r="CE323" s="104">
        <f>('Renewable Diesel'!$AB332*'RD Feedstock Breakdown'!CE$3*'Feedstock Conversion Rates'!$B$4)/12+15+5</f>
        <v>31.25</v>
      </c>
      <c r="CF323" s="106">
        <f t="shared" si="294"/>
        <v>44.080000000000005</v>
      </c>
      <c r="CG323" s="104">
        <f>('Renewable Diesel'!AD332*'Feedstock Conversion Rates'!B$4)/12</f>
        <v>112.5</v>
      </c>
      <c r="CH323" s="106">
        <f t="shared" si="278"/>
        <v>112.5</v>
      </c>
      <c r="CI323" s="104">
        <f>('Renewable Diesel'!$AE332*'RD Feedstock Breakdown'!CI$3*'Feedstock Conversion Rates'!$B$5)/12</f>
        <v>0.34604166666666664</v>
      </c>
      <c r="CJ323" s="104">
        <f>('Renewable Diesel'!$AE332*'RD Feedstock Breakdown'!CJ$3*'Feedstock Conversion Rates'!$B$4)/12</f>
        <v>0.34375</v>
      </c>
      <c r="CK323" s="106">
        <f t="shared" si="286"/>
        <v>0.68979166666666658</v>
      </c>
      <c r="CL323" s="104">
        <f>(((CL$3*'Renewable Diesel'!$AF332)*'Feedstock Conversion Rates'!$B$3)/12)</f>
        <v>91.78125</v>
      </c>
      <c r="CM323" s="104">
        <f>(((CM$3*'Renewable Diesel'!$AF332)*'Feedstock Conversion Rates'!$B$6)/12)</f>
        <v>53.739583333333336</v>
      </c>
      <c r="CN323" s="104">
        <f>(((CN$3*'Renewable Diesel'!$AF332)*'Feedstock Conversion Rates'!$B$4)/12)</f>
        <v>42.96875</v>
      </c>
      <c r="CO323" s="106">
        <f t="shared" si="280"/>
        <v>188.48958333333334</v>
      </c>
      <c r="CP323" s="104">
        <f>('Renewable Diesel'!$AG332*'RD Feedstock Breakdown'!CP$3*'Feedstock Conversion Rates'!$B$3)/12</f>
        <v>6.0075000000000003</v>
      </c>
      <c r="CQ323" s="104">
        <f>('Renewable Diesel'!$AG332*'RD Feedstock Breakdown'!CQ$3*'Feedstock Conversion Rates'!$B$6)/12</f>
        <v>3.5175000000000001</v>
      </c>
      <c r="CR323" s="104">
        <f>('Renewable Diesel'!$AG332*'RD Feedstock Breakdown'!CR$3*'Feedstock Conversion Rates'!$B$4)/12</f>
        <v>2.8125</v>
      </c>
      <c r="CS323" s="106">
        <f t="shared" si="317"/>
        <v>12.3375</v>
      </c>
      <c r="CT323" s="104">
        <f>('Renewable Diesel'!AI332*'Feedstock Conversion Rates'!$B$4*'RD Feedstock Breakdown'!$CT$3)/12</f>
        <v>29.375</v>
      </c>
      <c r="CU323" s="106">
        <f t="shared" si="282"/>
        <v>29.375</v>
      </c>
      <c r="CV323" s="104">
        <f>('Renewable Diesel'!AN332*'Feedstock Conversion Rates'!$B$3*'RD Feedstock Breakdown'!$CV$3)/12</f>
        <v>0.50062499999999999</v>
      </c>
      <c r="CW323" s="106">
        <f t="shared" si="255"/>
        <v>0.50062499999999999</v>
      </c>
      <c r="CX323" s="104">
        <f>('Renewable Diesel'!AO332*'RD Feedstock Breakdown'!$CX$3*'Feedstock Conversion Rates'!$B$3)/12</f>
        <v>6.3412499999999996</v>
      </c>
      <c r="CY323" s="104">
        <f>('Renewable Diesel'!AO332*'RD Feedstock Breakdown'!$CY$3*'Feedstock Conversion Rates'!$B$6)/12</f>
        <v>7.4258333333333342</v>
      </c>
      <c r="CZ323" s="106">
        <f t="shared" si="318"/>
        <v>13.767083333333334</v>
      </c>
      <c r="DA323" s="104">
        <f>('Renewable Diesel'!$AP332*'RD Feedstock Breakdown'!DA$3*'Feedstock Conversion Rates'!$B$3)/12</f>
        <v>6.3412499999999996</v>
      </c>
      <c r="DB323" s="104">
        <f>('Renewable Diesel'!$AP332*'RD Feedstock Breakdown'!DB$3*'Feedstock Conversion Rates'!$B$8)/12</f>
        <v>7.421875</v>
      </c>
      <c r="DC323" s="106">
        <f t="shared" si="260"/>
        <v>13.763124999999999</v>
      </c>
      <c r="DD323" s="104">
        <f>('Renewable Diesel'!AQ332*$DD$3*'Feedstock Conversion Rates'!$B$14)/12</f>
        <v>3.1041666666666665</v>
      </c>
      <c r="DE323" s="106">
        <f t="shared" si="261"/>
        <v>3.1041666666666665</v>
      </c>
      <c r="DF323" s="104">
        <f>('Renewable Diesel'!AR332*'Feedstock Conversion Rates'!$B$4*$DF$3)/12</f>
        <v>75</v>
      </c>
      <c r="DG323" s="106">
        <f t="shared" si="319"/>
        <v>75</v>
      </c>
      <c r="DH323" s="104">
        <f>('Renewable Diesel'!AS332*'Feedstock Conversion Rates'!$B$4*$DH$3)/12</f>
        <v>75</v>
      </c>
      <c r="DI323" s="106">
        <f t="shared" si="323"/>
        <v>75</v>
      </c>
      <c r="DJ323" s="104">
        <f>('Renewable Diesel'!AT332*'Feedstock Conversion Rates'!$B$4*0.25)/12</f>
        <v>8.59375</v>
      </c>
      <c r="DK323" s="104">
        <f>('Renewable Diesel'!$AT332*'RD Feedstock Breakdown'!DK$3*'Feedstock Conversion Rates'!$B$3)/12*0.5</f>
        <v>9.1781249999999996</v>
      </c>
      <c r="DL323" s="104">
        <f>('Renewable Diesel'!$AT332*'RD Feedstock Breakdown'!$DL$3*'Feedstock Conversion Rates'!$B$6)/12</f>
        <v>10.747916666666669</v>
      </c>
      <c r="DM323" s="104">
        <f>('Renewable Diesel'!$AT332*'RD Feedstock Breakdown'!$DM$3*'Feedstock Conversion Rates'!$B$8)/12</f>
        <v>10.7421875</v>
      </c>
      <c r="DN323" s="106">
        <f t="shared" si="297"/>
        <v>39.26197916666667</v>
      </c>
      <c r="DP323" s="104">
        <f t="shared" si="265"/>
        <v>103.22025000000001</v>
      </c>
      <c r="DQ323" s="104">
        <f t="shared" si="266"/>
        <v>389.11776750000001</v>
      </c>
      <c r="DR323" s="104">
        <f t="shared" si="271"/>
        <v>1984.453125</v>
      </c>
      <c r="DS323" s="104">
        <f t="shared" si="283"/>
        <v>253.90125</v>
      </c>
      <c r="DT323" s="104">
        <f t="shared" si="267"/>
        <v>225.53923333333341</v>
      </c>
      <c r="DU323" s="104">
        <f t="shared" si="268"/>
        <v>320.40610000000004</v>
      </c>
      <c r="DV323" s="104">
        <f t="shared" si="272"/>
        <v>78.75</v>
      </c>
      <c r="DW323" s="104">
        <f t="shared" si="269"/>
        <v>3</v>
      </c>
      <c r="DX323" s="106">
        <f t="shared" si="273"/>
        <v>3358.3877258333337</v>
      </c>
      <c r="DY323" s="109">
        <f t="shared" si="257"/>
        <v>-5.631051180898794E-13</v>
      </c>
      <c r="EA323" s="110">
        <f t="shared" si="313"/>
        <v>3.0735060519073164E-2</v>
      </c>
      <c r="EB323" s="110">
        <f t="shared" si="313"/>
        <v>0.11586445618140957</v>
      </c>
      <c r="EC323" s="110">
        <f t="shared" si="313"/>
        <v>0.59089458603460909</v>
      </c>
      <c r="ED323" s="110">
        <f t="shared" si="308"/>
        <v>7.5602125402896472E-2</v>
      </c>
      <c r="EE323" s="110">
        <f t="shared" si="308"/>
        <v>6.7156996673863573E-2</v>
      </c>
      <c r="EF323" s="110">
        <f t="shared" si="308"/>
        <v>9.5404737676766035E-2</v>
      </c>
      <c r="EG323" s="110">
        <f t="shared" si="308"/>
        <v>2.3448751731147827E-2</v>
      </c>
      <c r="EH323" s="111">
        <f t="shared" si="274"/>
        <v>8.9328578023420294E-4</v>
      </c>
      <c r="EI323" s="110">
        <f t="shared" si="321"/>
        <v>0.99910671421976571</v>
      </c>
      <c r="EK323" s="132">
        <f>(EA323*'Renewable Diesel'!BF332*'Feedstock Conversion Rates'!B$2)+FB323</f>
        <v>382.52401421849368</v>
      </c>
      <c r="EL323" s="132">
        <f>(EB323*'Renewable Diesel'!BF332*'Feedstock Conversion Rates'!B$3)+FC323</f>
        <v>1358.9029766896078</v>
      </c>
      <c r="EM323" s="132">
        <f>(EC323*'Renewable Diesel'!BF332*'Feedstock Conversion Rates'!B$4)+FD323</f>
        <v>6488.9881423184679</v>
      </c>
      <c r="EN323" s="132">
        <f>(ED323*'Renewable Diesel'!BF332*'Feedstock Conversion Rates'!B$5)+FE323</f>
        <v>835.76977842378392</v>
      </c>
      <c r="EO323" s="132">
        <f>(EE323*'Renewable Diesel'!BF332*'Feedstock Conversion Rates'!B$6)+FF323</f>
        <v>922.35861925435188</v>
      </c>
      <c r="EP323" s="132">
        <f>(EF323*'Renewable Diesel'!BF332*'Feedstock Conversion Rates'!B$7)+FG323</f>
        <v>1285.1785705857105</v>
      </c>
      <c r="EQ323" s="132">
        <f>(EG323*'Renewable Diesel'!BF332*'Feedstock Conversion Rates'!B$8)+FH323</f>
        <v>321.88201485458319</v>
      </c>
      <c r="ER323" s="132">
        <f>(EH323*'Renewable Diesel'!BF332*'Feedstock Conversion Rates'!B$9)+FI323</f>
        <v>12.098676367867508</v>
      </c>
      <c r="ES323" s="132">
        <f t="shared" si="275"/>
        <v>11607.702792712869</v>
      </c>
      <c r="ET323" s="133">
        <f>ES323/'Renewable Diesel'!BF332</f>
        <v>14.127694365099126</v>
      </c>
      <c r="EW323" s="73">
        <f t="shared" si="309"/>
        <v>10539.319592214613</v>
      </c>
      <c r="EX323" s="73">
        <f t="shared" si="310"/>
        <v>6162.5688234295703</v>
      </c>
      <c r="EY323" s="92">
        <f t="shared" si="258"/>
        <v>0.90795911821855313</v>
      </c>
      <c r="EZ323" s="92">
        <f t="shared" si="258"/>
        <v>0.53090339522634333</v>
      </c>
      <c r="FB323" s="102">
        <f>IF('Renewable Diesel'!$BG332&lt;1,0,(((('Renewable Diesel'!$BG332-1)*'Renewable Diesel'!$BF332)*'RD Feedstock Breakdown'!EA323)*'Feedstock Conversion Rates'!$B$2))</f>
        <v>167.87545033295962</v>
      </c>
      <c r="FC323" s="102">
        <f>IF('Renewable Diesel'!$BG332&lt;1,0,(((('Renewable Diesel'!$BG332-1)*'Renewable Diesel'!$BF332)*'RD Feedstock Breakdown'!EB323)*'Feedstock Conversion Rates'!$B$3))</f>
        <v>596.37157587775334</v>
      </c>
      <c r="FD323" s="102">
        <f>IF('Renewable Diesel'!$BG332&lt;1,0,(((('Renewable Diesel'!$BG332-1)*'Renewable Diesel'!$BF332)*'RD Feedstock Breakdown'!EC323)*'Feedstock Conversion Rates'!$B$4))</f>
        <v>2847.7736458520153</v>
      </c>
      <c r="FE323" s="102">
        <f>IF('Renewable Diesel'!$BG332&lt;1,0,(((('Renewable Diesel'!$BG332-1)*'Renewable Diesel'!$BF332)*'RD Feedstock Breakdown'!ED323)*'Feedstock Conversion Rates'!$B$5))</f>
        <v>366.78802562034639</v>
      </c>
      <c r="FF323" s="102">
        <f>IF('Renewable Diesel'!$BG332&lt;1,0,(((('Renewable Diesel'!$BG332-1)*'Renewable Diesel'!$BF332)*'RD Feedstock Breakdown'!EE323)*'Feedstock Conversion Rates'!$B$6))</f>
        <v>404.78862194352956</v>
      </c>
      <c r="FG323" s="102">
        <f>IF('Renewable Diesel'!$BG332&lt;1,0,(((('Renewable Diesel'!$BG332-1)*'Renewable Diesel'!$BF332)*'RD Feedstock Breakdown'!EF323)*'Feedstock Conversion Rates'!$B$7))</f>
        <v>564.01669771276488</v>
      </c>
      <c r="FH323" s="102">
        <f>IF('Renewable Diesel'!$BG332&lt;1,0,(((('Renewable Diesel'!$BG332-1)*'Renewable Diesel'!$BF332)*'RD Feedstock Breakdown'!EG323)*'Feedstock Conversion Rates'!$B$8))</f>
        <v>141.26195007179004</v>
      </c>
      <c r="FI323" s="102">
        <f>IF('Renewable Diesel'!$BG332&lt;1,0,(((('Renewable Diesel'!$BG332-1)*'Renewable Diesel'!$BF332)*'RD Feedstock Breakdown'!EH323)*'Feedstock Conversion Rates'!$B$9))</f>
        <v>5.309655520158711</v>
      </c>
      <c r="FJ323" s="102">
        <f t="shared" si="311"/>
        <v>5094.185622931318</v>
      </c>
      <c r="GD323" s="91">
        <f>'Renewable Diesel'!BB332*0.32</f>
        <v>0</v>
      </c>
      <c r="GE323" s="91">
        <f>'Renewable Diesel'!BC332</f>
        <v>422.72804530291944</v>
      </c>
      <c r="GF323" s="91">
        <f>'Renewable Diesel'!BD332</f>
        <v>0</v>
      </c>
      <c r="GG323" s="91">
        <f t="shared" si="295"/>
        <v>422.72804530291944</v>
      </c>
      <c r="GH323" s="124">
        <v>1</v>
      </c>
      <c r="GI323" s="102">
        <f>$GG323*EA323*'Feedstock Conversion Rates'!$B$2</f>
        <v>110.43686247170521</v>
      </c>
      <c r="GJ323" s="102">
        <f>$GG323*EB323*'Feedstock Conversion Rates'!$B$3</f>
        <v>392.32303220404077</v>
      </c>
      <c r="GK323" s="102">
        <f>$GG323*EC323*'Feedstock Conversion Rates'!$B$4</f>
        <v>1873.4078500086605</v>
      </c>
      <c r="GL323" s="102">
        <f>$GG323*ED323*'Feedstock Conversion Rates'!$B$5</f>
        <v>241.29149712696025</v>
      </c>
      <c r="GM323" s="102">
        <f>$GG323*EE323*'Feedstock Conversion Rates'!$B$6</f>
        <v>266.29018884550879</v>
      </c>
      <c r="GN323" s="102">
        <f>$GG323*EF323*'Feedstock Conversion Rates'!$B$7</f>
        <v>371.03837609078124</v>
      </c>
      <c r="GO323" s="102">
        <f>$GG323*EG323*'Feedstock Conversion Rates'!$B$8</f>
        <v>92.929171725952216</v>
      </c>
      <c r="GP323" s="102">
        <f>$GG323*EH323*'Feedstock Conversion Rates'!B$9</f>
        <v>3.4929568039215053</v>
      </c>
      <c r="GQ323" s="102">
        <f t="shared" si="276"/>
        <v>3351.2099352775303</v>
      </c>
      <c r="GR323" s="85">
        <f t="shared" si="293"/>
        <v>7.9275789068504139</v>
      </c>
      <c r="GT323" s="103">
        <f t="shared" si="254"/>
        <v>3.2954325334607654E-2</v>
      </c>
      <c r="GU323" s="103">
        <f t="shared" si="254"/>
        <v>0.11706907050917134</v>
      </c>
      <c r="GV323" s="103">
        <f t="shared" si="254"/>
        <v>0.55902431843724953</v>
      </c>
      <c r="GW323" s="103">
        <f t="shared" si="254"/>
        <v>7.2001307523868296E-2</v>
      </c>
      <c r="GX323" s="103">
        <f t="shared" si="253"/>
        <v>7.9460909339735514E-2</v>
      </c>
      <c r="GY323" s="103">
        <f t="shared" si="253"/>
        <v>0.11071773576013036</v>
      </c>
      <c r="GZ323" s="103">
        <f t="shared" si="253"/>
        <v>2.7730035873821279E-2</v>
      </c>
      <c r="HA323" s="103">
        <f t="shared" si="253"/>
        <v>1.0422972214160124E-3</v>
      </c>
    </row>
    <row r="324" spans="1:209" x14ac:dyDescent="0.25">
      <c r="A324" s="96">
        <v>50284</v>
      </c>
      <c r="B324" s="104">
        <f t="shared" si="324"/>
        <v>16.75</v>
      </c>
      <c r="C324" s="104">
        <f t="shared" si="314"/>
        <v>49</v>
      </c>
      <c r="D324" s="104">
        <f t="shared" si="325"/>
        <v>2</v>
      </c>
      <c r="E324" s="104">
        <f>('Renewable Diesel'!B333*E$3*'Feedstock Conversion Rates'!$B$2)/12+26+13-100+27.5+39</f>
        <v>95.43</v>
      </c>
      <c r="F324" s="104">
        <f>('Renewable Diesel'!B333*'RD Feedstock Breakdown'!F$3*'Feedstock Conversion Rates'!B$8)/12+77+23-10-12-115.75+24+8</f>
        <v>48.15625</v>
      </c>
      <c r="G324" s="104">
        <f>('Renewable Diesel'!B333*'RD Feedstock Breakdown'!G$3*'Feedstock Conversion Rates'!B$7)/12+116.75-39-57.5-145-31.5+32+70-40+10-17.5-5</f>
        <v>69.407000000000039</v>
      </c>
      <c r="H324" s="104">
        <f>('Renewable Diesel'!B333*'RD Feedstock Breakdown'!H$3*'Feedstock Conversion Rates'!B$3)/12+67+10+12+3-235+20+47-20+135</f>
        <v>215.40022499999998</v>
      </c>
      <c r="I324" s="106">
        <f t="shared" si="291"/>
        <v>496.14347500000002</v>
      </c>
      <c r="J324" s="104">
        <f t="shared" si="326"/>
        <v>79</v>
      </c>
      <c r="K324" s="104"/>
      <c r="L324" s="104">
        <v>1</v>
      </c>
      <c r="M324" s="104">
        <f>('Renewable Diesel'!C333*'RD Feedstock Breakdown'!M$3*'Feedstock Conversion Rates'!B$2)/12</f>
        <v>7.7902500000000003</v>
      </c>
      <c r="N324" s="104">
        <f>('Renewable Diesel'!C333*'RD Feedstock Breakdown'!N$3*'Feedstock Conversion Rates'!B$8)/12</f>
        <v>3.671875</v>
      </c>
      <c r="O324" s="104">
        <f>('Renewable Diesel'!C333*'RD Feedstock Breakdown'!O$3*'Feedstock Conversion Rates'!B$7)/12</f>
        <v>11.9991</v>
      </c>
      <c r="P324" s="104">
        <f>('Renewable Diesel'!C333*'RD Feedstock Breakdown'!P$3*'Feedstock Conversion Rates'!B$3)/12</f>
        <v>10.4470425</v>
      </c>
      <c r="Q324" s="106">
        <f t="shared" si="299"/>
        <v>113.90826749999999</v>
      </c>
      <c r="R324" s="104">
        <f>('Renewable Diesel'!D333*'RD Feedstock Breakdown'!R$3*'Feedstock Conversion Rates'!B$7)/12</f>
        <v>2.2999999999999998</v>
      </c>
      <c r="S324" s="106">
        <f t="shared" si="329"/>
        <v>2.2999999999999998</v>
      </c>
      <c r="T324" s="104">
        <f t="shared" si="300"/>
        <v>0.82499999999999929</v>
      </c>
      <c r="U324" s="104"/>
      <c r="V324" s="104">
        <f>('Renewable Diesel'!E333*'RD Feedstock Breakdown'!V$3*'Feedstock Conversion Rates'!B$6)/12-20+25</f>
        <v>49.250150000000012</v>
      </c>
      <c r="W324" s="104">
        <f>('Renewable Diesel'!E333*'RD Feedstock Breakdown'!W$3*'Feedstock Conversion Rates'!B$8)/12-6</f>
        <v>16.1796875</v>
      </c>
      <c r="X324" s="106">
        <f t="shared" si="277"/>
        <v>66.254837500000008</v>
      </c>
      <c r="Y324" s="104">
        <f t="shared" si="301"/>
        <v>98</v>
      </c>
      <c r="Z324" s="104">
        <f>('Renewable Diesel'!F333*'RD Feedstock Breakdown'!Z$3*'Feedstock Conversion Rates'!B$6)/12-142+15+5+20+2.5</f>
        <v>59.960000000000008</v>
      </c>
      <c r="AA324" s="104">
        <f>('Renewable Diesel'!F333*'RD Feedstock Breakdown'!AA$3*'Feedstock Conversion Rates'!B$7)/12+24</f>
        <v>128.26666666666665</v>
      </c>
      <c r="AB324" s="106">
        <f t="shared" si="320"/>
        <v>286.22666666666669</v>
      </c>
      <c r="AC324" s="104">
        <f>('Renewable Diesel'!G333*'RD Feedstock Breakdown'!AC$3*'Feedstock Conversion Rates'!B$5)/12</f>
        <v>11.796875</v>
      </c>
      <c r="AD324" s="104">
        <f>('Renewable Diesel'!G333*'RD Feedstock Breakdown'!AD$3*'Feedstock Conversion Rates'!B$4)/12</f>
        <v>5.859375</v>
      </c>
      <c r="AE324" s="104">
        <f>('Renewable Diesel'!G333*'RD Feedstock Breakdown'!AE$3*'Feedstock Conversion Rates'!B$6)/12</f>
        <v>7.3281250000000009</v>
      </c>
      <c r="AF324" s="106">
        <f t="shared" si="284"/>
        <v>24.984375</v>
      </c>
      <c r="AG324" s="104">
        <f t="shared" si="306"/>
        <v>148</v>
      </c>
      <c r="AH324" s="104"/>
      <c r="AI324" s="104">
        <f>('Renewable Diesel'!H333*'RD Feedstock Breakdown'!AI$3*'Feedstock Conversion Rates'!B$6)/12-130-20+51-49</f>
        <v>0.51666666666667993</v>
      </c>
      <c r="AJ324" s="106">
        <f t="shared" si="328"/>
        <v>148.51666666666668</v>
      </c>
      <c r="AK324" s="104">
        <f>('Renewable Diesel'!J333*'RD Feedstock Breakdown'!AK$3*'Feedstock Conversion Rates'!B$4)/12</f>
        <v>95.8125</v>
      </c>
      <c r="AL324" s="106">
        <f t="shared" ref="AL324:AL387" si="330">AK324</f>
        <v>95.8125</v>
      </c>
      <c r="AM324" s="104">
        <f>('Renewable Diesel'!K333*'RD Feedstock Breakdown'!AM$3*'Feedstock Conversion Rates'!B$4)/12+5+15-10+10</f>
        <v>78.59375</v>
      </c>
      <c r="AN324" s="104">
        <f>('Renewable Diesel'!K333*'RD Feedstock Breakdown'!AN$3*'Feedstock Conversion Rates'!B$6)/12-5-15+10-10</f>
        <v>4.4270833333333321</v>
      </c>
      <c r="AO324" s="106">
        <f t="shared" si="270"/>
        <v>83.020833333333329</v>
      </c>
      <c r="AP324" s="104">
        <f>('Renewable Diesel'!L333*'RD Feedstock Breakdown'!AP$3*'Feedstock Conversion Rates'!B$4)/12+15-10+15</f>
        <v>78.59375</v>
      </c>
      <c r="AQ324" s="104">
        <f>('Renewable Diesel'!L333*'RD Feedstock Breakdown'!AQ$3*'Feedstock Conversion Rates'!B$6)/12-15+10-15</f>
        <v>4.4270833333333321</v>
      </c>
      <c r="AR324" s="106">
        <f t="shared" si="256"/>
        <v>83.020833333333329</v>
      </c>
      <c r="AS324" s="104">
        <f>('Renewable Diesel'!M333*'RD Feedstock Breakdown'!AS$3*'Feedstock Conversion Rates'!B$4)/12-25</f>
        <v>431.25</v>
      </c>
      <c r="AT324" s="104">
        <f>('Renewable Diesel'!M333*'RD Feedstock Breakdown'!AT$3*'Feedstock Conversion Rates'!B$5)/12+25</f>
        <v>25</v>
      </c>
      <c r="AU324" s="106">
        <f t="shared" si="290"/>
        <v>456.25</v>
      </c>
      <c r="AV324" s="104">
        <f>'Renewable Diesel'!N333*'RD Feedstock Breakdown'!$AV$3*'Feedstock Conversion Rates'!$B$4/12-15-10+25+25-22+25</f>
        <v>106.74999999999999</v>
      </c>
      <c r="AW324" s="104">
        <f>'Renewable Diesel'!N333*'RD Feedstock Breakdown'!$AW$3*'Feedstock Conversion Rates'!$B$7/12+15+10-25-25+22-25</f>
        <v>13.400000000000006</v>
      </c>
      <c r="AX324" s="106">
        <f t="shared" si="322"/>
        <v>120.14999999999999</v>
      </c>
      <c r="AY324" s="104">
        <f>('Renewable Diesel'!O333*'RD Feedstock Breakdown'!AY$3*'Feedstock Conversion Rates'!B$4)/12</f>
        <v>210.9375</v>
      </c>
      <c r="AZ324" s="104">
        <f>('Renewable Diesel'!O333*'RD Feedstock Breakdown'!AZ$3*'Feedstock Conversion Rates'!B$3)/12</f>
        <v>25.03125</v>
      </c>
      <c r="BA324" s="106">
        <f t="shared" si="302"/>
        <v>235.96875</v>
      </c>
      <c r="BB324" s="104">
        <f>('Renewable Diesel'!Q333*'RD Feedstock Breakdown'!BB$3*'Feedstock Conversion Rates'!B$4)/12</f>
        <v>11.156249999999998</v>
      </c>
      <c r="BC324" s="104">
        <f>('Renewable Diesel'!Q333*'RD Feedstock Breakdown'!BC$3*'Feedstock Conversion Rates'!B$3)/12</f>
        <v>1.4017500000000001</v>
      </c>
      <c r="BD324" s="104">
        <f>('Renewable Diesel'!Q333*'RD Feedstock Breakdown'!BD$3*'Feedstock Conversion Rates'!B$6)/12</f>
        <v>0.8207500000000002</v>
      </c>
      <c r="BE324" s="106">
        <f t="shared" si="279"/>
        <v>13.378749999999998</v>
      </c>
      <c r="BF324" s="104">
        <f>('Renewable Diesel'!R333*'RD Feedstock Breakdown'!BF$3*'Feedstock Conversion Rates'!B$4)/12</f>
        <v>62.5</v>
      </c>
      <c r="BG324" s="106">
        <f t="shared" si="262"/>
        <v>62.5</v>
      </c>
      <c r="BH324" s="104">
        <f>('Renewable Diesel'!T333*'RD Feedstock Breakdown'!BH$3*'Feedstock Conversion Rates'!B$7)/12</f>
        <v>27.599999999999998</v>
      </c>
      <c r="BI324" s="106">
        <f t="shared" si="327"/>
        <v>27.599999999999998</v>
      </c>
      <c r="BJ324" s="104">
        <f>('Renewable Diesel'!W333*'RD Feedstock Breakdown'!BJ$3*'Feedstock Conversion Rates'!B$4)/12</f>
        <v>7.5</v>
      </c>
      <c r="BK324" s="104">
        <f>('Renewable Diesel'!W333*'RD Feedstock Breakdown'!BK$3*'Feedstock Conversion Rates'!B$3)/12</f>
        <v>1.335</v>
      </c>
      <c r="BL324" s="104">
        <f>('Renewable Diesel'!W333*'RD Feedstock Breakdown'!BL$3*'Feedstock Conversion Rates'!B$6)/12</f>
        <v>3.1266666666666669</v>
      </c>
      <c r="BM324" s="104">
        <f>('Renewable Diesel'!W333*'RD Feedstock Breakdown'!BM$3*'Feedstock Conversion Rates'!B$7)/12</f>
        <v>1.5333333333333332</v>
      </c>
      <c r="BN324" s="106">
        <f t="shared" si="296"/>
        <v>13.495000000000001</v>
      </c>
      <c r="BO324" s="104">
        <f>('Renewable Diesel'!P333*'Feedstock Conversion Rates'!B$4)/12</f>
        <v>31.25</v>
      </c>
      <c r="BP324" s="106">
        <f t="shared" si="285"/>
        <v>31.25</v>
      </c>
      <c r="BQ324" s="104">
        <f>('Renewable Diesel'!$S333*'RD Feedstock Breakdown'!BQ$3*'Feedstock Conversion Rates'!B$4)/12+10+15-15</f>
        <v>38.125</v>
      </c>
      <c r="BR324" s="104">
        <f>('Renewable Diesel'!$S333*'RD Feedstock Breakdown'!BR$3*'Feedstock Conversion Rates'!B$7)/12-10-15+15</f>
        <v>1.5</v>
      </c>
      <c r="BS324" s="106">
        <f t="shared" si="307"/>
        <v>39.625</v>
      </c>
      <c r="BT324" s="106"/>
      <c r="BU324" s="104">
        <f>('Renewable Diesel'!Y333*'Feedstock Conversion Rates'!B$7)/12</f>
        <v>2.6833333333333331</v>
      </c>
      <c r="BV324" s="106">
        <f t="shared" si="281"/>
        <v>2.6833333333333331</v>
      </c>
      <c r="BW324" s="104">
        <f>('Renewable Diesel'!$Z333*'RD Feedstock Breakdown'!BW$3*'Feedstock Conversion Rates'!$B$4)/12</f>
        <v>71.875</v>
      </c>
      <c r="BX324" s="104">
        <f>('Renewable Diesel'!$Z333*'RD Feedstock Breakdown'!BX$3*'Feedstock Conversion Rates'!$B$5)/12</f>
        <v>7.2354166666666666</v>
      </c>
      <c r="BY324" s="104">
        <f>('Renewable Diesel'!$Z333*'RD Feedstock Breakdown'!BY$3*'Feedstock Conversion Rates'!$B$7)/12</f>
        <v>61.716666666666661</v>
      </c>
      <c r="BZ324" s="104">
        <f>('Renewable Diesel'!$Z333*'RD Feedstock Breakdown'!BZ$3*'Feedstock Conversion Rates'!$B$3)/12</f>
        <v>15.352499999999999</v>
      </c>
      <c r="CA324" s="106">
        <f t="shared" si="312"/>
        <v>156.17958333333331</v>
      </c>
      <c r="CB324" s="104">
        <f>('Renewable Diesel'!AA333*'Feedstock Conversion Rates'!B$4)/12</f>
        <v>191.25</v>
      </c>
      <c r="CC324" s="106">
        <f t="shared" si="298"/>
        <v>191.25</v>
      </c>
      <c r="CD324" s="104">
        <f>('Renewable Diesel'!$AB333*'RD Feedstock Breakdown'!CD$3*'Feedstock Conversion Rates'!$B$6)/12-15-5</f>
        <v>12.830000000000005</v>
      </c>
      <c r="CE324" s="104">
        <f>('Renewable Diesel'!$AB333*'RD Feedstock Breakdown'!CE$3*'Feedstock Conversion Rates'!$B$4)/12+15+5</f>
        <v>31.25</v>
      </c>
      <c r="CF324" s="106">
        <f t="shared" si="294"/>
        <v>44.080000000000005</v>
      </c>
      <c r="CG324" s="104">
        <f>('Renewable Diesel'!AD333*'Feedstock Conversion Rates'!B$4)/12</f>
        <v>112.5</v>
      </c>
      <c r="CH324" s="106">
        <f t="shared" si="278"/>
        <v>112.5</v>
      </c>
      <c r="CI324" s="104">
        <f>('Renewable Diesel'!$AE333*'RD Feedstock Breakdown'!CI$3*'Feedstock Conversion Rates'!$B$5)/12</f>
        <v>0.34604166666666664</v>
      </c>
      <c r="CJ324" s="104">
        <f>('Renewable Diesel'!$AE333*'RD Feedstock Breakdown'!CJ$3*'Feedstock Conversion Rates'!$B$4)/12</f>
        <v>0.34375</v>
      </c>
      <c r="CK324" s="106">
        <f t="shared" si="286"/>
        <v>0.68979166666666658</v>
      </c>
      <c r="CL324" s="104">
        <f>(((CL$3*'Renewable Diesel'!$AF333)*'Feedstock Conversion Rates'!$B$3)/12)</f>
        <v>91.78125</v>
      </c>
      <c r="CM324" s="104">
        <f>(((CM$3*'Renewable Diesel'!$AF333)*'Feedstock Conversion Rates'!$B$6)/12)</f>
        <v>53.739583333333336</v>
      </c>
      <c r="CN324" s="104">
        <f>(((CN$3*'Renewable Diesel'!$AF333)*'Feedstock Conversion Rates'!$B$4)/12)</f>
        <v>42.96875</v>
      </c>
      <c r="CO324" s="106">
        <f t="shared" si="280"/>
        <v>188.48958333333334</v>
      </c>
      <c r="CP324" s="104">
        <f>('Renewable Diesel'!$AG333*'RD Feedstock Breakdown'!CP$3*'Feedstock Conversion Rates'!$B$3)/12</f>
        <v>6.0075000000000003</v>
      </c>
      <c r="CQ324" s="104">
        <f>('Renewable Diesel'!$AG333*'RD Feedstock Breakdown'!CQ$3*'Feedstock Conversion Rates'!$B$6)/12</f>
        <v>3.5175000000000001</v>
      </c>
      <c r="CR324" s="104">
        <f>('Renewable Diesel'!$AG333*'RD Feedstock Breakdown'!CR$3*'Feedstock Conversion Rates'!$B$4)/12</f>
        <v>2.8125</v>
      </c>
      <c r="CS324" s="106">
        <f t="shared" si="317"/>
        <v>12.3375</v>
      </c>
      <c r="CT324" s="104">
        <f>('Renewable Diesel'!AI333*'Feedstock Conversion Rates'!$B$4*'RD Feedstock Breakdown'!$CT$3)/12</f>
        <v>29.375</v>
      </c>
      <c r="CU324" s="106">
        <f t="shared" si="282"/>
        <v>29.375</v>
      </c>
      <c r="CV324" s="104">
        <f>('Renewable Diesel'!AN333*'Feedstock Conversion Rates'!$B$3*'RD Feedstock Breakdown'!$CV$3)/12</f>
        <v>0.50062499999999999</v>
      </c>
      <c r="CW324" s="106">
        <f t="shared" si="255"/>
        <v>0.50062499999999999</v>
      </c>
      <c r="CX324" s="104">
        <f>('Renewable Diesel'!AO333*'RD Feedstock Breakdown'!$CX$3*'Feedstock Conversion Rates'!$B$3)/12</f>
        <v>6.3412499999999996</v>
      </c>
      <c r="CY324" s="104">
        <f>('Renewable Diesel'!AO333*'RD Feedstock Breakdown'!$CY$3*'Feedstock Conversion Rates'!$B$6)/12</f>
        <v>7.4258333333333342</v>
      </c>
      <c r="CZ324" s="106">
        <f t="shared" si="318"/>
        <v>13.767083333333334</v>
      </c>
      <c r="DA324" s="104">
        <f>('Renewable Diesel'!$AP333*'RD Feedstock Breakdown'!DA$3*'Feedstock Conversion Rates'!$B$3)/12</f>
        <v>6.3412499999999996</v>
      </c>
      <c r="DB324" s="104">
        <f>('Renewable Diesel'!$AP333*'RD Feedstock Breakdown'!DB$3*'Feedstock Conversion Rates'!$B$8)/12</f>
        <v>7.421875</v>
      </c>
      <c r="DC324" s="106">
        <f t="shared" si="260"/>
        <v>13.763124999999999</v>
      </c>
      <c r="DD324" s="104">
        <f>('Renewable Diesel'!AQ333*$DD$3*'Feedstock Conversion Rates'!$B$14)/12</f>
        <v>3.1041666666666665</v>
      </c>
      <c r="DE324" s="106">
        <f t="shared" si="261"/>
        <v>3.1041666666666665</v>
      </c>
      <c r="DF324" s="104">
        <f>('Renewable Diesel'!AR333*'Feedstock Conversion Rates'!$B$4*$DF$3)/12</f>
        <v>75</v>
      </c>
      <c r="DG324" s="106">
        <f t="shared" si="319"/>
        <v>75</v>
      </c>
      <c r="DH324" s="104">
        <f>('Renewable Diesel'!AS333*'Feedstock Conversion Rates'!$B$4*$DH$3)/12</f>
        <v>75</v>
      </c>
      <c r="DI324" s="106">
        <f t="shared" si="323"/>
        <v>75</v>
      </c>
      <c r="DJ324" s="104">
        <f>('Renewable Diesel'!AT333*'Feedstock Conversion Rates'!$B$4*0.25)/12</f>
        <v>8.59375</v>
      </c>
      <c r="DK324" s="104">
        <f>('Renewable Diesel'!$AT333*'RD Feedstock Breakdown'!DK$3*'Feedstock Conversion Rates'!$B$3)/12*0.5</f>
        <v>9.1781249999999996</v>
      </c>
      <c r="DL324" s="104">
        <f>('Renewable Diesel'!$AT333*'RD Feedstock Breakdown'!$DL$3*'Feedstock Conversion Rates'!$B$6)/12</f>
        <v>10.747916666666669</v>
      </c>
      <c r="DM324" s="104">
        <f>('Renewable Diesel'!$AT333*'RD Feedstock Breakdown'!$DM$3*'Feedstock Conversion Rates'!$B$8)/12</f>
        <v>10.7421875</v>
      </c>
      <c r="DN324" s="106">
        <f t="shared" si="297"/>
        <v>39.26197916666667</v>
      </c>
      <c r="DP324" s="104">
        <f t="shared" si="265"/>
        <v>103.22025000000001</v>
      </c>
      <c r="DQ324" s="104">
        <f t="shared" si="266"/>
        <v>389.11776750000001</v>
      </c>
      <c r="DR324" s="104">
        <f t="shared" si="271"/>
        <v>1984.453125</v>
      </c>
      <c r="DS324" s="104">
        <f t="shared" si="283"/>
        <v>253.90125</v>
      </c>
      <c r="DT324" s="104">
        <f t="shared" si="267"/>
        <v>225.53923333333341</v>
      </c>
      <c r="DU324" s="104">
        <f t="shared" si="268"/>
        <v>320.40610000000004</v>
      </c>
      <c r="DV324" s="104">
        <f t="shared" si="272"/>
        <v>78.75</v>
      </c>
      <c r="DW324" s="104">
        <f t="shared" si="269"/>
        <v>3</v>
      </c>
      <c r="DX324" s="106">
        <f t="shared" si="273"/>
        <v>3358.3877258333337</v>
      </c>
      <c r="DY324" s="109">
        <f t="shared" si="257"/>
        <v>-5.631051180898794E-13</v>
      </c>
      <c r="EA324" s="110">
        <f t="shared" si="313"/>
        <v>3.0735060519073164E-2</v>
      </c>
      <c r="EB324" s="110">
        <f t="shared" si="313"/>
        <v>0.11586445618140957</v>
      </c>
      <c r="EC324" s="110">
        <f t="shared" si="313"/>
        <v>0.59089458603460909</v>
      </c>
      <c r="ED324" s="110">
        <f t="shared" si="308"/>
        <v>7.5602125402896472E-2</v>
      </c>
      <c r="EE324" s="110">
        <f t="shared" si="308"/>
        <v>6.7156996673863573E-2</v>
      </c>
      <c r="EF324" s="110">
        <f t="shared" si="308"/>
        <v>9.5404737676766035E-2</v>
      </c>
      <c r="EG324" s="110">
        <f t="shared" si="308"/>
        <v>2.3448751731147827E-2</v>
      </c>
      <c r="EH324" s="111">
        <f t="shared" si="274"/>
        <v>8.9328578023420294E-4</v>
      </c>
      <c r="EI324" s="110">
        <f t="shared" si="321"/>
        <v>0.99910671421976571</v>
      </c>
      <c r="EK324" s="132">
        <f>(EA324*'Renewable Diesel'!BF333*'Feedstock Conversion Rates'!B$2)+FB324</f>
        <v>479.94474153204573</v>
      </c>
      <c r="EL324" s="132">
        <f>(EB324*'Renewable Diesel'!BF333*'Feedstock Conversion Rates'!B$3)+FC324</f>
        <v>1704.9866509606702</v>
      </c>
      <c r="EM324" s="132">
        <f>(EC324*'Renewable Diesel'!BF333*'Feedstock Conversion Rates'!B$4)+FD324</f>
        <v>8141.5953535159215</v>
      </c>
      <c r="EN324" s="132">
        <f>(ED324*'Renewable Diesel'!BF333*'Feedstock Conversion Rates'!B$5)+FE324</f>
        <v>1048.6225579991449</v>
      </c>
      <c r="EO324" s="132">
        <f>(EE324*'Renewable Diesel'!BF333*'Feedstock Conversion Rates'!B$6)+FF324</f>
        <v>1157.2637342057947</v>
      </c>
      <c r="EP324" s="132">
        <f>(EF324*'Renewable Diesel'!BF333*'Feedstock Conversion Rates'!B$7)+FG324</f>
        <v>1612.4862072841388</v>
      </c>
      <c r="EQ324" s="132">
        <f>(EG324*'Renewable Diesel'!BF333*'Feedstock Conversion Rates'!B$8)+FH324</f>
        <v>403.85851523286726</v>
      </c>
      <c r="ER324" s="132">
        <f>(EH324*'Renewable Diesel'!BF333*'Feedstock Conversion Rates'!B$9)+FI324</f>
        <v>15.179951810657613</v>
      </c>
      <c r="ES324" s="132">
        <f t="shared" si="275"/>
        <v>14563.937712541241</v>
      </c>
      <c r="ET324" s="133">
        <f>ES324/'Renewable Diesel'!BF333</f>
        <v>15.824775496638805</v>
      </c>
      <c r="EW324" s="73">
        <f t="shared" si="309"/>
        <v>13776.504621594737</v>
      </c>
      <c r="EX324" s="73">
        <f t="shared" si="310"/>
        <v>8055.4211430866653</v>
      </c>
      <c r="EY324" s="92">
        <f t="shared" si="258"/>
        <v>0.94593267930084368</v>
      </c>
      <c r="EZ324" s="92">
        <f t="shared" si="258"/>
        <v>0.55310736025395191</v>
      </c>
      <c r="FB324" s="102">
        <f>IF('Renewable Diesel'!$BG333&lt;1,0,(((('Renewable Diesel'!$BG333-1)*'Renewable Diesel'!$BF333)*'RD Feedstock Breakdown'!EA324)*'Feedstock Conversion Rates'!$B$2))</f>
        <v>239.5116427982683</v>
      </c>
      <c r="FC324" s="102">
        <f>IF('Renewable Diesel'!$BG333&lt;1,0,(((('Renewable Diesel'!$BG333-1)*'Renewable Diesel'!$BF333)*'RD Feedstock Breakdown'!EB324)*'Feedstock Conversion Rates'!$B$3))</f>
        <v>850.85660573581151</v>
      </c>
      <c r="FD324" s="102">
        <f>IF('Renewable Diesel'!$BG333&lt;1,0,(((('Renewable Diesel'!$BG333-1)*'Renewable Diesel'!$BF333)*'RD Feedstock Breakdown'!EC324)*'Feedstock Conversion Rates'!$B$4))</f>
        <v>4062.9820672577262</v>
      </c>
      <c r="FE324" s="102">
        <f>IF('Renewable Diesel'!$BG333&lt;1,0,(((('Renewable Diesel'!$BG333-1)*'Renewable Diesel'!$BF333)*'RD Feedstock Breakdown'!ED324)*'Feedstock Conversion Rates'!$B$5))</f>
        <v>523.3046428219443</v>
      </c>
      <c r="FF324" s="102">
        <f>IF('Renewable Diesel'!$BG333&lt;1,0,(((('Renewable Diesel'!$BG333-1)*'Renewable Diesel'!$BF333)*'RD Feedstock Breakdown'!EE324)*'Feedstock Conversion Rates'!$B$6))</f>
        <v>577.52093969339035</v>
      </c>
      <c r="FG324" s="102">
        <f>IF('Renewable Diesel'!$BG333&lt;1,0,(((('Renewable Diesel'!$BG333-1)*'Renewable Diesel'!$BF333)*'RD Feedstock Breakdown'!EF324)*'Feedstock Conversion Rates'!$B$7))</f>
        <v>804.69518066463922</v>
      </c>
      <c r="FH324" s="102">
        <f>IF('Renewable Diesel'!$BG333&lt;1,0,(((('Renewable Diesel'!$BG333-1)*'Renewable Diesel'!$BF333)*'RD Feedstock Breakdown'!EG324)*'Feedstock Conversion Rates'!$B$8))</f>
        <v>201.54156941635114</v>
      </c>
      <c r="FI324" s="102">
        <f>IF('Renewable Diesel'!$BG333&lt;1,0,(((('Renewable Diesel'!$BG333-1)*'Renewable Diesel'!$BF333)*'RD Feedstock Breakdown'!EH324)*'Feedstock Conversion Rates'!$B$9))</f>
        <v>7.5754037520304687</v>
      </c>
      <c r="FJ324" s="102">
        <f t="shared" si="311"/>
        <v>7267.988052140161</v>
      </c>
      <c r="GD324" s="91">
        <f>'Renewable Diesel'!BB333*0.32</f>
        <v>0</v>
      </c>
      <c r="GE324" s="91">
        <f>'Renewable Diesel'!BC333</f>
        <v>514.15532237966499</v>
      </c>
      <c r="GF324" s="91">
        <f>'Renewable Diesel'!BD333</f>
        <v>0</v>
      </c>
      <c r="GG324" s="91">
        <f t="shared" si="295"/>
        <v>514.15532237966499</v>
      </c>
      <c r="GH324" s="124">
        <v>1</v>
      </c>
      <c r="GI324" s="102">
        <f>$GG324*EA324*'Feedstock Conversion Rates'!$B$2</f>
        <v>134.32205707111191</v>
      </c>
      <c r="GJ324" s="102">
        <f>$GG324*EB324*'Feedstock Conversion Rates'!$B$3</f>
        <v>477.17433783058061</v>
      </c>
      <c r="GK324" s="102">
        <f>$GG324*EC324*'Feedstock Conversion Rates'!$B$4</f>
        <v>2278.5869728126736</v>
      </c>
      <c r="GL324" s="102">
        <f>$GG324*ED324*'Feedstock Conversion Rates'!$B$5</f>
        <v>293.47782545131139</v>
      </c>
      <c r="GM324" s="102">
        <f>$GG324*EE324*'Feedstock Conversion Rates'!$B$6</f>
        <v>323.88321383856595</v>
      </c>
      <c r="GN324" s="102">
        <f>$GG324*EF324*'Feedstock Conversion Rates'!$B$7</f>
        <v>451.28625364205408</v>
      </c>
      <c r="GO324" s="102">
        <f>$GG324*EG324*'Feedstock Conversion Rates'!$B$8</f>
        <v>113.02781724120973</v>
      </c>
      <c r="GP324" s="102">
        <f>$GG324*EH324*'Feedstock Conversion Rates'!B$9</f>
        <v>4.2484106543997564</v>
      </c>
      <c r="GQ324" s="102">
        <f t="shared" si="276"/>
        <v>4076.0068885419068</v>
      </c>
      <c r="GR324" s="85">
        <f t="shared" si="293"/>
        <v>7.9275789068504139</v>
      </c>
      <c r="GT324" s="103">
        <f t="shared" si="254"/>
        <v>3.2954325334607661E-2</v>
      </c>
      <c r="GU324" s="103">
        <f t="shared" si="254"/>
        <v>0.11706907050917136</v>
      </c>
      <c r="GV324" s="103">
        <f t="shared" si="254"/>
        <v>0.55902431843724953</v>
      </c>
      <c r="GW324" s="103">
        <f t="shared" ref="GW324:HA374" si="331">(GL324+FE324+EN324)/SUM($ES324,$FJ324,$GQ324)</f>
        <v>7.200130752386831E-2</v>
      </c>
      <c r="GX324" s="103">
        <f t="shared" si="331"/>
        <v>7.9460909339735528E-2</v>
      </c>
      <c r="GY324" s="103">
        <f t="shared" si="331"/>
        <v>0.1107177357601304</v>
      </c>
      <c r="GZ324" s="103">
        <f t="shared" si="331"/>
        <v>2.7730035873821283E-2</v>
      </c>
      <c r="HA324" s="103">
        <f t="shared" si="331"/>
        <v>1.0422972214160127E-3</v>
      </c>
    </row>
    <row r="325" spans="1:209" x14ac:dyDescent="0.25">
      <c r="A325" s="96">
        <v>50314</v>
      </c>
      <c r="B325" s="104">
        <f>115.75+145+100+235+31.5-21-287-20-28-32-70-39-47+40+20-3-10-2.5-125-1</f>
        <v>1.75</v>
      </c>
      <c r="C325" s="104">
        <f t="shared" si="314"/>
        <v>49</v>
      </c>
      <c r="D325" s="104">
        <f>1+1</f>
        <v>2</v>
      </c>
      <c r="E325" s="104">
        <f>('Renewable Diesel'!B334*E$3*'Feedstock Conversion Rates'!$B$2)/12+26+13-100+27.5+39</f>
        <v>95.43</v>
      </c>
      <c r="F325" s="104">
        <f>('Renewable Diesel'!B334*'RD Feedstock Breakdown'!F$3*'Feedstock Conversion Rates'!B$8)/12+77+23-10-12-115.75+24+8</f>
        <v>48.15625</v>
      </c>
      <c r="G325" s="104">
        <f>('Renewable Diesel'!B334*'RD Feedstock Breakdown'!G$3*'Feedstock Conversion Rates'!B$7)/12+116.75-39-57.5-145-31.5+32+70-40+10+2.5</f>
        <v>94.407000000000039</v>
      </c>
      <c r="H325" s="104">
        <f>('Renewable Diesel'!B334*'RD Feedstock Breakdown'!H$3*'Feedstock Conversion Rates'!B$3)/12+67+10+12+3-235+20+47-20+125</f>
        <v>205.40022499999998</v>
      </c>
      <c r="I325" s="106">
        <f t="shared" si="291"/>
        <v>496.14347500000002</v>
      </c>
      <c r="J325" s="104">
        <f t="shared" ref="J325:J388" si="332">54-15-35</f>
        <v>4</v>
      </c>
      <c r="K325" s="104"/>
      <c r="L325" s="104">
        <v>1</v>
      </c>
      <c r="M325" s="104">
        <f>('Renewable Diesel'!C334*'RD Feedstock Breakdown'!M$3*'Feedstock Conversion Rates'!B$2)/12</f>
        <v>7.7902500000000003</v>
      </c>
      <c r="N325" s="104">
        <f>('Renewable Diesel'!C334*'RD Feedstock Breakdown'!N$3*'Feedstock Conversion Rates'!B$8)/12</f>
        <v>3.671875</v>
      </c>
      <c r="O325" s="104">
        <f>('Renewable Diesel'!C334*'RD Feedstock Breakdown'!O$3*'Feedstock Conversion Rates'!B$7)/12</f>
        <v>11.9991</v>
      </c>
      <c r="P325" s="104">
        <f>('Renewable Diesel'!C334*'RD Feedstock Breakdown'!P$3*'Feedstock Conversion Rates'!B$3)/12</f>
        <v>10.4470425</v>
      </c>
      <c r="Q325" s="106">
        <f t="shared" si="299"/>
        <v>38.908267500000001</v>
      </c>
      <c r="R325" s="104">
        <f>('Renewable Diesel'!D334*'RD Feedstock Breakdown'!R$3*'Feedstock Conversion Rates'!B$7)/12</f>
        <v>2.2999999999999998</v>
      </c>
      <c r="S325" s="106">
        <f t="shared" si="329"/>
        <v>2.2999999999999998</v>
      </c>
      <c r="T325" s="104">
        <f t="shared" si="300"/>
        <v>0.82499999999999929</v>
      </c>
      <c r="U325" s="104"/>
      <c r="V325" s="104">
        <f>('Renewable Diesel'!E334*'RD Feedstock Breakdown'!V$3*'Feedstock Conversion Rates'!B$6)/12-20+25</f>
        <v>49.250150000000012</v>
      </c>
      <c r="W325" s="104">
        <f>('Renewable Diesel'!E334*'RD Feedstock Breakdown'!W$3*'Feedstock Conversion Rates'!B$8)/12-6</f>
        <v>16.1796875</v>
      </c>
      <c r="X325" s="106">
        <f t="shared" si="277"/>
        <v>66.254837500000008</v>
      </c>
      <c r="Y325" s="104">
        <f t="shared" si="301"/>
        <v>98</v>
      </c>
      <c r="Z325" s="104">
        <f>('Renewable Diesel'!F334*'RD Feedstock Breakdown'!Z$3*'Feedstock Conversion Rates'!B$6)/12-142+15+5+20+2.5</f>
        <v>59.960000000000008</v>
      </c>
      <c r="AA325" s="104">
        <f>('Renewable Diesel'!F334*'RD Feedstock Breakdown'!AA$3*'Feedstock Conversion Rates'!B$7)/12+24</f>
        <v>128.26666666666665</v>
      </c>
      <c r="AB325" s="106">
        <f t="shared" si="320"/>
        <v>286.22666666666669</v>
      </c>
      <c r="AC325" s="104">
        <f>('Renewable Diesel'!G334*'RD Feedstock Breakdown'!AC$3*'Feedstock Conversion Rates'!B$5)/12</f>
        <v>11.796875</v>
      </c>
      <c r="AD325" s="104">
        <f>('Renewable Diesel'!G334*'RD Feedstock Breakdown'!AD$3*'Feedstock Conversion Rates'!B$4)/12</f>
        <v>5.859375</v>
      </c>
      <c r="AE325" s="104">
        <f>('Renewable Diesel'!G334*'RD Feedstock Breakdown'!AE$3*'Feedstock Conversion Rates'!B$6)/12</f>
        <v>7.3281250000000009</v>
      </c>
      <c r="AF325" s="106">
        <f t="shared" si="284"/>
        <v>24.984375</v>
      </c>
      <c r="AG325" s="104">
        <f t="shared" si="306"/>
        <v>148</v>
      </c>
      <c r="AH325" s="104"/>
      <c r="AI325" s="104">
        <f>('Renewable Diesel'!H334*'RD Feedstock Breakdown'!AI$3*'Feedstock Conversion Rates'!B$6)/12-130-20+51-49</f>
        <v>0.51666666666667993</v>
      </c>
      <c r="AJ325" s="106">
        <f t="shared" si="328"/>
        <v>148.51666666666668</v>
      </c>
      <c r="AK325" s="104">
        <f>('Renewable Diesel'!J334*'RD Feedstock Breakdown'!AK$3*'Feedstock Conversion Rates'!B$4)/12</f>
        <v>95.8125</v>
      </c>
      <c r="AL325" s="106">
        <f t="shared" si="330"/>
        <v>95.8125</v>
      </c>
      <c r="AM325" s="104">
        <f>('Renewable Diesel'!K334*'RD Feedstock Breakdown'!AM$3*'Feedstock Conversion Rates'!B$4)/12+5+15-10+10</f>
        <v>78.59375</v>
      </c>
      <c r="AN325" s="104">
        <f>('Renewable Diesel'!K334*'RD Feedstock Breakdown'!AN$3*'Feedstock Conversion Rates'!B$6)/12-5-15+10-10</f>
        <v>4.4270833333333321</v>
      </c>
      <c r="AO325" s="106">
        <f t="shared" si="270"/>
        <v>83.020833333333329</v>
      </c>
      <c r="AP325" s="104">
        <f>('Renewable Diesel'!L334*'RD Feedstock Breakdown'!AP$3*'Feedstock Conversion Rates'!B$4)/12+15-10+15</f>
        <v>78.59375</v>
      </c>
      <c r="AQ325" s="104">
        <f>('Renewable Diesel'!L334*'RD Feedstock Breakdown'!AQ$3*'Feedstock Conversion Rates'!B$6)/12-15+10-15</f>
        <v>4.4270833333333321</v>
      </c>
      <c r="AR325" s="106">
        <f t="shared" si="256"/>
        <v>83.020833333333329</v>
      </c>
      <c r="AS325" s="104">
        <f>('Renewable Diesel'!M334*'RD Feedstock Breakdown'!AS$3*'Feedstock Conversion Rates'!B$4)/12-25</f>
        <v>431.25</v>
      </c>
      <c r="AT325" s="104">
        <f>('Renewable Diesel'!M334*'RD Feedstock Breakdown'!AT$3*'Feedstock Conversion Rates'!B$5)/12+25</f>
        <v>25</v>
      </c>
      <c r="AU325" s="106">
        <f t="shared" si="290"/>
        <v>456.25</v>
      </c>
      <c r="AV325" s="104">
        <f>'Renewable Diesel'!N334*'RD Feedstock Breakdown'!$AV$3*'Feedstock Conversion Rates'!$B$4/12-15-10+25+25-22+25</f>
        <v>106.74999999999999</v>
      </c>
      <c r="AW325" s="104">
        <f>'Renewable Diesel'!N334*'RD Feedstock Breakdown'!$AW$3*'Feedstock Conversion Rates'!$B$7/12+15+10-25-25+22-25</f>
        <v>13.400000000000006</v>
      </c>
      <c r="AX325" s="106">
        <f t="shared" si="322"/>
        <v>120.14999999999999</v>
      </c>
      <c r="AY325" s="104">
        <f>('Renewable Diesel'!O334*'RD Feedstock Breakdown'!AY$3*'Feedstock Conversion Rates'!B$4)/12</f>
        <v>210.9375</v>
      </c>
      <c r="AZ325" s="104">
        <f>('Renewable Diesel'!O334*'RD Feedstock Breakdown'!AZ$3*'Feedstock Conversion Rates'!B$3)/12</f>
        <v>25.03125</v>
      </c>
      <c r="BA325" s="106">
        <f t="shared" si="302"/>
        <v>235.96875</v>
      </c>
      <c r="BB325" s="104">
        <f>('Renewable Diesel'!Q334*'RD Feedstock Breakdown'!BB$3*'Feedstock Conversion Rates'!B$4)/12</f>
        <v>11.156249999999998</v>
      </c>
      <c r="BC325" s="104">
        <f>('Renewable Diesel'!Q334*'RD Feedstock Breakdown'!BC$3*'Feedstock Conversion Rates'!B$3)/12</f>
        <v>1.4017500000000001</v>
      </c>
      <c r="BD325" s="104">
        <f>('Renewable Diesel'!Q334*'RD Feedstock Breakdown'!BD$3*'Feedstock Conversion Rates'!B$6)/12</f>
        <v>0.8207500000000002</v>
      </c>
      <c r="BE325" s="106">
        <f t="shared" si="279"/>
        <v>13.378749999999998</v>
      </c>
      <c r="BF325" s="104">
        <f>('Renewable Diesel'!R334*'RD Feedstock Breakdown'!BF$3*'Feedstock Conversion Rates'!B$4)/12</f>
        <v>62.5</v>
      </c>
      <c r="BG325" s="106">
        <f t="shared" si="262"/>
        <v>62.5</v>
      </c>
      <c r="BH325" s="104">
        <f>('Renewable Diesel'!T334*'RD Feedstock Breakdown'!BH$3*'Feedstock Conversion Rates'!B$7)/12</f>
        <v>27.599999999999998</v>
      </c>
      <c r="BI325" s="106">
        <f t="shared" si="327"/>
        <v>27.599999999999998</v>
      </c>
      <c r="BJ325" s="104">
        <f>('Renewable Diesel'!W334*'RD Feedstock Breakdown'!BJ$3*'Feedstock Conversion Rates'!B$4)/12</f>
        <v>7.5</v>
      </c>
      <c r="BK325" s="104">
        <f>('Renewable Diesel'!W334*'RD Feedstock Breakdown'!BK$3*'Feedstock Conversion Rates'!B$3)/12</f>
        <v>1.335</v>
      </c>
      <c r="BL325" s="104">
        <f>('Renewable Diesel'!W334*'RD Feedstock Breakdown'!BL$3*'Feedstock Conversion Rates'!B$6)/12</f>
        <v>3.1266666666666669</v>
      </c>
      <c r="BM325" s="104">
        <f>('Renewable Diesel'!W334*'RD Feedstock Breakdown'!BM$3*'Feedstock Conversion Rates'!B$7)/12</f>
        <v>1.5333333333333332</v>
      </c>
      <c r="BN325" s="106">
        <f t="shared" si="296"/>
        <v>13.495000000000001</v>
      </c>
      <c r="BO325" s="104">
        <f>('Renewable Diesel'!P334*'Feedstock Conversion Rates'!B$4)/12</f>
        <v>31.25</v>
      </c>
      <c r="BP325" s="106">
        <f t="shared" si="285"/>
        <v>31.25</v>
      </c>
      <c r="BQ325" s="104">
        <f>('Renewable Diesel'!$S334*'RD Feedstock Breakdown'!BQ$3*'Feedstock Conversion Rates'!B$4)/12+10+15-15</f>
        <v>38.125</v>
      </c>
      <c r="BR325" s="104">
        <f>('Renewable Diesel'!$S334*'RD Feedstock Breakdown'!BR$3*'Feedstock Conversion Rates'!B$7)/12-10-15+15</f>
        <v>1.5</v>
      </c>
      <c r="BS325" s="106">
        <f t="shared" si="307"/>
        <v>39.625</v>
      </c>
      <c r="BT325" s="106"/>
      <c r="BU325" s="104">
        <f>('Renewable Diesel'!Y334*'Feedstock Conversion Rates'!B$7)/12</f>
        <v>2.6833333333333331</v>
      </c>
      <c r="BV325" s="106">
        <f t="shared" si="281"/>
        <v>2.6833333333333331</v>
      </c>
      <c r="BW325" s="104">
        <f>('Renewable Diesel'!$Z334*'RD Feedstock Breakdown'!BW$3*'Feedstock Conversion Rates'!$B$4)/12-50</f>
        <v>21.875</v>
      </c>
      <c r="BX325" s="104">
        <f>('Renewable Diesel'!$Z334*'RD Feedstock Breakdown'!BX$3*'Feedstock Conversion Rates'!$B$5)/12</f>
        <v>7.2354166666666666</v>
      </c>
      <c r="BY325" s="104">
        <f>('Renewable Diesel'!$Z334*'RD Feedstock Breakdown'!BY$3*'Feedstock Conversion Rates'!$B$7)/12</f>
        <v>61.716666666666661</v>
      </c>
      <c r="BZ325" s="104">
        <f>('Renewable Diesel'!$Z334*'RD Feedstock Breakdown'!BZ$3*'Feedstock Conversion Rates'!$B$3)/12+50</f>
        <v>65.352499999999992</v>
      </c>
      <c r="CA325" s="106">
        <f t="shared" si="312"/>
        <v>156.17958333333331</v>
      </c>
      <c r="CB325" s="104">
        <f>('Renewable Diesel'!AA334*'Feedstock Conversion Rates'!B$4)/12</f>
        <v>191.25</v>
      </c>
      <c r="CC325" s="106">
        <f t="shared" si="298"/>
        <v>191.25</v>
      </c>
      <c r="CD325" s="104">
        <f>('Renewable Diesel'!$AB334*'RD Feedstock Breakdown'!CD$3*'Feedstock Conversion Rates'!$B$6)/12-15-5</f>
        <v>12.830000000000005</v>
      </c>
      <c r="CE325" s="104">
        <f>('Renewable Diesel'!$AB334*'RD Feedstock Breakdown'!CE$3*'Feedstock Conversion Rates'!$B$4)/12+15+5</f>
        <v>31.25</v>
      </c>
      <c r="CF325" s="106">
        <f t="shared" si="294"/>
        <v>44.080000000000005</v>
      </c>
      <c r="CG325" s="104">
        <f>('Renewable Diesel'!AD334*'Feedstock Conversion Rates'!B$4)/12</f>
        <v>112.5</v>
      </c>
      <c r="CH325" s="106">
        <f t="shared" si="278"/>
        <v>112.5</v>
      </c>
      <c r="CI325" s="104">
        <f>('Renewable Diesel'!$AE334*'RD Feedstock Breakdown'!CI$3*'Feedstock Conversion Rates'!$B$5)/12</f>
        <v>0.34604166666666664</v>
      </c>
      <c r="CJ325" s="104">
        <f>('Renewable Diesel'!$AE334*'RD Feedstock Breakdown'!CJ$3*'Feedstock Conversion Rates'!$B$4)/12</f>
        <v>0.34375</v>
      </c>
      <c r="CK325" s="106">
        <f t="shared" si="286"/>
        <v>0.68979166666666658</v>
      </c>
      <c r="CL325" s="104">
        <f>(((CL$3*'Renewable Diesel'!$AF334)*'Feedstock Conversion Rates'!$B$3)/12)</f>
        <v>91.78125</v>
      </c>
      <c r="CM325" s="104">
        <f>(((CM$3*'Renewable Diesel'!$AF334)*'Feedstock Conversion Rates'!$B$6)/12)</f>
        <v>53.739583333333336</v>
      </c>
      <c r="CN325" s="104">
        <f>(((CN$3*'Renewable Diesel'!$AF334)*'Feedstock Conversion Rates'!$B$4)/12)</f>
        <v>42.96875</v>
      </c>
      <c r="CO325" s="106">
        <f t="shared" si="280"/>
        <v>188.48958333333334</v>
      </c>
      <c r="CP325" s="104">
        <f>('Renewable Diesel'!$AG334*'RD Feedstock Breakdown'!CP$3*'Feedstock Conversion Rates'!$B$3)/12</f>
        <v>6.0075000000000003</v>
      </c>
      <c r="CQ325" s="104">
        <f>('Renewable Diesel'!$AG334*'RD Feedstock Breakdown'!CQ$3*'Feedstock Conversion Rates'!$B$6)/12</f>
        <v>3.5175000000000001</v>
      </c>
      <c r="CR325" s="104">
        <f>('Renewable Diesel'!$AG334*'RD Feedstock Breakdown'!CR$3*'Feedstock Conversion Rates'!$B$4)/12</f>
        <v>2.8125</v>
      </c>
      <c r="CS325" s="106">
        <f t="shared" si="317"/>
        <v>12.3375</v>
      </c>
      <c r="CT325" s="104">
        <f>('Renewable Diesel'!AI334*'Feedstock Conversion Rates'!$B$4*'RD Feedstock Breakdown'!$CT$3)/12</f>
        <v>29.375</v>
      </c>
      <c r="CU325" s="106">
        <f t="shared" si="282"/>
        <v>29.375</v>
      </c>
      <c r="CV325" s="104">
        <f>('Renewable Diesel'!AN334*'Feedstock Conversion Rates'!$B$3*'RD Feedstock Breakdown'!$CV$3)/12</f>
        <v>0.50062499999999999</v>
      </c>
      <c r="CW325" s="106">
        <f t="shared" si="255"/>
        <v>0.50062499999999999</v>
      </c>
      <c r="CX325" s="104">
        <f>('Renewable Diesel'!AO334*'RD Feedstock Breakdown'!$CX$3*'Feedstock Conversion Rates'!$B$3)/12</f>
        <v>6.3412499999999996</v>
      </c>
      <c r="CY325" s="104">
        <f>('Renewable Diesel'!AO334*'RD Feedstock Breakdown'!$CY$3*'Feedstock Conversion Rates'!$B$6)/12</f>
        <v>7.4258333333333342</v>
      </c>
      <c r="CZ325" s="106">
        <f t="shared" si="318"/>
        <v>13.767083333333334</v>
      </c>
      <c r="DA325" s="104">
        <f>('Renewable Diesel'!$AP334*'RD Feedstock Breakdown'!DA$3*'Feedstock Conversion Rates'!$B$3)/12</f>
        <v>6.3412499999999996</v>
      </c>
      <c r="DB325" s="104">
        <f>('Renewable Diesel'!$AP334*'RD Feedstock Breakdown'!DB$3*'Feedstock Conversion Rates'!$B$8)/12</f>
        <v>7.421875</v>
      </c>
      <c r="DC325" s="106">
        <f t="shared" si="260"/>
        <v>13.763124999999999</v>
      </c>
      <c r="DD325" s="104">
        <f>('Renewable Diesel'!AQ334*$DD$3*'Feedstock Conversion Rates'!$B$14)/12</f>
        <v>3.1041666666666665</v>
      </c>
      <c r="DE325" s="106">
        <f t="shared" si="261"/>
        <v>3.1041666666666665</v>
      </c>
      <c r="DF325" s="104">
        <f>('Renewable Diesel'!AR334*'Feedstock Conversion Rates'!$B$4*$DF$3)/12</f>
        <v>75</v>
      </c>
      <c r="DG325" s="106">
        <f t="shared" si="319"/>
        <v>75</v>
      </c>
      <c r="DH325" s="104">
        <f>('Renewable Diesel'!AS334*'Feedstock Conversion Rates'!$B$4*$DH$3)/12</f>
        <v>75</v>
      </c>
      <c r="DI325" s="106">
        <f t="shared" si="323"/>
        <v>75</v>
      </c>
      <c r="DJ325" s="104">
        <f>('Renewable Diesel'!AT334*'Feedstock Conversion Rates'!$B$4*0.25)/12</f>
        <v>8.59375</v>
      </c>
      <c r="DK325" s="104">
        <f>('Renewable Diesel'!$AT334*'RD Feedstock Breakdown'!DK$3*'Feedstock Conversion Rates'!$B$3)/12*0.5</f>
        <v>9.1781249999999996</v>
      </c>
      <c r="DL325" s="104">
        <f>('Renewable Diesel'!$AT334*'RD Feedstock Breakdown'!$DL$3*'Feedstock Conversion Rates'!$B$6)/12</f>
        <v>10.747916666666669</v>
      </c>
      <c r="DM325" s="104">
        <f>('Renewable Diesel'!$AT334*'RD Feedstock Breakdown'!$DM$3*'Feedstock Conversion Rates'!$B$8)/12</f>
        <v>10.7421875</v>
      </c>
      <c r="DN325" s="106">
        <f t="shared" si="297"/>
        <v>39.26197916666667</v>
      </c>
      <c r="DP325" s="104">
        <f t="shared" si="265"/>
        <v>103.22025000000001</v>
      </c>
      <c r="DQ325" s="104">
        <f t="shared" si="266"/>
        <v>429.11776750000001</v>
      </c>
      <c r="DR325" s="104">
        <f t="shared" si="271"/>
        <v>1844.453125</v>
      </c>
      <c r="DS325" s="104">
        <f t="shared" si="283"/>
        <v>253.90125</v>
      </c>
      <c r="DT325" s="104">
        <f t="shared" si="267"/>
        <v>225.53923333333341</v>
      </c>
      <c r="DU325" s="104">
        <f t="shared" si="268"/>
        <v>345.40610000000004</v>
      </c>
      <c r="DV325" s="104">
        <f t="shared" si="272"/>
        <v>78.75</v>
      </c>
      <c r="DW325" s="104">
        <f t="shared" si="269"/>
        <v>3</v>
      </c>
      <c r="DX325" s="106">
        <f t="shared" si="273"/>
        <v>3283.3877258333337</v>
      </c>
      <c r="DY325" s="109">
        <f t="shared" si="257"/>
        <v>-5.631051180898794E-13</v>
      </c>
      <c r="EA325" s="110">
        <f t="shared" si="313"/>
        <v>3.1437118798938797E-2</v>
      </c>
      <c r="EB325" s="110">
        <f t="shared" si="313"/>
        <v>0.13069360164921998</v>
      </c>
      <c r="EC325" s="110">
        <f t="shared" si="313"/>
        <v>0.56175306695826555</v>
      </c>
      <c r="ED325" s="110">
        <f t="shared" si="308"/>
        <v>7.7329048897372937E-2</v>
      </c>
      <c r="EE325" s="110">
        <f t="shared" si="308"/>
        <v>6.869101433218365E-2</v>
      </c>
      <c r="EF325" s="110">
        <f t="shared" si="308"/>
        <v>0.10519808467406479</v>
      </c>
      <c r="EG325" s="110">
        <f t="shared" si="308"/>
        <v>2.3984374242616447E-2</v>
      </c>
      <c r="EH325" s="111">
        <f t="shared" si="274"/>
        <v>9.1369044733776935E-4</v>
      </c>
      <c r="EI325" s="110">
        <f t="shared" si="321"/>
        <v>0.99908630955266209</v>
      </c>
      <c r="EK325" s="132">
        <f>(EA325*'Renewable Diesel'!BF334*'Feedstock Conversion Rates'!B$2)+FB325</f>
        <v>538.58196692258196</v>
      </c>
      <c r="EL325" s="132">
        <f>(EB325*'Renewable Diesel'!BF334*'Feedstock Conversion Rates'!B$3)+FC325</f>
        <v>2109.9734402950553</v>
      </c>
      <c r="EM325" s="132">
        <f>(EC325*'Renewable Diesel'!BF334*'Feedstock Conversion Rates'!B$4)+FD325</f>
        <v>8491.743386185788</v>
      </c>
      <c r="EN325" s="132">
        <f>(ED325*'Renewable Diesel'!BF334*'Feedstock Conversion Rates'!B$5)+FE325</f>
        <v>1176.7379678830366</v>
      </c>
      <c r="EO325" s="132">
        <f>(EE325*'Renewable Diesel'!BF334*'Feedstock Conversion Rates'!B$6)+FF325</f>
        <v>1298.6523744944761</v>
      </c>
      <c r="EP325" s="132">
        <f>(EF325*'Renewable Diesel'!BF334*'Feedstock Conversion Rates'!B$7)+FG325</f>
        <v>1950.6789891125545</v>
      </c>
      <c r="EQ325" s="132">
        <f>(EG325*'Renewable Diesel'!BF334*'Feedstock Conversion Rates'!B$8)+FH325</f>
        <v>453.1999096359055</v>
      </c>
      <c r="ER325" s="132">
        <f>(EH325*'Renewable Diesel'!BF334*'Feedstock Conversion Rates'!B$9)+FI325</f>
        <v>17.034561682822606</v>
      </c>
      <c r="ES325" s="132">
        <f t="shared" si="275"/>
        <v>16036.602596212218</v>
      </c>
      <c r="ET325" s="133">
        <f>ES325/'Renewable Diesel'!BF334</f>
        <v>16.910847685098236</v>
      </c>
      <c r="EW325" s="73">
        <f t="shared" si="309"/>
        <v>14787.971399054517</v>
      </c>
      <c r="EX325" s="73">
        <f t="shared" si="310"/>
        <v>9740.0606512932318</v>
      </c>
      <c r="EY325" s="92">
        <f t="shared" si="258"/>
        <v>0.9221386706026734</v>
      </c>
      <c r="EZ325" s="92">
        <f t="shared" si="258"/>
        <v>0.60736434621094837</v>
      </c>
      <c r="FB325" s="102">
        <f>IF('Renewable Diesel'!$BG334&lt;1,0,(((('Renewable Diesel'!$BG334-1)*'Renewable Diesel'!$BF334)*'RD Feedstock Breakdown'!EA325)*'Feedstock Conversion Rates'!$B$2))</f>
        <v>285.18077628692134</v>
      </c>
      <c r="FC325" s="102">
        <f>IF('Renewable Diesel'!$BG334&lt;1,0,(((('Renewable Diesel'!$BG334-1)*'Renewable Diesel'!$BF334)*'RD Feedstock Breakdown'!EB325)*'Feedstock Conversion Rates'!$B$3))</f>
        <v>1117.2373020328478</v>
      </c>
      <c r="FD325" s="102">
        <f>IF('Renewable Diesel'!$BG334&lt;1,0,(((('Renewable Diesel'!$BG334-1)*'Renewable Diesel'!$BF334)*'RD Feedstock Breakdown'!EC325)*'Feedstock Conversion Rates'!$B$4))</f>
        <v>4496.4037409924931</v>
      </c>
      <c r="FE325" s="102">
        <f>IF('Renewable Diesel'!$BG334&lt;1,0,(((('Renewable Diesel'!$BG334-1)*'Renewable Diesel'!$BF334)*'RD Feedstock Breakdown'!ED325)*'Feedstock Conversion Rates'!$B$5))</f>
        <v>623.0863039931985</v>
      </c>
      <c r="FF325" s="102">
        <f>IF('Renewable Diesel'!$BG334&lt;1,0,(((('Renewable Diesel'!$BG334-1)*'Renewable Diesel'!$BF334)*'RD Feedstock Breakdown'!EE325)*'Feedstock Conversion Rates'!$B$6))</f>
        <v>687.6403500869983</v>
      </c>
      <c r="FG325" s="102">
        <f>IF('Renewable Diesel'!$BG334&lt;1,0,(((('Renewable Diesel'!$BG334-1)*'Renewable Diesel'!$BF334)*'RD Feedstock Breakdown'!EF325)*'Feedstock Conversion Rates'!$B$7))</f>
        <v>1032.8904095700436</v>
      </c>
      <c r="FH325" s="102">
        <f>IF('Renewable Diesel'!$BG334&lt;1,0,(((('Renewable Diesel'!$BG334-1)*'Renewable Diesel'!$BF334)*'RD Feedstock Breakdown'!EG325)*'Feedstock Conversion Rates'!$B$8))</f>
        <v>239.97071937187269</v>
      </c>
      <c r="FI325" s="102">
        <f>IF('Renewable Diesel'!$BG334&lt;1,0,(((('Renewable Diesel'!$BG334-1)*'Renewable Diesel'!$BF334)*'RD Feedstock Breakdown'!EH325)*'Feedstock Conversion Rates'!$B$9))</f>
        <v>9.0198518011522939</v>
      </c>
      <c r="FJ325" s="102">
        <f t="shared" si="311"/>
        <v>8491.4294541355284</v>
      </c>
      <c r="GD325" s="91">
        <f>'Renewable Diesel'!BB334*0.32</f>
        <v>0</v>
      </c>
      <c r="GE325" s="91">
        <f>'Renewable Diesel'!BC334</f>
        <v>501.97597849151566</v>
      </c>
      <c r="GF325" s="91">
        <f>'Renewable Diesel'!BD334</f>
        <v>0</v>
      </c>
      <c r="GG325" s="91">
        <f t="shared" si="295"/>
        <v>501.97597849151566</v>
      </c>
      <c r="GH325" s="124">
        <v>1</v>
      </c>
      <c r="GI325" s="102">
        <f>$GG325*EA325*'Feedstock Conversion Rates'!$B$2</f>
        <v>134.13576699543626</v>
      </c>
      <c r="GJ325" s="102">
        <f>$GG325*EB325*'Feedstock Conversion Rates'!$B$3</f>
        <v>525.49643904928496</v>
      </c>
      <c r="GK325" s="102">
        <f>$GG325*EC325*'Feedstock Conversion Rates'!$B$4</f>
        <v>2114.8990909273894</v>
      </c>
      <c r="GL325" s="102">
        <f>$GG325*ED325*'Feedstock Conversion Rates'!$B$5</f>
        <v>293.07080364488166</v>
      </c>
      <c r="GM325" s="102">
        <f>$GG325*EE325*'Feedstock Conversion Rates'!$B$6</f>
        <v>323.43402306728314</v>
      </c>
      <c r="GN325" s="102">
        <f>$GG325*EF325*'Feedstock Conversion Rates'!$B$7</f>
        <v>485.82358570521222</v>
      </c>
      <c r="GO325" s="102">
        <f>$GG325*EG325*'Feedstock Conversion Rates'!$B$8</f>
        <v>112.87105995885091</v>
      </c>
      <c r="GP325" s="102">
        <f>$GG325*EH325*'Feedstock Conversion Rates'!B$9</f>
        <v>4.242518571151729</v>
      </c>
      <c r="GQ325" s="102">
        <f t="shared" si="276"/>
        <v>3993.9732879194908</v>
      </c>
      <c r="GR325" s="85">
        <f t="shared" si="293"/>
        <v>7.956502818963072</v>
      </c>
      <c r="GT325" s="103">
        <f t="shared" ref="GT325:GT356" si="333">(GI325+FB325+EK325)/SUM($ES325,$FJ325,$GQ325)</f>
        <v>3.3584542841374194E-2</v>
      </c>
      <c r="GU325" s="103">
        <f t="shared" ref="GU325:GU356" si="334">(GJ325+FC325+EL325)/SUM($ES325,$FJ325,$GQ325)</f>
        <v>0.13157234692549044</v>
      </c>
      <c r="GV325" s="103">
        <f t="shared" ref="GV325:GV356" si="335">(GK325+FD325+EM325)/SUM($ES325,$FJ325,$GQ325)</f>
        <v>0.52952259278355518</v>
      </c>
      <c r="GW325" s="103">
        <f t="shared" si="331"/>
        <v>7.3378258320186671E-2</v>
      </c>
      <c r="GX325" s="103">
        <f t="shared" si="331"/>
        <v>8.0980517332343974E-2</v>
      </c>
      <c r="GY325" s="103">
        <f t="shared" si="331"/>
        <v>0.12163916748634133</v>
      </c>
      <c r="GZ325" s="103">
        <f t="shared" si="331"/>
        <v>2.82603442292041E-2</v>
      </c>
      <c r="HA325" s="103">
        <f t="shared" si="331"/>
        <v>1.0622300815040524E-3</v>
      </c>
    </row>
    <row r="326" spans="1:209" x14ac:dyDescent="0.25">
      <c r="A326" s="96">
        <v>50345</v>
      </c>
      <c r="B326" s="104">
        <f t="shared" ref="B326:B336" si="336">115.75+145+100+235+31.5-21-287-20-28-32-70-39-47+40+20-3-10-2.5-125-1</f>
        <v>1.75</v>
      </c>
      <c r="C326" s="104">
        <f t="shared" si="314"/>
        <v>49</v>
      </c>
      <c r="D326" s="104">
        <f t="shared" ref="D326:D336" si="337">1+1</f>
        <v>2</v>
      </c>
      <c r="E326" s="104">
        <f>('Renewable Diesel'!B335*E$3*'Feedstock Conversion Rates'!$B$2)/12+26+13-100+27.5+39</f>
        <v>95.43</v>
      </c>
      <c r="F326" s="104">
        <f>('Renewable Diesel'!B335*'RD Feedstock Breakdown'!F$3*'Feedstock Conversion Rates'!B$8)/12+77+23-10-12-115.75+24+8</f>
        <v>48.15625</v>
      </c>
      <c r="G326" s="104">
        <f>('Renewable Diesel'!B335*'RD Feedstock Breakdown'!G$3*'Feedstock Conversion Rates'!B$7)/12+116.75-39-57.5-145-31.5+32+70-40+10+2.5</f>
        <v>94.407000000000039</v>
      </c>
      <c r="H326" s="104">
        <f>('Renewable Diesel'!B335*'RD Feedstock Breakdown'!H$3*'Feedstock Conversion Rates'!B$3)/12+67+10+12+3-235+20+47-20+125</f>
        <v>205.40022499999998</v>
      </c>
      <c r="I326" s="106">
        <f t="shared" si="291"/>
        <v>496.14347500000002</v>
      </c>
      <c r="J326" s="104">
        <f t="shared" si="332"/>
        <v>4</v>
      </c>
      <c r="K326" s="104"/>
      <c r="L326" s="104">
        <v>1</v>
      </c>
      <c r="M326" s="104">
        <f>('Renewable Diesel'!C335*'RD Feedstock Breakdown'!M$3*'Feedstock Conversion Rates'!B$2)/12</f>
        <v>7.7902500000000003</v>
      </c>
      <c r="N326" s="104">
        <f>('Renewable Diesel'!C335*'RD Feedstock Breakdown'!N$3*'Feedstock Conversion Rates'!B$8)/12</f>
        <v>3.671875</v>
      </c>
      <c r="O326" s="104">
        <f>('Renewable Diesel'!C335*'RD Feedstock Breakdown'!O$3*'Feedstock Conversion Rates'!B$7)/12</f>
        <v>11.9991</v>
      </c>
      <c r="P326" s="104">
        <f>('Renewable Diesel'!C335*'RD Feedstock Breakdown'!P$3*'Feedstock Conversion Rates'!B$3)/12</f>
        <v>10.4470425</v>
      </c>
      <c r="Q326" s="106">
        <f t="shared" si="299"/>
        <v>38.908267500000001</v>
      </c>
      <c r="R326" s="104">
        <f>('Renewable Diesel'!D335*'RD Feedstock Breakdown'!R$3*'Feedstock Conversion Rates'!B$7)/12</f>
        <v>2.2999999999999998</v>
      </c>
      <c r="S326" s="106">
        <f t="shared" si="329"/>
        <v>2.2999999999999998</v>
      </c>
      <c r="T326" s="104">
        <f t="shared" si="300"/>
        <v>0.82499999999999929</v>
      </c>
      <c r="U326" s="104"/>
      <c r="V326" s="104">
        <f>('Renewable Diesel'!E335*'RD Feedstock Breakdown'!V$3*'Feedstock Conversion Rates'!B$6)/12-20+25</f>
        <v>49.250150000000012</v>
      </c>
      <c r="W326" s="104">
        <f>('Renewable Diesel'!E335*'RD Feedstock Breakdown'!W$3*'Feedstock Conversion Rates'!B$8)/12-6</f>
        <v>16.1796875</v>
      </c>
      <c r="X326" s="106">
        <f t="shared" si="277"/>
        <v>66.254837500000008</v>
      </c>
      <c r="Y326" s="104">
        <f t="shared" si="301"/>
        <v>98</v>
      </c>
      <c r="Z326" s="104">
        <f>('Renewable Diesel'!F335*'RD Feedstock Breakdown'!Z$3*'Feedstock Conversion Rates'!B$6)/12-142+15+5+20+2.5</f>
        <v>59.960000000000008</v>
      </c>
      <c r="AA326" s="104">
        <f>('Renewable Diesel'!F335*'RD Feedstock Breakdown'!AA$3*'Feedstock Conversion Rates'!B$7)/12+24</f>
        <v>128.26666666666665</v>
      </c>
      <c r="AB326" s="106">
        <f t="shared" si="320"/>
        <v>286.22666666666669</v>
      </c>
      <c r="AC326" s="104">
        <f>('Renewable Diesel'!G335*'RD Feedstock Breakdown'!AC$3*'Feedstock Conversion Rates'!B$5)/12</f>
        <v>11.796875</v>
      </c>
      <c r="AD326" s="104">
        <f>('Renewable Diesel'!G335*'RD Feedstock Breakdown'!AD$3*'Feedstock Conversion Rates'!B$4)/12</f>
        <v>5.859375</v>
      </c>
      <c r="AE326" s="104">
        <f>('Renewable Diesel'!G335*'RD Feedstock Breakdown'!AE$3*'Feedstock Conversion Rates'!B$6)/12</f>
        <v>7.3281250000000009</v>
      </c>
      <c r="AF326" s="106">
        <f t="shared" si="284"/>
        <v>24.984375</v>
      </c>
      <c r="AG326" s="104">
        <f t="shared" si="306"/>
        <v>148</v>
      </c>
      <c r="AH326" s="104"/>
      <c r="AI326" s="104">
        <f>('Renewable Diesel'!H335*'RD Feedstock Breakdown'!AI$3*'Feedstock Conversion Rates'!B$6)/12-130-20+51-49</f>
        <v>0.51666666666667993</v>
      </c>
      <c r="AJ326" s="106">
        <f t="shared" si="328"/>
        <v>148.51666666666668</v>
      </c>
      <c r="AK326" s="104">
        <f>('Renewable Diesel'!J335*'RD Feedstock Breakdown'!AK$3*'Feedstock Conversion Rates'!B$4)/12</f>
        <v>95.8125</v>
      </c>
      <c r="AL326" s="106">
        <f t="shared" si="330"/>
        <v>95.8125</v>
      </c>
      <c r="AM326" s="104">
        <f>('Renewable Diesel'!K335*'RD Feedstock Breakdown'!AM$3*'Feedstock Conversion Rates'!B$4)/12+5+15-10+10</f>
        <v>78.59375</v>
      </c>
      <c r="AN326" s="104">
        <f>('Renewable Diesel'!K335*'RD Feedstock Breakdown'!AN$3*'Feedstock Conversion Rates'!B$6)/12-5-15+10-10</f>
        <v>4.4270833333333321</v>
      </c>
      <c r="AO326" s="106">
        <f t="shared" si="270"/>
        <v>83.020833333333329</v>
      </c>
      <c r="AP326" s="104">
        <f>('Renewable Diesel'!L335*'RD Feedstock Breakdown'!AP$3*'Feedstock Conversion Rates'!B$4)/12+15-10+15</f>
        <v>78.59375</v>
      </c>
      <c r="AQ326" s="104">
        <f>('Renewable Diesel'!L335*'RD Feedstock Breakdown'!AQ$3*'Feedstock Conversion Rates'!B$6)/12-15+10-15</f>
        <v>4.4270833333333321</v>
      </c>
      <c r="AR326" s="106">
        <f t="shared" si="256"/>
        <v>83.020833333333329</v>
      </c>
      <c r="AS326" s="104">
        <f>('Renewable Diesel'!M335*'RD Feedstock Breakdown'!AS$3*'Feedstock Conversion Rates'!B$4)/12-25</f>
        <v>431.25</v>
      </c>
      <c r="AT326" s="104">
        <f>('Renewable Diesel'!M335*'RD Feedstock Breakdown'!AT$3*'Feedstock Conversion Rates'!B$5)/12+25</f>
        <v>25</v>
      </c>
      <c r="AU326" s="106">
        <f t="shared" si="290"/>
        <v>456.25</v>
      </c>
      <c r="AV326" s="104">
        <f>'Renewable Diesel'!N335*'RD Feedstock Breakdown'!$AV$3*'Feedstock Conversion Rates'!$B$4/12-15-10+25+25-22+25</f>
        <v>106.74999999999999</v>
      </c>
      <c r="AW326" s="104">
        <f>'Renewable Diesel'!N335*'RD Feedstock Breakdown'!$AW$3*'Feedstock Conversion Rates'!$B$7/12+15+10-25-25+22-25</f>
        <v>13.400000000000006</v>
      </c>
      <c r="AX326" s="106">
        <f t="shared" si="322"/>
        <v>120.14999999999999</v>
      </c>
      <c r="AY326" s="104">
        <f>('Renewable Diesel'!O335*'RD Feedstock Breakdown'!AY$3*'Feedstock Conversion Rates'!B$4)/12</f>
        <v>210.9375</v>
      </c>
      <c r="AZ326" s="104">
        <f>('Renewable Diesel'!O335*'RD Feedstock Breakdown'!AZ$3*'Feedstock Conversion Rates'!B$3)/12</f>
        <v>25.03125</v>
      </c>
      <c r="BA326" s="106">
        <f t="shared" si="302"/>
        <v>235.96875</v>
      </c>
      <c r="BB326" s="104">
        <f>('Renewable Diesel'!Q335*'RD Feedstock Breakdown'!BB$3*'Feedstock Conversion Rates'!B$4)/12</f>
        <v>11.156249999999998</v>
      </c>
      <c r="BC326" s="104">
        <f>('Renewable Diesel'!Q335*'RD Feedstock Breakdown'!BC$3*'Feedstock Conversion Rates'!B$3)/12</f>
        <v>1.4017500000000001</v>
      </c>
      <c r="BD326" s="104">
        <f>('Renewable Diesel'!Q335*'RD Feedstock Breakdown'!BD$3*'Feedstock Conversion Rates'!B$6)/12</f>
        <v>0.8207500000000002</v>
      </c>
      <c r="BE326" s="106">
        <f t="shared" si="279"/>
        <v>13.378749999999998</v>
      </c>
      <c r="BF326" s="104">
        <f>('Renewable Diesel'!R335*'RD Feedstock Breakdown'!BF$3*'Feedstock Conversion Rates'!B$4)/12</f>
        <v>62.5</v>
      </c>
      <c r="BG326" s="106">
        <f t="shared" si="262"/>
        <v>62.5</v>
      </c>
      <c r="BH326" s="104">
        <f>('Renewable Diesel'!T335*'RD Feedstock Breakdown'!BH$3*'Feedstock Conversion Rates'!B$7)/12</f>
        <v>27.599999999999998</v>
      </c>
      <c r="BI326" s="106">
        <f t="shared" si="327"/>
        <v>27.599999999999998</v>
      </c>
      <c r="BJ326" s="104">
        <f>('Renewable Diesel'!W335*'RD Feedstock Breakdown'!BJ$3*'Feedstock Conversion Rates'!B$4)/12</f>
        <v>7.5</v>
      </c>
      <c r="BK326" s="104">
        <f>('Renewable Diesel'!W335*'RD Feedstock Breakdown'!BK$3*'Feedstock Conversion Rates'!B$3)/12</f>
        <v>1.335</v>
      </c>
      <c r="BL326" s="104">
        <f>('Renewable Diesel'!W335*'RD Feedstock Breakdown'!BL$3*'Feedstock Conversion Rates'!B$6)/12</f>
        <v>3.1266666666666669</v>
      </c>
      <c r="BM326" s="104">
        <f>('Renewable Diesel'!W335*'RD Feedstock Breakdown'!BM$3*'Feedstock Conversion Rates'!B$7)/12</f>
        <v>1.5333333333333332</v>
      </c>
      <c r="BN326" s="106">
        <f t="shared" si="296"/>
        <v>13.495000000000001</v>
      </c>
      <c r="BO326" s="104">
        <f>('Renewable Diesel'!P335*'Feedstock Conversion Rates'!B$4)/12</f>
        <v>31.25</v>
      </c>
      <c r="BP326" s="106">
        <f t="shared" si="285"/>
        <v>31.25</v>
      </c>
      <c r="BQ326" s="104">
        <f>('Renewable Diesel'!$S335*'RD Feedstock Breakdown'!BQ$3*'Feedstock Conversion Rates'!B$4)/12+10+15-15</f>
        <v>38.125</v>
      </c>
      <c r="BR326" s="104">
        <f>('Renewable Diesel'!$S335*'RD Feedstock Breakdown'!BR$3*'Feedstock Conversion Rates'!B$7)/12-10-15+15</f>
        <v>1.5</v>
      </c>
      <c r="BS326" s="106">
        <f t="shared" si="307"/>
        <v>39.625</v>
      </c>
      <c r="BT326" s="106"/>
      <c r="BU326" s="104">
        <f>('Renewable Diesel'!Y335*'Feedstock Conversion Rates'!B$7)/12</f>
        <v>2.6833333333333331</v>
      </c>
      <c r="BV326" s="106">
        <f t="shared" si="281"/>
        <v>2.6833333333333331</v>
      </c>
      <c r="BW326" s="104">
        <f>('Renewable Diesel'!$Z335*'RD Feedstock Breakdown'!BW$3*'Feedstock Conversion Rates'!$B$4)/12-50</f>
        <v>21.875</v>
      </c>
      <c r="BX326" s="104">
        <f>('Renewable Diesel'!$Z335*'RD Feedstock Breakdown'!BX$3*'Feedstock Conversion Rates'!$B$5)/12</f>
        <v>7.2354166666666666</v>
      </c>
      <c r="BY326" s="104">
        <f>('Renewable Diesel'!$Z335*'RD Feedstock Breakdown'!BY$3*'Feedstock Conversion Rates'!$B$7)/12</f>
        <v>61.716666666666661</v>
      </c>
      <c r="BZ326" s="104">
        <f>('Renewable Diesel'!$Z335*'RD Feedstock Breakdown'!BZ$3*'Feedstock Conversion Rates'!$B$3)/12+50</f>
        <v>65.352499999999992</v>
      </c>
      <c r="CA326" s="106">
        <f t="shared" si="312"/>
        <v>156.17958333333331</v>
      </c>
      <c r="CB326" s="104">
        <f>('Renewable Diesel'!AA335*'Feedstock Conversion Rates'!B$4)/12</f>
        <v>191.25</v>
      </c>
      <c r="CC326" s="106">
        <f t="shared" si="298"/>
        <v>191.25</v>
      </c>
      <c r="CD326" s="104">
        <f>('Renewable Diesel'!$AB335*'RD Feedstock Breakdown'!CD$3*'Feedstock Conversion Rates'!$B$6)/12-15-5</f>
        <v>12.830000000000005</v>
      </c>
      <c r="CE326" s="104">
        <f>('Renewable Diesel'!$AB335*'RD Feedstock Breakdown'!CE$3*'Feedstock Conversion Rates'!$B$4)/12+15+5</f>
        <v>31.25</v>
      </c>
      <c r="CF326" s="106">
        <f t="shared" si="294"/>
        <v>44.080000000000005</v>
      </c>
      <c r="CG326" s="104">
        <f>('Renewable Diesel'!AD335*'Feedstock Conversion Rates'!B$4)/12</f>
        <v>112.5</v>
      </c>
      <c r="CH326" s="106">
        <f t="shared" si="278"/>
        <v>112.5</v>
      </c>
      <c r="CI326" s="104">
        <f>('Renewable Diesel'!$AE335*'RD Feedstock Breakdown'!CI$3*'Feedstock Conversion Rates'!$B$5)/12</f>
        <v>0.34604166666666664</v>
      </c>
      <c r="CJ326" s="104">
        <f>('Renewable Diesel'!$AE335*'RD Feedstock Breakdown'!CJ$3*'Feedstock Conversion Rates'!$B$4)/12</f>
        <v>0.34375</v>
      </c>
      <c r="CK326" s="106">
        <f t="shared" si="286"/>
        <v>0.68979166666666658</v>
      </c>
      <c r="CL326" s="104">
        <f>(((CL$3*'Renewable Diesel'!$AF335)*'Feedstock Conversion Rates'!$B$3)/12)</f>
        <v>91.78125</v>
      </c>
      <c r="CM326" s="104">
        <f>(((CM$3*'Renewable Diesel'!$AF335)*'Feedstock Conversion Rates'!$B$6)/12)</f>
        <v>53.739583333333336</v>
      </c>
      <c r="CN326" s="104">
        <f>(((CN$3*'Renewable Diesel'!$AF335)*'Feedstock Conversion Rates'!$B$4)/12)</f>
        <v>42.96875</v>
      </c>
      <c r="CO326" s="106">
        <f t="shared" si="280"/>
        <v>188.48958333333334</v>
      </c>
      <c r="CP326" s="104">
        <f>('Renewable Diesel'!$AG335*'RD Feedstock Breakdown'!CP$3*'Feedstock Conversion Rates'!$B$3)/12</f>
        <v>6.0075000000000003</v>
      </c>
      <c r="CQ326" s="104">
        <f>('Renewable Diesel'!$AG335*'RD Feedstock Breakdown'!CQ$3*'Feedstock Conversion Rates'!$B$6)/12</f>
        <v>3.5175000000000001</v>
      </c>
      <c r="CR326" s="104">
        <f>('Renewable Diesel'!$AG335*'RD Feedstock Breakdown'!CR$3*'Feedstock Conversion Rates'!$B$4)/12</f>
        <v>2.8125</v>
      </c>
      <c r="CS326" s="106">
        <f t="shared" si="317"/>
        <v>12.3375</v>
      </c>
      <c r="CT326" s="104">
        <f>('Renewable Diesel'!AI335*'Feedstock Conversion Rates'!$B$4*'RD Feedstock Breakdown'!$CT$3)/12</f>
        <v>29.375</v>
      </c>
      <c r="CU326" s="106">
        <f t="shared" si="282"/>
        <v>29.375</v>
      </c>
      <c r="CV326" s="104">
        <f>('Renewable Diesel'!AN335*'Feedstock Conversion Rates'!$B$3*'RD Feedstock Breakdown'!$CV$3)/12</f>
        <v>0.50062499999999999</v>
      </c>
      <c r="CW326" s="106">
        <f t="shared" si="255"/>
        <v>0.50062499999999999</v>
      </c>
      <c r="CX326" s="104">
        <f>('Renewable Diesel'!AO335*'RD Feedstock Breakdown'!$CX$3*'Feedstock Conversion Rates'!$B$3)/12</f>
        <v>6.3412499999999996</v>
      </c>
      <c r="CY326" s="104">
        <f>('Renewable Diesel'!AO335*'RD Feedstock Breakdown'!$CY$3*'Feedstock Conversion Rates'!$B$6)/12</f>
        <v>7.4258333333333342</v>
      </c>
      <c r="CZ326" s="106">
        <f t="shared" si="318"/>
        <v>13.767083333333334</v>
      </c>
      <c r="DA326" s="104">
        <f>('Renewable Diesel'!$AP335*'RD Feedstock Breakdown'!DA$3*'Feedstock Conversion Rates'!$B$3)/12</f>
        <v>6.3412499999999996</v>
      </c>
      <c r="DB326" s="104">
        <f>('Renewable Diesel'!$AP335*'RD Feedstock Breakdown'!DB$3*'Feedstock Conversion Rates'!$B$8)/12</f>
        <v>7.421875</v>
      </c>
      <c r="DC326" s="106">
        <f t="shared" si="260"/>
        <v>13.763124999999999</v>
      </c>
      <c r="DD326" s="104">
        <f>('Renewable Diesel'!AQ335*$DD$3*'Feedstock Conversion Rates'!$B$14)/12</f>
        <v>3.1041666666666665</v>
      </c>
      <c r="DE326" s="106">
        <f t="shared" si="261"/>
        <v>3.1041666666666665</v>
      </c>
      <c r="DF326" s="104">
        <f>('Renewable Diesel'!AR335*'Feedstock Conversion Rates'!$B$4*$DF$3)/12</f>
        <v>75</v>
      </c>
      <c r="DG326" s="106">
        <f t="shared" si="319"/>
        <v>75</v>
      </c>
      <c r="DH326" s="104">
        <f>('Renewable Diesel'!AS335*'Feedstock Conversion Rates'!$B$4*$DH$3)/12</f>
        <v>75</v>
      </c>
      <c r="DI326" s="106">
        <f t="shared" si="323"/>
        <v>75</v>
      </c>
      <c r="DJ326" s="104">
        <f>('Renewable Diesel'!AT335*'Feedstock Conversion Rates'!$B$4*0.25)/12</f>
        <v>8.59375</v>
      </c>
      <c r="DK326" s="104">
        <f>('Renewable Diesel'!$AT335*'RD Feedstock Breakdown'!DK$3*'Feedstock Conversion Rates'!$B$3)/12*0.5</f>
        <v>9.1781249999999996</v>
      </c>
      <c r="DL326" s="104">
        <f>('Renewable Diesel'!$AT335*'RD Feedstock Breakdown'!$DL$3*'Feedstock Conversion Rates'!$B$6)/12</f>
        <v>10.747916666666669</v>
      </c>
      <c r="DM326" s="104">
        <f>('Renewable Diesel'!$AT335*'RD Feedstock Breakdown'!$DM$3*'Feedstock Conversion Rates'!$B$8)/12</f>
        <v>10.7421875</v>
      </c>
      <c r="DN326" s="106">
        <f t="shared" si="297"/>
        <v>39.26197916666667</v>
      </c>
      <c r="DP326" s="104">
        <f t="shared" si="265"/>
        <v>103.22025000000001</v>
      </c>
      <c r="DQ326" s="104">
        <f t="shared" si="266"/>
        <v>429.11776750000001</v>
      </c>
      <c r="DR326" s="104">
        <f t="shared" si="271"/>
        <v>1844.453125</v>
      </c>
      <c r="DS326" s="104">
        <f t="shared" si="283"/>
        <v>253.90125</v>
      </c>
      <c r="DT326" s="104">
        <f t="shared" si="267"/>
        <v>225.53923333333341</v>
      </c>
      <c r="DU326" s="104">
        <f t="shared" si="268"/>
        <v>345.40610000000004</v>
      </c>
      <c r="DV326" s="104">
        <f t="shared" si="272"/>
        <v>78.75</v>
      </c>
      <c r="DW326" s="104">
        <f t="shared" si="269"/>
        <v>3</v>
      </c>
      <c r="DX326" s="106">
        <f t="shared" si="273"/>
        <v>3283.3877258333337</v>
      </c>
      <c r="DY326" s="109">
        <f t="shared" si="257"/>
        <v>-5.631051180898794E-13</v>
      </c>
      <c r="EA326" s="110">
        <f t="shared" si="313"/>
        <v>3.1437118798938797E-2</v>
      </c>
      <c r="EB326" s="110">
        <f t="shared" si="313"/>
        <v>0.13069360164921998</v>
      </c>
      <c r="EC326" s="110">
        <f t="shared" si="313"/>
        <v>0.56175306695826555</v>
      </c>
      <c r="ED326" s="110">
        <f t="shared" si="308"/>
        <v>7.7329048897372937E-2</v>
      </c>
      <c r="EE326" s="110">
        <f t="shared" si="308"/>
        <v>6.869101433218365E-2</v>
      </c>
      <c r="EF326" s="110">
        <f t="shared" si="308"/>
        <v>0.10519808467406479</v>
      </c>
      <c r="EG326" s="110">
        <f t="shared" si="308"/>
        <v>2.3984374242616447E-2</v>
      </c>
      <c r="EH326" s="111">
        <f t="shared" si="274"/>
        <v>9.1369044733776935E-4</v>
      </c>
      <c r="EI326" s="110">
        <f t="shared" si="321"/>
        <v>0.99908630955266209</v>
      </c>
      <c r="EK326" s="132">
        <f>(EA326*'Renewable Diesel'!BF335*'Feedstock Conversion Rates'!B$2)+FB326</f>
        <v>552.80057169234487</v>
      </c>
      <c r="EL326" s="132">
        <f>(EB326*'Renewable Diesel'!BF335*'Feedstock Conversion Rates'!B$3)+FC326</f>
        <v>2165.6768991272834</v>
      </c>
      <c r="EM326" s="132">
        <f>(EC326*'Renewable Diesel'!BF335*'Feedstock Conversion Rates'!B$4)+FD326</f>
        <v>8715.9260555468318</v>
      </c>
      <c r="EN326" s="132">
        <f>(ED326*'Renewable Diesel'!BF335*'Feedstock Conversion Rates'!B$5)+FE326</f>
        <v>1207.8039394722935</v>
      </c>
      <c r="EO326" s="132">
        <f>(EE326*'Renewable Diesel'!BF335*'Feedstock Conversion Rates'!B$6)+FF326</f>
        <v>1332.9368956635733</v>
      </c>
      <c r="EP326" s="132">
        <f>(EF326*'Renewable Diesel'!BF335*'Feedstock Conversion Rates'!B$7)+FG326</f>
        <v>2002.1770623535758</v>
      </c>
      <c r="EQ326" s="132">
        <f>(EG326*'Renewable Diesel'!BF335*'Feedstock Conversion Rates'!B$8)+FH326</f>
        <v>465.1644216184086</v>
      </c>
      <c r="ER326" s="132">
        <f>(EH326*'Renewable Diesel'!BF335*'Feedstock Conversion Rates'!B$9)+FI326</f>
        <v>17.484275403053832</v>
      </c>
      <c r="ES326" s="132">
        <f t="shared" si="275"/>
        <v>16459.970120877362</v>
      </c>
      <c r="ET326" s="133">
        <f>ES326/'Renewable Diesel'!BF335</f>
        <v>16.854019655369463</v>
      </c>
      <c r="EW326" s="73">
        <f t="shared" si="309"/>
        <v>15162.631842537958</v>
      </c>
      <c r="EX326" s="73">
        <f t="shared" si="310"/>
        <v>9986.8298223103193</v>
      </c>
      <c r="EY326" s="92">
        <f t="shared" si="258"/>
        <v>0.92118222154644758</v>
      </c>
      <c r="EZ326" s="92">
        <f t="shared" si="258"/>
        <v>0.60673438341442099</v>
      </c>
      <c r="FB326" s="102">
        <f>IF('Renewable Diesel'!$BG335&lt;1,0,(((('Renewable Diesel'!$BG335-1)*'Renewable Diesel'!$BF335)*'RD Feedstock Breakdown'!EA326)*'Feedstock Conversion Rates'!$B$2))</f>
        <v>291.83260102824988</v>
      </c>
      <c r="FC326" s="102">
        <f>IF('Renewable Diesel'!$BG335&lt;1,0,(((('Renewable Diesel'!$BG335-1)*'Renewable Diesel'!$BF335)*'RD Feedstock Breakdown'!EB326)*'Feedstock Conversion Rates'!$B$3))</f>
        <v>1143.2967960294566</v>
      </c>
      <c r="FD326" s="102">
        <f>IF('Renewable Diesel'!$BG335&lt;1,0,(((('Renewable Diesel'!$BG335-1)*'Renewable Diesel'!$BF335)*'RD Feedstock Breakdown'!EC326)*'Feedstock Conversion Rates'!$B$4))</f>
        <v>4601.282092334257</v>
      </c>
      <c r="FE326" s="102">
        <f>IF('Renewable Diesel'!$BG335&lt;1,0,(((('Renewable Diesel'!$BG335-1)*'Renewable Diesel'!$BF335)*'RD Feedstock Breakdown'!ED326)*'Feedstock Conversion Rates'!$B$5))</f>
        <v>637.61975518457541</v>
      </c>
      <c r="FF326" s="102">
        <f>IF('Renewable Diesel'!$BG335&lt;1,0,(((('Renewable Diesel'!$BG335-1)*'Renewable Diesel'!$BF335)*'RD Feedstock Breakdown'!EE326)*'Feedstock Conversion Rates'!$B$6))</f>
        <v>703.67952058579294</v>
      </c>
      <c r="FG326" s="102">
        <f>IF('Renewable Diesel'!$BG335&lt;1,0,(((('Renewable Diesel'!$BG335-1)*'Renewable Diesel'!$BF335)*'RD Feedstock Breakdown'!EF326)*'Feedstock Conversion Rates'!$B$7))</f>
        <v>1056.9825172882247</v>
      </c>
      <c r="FH326" s="102">
        <f>IF('Renewable Diesel'!$BG335&lt;1,0,(((('Renewable Diesel'!$BG335-1)*'Renewable Diesel'!$BF335)*'RD Feedstock Breakdown'!EG326)*'Feedstock Conversion Rates'!$B$8))</f>
        <v>245.56802220937624</v>
      </c>
      <c r="FI326" s="102">
        <f>IF('Renewable Diesel'!$BG335&lt;1,0,(((('Renewable Diesel'!$BG335-1)*'Renewable Diesel'!$BF335)*'RD Feedstock Breakdown'!EH326)*'Feedstock Conversion Rates'!$B$9))</f>
        <v>9.2302393109809984</v>
      </c>
      <c r="FJ326" s="102">
        <f t="shared" si="311"/>
        <v>8689.491543970913</v>
      </c>
      <c r="GD326" s="91">
        <f>'Renewable Diesel'!BB335*0.32</f>
        <v>0</v>
      </c>
      <c r="GE326" s="91">
        <f>'Renewable Diesel'!BC335</f>
        <v>434.34276019127094</v>
      </c>
      <c r="GF326" s="91">
        <f>'Renewable Diesel'!BD335</f>
        <v>0</v>
      </c>
      <c r="GG326" s="91">
        <f t="shared" si="295"/>
        <v>434.34276019127094</v>
      </c>
      <c r="GH326" s="124">
        <v>1</v>
      </c>
      <c r="GI326" s="102">
        <f>$GG326*EA326*'Feedstock Conversion Rates'!$B$2</f>
        <v>116.06312208853174</v>
      </c>
      <c r="GJ326" s="102">
        <f>$GG326*EB326*'Feedstock Conversion Rates'!$B$3</f>
        <v>454.69421563408173</v>
      </c>
      <c r="GK326" s="102">
        <f>$GG326*EC326*'Feedstock Conversion Rates'!$B$4</f>
        <v>1829.9503323642366</v>
      </c>
      <c r="GL326" s="102">
        <f>$GG326*ED326*'Feedstock Conversion Rates'!$B$5</f>
        <v>253.58420968493294</v>
      </c>
      <c r="GM326" s="102">
        <f>$GG326*EE326*'Feedstock Conversion Rates'!$B$6</f>
        <v>279.85647189925317</v>
      </c>
      <c r="GN326" s="102">
        <f>$GG326*EF326*'Feedstock Conversion Rates'!$B$7</f>
        <v>420.36664347034866</v>
      </c>
      <c r="GO326" s="102">
        <f>$GG326*EG326*'Feedstock Conversion Rates'!$B$8</f>
        <v>97.663493531235488</v>
      </c>
      <c r="GP326" s="102">
        <f>$GG326*EH326*'Feedstock Conversion Rates'!B$9</f>
        <v>3.6709071854280255</v>
      </c>
      <c r="GQ326" s="102">
        <f t="shared" si="276"/>
        <v>3455.849395858048</v>
      </c>
      <c r="GR326" s="85">
        <f t="shared" si="293"/>
        <v>7.9565028189630702</v>
      </c>
      <c r="GT326" s="103">
        <f t="shared" si="333"/>
        <v>3.3584542841374188E-2</v>
      </c>
      <c r="GU326" s="103">
        <f t="shared" si="334"/>
        <v>0.13157234692549044</v>
      </c>
      <c r="GV326" s="103">
        <f t="shared" si="335"/>
        <v>0.52952259278355529</v>
      </c>
      <c r="GW326" s="103">
        <f t="shared" si="331"/>
        <v>7.3378258320186671E-2</v>
      </c>
      <c r="GX326" s="103">
        <f t="shared" si="331"/>
        <v>8.0980517332343974E-2</v>
      </c>
      <c r="GY326" s="103">
        <f t="shared" si="331"/>
        <v>0.12163916748634135</v>
      </c>
      <c r="GZ326" s="103">
        <f t="shared" si="331"/>
        <v>2.8260344229204103E-2</v>
      </c>
      <c r="HA326" s="103">
        <f t="shared" si="331"/>
        <v>1.0622300815040526E-3</v>
      </c>
    </row>
    <row r="327" spans="1:209" x14ac:dyDescent="0.25">
      <c r="A327" s="96">
        <v>50375</v>
      </c>
      <c r="B327" s="104">
        <f t="shared" si="336"/>
        <v>1.75</v>
      </c>
      <c r="C327" s="104">
        <f t="shared" si="314"/>
        <v>49</v>
      </c>
      <c r="D327" s="104">
        <f t="shared" si="337"/>
        <v>2</v>
      </c>
      <c r="E327" s="104">
        <f>('Renewable Diesel'!B336*E$3*'Feedstock Conversion Rates'!$B$2)/12+26+13-100+27.5+39</f>
        <v>95.43</v>
      </c>
      <c r="F327" s="104">
        <f>('Renewable Diesel'!B336*'RD Feedstock Breakdown'!F$3*'Feedstock Conversion Rates'!B$8)/12+77+23-10-12-115.75+24+8</f>
        <v>48.15625</v>
      </c>
      <c r="G327" s="104">
        <f>('Renewable Diesel'!B336*'RD Feedstock Breakdown'!G$3*'Feedstock Conversion Rates'!B$7)/12+116.75-39-57.5-145-31.5+32+70-40+10+2.5</f>
        <v>94.407000000000039</v>
      </c>
      <c r="H327" s="104">
        <f>('Renewable Diesel'!B336*'RD Feedstock Breakdown'!H$3*'Feedstock Conversion Rates'!B$3)/12+67+10+12+3-235+20+47-20+125</f>
        <v>205.40022499999998</v>
      </c>
      <c r="I327" s="106">
        <f t="shared" si="291"/>
        <v>496.14347500000002</v>
      </c>
      <c r="J327" s="104">
        <f t="shared" si="332"/>
        <v>4</v>
      </c>
      <c r="K327" s="104"/>
      <c r="L327" s="104">
        <v>1</v>
      </c>
      <c r="M327" s="104">
        <f>('Renewable Diesel'!C336*'RD Feedstock Breakdown'!M$3*'Feedstock Conversion Rates'!B$2)/12</f>
        <v>7.7902500000000003</v>
      </c>
      <c r="N327" s="104">
        <f>('Renewable Diesel'!C336*'RD Feedstock Breakdown'!N$3*'Feedstock Conversion Rates'!B$8)/12</f>
        <v>3.671875</v>
      </c>
      <c r="O327" s="104">
        <f>('Renewable Diesel'!C336*'RD Feedstock Breakdown'!O$3*'Feedstock Conversion Rates'!B$7)/12</f>
        <v>11.9991</v>
      </c>
      <c r="P327" s="104">
        <f>('Renewable Diesel'!C336*'RD Feedstock Breakdown'!P$3*'Feedstock Conversion Rates'!B$3)/12</f>
        <v>10.4470425</v>
      </c>
      <c r="Q327" s="106">
        <f t="shared" si="299"/>
        <v>38.908267500000001</v>
      </c>
      <c r="R327" s="104">
        <f>('Renewable Diesel'!D336*'RD Feedstock Breakdown'!R$3*'Feedstock Conversion Rates'!B$7)/12</f>
        <v>2.2999999999999998</v>
      </c>
      <c r="S327" s="106">
        <f t="shared" si="329"/>
        <v>2.2999999999999998</v>
      </c>
      <c r="T327" s="104">
        <f t="shared" si="300"/>
        <v>0.82499999999999929</v>
      </c>
      <c r="U327" s="104"/>
      <c r="V327" s="104">
        <f>('Renewable Diesel'!E336*'RD Feedstock Breakdown'!V$3*'Feedstock Conversion Rates'!B$6)/12-20+25</f>
        <v>49.250150000000012</v>
      </c>
      <c r="W327" s="104">
        <f>('Renewable Diesel'!E336*'RD Feedstock Breakdown'!W$3*'Feedstock Conversion Rates'!B$8)/12-6</f>
        <v>16.1796875</v>
      </c>
      <c r="X327" s="106">
        <f t="shared" si="277"/>
        <v>66.254837500000008</v>
      </c>
      <c r="Y327" s="104">
        <f t="shared" si="301"/>
        <v>98</v>
      </c>
      <c r="Z327" s="104">
        <f>('Renewable Diesel'!F336*'RD Feedstock Breakdown'!Z$3*'Feedstock Conversion Rates'!B$6)/12-142+15+5+20+2.5</f>
        <v>59.960000000000008</v>
      </c>
      <c r="AA327" s="104">
        <f>('Renewable Diesel'!F336*'RD Feedstock Breakdown'!AA$3*'Feedstock Conversion Rates'!B$7)/12+24</f>
        <v>128.26666666666665</v>
      </c>
      <c r="AB327" s="106">
        <f t="shared" si="320"/>
        <v>286.22666666666669</v>
      </c>
      <c r="AC327" s="104">
        <f>('Renewable Diesel'!G336*'RD Feedstock Breakdown'!AC$3*'Feedstock Conversion Rates'!B$5)/12</f>
        <v>11.796875</v>
      </c>
      <c r="AD327" s="104">
        <f>('Renewable Diesel'!G336*'RD Feedstock Breakdown'!AD$3*'Feedstock Conversion Rates'!B$4)/12</f>
        <v>5.859375</v>
      </c>
      <c r="AE327" s="104">
        <f>('Renewable Diesel'!G336*'RD Feedstock Breakdown'!AE$3*'Feedstock Conversion Rates'!B$6)/12</f>
        <v>7.3281250000000009</v>
      </c>
      <c r="AF327" s="106">
        <f t="shared" si="284"/>
        <v>24.984375</v>
      </c>
      <c r="AG327" s="104">
        <f t="shared" si="306"/>
        <v>148</v>
      </c>
      <c r="AH327" s="104"/>
      <c r="AI327" s="104">
        <f>('Renewable Diesel'!H336*'RD Feedstock Breakdown'!AI$3*'Feedstock Conversion Rates'!B$6)/12-130-20+51-49</f>
        <v>0.51666666666667993</v>
      </c>
      <c r="AJ327" s="106">
        <f t="shared" si="328"/>
        <v>148.51666666666668</v>
      </c>
      <c r="AK327" s="104">
        <f>('Renewable Diesel'!J336*'RD Feedstock Breakdown'!AK$3*'Feedstock Conversion Rates'!B$4)/12</f>
        <v>95.8125</v>
      </c>
      <c r="AL327" s="106">
        <f t="shared" si="330"/>
        <v>95.8125</v>
      </c>
      <c r="AM327" s="104">
        <f>('Renewable Diesel'!K336*'RD Feedstock Breakdown'!AM$3*'Feedstock Conversion Rates'!B$4)/12+5+15-10+10</f>
        <v>78.59375</v>
      </c>
      <c r="AN327" s="104">
        <f>('Renewable Diesel'!K336*'RD Feedstock Breakdown'!AN$3*'Feedstock Conversion Rates'!B$6)/12-5-15+10-10</f>
        <v>4.4270833333333321</v>
      </c>
      <c r="AO327" s="106">
        <f t="shared" si="270"/>
        <v>83.020833333333329</v>
      </c>
      <c r="AP327" s="104">
        <f>('Renewable Diesel'!L336*'RD Feedstock Breakdown'!AP$3*'Feedstock Conversion Rates'!B$4)/12+15-10+15</f>
        <v>78.59375</v>
      </c>
      <c r="AQ327" s="104">
        <f>('Renewable Diesel'!L336*'RD Feedstock Breakdown'!AQ$3*'Feedstock Conversion Rates'!B$6)/12-15+10-15</f>
        <v>4.4270833333333321</v>
      </c>
      <c r="AR327" s="106">
        <f t="shared" si="256"/>
        <v>83.020833333333329</v>
      </c>
      <c r="AS327" s="104">
        <f>('Renewable Diesel'!M336*'RD Feedstock Breakdown'!AS$3*'Feedstock Conversion Rates'!B$4)/12</f>
        <v>456.25</v>
      </c>
      <c r="AT327" s="104">
        <f>('Renewable Diesel'!M336*'RD Feedstock Breakdown'!AT$3*'Feedstock Conversion Rates'!B$5)/12</f>
        <v>0</v>
      </c>
      <c r="AU327" s="106">
        <f t="shared" si="290"/>
        <v>456.25</v>
      </c>
      <c r="AV327" s="104">
        <f>'Renewable Diesel'!N336*'RD Feedstock Breakdown'!$AV$3*'Feedstock Conversion Rates'!$B$4/12-15-10+25+25-22+25</f>
        <v>106.74999999999999</v>
      </c>
      <c r="AW327" s="104">
        <f>'Renewable Diesel'!N336*'RD Feedstock Breakdown'!$AW$3*'Feedstock Conversion Rates'!$B$7/12+15+10-25-25+22-25</f>
        <v>13.400000000000006</v>
      </c>
      <c r="AX327" s="106">
        <f t="shared" si="322"/>
        <v>120.14999999999999</v>
      </c>
      <c r="AY327" s="104">
        <f>('Renewable Diesel'!O336*'RD Feedstock Breakdown'!AY$3*'Feedstock Conversion Rates'!B$4)/12</f>
        <v>210.9375</v>
      </c>
      <c r="AZ327" s="104">
        <f>('Renewable Diesel'!O336*'RD Feedstock Breakdown'!AZ$3*'Feedstock Conversion Rates'!B$3)/12</f>
        <v>25.03125</v>
      </c>
      <c r="BA327" s="106">
        <f t="shared" si="302"/>
        <v>235.96875</v>
      </c>
      <c r="BB327" s="104">
        <f>('Renewable Diesel'!Q336*'RD Feedstock Breakdown'!BB$3*'Feedstock Conversion Rates'!B$4)/12</f>
        <v>11.156249999999998</v>
      </c>
      <c r="BC327" s="104">
        <f>('Renewable Diesel'!Q336*'RD Feedstock Breakdown'!BC$3*'Feedstock Conversion Rates'!B$3)/12</f>
        <v>1.4017500000000001</v>
      </c>
      <c r="BD327" s="104">
        <f>('Renewable Diesel'!Q336*'RD Feedstock Breakdown'!BD$3*'Feedstock Conversion Rates'!B$6)/12</f>
        <v>0.8207500000000002</v>
      </c>
      <c r="BE327" s="106">
        <f t="shared" si="279"/>
        <v>13.378749999999998</v>
      </c>
      <c r="BF327" s="104">
        <f>('Renewable Diesel'!R336*'RD Feedstock Breakdown'!BF$3*'Feedstock Conversion Rates'!B$4)/12</f>
        <v>62.5</v>
      </c>
      <c r="BG327" s="106">
        <f t="shared" si="262"/>
        <v>62.5</v>
      </c>
      <c r="BH327" s="104">
        <f>('Renewable Diesel'!T336*'RD Feedstock Breakdown'!BH$3*'Feedstock Conversion Rates'!B$7)/12</f>
        <v>27.599999999999998</v>
      </c>
      <c r="BI327" s="106">
        <f t="shared" si="327"/>
        <v>27.599999999999998</v>
      </c>
      <c r="BJ327" s="104">
        <f>('Renewable Diesel'!W336*'RD Feedstock Breakdown'!BJ$3*'Feedstock Conversion Rates'!B$4)/12</f>
        <v>7.5</v>
      </c>
      <c r="BK327" s="104">
        <f>('Renewable Diesel'!W336*'RD Feedstock Breakdown'!BK$3*'Feedstock Conversion Rates'!B$3)/12</f>
        <v>1.335</v>
      </c>
      <c r="BL327" s="104">
        <f>('Renewable Diesel'!W336*'RD Feedstock Breakdown'!BL$3*'Feedstock Conversion Rates'!B$6)/12</f>
        <v>3.1266666666666669</v>
      </c>
      <c r="BM327" s="104">
        <f>('Renewable Diesel'!W336*'RD Feedstock Breakdown'!BM$3*'Feedstock Conversion Rates'!B$7)/12</f>
        <v>1.5333333333333332</v>
      </c>
      <c r="BN327" s="106">
        <f t="shared" si="296"/>
        <v>13.495000000000001</v>
      </c>
      <c r="BO327" s="104">
        <f>('Renewable Diesel'!P336*'Feedstock Conversion Rates'!B$4)/12</f>
        <v>31.25</v>
      </c>
      <c r="BP327" s="106">
        <f t="shared" si="285"/>
        <v>31.25</v>
      </c>
      <c r="BQ327" s="104">
        <f>('Renewable Diesel'!$S336*'RD Feedstock Breakdown'!BQ$3*'Feedstock Conversion Rates'!B$4)/12+10+15-15</f>
        <v>38.125</v>
      </c>
      <c r="BR327" s="104">
        <f>('Renewable Diesel'!$S336*'RD Feedstock Breakdown'!BR$3*'Feedstock Conversion Rates'!B$7)/12-10-15+15</f>
        <v>1.5</v>
      </c>
      <c r="BS327" s="106">
        <f t="shared" si="307"/>
        <v>39.625</v>
      </c>
      <c r="BT327" s="106"/>
      <c r="BU327" s="104">
        <f>('Renewable Diesel'!Y336*'Feedstock Conversion Rates'!B$7)/12</f>
        <v>2.6833333333333331</v>
      </c>
      <c r="BV327" s="106">
        <f t="shared" si="281"/>
        <v>2.6833333333333331</v>
      </c>
      <c r="BW327" s="104">
        <f>('Renewable Diesel'!$Z336*'RD Feedstock Breakdown'!BW$3*'Feedstock Conversion Rates'!$B$4)/12-50</f>
        <v>21.875</v>
      </c>
      <c r="BX327" s="104">
        <f>('Renewable Diesel'!$Z336*'RD Feedstock Breakdown'!BX$3*'Feedstock Conversion Rates'!$B$5)/12</f>
        <v>7.2354166666666666</v>
      </c>
      <c r="BY327" s="104">
        <f>('Renewable Diesel'!$Z336*'RD Feedstock Breakdown'!BY$3*'Feedstock Conversion Rates'!$B$7)/12</f>
        <v>61.716666666666661</v>
      </c>
      <c r="BZ327" s="104">
        <f>('Renewable Diesel'!$Z336*'RD Feedstock Breakdown'!BZ$3*'Feedstock Conversion Rates'!$B$3)/12+50</f>
        <v>65.352499999999992</v>
      </c>
      <c r="CA327" s="106">
        <f t="shared" si="312"/>
        <v>156.17958333333331</v>
      </c>
      <c r="CB327" s="104">
        <f>('Renewable Diesel'!AA336*'Feedstock Conversion Rates'!B$4)/12</f>
        <v>191.25</v>
      </c>
      <c r="CC327" s="106">
        <f t="shared" si="298"/>
        <v>191.25</v>
      </c>
      <c r="CD327" s="104">
        <f>('Renewable Diesel'!$AB336*'RD Feedstock Breakdown'!CD$3*'Feedstock Conversion Rates'!$B$6)/12-15-5</f>
        <v>12.830000000000005</v>
      </c>
      <c r="CE327" s="104">
        <f>('Renewable Diesel'!$AB336*'RD Feedstock Breakdown'!CE$3*'Feedstock Conversion Rates'!$B$4)/12+15+5</f>
        <v>31.25</v>
      </c>
      <c r="CF327" s="106">
        <f t="shared" si="294"/>
        <v>44.080000000000005</v>
      </c>
      <c r="CG327" s="104">
        <f>('Renewable Diesel'!AD336*'Feedstock Conversion Rates'!B$4)/12</f>
        <v>112.5</v>
      </c>
      <c r="CH327" s="106">
        <f t="shared" si="278"/>
        <v>112.5</v>
      </c>
      <c r="CI327" s="104">
        <f>('Renewable Diesel'!$AE336*'RD Feedstock Breakdown'!CI$3*'Feedstock Conversion Rates'!$B$5)/12</f>
        <v>0.34604166666666664</v>
      </c>
      <c r="CJ327" s="104">
        <f>('Renewable Diesel'!$AE336*'RD Feedstock Breakdown'!CJ$3*'Feedstock Conversion Rates'!$B$4)/12</f>
        <v>0.34375</v>
      </c>
      <c r="CK327" s="106">
        <f t="shared" si="286"/>
        <v>0.68979166666666658</v>
      </c>
      <c r="CL327" s="104">
        <f>(((CL$3*'Renewable Diesel'!$AF336)*'Feedstock Conversion Rates'!$B$3)/12)</f>
        <v>91.78125</v>
      </c>
      <c r="CM327" s="104">
        <f>(((CM$3*'Renewable Diesel'!$AF336)*'Feedstock Conversion Rates'!$B$6)/12)</f>
        <v>53.739583333333336</v>
      </c>
      <c r="CN327" s="104">
        <f>(((CN$3*'Renewable Diesel'!$AF336)*'Feedstock Conversion Rates'!$B$4)/12)</f>
        <v>42.96875</v>
      </c>
      <c r="CO327" s="106">
        <f t="shared" si="280"/>
        <v>188.48958333333334</v>
      </c>
      <c r="CP327" s="104">
        <f>('Renewable Diesel'!$AG336*'RD Feedstock Breakdown'!CP$3*'Feedstock Conversion Rates'!$B$3)/12</f>
        <v>6.0075000000000003</v>
      </c>
      <c r="CQ327" s="104">
        <f>('Renewable Diesel'!$AG336*'RD Feedstock Breakdown'!CQ$3*'Feedstock Conversion Rates'!$B$6)/12</f>
        <v>3.5175000000000001</v>
      </c>
      <c r="CR327" s="104">
        <f>('Renewable Diesel'!$AG336*'RD Feedstock Breakdown'!CR$3*'Feedstock Conversion Rates'!$B$4)/12</f>
        <v>2.8125</v>
      </c>
      <c r="CS327" s="106">
        <f t="shared" si="317"/>
        <v>12.3375</v>
      </c>
      <c r="CT327" s="104">
        <f>('Renewable Diesel'!AI336*'Feedstock Conversion Rates'!$B$4*'RD Feedstock Breakdown'!$CT$3)/12</f>
        <v>29.375</v>
      </c>
      <c r="CU327" s="106">
        <f t="shared" si="282"/>
        <v>29.375</v>
      </c>
      <c r="CV327" s="104">
        <f>('Renewable Diesel'!AN336*'Feedstock Conversion Rates'!$B$3*'RD Feedstock Breakdown'!$CV$3)/12</f>
        <v>0.50062499999999999</v>
      </c>
      <c r="CW327" s="106">
        <f t="shared" ref="CW327:CW390" si="338">CV327</f>
        <v>0.50062499999999999</v>
      </c>
      <c r="CX327" s="104">
        <f>('Renewable Diesel'!AO336*'RD Feedstock Breakdown'!$CX$3*'Feedstock Conversion Rates'!$B$3)/12</f>
        <v>6.3412499999999996</v>
      </c>
      <c r="CY327" s="104">
        <f>('Renewable Diesel'!AO336*'RD Feedstock Breakdown'!$CY$3*'Feedstock Conversion Rates'!$B$6)/12</f>
        <v>7.4258333333333342</v>
      </c>
      <c r="CZ327" s="106">
        <f t="shared" si="318"/>
        <v>13.767083333333334</v>
      </c>
      <c r="DA327" s="104">
        <f>('Renewable Diesel'!$AP336*'RD Feedstock Breakdown'!DA$3*'Feedstock Conversion Rates'!$B$3)/12</f>
        <v>6.3412499999999996</v>
      </c>
      <c r="DB327" s="104">
        <f>('Renewable Diesel'!$AP336*'RD Feedstock Breakdown'!DB$3*'Feedstock Conversion Rates'!$B$8)/12</f>
        <v>7.421875</v>
      </c>
      <c r="DC327" s="106">
        <f t="shared" si="260"/>
        <v>13.763124999999999</v>
      </c>
      <c r="DD327" s="104">
        <f>('Renewable Diesel'!AQ336*$DD$3*'Feedstock Conversion Rates'!$B$14)/12</f>
        <v>3.1041666666666665</v>
      </c>
      <c r="DE327" s="106">
        <f t="shared" si="261"/>
        <v>3.1041666666666665</v>
      </c>
      <c r="DF327" s="104">
        <f>('Renewable Diesel'!AR336*'Feedstock Conversion Rates'!$B$4*$DF$3)/12</f>
        <v>75</v>
      </c>
      <c r="DG327" s="106">
        <f t="shared" si="319"/>
        <v>75</v>
      </c>
      <c r="DH327" s="104">
        <f>('Renewable Diesel'!AS336*'Feedstock Conversion Rates'!$B$4*$DH$3)/12</f>
        <v>75</v>
      </c>
      <c r="DI327" s="106">
        <f t="shared" si="323"/>
        <v>75</v>
      </c>
      <c r="DJ327" s="104">
        <f>('Renewable Diesel'!AT336*'Feedstock Conversion Rates'!$B$4*0.25)/12</f>
        <v>8.59375</v>
      </c>
      <c r="DK327" s="104">
        <f>('Renewable Diesel'!$AT336*'RD Feedstock Breakdown'!DK$3*'Feedstock Conversion Rates'!$B$3)/12*0.5</f>
        <v>9.1781249999999996</v>
      </c>
      <c r="DL327" s="104">
        <f>('Renewable Diesel'!$AT336*'RD Feedstock Breakdown'!$DL$3*'Feedstock Conversion Rates'!$B$6)/12</f>
        <v>10.747916666666669</v>
      </c>
      <c r="DM327" s="104">
        <f>('Renewable Diesel'!$AT336*'RD Feedstock Breakdown'!$DM$3*'Feedstock Conversion Rates'!$B$8)/12</f>
        <v>10.7421875</v>
      </c>
      <c r="DN327" s="106">
        <f t="shared" si="297"/>
        <v>39.26197916666667</v>
      </c>
      <c r="DP327" s="104">
        <f t="shared" si="265"/>
        <v>103.22025000000001</v>
      </c>
      <c r="DQ327" s="104">
        <f t="shared" si="266"/>
        <v>429.11776750000001</v>
      </c>
      <c r="DR327" s="104">
        <f t="shared" si="271"/>
        <v>1869.453125</v>
      </c>
      <c r="DS327" s="104">
        <f t="shared" si="283"/>
        <v>228.90125</v>
      </c>
      <c r="DT327" s="104">
        <f t="shared" si="267"/>
        <v>225.53923333333341</v>
      </c>
      <c r="DU327" s="104">
        <f t="shared" si="268"/>
        <v>345.40610000000004</v>
      </c>
      <c r="DV327" s="104">
        <f t="shared" si="272"/>
        <v>78.75</v>
      </c>
      <c r="DW327" s="104">
        <f t="shared" si="269"/>
        <v>3</v>
      </c>
      <c r="DX327" s="106">
        <f t="shared" si="273"/>
        <v>3283.3877258333337</v>
      </c>
      <c r="DY327" s="109">
        <f t="shared" si="257"/>
        <v>-5.631051180898794E-13</v>
      </c>
      <c r="EA327" s="110">
        <f t="shared" si="313"/>
        <v>3.1437118798938797E-2</v>
      </c>
      <c r="EB327" s="110">
        <f t="shared" si="313"/>
        <v>0.13069360164921998</v>
      </c>
      <c r="EC327" s="110">
        <f t="shared" si="313"/>
        <v>0.56936715401941362</v>
      </c>
      <c r="ED327" s="110">
        <f t="shared" si="308"/>
        <v>6.9714961836224859E-2</v>
      </c>
      <c r="EE327" s="110">
        <f t="shared" si="308"/>
        <v>6.869101433218365E-2</v>
      </c>
      <c r="EF327" s="110">
        <f t="shared" si="308"/>
        <v>0.10519808467406479</v>
      </c>
      <c r="EG327" s="110">
        <f t="shared" si="308"/>
        <v>2.3984374242616447E-2</v>
      </c>
      <c r="EH327" s="111">
        <f t="shared" si="274"/>
        <v>9.1369044733776935E-4</v>
      </c>
      <c r="EI327" s="110">
        <f t="shared" si="321"/>
        <v>0.99908630955266209</v>
      </c>
      <c r="EK327" s="132">
        <f>(EA327*'Renewable Diesel'!BF336*'Feedstock Conversion Rates'!B$2)+FB327</f>
        <v>605.59843595651841</v>
      </c>
      <c r="EL327" s="132">
        <f>(EB327*'Renewable Diesel'!BF336*'Feedstock Conversion Rates'!B$3)+FC327</f>
        <v>2372.5202361559122</v>
      </c>
      <c r="EM327" s="132">
        <f>(EC327*'Renewable Diesel'!BF336*'Feedstock Conversion Rates'!B$4)+FD327</f>
        <v>9677.8025224532757</v>
      </c>
      <c r="EN327" s="132">
        <f>(ED327*'Renewable Diesel'!BF336*'Feedstock Conversion Rates'!B$5)+FE327</f>
        <v>1192.8779984469129</v>
      </c>
      <c r="EO327" s="132">
        <f>(EE327*'Renewable Diesel'!BF336*'Feedstock Conversion Rates'!B$6)+FF327</f>
        <v>1460.2454132262528</v>
      </c>
      <c r="EP327" s="132">
        <f>(EF327*'Renewable Diesel'!BF336*'Feedstock Conversion Rates'!B$7)+FG327</f>
        <v>2193.4045649724003</v>
      </c>
      <c r="EQ327" s="132">
        <f>(EG327*'Renewable Diesel'!BF336*'Feedstock Conversion Rates'!B$8)+FH327</f>
        <v>509.59217594931374</v>
      </c>
      <c r="ER327" s="132">
        <f>(EH327*'Renewable Diesel'!BF336*'Feedstock Conversion Rates'!B$9)+FI327</f>
        <v>19.154194803936111</v>
      </c>
      <c r="ES327" s="132">
        <f t="shared" si="275"/>
        <v>18031.195541964524</v>
      </c>
      <c r="ET327" s="133">
        <f>ES327/'Renewable Diesel'!BF336</f>
        <v>17.931270644422842</v>
      </c>
      <c r="EW327" s="73">
        <f t="shared" si="309"/>
        <v>16918.029588705907</v>
      </c>
      <c r="EX327" s="73">
        <f t="shared" si="310"/>
        <v>11143.902607001448</v>
      </c>
      <c r="EY327" s="92">
        <f t="shared" si="258"/>
        <v>0.93826444005513043</v>
      </c>
      <c r="EZ327" s="92">
        <f t="shared" si="258"/>
        <v>0.61803459349469758</v>
      </c>
      <c r="FB327" s="102">
        <f>IF('Renewable Diesel'!$BG336&lt;1,0,(((('Renewable Diesel'!$BG336-1)*'Renewable Diesel'!$BF336)*'RD Feedstock Breakdown'!EA327)*'Feedstock Conversion Rates'!$B$2))</f>
        <v>336.89382464189856</v>
      </c>
      <c r="FC327" s="102">
        <f>IF('Renewable Diesel'!$BG336&lt;1,0,(((('Renewable Diesel'!$BG336-1)*'Renewable Diesel'!$BF336)*'RD Feedstock Breakdown'!EB327)*'Feedstock Conversion Rates'!$B$3))</f>
        <v>1319.8307144509436</v>
      </c>
      <c r="FD327" s="102">
        <f>IF('Renewable Diesel'!$BG336&lt;1,0,(((('Renewable Diesel'!$BG336-1)*'Renewable Diesel'!$BF336)*'RD Feedstock Breakdown'!EC327)*'Feedstock Conversion Rates'!$B$4))</f>
        <v>5383.7521901268456</v>
      </c>
      <c r="FE327" s="102">
        <f>IF('Renewable Diesel'!$BG336&lt;1,0,(((('Renewable Diesel'!$BG336-1)*'Renewable Diesel'!$BF336)*'RD Feedstock Breakdown'!ED327)*'Feedstock Conversion Rates'!$B$5))</f>
        <v>663.59687767887078</v>
      </c>
      <c r="FF327" s="102">
        <f>IF('Renewable Diesel'!$BG336&lt;1,0,(((('Renewable Diesel'!$BG336-1)*'Renewable Diesel'!$BF336)*'RD Feedstock Breakdown'!EE327)*'Feedstock Conversion Rates'!$B$6))</f>
        <v>812.33311212333365</v>
      </c>
      <c r="FG327" s="102">
        <f>IF('Renewable Diesel'!$BG336&lt;1,0,(((('Renewable Diesel'!$BG336-1)*'Renewable Diesel'!$BF336)*'RD Feedstock Breakdown'!EF327)*'Feedstock Conversion Rates'!$B$7))</f>
        <v>1220.1888396779273</v>
      </c>
      <c r="FH327" s="102">
        <f>IF('Renewable Diesel'!$BG336&lt;1,0,(((('Renewable Diesel'!$BG336-1)*'Renewable Diesel'!$BF336)*'RD Feedstock Breakdown'!EG327)*'Feedstock Conversion Rates'!$B$8))</f>
        <v>283.48563498515716</v>
      </c>
      <c r="FI327" s="102">
        <f>IF('Renewable Diesel'!$BG336&lt;1,0,(((('Renewable Diesel'!$BG336-1)*'Renewable Diesel'!$BF336)*'RD Feedstock Breakdown'!EH327)*'Feedstock Conversion Rates'!$B$9))</f>
        <v>10.655460057854794</v>
      </c>
      <c r="FJ327" s="102">
        <f t="shared" si="311"/>
        <v>10030.736653742832</v>
      </c>
      <c r="GD327" s="91">
        <f>'Renewable Diesel'!BB336*0.32</f>
        <v>0</v>
      </c>
      <c r="GE327" s="91">
        <f>'Renewable Diesel'!BC336</f>
        <v>390.26670119342612</v>
      </c>
      <c r="GF327" s="91">
        <f>'Renewable Diesel'!BD336</f>
        <v>0</v>
      </c>
      <c r="GG327" s="91">
        <f t="shared" si="295"/>
        <v>390.26670119342612</v>
      </c>
      <c r="GH327" s="124">
        <v>1</v>
      </c>
      <c r="GI327" s="102">
        <f>$GG327*EA327*'Feedstock Conversion Rates'!$B$2</f>
        <v>104.28531551384533</v>
      </c>
      <c r="GJ327" s="102">
        <f>$GG327*EB327*'Feedstock Conversion Rates'!$B$3</f>
        <v>408.55293986965762</v>
      </c>
      <c r="GK327" s="102">
        <f>$GG327*EC327*'Feedstock Conversion Rates'!$B$4</f>
        <v>1666.5378072528445</v>
      </c>
      <c r="GL327" s="102">
        <f>$GG327*ED327*'Feedstock Conversion Rates'!$B$5</f>
        <v>205.41608275635048</v>
      </c>
      <c r="GM327" s="102">
        <f>$GG327*EE327*'Feedstock Conversion Rates'!$B$6</f>
        <v>251.45731000018463</v>
      </c>
      <c r="GN327" s="102">
        <f>$GG327*EF327*'Feedstock Conversion Rates'!$B$7</f>
        <v>377.70884719404859</v>
      </c>
      <c r="GO327" s="102">
        <f>$GG327*EG327*'Feedstock Conversion Rates'!$B$8</f>
        <v>87.752837023635934</v>
      </c>
      <c r="GP327" s="102">
        <f>$GG327*EH327*'Feedstock Conversion Rates'!B$9</f>
        <v>3.298392350348728</v>
      </c>
      <c r="GQ327" s="102">
        <f t="shared" si="276"/>
        <v>3105.0095319609163</v>
      </c>
      <c r="GR327" s="85">
        <f t="shared" si="293"/>
        <v>7.9561221146100154</v>
      </c>
      <c r="GT327" s="103">
        <f t="shared" si="333"/>
        <v>3.3586149878253584E-2</v>
      </c>
      <c r="GU327" s="103">
        <f t="shared" si="334"/>
        <v>0.13157864272694936</v>
      </c>
      <c r="GV327" s="103">
        <f t="shared" si="335"/>
        <v>0.53672550441427158</v>
      </c>
      <c r="GW327" s="103">
        <f t="shared" si="331"/>
        <v>6.6156345300049199E-2</v>
      </c>
      <c r="GX327" s="103">
        <f t="shared" si="331"/>
        <v>8.0984392289894555E-2</v>
      </c>
      <c r="GY327" s="103">
        <f t="shared" si="331"/>
        <v>0.12164498798028262</v>
      </c>
      <c r="GZ327" s="103">
        <f t="shared" si="331"/>
        <v>2.8261696500563434E-2</v>
      </c>
      <c r="HA327" s="103">
        <f t="shared" si="331"/>
        <v>1.0622809097354635E-3</v>
      </c>
    </row>
    <row r="328" spans="1:209" x14ac:dyDescent="0.25">
      <c r="A328" s="96">
        <v>50406</v>
      </c>
      <c r="B328" s="104">
        <f t="shared" si="336"/>
        <v>1.75</v>
      </c>
      <c r="C328" s="104">
        <f t="shared" si="314"/>
        <v>49</v>
      </c>
      <c r="D328" s="104">
        <f t="shared" si="337"/>
        <v>2</v>
      </c>
      <c r="E328" s="104">
        <f>('Renewable Diesel'!B337*E$3*'Feedstock Conversion Rates'!$B$2)/12+26+13-100+27.5+39</f>
        <v>95.43</v>
      </c>
      <c r="F328" s="104">
        <f>('Renewable Diesel'!B337*'RD Feedstock Breakdown'!F$3*'Feedstock Conversion Rates'!B$8)/12+77+23-10-12-115.75+24+8</f>
        <v>48.15625</v>
      </c>
      <c r="G328" s="104">
        <f>('Renewable Diesel'!B337*'RD Feedstock Breakdown'!G$3*'Feedstock Conversion Rates'!B$7)/12+116.75-39-57.5-145-31.5+32+70-40+10+2.5</f>
        <v>94.407000000000039</v>
      </c>
      <c r="H328" s="104">
        <f>('Renewable Diesel'!B337*'RD Feedstock Breakdown'!H$3*'Feedstock Conversion Rates'!B$3)/12+67+10+12+3-235+20+47-20+125</f>
        <v>205.40022499999998</v>
      </c>
      <c r="I328" s="106">
        <f t="shared" si="291"/>
        <v>496.14347500000002</v>
      </c>
      <c r="J328" s="104">
        <f t="shared" si="332"/>
        <v>4</v>
      </c>
      <c r="K328" s="104"/>
      <c r="L328" s="104">
        <v>1</v>
      </c>
      <c r="M328" s="104">
        <f>('Renewable Diesel'!C337*'RD Feedstock Breakdown'!M$3*'Feedstock Conversion Rates'!B$2)/12</f>
        <v>7.7902500000000003</v>
      </c>
      <c r="N328" s="104">
        <f>('Renewable Diesel'!C337*'RD Feedstock Breakdown'!N$3*'Feedstock Conversion Rates'!B$8)/12</f>
        <v>3.671875</v>
      </c>
      <c r="O328" s="104">
        <f>('Renewable Diesel'!C337*'RD Feedstock Breakdown'!O$3*'Feedstock Conversion Rates'!B$7)/12</f>
        <v>11.9991</v>
      </c>
      <c r="P328" s="104">
        <f>('Renewable Diesel'!C337*'RD Feedstock Breakdown'!P$3*'Feedstock Conversion Rates'!B$3)/12</f>
        <v>10.4470425</v>
      </c>
      <c r="Q328" s="106">
        <f t="shared" si="299"/>
        <v>38.908267500000001</v>
      </c>
      <c r="R328" s="104">
        <f>('Renewable Diesel'!D337*'RD Feedstock Breakdown'!R$3*'Feedstock Conversion Rates'!B$7)/12</f>
        <v>2.2999999999999998</v>
      </c>
      <c r="S328" s="106">
        <f t="shared" si="329"/>
        <v>2.2999999999999998</v>
      </c>
      <c r="T328" s="104">
        <f t="shared" si="300"/>
        <v>0.82499999999999929</v>
      </c>
      <c r="U328" s="104"/>
      <c r="V328" s="104">
        <f>('Renewable Diesel'!E337*'RD Feedstock Breakdown'!V$3*'Feedstock Conversion Rates'!B$6)/12-20+25</f>
        <v>49.250150000000012</v>
      </c>
      <c r="W328" s="104">
        <f>('Renewable Diesel'!E337*'RD Feedstock Breakdown'!W$3*'Feedstock Conversion Rates'!B$8)/12-6</f>
        <v>16.1796875</v>
      </c>
      <c r="X328" s="106">
        <f t="shared" si="277"/>
        <v>66.254837500000008</v>
      </c>
      <c r="Y328" s="104">
        <f t="shared" si="301"/>
        <v>98</v>
      </c>
      <c r="Z328" s="104">
        <f>('Renewable Diesel'!F337*'RD Feedstock Breakdown'!Z$3*'Feedstock Conversion Rates'!B$6)/12-142+15+5+20+5+5</f>
        <v>67.460000000000008</v>
      </c>
      <c r="AA328" s="104">
        <f>('Renewable Diesel'!F337*'RD Feedstock Breakdown'!AA$3*'Feedstock Conversion Rates'!B$7)/12+24</f>
        <v>128.26666666666665</v>
      </c>
      <c r="AB328" s="106">
        <f t="shared" si="320"/>
        <v>293.72666666666669</v>
      </c>
      <c r="AC328" s="104">
        <f>('Renewable Diesel'!G337*'RD Feedstock Breakdown'!AC$3*'Feedstock Conversion Rates'!B$5)/12</f>
        <v>11.796875</v>
      </c>
      <c r="AD328" s="104">
        <f>('Renewable Diesel'!G337*'RD Feedstock Breakdown'!AD$3*'Feedstock Conversion Rates'!B$4)/12</f>
        <v>5.859375</v>
      </c>
      <c r="AE328" s="104">
        <f>('Renewable Diesel'!G337*'RD Feedstock Breakdown'!AE$3*'Feedstock Conversion Rates'!B$6)/12</f>
        <v>7.3281250000000009</v>
      </c>
      <c r="AF328" s="106">
        <f t="shared" si="284"/>
        <v>24.984375</v>
      </c>
      <c r="AG328" s="104">
        <f t="shared" si="306"/>
        <v>148</v>
      </c>
      <c r="AH328" s="104"/>
      <c r="AI328" s="104">
        <f>('Renewable Diesel'!H337*'RD Feedstock Breakdown'!AI$3*'Feedstock Conversion Rates'!B$6)/12-130-20+51-49</f>
        <v>0.51666666666667993</v>
      </c>
      <c r="AJ328" s="106">
        <f t="shared" si="328"/>
        <v>148.51666666666668</v>
      </c>
      <c r="AK328" s="104">
        <f>('Renewable Diesel'!J337*'RD Feedstock Breakdown'!AK$3*'Feedstock Conversion Rates'!B$4)/12</f>
        <v>95.8125</v>
      </c>
      <c r="AL328" s="106">
        <f t="shared" si="330"/>
        <v>95.8125</v>
      </c>
      <c r="AM328" s="104">
        <f>('Renewable Diesel'!K337*'RD Feedstock Breakdown'!AM$3*'Feedstock Conversion Rates'!B$4)/12+5+15-10+10</f>
        <v>78.59375</v>
      </c>
      <c r="AN328" s="104">
        <f>('Renewable Diesel'!K337*'RD Feedstock Breakdown'!AN$3*'Feedstock Conversion Rates'!B$6)/12-5-15+10-10</f>
        <v>4.4270833333333321</v>
      </c>
      <c r="AO328" s="106">
        <f t="shared" si="270"/>
        <v>83.020833333333329</v>
      </c>
      <c r="AP328" s="104">
        <f>('Renewable Diesel'!L337*'RD Feedstock Breakdown'!AP$3*'Feedstock Conversion Rates'!B$4)/12+15-10+15</f>
        <v>78.59375</v>
      </c>
      <c r="AQ328" s="104">
        <f>('Renewable Diesel'!L337*'RD Feedstock Breakdown'!AQ$3*'Feedstock Conversion Rates'!B$6)/12-15+10-15</f>
        <v>4.4270833333333321</v>
      </c>
      <c r="AR328" s="106">
        <f t="shared" si="256"/>
        <v>83.020833333333329</v>
      </c>
      <c r="AS328" s="104">
        <f>('Renewable Diesel'!M337*'RD Feedstock Breakdown'!AS$3*'Feedstock Conversion Rates'!B$4)/12</f>
        <v>456.25</v>
      </c>
      <c r="AT328" s="104">
        <f>('Renewable Diesel'!M337*'RD Feedstock Breakdown'!AT$3*'Feedstock Conversion Rates'!B$5)/12</f>
        <v>0</v>
      </c>
      <c r="AU328" s="106">
        <f t="shared" si="290"/>
        <v>456.25</v>
      </c>
      <c r="AV328" s="104">
        <f>'Renewable Diesel'!N337*'RD Feedstock Breakdown'!$AV$3*'Feedstock Conversion Rates'!$B$4/12-15-10+25+25-22+25</f>
        <v>106.74999999999999</v>
      </c>
      <c r="AW328" s="104">
        <f>'Renewable Diesel'!N337*'RD Feedstock Breakdown'!$AW$3*'Feedstock Conversion Rates'!$B$7/12+15+10-25-25+22-25</f>
        <v>13.400000000000006</v>
      </c>
      <c r="AX328" s="106">
        <f t="shared" si="322"/>
        <v>120.14999999999999</v>
      </c>
      <c r="AY328" s="104">
        <f>('Renewable Diesel'!O337*'RD Feedstock Breakdown'!AY$3*'Feedstock Conversion Rates'!B$4)/12</f>
        <v>210.9375</v>
      </c>
      <c r="AZ328" s="104">
        <f>('Renewable Diesel'!O337*'RD Feedstock Breakdown'!AZ$3*'Feedstock Conversion Rates'!B$3)/12</f>
        <v>25.03125</v>
      </c>
      <c r="BA328" s="106">
        <f t="shared" si="302"/>
        <v>235.96875</v>
      </c>
      <c r="BB328" s="104">
        <f>('Renewable Diesel'!Q337*'RD Feedstock Breakdown'!BB$3*'Feedstock Conversion Rates'!B$4)/12</f>
        <v>11.156249999999998</v>
      </c>
      <c r="BC328" s="104">
        <f>('Renewable Diesel'!Q337*'RD Feedstock Breakdown'!BC$3*'Feedstock Conversion Rates'!B$3)/12</f>
        <v>1.4017500000000001</v>
      </c>
      <c r="BD328" s="104">
        <f>('Renewable Diesel'!Q337*'RD Feedstock Breakdown'!BD$3*'Feedstock Conversion Rates'!B$6)/12</f>
        <v>0.8207500000000002</v>
      </c>
      <c r="BE328" s="106">
        <f t="shared" si="279"/>
        <v>13.378749999999998</v>
      </c>
      <c r="BF328" s="104">
        <f>('Renewable Diesel'!R337*'RD Feedstock Breakdown'!BF$3*'Feedstock Conversion Rates'!B$4)/12</f>
        <v>62.5</v>
      </c>
      <c r="BG328" s="106">
        <f t="shared" si="262"/>
        <v>62.5</v>
      </c>
      <c r="BH328" s="104">
        <f>('Renewable Diesel'!T337*'RD Feedstock Breakdown'!BH$3*'Feedstock Conversion Rates'!B$7)/12</f>
        <v>27.599999999999998</v>
      </c>
      <c r="BI328" s="106">
        <f t="shared" si="327"/>
        <v>27.599999999999998</v>
      </c>
      <c r="BJ328" s="104">
        <f>('Renewable Diesel'!W337*'RD Feedstock Breakdown'!BJ$3*'Feedstock Conversion Rates'!B$4)/12</f>
        <v>7.5</v>
      </c>
      <c r="BK328" s="104">
        <f>('Renewable Diesel'!W337*'RD Feedstock Breakdown'!BK$3*'Feedstock Conversion Rates'!B$3)/12</f>
        <v>1.335</v>
      </c>
      <c r="BL328" s="104">
        <f>('Renewable Diesel'!W337*'RD Feedstock Breakdown'!BL$3*'Feedstock Conversion Rates'!B$6)/12</f>
        <v>3.1266666666666669</v>
      </c>
      <c r="BM328" s="104">
        <f>('Renewable Diesel'!W337*'RD Feedstock Breakdown'!BM$3*'Feedstock Conversion Rates'!B$7)/12</f>
        <v>1.5333333333333332</v>
      </c>
      <c r="BN328" s="106">
        <f t="shared" si="296"/>
        <v>13.495000000000001</v>
      </c>
      <c r="BO328" s="104">
        <f>('Renewable Diesel'!P337*'Feedstock Conversion Rates'!B$4)/12</f>
        <v>31.25</v>
      </c>
      <c r="BP328" s="106">
        <f t="shared" si="285"/>
        <v>31.25</v>
      </c>
      <c r="BQ328" s="104">
        <f>('Renewable Diesel'!$S337*'RD Feedstock Breakdown'!BQ$3*'Feedstock Conversion Rates'!B$4)/12+10+15-15</f>
        <v>38.125</v>
      </c>
      <c r="BR328" s="104">
        <f>('Renewable Diesel'!$S337*'RD Feedstock Breakdown'!BR$3*'Feedstock Conversion Rates'!B$7)/12-10-15+15</f>
        <v>1.5</v>
      </c>
      <c r="BS328" s="106">
        <f t="shared" si="307"/>
        <v>39.625</v>
      </c>
      <c r="BT328" s="106"/>
      <c r="BU328" s="104">
        <f>('Renewable Diesel'!Y337*'Feedstock Conversion Rates'!B$7)/12</f>
        <v>2.6833333333333331</v>
      </c>
      <c r="BV328" s="106">
        <f t="shared" si="281"/>
        <v>2.6833333333333331</v>
      </c>
      <c r="BW328" s="104">
        <f>('Renewable Diesel'!$Z337*'RD Feedstock Breakdown'!BW$3*'Feedstock Conversion Rates'!$B$4)/12-50</f>
        <v>21.875</v>
      </c>
      <c r="BX328" s="104">
        <f>('Renewable Diesel'!$Z337*'RD Feedstock Breakdown'!BX$3*'Feedstock Conversion Rates'!$B$5)/12</f>
        <v>7.2354166666666666</v>
      </c>
      <c r="BY328" s="104">
        <f>('Renewable Diesel'!$Z337*'RD Feedstock Breakdown'!BY$3*'Feedstock Conversion Rates'!$B$7)/12</f>
        <v>61.716666666666661</v>
      </c>
      <c r="BZ328" s="104">
        <f>('Renewable Diesel'!$Z337*'RD Feedstock Breakdown'!BZ$3*'Feedstock Conversion Rates'!$B$3)/12+50</f>
        <v>65.352499999999992</v>
      </c>
      <c r="CA328" s="106">
        <f t="shared" si="312"/>
        <v>156.17958333333331</v>
      </c>
      <c r="CB328" s="104">
        <f>('Renewable Diesel'!AA337*'Feedstock Conversion Rates'!B$4)/12</f>
        <v>191.25</v>
      </c>
      <c r="CC328" s="106">
        <f t="shared" si="298"/>
        <v>191.25</v>
      </c>
      <c r="CD328" s="104">
        <f>('Renewable Diesel'!$AB337*'RD Feedstock Breakdown'!CD$3*'Feedstock Conversion Rates'!$B$6)/12-15-5</f>
        <v>12.830000000000005</v>
      </c>
      <c r="CE328" s="104">
        <f>('Renewable Diesel'!$AB337*'RD Feedstock Breakdown'!CE$3*'Feedstock Conversion Rates'!$B$4)/12+15+5</f>
        <v>31.25</v>
      </c>
      <c r="CF328" s="106">
        <f t="shared" si="294"/>
        <v>44.080000000000005</v>
      </c>
      <c r="CG328" s="104">
        <f>('Renewable Diesel'!AD337*'Feedstock Conversion Rates'!B$4)/12</f>
        <v>112.5</v>
      </c>
      <c r="CH328" s="106">
        <f t="shared" si="278"/>
        <v>112.5</v>
      </c>
      <c r="CI328" s="104">
        <f>('Renewable Diesel'!$AE337*'RD Feedstock Breakdown'!CI$3*'Feedstock Conversion Rates'!$B$5)/12</f>
        <v>0.34604166666666664</v>
      </c>
      <c r="CJ328" s="104">
        <f>('Renewable Diesel'!$AE337*'RD Feedstock Breakdown'!CJ$3*'Feedstock Conversion Rates'!$B$4)/12</f>
        <v>0.34375</v>
      </c>
      <c r="CK328" s="106">
        <f t="shared" si="286"/>
        <v>0.68979166666666658</v>
      </c>
      <c r="CL328" s="104">
        <f>(((CL$3*'Renewable Diesel'!$AF337)*'Feedstock Conversion Rates'!$B$3)/12)</f>
        <v>91.78125</v>
      </c>
      <c r="CM328" s="104">
        <f>(((CM$3*'Renewable Diesel'!$AF337)*'Feedstock Conversion Rates'!$B$6)/12)</f>
        <v>53.739583333333336</v>
      </c>
      <c r="CN328" s="104">
        <f>(((CN$3*'Renewable Diesel'!$AF337)*'Feedstock Conversion Rates'!$B$4)/12)</f>
        <v>42.96875</v>
      </c>
      <c r="CO328" s="106">
        <f t="shared" si="280"/>
        <v>188.48958333333334</v>
      </c>
      <c r="CP328" s="104">
        <f>('Renewable Diesel'!$AG337*'RD Feedstock Breakdown'!CP$3*'Feedstock Conversion Rates'!$B$3)/12</f>
        <v>6.0075000000000003</v>
      </c>
      <c r="CQ328" s="104">
        <f>('Renewable Diesel'!$AG337*'RD Feedstock Breakdown'!CQ$3*'Feedstock Conversion Rates'!$B$6)/12</f>
        <v>3.5175000000000001</v>
      </c>
      <c r="CR328" s="104">
        <f>('Renewable Diesel'!$AG337*'RD Feedstock Breakdown'!CR$3*'Feedstock Conversion Rates'!$B$4)/12</f>
        <v>2.8125</v>
      </c>
      <c r="CS328" s="106">
        <f t="shared" si="317"/>
        <v>12.3375</v>
      </c>
      <c r="CT328" s="104">
        <f>('Renewable Diesel'!AI337*'Feedstock Conversion Rates'!$B$4*'RD Feedstock Breakdown'!$CT$3)/12</f>
        <v>29.375</v>
      </c>
      <c r="CU328" s="106">
        <f t="shared" si="282"/>
        <v>29.375</v>
      </c>
      <c r="CV328" s="104">
        <f>('Renewable Diesel'!AN337*'Feedstock Conversion Rates'!$B$3*'RD Feedstock Breakdown'!$CV$3)/12</f>
        <v>0.50062499999999999</v>
      </c>
      <c r="CW328" s="106">
        <f t="shared" si="338"/>
        <v>0.50062499999999999</v>
      </c>
      <c r="CX328" s="104">
        <f>('Renewable Diesel'!AO337*'RD Feedstock Breakdown'!$CX$3*'Feedstock Conversion Rates'!$B$3)/12</f>
        <v>6.3412499999999996</v>
      </c>
      <c r="CY328" s="104">
        <f>('Renewable Diesel'!AO337*'RD Feedstock Breakdown'!$CY$3*'Feedstock Conversion Rates'!$B$6)/12</f>
        <v>7.4258333333333342</v>
      </c>
      <c r="CZ328" s="106">
        <f t="shared" si="318"/>
        <v>13.767083333333334</v>
      </c>
      <c r="DA328" s="104">
        <f>('Renewable Diesel'!$AP337*'RD Feedstock Breakdown'!DA$3*'Feedstock Conversion Rates'!$B$3)/12</f>
        <v>6.3412499999999996</v>
      </c>
      <c r="DB328" s="104">
        <f>('Renewable Diesel'!$AP337*'RD Feedstock Breakdown'!DB$3*'Feedstock Conversion Rates'!$B$8)/12</f>
        <v>7.421875</v>
      </c>
      <c r="DC328" s="106">
        <f t="shared" si="260"/>
        <v>13.763124999999999</v>
      </c>
      <c r="DD328" s="104">
        <f>('Renewable Diesel'!AQ337*$DD$3*'Feedstock Conversion Rates'!$B$14)/12</f>
        <v>3.1041666666666665</v>
      </c>
      <c r="DE328" s="106">
        <f t="shared" si="261"/>
        <v>3.1041666666666665</v>
      </c>
      <c r="DF328" s="104">
        <f>('Renewable Diesel'!AR337*'Feedstock Conversion Rates'!$B$4*$DF$3)/12</f>
        <v>75</v>
      </c>
      <c r="DG328" s="106">
        <f t="shared" si="319"/>
        <v>75</v>
      </c>
      <c r="DH328" s="104">
        <f>('Renewable Diesel'!AS337*'Feedstock Conversion Rates'!$B$4*$DH$3)/12</f>
        <v>75</v>
      </c>
      <c r="DI328" s="106">
        <f t="shared" si="323"/>
        <v>75</v>
      </c>
      <c r="DJ328" s="104">
        <f>('Renewable Diesel'!AT337*'Feedstock Conversion Rates'!$B$4*0.25)/12</f>
        <v>8.59375</v>
      </c>
      <c r="DK328" s="104">
        <f>('Renewable Diesel'!$AT337*'RD Feedstock Breakdown'!DK$3*'Feedstock Conversion Rates'!$B$3)/12*0.5</f>
        <v>9.1781249999999996</v>
      </c>
      <c r="DL328" s="104">
        <f>('Renewable Diesel'!$AT337*'RD Feedstock Breakdown'!$DL$3*'Feedstock Conversion Rates'!$B$6)/12</f>
        <v>10.747916666666669</v>
      </c>
      <c r="DM328" s="104">
        <f>('Renewable Diesel'!$AT337*'RD Feedstock Breakdown'!$DM$3*'Feedstock Conversion Rates'!$B$8)/12</f>
        <v>10.7421875</v>
      </c>
      <c r="DN328" s="106">
        <f t="shared" si="297"/>
        <v>39.26197916666667</v>
      </c>
      <c r="DP328" s="104">
        <f t="shared" si="265"/>
        <v>103.22025000000001</v>
      </c>
      <c r="DQ328" s="104">
        <f t="shared" si="266"/>
        <v>429.11776750000001</v>
      </c>
      <c r="DR328" s="104">
        <f t="shared" si="271"/>
        <v>1869.453125</v>
      </c>
      <c r="DS328" s="104">
        <f t="shared" si="283"/>
        <v>228.90125</v>
      </c>
      <c r="DT328" s="104">
        <f t="shared" si="267"/>
        <v>233.03923333333344</v>
      </c>
      <c r="DU328" s="104">
        <f t="shared" si="268"/>
        <v>345.40610000000004</v>
      </c>
      <c r="DV328" s="104">
        <f t="shared" si="272"/>
        <v>78.75</v>
      </c>
      <c r="DW328" s="104">
        <f t="shared" si="269"/>
        <v>3</v>
      </c>
      <c r="DX328" s="106">
        <f t="shared" si="273"/>
        <v>3290.8877258333337</v>
      </c>
      <c r="DY328" s="109">
        <f t="shared" si="257"/>
        <v>-5.631051180898794E-13</v>
      </c>
      <c r="EA328" s="110">
        <f t="shared" si="313"/>
        <v>3.1365472966374777E-2</v>
      </c>
      <c r="EB328" s="110">
        <f t="shared" si="313"/>
        <v>0.13039574827528849</v>
      </c>
      <c r="EC328" s="110">
        <f t="shared" si="313"/>
        <v>0.56806955470551901</v>
      </c>
      <c r="ED328" s="110">
        <f t="shared" si="308"/>
        <v>6.955608002154999E-2</v>
      </c>
      <c r="EE328" s="110">
        <f t="shared" si="308"/>
        <v>7.0813486435281583E-2</v>
      </c>
      <c r="EF328" s="110">
        <f t="shared" si="308"/>
        <v>0.10495833610140398</v>
      </c>
      <c r="EG328" s="110">
        <f t="shared" si="308"/>
        <v>2.3929713366340557E-2</v>
      </c>
      <c r="EH328" s="111">
        <f t="shared" si="274"/>
        <v>9.1160812824154505E-4</v>
      </c>
      <c r="EI328" s="110">
        <f t="shared" si="321"/>
        <v>0.99908839187175835</v>
      </c>
      <c r="EK328" s="132">
        <f>(EA328*'Renewable Diesel'!BF337*'Feedstock Conversion Rates'!B$2)+FB328</f>
        <v>220.62491090711723</v>
      </c>
      <c r="EL328" s="132">
        <f>(EB328*'Renewable Diesel'!BF337*'Feedstock Conversion Rates'!B$3)+FC328</f>
        <v>864.3302800154745</v>
      </c>
      <c r="EM328" s="132">
        <f>(EC328*'Renewable Diesel'!BF337*'Feedstock Conversion Rates'!B$4)+FD328</f>
        <v>3525.7097649542684</v>
      </c>
      <c r="EN328" s="132">
        <f>(ED328*'Renewable Diesel'!BF337*'Feedstock Conversion Rates'!B$5)+FE328</f>
        <v>434.57609284398251</v>
      </c>
      <c r="EO328" s="132">
        <f>(EE328*'Renewable Diesel'!BF337*'Feedstock Conversion Rates'!B$6)+FF328</f>
        <v>549.67071088933631</v>
      </c>
      <c r="EP328" s="132">
        <f>(EF328*'Renewable Diesel'!BF337*'Feedstock Conversion Rates'!B$7)+FG328</f>
        <v>799.07684366120986</v>
      </c>
      <c r="EQ328" s="132">
        <f>(EG328*'Renewable Diesel'!BF337*'Feedstock Conversion Rates'!B$8)+FH328</f>
        <v>185.64897420880015</v>
      </c>
      <c r="ER328" s="132">
        <f>(EH328*'Renewable Diesel'!BF337*'Feedstock Conversion Rates'!B$9)+FI328</f>
        <v>6.9780439829593455</v>
      </c>
      <c r="ES328" s="132">
        <f t="shared" si="275"/>
        <v>6586.6156214631483</v>
      </c>
      <c r="ET328" s="133">
        <f>ES328/'Renewable Diesel'!BF337</f>
        <v>10.663463670815672</v>
      </c>
      <c r="EW328" s="73">
        <f t="shared" si="309"/>
        <v>4964.5557175328304</v>
      </c>
      <c r="EX328" s="73">
        <f t="shared" si="310"/>
        <v>3292.3281077437409</v>
      </c>
      <c r="EY328" s="92">
        <f t="shared" si="258"/>
        <v>0.75373393603770156</v>
      </c>
      <c r="EZ328" s="92">
        <f t="shared" si="258"/>
        <v>0.49985125851512563</v>
      </c>
      <c r="FB328" s="102">
        <f>IF('Renewable Diesel'!$BG337&lt;1,0,(((('Renewable Diesel'!$BG337-1)*'Renewable Diesel'!$BF337)*'RD Feedstock Breakdown'!EA328)*'Feedstock Conversion Rates'!$B$2))</f>
        <v>55.947210955581454</v>
      </c>
      <c r="FC328" s="102">
        <f>IF('Renewable Diesel'!$BG337&lt;1,0,(((('Renewable Diesel'!$BG337-1)*'Renewable Diesel'!$BF337)*'RD Feedstock Breakdown'!EB328)*'Feedstock Conversion Rates'!$B$3))</f>
        <v>219.18136221562355</v>
      </c>
      <c r="FD328" s="102">
        <f>IF('Renewable Diesel'!$BG337&lt;1,0,(((('Renewable Diesel'!$BG337-1)*'Renewable Diesel'!$BF337)*'RD Feedstock Breakdown'!EC328)*'Feedstock Conversion Rates'!$B$4))</f>
        <v>894.0677966827302</v>
      </c>
      <c r="FE328" s="102">
        <f>IF('Renewable Diesel'!$BG337&lt;1,0,(((('Renewable Diesel'!$BG337-1)*'Renewable Diesel'!$BF337)*'RD Feedstock Breakdown'!ED328)*'Feedstock Conversion Rates'!$B$5))</f>
        <v>110.20206305184873</v>
      </c>
      <c r="FF328" s="102">
        <f>IF('Renewable Diesel'!$BG337&lt;1,0,(((('Renewable Diesel'!$BG337-1)*'Renewable Diesel'!$BF337)*'RD Feedstock Breakdown'!EE328)*'Feedstock Conversion Rates'!$B$6))</f>
        <v>139.38835416086312</v>
      </c>
      <c r="FG328" s="102">
        <f>IF('Renewable Diesel'!$BG337&lt;1,0,(((('Renewable Diesel'!$BG337-1)*'Renewable Diesel'!$BF337)*'RD Feedstock Breakdown'!EF328)*'Feedstock Conversion Rates'!$B$7))</f>
        <v>202.63405686248686</v>
      </c>
      <c r="FH328" s="102">
        <f>IF('Renewable Diesel'!$BG337&lt;1,0,(((('Renewable Diesel'!$BG337-1)*'Renewable Diesel'!$BF337)*'RD Feedstock Breakdown'!EG328)*'Feedstock Conversion Rates'!$B$8))</f>
        <v>47.077831243271348</v>
      </c>
      <c r="FI328" s="102">
        <f>IF('Renewable Diesel'!$BG337&lt;1,0,(((('Renewable Diesel'!$BG337-1)*'Renewable Diesel'!$BF337)*'RD Feedstock Breakdown'!EH328)*'Feedstock Conversion Rates'!$B$9))</f>
        <v>1.7695286410169295</v>
      </c>
      <c r="FJ328" s="102">
        <f t="shared" si="311"/>
        <v>1670.2682038134221</v>
      </c>
      <c r="GD328" s="91">
        <f>'Renewable Diesel'!BB337*0.32</f>
        <v>0</v>
      </c>
      <c r="GE328" s="91">
        <f>'Renewable Diesel'!BC337</f>
        <v>263.18336704348184</v>
      </c>
      <c r="GF328" s="91">
        <f>'Renewable Diesel'!BD337</f>
        <v>0</v>
      </c>
      <c r="GG328" s="91">
        <f t="shared" si="295"/>
        <v>263.18336704348184</v>
      </c>
      <c r="GH328" s="124">
        <v>1</v>
      </c>
      <c r="GI328" s="102">
        <f>$GG328*EA328*'Feedstock Conversion Rates'!$B$2</f>
        <v>70.166401665715469</v>
      </c>
      <c r="GJ328" s="102">
        <f>$GG328*EB328*'Feedstock Conversion Rates'!$B$3</f>
        <v>274.88711655475021</v>
      </c>
      <c r="GK328" s="102">
        <f>$GG328*EC328*'Feedstock Conversion Rates'!$B$4</f>
        <v>1121.2984359171742</v>
      </c>
      <c r="GL328" s="102">
        <f>$GG328*ED328*'Feedstock Conversion Rates'!$B$5</f>
        <v>138.21032520505125</v>
      </c>
      <c r="GM328" s="102">
        <f>$GG328*EE328*'Feedstock Conversion Rates'!$B$6</f>
        <v>174.81442021013567</v>
      </c>
      <c r="GN328" s="102">
        <f>$GG328*EF328*'Feedstock Conversion Rates'!$B$7</f>
        <v>254.13425230893017</v>
      </c>
      <c r="GO328" s="102">
        <f>$GG328*EG328*'Feedstock Conversion Rates'!$B$8</f>
        <v>59.042836276302381</v>
      </c>
      <c r="GP328" s="102">
        <f>$GG328*EH328*'Feedstock Conversion Rates'!B$9</f>
        <v>2.2192608936870482</v>
      </c>
      <c r="GQ328" s="102">
        <f t="shared" si="276"/>
        <v>2094.7730490317467</v>
      </c>
      <c r="GR328" s="85">
        <f t="shared" si="293"/>
        <v>7.9593671612448773</v>
      </c>
      <c r="GT328" s="103">
        <f t="shared" si="333"/>
        <v>3.3495944440448108E-2</v>
      </c>
      <c r="GU328" s="103">
        <f t="shared" si="334"/>
        <v>0.13122524976240718</v>
      </c>
      <c r="GV328" s="103">
        <f t="shared" si="335"/>
        <v>0.53528397094638247</v>
      </c>
      <c r="GW328" s="103">
        <f t="shared" si="331"/>
        <v>6.5978663067550611E-2</v>
      </c>
      <c r="GX328" s="103">
        <f t="shared" si="331"/>
        <v>8.3452677745180559E-2</v>
      </c>
      <c r="GY328" s="103">
        <f t="shared" si="331"/>
        <v>0.1213182747536288</v>
      </c>
      <c r="GZ328" s="103">
        <f t="shared" si="331"/>
        <v>2.8185791441031463E-2</v>
      </c>
      <c r="HA328" s="103">
        <f t="shared" si="331"/>
        <v>1.0594278433708334E-3</v>
      </c>
    </row>
    <row r="329" spans="1:209" x14ac:dyDescent="0.25">
      <c r="A329" s="96">
        <v>50437</v>
      </c>
      <c r="B329" s="104">
        <f t="shared" si="336"/>
        <v>1.75</v>
      </c>
      <c r="C329" s="104">
        <f t="shared" si="314"/>
        <v>49</v>
      </c>
      <c r="D329" s="104">
        <f t="shared" si="337"/>
        <v>2</v>
      </c>
      <c r="E329" s="104">
        <f>('Renewable Diesel'!B338*E$3*'Feedstock Conversion Rates'!$B$2)/12+26+13-100+27.5+39</f>
        <v>95.43</v>
      </c>
      <c r="F329" s="104">
        <f>('Renewable Diesel'!B338*'RD Feedstock Breakdown'!F$3*'Feedstock Conversion Rates'!B$8)/12+77+23-10-12-115.75+24+8</f>
        <v>48.15625</v>
      </c>
      <c r="G329" s="104">
        <f>('Renewable Diesel'!B338*'RD Feedstock Breakdown'!G$3*'Feedstock Conversion Rates'!B$7)/12+116.75-39-57.5-145-31.5+32+70-40+10+2.5</f>
        <v>94.407000000000039</v>
      </c>
      <c r="H329" s="104">
        <f>('Renewable Diesel'!B338*'RD Feedstock Breakdown'!H$3*'Feedstock Conversion Rates'!B$3)/12+67+10+12+3-235+20+47-20+125</f>
        <v>205.40022499999998</v>
      </c>
      <c r="I329" s="106">
        <f t="shared" si="291"/>
        <v>496.14347500000002</v>
      </c>
      <c r="J329" s="104">
        <f t="shared" si="332"/>
        <v>4</v>
      </c>
      <c r="K329" s="104"/>
      <c r="L329" s="104">
        <v>1</v>
      </c>
      <c r="M329" s="104">
        <f>('Renewable Diesel'!C338*'RD Feedstock Breakdown'!M$3*'Feedstock Conversion Rates'!B$2)/12</f>
        <v>7.7902500000000003</v>
      </c>
      <c r="N329" s="104">
        <f>('Renewable Diesel'!C338*'RD Feedstock Breakdown'!N$3*'Feedstock Conversion Rates'!B$8)/12</f>
        <v>3.671875</v>
      </c>
      <c r="O329" s="104">
        <f>('Renewable Diesel'!C338*'RD Feedstock Breakdown'!O$3*'Feedstock Conversion Rates'!B$7)/12</f>
        <v>11.9991</v>
      </c>
      <c r="P329" s="104">
        <f>('Renewable Diesel'!C338*'RD Feedstock Breakdown'!P$3*'Feedstock Conversion Rates'!B$3)/12</f>
        <v>10.4470425</v>
      </c>
      <c r="Q329" s="106">
        <f t="shared" si="299"/>
        <v>38.908267500000001</v>
      </c>
      <c r="R329" s="104">
        <f>('Renewable Diesel'!D338*'RD Feedstock Breakdown'!R$3*'Feedstock Conversion Rates'!B$7)/12</f>
        <v>2.2999999999999998</v>
      </c>
      <c r="S329" s="106">
        <f t="shared" si="329"/>
        <v>2.2999999999999998</v>
      </c>
      <c r="T329" s="104">
        <f t="shared" si="300"/>
        <v>0.82499999999999929</v>
      </c>
      <c r="U329" s="104"/>
      <c r="V329" s="104">
        <f>('Renewable Diesel'!E338*'RD Feedstock Breakdown'!V$3*'Feedstock Conversion Rates'!B$6)/12-20+25</f>
        <v>49.250150000000012</v>
      </c>
      <c r="W329" s="104">
        <f>('Renewable Diesel'!E338*'RD Feedstock Breakdown'!W$3*'Feedstock Conversion Rates'!B$8)/12-6</f>
        <v>16.1796875</v>
      </c>
      <c r="X329" s="106">
        <f t="shared" si="277"/>
        <v>66.254837500000008</v>
      </c>
      <c r="Y329" s="104">
        <f t="shared" si="301"/>
        <v>98</v>
      </c>
      <c r="Z329" s="104">
        <f>('Renewable Diesel'!F338*'RD Feedstock Breakdown'!Z$3*'Feedstock Conversion Rates'!B$6)/12-142+15+5+20+5+5</f>
        <v>67.460000000000008</v>
      </c>
      <c r="AA329" s="104">
        <f>('Renewable Diesel'!F338*'RD Feedstock Breakdown'!AA$3*'Feedstock Conversion Rates'!B$7)/12+24</f>
        <v>128.26666666666665</v>
      </c>
      <c r="AB329" s="106">
        <f t="shared" si="320"/>
        <v>293.72666666666669</v>
      </c>
      <c r="AC329" s="104">
        <f>('Renewable Diesel'!G338*'RD Feedstock Breakdown'!AC$3*'Feedstock Conversion Rates'!B$5)/12</f>
        <v>11.796875</v>
      </c>
      <c r="AD329" s="104">
        <f>('Renewable Diesel'!G338*'RD Feedstock Breakdown'!AD$3*'Feedstock Conversion Rates'!B$4)/12</f>
        <v>5.859375</v>
      </c>
      <c r="AE329" s="104">
        <f>('Renewable Diesel'!G338*'RD Feedstock Breakdown'!AE$3*'Feedstock Conversion Rates'!B$6)/12</f>
        <v>7.3281250000000009</v>
      </c>
      <c r="AF329" s="106">
        <f t="shared" si="284"/>
        <v>24.984375</v>
      </c>
      <c r="AG329" s="104">
        <f t="shared" si="306"/>
        <v>148</v>
      </c>
      <c r="AH329" s="104"/>
      <c r="AI329" s="104">
        <f>('Renewable Diesel'!H338*'RD Feedstock Breakdown'!AI$3*'Feedstock Conversion Rates'!B$6)/12-130-20+51-49</f>
        <v>0.51666666666667993</v>
      </c>
      <c r="AJ329" s="106">
        <f t="shared" si="328"/>
        <v>148.51666666666668</v>
      </c>
      <c r="AK329" s="104">
        <f>('Renewable Diesel'!J338*'RD Feedstock Breakdown'!AK$3*'Feedstock Conversion Rates'!B$4)/12</f>
        <v>95.8125</v>
      </c>
      <c r="AL329" s="106">
        <f t="shared" si="330"/>
        <v>95.8125</v>
      </c>
      <c r="AM329" s="104">
        <f>('Renewable Diesel'!K338*'RD Feedstock Breakdown'!AM$3*'Feedstock Conversion Rates'!B$4)/12+5+15-10+10</f>
        <v>78.59375</v>
      </c>
      <c r="AN329" s="104">
        <f>('Renewable Diesel'!K338*'RD Feedstock Breakdown'!AN$3*'Feedstock Conversion Rates'!B$6)/12-5-15+10-10</f>
        <v>4.4270833333333321</v>
      </c>
      <c r="AO329" s="106">
        <f t="shared" si="270"/>
        <v>83.020833333333329</v>
      </c>
      <c r="AP329" s="104">
        <f>('Renewable Diesel'!L338*'RD Feedstock Breakdown'!AP$3*'Feedstock Conversion Rates'!B$4)/12+15-10+15</f>
        <v>78.59375</v>
      </c>
      <c r="AQ329" s="104">
        <f>('Renewable Diesel'!L338*'RD Feedstock Breakdown'!AQ$3*'Feedstock Conversion Rates'!B$6)/12-15+10-15</f>
        <v>4.4270833333333321</v>
      </c>
      <c r="AR329" s="106">
        <f t="shared" ref="AR329:AR392" si="339">SUM(AP329:AQ329)</f>
        <v>83.020833333333329</v>
      </c>
      <c r="AS329" s="104">
        <f>('Renewable Diesel'!M338*'RD Feedstock Breakdown'!AS$3*'Feedstock Conversion Rates'!B$4)/12</f>
        <v>456.25</v>
      </c>
      <c r="AT329" s="104">
        <f>('Renewable Diesel'!M338*'RD Feedstock Breakdown'!AT$3*'Feedstock Conversion Rates'!B$5)/12</f>
        <v>0</v>
      </c>
      <c r="AU329" s="106">
        <f t="shared" si="290"/>
        <v>456.25</v>
      </c>
      <c r="AV329" s="104">
        <f>'Renewable Diesel'!N338*'RD Feedstock Breakdown'!$AV$3*'Feedstock Conversion Rates'!$B$4/12-15-10+25+25-22+25</f>
        <v>106.74999999999999</v>
      </c>
      <c r="AW329" s="104">
        <f>'Renewable Diesel'!N338*'RD Feedstock Breakdown'!$AW$3*'Feedstock Conversion Rates'!$B$7/12+15+10-25-25+22-25</f>
        <v>13.400000000000006</v>
      </c>
      <c r="AX329" s="106">
        <f t="shared" si="322"/>
        <v>120.14999999999999</v>
      </c>
      <c r="AY329" s="104">
        <f>('Renewable Diesel'!O338*'RD Feedstock Breakdown'!AY$3*'Feedstock Conversion Rates'!B$4)/12</f>
        <v>210.9375</v>
      </c>
      <c r="AZ329" s="104">
        <f>('Renewable Diesel'!O338*'RD Feedstock Breakdown'!AZ$3*'Feedstock Conversion Rates'!B$3)/12</f>
        <v>25.03125</v>
      </c>
      <c r="BA329" s="106">
        <f t="shared" si="302"/>
        <v>235.96875</v>
      </c>
      <c r="BB329" s="104">
        <f>('Renewable Diesel'!Q338*'RD Feedstock Breakdown'!BB$3*'Feedstock Conversion Rates'!B$4)/12</f>
        <v>11.156249999999998</v>
      </c>
      <c r="BC329" s="104">
        <f>('Renewable Diesel'!Q338*'RD Feedstock Breakdown'!BC$3*'Feedstock Conversion Rates'!B$3)/12</f>
        <v>1.4017500000000001</v>
      </c>
      <c r="BD329" s="104">
        <f>('Renewable Diesel'!Q338*'RD Feedstock Breakdown'!BD$3*'Feedstock Conversion Rates'!B$6)/12</f>
        <v>0.8207500000000002</v>
      </c>
      <c r="BE329" s="106">
        <f t="shared" si="279"/>
        <v>13.378749999999998</v>
      </c>
      <c r="BF329" s="104">
        <f>('Renewable Diesel'!R338*'RD Feedstock Breakdown'!BF$3*'Feedstock Conversion Rates'!B$4)/12</f>
        <v>62.5</v>
      </c>
      <c r="BG329" s="106">
        <f t="shared" si="262"/>
        <v>62.5</v>
      </c>
      <c r="BH329" s="104">
        <f>('Renewable Diesel'!T338*'RD Feedstock Breakdown'!BH$3*'Feedstock Conversion Rates'!B$7)/12</f>
        <v>27.599999999999998</v>
      </c>
      <c r="BI329" s="106">
        <f t="shared" si="327"/>
        <v>27.599999999999998</v>
      </c>
      <c r="BJ329" s="104">
        <f>('Renewable Diesel'!W338*'RD Feedstock Breakdown'!BJ$3*'Feedstock Conversion Rates'!B$4)/12</f>
        <v>7.5</v>
      </c>
      <c r="BK329" s="104">
        <f>('Renewable Diesel'!W338*'RD Feedstock Breakdown'!BK$3*'Feedstock Conversion Rates'!B$3)/12</f>
        <v>1.335</v>
      </c>
      <c r="BL329" s="104">
        <f>('Renewable Diesel'!W338*'RD Feedstock Breakdown'!BL$3*'Feedstock Conversion Rates'!B$6)/12</f>
        <v>3.1266666666666669</v>
      </c>
      <c r="BM329" s="104">
        <f>('Renewable Diesel'!W338*'RD Feedstock Breakdown'!BM$3*'Feedstock Conversion Rates'!B$7)/12</f>
        <v>1.5333333333333332</v>
      </c>
      <c r="BN329" s="106">
        <f t="shared" si="296"/>
        <v>13.495000000000001</v>
      </c>
      <c r="BO329" s="104">
        <f>('Renewable Diesel'!P338*'Feedstock Conversion Rates'!B$4)/12</f>
        <v>31.25</v>
      </c>
      <c r="BP329" s="106">
        <f t="shared" si="285"/>
        <v>31.25</v>
      </c>
      <c r="BQ329" s="104">
        <f>('Renewable Diesel'!$S338*'RD Feedstock Breakdown'!BQ$3*'Feedstock Conversion Rates'!B$4)/12+10+15-15</f>
        <v>38.125</v>
      </c>
      <c r="BR329" s="104">
        <f>('Renewable Diesel'!$S338*'RD Feedstock Breakdown'!BR$3*'Feedstock Conversion Rates'!B$7)/12-10-15+15</f>
        <v>1.5</v>
      </c>
      <c r="BS329" s="106">
        <f t="shared" si="307"/>
        <v>39.625</v>
      </c>
      <c r="BT329" s="106"/>
      <c r="BU329" s="104">
        <f>('Renewable Diesel'!Y338*'Feedstock Conversion Rates'!B$7)/12</f>
        <v>2.6833333333333331</v>
      </c>
      <c r="BV329" s="106">
        <f t="shared" si="281"/>
        <v>2.6833333333333331</v>
      </c>
      <c r="BW329" s="104">
        <f>('Renewable Diesel'!$Z338*'RD Feedstock Breakdown'!BW$3*'Feedstock Conversion Rates'!$B$4)/12-50</f>
        <v>21.875</v>
      </c>
      <c r="BX329" s="104">
        <f>('Renewable Diesel'!$Z338*'RD Feedstock Breakdown'!BX$3*'Feedstock Conversion Rates'!$B$5)/12</f>
        <v>7.2354166666666666</v>
      </c>
      <c r="BY329" s="104">
        <f>('Renewable Diesel'!$Z338*'RD Feedstock Breakdown'!BY$3*'Feedstock Conversion Rates'!$B$7)/12</f>
        <v>61.716666666666661</v>
      </c>
      <c r="BZ329" s="104">
        <f>('Renewable Diesel'!$Z338*'RD Feedstock Breakdown'!BZ$3*'Feedstock Conversion Rates'!$B$3)/12+50</f>
        <v>65.352499999999992</v>
      </c>
      <c r="CA329" s="106">
        <f t="shared" si="312"/>
        <v>156.17958333333331</v>
      </c>
      <c r="CB329" s="104">
        <f>('Renewable Diesel'!AA338*'Feedstock Conversion Rates'!B$4)/12</f>
        <v>191.25</v>
      </c>
      <c r="CC329" s="106">
        <f t="shared" si="298"/>
        <v>191.25</v>
      </c>
      <c r="CD329" s="104">
        <f>('Renewable Diesel'!$AB338*'RD Feedstock Breakdown'!CD$3*'Feedstock Conversion Rates'!$B$6)/12-15-5</f>
        <v>12.830000000000005</v>
      </c>
      <c r="CE329" s="104">
        <f>('Renewable Diesel'!$AB338*'RD Feedstock Breakdown'!CE$3*'Feedstock Conversion Rates'!$B$4)/12+15+5</f>
        <v>31.25</v>
      </c>
      <c r="CF329" s="106">
        <f t="shared" si="294"/>
        <v>44.080000000000005</v>
      </c>
      <c r="CG329" s="104">
        <f>('Renewable Diesel'!AD338*'Feedstock Conversion Rates'!B$4)/12</f>
        <v>112.5</v>
      </c>
      <c r="CH329" s="106">
        <f t="shared" si="278"/>
        <v>112.5</v>
      </c>
      <c r="CI329" s="104">
        <f>('Renewable Diesel'!$AE338*'RD Feedstock Breakdown'!CI$3*'Feedstock Conversion Rates'!$B$5)/12</f>
        <v>0.34604166666666664</v>
      </c>
      <c r="CJ329" s="104">
        <f>('Renewable Diesel'!$AE338*'RD Feedstock Breakdown'!CJ$3*'Feedstock Conversion Rates'!$B$4)/12</f>
        <v>0.34375</v>
      </c>
      <c r="CK329" s="106">
        <f t="shared" si="286"/>
        <v>0.68979166666666658</v>
      </c>
      <c r="CL329" s="104">
        <f>(((CL$3*'Renewable Diesel'!$AF338)*'Feedstock Conversion Rates'!$B$3)/12)</f>
        <v>91.78125</v>
      </c>
      <c r="CM329" s="104">
        <f>(((CM$3*'Renewable Diesel'!$AF338)*'Feedstock Conversion Rates'!$B$6)/12)</f>
        <v>53.739583333333336</v>
      </c>
      <c r="CN329" s="104">
        <f>(((CN$3*'Renewable Diesel'!$AF338)*'Feedstock Conversion Rates'!$B$4)/12)</f>
        <v>42.96875</v>
      </c>
      <c r="CO329" s="106">
        <f t="shared" si="280"/>
        <v>188.48958333333334</v>
      </c>
      <c r="CP329" s="104">
        <f>('Renewable Diesel'!$AG338*'RD Feedstock Breakdown'!CP$3*'Feedstock Conversion Rates'!$B$3)/12</f>
        <v>6.0075000000000003</v>
      </c>
      <c r="CQ329" s="104">
        <f>('Renewable Diesel'!$AG338*'RD Feedstock Breakdown'!CQ$3*'Feedstock Conversion Rates'!$B$6)/12</f>
        <v>3.5175000000000001</v>
      </c>
      <c r="CR329" s="104">
        <f>('Renewable Diesel'!$AG338*'RD Feedstock Breakdown'!CR$3*'Feedstock Conversion Rates'!$B$4)/12</f>
        <v>2.8125</v>
      </c>
      <c r="CS329" s="106">
        <f t="shared" si="317"/>
        <v>12.3375</v>
      </c>
      <c r="CT329" s="104">
        <f>('Renewable Diesel'!AI338*'Feedstock Conversion Rates'!$B$4*'RD Feedstock Breakdown'!$CT$3)/12</f>
        <v>29.375</v>
      </c>
      <c r="CU329" s="106">
        <f t="shared" si="282"/>
        <v>29.375</v>
      </c>
      <c r="CV329" s="104">
        <f>('Renewable Diesel'!AN338*'Feedstock Conversion Rates'!$B$3*'RD Feedstock Breakdown'!$CV$3)/12</f>
        <v>0.50062499999999999</v>
      </c>
      <c r="CW329" s="106">
        <f t="shared" si="338"/>
        <v>0.50062499999999999</v>
      </c>
      <c r="CX329" s="104">
        <f>('Renewable Diesel'!AO338*'RD Feedstock Breakdown'!$CX$3*'Feedstock Conversion Rates'!$B$3)/12</f>
        <v>6.3412499999999996</v>
      </c>
      <c r="CY329" s="104">
        <f>('Renewable Diesel'!AO338*'RD Feedstock Breakdown'!$CY$3*'Feedstock Conversion Rates'!$B$6)/12</f>
        <v>7.4258333333333342</v>
      </c>
      <c r="CZ329" s="106">
        <f t="shared" si="318"/>
        <v>13.767083333333334</v>
      </c>
      <c r="DA329" s="104">
        <f>('Renewable Diesel'!$AP338*'RD Feedstock Breakdown'!DA$3*'Feedstock Conversion Rates'!$B$3)/12</f>
        <v>6.3412499999999996</v>
      </c>
      <c r="DB329" s="104">
        <f>('Renewable Diesel'!$AP338*'RD Feedstock Breakdown'!DB$3*'Feedstock Conversion Rates'!$B$8)/12</f>
        <v>7.421875</v>
      </c>
      <c r="DC329" s="106">
        <f t="shared" si="260"/>
        <v>13.763124999999999</v>
      </c>
      <c r="DD329" s="104">
        <f>('Renewable Diesel'!AQ338*$DD$3*'Feedstock Conversion Rates'!$B$14)/12</f>
        <v>3.1041666666666665</v>
      </c>
      <c r="DE329" s="106">
        <f t="shared" si="261"/>
        <v>3.1041666666666665</v>
      </c>
      <c r="DF329" s="104">
        <f>('Renewable Diesel'!AR338*'Feedstock Conversion Rates'!$B$4*$DF$3)/12</f>
        <v>75</v>
      </c>
      <c r="DG329" s="106">
        <f t="shared" si="319"/>
        <v>75</v>
      </c>
      <c r="DH329" s="104">
        <f>('Renewable Diesel'!AS338*'Feedstock Conversion Rates'!$B$4*$DH$3)/12</f>
        <v>75</v>
      </c>
      <c r="DI329" s="106">
        <f t="shared" si="323"/>
        <v>75</v>
      </c>
      <c r="DJ329" s="104">
        <f>('Renewable Diesel'!AT338*'Feedstock Conversion Rates'!$B$4*0.25)/12</f>
        <v>8.59375</v>
      </c>
      <c r="DK329" s="104">
        <f>('Renewable Diesel'!$AT338*'RD Feedstock Breakdown'!DK$3*'Feedstock Conversion Rates'!$B$3)/12*0.5</f>
        <v>9.1781249999999996</v>
      </c>
      <c r="DL329" s="104">
        <f>('Renewable Diesel'!$AT338*'RD Feedstock Breakdown'!$DL$3*'Feedstock Conversion Rates'!$B$6)/12</f>
        <v>10.747916666666669</v>
      </c>
      <c r="DM329" s="104">
        <f>('Renewable Diesel'!$AT338*'RD Feedstock Breakdown'!$DM$3*'Feedstock Conversion Rates'!$B$8)/12</f>
        <v>10.7421875</v>
      </c>
      <c r="DN329" s="106">
        <f t="shared" si="297"/>
        <v>39.26197916666667</v>
      </c>
      <c r="DP329" s="104">
        <f t="shared" si="265"/>
        <v>103.22025000000001</v>
      </c>
      <c r="DQ329" s="104">
        <f t="shared" si="266"/>
        <v>429.11776750000001</v>
      </c>
      <c r="DR329" s="104">
        <f t="shared" si="271"/>
        <v>1869.453125</v>
      </c>
      <c r="DS329" s="104">
        <f t="shared" si="283"/>
        <v>228.90125</v>
      </c>
      <c r="DT329" s="104">
        <f t="shared" si="267"/>
        <v>233.03923333333344</v>
      </c>
      <c r="DU329" s="104">
        <f t="shared" si="268"/>
        <v>345.40610000000004</v>
      </c>
      <c r="DV329" s="104">
        <f t="shared" si="272"/>
        <v>78.75</v>
      </c>
      <c r="DW329" s="104">
        <f t="shared" si="269"/>
        <v>3</v>
      </c>
      <c r="DX329" s="106">
        <f t="shared" si="273"/>
        <v>3290.8877258333337</v>
      </c>
      <c r="DY329" s="109">
        <f t="shared" ref="DY329:DY392" si="340">I329+Q329+S329+X329+AB329+AF329+AJ329+AL329+AO329+AR329+AU329+AX329+BA329+BE329+BG329+BI329+BN329-DX329+BP329+BS329+BV329+CA329+CC329+CF329+CH329+CK329+CO329+CS329+CU329+CW329+CZ329+DN329+DG329+DI329+DE329+DC329</f>
        <v>-5.631051180898794E-13</v>
      </c>
      <c r="EA329" s="110">
        <f t="shared" si="313"/>
        <v>3.1365472966374777E-2</v>
      </c>
      <c r="EB329" s="110">
        <f t="shared" si="313"/>
        <v>0.13039574827528849</v>
      </c>
      <c r="EC329" s="110">
        <f t="shared" si="313"/>
        <v>0.56806955470551901</v>
      </c>
      <c r="ED329" s="110">
        <f t="shared" si="308"/>
        <v>6.955608002154999E-2</v>
      </c>
      <c r="EE329" s="110">
        <f t="shared" si="308"/>
        <v>7.0813486435281583E-2</v>
      </c>
      <c r="EF329" s="110">
        <f t="shared" si="308"/>
        <v>0.10495833610140398</v>
      </c>
      <c r="EG329" s="110">
        <f t="shared" si="308"/>
        <v>2.3929713366340557E-2</v>
      </c>
      <c r="EH329" s="111">
        <f t="shared" si="274"/>
        <v>9.1160812824154505E-4</v>
      </c>
      <c r="EI329" s="110">
        <f t="shared" si="321"/>
        <v>0.99908839187175835</v>
      </c>
      <c r="EK329" s="132">
        <f>(EA329*'Renewable Diesel'!BF338*'Feedstock Conversion Rates'!B$2)+FB329</f>
        <v>458.50256264215216</v>
      </c>
      <c r="EL329" s="132">
        <f>(EB329*'Renewable Diesel'!BF338*'Feedstock Conversion Rates'!B$3)+FC329</f>
        <v>1796.2506895839367</v>
      </c>
      <c r="EM329" s="132">
        <f>(EC329*'Renewable Diesel'!BF338*'Feedstock Conversion Rates'!B$4)+FD329</f>
        <v>7327.1280007204423</v>
      </c>
      <c r="EN329" s="132">
        <f>(ED329*'Renewable Diesel'!BF338*'Feedstock Conversion Rates'!B$5)+FE329</f>
        <v>903.13578558617769</v>
      </c>
      <c r="EO329" s="132">
        <f>(EE329*'Renewable Diesel'!BF338*'Feedstock Conversion Rates'!B$6)+FF329</f>
        <v>1142.3253544482859</v>
      </c>
      <c r="EP329" s="132">
        <f>(EF329*'Renewable Diesel'!BF338*'Feedstock Conversion Rates'!B$7)+FG329</f>
        <v>1660.6410357754748</v>
      </c>
      <c r="EQ329" s="132">
        <f>(EG329*'Renewable Diesel'!BF338*'Feedstock Conversion Rates'!B$8)+FH329</f>
        <v>385.81559116167659</v>
      </c>
      <c r="ER329" s="132">
        <f>(EH329*'Renewable Diesel'!BF338*'Feedstock Conversion Rates'!B$9)+FI329</f>
        <v>14.501766982076987</v>
      </c>
      <c r="ES329" s="132">
        <f t="shared" si="275"/>
        <v>13688.300786900223</v>
      </c>
      <c r="ET329" s="133">
        <f>ES329/'Renewable Diesel'!BF338</f>
        <v>15.37240803939908</v>
      </c>
      <c r="EW329" s="73">
        <f t="shared" si="309"/>
        <v>12199.146327643854</v>
      </c>
      <c r="EX329" s="73">
        <f t="shared" si="310"/>
        <v>8090.0677986428709</v>
      </c>
      <c r="EY329" s="92">
        <f t="shared" ref="EY329:EZ375" si="341">EW329/$ES329</f>
        <v>0.89120969195230582</v>
      </c>
      <c r="EZ329" s="92">
        <f t="shared" si="341"/>
        <v>0.59102060398797707</v>
      </c>
      <c r="FB329" s="102">
        <f>IF('Renewable Diesel'!$BG338&lt;1,0,(((('Renewable Diesel'!$BG338-1)*'Renewable Diesel'!$BF338)*'RD Feedstock Breakdown'!EA329)*'Feedstock Conversion Rates'!$B$2))</f>
        <v>221.10382647230315</v>
      </c>
      <c r="FC329" s="102">
        <f>IF('Renewable Diesel'!$BG338&lt;1,0,(((('Renewable Diesel'!$BG338-1)*'Renewable Diesel'!$BF338)*'RD Feedstock Breakdown'!EB329)*'Feedstock Conversion Rates'!$B$3))</f>
        <v>866.20650162099923</v>
      </c>
      <c r="FD329" s="102">
        <f>IF('Renewable Diesel'!$BG338&lt;1,0,(((('Renewable Diesel'!$BG338-1)*'Renewable Diesel'!$BF338)*'RD Feedstock Breakdown'!EC329)*'Feedstock Conversion Rates'!$B$4))</f>
        <v>3533.3631041797535</v>
      </c>
      <c r="FE329" s="102">
        <f>IF('Renewable Diesel'!$BG338&lt;1,0,(((('Renewable Diesel'!$BG338-1)*'Renewable Diesel'!$BF338)*'RD Feedstock Breakdown'!ED329)*'Feedstock Conversion Rates'!$B$5))</f>
        <v>435.51943715748246</v>
      </c>
      <c r="FF329" s="102">
        <f>IF('Renewable Diesel'!$BG338&lt;1,0,(((('Renewable Diesel'!$BG338-1)*'Renewable Diesel'!$BF338)*'RD Feedstock Breakdown'!EE329)*'Feedstock Conversion Rates'!$B$6))</f>
        <v>550.86389373568556</v>
      </c>
      <c r="FG329" s="102">
        <f>IF('Renewable Diesel'!$BG338&lt;1,0,(((('Renewable Diesel'!$BG338-1)*'Renewable Diesel'!$BF338)*'RD Feedstock Breakdown'!EF329)*'Feedstock Conversion Rates'!$B$7))</f>
        <v>800.81141813258535</v>
      </c>
      <c r="FH329" s="102">
        <f>IF('Renewable Diesel'!$BG338&lt;1,0,(((('Renewable Diesel'!$BG338-1)*'Renewable Diesel'!$BF338)*'RD Feedstock Breakdown'!EG329)*'Feedstock Conversion Rates'!$B$8))</f>
        <v>186.05196670427054</v>
      </c>
      <c r="FI329" s="102">
        <f>IF('Renewable Diesel'!$BG338&lt;1,0,(((('Renewable Diesel'!$BG338-1)*'Renewable Diesel'!$BF338)*'RD Feedstock Breakdown'!EH329)*'Feedstock Conversion Rates'!$B$9))</f>
        <v>6.9931913834240094</v>
      </c>
      <c r="FJ329" s="102">
        <f t="shared" si="311"/>
        <v>6600.913339386504</v>
      </c>
      <c r="GD329" s="91">
        <f>'Renewable Diesel'!BB338*0.32</f>
        <v>0</v>
      </c>
      <c r="GE329" s="91">
        <f>'Renewable Diesel'!BC338</f>
        <v>499.5413579930032</v>
      </c>
      <c r="GF329" s="91">
        <f>'Renewable Diesel'!BD338</f>
        <v>0</v>
      </c>
      <c r="GG329" s="91">
        <f t="shared" si="295"/>
        <v>499.5413579930032</v>
      </c>
      <c r="GH329" s="124">
        <v>1</v>
      </c>
      <c r="GI329" s="102">
        <f>$GG329*EA329*'Feedstock Conversion Rates'!$B$2</f>
        <v>133.18098315758334</v>
      </c>
      <c r="GJ329" s="102">
        <f>$GG329*EB329*'Feedstock Conversion Rates'!$B$3</f>
        <v>521.75593405131087</v>
      </c>
      <c r="GK329" s="102">
        <f>$GG329*EC329*'Feedstock Conversion Rates'!$B$4</f>
        <v>2128.3067759405671</v>
      </c>
      <c r="GL329" s="102">
        <f>$GG329*ED329*'Feedstock Conversion Rates'!$B$5</f>
        <v>262.3333469632949</v>
      </c>
      <c r="GM329" s="102">
        <f>$GG329*EE329*'Feedstock Conversion Rates'!$B$6</f>
        <v>331.81060737057498</v>
      </c>
      <c r="GN329" s="102">
        <f>$GG329*EF329*'Feedstock Conversion Rates'!$B$7</f>
        <v>482.36547368878882</v>
      </c>
      <c r="GO329" s="102">
        <f>$GG329*EG329*'Feedstock Conversion Rates'!$B$8</f>
        <v>112.06763916942265</v>
      </c>
      <c r="GP329" s="102">
        <f>$GG329*EH329*'Feedstock Conversion Rates'!B$9</f>
        <v>4.2123201516379813</v>
      </c>
      <c r="GQ329" s="102">
        <f t="shared" si="276"/>
        <v>3976.0330804931805</v>
      </c>
      <c r="GR329" s="85">
        <f t="shared" si="293"/>
        <v>7.9593671612448764</v>
      </c>
      <c r="GT329" s="103">
        <f t="shared" si="333"/>
        <v>3.3495944440448115E-2</v>
      </c>
      <c r="GU329" s="103">
        <f t="shared" si="334"/>
        <v>0.13122524976240718</v>
      </c>
      <c r="GV329" s="103">
        <f t="shared" si="335"/>
        <v>0.53528397094638247</v>
      </c>
      <c r="GW329" s="103">
        <f t="shared" si="331"/>
        <v>6.5978663067550611E-2</v>
      </c>
      <c r="GX329" s="103">
        <f t="shared" si="331"/>
        <v>8.3452677745180573E-2</v>
      </c>
      <c r="GY329" s="103">
        <f t="shared" si="331"/>
        <v>0.12131827475362883</v>
      </c>
      <c r="GZ329" s="103">
        <f t="shared" si="331"/>
        <v>2.8185791441031467E-2</v>
      </c>
      <c r="HA329" s="103">
        <f t="shared" si="331"/>
        <v>1.0594278433708334E-3</v>
      </c>
    </row>
    <row r="330" spans="1:209" x14ac:dyDescent="0.25">
      <c r="A330" s="96">
        <v>50465</v>
      </c>
      <c r="B330" s="104">
        <f t="shared" si="336"/>
        <v>1.75</v>
      </c>
      <c r="C330" s="104">
        <f t="shared" si="314"/>
        <v>49</v>
      </c>
      <c r="D330" s="104">
        <f t="shared" si="337"/>
        <v>2</v>
      </c>
      <c r="E330" s="104">
        <f>('Renewable Diesel'!B339*E$3*'Feedstock Conversion Rates'!$B$2)/12+26+13-100+27.5+39</f>
        <v>95.43</v>
      </c>
      <c r="F330" s="104">
        <f>('Renewable Diesel'!B339*'RD Feedstock Breakdown'!F$3*'Feedstock Conversion Rates'!B$8)/12+77+23-10-12-115.75+24+8</f>
        <v>48.15625</v>
      </c>
      <c r="G330" s="104">
        <f>('Renewable Diesel'!B339*'RD Feedstock Breakdown'!G$3*'Feedstock Conversion Rates'!B$7)/12+116.75-39-57.5-145-31.5+32+70-40+10+2.5</f>
        <v>94.407000000000039</v>
      </c>
      <c r="H330" s="104">
        <f>('Renewable Diesel'!B339*'RD Feedstock Breakdown'!H$3*'Feedstock Conversion Rates'!B$3)/12+67+10+12+3-235+20+47-20+125</f>
        <v>205.40022499999998</v>
      </c>
      <c r="I330" s="106">
        <f t="shared" si="291"/>
        <v>496.14347500000002</v>
      </c>
      <c r="J330" s="104">
        <f t="shared" si="332"/>
        <v>4</v>
      </c>
      <c r="K330" s="104"/>
      <c r="L330" s="104">
        <v>1</v>
      </c>
      <c r="M330" s="104">
        <f>('Renewable Diesel'!C339*'RD Feedstock Breakdown'!M$3*'Feedstock Conversion Rates'!B$2)/12</f>
        <v>7.7902500000000003</v>
      </c>
      <c r="N330" s="104">
        <f>('Renewable Diesel'!C339*'RD Feedstock Breakdown'!N$3*'Feedstock Conversion Rates'!B$8)/12</f>
        <v>3.671875</v>
      </c>
      <c r="O330" s="104">
        <f>('Renewable Diesel'!C339*'RD Feedstock Breakdown'!O$3*'Feedstock Conversion Rates'!B$7)/12</f>
        <v>11.9991</v>
      </c>
      <c r="P330" s="104">
        <f>('Renewable Diesel'!C339*'RD Feedstock Breakdown'!P$3*'Feedstock Conversion Rates'!B$3)/12</f>
        <v>10.4470425</v>
      </c>
      <c r="Q330" s="106">
        <f t="shared" si="299"/>
        <v>38.908267500000001</v>
      </c>
      <c r="R330" s="104">
        <f>('Renewable Diesel'!D339*'RD Feedstock Breakdown'!R$3*'Feedstock Conversion Rates'!B$7)/12</f>
        <v>2.2999999999999998</v>
      </c>
      <c r="S330" s="106">
        <f t="shared" si="329"/>
        <v>2.2999999999999998</v>
      </c>
      <c r="T330" s="104">
        <f t="shared" si="300"/>
        <v>0.82499999999999929</v>
      </c>
      <c r="U330" s="104"/>
      <c r="V330" s="104">
        <f>('Renewable Diesel'!E339*'RD Feedstock Breakdown'!V$3*'Feedstock Conversion Rates'!B$6)/12-20+25</f>
        <v>49.250150000000012</v>
      </c>
      <c r="W330" s="104">
        <f>('Renewable Diesel'!E339*'RD Feedstock Breakdown'!W$3*'Feedstock Conversion Rates'!B$8)/12-6</f>
        <v>16.1796875</v>
      </c>
      <c r="X330" s="106">
        <f t="shared" si="277"/>
        <v>66.254837500000008</v>
      </c>
      <c r="Y330" s="104">
        <f t="shared" si="301"/>
        <v>98</v>
      </c>
      <c r="Z330" s="104">
        <f>('Renewable Diesel'!F339*'RD Feedstock Breakdown'!Z$3*'Feedstock Conversion Rates'!B$6)/12-142+15+5+20+5+5</f>
        <v>67.460000000000008</v>
      </c>
      <c r="AA330" s="104">
        <f>('Renewable Diesel'!F339*'RD Feedstock Breakdown'!AA$3*'Feedstock Conversion Rates'!B$7)/12+24</f>
        <v>128.26666666666665</v>
      </c>
      <c r="AB330" s="106">
        <f t="shared" si="320"/>
        <v>293.72666666666669</v>
      </c>
      <c r="AC330" s="104">
        <f>('Renewable Diesel'!G339*'RD Feedstock Breakdown'!AC$3*'Feedstock Conversion Rates'!B$5)/12</f>
        <v>11.796875</v>
      </c>
      <c r="AD330" s="104">
        <f>('Renewable Diesel'!G339*'RD Feedstock Breakdown'!AD$3*'Feedstock Conversion Rates'!B$4)/12</f>
        <v>5.859375</v>
      </c>
      <c r="AE330" s="104">
        <f>('Renewable Diesel'!G339*'RD Feedstock Breakdown'!AE$3*'Feedstock Conversion Rates'!B$6)/12</f>
        <v>7.3281250000000009</v>
      </c>
      <c r="AF330" s="106">
        <f t="shared" si="284"/>
        <v>24.984375</v>
      </c>
      <c r="AG330" s="104">
        <f t="shared" si="306"/>
        <v>148</v>
      </c>
      <c r="AH330" s="104"/>
      <c r="AI330" s="104">
        <f>('Renewable Diesel'!H339*'RD Feedstock Breakdown'!AI$3*'Feedstock Conversion Rates'!B$6)/12-130-20+51-49</f>
        <v>0.51666666666667993</v>
      </c>
      <c r="AJ330" s="106">
        <f t="shared" si="328"/>
        <v>148.51666666666668</v>
      </c>
      <c r="AK330" s="104">
        <f>('Renewable Diesel'!J339*'RD Feedstock Breakdown'!AK$3*'Feedstock Conversion Rates'!B$4)/12</f>
        <v>95.8125</v>
      </c>
      <c r="AL330" s="106">
        <f t="shared" si="330"/>
        <v>95.8125</v>
      </c>
      <c r="AM330" s="104">
        <f>('Renewable Diesel'!K339*'RD Feedstock Breakdown'!AM$3*'Feedstock Conversion Rates'!B$4)/12+5+15-10+10</f>
        <v>78.59375</v>
      </c>
      <c r="AN330" s="104">
        <f>('Renewable Diesel'!K339*'RD Feedstock Breakdown'!AN$3*'Feedstock Conversion Rates'!B$6)/12-5-15+10-10</f>
        <v>4.4270833333333321</v>
      </c>
      <c r="AO330" s="106">
        <f t="shared" si="270"/>
        <v>83.020833333333329</v>
      </c>
      <c r="AP330" s="104">
        <f>('Renewable Diesel'!L339*'RD Feedstock Breakdown'!AP$3*'Feedstock Conversion Rates'!B$4)/12+15-10+15</f>
        <v>78.59375</v>
      </c>
      <c r="AQ330" s="104">
        <f>('Renewable Diesel'!L339*'RD Feedstock Breakdown'!AQ$3*'Feedstock Conversion Rates'!B$6)/12-15+10-15</f>
        <v>4.4270833333333321</v>
      </c>
      <c r="AR330" s="106">
        <f t="shared" si="339"/>
        <v>83.020833333333329</v>
      </c>
      <c r="AS330" s="104">
        <f>('Renewable Diesel'!M339*'RD Feedstock Breakdown'!AS$3*'Feedstock Conversion Rates'!B$4)/12</f>
        <v>456.25</v>
      </c>
      <c r="AT330" s="104">
        <f>('Renewable Diesel'!M339*'RD Feedstock Breakdown'!AT$3*'Feedstock Conversion Rates'!B$5)/12</f>
        <v>0</v>
      </c>
      <c r="AU330" s="106">
        <f t="shared" si="290"/>
        <v>456.25</v>
      </c>
      <c r="AV330" s="104">
        <f>'Renewable Diesel'!N339*'RD Feedstock Breakdown'!$AV$3*'Feedstock Conversion Rates'!$B$4/12-15-10+25+25-22+25</f>
        <v>106.74999999999999</v>
      </c>
      <c r="AW330" s="104">
        <f>'Renewable Diesel'!N339*'RD Feedstock Breakdown'!$AW$3*'Feedstock Conversion Rates'!$B$7/12+15+10-25-25+22-25</f>
        <v>13.400000000000006</v>
      </c>
      <c r="AX330" s="106">
        <f t="shared" si="322"/>
        <v>120.14999999999999</v>
      </c>
      <c r="AY330" s="104">
        <f>('Renewable Diesel'!O339*'RD Feedstock Breakdown'!AY$3*'Feedstock Conversion Rates'!B$4)/12</f>
        <v>210.9375</v>
      </c>
      <c r="AZ330" s="104">
        <f>('Renewable Diesel'!O339*'RD Feedstock Breakdown'!AZ$3*'Feedstock Conversion Rates'!B$3)/12</f>
        <v>25.03125</v>
      </c>
      <c r="BA330" s="106">
        <f t="shared" si="302"/>
        <v>235.96875</v>
      </c>
      <c r="BB330" s="104">
        <f>('Renewable Diesel'!Q339*'RD Feedstock Breakdown'!BB$3*'Feedstock Conversion Rates'!B$4)/12</f>
        <v>11.156249999999998</v>
      </c>
      <c r="BC330" s="104">
        <f>('Renewable Diesel'!Q339*'RD Feedstock Breakdown'!BC$3*'Feedstock Conversion Rates'!B$3)/12</f>
        <v>1.4017500000000001</v>
      </c>
      <c r="BD330" s="104">
        <f>('Renewable Diesel'!Q339*'RD Feedstock Breakdown'!BD$3*'Feedstock Conversion Rates'!B$6)/12</f>
        <v>0.8207500000000002</v>
      </c>
      <c r="BE330" s="106">
        <f t="shared" si="279"/>
        <v>13.378749999999998</v>
      </c>
      <c r="BF330" s="104">
        <f>('Renewable Diesel'!R339*'RD Feedstock Breakdown'!BF$3*'Feedstock Conversion Rates'!B$4)/12</f>
        <v>62.5</v>
      </c>
      <c r="BG330" s="106">
        <f t="shared" si="262"/>
        <v>62.5</v>
      </c>
      <c r="BH330" s="104">
        <f>('Renewable Diesel'!T339*'RD Feedstock Breakdown'!BH$3*'Feedstock Conversion Rates'!B$7)/12</f>
        <v>27.599999999999998</v>
      </c>
      <c r="BI330" s="106">
        <f t="shared" si="327"/>
        <v>27.599999999999998</v>
      </c>
      <c r="BJ330" s="104">
        <f>('Renewable Diesel'!W339*'RD Feedstock Breakdown'!BJ$3*'Feedstock Conversion Rates'!B$4)/12</f>
        <v>7.5</v>
      </c>
      <c r="BK330" s="104">
        <f>('Renewable Diesel'!W339*'RD Feedstock Breakdown'!BK$3*'Feedstock Conversion Rates'!B$3)/12</f>
        <v>1.335</v>
      </c>
      <c r="BL330" s="104">
        <f>('Renewable Diesel'!W339*'RD Feedstock Breakdown'!BL$3*'Feedstock Conversion Rates'!B$6)/12</f>
        <v>3.1266666666666669</v>
      </c>
      <c r="BM330" s="104">
        <f>('Renewable Diesel'!W339*'RD Feedstock Breakdown'!BM$3*'Feedstock Conversion Rates'!B$7)/12</f>
        <v>1.5333333333333332</v>
      </c>
      <c r="BN330" s="106">
        <f t="shared" si="296"/>
        <v>13.495000000000001</v>
      </c>
      <c r="BO330" s="104">
        <f>('Renewable Diesel'!P339*'Feedstock Conversion Rates'!B$4)/12</f>
        <v>31.25</v>
      </c>
      <c r="BP330" s="106">
        <f t="shared" si="285"/>
        <v>31.25</v>
      </c>
      <c r="BQ330" s="104">
        <f>('Renewable Diesel'!$S339*'RD Feedstock Breakdown'!BQ$3*'Feedstock Conversion Rates'!B$4)/12+10+15-15</f>
        <v>38.125</v>
      </c>
      <c r="BR330" s="104">
        <f>('Renewable Diesel'!$S339*'RD Feedstock Breakdown'!BR$3*'Feedstock Conversion Rates'!B$7)/12-10-15+15</f>
        <v>1.5</v>
      </c>
      <c r="BS330" s="106">
        <f t="shared" si="307"/>
        <v>39.625</v>
      </c>
      <c r="BT330" s="106"/>
      <c r="BU330" s="104">
        <f>('Renewable Diesel'!Y339*'Feedstock Conversion Rates'!B$7)/12</f>
        <v>2.6833333333333331</v>
      </c>
      <c r="BV330" s="106">
        <f t="shared" si="281"/>
        <v>2.6833333333333331</v>
      </c>
      <c r="BW330" s="104">
        <f>('Renewable Diesel'!$Z339*'RD Feedstock Breakdown'!BW$3*'Feedstock Conversion Rates'!$B$4)/12-50</f>
        <v>21.875</v>
      </c>
      <c r="BX330" s="104">
        <f>('Renewable Diesel'!$Z339*'RD Feedstock Breakdown'!BX$3*'Feedstock Conversion Rates'!$B$5)/12</f>
        <v>7.2354166666666666</v>
      </c>
      <c r="BY330" s="104">
        <f>('Renewable Diesel'!$Z339*'RD Feedstock Breakdown'!BY$3*'Feedstock Conversion Rates'!$B$7)/12</f>
        <v>61.716666666666661</v>
      </c>
      <c r="BZ330" s="104">
        <f>('Renewable Diesel'!$Z339*'RD Feedstock Breakdown'!BZ$3*'Feedstock Conversion Rates'!$B$3)/12+50</f>
        <v>65.352499999999992</v>
      </c>
      <c r="CA330" s="106">
        <f t="shared" si="312"/>
        <v>156.17958333333331</v>
      </c>
      <c r="CB330" s="104">
        <f>('Renewable Diesel'!AA339*'Feedstock Conversion Rates'!B$4)/12</f>
        <v>191.25</v>
      </c>
      <c r="CC330" s="106">
        <f t="shared" si="298"/>
        <v>191.25</v>
      </c>
      <c r="CD330" s="104">
        <f>('Renewable Diesel'!$AB339*'RD Feedstock Breakdown'!CD$3*'Feedstock Conversion Rates'!$B$6)/12-15-5</f>
        <v>12.830000000000005</v>
      </c>
      <c r="CE330" s="104">
        <f>('Renewable Diesel'!$AB339*'RD Feedstock Breakdown'!CE$3*'Feedstock Conversion Rates'!$B$4)/12+15+5</f>
        <v>31.25</v>
      </c>
      <c r="CF330" s="106">
        <f t="shared" si="294"/>
        <v>44.080000000000005</v>
      </c>
      <c r="CG330" s="104">
        <f>('Renewable Diesel'!AD339*'Feedstock Conversion Rates'!B$4)/12</f>
        <v>112.5</v>
      </c>
      <c r="CH330" s="106">
        <f t="shared" si="278"/>
        <v>112.5</v>
      </c>
      <c r="CI330" s="104">
        <f>('Renewable Diesel'!$AE339*'RD Feedstock Breakdown'!CI$3*'Feedstock Conversion Rates'!$B$5)/12</f>
        <v>0.34604166666666664</v>
      </c>
      <c r="CJ330" s="104">
        <f>('Renewable Diesel'!$AE339*'RD Feedstock Breakdown'!CJ$3*'Feedstock Conversion Rates'!$B$4)/12</f>
        <v>0.34375</v>
      </c>
      <c r="CK330" s="106">
        <f t="shared" si="286"/>
        <v>0.68979166666666658</v>
      </c>
      <c r="CL330" s="104">
        <f>(((CL$3*'Renewable Diesel'!$AF339)*'Feedstock Conversion Rates'!$B$3)/12)</f>
        <v>91.78125</v>
      </c>
      <c r="CM330" s="104">
        <f>(((CM$3*'Renewable Diesel'!$AF339)*'Feedstock Conversion Rates'!$B$6)/12)</f>
        <v>53.739583333333336</v>
      </c>
      <c r="CN330" s="104">
        <f>(((CN$3*'Renewable Diesel'!$AF339)*'Feedstock Conversion Rates'!$B$4)/12)</f>
        <v>42.96875</v>
      </c>
      <c r="CO330" s="106">
        <f t="shared" si="280"/>
        <v>188.48958333333334</v>
      </c>
      <c r="CP330" s="104">
        <f>('Renewable Diesel'!$AG339*'RD Feedstock Breakdown'!CP$3*'Feedstock Conversion Rates'!$B$3)/12</f>
        <v>6.0075000000000003</v>
      </c>
      <c r="CQ330" s="104">
        <f>('Renewable Diesel'!$AG339*'RD Feedstock Breakdown'!CQ$3*'Feedstock Conversion Rates'!$B$6)/12</f>
        <v>3.5175000000000001</v>
      </c>
      <c r="CR330" s="104">
        <f>('Renewable Diesel'!$AG339*'RD Feedstock Breakdown'!CR$3*'Feedstock Conversion Rates'!$B$4)/12</f>
        <v>2.8125</v>
      </c>
      <c r="CS330" s="106">
        <f t="shared" si="317"/>
        <v>12.3375</v>
      </c>
      <c r="CT330" s="104">
        <f>('Renewable Diesel'!AI339*'Feedstock Conversion Rates'!$B$4*'RD Feedstock Breakdown'!$CT$3)/12</f>
        <v>29.375</v>
      </c>
      <c r="CU330" s="106">
        <f t="shared" si="282"/>
        <v>29.375</v>
      </c>
      <c r="CV330" s="104">
        <f>('Renewable Diesel'!AN339*'Feedstock Conversion Rates'!$B$3*'RD Feedstock Breakdown'!$CV$3)/12</f>
        <v>0.50062499999999999</v>
      </c>
      <c r="CW330" s="106">
        <f t="shared" si="338"/>
        <v>0.50062499999999999</v>
      </c>
      <c r="CX330" s="104">
        <f>('Renewable Diesel'!AO339*'RD Feedstock Breakdown'!$CX$3*'Feedstock Conversion Rates'!$B$3)/12</f>
        <v>6.3412499999999996</v>
      </c>
      <c r="CY330" s="104">
        <f>('Renewable Diesel'!AO339*'RD Feedstock Breakdown'!$CY$3*'Feedstock Conversion Rates'!$B$6)/12</f>
        <v>7.4258333333333342</v>
      </c>
      <c r="CZ330" s="106">
        <f t="shared" si="318"/>
        <v>13.767083333333334</v>
      </c>
      <c r="DA330" s="104">
        <f>('Renewable Diesel'!$AP339*'RD Feedstock Breakdown'!DA$3*'Feedstock Conversion Rates'!$B$3)/12</f>
        <v>6.3412499999999996</v>
      </c>
      <c r="DB330" s="104">
        <f>('Renewable Diesel'!$AP339*'RD Feedstock Breakdown'!DB$3*'Feedstock Conversion Rates'!$B$8)/12</f>
        <v>7.421875</v>
      </c>
      <c r="DC330" s="106">
        <f t="shared" ref="DC330:DC393" si="342">SUM(DA330:DB330)</f>
        <v>13.763124999999999</v>
      </c>
      <c r="DD330" s="104">
        <f>('Renewable Diesel'!AQ339*$DD$3*'Feedstock Conversion Rates'!$B$14)/12</f>
        <v>3.1041666666666665</v>
      </c>
      <c r="DE330" s="106">
        <f t="shared" ref="DE330:DE393" si="343">DD330</f>
        <v>3.1041666666666665</v>
      </c>
      <c r="DF330" s="104">
        <f>('Renewable Diesel'!AR339*'Feedstock Conversion Rates'!$B$4*$DF$3)/12</f>
        <v>75</v>
      </c>
      <c r="DG330" s="106">
        <f t="shared" si="319"/>
        <v>75</v>
      </c>
      <c r="DH330" s="104">
        <f>('Renewable Diesel'!AS339*'Feedstock Conversion Rates'!$B$4*$DH$3)/12</f>
        <v>75</v>
      </c>
      <c r="DI330" s="106">
        <f t="shared" si="323"/>
        <v>75</v>
      </c>
      <c r="DJ330" s="104">
        <f>('Renewable Diesel'!AT339*'Feedstock Conversion Rates'!$B$4*0.25)/12</f>
        <v>8.59375</v>
      </c>
      <c r="DK330" s="104">
        <f>('Renewable Diesel'!$AT339*'RD Feedstock Breakdown'!DK$3*'Feedstock Conversion Rates'!$B$3)/12*0.5</f>
        <v>9.1781249999999996</v>
      </c>
      <c r="DL330" s="104">
        <f>('Renewable Diesel'!$AT339*'RD Feedstock Breakdown'!$DL$3*'Feedstock Conversion Rates'!$B$6)/12</f>
        <v>10.747916666666669</v>
      </c>
      <c r="DM330" s="104">
        <f>('Renewable Diesel'!$AT339*'RD Feedstock Breakdown'!$DM$3*'Feedstock Conversion Rates'!$B$8)/12</f>
        <v>10.7421875</v>
      </c>
      <c r="DN330" s="106">
        <f t="shared" si="297"/>
        <v>39.26197916666667</v>
      </c>
      <c r="DP330" s="104">
        <f t="shared" si="265"/>
        <v>103.22025000000001</v>
      </c>
      <c r="DQ330" s="104">
        <f t="shared" si="266"/>
        <v>429.11776750000001</v>
      </c>
      <c r="DR330" s="104">
        <f t="shared" si="271"/>
        <v>1869.453125</v>
      </c>
      <c r="DS330" s="104">
        <f t="shared" si="283"/>
        <v>228.90125</v>
      </c>
      <c r="DT330" s="104">
        <f t="shared" si="267"/>
        <v>233.03923333333344</v>
      </c>
      <c r="DU330" s="104">
        <f t="shared" si="268"/>
        <v>345.40610000000004</v>
      </c>
      <c r="DV330" s="104">
        <f t="shared" si="272"/>
        <v>78.75</v>
      </c>
      <c r="DW330" s="104">
        <f t="shared" si="269"/>
        <v>3</v>
      </c>
      <c r="DX330" s="106">
        <f t="shared" si="273"/>
        <v>3290.8877258333337</v>
      </c>
      <c r="DY330" s="109">
        <f t="shared" si="340"/>
        <v>-5.631051180898794E-13</v>
      </c>
      <c r="EA330" s="110">
        <f t="shared" si="313"/>
        <v>3.1365472966374777E-2</v>
      </c>
      <c r="EB330" s="110">
        <f t="shared" si="313"/>
        <v>0.13039574827528849</v>
      </c>
      <c r="EC330" s="110">
        <f t="shared" si="313"/>
        <v>0.56806955470551901</v>
      </c>
      <c r="ED330" s="110">
        <f t="shared" si="308"/>
        <v>6.955608002154999E-2</v>
      </c>
      <c r="EE330" s="110">
        <f t="shared" si="308"/>
        <v>7.0813486435281583E-2</v>
      </c>
      <c r="EF330" s="110">
        <f t="shared" si="308"/>
        <v>0.10495833610140398</v>
      </c>
      <c r="EG330" s="110">
        <f t="shared" si="308"/>
        <v>2.3929713366340557E-2</v>
      </c>
      <c r="EH330" s="111">
        <f t="shared" si="274"/>
        <v>9.1160812824154505E-4</v>
      </c>
      <c r="EI330" s="110">
        <f t="shared" si="321"/>
        <v>0.99908839187175835</v>
      </c>
      <c r="EK330" s="132">
        <f>(EA330*'Renewable Diesel'!BF339*'Feedstock Conversion Rates'!B$2)+FB330</f>
        <v>239.08409443912285</v>
      </c>
      <c r="EL330" s="132">
        <f>(EB330*'Renewable Diesel'!BF339*'Feedstock Conversion Rates'!B$3)+FC330</f>
        <v>936.64682489463542</v>
      </c>
      <c r="EM330" s="132">
        <f>(EC330*'Renewable Diesel'!BF339*'Feedstock Conversion Rates'!B$4)+FD330</f>
        <v>3820.6978665439137</v>
      </c>
      <c r="EN330" s="132">
        <f>(ED330*'Renewable Diesel'!BF339*'Feedstock Conversion Rates'!B$5)+FE330</f>
        <v>470.93608421325354</v>
      </c>
      <c r="EO330" s="132">
        <f>(EE330*'Renewable Diesel'!BF339*'Feedstock Conversion Rates'!B$6)+FF330</f>
        <v>595.66040667099674</v>
      </c>
      <c r="EP330" s="132">
        <f>(EF330*'Renewable Diesel'!BF339*'Feedstock Conversion Rates'!B$7)+FG330</f>
        <v>865.93378222118895</v>
      </c>
      <c r="EQ330" s="132">
        <f>(EG330*'Renewable Diesel'!BF339*'Feedstock Conversion Rates'!B$8)+FH330</f>
        <v>201.18180082098422</v>
      </c>
      <c r="ER330" s="132">
        <f>(EH330*'Renewable Diesel'!BF339*'Feedstock Conversion Rates'!B$9)+FI330</f>
        <v>7.5618810213347727</v>
      </c>
      <c r="ES330" s="132">
        <f t="shared" si="275"/>
        <v>7137.7027408254298</v>
      </c>
      <c r="ET330" s="133">
        <f>ES330/'Renewable Diesel'!BF339</f>
        <v>11.680143907939271</v>
      </c>
      <c r="EW330" s="73">
        <f t="shared" si="309"/>
        <v>5658.75852860141</v>
      </c>
      <c r="EX330" s="73">
        <f t="shared" si="310"/>
        <v>3752.7003056594922</v>
      </c>
      <c r="EY330" s="92">
        <f t="shared" si="341"/>
        <v>0.7927982901606534</v>
      </c>
      <c r="EZ330" s="92">
        <f t="shared" si="341"/>
        <v>0.52575743792119822</v>
      </c>
      <c r="FB330" s="102">
        <f>IF('Renewable Diesel'!$BG339&lt;1,0,(((('Renewable Diesel'!$BG339-1)*'Renewable Diesel'!$BF339)*'RD Feedstock Breakdown'!EA330)*'Feedstock Conversion Rates'!$B$2))</f>
        <v>76.161607776844903</v>
      </c>
      <c r="FC330" s="102">
        <f>IF('Renewable Diesel'!$BG339&lt;1,0,(((('Renewable Diesel'!$BG339-1)*'Renewable Diesel'!$BF339)*'RD Feedstock Breakdown'!EB330)*'Feedstock Conversion Rates'!$B$3))</f>
        <v>298.37421125986498</v>
      </c>
      <c r="FD330" s="102">
        <f>IF('Renewable Diesel'!$BG339&lt;1,0,(((('Renewable Diesel'!$BG339-1)*'Renewable Diesel'!$BF339)*'RD Feedstock Breakdown'!EC330)*'Feedstock Conversion Rates'!$B$4))</f>
        <v>1217.1051906576729</v>
      </c>
      <c r="FE330" s="102">
        <f>IF('Renewable Diesel'!$BG339&lt;1,0,(((('Renewable Diesel'!$BG339-1)*'Renewable Diesel'!$BF339)*'RD Feedstock Breakdown'!ED330)*'Feedstock Conversion Rates'!$B$5))</f>
        <v>150.01938718656908</v>
      </c>
      <c r="FF330" s="102">
        <f>IF('Renewable Diesel'!$BG339&lt;1,0,(((('Renewable Diesel'!$BG339-1)*'Renewable Diesel'!$BF339)*'RD Feedstock Breakdown'!EE330)*'Feedstock Conversion Rates'!$B$6))</f>
        <v>189.75103453661109</v>
      </c>
      <c r="FG330" s="102">
        <f>IF('Renewable Diesel'!$BG339&lt;1,0,(((('Renewable Diesel'!$BG339-1)*'Renewable Diesel'!$BF339)*'RD Feedstock Breakdown'!EF330)*'Feedstock Conversion Rates'!$B$7))</f>
        <v>275.84816646614223</v>
      </c>
      <c r="FH330" s="102">
        <f>IF('Renewable Diesel'!$BG339&lt;1,0,(((('Renewable Diesel'!$BG339-1)*'Renewable Diesel'!$BF339)*'RD Feedstock Breakdown'!EG330)*'Feedstock Conversion Rates'!$B$8))</f>
        <v>64.087615037346652</v>
      </c>
      <c r="FI330" s="102">
        <f>IF('Renewable Diesel'!$BG339&lt;1,0,(((('Renewable Diesel'!$BG339-1)*'Renewable Diesel'!$BF339)*'RD Feedstock Breakdown'!EH330)*'Feedstock Conversion Rates'!$B$9))</f>
        <v>2.408880514419633</v>
      </c>
      <c r="FJ330" s="102">
        <f t="shared" si="311"/>
        <v>2273.7560934354715</v>
      </c>
      <c r="GD330" s="91">
        <f>'Renewable Diesel'!BB339*0.32</f>
        <v>0</v>
      </c>
      <c r="GE330" s="91">
        <f>'Renewable Diesel'!BC339</f>
        <v>199.37330258687672</v>
      </c>
      <c r="GF330" s="91">
        <f>'Renewable Diesel'!BD339</f>
        <v>0</v>
      </c>
      <c r="GG330" s="91">
        <f t="shared" si="295"/>
        <v>199.37330258687672</v>
      </c>
      <c r="GH330" s="124">
        <v>1</v>
      </c>
      <c r="GI330" s="102">
        <f>$GG330*EA330*'Feedstock Conversion Rates'!$B$2</f>
        <v>53.154222426297089</v>
      </c>
      <c r="GJ330" s="102">
        <f>$GG330*EB330*'Feedstock Conversion Rates'!$B$3</f>
        <v>208.23942212521973</v>
      </c>
      <c r="GK330" s="102">
        <f>$GG330*EC330*'Feedstock Conversion Rates'!$B$4</f>
        <v>849.43427415521819</v>
      </c>
      <c r="GL330" s="102">
        <f>$GG330*ED330*'Feedstock Conversion Rates'!$B$5</f>
        <v>104.70057168614591</v>
      </c>
      <c r="GM330" s="102">
        <f>$GG330*EE330*'Feedstock Conversion Rates'!$B$6</f>
        <v>132.42982901478914</v>
      </c>
      <c r="GN330" s="102">
        <f>$GG330*EF330*'Feedstock Conversion Rates'!$B$7</f>
        <v>192.51818894355497</v>
      </c>
      <c r="GO330" s="102">
        <f>$GG330*EG330*'Feedstock Conversion Rates'!$B$8</f>
        <v>44.72761859816854</v>
      </c>
      <c r="GP330" s="102">
        <f>$GG330*EH330*'Feedstock Conversion Rates'!B$9</f>
        <v>1.6811904895311605</v>
      </c>
      <c r="GQ330" s="102">
        <f t="shared" si="276"/>
        <v>1586.8853174389251</v>
      </c>
      <c r="GR330" s="85">
        <f t="shared" si="293"/>
        <v>7.9593671612448782</v>
      </c>
      <c r="GT330" s="103">
        <f t="shared" si="333"/>
        <v>3.3495944440448108E-2</v>
      </c>
      <c r="GU330" s="103">
        <f t="shared" si="334"/>
        <v>0.13122524976240715</v>
      </c>
      <c r="GV330" s="103">
        <f t="shared" si="335"/>
        <v>0.53528397094638236</v>
      </c>
      <c r="GW330" s="103">
        <f t="shared" si="331"/>
        <v>6.5978663067550597E-2</v>
      </c>
      <c r="GX330" s="103">
        <f t="shared" si="331"/>
        <v>8.3452677745180545E-2</v>
      </c>
      <c r="GY330" s="103">
        <f t="shared" si="331"/>
        <v>0.1213182747536288</v>
      </c>
      <c r="GZ330" s="103">
        <f t="shared" si="331"/>
        <v>2.818579144103146E-2</v>
      </c>
      <c r="HA330" s="103">
        <f t="shared" si="331"/>
        <v>1.0594278433708334E-3</v>
      </c>
    </row>
    <row r="331" spans="1:209" x14ac:dyDescent="0.25">
      <c r="A331" s="96">
        <v>50496</v>
      </c>
      <c r="B331" s="104">
        <f t="shared" si="336"/>
        <v>1.75</v>
      </c>
      <c r="C331" s="104">
        <f t="shared" si="314"/>
        <v>49</v>
      </c>
      <c r="D331" s="104">
        <f t="shared" si="337"/>
        <v>2</v>
      </c>
      <c r="E331" s="104">
        <f>('Renewable Diesel'!B340*E$3*'Feedstock Conversion Rates'!$B$2)/12+26+13-100+27.5+39</f>
        <v>95.43</v>
      </c>
      <c r="F331" s="104">
        <f>('Renewable Diesel'!B340*'RD Feedstock Breakdown'!F$3*'Feedstock Conversion Rates'!B$8)/12+77+23-10-12-115.75+24+8</f>
        <v>48.15625</v>
      </c>
      <c r="G331" s="104">
        <f>('Renewable Diesel'!B340*'RD Feedstock Breakdown'!G$3*'Feedstock Conversion Rates'!B$7)/12+116.75-39-57.5-145-31.5+32+70-40+10+2.5</f>
        <v>94.407000000000039</v>
      </c>
      <c r="H331" s="104">
        <f>('Renewable Diesel'!B340*'RD Feedstock Breakdown'!H$3*'Feedstock Conversion Rates'!B$3)/12+67+10+12+3-235+20+47-20+125</f>
        <v>205.40022499999998</v>
      </c>
      <c r="I331" s="106">
        <f t="shared" si="291"/>
        <v>496.14347500000002</v>
      </c>
      <c r="J331" s="104">
        <f t="shared" si="332"/>
        <v>4</v>
      </c>
      <c r="K331" s="104"/>
      <c r="L331" s="104">
        <v>1</v>
      </c>
      <c r="M331" s="104">
        <f>('Renewable Diesel'!C340*'RD Feedstock Breakdown'!M$3*'Feedstock Conversion Rates'!B$2)/12</f>
        <v>7.7902500000000003</v>
      </c>
      <c r="N331" s="104">
        <f>('Renewable Diesel'!C340*'RD Feedstock Breakdown'!N$3*'Feedstock Conversion Rates'!B$8)/12</f>
        <v>3.671875</v>
      </c>
      <c r="O331" s="104">
        <f>('Renewable Diesel'!C340*'RD Feedstock Breakdown'!O$3*'Feedstock Conversion Rates'!B$7)/12</f>
        <v>11.9991</v>
      </c>
      <c r="P331" s="104">
        <f>('Renewable Diesel'!C340*'RD Feedstock Breakdown'!P$3*'Feedstock Conversion Rates'!B$3)/12</f>
        <v>10.4470425</v>
      </c>
      <c r="Q331" s="106">
        <f t="shared" si="299"/>
        <v>38.908267500000001</v>
      </c>
      <c r="R331" s="104">
        <f>('Renewable Diesel'!D340*'RD Feedstock Breakdown'!R$3*'Feedstock Conversion Rates'!B$7)/12</f>
        <v>2.2999999999999998</v>
      </c>
      <c r="S331" s="106">
        <f t="shared" si="329"/>
        <v>2.2999999999999998</v>
      </c>
      <c r="T331" s="104">
        <f t="shared" si="300"/>
        <v>0.82499999999999929</v>
      </c>
      <c r="U331" s="104"/>
      <c r="V331" s="104">
        <f>('Renewable Diesel'!E340*'RD Feedstock Breakdown'!V$3*'Feedstock Conversion Rates'!B$6)/12-20+25</f>
        <v>49.250150000000012</v>
      </c>
      <c r="W331" s="104">
        <f>('Renewable Diesel'!E340*'RD Feedstock Breakdown'!W$3*'Feedstock Conversion Rates'!B$8)/12-6</f>
        <v>16.1796875</v>
      </c>
      <c r="X331" s="106">
        <f t="shared" si="277"/>
        <v>66.254837500000008</v>
      </c>
      <c r="Y331" s="104">
        <f t="shared" si="301"/>
        <v>98</v>
      </c>
      <c r="Z331" s="104">
        <f>('Renewable Diesel'!F340*'RD Feedstock Breakdown'!Z$3*'Feedstock Conversion Rates'!B$6)/12-142+15+5+20+5+5</f>
        <v>67.460000000000008</v>
      </c>
      <c r="AA331" s="104">
        <f>('Renewable Diesel'!F340*'RD Feedstock Breakdown'!AA$3*'Feedstock Conversion Rates'!B$7)/12+24</f>
        <v>128.26666666666665</v>
      </c>
      <c r="AB331" s="106">
        <f t="shared" si="320"/>
        <v>293.72666666666669</v>
      </c>
      <c r="AC331" s="104">
        <f>('Renewable Diesel'!G340*'RD Feedstock Breakdown'!AC$3*'Feedstock Conversion Rates'!B$5)/12</f>
        <v>11.796875</v>
      </c>
      <c r="AD331" s="104">
        <f>('Renewable Diesel'!G340*'RD Feedstock Breakdown'!AD$3*'Feedstock Conversion Rates'!B$4)/12</f>
        <v>5.859375</v>
      </c>
      <c r="AE331" s="104">
        <f>('Renewable Diesel'!G340*'RD Feedstock Breakdown'!AE$3*'Feedstock Conversion Rates'!B$6)/12</f>
        <v>7.3281250000000009</v>
      </c>
      <c r="AF331" s="106">
        <f t="shared" si="284"/>
        <v>24.984375</v>
      </c>
      <c r="AG331" s="104">
        <f t="shared" si="306"/>
        <v>148</v>
      </c>
      <c r="AH331" s="104"/>
      <c r="AI331" s="104">
        <f>('Renewable Diesel'!H340*'RD Feedstock Breakdown'!AI$3*'Feedstock Conversion Rates'!B$6)/12-130-20+51-49</f>
        <v>0.51666666666667993</v>
      </c>
      <c r="AJ331" s="106">
        <f t="shared" si="328"/>
        <v>148.51666666666668</v>
      </c>
      <c r="AK331" s="104">
        <f>('Renewable Diesel'!J340*'RD Feedstock Breakdown'!AK$3*'Feedstock Conversion Rates'!B$4)/12</f>
        <v>95.8125</v>
      </c>
      <c r="AL331" s="106">
        <f t="shared" si="330"/>
        <v>95.8125</v>
      </c>
      <c r="AM331" s="104">
        <f>('Renewable Diesel'!K340*'RD Feedstock Breakdown'!AM$3*'Feedstock Conversion Rates'!B$4)/12+5+15-10+10</f>
        <v>78.59375</v>
      </c>
      <c r="AN331" s="104">
        <f>('Renewable Diesel'!K340*'RD Feedstock Breakdown'!AN$3*'Feedstock Conversion Rates'!B$6)/12-5-15+10-10</f>
        <v>4.4270833333333321</v>
      </c>
      <c r="AO331" s="106">
        <f t="shared" si="270"/>
        <v>83.020833333333329</v>
      </c>
      <c r="AP331" s="104">
        <f>('Renewable Diesel'!L340*'RD Feedstock Breakdown'!AP$3*'Feedstock Conversion Rates'!B$4)/12+15-10+15</f>
        <v>78.59375</v>
      </c>
      <c r="AQ331" s="104">
        <f>('Renewable Diesel'!L340*'RD Feedstock Breakdown'!AQ$3*'Feedstock Conversion Rates'!B$6)/12-15+10-15</f>
        <v>4.4270833333333321</v>
      </c>
      <c r="AR331" s="106">
        <f t="shared" si="339"/>
        <v>83.020833333333329</v>
      </c>
      <c r="AS331" s="104">
        <f>('Renewable Diesel'!M340*'RD Feedstock Breakdown'!AS$3*'Feedstock Conversion Rates'!B$4)/12</f>
        <v>456.25</v>
      </c>
      <c r="AT331" s="104">
        <f>('Renewable Diesel'!M340*'RD Feedstock Breakdown'!AT$3*'Feedstock Conversion Rates'!B$5)/12</f>
        <v>0</v>
      </c>
      <c r="AU331" s="106">
        <f t="shared" si="290"/>
        <v>456.25</v>
      </c>
      <c r="AV331" s="104">
        <f>'Renewable Diesel'!N340*'RD Feedstock Breakdown'!$AV$3*'Feedstock Conversion Rates'!$B$4/12-15-10+25+25-22+25</f>
        <v>106.74999999999999</v>
      </c>
      <c r="AW331" s="104">
        <f>'Renewable Diesel'!N340*'RD Feedstock Breakdown'!$AW$3*'Feedstock Conversion Rates'!$B$7/12+15+10-25-25+22-25</f>
        <v>13.400000000000006</v>
      </c>
      <c r="AX331" s="106">
        <f t="shared" si="322"/>
        <v>120.14999999999999</v>
      </c>
      <c r="AY331" s="104">
        <f>('Renewable Diesel'!O340*'RD Feedstock Breakdown'!AY$3*'Feedstock Conversion Rates'!B$4)/12</f>
        <v>210.9375</v>
      </c>
      <c r="AZ331" s="104">
        <f>('Renewable Diesel'!O340*'RD Feedstock Breakdown'!AZ$3*'Feedstock Conversion Rates'!B$3)/12</f>
        <v>25.03125</v>
      </c>
      <c r="BA331" s="106">
        <f t="shared" si="302"/>
        <v>235.96875</v>
      </c>
      <c r="BB331" s="104">
        <f>('Renewable Diesel'!Q340*'RD Feedstock Breakdown'!BB$3*'Feedstock Conversion Rates'!B$4)/12</f>
        <v>11.156249999999998</v>
      </c>
      <c r="BC331" s="104">
        <f>('Renewable Diesel'!Q340*'RD Feedstock Breakdown'!BC$3*'Feedstock Conversion Rates'!B$3)/12</f>
        <v>1.4017500000000001</v>
      </c>
      <c r="BD331" s="104">
        <f>('Renewable Diesel'!Q340*'RD Feedstock Breakdown'!BD$3*'Feedstock Conversion Rates'!B$6)/12</f>
        <v>0.8207500000000002</v>
      </c>
      <c r="BE331" s="106">
        <f t="shared" si="279"/>
        <v>13.378749999999998</v>
      </c>
      <c r="BF331" s="104">
        <f>('Renewable Diesel'!R340*'RD Feedstock Breakdown'!BF$3*'Feedstock Conversion Rates'!B$4)/12</f>
        <v>62.5</v>
      </c>
      <c r="BG331" s="106">
        <f t="shared" ref="BG331:BG394" si="344">BF331</f>
        <v>62.5</v>
      </c>
      <c r="BH331" s="104">
        <f>('Renewable Diesel'!T340*'RD Feedstock Breakdown'!BH$3*'Feedstock Conversion Rates'!B$7)/12</f>
        <v>27.599999999999998</v>
      </c>
      <c r="BI331" s="106">
        <f t="shared" si="327"/>
        <v>27.599999999999998</v>
      </c>
      <c r="BJ331" s="104">
        <f>('Renewable Diesel'!W340*'RD Feedstock Breakdown'!BJ$3*'Feedstock Conversion Rates'!B$4)/12</f>
        <v>7.5</v>
      </c>
      <c r="BK331" s="104">
        <f>('Renewable Diesel'!W340*'RD Feedstock Breakdown'!BK$3*'Feedstock Conversion Rates'!B$3)/12</f>
        <v>1.335</v>
      </c>
      <c r="BL331" s="104">
        <f>('Renewable Diesel'!W340*'RD Feedstock Breakdown'!BL$3*'Feedstock Conversion Rates'!B$6)/12</f>
        <v>3.1266666666666669</v>
      </c>
      <c r="BM331" s="104">
        <f>('Renewable Diesel'!W340*'RD Feedstock Breakdown'!BM$3*'Feedstock Conversion Rates'!B$7)/12</f>
        <v>1.5333333333333332</v>
      </c>
      <c r="BN331" s="106">
        <f t="shared" si="296"/>
        <v>13.495000000000001</v>
      </c>
      <c r="BO331" s="104">
        <f>('Renewable Diesel'!P340*'Feedstock Conversion Rates'!B$4)/12</f>
        <v>31.25</v>
      </c>
      <c r="BP331" s="106">
        <f t="shared" si="285"/>
        <v>31.25</v>
      </c>
      <c r="BQ331" s="104">
        <f>('Renewable Diesel'!$S340*'RD Feedstock Breakdown'!BQ$3*'Feedstock Conversion Rates'!B$4)/12+10+15-15</f>
        <v>38.125</v>
      </c>
      <c r="BR331" s="104">
        <f>('Renewable Diesel'!$S340*'RD Feedstock Breakdown'!BR$3*'Feedstock Conversion Rates'!B$7)/12-10-15+15</f>
        <v>1.5</v>
      </c>
      <c r="BS331" s="106">
        <f t="shared" si="307"/>
        <v>39.625</v>
      </c>
      <c r="BT331" s="106"/>
      <c r="BU331" s="104">
        <f>('Renewable Diesel'!Y340*'Feedstock Conversion Rates'!B$7)/12</f>
        <v>2.6833333333333331</v>
      </c>
      <c r="BV331" s="106">
        <f t="shared" si="281"/>
        <v>2.6833333333333331</v>
      </c>
      <c r="BW331" s="104">
        <f>('Renewable Diesel'!$Z340*'RD Feedstock Breakdown'!BW$3*'Feedstock Conversion Rates'!$B$4)/12-50</f>
        <v>21.875</v>
      </c>
      <c r="BX331" s="104">
        <f>('Renewable Diesel'!$Z340*'RD Feedstock Breakdown'!BX$3*'Feedstock Conversion Rates'!$B$5)/12</f>
        <v>7.2354166666666666</v>
      </c>
      <c r="BY331" s="104">
        <f>('Renewable Diesel'!$Z340*'RD Feedstock Breakdown'!BY$3*'Feedstock Conversion Rates'!$B$7)/12</f>
        <v>61.716666666666661</v>
      </c>
      <c r="BZ331" s="104">
        <f>('Renewable Diesel'!$Z340*'RD Feedstock Breakdown'!BZ$3*'Feedstock Conversion Rates'!$B$3)/12+50</f>
        <v>65.352499999999992</v>
      </c>
      <c r="CA331" s="106">
        <f t="shared" si="312"/>
        <v>156.17958333333331</v>
      </c>
      <c r="CB331" s="104">
        <f>('Renewable Diesel'!AA340*'Feedstock Conversion Rates'!B$4)/12</f>
        <v>191.25</v>
      </c>
      <c r="CC331" s="106">
        <f t="shared" si="298"/>
        <v>191.25</v>
      </c>
      <c r="CD331" s="104">
        <f>('Renewable Diesel'!$AB340*'RD Feedstock Breakdown'!CD$3*'Feedstock Conversion Rates'!$B$6)/12-15-5</f>
        <v>12.830000000000005</v>
      </c>
      <c r="CE331" s="104">
        <f>('Renewable Diesel'!$AB340*'RD Feedstock Breakdown'!CE$3*'Feedstock Conversion Rates'!$B$4)/12+15+5</f>
        <v>31.25</v>
      </c>
      <c r="CF331" s="106">
        <f t="shared" si="294"/>
        <v>44.080000000000005</v>
      </c>
      <c r="CG331" s="104">
        <f>('Renewable Diesel'!AD340*'Feedstock Conversion Rates'!B$4)/12</f>
        <v>112.5</v>
      </c>
      <c r="CH331" s="106">
        <f t="shared" si="278"/>
        <v>112.5</v>
      </c>
      <c r="CI331" s="104">
        <f>('Renewable Diesel'!$AE340*'RD Feedstock Breakdown'!CI$3*'Feedstock Conversion Rates'!$B$5)/12</f>
        <v>0.34604166666666664</v>
      </c>
      <c r="CJ331" s="104">
        <f>('Renewable Diesel'!$AE340*'RD Feedstock Breakdown'!CJ$3*'Feedstock Conversion Rates'!$B$4)/12</f>
        <v>0.34375</v>
      </c>
      <c r="CK331" s="106">
        <f t="shared" si="286"/>
        <v>0.68979166666666658</v>
      </c>
      <c r="CL331" s="104">
        <f>(((CL$3*'Renewable Diesel'!$AF340)*'Feedstock Conversion Rates'!$B$3)/12)</f>
        <v>91.78125</v>
      </c>
      <c r="CM331" s="104">
        <f>(((CM$3*'Renewable Diesel'!$AF340)*'Feedstock Conversion Rates'!$B$6)/12)</f>
        <v>53.739583333333336</v>
      </c>
      <c r="CN331" s="104">
        <f>(((CN$3*'Renewable Diesel'!$AF340)*'Feedstock Conversion Rates'!$B$4)/12)</f>
        <v>42.96875</v>
      </c>
      <c r="CO331" s="106">
        <f t="shared" si="280"/>
        <v>188.48958333333334</v>
      </c>
      <c r="CP331" s="104">
        <f>('Renewable Diesel'!$AG340*'RD Feedstock Breakdown'!CP$3*'Feedstock Conversion Rates'!$B$3)/12</f>
        <v>6.0075000000000003</v>
      </c>
      <c r="CQ331" s="104">
        <f>('Renewable Diesel'!$AG340*'RD Feedstock Breakdown'!CQ$3*'Feedstock Conversion Rates'!$B$6)/12</f>
        <v>3.5175000000000001</v>
      </c>
      <c r="CR331" s="104">
        <f>('Renewable Diesel'!$AG340*'RD Feedstock Breakdown'!CR$3*'Feedstock Conversion Rates'!$B$4)/12</f>
        <v>2.8125</v>
      </c>
      <c r="CS331" s="106">
        <f t="shared" si="317"/>
        <v>12.3375</v>
      </c>
      <c r="CT331" s="104">
        <f>('Renewable Diesel'!AI340*'Feedstock Conversion Rates'!$B$4*'RD Feedstock Breakdown'!$CT$3)/12</f>
        <v>29.375</v>
      </c>
      <c r="CU331" s="106">
        <f t="shared" si="282"/>
        <v>29.375</v>
      </c>
      <c r="CV331" s="104">
        <f>('Renewable Diesel'!AN340*'Feedstock Conversion Rates'!$B$3*'RD Feedstock Breakdown'!$CV$3)/12</f>
        <v>0.50062499999999999</v>
      </c>
      <c r="CW331" s="106">
        <f t="shared" si="338"/>
        <v>0.50062499999999999</v>
      </c>
      <c r="CX331" s="104">
        <f>('Renewable Diesel'!AO340*'RD Feedstock Breakdown'!$CX$3*'Feedstock Conversion Rates'!$B$3)/12</f>
        <v>6.3412499999999996</v>
      </c>
      <c r="CY331" s="104">
        <f>('Renewable Diesel'!AO340*'RD Feedstock Breakdown'!$CY$3*'Feedstock Conversion Rates'!$B$6)/12</f>
        <v>7.4258333333333342</v>
      </c>
      <c r="CZ331" s="106">
        <f t="shared" si="318"/>
        <v>13.767083333333334</v>
      </c>
      <c r="DA331" s="104">
        <f>('Renewable Diesel'!$AP340*'RD Feedstock Breakdown'!DA$3*'Feedstock Conversion Rates'!$B$3)/12</f>
        <v>6.3412499999999996</v>
      </c>
      <c r="DB331" s="104">
        <f>('Renewable Diesel'!$AP340*'RD Feedstock Breakdown'!DB$3*'Feedstock Conversion Rates'!$B$8)/12</f>
        <v>7.421875</v>
      </c>
      <c r="DC331" s="106">
        <f t="shared" si="342"/>
        <v>13.763124999999999</v>
      </c>
      <c r="DD331" s="104">
        <f>('Renewable Diesel'!AQ340*$DD$3*'Feedstock Conversion Rates'!$B$14)/12</f>
        <v>3.1041666666666665</v>
      </c>
      <c r="DE331" s="106">
        <f t="shared" si="343"/>
        <v>3.1041666666666665</v>
      </c>
      <c r="DF331" s="104">
        <f>('Renewable Diesel'!AR340*'Feedstock Conversion Rates'!$B$4*$DF$3)/12</f>
        <v>75</v>
      </c>
      <c r="DG331" s="106">
        <f t="shared" si="319"/>
        <v>75</v>
      </c>
      <c r="DH331" s="104">
        <f>('Renewable Diesel'!AS340*'Feedstock Conversion Rates'!$B$4*$DH$3)/12</f>
        <v>75</v>
      </c>
      <c r="DI331" s="106">
        <f t="shared" si="323"/>
        <v>75</v>
      </c>
      <c r="DJ331" s="104">
        <f>('Renewable Diesel'!AT340*'Feedstock Conversion Rates'!$B$4*0.25)/12</f>
        <v>8.59375</v>
      </c>
      <c r="DK331" s="104">
        <f>('Renewable Diesel'!$AT340*'RD Feedstock Breakdown'!DK$3*'Feedstock Conversion Rates'!$B$3)/12*0.5</f>
        <v>9.1781249999999996</v>
      </c>
      <c r="DL331" s="104">
        <f>('Renewable Diesel'!$AT340*'RD Feedstock Breakdown'!$DL$3*'Feedstock Conversion Rates'!$B$6)/12</f>
        <v>10.747916666666669</v>
      </c>
      <c r="DM331" s="104">
        <f>('Renewable Diesel'!$AT340*'RD Feedstock Breakdown'!$DM$3*'Feedstock Conversion Rates'!$B$8)/12</f>
        <v>10.7421875</v>
      </c>
      <c r="DN331" s="106">
        <f t="shared" si="297"/>
        <v>39.26197916666667</v>
      </c>
      <c r="DP331" s="104">
        <f t="shared" si="265"/>
        <v>103.22025000000001</v>
      </c>
      <c r="DQ331" s="104">
        <f t="shared" si="266"/>
        <v>429.11776750000001</v>
      </c>
      <c r="DR331" s="104">
        <f t="shared" si="271"/>
        <v>1869.453125</v>
      </c>
      <c r="DS331" s="104">
        <f t="shared" si="283"/>
        <v>228.90125</v>
      </c>
      <c r="DT331" s="104">
        <f t="shared" si="267"/>
        <v>233.03923333333344</v>
      </c>
      <c r="DU331" s="104">
        <f t="shared" si="268"/>
        <v>345.40610000000004</v>
      </c>
      <c r="DV331" s="104">
        <f t="shared" si="272"/>
        <v>78.75</v>
      </c>
      <c r="DW331" s="104">
        <f t="shared" si="269"/>
        <v>3</v>
      </c>
      <c r="DX331" s="106">
        <f t="shared" si="273"/>
        <v>3290.8877258333337</v>
      </c>
      <c r="DY331" s="109">
        <f t="shared" si="340"/>
        <v>-5.631051180898794E-13</v>
      </c>
      <c r="EA331" s="110">
        <f t="shared" si="313"/>
        <v>3.1365472966374777E-2</v>
      </c>
      <c r="EB331" s="110">
        <f t="shared" si="313"/>
        <v>0.13039574827528849</v>
      </c>
      <c r="EC331" s="110">
        <f t="shared" si="313"/>
        <v>0.56806955470551901</v>
      </c>
      <c r="ED331" s="110">
        <f t="shared" si="308"/>
        <v>6.955608002154999E-2</v>
      </c>
      <c r="EE331" s="110">
        <f t="shared" si="308"/>
        <v>7.0813486435281583E-2</v>
      </c>
      <c r="EF331" s="110">
        <f t="shared" si="308"/>
        <v>0.10495833610140398</v>
      </c>
      <c r="EG331" s="110">
        <f t="shared" si="308"/>
        <v>2.3929713366340557E-2</v>
      </c>
      <c r="EH331" s="111">
        <f t="shared" si="274"/>
        <v>9.1160812824154505E-4</v>
      </c>
      <c r="EI331" s="110">
        <f t="shared" si="321"/>
        <v>0.99908839187175835</v>
      </c>
      <c r="EK331" s="132">
        <f>(EA331*'Renewable Diesel'!BF340*'Feedstock Conversion Rates'!B$2)+FB331</f>
        <v>299.60655442792972</v>
      </c>
      <c r="EL331" s="132">
        <f>(EB331*'Renewable Diesel'!BF340*'Feedstock Conversion Rates'!B$3)+FC331</f>
        <v>1173.7523927757434</v>
      </c>
      <c r="EM331" s="132">
        <f>(EC331*'Renewable Diesel'!BF340*'Feedstock Conversion Rates'!B$4)+FD331</f>
        <v>4787.8807077935362</v>
      </c>
      <c r="EN331" s="132">
        <f>(ED331*'Renewable Diesel'!BF340*'Feedstock Conversion Rates'!B$5)+FE331</f>
        <v>590.15024766877968</v>
      </c>
      <c r="EO331" s="132">
        <f>(EE331*'Renewable Diesel'!BF340*'Feedstock Conversion Rates'!B$6)+FF331</f>
        <v>746.4476567146894</v>
      </c>
      <c r="EP331" s="132">
        <f>(EF331*'Renewable Diesel'!BF340*'Feedstock Conversion Rates'!B$7)+FG331</f>
        <v>1085.1388397988806</v>
      </c>
      <c r="EQ331" s="132">
        <f>(EG331*'Renewable Diesel'!BF340*'Feedstock Conversion Rates'!B$8)+FH331</f>
        <v>252.10956127794125</v>
      </c>
      <c r="ER331" s="132">
        <f>(EH331*'Renewable Diesel'!BF340*'Feedstock Conversion Rates'!B$9)+FI331</f>
        <v>9.4761181127962679</v>
      </c>
      <c r="ES331" s="132">
        <f t="shared" si="275"/>
        <v>8944.5620785702959</v>
      </c>
      <c r="ET331" s="133">
        <f>ES331/'Renewable Diesel'!BF340</f>
        <v>12.426438508049801</v>
      </c>
      <c r="EW331" s="73">
        <f t="shared" si="309"/>
        <v>7311.3321155503772</v>
      </c>
      <c r="EX331" s="73">
        <f t="shared" si="310"/>
        <v>4848.632102982705</v>
      </c>
      <c r="EY331" s="92">
        <f t="shared" si="341"/>
        <v>0.81740526269778258</v>
      </c>
      <c r="EZ331" s="92">
        <f t="shared" si="341"/>
        <v>0.5420759630702584</v>
      </c>
      <c r="FB331" s="102">
        <f>IF('Renewable Diesel'!$BG340&lt;1,0,(((('Renewable Diesel'!$BG340-1)*'Renewable Diesel'!$BF340)*'RD Feedstock Breakdown'!EA331)*'Feedstock Conversion Rates'!$B$2))</f>
        <v>107.70293143389139</v>
      </c>
      <c r="FC331" s="102">
        <f>IF('Renewable Diesel'!$BG340&lt;1,0,(((('Renewable Diesel'!$BG340-1)*'Renewable Diesel'!$BF340)*'RD Feedstock Breakdown'!EB331)*'Feedstock Conversion Rates'!$B$3))</f>
        <v>421.94194890319494</v>
      </c>
      <c r="FD331" s="102">
        <f>IF('Renewable Diesel'!$BG340&lt;1,0,(((('Renewable Diesel'!$BG340-1)*'Renewable Diesel'!$BF340)*'RD Feedstock Breakdown'!EC331)*'Feedstock Conversion Rates'!$B$4))</f>
        <v>1721.1532256687747</v>
      </c>
      <c r="FE331" s="102">
        <f>IF('Renewable Diesel'!$BG340&lt;1,0,(((('Renewable Diesel'!$BG340-1)*'Renewable Diesel'!$BF340)*'RD Feedstock Breakdown'!ED331)*'Feedstock Conversion Rates'!$B$5))</f>
        <v>212.14793441928572</v>
      </c>
      <c r="FF331" s="102">
        <f>IF('Renewable Diesel'!$BG340&lt;1,0,(((('Renewable Diesel'!$BG340-1)*'Renewable Diesel'!$BF340)*'RD Feedstock Breakdown'!EE331)*'Feedstock Conversion Rates'!$B$6))</f>
        <v>268.33391860747821</v>
      </c>
      <c r="FG331" s="102">
        <f>IF('Renewable Diesel'!$BG340&lt;1,0,(((('Renewable Diesel'!$BG340-1)*'Renewable Diesel'!$BF340)*'RD Feedstock Breakdown'!EF331)*'Feedstock Conversion Rates'!$B$7))</f>
        <v>390.08704025941114</v>
      </c>
      <c r="FH331" s="102">
        <f>IF('Renewable Diesel'!$BG340&lt;1,0,(((('Renewable Diesel'!$BG340-1)*'Renewable Diesel'!$BF340)*'RD Feedstock Breakdown'!EG331)*'Feedstock Conversion Rates'!$B$8))</f>
        <v>90.628654116037296</v>
      </c>
      <c r="FI331" s="102">
        <f>IF('Renewable Diesel'!$BG340&lt;1,0,(((('Renewable Diesel'!$BG340-1)*'Renewable Diesel'!$BF340)*'RD Feedstock Breakdown'!EH331)*'Feedstock Conversion Rates'!$B$9))</f>
        <v>3.4064865547107352</v>
      </c>
      <c r="FJ331" s="102">
        <f t="shared" si="311"/>
        <v>3215.4021399627836</v>
      </c>
      <c r="GD331" s="91">
        <f>'Renewable Diesel'!BB340*0.32</f>
        <v>0</v>
      </c>
      <c r="GE331" s="91">
        <f>'Renewable Diesel'!BC340</f>
        <v>320.03735405648092</v>
      </c>
      <c r="GF331" s="91">
        <f>'Renewable Diesel'!BD340</f>
        <v>0</v>
      </c>
      <c r="GG331" s="91">
        <f t="shared" si="295"/>
        <v>320.03735405648092</v>
      </c>
      <c r="GH331" s="124">
        <v>1</v>
      </c>
      <c r="GI331" s="102">
        <f>$GG331*EA331*'Feedstock Conversion Rates'!$B$2</f>
        <v>85.32404530355366</v>
      </c>
      <c r="GJ331" s="102">
        <f>$GG331*EB331*'Feedstock Conversion Rates'!$B$3</f>
        <v>334.26939716848852</v>
      </c>
      <c r="GK331" s="102">
        <f>$GG331*EC331*'Feedstock Conversion Rates'!$B$4</f>
        <v>1363.5260790599823</v>
      </c>
      <c r="GL331" s="102">
        <f>$GG331*ED331*'Feedstock Conversion Rates'!$B$5</f>
        <v>168.06710575521473</v>
      </c>
      <c r="GM331" s="102">
        <f>$GG331*EE331*'Feedstock Conversion Rates'!$B$6</f>
        <v>212.57857258785779</v>
      </c>
      <c r="GN331" s="102">
        <f>$GG331*EF331*'Feedstock Conversion Rates'!$B$7</f>
        <v>309.03341118299016</v>
      </c>
      <c r="GO331" s="102">
        <f>$GG331*EG331*'Feedstock Conversion Rates'!$B$8</f>
        <v>71.797520147752849</v>
      </c>
      <c r="GP331" s="102">
        <f>$GG331*EH331*'Feedstock Conversion Rates'!B$9</f>
        <v>2.6986750430139486</v>
      </c>
      <c r="GQ331" s="102">
        <f t="shared" si="276"/>
        <v>2547.294806248854</v>
      </c>
      <c r="GR331" s="85">
        <f t="shared" si="293"/>
        <v>7.9593671612448764</v>
      </c>
      <c r="GT331" s="103">
        <f t="shared" si="333"/>
        <v>3.3495944440448115E-2</v>
      </c>
      <c r="GU331" s="103">
        <f t="shared" si="334"/>
        <v>0.13122524976240721</v>
      </c>
      <c r="GV331" s="103">
        <f t="shared" si="335"/>
        <v>0.53528397094638247</v>
      </c>
      <c r="GW331" s="103">
        <f t="shared" si="331"/>
        <v>6.5978663067550611E-2</v>
      </c>
      <c r="GX331" s="103">
        <f t="shared" si="331"/>
        <v>8.3452677745180559E-2</v>
      </c>
      <c r="GY331" s="103">
        <f t="shared" si="331"/>
        <v>0.12131827475362884</v>
      </c>
      <c r="GZ331" s="103">
        <f t="shared" si="331"/>
        <v>2.8185791441031463E-2</v>
      </c>
      <c r="HA331" s="103">
        <f t="shared" si="331"/>
        <v>1.0594278433708336E-3</v>
      </c>
    </row>
    <row r="332" spans="1:209" x14ac:dyDescent="0.25">
      <c r="A332" s="96">
        <v>50526</v>
      </c>
      <c r="B332" s="104">
        <f t="shared" si="336"/>
        <v>1.75</v>
      </c>
      <c r="C332" s="104">
        <f t="shared" si="314"/>
        <v>49</v>
      </c>
      <c r="D332" s="104">
        <f t="shared" si="337"/>
        <v>2</v>
      </c>
      <c r="E332" s="104">
        <f>('Renewable Diesel'!B341*E$3*'Feedstock Conversion Rates'!$B$2)/12+26+13-100+27.5+39</f>
        <v>95.43</v>
      </c>
      <c r="F332" s="104">
        <f>('Renewable Diesel'!B341*'RD Feedstock Breakdown'!F$3*'Feedstock Conversion Rates'!B$8)/12+77+23-10-12-115.75+24+8</f>
        <v>48.15625</v>
      </c>
      <c r="G332" s="104">
        <f>('Renewable Diesel'!B341*'RD Feedstock Breakdown'!G$3*'Feedstock Conversion Rates'!B$7)/12+116.75-39-57.5-145-31.5+32+70-40+10+2.5</f>
        <v>94.407000000000039</v>
      </c>
      <c r="H332" s="104">
        <f>('Renewable Diesel'!B341*'RD Feedstock Breakdown'!H$3*'Feedstock Conversion Rates'!B$3)/12+67+10+12+3-235+20+47-20+125</f>
        <v>205.40022499999998</v>
      </c>
      <c r="I332" s="106">
        <f t="shared" si="291"/>
        <v>496.14347500000002</v>
      </c>
      <c r="J332" s="104">
        <f t="shared" si="332"/>
        <v>4</v>
      </c>
      <c r="K332" s="104"/>
      <c r="L332" s="104">
        <v>1</v>
      </c>
      <c r="M332" s="104">
        <f>('Renewable Diesel'!C341*'RD Feedstock Breakdown'!M$3*'Feedstock Conversion Rates'!B$2)/12</f>
        <v>7.7902500000000003</v>
      </c>
      <c r="N332" s="104">
        <f>('Renewable Diesel'!C341*'RD Feedstock Breakdown'!N$3*'Feedstock Conversion Rates'!B$8)/12</f>
        <v>3.671875</v>
      </c>
      <c r="O332" s="104">
        <f>('Renewable Diesel'!C341*'RD Feedstock Breakdown'!O$3*'Feedstock Conversion Rates'!B$7)/12</f>
        <v>11.9991</v>
      </c>
      <c r="P332" s="104">
        <f>('Renewable Diesel'!C341*'RD Feedstock Breakdown'!P$3*'Feedstock Conversion Rates'!B$3)/12</f>
        <v>10.4470425</v>
      </c>
      <c r="Q332" s="106">
        <f t="shared" si="299"/>
        <v>38.908267500000001</v>
      </c>
      <c r="R332" s="104">
        <f>('Renewable Diesel'!D341*'RD Feedstock Breakdown'!R$3*'Feedstock Conversion Rates'!B$7)/12</f>
        <v>2.2999999999999998</v>
      </c>
      <c r="S332" s="106">
        <f t="shared" si="329"/>
        <v>2.2999999999999998</v>
      </c>
      <c r="T332" s="104">
        <f t="shared" si="300"/>
        <v>0.82499999999999929</v>
      </c>
      <c r="U332" s="104"/>
      <c r="V332" s="104">
        <f>('Renewable Diesel'!E341*'RD Feedstock Breakdown'!V$3*'Feedstock Conversion Rates'!B$6)/12-20+25</f>
        <v>49.250150000000012</v>
      </c>
      <c r="W332" s="104">
        <f>('Renewable Diesel'!E341*'RD Feedstock Breakdown'!W$3*'Feedstock Conversion Rates'!B$8)/12-6</f>
        <v>16.1796875</v>
      </c>
      <c r="X332" s="106">
        <f t="shared" si="277"/>
        <v>66.254837500000008</v>
      </c>
      <c r="Y332" s="104">
        <f t="shared" si="301"/>
        <v>98</v>
      </c>
      <c r="Z332" s="104">
        <f>('Renewable Diesel'!F341*'RD Feedstock Breakdown'!Z$3*'Feedstock Conversion Rates'!B$6)/12-142+15+5+20+5+5</f>
        <v>67.460000000000008</v>
      </c>
      <c r="AA332" s="104">
        <f>('Renewable Diesel'!F341*'RD Feedstock Breakdown'!AA$3*'Feedstock Conversion Rates'!B$7)/12+24</f>
        <v>128.26666666666665</v>
      </c>
      <c r="AB332" s="106">
        <f t="shared" si="320"/>
        <v>293.72666666666669</v>
      </c>
      <c r="AC332" s="104">
        <f>('Renewable Diesel'!G341*'RD Feedstock Breakdown'!AC$3*'Feedstock Conversion Rates'!B$5)/12</f>
        <v>11.796875</v>
      </c>
      <c r="AD332" s="104">
        <f>('Renewable Diesel'!G341*'RD Feedstock Breakdown'!AD$3*'Feedstock Conversion Rates'!B$4)/12</f>
        <v>5.859375</v>
      </c>
      <c r="AE332" s="104">
        <f>('Renewable Diesel'!G341*'RD Feedstock Breakdown'!AE$3*'Feedstock Conversion Rates'!B$6)/12</f>
        <v>7.3281250000000009</v>
      </c>
      <c r="AF332" s="106">
        <f t="shared" si="284"/>
        <v>24.984375</v>
      </c>
      <c r="AG332" s="104">
        <f t="shared" si="306"/>
        <v>148</v>
      </c>
      <c r="AH332" s="104"/>
      <c r="AI332" s="104">
        <f>('Renewable Diesel'!H341*'RD Feedstock Breakdown'!AI$3*'Feedstock Conversion Rates'!B$6)/12-130-20+51-49</f>
        <v>0.51666666666667993</v>
      </c>
      <c r="AJ332" s="106">
        <f t="shared" si="328"/>
        <v>148.51666666666668</v>
      </c>
      <c r="AK332" s="104">
        <f>('Renewable Diesel'!J341*'RD Feedstock Breakdown'!AK$3*'Feedstock Conversion Rates'!B$4)/12</f>
        <v>95.8125</v>
      </c>
      <c r="AL332" s="106">
        <f t="shared" si="330"/>
        <v>95.8125</v>
      </c>
      <c r="AM332" s="104">
        <f>('Renewable Diesel'!K341*'RD Feedstock Breakdown'!AM$3*'Feedstock Conversion Rates'!B$4)/12+5+15-10+10</f>
        <v>78.59375</v>
      </c>
      <c r="AN332" s="104">
        <f>('Renewable Diesel'!K341*'RD Feedstock Breakdown'!AN$3*'Feedstock Conversion Rates'!B$6)/12-5-15+10-10</f>
        <v>4.4270833333333321</v>
      </c>
      <c r="AO332" s="106">
        <f t="shared" si="270"/>
        <v>83.020833333333329</v>
      </c>
      <c r="AP332" s="104">
        <f>('Renewable Diesel'!L341*'RD Feedstock Breakdown'!AP$3*'Feedstock Conversion Rates'!B$4)/12+15-10+15</f>
        <v>78.59375</v>
      </c>
      <c r="AQ332" s="104">
        <f>('Renewable Diesel'!L341*'RD Feedstock Breakdown'!AQ$3*'Feedstock Conversion Rates'!B$6)/12-15+10-15</f>
        <v>4.4270833333333321</v>
      </c>
      <c r="AR332" s="106">
        <f t="shared" si="339"/>
        <v>83.020833333333329</v>
      </c>
      <c r="AS332" s="104">
        <f>('Renewable Diesel'!M341*'RD Feedstock Breakdown'!AS$3*'Feedstock Conversion Rates'!B$4)/12</f>
        <v>456.25</v>
      </c>
      <c r="AT332" s="104">
        <f>('Renewable Diesel'!M341*'RD Feedstock Breakdown'!AT$3*'Feedstock Conversion Rates'!B$5)/12</f>
        <v>0</v>
      </c>
      <c r="AU332" s="106">
        <f t="shared" si="290"/>
        <v>456.25</v>
      </c>
      <c r="AV332" s="104">
        <f>'Renewable Diesel'!N341*'RD Feedstock Breakdown'!$AV$3*'Feedstock Conversion Rates'!$B$4/12-15-10+25+25-22+25</f>
        <v>106.74999999999999</v>
      </c>
      <c r="AW332" s="104">
        <f>'Renewable Diesel'!N341*'RD Feedstock Breakdown'!$AW$3*'Feedstock Conversion Rates'!$B$7/12+15+10-25-25+22-25</f>
        <v>13.400000000000006</v>
      </c>
      <c r="AX332" s="106">
        <f t="shared" si="322"/>
        <v>120.14999999999999</v>
      </c>
      <c r="AY332" s="104">
        <f>('Renewable Diesel'!O341*'RD Feedstock Breakdown'!AY$3*'Feedstock Conversion Rates'!B$4)/12</f>
        <v>210.9375</v>
      </c>
      <c r="AZ332" s="104">
        <f>('Renewable Diesel'!O341*'RD Feedstock Breakdown'!AZ$3*'Feedstock Conversion Rates'!B$3)/12</f>
        <v>25.03125</v>
      </c>
      <c r="BA332" s="106">
        <f t="shared" si="302"/>
        <v>235.96875</v>
      </c>
      <c r="BB332" s="104">
        <f>('Renewable Diesel'!Q341*'RD Feedstock Breakdown'!BB$3*'Feedstock Conversion Rates'!B$4)/12</f>
        <v>11.156249999999998</v>
      </c>
      <c r="BC332" s="104">
        <f>('Renewable Diesel'!Q341*'RD Feedstock Breakdown'!BC$3*'Feedstock Conversion Rates'!B$3)/12</f>
        <v>1.4017500000000001</v>
      </c>
      <c r="BD332" s="104">
        <f>('Renewable Diesel'!Q341*'RD Feedstock Breakdown'!BD$3*'Feedstock Conversion Rates'!B$6)/12</f>
        <v>0.8207500000000002</v>
      </c>
      <c r="BE332" s="106">
        <f t="shared" si="279"/>
        <v>13.378749999999998</v>
      </c>
      <c r="BF332" s="104">
        <f>('Renewable Diesel'!R341*'RD Feedstock Breakdown'!BF$3*'Feedstock Conversion Rates'!B$4)/12</f>
        <v>62.5</v>
      </c>
      <c r="BG332" s="106">
        <f t="shared" si="344"/>
        <v>62.5</v>
      </c>
      <c r="BH332" s="104">
        <f>('Renewable Diesel'!T341*'RD Feedstock Breakdown'!BH$3*'Feedstock Conversion Rates'!B$7)/12</f>
        <v>27.599999999999998</v>
      </c>
      <c r="BI332" s="106">
        <f t="shared" si="327"/>
        <v>27.599999999999998</v>
      </c>
      <c r="BJ332" s="104">
        <f>('Renewable Diesel'!W341*'RD Feedstock Breakdown'!BJ$3*'Feedstock Conversion Rates'!B$4)/12</f>
        <v>7.5</v>
      </c>
      <c r="BK332" s="104">
        <f>('Renewable Diesel'!W341*'RD Feedstock Breakdown'!BK$3*'Feedstock Conversion Rates'!B$3)/12</f>
        <v>1.335</v>
      </c>
      <c r="BL332" s="104">
        <f>('Renewable Diesel'!W341*'RD Feedstock Breakdown'!BL$3*'Feedstock Conversion Rates'!B$6)/12</f>
        <v>3.1266666666666669</v>
      </c>
      <c r="BM332" s="104">
        <f>('Renewable Diesel'!W341*'RD Feedstock Breakdown'!BM$3*'Feedstock Conversion Rates'!B$7)/12</f>
        <v>1.5333333333333332</v>
      </c>
      <c r="BN332" s="106">
        <f t="shared" si="296"/>
        <v>13.495000000000001</v>
      </c>
      <c r="BO332" s="104">
        <f>('Renewable Diesel'!P341*'Feedstock Conversion Rates'!B$4)/12</f>
        <v>31.25</v>
      </c>
      <c r="BP332" s="106">
        <f t="shared" si="285"/>
        <v>31.25</v>
      </c>
      <c r="BQ332" s="104">
        <f>('Renewable Diesel'!$S341*'RD Feedstock Breakdown'!BQ$3*'Feedstock Conversion Rates'!B$4)/12+10+15-15</f>
        <v>38.125</v>
      </c>
      <c r="BR332" s="104">
        <f>('Renewable Diesel'!$S341*'RD Feedstock Breakdown'!BR$3*'Feedstock Conversion Rates'!B$7)/12-10-15+15</f>
        <v>1.5</v>
      </c>
      <c r="BS332" s="106">
        <f t="shared" si="307"/>
        <v>39.625</v>
      </c>
      <c r="BT332" s="106"/>
      <c r="BU332" s="104">
        <f>('Renewable Diesel'!Y341*'Feedstock Conversion Rates'!B$7)/12</f>
        <v>2.6833333333333331</v>
      </c>
      <c r="BV332" s="106">
        <f t="shared" si="281"/>
        <v>2.6833333333333331</v>
      </c>
      <c r="BW332" s="104">
        <f>('Renewable Diesel'!$Z341*'RD Feedstock Breakdown'!BW$3*'Feedstock Conversion Rates'!$B$4)/12-50</f>
        <v>21.875</v>
      </c>
      <c r="BX332" s="104">
        <f>('Renewable Diesel'!$Z341*'RD Feedstock Breakdown'!BX$3*'Feedstock Conversion Rates'!$B$5)/12</f>
        <v>7.2354166666666666</v>
      </c>
      <c r="BY332" s="104">
        <f>('Renewable Diesel'!$Z341*'RD Feedstock Breakdown'!BY$3*'Feedstock Conversion Rates'!$B$7)/12</f>
        <v>61.716666666666661</v>
      </c>
      <c r="BZ332" s="104">
        <f>('Renewable Diesel'!$Z341*'RD Feedstock Breakdown'!BZ$3*'Feedstock Conversion Rates'!$B$3)/12+50</f>
        <v>65.352499999999992</v>
      </c>
      <c r="CA332" s="106">
        <f t="shared" si="312"/>
        <v>156.17958333333331</v>
      </c>
      <c r="CB332" s="104">
        <f>('Renewable Diesel'!AA341*'Feedstock Conversion Rates'!B$4)/12</f>
        <v>191.25</v>
      </c>
      <c r="CC332" s="106">
        <f t="shared" si="298"/>
        <v>191.25</v>
      </c>
      <c r="CD332" s="104">
        <f>('Renewable Diesel'!$AB341*'RD Feedstock Breakdown'!CD$3*'Feedstock Conversion Rates'!$B$6)/12-15-5</f>
        <v>12.830000000000005</v>
      </c>
      <c r="CE332" s="104">
        <f>('Renewable Diesel'!$AB341*'RD Feedstock Breakdown'!CE$3*'Feedstock Conversion Rates'!$B$4)/12+15+5</f>
        <v>31.25</v>
      </c>
      <c r="CF332" s="106">
        <f t="shared" si="294"/>
        <v>44.080000000000005</v>
      </c>
      <c r="CG332" s="104">
        <f>('Renewable Diesel'!AD341*'Feedstock Conversion Rates'!B$4)/12</f>
        <v>112.5</v>
      </c>
      <c r="CH332" s="106">
        <f t="shared" si="278"/>
        <v>112.5</v>
      </c>
      <c r="CI332" s="104">
        <f>('Renewable Diesel'!$AE341*'RD Feedstock Breakdown'!CI$3*'Feedstock Conversion Rates'!$B$5)/12</f>
        <v>0.34604166666666664</v>
      </c>
      <c r="CJ332" s="104">
        <f>('Renewable Diesel'!$AE341*'RD Feedstock Breakdown'!CJ$3*'Feedstock Conversion Rates'!$B$4)/12</f>
        <v>0.34375</v>
      </c>
      <c r="CK332" s="106">
        <f t="shared" si="286"/>
        <v>0.68979166666666658</v>
      </c>
      <c r="CL332" s="104">
        <f>(((CL$3*'Renewable Diesel'!$AF341)*'Feedstock Conversion Rates'!$B$3)/12)</f>
        <v>91.78125</v>
      </c>
      <c r="CM332" s="104">
        <f>(((CM$3*'Renewable Diesel'!$AF341)*'Feedstock Conversion Rates'!$B$6)/12)</f>
        <v>53.739583333333336</v>
      </c>
      <c r="CN332" s="104">
        <f>(((CN$3*'Renewable Diesel'!$AF341)*'Feedstock Conversion Rates'!$B$4)/12)</f>
        <v>42.96875</v>
      </c>
      <c r="CO332" s="106">
        <f t="shared" si="280"/>
        <v>188.48958333333334</v>
      </c>
      <c r="CP332" s="104">
        <f>('Renewable Diesel'!$AG341*'RD Feedstock Breakdown'!CP$3*'Feedstock Conversion Rates'!$B$3)/12</f>
        <v>6.0075000000000003</v>
      </c>
      <c r="CQ332" s="104">
        <f>('Renewable Diesel'!$AG341*'RD Feedstock Breakdown'!CQ$3*'Feedstock Conversion Rates'!$B$6)/12</f>
        <v>3.5175000000000001</v>
      </c>
      <c r="CR332" s="104">
        <f>('Renewable Diesel'!$AG341*'RD Feedstock Breakdown'!CR$3*'Feedstock Conversion Rates'!$B$4)/12</f>
        <v>2.8125</v>
      </c>
      <c r="CS332" s="106">
        <f t="shared" si="317"/>
        <v>12.3375</v>
      </c>
      <c r="CT332" s="104">
        <f>('Renewable Diesel'!AI341*'Feedstock Conversion Rates'!$B$4*'RD Feedstock Breakdown'!$CT$3)/12</f>
        <v>29.375</v>
      </c>
      <c r="CU332" s="106">
        <f t="shared" si="282"/>
        <v>29.375</v>
      </c>
      <c r="CV332" s="104">
        <f>('Renewable Diesel'!AN341*'Feedstock Conversion Rates'!$B$3*'RD Feedstock Breakdown'!$CV$3)/12</f>
        <v>0.50062499999999999</v>
      </c>
      <c r="CW332" s="106">
        <f t="shared" si="338"/>
        <v>0.50062499999999999</v>
      </c>
      <c r="CX332" s="104">
        <f>('Renewable Diesel'!AO341*'RD Feedstock Breakdown'!$CX$3*'Feedstock Conversion Rates'!$B$3)/12</f>
        <v>6.3412499999999996</v>
      </c>
      <c r="CY332" s="104">
        <f>('Renewable Diesel'!AO341*'RD Feedstock Breakdown'!$CY$3*'Feedstock Conversion Rates'!$B$6)/12</f>
        <v>7.4258333333333342</v>
      </c>
      <c r="CZ332" s="106">
        <f t="shared" si="318"/>
        <v>13.767083333333334</v>
      </c>
      <c r="DA332" s="104">
        <f>('Renewable Diesel'!$AP341*'RD Feedstock Breakdown'!DA$3*'Feedstock Conversion Rates'!$B$3)/12</f>
        <v>6.3412499999999996</v>
      </c>
      <c r="DB332" s="104">
        <f>('Renewable Diesel'!$AP341*'RD Feedstock Breakdown'!DB$3*'Feedstock Conversion Rates'!$B$8)/12</f>
        <v>7.421875</v>
      </c>
      <c r="DC332" s="106">
        <f t="shared" si="342"/>
        <v>13.763124999999999</v>
      </c>
      <c r="DD332" s="104">
        <f>('Renewable Diesel'!AQ341*$DD$3*'Feedstock Conversion Rates'!$B$14)/12</f>
        <v>3.1041666666666665</v>
      </c>
      <c r="DE332" s="106">
        <f t="shared" si="343"/>
        <v>3.1041666666666665</v>
      </c>
      <c r="DF332" s="104">
        <f>('Renewable Diesel'!AR341*'Feedstock Conversion Rates'!$B$4*$DF$3)/12</f>
        <v>75</v>
      </c>
      <c r="DG332" s="106">
        <f t="shared" si="319"/>
        <v>75</v>
      </c>
      <c r="DH332" s="104">
        <f>('Renewable Diesel'!AS341*'Feedstock Conversion Rates'!$B$4*$DH$3)/12</f>
        <v>75</v>
      </c>
      <c r="DI332" s="106">
        <f t="shared" si="323"/>
        <v>75</v>
      </c>
      <c r="DJ332" s="104">
        <f>('Renewable Diesel'!AT341*'Feedstock Conversion Rates'!$B$4*0.25)/12</f>
        <v>8.59375</v>
      </c>
      <c r="DK332" s="104">
        <f>('Renewable Diesel'!$AT341*'RD Feedstock Breakdown'!DK$3*'Feedstock Conversion Rates'!$B$3)/12*0.5</f>
        <v>9.1781249999999996</v>
      </c>
      <c r="DL332" s="104">
        <f>('Renewable Diesel'!$AT341*'RD Feedstock Breakdown'!$DL$3*'Feedstock Conversion Rates'!$B$6)/12</f>
        <v>10.747916666666669</v>
      </c>
      <c r="DM332" s="104">
        <f>('Renewable Diesel'!$AT341*'RD Feedstock Breakdown'!$DM$3*'Feedstock Conversion Rates'!$B$8)/12</f>
        <v>10.7421875</v>
      </c>
      <c r="DN332" s="106">
        <f t="shared" si="297"/>
        <v>39.26197916666667</v>
      </c>
      <c r="DP332" s="104">
        <f t="shared" ref="DP332:DP395" si="345">E332+M332</f>
        <v>103.22025000000001</v>
      </c>
      <c r="DQ332" s="104">
        <f t="shared" ref="DQ332:DQ395" si="346">H332+P332+AZ332+BC332+BK332+BZ332+CL332+CP332+CV332+CX332+DA332+DK332</f>
        <v>429.11776750000001</v>
      </c>
      <c r="DR332" s="104">
        <f t="shared" si="271"/>
        <v>1869.453125</v>
      </c>
      <c r="DS332" s="104">
        <f t="shared" si="283"/>
        <v>228.90125</v>
      </c>
      <c r="DT332" s="104">
        <f t="shared" ref="DT332:DT395" si="347">V332+Z332+AE332+AI332+BD332+BL332+AN332+AQ332+CD332+CM332+CQ332+CY332+DB332+DL332</f>
        <v>233.03923333333344</v>
      </c>
      <c r="DU332" s="104">
        <f t="shared" ref="DU332:DU395" si="348">G332+O332+R332+AA332+AW332+BH332+BM332+BR332+BU332+BY332</f>
        <v>345.40610000000004</v>
      </c>
      <c r="DV332" s="104">
        <f t="shared" si="272"/>
        <v>78.75</v>
      </c>
      <c r="DW332" s="104">
        <f t="shared" ref="DW332:DW395" si="349">D332+L332</f>
        <v>3</v>
      </c>
      <c r="DX332" s="106">
        <f t="shared" si="273"/>
        <v>3290.8877258333337</v>
      </c>
      <c r="DY332" s="109">
        <f t="shared" si="340"/>
        <v>-5.631051180898794E-13</v>
      </c>
      <c r="EA332" s="110">
        <f t="shared" si="313"/>
        <v>3.1365472966374777E-2</v>
      </c>
      <c r="EB332" s="110">
        <f t="shared" si="313"/>
        <v>0.13039574827528849</v>
      </c>
      <c r="EC332" s="110">
        <f t="shared" si="313"/>
        <v>0.56806955470551901</v>
      </c>
      <c r="ED332" s="110">
        <f t="shared" si="308"/>
        <v>6.955608002154999E-2</v>
      </c>
      <c r="EE332" s="110">
        <f t="shared" si="308"/>
        <v>7.0813486435281583E-2</v>
      </c>
      <c r="EF332" s="110">
        <f t="shared" si="308"/>
        <v>0.10495833610140398</v>
      </c>
      <c r="EG332" s="110">
        <f t="shared" si="308"/>
        <v>2.3929713366340557E-2</v>
      </c>
      <c r="EH332" s="111">
        <f t="shared" si="274"/>
        <v>9.1160812824154505E-4</v>
      </c>
      <c r="EI332" s="110">
        <f t="shared" si="321"/>
        <v>0.99908839187175835</v>
      </c>
      <c r="EK332" s="132">
        <f>(EA332*'Renewable Diesel'!BF341*'Feedstock Conversion Rates'!B$2)+FB332</f>
        <v>450.04005474557999</v>
      </c>
      <c r="EL332" s="132">
        <f>(EB332*'Renewable Diesel'!BF341*'Feedstock Conversion Rates'!B$3)+FC332</f>
        <v>1763.0975801286011</v>
      </c>
      <c r="EM332" s="132">
        <f>(EC332*'Renewable Diesel'!BF341*'Feedstock Conversion Rates'!B$4)+FD332</f>
        <v>7191.8923802083609</v>
      </c>
      <c r="EN332" s="132">
        <f>(ED332*'Renewable Diesel'!BF341*'Feedstock Conversion Rates'!B$5)+FE332</f>
        <v>886.4667539603613</v>
      </c>
      <c r="EO332" s="132">
        <f>(EE332*'Renewable Diesel'!BF341*'Feedstock Conversion Rates'!B$6)+FF332</f>
        <v>1121.2416395029063</v>
      </c>
      <c r="EP332" s="132">
        <f>(EF332*'Renewable Diesel'!BF341*'Feedstock Conversion Rates'!B$7)+FG332</f>
        <v>1629.9908518427196</v>
      </c>
      <c r="EQ332" s="132">
        <f>(EG332*'Renewable Diesel'!BF341*'Feedstock Conversion Rates'!B$8)+FH332</f>
        <v>378.6946549819271</v>
      </c>
      <c r="ER332" s="132">
        <f>(EH332*'Renewable Diesel'!BF341*'Feedstock Conversion Rates'!B$9)+FI332</f>
        <v>14.234110206304816</v>
      </c>
      <c r="ES332" s="132">
        <f t="shared" si="275"/>
        <v>13435.658025576764</v>
      </c>
      <c r="ET332" s="133">
        <f>ES332/'Renewable Diesel'!BF341</f>
        <v>15.481634993659904</v>
      </c>
      <c r="EW332" s="73">
        <f t="shared" si="309"/>
        <v>12003.498893537759</v>
      </c>
      <c r="EX332" s="73">
        <f t="shared" si="310"/>
        <v>7960.3209324246882</v>
      </c>
      <c r="EY332" s="92">
        <f t="shared" si="341"/>
        <v>0.89340610416604249</v>
      </c>
      <c r="EZ332" s="92">
        <f t="shared" si="341"/>
        <v>0.59247719146103894</v>
      </c>
      <c r="FB332" s="102">
        <f>IF('Renewable Diesel'!$BG341&lt;1,0,(((('Renewable Diesel'!$BG341-1)*'Renewable Diesel'!$BF341)*'RD Feedstock Breakdown'!EA332)*'Feedstock Conversion Rates'!$B$2))</f>
        <v>218.66694496397463</v>
      </c>
      <c r="FC332" s="102">
        <f>IF('Renewable Diesel'!$BG341&lt;1,0,(((('Renewable Diesel'!$BG341-1)*'Renewable Diesel'!$BF341)*'RD Feedstock Breakdown'!EB332)*'Feedstock Conversion Rates'!$B$3))</f>
        <v>856.65966274501716</v>
      </c>
      <c r="FD332" s="102">
        <f>IF('Renewable Diesel'!$BG341&lt;1,0,(((('Renewable Diesel'!$BG341-1)*'Renewable Diesel'!$BF341)*'RD Feedstock Breakdown'!EC332)*'Feedstock Conversion Rates'!$B$4))</f>
        <v>3494.420371490934</v>
      </c>
      <c r="FE332" s="102">
        <f>IF('Renewable Diesel'!$BG341&lt;1,0,(((('Renewable Diesel'!$BG341-1)*'Renewable Diesel'!$BF341)*'RD Feedstock Breakdown'!ED332)*'Feedstock Conversion Rates'!$B$5))</f>
        <v>430.7193878781016</v>
      </c>
      <c r="FF332" s="102">
        <f>IF('Renewable Diesel'!$BG341&lt;1,0,(((('Renewable Diesel'!$BG341-1)*'Renewable Diesel'!$BF341)*'RD Feedstock Breakdown'!EE332)*'Feedstock Conversion Rates'!$B$6))</f>
        <v>544.79258299598428</v>
      </c>
      <c r="FG332" s="102">
        <f>IF('Renewable Diesel'!$BG341&lt;1,0,(((('Renewable Diesel'!$BG341-1)*'Renewable Diesel'!$BF341)*'RD Feedstock Breakdown'!EF332)*'Feedstock Conversion Rates'!$B$7))</f>
        <v>791.98532693533468</v>
      </c>
      <c r="FH332" s="102">
        <f>IF('Renewable Diesel'!$BG341&lt;1,0,(((('Renewable Diesel'!$BG341-1)*'Renewable Diesel'!$BF341)*'RD Feedstock Breakdown'!EG332)*'Feedstock Conversion Rates'!$B$8))</f>
        <v>184.00140699897935</v>
      </c>
      <c r="FI332" s="102">
        <f>IF('Renewable Diesel'!$BG341&lt;1,0,(((('Renewable Diesel'!$BG341-1)*'Renewable Diesel'!$BF341)*'RD Feedstock Breakdown'!EH332)*'Feedstock Conversion Rates'!$B$9))</f>
        <v>6.9161163773584624</v>
      </c>
      <c r="FJ332" s="102">
        <f t="shared" si="311"/>
        <v>6528.1618003856838</v>
      </c>
      <c r="GD332" s="91">
        <f>'Renewable Diesel'!BB341*0.32</f>
        <v>0</v>
      </c>
      <c r="GE332" s="91">
        <f>'Renewable Diesel'!BC341</f>
        <v>421.27106299150307</v>
      </c>
      <c r="GF332" s="91">
        <f>'Renewable Diesel'!BD341</f>
        <v>0</v>
      </c>
      <c r="GG332" s="91">
        <f t="shared" si="295"/>
        <v>421.27106299150307</v>
      </c>
      <c r="GH332" s="124">
        <v>1</v>
      </c>
      <c r="GI332" s="102">
        <f>$GG332*EA332*'Feedstock Conversion Rates'!$B$2</f>
        <v>112.31361217109561</v>
      </c>
      <c r="GJ332" s="102">
        <f>$GG332*EB332*'Feedstock Conversion Rates'!$B$3</f>
        <v>440.00496343888091</v>
      </c>
      <c r="GK332" s="102">
        <f>$GG332*EC332*'Feedstock Conversion Rates'!$B$4</f>
        <v>1794.8344887292785</v>
      </c>
      <c r="GL332" s="102">
        <f>$GG332*ED332*'Feedstock Conversion Rates'!$B$5</f>
        <v>221.22982644991313</v>
      </c>
      <c r="GM332" s="102">
        <f>$GG332*EE332*'Feedstock Conversion Rates'!$B$6</f>
        <v>279.82108997032481</v>
      </c>
      <c r="GN332" s="102">
        <f>$GG332*EF332*'Feedstock Conversion Rates'!$B$7</f>
        <v>406.78637033717274</v>
      </c>
      <c r="GO332" s="102">
        <f>$GG332*EG332*'Feedstock Conversion Rates'!$B$8</f>
        <v>94.50839800237749</v>
      </c>
      <c r="GP332" s="102">
        <f>$GG332*EH332*'Feedstock Conversion Rates'!B$9</f>
        <v>3.5523156582480939</v>
      </c>
      <c r="GQ332" s="102">
        <f t="shared" si="276"/>
        <v>3353.0510647572914</v>
      </c>
      <c r="GR332" s="85">
        <f t="shared" si="293"/>
        <v>7.9593671612448764</v>
      </c>
      <c r="GT332" s="103">
        <f t="shared" si="333"/>
        <v>3.3495944440448108E-2</v>
      </c>
      <c r="GU332" s="103">
        <f t="shared" si="334"/>
        <v>0.13122524976240715</v>
      </c>
      <c r="GV332" s="103">
        <f t="shared" si="335"/>
        <v>0.53528397094638236</v>
      </c>
      <c r="GW332" s="103">
        <f t="shared" si="331"/>
        <v>6.5978663067550597E-2</v>
      </c>
      <c r="GX332" s="103">
        <f t="shared" si="331"/>
        <v>8.3452677745180545E-2</v>
      </c>
      <c r="GY332" s="103">
        <f t="shared" si="331"/>
        <v>0.12131827475362882</v>
      </c>
      <c r="GZ332" s="103">
        <f t="shared" si="331"/>
        <v>2.8185791441031453E-2</v>
      </c>
      <c r="HA332" s="103">
        <f t="shared" si="331"/>
        <v>1.0594278433708332E-3</v>
      </c>
    </row>
    <row r="333" spans="1:209" x14ac:dyDescent="0.25">
      <c r="A333" s="96">
        <v>50557</v>
      </c>
      <c r="B333" s="104">
        <f t="shared" si="336"/>
        <v>1.75</v>
      </c>
      <c r="C333" s="104">
        <f t="shared" si="314"/>
        <v>49</v>
      </c>
      <c r="D333" s="104">
        <f t="shared" si="337"/>
        <v>2</v>
      </c>
      <c r="E333" s="104">
        <f>('Renewable Diesel'!B342*E$3*'Feedstock Conversion Rates'!$B$2)/12+26+13-100+27.5+39</f>
        <v>95.43</v>
      </c>
      <c r="F333" s="104">
        <f>('Renewable Diesel'!B342*'RD Feedstock Breakdown'!F$3*'Feedstock Conversion Rates'!B$8)/12+77+23-10-12-115.75+24+8</f>
        <v>48.15625</v>
      </c>
      <c r="G333" s="104">
        <f>('Renewable Diesel'!B342*'RD Feedstock Breakdown'!G$3*'Feedstock Conversion Rates'!B$7)/12+116.75-39-57.5-145-31.5+32+70-40+10+2.5</f>
        <v>94.407000000000039</v>
      </c>
      <c r="H333" s="104">
        <f>('Renewable Diesel'!B342*'RD Feedstock Breakdown'!H$3*'Feedstock Conversion Rates'!B$3)/12+67+10+12+3-235+20+47-20+125</f>
        <v>205.40022499999998</v>
      </c>
      <c r="I333" s="106">
        <f t="shared" si="291"/>
        <v>496.14347500000002</v>
      </c>
      <c r="J333" s="104">
        <f t="shared" si="332"/>
        <v>4</v>
      </c>
      <c r="K333" s="104"/>
      <c r="L333" s="104">
        <v>1</v>
      </c>
      <c r="M333" s="104">
        <f>('Renewable Diesel'!C342*'RD Feedstock Breakdown'!M$3*'Feedstock Conversion Rates'!B$2)/12</f>
        <v>7.7902500000000003</v>
      </c>
      <c r="N333" s="104">
        <f>('Renewable Diesel'!C342*'RD Feedstock Breakdown'!N$3*'Feedstock Conversion Rates'!B$8)/12</f>
        <v>3.671875</v>
      </c>
      <c r="O333" s="104">
        <f>('Renewable Diesel'!C342*'RD Feedstock Breakdown'!O$3*'Feedstock Conversion Rates'!B$7)/12</f>
        <v>11.9991</v>
      </c>
      <c r="P333" s="104">
        <f>('Renewable Diesel'!C342*'RD Feedstock Breakdown'!P$3*'Feedstock Conversion Rates'!B$3)/12</f>
        <v>10.4470425</v>
      </c>
      <c r="Q333" s="106">
        <f t="shared" si="299"/>
        <v>38.908267500000001</v>
      </c>
      <c r="R333" s="104">
        <f>('Renewable Diesel'!D342*'RD Feedstock Breakdown'!R$3*'Feedstock Conversion Rates'!B$7)/12</f>
        <v>2.2999999999999998</v>
      </c>
      <c r="S333" s="106">
        <f t="shared" si="329"/>
        <v>2.2999999999999998</v>
      </c>
      <c r="T333" s="104">
        <f t="shared" si="300"/>
        <v>0.82499999999999929</v>
      </c>
      <c r="U333" s="104"/>
      <c r="V333" s="104">
        <f>('Renewable Diesel'!E342*'RD Feedstock Breakdown'!V$3*'Feedstock Conversion Rates'!B$6)/12-20+25</f>
        <v>49.250150000000012</v>
      </c>
      <c r="W333" s="104">
        <f>('Renewable Diesel'!E342*'RD Feedstock Breakdown'!W$3*'Feedstock Conversion Rates'!B$8)/12-6</f>
        <v>16.1796875</v>
      </c>
      <c r="X333" s="106">
        <f t="shared" si="277"/>
        <v>66.254837500000008</v>
      </c>
      <c r="Y333" s="104">
        <f t="shared" si="301"/>
        <v>98</v>
      </c>
      <c r="Z333" s="104">
        <f>('Renewable Diesel'!F342*'RD Feedstock Breakdown'!Z$3*'Feedstock Conversion Rates'!B$6)/12-142+15+5+20+5+5</f>
        <v>67.460000000000008</v>
      </c>
      <c r="AA333" s="104">
        <f>('Renewable Diesel'!F342*'RD Feedstock Breakdown'!AA$3*'Feedstock Conversion Rates'!B$7)/12+24</f>
        <v>128.26666666666665</v>
      </c>
      <c r="AB333" s="106">
        <f t="shared" si="320"/>
        <v>293.72666666666669</v>
      </c>
      <c r="AC333" s="104">
        <f>('Renewable Diesel'!G342*'RD Feedstock Breakdown'!AC$3*'Feedstock Conversion Rates'!B$5)/12</f>
        <v>11.796875</v>
      </c>
      <c r="AD333" s="104">
        <f>('Renewable Diesel'!G342*'RD Feedstock Breakdown'!AD$3*'Feedstock Conversion Rates'!B$4)/12</f>
        <v>5.859375</v>
      </c>
      <c r="AE333" s="104">
        <f>('Renewable Diesel'!G342*'RD Feedstock Breakdown'!AE$3*'Feedstock Conversion Rates'!B$6)/12</f>
        <v>7.3281250000000009</v>
      </c>
      <c r="AF333" s="106">
        <f t="shared" si="284"/>
        <v>24.984375</v>
      </c>
      <c r="AG333" s="104">
        <f t="shared" si="306"/>
        <v>148</v>
      </c>
      <c r="AH333" s="104"/>
      <c r="AI333" s="104">
        <f>('Renewable Diesel'!H342*'RD Feedstock Breakdown'!AI$3*'Feedstock Conversion Rates'!B$6)/12-130-20+51-49</f>
        <v>0.51666666666667993</v>
      </c>
      <c r="AJ333" s="106">
        <f t="shared" si="328"/>
        <v>148.51666666666668</v>
      </c>
      <c r="AK333" s="104">
        <f>('Renewable Diesel'!J342*'RD Feedstock Breakdown'!AK$3*'Feedstock Conversion Rates'!B$4)/12</f>
        <v>95.8125</v>
      </c>
      <c r="AL333" s="106">
        <f t="shared" si="330"/>
        <v>95.8125</v>
      </c>
      <c r="AM333" s="104">
        <f>('Renewable Diesel'!K342*'RD Feedstock Breakdown'!AM$3*'Feedstock Conversion Rates'!B$4)/12+5+15-10+10</f>
        <v>78.59375</v>
      </c>
      <c r="AN333" s="104">
        <f>('Renewable Diesel'!K342*'RD Feedstock Breakdown'!AN$3*'Feedstock Conversion Rates'!B$6)/12-5-15+10-10</f>
        <v>4.4270833333333321</v>
      </c>
      <c r="AO333" s="106">
        <f t="shared" ref="AO333:AO396" si="350">SUM(AM333:AN333)</f>
        <v>83.020833333333329</v>
      </c>
      <c r="AP333" s="104">
        <f>('Renewable Diesel'!L342*'RD Feedstock Breakdown'!AP$3*'Feedstock Conversion Rates'!B$4)/12+15-10+15</f>
        <v>78.59375</v>
      </c>
      <c r="AQ333" s="104">
        <f>('Renewable Diesel'!L342*'RD Feedstock Breakdown'!AQ$3*'Feedstock Conversion Rates'!B$6)/12-15+10-15</f>
        <v>4.4270833333333321</v>
      </c>
      <c r="AR333" s="106">
        <f t="shared" si="339"/>
        <v>83.020833333333329</v>
      </c>
      <c r="AS333" s="104">
        <f>('Renewable Diesel'!M342*'RD Feedstock Breakdown'!AS$3*'Feedstock Conversion Rates'!B$4)/12</f>
        <v>456.25</v>
      </c>
      <c r="AT333" s="104">
        <f>('Renewable Diesel'!M342*'RD Feedstock Breakdown'!AT$3*'Feedstock Conversion Rates'!B$5)/12</f>
        <v>0</v>
      </c>
      <c r="AU333" s="106">
        <f t="shared" si="290"/>
        <v>456.25</v>
      </c>
      <c r="AV333" s="104">
        <f>'Renewable Diesel'!N342*'RD Feedstock Breakdown'!$AV$3*'Feedstock Conversion Rates'!$B$4/12-15-10+25+25-22+25</f>
        <v>106.74999999999999</v>
      </c>
      <c r="AW333" s="104">
        <f>'Renewable Diesel'!N342*'RD Feedstock Breakdown'!$AW$3*'Feedstock Conversion Rates'!$B$7/12+15+10-25-25+22-25</f>
        <v>13.400000000000006</v>
      </c>
      <c r="AX333" s="106">
        <f t="shared" si="322"/>
        <v>120.14999999999999</v>
      </c>
      <c r="AY333" s="104">
        <f>('Renewable Diesel'!O342*'RD Feedstock Breakdown'!AY$3*'Feedstock Conversion Rates'!B$4)/12</f>
        <v>210.9375</v>
      </c>
      <c r="AZ333" s="104">
        <f>('Renewable Diesel'!O342*'RD Feedstock Breakdown'!AZ$3*'Feedstock Conversion Rates'!B$3)/12</f>
        <v>25.03125</v>
      </c>
      <c r="BA333" s="106">
        <f t="shared" si="302"/>
        <v>235.96875</v>
      </c>
      <c r="BB333" s="104">
        <f>('Renewable Diesel'!Q342*'RD Feedstock Breakdown'!BB$3*'Feedstock Conversion Rates'!B$4)/12</f>
        <v>11.156249999999998</v>
      </c>
      <c r="BC333" s="104">
        <f>('Renewable Diesel'!Q342*'RD Feedstock Breakdown'!BC$3*'Feedstock Conversion Rates'!B$3)/12</f>
        <v>1.4017500000000001</v>
      </c>
      <c r="BD333" s="104">
        <f>('Renewable Diesel'!Q342*'RD Feedstock Breakdown'!BD$3*'Feedstock Conversion Rates'!B$6)/12</f>
        <v>0.8207500000000002</v>
      </c>
      <c r="BE333" s="106">
        <f t="shared" si="279"/>
        <v>13.378749999999998</v>
      </c>
      <c r="BF333" s="104">
        <f>('Renewable Diesel'!R342*'RD Feedstock Breakdown'!BF$3*'Feedstock Conversion Rates'!B$4)/12</f>
        <v>62.5</v>
      </c>
      <c r="BG333" s="106">
        <f t="shared" si="344"/>
        <v>62.5</v>
      </c>
      <c r="BH333" s="104">
        <f>('Renewable Diesel'!T342*'RD Feedstock Breakdown'!BH$3*'Feedstock Conversion Rates'!B$7)/12</f>
        <v>27.599999999999998</v>
      </c>
      <c r="BI333" s="106">
        <f t="shared" si="327"/>
        <v>27.599999999999998</v>
      </c>
      <c r="BJ333" s="104">
        <f>('Renewable Diesel'!W342*'RD Feedstock Breakdown'!BJ$3*'Feedstock Conversion Rates'!B$4)/12</f>
        <v>7.5</v>
      </c>
      <c r="BK333" s="104">
        <f>('Renewable Diesel'!W342*'RD Feedstock Breakdown'!BK$3*'Feedstock Conversion Rates'!B$3)/12</f>
        <v>1.335</v>
      </c>
      <c r="BL333" s="104">
        <f>('Renewable Diesel'!W342*'RD Feedstock Breakdown'!BL$3*'Feedstock Conversion Rates'!B$6)/12</f>
        <v>3.1266666666666669</v>
      </c>
      <c r="BM333" s="104">
        <f>('Renewable Diesel'!W342*'RD Feedstock Breakdown'!BM$3*'Feedstock Conversion Rates'!B$7)/12</f>
        <v>1.5333333333333332</v>
      </c>
      <c r="BN333" s="106">
        <f t="shared" si="296"/>
        <v>13.495000000000001</v>
      </c>
      <c r="BO333" s="104">
        <f>('Renewable Diesel'!P342*'Feedstock Conversion Rates'!B$4)/12</f>
        <v>31.25</v>
      </c>
      <c r="BP333" s="106">
        <f t="shared" si="285"/>
        <v>31.25</v>
      </c>
      <c r="BQ333" s="104">
        <f>('Renewable Diesel'!$S342*'RD Feedstock Breakdown'!BQ$3*'Feedstock Conversion Rates'!B$4)/12+10+15-15</f>
        <v>38.125</v>
      </c>
      <c r="BR333" s="104">
        <f>('Renewable Diesel'!$S342*'RD Feedstock Breakdown'!BR$3*'Feedstock Conversion Rates'!B$7)/12-10-15+15</f>
        <v>1.5</v>
      </c>
      <c r="BS333" s="106">
        <f t="shared" si="307"/>
        <v>39.625</v>
      </c>
      <c r="BT333" s="106"/>
      <c r="BU333" s="104">
        <f>('Renewable Diesel'!Y342*'Feedstock Conversion Rates'!B$7)/12</f>
        <v>2.6833333333333331</v>
      </c>
      <c r="BV333" s="106">
        <f t="shared" si="281"/>
        <v>2.6833333333333331</v>
      </c>
      <c r="BW333" s="104">
        <f>('Renewable Diesel'!$Z342*'RD Feedstock Breakdown'!BW$3*'Feedstock Conversion Rates'!$B$4)/12-50</f>
        <v>21.875</v>
      </c>
      <c r="BX333" s="104">
        <f>('Renewable Diesel'!$Z342*'RD Feedstock Breakdown'!BX$3*'Feedstock Conversion Rates'!$B$5)/12</f>
        <v>7.2354166666666666</v>
      </c>
      <c r="BY333" s="104">
        <f>('Renewable Diesel'!$Z342*'RD Feedstock Breakdown'!BY$3*'Feedstock Conversion Rates'!$B$7)/12</f>
        <v>61.716666666666661</v>
      </c>
      <c r="BZ333" s="104">
        <f>('Renewable Diesel'!$Z342*'RD Feedstock Breakdown'!BZ$3*'Feedstock Conversion Rates'!$B$3)/12+50</f>
        <v>65.352499999999992</v>
      </c>
      <c r="CA333" s="106">
        <f t="shared" si="312"/>
        <v>156.17958333333331</v>
      </c>
      <c r="CB333" s="104">
        <f>('Renewable Diesel'!AA342*'Feedstock Conversion Rates'!B$4)/12</f>
        <v>191.25</v>
      </c>
      <c r="CC333" s="106">
        <f t="shared" si="298"/>
        <v>191.25</v>
      </c>
      <c r="CD333" s="104">
        <f>('Renewable Diesel'!$AB342*'RD Feedstock Breakdown'!CD$3*'Feedstock Conversion Rates'!$B$6)/12-15-5</f>
        <v>12.830000000000005</v>
      </c>
      <c r="CE333" s="104">
        <f>('Renewable Diesel'!$AB342*'RD Feedstock Breakdown'!CE$3*'Feedstock Conversion Rates'!$B$4)/12+15+5</f>
        <v>31.25</v>
      </c>
      <c r="CF333" s="106">
        <f t="shared" si="294"/>
        <v>44.080000000000005</v>
      </c>
      <c r="CG333" s="104">
        <f>('Renewable Diesel'!AD342*'Feedstock Conversion Rates'!B$4)/12</f>
        <v>112.5</v>
      </c>
      <c r="CH333" s="106">
        <f t="shared" si="278"/>
        <v>112.5</v>
      </c>
      <c r="CI333" s="104">
        <f>('Renewable Diesel'!$AE342*'RD Feedstock Breakdown'!CI$3*'Feedstock Conversion Rates'!$B$5)/12</f>
        <v>0.34604166666666664</v>
      </c>
      <c r="CJ333" s="104">
        <f>('Renewable Diesel'!$AE342*'RD Feedstock Breakdown'!CJ$3*'Feedstock Conversion Rates'!$B$4)/12</f>
        <v>0.34375</v>
      </c>
      <c r="CK333" s="106">
        <f t="shared" si="286"/>
        <v>0.68979166666666658</v>
      </c>
      <c r="CL333" s="104">
        <f>(((CL$3*'Renewable Diesel'!$AF342)*'Feedstock Conversion Rates'!$B$3)/12)</f>
        <v>91.78125</v>
      </c>
      <c r="CM333" s="104">
        <f>(((CM$3*'Renewable Diesel'!$AF342)*'Feedstock Conversion Rates'!$B$6)/12)</f>
        <v>53.739583333333336</v>
      </c>
      <c r="CN333" s="104">
        <f>(((CN$3*'Renewable Diesel'!$AF342)*'Feedstock Conversion Rates'!$B$4)/12)</f>
        <v>42.96875</v>
      </c>
      <c r="CO333" s="106">
        <f t="shared" si="280"/>
        <v>188.48958333333334</v>
      </c>
      <c r="CP333" s="104">
        <f>('Renewable Diesel'!$AG342*'RD Feedstock Breakdown'!CP$3*'Feedstock Conversion Rates'!$B$3)/12</f>
        <v>6.0075000000000003</v>
      </c>
      <c r="CQ333" s="104">
        <f>('Renewable Diesel'!$AG342*'RD Feedstock Breakdown'!CQ$3*'Feedstock Conversion Rates'!$B$6)/12</f>
        <v>3.5175000000000001</v>
      </c>
      <c r="CR333" s="104">
        <f>('Renewable Diesel'!$AG342*'RD Feedstock Breakdown'!CR$3*'Feedstock Conversion Rates'!$B$4)/12</f>
        <v>2.8125</v>
      </c>
      <c r="CS333" s="106">
        <f t="shared" si="317"/>
        <v>12.3375</v>
      </c>
      <c r="CT333" s="104">
        <f>('Renewable Diesel'!AI342*'Feedstock Conversion Rates'!$B$4*'RD Feedstock Breakdown'!$CT$3)/12</f>
        <v>29.375</v>
      </c>
      <c r="CU333" s="106">
        <f t="shared" si="282"/>
        <v>29.375</v>
      </c>
      <c r="CV333" s="104">
        <f>('Renewable Diesel'!AN342*'Feedstock Conversion Rates'!$B$3*'RD Feedstock Breakdown'!$CV$3)/12</f>
        <v>0.50062499999999999</v>
      </c>
      <c r="CW333" s="106">
        <f t="shared" si="338"/>
        <v>0.50062499999999999</v>
      </c>
      <c r="CX333" s="104">
        <f>('Renewable Diesel'!AO342*'RD Feedstock Breakdown'!$CX$3*'Feedstock Conversion Rates'!$B$3)/12</f>
        <v>6.3412499999999996</v>
      </c>
      <c r="CY333" s="104">
        <f>('Renewable Diesel'!AO342*'RD Feedstock Breakdown'!$CY$3*'Feedstock Conversion Rates'!$B$6)/12</f>
        <v>7.4258333333333342</v>
      </c>
      <c r="CZ333" s="106">
        <f t="shared" si="318"/>
        <v>13.767083333333334</v>
      </c>
      <c r="DA333" s="104">
        <f>('Renewable Diesel'!$AP342*'RD Feedstock Breakdown'!DA$3*'Feedstock Conversion Rates'!$B$3)/12</f>
        <v>6.3412499999999996</v>
      </c>
      <c r="DB333" s="104">
        <f>('Renewable Diesel'!$AP342*'RD Feedstock Breakdown'!DB$3*'Feedstock Conversion Rates'!$B$8)/12</f>
        <v>7.421875</v>
      </c>
      <c r="DC333" s="106">
        <f t="shared" si="342"/>
        <v>13.763124999999999</v>
      </c>
      <c r="DD333" s="104">
        <f>('Renewable Diesel'!AQ342*$DD$3*'Feedstock Conversion Rates'!$B$14)/12</f>
        <v>3.1041666666666665</v>
      </c>
      <c r="DE333" s="106">
        <f t="shared" si="343"/>
        <v>3.1041666666666665</v>
      </c>
      <c r="DF333" s="104">
        <f>('Renewable Diesel'!AR342*'Feedstock Conversion Rates'!$B$4*$DF$3)/12</f>
        <v>75</v>
      </c>
      <c r="DG333" s="106">
        <f t="shared" si="319"/>
        <v>75</v>
      </c>
      <c r="DH333" s="104">
        <f>('Renewable Diesel'!AS342*'Feedstock Conversion Rates'!$B$4*$DH$3)/12</f>
        <v>75</v>
      </c>
      <c r="DI333" s="106">
        <f t="shared" si="323"/>
        <v>75</v>
      </c>
      <c r="DJ333" s="104">
        <f>('Renewable Diesel'!AT342*'Feedstock Conversion Rates'!$B$4*0.25)/12</f>
        <v>8.59375</v>
      </c>
      <c r="DK333" s="104">
        <f>('Renewable Diesel'!$AT342*'RD Feedstock Breakdown'!DK$3*'Feedstock Conversion Rates'!$B$3)/12*0.5</f>
        <v>9.1781249999999996</v>
      </c>
      <c r="DL333" s="104">
        <f>('Renewable Diesel'!$AT342*'RD Feedstock Breakdown'!$DL$3*'Feedstock Conversion Rates'!$B$6)/12</f>
        <v>10.747916666666669</v>
      </c>
      <c r="DM333" s="104">
        <f>('Renewable Diesel'!$AT342*'RD Feedstock Breakdown'!$DM$3*'Feedstock Conversion Rates'!$B$8)/12</f>
        <v>10.7421875</v>
      </c>
      <c r="DN333" s="106">
        <f t="shared" si="297"/>
        <v>39.26197916666667</v>
      </c>
      <c r="DP333" s="104">
        <f t="shared" si="345"/>
        <v>103.22025000000001</v>
      </c>
      <c r="DQ333" s="104">
        <f t="shared" si="346"/>
        <v>429.11776750000001</v>
      </c>
      <c r="DR333" s="104">
        <f t="shared" ref="DR333:DR396" si="351">AD333+AK333+AM333+AP333+AV333+AY333+BB333+BF333+BJ333+Y333+B333+BO333+BQ333+BW333+CB333+CE333+CG333+CJ333+BT333+CN333+CR333+CT333+DF333+DH333+AS333+J333+U333+AH333</f>
        <v>1869.453125</v>
      </c>
      <c r="DS333" s="104">
        <f t="shared" si="283"/>
        <v>228.90125</v>
      </c>
      <c r="DT333" s="104">
        <f t="shared" si="347"/>
        <v>233.03923333333344</v>
      </c>
      <c r="DU333" s="104">
        <f t="shared" si="348"/>
        <v>345.40610000000004</v>
      </c>
      <c r="DV333" s="104">
        <f t="shared" ref="DV333:DV396" si="352">F333+N333+W333+DM333</f>
        <v>78.75</v>
      </c>
      <c r="DW333" s="104">
        <f t="shared" si="349"/>
        <v>3</v>
      </c>
      <c r="DX333" s="106">
        <f t="shared" ref="DX333:DX396" si="353">SUM(DP333:DW333)</f>
        <v>3290.8877258333337</v>
      </c>
      <c r="DY333" s="109">
        <f t="shared" si="340"/>
        <v>-5.631051180898794E-13</v>
      </c>
      <c r="EA333" s="110">
        <f t="shared" si="313"/>
        <v>3.1365472966374777E-2</v>
      </c>
      <c r="EB333" s="110">
        <f t="shared" si="313"/>
        <v>0.13039574827528849</v>
      </c>
      <c r="EC333" s="110">
        <f t="shared" si="313"/>
        <v>0.56806955470551901</v>
      </c>
      <c r="ED333" s="110">
        <f t="shared" si="308"/>
        <v>6.955608002154999E-2</v>
      </c>
      <c r="EE333" s="110">
        <f t="shared" si="308"/>
        <v>7.0813486435281583E-2</v>
      </c>
      <c r="EF333" s="110">
        <f t="shared" si="308"/>
        <v>0.10495833610140398</v>
      </c>
      <c r="EG333" s="110">
        <f t="shared" si="308"/>
        <v>2.3929713366340557E-2</v>
      </c>
      <c r="EH333" s="111">
        <f t="shared" ref="EH333:EH396" si="354">DW333/DX333</f>
        <v>9.1160812824154505E-4</v>
      </c>
      <c r="EI333" s="110">
        <f t="shared" si="321"/>
        <v>0.99908839187175835</v>
      </c>
      <c r="EK333" s="132">
        <f>(EA333*'Renewable Diesel'!BF342*'Feedstock Conversion Rates'!B$2)+FB333</f>
        <v>412.69506866382028</v>
      </c>
      <c r="EL333" s="132">
        <f>(EB333*'Renewable Diesel'!BF342*'Feedstock Conversion Rates'!B$3)+FC333</f>
        <v>1616.7931481199666</v>
      </c>
      <c r="EM333" s="132">
        <f>(EC333*'Renewable Diesel'!BF342*'Feedstock Conversion Rates'!B$4)+FD333</f>
        <v>6595.0985659505795</v>
      </c>
      <c r="EN333" s="132">
        <f>(ED333*'Renewable Diesel'!BF342*'Feedstock Conversion Rates'!B$5)+FE333</f>
        <v>812.90643807401716</v>
      </c>
      <c r="EO333" s="132">
        <f>(EE333*'Renewable Diesel'!BF342*'Feedstock Conversion Rates'!B$6)+FF333</f>
        <v>1028.1993580882058</v>
      </c>
      <c r="EP333" s="132">
        <f>(EF333*'Renewable Diesel'!BF342*'Feedstock Conversion Rates'!B$7)+FG333</f>
        <v>1494.7318120448626</v>
      </c>
      <c r="EQ333" s="132">
        <f>(EG333*'Renewable Diesel'!BF342*'Feedstock Conversion Rates'!B$8)+FH333</f>
        <v>347.27001517396172</v>
      </c>
      <c r="ER333" s="132">
        <f>(EH333*'Renewable Diesel'!BF342*'Feedstock Conversion Rates'!B$9)+FI333</f>
        <v>13.052942792570498</v>
      </c>
      <c r="ES333" s="132">
        <f t="shared" ref="ES333:ES396" si="355">SUM(EK333:ER333)</f>
        <v>12320.747348907982</v>
      </c>
      <c r="ET333" s="133">
        <f>ES333/'Renewable Diesel'!BF342</f>
        <v>14.584302369275758</v>
      </c>
      <c r="EW333" s="73">
        <f t="shared" si="309"/>
        <v>10773.099331458558</v>
      </c>
      <c r="EX333" s="73">
        <f t="shared" si="310"/>
        <v>7144.3608964273362</v>
      </c>
      <c r="EY333" s="92">
        <f t="shared" si="341"/>
        <v>0.87438683923775162</v>
      </c>
      <c r="EZ333" s="92">
        <f t="shared" si="341"/>
        <v>0.57986424801256542</v>
      </c>
      <c r="FB333" s="102">
        <f>IF('Renewable Diesel'!$BG342&lt;1,0,(((('Renewable Diesel'!$BG342-1)*'Renewable Diesel'!$BF342)*'RD Feedstock Breakdown'!EA333)*'Feedstock Conversion Rates'!$B$2))</f>
        <v>187.46718364338446</v>
      </c>
      <c r="FC333" s="102">
        <f>IF('Renewable Diesel'!$BG342&lt;1,0,(((('Renewable Diesel'!$BG342-1)*'Renewable Diesel'!$BF342)*'RD Feedstock Breakdown'!EB333)*'Feedstock Conversion Rates'!$B$3))</f>
        <v>734.43004539235721</v>
      </c>
      <c r="FD333" s="102">
        <f>IF('Renewable Diesel'!$BG342&lt;1,0,(((('Renewable Diesel'!$BG342-1)*'Renewable Diesel'!$BF342)*'RD Feedstock Breakdown'!EC333)*'Feedstock Conversion Rates'!$B$4))</f>
        <v>2995.8306941060555</v>
      </c>
      <c r="FE333" s="102">
        <f>IF('Renewable Diesel'!$BG342&lt;1,0,(((('Renewable Diesel'!$BG342-1)*'Renewable Diesel'!$BF342)*'RD Feedstock Breakdown'!ED333)*'Feedstock Conversion Rates'!$B$5))</f>
        <v>369.26363332790459</v>
      </c>
      <c r="FF333" s="102">
        <f>IF('Renewable Diesel'!$BG342&lt;1,0,(((('Renewable Diesel'!$BG342-1)*'Renewable Diesel'!$BF342)*'RD Feedstock Breakdown'!EE333)*'Feedstock Conversion Rates'!$B$6))</f>
        <v>467.06067632164519</v>
      </c>
      <c r="FG333" s="102">
        <f>IF('Renewable Diesel'!$BG342&lt;1,0,(((('Renewable Diesel'!$BG342-1)*'Renewable Diesel'!$BF342)*'RD Feedstock Breakdown'!EF333)*'Feedstock Conversion Rates'!$B$7))</f>
        <v>678.98355076901498</v>
      </c>
      <c r="FH333" s="102">
        <f>IF('Renewable Diesel'!$BG342&lt;1,0,(((('Renewable Diesel'!$BG342-1)*'Renewable Diesel'!$BF342)*'RD Feedstock Breakdown'!EG333)*'Feedstock Conversion Rates'!$B$8))</f>
        <v>157.74778196220612</v>
      </c>
      <c r="FI333" s="102">
        <f>IF('Renewable Diesel'!$BG342&lt;1,0,(((('Renewable Diesel'!$BG342-1)*'Renewable Diesel'!$BF342)*'RD Feedstock Breakdown'!EH333)*'Feedstock Conversion Rates'!$B$9))</f>
        <v>5.929313455341334</v>
      </c>
      <c r="FJ333" s="102">
        <f t="shared" si="311"/>
        <v>5596.712878977909</v>
      </c>
      <c r="GD333" s="91">
        <f>'Renewable Diesel'!BB342*0.32</f>
        <v>0</v>
      </c>
      <c r="GE333" s="91">
        <f>'Renewable Diesel'!BC342</f>
        <v>401.8638016596073</v>
      </c>
      <c r="GF333" s="91">
        <f>'Renewable Diesel'!BD342</f>
        <v>0</v>
      </c>
      <c r="GG333" s="91">
        <f t="shared" si="295"/>
        <v>401.8638016596073</v>
      </c>
      <c r="GH333" s="124">
        <v>1</v>
      </c>
      <c r="GI333" s="102">
        <f>$GG333*EA333*'Feedstock Conversion Rates'!$B$2</f>
        <v>107.13950976051156</v>
      </c>
      <c r="GJ333" s="102">
        <f>$GG333*EB333*'Feedstock Conversion Rates'!$B$3</f>
        <v>419.73466228847445</v>
      </c>
      <c r="GK333" s="102">
        <f>$GG333*EC333*'Feedstock Conversion Rates'!$B$4</f>
        <v>1712.149431457801</v>
      </c>
      <c r="GL333" s="102">
        <f>$GG333*ED333*'Feedstock Conversion Rates'!$B$5</f>
        <v>211.03813413229955</v>
      </c>
      <c r="GM333" s="102">
        <f>$GG333*EE333*'Feedstock Conversion Rates'!$B$6</f>
        <v>266.93019501858788</v>
      </c>
      <c r="GN333" s="102">
        <f>$GG333*EF333*'Feedstock Conversion Rates'!$B$7</f>
        <v>388.04639484650846</v>
      </c>
      <c r="GO333" s="102">
        <f>$GG333*EG333*'Feedstock Conversion Rates'!$B$8</f>
        <v>90.154552368959401</v>
      </c>
      <c r="GP333" s="102">
        <f>$GG333*EH333*'Feedstock Conversion Rates'!B$9</f>
        <v>3.3886663493602516</v>
      </c>
      <c r="GQ333" s="102">
        <f t="shared" ref="GQ333:GQ396" si="356">SUM(GI333:GP333)</f>
        <v>3198.5815462225023</v>
      </c>
      <c r="GR333" s="85">
        <f t="shared" si="293"/>
        <v>7.9593671612448755</v>
      </c>
      <c r="GT333" s="103">
        <f t="shared" si="333"/>
        <v>3.3495944440448115E-2</v>
      </c>
      <c r="GU333" s="103">
        <f t="shared" si="334"/>
        <v>0.13122524976240721</v>
      </c>
      <c r="GV333" s="103">
        <f t="shared" si="335"/>
        <v>0.53528397094638247</v>
      </c>
      <c r="GW333" s="103">
        <f t="shared" si="331"/>
        <v>6.5978663067550597E-2</v>
      </c>
      <c r="GX333" s="103">
        <f t="shared" si="331"/>
        <v>8.3452677745180573E-2</v>
      </c>
      <c r="GY333" s="103">
        <f t="shared" si="331"/>
        <v>0.12131827475362883</v>
      </c>
      <c r="GZ333" s="103">
        <f t="shared" si="331"/>
        <v>2.8185791441031467E-2</v>
      </c>
      <c r="HA333" s="103">
        <f t="shared" si="331"/>
        <v>1.0594278433708334E-3</v>
      </c>
    </row>
    <row r="334" spans="1:209" x14ac:dyDescent="0.25">
      <c r="A334" s="96">
        <v>50587</v>
      </c>
      <c r="B334" s="104">
        <f t="shared" si="336"/>
        <v>1.75</v>
      </c>
      <c r="C334" s="104">
        <f t="shared" si="314"/>
        <v>49</v>
      </c>
      <c r="D334" s="104">
        <f t="shared" si="337"/>
        <v>2</v>
      </c>
      <c r="E334" s="104">
        <f>('Renewable Diesel'!B343*E$3*'Feedstock Conversion Rates'!$B$2)/12+26+13-100+27.5+39</f>
        <v>95.43</v>
      </c>
      <c r="F334" s="104">
        <f>('Renewable Diesel'!B343*'RD Feedstock Breakdown'!F$3*'Feedstock Conversion Rates'!B$8)/12+77+23-10-12-115.75+24+8</f>
        <v>48.15625</v>
      </c>
      <c r="G334" s="104">
        <f>('Renewable Diesel'!B343*'RD Feedstock Breakdown'!G$3*'Feedstock Conversion Rates'!B$7)/12+116.75-39-57.5-145-31.5+32+70-40+10+2.5</f>
        <v>94.407000000000039</v>
      </c>
      <c r="H334" s="104">
        <f>('Renewable Diesel'!B343*'RD Feedstock Breakdown'!H$3*'Feedstock Conversion Rates'!B$3)/12+67+10+12+3-235+20+47-20+125</f>
        <v>205.40022499999998</v>
      </c>
      <c r="I334" s="106">
        <f t="shared" si="291"/>
        <v>496.14347500000002</v>
      </c>
      <c r="J334" s="104">
        <f t="shared" si="332"/>
        <v>4</v>
      </c>
      <c r="K334" s="104"/>
      <c r="L334" s="104">
        <v>1</v>
      </c>
      <c r="M334" s="104">
        <f>('Renewable Diesel'!C343*'RD Feedstock Breakdown'!M$3*'Feedstock Conversion Rates'!B$2)/12</f>
        <v>7.7902500000000003</v>
      </c>
      <c r="N334" s="104">
        <f>('Renewable Diesel'!C343*'RD Feedstock Breakdown'!N$3*'Feedstock Conversion Rates'!B$8)/12</f>
        <v>3.671875</v>
      </c>
      <c r="O334" s="104">
        <f>('Renewable Diesel'!C343*'RD Feedstock Breakdown'!O$3*'Feedstock Conversion Rates'!B$7)/12</f>
        <v>11.9991</v>
      </c>
      <c r="P334" s="104">
        <f>('Renewable Diesel'!C343*'RD Feedstock Breakdown'!P$3*'Feedstock Conversion Rates'!B$3)/12</f>
        <v>10.4470425</v>
      </c>
      <c r="Q334" s="106">
        <f t="shared" si="299"/>
        <v>38.908267500000001</v>
      </c>
      <c r="R334" s="104">
        <f>('Renewable Diesel'!D343*'RD Feedstock Breakdown'!R$3*'Feedstock Conversion Rates'!B$7)/12</f>
        <v>2.2999999999999998</v>
      </c>
      <c r="S334" s="106">
        <f t="shared" si="329"/>
        <v>2.2999999999999998</v>
      </c>
      <c r="T334" s="104">
        <f t="shared" si="300"/>
        <v>0.82499999999999929</v>
      </c>
      <c r="U334" s="104"/>
      <c r="V334" s="104">
        <f>('Renewable Diesel'!E343*'RD Feedstock Breakdown'!V$3*'Feedstock Conversion Rates'!B$6)/12-20+25</f>
        <v>49.250150000000012</v>
      </c>
      <c r="W334" s="104">
        <f>('Renewable Diesel'!E343*'RD Feedstock Breakdown'!W$3*'Feedstock Conversion Rates'!B$8)/12-6</f>
        <v>16.1796875</v>
      </c>
      <c r="X334" s="106">
        <f t="shared" ref="X334:X397" si="357">SUM(T334:W334)</f>
        <v>66.254837500000008</v>
      </c>
      <c r="Y334" s="104">
        <f t="shared" si="301"/>
        <v>98</v>
      </c>
      <c r="Z334" s="104">
        <f>('Renewable Diesel'!F343*'RD Feedstock Breakdown'!Z$3*'Feedstock Conversion Rates'!B$6)/12-142+15+5+20+5+5</f>
        <v>67.460000000000008</v>
      </c>
      <c r="AA334" s="104">
        <f>('Renewable Diesel'!F343*'RD Feedstock Breakdown'!AA$3*'Feedstock Conversion Rates'!B$7)/12+24</f>
        <v>128.26666666666665</v>
      </c>
      <c r="AB334" s="106">
        <f t="shared" si="320"/>
        <v>293.72666666666669</v>
      </c>
      <c r="AC334" s="104">
        <f>('Renewable Diesel'!G343*'RD Feedstock Breakdown'!AC$3*'Feedstock Conversion Rates'!B$5)/12</f>
        <v>11.796875</v>
      </c>
      <c r="AD334" s="104">
        <f>('Renewable Diesel'!G343*'RD Feedstock Breakdown'!AD$3*'Feedstock Conversion Rates'!B$4)/12</f>
        <v>5.859375</v>
      </c>
      <c r="AE334" s="104">
        <f>('Renewable Diesel'!G343*'RD Feedstock Breakdown'!AE$3*'Feedstock Conversion Rates'!B$6)/12</f>
        <v>7.3281250000000009</v>
      </c>
      <c r="AF334" s="106">
        <f t="shared" si="284"/>
        <v>24.984375</v>
      </c>
      <c r="AG334" s="104">
        <f t="shared" si="306"/>
        <v>148</v>
      </c>
      <c r="AH334" s="104"/>
      <c r="AI334" s="104">
        <f>('Renewable Diesel'!H343*'RD Feedstock Breakdown'!AI$3*'Feedstock Conversion Rates'!B$6)/12-130-20+51-49</f>
        <v>0.51666666666667993</v>
      </c>
      <c r="AJ334" s="106">
        <f t="shared" si="328"/>
        <v>148.51666666666668</v>
      </c>
      <c r="AK334" s="104">
        <f>('Renewable Diesel'!J343*'RD Feedstock Breakdown'!AK$3*'Feedstock Conversion Rates'!B$4)/12</f>
        <v>95.8125</v>
      </c>
      <c r="AL334" s="106">
        <f t="shared" si="330"/>
        <v>95.8125</v>
      </c>
      <c r="AM334" s="104">
        <f>('Renewable Diesel'!K343*'RD Feedstock Breakdown'!AM$3*'Feedstock Conversion Rates'!B$4)/12+5+15-10+10</f>
        <v>78.59375</v>
      </c>
      <c r="AN334" s="104">
        <f>('Renewable Diesel'!K343*'RD Feedstock Breakdown'!AN$3*'Feedstock Conversion Rates'!B$6)/12-5-15+10-10</f>
        <v>4.4270833333333321</v>
      </c>
      <c r="AO334" s="106">
        <f t="shared" si="350"/>
        <v>83.020833333333329</v>
      </c>
      <c r="AP334" s="104">
        <f>('Renewable Diesel'!L343*'RD Feedstock Breakdown'!AP$3*'Feedstock Conversion Rates'!B$4)/12+15-10+15</f>
        <v>78.59375</v>
      </c>
      <c r="AQ334" s="104">
        <f>('Renewable Diesel'!L343*'RD Feedstock Breakdown'!AQ$3*'Feedstock Conversion Rates'!B$6)/12-15+10-15</f>
        <v>4.4270833333333321</v>
      </c>
      <c r="AR334" s="106">
        <f t="shared" si="339"/>
        <v>83.020833333333329</v>
      </c>
      <c r="AS334" s="104">
        <f>('Renewable Diesel'!M343*'RD Feedstock Breakdown'!AS$3*'Feedstock Conversion Rates'!B$4)/12</f>
        <v>456.25</v>
      </c>
      <c r="AT334" s="104">
        <f>('Renewable Diesel'!M343*'RD Feedstock Breakdown'!AT$3*'Feedstock Conversion Rates'!B$5)/12</f>
        <v>0</v>
      </c>
      <c r="AU334" s="106">
        <f t="shared" si="290"/>
        <v>456.25</v>
      </c>
      <c r="AV334" s="104">
        <f>'Renewable Diesel'!N343*'RD Feedstock Breakdown'!$AV$3*'Feedstock Conversion Rates'!$B$4/12-15-10+25+25-22+25</f>
        <v>106.74999999999999</v>
      </c>
      <c r="AW334" s="104">
        <f>'Renewable Diesel'!N343*'RD Feedstock Breakdown'!$AW$3*'Feedstock Conversion Rates'!$B$7/12+15+10-25-25+22-25</f>
        <v>13.400000000000006</v>
      </c>
      <c r="AX334" s="106">
        <f t="shared" si="322"/>
        <v>120.14999999999999</v>
      </c>
      <c r="AY334" s="104">
        <f>('Renewable Diesel'!O343*'RD Feedstock Breakdown'!AY$3*'Feedstock Conversion Rates'!B$4)/12</f>
        <v>210.9375</v>
      </c>
      <c r="AZ334" s="104">
        <f>('Renewable Diesel'!O343*'RD Feedstock Breakdown'!AZ$3*'Feedstock Conversion Rates'!B$3)/12</f>
        <v>25.03125</v>
      </c>
      <c r="BA334" s="106">
        <f t="shared" si="302"/>
        <v>235.96875</v>
      </c>
      <c r="BB334" s="104">
        <f>('Renewable Diesel'!Q343*'RD Feedstock Breakdown'!BB$3*'Feedstock Conversion Rates'!B$4)/12</f>
        <v>11.156249999999998</v>
      </c>
      <c r="BC334" s="104">
        <f>('Renewable Diesel'!Q343*'RD Feedstock Breakdown'!BC$3*'Feedstock Conversion Rates'!B$3)/12</f>
        <v>1.4017500000000001</v>
      </c>
      <c r="BD334" s="104">
        <f>('Renewable Diesel'!Q343*'RD Feedstock Breakdown'!BD$3*'Feedstock Conversion Rates'!B$6)/12</f>
        <v>0.8207500000000002</v>
      </c>
      <c r="BE334" s="106">
        <f t="shared" si="279"/>
        <v>13.378749999999998</v>
      </c>
      <c r="BF334" s="104">
        <f>('Renewable Diesel'!R343*'RD Feedstock Breakdown'!BF$3*'Feedstock Conversion Rates'!B$4)/12</f>
        <v>62.5</v>
      </c>
      <c r="BG334" s="106">
        <f t="shared" si="344"/>
        <v>62.5</v>
      </c>
      <c r="BH334" s="104">
        <f>('Renewable Diesel'!T343*'RD Feedstock Breakdown'!BH$3*'Feedstock Conversion Rates'!B$7)/12</f>
        <v>27.599999999999998</v>
      </c>
      <c r="BI334" s="106">
        <f t="shared" si="327"/>
        <v>27.599999999999998</v>
      </c>
      <c r="BJ334" s="104">
        <f>('Renewable Diesel'!W343*'RD Feedstock Breakdown'!BJ$3*'Feedstock Conversion Rates'!B$4)/12</f>
        <v>7.5</v>
      </c>
      <c r="BK334" s="104">
        <f>('Renewable Diesel'!W343*'RD Feedstock Breakdown'!BK$3*'Feedstock Conversion Rates'!B$3)/12</f>
        <v>1.335</v>
      </c>
      <c r="BL334" s="104">
        <f>('Renewable Diesel'!W343*'RD Feedstock Breakdown'!BL$3*'Feedstock Conversion Rates'!B$6)/12</f>
        <v>3.1266666666666669</v>
      </c>
      <c r="BM334" s="104">
        <f>('Renewable Diesel'!W343*'RD Feedstock Breakdown'!BM$3*'Feedstock Conversion Rates'!B$7)/12</f>
        <v>1.5333333333333332</v>
      </c>
      <c r="BN334" s="106">
        <f t="shared" si="296"/>
        <v>13.495000000000001</v>
      </c>
      <c r="BO334" s="104">
        <f>('Renewable Diesel'!P343*'Feedstock Conversion Rates'!B$4)/12</f>
        <v>31.25</v>
      </c>
      <c r="BP334" s="106">
        <f t="shared" si="285"/>
        <v>31.25</v>
      </c>
      <c r="BQ334" s="104">
        <f>('Renewable Diesel'!$S343*'RD Feedstock Breakdown'!BQ$3*'Feedstock Conversion Rates'!B$4)/12+10+15-15</f>
        <v>38.125</v>
      </c>
      <c r="BR334" s="104">
        <f>('Renewable Diesel'!$S343*'RD Feedstock Breakdown'!BR$3*'Feedstock Conversion Rates'!B$7)/12-10-15+15</f>
        <v>1.5</v>
      </c>
      <c r="BS334" s="106">
        <f t="shared" si="307"/>
        <v>39.625</v>
      </c>
      <c r="BT334" s="106"/>
      <c r="BU334" s="104">
        <f>('Renewable Diesel'!Y343*'Feedstock Conversion Rates'!B$7)/12</f>
        <v>2.6833333333333331</v>
      </c>
      <c r="BV334" s="106">
        <f t="shared" si="281"/>
        <v>2.6833333333333331</v>
      </c>
      <c r="BW334" s="104">
        <f>('Renewable Diesel'!$Z343*'RD Feedstock Breakdown'!BW$3*'Feedstock Conversion Rates'!$B$4)/12-50</f>
        <v>21.875</v>
      </c>
      <c r="BX334" s="104">
        <f>('Renewable Diesel'!$Z343*'RD Feedstock Breakdown'!BX$3*'Feedstock Conversion Rates'!$B$5)/12</f>
        <v>7.2354166666666666</v>
      </c>
      <c r="BY334" s="104">
        <f>('Renewable Diesel'!$Z343*'RD Feedstock Breakdown'!BY$3*'Feedstock Conversion Rates'!$B$7)/12</f>
        <v>61.716666666666661</v>
      </c>
      <c r="BZ334" s="104">
        <f>('Renewable Diesel'!$Z343*'RD Feedstock Breakdown'!BZ$3*'Feedstock Conversion Rates'!$B$3)/12+50</f>
        <v>65.352499999999992</v>
      </c>
      <c r="CA334" s="106">
        <f t="shared" si="312"/>
        <v>156.17958333333331</v>
      </c>
      <c r="CB334" s="104">
        <f>('Renewable Diesel'!AA343*'Feedstock Conversion Rates'!B$4)/12</f>
        <v>191.25</v>
      </c>
      <c r="CC334" s="106">
        <f t="shared" si="298"/>
        <v>191.25</v>
      </c>
      <c r="CD334" s="104">
        <f>('Renewable Diesel'!$AB343*'RD Feedstock Breakdown'!CD$3*'Feedstock Conversion Rates'!$B$6)/12-15-5</f>
        <v>12.830000000000005</v>
      </c>
      <c r="CE334" s="104">
        <f>('Renewable Diesel'!$AB343*'RD Feedstock Breakdown'!CE$3*'Feedstock Conversion Rates'!$B$4)/12+15+5</f>
        <v>31.25</v>
      </c>
      <c r="CF334" s="106">
        <f t="shared" si="294"/>
        <v>44.080000000000005</v>
      </c>
      <c r="CG334" s="104">
        <f>('Renewable Diesel'!AD343*'Feedstock Conversion Rates'!B$4)/12</f>
        <v>112.5</v>
      </c>
      <c r="CH334" s="106">
        <f t="shared" ref="CH334:CH397" si="358">CG334</f>
        <v>112.5</v>
      </c>
      <c r="CI334" s="104">
        <f>('Renewable Diesel'!$AE343*'RD Feedstock Breakdown'!CI$3*'Feedstock Conversion Rates'!$B$5)/12</f>
        <v>0.34604166666666664</v>
      </c>
      <c r="CJ334" s="104">
        <f>('Renewable Diesel'!$AE343*'RD Feedstock Breakdown'!CJ$3*'Feedstock Conversion Rates'!$B$4)/12</f>
        <v>0.34375</v>
      </c>
      <c r="CK334" s="106">
        <f t="shared" si="286"/>
        <v>0.68979166666666658</v>
      </c>
      <c r="CL334" s="104">
        <f>(((CL$3*'Renewable Diesel'!$AF343)*'Feedstock Conversion Rates'!$B$3)/12)</f>
        <v>91.78125</v>
      </c>
      <c r="CM334" s="104">
        <f>(((CM$3*'Renewable Diesel'!$AF343)*'Feedstock Conversion Rates'!$B$6)/12)</f>
        <v>53.739583333333336</v>
      </c>
      <c r="CN334" s="104">
        <f>(((CN$3*'Renewable Diesel'!$AF343)*'Feedstock Conversion Rates'!$B$4)/12)</f>
        <v>42.96875</v>
      </c>
      <c r="CO334" s="106">
        <f t="shared" si="280"/>
        <v>188.48958333333334</v>
      </c>
      <c r="CP334" s="104">
        <f>('Renewable Diesel'!$AG343*'RD Feedstock Breakdown'!CP$3*'Feedstock Conversion Rates'!$B$3)/12</f>
        <v>6.0075000000000003</v>
      </c>
      <c r="CQ334" s="104">
        <f>('Renewable Diesel'!$AG343*'RD Feedstock Breakdown'!CQ$3*'Feedstock Conversion Rates'!$B$6)/12</f>
        <v>3.5175000000000001</v>
      </c>
      <c r="CR334" s="104">
        <f>('Renewable Diesel'!$AG343*'RD Feedstock Breakdown'!CR$3*'Feedstock Conversion Rates'!$B$4)/12</f>
        <v>2.8125</v>
      </c>
      <c r="CS334" s="106">
        <f t="shared" si="317"/>
        <v>12.3375</v>
      </c>
      <c r="CT334" s="104">
        <f>('Renewable Diesel'!AI343*'Feedstock Conversion Rates'!$B$4*'RD Feedstock Breakdown'!$CT$3)/12</f>
        <v>29.375</v>
      </c>
      <c r="CU334" s="106">
        <f t="shared" si="282"/>
        <v>29.375</v>
      </c>
      <c r="CV334" s="104">
        <f>('Renewable Diesel'!AN343*'Feedstock Conversion Rates'!$B$3*'RD Feedstock Breakdown'!$CV$3)/12</f>
        <v>0.50062499999999999</v>
      </c>
      <c r="CW334" s="106">
        <f t="shared" si="338"/>
        <v>0.50062499999999999</v>
      </c>
      <c r="CX334" s="104">
        <f>('Renewable Diesel'!AO343*'RD Feedstock Breakdown'!$CX$3*'Feedstock Conversion Rates'!$B$3)/12</f>
        <v>6.3412499999999996</v>
      </c>
      <c r="CY334" s="104">
        <f>('Renewable Diesel'!AO343*'RD Feedstock Breakdown'!$CY$3*'Feedstock Conversion Rates'!$B$6)/12</f>
        <v>7.4258333333333342</v>
      </c>
      <c r="CZ334" s="106">
        <f t="shared" si="318"/>
        <v>13.767083333333334</v>
      </c>
      <c r="DA334" s="104">
        <f>('Renewable Diesel'!$AP343*'RD Feedstock Breakdown'!DA$3*'Feedstock Conversion Rates'!$B$3)/12</f>
        <v>6.3412499999999996</v>
      </c>
      <c r="DB334" s="104">
        <f>('Renewable Diesel'!$AP343*'RD Feedstock Breakdown'!DB$3*'Feedstock Conversion Rates'!$B$8)/12</f>
        <v>7.421875</v>
      </c>
      <c r="DC334" s="106">
        <f t="shared" si="342"/>
        <v>13.763124999999999</v>
      </c>
      <c r="DD334" s="104">
        <f>('Renewable Diesel'!AQ343*$DD$3*'Feedstock Conversion Rates'!$B$14)/12</f>
        <v>3.1041666666666665</v>
      </c>
      <c r="DE334" s="106">
        <f t="shared" si="343"/>
        <v>3.1041666666666665</v>
      </c>
      <c r="DF334" s="104">
        <f>('Renewable Diesel'!AR343*'Feedstock Conversion Rates'!$B$4*$DF$3)/12</f>
        <v>75</v>
      </c>
      <c r="DG334" s="106">
        <f t="shared" si="319"/>
        <v>75</v>
      </c>
      <c r="DH334" s="104">
        <f>('Renewable Diesel'!AS343*'Feedstock Conversion Rates'!$B$4*$DH$3)/12</f>
        <v>75</v>
      </c>
      <c r="DI334" s="106">
        <f t="shared" si="323"/>
        <v>75</v>
      </c>
      <c r="DJ334" s="104">
        <f>('Renewable Diesel'!AT343*'Feedstock Conversion Rates'!$B$4*0.25)/12</f>
        <v>8.59375</v>
      </c>
      <c r="DK334" s="104">
        <f>('Renewable Diesel'!$AT343*'RD Feedstock Breakdown'!DK$3*'Feedstock Conversion Rates'!$B$3)/12*0.5</f>
        <v>9.1781249999999996</v>
      </c>
      <c r="DL334" s="104">
        <f>('Renewable Diesel'!$AT343*'RD Feedstock Breakdown'!$DL$3*'Feedstock Conversion Rates'!$B$6)/12</f>
        <v>10.747916666666669</v>
      </c>
      <c r="DM334" s="104">
        <f>('Renewable Diesel'!$AT343*'RD Feedstock Breakdown'!$DM$3*'Feedstock Conversion Rates'!$B$8)/12</f>
        <v>10.7421875</v>
      </c>
      <c r="DN334" s="106">
        <f t="shared" si="297"/>
        <v>39.26197916666667</v>
      </c>
      <c r="DP334" s="104">
        <f t="shared" si="345"/>
        <v>103.22025000000001</v>
      </c>
      <c r="DQ334" s="104">
        <f t="shared" si="346"/>
        <v>429.11776750000001</v>
      </c>
      <c r="DR334" s="104">
        <f t="shared" si="351"/>
        <v>1869.453125</v>
      </c>
      <c r="DS334" s="104">
        <f t="shared" si="283"/>
        <v>228.90125</v>
      </c>
      <c r="DT334" s="104">
        <f t="shared" si="347"/>
        <v>233.03923333333344</v>
      </c>
      <c r="DU334" s="104">
        <f t="shared" si="348"/>
        <v>345.40610000000004</v>
      </c>
      <c r="DV334" s="104">
        <f t="shared" si="352"/>
        <v>78.75</v>
      </c>
      <c r="DW334" s="104">
        <f t="shared" si="349"/>
        <v>3</v>
      </c>
      <c r="DX334" s="106">
        <f t="shared" si="353"/>
        <v>3290.8877258333337</v>
      </c>
      <c r="DY334" s="109">
        <f t="shared" si="340"/>
        <v>-5.631051180898794E-13</v>
      </c>
      <c r="EA334" s="110">
        <f t="shared" si="313"/>
        <v>3.1365472966374777E-2</v>
      </c>
      <c r="EB334" s="110">
        <f t="shared" si="313"/>
        <v>0.13039574827528849</v>
      </c>
      <c r="EC334" s="110">
        <f t="shared" si="313"/>
        <v>0.56806955470551901</v>
      </c>
      <c r="ED334" s="110">
        <f t="shared" si="308"/>
        <v>6.955608002154999E-2</v>
      </c>
      <c r="EE334" s="110">
        <f t="shared" si="308"/>
        <v>7.0813486435281583E-2</v>
      </c>
      <c r="EF334" s="110">
        <f t="shared" si="308"/>
        <v>0.10495833610140398</v>
      </c>
      <c r="EG334" s="110">
        <f t="shared" si="308"/>
        <v>2.3929713366340557E-2</v>
      </c>
      <c r="EH334" s="111">
        <f t="shared" si="354"/>
        <v>9.1160812824154505E-4</v>
      </c>
      <c r="EI334" s="110">
        <f t="shared" si="321"/>
        <v>0.99908839187175835</v>
      </c>
      <c r="EK334" s="132">
        <f>(EA334*'Renewable Diesel'!BF343*'Feedstock Conversion Rates'!B$2)+FB334</f>
        <v>453.28112292159096</v>
      </c>
      <c r="EL334" s="132">
        <f>(EB334*'Renewable Diesel'!BF343*'Feedstock Conversion Rates'!B$3)+FC334</f>
        <v>1775.7949376146748</v>
      </c>
      <c r="EM334" s="132">
        <f>(EC334*'Renewable Diesel'!BF343*'Feedstock Conversion Rates'!B$4)+FD334</f>
        <v>7243.6864666968768</v>
      </c>
      <c r="EN334" s="132">
        <f>(ED334*'Renewable Diesel'!BF343*'Feedstock Conversion Rates'!B$5)+FE334</f>
        <v>892.85085056477783</v>
      </c>
      <c r="EO334" s="132">
        <f>(EE334*'Renewable Diesel'!BF343*'Feedstock Conversion Rates'!B$6)+FF334</f>
        <v>1129.3165220763378</v>
      </c>
      <c r="EP334" s="132">
        <f>(EF334*'Renewable Diesel'!BF343*'Feedstock Conversion Rates'!B$7)+FG334</f>
        <v>1641.729610251864</v>
      </c>
      <c r="EQ334" s="132">
        <f>(EG334*'Renewable Diesel'!BF343*'Feedstock Conversion Rates'!B$8)+FH334</f>
        <v>381.42191265987151</v>
      </c>
      <c r="ER334" s="132">
        <f>(EH334*'Renewable Diesel'!BF343*'Feedstock Conversion Rates'!B$9)+FI334</f>
        <v>14.336620463151995</v>
      </c>
      <c r="ES334" s="132">
        <f t="shared" si="355"/>
        <v>13532.418043249145</v>
      </c>
      <c r="ET334" s="133">
        <f>ES334/'Renewable Diesel'!BF343</f>
        <v>15.537282282619831</v>
      </c>
      <c r="EW334" s="73">
        <f t="shared" si="309"/>
        <v>12104.926901138881</v>
      </c>
      <c r="EX334" s="73">
        <f t="shared" si="310"/>
        <v>8027.5846110572593</v>
      </c>
      <c r="EY334" s="92">
        <f t="shared" si="341"/>
        <v>0.89451322464706218</v>
      </c>
      <c r="EZ334" s="92">
        <f t="shared" si="341"/>
        <v>0.59321139691379421</v>
      </c>
      <c r="FB334" s="102">
        <f>IF('Renewable Diesel'!$BG343&lt;1,0,(((('Renewable Diesel'!$BG343-1)*'Renewable Diesel'!$BF343)*'RD Feedstock Breakdown'!EA334)*'Feedstock Conversion Rates'!$B$2))</f>
        <v>221.07636413761293</v>
      </c>
      <c r="FC334" s="102">
        <f>IF('Renewable Diesel'!$BG343&lt;1,0,(((('Renewable Diesel'!$BG343-1)*'Renewable Diesel'!$BF343)*'RD Feedstock Breakdown'!EB334)*'Feedstock Conversion Rates'!$B$3))</f>
        <v>866.09891391780161</v>
      </c>
      <c r="FD334" s="102">
        <f>IF('Renewable Diesel'!$BG343&lt;1,0,(((('Renewable Diesel'!$BG343-1)*'Renewable Diesel'!$BF343)*'RD Feedstock Breakdown'!EC334)*'Feedstock Conversion Rates'!$B$4))</f>
        <v>3532.9242406752305</v>
      </c>
      <c r="FE334" s="102">
        <f>IF('Renewable Diesel'!$BG343&lt;1,0,(((('Renewable Diesel'!$BG343-1)*'Renewable Diesel'!$BF343)*'RD Feedstock Breakdown'!ED334)*'Feedstock Conversion Rates'!$B$5))</f>
        <v>435.46534320199493</v>
      </c>
      <c r="FF334" s="102">
        <f>IF('Renewable Diesel'!$BG343&lt;1,0,(((('Renewable Diesel'!$BG343-1)*'Renewable Diesel'!$BF343)*'RD Feedstock Breakdown'!EE334)*'Feedstock Conversion Rates'!$B$6))</f>
        <v>550.7954733521043</v>
      </c>
      <c r="FG334" s="102">
        <f>IF('Renewable Diesel'!$BG343&lt;1,0,(((('Renewable Diesel'!$BG343-1)*'Renewable Diesel'!$BF343)*'RD Feedstock Breakdown'!EF334)*'Feedstock Conversion Rates'!$B$7))</f>
        <v>800.71195286534237</v>
      </c>
      <c r="FH334" s="102">
        <f>IF('Renewable Diesel'!$BG343&lt;1,0,(((('Renewable Diesel'!$BG343-1)*'Renewable Diesel'!$BF343)*'RD Feedstock Breakdown'!EG334)*'Feedstock Conversion Rates'!$B$8))</f>
        <v>186.02885800705383</v>
      </c>
      <c r="FI334" s="102">
        <f>IF('Renewable Diesel'!$BG343&lt;1,0,(((('Renewable Diesel'!$BG343-1)*'Renewable Diesel'!$BF343)*'RD Feedstock Breakdown'!EH334)*'Feedstock Conversion Rates'!$B$9))</f>
        <v>6.9923227898524356</v>
      </c>
      <c r="FJ334" s="102">
        <f t="shared" si="311"/>
        <v>6600.0934689469932</v>
      </c>
      <c r="GD334" s="91">
        <f>'Renewable Diesel'!BB343*0.32</f>
        <v>0</v>
      </c>
      <c r="GE334" s="91">
        <f>'Renewable Diesel'!BC343</f>
        <v>437.13665429824135</v>
      </c>
      <c r="GF334" s="91">
        <f>'Renewable Diesel'!BD343</f>
        <v>0</v>
      </c>
      <c r="GG334" s="91">
        <f t="shared" si="295"/>
        <v>437.13665429824135</v>
      </c>
      <c r="GH334" s="124">
        <v>1</v>
      </c>
      <c r="GI334" s="102">
        <f>$GG334*EA334*'Feedstock Conversion Rates'!$B$2</f>
        <v>116.54348226052555</v>
      </c>
      <c r="GJ334" s="102">
        <f>$GG334*EB334*'Feedstock Conversion Rates'!$B$3</f>
        <v>456.57609669756005</v>
      </c>
      <c r="GK334" s="102">
        <f>$GG334*EC334*'Feedstock Conversion Rates'!$B$4</f>
        <v>1862.4301841449678</v>
      </c>
      <c r="GL334" s="102">
        <f>$GG334*ED334*'Feedstock Conversion Rates'!$B$5</f>
        <v>229.56161640574439</v>
      </c>
      <c r="GM334" s="102">
        <f>$GG334*EE334*'Feedstock Conversion Rates'!$B$6</f>
        <v>290.35949966063095</v>
      </c>
      <c r="GN334" s="102">
        <f>$GG334*EF334*'Feedstock Conversion Rates'!$B$7</f>
        <v>422.10645013351808</v>
      </c>
      <c r="GO334" s="102">
        <f>$GG334*EG334*'Feedstock Conversion Rates'!$B$8</f>
        <v>98.067701618231411</v>
      </c>
      <c r="GP334" s="102">
        <f>$GG334*EH334*'Feedstock Conversion Rates'!B$9</f>
        <v>3.6861002766979682</v>
      </c>
      <c r="GQ334" s="102">
        <f t="shared" si="356"/>
        <v>3479.3311311978755</v>
      </c>
      <c r="GR334" s="85">
        <f t="shared" si="293"/>
        <v>7.9593671612448746</v>
      </c>
      <c r="GT334" s="103">
        <f t="shared" si="333"/>
        <v>3.3495944440448115E-2</v>
      </c>
      <c r="GU334" s="103">
        <f t="shared" si="334"/>
        <v>0.13122524976240721</v>
      </c>
      <c r="GV334" s="103">
        <f t="shared" si="335"/>
        <v>0.53528397094638236</v>
      </c>
      <c r="GW334" s="103">
        <f t="shared" si="331"/>
        <v>6.5978663067550597E-2</v>
      </c>
      <c r="GX334" s="103">
        <f t="shared" si="331"/>
        <v>8.3452677745180559E-2</v>
      </c>
      <c r="GY334" s="103">
        <f t="shared" si="331"/>
        <v>0.12131827475362883</v>
      </c>
      <c r="GZ334" s="103">
        <f t="shared" si="331"/>
        <v>2.8185791441031467E-2</v>
      </c>
      <c r="HA334" s="103">
        <f t="shared" si="331"/>
        <v>1.0594278433708334E-3</v>
      </c>
    </row>
    <row r="335" spans="1:209" x14ac:dyDescent="0.25">
      <c r="A335" s="96">
        <v>50618</v>
      </c>
      <c r="B335" s="104">
        <f t="shared" si="336"/>
        <v>1.75</v>
      </c>
      <c r="C335" s="104">
        <f t="shared" si="314"/>
        <v>49</v>
      </c>
      <c r="D335" s="104">
        <f t="shared" si="337"/>
        <v>2</v>
      </c>
      <c r="E335" s="104">
        <f>('Renewable Diesel'!B344*E$3*'Feedstock Conversion Rates'!$B$2)/12+26+13-100+27.5+39</f>
        <v>95.43</v>
      </c>
      <c r="F335" s="104">
        <f>('Renewable Diesel'!B344*'RD Feedstock Breakdown'!F$3*'Feedstock Conversion Rates'!B$8)/12+77+23-10-12-115.75+24+8</f>
        <v>48.15625</v>
      </c>
      <c r="G335" s="104">
        <f>('Renewable Diesel'!B344*'RD Feedstock Breakdown'!G$3*'Feedstock Conversion Rates'!B$7)/12+116.75-39-57.5-145-31.5+32+70-40+10+2.5</f>
        <v>94.407000000000039</v>
      </c>
      <c r="H335" s="104">
        <f>('Renewable Diesel'!B344*'RD Feedstock Breakdown'!H$3*'Feedstock Conversion Rates'!B$3)/12+67+10+12+3-235+20+47-20+125</f>
        <v>205.40022499999998</v>
      </c>
      <c r="I335" s="106">
        <f t="shared" si="291"/>
        <v>496.14347500000002</v>
      </c>
      <c r="J335" s="104">
        <f t="shared" si="332"/>
        <v>4</v>
      </c>
      <c r="K335" s="104"/>
      <c r="L335" s="104">
        <v>1</v>
      </c>
      <c r="M335" s="104">
        <f>('Renewable Diesel'!C344*'RD Feedstock Breakdown'!M$3*'Feedstock Conversion Rates'!B$2)/12</f>
        <v>7.7902500000000003</v>
      </c>
      <c r="N335" s="104">
        <f>('Renewable Diesel'!C344*'RD Feedstock Breakdown'!N$3*'Feedstock Conversion Rates'!B$8)/12</f>
        <v>3.671875</v>
      </c>
      <c r="O335" s="104">
        <f>('Renewable Diesel'!C344*'RD Feedstock Breakdown'!O$3*'Feedstock Conversion Rates'!B$7)/12</f>
        <v>11.9991</v>
      </c>
      <c r="P335" s="104">
        <f>('Renewable Diesel'!C344*'RD Feedstock Breakdown'!P$3*'Feedstock Conversion Rates'!B$3)/12</f>
        <v>10.4470425</v>
      </c>
      <c r="Q335" s="106">
        <f t="shared" si="299"/>
        <v>38.908267500000001</v>
      </c>
      <c r="R335" s="104">
        <f>('Renewable Diesel'!D344*'RD Feedstock Breakdown'!R$3*'Feedstock Conversion Rates'!B$7)/12</f>
        <v>2.2999999999999998</v>
      </c>
      <c r="S335" s="106">
        <f t="shared" si="329"/>
        <v>2.2999999999999998</v>
      </c>
      <c r="T335" s="104">
        <f t="shared" si="300"/>
        <v>0.82499999999999929</v>
      </c>
      <c r="U335" s="104"/>
      <c r="V335" s="104">
        <f>('Renewable Diesel'!E344*'RD Feedstock Breakdown'!V$3*'Feedstock Conversion Rates'!B$6)/12-20+25</f>
        <v>49.250150000000012</v>
      </c>
      <c r="W335" s="104">
        <f>('Renewable Diesel'!E344*'RD Feedstock Breakdown'!W$3*'Feedstock Conversion Rates'!B$8)/12-6</f>
        <v>16.1796875</v>
      </c>
      <c r="X335" s="106">
        <f t="shared" si="357"/>
        <v>66.254837500000008</v>
      </c>
      <c r="Y335" s="104">
        <f t="shared" si="301"/>
        <v>98</v>
      </c>
      <c r="Z335" s="104">
        <f>('Renewable Diesel'!F344*'RD Feedstock Breakdown'!Z$3*'Feedstock Conversion Rates'!B$6)/12-142+15+5+20+5+5</f>
        <v>67.460000000000008</v>
      </c>
      <c r="AA335" s="104">
        <f>('Renewable Diesel'!F344*'RD Feedstock Breakdown'!AA$3*'Feedstock Conversion Rates'!B$7)/12+24</f>
        <v>128.26666666666665</v>
      </c>
      <c r="AB335" s="106">
        <f t="shared" si="320"/>
        <v>293.72666666666669</v>
      </c>
      <c r="AC335" s="104">
        <f>('Renewable Diesel'!G344*'RD Feedstock Breakdown'!AC$3*'Feedstock Conversion Rates'!B$5)/12</f>
        <v>11.796875</v>
      </c>
      <c r="AD335" s="104">
        <f>('Renewable Diesel'!G344*'RD Feedstock Breakdown'!AD$3*'Feedstock Conversion Rates'!B$4)/12</f>
        <v>5.859375</v>
      </c>
      <c r="AE335" s="104">
        <f>('Renewable Diesel'!G344*'RD Feedstock Breakdown'!AE$3*'Feedstock Conversion Rates'!B$6)/12</f>
        <v>7.3281250000000009</v>
      </c>
      <c r="AF335" s="106">
        <f t="shared" si="284"/>
        <v>24.984375</v>
      </c>
      <c r="AG335" s="104">
        <f t="shared" si="306"/>
        <v>148</v>
      </c>
      <c r="AH335" s="104"/>
      <c r="AI335" s="104">
        <f>('Renewable Diesel'!H344*'RD Feedstock Breakdown'!AI$3*'Feedstock Conversion Rates'!B$6)/12-130-20+51-49</f>
        <v>0.51666666666667993</v>
      </c>
      <c r="AJ335" s="106">
        <f t="shared" si="328"/>
        <v>148.51666666666668</v>
      </c>
      <c r="AK335" s="104">
        <f>('Renewable Diesel'!J344*'RD Feedstock Breakdown'!AK$3*'Feedstock Conversion Rates'!B$4)/12</f>
        <v>95.8125</v>
      </c>
      <c r="AL335" s="106">
        <f t="shared" si="330"/>
        <v>95.8125</v>
      </c>
      <c r="AM335" s="104">
        <f>('Renewable Diesel'!K344*'RD Feedstock Breakdown'!AM$3*'Feedstock Conversion Rates'!B$4)/12+5+15-10+10</f>
        <v>78.59375</v>
      </c>
      <c r="AN335" s="104">
        <f>('Renewable Diesel'!K344*'RD Feedstock Breakdown'!AN$3*'Feedstock Conversion Rates'!B$6)/12-5-15+10-10</f>
        <v>4.4270833333333321</v>
      </c>
      <c r="AO335" s="106">
        <f t="shared" si="350"/>
        <v>83.020833333333329</v>
      </c>
      <c r="AP335" s="104">
        <f>('Renewable Diesel'!L344*'RD Feedstock Breakdown'!AP$3*'Feedstock Conversion Rates'!B$4)/12+15-10+15</f>
        <v>78.59375</v>
      </c>
      <c r="AQ335" s="104">
        <f>('Renewable Diesel'!L344*'RD Feedstock Breakdown'!AQ$3*'Feedstock Conversion Rates'!B$6)/12-15+10-15</f>
        <v>4.4270833333333321</v>
      </c>
      <c r="AR335" s="106">
        <f t="shared" si="339"/>
        <v>83.020833333333329</v>
      </c>
      <c r="AS335" s="104">
        <f>('Renewable Diesel'!M344*'RD Feedstock Breakdown'!AS$3*'Feedstock Conversion Rates'!B$4)/12</f>
        <v>456.25</v>
      </c>
      <c r="AT335" s="104">
        <f>('Renewable Diesel'!M344*'RD Feedstock Breakdown'!AT$3*'Feedstock Conversion Rates'!B$5)/12</f>
        <v>0</v>
      </c>
      <c r="AU335" s="106">
        <f t="shared" si="290"/>
        <v>456.25</v>
      </c>
      <c r="AV335" s="104">
        <f>'Renewable Diesel'!N344*'RD Feedstock Breakdown'!$AV$3*'Feedstock Conversion Rates'!$B$4/12-15-10+25+25-22+25</f>
        <v>106.74999999999999</v>
      </c>
      <c r="AW335" s="104">
        <f>'Renewable Diesel'!N344*'RD Feedstock Breakdown'!$AW$3*'Feedstock Conversion Rates'!$B$7/12+15+10-25-25+22-25</f>
        <v>13.400000000000006</v>
      </c>
      <c r="AX335" s="106">
        <f t="shared" si="322"/>
        <v>120.14999999999999</v>
      </c>
      <c r="AY335" s="104">
        <f>('Renewable Diesel'!O344*'RD Feedstock Breakdown'!AY$3*'Feedstock Conversion Rates'!B$4)/12</f>
        <v>210.9375</v>
      </c>
      <c r="AZ335" s="104">
        <f>('Renewable Diesel'!O344*'RD Feedstock Breakdown'!AZ$3*'Feedstock Conversion Rates'!B$3)/12</f>
        <v>25.03125</v>
      </c>
      <c r="BA335" s="106">
        <f t="shared" si="302"/>
        <v>235.96875</v>
      </c>
      <c r="BB335" s="104">
        <f>('Renewable Diesel'!Q344*'RD Feedstock Breakdown'!BB$3*'Feedstock Conversion Rates'!B$4)/12</f>
        <v>11.156249999999998</v>
      </c>
      <c r="BC335" s="104">
        <f>('Renewable Diesel'!Q344*'RD Feedstock Breakdown'!BC$3*'Feedstock Conversion Rates'!B$3)/12</f>
        <v>1.4017500000000001</v>
      </c>
      <c r="BD335" s="104">
        <f>('Renewable Diesel'!Q344*'RD Feedstock Breakdown'!BD$3*'Feedstock Conversion Rates'!B$6)/12</f>
        <v>0.8207500000000002</v>
      </c>
      <c r="BE335" s="106">
        <f t="shared" ref="BE335:BE398" si="359">SUM(BB335:BD335)</f>
        <v>13.378749999999998</v>
      </c>
      <c r="BF335" s="104">
        <f>('Renewable Diesel'!R344*'RD Feedstock Breakdown'!BF$3*'Feedstock Conversion Rates'!B$4)/12</f>
        <v>62.5</v>
      </c>
      <c r="BG335" s="106">
        <f t="shared" si="344"/>
        <v>62.5</v>
      </c>
      <c r="BH335" s="104">
        <f>('Renewable Diesel'!T344*'RD Feedstock Breakdown'!BH$3*'Feedstock Conversion Rates'!B$7)/12</f>
        <v>27.599999999999998</v>
      </c>
      <c r="BI335" s="106">
        <f t="shared" si="327"/>
        <v>27.599999999999998</v>
      </c>
      <c r="BJ335" s="104">
        <f>('Renewable Diesel'!W344*'RD Feedstock Breakdown'!BJ$3*'Feedstock Conversion Rates'!B$4)/12</f>
        <v>7.5</v>
      </c>
      <c r="BK335" s="104">
        <f>('Renewable Diesel'!W344*'RD Feedstock Breakdown'!BK$3*'Feedstock Conversion Rates'!B$3)/12</f>
        <v>1.335</v>
      </c>
      <c r="BL335" s="104">
        <f>('Renewable Diesel'!W344*'RD Feedstock Breakdown'!BL$3*'Feedstock Conversion Rates'!B$6)/12</f>
        <v>3.1266666666666669</v>
      </c>
      <c r="BM335" s="104">
        <f>('Renewable Diesel'!W344*'RD Feedstock Breakdown'!BM$3*'Feedstock Conversion Rates'!B$7)/12</f>
        <v>1.5333333333333332</v>
      </c>
      <c r="BN335" s="106">
        <f t="shared" si="296"/>
        <v>13.495000000000001</v>
      </c>
      <c r="BO335" s="104">
        <f>('Renewable Diesel'!P344*'Feedstock Conversion Rates'!B$4)/12</f>
        <v>31.25</v>
      </c>
      <c r="BP335" s="106">
        <f t="shared" si="285"/>
        <v>31.25</v>
      </c>
      <c r="BQ335" s="104">
        <f>('Renewable Diesel'!$S344*'RD Feedstock Breakdown'!BQ$3*'Feedstock Conversion Rates'!B$4)/12+10+15-15</f>
        <v>38.125</v>
      </c>
      <c r="BR335" s="104">
        <f>('Renewable Diesel'!$S344*'RD Feedstock Breakdown'!BR$3*'Feedstock Conversion Rates'!B$7)/12-10-15+15</f>
        <v>1.5</v>
      </c>
      <c r="BS335" s="106">
        <f t="shared" si="307"/>
        <v>39.625</v>
      </c>
      <c r="BT335" s="106"/>
      <c r="BU335" s="104">
        <f>('Renewable Diesel'!Y344*'Feedstock Conversion Rates'!B$7)/12</f>
        <v>2.6833333333333331</v>
      </c>
      <c r="BV335" s="106">
        <f t="shared" si="281"/>
        <v>2.6833333333333331</v>
      </c>
      <c r="BW335" s="104">
        <f>('Renewable Diesel'!$Z344*'RD Feedstock Breakdown'!BW$3*'Feedstock Conversion Rates'!$B$4)/12-50</f>
        <v>21.875</v>
      </c>
      <c r="BX335" s="104">
        <f>('Renewable Diesel'!$Z344*'RD Feedstock Breakdown'!BX$3*'Feedstock Conversion Rates'!$B$5)/12</f>
        <v>7.2354166666666666</v>
      </c>
      <c r="BY335" s="104">
        <f>('Renewable Diesel'!$Z344*'RD Feedstock Breakdown'!BY$3*'Feedstock Conversion Rates'!$B$7)/12</f>
        <v>61.716666666666661</v>
      </c>
      <c r="BZ335" s="104">
        <f>('Renewable Diesel'!$Z344*'RD Feedstock Breakdown'!BZ$3*'Feedstock Conversion Rates'!$B$3)/12+50</f>
        <v>65.352499999999992</v>
      </c>
      <c r="CA335" s="106">
        <f t="shared" si="312"/>
        <v>156.17958333333331</v>
      </c>
      <c r="CB335" s="104">
        <f>('Renewable Diesel'!AA344*'Feedstock Conversion Rates'!B$4)/12</f>
        <v>191.25</v>
      </c>
      <c r="CC335" s="106">
        <f t="shared" si="298"/>
        <v>191.25</v>
      </c>
      <c r="CD335" s="104">
        <f>('Renewable Diesel'!$AB344*'RD Feedstock Breakdown'!CD$3*'Feedstock Conversion Rates'!$B$6)/12-15-5</f>
        <v>12.830000000000005</v>
      </c>
      <c r="CE335" s="104">
        <f>('Renewable Diesel'!$AB344*'RD Feedstock Breakdown'!CE$3*'Feedstock Conversion Rates'!$B$4)/12+15+5</f>
        <v>31.25</v>
      </c>
      <c r="CF335" s="106">
        <f t="shared" si="294"/>
        <v>44.080000000000005</v>
      </c>
      <c r="CG335" s="104">
        <f>('Renewable Diesel'!AD344*'Feedstock Conversion Rates'!B$4)/12</f>
        <v>112.5</v>
      </c>
      <c r="CH335" s="106">
        <f t="shared" si="358"/>
        <v>112.5</v>
      </c>
      <c r="CI335" s="104">
        <f>('Renewable Diesel'!$AE344*'RD Feedstock Breakdown'!CI$3*'Feedstock Conversion Rates'!$B$5)/12</f>
        <v>0.34604166666666664</v>
      </c>
      <c r="CJ335" s="104">
        <f>('Renewable Diesel'!$AE344*'RD Feedstock Breakdown'!CJ$3*'Feedstock Conversion Rates'!$B$4)/12</f>
        <v>0.34375</v>
      </c>
      <c r="CK335" s="106">
        <f t="shared" si="286"/>
        <v>0.68979166666666658</v>
      </c>
      <c r="CL335" s="104">
        <f>(((CL$3*'Renewable Diesel'!$AF344)*'Feedstock Conversion Rates'!$B$3)/12)</f>
        <v>91.78125</v>
      </c>
      <c r="CM335" s="104">
        <f>(((CM$3*'Renewable Diesel'!$AF344)*'Feedstock Conversion Rates'!$B$6)/12)</f>
        <v>53.739583333333336</v>
      </c>
      <c r="CN335" s="104">
        <f>(((CN$3*'Renewable Diesel'!$AF344)*'Feedstock Conversion Rates'!$B$4)/12)</f>
        <v>42.96875</v>
      </c>
      <c r="CO335" s="106">
        <f t="shared" ref="CO335:CO398" si="360">SUM(CL335:CN335)</f>
        <v>188.48958333333334</v>
      </c>
      <c r="CP335" s="104">
        <f>('Renewable Diesel'!$AG344*'RD Feedstock Breakdown'!CP$3*'Feedstock Conversion Rates'!$B$3)/12</f>
        <v>6.0075000000000003</v>
      </c>
      <c r="CQ335" s="104">
        <f>('Renewable Diesel'!$AG344*'RD Feedstock Breakdown'!CQ$3*'Feedstock Conversion Rates'!$B$6)/12</f>
        <v>3.5175000000000001</v>
      </c>
      <c r="CR335" s="104">
        <f>('Renewable Diesel'!$AG344*'RD Feedstock Breakdown'!CR$3*'Feedstock Conversion Rates'!$B$4)/12</f>
        <v>2.8125</v>
      </c>
      <c r="CS335" s="106">
        <f t="shared" si="317"/>
        <v>12.3375</v>
      </c>
      <c r="CT335" s="104">
        <f>('Renewable Diesel'!AI344*'Feedstock Conversion Rates'!$B$4*'RD Feedstock Breakdown'!$CT$3)/12</f>
        <v>29.375</v>
      </c>
      <c r="CU335" s="106">
        <f t="shared" si="282"/>
        <v>29.375</v>
      </c>
      <c r="CV335" s="104">
        <f>('Renewable Diesel'!AN344*'Feedstock Conversion Rates'!$B$3*'RD Feedstock Breakdown'!$CV$3)/12</f>
        <v>0.50062499999999999</v>
      </c>
      <c r="CW335" s="106">
        <f t="shared" si="338"/>
        <v>0.50062499999999999</v>
      </c>
      <c r="CX335" s="104">
        <f>('Renewable Diesel'!AO344*'RD Feedstock Breakdown'!$CX$3*'Feedstock Conversion Rates'!$B$3)/12</f>
        <v>6.3412499999999996</v>
      </c>
      <c r="CY335" s="104">
        <f>('Renewable Diesel'!AO344*'RD Feedstock Breakdown'!$CY$3*'Feedstock Conversion Rates'!$B$6)/12</f>
        <v>7.4258333333333342</v>
      </c>
      <c r="CZ335" s="106">
        <f t="shared" si="318"/>
        <v>13.767083333333334</v>
      </c>
      <c r="DA335" s="104">
        <f>('Renewable Diesel'!$AP344*'RD Feedstock Breakdown'!DA$3*'Feedstock Conversion Rates'!$B$3)/12</f>
        <v>6.3412499999999996</v>
      </c>
      <c r="DB335" s="104">
        <f>('Renewable Diesel'!$AP344*'RD Feedstock Breakdown'!DB$3*'Feedstock Conversion Rates'!$B$8)/12</f>
        <v>7.421875</v>
      </c>
      <c r="DC335" s="106">
        <f t="shared" si="342"/>
        <v>13.763124999999999</v>
      </c>
      <c r="DD335" s="104">
        <f>('Renewable Diesel'!AQ344*$DD$3*'Feedstock Conversion Rates'!$B$14)/12</f>
        <v>3.1041666666666665</v>
      </c>
      <c r="DE335" s="106">
        <f t="shared" si="343"/>
        <v>3.1041666666666665</v>
      </c>
      <c r="DF335" s="104">
        <f>('Renewable Diesel'!AR344*'Feedstock Conversion Rates'!$B$4*$DF$3)/12</f>
        <v>75</v>
      </c>
      <c r="DG335" s="106">
        <f t="shared" si="319"/>
        <v>75</v>
      </c>
      <c r="DH335" s="104">
        <f>('Renewable Diesel'!AS344*'Feedstock Conversion Rates'!$B$4*$DH$3)/12</f>
        <v>75</v>
      </c>
      <c r="DI335" s="106">
        <f t="shared" si="323"/>
        <v>75</v>
      </c>
      <c r="DJ335" s="104">
        <f>('Renewable Diesel'!AT344*'Feedstock Conversion Rates'!$B$4*0.25)/12</f>
        <v>8.59375</v>
      </c>
      <c r="DK335" s="104">
        <f>('Renewable Diesel'!$AT344*'RD Feedstock Breakdown'!DK$3*'Feedstock Conversion Rates'!$B$3)/12*0.5</f>
        <v>9.1781249999999996</v>
      </c>
      <c r="DL335" s="104">
        <f>('Renewable Diesel'!$AT344*'RD Feedstock Breakdown'!$DL$3*'Feedstock Conversion Rates'!$B$6)/12</f>
        <v>10.747916666666669</v>
      </c>
      <c r="DM335" s="104">
        <f>('Renewable Diesel'!$AT344*'RD Feedstock Breakdown'!$DM$3*'Feedstock Conversion Rates'!$B$8)/12</f>
        <v>10.7421875</v>
      </c>
      <c r="DN335" s="106">
        <f t="shared" si="297"/>
        <v>39.26197916666667</v>
      </c>
      <c r="DP335" s="104">
        <f t="shared" si="345"/>
        <v>103.22025000000001</v>
      </c>
      <c r="DQ335" s="104">
        <f t="shared" si="346"/>
        <v>429.11776750000001</v>
      </c>
      <c r="DR335" s="104">
        <f t="shared" si="351"/>
        <v>1869.453125</v>
      </c>
      <c r="DS335" s="104">
        <f t="shared" si="283"/>
        <v>228.90125</v>
      </c>
      <c r="DT335" s="104">
        <f t="shared" si="347"/>
        <v>233.03923333333344</v>
      </c>
      <c r="DU335" s="104">
        <f t="shared" si="348"/>
        <v>345.40610000000004</v>
      </c>
      <c r="DV335" s="104">
        <f t="shared" si="352"/>
        <v>78.75</v>
      </c>
      <c r="DW335" s="104">
        <f t="shared" si="349"/>
        <v>3</v>
      </c>
      <c r="DX335" s="106">
        <f t="shared" si="353"/>
        <v>3290.8877258333337</v>
      </c>
      <c r="DY335" s="109">
        <f t="shared" si="340"/>
        <v>-5.631051180898794E-13</v>
      </c>
      <c r="EA335" s="110">
        <f t="shared" si="313"/>
        <v>3.1365472966374777E-2</v>
      </c>
      <c r="EB335" s="110">
        <f t="shared" si="313"/>
        <v>0.13039574827528849</v>
      </c>
      <c r="EC335" s="110">
        <f t="shared" si="313"/>
        <v>0.56806955470551901</v>
      </c>
      <c r="ED335" s="110">
        <f t="shared" si="308"/>
        <v>6.955608002154999E-2</v>
      </c>
      <c r="EE335" s="110">
        <f t="shared" si="308"/>
        <v>7.0813486435281583E-2</v>
      </c>
      <c r="EF335" s="110">
        <f t="shared" si="308"/>
        <v>0.10495833610140398</v>
      </c>
      <c r="EG335" s="110">
        <f t="shared" si="308"/>
        <v>2.3929713366340557E-2</v>
      </c>
      <c r="EH335" s="111">
        <f t="shared" si="354"/>
        <v>9.1160812824154505E-4</v>
      </c>
      <c r="EI335" s="110">
        <f t="shared" si="321"/>
        <v>0.99908839187175835</v>
      </c>
      <c r="EK335" s="132">
        <f>(EA335*'Renewable Diesel'!BF344*'Feedstock Conversion Rates'!B$2)+FB335</f>
        <v>485.20279802086452</v>
      </c>
      <c r="EL335" s="132">
        <f>(EB335*'Renewable Diesel'!BF344*'Feedstock Conversion Rates'!B$3)+FC335</f>
        <v>1900.8527575302771</v>
      </c>
      <c r="EM335" s="132">
        <f>(EC335*'Renewable Diesel'!BF344*'Feedstock Conversion Rates'!B$4)+FD335</f>
        <v>7753.8127309907031</v>
      </c>
      <c r="EN335" s="132">
        <f>(ED335*'Renewable Diesel'!BF344*'Feedstock Conversion Rates'!B$5)+FE335</f>
        <v>955.72859535180055</v>
      </c>
      <c r="EO335" s="132">
        <f>(EE335*'Renewable Diesel'!BF344*'Feedstock Conversion Rates'!B$6)+FF335</f>
        <v>1208.8470237429565</v>
      </c>
      <c r="EP335" s="132">
        <f>(EF335*'Renewable Diesel'!BF344*'Feedstock Conversion Rates'!B$7)+FG335</f>
        <v>1757.3460711393877</v>
      </c>
      <c r="EQ335" s="132">
        <f>(EG335*'Renewable Diesel'!BF344*'Feedstock Conversion Rates'!B$8)+FH335</f>
        <v>408.28300560191764</v>
      </c>
      <c r="ER335" s="132">
        <f>(EH335*'Renewable Diesel'!BF344*'Feedstock Conversion Rates'!B$9)+FI335</f>
        <v>15.346256464529223</v>
      </c>
      <c r="ES335" s="132">
        <f t="shared" si="355"/>
        <v>14485.419238842436</v>
      </c>
      <c r="ET335" s="133">
        <f>ES335/'Renewable Diesel'!BF344</f>
        <v>15.813669878133918</v>
      </c>
      <c r="EW335" s="73">
        <f t="shared" si="309"/>
        <v>13035.379327864115</v>
      </c>
      <c r="EX335" s="73">
        <f t="shared" si="310"/>
        <v>8644.6296905610125</v>
      </c>
      <c r="EY335" s="92">
        <f t="shared" si="341"/>
        <v>0.8998965865558064</v>
      </c>
      <c r="EZ335" s="92">
        <f t="shared" si="341"/>
        <v>0.59678146334767901</v>
      </c>
      <c r="FB335" s="102">
        <f>IF('Renewable Diesel'!$BG344&lt;1,0,(((('Renewable Diesel'!$BG344-1)*'Renewable Diesel'!$BF344)*'RD Feedstock Breakdown'!EA335)*'Feedstock Conversion Rates'!$B$2))</f>
        <v>240.98957952871771</v>
      </c>
      <c r="FC335" s="102">
        <f>IF('Renewable Diesel'!$BG344&lt;1,0,(((('Renewable Diesel'!$BG344-1)*'Renewable Diesel'!$BF344)*'RD Feedstock Breakdown'!EB335)*'Feedstock Conversion Rates'!$B$3))</f>
        <v>944.11184076380096</v>
      </c>
      <c r="FD335" s="102">
        <f>IF('Renewable Diesel'!$BG344&lt;1,0,(((('Renewable Diesel'!$BG344-1)*'Renewable Diesel'!$BF344)*'RD Feedstock Breakdown'!EC335)*'Feedstock Conversion Rates'!$B$4))</f>
        <v>3851.1485865452814</v>
      </c>
      <c r="FE335" s="102">
        <f>IF('Renewable Diesel'!$BG344&lt;1,0,(((('Renewable Diesel'!$BG344-1)*'Renewable Diesel'!$BF344)*'RD Feedstock Breakdown'!ED335)*'Feedstock Conversion Rates'!$B$5))</f>
        <v>474.6894149763296</v>
      </c>
      <c r="FF335" s="102">
        <f>IF('Renewable Diesel'!$BG344&lt;1,0,(((('Renewable Diesel'!$BG344-1)*'Renewable Diesel'!$BF344)*'RD Feedstock Breakdown'!EE335)*'Feedstock Conversion Rates'!$B$6))</f>
        <v>600.40778238428402</v>
      </c>
      <c r="FG335" s="102">
        <f>IF('Renewable Diesel'!$BG344&lt;1,0,(((('Renewable Diesel'!$BG344-1)*'Renewable Diesel'!$BF344)*'RD Feedstock Breakdown'!EF335)*'Feedstock Conversion Rates'!$B$7))</f>
        <v>872.83521961906285</v>
      </c>
      <c r="FH335" s="102">
        <f>IF('Renewable Diesel'!$BG344&lt;1,0,(((('Renewable Diesel'!$BG344-1)*'Renewable Diesel'!$BF344)*'RD Feedstock Breakdown'!EG335)*'Feedstock Conversion Rates'!$B$8))</f>
        <v>202.78520703109427</v>
      </c>
      <c r="FI335" s="102">
        <f>IF('Renewable Diesel'!$BG344&lt;1,0,(((('Renewable Diesel'!$BG344-1)*'Renewable Diesel'!$BF344)*'RD Feedstock Breakdown'!EH335)*'Feedstock Conversion Rates'!$B$9))</f>
        <v>7.6221487341211311</v>
      </c>
      <c r="FJ335" s="102">
        <f t="shared" si="311"/>
        <v>7194.5897795826913</v>
      </c>
      <c r="GD335" s="91">
        <f>'Renewable Diesel'!BB344*0.32</f>
        <v>0</v>
      </c>
      <c r="GE335" s="91">
        <f>'Renewable Diesel'!BC344</f>
        <v>475.97023215940487</v>
      </c>
      <c r="GF335" s="91">
        <f>'Renewable Diesel'!BD344</f>
        <v>0</v>
      </c>
      <c r="GG335" s="91">
        <f t="shared" si="295"/>
        <v>475.97023215940487</v>
      </c>
      <c r="GH335" s="124">
        <v>1</v>
      </c>
      <c r="GI335" s="102">
        <f>$GG335*EA335*'Feedstock Conversion Rates'!$B$2</f>
        <v>126.89676732155699</v>
      </c>
      <c r="GJ335" s="102">
        <f>$GG335*EB335*'Feedstock Conversion Rates'!$B$3</f>
        <v>497.13660157929894</v>
      </c>
      <c r="GK335" s="102">
        <f>$GG335*EC335*'Feedstock Conversion Rates'!$B$4</f>
        <v>2027.8814837690672</v>
      </c>
      <c r="GL335" s="102">
        <f>$GG335*ED335*'Feedstock Conversion Rates'!$B$5</f>
        <v>249.95500784746247</v>
      </c>
      <c r="GM335" s="102">
        <f>$GG335*EE335*'Feedstock Conversion Rates'!$B$6</f>
        <v>316.15394660743544</v>
      </c>
      <c r="GN335" s="102">
        <f>$GG335*EF335*'Feedstock Conversion Rates'!$B$7</f>
        <v>459.60480113150089</v>
      </c>
      <c r="GO335" s="102">
        <f>$GG335*EG335*'Feedstock Conversion Rates'!$B$8</f>
        <v>106.77966774829808</v>
      </c>
      <c r="GP335" s="102">
        <f>$GG335*EH335*'Feedstock Conversion Rates'!B$9</f>
        <v>4.0135595750471404</v>
      </c>
      <c r="GQ335" s="102">
        <f t="shared" si="356"/>
        <v>3788.4218355796675</v>
      </c>
      <c r="GR335" s="85">
        <f t="shared" si="293"/>
        <v>7.9593671612448773</v>
      </c>
      <c r="GT335" s="103">
        <f t="shared" si="333"/>
        <v>3.3495944440448122E-2</v>
      </c>
      <c r="GU335" s="103">
        <f t="shared" si="334"/>
        <v>0.13122524976240721</v>
      </c>
      <c r="GV335" s="103">
        <f t="shared" si="335"/>
        <v>0.53528397094638236</v>
      </c>
      <c r="GW335" s="103">
        <f t="shared" si="331"/>
        <v>6.5978663067550625E-2</v>
      </c>
      <c r="GX335" s="103">
        <f t="shared" si="331"/>
        <v>8.3452677745180573E-2</v>
      </c>
      <c r="GY335" s="103">
        <f t="shared" si="331"/>
        <v>0.12131827475362884</v>
      </c>
      <c r="GZ335" s="103">
        <f t="shared" si="331"/>
        <v>2.8185791441031467E-2</v>
      </c>
      <c r="HA335" s="103">
        <f t="shared" si="331"/>
        <v>1.0594278433708336E-3</v>
      </c>
    </row>
    <row r="336" spans="1:209" x14ac:dyDescent="0.25">
      <c r="A336" s="96">
        <v>50649</v>
      </c>
      <c r="B336" s="104">
        <f t="shared" si="336"/>
        <v>1.75</v>
      </c>
      <c r="C336" s="104">
        <f t="shared" si="314"/>
        <v>49</v>
      </c>
      <c r="D336" s="104">
        <f t="shared" si="337"/>
        <v>2</v>
      </c>
      <c r="E336" s="104">
        <f>('Renewable Diesel'!B345*E$3*'Feedstock Conversion Rates'!$B$2)/12+26+13-100+27.5+39</f>
        <v>95.43</v>
      </c>
      <c r="F336" s="104">
        <f>('Renewable Diesel'!B345*'RD Feedstock Breakdown'!F$3*'Feedstock Conversion Rates'!B$8)/12+77+23-10-12-115.75+24+8</f>
        <v>48.15625</v>
      </c>
      <c r="G336" s="104">
        <f>('Renewable Diesel'!B345*'RD Feedstock Breakdown'!G$3*'Feedstock Conversion Rates'!B$7)/12+116.75-39-57.5-145-31.5+32+70-40+10+2.5</f>
        <v>94.407000000000039</v>
      </c>
      <c r="H336" s="104">
        <f>('Renewable Diesel'!B345*'RD Feedstock Breakdown'!H$3*'Feedstock Conversion Rates'!B$3)/12+67+10+12+3-235+20+47-20+125</f>
        <v>205.40022499999998</v>
      </c>
      <c r="I336" s="106">
        <f t="shared" si="291"/>
        <v>496.14347500000002</v>
      </c>
      <c r="J336" s="104">
        <f t="shared" si="332"/>
        <v>4</v>
      </c>
      <c r="K336" s="104"/>
      <c r="L336" s="104">
        <v>1</v>
      </c>
      <c r="M336" s="104">
        <f>('Renewable Diesel'!C345*'RD Feedstock Breakdown'!M$3*'Feedstock Conversion Rates'!B$2)/12</f>
        <v>7.7902500000000003</v>
      </c>
      <c r="N336" s="104">
        <f>('Renewable Diesel'!C345*'RD Feedstock Breakdown'!N$3*'Feedstock Conversion Rates'!B$8)/12</f>
        <v>3.671875</v>
      </c>
      <c r="O336" s="104">
        <f>('Renewable Diesel'!C345*'RD Feedstock Breakdown'!O$3*'Feedstock Conversion Rates'!B$7)/12</f>
        <v>11.9991</v>
      </c>
      <c r="P336" s="104">
        <f>('Renewable Diesel'!C345*'RD Feedstock Breakdown'!P$3*'Feedstock Conversion Rates'!B$3)/12</f>
        <v>10.4470425</v>
      </c>
      <c r="Q336" s="106">
        <f t="shared" si="299"/>
        <v>38.908267500000001</v>
      </c>
      <c r="R336" s="104">
        <f>('Renewable Diesel'!D345*'RD Feedstock Breakdown'!R$3*'Feedstock Conversion Rates'!B$7)/12</f>
        <v>2.2999999999999998</v>
      </c>
      <c r="S336" s="106">
        <f t="shared" si="329"/>
        <v>2.2999999999999998</v>
      </c>
      <c r="T336" s="104">
        <f t="shared" si="300"/>
        <v>0.82499999999999929</v>
      </c>
      <c r="U336" s="104"/>
      <c r="V336" s="104">
        <f>('Renewable Diesel'!E345*'RD Feedstock Breakdown'!V$3*'Feedstock Conversion Rates'!B$6)/12-20+25</f>
        <v>49.250150000000012</v>
      </c>
      <c r="W336" s="104">
        <f>('Renewable Diesel'!E345*'RD Feedstock Breakdown'!W$3*'Feedstock Conversion Rates'!B$8)/12-6</f>
        <v>16.1796875</v>
      </c>
      <c r="X336" s="106">
        <f t="shared" si="357"/>
        <v>66.254837500000008</v>
      </c>
      <c r="Y336" s="104">
        <f t="shared" si="301"/>
        <v>98</v>
      </c>
      <c r="Z336" s="104">
        <f>('Renewable Diesel'!F345*'RD Feedstock Breakdown'!Z$3*'Feedstock Conversion Rates'!B$6)/12-142+15+5+20+5+5</f>
        <v>67.460000000000008</v>
      </c>
      <c r="AA336" s="104">
        <f>('Renewable Diesel'!F345*'RD Feedstock Breakdown'!AA$3*'Feedstock Conversion Rates'!B$7)/12+24</f>
        <v>128.26666666666665</v>
      </c>
      <c r="AB336" s="106">
        <f t="shared" si="320"/>
        <v>293.72666666666669</v>
      </c>
      <c r="AC336" s="104">
        <f>('Renewable Diesel'!G345*'RD Feedstock Breakdown'!AC$3*'Feedstock Conversion Rates'!B$5)/12</f>
        <v>11.796875</v>
      </c>
      <c r="AD336" s="104">
        <f>('Renewable Diesel'!G345*'RD Feedstock Breakdown'!AD$3*'Feedstock Conversion Rates'!B$4)/12</f>
        <v>5.859375</v>
      </c>
      <c r="AE336" s="104">
        <f>('Renewable Diesel'!G345*'RD Feedstock Breakdown'!AE$3*'Feedstock Conversion Rates'!B$6)/12</f>
        <v>7.3281250000000009</v>
      </c>
      <c r="AF336" s="106">
        <f t="shared" si="284"/>
        <v>24.984375</v>
      </c>
      <c r="AG336" s="104">
        <f t="shared" si="306"/>
        <v>148</v>
      </c>
      <c r="AH336" s="104"/>
      <c r="AI336" s="104">
        <f>('Renewable Diesel'!H345*'RD Feedstock Breakdown'!AI$3*'Feedstock Conversion Rates'!B$6)/12-130-20+51-49</f>
        <v>0.51666666666667993</v>
      </c>
      <c r="AJ336" s="106">
        <f t="shared" si="328"/>
        <v>148.51666666666668</v>
      </c>
      <c r="AK336" s="104">
        <f>('Renewable Diesel'!J345*'RD Feedstock Breakdown'!AK$3*'Feedstock Conversion Rates'!B$4)/12</f>
        <v>95.8125</v>
      </c>
      <c r="AL336" s="106">
        <f t="shared" si="330"/>
        <v>95.8125</v>
      </c>
      <c r="AM336" s="104">
        <f>('Renewable Diesel'!K345*'RD Feedstock Breakdown'!AM$3*'Feedstock Conversion Rates'!B$4)/12+5+15-10+10</f>
        <v>78.59375</v>
      </c>
      <c r="AN336" s="104">
        <f>('Renewable Diesel'!K345*'RD Feedstock Breakdown'!AN$3*'Feedstock Conversion Rates'!B$6)/12-5-15+10-10</f>
        <v>4.4270833333333321</v>
      </c>
      <c r="AO336" s="106">
        <f t="shared" si="350"/>
        <v>83.020833333333329</v>
      </c>
      <c r="AP336" s="104">
        <f>('Renewable Diesel'!L345*'RD Feedstock Breakdown'!AP$3*'Feedstock Conversion Rates'!B$4)/12+15-10+15</f>
        <v>78.59375</v>
      </c>
      <c r="AQ336" s="104">
        <f>('Renewable Diesel'!L345*'RD Feedstock Breakdown'!AQ$3*'Feedstock Conversion Rates'!B$6)/12-15+10-15</f>
        <v>4.4270833333333321</v>
      </c>
      <c r="AR336" s="106">
        <f t="shared" si="339"/>
        <v>83.020833333333329</v>
      </c>
      <c r="AS336" s="104">
        <f>('Renewable Diesel'!M345*'RD Feedstock Breakdown'!AS$3*'Feedstock Conversion Rates'!B$4)/12</f>
        <v>456.25</v>
      </c>
      <c r="AT336" s="104">
        <f>('Renewable Diesel'!M345*'RD Feedstock Breakdown'!AT$3*'Feedstock Conversion Rates'!B$5)/12</f>
        <v>0</v>
      </c>
      <c r="AU336" s="106">
        <f t="shared" si="290"/>
        <v>456.25</v>
      </c>
      <c r="AV336" s="104">
        <f>'Renewable Diesel'!N345*'RD Feedstock Breakdown'!$AV$3*'Feedstock Conversion Rates'!$B$4/12-15-10+25+25-22+25</f>
        <v>106.74999999999999</v>
      </c>
      <c r="AW336" s="104">
        <f>'Renewable Diesel'!N345*'RD Feedstock Breakdown'!$AW$3*'Feedstock Conversion Rates'!$B$7/12+15+10-25-25+22-25</f>
        <v>13.400000000000006</v>
      </c>
      <c r="AX336" s="106">
        <f t="shared" si="322"/>
        <v>120.14999999999999</v>
      </c>
      <c r="AY336" s="104">
        <f>('Renewable Diesel'!O345*'RD Feedstock Breakdown'!AY$3*'Feedstock Conversion Rates'!B$4)/12</f>
        <v>210.9375</v>
      </c>
      <c r="AZ336" s="104">
        <f>('Renewable Diesel'!O345*'RD Feedstock Breakdown'!AZ$3*'Feedstock Conversion Rates'!B$3)/12</f>
        <v>25.03125</v>
      </c>
      <c r="BA336" s="106">
        <f t="shared" si="302"/>
        <v>235.96875</v>
      </c>
      <c r="BB336" s="104">
        <f>('Renewable Diesel'!Q345*'RD Feedstock Breakdown'!BB$3*'Feedstock Conversion Rates'!B$4)/12</f>
        <v>11.156249999999998</v>
      </c>
      <c r="BC336" s="104">
        <f>('Renewable Diesel'!Q345*'RD Feedstock Breakdown'!BC$3*'Feedstock Conversion Rates'!B$3)/12</f>
        <v>1.4017500000000001</v>
      </c>
      <c r="BD336" s="104">
        <f>('Renewable Diesel'!Q345*'RD Feedstock Breakdown'!BD$3*'Feedstock Conversion Rates'!B$6)/12</f>
        <v>0.8207500000000002</v>
      </c>
      <c r="BE336" s="106">
        <f t="shared" si="359"/>
        <v>13.378749999999998</v>
      </c>
      <c r="BF336" s="104">
        <f>('Renewable Diesel'!R345*'RD Feedstock Breakdown'!BF$3*'Feedstock Conversion Rates'!B$4)/12</f>
        <v>62.5</v>
      </c>
      <c r="BG336" s="106">
        <f t="shared" si="344"/>
        <v>62.5</v>
      </c>
      <c r="BH336" s="104">
        <f>('Renewable Diesel'!T345*'RD Feedstock Breakdown'!BH$3*'Feedstock Conversion Rates'!B$7)/12</f>
        <v>27.599999999999998</v>
      </c>
      <c r="BI336" s="106">
        <f t="shared" si="327"/>
        <v>27.599999999999998</v>
      </c>
      <c r="BJ336" s="104">
        <f>('Renewable Diesel'!W345*'RD Feedstock Breakdown'!BJ$3*'Feedstock Conversion Rates'!B$4)/12</f>
        <v>7.5</v>
      </c>
      <c r="BK336" s="104">
        <f>('Renewable Diesel'!W345*'RD Feedstock Breakdown'!BK$3*'Feedstock Conversion Rates'!B$3)/12</f>
        <v>1.335</v>
      </c>
      <c r="BL336" s="104">
        <f>('Renewable Diesel'!W345*'RD Feedstock Breakdown'!BL$3*'Feedstock Conversion Rates'!B$6)/12</f>
        <v>3.1266666666666669</v>
      </c>
      <c r="BM336" s="104">
        <f>('Renewable Diesel'!W345*'RD Feedstock Breakdown'!BM$3*'Feedstock Conversion Rates'!B$7)/12</f>
        <v>1.5333333333333332</v>
      </c>
      <c r="BN336" s="106">
        <f t="shared" si="296"/>
        <v>13.495000000000001</v>
      </c>
      <c r="BO336" s="104">
        <f>('Renewable Diesel'!P345*'Feedstock Conversion Rates'!B$4)/12</f>
        <v>31.25</v>
      </c>
      <c r="BP336" s="106">
        <f t="shared" si="285"/>
        <v>31.25</v>
      </c>
      <c r="BQ336" s="104">
        <f>('Renewable Diesel'!$S345*'RD Feedstock Breakdown'!BQ$3*'Feedstock Conversion Rates'!B$4)/12+10+15-15</f>
        <v>38.125</v>
      </c>
      <c r="BR336" s="104">
        <f>('Renewable Diesel'!$S345*'RD Feedstock Breakdown'!BR$3*'Feedstock Conversion Rates'!B$7)/12-10-15+15</f>
        <v>1.5</v>
      </c>
      <c r="BS336" s="106">
        <f t="shared" si="307"/>
        <v>39.625</v>
      </c>
      <c r="BT336" s="106"/>
      <c r="BU336" s="104">
        <f>('Renewable Diesel'!Y345*'Feedstock Conversion Rates'!B$7)/12</f>
        <v>2.6833333333333331</v>
      </c>
      <c r="BV336" s="106">
        <f t="shared" si="281"/>
        <v>2.6833333333333331</v>
      </c>
      <c r="BW336" s="104">
        <f>('Renewable Diesel'!$Z345*'RD Feedstock Breakdown'!BW$3*'Feedstock Conversion Rates'!$B$4)/12-50</f>
        <v>21.875</v>
      </c>
      <c r="BX336" s="104">
        <f>('Renewable Diesel'!$Z345*'RD Feedstock Breakdown'!BX$3*'Feedstock Conversion Rates'!$B$5)/12</f>
        <v>7.2354166666666666</v>
      </c>
      <c r="BY336" s="104">
        <f>('Renewable Diesel'!$Z345*'RD Feedstock Breakdown'!BY$3*'Feedstock Conversion Rates'!$B$7)/12</f>
        <v>61.716666666666661</v>
      </c>
      <c r="BZ336" s="104">
        <f>('Renewable Diesel'!$Z345*'RD Feedstock Breakdown'!BZ$3*'Feedstock Conversion Rates'!$B$3)/12+50</f>
        <v>65.352499999999992</v>
      </c>
      <c r="CA336" s="106">
        <f t="shared" si="312"/>
        <v>156.17958333333331</v>
      </c>
      <c r="CB336" s="104">
        <f>('Renewable Diesel'!AA345*'Feedstock Conversion Rates'!B$4)/12</f>
        <v>191.25</v>
      </c>
      <c r="CC336" s="106">
        <f t="shared" si="298"/>
        <v>191.25</v>
      </c>
      <c r="CD336" s="104">
        <f>('Renewable Diesel'!$AB345*'RD Feedstock Breakdown'!CD$3*'Feedstock Conversion Rates'!$B$6)/12-15-5</f>
        <v>12.830000000000005</v>
      </c>
      <c r="CE336" s="104">
        <f>('Renewable Diesel'!$AB345*'RD Feedstock Breakdown'!CE$3*'Feedstock Conversion Rates'!$B$4)/12+15+5</f>
        <v>31.25</v>
      </c>
      <c r="CF336" s="106">
        <f t="shared" si="294"/>
        <v>44.080000000000005</v>
      </c>
      <c r="CG336" s="104">
        <f>('Renewable Diesel'!AD345*'Feedstock Conversion Rates'!B$4)/12</f>
        <v>112.5</v>
      </c>
      <c r="CH336" s="106">
        <f t="shared" si="358"/>
        <v>112.5</v>
      </c>
      <c r="CI336" s="104">
        <f>('Renewable Diesel'!$AE345*'RD Feedstock Breakdown'!CI$3*'Feedstock Conversion Rates'!$B$5)/12</f>
        <v>0.34604166666666664</v>
      </c>
      <c r="CJ336" s="104">
        <f>('Renewable Diesel'!$AE345*'RD Feedstock Breakdown'!CJ$3*'Feedstock Conversion Rates'!$B$4)/12</f>
        <v>0.34375</v>
      </c>
      <c r="CK336" s="106">
        <f t="shared" si="286"/>
        <v>0.68979166666666658</v>
      </c>
      <c r="CL336" s="104">
        <f>(((CL$3*'Renewable Diesel'!$AF345)*'Feedstock Conversion Rates'!$B$3)/12)</f>
        <v>91.78125</v>
      </c>
      <c r="CM336" s="104">
        <f>(((CM$3*'Renewable Diesel'!$AF345)*'Feedstock Conversion Rates'!$B$6)/12)</f>
        <v>53.739583333333336</v>
      </c>
      <c r="CN336" s="104">
        <f>(((CN$3*'Renewable Diesel'!$AF345)*'Feedstock Conversion Rates'!$B$4)/12)</f>
        <v>42.96875</v>
      </c>
      <c r="CO336" s="106">
        <f t="shared" si="360"/>
        <v>188.48958333333334</v>
      </c>
      <c r="CP336" s="104">
        <f>('Renewable Diesel'!$AG345*'RD Feedstock Breakdown'!CP$3*'Feedstock Conversion Rates'!$B$3)/12</f>
        <v>6.0075000000000003</v>
      </c>
      <c r="CQ336" s="104">
        <f>('Renewable Diesel'!$AG345*'RD Feedstock Breakdown'!CQ$3*'Feedstock Conversion Rates'!$B$6)/12</f>
        <v>3.5175000000000001</v>
      </c>
      <c r="CR336" s="104">
        <f>('Renewable Diesel'!$AG345*'RD Feedstock Breakdown'!CR$3*'Feedstock Conversion Rates'!$B$4)/12</f>
        <v>2.8125</v>
      </c>
      <c r="CS336" s="106">
        <f t="shared" si="317"/>
        <v>12.3375</v>
      </c>
      <c r="CT336" s="104">
        <f>('Renewable Diesel'!AI345*'Feedstock Conversion Rates'!$B$4*'RD Feedstock Breakdown'!$CT$3)/12</f>
        <v>29.375</v>
      </c>
      <c r="CU336" s="106">
        <f t="shared" si="282"/>
        <v>29.375</v>
      </c>
      <c r="CV336" s="104">
        <f>('Renewable Diesel'!AN345*'Feedstock Conversion Rates'!$B$3*'RD Feedstock Breakdown'!$CV$3)/12</f>
        <v>0.50062499999999999</v>
      </c>
      <c r="CW336" s="106">
        <f t="shared" si="338"/>
        <v>0.50062499999999999</v>
      </c>
      <c r="CX336" s="104">
        <f>('Renewable Diesel'!AO345*'RD Feedstock Breakdown'!$CX$3*'Feedstock Conversion Rates'!$B$3)/12</f>
        <v>6.3412499999999996</v>
      </c>
      <c r="CY336" s="104">
        <f>('Renewable Diesel'!AO345*'RD Feedstock Breakdown'!$CY$3*'Feedstock Conversion Rates'!$B$6)/12</f>
        <v>7.4258333333333342</v>
      </c>
      <c r="CZ336" s="106">
        <f t="shared" si="318"/>
        <v>13.767083333333334</v>
      </c>
      <c r="DA336" s="104">
        <f>('Renewable Diesel'!$AP345*'RD Feedstock Breakdown'!DA$3*'Feedstock Conversion Rates'!$B$3)/12</f>
        <v>6.3412499999999996</v>
      </c>
      <c r="DB336" s="104">
        <f>('Renewable Diesel'!$AP345*'RD Feedstock Breakdown'!DB$3*'Feedstock Conversion Rates'!$B$8)/12</f>
        <v>7.421875</v>
      </c>
      <c r="DC336" s="106">
        <f t="shared" si="342"/>
        <v>13.763124999999999</v>
      </c>
      <c r="DD336" s="104">
        <f>('Renewable Diesel'!AQ345*$DD$3*'Feedstock Conversion Rates'!$B$14)/12</f>
        <v>3.1041666666666665</v>
      </c>
      <c r="DE336" s="106">
        <f t="shared" si="343"/>
        <v>3.1041666666666665</v>
      </c>
      <c r="DF336" s="104">
        <f>('Renewable Diesel'!AR345*'Feedstock Conversion Rates'!$B$4*$DF$3)/12</f>
        <v>75</v>
      </c>
      <c r="DG336" s="106">
        <f t="shared" si="319"/>
        <v>75</v>
      </c>
      <c r="DH336" s="104">
        <f>('Renewable Diesel'!AS345*'Feedstock Conversion Rates'!$B$4*$DH$3)/12</f>
        <v>75</v>
      </c>
      <c r="DI336" s="106">
        <f t="shared" si="323"/>
        <v>75</v>
      </c>
      <c r="DJ336" s="104">
        <f>('Renewable Diesel'!AT345*'Feedstock Conversion Rates'!$B$4*0.25)/12</f>
        <v>8.59375</v>
      </c>
      <c r="DK336" s="104">
        <f>('Renewable Diesel'!$AT345*'RD Feedstock Breakdown'!DK$3*'Feedstock Conversion Rates'!$B$3)/12*0.5</f>
        <v>9.1781249999999996</v>
      </c>
      <c r="DL336" s="104">
        <f>('Renewable Diesel'!$AT345*'RD Feedstock Breakdown'!$DL$3*'Feedstock Conversion Rates'!$B$6)/12</f>
        <v>10.747916666666669</v>
      </c>
      <c r="DM336" s="104">
        <f>('Renewable Diesel'!$AT345*'RD Feedstock Breakdown'!$DM$3*'Feedstock Conversion Rates'!$B$8)/12</f>
        <v>10.7421875</v>
      </c>
      <c r="DN336" s="106">
        <f t="shared" si="297"/>
        <v>39.26197916666667</v>
      </c>
      <c r="DP336" s="104">
        <f t="shared" si="345"/>
        <v>103.22025000000001</v>
      </c>
      <c r="DQ336" s="104">
        <f t="shared" si="346"/>
        <v>429.11776750000001</v>
      </c>
      <c r="DR336" s="104">
        <f t="shared" si="351"/>
        <v>1869.453125</v>
      </c>
      <c r="DS336" s="104">
        <f t="shared" si="283"/>
        <v>228.90125</v>
      </c>
      <c r="DT336" s="104">
        <f t="shared" si="347"/>
        <v>233.03923333333344</v>
      </c>
      <c r="DU336" s="104">
        <f t="shared" si="348"/>
        <v>345.40610000000004</v>
      </c>
      <c r="DV336" s="104">
        <f t="shared" si="352"/>
        <v>78.75</v>
      </c>
      <c r="DW336" s="104">
        <f t="shared" si="349"/>
        <v>3</v>
      </c>
      <c r="DX336" s="106">
        <f t="shared" si="353"/>
        <v>3290.8877258333337</v>
      </c>
      <c r="DY336" s="109">
        <f t="shared" si="340"/>
        <v>-5.631051180898794E-13</v>
      </c>
      <c r="EA336" s="110">
        <f t="shared" si="313"/>
        <v>3.1365472966374777E-2</v>
      </c>
      <c r="EB336" s="110">
        <f t="shared" si="313"/>
        <v>0.13039574827528849</v>
      </c>
      <c r="EC336" s="110">
        <f t="shared" si="313"/>
        <v>0.56806955470551901</v>
      </c>
      <c r="ED336" s="110">
        <f t="shared" si="308"/>
        <v>6.955608002154999E-2</v>
      </c>
      <c r="EE336" s="110">
        <f t="shared" si="308"/>
        <v>7.0813486435281583E-2</v>
      </c>
      <c r="EF336" s="110">
        <f t="shared" si="308"/>
        <v>0.10495833610140398</v>
      </c>
      <c r="EG336" s="110">
        <f t="shared" si="308"/>
        <v>2.3929713366340557E-2</v>
      </c>
      <c r="EH336" s="111">
        <f t="shared" si="354"/>
        <v>9.1160812824154505E-4</v>
      </c>
      <c r="EI336" s="110">
        <f t="shared" si="321"/>
        <v>0.99908839187175835</v>
      </c>
      <c r="EK336" s="132">
        <f>(EA336*'Renewable Diesel'!BF345*'Feedstock Conversion Rates'!B$2)+FB336</f>
        <v>609.87863129914365</v>
      </c>
      <c r="EL336" s="132">
        <f>(EB336*'Renewable Diesel'!BF345*'Feedstock Conversion Rates'!B$3)+FC336</f>
        <v>2389.2885259369773</v>
      </c>
      <c r="EM336" s="132">
        <f>(EC336*'Renewable Diesel'!BF345*'Feedstock Conversion Rates'!B$4)+FD336</f>
        <v>9746.2024436288084</v>
      </c>
      <c r="EN336" s="132">
        <f>(ED336*'Renewable Diesel'!BF345*'Feedstock Conversion Rates'!B$5)+FE336</f>
        <v>1201.308916610049</v>
      </c>
      <c r="EO336" s="132">
        <f>(EE336*'Renewable Diesel'!BF345*'Feedstock Conversion Rates'!B$6)+FF336</f>
        <v>1519.4676768098416</v>
      </c>
      <c r="EP336" s="132">
        <f>(EF336*'Renewable Diesel'!BF345*'Feedstock Conversion Rates'!B$7)+FG336</f>
        <v>2208.906916772004</v>
      </c>
      <c r="EQ336" s="132">
        <f>(EG336*'Renewable Diesel'!BF345*'Feedstock Conversion Rates'!B$8)+FH336</f>
        <v>513.19382669448373</v>
      </c>
      <c r="ER336" s="132">
        <f>(EH336*'Renewable Diesel'!BF345*'Feedstock Conversion Rates'!B$9)+FI336</f>
        <v>19.289571136706943</v>
      </c>
      <c r="ES336" s="132">
        <f t="shared" si="355"/>
        <v>18207.536508888013</v>
      </c>
      <c r="ET336" s="133">
        <f>ES336/'Renewable Diesel'!BF345</f>
        <v>17.729346525048893</v>
      </c>
      <c r="EW336" s="73">
        <f t="shared" si="309"/>
        <v>16980.275169295757</v>
      </c>
      <c r="EX336" s="73">
        <f t="shared" si="310"/>
        <v>11260.75330762482</v>
      </c>
      <c r="EY336" s="92">
        <f t="shared" si="341"/>
        <v>0.93259596986153681</v>
      </c>
      <c r="EZ336" s="92">
        <f t="shared" si="341"/>
        <v>0.61846660596439729</v>
      </c>
      <c r="FB336" s="102">
        <f>IF('Renewable Diesel'!$BG345&lt;1,0,(((('Renewable Diesel'!$BG345-1)*'Renewable Diesel'!$BF345)*'RD Feedstock Breakdown'!EA336)*'Feedstock Conversion Rates'!$B$2))</f>
        <v>336.08128950490129</v>
      </c>
      <c r="FC336" s="102">
        <f>IF('Renewable Diesel'!$BG345&lt;1,0,(((('Renewable Diesel'!$BG345-1)*'Renewable Diesel'!$BF345)*'RD Feedstock Breakdown'!EB336)*'Feedstock Conversion Rates'!$B$3))</f>
        <v>1316.6474894941798</v>
      </c>
      <c r="FD336" s="102">
        <f>IF('Renewable Diesel'!$BG345&lt;1,0,(((('Renewable Diesel'!$BG345-1)*'Renewable Diesel'!$BF345)*'RD Feedstock Breakdown'!EC336)*'Feedstock Conversion Rates'!$B$4))</f>
        <v>5370.7674231071051</v>
      </c>
      <c r="FE336" s="102">
        <f>IF('Renewable Diesel'!$BG345&lt;1,0,(((('Renewable Diesel'!$BG345-1)*'Renewable Diesel'!$BF345)*'RD Feedstock Breakdown'!ED336)*'Feedstock Conversion Rates'!$B$5))</f>
        <v>661.99638594979581</v>
      </c>
      <c r="FF336" s="102">
        <f>IF('Renewable Diesel'!$BG345&lt;1,0,(((('Renewable Diesel'!$BG345-1)*'Renewable Diesel'!$BF345)*'RD Feedstock Breakdown'!EE336)*'Feedstock Conversion Rates'!$B$6))</f>
        <v>837.32177186707929</v>
      </c>
      <c r="FG336" s="102">
        <f>IF('Renewable Diesel'!$BG345&lt;1,0,(((('Renewable Diesel'!$BG345-1)*'Renewable Diesel'!$BF345)*'RD Feedstock Breakdown'!EF336)*'Feedstock Conversion Rates'!$B$7))</f>
        <v>1217.2459353161028</v>
      </c>
      <c r="FH336" s="102">
        <f>IF('Renewable Diesel'!$BG345&lt;1,0,(((('Renewable Diesel'!$BG345-1)*'Renewable Diesel'!$BF345)*'RD Feedstock Breakdown'!EG336)*'Feedstock Conversion Rates'!$B$8))</f>
        <v>282.80191203623025</v>
      </c>
      <c r="FI336" s="102">
        <f>IF('Renewable Diesel'!$BG345&lt;1,0,(((('Renewable Diesel'!$BG345-1)*'Renewable Diesel'!$BF345)*'RD Feedstock Breakdown'!EH336)*'Feedstock Conversion Rates'!$B$9))</f>
        <v>10.62976075717132</v>
      </c>
      <c r="FJ336" s="102">
        <f t="shared" si="311"/>
        <v>10033.491968032564</v>
      </c>
      <c r="GD336" s="91">
        <f>'Renewable Diesel'!BB345*0.32</f>
        <v>0</v>
      </c>
      <c r="GE336" s="91">
        <f>'Renewable Diesel'!BC345</f>
        <v>578.91572147631052</v>
      </c>
      <c r="GF336" s="91">
        <f>'Renewable Diesel'!BD345</f>
        <v>0</v>
      </c>
      <c r="GG336" s="91">
        <f t="shared" si="295"/>
        <v>578.91572147631052</v>
      </c>
      <c r="GH336" s="124">
        <v>1</v>
      </c>
      <c r="GI336" s="102">
        <f>$GG336*EA336*'Feedstock Conversion Rates'!$B$2</f>
        <v>154.34270600008384</v>
      </c>
      <c r="GJ336" s="102">
        <f>$GG336*EB336*'Feedstock Conversion Rates'!$B$3</f>
        <v>604.66007100875834</v>
      </c>
      <c r="GK336" s="102">
        <f>$GG336*EC336*'Feedstock Conversion Rates'!$B$4</f>
        <v>2466.4829708330399</v>
      </c>
      <c r="GL336" s="102">
        <f>$GG336*ED336*'Feedstock Conversion Rates'!$B$5</f>
        <v>304.01666727798403</v>
      </c>
      <c r="GM336" s="102">
        <f>$GG336*EE336*'Feedstock Conversion Rates'!$B$6</f>
        <v>384.53348073358063</v>
      </c>
      <c r="GN336" s="102">
        <f>$GG336*EF336*'Feedstock Conversion Rates'!$B$7</f>
        <v>559.01068399569579</v>
      </c>
      <c r="GO336" s="102">
        <f>$GG336*EG336*'Feedstock Conversion Rates'!$B$8</f>
        <v>129.87456823309083</v>
      </c>
      <c r="GP336" s="102">
        <f>$GG336*EH336*'Feedstock Conversion Rates'!B$9</f>
        <v>4.8816345646977632</v>
      </c>
      <c r="GQ336" s="102">
        <f t="shared" si="356"/>
        <v>4607.8027826469315</v>
      </c>
      <c r="GR336" s="85">
        <f t="shared" si="293"/>
        <v>7.9593671612448773</v>
      </c>
      <c r="GT336" s="103">
        <f t="shared" si="333"/>
        <v>3.3495944440448122E-2</v>
      </c>
      <c r="GU336" s="103">
        <f t="shared" si="334"/>
        <v>0.13122524976240718</v>
      </c>
      <c r="GV336" s="103">
        <f t="shared" si="335"/>
        <v>0.53528397094638247</v>
      </c>
      <c r="GW336" s="103">
        <f t="shared" si="331"/>
        <v>6.5978663067550611E-2</v>
      </c>
      <c r="GX336" s="103">
        <f t="shared" si="331"/>
        <v>8.3452677745180573E-2</v>
      </c>
      <c r="GY336" s="103">
        <f t="shared" si="331"/>
        <v>0.12131827475362884</v>
      </c>
      <c r="GZ336" s="103">
        <f t="shared" si="331"/>
        <v>2.8185791441031467E-2</v>
      </c>
      <c r="HA336" s="103">
        <f t="shared" si="331"/>
        <v>1.0594278433708336E-3</v>
      </c>
    </row>
    <row r="337" spans="1:209" x14ac:dyDescent="0.25">
      <c r="A337" s="96">
        <v>50679</v>
      </c>
      <c r="B337" s="104">
        <f>115.75+145+100+235+31.5-21-287-20-28-32-70-39-47+40+20-3-10-25-1</f>
        <v>104.25</v>
      </c>
      <c r="C337" s="104">
        <f t="shared" si="314"/>
        <v>49</v>
      </c>
      <c r="D337" s="104">
        <f>1+1</f>
        <v>2</v>
      </c>
      <c r="E337" s="104">
        <f>('Renewable Diesel'!B346*E$3*'Feedstock Conversion Rates'!$B$2)/12+26+13-100+27.5+39</f>
        <v>95.43</v>
      </c>
      <c r="F337" s="104">
        <f>('Renewable Diesel'!B346*'RD Feedstock Breakdown'!F$3*'Feedstock Conversion Rates'!B$8)/12+77+23-10-12-115.75+24+8</f>
        <v>48.15625</v>
      </c>
      <c r="G337" s="104">
        <f>('Renewable Diesel'!B346*'RD Feedstock Breakdown'!G$3*'Feedstock Conversion Rates'!B$7)/12+116.75-39-57.5-145-31.5+32+70-40+10+25</f>
        <v>116.90700000000004</v>
      </c>
      <c r="H337" s="104">
        <f>('Renewable Diesel'!B346*'RD Feedstock Breakdown'!H$3*'Feedstock Conversion Rates'!B$3)/12+67+10+12+3-235+20+47-20</f>
        <v>80.400224999999978</v>
      </c>
      <c r="I337" s="106">
        <f t="shared" si="291"/>
        <v>496.14347500000002</v>
      </c>
      <c r="J337" s="104">
        <f t="shared" si="332"/>
        <v>4</v>
      </c>
      <c r="K337" s="104"/>
      <c r="L337" s="104">
        <v>1</v>
      </c>
      <c r="M337" s="104">
        <f>('Renewable Diesel'!C346*'RD Feedstock Breakdown'!M$3*'Feedstock Conversion Rates'!B$2)/12</f>
        <v>7.7902500000000003</v>
      </c>
      <c r="N337" s="104">
        <f>('Renewable Diesel'!C346*'RD Feedstock Breakdown'!N$3*'Feedstock Conversion Rates'!B$8)/12</f>
        <v>3.671875</v>
      </c>
      <c r="O337" s="104">
        <f>('Renewable Diesel'!C346*'RD Feedstock Breakdown'!O$3*'Feedstock Conversion Rates'!B$7)/12</f>
        <v>11.9991</v>
      </c>
      <c r="P337" s="104">
        <f>('Renewable Diesel'!C346*'RD Feedstock Breakdown'!P$3*'Feedstock Conversion Rates'!B$3)/12</f>
        <v>10.4470425</v>
      </c>
      <c r="Q337" s="106">
        <f t="shared" si="299"/>
        <v>38.908267500000001</v>
      </c>
      <c r="R337" s="104">
        <f>('Renewable Diesel'!D346*'RD Feedstock Breakdown'!R$3*'Feedstock Conversion Rates'!B$7)/12</f>
        <v>2.2999999999999998</v>
      </c>
      <c r="S337" s="106">
        <f t="shared" si="329"/>
        <v>2.2999999999999998</v>
      </c>
      <c r="T337" s="104">
        <f t="shared" si="300"/>
        <v>0.82499999999999929</v>
      </c>
      <c r="U337" s="104"/>
      <c r="V337" s="104">
        <f>('Renewable Diesel'!E346*'RD Feedstock Breakdown'!V$3*'Feedstock Conversion Rates'!B$6)/12-20+25</f>
        <v>49.250150000000012</v>
      </c>
      <c r="W337" s="104">
        <f>('Renewable Diesel'!E346*'RD Feedstock Breakdown'!W$3*'Feedstock Conversion Rates'!B$8)/12-6</f>
        <v>16.1796875</v>
      </c>
      <c r="X337" s="106">
        <f t="shared" si="357"/>
        <v>66.254837500000008</v>
      </c>
      <c r="Y337" s="104">
        <f t="shared" si="301"/>
        <v>98</v>
      </c>
      <c r="Z337" s="104">
        <f>('Renewable Diesel'!F346*'RD Feedstock Breakdown'!Z$3*'Feedstock Conversion Rates'!B$6)/12-142+15+5+20+5+5</f>
        <v>67.460000000000008</v>
      </c>
      <c r="AA337" s="104">
        <f>('Renewable Diesel'!F346*'RD Feedstock Breakdown'!AA$3*'Feedstock Conversion Rates'!B$7)/12+24</f>
        <v>128.26666666666665</v>
      </c>
      <c r="AB337" s="106">
        <f t="shared" si="320"/>
        <v>293.72666666666669</v>
      </c>
      <c r="AC337" s="104">
        <f>('Renewable Diesel'!G346*'RD Feedstock Breakdown'!AC$3*'Feedstock Conversion Rates'!B$5)/12</f>
        <v>11.796875</v>
      </c>
      <c r="AD337" s="104">
        <f>('Renewable Diesel'!G346*'RD Feedstock Breakdown'!AD$3*'Feedstock Conversion Rates'!B$4)/12</f>
        <v>5.859375</v>
      </c>
      <c r="AE337" s="104">
        <f>('Renewable Diesel'!G346*'RD Feedstock Breakdown'!AE$3*'Feedstock Conversion Rates'!B$6)/12</f>
        <v>7.3281250000000009</v>
      </c>
      <c r="AF337" s="106">
        <f t="shared" si="284"/>
        <v>24.984375</v>
      </c>
      <c r="AG337" s="104">
        <f t="shared" si="306"/>
        <v>148</v>
      </c>
      <c r="AH337" s="104"/>
      <c r="AI337" s="104">
        <f>('Renewable Diesel'!H346*'RD Feedstock Breakdown'!AI$3*'Feedstock Conversion Rates'!B$6)/12-130-20+51-49</f>
        <v>0.51666666666667993</v>
      </c>
      <c r="AJ337" s="106">
        <f t="shared" si="328"/>
        <v>148.51666666666668</v>
      </c>
      <c r="AK337" s="104">
        <f>('Renewable Diesel'!J346*'RD Feedstock Breakdown'!AK$3*'Feedstock Conversion Rates'!B$4)/12</f>
        <v>95.8125</v>
      </c>
      <c r="AL337" s="106">
        <f t="shared" si="330"/>
        <v>95.8125</v>
      </c>
      <c r="AM337" s="104">
        <f>('Renewable Diesel'!K346*'RD Feedstock Breakdown'!AM$3*'Feedstock Conversion Rates'!B$4)/12+5+15-10+10</f>
        <v>78.59375</v>
      </c>
      <c r="AN337" s="104">
        <f>('Renewable Diesel'!K346*'RD Feedstock Breakdown'!AN$3*'Feedstock Conversion Rates'!B$6)/12-5-15+10-10</f>
        <v>4.4270833333333321</v>
      </c>
      <c r="AO337" s="106">
        <f t="shared" si="350"/>
        <v>83.020833333333329</v>
      </c>
      <c r="AP337" s="104">
        <f>('Renewable Diesel'!L346*'RD Feedstock Breakdown'!AP$3*'Feedstock Conversion Rates'!B$4)/12+15-10+15</f>
        <v>78.59375</v>
      </c>
      <c r="AQ337" s="104">
        <f>('Renewable Diesel'!L346*'RD Feedstock Breakdown'!AQ$3*'Feedstock Conversion Rates'!B$6)/12-15+10-15</f>
        <v>4.4270833333333321</v>
      </c>
      <c r="AR337" s="106">
        <f t="shared" si="339"/>
        <v>83.020833333333329</v>
      </c>
      <c r="AS337" s="104">
        <f>('Renewable Diesel'!M346*'RD Feedstock Breakdown'!AS$3*'Feedstock Conversion Rates'!B$4)/12</f>
        <v>456.25</v>
      </c>
      <c r="AT337" s="104">
        <f>('Renewable Diesel'!M346*'RD Feedstock Breakdown'!AT$3*'Feedstock Conversion Rates'!B$5)/12</f>
        <v>0</v>
      </c>
      <c r="AU337" s="106">
        <f t="shared" si="290"/>
        <v>456.25</v>
      </c>
      <c r="AV337" s="104">
        <f>'Renewable Diesel'!N346*'RD Feedstock Breakdown'!$AV$3*'Feedstock Conversion Rates'!$B$4/12-15-10+25+25-22+25</f>
        <v>106.74999999999999</v>
      </c>
      <c r="AW337" s="104">
        <f>'Renewable Diesel'!N346*'RD Feedstock Breakdown'!$AW$3*'Feedstock Conversion Rates'!$B$7/12+15+10-25-25+22-25</f>
        <v>13.400000000000006</v>
      </c>
      <c r="AX337" s="106">
        <f t="shared" si="322"/>
        <v>120.14999999999999</v>
      </c>
      <c r="AY337" s="104">
        <f>('Renewable Diesel'!O346*'RD Feedstock Breakdown'!AY$3*'Feedstock Conversion Rates'!B$4)/12</f>
        <v>210.9375</v>
      </c>
      <c r="AZ337" s="104">
        <f>('Renewable Diesel'!O346*'RD Feedstock Breakdown'!AZ$3*'Feedstock Conversion Rates'!B$3)/12</f>
        <v>25.03125</v>
      </c>
      <c r="BA337" s="106">
        <f t="shared" si="302"/>
        <v>235.96875</v>
      </c>
      <c r="BB337" s="104">
        <f>('Renewable Diesel'!Q346*'RD Feedstock Breakdown'!BB$3*'Feedstock Conversion Rates'!B$4)/12</f>
        <v>11.156249999999998</v>
      </c>
      <c r="BC337" s="104">
        <f>('Renewable Diesel'!Q346*'RD Feedstock Breakdown'!BC$3*'Feedstock Conversion Rates'!B$3)/12</f>
        <v>1.4017500000000001</v>
      </c>
      <c r="BD337" s="104">
        <f>('Renewable Diesel'!Q346*'RD Feedstock Breakdown'!BD$3*'Feedstock Conversion Rates'!B$6)/12</f>
        <v>0.8207500000000002</v>
      </c>
      <c r="BE337" s="106">
        <f t="shared" si="359"/>
        <v>13.378749999999998</v>
      </c>
      <c r="BF337" s="104">
        <f>('Renewable Diesel'!R346*'RD Feedstock Breakdown'!BF$3*'Feedstock Conversion Rates'!B$4)/12</f>
        <v>62.5</v>
      </c>
      <c r="BG337" s="106">
        <f t="shared" si="344"/>
        <v>62.5</v>
      </c>
      <c r="BH337" s="104">
        <f>('Renewable Diesel'!T346*'RD Feedstock Breakdown'!BH$3*'Feedstock Conversion Rates'!B$7)/12</f>
        <v>27.599999999999998</v>
      </c>
      <c r="BI337" s="106">
        <f t="shared" si="327"/>
        <v>27.599999999999998</v>
      </c>
      <c r="BJ337" s="104">
        <f>('Renewable Diesel'!W346*'RD Feedstock Breakdown'!BJ$3*'Feedstock Conversion Rates'!B$4)/12</f>
        <v>7.5</v>
      </c>
      <c r="BK337" s="104">
        <f>('Renewable Diesel'!W346*'RD Feedstock Breakdown'!BK$3*'Feedstock Conversion Rates'!B$3)/12</f>
        <v>1.335</v>
      </c>
      <c r="BL337" s="104">
        <f>('Renewable Diesel'!W346*'RD Feedstock Breakdown'!BL$3*'Feedstock Conversion Rates'!B$6)/12</f>
        <v>3.1266666666666669</v>
      </c>
      <c r="BM337" s="104">
        <f>('Renewable Diesel'!W346*'RD Feedstock Breakdown'!BM$3*'Feedstock Conversion Rates'!B$7)/12</f>
        <v>1.5333333333333332</v>
      </c>
      <c r="BN337" s="106">
        <f t="shared" si="296"/>
        <v>13.495000000000001</v>
      </c>
      <c r="BO337" s="104">
        <f>('Renewable Diesel'!P346*'Feedstock Conversion Rates'!B$4)/12</f>
        <v>31.25</v>
      </c>
      <c r="BP337" s="106">
        <f t="shared" si="285"/>
        <v>31.25</v>
      </c>
      <c r="BQ337" s="104">
        <f>('Renewable Diesel'!$S346*'RD Feedstock Breakdown'!BQ$3*'Feedstock Conversion Rates'!B$4)/12+10+15-15</f>
        <v>38.125</v>
      </c>
      <c r="BR337" s="104">
        <f>('Renewable Diesel'!$S346*'RD Feedstock Breakdown'!BR$3*'Feedstock Conversion Rates'!B$7)/12-10-15+15</f>
        <v>1.5</v>
      </c>
      <c r="BS337" s="106">
        <f t="shared" si="307"/>
        <v>39.625</v>
      </c>
      <c r="BT337" s="106"/>
      <c r="BU337" s="104">
        <f>('Renewable Diesel'!Y346*'Feedstock Conversion Rates'!B$7)/12</f>
        <v>2.6833333333333331</v>
      </c>
      <c r="BV337" s="106">
        <f t="shared" ref="BV337:BV400" si="361">BU337</f>
        <v>2.6833333333333331</v>
      </c>
      <c r="BW337" s="104">
        <f>('Renewable Diesel'!$Z346*'RD Feedstock Breakdown'!BW$3*'Feedstock Conversion Rates'!$B$4)/12-180+110</f>
        <v>1.875</v>
      </c>
      <c r="BX337" s="104">
        <f>('Renewable Diesel'!$Z346*'RD Feedstock Breakdown'!BX$3*'Feedstock Conversion Rates'!$B$5)/12</f>
        <v>7.2354166666666666</v>
      </c>
      <c r="BY337" s="104">
        <f>('Renewable Diesel'!$Z346*'RD Feedstock Breakdown'!BY$3*'Feedstock Conversion Rates'!$B$7)/12</f>
        <v>61.716666666666661</v>
      </c>
      <c r="BZ337" s="104">
        <f>('Renewable Diesel'!$Z346*'RD Feedstock Breakdown'!BZ$3*'Feedstock Conversion Rates'!$B$3)/12+180-110</f>
        <v>85.352499999999992</v>
      </c>
      <c r="CA337" s="106">
        <f t="shared" si="312"/>
        <v>156.17958333333331</v>
      </c>
      <c r="CB337" s="104">
        <f>('Renewable Diesel'!AA346*'Feedstock Conversion Rates'!B$4)/12</f>
        <v>191.25</v>
      </c>
      <c r="CC337" s="106">
        <f t="shared" si="298"/>
        <v>191.25</v>
      </c>
      <c r="CD337" s="104">
        <f>('Renewable Diesel'!$AB346*'RD Feedstock Breakdown'!CD$3*'Feedstock Conversion Rates'!$B$6)/12-15-5</f>
        <v>12.830000000000005</v>
      </c>
      <c r="CE337" s="104">
        <f>('Renewable Diesel'!$AB346*'RD Feedstock Breakdown'!CE$3*'Feedstock Conversion Rates'!$B$4)/12+15+5</f>
        <v>31.25</v>
      </c>
      <c r="CF337" s="106">
        <f t="shared" si="294"/>
        <v>44.080000000000005</v>
      </c>
      <c r="CG337" s="104">
        <f>('Renewable Diesel'!AD346*'Feedstock Conversion Rates'!B$4)/12</f>
        <v>112.5</v>
      </c>
      <c r="CH337" s="106">
        <f t="shared" si="358"/>
        <v>112.5</v>
      </c>
      <c r="CI337" s="104">
        <f>('Renewable Diesel'!$AE346*'RD Feedstock Breakdown'!CI$3*'Feedstock Conversion Rates'!$B$5)/12</f>
        <v>0.34604166666666664</v>
      </c>
      <c r="CJ337" s="104">
        <f>('Renewable Diesel'!$AE346*'RD Feedstock Breakdown'!CJ$3*'Feedstock Conversion Rates'!$B$4)/12</f>
        <v>0.34375</v>
      </c>
      <c r="CK337" s="106">
        <f t="shared" si="286"/>
        <v>0.68979166666666658</v>
      </c>
      <c r="CL337" s="104">
        <f>(((CL$3*'Renewable Diesel'!$AF346)*'Feedstock Conversion Rates'!$B$3)/12)</f>
        <v>91.78125</v>
      </c>
      <c r="CM337" s="104">
        <f>(((CM$3*'Renewable Diesel'!$AF346)*'Feedstock Conversion Rates'!$B$6)/12)</f>
        <v>53.739583333333336</v>
      </c>
      <c r="CN337" s="104">
        <f>(((CN$3*'Renewable Diesel'!$AF346)*'Feedstock Conversion Rates'!$B$4)/12)</f>
        <v>42.96875</v>
      </c>
      <c r="CO337" s="106">
        <f t="shared" si="360"/>
        <v>188.48958333333334</v>
      </c>
      <c r="CP337" s="104">
        <f>('Renewable Diesel'!$AG346*'RD Feedstock Breakdown'!CP$3*'Feedstock Conversion Rates'!$B$3)/12</f>
        <v>6.0075000000000003</v>
      </c>
      <c r="CQ337" s="104">
        <f>('Renewable Diesel'!$AG346*'RD Feedstock Breakdown'!CQ$3*'Feedstock Conversion Rates'!$B$6)/12</f>
        <v>3.5175000000000001</v>
      </c>
      <c r="CR337" s="104">
        <f>('Renewable Diesel'!$AG346*'RD Feedstock Breakdown'!CR$3*'Feedstock Conversion Rates'!$B$4)/12</f>
        <v>2.8125</v>
      </c>
      <c r="CS337" s="106">
        <f t="shared" si="317"/>
        <v>12.3375</v>
      </c>
      <c r="CT337" s="104">
        <f>('Renewable Diesel'!AI346*'Feedstock Conversion Rates'!$B$4*'RD Feedstock Breakdown'!$CT$3)/12</f>
        <v>29.375</v>
      </c>
      <c r="CU337" s="106">
        <f t="shared" si="282"/>
        <v>29.375</v>
      </c>
      <c r="CV337" s="104">
        <f>('Renewable Diesel'!AN346*'Feedstock Conversion Rates'!$B$3*'RD Feedstock Breakdown'!$CV$3)/12</f>
        <v>0.50062499999999999</v>
      </c>
      <c r="CW337" s="106">
        <f t="shared" si="338"/>
        <v>0.50062499999999999</v>
      </c>
      <c r="CX337" s="104">
        <f>('Renewable Diesel'!AO346*'RD Feedstock Breakdown'!$CX$3*'Feedstock Conversion Rates'!$B$3)/12</f>
        <v>6.3412499999999996</v>
      </c>
      <c r="CY337" s="104">
        <f>('Renewable Diesel'!AO346*'RD Feedstock Breakdown'!$CY$3*'Feedstock Conversion Rates'!$B$6)/12</f>
        <v>7.4258333333333342</v>
      </c>
      <c r="CZ337" s="106">
        <f t="shared" si="318"/>
        <v>13.767083333333334</v>
      </c>
      <c r="DA337" s="104">
        <f>('Renewable Diesel'!$AP346*'RD Feedstock Breakdown'!DA$3*'Feedstock Conversion Rates'!$B$3)/12</f>
        <v>6.3412499999999996</v>
      </c>
      <c r="DB337" s="104">
        <f>('Renewable Diesel'!$AP346*'RD Feedstock Breakdown'!DB$3*'Feedstock Conversion Rates'!$B$8)/12</f>
        <v>7.421875</v>
      </c>
      <c r="DC337" s="106">
        <f t="shared" si="342"/>
        <v>13.763124999999999</v>
      </c>
      <c r="DD337" s="104">
        <f>('Renewable Diesel'!AQ346*$DD$3*'Feedstock Conversion Rates'!$B$14)/12</f>
        <v>3.1041666666666665</v>
      </c>
      <c r="DE337" s="106">
        <f t="shared" si="343"/>
        <v>3.1041666666666665</v>
      </c>
      <c r="DF337" s="104">
        <f>('Renewable Diesel'!AR346*'Feedstock Conversion Rates'!$B$4*$DF$3)/12</f>
        <v>75</v>
      </c>
      <c r="DG337" s="106">
        <f t="shared" si="319"/>
        <v>75</v>
      </c>
      <c r="DH337" s="104">
        <f>('Renewable Diesel'!AS346*'Feedstock Conversion Rates'!$B$4*$DH$3)/12</f>
        <v>75</v>
      </c>
      <c r="DI337" s="106">
        <f t="shared" si="323"/>
        <v>75</v>
      </c>
      <c r="DJ337" s="104">
        <f>('Renewable Diesel'!AT346*'Feedstock Conversion Rates'!$B$4*0.25)/12</f>
        <v>8.59375</v>
      </c>
      <c r="DK337" s="104">
        <f>('Renewable Diesel'!$AT346*'RD Feedstock Breakdown'!DK$3*'Feedstock Conversion Rates'!$B$3)/12*0.5</f>
        <v>9.1781249999999996</v>
      </c>
      <c r="DL337" s="104">
        <f>('Renewable Diesel'!$AT346*'RD Feedstock Breakdown'!$DL$3*'Feedstock Conversion Rates'!$B$6)/12</f>
        <v>10.747916666666669</v>
      </c>
      <c r="DM337" s="104">
        <f>('Renewable Diesel'!$AT346*'RD Feedstock Breakdown'!$DM$3*'Feedstock Conversion Rates'!$B$8)/12</f>
        <v>10.7421875</v>
      </c>
      <c r="DN337" s="106">
        <f t="shared" si="297"/>
        <v>39.26197916666667</v>
      </c>
      <c r="DP337" s="104">
        <f t="shared" si="345"/>
        <v>103.22025000000001</v>
      </c>
      <c r="DQ337" s="104">
        <f t="shared" si="346"/>
        <v>324.11776750000001</v>
      </c>
      <c r="DR337" s="104">
        <f t="shared" si="351"/>
        <v>1951.953125</v>
      </c>
      <c r="DS337" s="104">
        <f t="shared" si="283"/>
        <v>228.90125</v>
      </c>
      <c r="DT337" s="104">
        <f t="shared" si="347"/>
        <v>233.03923333333344</v>
      </c>
      <c r="DU337" s="104">
        <f t="shared" si="348"/>
        <v>367.90610000000009</v>
      </c>
      <c r="DV337" s="104">
        <f t="shared" si="352"/>
        <v>78.75</v>
      </c>
      <c r="DW337" s="104">
        <f t="shared" si="349"/>
        <v>3</v>
      </c>
      <c r="DX337" s="106">
        <f t="shared" si="353"/>
        <v>3290.8877258333337</v>
      </c>
      <c r="DY337" s="109">
        <f t="shared" si="340"/>
        <v>-5.631051180898794E-13</v>
      </c>
      <c r="EA337" s="110">
        <f t="shared" si="313"/>
        <v>3.1365472966374777E-2</v>
      </c>
      <c r="EB337" s="110">
        <f t="shared" si="313"/>
        <v>9.848946378683443E-2</v>
      </c>
      <c r="EC337" s="110">
        <f t="shared" si="313"/>
        <v>0.59313877823216155</v>
      </c>
      <c r="ED337" s="110">
        <f t="shared" si="308"/>
        <v>6.955608002154999E-2</v>
      </c>
      <c r="EE337" s="110">
        <f t="shared" si="308"/>
        <v>7.0813486435281583E-2</v>
      </c>
      <c r="EF337" s="110">
        <f t="shared" si="308"/>
        <v>0.11179539706321559</v>
      </c>
      <c r="EG337" s="110">
        <f t="shared" si="308"/>
        <v>2.3929713366340557E-2</v>
      </c>
      <c r="EH337" s="111">
        <f t="shared" si="354"/>
        <v>9.1160812824154505E-4</v>
      </c>
      <c r="EI337" s="110">
        <f t="shared" si="321"/>
        <v>0.99908839187175846</v>
      </c>
      <c r="EK337" s="132">
        <f>(EA337*'Renewable Diesel'!BF346*'Feedstock Conversion Rates'!B$2)+FB337</f>
        <v>668.35223956278605</v>
      </c>
      <c r="EL337" s="132">
        <f>(EB337*'Renewable Diesel'!BF346*'Feedstock Conversion Rates'!B$3)+FC337</f>
        <v>1977.6841379404782</v>
      </c>
      <c r="EM337" s="132">
        <f>(EC337*'Renewable Diesel'!BF346*'Feedstock Conversion Rates'!B$4)+FD337</f>
        <v>11151.986187861812</v>
      </c>
      <c r="EN337" s="132">
        <f>(ED337*'Renewable Diesel'!BF346*'Feedstock Conversion Rates'!B$5)+FE337</f>
        <v>1316.4873527586371</v>
      </c>
      <c r="EO337" s="132">
        <f>(EE337*'Renewable Diesel'!BF346*'Feedstock Conversion Rates'!B$6)+FF337</f>
        <v>1665.150363730324</v>
      </c>
      <c r="EP337" s="132">
        <f>(EF337*'Renewable Diesel'!BF346*'Feedstock Conversion Rates'!B$7)+FG337</f>
        <v>2578.3768388254366</v>
      </c>
      <c r="EQ337" s="132">
        <f>(EG337*'Renewable Diesel'!BF346*'Feedstock Conversion Rates'!B$8)+FH337</f>
        <v>562.39754239367153</v>
      </c>
      <c r="ER337" s="132">
        <f>(EH337*'Renewable Diesel'!BF346*'Feedstock Conversion Rates'!B$9)+FI337</f>
        <v>21.13900603790816</v>
      </c>
      <c r="ES337" s="132">
        <f t="shared" si="355"/>
        <v>19941.573669111054</v>
      </c>
      <c r="ET337" s="133">
        <f>ES337/'Renewable Diesel'!BF346</f>
        <v>18.855592790844316</v>
      </c>
      <c r="EW337" s="73">
        <f t="shared" si="309"/>
        <v>19676.800051924976</v>
      </c>
      <c r="EX337" s="73">
        <f t="shared" si="310"/>
        <v>11793.480293900293</v>
      </c>
      <c r="EY337" s="92">
        <f t="shared" si="341"/>
        <v>0.98672253145215894</v>
      </c>
      <c r="EZ337" s="92">
        <f t="shared" si="341"/>
        <v>0.5914016862253989</v>
      </c>
      <c r="FB337" s="102">
        <f>IF('Renewable Diesel'!$BG346&lt;1,0,(((('Renewable Diesel'!$BG346-1)*'Renewable Diesel'!$BF346)*'RD Feedstock Breakdown'!EA337)*'Feedstock Conversion Rates'!$B$2))</f>
        <v>386.39061563027946</v>
      </c>
      <c r="FC337" s="102">
        <f>IF('Renewable Diesel'!$BG346&lt;1,0,(((('Renewable Diesel'!$BG346-1)*'Renewable Diesel'!$BF346)*'RD Feedstock Breakdown'!EB337)*'Feedstock Conversion Rates'!$B$3))</f>
        <v>1143.3470950601545</v>
      </c>
      <c r="FD337" s="102">
        <f>IF('Renewable Diesel'!$BG346&lt;1,0,(((('Renewable Diesel'!$BG346-1)*'Renewable Diesel'!$BF346)*'RD Feedstock Breakdown'!EC337)*'Feedstock Conversion Rates'!$B$4))</f>
        <v>6447.2332904085415</v>
      </c>
      <c r="FE337" s="102">
        <f>IF('Renewable Diesel'!$BG346&lt;1,0,(((('Renewable Diesel'!$BG346-1)*'Renewable Diesel'!$BF346)*'RD Feedstock Breakdown'!ED337)*'Feedstock Conversion Rates'!$B$5))</f>
        <v>761.09322089598629</v>
      </c>
      <c r="FF337" s="102">
        <f>IF('Renewable Diesel'!$BG346&lt;1,0,(((('Renewable Diesel'!$BG346-1)*'Renewable Diesel'!$BF346)*'RD Feedstock Breakdown'!EE337)*'Feedstock Conversion Rates'!$B$6))</f>
        <v>962.6637513470946</v>
      </c>
      <c r="FG337" s="102">
        <f>IF('Renewable Diesel'!$BG346&lt;1,0,(((('Renewable Diesel'!$BG346-1)*'Renewable Diesel'!$BF346)*'RD Feedstock Breakdown'!EF337)*'Feedstock Conversion Rates'!$B$7))</f>
        <v>1490.6220928238902</v>
      </c>
      <c r="FH337" s="102">
        <f>IF('Renewable Diesel'!$BG346&lt;1,0,(((('Renewable Diesel'!$BG346-1)*'Renewable Diesel'!$BF346)*'RD Feedstock Breakdown'!EG337)*'Feedstock Conversion Rates'!$B$8))</f>
        <v>325.13563922012258</v>
      </c>
      <c r="FI337" s="102">
        <f>IF('Renewable Diesel'!$BG346&lt;1,0,(((('Renewable Diesel'!$BG346-1)*'Renewable Diesel'!$BF346)*'RD Feedstock Breakdown'!EH337)*'Feedstock Conversion Rates'!$B$9))</f>
        <v>12.220971328146829</v>
      </c>
      <c r="FJ337" s="102">
        <f t="shared" si="311"/>
        <v>11528.706676714217</v>
      </c>
      <c r="GD337" s="91">
        <f>'Renewable Diesel'!BB346*0.32</f>
        <v>0</v>
      </c>
      <c r="GE337" s="91">
        <f>'Renewable Diesel'!BC346</f>
        <v>565.24053289830943</v>
      </c>
      <c r="GF337" s="91">
        <f>'Renewable Diesel'!BD346</f>
        <v>0</v>
      </c>
      <c r="GG337" s="91">
        <f t="shared" si="295"/>
        <v>565.24053289830943</v>
      </c>
      <c r="GH337" s="124">
        <v>1</v>
      </c>
      <c r="GI337" s="102">
        <f>$GG337*EA337*'Feedstock Conversion Rates'!$B$2</f>
        <v>150.6968115600302</v>
      </c>
      <c r="GJ337" s="102">
        <f>$GG337*EB337*'Feedstock Conversion Rates'!$B$3</f>
        <v>445.91859833586972</v>
      </c>
      <c r="GK337" s="102">
        <f>$GG337*EC337*'Feedstock Conversion Rates'!$B$4</f>
        <v>2514.4955931794939</v>
      </c>
      <c r="GL337" s="102">
        <f>$GG337*ED337*'Feedstock Conversion Rates'!$B$5</f>
        <v>296.83516381962266</v>
      </c>
      <c r="GM337" s="102">
        <f>$GG337*EE337*'Feedstock Conversion Rates'!$B$6</f>
        <v>375.45000334903693</v>
      </c>
      <c r="GN337" s="102">
        <f>$GG337*EF337*'Feedstock Conversion Rates'!$B$7</f>
        <v>581.35986626662861</v>
      </c>
      <c r="GO337" s="102">
        <f>$GG337*EG337*'Feedstock Conversion Rates'!$B$8</f>
        <v>126.80666189338251</v>
      </c>
      <c r="GP337" s="102">
        <f>$GG337*EH337*'Feedstock Conversion Rates'!B$9</f>
        <v>4.7663202438655521</v>
      </c>
      <c r="GQ337" s="102">
        <f t="shared" si="356"/>
        <v>4496.3290186479298</v>
      </c>
      <c r="GR337" s="85">
        <f t="shared" si="293"/>
        <v>7.9547179597908446</v>
      </c>
      <c r="GT337" s="103">
        <f t="shared" si="333"/>
        <v>3.3515521425375026E-2</v>
      </c>
      <c r="GU337" s="103">
        <f t="shared" si="334"/>
        <v>9.9173925325856116E-2</v>
      </c>
      <c r="GV337" s="103">
        <f t="shared" si="335"/>
        <v>0.55923300602579473</v>
      </c>
      <c r="GW337" s="103">
        <f t="shared" si="331"/>
        <v>6.6017224849102038E-2</v>
      </c>
      <c r="GX337" s="103">
        <f t="shared" si="331"/>
        <v>8.3501452360783129E-2</v>
      </c>
      <c r="GY337" s="103">
        <f t="shared" si="331"/>
        <v>0.12929655811563512</v>
      </c>
      <c r="GZ337" s="103">
        <f t="shared" si="331"/>
        <v>2.8202264862617624E-2</v>
      </c>
      <c r="HA337" s="103">
        <f t="shared" si="331"/>
        <v>1.0600470348361671E-3</v>
      </c>
    </row>
    <row r="338" spans="1:209" x14ac:dyDescent="0.25">
      <c r="A338" s="96">
        <v>50710</v>
      </c>
      <c r="B338" s="104">
        <f t="shared" ref="B338:B348" si="362">115.75+145+100+235+31.5-21-287-20-28-32-70-39-47+40+20-3-10-25-1</f>
        <v>104.25</v>
      </c>
      <c r="C338" s="104">
        <f t="shared" si="314"/>
        <v>49</v>
      </c>
      <c r="D338" s="104">
        <f t="shared" ref="D338:D348" si="363">1+1</f>
        <v>2</v>
      </c>
      <c r="E338" s="104">
        <f>('Renewable Diesel'!B347*E$3*'Feedstock Conversion Rates'!$B$2)/12+26+13-100+27.5+39</f>
        <v>95.43</v>
      </c>
      <c r="F338" s="104">
        <f>('Renewable Diesel'!B347*'RD Feedstock Breakdown'!F$3*'Feedstock Conversion Rates'!B$8)/12+77+23-10-12-115.75+24+8</f>
        <v>48.15625</v>
      </c>
      <c r="G338" s="104">
        <f>('Renewable Diesel'!B347*'RD Feedstock Breakdown'!G$3*'Feedstock Conversion Rates'!B$7)/12+116.75-39-57.5-145-31.5+32+70-40+10+25</f>
        <v>116.90700000000004</v>
      </c>
      <c r="H338" s="104">
        <f>('Renewable Diesel'!B347*'RD Feedstock Breakdown'!H$3*'Feedstock Conversion Rates'!B$3)/12+67+10+12+3-235+20+47-20</f>
        <v>80.400224999999978</v>
      </c>
      <c r="I338" s="106">
        <f t="shared" si="291"/>
        <v>496.14347500000002</v>
      </c>
      <c r="J338" s="104">
        <f t="shared" si="332"/>
        <v>4</v>
      </c>
      <c r="K338" s="104"/>
      <c r="L338" s="104">
        <v>1</v>
      </c>
      <c r="M338" s="104">
        <f>('Renewable Diesel'!C347*'RD Feedstock Breakdown'!M$3*'Feedstock Conversion Rates'!B$2)/12</f>
        <v>7.7902500000000003</v>
      </c>
      <c r="N338" s="104">
        <f>('Renewable Diesel'!C347*'RD Feedstock Breakdown'!N$3*'Feedstock Conversion Rates'!B$8)/12</f>
        <v>3.671875</v>
      </c>
      <c r="O338" s="104">
        <f>('Renewable Diesel'!C347*'RD Feedstock Breakdown'!O$3*'Feedstock Conversion Rates'!B$7)/12</f>
        <v>11.9991</v>
      </c>
      <c r="P338" s="104">
        <f>('Renewable Diesel'!C347*'RD Feedstock Breakdown'!P$3*'Feedstock Conversion Rates'!B$3)/12</f>
        <v>10.4470425</v>
      </c>
      <c r="Q338" s="106">
        <f t="shared" si="299"/>
        <v>38.908267500000001</v>
      </c>
      <c r="R338" s="104">
        <f>('Renewable Diesel'!D347*'RD Feedstock Breakdown'!R$3*'Feedstock Conversion Rates'!B$7)/12</f>
        <v>2.2999999999999998</v>
      </c>
      <c r="S338" s="106">
        <f t="shared" si="329"/>
        <v>2.2999999999999998</v>
      </c>
      <c r="T338" s="104">
        <f t="shared" si="300"/>
        <v>0.82499999999999929</v>
      </c>
      <c r="U338" s="104"/>
      <c r="V338" s="104">
        <f>('Renewable Diesel'!E347*'RD Feedstock Breakdown'!V$3*'Feedstock Conversion Rates'!B$6)/12-20+25</f>
        <v>49.250150000000012</v>
      </c>
      <c r="W338" s="104">
        <f>('Renewable Diesel'!E347*'RD Feedstock Breakdown'!W$3*'Feedstock Conversion Rates'!B$8)/12-6</f>
        <v>16.1796875</v>
      </c>
      <c r="X338" s="106">
        <f t="shared" si="357"/>
        <v>66.254837500000008</v>
      </c>
      <c r="Y338" s="104">
        <f t="shared" si="301"/>
        <v>98</v>
      </c>
      <c r="Z338" s="104">
        <f>('Renewable Diesel'!F347*'RD Feedstock Breakdown'!Z$3*'Feedstock Conversion Rates'!B$6)/12-142+15+5+20+5+5</f>
        <v>67.460000000000008</v>
      </c>
      <c r="AA338" s="104">
        <f>('Renewable Diesel'!F347*'RD Feedstock Breakdown'!AA$3*'Feedstock Conversion Rates'!B$7)/12+24</f>
        <v>128.26666666666665</v>
      </c>
      <c r="AB338" s="106">
        <f t="shared" si="320"/>
        <v>293.72666666666669</v>
      </c>
      <c r="AC338" s="104">
        <f>('Renewable Diesel'!G347*'RD Feedstock Breakdown'!AC$3*'Feedstock Conversion Rates'!B$5)/12</f>
        <v>11.796875</v>
      </c>
      <c r="AD338" s="104">
        <f>('Renewable Diesel'!G347*'RD Feedstock Breakdown'!AD$3*'Feedstock Conversion Rates'!B$4)/12</f>
        <v>5.859375</v>
      </c>
      <c r="AE338" s="104">
        <f>('Renewable Diesel'!G347*'RD Feedstock Breakdown'!AE$3*'Feedstock Conversion Rates'!B$6)/12</f>
        <v>7.3281250000000009</v>
      </c>
      <c r="AF338" s="106">
        <f t="shared" si="284"/>
        <v>24.984375</v>
      </c>
      <c r="AG338" s="104">
        <f t="shared" si="306"/>
        <v>148</v>
      </c>
      <c r="AH338" s="104"/>
      <c r="AI338" s="104">
        <f>('Renewable Diesel'!H347*'RD Feedstock Breakdown'!AI$3*'Feedstock Conversion Rates'!B$6)/12-130-20+51-49</f>
        <v>0.51666666666667993</v>
      </c>
      <c r="AJ338" s="106">
        <f t="shared" si="328"/>
        <v>148.51666666666668</v>
      </c>
      <c r="AK338" s="104">
        <f>('Renewable Diesel'!J347*'RD Feedstock Breakdown'!AK$3*'Feedstock Conversion Rates'!B$4)/12</f>
        <v>95.8125</v>
      </c>
      <c r="AL338" s="106">
        <f t="shared" si="330"/>
        <v>95.8125</v>
      </c>
      <c r="AM338" s="104">
        <f>('Renewable Diesel'!K347*'RD Feedstock Breakdown'!AM$3*'Feedstock Conversion Rates'!B$4)/12+5+15-10+10</f>
        <v>78.59375</v>
      </c>
      <c r="AN338" s="104">
        <f>('Renewable Diesel'!K347*'RD Feedstock Breakdown'!AN$3*'Feedstock Conversion Rates'!B$6)/12-5-15+10-10</f>
        <v>4.4270833333333321</v>
      </c>
      <c r="AO338" s="106">
        <f t="shared" si="350"/>
        <v>83.020833333333329</v>
      </c>
      <c r="AP338" s="104">
        <f>('Renewable Diesel'!L347*'RD Feedstock Breakdown'!AP$3*'Feedstock Conversion Rates'!B$4)/12+15-10+15</f>
        <v>78.59375</v>
      </c>
      <c r="AQ338" s="104">
        <f>('Renewable Diesel'!L347*'RD Feedstock Breakdown'!AQ$3*'Feedstock Conversion Rates'!B$6)/12-15+10-15</f>
        <v>4.4270833333333321</v>
      </c>
      <c r="AR338" s="106">
        <f t="shared" si="339"/>
        <v>83.020833333333329</v>
      </c>
      <c r="AS338" s="104">
        <f>('Renewable Diesel'!M347*'RD Feedstock Breakdown'!AS$3*'Feedstock Conversion Rates'!B$4)/12</f>
        <v>456.25</v>
      </c>
      <c r="AT338" s="104">
        <f>('Renewable Diesel'!M347*'RD Feedstock Breakdown'!AT$3*'Feedstock Conversion Rates'!B$5)/12</f>
        <v>0</v>
      </c>
      <c r="AU338" s="106">
        <f t="shared" si="290"/>
        <v>456.25</v>
      </c>
      <c r="AV338" s="104">
        <f>'Renewable Diesel'!N347*'RD Feedstock Breakdown'!$AV$3*'Feedstock Conversion Rates'!$B$4/12-15-10+25+25-22+25</f>
        <v>106.74999999999999</v>
      </c>
      <c r="AW338" s="104">
        <f>'Renewable Diesel'!N347*'RD Feedstock Breakdown'!$AW$3*'Feedstock Conversion Rates'!$B$7/12+15+10-25-25+22-25</f>
        <v>13.400000000000006</v>
      </c>
      <c r="AX338" s="106">
        <f t="shared" si="322"/>
        <v>120.14999999999999</v>
      </c>
      <c r="AY338" s="104">
        <f>('Renewable Diesel'!O347*'RD Feedstock Breakdown'!AY$3*'Feedstock Conversion Rates'!B$4)/12</f>
        <v>210.9375</v>
      </c>
      <c r="AZ338" s="104">
        <f>('Renewable Diesel'!O347*'RD Feedstock Breakdown'!AZ$3*'Feedstock Conversion Rates'!B$3)/12</f>
        <v>25.03125</v>
      </c>
      <c r="BA338" s="106">
        <f t="shared" si="302"/>
        <v>235.96875</v>
      </c>
      <c r="BB338" s="104">
        <f>('Renewable Diesel'!Q347*'RD Feedstock Breakdown'!BB$3*'Feedstock Conversion Rates'!B$4)/12</f>
        <v>11.156249999999998</v>
      </c>
      <c r="BC338" s="104">
        <f>('Renewable Diesel'!Q347*'RD Feedstock Breakdown'!BC$3*'Feedstock Conversion Rates'!B$3)/12</f>
        <v>1.4017500000000001</v>
      </c>
      <c r="BD338" s="104">
        <f>('Renewable Diesel'!Q347*'RD Feedstock Breakdown'!BD$3*'Feedstock Conversion Rates'!B$6)/12</f>
        <v>0.8207500000000002</v>
      </c>
      <c r="BE338" s="106">
        <f t="shared" si="359"/>
        <v>13.378749999999998</v>
      </c>
      <c r="BF338" s="104">
        <f>('Renewable Diesel'!R347*'RD Feedstock Breakdown'!BF$3*'Feedstock Conversion Rates'!B$4)/12</f>
        <v>62.5</v>
      </c>
      <c r="BG338" s="106">
        <f t="shared" si="344"/>
        <v>62.5</v>
      </c>
      <c r="BH338" s="104">
        <f>('Renewable Diesel'!T347*'RD Feedstock Breakdown'!BH$3*'Feedstock Conversion Rates'!B$7)/12</f>
        <v>27.599999999999998</v>
      </c>
      <c r="BI338" s="106">
        <f t="shared" si="327"/>
        <v>27.599999999999998</v>
      </c>
      <c r="BJ338" s="104">
        <f>('Renewable Diesel'!W347*'RD Feedstock Breakdown'!BJ$3*'Feedstock Conversion Rates'!B$4)/12</f>
        <v>7.5</v>
      </c>
      <c r="BK338" s="104">
        <f>('Renewable Diesel'!W347*'RD Feedstock Breakdown'!BK$3*'Feedstock Conversion Rates'!B$3)/12</f>
        <v>1.335</v>
      </c>
      <c r="BL338" s="104">
        <f>('Renewable Diesel'!W347*'RD Feedstock Breakdown'!BL$3*'Feedstock Conversion Rates'!B$6)/12</f>
        <v>3.1266666666666669</v>
      </c>
      <c r="BM338" s="104">
        <f>('Renewable Diesel'!W347*'RD Feedstock Breakdown'!BM$3*'Feedstock Conversion Rates'!B$7)/12</f>
        <v>1.5333333333333332</v>
      </c>
      <c r="BN338" s="106">
        <f t="shared" si="296"/>
        <v>13.495000000000001</v>
      </c>
      <c r="BO338" s="104">
        <f>('Renewable Diesel'!P347*'Feedstock Conversion Rates'!B$4)/12</f>
        <v>31.25</v>
      </c>
      <c r="BP338" s="106">
        <f t="shared" si="285"/>
        <v>31.25</v>
      </c>
      <c r="BQ338" s="104">
        <f>('Renewable Diesel'!$S347*'RD Feedstock Breakdown'!BQ$3*'Feedstock Conversion Rates'!B$4)/12+10+15-15</f>
        <v>38.125</v>
      </c>
      <c r="BR338" s="104">
        <f>('Renewable Diesel'!$S347*'RD Feedstock Breakdown'!BR$3*'Feedstock Conversion Rates'!B$7)/12-10-15+15</f>
        <v>1.5</v>
      </c>
      <c r="BS338" s="106">
        <f t="shared" si="307"/>
        <v>39.625</v>
      </c>
      <c r="BT338" s="106"/>
      <c r="BU338" s="104">
        <f>('Renewable Diesel'!Y347*'Feedstock Conversion Rates'!B$7)/12</f>
        <v>2.6833333333333331</v>
      </c>
      <c r="BV338" s="106">
        <f t="shared" si="361"/>
        <v>2.6833333333333331</v>
      </c>
      <c r="BW338" s="104">
        <f>('Renewable Diesel'!$Z347*'RD Feedstock Breakdown'!BW$3*'Feedstock Conversion Rates'!$B$4)/12-180+110</f>
        <v>1.875</v>
      </c>
      <c r="BX338" s="104">
        <f>('Renewable Diesel'!$Z347*'RD Feedstock Breakdown'!BX$3*'Feedstock Conversion Rates'!$B$5)/12</f>
        <v>7.2354166666666666</v>
      </c>
      <c r="BY338" s="104">
        <f>('Renewable Diesel'!$Z347*'RD Feedstock Breakdown'!BY$3*'Feedstock Conversion Rates'!$B$7)/12</f>
        <v>61.716666666666661</v>
      </c>
      <c r="BZ338" s="104">
        <f>('Renewable Diesel'!$Z347*'RD Feedstock Breakdown'!BZ$3*'Feedstock Conversion Rates'!$B$3)/12+180-110</f>
        <v>85.352499999999992</v>
      </c>
      <c r="CA338" s="106">
        <f t="shared" si="312"/>
        <v>156.17958333333331</v>
      </c>
      <c r="CB338" s="104">
        <f>('Renewable Diesel'!AA347*'Feedstock Conversion Rates'!B$4)/12</f>
        <v>191.25</v>
      </c>
      <c r="CC338" s="106">
        <f t="shared" si="298"/>
        <v>191.25</v>
      </c>
      <c r="CD338" s="104">
        <f>('Renewable Diesel'!$AB347*'RD Feedstock Breakdown'!CD$3*'Feedstock Conversion Rates'!$B$6)/12-15-5</f>
        <v>12.830000000000005</v>
      </c>
      <c r="CE338" s="104">
        <f>('Renewable Diesel'!$AB347*'RD Feedstock Breakdown'!CE$3*'Feedstock Conversion Rates'!$B$4)/12+15+5</f>
        <v>31.25</v>
      </c>
      <c r="CF338" s="106">
        <f t="shared" si="294"/>
        <v>44.080000000000005</v>
      </c>
      <c r="CG338" s="104">
        <f>('Renewable Diesel'!AD347*'Feedstock Conversion Rates'!B$4)/12</f>
        <v>112.5</v>
      </c>
      <c r="CH338" s="106">
        <f t="shared" si="358"/>
        <v>112.5</v>
      </c>
      <c r="CI338" s="104">
        <f>('Renewable Diesel'!$AE347*'RD Feedstock Breakdown'!CI$3*'Feedstock Conversion Rates'!$B$5)/12</f>
        <v>0.34604166666666664</v>
      </c>
      <c r="CJ338" s="104">
        <f>('Renewable Diesel'!$AE347*'RD Feedstock Breakdown'!CJ$3*'Feedstock Conversion Rates'!$B$4)/12</f>
        <v>0.34375</v>
      </c>
      <c r="CK338" s="106">
        <f t="shared" si="286"/>
        <v>0.68979166666666658</v>
      </c>
      <c r="CL338" s="104">
        <f>(((CL$3*'Renewable Diesel'!$AF347)*'Feedstock Conversion Rates'!$B$3)/12)</f>
        <v>91.78125</v>
      </c>
      <c r="CM338" s="104">
        <f>(((CM$3*'Renewable Diesel'!$AF347)*'Feedstock Conversion Rates'!$B$6)/12)</f>
        <v>53.739583333333336</v>
      </c>
      <c r="CN338" s="104">
        <f>(((CN$3*'Renewable Diesel'!$AF347)*'Feedstock Conversion Rates'!$B$4)/12)</f>
        <v>42.96875</v>
      </c>
      <c r="CO338" s="106">
        <f t="shared" si="360"/>
        <v>188.48958333333334</v>
      </c>
      <c r="CP338" s="104">
        <f>('Renewable Diesel'!$AG347*'RD Feedstock Breakdown'!CP$3*'Feedstock Conversion Rates'!$B$3)/12</f>
        <v>6.0075000000000003</v>
      </c>
      <c r="CQ338" s="104">
        <f>('Renewable Diesel'!$AG347*'RD Feedstock Breakdown'!CQ$3*'Feedstock Conversion Rates'!$B$6)/12</f>
        <v>3.5175000000000001</v>
      </c>
      <c r="CR338" s="104">
        <f>('Renewable Diesel'!$AG347*'RD Feedstock Breakdown'!CR$3*'Feedstock Conversion Rates'!$B$4)/12</f>
        <v>2.8125</v>
      </c>
      <c r="CS338" s="106">
        <f t="shared" si="317"/>
        <v>12.3375</v>
      </c>
      <c r="CT338" s="104">
        <f>('Renewable Diesel'!AI347*'Feedstock Conversion Rates'!$B$4*'RD Feedstock Breakdown'!$CT$3)/12</f>
        <v>29.375</v>
      </c>
      <c r="CU338" s="106">
        <f t="shared" si="282"/>
        <v>29.375</v>
      </c>
      <c r="CV338" s="104">
        <f>('Renewable Diesel'!AN347*'Feedstock Conversion Rates'!$B$3*'RD Feedstock Breakdown'!$CV$3)/12</f>
        <v>0.50062499999999999</v>
      </c>
      <c r="CW338" s="106">
        <f t="shared" si="338"/>
        <v>0.50062499999999999</v>
      </c>
      <c r="CX338" s="104">
        <f>('Renewable Diesel'!AO347*'RD Feedstock Breakdown'!$CX$3*'Feedstock Conversion Rates'!$B$3)/12</f>
        <v>6.3412499999999996</v>
      </c>
      <c r="CY338" s="104">
        <f>('Renewable Diesel'!AO347*'RD Feedstock Breakdown'!$CY$3*'Feedstock Conversion Rates'!$B$6)/12</f>
        <v>7.4258333333333342</v>
      </c>
      <c r="CZ338" s="106">
        <f t="shared" si="318"/>
        <v>13.767083333333334</v>
      </c>
      <c r="DA338" s="104">
        <f>('Renewable Diesel'!$AP347*'RD Feedstock Breakdown'!DA$3*'Feedstock Conversion Rates'!$B$3)/12</f>
        <v>6.3412499999999996</v>
      </c>
      <c r="DB338" s="104">
        <f>('Renewable Diesel'!$AP347*'RD Feedstock Breakdown'!DB$3*'Feedstock Conversion Rates'!$B$8)/12</f>
        <v>7.421875</v>
      </c>
      <c r="DC338" s="106">
        <f t="shared" si="342"/>
        <v>13.763124999999999</v>
      </c>
      <c r="DD338" s="104">
        <f>('Renewable Diesel'!AQ347*$DD$3*'Feedstock Conversion Rates'!$B$14)/12</f>
        <v>3.1041666666666665</v>
      </c>
      <c r="DE338" s="106">
        <f t="shared" si="343"/>
        <v>3.1041666666666665</v>
      </c>
      <c r="DF338" s="104">
        <f>('Renewable Diesel'!AR347*'Feedstock Conversion Rates'!$B$4*$DF$3)/12</f>
        <v>75</v>
      </c>
      <c r="DG338" s="106">
        <f t="shared" si="319"/>
        <v>75</v>
      </c>
      <c r="DH338" s="104">
        <f>('Renewable Diesel'!AS347*'Feedstock Conversion Rates'!$B$4*$DH$3)/12</f>
        <v>75</v>
      </c>
      <c r="DI338" s="106">
        <f t="shared" si="323"/>
        <v>75</v>
      </c>
      <c r="DJ338" s="104">
        <f>('Renewable Diesel'!AT347*'Feedstock Conversion Rates'!$B$4*0.25)/12</f>
        <v>8.59375</v>
      </c>
      <c r="DK338" s="104">
        <f>('Renewable Diesel'!$AT347*'RD Feedstock Breakdown'!DK$3*'Feedstock Conversion Rates'!$B$3)/12*0.5</f>
        <v>9.1781249999999996</v>
      </c>
      <c r="DL338" s="104">
        <f>('Renewable Diesel'!$AT347*'RD Feedstock Breakdown'!$DL$3*'Feedstock Conversion Rates'!$B$6)/12</f>
        <v>10.747916666666669</v>
      </c>
      <c r="DM338" s="104">
        <f>('Renewable Diesel'!$AT347*'RD Feedstock Breakdown'!$DM$3*'Feedstock Conversion Rates'!$B$8)/12</f>
        <v>10.7421875</v>
      </c>
      <c r="DN338" s="106">
        <f t="shared" si="297"/>
        <v>39.26197916666667</v>
      </c>
      <c r="DP338" s="104">
        <f t="shared" si="345"/>
        <v>103.22025000000001</v>
      </c>
      <c r="DQ338" s="104">
        <f t="shared" si="346"/>
        <v>324.11776750000001</v>
      </c>
      <c r="DR338" s="104">
        <f t="shared" si="351"/>
        <v>1951.953125</v>
      </c>
      <c r="DS338" s="104">
        <f t="shared" si="283"/>
        <v>228.90125</v>
      </c>
      <c r="DT338" s="104">
        <f t="shared" si="347"/>
        <v>233.03923333333344</v>
      </c>
      <c r="DU338" s="104">
        <f t="shared" si="348"/>
        <v>367.90610000000009</v>
      </c>
      <c r="DV338" s="104">
        <f t="shared" si="352"/>
        <v>78.75</v>
      </c>
      <c r="DW338" s="104">
        <f t="shared" si="349"/>
        <v>3</v>
      </c>
      <c r="DX338" s="106">
        <f t="shared" si="353"/>
        <v>3290.8877258333337</v>
      </c>
      <c r="DY338" s="109">
        <f t="shared" si="340"/>
        <v>-5.631051180898794E-13</v>
      </c>
      <c r="EA338" s="110">
        <f t="shared" si="313"/>
        <v>3.1365472966374777E-2</v>
      </c>
      <c r="EB338" s="110">
        <f t="shared" si="313"/>
        <v>9.848946378683443E-2</v>
      </c>
      <c r="EC338" s="110">
        <f t="shared" si="313"/>
        <v>0.59313877823216155</v>
      </c>
      <c r="ED338" s="110">
        <f t="shared" si="308"/>
        <v>6.955608002154999E-2</v>
      </c>
      <c r="EE338" s="110">
        <f t="shared" si="308"/>
        <v>7.0813486435281583E-2</v>
      </c>
      <c r="EF338" s="110">
        <f t="shared" si="308"/>
        <v>0.11179539706321559</v>
      </c>
      <c r="EG338" s="110">
        <f t="shared" si="308"/>
        <v>2.3929713366340557E-2</v>
      </c>
      <c r="EH338" s="111">
        <f t="shared" si="354"/>
        <v>9.1160812824154505E-4</v>
      </c>
      <c r="EI338" s="110">
        <f t="shared" si="321"/>
        <v>0.99908839187175846</v>
      </c>
      <c r="EK338" s="132">
        <f>(EA338*'Renewable Diesel'!BF347*'Feedstock Conversion Rates'!B$2)+FB338</f>
        <v>683.65266778933903</v>
      </c>
      <c r="EL338" s="132">
        <f>(EB338*'Renewable Diesel'!BF347*'Feedstock Conversion Rates'!B$3)+FC338</f>
        <v>2022.9587886652896</v>
      </c>
      <c r="EM338" s="132">
        <f>(EC338*'Renewable Diesel'!BF347*'Feedstock Conversion Rates'!B$4)+FD338</f>
        <v>11407.285944712348</v>
      </c>
      <c r="EN338" s="132">
        <f>(ED338*'Renewable Diesel'!BF347*'Feedstock Conversion Rates'!B$5)+FE338</f>
        <v>1346.6253833654096</v>
      </c>
      <c r="EO338" s="132">
        <f>(EE338*'Renewable Diesel'!BF347*'Feedstock Conversion Rates'!B$6)+FF338</f>
        <v>1703.2702533911129</v>
      </c>
      <c r="EP338" s="132">
        <f>(EF338*'Renewable Diesel'!BF347*'Feedstock Conversion Rates'!B$7)+FG338</f>
        <v>2637.4030041140604</v>
      </c>
      <c r="EQ338" s="132">
        <f>(EG338*'Renewable Diesel'!BF347*'Feedstock Conversion Rates'!B$8)+FH338</f>
        <v>575.27237503852541</v>
      </c>
      <c r="ER338" s="132">
        <f>(EH338*'Renewable Diesel'!BF347*'Feedstock Conversion Rates'!B$9)+FI338</f>
        <v>21.62293625541632</v>
      </c>
      <c r="ES338" s="132">
        <f t="shared" si="355"/>
        <v>20398.091353331503</v>
      </c>
      <c r="ET338" s="133">
        <f>ES338/'Renewable Diesel'!BF347</f>
        <v>18.760094579534616</v>
      </c>
      <c r="EW338" s="73">
        <f t="shared" si="309"/>
        <v>20099.866578486486</v>
      </c>
      <c r="EX338" s="73">
        <f t="shared" si="310"/>
        <v>12047.049305672805</v>
      </c>
      <c r="EY338" s="92">
        <f t="shared" si="341"/>
        <v>0.98537977060308102</v>
      </c>
      <c r="EZ338" s="92">
        <f t="shared" si="341"/>
        <v>0.59059688953227618</v>
      </c>
      <c r="FB338" s="102">
        <f>IF('Renewable Diesel'!$BG347&lt;1,0,(((('Renewable Diesel'!$BG347-1)*'Renewable Diesel'!$BF347)*'RD Feedstock Breakdown'!EA338)*'Feedstock Conversion Rates'!$B$2))</f>
        <v>393.76798028593055</v>
      </c>
      <c r="FC338" s="102">
        <f>IF('Renewable Diesel'!$BG347&lt;1,0,(((('Renewable Diesel'!$BG347-1)*'Renewable Diesel'!$BF347)*'RD Feedstock Breakdown'!EB338)*'Feedstock Conversion Rates'!$B$3))</f>
        <v>1165.1770466869018</v>
      </c>
      <c r="FD338" s="102">
        <f>IF('Renewable Diesel'!$BG347&lt;1,0,(((('Renewable Diesel'!$BG347-1)*'Renewable Diesel'!$BF347)*'RD Feedstock Breakdown'!EC338)*'Feedstock Conversion Rates'!$B$4))</f>
        <v>6570.3304596444232</v>
      </c>
      <c r="FE338" s="102">
        <f>IF('Renewable Diesel'!$BG347&lt;1,0,(((('Renewable Diesel'!$BG347-1)*'Renewable Diesel'!$BF347)*'RD Feedstock Breakdown'!ED338)*'Feedstock Conversion Rates'!$B$5))</f>
        <v>775.62479076430395</v>
      </c>
      <c r="FF338" s="102">
        <f>IF('Renewable Diesel'!$BG347&lt;1,0,(((('Renewable Diesel'!$BG347-1)*'Renewable Diesel'!$BF347)*'RD Feedstock Breakdown'!EE338)*'Feedstock Conversion Rates'!$B$6))</f>
        <v>981.04391185611712</v>
      </c>
      <c r="FG338" s="102">
        <f>IF('Renewable Diesel'!$BG347&lt;1,0,(((('Renewable Diesel'!$BG347-1)*'Renewable Diesel'!$BF347)*'RD Feedstock Breakdown'!EF338)*'Feedstock Conversion Rates'!$B$7))</f>
        <v>1519.0825737405746</v>
      </c>
      <c r="FH338" s="102">
        <f>IF('Renewable Diesel'!$BG347&lt;1,0,(((('Renewable Diesel'!$BG347-1)*'Renewable Diesel'!$BF347)*'RD Feedstock Breakdown'!EG338)*'Feedstock Conversion Rates'!$B$8))</f>
        <v>331.34346124282462</v>
      </c>
      <c r="FI338" s="102">
        <f>IF('Renewable Diesel'!$BG347&lt;1,0,(((('Renewable Diesel'!$BG347-1)*'Renewable Diesel'!$BF347)*'RD Feedstock Breakdown'!EH338)*'Feedstock Conversion Rates'!$B$9))</f>
        <v>12.454306606714423</v>
      </c>
      <c r="FJ338" s="102">
        <f t="shared" si="311"/>
        <v>11748.824530827789</v>
      </c>
      <c r="GD338" s="91">
        <f>'Renewable Diesel'!BB347*0.32</f>
        <v>0</v>
      </c>
      <c r="GE338" s="91">
        <f>'Renewable Diesel'!BC347</f>
        <v>489.11349670413358</v>
      </c>
      <c r="GF338" s="91">
        <f>'Renewable Diesel'!BD347</f>
        <v>0</v>
      </c>
      <c r="GG338" s="91">
        <f t="shared" si="295"/>
        <v>489.11349670413358</v>
      </c>
      <c r="GH338" s="124">
        <v>1</v>
      </c>
      <c r="GI338" s="102">
        <f>$GG338*EA338*'Feedstock Conversion Rates'!$B$2</f>
        <v>130.40084734608158</v>
      </c>
      <c r="GJ338" s="102">
        <f>$GG338*EB338*'Feedstock Conversion Rates'!$B$3</f>
        <v>385.86193343056277</v>
      </c>
      <c r="GK338" s="102">
        <f>$GG338*EC338*'Feedstock Conversion Rates'!$B$4</f>
        <v>2175.8413638896259</v>
      </c>
      <c r="GL338" s="102">
        <f>$GG338*ED338*'Feedstock Conversion Rates'!$B$5</f>
        <v>256.85717224861497</v>
      </c>
      <c r="GM338" s="102">
        <f>$GG338*EE338*'Feedstock Conversion Rates'!$B$6</f>
        <v>324.88410382392692</v>
      </c>
      <c r="GN338" s="102">
        <f>$GG338*EF338*'Feedstock Conversion Rates'!$B$7</f>
        <v>503.06186567175087</v>
      </c>
      <c r="GO338" s="102">
        <f>$GG338*EG338*'Feedstock Conversion Rates'!$B$8</f>
        <v>109.72824168504819</v>
      </c>
      <c r="GP338" s="102">
        <f>$GG338*EH338*'Feedstock Conversion Rates'!B$9</f>
        <v>4.1243885128602242</v>
      </c>
      <c r="GQ338" s="102">
        <f t="shared" si="356"/>
        <v>3890.759916608471</v>
      </c>
      <c r="GR338" s="85">
        <f t="shared" si="293"/>
        <v>7.9547179597908437</v>
      </c>
      <c r="GT338" s="103">
        <f t="shared" si="333"/>
        <v>3.3515521425375033E-2</v>
      </c>
      <c r="GU338" s="103">
        <f t="shared" si="334"/>
        <v>9.9173925325856116E-2</v>
      </c>
      <c r="GV338" s="103">
        <f t="shared" si="335"/>
        <v>0.55923300602579473</v>
      </c>
      <c r="GW338" s="103">
        <f t="shared" si="331"/>
        <v>6.6017224849102038E-2</v>
      </c>
      <c r="GX338" s="103">
        <f t="shared" si="331"/>
        <v>8.3501452360783143E-2</v>
      </c>
      <c r="GY338" s="103">
        <f t="shared" si="331"/>
        <v>0.12929655811563509</v>
      </c>
      <c r="GZ338" s="103">
        <f t="shared" si="331"/>
        <v>2.8202264862617628E-2</v>
      </c>
      <c r="HA338" s="103">
        <f t="shared" si="331"/>
        <v>1.0600470348361673E-3</v>
      </c>
    </row>
    <row r="339" spans="1:209" x14ac:dyDescent="0.25">
      <c r="A339" s="96">
        <v>50740</v>
      </c>
      <c r="B339" s="104">
        <f t="shared" si="362"/>
        <v>104.25</v>
      </c>
      <c r="C339" s="104">
        <f t="shared" si="314"/>
        <v>49</v>
      </c>
      <c r="D339" s="104">
        <f t="shared" si="363"/>
        <v>2</v>
      </c>
      <c r="E339" s="104">
        <f>('Renewable Diesel'!B348*E$3*'Feedstock Conversion Rates'!$B$2)/12+26+13-100+27.5+39</f>
        <v>95.43</v>
      </c>
      <c r="F339" s="104">
        <f>('Renewable Diesel'!B348*'RD Feedstock Breakdown'!F$3*'Feedstock Conversion Rates'!B$8)/12+77+23-10-12-115.75+24+8</f>
        <v>48.15625</v>
      </c>
      <c r="G339" s="104">
        <f>('Renewable Diesel'!B348*'RD Feedstock Breakdown'!G$3*'Feedstock Conversion Rates'!B$7)/12+116.75-39-57.5-145-31.5+32+70-40+10+25</f>
        <v>116.90700000000004</v>
      </c>
      <c r="H339" s="104">
        <f>('Renewable Diesel'!B348*'RD Feedstock Breakdown'!H$3*'Feedstock Conversion Rates'!B$3)/12+67+10+12+3-235+20+47-20</f>
        <v>80.400224999999978</v>
      </c>
      <c r="I339" s="106">
        <f t="shared" si="291"/>
        <v>496.14347500000002</v>
      </c>
      <c r="J339" s="104">
        <f t="shared" si="332"/>
        <v>4</v>
      </c>
      <c r="K339" s="104"/>
      <c r="L339" s="104">
        <v>1</v>
      </c>
      <c r="M339" s="104">
        <f>('Renewable Diesel'!C348*'RD Feedstock Breakdown'!M$3*'Feedstock Conversion Rates'!B$2)/12</f>
        <v>7.7902500000000003</v>
      </c>
      <c r="N339" s="104">
        <f>('Renewable Diesel'!C348*'RD Feedstock Breakdown'!N$3*'Feedstock Conversion Rates'!B$8)/12</f>
        <v>3.671875</v>
      </c>
      <c r="O339" s="104">
        <f>('Renewable Diesel'!C348*'RD Feedstock Breakdown'!O$3*'Feedstock Conversion Rates'!B$7)/12</f>
        <v>11.9991</v>
      </c>
      <c r="P339" s="104">
        <f>('Renewable Diesel'!C348*'RD Feedstock Breakdown'!P$3*'Feedstock Conversion Rates'!B$3)/12</f>
        <v>10.4470425</v>
      </c>
      <c r="Q339" s="106">
        <f t="shared" si="299"/>
        <v>38.908267500000001</v>
      </c>
      <c r="R339" s="104">
        <f>('Renewable Diesel'!D348*'RD Feedstock Breakdown'!R$3*'Feedstock Conversion Rates'!B$7)/12</f>
        <v>2.2999999999999998</v>
      </c>
      <c r="S339" s="106">
        <f t="shared" si="329"/>
        <v>2.2999999999999998</v>
      </c>
      <c r="T339" s="104">
        <f t="shared" si="300"/>
        <v>0.82499999999999929</v>
      </c>
      <c r="U339" s="104"/>
      <c r="V339" s="104">
        <f>('Renewable Diesel'!E348*'RD Feedstock Breakdown'!V$3*'Feedstock Conversion Rates'!B$6)/12-20+25</f>
        <v>49.250150000000012</v>
      </c>
      <c r="W339" s="104">
        <f>('Renewable Diesel'!E348*'RD Feedstock Breakdown'!W$3*'Feedstock Conversion Rates'!B$8)/12-6</f>
        <v>16.1796875</v>
      </c>
      <c r="X339" s="106">
        <f t="shared" si="357"/>
        <v>66.254837500000008</v>
      </c>
      <c r="Y339" s="104">
        <f t="shared" si="301"/>
        <v>98</v>
      </c>
      <c r="Z339" s="104">
        <f>('Renewable Diesel'!F348*'RD Feedstock Breakdown'!Z$3*'Feedstock Conversion Rates'!B$6)/12-142+15+5+20+5+5</f>
        <v>67.460000000000008</v>
      </c>
      <c r="AA339" s="104">
        <f>('Renewable Diesel'!F348*'RD Feedstock Breakdown'!AA$3*'Feedstock Conversion Rates'!B$7)/12+24</f>
        <v>128.26666666666665</v>
      </c>
      <c r="AB339" s="106">
        <f t="shared" si="320"/>
        <v>293.72666666666669</v>
      </c>
      <c r="AC339" s="104">
        <f>('Renewable Diesel'!G348*'RD Feedstock Breakdown'!AC$3*'Feedstock Conversion Rates'!B$5)/12</f>
        <v>11.796875</v>
      </c>
      <c r="AD339" s="104">
        <f>('Renewable Diesel'!G348*'RD Feedstock Breakdown'!AD$3*'Feedstock Conversion Rates'!B$4)/12</f>
        <v>5.859375</v>
      </c>
      <c r="AE339" s="104">
        <f>('Renewable Diesel'!G348*'RD Feedstock Breakdown'!AE$3*'Feedstock Conversion Rates'!B$6)/12</f>
        <v>7.3281250000000009</v>
      </c>
      <c r="AF339" s="106">
        <f t="shared" si="284"/>
        <v>24.984375</v>
      </c>
      <c r="AG339" s="104">
        <f t="shared" si="306"/>
        <v>148</v>
      </c>
      <c r="AH339" s="104"/>
      <c r="AI339" s="104">
        <f>('Renewable Diesel'!H348*'RD Feedstock Breakdown'!AI$3*'Feedstock Conversion Rates'!B$6)/12-130-20+51-49</f>
        <v>0.51666666666667993</v>
      </c>
      <c r="AJ339" s="106">
        <f t="shared" si="328"/>
        <v>148.51666666666668</v>
      </c>
      <c r="AK339" s="104">
        <f>('Renewable Diesel'!J348*'RD Feedstock Breakdown'!AK$3*'Feedstock Conversion Rates'!B$4)/12</f>
        <v>95.8125</v>
      </c>
      <c r="AL339" s="106">
        <f t="shared" si="330"/>
        <v>95.8125</v>
      </c>
      <c r="AM339" s="104">
        <f>('Renewable Diesel'!K348*'RD Feedstock Breakdown'!AM$3*'Feedstock Conversion Rates'!B$4)/12+5+15-10+10</f>
        <v>78.59375</v>
      </c>
      <c r="AN339" s="104">
        <f>('Renewable Diesel'!K348*'RD Feedstock Breakdown'!AN$3*'Feedstock Conversion Rates'!B$6)/12-5-15+10-10</f>
        <v>4.4270833333333321</v>
      </c>
      <c r="AO339" s="106">
        <f t="shared" si="350"/>
        <v>83.020833333333329</v>
      </c>
      <c r="AP339" s="104">
        <f>('Renewable Diesel'!L348*'RD Feedstock Breakdown'!AP$3*'Feedstock Conversion Rates'!B$4)/12+15-10+15</f>
        <v>78.59375</v>
      </c>
      <c r="AQ339" s="104">
        <f>('Renewable Diesel'!L348*'RD Feedstock Breakdown'!AQ$3*'Feedstock Conversion Rates'!B$6)/12-15+10-15</f>
        <v>4.4270833333333321</v>
      </c>
      <c r="AR339" s="106">
        <f t="shared" si="339"/>
        <v>83.020833333333329</v>
      </c>
      <c r="AS339" s="104">
        <f>('Renewable Diesel'!M348*'RD Feedstock Breakdown'!AS$3*'Feedstock Conversion Rates'!B$4)/12</f>
        <v>456.25</v>
      </c>
      <c r="AT339" s="104">
        <f>('Renewable Diesel'!M348*'RD Feedstock Breakdown'!AT$3*'Feedstock Conversion Rates'!B$5)/12</f>
        <v>0</v>
      </c>
      <c r="AU339" s="106">
        <f t="shared" si="290"/>
        <v>456.25</v>
      </c>
      <c r="AV339" s="104">
        <f>'Renewable Diesel'!N348*'RD Feedstock Breakdown'!$AV$3*'Feedstock Conversion Rates'!$B$4/12-15-10+25+25-22+25</f>
        <v>106.74999999999999</v>
      </c>
      <c r="AW339" s="104">
        <f>'Renewable Diesel'!N348*'RD Feedstock Breakdown'!$AW$3*'Feedstock Conversion Rates'!$B$7/12+15+10-25-25+22-25</f>
        <v>13.400000000000006</v>
      </c>
      <c r="AX339" s="106">
        <f t="shared" si="322"/>
        <v>120.14999999999999</v>
      </c>
      <c r="AY339" s="104">
        <f>('Renewable Diesel'!O348*'RD Feedstock Breakdown'!AY$3*'Feedstock Conversion Rates'!B$4)/12</f>
        <v>210.9375</v>
      </c>
      <c r="AZ339" s="104">
        <f>('Renewable Diesel'!O348*'RD Feedstock Breakdown'!AZ$3*'Feedstock Conversion Rates'!B$3)/12</f>
        <v>25.03125</v>
      </c>
      <c r="BA339" s="106">
        <f t="shared" si="302"/>
        <v>235.96875</v>
      </c>
      <c r="BB339" s="104">
        <f>('Renewable Diesel'!Q348*'RD Feedstock Breakdown'!BB$3*'Feedstock Conversion Rates'!B$4)/12</f>
        <v>11.156249999999998</v>
      </c>
      <c r="BC339" s="104">
        <f>('Renewable Diesel'!Q348*'RD Feedstock Breakdown'!BC$3*'Feedstock Conversion Rates'!B$3)/12</f>
        <v>1.4017500000000001</v>
      </c>
      <c r="BD339" s="104">
        <f>('Renewable Diesel'!Q348*'RD Feedstock Breakdown'!BD$3*'Feedstock Conversion Rates'!B$6)/12</f>
        <v>0.8207500000000002</v>
      </c>
      <c r="BE339" s="106">
        <f t="shared" si="359"/>
        <v>13.378749999999998</v>
      </c>
      <c r="BF339" s="104">
        <f>('Renewable Diesel'!R348*'RD Feedstock Breakdown'!BF$3*'Feedstock Conversion Rates'!B$4)/12</f>
        <v>62.5</v>
      </c>
      <c r="BG339" s="106">
        <f t="shared" si="344"/>
        <v>62.5</v>
      </c>
      <c r="BH339" s="104">
        <f>('Renewable Diesel'!T348*'RD Feedstock Breakdown'!BH$3*'Feedstock Conversion Rates'!B$7)/12</f>
        <v>27.599999999999998</v>
      </c>
      <c r="BI339" s="106">
        <f t="shared" si="327"/>
        <v>27.599999999999998</v>
      </c>
      <c r="BJ339" s="104">
        <f>('Renewable Diesel'!W348*'RD Feedstock Breakdown'!BJ$3*'Feedstock Conversion Rates'!B$4)/12</f>
        <v>7.5</v>
      </c>
      <c r="BK339" s="104">
        <f>('Renewable Diesel'!W348*'RD Feedstock Breakdown'!BK$3*'Feedstock Conversion Rates'!B$3)/12</f>
        <v>1.335</v>
      </c>
      <c r="BL339" s="104">
        <f>('Renewable Diesel'!W348*'RD Feedstock Breakdown'!BL$3*'Feedstock Conversion Rates'!B$6)/12</f>
        <v>3.1266666666666669</v>
      </c>
      <c r="BM339" s="104">
        <f>('Renewable Diesel'!W348*'RD Feedstock Breakdown'!BM$3*'Feedstock Conversion Rates'!B$7)/12</f>
        <v>1.5333333333333332</v>
      </c>
      <c r="BN339" s="106">
        <f t="shared" si="296"/>
        <v>13.495000000000001</v>
      </c>
      <c r="BO339" s="104">
        <f>('Renewable Diesel'!P348*'Feedstock Conversion Rates'!B$4)/12</f>
        <v>31.25</v>
      </c>
      <c r="BP339" s="106">
        <f t="shared" si="285"/>
        <v>31.25</v>
      </c>
      <c r="BQ339" s="104">
        <f>('Renewable Diesel'!$S348*'RD Feedstock Breakdown'!BQ$3*'Feedstock Conversion Rates'!B$4)/12+10+15-15</f>
        <v>38.125</v>
      </c>
      <c r="BR339" s="104">
        <f>('Renewable Diesel'!$S348*'RD Feedstock Breakdown'!BR$3*'Feedstock Conversion Rates'!B$7)/12-10-15+15</f>
        <v>1.5</v>
      </c>
      <c r="BS339" s="106">
        <f t="shared" si="307"/>
        <v>39.625</v>
      </c>
      <c r="BT339" s="106"/>
      <c r="BU339" s="104">
        <f>('Renewable Diesel'!Y348*'Feedstock Conversion Rates'!B$7)/12</f>
        <v>2.6833333333333331</v>
      </c>
      <c r="BV339" s="106">
        <f t="shared" si="361"/>
        <v>2.6833333333333331</v>
      </c>
      <c r="BW339" s="104">
        <f>('Renewable Diesel'!$Z348*'RD Feedstock Breakdown'!BW$3*'Feedstock Conversion Rates'!$B$4)/12-180+110</f>
        <v>1.875</v>
      </c>
      <c r="BX339" s="104">
        <f>('Renewable Diesel'!$Z348*'RD Feedstock Breakdown'!BX$3*'Feedstock Conversion Rates'!$B$5)/12</f>
        <v>7.2354166666666666</v>
      </c>
      <c r="BY339" s="104">
        <f>('Renewable Diesel'!$Z348*'RD Feedstock Breakdown'!BY$3*'Feedstock Conversion Rates'!$B$7)/12</f>
        <v>61.716666666666661</v>
      </c>
      <c r="BZ339" s="104">
        <f>('Renewable Diesel'!$Z348*'RD Feedstock Breakdown'!BZ$3*'Feedstock Conversion Rates'!$B$3)/12+180-110</f>
        <v>85.352499999999992</v>
      </c>
      <c r="CA339" s="106">
        <f t="shared" si="312"/>
        <v>156.17958333333331</v>
      </c>
      <c r="CB339" s="104">
        <f>('Renewable Diesel'!AA348*'Feedstock Conversion Rates'!B$4)/12</f>
        <v>191.25</v>
      </c>
      <c r="CC339" s="106">
        <f t="shared" si="298"/>
        <v>191.25</v>
      </c>
      <c r="CD339" s="104">
        <f>('Renewable Diesel'!$AB348*'RD Feedstock Breakdown'!CD$3*'Feedstock Conversion Rates'!$B$6)/12-15-5</f>
        <v>12.830000000000005</v>
      </c>
      <c r="CE339" s="104">
        <f>('Renewable Diesel'!$AB348*'RD Feedstock Breakdown'!CE$3*'Feedstock Conversion Rates'!$B$4)/12+15+5</f>
        <v>31.25</v>
      </c>
      <c r="CF339" s="106">
        <f t="shared" si="294"/>
        <v>44.080000000000005</v>
      </c>
      <c r="CG339" s="104">
        <f>('Renewable Diesel'!AD348*'Feedstock Conversion Rates'!B$4)/12</f>
        <v>112.5</v>
      </c>
      <c r="CH339" s="106">
        <f t="shared" si="358"/>
        <v>112.5</v>
      </c>
      <c r="CI339" s="104">
        <f>('Renewable Diesel'!$AE348*'RD Feedstock Breakdown'!CI$3*'Feedstock Conversion Rates'!$B$5)/12</f>
        <v>0.34604166666666664</v>
      </c>
      <c r="CJ339" s="104">
        <f>('Renewable Diesel'!$AE348*'RD Feedstock Breakdown'!CJ$3*'Feedstock Conversion Rates'!$B$4)/12</f>
        <v>0.34375</v>
      </c>
      <c r="CK339" s="106">
        <f t="shared" si="286"/>
        <v>0.68979166666666658</v>
      </c>
      <c r="CL339" s="104">
        <f>(((CL$3*'Renewable Diesel'!$AF348)*'Feedstock Conversion Rates'!$B$3)/12)</f>
        <v>91.78125</v>
      </c>
      <c r="CM339" s="104">
        <f>(((CM$3*'Renewable Diesel'!$AF348)*'Feedstock Conversion Rates'!$B$6)/12)</f>
        <v>53.739583333333336</v>
      </c>
      <c r="CN339" s="104">
        <f>(((CN$3*'Renewable Diesel'!$AF348)*'Feedstock Conversion Rates'!$B$4)/12)</f>
        <v>42.96875</v>
      </c>
      <c r="CO339" s="106">
        <f t="shared" si="360"/>
        <v>188.48958333333334</v>
      </c>
      <c r="CP339" s="104">
        <f>('Renewable Diesel'!$AG348*'RD Feedstock Breakdown'!CP$3*'Feedstock Conversion Rates'!$B$3)/12</f>
        <v>6.0075000000000003</v>
      </c>
      <c r="CQ339" s="104">
        <f>('Renewable Diesel'!$AG348*'RD Feedstock Breakdown'!CQ$3*'Feedstock Conversion Rates'!$B$6)/12</f>
        <v>3.5175000000000001</v>
      </c>
      <c r="CR339" s="104">
        <f>('Renewable Diesel'!$AG348*'RD Feedstock Breakdown'!CR$3*'Feedstock Conversion Rates'!$B$4)/12</f>
        <v>2.8125</v>
      </c>
      <c r="CS339" s="106">
        <f t="shared" si="317"/>
        <v>12.3375</v>
      </c>
      <c r="CT339" s="104">
        <f>('Renewable Diesel'!AI348*'Feedstock Conversion Rates'!$B$4*'RD Feedstock Breakdown'!$CT$3)/12</f>
        <v>29.375</v>
      </c>
      <c r="CU339" s="106">
        <f t="shared" ref="CU339:CU402" si="364">CT339</f>
        <v>29.375</v>
      </c>
      <c r="CV339" s="104">
        <f>('Renewable Diesel'!AN348*'Feedstock Conversion Rates'!$B$3*'RD Feedstock Breakdown'!$CV$3)/12</f>
        <v>0.50062499999999999</v>
      </c>
      <c r="CW339" s="106">
        <f t="shared" si="338"/>
        <v>0.50062499999999999</v>
      </c>
      <c r="CX339" s="104">
        <f>('Renewable Diesel'!AO348*'RD Feedstock Breakdown'!$CX$3*'Feedstock Conversion Rates'!$B$3)/12</f>
        <v>6.3412499999999996</v>
      </c>
      <c r="CY339" s="104">
        <f>('Renewable Diesel'!AO348*'RD Feedstock Breakdown'!$CY$3*'Feedstock Conversion Rates'!$B$6)/12</f>
        <v>7.4258333333333342</v>
      </c>
      <c r="CZ339" s="106">
        <f t="shared" si="318"/>
        <v>13.767083333333334</v>
      </c>
      <c r="DA339" s="104">
        <f>('Renewable Diesel'!$AP348*'RD Feedstock Breakdown'!DA$3*'Feedstock Conversion Rates'!$B$3)/12</f>
        <v>6.3412499999999996</v>
      </c>
      <c r="DB339" s="104">
        <f>('Renewable Diesel'!$AP348*'RD Feedstock Breakdown'!DB$3*'Feedstock Conversion Rates'!$B$8)/12</f>
        <v>7.421875</v>
      </c>
      <c r="DC339" s="106">
        <f t="shared" si="342"/>
        <v>13.763124999999999</v>
      </c>
      <c r="DD339" s="104">
        <f>('Renewable Diesel'!AQ348*$DD$3*'Feedstock Conversion Rates'!$B$14)/12</f>
        <v>3.1041666666666665</v>
      </c>
      <c r="DE339" s="106">
        <f t="shared" si="343"/>
        <v>3.1041666666666665</v>
      </c>
      <c r="DF339" s="104">
        <f>('Renewable Diesel'!AR348*'Feedstock Conversion Rates'!$B$4*$DF$3)/12</f>
        <v>75</v>
      </c>
      <c r="DG339" s="106">
        <f t="shared" si="319"/>
        <v>75</v>
      </c>
      <c r="DH339" s="104">
        <f>('Renewable Diesel'!AS348*'Feedstock Conversion Rates'!$B$4*$DH$3)/12</f>
        <v>75</v>
      </c>
      <c r="DI339" s="106">
        <f t="shared" si="323"/>
        <v>75</v>
      </c>
      <c r="DJ339" s="104">
        <f>('Renewable Diesel'!AT348*'Feedstock Conversion Rates'!$B$4*0.25)/12</f>
        <v>8.59375</v>
      </c>
      <c r="DK339" s="104">
        <f>('Renewable Diesel'!$AT348*'RD Feedstock Breakdown'!DK$3*'Feedstock Conversion Rates'!$B$3)/12*0.5</f>
        <v>9.1781249999999996</v>
      </c>
      <c r="DL339" s="104">
        <f>('Renewable Diesel'!$AT348*'RD Feedstock Breakdown'!$DL$3*'Feedstock Conversion Rates'!$B$6)/12</f>
        <v>10.747916666666669</v>
      </c>
      <c r="DM339" s="104">
        <f>('Renewable Diesel'!$AT348*'RD Feedstock Breakdown'!$DM$3*'Feedstock Conversion Rates'!$B$8)/12</f>
        <v>10.7421875</v>
      </c>
      <c r="DN339" s="106">
        <f t="shared" si="297"/>
        <v>39.26197916666667</v>
      </c>
      <c r="DP339" s="104">
        <f t="shared" si="345"/>
        <v>103.22025000000001</v>
      </c>
      <c r="DQ339" s="104">
        <f t="shared" si="346"/>
        <v>324.11776750000001</v>
      </c>
      <c r="DR339" s="104">
        <f t="shared" si="351"/>
        <v>1951.953125</v>
      </c>
      <c r="DS339" s="104">
        <f t="shared" si="283"/>
        <v>228.90125</v>
      </c>
      <c r="DT339" s="104">
        <f t="shared" si="347"/>
        <v>233.03923333333344</v>
      </c>
      <c r="DU339" s="104">
        <f t="shared" si="348"/>
        <v>367.90610000000009</v>
      </c>
      <c r="DV339" s="104">
        <f t="shared" si="352"/>
        <v>78.75</v>
      </c>
      <c r="DW339" s="104">
        <f t="shared" si="349"/>
        <v>3</v>
      </c>
      <c r="DX339" s="106">
        <f t="shared" si="353"/>
        <v>3290.8877258333337</v>
      </c>
      <c r="DY339" s="109">
        <f t="shared" si="340"/>
        <v>-5.631051180898794E-13</v>
      </c>
      <c r="EA339" s="110">
        <f t="shared" si="313"/>
        <v>3.1365472966374777E-2</v>
      </c>
      <c r="EB339" s="110">
        <f t="shared" si="313"/>
        <v>9.848946378683443E-2</v>
      </c>
      <c r="EC339" s="110">
        <f t="shared" si="313"/>
        <v>0.59313877823216155</v>
      </c>
      <c r="ED339" s="110">
        <f t="shared" si="308"/>
        <v>6.955608002154999E-2</v>
      </c>
      <c r="EE339" s="110">
        <f t="shared" si="308"/>
        <v>7.0813486435281583E-2</v>
      </c>
      <c r="EF339" s="110">
        <f t="shared" si="308"/>
        <v>0.11179539706321559</v>
      </c>
      <c r="EG339" s="110">
        <f t="shared" si="308"/>
        <v>2.3929713366340557E-2</v>
      </c>
      <c r="EH339" s="111">
        <f t="shared" si="354"/>
        <v>9.1160812824154505E-4</v>
      </c>
      <c r="EI339" s="110">
        <f t="shared" si="321"/>
        <v>0.99908839187175846</v>
      </c>
      <c r="EK339" s="132">
        <f>(EA339*'Renewable Diesel'!BF348*'Feedstock Conversion Rates'!B$2)+FB339</f>
        <v>747.22519176188939</v>
      </c>
      <c r="EL339" s="132">
        <f>(EB339*'Renewable Diesel'!BF348*'Feedstock Conversion Rates'!B$3)+FC339</f>
        <v>2211.0727274344626</v>
      </c>
      <c r="EM339" s="132">
        <f>(EC339*'Renewable Diesel'!BF348*'Feedstock Conversion Rates'!B$4)+FD339</f>
        <v>12468.043831501465</v>
      </c>
      <c r="EN339" s="132">
        <f>(ED339*'Renewable Diesel'!BF348*'Feedstock Conversion Rates'!B$5)+FE339</f>
        <v>1471.8474127664881</v>
      </c>
      <c r="EO339" s="132">
        <f>(EE339*'Renewable Diesel'!BF348*'Feedstock Conversion Rates'!B$6)+FF339</f>
        <v>1861.6565131355187</v>
      </c>
      <c r="EP339" s="132">
        <f>(EF339*'Renewable Diesel'!BF348*'Feedstock Conversion Rates'!B$7)+FG339</f>
        <v>2882.653807049539</v>
      </c>
      <c r="EQ339" s="132">
        <f>(EG339*'Renewable Diesel'!BF348*'Feedstock Conversion Rates'!B$8)+FH339</f>
        <v>628.76666910913934</v>
      </c>
      <c r="ER339" s="132">
        <f>(EH339*'Renewable Diesel'!BF348*'Feedstock Conversion Rates'!B$9)+FI339</f>
        <v>23.633642419848286</v>
      </c>
      <c r="ES339" s="132">
        <f t="shared" si="355"/>
        <v>22294.899795178353</v>
      </c>
      <c r="ET339" s="133">
        <f>ES339/'Renewable Diesel'!BF348</f>
        <v>19.937157478482927</v>
      </c>
      <c r="EW339" s="73">
        <f t="shared" si="309"/>
        <v>22317.911225895554</v>
      </c>
      <c r="EX339" s="73">
        <f t="shared" si="310"/>
        <v>13376.455803232393</v>
      </c>
      <c r="EY339" s="92">
        <f t="shared" si="341"/>
        <v>1.001032138781901</v>
      </c>
      <c r="EZ339" s="92">
        <f t="shared" si="341"/>
        <v>0.59997828768556638</v>
      </c>
      <c r="FB339" s="102">
        <f>IF('Renewable Diesel'!$BG348&lt;1,0,(((('Renewable Diesel'!$BG348-1)*'Renewable Diesel'!$BF348)*'RD Feedstock Breakdown'!EA339)*'Feedstock Conversion Rates'!$B$2))</f>
        <v>449.09013116804829</v>
      </c>
      <c r="FC339" s="102">
        <f>IF('Renewable Diesel'!$BG348&lt;1,0,(((('Renewable Diesel'!$BG348-1)*'Renewable Diesel'!$BF348)*'RD Feedstock Breakdown'!EB339)*'Feedstock Conversion Rates'!$B$3))</f>
        <v>1328.8777628659727</v>
      </c>
      <c r="FD339" s="102">
        <f>IF('Renewable Diesel'!$BG348&lt;1,0,(((('Renewable Diesel'!$BG348-1)*'Renewable Diesel'!$BF348)*'RD Feedstock Breakdown'!EC339)*'Feedstock Conversion Rates'!$B$4))</f>
        <v>7493.4243403857727</v>
      </c>
      <c r="FE339" s="102">
        <f>IF('Renewable Diesel'!$BG348&lt;1,0,(((('Renewable Diesel'!$BG348-1)*'Renewable Diesel'!$BF348)*'RD Feedstock Breakdown'!ED339)*'Feedstock Conversion Rates'!$B$5))</f>
        <v>884.59564124182555</v>
      </c>
      <c r="FF339" s="102">
        <f>IF('Renewable Diesel'!$BG348&lt;1,0,(((('Renewable Diesel'!$BG348-1)*'Renewable Diesel'!$BF348)*'RD Feedstock Breakdown'!EE339)*'Feedstock Conversion Rates'!$B$6))</f>
        <v>1118.8749748955165</v>
      </c>
      <c r="FG339" s="102">
        <f>IF('Renewable Diesel'!$BG348&lt;1,0,(((('Renewable Diesel'!$BG348-1)*'Renewable Diesel'!$BF348)*'RD Feedstock Breakdown'!EF339)*'Feedstock Conversion Rates'!$B$7))</f>
        <v>1732.5049939329119</v>
      </c>
      <c r="FH339" s="102">
        <f>IF('Renewable Diesel'!$BG348&lt;1,0,(((('Renewable Diesel'!$BG348-1)*'Renewable Diesel'!$BF348)*'RD Feedstock Breakdown'!EG339)*'Feedstock Conversion Rates'!$B$8))</f>
        <v>377.89532394981285</v>
      </c>
      <c r="FI339" s="102">
        <f>IF('Renewable Diesel'!$BG348&lt;1,0,(((('Renewable Diesel'!$BG348-1)*'Renewable Diesel'!$BF348)*'RD Feedstock Breakdown'!EH339)*'Feedstock Conversion Rates'!$B$9))</f>
        <v>14.204065509732647</v>
      </c>
      <c r="FJ339" s="102">
        <f t="shared" si="311"/>
        <v>13399.467233949594</v>
      </c>
      <c r="GD339" s="91">
        <f>'Renewable Diesel'!BB348*0.32</f>
        <v>0</v>
      </c>
      <c r="GE339" s="91">
        <f>'Renewable Diesel'!BC348</f>
        <v>439.49941331568812</v>
      </c>
      <c r="GF339" s="91">
        <f>'Renewable Diesel'!BD348</f>
        <v>0</v>
      </c>
      <c r="GG339" s="91">
        <f t="shared" si="295"/>
        <v>439.49941331568812</v>
      </c>
      <c r="GH339" s="124">
        <v>1</v>
      </c>
      <c r="GI339" s="102">
        <f>$GG339*EA339*'Feedstock Conversion Rates'!$B$2</f>
        <v>117.17340922027172</v>
      </c>
      <c r="GJ339" s="102">
        <f>$GG339*EB339*'Feedstock Conversion Rates'!$B$3</f>
        <v>346.72135303224445</v>
      </c>
      <c r="GK339" s="102">
        <f>$GG339*EC339*'Feedstock Conversion Rates'!$B$4</f>
        <v>1955.1310878586426</v>
      </c>
      <c r="GL339" s="102">
        <f>$GG339*ED339*'Feedstock Conversion Rates'!$B$5</f>
        <v>230.80241553317759</v>
      </c>
      <c r="GM339" s="102">
        <f>$GG339*EE339*'Feedstock Conversion Rates'!$B$6</f>
        <v>291.92891627069724</v>
      </c>
      <c r="GN339" s="102">
        <f>$GG339*EF339*'Feedstock Conversion Rates'!$B$7</f>
        <v>452.03290507023434</v>
      </c>
      <c r="GO339" s="102">
        <f>$GG339*EG339*'Feedstock Conversion Rates'!$B$8</f>
        <v>98.597765487368022</v>
      </c>
      <c r="GP339" s="102">
        <f>$GG339*EH339*'Feedstock Conversion Rates'!B$9</f>
        <v>3.7060239472077376</v>
      </c>
      <c r="GQ339" s="102">
        <f t="shared" si="356"/>
        <v>3496.093876419844</v>
      </c>
      <c r="GR339" s="85">
        <f t="shared" si="293"/>
        <v>7.9547179597908455</v>
      </c>
      <c r="GT339" s="103">
        <f t="shared" si="333"/>
        <v>3.3515521425375026E-2</v>
      </c>
      <c r="GU339" s="103">
        <f t="shared" si="334"/>
        <v>9.9173925325856102E-2</v>
      </c>
      <c r="GV339" s="103">
        <f t="shared" si="335"/>
        <v>0.55923300602579473</v>
      </c>
      <c r="GW339" s="103">
        <f t="shared" si="331"/>
        <v>6.6017224849102024E-2</v>
      </c>
      <c r="GX339" s="103">
        <f t="shared" si="331"/>
        <v>8.3501452360783129E-2</v>
      </c>
      <c r="GY339" s="103">
        <f t="shared" si="331"/>
        <v>0.12929655811563509</v>
      </c>
      <c r="GZ339" s="103">
        <f t="shared" si="331"/>
        <v>2.8202264862617624E-2</v>
      </c>
      <c r="HA339" s="103">
        <f t="shared" si="331"/>
        <v>1.0600470348361671E-3</v>
      </c>
    </row>
    <row r="340" spans="1:209" x14ac:dyDescent="0.25">
      <c r="A340" s="96">
        <v>50771</v>
      </c>
      <c r="B340" s="104">
        <f t="shared" si="362"/>
        <v>104.25</v>
      </c>
      <c r="C340" s="104">
        <f t="shared" si="314"/>
        <v>49</v>
      </c>
      <c r="D340" s="104">
        <f t="shared" si="363"/>
        <v>2</v>
      </c>
      <c r="E340" s="104">
        <f>('Renewable Diesel'!B349*E$3*'Feedstock Conversion Rates'!$B$2)/12+26+13-100+27.5+39</f>
        <v>95.43</v>
      </c>
      <c r="F340" s="104">
        <f>('Renewable Diesel'!B349*'RD Feedstock Breakdown'!F$3*'Feedstock Conversion Rates'!B$8)/12+77+23-10-12-115.75+24+8</f>
        <v>48.15625</v>
      </c>
      <c r="G340" s="104">
        <f>('Renewable Diesel'!B349*'RD Feedstock Breakdown'!G$3*'Feedstock Conversion Rates'!B$7)/12+116.75-39-57.5-145-31.5+32+70-40+10+25</f>
        <v>116.90700000000004</v>
      </c>
      <c r="H340" s="104">
        <f>('Renewable Diesel'!B349*'RD Feedstock Breakdown'!H$3*'Feedstock Conversion Rates'!B$3)/12+67+10+12+3-235+20+47-20</f>
        <v>80.400224999999978</v>
      </c>
      <c r="I340" s="106">
        <f t="shared" si="291"/>
        <v>496.14347500000002</v>
      </c>
      <c r="J340" s="104">
        <f t="shared" si="332"/>
        <v>4</v>
      </c>
      <c r="K340" s="104"/>
      <c r="L340" s="104">
        <v>1</v>
      </c>
      <c r="M340" s="104">
        <f>('Renewable Diesel'!C349*'RD Feedstock Breakdown'!M$3*'Feedstock Conversion Rates'!B$2)/12</f>
        <v>7.7902500000000003</v>
      </c>
      <c r="N340" s="104">
        <f>('Renewable Diesel'!C349*'RD Feedstock Breakdown'!N$3*'Feedstock Conversion Rates'!B$8)/12</f>
        <v>3.671875</v>
      </c>
      <c r="O340" s="104">
        <f>('Renewable Diesel'!C349*'RD Feedstock Breakdown'!O$3*'Feedstock Conversion Rates'!B$7)/12</f>
        <v>11.9991</v>
      </c>
      <c r="P340" s="104">
        <f>('Renewable Diesel'!C349*'RD Feedstock Breakdown'!P$3*'Feedstock Conversion Rates'!B$3)/12</f>
        <v>10.4470425</v>
      </c>
      <c r="Q340" s="106">
        <f t="shared" si="299"/>
        <v>38.908267500000001</v>
      </c>
      <c r="R340" s="104">
        <f>('Renewable Diesel'!D349*'RD Feedstock Breakdown'!R$3*'Feedstock Conversion Rates'!B$7)/12</f>
        <v>2.2999999999999998</v>
      </c>
      <c r="S340" s="106">
        <f t="shared" si="329"/>
        <v>2.2999999999999998</v>
      </c>
      <c r="T340" s="104">
        <f t="shared" si="300"/>
        <v>0.82499999999999929</v>
      </c>
      <c r="U340" s="104"/>
      <c r="V340" s="104">
        <f>('Renewable Diesel'!E349*'RD Feedstock Breakdown'!V$3*'Feedstock Conversion Rates'!B$6)/12-20+25</f>
        <v>49.250150000000012</v>
      </c>
      <c r="W340" s="104">
        <f>('Renewable Diesel'!E349*'RD Feedstock Breakdown'!W$3*'Feedstock Conversion Rates'!B$8)/12-6</f>
        <v>16.1796875</v>
      </c>
      <c r="X340" s="106">
        <f t="shared" si="357"/>
        <v>66.254837500000008</v>
      </c>
      <c r="Y340" s="104">
        <f t="shared" si="301"/>
        <v>98</v>
      </c>
      <c r="Z340" s="104">
        <f>('Renewable Diesel'!F349*'RD Feedstock Breakdown'!Z$3*'Feedstock Conversion Rates'!B$6)/12-142+15+5+20+5+15</f>
        <v>77.460000000000008</v>
      </c>
      <c r="AA340" s="104">
        <f>('Renewable Diesel'!F349*'RD Feedstock Breakdown'!AA$3*'Feedstock Conversion Rates'!B$7)/12+24</f>
        <v>128.26666666666665</v>
      </c>
      <c r="AB340" s="106">
        <f t="shared" si="320"/>
        <v>303.72666666666669</v>
      </c>
      <c r="AC340" s="104">
        <f>('Renewable Diesel'!G349*'RD Feedstock Breakdown'!AC$3*'Feedstock Conversion Rates'!B$5)/12</f>
        <v>11.796875</v>
      </c>
      <c r="AD340" s="104">
        <f>('Renewable Diesel'!G349*'RD Feedstock Breakdown'!AD$3*'Feedstock Conversion Rates'!B$4)/12</f>
        <v>5.859375</v>
      </c>
      <c r="AE340" s="104">
        <f>('Renewable Diesel'!G349*'RD Feedstock Breakdown'!AE$3*'Feedstock Conversion Rates'!B$6)/12</f>
        <v>7.3281250000000009</v>
      </c>
      <c r="AF340" s="106">
        <f t="shared" si="284"/>
        <v>24.984375</v>
      </c>
      <c r="AG340" s="104">
        <f t="shared" si="306"/>
        <v>148</v>
      </c>
      <c r="AH340" s="104"/>
      <c r="AI340" s="104">
        <f>('Renewable Diesel'!H349*'RD Feedstock Breakdown'!AI$3*'Feedstock Conversion Rates'!B$6)/12-130-20+51-49</f>
        <v>0.51666666666667993</v>
      </c>
      <c r="AJ340" s="106">
        <f t="shared" si="328"/>
        <v>148.51666666666668</v>
      </c>
      <c r="AK340" s="104">
        <f>('Renewable Diesel'!J349*'RD Feedstock Breakdown'!AK$3*'Feedstock Conversion Rates'!B$4)/12</f>
        <v>95.8125</v>
      </c>
      <c r="AL340" s="106">
        <f t="shared" si="330"/>
        <v>95.8125</v>
      </c>
      <c r="AM340" s="104">
        <f>('Renewable Diesel'!K349*'RD Feedstock Breakdown'!AM$3*'Feedstock Conversion Rates'!B$4)/12+5+15-10+10</f>
        <v>78.59375</v>
      </c>
      <c r="AN340" s="104">
        <f>('Renewable Diesel'!K349*'RD Feedstock Breakdown'!AN$3*'Feedstock Conversion Rates'!B$6)/12-5-15+10-10</f>
        <v>4.4270833333333321</v>
      </c>
      <c r="AO340" s="106">
        <f t="shared" si="350"/>
        <v>83.020833333333329</v>
      </c>
      <c r="AP340" s="104">
        <f>('Renewable Diesel'!L349*'RD Feedstock Breakdown'!AP$3*'Feedstock Conversion Rates'!B$4)/12+15-10+15</f>
        <v>78.59375</v>
      </c>
      <c r="AQ340" s="104">
        <f>('Renewable Diesel'!L349*'RD Feedstock Breakdown'!AQ$3*'Feedstock Conversion Rates'!B$6)/12-15+10-15</f>
        <v>4.4270833333333321</v>
      </c>
      <c r="AR340" s="106">
        <f t="shared" si="339"/>
        <v>83.020833333333329</v>
      </c>
      <c r="AS340" s="104">
        <f>('Renewable Diesel'!M349*'RD Feedstock Breakdown'!AS$3*'Feedstock Conversion Rates'!B$4)/12</f>
        <v>456.25</v>
      </c>
      <c r="AT340" s="104">
        <f>('Renewable Diesel'!M349*'RD Feedstock Breakdown'!AT$3*'Feedstock Conversion Rates'!B$5)/12</f>
        <v>0</v>
      </c>
      <c r="AU340" s="106">
        <f t="shared" si="290"/>
        <v>456.25</v>
      </c>
      <c r="AV340" s="104">
        <f>'Renewable Diesel'!N349*'RD Feedstock Breakdown'!$AV$3*'Feedstock Conversion Rates'!$B$4/12-15-10+25+25-22+25</f>
        <v>106.74999999999999</v>
      </c>
      <c r="AW340" s="104">
        <f>'Renewable Diesel'!N349*'RD Feedstock Breakdown'!$AW$3*'Feedstock Conversion Rates'!$B$7/12+15+10-25-25+22-25</f>
        <v>13.400000000000006</v>
      </c>
      <c r="AX340" s="106">
        <f t="shared" si="322"/>
        <v>120.14999999999999</v>
      </c>
      <c r="AY340" s="104">
        <f>('Renewable Diesel'!O349*'RD Feedstock Breakdown'!AY$3*'Feedstock Conversion Rates'!B$4)/12</f>
        <v>210.9375</v>
      </c>
      <c r="AZ340" s="104">
        <f>('Renewable Diesel'!O349*'RD Feedstock Breakdown'!AZ$3*'Feedstock Conversion Rates'!B$3)/12</f>
        <v>25.03125</v>
      </c>
      <c r="BA340" s="106">
        <f t="shared" si="302"/>
        <v>235.96875</v>
      </c>
      <c r="BB340" s="104">
        <f>('Renewable Diesel'!Q349*'RD Feedstock Breakdown'!BB$3*'Feedstock Conversion Rates'!B$4)/12</f>
        <v>11.156249999999998</v>
      </c>
      <c r="BC340" s="104">
        <f>('Renewable Diesel'!Q349*'RD Feedstock Breakdown'!BC$3*'Feedstock Conversion Rates'!B$3)/12</f>
        <v>1.4017500000000001</v>
      </c>
      <c r="BD340" s="104">
        <f>('Renewable Diesel'!Q349*'RD Feedstock Breakdown'!BD$3*'Feedstock Conversion Rates'!B$6)/12</f>
        <v>0.8207500000000002</v>
      </c>
      <c r="BE340" s="106">
        <f t="shared" si="359"/>
        <v>13.378749999999998</v>
      </c>
      <c r="BF340" s="104">
        <f>('Renewable Diesel'!R349*'RD Feedstock Breakdown'!BF$3*'Feedstock Conversion Rates'!B$4)/12</f>
        <v>62.5</v>
      </c>
      <c r="BG340" s="106">
        <f t="shared" si="344"/>
        <v>62.5</v>
      </c>
      <c r="BH340" s="104">
        <f>('Renewable Diesel'!T349*'RD Feedstock Breakdown'!BH$3*'Feedstock Conversion Rates'!B$7)/12</f>
        <v>27.599999999999998</v>
      </c>
      <c r="BI340" s="106">
        <f t="shared" si="327"/>
        <v>27.599999999999998</v>
      </c>
      <c r="BJ340" s="104">
        <f>('Renewable Diesel'!W349*'RD Feedstock Breakdown'!BJ$3*'Feedstock Conversion Rates'!B$4)/12</f>
        <v>7.5</v>
      </c>
      <c r="BK340" s="104">
        <f>('Renewable Diesel'!W349*'RD Feedstock Breakdown'!BK$3*'Feedstock Conversion Rates'!B$3)/12</f>
        <v>1.335</v>
      </c>
      <c r="BL340" s="104">
        <f>('Renewable Diesel'!W349*'RD Feedstock Breakdown'!BL$3*'Feedstock Conversion Rates'!B$6)/12</f>
        <v>3.1266666666666669</v>
      </c>
      <c r="BM340" s="104">
        <f>('Renewable Diesel'!W349*'RD Feedstock Breakdown'!BM$3*'Feedstock Conversion Rates'!B$7)/12</f>
        <v>1.5333333333333332</v>
      </c>
      <c r="BN340" s="106">
        <f t="shared" si="296"/>
        <v>13.495000000000001</v>
      </c>
      <c r="BO340" s="104">
        <f>('Renewable Diesel'!P349*'Feedstock Conversion Rates'!B$4)/12</f>
        <v>31.25</v>
      </c>
      <c r="BP340" s="106">
        <f t="shared" si="285"/>
        <v>31.25</v>
      </c>
      <c r="BQ340" s="104">
        <f>('Renewable Diesel'!$S349*'RD Feedstock Breakdown'!BQ$3*'Feedstock Conversion Rates'!B$4)/12+10+15-15</f>
        <v>38.125</v>
      </c>
      <c r="BR340" s="104">
        <f>('Renewable Diesel'!$S349*'RD Feedstock Breakdown'!BR$3*'Feedstock Conversion Rates'!B$7)/12-10-15+15</f>
        <v>1.5</v>
      </c>
      <c r="BS340" s="106">
        <f t="shared" si="307"/>
        <v>39.625</v>
      </c>
      <c r="BT340" s="106"/>
      <c r="BU340" s="104">
        <f>('Renewable Diesel'!Y349*'Feedstock Conversion Rates'!B$7)/12</f>
        <v>2.6833333333333331</v>
      </c>
      <c r="BV340" s="106">
        <f t="shared" si="361"/>
        <v>2.6833333333333331</v>
      </c>
      <c r="BW340" s="104">
        <f>('Renewable Diesel'!$Z349*'RD Feedstock Breakdown'!BW$3*'Feedstock Conversion Rates'!$B$4)/12-180+110</f>
        <v>1.875</v>
      </c>
      <c r="BX340" s="104">
        <f>('Renewable Diesel'!$Z349*'RD Feedstock Breakdown'!BX$3*'Feedstock Conversion Rates'!$B$5)/12</f>
        <v>7.2354166666666666</v>
      </c>
      <c r="BY340" s="104">
        <f>('Renewable Diesel'!$Z349*'RD Feedstock Breakdown'!BY$3*'Feedstock Conversion Rates'!$B$7)/12</f>
        <v>61.716666666666661</v>
      </c>
      <c r="BZ340" s="104">
        <f>('Renewable Diesel'!$Z349*'RD Feedstock Breakdown'!BZ$3*'Feedstock Conversion Rates'!$B$3)/12+180-110</f>
        <v>85.352499999999992</v>
      </c>
      <c r="CA340" s="106">
        <f t="shared" si="312"/>
        <v>156.17958333333331</v>
      </c>
      <c r="CB340" s="104">
        <f>('Renewable Diesel'!AA349*'Feedstock Conversion Rates'!B$4)/12</f>
        <v>191.25</v>
      </c>
      <c r="CC340" s="106">
        <f t="shared" si="298"/>
        <v>191.25</v>
      </c>
      <c r="CD340" s="104">
        <f>('Renewable Diesel'!$AB349*'RD Feedstock Breakdown'!CD$3*'Feedstock Conversion Rates'!$B$6)/12-15-5</f>
        <v>12.830000000000005</v>
      </c>
      <c r="CE340" s="104">
        <f>('Renewable Diesel'!$AB349*'RD Feedstock Breakdown'!CE$3*'Feedstock Conversion Rates'!$B$4)/12+15+5</f>
        <v>31.25</v>
      </c>
      <c r="CF340" s="106">
        <f t="shared" si="294"/>
        <v>44.080000000000005</v>
      </c>
      <c r="CG340" s="104">
        <f>('Renewable Diesel'!AD349*'Feedstock Conversion Rates'!B$4)/12</f>
        <v>112.5</v>
      </c>
      <c r="CH340" s="106">
        <f t="shared" si="358"/>
        <v>112.5</v>
      </c>
      <c r="CI340" s="104">
        <f>('Renewable Diesel'!$AE349*'RD Feedstock Breakdown'!CI$3*'Feedstock Conversion Rates'!$B$5)/12</f>
        <v>0.34604166666666664</v>
      </c>
      <c r="CJ340" s="104">
        <f>('Renewable Diesel'!$AE349*'RD Feedstock Breakdown'!CJ$3*'Feedstock Conversion Rates'!$B$4)/12</f>
        <v>0.34375</v>
      </c>
      <c r="CK340" s="106">
        <f t="shared" si="286"/>
        <v>0.68979166666666658</v>
      </c>
      <c r="CL340" s="104">
        <f>(((CL$3*'Renewable Diesel'!$AF349)*'Feedstock Conversion Rates'!$B$3)/12)</f>
        <v>91.78125</v>
      </c>
      <c r="CM340" s="104">
        <f>(((CM$3*'Renewable Diesel'!$AF349)*'Feedstock Conversion Rates'!$B$6)/12)</f>
        <v>53.739583333333336</v>
      </c>
      <c r="CN340" s="104">
        <f>(((CN$3*'Renewable Diesel'!$AF349)*'Feedstock Conversion Rates'!$B$4)/12)</f>
        <v>42.96875</v>
      </c>
      <c r="CO340" s="106">
        <f t="shared" si="360"/>
        <v>188.48958333333334</v>
      </c>
      <c r="CP340" s="104">
        <f>('Renewable Diesel'!$AG349*'RD Feedstock Breakdown'!CP$3*'Feedstock Conversion Rates'!$B$3)/12</f>
        <v>6.0075000000000003</v>
      </c>
      <c r="CQ340" s="104">
        <f>('Renewable Diesel'!$AG349*'RD Feedstock Breakdown'!CQ$3*'Feedstock Conversion Rates'!$B$6)/12</f>
        <v>3.5175000000000001</v>
      </c>
      <c r="CR340" s="104">
        <f>('Renewable Diesel'!$AG349*'RD Feedstock Breakdown'!CR$3*'Feedstock Conversion Rates'!$B$4)/12</f>
        <v>2.8125</v>
      </c>
      <c r="CS340" s="106">
        <f t="shared" si="317"/>
        <v>12.3375</v>
      </c>
      <c r="CT340" s="104">
        <f>('Renewable Diesel'!AI349*'Feedstock Conversion Rates'!$B$4*'RD Feedstock Breakdown'!$CT$3)/12</f>
        <v>29.375</v>
      </c>
      <c r="CU340" s="106">
        <f t="shared" si="364"/>
        <v>29.375</v>
      </c>
      <c r="CV340" s="104">
        <f>('Renewable Diesel'!AN349*'Feedstock Conversion Rates'!$B$3*'RD Feedstock Breakdown'!$CV$3)/12</f>
        <v>0.50062499999999999</v>
      </c>
      <c r="CW340" s="106">
        <f t="shared" si="338"/>
        <v>0.50062499999999999</v>
      </c>
      <c r="CX340" s="104">
        <f>('Renewable Diesel'!AO349*'RD Feedstock Breakdown'!$CX$3*'Feedstock Conversion Rates'!$B$3)/12</f>
        <v>6.3412499999999996</v>
      </c>
      <c r="CY340" s="104">
        <f>('Renewable Diesel'!AO349*'RD Feedstock Breakdown'!$CY$3*'Feedstock Conversion Rates'!$B$6)/12</f>
        <v>7.4258333333333342</v>
      </c>
      <c r="CZ340" s="106">
        <f t="shared" si="318"/>
        <v>13.767083333333334</v>
      </c>
      <c r="DA340" s="104">
        <f>('Renewable Diesel'!$AP349*'RD Feedstock Breakdown'!DA$3*'Feedstock Conversion Rates'!$B$3)/12</f>
        <v>6.3412499999999996</v>
      </c>
      <c r="DB340" s="104">
        <f>('Renewable Diesel'!$AP349*'RD Feedstock Breakdown'!DB$3*'Feedstock Conversion Rates'!$B$8)/12</f>
        <v>7.421875</v>
      </c>
      <c r="DC340" s="106">
        <f t="shared" si="342"/>
        <v>13.763124999999999</v>
      </c>
      <c r="DD340" s="104">
        <f>('Renewable Diesel'!AQ349*$DD$3*'Feedstock Conversion Rates'!$B$14)/12</f>
        <v>3.1041666666666665</v>
      </c>
      <c r="DE340" s="106">
        <f t="shared" si="343"/>
        <v>3.1041666666666665</v>
      </c>
      <c r="DF340" s="104">
        <f>('Renewable Diesel'!AR349*'Feedstock Conversion Rates'!$B$4*$DF$3)/12</f>
        <v>75</v>
      </c>
      <c r="DG340" s="106">
        <f t="shared" si="319"/>
        <v>75</v>
      </c>
      <c r="DH340" s="104">
        <f>('Renewable Diesel'!AS349*'Feedstock Conversion Rates'!$B$4*$DH$3)/12</f>
        <v>75</v>
      </c>
      <c r="DI340" s="106">
        <f t="shared" si="323"/>
        <v>75</v>
      </c>
      <c r="DJ340" s="104">
        <f>('Renewable Diesel'!AT349*'Feedstock Conversion Rates'!$B$4*0.25)/12</f>
        <v>8.59375</v>
      </c>
      <c r="DK340" s="104">
        <f>('Renewable Diesel'!$AT349*'RD Feedstock Breakdown'!DK$3*'Feedstock Conversion Rates'!$B$3)/12*0.5</f>
        <v>9.1781249999999996</v>
      </c>
      <c r="DL340" s="104">
        <f>('Renewable Diesel'!$AT349*'RD Feedstock Breakdown'!$DL$3*'Feedstock Conversion Rates'!$B$6)/12</f>
        <v>10.747916666666669</v>
      </c>
      <c r="DM340" s="104">
        <f>('Renewable Diesel'!$AT349*'RD Feedstock Breakdown'!$DM$3*'Feedstock Conversion Rates'!$B$8)/12</f>
        <v>10.7421875</v>
      </c>
      <c r="DN340" s="106">
        <f t="shared" si="297"/>
        <v>39.26197916666667</v>
      </c>
      <c r="DP340" s="104">
        <f t="shared" si="345"/>
        <v>103.22025000000001</v>
      </c>
      <c r="DQ340" s="104">
        <f t="shared" si="346"/>
        <v>324.11776750000001</v>
      </c>
      <c r="DR340" s="104">
        <f t="shared" si="351"/>
        <v>1951.953125</v>
      </c>
      <c r="DS340" s="104">
        <f t="shared" ref="DS340:DS403" si="365">AC340+C340+BX340+CI340+DD340+AG340+T340+DJ340+AT340+K340</f>
        <v>228.90125</v>
      </c>
      <c r="DT340" s="104">
        <f t="shared" si="347"/>
        <v>243.03923333333344</v>
      </c>
      <c r="DU340" s="104">
        <f t="shared" si="348"/>
        <v>367.90610000000009</v>
      </c>
      <c r="DV340" s="104">
        <f t="shared" si="352"/>
        <v>78.75</v>
      </c>
      <c r="DW340" s="104">
        <f t="shared" si="349"/>
        <v>3</v>
      </c>
      <c r="DX340" s="106">
        <f t="shared" si="353"/>
        <v>3300.8877258333337</v>
      </c>
      <c r="DY340" s="109">
        <f t="shared" si="340"/>
        <v>-5.631051180898794E-13</v>
      </c>
      <c r="EA340" s="110">
        <f t="shared" si="313"/>
        <v>3.1270451640078516E-2</v>
      </c>
      <c r="EB340" s="110">
        <f t="shared" si="313"/>
        <v>9.8191091130848465E-2</v>
      </c>
      <c r="EC340" s="110">
        <f t="shared" si="313"/>
        <v>0.59134187137710503</v>
      </c>
      <c r="ED340" s="110">
        <f t="shared" si="308"/>
        <v>6.9345360706629972E-2</v>
      </c>
      <c r="EE340" s="110">
        <f t="shared" si="308"/>
        <v>7.3628445896921982E-2</v>
      </c>
      <c r="EF340" s="110">
        <f t="shared" si="308"/>
        <v>0.11145671424105147</v>
      </c>
      <c r="EG340" s="110">
        <f t="shared" si="308"/>
        <v>2.3857218585075921E-2</v>
      </c>
      <c r="EH340" s="111">
        <f t="shared" si="354"/>
        <v>9.0884642228860647E-4</v>
      </c>
      <c r="EI340" s="110">
        <f t="shared" si="321"/>
        <v>0.99909115357771128</v>
      </c>
      <c r="EK340" s="132">
        <f>(EA340*'Renewable Diesel'!BF349*'Feedstock Conversion Rates'!B$2)+FB340</f>
        <v>220.06227730107256</v>
      </c>
      <c r="EL340" s="132">
        <f>(EB340*'Renewable Diesel'!BF349*'Feedstock Conversion Rates'!B$3)+FC340</f>
        <v>651.17411061881444</v>
      </c>
      <c r="EM340" s="132">
        <f>(EC340*'Renewable Diesel'!BF349*'Feedstock Conversion Rates'!B$4)+FD340</f>
        <v>3671.9132990956809</v>
      </c>
      <c r="EN340" s="132">
        <f>(ED340*'Renewable Diesel'!BF349*'Feedstock Conversion Rates'!B$5)+FE340</f>
        <v>433.46784485325321</v>
      </c>
      <c r="EO340" s="132">
        <f>(EE340*'Renewable Diesel'!BF349*'Feedstock Conversion Rates'!B$6)+FF340</f>
        <v>571.79584542725263</v>
      </c>
      <c r="EP340" s="132">
        <f>(EF340*'Renewable Diesel'!BF349*'Feedstock Conversion Rates'!B$7)+FG340</f>
        <v>848.95874556123658</v>
      </c>
      <c r="EQ340" s="132">
        <f>(EG340*'Renewable Diesel'!BF349*'Feedstock Conversion Rates'!B$8)+FH340</f>
        <v>185.17553559577979</v>
      </c>
      <c r="ER340" s="132">
        <f>(EH340*'Renewable Diesel'!BF349*'Feedstock Conversion Rates'!B$9)+FI340</f>
        <v>6.9602487030286753</v>
      </c>
      <c r="ES340" s="132">
        <f t="shared" si="355"/>
        <v>6589.5079071561186</v>
      </c>
      <c r="ET340" s="133">
        <f>ES340/'Renewable Diesel'!BF349</f>
        <v>10.665582664163329</v>
      </c>
      <c r="EW340" s="73">
        <f t="shared" si="309"/>
        <v>5147.181359523458</v>
      </c>
      <c r="EX340" s="73">
        <f t="shared" si="310"/>
        <v>3114.5100837030614</v>
      </c>
      <c r="EY340" s="92">
        <f t="shared" si="341"/>
        <v>0.78111771501688121</v>
      </c>
      <c r="EZ340" s="92">
        <f t="shared" si="341"/>
        <v>0.47264683912447308</v>
      </c>
      <c r="FB340" s="102">
        <f>IF('Renewable Diesel'!$BG349&lt;1,0,(((('Renewable Diesel'!$BG349-1)*'Renewable Diesel'!$BF349)*'RD Feedstock Breakdown'!EA340)*'Feedstock Conversion Rates'!$B$2))</f>
        <v>55.844005682637736</v>
      </c>
      <c r="FC340" s="102">
        <f>IF('Renewable Diesel'!$BG349&lt;1,0,(((('Renewable Diesel'!$BG349-1)*'Renewable Diesel'!$BF349)*'RD Feedstock Breakdown'!EB340)*'Feedstock Conversion Rates'!$B$3))</f>
        <v>165.24490784957635</v>
      </c>
      <c r="FD340" s="102">
        <f>IF('Renewable Diesel'!$BG349&lt;1,0,(((('Renewable Diesel'!$BG349-1)*'Renewable Diesel'!$BF349)*'RD Feedstock Breakdown'!EC340)*'Feedstock Conversion Rates'!$B$4))</f>
        <v>931.80144119072463</v>
      </c>
      <c r="FE340" s="102">
        <f>IF('Renewable Diesel'!$BG349&lt;1,0,(((('Renewable Diesel'!$BG349-1)*'Renewable Diesel'!$BF349)*'RD Feedstock Breakdown'!ED340)*'Feedstock Conversion Rates'!$B$5))</f>
        <v>109.99877438379953</v>
      </c>
      <c r="FF340" s="102">
        <f>IF('Renewable Diesel'!$BG349&lt;1,0,(((('Renewable Diesel'!$BG349-1)*'Renewable Diesel'!$BF349)*'RD Feedstock Breakdown'!EE340)*'Feedstock Conversion Rates'!$B$6))</f>
        <v>145.10151777472547</v>
      </c>
      <c r="FG340" s="102">
        <f>IF('Renewable Diesel'!$BG349&lt;1,0,(((('Renewable Diesel'!$BG349-1)*'Renewable Diesel'!$BF349)*'RD Feedstock Breakdown'!EF340)*'Feedstock Conversion Rates'!$B$7))</f>
        <v>215.43563755175063</v>
      </c>
      <c r="FH340" s="102">
        <f>IF('Renewable Diesel'!$BG349&lt;1,0,(((('Renewable Diesel'!$BG349-1)*'Renewable Diesel'!$BF349)*'RD Feedstock Breakdown'!EG340)*'Feedstock Conversion Rates'!$B$8))</f>
        <v>46.990987228349532</v>
      </c>
      <c r="FI340" s="102">
        <f>IF('Renewable Diesel'!$BG349&lt;1,0,(((('Renewable Diesel'!$BG349-1)*'Renewable Diesel'!$BF349)*'RD Feedstock Breakdown'!EH340)*'Feedstock Conversion Rates'!$B$9))</f>
        <v>1.766264408837011</v>
      </c>
      <c r="FJ340" s="102">
        <f t="shared" si="311"/>
        <v>1672.183536070401</v>
      </c>
      <c r="GD340" s="91">
        <f>'Renewable Diesel'!BB349*0.32</f>
        <v>0</v>
      </c>
      <c r="GE340" s="91">
        <f>'Renewable Diesel'!BC349</f>
        <v>263.10309937063352</v>
      </c>
      <c r="GF340" s="91">
        <f>'Renewable Diesel'!BD349</f>
        <v>0</v>
      </c>
      <c r="GG340" s="91">
        <f t="shared" si="295"/>
        <v>263.10309937063352</v>
      </c>
      <c r="GH340" s="124">
        <v>1</v>
      </c>
      <c r="GI340" s="102">
        <f>$GG340*EA340*'Feedstock Conversion Rates'!$B$2</f>
        <v>69.932498334405437</v>
      </c>
      <c r="GJ340" s="102">
        <f>$GG340*EB340*'Feedstock Conversion Rates'!$B$3</f>
        <v>206.93338706095554</v>
      </c>
      <c r="GK340" s="102">
        <f>$GG340*EC340*'Feedstock Conversion Rates'!$B$4</f>
        <v>1166.8790936021014</v>
      </c>
      <c r="GL340" s="102">
        <f>$GG340*ED340*'Feedstock Conversion Rates'!$B$5</f>
        <v>137.7495939331111</v>
      </c>
      <c r="GM340" s="102">
        <f>$GG340*EE340*'Feedstock Conversion Rates'!$B$6</f>
        <v>181.70816233649143</v>
      </c>
      <c r="GN340" s="102">
        <f>$GG340*EF340*'Feedstock Conversion Rates'!$B$7</f>
        <v>269.78638405488653</v>
      </c>
      <c r="GO340" s="102">
        <f>$GG340*EG340*'Feedstock Conversion Rates'!$B$8</f>
        <v>58.846013925901453</v>
      </c>
      <c r="GP340" s="102">
        <f>$GG340*EH340*'Feedstock Conversion Rates'!B$9</f>
        <v>2.2118628726434069</v>
      </c>
      <c r="GQ340" s="102">
        <f t="shared" si="356"/>
        <v>2094.0469961204963</v>
      </c>
      <c r="GR340" s="85">
        <f t="shared" si="293"/>
        <v>7.9590358347341654</v>
      </c>
      <c r="GT340" s="103">
        <f t="shared" si="333"/>
        <v>3.3395859053767553E-2</v>
      </c>
      <c r="GU340" s="103">
        <f t="shared" si="334"/>
        <v>9.8819839021916628E-2</v>
      </c>
      <c r="GV340" s="103">
        <f t="shared" si="335"/>
        <v>0.5572363446302312</v>
      </c>
      <c r="GW340" s="103">
        <f t="shared" si="331"/>
        <v>6.5781519797937088E-2</v>
      </c>
      <c r="GX340" s="103">
        <f t="shared" si="331"/>
        <v>8.6773679231235121E-2</v>
      </c>
      <c r="GY340" s="103">
        <f t="shared" si="331"/>
        <v>0.12883492326328017</v>
      </c>
      <c r="GZ340" s="103">
        <f t="shared" si="331"/>
        <v>2.8101572712991449E-2</v>
      </c>
      <c r="HA340" s="103">
        <f t="shared" si="331"/>
        <v>1.0562622886406945E-3</v>
      </c>
    </row>
    <row r="341" spans="1:209" x14ac:dyDescent="0.25">
      <c r="A341" s="96">
        <v>50802</v>
      </c>
      <c r="B341" s="104">
        <f t="shared" si="362"/>
        <v>104.25</v>
      </c>
      <c r="C341" s="104">
        <f t="shared" si="314"/>
        <v>49</v>
      </c>
      <c r="D341" s="104">
        <f t="shared" si="363"/>
        <v>2</v>
      </c>
      <c r="E341" s="104">
        <f>('Renewable Diesel'!B350*E$3*'Feedstock Conversion Rates'!$B$2)/12+26+13-100+27.5+39</f>
        <v>95.43</v>
      </c>
      <c r="F341" s="104">
        <f>('Renewable Diesel'!B350*'RD Feedstock Breakdown'!F$3*'Feedstock Conversion Rates'!B$8)/12+77+23-10-12-115.75+24+8</f>
        <v>48.15625</v>
      </c>
      <c r="G341" s="104">
        <f>('Renewable Diesel'!B350*'RD Feedstock Breakdown'!G$3*'Feedstock Conversion Rates'!B$7)/12+116.75-39-57.5-145-31.5+32+70-40+10+25</f>
        <v>116.90700000000004</v>
      </c>
      <c r="H341" s="104">
        <f>('Renewable Diesel'!B350*'RD Feedstock Breakdown'!H$3*'Feedstock Conversion Rates'!B$3)/12+67+10+12+3-235+20+47-20</f>
        <v>80.400224999999978</v>
      </c>
      <c r="I341" s="106">
        <f t="shared" si="291"/>
        <v>496.14347500000002</v>
      </c>
      <c r="J341" s="104">
        <f t="shared" si="332"/>
        <v>4</v>
      </c>
      <c r="K341" s="104"/>
      <c r="L341" s="104">
        <v>1</v>
      </c>
      <c r="M341" s="104">
        <f>('Renewable Diesel'!C350*'RD Feedstock Breakdown'!M$3*'Feedstock Conversion Rates'!B$2)/12</f>
        <v>7.7902500000000003</v>
      </c>
      <c r="N341" s="104">
        <f>('Renewable Diesel'!C350*'RD Feedstock Breakdown'!N$3*'Feedstock Conversion Rates'!B$8)/12</f>
        <v>3.671875</v>
      </c>
      <c r="O341" s="104">
        <f>('Renewable Diesel'!C350*'RD Feedstock Breakdown'!O$3*'Feedstock Conversion Rates'!B$7)/12</f>
        <v>11.9991</v>
      </c>
      <c r="P341" s="104">
        <f>('Renewable Diesel'!C350*'RD Feedstock Breakdown'!P$3*'Feedstock Conversion Rates'!B$3)/12</f>
        <v>10.4470425</v>
      </c>
      <c r="Q341" s="106">
        <f t="shared" si="299"/>
        <v>38.908267500000001</v>
      </c>
      <c r="R341" s="104">
        <f>('Renewable Diesel'!D350*'RD Feedstock Breakdown'!R$3*'Feedstock Conversion Rates'!B$7)/12</f>
        <v>2.2999999999999998</v>
      </c>
      <c r="S341" s="106">
        <f t="shared" si="329"/>
        <v>2.2999999999999998</v>
      </c>
      <c r="T341" s="104">
        <f t="shared" si="300"/>
        <v>0.82499999999999929</v>
      </c>
      <c r="U341" s="104"/>
      <c r="V341" s="104">
        <f>('Renewable Diesel'!E350*'RD Feedstock Breakdown'!V$3*'Feedstock Conversion Rates'!B$6)/12-20+25</f>
        <v>49.250150000000012</v>
      </c>
      <c r="W341" s="104">
        <f>('Renewable Diesel'!E350*'RD Feedstock Breakdown'!W$3*'Feedstock Conversion Rates'!B$8)/12-6</f>
        <v>16.1796875</v>
      </c>
      <c r="X341" s="106">
        <f t="shared" si="357"/>
        <v>66.254837500000008</v>
      </c>
      <c r="Y341" s="104">
        <f t="shared" si="301"/>
        <v>98</v>
      </c>
      <c r="Z341" s="104">
        <f>('Renewable Diesel'!F350*'RD Feedstock Breakdown'!Z$3*'Feedstock Conversion Rates'!B$6)/12-142+15+5+20+5+15</f>
        <v>77.460000000000008</v>
      </c>
      <c r="AA341" s="104">
        <f>('Renewable Diesel'!F350*'RD Feedstock Breakdown'!AA$3*'Feedstock Conversion Rates'!B$7)/12+24</f>
        <v>128.26666666666665</v>
      </c>
      <c r="AB341" s="106">
        <f t="shared" si="320"/>
        <v>303.72666666666669</v>
      </c>
      <c r="AC341" s="104">
        <f>('Renewable Diesel'!G350*'RD Feedstock Breakdown'!AC$3*'Feedstock Conversion Rates'!B$5)/12</f>
        <v>11.796875</v>
      </c>
      <c r="AD341" s="104">
        <f>('Renewable Diesel'!G350*'RD Feedstock Breakdown'!AD$3*'Feedstock Conversion Rates'!B$4)/12</f>
        <v>5.859375</v>
      </c>
      <c r="AE341" s="104">
        <f>('Renewable Diesel'!G350*'RD Feedstock Breakdown'!AE$3*'Feedstock Conversion Rates'!B$6)/12</f>
        <v>7.3281250000000009</v>
      </c>
      <c r="AF341" s="106">
        <f t="shared" ref="AF341:AF404" si="366">SUM(AC341:AE341)</f>
        <v>24.984375</v>
      </c>
      <c r="AG341" s="104">
        <f t="shared" si="306"/>
        <v>148</v>
      </c>
      <c r="AH341" s="104"/>
      <c r="AI341" s="104">
        <f>('Renewable Diesel'!H350*'RD Feedstock Breakdown'!AI$3*'Feedstock Conversion Rates'!B$6)/12-130-20+51-49</f>
        <v>0.51666666666667993</v>
      </c>
      <c r="AJ341" s="106">
        <f t="shared" si="328"/>
        <v>148.51666666666668</v>
      </c>
      <c r="AK341" s="104">
        <f>('Renewable Diesel'!J350*'RD Feedstock Breakdown'!AK$3*'Feedstock Conversion Rates'!B$4)/12</f>
        <v>95.8125</v>
      </c>
      <c r="AL341" s="106">
        <f t="shared" si="330"/>
        <v>95.8125</v>
      </c>
      <c r="AM341" s="104">
        <f>('Renewable Diesel'!K350*'RD Feedstock Breakdown'!AM$3*'Feedstock Conversion Rates'!B$4)/12+5+15-10+10</f>
        <v>78.59375</v>
      </c>
      <c r="AN341" s="104">
        <f>('Renewable Diesel'!K350*'RD Feedstock Breakdown'!AN$3*'Feedstock Conversion Rates'!B$6)/12-5-15+10-10</f>
        <v>4.4270833333333321</v>
      </c>
      <c r="AO341" s="106">
        <f t="shared" si="350"/>
        <v>83.020833333333329</v>
      </c>
      <c r="AP341" s="104">
        <f>('Renewable Diesel'!L350*'RD Feedstock Breakdown'!AP$3*'Feedstock Conversion Rates'!B$4)/12+15-10+15</f>
        <v>78.59375</v>
      </c>
      <c r="AQ341" s="104">
        <f>('Renewable Diesel'!L350*'RD Feedstock Breakdown'!AQ$3*'Feedstock Conversion Rates'!B$6)/12-15+10-15</f>
        <v>4.4270833333333321</v>
      </c>
      <c r="AR341" s="106">
        <f t="shared" si="339"/>
        <v>83.020833333333329</v>
      </c>
      <c r="AS341" s="104">
        <f>('Renewable Diesel'!M350*'RD Feedstock Breakdown'!AS$3*'Feedstock Conversion Rates'!B$4)/12</f>
        <v>456.25</v>
      </c>
      <c r="AT341" s="104">
        <f>('Renewable Diesel'!M350*'RD Feedstock Breakdown'!AT$3*'Feedstock Conversion Rates'!B$5)/12</f>
        <v>0</v>
      </c>
      <c r="AU341" s="106">
        <f t="shared" si="290"/>
        <v>456.25</v>
      </c>
      <c r="AV341" s="104">
        <f>'Renewable Diesel'!N350*'RD Feedstock Breakdown'!$AV$3*'Feedstock Conversion Rates'!$B$4/12-15-10+25+25-22+25</f>
        <v>106.74999999999999</v>
      </c>
      <c r="AW341" s="104">
        <f>'Renewable Diesel'!N350*'RD Feedstock Breakdown'!$AW$3*'Feedstock Conversion Rates'!$B$7/12+15+10-25-25+22-25</f>
        <v>13.400000000000006</v>
      </c>
      <c r="AX341" s="106">
        <f t="shared" si="322"/>
        <v>120.14999999999999</v>
      </c>
      <c r="AY341" s="104">
        <f>('Renewable Diesel'!O350*'RD Feedstock Breakdown'!AY$3*'Feedstock Conversion Rates'!B$4)/12</f>
        <v>210.9375</v>
      </c>
      <c r="AZ341" s="104">
        <f>('Renewable Diesel'!O350*'RD Feedstock Breakdown'!AZ$3*'Feedstock Conversion Rates'!B$3)/12</f>
        <v>25.03125</v>
      </c>
      <c r="BA341" s="106">
        <f t="shared" si="302"/>
        <v>235.96875</v>
      </c>
      <c r="BB341" s="104">
        <f>('Renewable Diesel'!Q350*'RD Feedstock Breakdown'!BB$3*'Feedstock Conversion Rates'!B$4)/12</f>
        <v>11.156249999999998</v>
      </c>
      <c r="BC341" s="104">
        <f>('Renewable Diesel'!Q350*'RD Feedstock Breakdown'!BC$3*'Feedstock Conversion Rates'!B$3)/12</f>
        <v>1.4017500000000001</v>
      </c>
      <c r="BD341" s="104">
        <f>('Renewable Diesel'!Q350*'RD Feedstock Breakdown'!BD$3*'Feedstock Conversion Rates'!B$6)/12</f>
        <v>0.8207500000000002</v>
      </c>
      <c r="BE341" s="106">
        <f t="shared" si="359"/>
        <v>13.378749999999998</v>
      </c>
      <c r="BF341" s="104">
        <f>('Renewable Diesel'!R350*'RD Feedstock Breakdown'!BF$3*'Feedstock Conversion Rates'!B$4)/12</f>
        <v>62.5</v>
      </c>
      <c r="BG341" s="106">
        <f t="shared" si="344"/>
        <v>62.5</v>
      </c>
      <c r="BH341" s="104">
        <f>('Renewable Diesel'!T350*'RD Feedstock Breakdown'!BH$3*'Feedstock Conversion Rates'!B$7)/12</f>
        <v>27.599999999999998</v>
      </c>
      <c r="BI341" s="106">
        <f t="shared" si="327"/>
        <v>27.599999999999998</v>
      </c>
      <c r="BJ341" s="104">
        <f>('Renewable Diesel'!W350*'RD Feedstock Breakdown'!BJ$3*'Feedstock Conversion Rates'!B$4)/12</f>
        <v>7.5</v>
      </c>
      <c r="BK341" s="104">
        <f>('Renewable Diesel'!W350*'RD Feedstock Breakdown'!BK$3*'Feedstock Conversion Rates'!B$3)/12</f>
        <v>1.335</v>
      </c>
      <c r="BL341" s="104">
        <f>('Renewable Diesel'!W350*'RD Feedstock Breakdown'!BL$3*'Feedstock Conversion Rates'!B$6)/12</f>
        <v>3.1266666666666669</v>
      </c>
      <c r="BM341" s="104">
        <f>('Renewable Diesel'!W350*'RD Feedstock Breakdown'!BM$3*'Feedstock Conversion Rates'!B$7)/12</f>
        <v>1.5333333333333332</v>
      </c>
      <c r="BN341" s="106">
        <f t="shared" si="296"/>
        <v>13.495000000000001</v>
      </c>
      <c r="BO341" s="104">
        <f>('Renewable Diesel'!P350*'Feedstock Conversion Rates'!B$4)/12</f>
        <v>31.25</v>
      </c>
      <c r="BP341" s="106">
        <f t="shared" ref="BP341:BP404" si="367">BO341</f>
        <v>31.25</v>
      </c>
      <c r="BQ341" s="104">
        <f>('Renewable Diesel'!$S350*'RD Feedstock Breakdown'!BQ$3*'Feedstock Conversion Rates'!B$4)/12+10+15-15</f>
        <v>38.125</v>
      </c>
      <c r="BR341" s="104">
        <f>('Renewable Diesel'!$S350*'RD Feedstock Breakdown'!BR$3*'Feedstock Conversion Rates'!B$7)/12-10-15+15</f>
        <v>1.5</v>
      </c>
      <c r="BS341" s="106">
        <f t="shared" si="307"/>
        <v>39.625</v>
      </c>
      <c r="BT341" s="106"/>
      <c r="BU341" s="104">
        <f>('Renewable Diesel'!Y350*'Feedstock Conversion Rates'!B$7)/12</f>
        <v>2.6833333333333331</v>
      </c>
      <c r="BV341" s="106">
        <f t="shared" si="361"/>
        <v>2.6833333333333331</v>
      </c>
      <c r="BW341" s="104">
        <f>('Renewable Diesel'!$Z350*'RD Feedstock Breakdown'!BW$3*'Feedstock Conversion Rates'!$B$4)/12-180+110</f>
        <v>1.875</v>
      </c>
      <c r="BX341" s="104">
        <f>('Renewable Diesel'!$Z350*'RD Feedstock Breakdown'!BX$3*'Feedstock Conversion Rates'!$B$5)/12</f>
        <v>7.2354166666666666</v>
      </c>
      <c r="BY341" s="104">
        <f>('Renewable Diesel'!$Z350*'RD Feedstock Breakdown'!BY$3*'Feedstock Conversion Rates'!$B$7)/12</f>
        <v>61.716666666666661</v>
      </c>
      <c r="BZ341" s="104">
        <f>('Renewable Diesel'!$Z350*'RD Feedstock Breakdown'!BZ$3*'Feedstock Conversion Rates'!$B$3)/12+180-110</f>
        <v>85.352499999999992</v>
      </c>
      <c r="CA341" s="106">
        <f t="shared" si="312"/>
        <v>156.17958333333331</v>
      </c>
      <c r="CB341" s="104">
        <f>('Renewable Diesel'!AA350*'Feedstock Conversion Rates'!B$4)/12</f>
        <v>191.25</v>
      </c>
      <c r="CC341" s="106">
        <f t="shared" si="298"/>
        <v>191.25</v>
      </c>
      <c r="CD341" s="104">
        <f>('Renewable Diesel'!$AB350*'RD Feedstock Breakdown'!CD$3*'Feedstock Conversion Rates'!$B$6)/12-15-5</f>
        <v>12.830000000000005</v>
      </c>
      <c r="CE341" s="104">
        <f>('Renewable Diesel'!$AB350*'RD Feedstock Breakdown'!CE$3*'Feedstock Conversion Rates'!$B$4)/12+15+5</f>
        <v>31.25</v>
      </c>
      <c r="CF341" s="106">
        <f t="shared" si="294"/>
        <v>44.080000000000005</v>
      </c>
      <c r="CG341" s="104">
        <f>('Renewable Diesel'!AD350*'Feedstock Conversion Rates'!B$4)/12</f>
        <v>112.5</v>
      </c>
      <c r="CH341" s="106">
        <f t="shared" si="358"/>
        <v>112.5</v>
      </c>
      <c r="CI341" s="104">
        <f>('Renewable Diesel'!$AE350*'RD Feedstock Breakdown'!CI$3*'Feedstock Conversion Rates'!$B$5)/12</f>
        <v>0.34604166666666664</v>
      </c>
      <c r="CJ341" s="104">
        <f>('Renewable Diesel'!$AE350*'RD Feedstock Breakdown'!CJ$3*'Feedstock Conversion Rates'!$B$4)/12</f>
        <v>0.34375</v>
      </c>
      <c r="CK341" s="106">
        <f t="shared" ref="CK341:CK404" si="368">SUM(CI341:CJ341)</f>
        <v>0.68979166666666658</v>
      </c>
      <c r="CL341" s="104">
        <f>(((CL$3*'Renewable Diesel'!$AF350)*'Feedstock Conversion Rates'!$B$3)/12)</f>
        <v>91.78125</v>
      </c>
      <c r="CM341" s="104">
        <f>(((CM$3*'Renewable Diesel'!$AF350)*'Feedstock Conversion Rates'!$B$6)/12)</f>
        <v>53.739583333333336</v>
      </c>
      <c r="CN341" s="104">
        <f>(((CN$3*'Renewable Diesel'!$AF350)*'Feedstock Conversion Rates'!$B$4)/12)</f>
        <v>42.96875</v>
      </c>
      <c r="CO341" s="106">
        <f t="shared" si="360"/>
        <v>188.48958333333334</v>
      </c>
      <c r="CP341" s="104">
        <f>('Renewable Diesel'!$AG350*'RD Feedstock Breakdown'!CP$3*'Feedstock Conversion Rates'!$B$3)/12</f>
        <v>6.0075000000000003</v>
      </c>
      <c r="CQ341" s="104">
        <f>('Renewable Diesel'!$AG350*'RD Feedstock Breakdown'!CQ$3*'Feedstock Conversion Rates'!$B$6)/12</f>
        <v>3.5175000000000001</v>
      </c>
      <c r="CR341" s="104">
        <f>('Renewable Diesel'!$AG350*'RD Feedstock Breakdown'!CR$3*'Feedstock Conversion Rates'!$B$4)/12</f>
        <v>2.8125</v>
      </c>
      <c r="CS341" s="106">
        <f t="shared" si="317"/>
        <v>12.3375</v>
      </c>
      <c r="CT341" s="104">
        <f>('Renewable Diesel'!AI350*'Feedstock Conversion Rates'!$B$4*'RD Feedstock Breakdown'!$CT$3)/12</f>
        <v>29.375</v>
      </c>
      <c r="CU341" s="106">
        <f t="shared" si="364"/>
        <v>29.375</v>
      </c>
      <c r="CV341" s="104">
        <f>('Renewable Diesel'!AN350*'Feedstock Conversion Rates'!$B$3*'RD Feedstock Breakdown'!$CV$3)/12</f>
        <v>0.50062499999999999</v>
      </c>
      <c r="CW341" s="106">
        <f t="shared" si="338"/>
        <v>0.50062499999999999</v>
      </c>
      <c r="CX341" s="104">
        <f>('Renewable Diesel'!AO350*'RD Feedstock Breakdown'!$CX$3*'Feedstock Conversion Rates'!$B$3)/12</f>
        <v>6.3412499999999996</v>
      </c>
      <c r="CY341" s="104">
        <f>('Renewable Diesel'!AO350*'RD Feedstock Breakdown'!$CY$3*'Feedstock Conversion Rates'!$B$6)/12</f>
        <v>7.4258333333333342</v>
      </c>
      <c r="CZ341" s="106">
        <f t="shared" si="318"/>
        <v>13.767083333333334</v>
      </c>
      <c r="DA341" s="104">
        <f>('Renewable Diesel'!$AP350*'RD Feedstock Breakdown'!DA$3*'Feedstock Conversion Rates'!$B$3)/12</f>
        <v>6.3412499999999996</v>
      </c>
      <c r="DB341" s="104">
        <f>('Renewable Diesel'!$AP350*'RD Feedstock Breakdown'!DB$3*'Feedstock Conversion Rates'!$B$8)/12</f>
        <v>7.421875</v>
      </c>
      <c r="DC341" s="106">
        <f t="shared" si="342"/>
        <v>13.763124999999999</v>
      </c>
      <c r="DD341" s="104">
        <f>('Renewable Diesel'!AQ350*$DD$3*'Feedstock Conversion Rates'!$B$14)/12</f>
        <v>3.1041666666666665</v>
      </c>
      <c r="DE341" s="106">
        <f t="shared" si="343"/>
        <v>3.1041666666666665</v>
      </c>
      <c r="DF341" s="104">
        <f>('Renewable Diesel'!AR350*'Feedstock Conversion Rates'!$B$4*$DF$3)/12</f>
        <v>75</v>
      </c>
      <c r="DG341" s="106">
        <f t="shared" si="319"/>
        <v>75</v>
      </c>
      <c r="DH341" s="104">
        <f>('Renewable Diesel'!AS350*'Feedstock Conversion Rates'!$B$4*$DH$3)/12</f>
        <v>75</v>
      </c>
      <c r="DI341" s="106">
        <f t="shared" si="323"/>
        <v>75</v>
      </c>
      <c r="DJ341" s="104">
        <f>('Renewable Diesel'!AT350*'Feedstock Conversion Rates'!$B$4*0.25)/12</f>
        <v>8.59375</v>
      </c>
      <c r="DK341" s="104">
        <f>('Renewable Diesel'!$AT350*'RD Feedstock Breakdown'!DK$3*'Feedstock Conversion Rates'!$B$3)/12*0.5</f>
        <v>9.1781249999999996</v>
      </c>
      <c r="DL341" s="104">
        <f>('Renewable Diesel'!$AT350*'RD Feedstock Breakdown'!$DL$3*'Feedstock Conversion Rates'!$B$6)/12</f>
        <v>10.747916666666669</v>
      </c>
      <c r="DM341" s="104">
        <f>('Renewable Diesel'!$AT350*'RD Feedstock Breakdown'!$DM$3*'Feedstock Conversion Rates'!$B$8)/12</f>
        <v>10.7421875</v>
      </c>
      <c r="DN341" s="106">
        <f t="shared" si="297"/>
        <v>39.26197916666667</v>
      </c>
      <c r="DP341" s="104">
        <f t="shared" si="345"/>
        <v>103.22025000000001</v>
      </c>
      <c r="DQ341" s="104">
        <f t="shared" si="346"/>
        <v>324.11776750000001</v>
      </c>
      <c r="DR341" s="104">
        <f t="shared" si="351"/>
        <v>1951.953125</v>
      </c>
      <c r="DS341" s="104">
        <f t="shared" si="365"/>
        <v>228.90125</v>
      </c>
      <c r="DT341" s="104">
        <f t="shared" si="347"/>
        <v>243.03923333333344</v>
      </c>
      <c r="DU341" s="104">
        <f t="shared" si="348"/>
        <v>367.90610000000009</v>
      </c>
      <c r="DV341" s="104">
        <f t="shared" si="352"/>
        <v>78.75</v>
      </c>
      <c r="DW341" s="104">
        <f t="shared" si="349"/>
        <v>3</v>
      </c>
      <c r="DX341" s="106">
        <f t="shared" si="353"/>
        <v>3300.8877258333337</v>
      </c>
      <c r="DY341" s="109">
        <f t="shared" si="340"/>
        <v>-5.631051180898794E-13</v>
      </c>
      <c r="EA341" s="110">
        <f t="shared" si="313"/>
        <v>3.1270451640078516E-2</v>
      </c>
      <c r="EB341" s="110">
        <f t="shared" si="313"/>
        <v>9.8191091130848465E-2</v>
      </c>
      <c r="EC341" s="110">
        <f t="shared" si="313"/>
        <v>0.59134187137710503</v>
      </c>
      <c r="ED341" s="110">
        <f t="shared" si="308"/>
        <v>6.9345360706629972E-2</v>
      </c>
      <c r="EE341" s="110">
        <f t="shared" si="308"/>
        <v>7.3628445896921982E-2</v>
      </c>
      <c r="EF341" s="110">
        <f t="shared" si="308"/>
        <v>0.11145671424105147</v>
      </c>
      <c r="EG341" s="110">
        <f t="shared" si="308"/>
        <v>2.3857218585075921E-2</v>
      </c>
      <c r="EH341" s="111">
        <f t="shared" si="354"/>
        <v>9.0884642228860647E-4</v>
      </c>
      <c r="EI341" s="110">
        <f t="shared" si="321"/>
        <v>0.99909115357771128</v>
      </c>
      <c r="EK341" s="132">
        <f>(EA341*'Renewable Diesel'!BF350*'Feedstock Conversion Rates'!B$2)+FB341</f>
        <v>457.2022356738006</v>
      </c>
      <c r="EL341" s="132">
        <f>(EB341*'Renewable Diesel'!BF350*'Feedstock Conversion Rates'!B$3)+FC341</f>
        <v>1352.8818425363522</v>
      </c>
      <c r="EM341" s="132">
        <f>(EC341*'Renewable Diesel'!BF350*'Feedstock Conversion Rates'!B$4)+FD341</f>
        <v>7628.781225644092</v>
      </c>
      <c r="EN341" s="132">
        <f>(ED341*'Renewable Diesel'!BF350*'Feedstock Conversion Rates'!B$5)+FE341</f>
        <v>900.57446551129374</v>
      </c>
      <c r="EO341" s="132">
        <f>(EE341*'Renewable Diesel'!BF350*'Feedstock Conversion Rates'!B$6)+FF341</f>
        <v>1187.9652527664568</v>
      </c>
      <c r="EP341" s="132">
        <f>(EF341*'Renewable Diesel'!BF350*'Feedstock Conversion Rates'!B$7)+FG341</f>
        <v>1763.7999625641924</v>
      </c>
      <c r="EQ341" s="132">
        <f>(EG341*'Renewable Diesel'!BF350*'Feedstock Conversion Rates'!B$8)+FH341</f>
        <v>384.72140661643209</v>
      </c>
      <c r="ER341" s="132">
        <f>(EH341*'Renewable Diesel'!BF350*'Feedstock Conversion Rates'!B$9)+FI341</f>
        <v>14.460639537582715</v>
      </c>
      <c r="ES341" s="132">
        <f t="shared" si="355"/>
        <v>13690.387030850205</v>
      </c>
      <c r="ET341" s="133">
        <f>ES341/'Renewable Diesel'!BF350</f>
        <v>15.373259471558027</v>
      </c>
      <c r="EW341" s="73">
        <f t="shared" si="309"/>
        <v>12642.897825095142</v>
      </c>
      <c r="EX341" s="73">
        <f t="shared" si="310"/>
        <v>7650.096239688728</v>
      </c>
      <c r="EY341" s="92">
        <f t="shared" si="341"/>
        <v>0.92348724667939419</v>
      </c>
      <c r="EZ341" s="92">
        <f t="shared" si="341"/>
        <v>0.55879327753480168</v>
      </c>
      <c r="FB341" s="102">
        <f>IF('Renewable Diesel'!$BG350&lt;1,0,(((('Renewable Diesel'!$BG350-1)*'Renewable Diesel'!$BF350)*'RD Feedstock Breakdown'!EA341)*'Feedstock Conversion Rates'!$B$2))</f>
        <v>220.49973389266296</v>
      </c>
      <c r="FC341" s="102">
        <f>IF('Renewable Diesel'!$BG350&lt;1,0,(((('Renewable Diesel'!$BG350-1)*'Renewable Diesel'!$BF350)*'RD Feedstock Breakdown'!EB341)*'Feedstock Conversion Rates'!$B$3))</f>
        <v>652.46856421829943</v>
      </c>
      <c r="FD341" s="102">
        <f>IF('Renewable Diesel'!$BG350&lt;1,0,(((('Renewable Diesel'!$BG350-1)*'Renewable Diesel'!$BF350)*'RD Feedstock Breakdown'!EC341)*'Feedstock Conversion Rates'!$B$4))</f>
        <v>3679.2126086190497</v>
      </c>
      <c r="FE341" s="102">
        <f>IF('Renewable Diesel'!$BG350&lt;1,0,(((('Renewable Diesel'!$BG350-1)*'Renewable Diesel'!$BF350)*'RD Feedstock Breakdown'!ED341)*'Feedstock Conversion Rates'!$B$5))</f>
        <v>434.32952532070618</v>
      </c>
      <c r="FF341" s="102">
        <f>IF('Renewable Diesel'!$BG350&lt;1,0,(((('Renewable Diesel'!$BG350-1)*'Renewable Diesel'!$BF350)*'RD Feedstock Breakdown'!EE341)*'Feedstock Conversion Rates'!$B$6))</f>
        <v>572.93250485245676</v>
      </c>
      <c r="FG341" s="102">
        <f>IF('Renewable Diesel'!$BG350&lt;1,0,(((('Renewable Diesel'!$BG350-1)*'Renewable Diesel'!$BF350)*'RD Feedstock Breakdown'!EF341)*'Feedstock Conversion Rates'!$B$7))</f>
        <v>850.64637055443802</v>
      </c>
      <c r="FH341" s="102">
        <f>IF('Renewable Diesel'!$BG350&lt;1,0,(((('Renewable Diesel'!$BG350-1)*'Renewable Diesel'!$BF350)*'RD Feedstock Breakdown'!EG341)*'Feedstock Conversion Rates'!$B$8))</f>
        <v>185.54364165939575</v>
      </c>
      <c r="FI341" s="102">
        <f>IF('Renewable Diesel'!$BG350&lt;1,0,(((('Renewable Diesel'!$BG350-1)*'Renewable Diesel'!$BF350)*'RD Feedstock Breakdown'!EH341)*'Feedstock Conversion Rates'!$B$9))</f>
        <v>6.9740848166579221</v>
      </c>
      <c r="FJ341" s="102">
        <f t="shared" si="311"/>
        <v>6602.6070339336666</v>
      </c>
      <c r="GD341" s="91">
        <f>'Renewable Diesel'!BB350*0.32</f>
        <v>0</v>
      </c>
      <c r="GE341" s="91">
        <f>'Renewable Diesel'!BC350</f>
        <v>499.37552798162818</v>
      </c>
      <c r="GF341" s="91">
        <f>'Renewable Diesel'!BD350</f>
        <v>0</v>
      </c>
      <c r="GG341" s="91">
        <f t="shared" si="295"/>
        <v>499.37552798162818</v>
      </c>
      <c r="GH341" s="124">
        <v>1</v>
      </c>
      <c r="GI341" s="102">
        <f>$GG341*EA341*'Feedstock Conversion Rates'!$B$2</f>
        <v>132.73343553289953</v>
      </c>
      <c r="GJ341" s="102">
        <f>$GG341*EB341*'Feedstock Conversion Rates'!$B$3</f>
        <v>392.76416609224253</v>
      </c>
      <c r="GK341" s="102">
        <f>$GG341*EC341*'Feedstock Conversion Rates'!$B$4</f>
        <v>2214.7624442743941</v>
      </c>
      <c r="GL341" s="102">
        <f>$GG341*ED341*'Feedstock Conversion Rates'!$B$5</f>
        <v>261.45178967542097</v>
      </c>
      <c r="GM341" s="102">
        <f>$GG341*EE341*'Feedstock Conversion Rates'!$B$6</f>
        <v>344.88612913499151</v>
      </c>
      <c r="GN341" s="102">
        <f>$GG341*EF341*'Feedstock Conversion Rates'!$B$7</f>
        <v>512.0605507952472</v>
      </c>
      <c r="GO341" s="102">
        <f>$GG341*EG341*'Feedstock Conversion Rates'!$B$8</f>
        <v>111.69104181651937</v>
      </c>
      <c r="GP341" s="102">
        <f>$GG341*EH341*'Feedstock Conversion Rates'!B$9</f>
        <v>4.1981648733574266</v>
      </c>
      <c r="GQ341" s="102">
        <f t="shared" si="356"/>
        <v>3974.5477221950723</v>
      </c>
      <c r="GR341" s="85">
        <f t="shared" si="293"/>
        <v>7.9590358347341645</v>
      </c>
      <c r="GT341" s="103">
        <f t="shared" si="333"/>
        <v>3.3395859053767553E-2</v>
      </c>
      <c r="GU341" s="103">
        <f t="shared" si="334"/>
        <v>9.8819839021916628E-2</v>
      </c>
      <c r="GV341" s="103">
        <f t="shared" si="335"/>
        <v>0.55723634463023131</v>
      </c>
      <c r="GW341" s="103">
        <f t="shared" si="331"/>
        <v>6.5781519797937088E-2</v>
      </c>
      <c r="GX341" s="103">
        <f t="shared" si="331"/>
        <v>8.6773679231235121E-2</v>
      </c>
      <c r="GY341" s="103">
        <f t="shared" si="331"/>
        <v>0.12883492326328019</v>
      </c>
      <c r="GZ341" s="103">
        <f t="shared" si="331"/>
        <v>2.8101572712991452E-2</v>
      </c>
      <c r="HA341" s="103">
        <f t="shared" si="331"/>
        <v>1.0562622886406943E-3</v>
      </c>
    </row>
    <row r="342" spans="1:209" x14ac:dyDescent="0.25">
      <c r="A342" s="96">
        <v>50830</v>
      </c>
      <c r="B342" s="104">
        <f t="shared" si="362"/>
        <v>104.25</v>
      </c>
      <c r="C342" s="104">
        <f t="shared" si="314"/>
        <v>49</v>
      </c>
      <c r="D342" s="104">
        <f t="shared" si="363"/>
        <v>2</v>
      </c>
      <c r="E342" s="104">
        <f>('Renewable Diesel'!B351*E$3*'Feedstock Conversion Rates'!$B$2)/12+26+13-100+27.5+39</f>
        <v>95.43</v>
      </c>
      <c r="F342" s="104">
        <f>('Renewable Diesel'!B351*'RD Feedstock Breakdown'!F$3*'Feedstock Conversion Rates'!B$8)/12+77+23-10-12-115.75+24+8</f>
        <v>48.15625</v>
      </c>
      <c r="G342" s="104">
        <f>('Renewable Diesel'!B351*'RD Feedstock Breakdown'!G$3*'Feedstock Conversion Rates'!B$7)/12+116.75-39-57.5-145-31.5+32+70-40+10+25</f>
        <v>116.90700000000004</v>
      </c>
      <c r="H342" s="104">
        <f>('Renewable Diesel'!B351*'RD Feedstock Breakdown'!H$3*'Feedstock Conversion Rates'!B$3)/12+67+10+12+3-235+20+47-20</f>
        <v>80.400224999999978</v>
      </c>
      <c r="I342" s="106">
        <f t="shared" si="291"/>
        <v>496.14347500000002</v>
      </c>
      <c r="J342" s="104">
        <f t="shared" si="332"/>
        <v>4</v>
      </c>
      <c r="K342" s="104"/>
      <c r="L342" s="104">
        <v>1</v>
      </c>
      <c r="M342" s="104">
        <f>('Renewable Diesel'!C351*'RD Feedstock Breakdown'!M$3*'Feedstock Conversion Rates'!B$2)/12</f>
        <v>7.7902500000000003</v>
      </c>
      <c r="N342" s="104">
        <f>('Renewable Diesel'!C351*'RD Feedstock Breakdown'!N$3*'Feedstock Conversion Rates'!B$8)/12</f>
        <v>3.671875</v>
      </c>
      <c r="O342" s="104">
        <f>('Renewable Diesel'!C351*'RD Feedstock Breakdown'!O$3*'Feedstock Conversion Rates'!B$7)/12</f>
        <v>11.9991</v>
      </c>
      <c r="P342" s="104">
        <f>('Renewable Diesel'!C351*'RD Feedstock Breakdown'!P$3*'Feedstock Conversion Rates'!B$3)/12</f>
        <v>10.4470425</v>
      </c>
      <c r="Q342" s="106">
        <f t="shared" si="299"/>
        <v>38.908267500000001</v>
      </c>
      <c r="R342" s="104">
        <f>('Renewable Diesel'!D351*'RD Feedstock Breakdown'!R$3*'Feedstock Conversion Rates'!B$7)/12</f>
        <v>2.2999999999999998</v>
      </c>
      <c r="S342" s="106">
        <f t="shared" si="329"/>
        <v>2.2999999999999998</v>
      </c>
      <c r="T342" s="104">
        <f t="shared" si="300"/>
        <v>0.82499999999999929</v>
      </c>
      <c r="U342" s="104"/>
      <c r="V342" s="104">
        <f>('Renewable Diesel'!E351*'RD Feedstock Breakdown'!V$3*'Feedstock Conversion Rates'!B$6)/12-20+25</f>
        <v>49.250150000000012</v>
      </c>
      <c r="W342" s="104">
        <f>('Renewable Diesel'!E351*'RD Feedstock Breakdown'!W$3*'Feedstock Conversion Rates'!B$8)/12-6</f>
        <v>16.1796875</v>
      </c>
      <c r="X342" s="106">
        <f t="shared" si="357"/>
        <v>66.254837500000008</v>
      </c>
      <c r="Y342" s="104">
        <f t="shared" si="301"/>
        <v>98</v>
      </c>
      <c r="Z342" s="104">
        <f>('Renewable Diesel'!F351*'RD Feedstock Breakdown'!Z$3*'Feedstock Conversion Rates'!B$6)/12-142+15+5+20+5+15</f>
        <v>77.460000000000008</v>
      </c>
      <c r="AA342" s="104">
        <f>('Renewable Diesel'!F351*'RD Feedstock Breakdown'!AA$3*'Feedstock Conversion Rates'!B$7)/12+24</f>
        <v>128.26666666666665</v>
      </c>
      <c r="AB342" s="106">
        <f t="shared" si="320"/>
        <v>303.72666666666669</v>
      </c>
      <c r="AC342" s="104">
        <f>('Renewable Diesel'!G351*'RD Feedstock Breakdown'!AC$3*'Feedstock Conversion Rates'!B$5)/12</f>
        <v>11.796875</v>
      </c>
      <c r="AD342" s="104">
        <f>('Renewable Diesel'!G351*'RD Feedstock Breakdown'!AD$3*'Feedstock Conversion Rates'!B$4)/12</f>
        <v>5.859375</v>
      </c>
      <c r="AE342" s="104">
        <f>('Renewable Diesel'!G351*'RD Feedstock Breakdown'!AE$3*'Feedstock Conversion Rates'!B$6)/12</f>
        <v>7.3281250000000009</v>
      </c>
      <c r="AF342" s="106">
        <f t="shared" si="366"/>
        <v>24.984375</v>
      </c>
      <c r="AG342" s="104">
        <f t="shared" si="306"/>
        <v>148</v>
      </c>
      <c r="AH342" s="104"/>
      <c r="AI342" s="104">
        <f>('Renewable Diesel'!H351*'RD Feedstock Breakdown'!AI$3*'Feedstock Conversion Rates'!B$6)/12-130-20+51-49</f>
        <v>0.51666666666667993</v>
      </c>
      <c r="AJ342" s="106">
        <f t="shared" si="328"/>
        <v>148.51666666666668</v>
      </c>
      <c r="AK342" s="104">
        <f>('Renewable Diesel'!J351*'RD Feedstock Breakdown'!AK$3*'Feedstock Conversion Rates'!B$4)/12</f>
        <v>95.8125</v>
      </c>
      <c r="AL342" s="106">
        <f t="shared" si="330"/>
        <v>95.8125</v>
      </c>
      <c r="AM342" s="104">
        <f>('Renewable Diesel'!K351*'RD Feedstock Breakdown'!AM$3*'Feedstock Conversion Rates'!B$4)/12+5+15-10+10</f>
        <v>78.59375</v>
      </c>
      <c r="AN342" s="104">
        <f>('Renewable Diesel'!K351*'RD Feedstock Breakdown'!AN$3*'Feedstock Conversion Rates'!B$6)/12-5-15+10-10</f>
        <v>4.4270833333333321</v>
      </c>
      <c r="AO342" s="106">
        <f t="shared" si="350"/>
        <v>83.020833333333329</v>
      </c>
      <c r="AP342" s="104">
        <f>('Renewable Diesel'!L351*'RD Feedstock Breakdown'!AP$3*'Feedstock Conversion Rates'!B$4)/12+15-10+15</f>
        <v>78.59375</v>
      </c>
      <c r="AQ342" s="104">
        <f>('Renewable Diesel'!L351*'RD Feedstock Breakdown'!AQ$3*'Feedstock Conversion Rates'!B$6)/12-15+10-15</f>
        <v>4.4270833333333321</v>
      </c>
      <c r="AR342" s="106">
        <f t="shared" si="339"/>
        <v>83.020833333333329</v>
      </c>
      <c r="AS342" s="104">
        <f>('Renewable Diesel'!M351*'RD Feedstock Breakdown'!AS$3*'Feedstock Conversion Rates'!B$4)/12</f>
        <v>456.25</v>
      </c>
      <c r="AT342" s="104">
        <f>('Renewable Diesel'!M351*'RD Feedstock Breakdown'!AT$3*'Feedstock Conversion Rates'!B$5)/12</f>
        <v>0</v>
      </c>
      <c r="AU342" s="106">
        <f t="shared" ref="AU342:AU405" si="369">SUM(AS342:AT342)</f>
        <v>456.25</v>
      </c>
      <c r="AV342" s="104">
        <f>'Renewable Diesel'!N351*'RD Feedstock Breakdown'!$AV$3*'Feedstock Conversion Rates'!$B$4/12-15-10+25+25-22+25</f>
        <v>106.74999999999999</v>
      </c>
      <c r="AW342" s="104">
        <f>'Renewable Diesel'!N351*'RD Feedstock Breakdown'!$AW$3*'Feedstock Conversion Rates'!$B$7/12+15+10-25-25+22-25</f>
        <v>13.400000000000006</v>
      </c>
      <c r="AX342" s="106">
        <f t="shared" si="322"/>
        <v>120.14999999999999</v>
      </c>
      <c r="AY342" s="104">
        <f>('Renewable Diesel'!O351*'RD Feedstock Breakdown'!AY$3*'Feedstock Conversion Rates'!B$4)/12</f>
        <v>210.9375</v>
      </c>
      <c r="AZ342" s="104">
        <f>('Renewable Diesel'!O351*'RD Feedstock Breakdown'!AZ$3*'Feedstock Conversion Rates'!B$3)/12</f>
        <v>25.03125</v>
      </c>
      <c r="BA342" s="106">
        <f t="shared" si="302"/>
        <v>235.96875</v>
      </c>
      <c r="BB342" s="104">
        <f>('Renewable Diesel'!Q351*'RD Feedstock Breakdown'!BB$3*'Feedstock Conversion Rates'!B$4)/12</f>
        <v>11.156249999999998</v>
      </c>
      <c r="BC342" s="104">
        <f>('Renewable Diesel'!Q351*'RD Feedstock Breakdown'!BC$3*'Feedstock Conversion Rates'!B$3)/12</f>
        <v>1.4017500000000001</v>
      </c>
      <c r="BD342" s="104">
        <f>('Renewable Diesel'!Q351*'RD Feedstock Breakdown'!BD$3*'Feedstock Conversion Rates'!B$6)/12</f>
        <v>0.8207500000000002</v>
      </c>
      <c r="BE342" s="106">
        <f t="shared" si="359"/>
        <v>13.378749999999998</v>
      </c>
      <c r="BF342" s="104">
        <f>('Renewable Diesel'!R351*'RD Feedstock Breakdown'!BF$3*'Feedstock Conversion Rates'!B$4)/12</f>
        <v>62.5</v>
      </c>
      <c r="BG342" s="106">
        <f t="shared" si="344"/>
        <v>62.5</v>
      </c>
      <c r="BH342" s="104">
        <f>('Renewable Diesel'!T351*'RD Feedstock Breakdown'!BH$3*'Feedstock Conversion Rates'!B$7)/12</f>
        <v>27.599999999999998</v>
      </c>
      <c r="BI342" s="106">
        <f t="shared" si="327"/>
        <v>27.599999999999998</v>
      </c>
      <c r="BJ342" s="104">
        <f>('Renewable Diesel'!W351*'RD Feedstock Breakdown'!BJ$3*'Feedstock Conversion Rates'!B$4)/12</f>
        <v>7.5</v>
      </c>
      <c r="BK342" s="104">
        <f>('Renewable Diesel'!W351*'RD Feedstock Breakdown'!BK$3*'Feedstock Conversion Rates'!B$3)/12</f>
        <v>1.335</v>
      </c>
      <c r="BL342" s="104">
        <f>('Renewable Diesel'!W351*'RD Feedstock Breakdown'!BL$3*'Feedstock Conversion Rates'!B$6)/12</f>
        <v>3.1266666666666669</v>
      </c>
      <c r="BM342" s="104">
        <f>('Renewable Diesel'!W351*'RD Feedstock Breakdown'!BM$3*'Feedstock Conversion Rates'!B$7)/12</f>
        <v>1.5333333333333332</v>
      </c>
      <c r="BN342" s="106">
        <f t="shared" si="296"/>
        <v>13.495000000000001</v>
      </c>
      <c r="BO342" s="104">
        <f>('Renewable Diesel'!P351*'Feedstock Conversion Rates'!B$4)/12</f>
        <v>31.25</v>
      </c>
      <c r="BP342" s="106">
        <f t="shared" si="367"/>
        <v>31.25</v>
      </c>
      <c r="BQ342" s="104">
        <f>('Renewable Diesel'!$S351*'RD Feedstock Breakdown'!BQ$3*'Feedstock Conversion Rates'!B$4)/12+10+15-15</f>
        <v>38.125</v>
      </c>
      <c r="BR342" s="104">
        <f>('Renewable Diesel'!$S351*'RD Feedstock Breakdown'!BR$3*'Feedstock Conversion Rates'!B$7)/12-10-15+15</f>
        <v>1.5</v>
      </c>
      <c r="BS342" s="106">
        <f t="shared" si="307"/>
        <v>39.625</v>
      </c>
      <c r="BT342" s="106"/>
      <c r="BU342" s="104">
        <f>('Renewable Diesel'!Y351*'Feedstock Conversion Rates'!B$7)/12</f>
        <v>2.6833333333333331</v>
      </c>
      <c r="BV342" s="106">
        <f t="shared" si="361"/>
        <v>2.6833333333333331</v>
      </c>
      <c r="BW342" s="104">
        <f>('Renewable Diesel'!$Z351*'RD Feedstock Breakdown'!BW$3*'Feedstock Conversion Rates'!$B$4)/12-180+110</f>
        <v>1.875</v>
      </c>
      <c r="BX342" s="104">
        <f>('Renewable Diesel'!$Z351*'RD Feedstock Breakdown'!BX$3*'Feedstock Conversion Rates'!$B$5)/12</f>
        <v>7.2354166666666666</v>
      </c>
      <c r="BY342" s="104">
        <f>('Renewable Diesel'!$Z351*'RD Feedstock Breakdown'!BY$3*'Feedstock Conversion Rates'!$B$7)/12</f>
        <v>61.716666666666661</v>
      </c>
      <c r="BZ342" s="104">
        <f>('Renewable Diesel'!$Z351*'RD Feedstock Breakdown'!BZ$3*'Feedstock Conversion Rates'!$B$3)/12+180-110</f>
        <v>85.352499999999992</v>
      </c>
      <c r="CA342" s="106">
        <f t="shared" si="312"/>
        <v>156.17958333333331</v>
      </c>
      <c r="CB342" s="104">
        <f>('Renewable Diesel'!AA351*'Feedstock Conversion Rates'!B$4)/12</f>
        <v>191.25</v>
      </c>
      <c r="CC342" s="106">
        <f t="shared" si="298"/>
        <v>191.25</v>
      </c>
      <c r="CD342" s="104">
        <f>('Renewable Diesel'!$AB351*'RD Feedstock Breakdown'!CD$3*'Feedstock Conversion Rates'!$B$6)/12-15-5</f>
        <v>12.830000000000005</v>
      </c>
      <c r="CE342" s="104">
        <f>('Renewable Diesel'!$AB351*'RD Feedstock Breakdown'!CE$3*'Feedstock Conversion Rates'!$B$4)/12+15+5</f>
        <v>31.25</v>
      </c>
      <c r="CF342" s="106">
        <f t="shared" si="294"/>
        <v>44.080000000000005</v>
      </c>
      <c r="CG342" s="104">
        <f>('Renewable Diesel'!AD351*'Feedstock Conversion Rates'!B$4)/12</f>
        <v>112.5</v>
      </c>
      <c r="CH342" s="106">
        <f t="shared" si="358"/>
        <v>112.5</v>
      </c>
      <c r="CI342" s="104">
        <f>('Renewable Diesel'!$AE351*'RD Feedstock Breakdown'!CI$3*'Feedstock Conversion Rates'!$B$5)/12</f>
        <v>0.34604166666666664</v>
      </c>
      <c r="CJ342" s="104">
        <f>('Renewable Diesel'!$AE351*'RD Feedstock Breakdown'!CJ$3*'Feedstock Conversion Rates'!$B$4)/12</f>
        <v>0.34375</v>
      </c>
      <c r="CK342" s="106">
        <f t="shared" si="368"/>
        <v>0.68979166666666658</v>
      </c>
      <c r="CL342" s="104">
        <f>(((CL$3*'Renewable Diesel'!$AF351)*'Feedstock Conversion Rates'!$B$3)/12)</f>
        <v>91.78125</v>
      </c>
      <c r="CM342" s="104">
        <f>(((CM$3*'Renewable Diesel'!$AF351)*'Feedstock Conversion Rates'!$B$6)/12)</f>
        <v>53.739583333333336</v>
      </c>
      <c r="CN342" s="104">
        <f>(((CN$3*'Renewable Diesel'!$AF351)*'Feedstock Conversion Rates'!$B$4)/12)</f>
        <v>42.96875</v>
      </c>
      <c r="CO342" s="106">
        <f t="shared" si="360"/>
        <v>188.48958333333334</v>
      </c>
      <c r="CP342" s="104">
        <f>('Renewable Diesel'!$AG351*'RD Feedstock Breakdown'!CP$3*'Feedstock Conversion Rates'!$B$3)/12</f>
        <v>6.0075000000000003</v>
      </c>
      <c r="CQ342" s="104">
        <f>('Renewable Diesel'!$AG351*'RD Feedstock Breakdown'!CQ$3*'Feedstock Conversion Rates'!$B$6)/12</f>
        <v>3.5175000000000001</v>
      </c>
      <c r="CR342" s="104">
        <f>('Renewable Diesel'!$AG351*'RD Feedstock Breakdown'!CR$3*'Feedstock Conversion Rates'!$B$4)/12</f>
        <v>2.8125</v>
      </c>
      <c r="CS342" s="106">
        <f t="shared" si="317"/>
        <v>12.3375</v>
      </c>
      <c r="CT342" s="104">
        <f>('Renewable Diesel'!AI351*'Feedstock Conversion Rates'!$B$4*'RD Feedstock Breakdown'!$CT$3)/12</f>
        <v>29.375</v>
      </c>
      <c r="CU342" s="106">
        <f t="shared" si="364"/>
        <v>29.375</v>
      </c>
      <c r="CV342" s="104">
        <f>('Renewable Diesel'!AN351*'Feedstock Conversion Rates'!$B$3*'RD Feedstock Breakdown'!$CV$3)/12</f>
        <v>0.50062499999999999</v>
      </c>
      <c r="CW342" s="106">
        <f t="shared" si="338"/>
        <v>0.50062499999999999</v>
      </c>
      <c r="CX342" s="104">
        <f>('Renewable Diesel'!AO351*'RD Feedstock Breakdown'!$CX$3*'Feedstock Conversion Rates'!$B$3)/12</f>
        <v>6.3412499999999996</v>
      </c>
      <c r="CY342" s="104">
        <f>('Renewable Diesel'!AO351*'RD Feedstock Breakdown'!$CY$3*'Feedstock Conversion Rates'!$B$6)/12</f>
        <v>7.4258333333333342</v>
      </c>
      <c r="CZ342" s="106">
        <f t="shared" si="318"/>
        <v>13.767083333333334</v>
      </c>
      <c r="DA342" s="104">
        <f>('Renewable Diesel'!$AP351*'RD Feedstock Breakdown'!DA$3*'Feedstock Conversion Rates'!$B$3)/12</f>
        <v>6.3412499999999996</v>
      </c>
      <c r="DB342" s="104">
        <f>('Renewable Diesel'!$AP351*'RD Feedstock Breakdown'!DB$3*'Feedstock Conversion Rates'!$B$8)/12</f>
        <v>7.421875</v>
      </c>
      <c r="DC342" s="106">
        <f t="shared" si="342"/>
        <v>13.763124999999999</v>
      </c>
      <c r="DD342" s="104">
        <f>('Renewable Diesel'!AQ351*$DD$3*'Feedstock Conversion Rates'!$B$14)/12</f>
        <v>3.1041666666666665</v>
      </c>
      <c r="DE342" s="106">
        <f t="shared" si="343"/>
        <v>3.1041666666666665</v>
      </c>
      <c r="DF342" s="104">
        <f>('Renewable Diesel'!AR351*'Feedstock Conversion Rates'!$B$4*$DF$3)/12</f>
        <v>75</v>
      </c>
      <c r="DG342" s="106">
        <f t="shared" si="319"/>
        <v>75</v>
      </c>
      <c r="DH342" s="104">
        <f>('Renewable Diesel'!AS351*'Feedstock Conversion Rates'!$B$4*$DH$3)/12</f>
        <v>75</v>
      </c>
      <c r="DI342" s="106">
        <f t="shared" si="323"/>
        <v>75</v>
      </c>
      <c r="DJ342" s="104">
        <f>('Renewable Diesel'!AT351*'Feedstock Conversion Rates'!$B$4*0.25)/12</f>
        <v>8.59375</v>
      </c>
      <c r="DK342" s="104">
        <f>('Renewable Diesel'!$AT351*'RD Feedstock Breakdown'!DK$3*'Feedstock Conversion Rates'!$B$3)/12*0.5</f>
        <v>9.1781249999999996</v>
      </c>
      <c r="DL342" s="104">
        <f>('Renewable Diesel'!$AT351*'RD Feedstock Breakdown'!$DL$3*'Feedstock Conversion Rates'!$B$6)/12</f>
        <v>10.747916666666669</v>
      </c>
      <c r="DM342" s="104">
        <f>('Renewable Diesel'!$AT351*'RD Feedstock Breakdown'!$DM$3*'Feedstock Conversion Rates'!$B$8)/12</f>
        <v>10.7421875</v>
      </c>
      <c r="DN342" s="106">
        <f t="shared" si="297"/>
        <v>39.26197916666667</v>
      </c>
      <c r="DP342" s="104">
        <f t="shared" si="345"/>
        <v>103.22025000000001</v>
      </c>
      <c r="DQ342" s="104">
        <f t="shared" si="346"/>
        <v>324.11776750000001</v>
      </c>
      <c r="DR342" s="104">
        <f t="shared" si="351"/>
        <v>1951.953125</v>
      </c>
      <c r="DS342" s="104">
        <f t="shared" si="365"/>
        <v>228.90125</v>
      </c>
      <c r="DT342" s="104">
        <f t="shared" si="347"/>
        <v>243.03923333333344</v>
      </c>
      <c r="DU342" s="104">
        <f t="shared" si="348"/>
        <v>367.90610000000009</v>
      </c>
      <c r="DV342" s="104">
        <f t="shared" si="352"/>
        <v>78.75</v>
      </c>
      <c r="DW342" s="104">
        <f t="shared" si="349"/>
        <v>3</v>
      </c>
      <c r="DX342" s="106">
        <f t="shared" si="353"/>
        <v>3300.8877258333337</v>
      </c>
      <c r="DY342" s="109">
        <f t="shared" si="340"/>
        <v>-5.631051180898794E-13</v>
      </c>
      <c r="EA342" s="110">
        <f t="shared" si="313"/>
        <v>3.1270451640078516E-2</v>
      </c>
      <c r="EB342" s="110">
        <f t="shared" si="313"/>
        <v>9.8191091130848465E-2</v>
      </c>
      <c r="EC342" s="110">
        <f t="shared" si="313"/>
        <v>0.59134187137710503</v>
      </c>
      <c r="ED342" s="110">
        <f t="shared" si="308"/>
        <v>6.9345360706629972E-2</v>
      </c>
      <c r="EE342" s="110">
        <f t="shared" si="308"/>
        <v>7.3628445896921982E-2</v>
      </c>
      <c r="EF342" s="110">
        <f t="shared" si="308"/>
        <v>0.11145671424105147</v>
      </c>
      <c r="EG342" s="110">
        <f t="shared" si="308"/>
        <v>2.3857218585075921E-2</v>
      </c>
      <c r="EH342" s="111">
        <f t="shared" si="354"/>
        <v>9.0884642228860647E-4</v>
      </c>
      <c r="EI342" s="110">
        <f t="shared" si="321"/>
        <v>0.99909115357771128</v>
      </c>
      <c r="EK342" s="132">
        <f>(EA342*'Renewable Diesel'!BF351*'Feedstock Conversion Rates'!B$2)+FB342</f>
        <v>238.51258073236926</v>
      </c>
      <c r="EL342" s="132">
        <f>(EB342*'Renewable Diesel'!BF351*'Feedstock Conversion Rates'!B$3)+FC342</f>
        <v>705.76938280662682</v>
      </c>
      <c r="EM342" s="132">
        <f>(EC342*'Renewable Diesel'!BF351*'Feedstock Conversion Rates'!B$4)+FD342</f>
        <v>3979.7712171932999</v>
      </c>
      <c r="EN342" s="132">
        <f>(ED342*'Renewable Diesel'!BF351*'Feedstock Conversion Rates'!B$5)+FE342</f>
        <v>469.81034463712592</v>
      </c>
      <c r="EO342" s="132">
        <f>(EE342*'Renewable Diesel'!BF351*'Feedstock Conversion Rates'!B$6)+FF342</f>
        <v>619.73594210476813</v>
      </c>
      <c r="EP342" s="132">
        <f>(EF342*'Renewable Diesel'!BF351*'Feedstock Conversion Rates'!B$7)+FG342</f>
        <v>920.13653508682683</v>
      </c>
      <c r="EQ342" s="132">
        <f>(EG342*'Renewable Diesel'!BF351*'Feedstock Conversion Rates'!B$8)+FH342</f>
        <v>200.70088988047058</v>
      </c>
      <c r="ER342" s="132">
        <f>(EH342*'Renewable Diesel'!BF351*'Feedstock Conversion Rates'!B$9)+FI342</f>
        <v>7.5438048767770525</v>
      </c>
      <c r="ES342" s="132">
        <f t="shared" si="355"/>
        <v>7141.9806973182658</v>
      </c>
      <c r="ET342" s="133">
        <f>ES342/'Renewable Diesel'!BF351</f>
        <v>11.68340042831092</v>
      </c>
      <c r="EW342" s="73">
        <f t="shared" si="309"/>
        <v>5867.9925909479989</v>
      </c>
      <c r="EX342" s="73">
        <f t="shared" si="310"/>
        <v>3550.6660478919744</v>
      </c>
      <c r="EY342" s="92">
        <f t="shared" si="341"/>
        <v>0.82161977743112147</v>
      </c>
      <c r="EZ342" s="92">
        <f t="shared" si="341"/>
        <v>0.49715424871215486</v>
      </c>
      <c r="FB342" s="102">
        <f>IF('Renewable Diesel'!$BG351&lt;1,0,(((('Renewable Diesel'!$BG351-1)*'Renewable Diesel'!$BF351)*'RD Feedstock Breakdown'!EA342)*'Feedstock Conversion Rates'!$B$2))</f>
        <v>76.031615645880606</v>
      </c>
      <c r="FC342" s="102">
        <f>IF('Renewable Diesel'!$BG351&lt;1,0,(((('Renewable Diesel'!$BG351-1)*'Renewable Diesel'!$BF351)*'RD Feedstock Breakdown'!EB342)*'Feedstock Conversion Rates'!$B$3))</f>
        <v>224.98094768592372</v>
      </c>
      <c r="FD342" s="102">
        <f>IF('Renewable Diesel'!$BG351&lt;1,0,(((('Renewable Diesel'!$BG351-1)*'Renewable Diesel'!$BF351)*'RD Feedstock Breakdown'!EC342)*'Feedstock Conversion Rates'!$B$4))</f>
        <v>1268.6476940338359</v>
      </c>
      <c r="FE342" s="102">
        <f>IF('Renewable Diesel'!$BG351&lt;1,0,(((('Renewable Diesel'!$BG351-1)*'Renewable Diesel'!$BF351)*'RD Feedstock Breakdown'!ED342)*'Feedstock Conversion Rates'!$B$5))</f>
        <v>149.76333508373691</v>
      </c>
      <c r="FF342" s="102">
        <f>IF('Renewable Diesel'!$BG351&lt;1,0,(((('Renewable Diesel'!$BG351-1)*'Renewable Diesel'!$BF351)*'RD Feedstock Breakdown'!EE342)*'Feedstock Conversion Rates'!$B$6))</f>
        <v>197.55572141043339</v>
      </c>
      <c r="FG342" s="102">
        <f>IF('Renewable Diesel'!$BG351&lt;1,0,(((('Renewable Diesel'!$BG351-1)*'Renewable Diesel'!$BF351)*'RD Feedstock Breakdown'!EF342)*'Feedstock Conversion Rates'!$B$7))</f>
        <v>293.31562789115196</v>
      </c>
      <c r="FH342" s="102">
        <f>IF('Renewable Diesel'!$BG351&lt;1,0,(((('Renewable Diesel'!$BG351-1)*'Renewable Diesel'!$BF351)*'RD Feedstock Breakdown'!EG342)*'Feedstock Conversion Rates'!$B$8))</f>
        <v>63.978230717735975</v>
      </c>
      <c r="FI342" s="102">
        <f>IF('Renewable Diesel'!$BG351&lt;1,0,(((('Renewable Diesel'!$BG351-1)*'Renewable Diesel'!$BF351)*'RD Feedstock Breakdown'!EH342)*'Feedstock Conversion Rates'!$B$9))</f>
        <v>2.4047690530095047</v>
      </c>
      <c r="FJ342" s="102">
        <f t="shared" si="311"/>
        <v>2276.6779415217084</v>
      </c>
      <c r="GD342" s="91">
        <f>'Renewable Diesel'!BB351*0.32</f>
        <v>0</v>
      </c>
      <c r="GE342" s="91">
        <f>'Renewable Diesel'!BC351</f>
        <v>199.30347544531051</v>
      </c>
      <c r="GF342" s="91">
        <f>'Renewable Diesel'!BD351</f>
        <v>0</v>
      </c>
      <c r="GG342" s="91">
        <f t="shared" si="295"/>
        <v>199.30347544531051</v>
      </c>
      <c r="GH342" s="124">
        <v>1</v>
      </c>
      <c r="GI342" s="102">
        <f>$GG342*EA342*'Feedstock Conversion Rates'!$B$2</f>
        <v>52.974632370203345</v>
      </c>
      <c r="GJ342" s="102">
        <f>$GG342*EB342*'Feedstock Conversion Rates'!$B$3</f>
        <v>156.75430401836388</v>
      </c>
      <c r="GK342" s="102">
        <f>$GG342*EC342*'Feedstock Conversion Rates'!$B$4</f>
        <v>883.92367606343112</v>
      </c>
      <c r="GL342" s="102">
        <f>$GG342*ED342*'Feedstock Conversion Rates'!$B$5</f>
        <v>104.34682403104219</v>
      </c>
      <c r="GM342" s="102">
        <f>$GG342*EE342*'Feedstock Conversion Rates'!$B$6</f>
        <v>137.64592039042162</v>
      </c>
      <c r="GN342" s="102">
        <f>$GG342*EF342*'Feedstock Conversion Rates'!$B$7</f>
        <v>204.3661366915988</v>
      </c>
      <c r="GO342" s="102">
        <f>$GG342*EG342*'Feedstock Conversion Rates'!$B$8</f>
        <v>44.576499173100792</v>
      </c>
      <c r="GP342" s="102">
        <f>$GG342*EH342*'Feedstock Conversion Rates'!B$9</f>
        <v>1.6755103181254392</v>
      </c>
      <c r="GQ342" s="102">
        <f t="shared" si="356"/>
        <v>1586.2635030562869</v>
      </c>
      <c r="GR342" s="85">
        <f t="shared" si="293"/>
        <v>7.9590358347341645</v>
      </c>
      <c r="GT342" s="103">
        <f t="shared" si="333"/>
        <v>3.3395859053767546E-2</v>
      </c>
      <c r="GU342" s="103">
        <f t="shared" si="334"/>
        <v>9.8819839021916628E-2</v>
      </c>
      <c r="GV342" s="103">
        <f t="shared" si="335"/>
        <v>0.5572363446302312</v>
      </c>
      <c r="GW342" s="103">
        <f t="shared" si="331"/>
        <v>6.5781519797937074E-2</v>
      </c>
      <c r="GX342" s="103">
        <f t="shared" si="331"/>
        <v>8.6773679231235121E-2</v>
      </c>
      <c r="GY342" s="103">
        <f t="shared" si="331"/>
        <v>0.12883492326328017</v>
      </c>
      <c r="GZ342" s="103">
        <f t="shared" si="331"/>
        <v>2.8101572712991449E-2</v>
      </c>
      <c r="HA342" s="103">
        <f t="shared" si="331"/>
        <v>1.0562622886406943E-3</v>
      </c>
    </row>
    <row r="343" spans="1:209" x14ac:dyDescent="0.25">
      <c r="A343" s="96">
        <v>50861</v>
      </c>
      <c r="B343" s="104">
        <f t="shared" si="362"/>
        <v>104.25</v>
      </c>
      <c r="C343" s="104">
        <f t="shared" si="314"/>
        <v>49</v>
      </c>
      <c r="D343" s="104">
        <f t="shared" si="363"/>
        <v>2</v>
      </c>
      <c r="E343" s="104">
        <f>('Renewable Diesel'!B352*E$3*'Feedstock Conversion Rates'!$B$2)/12+26+13-100+27.5+39</f>
        <v>95.43</v>
      </c>
      <c r="F343" s="104">
        <f>('Renewable Diesel'!B352*'RD Feedstock Breakdown'!F$3*'Feedstock Conversion Rates'!B$8)/12+77+23-10-12-115.75+24+8</f>
        <v>48.15625</v>
      </c>
      <c r="G343" s="104">
        <f>('Renewable Diesel'!B352*'RD Feedstock Breakdown'!G$3*'Feedstock Conversion Rates'!B$7)/12+116.75-39-57.5-145-31.5+32+70-40+10+25</f>
        <v>116.90700000000004</v>
      </c>
      <c r="H343" s="104">
        <f>('Renewable Diesel'!B352*'RD Feedstock Breakdown'!H$3*'Feedstock Conversion Rates'!B$3)/12+67+10+12+3-235+20+47-20</f>
        <v>80.400224999999978</v>
      </c>
      <c r="I343" s="106">
        <f t="shared" ref="I343:I406" si="370">SUM(B343:H343)</f>
        <v>496.14347500000002</v>
      </c>
      <c r="J343" s="104">
        <f t="shared" si="332"/>
        <v>4</v>
      </c>
      <c r="K343" s="104"/>
      <c r="L343" s="104">
        <v>1</v>
      </c>
      <c r="M343" s="104">
        <f>('Renewable Diesel'!C352*'RD Feedstock Breakdown'!M$3*'Feedstock Conversion Rates'!B$2)/12</f>
        <v>7.7902500000000003</v>
      </c>
      <c r="N343" s="104">
        <f>('Renewable Diesel'!C352*'RD Feedstock Breakdown'!N$3*'Feedstock Conversion Rates'!B$8)/12</f>
        <v>3.671875</v>
      </c>
      <c r="O343" s="104">
        <f>('Renewable Diesel'!C352*'RD Feedstock Breakdown'!O$3*'Feedstock Conversion Rates'!B$7)/12</f>
        <v>11.9991</v>
      </c>
      <c r="P343" s="104">
        <f>('Renewable Diesel'!C352*'RD Feedstock Breakdown'!P$3*'Feedstock Conversion Rates'!B$3)/12</f>
        <v>10.4470425</v>
      </c>
      <c r="Q343" s="106">
        <f t="shared" si="299"/>
        <v>38.908267500000001</v>
      </c>
      <c r="R343" s="104">
        <f>('Renewable Diesel'!D352*'RD Feedstock Breakdown'!R$3*'Feedstock Conversion Rates'!B$7)/12</f>
        <v>2.2999999999999998</v>
      </c>
      <c r="S343" s="106">
        <f t="shared" si="329"/>
        <v>2.2999999999999998</v>
      </c>
      <c r="T343" s="104">
        <f t="shared" si="300"/>
        <v>0.82499999999999929</v>
      </c>
      <c r="U343" s="104"/>
      <c r="V343" s="104">
        <f>('Renewable Diesel'!E352*'RD Feedstock Breakdown'!V$3*'Feedstock Conversion Rates'!B$6)/12-20+25</f>
        <v>49.250150000000012</v>
      </c>
      <c r="W343" s="104">
        <f>('Renewable Diesel'!E352*'RD Feedstock Breakdown'!W$3*'Feedstock Conversion Rates'!B$8)/12-6</f>
        <v>16.1796875</v>
      </c>
      <c r="X343" s="106">
        <f t="shared" si="357"/>
        <v>66.254837500000008</v>
      </c>
      <c r="Y343" s="104">
        <f t="shared" si="301"/>
        <v>98</v>
      </c>
      <c r="Z343" s="104">
        <f>('Renewable Diesel'!F352*'RD Feedstock Breakdown'!Z$3*'Feedstock Conversion Rates'!B$6)/12-142+15+5+20+5+15</f>
        <v>77.460000000000008</v>
      </c>
      <c r="AA343" s="104">
        <f>('Renewable Diesel'!F352*'RD Feedstock Breakdown'!AA$3*'Feedstock Conversion Rates'!B$7)/12+24</f>
        <v>128.26666666666665</v>
      </c>
      <c r="AB343" s="106">
        <f t="shared" si="320"/>
        <v>303.72666666666669</v>
      </c>
      <c r="AC343" s="104">
        <f>('Renewable Diesel'!G352*'RD Feedstock Breakdown'!AC$3*'Feedstock Conversion Rates'!B$5)/12</f>
        <v>11.796875</v>
      </c>
      <c r="AD343" s="104">
        <f>('Renewable Diesel'!G352*'RD Feedstock Breakdown'!AD$3*'Feedstock Conversion Rates'!B$4)/12</f>
        <v>5.859375</v>
      </c>
      <c r="AE343" s="104">
        <f>('Renewable Diesel'!G352*'RD Feedstock Breakdown'!AE$3*'Feedstock Conversion Rates'!B$6)/12</f>
        <v>7.3281250000000009</v>
      </c>
      <c r="AF343" s="106">
        <f t="shared" si="366"/>
        <v>24.984375</v>
      </c>
      <c r="AG343" s="104">
        <f t="shared" si="306"/>
        <v>148</v>
      </c>
      <c r="AH343" s="104"/>
      <c r="AI343" s="104">
        <f>('Renewable Diesel'!H352*'RD Feedstock Breakdown'!AI$3*'Feedstock Conversion Rates'!B$6)/12-130-20+51-49</f>
        <v>0.51666666666667993</v>
      </c>
      <c r="AJ343" s="106">
        <f t="shared" si="328"/>
        <v>148.51666666666668</v>
      </c>
      <c r="AK343" s="104">
        <f>('Renewable Diesel'!J352*'RD Feedstock Breakdown'!AK$3*'Feedstock Conversion Rates'!B$4)/12</f>
        <v>95.8125</v>
      </c>
      <c r="AL343" s="106">
        <f t="shared" si="330"/>
        <v>95.8125</v>
      </c>
      <c r="AM343" s="104">
        <f>('Renewable Diesel'!K352*'RD Feedstock Breakdown'!AM$3*'Feedstock Conversion Rates'!B$4)/12+5+15-10+10</f>
        <v>78.59375</v>
      </c>
      <c r="AN343" s="104">
        <f>('Renewable Diesel'!K352*'RD Feedstock Breakdown'!AN$3*'Feedstock Conversion Rates'!B$6)/12-5-15+10-10</f>
        <v>4.4270833333333321</v>
      </c>
      <c r="AO343" s="106">
        <f t="shared" si="350"/>
        <v>83.020833333333329</v>
      </c>
      <c r="AP343" s="104">
        <f>('Renewable Diesel'!L352*'RD Feedstock Breakdown'!AP$3*'Feedstock Conversion Rates'!B$4)/12+15-10+15</f>
        <v>78.59375</v>
      </c>
      <c r="AQ343" s="104">
        <f>('Renewable Diesel'!L352*'RD Feedstock Breakdown'!AQ$3*'Feedstock Conversion Rates'!B$6)/12-15+10-15</f>
        <v>4.4270833333333321</v>
      </c>
      <c r="AR343" s="106">
        <f t="shared" si="339"/>
        <v>83.020833333333329</v>
      </c>
      <c r="AS343" s="104">
        <f>('Renewable Diesel'!M352*'RD Feedstock Breakdown'!AS$3*'Feedstock Conversion Rates'!B$4)/12</f>
        <v>456.25</v>
      </c>
      <c r="AT343" s="104">
        <f>('Renewable Diesel'!M352*'RD Feedstock Breakdown'!AT$3*'Feedstock Conversion Rates'!B$5)/12</f>
        <v>0</v>
      </c>
      <c r="AU343" s="106">
        <f t="shared" si="369"/>
        <v>456.25</v>
      </c>
      <c r="AV343" s="104">
        <f>'Renewable Diesel'!N352*'RD Feedstock Breakdown'!$AV$3*'Feedstock Conversion Rates'!$B$4/12-15-10+25+25-22+25</f>
        <v>106.74999999999999</v>
      </c>
      <c r="AW343" s="104">
        <f>'Renewable Diesel'!N352*'RD Feedstock Breakdown'!$AW$3*'Feedstock Conversion Rates'!$B$7/12+15+10-25-25+22-25</f>
        <v>13.400000000000006</v>
      </c>
      <c r="AX343" s="106">
        <f t="shared" si="322"/>
        <v>120.14999999999999</v>
      </c>
      <c r="AY343" s="104">
        <f>('Renewable Diesel'!O352*'RD Feedstock Breakdown'!AY$3*'Feedstock Conversion Rates'!B$4)/12</f>
        <v>210.9375</v>
      </c>
      <c r="AZ343" s="104">
        <f>('Renewable Diesel'!O352*'RD Feedstock Breakdown'!AZ$3*'Feedstock Conversion Rates'!B$3)/12</f>
        <v>25.03125</v>
      </c>
      <c r="BA343" s="106">
        <f t="shared" si="302"/>
        <v>235.96875</v>
      </c>
      <c r="BB343" s="104">
        <f>('Renewable Diesel'!Q352*'RD Feedstock Breakdown'!BB$3*'Feedstock Conversion Rates'!B$4)/12</f>
        <v>11.156249999999998</v>
      </c>
      <c r="BC343" s="104">
        <f>('Renewable Diesel'!Q352*'RD Feedstock Breakdown'!BC$3*'Feedstock Conversion Rates'!B$3)/12</f>
        <v>1.4017500000000001</v>
      </c>
      <c r="BD343" s="104">
        <f>('Renewable Diesel'!Q352*'RD Feedstock Breakdown'!BD$3*'Feedstock Conversion Rates'!B$6)/12</f>
        <v>0.8207500000000002</v>
      </c>
      <c r="BE343" s="106">
        <f t="shared" si="359"/>
        <v>13.378749999999998</v>
      </c>
      <c r="BF343" s="104">
        <f>('Renewable Diesel'!R352*'RD Feedstock Breakdown'!BF$3*'Feedstock Conversion Rates'!B$4)/12</f>
        <v>62.5</v>
      </c>
      <c r="BG343" s="106">
        <f t="shared" si="344"/>
        <v>62.5</v>
      </c>
      <c r="BH343" s="104">
        <f>('Renewable Diesel'!T352*'RD Feedstock Breakdown'!BH$3*'Feedstock Conversion Rates'!B$7)/12</f>
        <v>27.599999999999998</v>
      </c>
      <c r="BI343" s="106">
        <f t="shared" si="327"/>
        <v>27.599999999999998</v>
      </c>
      <c r="BJ343" s="104">
        <f>('Renewable Diesel'!W352*'RD Feedstock Breakdown'!BJ$3*'Feedstock Conversion Rates'!B$4)/12</f>
        <v>7.5</v>
      </c>
      <c r="BK343" s="104">
        <f>('Renewable Diesel'!W352*'RD Feedstock Breakdown'!BK$3*'Feedstock Conversion Rates'!B$3)/12</f>
        <v>1.335</v>
      </c>
      <c r="BL343" s="104">
        <f>('Renewable Diesel'!W352*'RD Feedstock Breakdown'!BL$3*'Feedstock Conversion Rates'!B$6)/12</f>
        <v>3.1266666666666669</v>
      </c>
      <c r="BM343" s="104">
        <f>('Renewable Diesel'!W352*'RD Feedstock Breakdown'!BM$3*'Feedstock Conversion Rates'!B$7)/12</f>
        <v>1.5333333333333332</v>
      </c>
      <c r="BN343" s="106">
        <f t="shared" si="296"/>
        <v>13.495000000000001</v>
      </c>
      <c r="BO343" s="104">
        <f>('Renewable Diesel'!P352*'Feedstock Conversion Rates'!B$4)/12</f>
        <v>31.25</v>
      </c>
      <c r="BP343" s="106">
        <f t="shared" si="367"/>
        <v>31.25</v>
      </c>
      <c r="BQ343" s="104">
        <f>('Renewable Diesel'!$S352*'RD Feedstock Breakdown'!BQ$3*'Feedstock Conversion Rates'!B$4)/12+10+15-15</f>
        <v>38.125</v>
      </c>
      <c r="BR343" s="104">
        <f>('Renewable Diesel'!$S352*'RD Feedstock Breakdown'!BR$3*'Feedstock Conversion Rates'!B$7)/12-10-15+15</f>
        <v>1.5</v>
      </c>
      <c r="BS343" s="106">
        <f t="shared" si="307"/>
        <v>39.625</v>
      </c>
      <c r="BT343" s="106"/>
      <c r="BU343" s="104">
        <f>('Renewable Diesel'!Y352*'Feedstock Conversion Rates'!B$7)/12</f>
        <v>2.6833333333333331</v>
      </c>
      <c r="BV343" s="106">
        <f t="shared" si="361"/>
        <v>2.6833333333333331</v>
      </c>
      <c r="BW343" s="104">
        <f>('Renewable Diesel'!$Z352*'RD Feedstock Breakdown'!BW$3*'Feedstock Conversion Rates'!$B$4)/12-180+110</f>
        <v>1.875</v>
      </c>
      <c r="BX343" s="104">
        <f>('Renewable Diesel'!$Z352*'RD Feedstock Breakdown'!BX$3*'Feedstock Conversion Rates'!$B$5)/12</f>
        <v>7.2354166666666666</v>
      </c>
      <c r="BY343" s="104">
        <f>('Renewable Diesel'!$Z352*'RD Feedstock Breakdown'!BY$3*'Feedstock Conversion Rates'!$B$7)/12</f>
        <v>61.716666666666661</v>
      </c>
      <c r="BZ343" s="104">
        <f>('Renewable Diesel'!$Z352*'RD Feedstock Breakdown'!BZ$3*'Feedstock Conversion Rates'!$B$3)/12+180-110</f>
        <v>85.352499999999992</v>
      </c>
      <c r="CA343" s="106">
        <f t="shared" si="312"/>
        <v>156.17958333333331</v>
      </c>
      <c r="CB343" s="104">
        <f>('Renewable Diesel'!AA352*'Feedstock Conversion Rates'!B$4)/12</f>
        <v>191.25</v>
      </c>
      <c r="CC343" s="106">
        <f t="shared" si="298"/>
        <v>191.25</v>
      </c>
      <c r="CD343" s="104">
        <f>('Renewable Diesel'!$AB352*'RD Feedstock Breakdown'!CD$3*'Feedstock Conversion Rates'!$B$6)/12-15-5</f>
        <v>12.830000000000005</v>
      </c>
      <c r="CE343" s="104">
        <f>('Renewable Diesel'!$AB352*'RD Feedstock Breakdown'!CE$3*'Feedstock Conversion Rates'!$B$4)/12+15+5</f>
        <v>31.25</v>
      </c>
      <c r="CF343" s="106">
        <f t="shared" si="294"/>
        <v>44.080000000000005</v>
      </c>
      <c r="CG343" s="104">
        <f>('Renewable Diesel'!AD352*'Feedstock Conversion Rates'!B$4)/12</f>
        <v>112.5</v>
      </c>
      <c r="CH343" s="106">
        <f t="shared" si="358"/>
        <v>112.5</v>
      </c>
      <c r="CI343" s="104">
        <f>('Renewable Diesel'!$AE352*'RD Feedstock Breakdown'!CI$3*'Feedstock Conversion Rates'!$B$5)/12</f>
        <v>0.34604166666666664</v>
      </c>
      <c r="CJ343" s="104">
        <f>('Renewable Diesel'!$AE352*'RD Feedstock Breakdown'!CJ$3*'Feedstock Conversion Rates'!$B$4)/12</f>
        <v>0.34375</v>
      </c>
      <c r="CK343" s="106">
        <f t="shared" si="368"/>
        <v>0.68979166666666658</v>
      </c>
      <c r="CL343" s="104">
        <f>(((CL$3*'Renewable Diesel'!$AF352)*'Feedstock Conversion Rates'!$B$3)/12)</f>
        <v>91.78125</v>
      </c>
      <c r="CM343" s="104">
        <f>(((CM$3*'Renewable Diesel'!$AF352)*'Feedstock Conversion Rates'!$B$6)/12)</f>
        <v>53.739583333333336</v>
      </c>
      <c r="CN343" s="104">
        <f>(((CN$3*'Renewable Diesel'!$AF352)*'Feedstock Conversion Rates'!$B$4)/12)</f>
        <v>42.96875</v>
      </c>
      <c r="CO343" s="106">
        <f t="shared" si="360"/>
        <v>188.48958333333334</v>
      </c>
      <c r="CP343" s="104">
        <f>('Renewable Diesel'!$AG352*'RD Feedstock Breakdown'!CP$3*'Feedstock Conversion Rates'!$B$3)/12</f>
        <v>6.0075000000000003</v>
      </c>
      <c r="CQ343" s="104">
        <f>('Renewable Diesel'!$AG352*'RD Feedstock Breakdown'!CQ$3*'Feedstock Conversion Rates'!$B$6)/12</f>
        <v>3.5175000000000001</v>
      </c>
      <c r="CR343" s="104">
        <f>('Renewable Diesel'!$AG352*'RD Feedstock Breakdown'!CR$3*'Feedstock Conversion Rates'!$B$4)/12</f>
        <v>2.8125</v>
      </c>
      <c r="CS343" s="106">
        <f t="shared" si="317"/>
        <v>12.3375</v>
      </c>
      <c r="CT343" s="104">
        <f>('Renewable Diesel'!AI352*'Feedstock Conversion Rates'!$B$4*'RD Feedstock Breakdown'!$CT$3)/12</f>
        <v>29.375</v>
      </c>
      <c r="CU343" s="106">
        <f t="shared" si="364"/>
        <v>29.375</v>
      </c>
      <c r="CV343" s="104">
        <f>('Renewable Diesel'!AN352*'Feedstock Conversion Rates'!$B$3*'RD Feedstock Breakdown'!$CV$3)/12</f>
        <v>0.50062499999999999</v>
      </c>
      <c r="CW343" s="106">
        <f t="shared" si="338"/>
        <v>0.50062499999999999</v>
      </c>
      <c r="CX343" s="104">
        <f>('Renewable Diesel'!AO352*'RD Feedstock Breakdown'!$CX$3*'Feedstock Conversion Rates'!$B$3)/12</f>
        <v>6.3412499999999996</v>
      </c>
      <c r="CY343" s="104">
        <f>('Renewable Diesel'!AO352*'RD Feedstock Breakdown'!$CY$3*'Feedstock Conversion Rates'!$B$6)/12</f>
        <v>7.4258333333333342</v>
      </c>
      <c r="CZ343" s="106">
        <f t="shared" si="318"/>
        <v>13.767083333333334</v>
      </c>
      <c r="DA343" s="104">
        <f>('Renewable Diesel'!$AP352*'RD Feedstock Breakdown'!DA$3*'Feedstock Conversion Rates'!$B$3)/12</f>
        <v>6.3412499999999996</v>
      </c>
      <c r="DB343" s="104">
        <f>('Renewable Diesel'!$AP352*'RD Feedstock Breakdown'!DB$3*'Feedstock Conversion Rates'!$B$8)/12</f>
        <v>7.421875</v>
      </c>
      <c r="DC343" s="106">
        <f t="shared" si="342"/>
        <v>13.763124999999999</v>
      </c>
      <c r="DD343" s="104">
        <f>('Renewable Diesel'!AQ352*$DD$3*'Feedstock Conversion Rates'!$B$14)/12</f>
        <v>3.1041666666666665</v>
      </c>
      <c r="DE343" s="106">
        <f t="shared" si="343"/>
        <v>3.1041666666666665</v>
      </c>
      <c r="DF343" s="104">
        <f>('Renewable Diesel'!AR352*'Feedstock Conversion Rates'!$B$4*$DF$3)/12</f>
        <v>75</v>
      </c>
      <c r="DG343" s="106">
        <f t="shared" si="319"/>
        <v>75</v>
      </c>
      <c r="DH343" s="104">
        <f>('Renewable Diesel'!AS352*'Feedstock Conversion Rates'!$B$4*$DH$3)/12</f>
        <v>75</v>
      </c>
      <c r="DI343" s="106">
        <f t="shared" si="323"/>
        <v>75</v>
      </c>
      <c r="DJ343" s="104">
        <f>('Renewable Diesel'!AT352*'Feedstock Conversion Rates'!$B$4*0.25)/12</f>
        <v>8.59375</v>
      </c>
      <c r="DK343" s="104">
        <f>('Renewable Diesel'!$AT352*'RD Feedstock Breakdown'!DK$3*'Feedstock Conversion Rates'!$B$3)/12*0.5</f>
        <v>9.1781249999999996</v>
      </c>
      <c r="DL343" s="104">
        <f>('Renewable Diesel'!$AT352*'RD Feedstock Breakdown'!$DL$3*'Feedstock Conversion Rates'!$B$6)/12</f>
        <v>10.747916666666669</v>
      </c>
      <c r="DM343" s="104">
        <f>('Renewable Diesel'!$AT352*'RD Feedstock Breakdown'!$DM$3*'Feedstock Conversion Rates'!$B$8)/12</f>
        <v>10.7421875</v>
      </c>
      <c r="DN343" s="106">
        <f t="shared" si="297"/>
        <v>39.26197916666667</v>
      </c>
      <c r="DP343" s="104">
        <f t="shared" si="345"/>
        <v>103.22025000000001</v>
      </c>
      <c r="DQ343" s="104">
        <f t="shared" si="346"/>
        <v>324.11776750000001</v>
      </c>
      <c r="DR343" s="104">
        <f t="shared" si="351"/>
        <v>1951.953125</v>
      </c>
      <c r="DS343" s="104">
        <f t="shared" si="365"/>
        <v>228.90125</v>
      </c>
      <c r="DT343" s="104">
        <f t="shared" si="347"/>
        <v>243.03923333333344</v>
      </c>
      <c r="DU343" s="104">
        <f t="shared" si="348"/>
        <v>367.90610000000009</v>
      </c>
      <c r="DV343" s="104">
        <f t="shared" si="352"/>
        <v>78.75</v>
      </c>
      <c r="DW343" s="104">
        <f t="shared" si="349"/>
        <v>3</v>
      </c>
      <c r="DX343" s="106">
        <f t="shared" si="353"/>
        <v>3300.8877258333337</v>
      </c>
      <c r="DY343" s="109">
        <f t="shared" si="340"/>
        <v>-5.631051180898794E-13</v>
      </c>
      <c r="EA343" s="110">
        <f t="shared" si="313"/>
        <v>3.1270451640078516E-2</v>
      </c>
      <c r="EB343" s="110">
        <f t="shared" si="313"/>
        <v>9.8191091130848465E-2</v>
      </c>
      <c r="EC343" s="110">
        <f t="shared" si="313"/>
        <v>0.59134187137710503</v>
      </c>
      <c r="ED343" s="110">
        <f t="shared" si="308"/>
        <v>6.9345360706629972E-2</v>
      </c>
      <c r="EE343" s="110">
        <f t="shared" si="308"/>
        <v>7.3628445896921982E-2</v>
      </c>
      <c r="EF343" s="110">
        <f t="shared" si="308"/>
        <v>0.11145671424105147</v>
      </c>
      <c r="EG343" s="110">
        <f t="shared" si="308"/>
        <v>2.3857218585075921E-2</v>
      </c>
      <c r="EH343" s="111">
        <f t="shared" si="354"/>
        <v>9.0884642228860647E-4</v>
      </c>
      <c r="EI343" s="110">
        <f t="shared" si="321"/>
        <v>0.99909115357771128</v>
      </c>
      <c r="EK343" s="132">
        <f>(EA343*'Renewable Diesel'!BF352*'Feedstock Conversion Rates'!B$2)+FB343</f>
        <v>298.8155047447213</v>
      </c>
      <c r="EL343" s="132">
        <f>(EB343*'Renewable Diesel'!BF352*'Feedstock Conversion Rates'!B$3)+FC343</f>
        <v>884.20842921226858</v>
      </c>
      <c r="EM343" s="132">
        <f>(EC343*'Renewable Diesel'!BF352*'Feedstock Conversion Rates'!B$4)+FD343</f>
        <v>4985.9732404158976</v>
      </c>
      <c r="EN343" s="132">
        <f>(ED343*'Renewable Diesel'!BF352*'Feedstock Conversion Rates'!B$5)+FE343</f>
        <v>588.59207692930704</v>
      </c>
      <c r="EO343" s="132">
        <f>(EE343*'Renewable Diesel'!BF352*'Feedstock Conversion Rates'!B$6)+FF343</f>
        <v>776.42323008645144</v>
      </c>
      <c r="EP343" s="132">
        <f>(EF343*'Renewable Diesel'!BF352*'Feedstock Conversion Rates'!B$7)+FG343</f>
        <v>1152.7738382678726</v>
      </c>
      <c r="EQ343" s="132">
        <f>(EG343*'Renewable Diesel'!BF352*'Feedstock Conversion Rates'!B$8)+FH343</f>
        <v>251.44391766756183</v>
      </c>
      <c r="ER343" s="132">
        <f>(EH343*'Renewable Diesel'!BF352*'Feedstock Conversion Rates'!B$9)+FI343</f>
        <v>9.4510983656632739</v>
      </c>
      <c r="ES343" s="132">
        <f t="shared" si="355"/>
        <v>8947.6813356897455</v>
      </c>
      <c r="ET343" s="133">
        <f>ES343/'Renewable Diesel'!BF352</f>
        <v>12.428346382038542</v>
      </c>
      <c r="EW343" s="73">
        <f t="shared" si="309"/>
        <v>7579.2136272325515</v>
      </c>
      <c r="EX343" s="73">
        <f t="shared" si="310"/>
        <v>4586.1094878422764</v>
      </c>
      <c r="EY343" s="92">
        <f t="shared" si="341"/>
        <v>0.84705895783315766</v>
      </c>
      <c r="EZ343" s="92">
        <f t="shared" si="341"/>
        <v>0.51254725283404934</v>
      </c>
      <c r="FB343" s="102">
        <f>IF('Renewable Diesel'!$BG352&lt;1,0,(((('Renewable Diesel'!$BG352-1)*'Renewable Diesel'!$BF352)*'RD Feedstock Breakdown'!EA343)*'Feedstock Conversion Rates'!$B$2))</f>
        <v>107.45591134985813</v>
      </c>
      <c r="FC343" s="102">
        <f>IF('Renewable Diesel'!$BG352&lt;1,0,(((('Renewable Diesel'!$BG352-1)*'Renewable Diesel'!$BF352)*'RD Feedstock Breakdown'!EB343)*'Feedstock Conversion Rates'!$B$3))</f>
        <v>317.96684266902747</v>
      </c>
      <c r="FD343" s="102">
        <f>IF('Renewable Diesel'!$BG352&lt;1,0,(((('Renewable Diesel'!$BG352-1)*'Renewable Diesel'!$BF352)*'RD Feedstock Breakdown'!EC343)*'Feedstock Conversion Rates'!$B$4))</f>
        <v>1792.9869434740574</v>
      </c>
      <c r="FE343" s="102">
        <f>IF('Renewable Diesel'!$BG352&lt;1,0,(((('Renewable Diesel'!$BG352-1)*'Renewable Diesel'!$BF352)*'RD Feedstock Breakdown'!ED343)*'Feedstock Conversion Rates'!$B$5))</f>
        <v>211.66136641328947</v>
      </c>
      <c r="FF343" s="102">
        <f>IF('Renewable Diesel'!$BG352&lt;1,0,(((('Renewable Diesel'!$BG352-1)*'Renewable Diesel'!$BF352)*'RD Feedstock Breakdown'!EE343)*'Feedstock Conversion Rates'!$B$6))</f>
        <v>279.20661564538199</v>
      </c>
      <c r="FG343" s="102">
        <f>IF('Renewable Diesel'!$BG352&lt;1,0,(((('Renewable Diesel'!$BG352-1)*'Renewable Diesel'!$BF352)*'RD Feedstock Breakdown'!EF343)*'Feedstock Conversion Rates'!$B$7))</f>
        <v>414.54463173580172</v>
      </c>
      <c r="FH343" s="102">
        <f>IF('Renewable Diesel'!$BG352&lt;1,0,(((('Renewable Diesel'!$BG352-1)*'Renewable Diesel'!$BF352)*'RD Feedstock Breakdown'!EG343)*'Feedstock Conversion Rates'!$B$8))</f>
        <v>90.420794427749158</v>
      </c>
      <c r="FI343" s="102">
        <f>IF('Renewable Diesel'!$BG352&lt;1,0,(((('Renewable Diesel'!$BG352-1)*'Renewable Diesel'!$BF352)*'RD Feedstock Breakdown'!EH343)*'Feedstock Conversion Rates'!$B$9))</f>
        <v>3.3986736699192059</v>
      </c>
      <c r="FJ343" s="102">
        <f t="shared" si="311"/>
        <v>3217.6417793850851</v>
      </c>
      <c r="GD343" s="91">
        <f>'Renewable Diesel'!BB352*0.32</f>
        <v>0</v>
      </c>
      <c r="GE343" s="91">
        <f>'Renewable Diesel'!BC352</f>
        <v>319.9199012564485</v>
      </c>
      <c r="GF343" s="91">
        <f>'Renewable Diesel'!BD352</f>
        <v>0</v>
      </c>
      <c r="GG343" s="91">
        <f t="shared" si="295"/>
        <v>319.9199012564485</v>
      </c>
      <c r="GH343" s="124">
        <v>1</v>
      </c>
      <c r="GI343" s="102">
        <f>$GG343*EA343*'Feedstock Conversion Rates'!$B$2</f>
        <v>85.034338307976967</v>
      </c>
      <c r="GJ343" s="102">
        <f>$GG343*EB343*'Feedstock Conversion Rates'!$B$3</f>
        <v>251.62040627254024</v>
      </c>
      <c r="GK343" s="102">
        <f>$GG343*EC343*'Feedstock Conversion Rates'!$B$4</f>
        <v>1418.8652482482516</v>
      </c>
      <c r="GL343" s="102">
        <f>$GG343*ED343*'Feedstock Conversion Rates'!$B$5</f>
        <v>167.49645517142687</v>
      </c>
      <c r="GM343" s="102">
        <f>$GG343*EE343*'Feedstock Conversion Rates'!$B$6</f>
        <v>220.94782422266482</v>
      </c>
      <c r="GN343" s="102">
        <f>$GG343*EF343*'Feedstock Conversion Rates'!$B$7</f>
        <v>328.04643333216148</v>
      </c>
      <c r="GO343" s="102">
        <f>$GG343*EG343*'Feedstock Conversion Rates'!$B$8</f>
        <v>71.553740756165595</v>
      </c>
      <c r="GP343" s="102">
        <f>$GG343*EH343*'Feedstock Conversion Rates'!B$9</f>
        <v>2.6895120335015896</v>
      </c>
      <c r="GQ343" s="102">
        <f t="shared" si="356"/>
        <v>2546.2539583446892</v>
      </c>
      <c r="GR343" s="85">
        <f t="shared" ref="GR343:GR357" si="371">GQ343/GG343</f>
        <v>7.9590358347341645</v>
      </c>
      <c r="GT343" s="103">
        <f t="shared" si="333"/>
        <v>3.3395859053767553E-2</v>
      </c>
      <c r="GU343" s="103">
        <f t="shared" si="334"/>
        <v>9.8819839021916642E-2</v>
      </c>
      <c r="GV343" s="103">
        <f t="shared" si="335"/>
        <v>0.55723634463023108</v>
      </c>
      <c r="GW343" s="103">
        <f t="shared" si="331"/>
        <v>6.5781519797937074E-2</v>
      </c>
      <c r="GX343" s="103">
        <f t="shared" si="331"/>
        <v>8.6773679231235121E-2</v>
      </c>
      <c r="GY343" s="103">
        <f t="shared" si="331"/>
        <v>0.12883492326328019</v>
      </c>
      <c r="GZ343" s="103">
        <f t="shared" si="331"/>
        <v>2.8101572712991449E-2</v>
      </c>
      <c r="HA343" s="103">
        <f t="shared" si="331"/>
        <v>1.0562622886406943E-3</v>
      </c>
    </row>
    <row r="344" spans="1:209" x14ac:dyDescent="0.25">
      <c r="A344" s="96">
        <v>50891</v>
      </c>
      <c r="B344" s="104">
        <f t="shared" si="362"/>
        <v>104.25</v>
      </c>
      <c r="C344" s="104">
        <f t="shared" si="314"/>
        <v>49</v>
      </c>
      <c r="D344" s="104">
        <f t="shared" si="363"/>
        <v>2</v>
      </c>
      <c r="E344" s="104">
        <f>('Renewable Diesel'!B353*E$3*'Feedstock Conversion Rates'!$B$2)/12+26+13-100+27.5+39</f>
        <v>95.43</v>
      </c>
      <c r="F344" s="104">
        <f>('Renewable Diesel'!B353*'RD Feedstock Breakdown'!F$3*'Feedstock Conversion Rates'!B$8)/12+77+23-10-12-115.75+24+8</f>
        <v>48.15625</v>
      </c>
      <c r="G344" s="104">
        <f>('Renewable Diesel'!B353*'RD Feedstock Breakdown'!G$3*'Feedstock Conversion Rates'!B$7)/12+116.75-39-57.5-145-31.5+32+70-40+10+25</f>
        <v>116.90700000000004</v>
      </c>
      <c r="H344" s="104">
        <f>('Renewable Diesel'!B353*'RD Feedstock Breakdown'!H$3*'Feedstock Conversion Rates'!B$3)/12+67+10+12+3-235+20+47-20</f>
        <v>80.400224999999978</v>
      </c>
      <c r="I344" s="106">
        <f t="shared" si="370"/>
        <v>496.14347500000002</v>
      </c>
      <c r="J344" s="104">
        <f t="shared" si="332"/>
        <v>4</v>
      </c>
      <c r="K344" s="104"/>
      <c r="L344" s="104">
        <v>1</v>
      </c>
      <c r="M344" s="104">
        <f>('Renewable Diesel'!C353*'RD Feedstock Breakdown'!M$3*'Feedstock Conversion Rates'!B$2)/12</f>
        <v>7.7902500000000003</v>
      </c>
      <c r="N344" s="104">
        <f>('Renewable Diesel'!C353*'RD Feedstock Breakdown'!N$3*'Feedstock Conversion Rates'!B$8)/12</f>
        <v>3.671875</v>
      </c>
      <c r="O344" s="104">
        <f>('Renewable Diesel'!C353*'RD Feedstock Breakdown'!O$3*'Feedstock Conversion Rates'!B$7)/12</f>
        <v>11.9991</v>
      </c>
      <c r="P344" s="104">
        <f>('Renewable Diesel'!C353*'RD Feedstock Breakdown'!P$3*'Feedstock Conversion Rates'!B$3)/12</f>
        <v>10.4470425</v>
      </c>
      <c r="Q344" s="106">
        <f t="shared" si="299"/>
        <v>38.908267500000001</v>
      </c>
      <c r="R344" s="104">
        <f>('Renewable Diesel'!D353*'RD Feedstock Breakdown'!R$3*'Feedstock Conversion Rates'!B$7)/12</f>
        <v>2.2999999999999998</v>
      </c>
      <c r="S344" s="106">
        <f t="shared" si="329"/>
        <v>2.2999999999999998</v>
      </c>
      <c r="T344" s="104">
        <f t="shared" si="300"/>
        <v>0.82499999999999929</v>
      </c>
      <c r="U344" s="104"/>
      <c r="V344" s="104">
        <f>('Renewable Diesel'!E353*'RD Feedstock Breakdown'!V$3*'Feedstock Conversion Rates'!B$6)/12-20+25</f>
        <v>49.250150000000012</v>
      </c>
      <c r="W344" s="104">
        <f>('Renewable Diesel'!E353*'RD Feedstock Breakdown'!W$3*'Feedstock Conversion Rates'!B$8)/12-6</f>
        <v>16.1796875</v>
      </c>
      <c r="X344" s="106">
        <f t="shared" si="357"/>
        <v>66.254837500000008</v>
      </c>
      <c r="Y344" s="104">
        <f t="shared" si="301"/>
        <v>98</v>
      </c>
      <c r="Z344" s="104">
        <f>('Renewable Diesel'!F353*'RD Feedstock Breakdown'!Z$3*'Feedstock Conversion Rates'!B$6)/12-142+15+5+20+5+15</f>
        <v>77.460000000000008</v>
      </c>
      <c r="AA344" s="104">
        <f>('Renewable Diesel'!F353*'RD Feedstock Breakdown'!AA$3*'Feedstock Conversion Rates'!B$7)/12+24</f>
        <v>128.26666666666665</v>
      </c>
      <c r="AB344" s="106">
        <f t="shared" si="320"/>
        <v>303.72666666666669</v>
      </c>
      <c r="AC344" s="104">
        <f>('Renewable Diesel'!G353*'RD Feedstock Breakdown'!AC$3*'Feedstock Conversion Rates'!B$5)/12</f>
        <v>11.796875</v>
      </c>
      <c r="AD344" s="104">
        <f>('Renewable Diesel'!G353*'RD Feedstock Breakdown'!AD$3*'Feedstock Conversion Rates'!B$4)/12</f>
        <v>5.859375</v>
      </c>
      <c r="AE344" s="104">
        <f>('Renewable Diesel'!G353*'RD Feedstock Breakdown'!AE$3*'Feedstock Conversion Rates'!B$6)/12</f>
        <v>7.3281250000000009</v>
      </c>
      <c r="AF344" s="106">
        <f t="shared" si="366"/>
        <v>24.984375</v>
      </c>
      <c r="AG344" s="104">
        <f t="shared" si="306"/>
        <v>148</v>
      </c>
      <c r="AH344" s="104"/>
      <c r="AI344" s="104">
        <f>('Renewable Diesel'!H353*'RD Feedstock Breakdown'!AI$3*'Feedstock Conversion Rates'!B$6)/12-130-20+51-49</f>
        <v>0.51666666666667993</v>
      </c>
      <c r="AJ344" s="106">
        <f t="shared" si="328"/>
        <v>148.51666666666668</v>
      </c>
      <c r="AK344" s="104">
        <f>('Renewable Diesel'!J353*'RD Feedstock Breakdown'!AK$3*'Feedstock Conversion Rates'!B$4)/12</f>
        <v>95.8125</v>
      </c>
      <c r="AL344" s="106">
        <f t="shared" si="330"/>
        <v>95.8125</v>
      </c>
      <c r="AM344" s="104">
        <f>('Renewable Diesel'!K353*'RD Feedstock Breakdown'!AM$3*'Feedstock Conversion Rates'!B$4)/12+5+15-10+10</f>
        <v>78.59375</v>
      </c>
      <c r="AN344" s="104">
        <f>('Renewable Diesel'!K353*'RD Feedstock Breakdown'!AN$3*'Feedstock Conversion Rates'!B$6)/12-5-15+10-10</f>
        <v>4.4270833333333321</v>
      </c>
      <c r="AO344" s="106">
        <f t="shared" si="350"/>
        <v>83.020833333333329</v>
      </c>
      <c r="AP344" s="104">
        <f>('Renewable Diesel'!L353*'RD Feedstock Breakdown'!AP$3*'Feedstock Conversion Rates'!B$4)/12+15-10+15</f>
        <v>78.59375</v>
      </c>
      <c r="AQ344" s="104">
        <f>('Renewable Diesel'!L353*'RD Feedstock Breakdown'!AQ$3*'Feedstock Conversion Rates'!B$6)/12-15+10-15</f>
        <v>4.4270833333333321</v>
      </c>
      <c r="AR344" s="106">
        <f t="shared" si="339"/>
        <v>83.020833333333329</v>
      </c>
      <c r="AS344" s="104">
        <f>('Renewable Diesel'!M353*'RD Feedstock Breakdown'!AS$3*'Feedstock Conversion Rates'!B$4)/12</f>
        <v>456.25</v>
      </c>
      <c r="AT344" s="104">
        <f>('Renewable Diesel'!M353*'RD Feedstock Breakdown'!AT$3*'Feedstock Conversion Rates'!B$5)/12</f>
        <v>0</v>
      </c>
      <c r="AU344" s="106">
        <f t="shared" si="369"/>
        <v>456.25</v>
      </c>
      <c r="AV344" s="104">
        <f>'Renewable Diesel'!N353*'RD Feedstock Breakdown'!$AV$3*'Feedstock Conversion Rates'!$B$4/12-15-10+25+25-22+25</f>
        <v>106.74999999999999</v>
      </c>
      <c r="AW344" s="104">
        <f>'Renewable Diesel'!N353*'RD Feedstock Breakdown'!$AW$3*'Feedstock Conversion Rates'!$B$7/12+15+10-25-25+22-25</f>
        <v>13.400000000000006</v>
      </c>
      <c r="AX344" s="106">
        <f t="shared" si="322"/>
        <v>120.14999999999999</v>
      </c>
      <c r="AY344" s="104">
        <f>('Renewable Diesel'!O353*'RD Feedstock Breakdown'!AY$3*'Feedstock Conversion Rates'!B$4)/12</f>
        <v>210.9375</v>
      </c>
      <c r="AZ344" s="104">
        <f>('Renewable Diesel'!O353*'RD Feedstock Breakdown'!AZ$3*'Feedstock Conversion Rates'!B$3)/12</f>
        <v>25.03125</v>
      </c>
      <c r="BA344" s="106">
        <f t="shared" si="302"/>
        <v>235.96875</v>
      </c>
      <c r="BB344" s="104">
        <f>('Renewable Diesel'!Q353*'RD Feedstock Breakdown'!BB$3*'Feedstock Conversion Rates'!B$4)/12</f>
        <v>11.156249999999998</v>
      </c>
      <c r="BC344" s="104">
        <f>('Renewable Diesel'!Q353*'RD Feedstock Breakdown'!BC$3*'Feedstock Conversion Rates'!B$3)/12</f>
        <v>1.4017500000000001</v>
      </c>
      <c r="BD344" s="104">
        <f>('Renewable Diesel'!Q353*'RD Feedstock Breakdown'!BD$3*'Feedstock Conversion Rates'!B$6)/12</f>
        <v>0.8207500000000002</v>
      </c>
      <c r="BE344" s="106">
        <f t="shared" si="359"/>
        <v>13.378749999999998</v>
      </c>
      <c r="BF344" s="104">
        <f>('Renewable Diesel'!R353*'RD Feedstock Breakdown'!BF$3*'Feedstock Conversion Rates'!B$4)/12</f>
        <v>62.5</v>
      </c>
      <c r="BG344" s="106">
        <f t="shared" si="344"/>
        <v>62.5</v>
      </c>
      <c r="BH344" s="104">
        <f>('Renewable Diesel'!T353*'RD Feedstock Breakdown'!BH$3*'Feedstock Conversion Rates'!B$7)/12</f>
        <v>27.599999999999998</v>
      </c>
      <c r="BI344" s="106">
        <f t="shared" si="327"/>
        <v>27.599999999999998</v>
      </c>
      <c r="BJ344" s="104">
        <f>('Renewable Diesel'!W353*'RD Feedstock Breakdown'!BJ$3*'Feedstock Conversion Rates'!B$4)/12</f>
        <v>7.5</v>
      </c>
      <c r="BK344" s="104">
        <f>('Renewable Diesel'!W353*'RD Feedstock Breakdown'!BK$3*'Feedstock Conversion Rates'!B$3)/12</f>
        <v>1.335</v>
      </c>
      <c r="BL344" s="104">
        <f>('Renewable Diesel'!W353*'RD Feedstock Breakdown'!BL$3*'Feedstock Conversion Rates'!B$6)/12</f>
        <v>3.1266666666666669</v>
      </c>
      <c r="BM344" s="104">
        <f>('Renewable Diesel'!W353*'RD Feedstock Breakdown'!BM$3*'Feedstock Conversion Rates'!B$7)/12</f>
        <v>1.5333333333333332</v>
      </c>
      <c r="BN344" s="106">
        <f t="shared" si="296"/>
        <v>13.495000000000001</v>
      </c>
      <c r="BO344" s="104">
        <f>('Renewable Diesel'!P353*'Feedstock Conversion Rates'!B$4)/12</f>
        <v>31.25</v>
      </c>
      <c r="BP344" s="106">
        <f t="shared" si="367"/>
        <v>31.25</v>
      </c>
      <c r="BQ344" s="104">
        <f>('Renewable Diesel'!$S353*'RD Feedstock Breakdown'!BQ$3*'Feedstock Conversion Rates'!B$4)/12+10+15-15</f>
        <v>38.125</v>
      </c>
      <c r="BR344" s="104">
        <f>('Renewable Diesel'!$S353*'RD Feedstock Breakdown'!BR$3*'Feedstock Conversion Rates'!B$7)/12-10-15+15</f>
        <v>1.5</v>
      </c>
      <c r="BS344" s="106">
        <f t="shared" si="307"/>
        <v>39.625</v>
      </c>
      <c r="BT344" s="106"/>
      <c r="BU344" s="104">
        <f>('Renewable Diesel'!Y353*'Feedstock Conversion Rates'!B$7)/12</f>
        <v>2.6833333333333331</v>
      </c>
      <c r="BV344" s="106">
        <f t="shared" si="361"/>
        <v>2.6833333333333331</v>
      </c>
      <c r="BW344" s="104">
        <f>('Renewable Diesel'!$Z353*'RD Feedstock Breakdown'!BW$3*'Feedstock Conversion Rates'!$B$4)/12-180+110</f>
        <v>1.875</v>
      </c>
      <c r="BX344" s="104">
        <f>('Renewable Diesel'!$Z353*'RD Feedstock Breakdown'!BX$3*'Feedstock Conversion Rates'!$B$5)/12</f>
        <v>7.2354166666666666</v>
      </c>
      <c r="BY344" s="104">
        <f>('Renewable Diesel'!$Z353*'RD Feedstock Breakdown'!BY$3*'Feedstock Conversion Rates'!$B$7)/12</f>
        <v>61.716666666666661</v>
      </c>
      <c r="BZ344" s="104">
        <f>('Renewable Diesel'!$Z353*'RD Feedstock Breakdown'!BZ$3*'Feedstock Conversion Rates'!$B$3)/12+180-110</f>
        <v>85.352499999999992</v>
      </c>
      <c r="CA344" s="106">
        <f t="shared" si="312"/>
        <v>156.17958333333331</v>
      </c>
      <c r="CB344" s="104">
        <f>('Renewable Diesel'!AA353*'Feedstock Conversion Rates'!B$4)/12</f>
        <v>191.25</v>
      </c>
      <c r="CC344" s="106">
        <f t="shared" si="298"/>
        <v>191.25</v>
      </c>
      <c r="CD344" s="104">
        <f>('Renewable Diesel'!$AB353*'RD Feedstock Breakdown'!CD$3*'Feedstock Conversion Rates'!$B$6)/12-15-5</f>
        <v>12.830000000000005</v>
      </c>
      <c r="CE344" s="104">
        <f>('Renewable Diesel'!$AB353*'RD Feedstock Breakdown'!CE$3*'Feedstock Conversion Rates'!$B$4)/12+15+5</f>
        <v>31.25</v>
      </c>
      <c r="CF344" s="106">
        <f t="shared" ref="CF344:CF407" si="372">SUM(CD344:CE344)</f>
        <v>44.080000000000005</v>
      </c>
      <c r="CG344" s="104">
        <f>('Renewable Diesel'!AD353*'Feedstock Conversion Rates'!B$4)/12</f>
        <v>112.5</v>
      </c>
      <c r="CH344" s="106">
        <f t="shared" si="358"/>
        <v>112.5</v>
      </c>
      <c r="CI344" s="104">
        <f>('Renewable Diesel'!$AE353*'RD Feedstock Breakdown'!CI$3*'Feedstock Conversion Rates'!$B$5)/12</f>
        <v>0.34604166666666664</v>
      </c>
      <c r="CJ344" s="104">
        <f>('Renewable Diesel'!$AE353*'RD Feedstock Breakdown'!CJ$3*'Feedstock Conversion Rates'!$B$4)/12</f>
        <v>0.34375</v>
      </c>
      <c r="CK344" s="106">
        <f t="shared" si="368"/>
        <v>0.68979166666666658</v>
      </c>
      <c r="CL344" s="104">
        <f>(((CL$3*'Renewable Diesel'!$AF353)*'Feedstock Conversion Rates'!$B$3)/12)</f>
        <v>91.78125</v>
      </c>
      <c r="CM344" s="104">
        <f>(((CM$3*'Renewable Diesel'!$AF353)*'Feedstock Conversion Rates'!$B$6)/12)</f>
        <v>53.739583333333336</v>
      </c>
      <c r="CN344" s="104">
        <f>(((CN$3*'Renewable Diesel'!$AF353)*'Feedstock Conversion Rates'!$B$4)/12)</f>
        <v>42.96875</v>
      </c>
      <c r="CO344" s="106">
        <f t="shared" si="360"/>
        <v>188.48958333333334</v>
      </c>
      <c r="CP344" s="104">
        <f>('Renewable Diesel'!$AG353*'RD Feedstock Breakdown'!CP$3*'Feedstock Conversion Rates'!$B$3)/12</f>
        <v>6.0075000000000003</v>
      </c>
      <c r="CQ344" s="104">
        <f>('Renewable Diesel'!$AG353*'RD Feedstock Breakdown'!CQ$3*'Feedstock Conversion Rates'!$B$6)/12</f>
        <v>3.5175000000000001</v>
      </c>
      <c r="CR344" s="104">
        <f>('Renewable Diesel'!$AG353*'RD Feedstock Breakdown'!CR$3*'Feedstock Conversion Rates'!$B$4)/12</f>
        <v>2.8125</v>
      </c>
      <c r="CS344" s="106">
        <f t="shared" si="317"/>
        <v>12.3375</v>
      </c>
      <c r="CT344" s="104">
        <f>('Renewable Diesel'!AI353*'Feedstock Conversion Rates'!$B$4*'RD Feedstock Breakdown'!$CT$3)/12</f>
        <v>29.375</v>
      </c>
      <c r="CU344" s="106">
        <f t="shared" si="364"/>
        <v>29.375</v>
      </c>
      <c r="CV344" s="104">
        <f>('Renewable Diesel'!AN353*'Feedstock Conversion Rates'!$B$3*'RD Feedstock Breakdown'!$CV$3)/12</f>
        <v>0.50062499999999999</v>
      </c>
      <c r="CW344" s="106">
        <f t="shared" si="338"/>
        <v>0.50062499999999999</v>
      </c>
      <c r="CX344" s="104">
        <f>('Renewable Diesel'!AO353*'RD Feedstock Breakdown'!$CX$3*'Feedstock Conversion Rates'!$B$3)/12</f>
        <v>6.3412499999999996</v>
      </c>
      <c r="CY344" s="104">
        <f>('Renewable Diesel'!AO353*'RD Feedstock Breakdown'!$CY$3*'Feedstock Conversion Rates'!$B$6)/12</f>
        <v>7.4258333333333342</v>
      </c>
      <c r="CZ344" s="106">
        <f t="shared" si="318"/>
        <v>13.767083333333334</v>
      </c>
      <c r="DA344" s="104">
        <f>('Renewable Diesel'!$AP353*'RD Feedstock Breakdown'!DA$3*'Feedstock Conversion Rates'!$B$3)/12</f>
        <v>6.3412499999999996</v>
      </c>
      <c r="DB344" s="104">
        <f>('Renewable Diesel'!$AP353*'RD Feedstock Breakdown'!DB$3*'Feedstock Conversion Rates'!$B$8)/12</f>
        <v>7.421875</v>
      </c>
      <c r="DC344" s="106">
        <f t="shared" si="342"/>
        <v>13.763124999999999</v>
      </c>
      <c r="DD344" s="104">
        <f>('Renewable Diesel'!AQ353*$DD$3*'Feedstock Conversion Rates'!$B$14)/12</f>
        <v>3.1041666666666665</v>
      </c>
      <c r="DE344" s="106">
        <f t="shared" si="343"/>
        <v>3.1041666666666665</v>
      </c>
      <c r="DF344" s="104">
        <f>('Renewable Diesel'!AR353*'Feedstock Conversion Rates'!$B$4*$DF$3)/12</f>
        <v>75</v>
      </c>
      <c r="DG344" s="106">
        <f t="shared" si="319"/>
        <v>75</v>
      </c>
      <c r="DH344" s="104">
        <f>('Renewable Diesel'!AS353*'Feedstock Conversion Rates'!$B$4*$DH$3)/12</f>
        <v>75</v>
      </c>
      <c r="DI344" s="106">
        <f t="shared" si="323"/>
        <v>75</v>
      </c>
      <c r="DJ344" s="104">
        <f>('Renewable Diesel'!AT353*'Feedstock Conversion Rates'!$B$4*0.25)/12</f>
        <v>8.59375</v>
      </c>
      <c r="DK344" s="104">
        <f>('Renewable Diesel'!$AT353*'RD Feedstock Breakdown'!DK$3*'Feedstock Conversion Rates'!$B$3)/12*0.5</f>
        <v>9.1781249999999996</v>
      </c>
      <c r="DL344" s="104">
        <f>('Renewable Diesel'!$AT353*'RD Feedstock Breakdown'!$DL$3*'Feedstock Conversion Rates'!$B$6)/12</f>
        <v>10.747916666666669</v>
      </c>
      <c r="DM344" s="104">
        <f>('Renewable Diesel'!$AT353*'RD Feedstock Breakdown'!$DM$3*'Feedstock Conversion Rates'!$B$8)/12</f>
        <v>10.7421875</v>
      </c>
      <c r="DN344" s="106">
        <f t="shared" si="297"/>
        <v>39.26197916666667</v>
      </c>
      <c r="DP344" s="104">
        <f t="shared" si="345"/>
        <v>103.22025000000001</v>
      </c>
      <c r="DQ344" s="104">
        <f t="shared" si="346"/>
        <v>324.11776750000001</v>
      </c>
      <c r="DR344" s="104">
        <f t="shared" si="351"/>
        <v>1951.953125</v>
      </c>
      <c r="DS344" s="104">
        <f t="shared" si="365"/>
        <v>228.90125</v>
      </c>
      <c r="DT344" s="104">
        <f t="shared" si="347"/>
        <v>243.03923333333344</v>
      </c>
      <c r="DU344" s="104">
        <f t="shared" si="348"/>
        <v>367.90610000000009</v>
      </c>
      <c r="DV344" s="104">
        <f t="shared" si="352"/>
        <v>78.75</v>
      </c>
      <c r="DW344" s="104">
        <f t="shared" si="349"/>
        <v>3</v>
      </c>
      <c r="DX344" s="106">
        <f t="shared" si="353"/>
        <v>3300.8877258333337</v>
      </c>
      <c r="DY344" s="109">
        <f t="shared" si="340"/>
        <v>-5.631051180898794E-13</v>
      </c>
      <c r="EA344" s="110">
        <f t="shared" si="313"/>
        <v>3.1270451640078516E-2</v>
      </c>
      <c r="EB344" s="110">
        <f t="shared" si="313"/>
        <v>9.8191091130848465E-2</v>
      </c>
      <c r="EC344" s="110">
        <f t="shared" si="313"/>
        <v>0.59134187137710503</v>
      </c>
      <c r="ED344" s="110">
        <f t="shared" si="308"/>
        <v>6.9345360706629972E-2</v>
      </c>
      <c r="EE344" s="110">
        <f t="shared" si="308"/>
        <v>7.3628445896921982E-2</v>
      </c>
      <c r="EF344" s="110">
        <f t="shared" si="308"/>
        <v>0.11145671424105147</v>
      </c>
      <c r="EG344" s="110">
        <f t="shared" si="308"/>
        <v>2.3857218585075921E-2</v>
      </c>
      <c r="EH344" s="111">
        <f t="shared" si="354"/>
        <v>9.0884642228860647E-4</v>
      </c>
      <c r="EI344" s="110">
        <f t="shared" si="321"/>
        <v>0.99909115357771128</v>
      </c>
      <c r="EK344" s="132">
        <f>(EA344*'Renewable Diesel'!BF353*'Feedstock Conversion Rates'!B$2)+FB344</f>
        <v>448.81419946153534</v>
      </c>
      <c r="EL344" s="132">
        <f>(EB344*'Renewable Diesel'!BF353*'Feedstock Conversion Rates'!B$3)+FC344</f>
        <v>1328.061268618145</v>
      </c>
      <c r="EM344" s="132">
        <f>(EC344*'Renewable Diesel'!BF353*'Feedstock Conversion Rates'!B$4)+FD344</f>
        <v>7488.8202014337739</v>
      </c>
      <c r="EN344" s="132">
        <f>(ED344*'Renewable Diesel'!BF353*'Feedstock Conversion Rates'!B$5)+FE344</f>
        <v>884.0521245445716</v>
      </c>
      <c r="EO344" s="132">
        <f>(EE344*'Renewable Diesel'!BF353*'Feedstock Conversion Rates'!B$6)+FF344</f>
        <v>1166.17031218741</v>
      </c>
      <c r="EP344" s="132">
        <f>(EF344*'Renewable Diesel'!BF353*'Feedstock Conversion Rates'!B$7)+FG344</f>
        <v>1731.4405014706199</v>
      </c>
      <c r="EQ344" s="132">
        <f>(EG344*'Renewable Diesel'!BF353*'Feedstock Conversion Rates'!B$8)+FH344</f>
        <v>377.66313603388255</v>
      </c>
      <c r="ER344" s="132">
        <f>(EH344*'Renewable Diesel'!BF353*'Feedstock Conversion Rates'!B$9)+FI344</f>
        <v>14.195338192511649</v>
      </c>
      <c r="ES344" s="132">
        <f t="shared" si="355"/>
        <v>13439.21708194245</v>
      </c>
      <c r="ET344" s="133">
        <f>ES344/'Renewable Diesel'!BF353</f>
        <v>15.483363097031573</v>
      </c>
      <c r="EW344" s="73">
        <f t="shared" si="309"/>
        <v>12441.770737213861</v>
      </c>
      <c r="EX344" s="73">
        <f t="shared" si="310"/>
        <v>7528.396167443736</v>
      </c>
      <c r="EY344" s="92">
        <f t="shared" si="341"/>
        <v>0.92578091873604729</v>
      </c>
      <c r="EZ344" s="92">
        <f t="shared" si="341"/>
        <v>0.56018115650198363</v>
      </c>
      <c r="FB344" s="102">
        <f>IF('Renewable Diesel'!$BG353&lt;1,0,(((('Renewable Diesel'!$BG353-1)*'Renewable Diesel'!$BF353)*'RD Feedstock Breakdown'!EA344)*'Feedstock Conversion Rates'!$B$2))</f>
        <v>218.10667976662322</v>
      </c>
      <c r="FC344" s="102">
        <f>IF('Renewable Diesel'!$BG353&lt;1,0,(((('Renewable Diesel'!$BG353-1)*'Renewable Diesel'!$BF353)*'RD Feedstock Breakdown'!EB344)*'Feedstock Conversion Rates'!$B$3))</f>
        <v>645.38741014092568</v>
      </c>
      <c r="FD344" s="102">
        <f>IF('Renewable Diesel'!$BG353&lt;1,0,(((('Renewable Diesel'!$BG353-1)*'Renewable Diesel'!$BF353)*'RD Feedstock Breakdown'!EC344)*'Feedstock Conversion Rates'!$B$4))</f>
        <v>3639.2826061732449</v>
      </c>
      <c r="FE344" s="102">
        <f>IF('Renewable Diesel'!$BG353&lt;1,0,(((('Renewable Diesel'!$BG353-1)*'Renewable Diesel'!$BF353)*'RD Feedstock Breakdown'!ED344)*'Feedstock Conversion Rates'!$B$5))</f>
        <v>429.61580506227011</v>
      </c>
      <c r="FF344" s="102">
        <f>IF('Renewable Diesel'!$BG353&lt;1,0,(((('Renewable Diesel'!$BG353-1)*'Renewable Diesel'!$BF353)*'RD Feedstock Breakdown'!EE344)*'Feedstock Conversion Rates'!$B$6))</f>
        <v>566.71454499157596</v>
      </c>
      <c r="FG344" s="102">
        <f>IF('Renewable Diesel'!$BG353&lt;1,0,(((('Renewable Diesel'!$BG353-1)*'Renewable Diesel'!$BF353)*'RD Feedstock Breakdown'!EF344)*'Feedstock Conversion Rates'!$B$7))</f>
        <v>841.41441924583921</v>
      </c>
      <c r="FH344" s="102">
        <f>IF('Renewable Diesel'!$BG353&lt;1,0,(((('Renewable Diesel'!$BG353-1)*'Renewable Diesel'!$BF353)*'RD Feedstock Breakdown'!EG344)*'Feedstock Conversion Rates'!$B$8))</f>
        <v>183.52996132792831</v>
      </c>
      <c r="FI344" s="102">
        <f>IF('Renewable Diesel'!$BG353&lt;1,0,(((('Renewable Diesel'!$BG353-1)*'Renewable Diesel'!$BF353)*'RD Feedstock Breakdown'!EH344)*'Feedstock Conversion Rates'!$B$9))</f>
        <v>6.8983960067386381</v>
      </c>
      <c r="FJ344" s="102">
        <f t="shared" si="311"/>
        <v>6530.9498227151462</v>
      </c>
      <c r="GD344" s="91">
        <f>'Renewable Diesel'!BB353*0.32</f>
        <v>0</v>
      </c>
      <c r="GE344" s="91">
        <f>'Renewable Diesel'!BC353</f>
        <v>421.1159273751407</v>
      </c>
      <c r="GF344" s="91">
        <f>'Renewable Diesel'!BD353</f>
        <v>0</v>
      </c>
      <c r="GG344" s="91">
        <f t="shared" si="295"/>
        <v>421.1159273751407</v>
      </c>
      <c r="GH344" s="124">
        <v>1</v>
      </c>
      <c r="GI344" s="102">
        <f>$GG344*EA344*'Feedstock Conversion Rates'!$B$2</f>
        <v>111.9321245557348</v>
      </c>
      <c r="GJ344" s="102">
        <f>$GG344*EB344*'Feedstock Conversion Rates'!$B$3</f>
        <v>331.21215753636909</v>
      </c>
      <c r="GK344" s="102">
        <f>$GG344*EC344*'Feedstock Conversion Rates'!$B$4</f>
        <v>1867.6761042054056</v>
      </c>
      <c r="GL344" s="102">
        <f>$GG344*ED344*'Feedstock Conversion Rates'!$B$5</f>
        <v>220.47839091767773</v>
      </c>
      <c r="GM344" s="102">
        <f>$GG344*EE344*'Feedstock Conversion Rates'!$B$6</f>
        <v>290.83732376018168</v>
      </c>
      <c r="GN344" s="102">
        <f>$GG344*EF344*'Feedstock Conversion Rates'!$B$7</f>
        <v>431.81301773421922</v>
      </c>
      <c r="GO344" s="102">
        <f>$GG344*EG344*'Feedstock Conversion Rates'!$B$8</f>
        <v>94.187388084803331</v>
      </c>
      <c r="GP344" s="102">
        <f>$GG344*EH344*'Feedstock Conversion Rates'!B$9</f>
        <v>3.5402497616637185</v>
      </c>
      <c r="GQ344" s="102">
        <f t="shared" si="356"/>
        <v>3351.6767565560554</v>
      </c>
      <c r="GR344" s="85">
        <f t="shared" si="371"/>
        <v>7.9590358347341663</v>
      </c>
      <c r="GT344" s="103">
        <f t="shared" si="333"/>
        <v>3.339585905376756E-2</v>
      </c>
      <c r="GU344" s="103">
        <f t="shared" si="334"/>
        <v>9.8819839021916642E-2</v>
      </c>
      <c r="GV344" s="103">
        <f t="shared" si="335"/>
        <v>0.55723634463023131</v>
      </c>
      <c r="GW344" s="103">
        <f t="shared" si="331"/>
        <v>6.5781519797937102E-2</v>
      </c>
      <c r="GX344" s="103">
        <f t="shared" si="331"/>
        <v>8.6773679231235135E-2</v>
      </c>
      <c r="GY344" s="103">
        <f t="shared" si="331"/>
        <v>0.12883492326328019</v>
      </c>
      <c r="GZ344" s="103">
        <f t="shared" si="331"/>
        <v>2.8101572712991452E-2</v>
      </c>
      <c r="HA344" s="103">
        <f t="shared" si="331"/>
        <v>1.0562622886406945E-3</v>
      </c>
    </row>
    <row r="345" spans="1:209" x14ac:dyDescent="0.25">
      <c r="A345" s="96">
        <v>50922</v>
      </c>
      <c r="B345" s="104">
        <f t="shared" si="362"/>
        <v>104.25</v>
      </c>
      <c r="C345" s="104">
        <f t="shared" si="314"/>
        <v>49</v>
      </c>
      <c r="D345" s="104">
        <f t="shared" si="363"/>
        <v>2</v>
      </c>
      <c r="E345" s="104">
        <f>('Renewable Diesel'!B354*E$3*'Feedstock Conversion Rates'!$B$2)/12+26+13-100+27.5+39</f>
        <v>95.43</v>
      </c>
      <c r="F345" s="104">
        <f>('Renewable Diesel'!B354*'RD Feedstock Breakdown'!F$3*'Feedstock Conversion Rates'!B$8)/12+77+23-10-12-115.75+24+8</f>
        <v>48.15625</v>
      </c>
      <c r="G345" s="104">
        <f>('Renewable Diesel'!B354*'RD Feedstock Breakdown'!G$3*'Feedstock Conversion Rates'!B$7)/12+116.75-39-57.5-145-31.5+32+70-40+10+25</f>
        <v>116.90700000000004</v>
      </c>
      <c r="H345" s="104">
        <f>('Renewable Diesel'!B354*'RD Feedstock Breakdown'!H$3*'Feedstock Conversion Rates'!B$3)/12+67+10+12+3-235+20+47-20</f>
        <v>80.400224999999978</v>
      </c>
      <c r="I345" s="106">
        <f t="shared" si="370"/>
        <v>496.14347500000002</v>
      </c>
      <c r="J345" s="104">
        <f t="shared" si="332"/>
        <v>4</v>
      </c>
      <c r="K345" s="104"/>
      <c r="L345" s="104">
        <v>1</v>
      </c>
      <c r="M345" s="104">
        <f>('Renewable Diesel'!C354*'RD Feedstock Breakdown'!M$3*'Feedstock Conversion Rates'!B$2)/12</f>
        <v>7.7902500000000003</v>
      </c>
      <c r="N345" s="104">
        <f>('Renewable Diesel'!C354*'RD Feedstock Breakdown'!N$3*'Feedstock Conversion Rates'!B$8)/12</f>
        <v>3.671875</v>
      </c>
      <c r="O345" s="104">
        <f>('Renewable Diesel'!C354*'RD Feedstock Breakdown'!O$3*'Feedstock Conversion Rates'!B$7)/12</f>
        <v>11.9991</v>
      </c>
      <c r="P345" s="104">
        <f>('Renewable Diesel'!C354*'RD Feedstock Breakdown'!P$3*'Feedstock Conversion Rates'!B$3)/12</f>
        <v>10.4470425</v>
      </c>
      <c r="Q345" s="106">
        <f t="shared" si="299"/>
        <v>38.908267500000001</v>
      </c>
      <c r="R345" s="104">
        <f>('Renewable Diesel'!D354*'RD Feedstock Breakdown'!R$3*'Feedstock Conversion Rates'!B$7)/12</f>
        <v>2.2999999999999998</v>
      </c>
      <c r="S345" s="106">
        <f t="shared" si="329"/>
        <v>2.2999999999999998</v>
      </c>
      <c r="T345" s="104">
        <f t="shared" si="300"/>
        <v>0.82499999999999929</v>
      </c>
      <c r="U345" s="104"/>
      <c r="V345" s="104">
        <f>('Renewable Diesel'!E354*'RD Feedstock Breakdown'!V$3*'Feedstock Conversion Rates'!B$6)/12-20+25</f>
        <v>49.250150000000012</v>
      </c>
      <c r="W345" s="104">
        <f>('Renewable Diesel'!E354*'RD Feedstock Breakdown'!W$3*'Feedstock Conversion Rates'!B$8)/12-6</f>
        <v>16.1796875</v>
      </c>
      <c r="X345" s="106">
        <f t="shared" si="357"/>
        <v>66.254837500000008</v>
      </c>
      <c r="Y345" s="104">
        <f t="shared" si="301"/>
        <v>98</v>
      </c>
      <c r="Z345" s="104">
        <f>('Renewable Diesel'!F354*'RD Feedstock Breakdown'!Z$3*'Feedstock Conversion Rates'!B$6)/12-142+15+5+20+5+15</f>
        <v>77.460000000000008</v>
      </c>
      <c r="AA345" s="104">
        <f>('Renewable Diesel'!F354*'RD Feedstock Breakdown'!AA$3*'Feedstock Conversion Rates'!B$7)/12+24</f>
        <v>128.26666666666665</v>
      </c>
      <c r="AB345" s="106">
        <f t="shared" si="320"/>
        <v>303.72666666666669</v>
      </c>
      <c r="AC345" s="104">
        <f>('Renewable Diesel'!G354*'RD Feedstock Breakdown'!AC$3*'Feedstock Conversion Rates'!B$5)/12</f>
        <v>11.796875</v>
      </c>
      <c r="AD345" s="104">
        <f>('Renewable Diesel'!G354*'RD Feedstock Breakdown'!AD$3*'Feedstock Conversion Rates'!B$4)/12</f>
        <v>5.859375</v>
      </c>
      <c r="AE345" s="104">
        <f>('Renewable Diesel'!G354*'RD Feedstock Breakdown'!AE$3*'Feedstock Conversion Rates'!B$6)/12</f>
        <v>7.3281250000000009</v>
      </c>
      <c r="AF345" s="106">
        <f t="shared" si="366"/>
        <v>24.984375</v>
      </c>
      <c r="AG345" s="104">
        <f t="shared" si="306"/>
        <v>148</v>
      </c>
      <c r="AH345" s="104"/>
      <c r="AI345" s="104">
        <f>('Renewable Diesel'!H354*'RD Feedstock Breakdown'!AI$3*'Feedstock Conversion Rates'!B$6)/12-130-20+51-49</f>
        <v>0.51666666666667993</v>
      </c>
      <c r="AJ345" s="106">
        <f t="shared" si="328"/>
        <v>148.51666666666668</v>
      </c>
      <c r="AK345" s="104">
        <f>('Renewable Diesel'!J354*'RD Feedstock Breakdown'!AK$3*'Feedstock Conversion Rates'!B$4)/12</f>
        <v>95.8125</v>
      </c>
      <c r="AL345" s="106">
        <f t="shared" si="330"/>
        <v>95.8125</v>
      </c>
      <c r="AM345" s="104">
        <f>('Renewable Diesel'!K354*'RD Feedstock Breakdown'!AM$3*'Feedstock Conversion Rates'!B$4)/12+5+15-10+10</f>
        <v>78.59375</v>
      </c>
      <c r="AN345" s="104">
        <f>('Renewable Diesel'!K354*'RD Feedstock Breakdown'!AN$3*'Feedstock Conversion Rates'!B$6)/12-5-15+10-10</f>
        <v>4.4270833333333321</v>
      </c>
      <c r="AO345" s="106">
        <f t="shared" si="350"/>
        <v>83.020833333333329</v>
      </c>
      <c r="AP345" s="104">
        <f>('Renewable Diesel'!L354*'RD Feedstock Breakdown'!AP$3*'Feedstock Conversion Rates'!B$4)/12+15-10+15</f>
        <v>78.59375</v>
      </c>
      <c r="AQ345" s="104">
        <f>('Renewable Diesel'!L354*'RD Feedstock Breakdown'!AQ$3*'Feedstock Conversion Rates'!B$6)/12-15+10-15</f>
        <v>4.4270833333333321</v>
      </c>
      <c r="AR345" s="106">
        <f t="shared" si="339"/>
        <v>83.020833333333329</v>
      </c>
      <c r="AS345" s="104">
        <f>('Renewable Diesel'!M354*'RD Feedstock Breakdown'!AS$3*'Feedstock Conversion Rates'!B$4)/12</f>
        <v>456.25</v>
      </c>
      <c r="AT345" s="104">
        <f>('Renewable Diesel'!M354*'RD Feedstock Breakdown'!AT$3*'Feedstock Conversion Rates'!B$5)/12</f>
        <v>0</v>
      </c>
      <c r="AU345" s="106">
        <f t="shared" si="369"/>
        <v>456.25</v>
      </c>
      <c r="AV345" s="104">
        <f>'Renewable Diesel'!N354*'RD Feedstock Breakdown'!$AV$3*'Feedstock Conversion Rates'!$B$4/12-15-10+25+25-22+25</f>
        <v>106.74999999999999</v>
      </c>
      <c r="AW345" s="104">
        <f>'Renewable Diesel'!N354*'RD Feedstock Breakdown'!$AW$3*'Feedstock Conversion Rates'!$B$7/12+15+10-25-25+22-25</f>
        <v>13.400000000000006</v>
      </c>
      <c r="AX345" s="106">
        <f t="shared" si="322"/>
        <v>120.14999999999999</v>
      </c>
      <c r="AY345" s="104">
        <f>('Renewable Diesel'!O354*'RD Feedstock Breakdown'!AY$3*'Feedstock Conversion Rates'!B$4)/12</f>
        <v>210.9375</v>
      </c>
      <c r="AZ345" s="104">
        <f>('Renewable Diesel'!O354*'RD Feedstock Breakdown'!AZ$3*'Feedstock Conversion Rates'!B$3)/12</f>
        <v>25.03125</v>
      </c>
      <c r="BA345" s="106">
        <f t="shared" si="302"/>
        <v>235.96875</v>
      </c>
      <c r="BB345" s="104">
        <f>('Renewable Diesel'!Q354*'RD Feedstock Breakdown'!BB$3*'Feedstock Conversion Rates'!B$4)/12</f>
        <v>11.156249999999998</v>
      </c>
      <c r="BC345" s="104">
        <f>('Renewable Diesel'!Q354*'RD Feedstock Breakdown'!BC$3*'Feedstock Conversion Rates'!B$3)/12</f>
        <v>1.4017500000000001</v>
      </c>
      <c r="BD345" s="104">
        <f>('Renewable Diesel'!Q354*'RD Feedstock Breakdown'!BD$3*'Feedstock Conversion Rates'!B$6)/12</f>
        <v>0.8207500000000002</v>
      </c>
      <c r="BE345" s="106">
        <f t="shared" si="359"/>
        <v>13.378749999999998</v>
      </c>
      <c r="BF345" s="104">
        <f>('Renewable Diesel'!R354*'RD Feedstock Breakdown'!BF$3*'Feedstock Conversion Rates'!B$4)/12</f>
        <v>62.5</v>
      </c>
      <c r="BG345" s="106">
        <f t="shared" si="344"/>
        <v>62.5</v>
      </c>
      <c r="BH345" s="104">
        <f>('Renewable Diesel'!T354*'RD Feedstock Breakdown'!BH$3*'Feedstock Conversion Rates'!B$7)/12</f>
        <v>27.599999999999998</v>
      </c>
      <c r="BI345" s="106">
        <f t="shared" si="327"/>
        <v>27.599999999999998</v>
      </c>
      <c r="BJ345" s="104">
        <f>('Renewable Diesel'!W354*'RD Feedstock Breakdown'!BJ$3*'Feedstock Conversion Rates'!B$4)/12</f>
        <v>7.5</v>
      </c>
      <c r="BK345" s="104">
        <f>('Renewable Diesel'!W354*'RD Feedstock Breakdown'!BK$3*'Feedstock Conversion Rates'!B$3)/12</f>
        <v>1.335</v>
      </c>
      <c r="BL345" s="104">
        <f>('Renewable Diesel'!W354*'RD Feedstock Breakdown'!BL$3*'Feedstock Conversion Rates'!B$6)/12</f>
        <v>3.1266666666666669</v>
      </c>
      <c r="BM345" s="104">
        <f>('Renewable Diesel'!W354*'RD Feedstock Breakdown'!BM$3*'Feedstock Conversion Rates'!B$7)/12</f>
        <v>1.5333333333333332</v>
      </c>
      <c r="BN345" s="106">
        <f t="shared" si="296"/>
        <v>13.495000000000001</v>
      </c>
      <c r="BO345" s="104">
        <f>('Renewable Diesel'!P354*'Feedstock Conversion Rates'!B$4)/12</f>
        <v>31.25</v>
      </c>
      <c r="BP345" s="106">
        <f t="shared" si="367"/>
        <v>31.25</v>
      </c>
      <c r="BQ345" s="104">
        <f>('Renewable Diesel'!$S354*'RD Feedstock Breakdown'!BQ$3*'Feedstock Conversion Rates'!B$4)/12+10+15-15</f>
        <v>38.125</v>
      </c>
      <c r="BR345" s="104">
        <f>('Renewable Diesel'!$S354*'RD Feedstock Breakdown'!BR$3*'Feedstock Conversion Rates'!B$7)/12-10-15+15</f>
        <v>1.5</v>
      </c>
      <c r="BS345" s="106">
        <f t="shared" si="307"/>
        <v>39.625</v>
      </c>
      <c r="BT345" s="106"/>
      <c r="BU345" s="104">
        <f>('Renewable Diesel'!Y354*'Feedstock Conversion Rates'!B$7)/12</f>
        <v>2.6833333333333331</v>
      </c>
      <c r="BV345" s="106">
        <f t="shared" si="361"/>
        <v>2.6833333333333331</v>
      </c>
      <c r="BW345" s="104">
        <f>('Renewable Diesel'!$Z354*'RD Feedstock Breakdown'!BW$3*'Feedstock Conversion Rates'!$B$4)/12-180+110</f>
        <v>1.875</v>
      </c>
      <c r="BX345" s="104">
        <f>('Renewable Diesel'!$Z354*'RD Feedstock Breakdown'!BX$3*'Feedstock Conversion Rates'!$B$5)/12</f>
        <v>7.2354166666666666</v>
      </c>
      <c r="BY345" s="104">
        <f>('Renewable Diesel'!$Z354*'RD Feedstock Breakdown'!BY$3*'Feedstock Conversion Rates'!$B$7)/12</f>
        <v>61.716666666666661</v>
      </c>
      <c r="BZ345" s="104">
        <f>('Renewable Diesel'!$Z354*'RD Feedstock Breakdown'!BZ$3*'Feedstock Conversion Rates'!$B$3)/12+180-110</f>
        <v>85.352499999999992</v>
      </c>
      <c r="CA345" s="106">
        <f t="shared" si="312"/>
        <v>156.17958333333331</v>
      </c>
      <c r="CB345" s="104">
        <f>('Renewable Diesel'!AA354*'Feedstock Conversion Rates'!B$4)/12</f>
        <v>191.25</v>
      </c>
      <c r="CC345" s="106">
        <f t="shared" si="298"/>
        <v>191.25</v>
      </c>
      <c r="CD345" s="104">
        <f>('Renewable Diesel'!$AB354*'RD Feedstock Breakdown'!CD$3*'Feedstock Conversion Rates'!$B$6)/12-15-5</f>
        <v>12.830000000000005</v>
      </c>
      <c r="CE345" s="104">
        <f>('Renewable Diesel'!$AB354*'RD Feedstock Breakdown'!CE$3*'Feedstock Conversion Rates'!$B$4)/12+15+5</f>
        <v>31.25</v>
      </c>
      <c r="CF345" s="106">
        <f t="shared" si="372"/>
        <v>44.080000000000005</v>
      </c>
      <c r="CG345" s="104">
        <f>('Renewable Diesel'!AD354*'Feedstock Conversion Rates'!B$4)/12</f>
        <v>112.5</v>
      </c>
      <c r="CH345" s="106">
        <f t="shared" si="358"/>
        <v>112.5</v>
      </c>
      <c r="CI345" s="104">
        <f>('Renewable Diesel'!$AE354*'RD Feedstock Breakdown'!CI$3*'Feedstock Conversion Rates'!$B$5)/12</f>
        <v>0.34604166666666664</v>
      </c>
      <c r="CJ345" s="104">
        <f>('Renewable Diesel'!$AE354*'RD Feedstock Breakdown'!CJ$3*'Feedstock Conversion Rates'!$B$4)/12</f>
        <v>0.34375</v>
      </c>
      <c r="CK345" s="106">
        <f t="shared" si="368"/>
        <v>0.68979166666666658</v>
      </c>
      <c r="CL345" s="104">
        <f>(((CL$3*'Renewable Diesel'!$AF354)*'Feedstock Conversion Rates'!$B$3)/12)</f>
        <v>91.78125</v>
      </c>
      <c r="CM345" s="104">
        <f>(((CM$3*'Renewable Diesel'!$AF354)*'Feedstock Conversion Rates'!$B$6)/12)</f>
        <v>53.739583333333336</v>
      </c>
      <c r="CN345" s="104">
        <f>(((CN$3*'Renewable Diesel'!$AF354)*'Feedstock Conversion Rates'!$B$4)/12)</f>
        <v>42.96875</v>
      </c>
      <c r="CO345" s="106">
        <f t="shared" si="360"/>
        <v>188.48958333333334</v>
      </c>
      <c r="CP345" s="104">
        <f>('Renewable Diesel'!$AG354*'RD Feedstock Breakdown'!CP$3*'Feedstock Conversion Rates'!$B$3)/12</f>
        <v>6.0075000000000003</v>
      </c>
      <c r="CQ345" s="104">
        <f>('Renewable Diesel'!$AG354*'RD Feedstock Breakdown'!CQ$3*'Feedstock Conversion Rates'!$B$6)/12</f>
        <v>3.5175000000000001</v>
      </c>
      <c r="CR345" s="104">
        <f>('Renewable Diesel'!$AG354*'RD Feedstock Breakdown'!CR$3*'Feedstock Conversion Rates'!$B$4)/12</f>
        <v>2.8125</v>
      </c>
      <c r="CS345" s="106">
        <f t="shared" si="317"/>
        <v>12.3375</v>
      </c>
      <c r="CT345" s="104">
        <f>('Renewable Diesel'!AI354*'Feedstock Conversion Rates'!$B$4*'RD Feedstock Breakdown'!$CT$3)/12</f>
        <v>29.375</v>
      </c>
      <c r="CU345" s="106">
        <f t="shared" si="364"/>
        <v>29.375</v>
      </c>
      <c r="CV345" s="104">
        <f>('Renewable Diesel'!AN354*'Feedstock Conversion Rates'!$B$3*'RD Feedstock Breakdown'!$CV$3)/12</f>
        <v>0.50062499999999999</v>
      </c>
      <c r="CW345" s="106">
        <f t="shared" si="338"/>
        <v>0.50062499999999999</v>
      </c>
      <c r="CX345" s="104">
        <f>('Renewable Diesel'!AO354*'RD Feedstock Breakdown'!$CX$3*'Feedstock Conversion Rates'!$B$3)/12</f>
        <v>6.3412499999999996</v>
      </c>
      <c r="CY345" s="104">
        <f>('Renewable Diesel'!AO354*'RD Feedstock Breakdown'!$CY$3*'Feedstock Conversion Rates'!$B$6)/12</f>
        <v>7.4258333333333342</v>
      </c>
      <c r="CZ345" s="106">
        <f t="shared" si="318"/>
        <v>13.767083333333334</v>
      </c>
      <c r="DA345" s="104">
        <f>('Renewable Diesel'!$AP354*'RD Feedstock Breakdown'!DA$3*'Feedstock Conversion Rates'!$B$3)/12</f>
        <v>6.3412499999999996</v>
      </c>
      <c r="DB345" s="104">
        <f>('Renewable Diesel'!$AP354*'RD Feedstock Breakdown'!DB$3*'Feedstock Conversion Rates'!$B$8)/12</f>
        <v>7.421875</v>
      </c>
      <c r="DC345" s="106">
        <f t="shared" si="342"/>
        <v>13.763124999999999</v>
      </c>
      <c r="DD345" s="104">
        <f>('Renewable Diesel'!AQ354*$DD$3*'Feedstock Conversion Rates'!$B$14)/12</f>
        <v>3.1041666666666665</v>
      </c>
      <c r="DE345" s="106">
        <f t="shared" si="343"/>
        <v>3.1041666666666665</v>
      </c>
      <c r="DF345" s="104">
        <f>('Renewable Diesel'!AR354*'Feedstock Conversion Rates'!$B$4*$DF$3)/12</f>
        <v>75</v>
      </c>
      <c r="DG345" s="106">
        <f t="shared" si="319"/>
        <v>75</v>
      </c>
      <c r="DH345" s="104">
        <f>('Renewable Diesel'!AS354*'Feedstock Conversion Rates'!$B$4*$DH$3)/12</f>
        <v>75</v>
      </c>
      <c r="DI345" s="106">
        <f t="shared" si="323"/>
        <v>75</v>
      </c>
      <c r="DJ345" s="104">
        <f>('Renewable Diesel'!AT354*'Feedstock Conversion Rates'!$B$4*0.25)/12</f>
        <v>8.59375</v>
      </c>
      <c r="DK345" s="104">
        <f>('Renewable Diesel'!$AT354*'RD Feedstock Breakdown'!DK$3*'Feedstock Conversion Rates'!$B$3)/12*0.5</f>
        <v>9.1781249999999996</v>
      </c>
      <c r="DL345" s="104">
        <f>('Renewable Diesel'!$AT354*'RD Feedstock Breakdown'!$DL$3*'Feedstock Conversion Rates'!$B$6)/12</f>
        <v>10.747916666666669</v>
      </c>
      <c r="DM345" s="104">
        <f>('Renewable Diesel'!$AT354*'RD Feedstock Breakdown'!$DM$3*'Feedstock Conversion Rates'!$B$8)/12</f>
        <v>10.7421875</v>
      </c>
      <c r="DN345" s="106">
        <f t="shared" si="297"/>
        <v>39.26197916666667</v>
      </c>
      <c r="DP345" s="104">
        <f t="shared" si="345"/>
        <v>103.22025000000001</v>
      </c>
      <c r="DQ345" s="104">
        <f t="shared" si="346"/>
        <v>324.11776750000001</v>
      </c>
      <c r="DR345" s="104">
        <f t="shared" si="351"/>
        <v>1951.953125</v>
      </c>
      <c r="DS345" s="104">
        <f t="shared" si="365"/>
        <v>228.90125</v>
      </c>
      <c r="DT345" s="104">
        <f t="shared" si="347"/>
        <v>243.03923333333344</v>
      </c>
      <c r="DU345" s="104">
        <f t="shared" si="348"/>
        <v>367.90610000000009</v>
      </c>
      <c r="DV345" s="104">
        <f t="shared" si="352"/>
        <v>78.75</v>
      </c>
      <c r="DW345" s="104">
        <f t="shared" si="349"/>
        <v>3</v>
      </c>
      <c r="DX345" s="106">
        <f t="shared" si="353"/>
        <v>3300.8877258333337</v>
      </c>
      <c r="DY345" s="109">
        <f t="shared" si="340"/>
        <v>-5.631051180898794E-13</v>
      </c>
      <c r="EA345" s="110">
        <f t="shared" si="313"/>
        <v>3.1270451640078516E-2</v>
      </c>
      <c r="EB345" s="110">
        <f t="shared" si="313"/>
        <v>9.8191091130848465E-2</v>
      </c>
      <c r="EC345" s="110">
        <f t="shared" si="313"/>
        <v>0.59134187137710503</v>
      </c>
      <c r="ED345" s="110">
        <f t="shared" si="308"/>
        <v>6.9345360706629972E-2</v>
      </c>
      <c r="EE345" s="110">
        <f t="shared" si="308"/>
        <v>7.3628445896921982E-2</v>
      </c>
      <c r="EF345" s="110">
        <f t="shared" si="308"/>
        <v>0.11145671424105147</v>
      </c>
      <c r="EG345" s="110">
        <f t="shared" si="308"/>
        <v>2.3857218585075921E-2</v>
      </c>
      <c r="EH345" s="111">
        <f t="shared" si="354"/>
        <v>9.0884642228860647E-4</v>
      </c>
      <c r="EI345" s="110">
        <f t="shared" si="321"/>
        <v>0.99909115357771128</v>
      </c>
      <c r="EK345" s="132">
        <f>(EA345*'Renewable Diesel'!BF354*'Feedstock Conversion Rates'!B$2)+FB345</f>
        <v>411.58368932698369</v>
      </c>
      <c r="EL345" s="132">
        <f>(EB345*'Renewable Diesel'!BF354*'Feedstock Conversion Rates'!B$3)+FC345</f>
        <v>1217.894525721164</v>
      </c>
      <c r="EM345" s="132">
        <f>(EC345*'Renewable Diesel'!BF354*'Feedstock Conversion Rates'!B$4)+FD345</f>
        <v>6867.5996679929412</v>
      </c>
      <c r="EN345" s="132">
        <f>(ED345*'Renewable Diesel'!BF354*'Feedstock Conversion Rates'!B$5)+FE345</f>
        <v>810.71729774582764</v>
      </c>
      <c r="EO345" s="132">
        <f>(EE345*'Renewable Diesel'!BF354*'Feedstock Conversion Rates'!B$6)+FF345</f>
        <v>1069.4329191223146</v>
      </c>
      <c r="EP345" s="132">
        <f>(EF345*'Renewable Diesel'!BF354*'Feedstock Conversion Rates'!B$7)+FG345</f>
        <v>1587.8122178407484</v>
      </c>
      <c r="EQ345" s="132">
        <f>(EG345*'Renewable Diesel'!BF354*'Feedstock Conversion Rates'!B$8)+FH345</f>
        <v>346.33482416134103</v>
      </c>
      <c r="ER345" s="132">
        <f>(EH345*'Renewable Diesel'!BF354*'Feedstock Conversion Rates'!B$9)+FI345</f>
        <v>13.017791485937391</v>
      </c>
      <c r="ES345" s="132">
        <f t="shared" si="355"/>
        <v>12324.392933397259</v>
      </c>
      <c r="ET345" s="133">
        <f>ES345/'Renewable Diesel'!BF354</f>
        <v>14.586156283236047</v>
      </c>
      <c r="EW345" s="73">
        <f t="shared" si="309"/>
        <v>11166.907817614452</v>
      </c>
      <c r="EX345" s="73">
        <f t="shared" si="310"/>
        <v>6756.9888396088591</v>
      </c>
      <c r="EY345" s="92">
        <f t="shared" si="341"/>
        <v>0.90608177440965909</v>
      </c>
      <c r="EZ345" s="92">
        <f t="shared" si="341"/>
        <v>0.54826139316756373</v>
      </c>
      <c r="FB345" s="102">
        <f>IF('Renewable Diesel'!$BG354&lt;1,0,(((('Renewable Diesel'!$BG354-1)*'Renewable Diesel'!$BF354)*'RD Feedstock Breakdown'!EA345)*'Feedstock Conversion Rates'!$B$2))</f>
        <v>187.00023713194145</v>
      </c>
      <c r="FC345" s="102">
        <f>IF('Renewable Diesel'!$BG354&lt;1,0,(((('Renewable Diesel'!$BG354-1)*'Renewable Diesel'!$BF354)*'RD Feedstock Breakdown'!EB345)*'Feedstock Conversion Rates'!$B$3))</f>
        <v>553.34205659111342</v>
      </c>
      <c r="FD345" s="102">
        <f>IF('Renewable Diesel'!$BG354&lt;1,0,(((('Renewable Diesel'!$BG354-1)*'Renewable Diesel'!$BF354)*'RD Feedstock Breakdown'!EC345)*'Feedstock Conversion Rates'!$B$4))</f>
        <v>3120.246986808198</v>
      </c>
      <c r="FE345" s="102">
        <f>IF('Renewable Diesel'!$BG354&lt;1,0,(((('Renewable Diesel'!$BG354-1)*'Renewable Diesel'!$BF354)*'RD Feedstock Breakdown'!ED345)*'Feedstock Conversion Rates'!$B$5))</f>
        <v>368.34386506748604</v>
      </c>
      <c r="FF345" s="102">
        <f>IF('Renewable Diesel'!$BG354&lt;1,0,(((('Renewable Diesel'!$BG354-1)*'Renewable Diesel'!$BF354)*'RD Feedstock Breakdown'!EE345)*'Feedstock Conversion Rates'!$B$6))</f>
        <v>485.88953998538864</v>
      </c>
      <c r="FG345" s="102">
        <f>IF('Renewable Diesel'!$BG354&lt;1,0,(((('Renewable Diesel'!$BG354-1)*'Renewable Diesel'!$BF354)*'RD Feedstock Breakdown'!EF345)*'Feedstock Conversion Rates'!$B$7))</f>
        <v>721.41163257158144</v>
      </c>
      <c r="FH345" s="102">
        <f>IF('Renewable Diesel'!$BG354&lt;1,0,(((('Renewable Diesel'!$BG354-1)*'Renewable Diesel'!$BF354)*'RD Feedstock Breakdown'!EG345)*'Feedstock Conversion Rates'!$B$8))</f>
        <v>157.35486105176423</v>
      </c>
      <c r="FI345" s="102">
        <f>IF('Renewable Diesel'!$BG354&lt;1,0,(((('Renewable Diesel'!$BG354-1)*'Renewable Diesel'!$BF354)*'RD Feedstock Breakdown'!EH345)*'Feedstock Conversion Rates'!$B$9))</f>
        <v>5.9145446185805985</v>
      </c>
      <c r="FJ345" s="102">
        <f t="shared" si="311"/>
        <v>5599.5037238260538</v>
      </c>
      <c r="GD345" s="91">
        <f>'Renewable Diesel'!BB354*0.32</f>
        <v>0</v>
      </c>
      <c r="GE345" s="91">
        <f>'Renewable Diesel'!BC354</f>
        <v>401.72057379123839</v>
      </c>
      <c r="GF345" s="91">
        <f>'Renewable Diesel'!BD354</f>
        <v>0</v>
      </c>
      <c r="GG345" s="91">
        <f t="shared" ref="GG345:GG408" si="373">GF345+GE345</f>
        <v>401.72057379123839</v>
      </c>
      <c r="GH345" s="124">
        <v>1</v>
      </c>
      <c r="GI345" s="102">
        <f>$GG345*EA345*'Feedstock Conversion Rates'!$B$2</f>
        <v>106.77686209228986</v>
      </c>
      <c r="GJ345" s="102">
        <f>$GG345*EB345*'Feedstock Conversion Rates'!$B$3</f>
        <v>315.95750557688052</v>
      </c>
      <c r="GK345" s="102">
        <f>$GG345*EC345*'Feedstock Conversion Rates'!$B$4</f>
        <v>1781.6564690729649</v>
      </c>
      <c r="GL345" s="102">
        <f>$GG345*ED345*'Feedstock Conversion Rates'!$B$5</f>
        <v>210.32380860084979</v>
      </c>
      <c r="GM345" s="102">
        <f>$GG345*EE345*'Feedstock Conversion Rates'!$B$6</f>
        <v>277.442217180184</v>
      </c>
      <c r="GN345" s="102">
        <f>$GG345*EF345*'Feedstock Conversion Rates'!$B$7</f>
        <v>411.92498781977184</v>
      </c>
      <c r="GO345" s="102">
        <f>$GG345*EG345*'Feedstock Conversion Rates'!$B$8</f>
        <v>89.849395678684644</v>
      </c>
      <c r="GP345" s="102">
        <f>$GG345*EH345*'Feedstock Conversion Rates'!B$9</f>
        <v>3.3771963328115118</v>
      </c>
      <c r="GQ345" s="102">
        <f t="shared" si="356"/>
        <v>3197.3084423544369</v>
      </c>
      <c r="GR345" s="85">
        <f t="shared" si="371"/>
        <v>7.9590358347341654</v>
      </c>
      <c r="GT345" s="103">
        <f t="shared" si="333"/>
        <v>3.3395859053767553E-2</v>
      </c>
      <c r="GU345" s="103">
        <f t="shared" si="334"/>
        <v>9.8819839021916642E-2</v>
      </c>
      <c r="GV345" s="103">
        <f t="shared" si="335"/>
        <v>0.55723634463023131</v>
      </c>
      <c r="GW345" s="103">
        <f t="shared" si="331"/>
        <v>6.5781519797937088E-2</v>
      </c>
      <c r="GX345" s="103">
        <f t="shared" si="331"/>
        <v>8.6773679231235135E-2</v>
      </c>
      <c r="GY345" s="103">
        <f t="shared" si="331"/>
        <v>0.12883492326328022</v>
      </c>
      <c r="GZ345" s="103">
        <f t="shared" si="331"/>
        <v>2.8101572712991452E-2</v>
      </c>
      <c r="HA345" s="103">
        <f t="shared" si="331"/>
        <v>1.0562622886406948E-3</v>
      </c>
    </row>
    <row r="346" spans="1:209" x14ac:dyDescent="0.25">
      <c r="A346" s="96">
        <v>50952</v>
      </c>
      <c r="B346" s="104">
        <f t="shared" si="362"/>
        <v>104.25</v>
      </c>
      <c r="C346" s="104">
        <f t="shared" si="314"/>
        <v>49</v>
      </c>
      <c r="D346" s="104">
        <f t="shared" si="363"/>
        <v>2</v>
      </c>
      <c r="E346" s="104">
        <f>('Renewable Diesel'!B355*E$3*'Feedstock Conversion Rates'!$B$2)/12+26+13-100+27.5+39</f>
        <v>95.43</v>
      </c>
      <c r="F346" s="104">
        <f>('Renewable Diesel'!B355*'RD Feedstock Breakdown'!F$3*'Feedstock Conversion Rates'!B$8)/12+77+23-10-12-115.75+24+8</f>
        <v>48.15625</v>
      </c>
      <c r="G346" s="104">
        <f>('Renewable Diesel'!B355*'RD Feedstock Breakdown'!G$3*'Feedstock Conversion Rates'!B$7)/12+116.75-39-57.5-145-31.5+32+70-40+10+25</f>
        <v>116.90700000000004</v>
      </c>
      <c r="H346" s="104">
        <f>('Renewable Diesel'!B355*'RD Feedstock Breakdown'!H$3*'Feedstock Conversion Rates'!B$3)/12+67+10+12+3-235+20+47-20</f>
        <v>80.400224999999978</v>
      </c>
      <c r="I346" s="106">
        <f t="shared" si="370"/>
        <v>496.14347500000002</v>
      </c>
      <c r="J346" s="104">
        <f t="shared" si="332"/>
        <v>4</v>
      </c>
      <c r="K346" s="104"/>
      <c r="L346" s="104">
        <v>1</v>
      </c>
      <c r="M346" s="104">
        <f>('Renewable Diesel'!C355*'RD Feedstock Breakdown'!M$3*'Feedstock Conversion Rates'!B$2)/12</f>
        <v>7.7902500000000003</v>
      </c>
      <c r="N346" s="104">
        <f>('Renewable Diesel'!C355*'RD Feedstock Breakdown'!N$3*'Feedstock Conversion Rates'!B$8)/12</f>
        <v>3.671875</v>
      </c>
      <c r="O346" s="104">
        <f>('Renewable Diesel'!C355*'RD Feedstock Breakdown'!O$3*'Feedstock Conversion Rates'!B$7)/12</f>
        <v>11.9991</v>
      </c>
      <c r="P346" s="104">
        <f>('Renewable Diesel'!C355*'RD Feedstock Breakdown'!P$3*'Feedstock Conversion Rates'!B$3)/12</f>
        <v>10.4470425</v>
      </c>
      <c r="Q346" s="106">
        <f t="shared" si="299"/>
        <v>38.908267500000001</v>
      </c>
      <c r="R346" s="104">
        <f>('Renewable Diesel'!D355*'RD Feedstock Breakdown'!R$3*'Feedstock Conversion Rates'!B$7)/12</f>
        <v>2.2999999999999998</v>
      </c>
      <c r="S346" s="106">
        <f t="shared" si="329"/>
        <v>2.2999999999999998</v>
      </c>
      <c r="T346" s="104">
        <f t="shared" si="300"/>
        <v>0.82499999999999929</v>
      </c>
      <c r="U346" s="104"/>
      <c r="V346" s="104">
        <f>('Renewable Diesel'!E355*'RD Feedstock Breakdown'!V$3*'Feedstock Conversion Rates'!B$6)/12-20+25</f>
        <v>49.250150000000012</v>
      </c>
      <c r="W346" s="104">
        <f>('Renewable Diesel'!E355*'RD Feedstock Breakdown'!W$3*'Feedstock Conversion Rates'!B$8)/12-6</f>
        <v>16.1796875</v>
      </c>
      <c r="X346" s="106">
        <f t="shared" si="357"/>
        <v>66.254837500000008</v>
      </c>
      <c r="Y346" s="104">
        <f t="shared" si="301"/>
        <v>98</v>
      </c>
      <c r="Z346" s="104">
        <f>('Renewable Diesel'!F355*'RD Feedstock Breakdown'!Z$3*'Feedstock Conversion Rates'!B$6)/12-142+15+5+20+5+15</f>
        <v>77.460000000000008</v>
      </c>
      <c r="AA346" s="104">
        <f>('Renewable Diesel'!F355*'RD Feedstock Breakdown'!AA$3*'Feedstock Conversion Rates'!B$7)/12+24</f>
        <v>128.26666666666665</v>
      </c>
      <c r="AB346" s="106">
        <f t="shared" si="320"/>
        <v>303.72666666666669</v>
      </c>
      <c r="AC346" s="104">
        <f>('Renewable Diesel'!G355*'RD Feedstock Breakdown'!AC$3*'Feedstock Conversion Rates'!B$5)/12</f>
        <v>11.796875</v>
      </c>
      <c r="AD346" s="104">
        <f>('Renewable Diesel'!G355*'RD Feedstock Breakdown'!AD$3*'Feedstock Conversion Rates'!B$4)/12</f>
        <v>5.859375</v>
      </c>
      <c r="AE346" s="104">
        <f>('Renewable Diesel'!G355*'RD Feedstock Breakdown'!AE$3*'Feedstock Conversion Rates'!B$6)/12</f>
        <v>7.3281250000000009</v>
      </c>
      <c r="AF346" s="106">
        <f t="shared" si="366"/>
        <v>24.984375</v>
      </c>
      <c r="AG346" s="104">
        <f t="shared" si="306"/>
        <v>148</v>
      </c>
      <c r="AH346" s="104"/>
      <c r="AI346" s="104">
        <f>('Renewable Diesel'!H355*'RD Feedstock Breakdown'!AI$3*'Feedstock Conversion Rates'!B$6)/12-130-20+51-49</f>
        <v>0.51666666666667993</v>
      </c>
      <c r="AJ346" s="106">
        <f t="shared" si="328"/>
        <v>148.51666666666668</v>
      </c>
      <c r="AK346" s="104">
        <f>('Renewable Diesel'!J355*'RD Feedstock Breakdown'!AK$3*'Feedstock Conversion Rates'!B$4)/12</f>
        <v>95.8125</v>
      </c>
      <c r="AL346" s="106">
        <f t="shared" si="330"/>
        <v>95.8125</v>
      </c>
      <c r="AM346" s="104">
        <f>('Renewable Diesel'!K355*'RD Feedstock Breakdown'!AM$3*'Feedstock Conversion Rates'!B$4)/12+5+15-10+10</f>
        <v>78.59375</v>
      </c>
      <c r="AN346" s="104">
        <f>('Renewable Diesel'!K355*'RD Feedstock Breakdown'!AN$3*'Feedstock Conversion Rates'!B$6)/12-5-15+10-10</f>
        <v>4.4270833333333321</v>
      </c>
      <c r="AO346" s="106">
        <f t="shared" si="350"/>
        <v>83.020833333333329</v>
      </c>
      <c r="AP346" s="104">
        <f>('Renewable Diesel'!L355*'RD Feedstock Breakdown'!AP$3*'Feedstock Conversion Rates'!B$4)/12+15-10+15</f>
        <v>78.59375</v>
      </c>
      <c r="AQ346" s="104">
        <f>('Renewable Diesel'!L355*'RD Feedstock Breakdown'!AQ$3*'Feedstock Conversion Rates'!B$6)/12-15+10-15</f>
        <v>4.4270833333333321</v>
      </c>
      <c r="AR346" s="106">
        <f t="shared" si="339"/>
        <v>83.020833333333329</v>
      </c>
      <c r="AS346" s="104">
        <f>('Renewable Diesel'!M355*'RD Feedstock Breakdown'!AS$3*'Feedstock Conversion Rates'!B$4)/12</f>
        <v>456.25</v>
      </c>
      <c r="AT346" s="104">
        <f>('Renewable Diesel'!M355*'RD Feedstock Breakdown'!AT$3*'Feedstock Conversion Rates'!B$5)/12</f>
        <v>0</v>
      </c>
      <c r="AU346" s="106">
        <f t="shared" si="369"/>
        <v>456.25</v>
      </c>
      <c r="AV346" s="104">
        <f>'Renewable Diesel'!N355*'RD Feedstock Breakdown'!$AV$3*'Feedstock Conversion Rates'!$B$4/12-15-10+25+25-22+25</f>
        <v>106.74999999999999</v>
      </c>
      <c r="AW346" s="104">
        <f>'Renewable Diesel'!N355*'RD Feedstock Breakdown'!$AW$3*'Feedstock Conversion Rates'!$B$7/12+15+10-25-25+22-25</f>
        <v>13.400000000000006</v>
      </c>
      <c r="AX346" s="106">
        <f t="shared" si="322"/>
        <v>120.14999999999999</v>
      </c>
      <c r="AY346" s="104">
        <f>('Renewable Diesel'!O355*'RD Feedstock Breakdown'!AY$3*'Feedstock Conversion Rates'!B$4)/12</f>
        <v>210.9375</v>
      </c>
      <c r="AZ346" s="104">
        <f>('Renewable Diesel'!O355*'RD Feedstock Breakdown'!AZ$3*'Feedstock Conversion Rates'!B$3)/12</f>
        <v>25.03125</v>
      </c>
      <c r="BA346" s="106">
        <f t="shared" si="302"/>
        <v>235.96875</v>
      </c>
      <c r="BB346" s="104">
        <f>('Renewable Diesel'!Q355*'RD Feedstock Breakdown'!BB$3*'Feedstock Conversion Rates'!B$4)/12</f>
        <v>11.156249999999998</v>
      </c>
      <c r="BC346" s="104">
        <f>('Renewable Diesel'!Q355*'RD Feedstock Breakdown'!BC$3*'Feedstock Conversion Rates'!B$3)/12</f>
        <v>1.4017500000000001</v>
      </c>
      <c r="BD346" s="104">
        <f>('Renewable Diesel'!Q355*'RD Feedstock Breakdown'!BD$3*'Feedstock Conversion Rates'!B$6)/12</f>
        <v>0.8207500000000002</v>
      </c>
      <c r="BE346" s="106">
        <f t="shared" si="359"/>
        <v>13.378749999999998</v>
      </c>
      <c r="BF346" s="104">
        <f>('Renewable Diesel'!R355*'RD Feedstock Breakdown'!BF$3*'Feedstock Conversion Rates'!B$4)/12</f>
        <v>62.5</v>
      </c>
      <c r="BG346" s="106">
        <f t="shared" si="344"/>
        <v>62.5</v>
      </c>
      <c r="BH346" s="104">
        <f>('Renewable Diesel'!T355*'RD Feedstock Breakdown'!BH$3*'Feedstock Conversion Rates'!B$7)/12</f>
        <v>27.599999999999998</v>
      </c>
      <c r="BI346" s="106">
        <f t="shared" si="327"/>
        <v>27.599999999999998</v>
      </c>
      <c r="BJ346" s="104">
        <f>('Renewable Diesel'!W355*'RD Feedstock Breakdown'!BJ$3*'Feedstock Conversion Rates'!B$4)/12</f>
        <v>7.5</v>
      </c>
      <c r="BK346" s="104">
        <f>('Renewable Diesel'!W355*'RD Feedstock Breakdown'!BK$3*'Feedstock Conversion Rates'!B$3)/12</f>
        <v>1.335</v>
      </c>
      <c r="BL346" s="104">
        <f>('Renewable Diesel'!W355*'RD Feedstock Breakdown'!BL$3*'Feedstock Conversion Rates'!B$6)/12</f>
        <v>3.1266666666666669</v>
      </c>
      <c r="BM346" s="104">
        <f>('Renewable Diesel'!W355*'RD Feedstock Breakdown'!BM$3*'Feedstock Conversion Rates'!B$7)/12</f>
        <v>1.5333333333333332</v>
      </c>
      <c r="BN346" s="106">
        <f t="shared" ref="BN346:BN409" si="374">SUM(BJ346:BM346)</f>
        <v>13.495000000000001</v>
      </c>
      <c r="BO346" s="104">
        <f>('Renewable Diesel'!P355*'Feedstock Conversion Rates'!B$4)/12</f>
        <v>31.25</v>
      </c>
      <c r="BP346" s="106">
        <f t="shared" si="367"/>
        <v>31.25</v>
      </c>
      <c r="BQ346" s="104">
        <f>('Renewable Diesel'!$S355*'RD Feedstock Breakdown'!BQ$3*'Feedstock Conversion Rates'!B$4)/12+10+15-15</f>
        <v>38.125</v>
      </c>
      <c r="BR346" s="104">
        <f>('Renewable Diesel'!$S355*'RD Feedstock Breakdown'!BR$3*'Feedstock Conversion Rates'!B$7)/12-10-15+15</f>
        <v>1.5</v>
      </c>
      <c r="BS346" s="106">
        <f t="shared" si="307"/>
        <v>39.625</v>
      </c>
      <c r="BT346" s="106"/>
      <c r="BU346" s="104">
        <f>('Renewable Diesel'!Y355*'Feedstock Conversion Rates'!B$7)/12</f>
        <v>2.6833333333333331</v>
      </c>
      <c r="BV346" s="106">
        <f t="shared" si="361"/>
        <v>2.6833333333333331</v>
      </c>
      <c r="BW346" s="104">
        <f>('Renewable Diesel'!$Z355*'RD Feedstock Breakdown'!BW$3*'Feedstock Conversion Rates'!$B$4)/12-180+110</f>
        <v>1.875</v>
      </c>
      <c r="BX346" s="104">
        <f>('Renewable Diesel'!$Z355*'RD Feedstock Breakdown'!BX$3*'Feedstock Conversion Rates'!$B$5)/12</f>
        <v>7.2354166666666666</v>
      </c>
      <c r="BY346" s="104">
        <f>('Renewable Diesel'!$Z355*'RD Feedstock Breakdown'!BY$3*'Feedstock Conversion Rates'!$B$7)/12</f>
        <v>61.716666666666661</v>
      </c>
      <c r="BZ346" s="104">
        <f>('Renewable Diesel'!$Z355*'RD Feedstock Breakdown'!BZ$3*'Feedstock Conversion Rates'!$B$3)/12+180-110</f>
        <v>85.352499999999992</v>
      </c>
      <c r="CA346" s="106">
        <f t="shared" si="312"/>
        <v>156.17958333333331</v>
      </c>
      <c r="CB346" s="104">
        <f>('Renewable Diesel'!AA355*'Feedstock Conversion Rates'!B$4)/12</f>
        <v>191.25</v>
      </c>
      <c r="CC346" s="106">
        <f t="shared" si="298"/>
        <v>191.25</v>
      </c>
      <c r="CD346" s="104">
        <f>('Renewable Diesel'!$AB355*'RD Feedstock Breakdown'!CD$3*'Feedstock Conversion Rates'!$B$6)/12-15-5</f>
        <v>12.830000000000005</v>
      </c>
      <c r="CE346" s="104">
        <f>('Renewable Diesel'!$AB355*'RD Feedstock Breakdown'!CE$3*'Feedstock Conversion Rates'!$B$4)/12+15+5</f>
        <v>31.25</v>
      </c>
      <c r="CF346" s="106">
        <f t="shared" si="372"/>
        <v>44.080000000000005</v>
      </c>
      <c r="CG346" s="104">
        <f>('Renewable Diesel'!AD355*'Feedstock Conversion Rates'!B$4)/12</f>
        <v>112.5</v>
      </c>
      <c r="CH346" s="106">
        <f t="shared" si="358"/>
        <v>112.5</v>
      </c>
      <c r="CI346" s="104">
        <f>('Renewable Diesel'!$AE355*'RD Feedstock Breakdown'!CI$3*'Feedstock Conversion Rates'!$B$5)/12</f>
        <v>0.34604166666666664</v>
      </c>
      <c r="CJ346" s="104">
        <f>('Renewable Diesel'!$AE355*'RD Feedstock Breakdown'!CJ$3*'Feedstock Conversion Rates'!$B$4)/12</f>
        <v>0.34375</v>
      </c>
      <c r="CK346" s="106">
        <f t="shared" si="368"/>
        <v>0.68979166666666658</v>
      </c>
      <c r="CL346" s="104">
        <f>(((CL$3*'Renewable Diesel'!$AF355)*'Feedstock Conversion Rates'!$B$3)/12)</f>
        <v>91.78125</v>
      </c>
      <c r="CM346" s="104">
        <f>(((CM$3*'Renewable Diesel'!$AF355)*'Feedstock Conversion Rates'!$B$6)/12)</f>
        <v>53.739583333333336</v>
      </c>
      <c r="CN346" s="104">
        <f>(((CN$3*'Renewable Diesel'!$AF355)*'Feedstock Conversion Rates'!$B$4)/12)</f>
        <v>42.96875</v>
      </c>
      <c r="CO346" s="106">
        <f t="shared" si="360"/>
        <v>188.48958333333334</v>
      </c>
      <c r="CP346" s="104">
        <f>('Renewable Diesel'!$AG355*'RD Feedstock Breakdown'!CP$3*'Feedstock Conversion Rates'!$B$3)/12</f>
        <v>6.0075000000000003</v>
      </c>
      <c r="CQ346" s="104">
        <f>('Renewable Diesel'!$AG355*'RD Feedstock Breakdown'!CQ$3*'Feedstock Conversion Rates'!$B$6)/12</f>
        <v>3.5175000000000001</v>
      </c>
      <c r="CR346" s="104">
        <f>('Renewable Diesel'!$AG355*'RD Feedstock Breakdown'!CR$3*'Feedstock Conversion Rates'!$B$4)/12</f>
        <v>2.8125</v>
      </c>
      <c r="CS346" s="106">
        <f t="shared" si="317"/>
        <v>12.3375</v>
      </c>
      <c r="CT346" s="104">
        <f>('Renewable Diesel'!AI355*'Feedstock Conversion Rates'!$B$4*'RD Feedstock Breakdown'!$CT$3)/12</f>
        <v>29.375</v>
      </c>
      <c r="CU346" s="106">
        <f t="shared" si="364"/>
        <v>29.375</v>
      </c>
      <c r="CV346" s="104">
        <f>('Renewable Diesel'!AN355*'Feedstock Conversion Rates'!$B$3*'RD Feedstock Breakdown'!$CV$3)/12</f>
        <v>0.50062499999999999</v>
      </c>
      <c r="CW346" s="106">
        <f t="shared" si="338"/>
        <v>0.50062499999999999</v>
      </c>
      <c r="CX346" s="104">
        <f>('Renewable Diesel'!AO355*'RD Feedstock Breakdown'!$CX$3*'Feedstock Conversion Rates'!$B$3)/12</f>
        <v>6.3412499999999996</v>
      </c>
      <c r="CY346" s="104">
        <f>('Renewable Diesel'!AO355*'RD Feedstock Breakdown'!$CY$3*'Feedstock Conversion Rates'!$B$6)/12</f>
        <v>7.4258333333333342</v>
      </c>
      <c r="CZ346" s="106">
        <f t="shared" si="318"/>
        <v>13.767083333333334</v>
      </c>
      <c r="DA346" s="104">
        <f>('Renewable Diesel'!$AP355*'RD Feedstock Breakdown'!DA$3*'Feedstock Conversion Rates'!$B$3)/12</f>
        <v>6.3412499999999996</v>
      </c>
      <c r="DB346" s="104">
        <f>('Renewable Diesel'!$AP355*'RD Feedstock Breakdown'!DB$3*'Feedstock Conversion Rates'!$B$8)/12</f>
        <v>7.421875</v>
      </c>
      <c r="DC346" s="106">
        <f t="shared" si="342"/>
        <v>13.763124999999999</v>
      </c>
      <c r="DD346" s="104">
        <f>('Renewable Diesel'!AQ355*$DD$3*'Feedstock Conversion Rates'!$B$14)/12</f>
        <v>3.1041666666666665</v>
      </c>
      <c r="DE346" s="106">
        <f t="shared" si="343"/>
        <v>3.1041666666666665</v>
      </c>
      <c r="DF346" s="104">
        <f>('Renewable Diesel'!AR355*'Feedstock Conversion Rates'!$B$4*$DF$3)/12</f>
        <v>75</v>
      </c>
      <c r="DG346" s="106">
        <f t="shared" si="319"/>
        <v>75</v>
      </c>
      <c r="DH346" s="104">
        <f>('Renewable Diesel'!AS355*'Feedstock Conversion Rates'!$B$4*$DH$3)/12</f>
        <v>75</v>
      </c>
      <c r="DI346" s="106">
        <f t="shared" si="323"/>
        <v>75</v>
      </c>
      <c r="DJ346" s="104">
        <f>('Renewable Diesel'!AT355*'Feedstock Conversion Rates'!$B$4*0.25)/12</f>
        <v>8.59375</v>
      </c>
      <c r="DK346" s="104">
        <f>('Renewable Diesel'!$AT355*'RD Feedstock Breakdown'!DK$3*'Feedstock Conversion Rates'!$B$3)/12*0.5</f>
        <v>9.1781249999999996</v>
      </c>
      <c r="DL346" s="104">
        <f>('Renewable Diesel'!$AT355*'RD Feedstock Breakdown'!$DL$3*'Feedstock Conversion Rates'!$B$6)/12</f>
        <v>10.747916666666669</v>
      </c>
      <c r="DM346" s="104">
        <f>('Renewable Diesel'!$AT355*'RD Feedstock Breakdown'!$DM$3*'Feedstock Conversion Rates'!$B$8)/12</f>
        <v>10.7421875</v>
      </c>
      <c r="DN346" s="106">
        <f t="shared" ref="DN346:DN409" si="375">SUM(DJ346:DM346)</f>
        <v>39.26197916666667</v>
      </c>
      <c r="DP346" s="104">
        <f t="shared" si="345"/>
        <v>103.22025000000001</v>
      </c>
      <c r="DQ346" s="104">
        <f t="shared" si="346"/>
        <v>324.11776750000001</v>
      </c>
      <c r="DR346" s="104">
        <f t="shared" si="351"/>
        <v>1951.953125</v>
      </c>
      <c r="DS346" s="104">
        <f t="shared" si="365"/>
        <v>228.90125</v>
      </c>
      <c r="DT346" s="104">
        <f t="shared" si="347"/>
        <v>243.03923333333344</v>
      </c>
      <c r="DU346" s="104">
        <f t="shared" si="348"/>
        <v>367.90610000000009</v>
      </c>
      <c r="DV346" s="104">
        <f t="shared" si="352"/>
        <v>78.75</v>
      </c>
      <c r="DW346" s="104">
        <f t="shared" si="349"/>
        <v>3</v>
      </c>
      <c r="DX346" s="106">
        <f t="shared" si="353"/>
        <v>3300.8877258333337</v>
      </c>
      <c r="DY346" s="109">
        <f t="shared" si="340"/>
        <v>-5.631051180898794E-13</v>
      </c>
      <c r="EA346" s="110">
        <f t="shared" si="313"/>
        <v>3.1270451640078516E-2</v>
      </c>
      <c r="EB346" s="110">
        <f t="shared" si="313"/>
        <v>9.8191091130848465E-2</v>
      </c>
      <c r="EC346" s="110">
        <f t="shared" si="313"/>
        <v>0.59134187137710503</v>
      </c>
      <c r="ED346" s="110">
        <f t="shared" si="308"/>
        <v>6.9345360706629972E-2</v>
      </c>
      <c r="EE346" s="110">
        <f t="shared" si="308"/>
        <v>7.3628445896921982E-2</v>
      </c>
      <c r="EF346" s="110">
        <f t="shared" si="308"/>
        <v>0.11145671424105147</v>
      </c>
      <c r="EG346" s="110">
        <f t="shared" si="308"/>
        <v>2.3857218585075921E-2</v>
      </c>
      <c r="EH346" s="111">
        <f t="shared" si="354"/>
        <v>9.0884642228860647E-4</v>
      </c>
      <c r="EI346" s="110">
        <f t="shared" si="321"/>
        <v>0.99909115357771128</v>
      </c>
      <c r="EK346" s="132">
        <f>(EA346*'Renewable Diesel'!BF355*'Feedstock Conversion Rates'!B$2)+FB346</f>
        <v>452.03464520115597</v>
      </c>
      <c r="EL346" s="132">
        <f>(EB346*'Renewable Diesel'!BF355*'Feedstock Conversion Rates'!B$3)+FC346</f>
        <v>1337.590711446843</v>
      </c>
      <c r="EM346" s="132">
        <f>(EC346*'Renewable Diesel'!BF355*'Feedstock Conversion Rates'!B$4)+FD346</f>
        <v>7542.555887919244</v>
      </c>
      <c r="EN346" s="132">
        <f>(ED346*'Renewable Diesel'!BF355*'Feedstock Conversion Rates'!B$5)+FE346</f>
        <v>890.39560008858928</v>
      </c>
      <c r="EO346" s="132">
        <f>(EE346*'Renewable Diesel'!BF355*'Feedstock Conversion Rates'!B$6)+FF346</f>
        <v>1174.5381138702928</v>
      </c>
      <c r="EP346" s="132">
        <f>(EF346*'Renewable Diesel'!BF355*'Feedstock Conversion Rates'!B$7)+FG346</f>
        <v>1743.8643735162404</v>
      </c>
      <c r="EQ346" s="132">
        <f>(EG346*'Renewable Diesel'!BF355*'Feedstock Conversion Rates'!B$8)+FH346</f>
        <v>380.37304057547522</v>
      </c>
      <c r="ER346" s="132">
        <f>(EH346*'Renewable Diesel'!BF355*'Feedstock Conversion Rates'!B$9)+FI346</f>
        <v>14.29719619178929</v>
      </c>
      <c r="ES346" s="132">
        <f t="shared" si="355"/>
        <v>13535.649568809633</v>
      </c>
      <c r="ET346" s="133">
        <f>ES346/'Renewable Diesel'!BF355</f>
        <v>15.538813885188395</v>
      </c>
      <c r="EW346" s="73">
        <f t="shared" si="309"/>
        <v>12546.51517836618</v>
      </c>
      <c r="EX346" s="73">
        <f t="shared" si="310"/>
        <v>7591.7760243778885</v>
      </c>
      <c r="EY346" s="92">
        <f t="shared" si="341"/>
        <v>0.9269237589658994</v>
      </c>
      <c r="EZ346" s="92">
        <f t="shared" si="341"/>
        <v>0.56087267816623398</v>
      </c>
      <c r="FB346" s="102">
        <f>IF('Renewable Diesel'!$BG355&lt;1,0,(((('Renewable Diesel'!$BG355-1)*'Renewable Diesel'!$BF355)*'RD Feedstock Breakdown'!EA346)*'Feedstock Conversion Rates'!$B$2))</f>
        <v>220.50088938941204</v>
      </c>
      <c r="FC346" s="102">
        <f>IF('Renewable Diesel'!$BG355&lt;1,0,(((('Renewable Diesel'!$BG355-1)*'Renewable Diesel'!$BF355)*'RD Feedstock Breakdown'!EB346)*'Feedstock Conversion Rates'!$B$3))</f>
        <v>652.47198338480598</v>
      </c>
      <c r="FD346" s="102">
        <f>IF('Renewable Diesel'!$BG355&lt;1,0,(((('Renewable Diesel'!$BG355-1)*'Renewable Diesel'!$BF355)*'RD Feedstock Breakdown'!EC346)*'Feedstock Conversion Rates'!$B$4))</f>
        <v>3679.2318889970047</v>
      </c>
      <c r="FE346" s="102">
        <f>IF('Renewable Diesel'!$BG355&lt;1,0,(((('Renewable Diesel'!$BG355-1)*'Renewable Diesel'!$BF355)*'RD Feedstock Breakdown'!ED346)*'Feedstock Conversion Rates'!$B$5))</f>
        <v>434.33180136134206</v>
      </c>
      <c r="FF346" s="102">
        <f>IF('Renewable Diesel'!$BG355&lt;1,0,(((('Renewable Diesel'!$BG355-1)*'Renewable Diesel'!$BF355)*'RD Feedstock Breakdown'!EE346)*'Feedstock Conversion Rates'!$B$6))</f>
        <v>572.93550722182533</v>
      </c>
      <c r="FG346" s="102">
        <f>IF('Renewable Diesel'!$BG355&lt;1,0,(((('Renewable Diesel'!$BG355-1)*'Renewable Diesel'!$BF355)*'RD Feedstock Breakdown'!EF346)*'Feedstock Conversion Rates'!$B$7))</f>
        <v>850.65082824288254</v>
      </c>
      <c r="FH346" s="102">
        <f>IF('Renewable Diesel'!$BG355&lt;1,0,(((('Renewable Diesel'!$BG355-1)*'Renewable Diesel'!$BF355)*'RD Feedstock Breakdown'!EG346)*'Feedstock Conversion Rates'!$B$8))</f>
        <v>185.54461397383335</v>
      </c>
      <c r="FI346" s="102">
        <f>IF('Renewable Diesel'!$BG355&lt;1,0,(((('Renewable Diesel'!$BG355-1)*'Renewable Diesel'!$BF355)*'RD Feedstock Breakdown'!EH346)*'Feedstock Conversion Rates'!$B$9))</f>
        <v>6.9741213633339258</v>
      </c>
      <c r="FJ346" s="102">
        <f t="shared" si="311"/>
        <v>6602.6416339344387</v>
      </c>
      <c r="GD346" s="91">
        <f>'Renewable Diesel'!BB355*0.32</f>
        <v>0</v>
      </c>
      <c r="GE346" s="91">
        <f>'Renewable Diesel'!BC355</f>
        <v>436.97885705731892</v>
      </c>
      <c r="GF346" s="91">
        <f>'Renewable Diesel'!BD355</f>
        <v>0</v>
      </c>
      <c r="GG346" s="91">
        <f t="shared" si="373"/>
        <v>436.97885705731892</v>
      </c>
      <c r="GH346" s="124">
        <v>1</v>
      </c>
      <c r="GI346" s="102">
        <f>$GG346*EA346*'Feedstock Conversion Rates'!$B$2</f>
        <v>116.14847284745524</v>
      </c>
      <c r="GJ346" s="102">
        <f>$GG346*EB346*'Feedstock Conversion Rates'!$B$3</f>
        <v>343.68852051230937</v>
      </c>
      <c r="GK346" s="102">
        <f>$GG346*EC346*'Feedstock Conversion Rates'!$B$4</f>
        <v>1938.029213133776</v>
      </c>
      <c r="GL346" s="102">
        <f>$GG346*ED346*'Feedstock Conversion Rates'!$B$5</f>
        <v>228.78354630177063</v>
      </c>
      <c r="GM346" s="102">
        <f>$GG346*EE346*'Feedstock Conversion Rates'!$B$6</f>
        <v>301.79281538577106</v>
      </c>
      <c r="GN346" s="102">
        <f>$GG346*EF346*'Feedstock Conversion Rates'!$B$7</f>
        <v>448.07889392385363</v>
      </c>
      <c r="GO346" s="102">
        <f>$GG346*EG346*'Feedstock Conversion Rates'!$B$8</f>
        <v>97.735313530060338</v>
      </c>
      <c r="GP346" s="102">
        <f>$GG346*EH346*'Feedstock Conversion Rates'!B$9</f>
        <v>3.6736067053838548</v>
      </c>
      <c r="GQ346" s="102">
        <f t="shared" si="356"/>
        <v>3477.9303823403802</v>
      </c>
      <c r="GR346" s="85">
        <f t="shared" si="371"/>
        <v>7.9590358347341663</v>
      </c>
      <c r="GT346" s="103">
        <f t="shared" si="333"/>
        <v>3.3395859053767546E-2</v>
      </c>
      <c r="GU346" s="103">
        <f t="shared" si="334"/>
        <v>9.8819839021916642E-2</v>
      </c>
      <c r="GV346" s="103">
        <f t="shared" si="335"/>
        <v>0.5572363446302312</v>
      </c>
      <c r="GW346" s="103">
        <f t="shared" si="331"/>
        <v>6.5781519797937088E-2</v>
      </c>
      <c r="GX346" s="103">
        <f t="shared" si="331"/>
        <v>8.6773679231235121E-2</v>
      </c>
      <c r="GY346" s="103">
        <f t="shared" si="331"/>
        <v>0.12883492326328019</v>
      </c>
      <c r="GZ346" s="103">
        <f t="shared" si="331"/>
        <v>2.8101572712991452E-2</v>
      </c>
      <c r="HA346" s="103">
        <f t="shared" si="331"/>
        <v>1.0562622886406945E-3</v>
      </c>
    </row>
    <row r="347" spans="1:209" x14ac:dyDescent="0.25">
      <c r="A347" s="96">
        <v>50983</v>
      </c>
      <c r="B347" s="104">
        <f t="shared" si="362"/>
        <v>104.25</v>
      </c>
      <c r="C347" s="104">
        <f t="shared" si="314"/>
        <v>49</v>
      </c>
      <c r="D347" s="104">
        <f t="shared" si="363"/>
        <v>2</v>
      </c>
      <c r="E347" s="104">
        <f>('Renewable Diesel'!B356*E$3*'Feedstock Conversion Rates'!$B$2)/12+26+13-100+27.5+39</f>
        <v>95.43</v>
      </c>
      <c r="F347" s="104">
        <f>('Renewable Diesel'!B356*'RD Feedstock Breakdown'!F$3*'Feedstock Conversion Rates'!B$8)/12+77+23-10-12-115.75+24+8</f>
        <v>48.15625</v>
      </c>
      <c r="G347" s="104">
        <f>('Renewable Diesel'!B356*'RD Feedstock Breakdown'!G$3*'Feedstock Conversion Rates'!B$7)/12+116.75-39-57.5-145-31.5+32+70-40+10+25</f>
        <v>116.90700000000004</v>
      </c>
      <c r="H347" s="104">
        <f>('Renewable Diesel'!B356*'RD Feedstock Breakdown'!H$3*'Feedstock Conversion Rates'!B$3)/12+67+10+12+3-235+20+47-20</f>
        <v>80.400224999999978</v>
      </c>
      <c r="I347" s="106">
        <f t="shared" si="370"/>
        <v>496.14347500000002</v>
      </c>
      <c r="J347" s="104">
        <f t="shared" si="332"/>
        <v>4</v>
      </c>
      <c r="K347" s="104"/>
      <c r="L347" s="104">
        <v>1</v>
      </c>
      <c r="M347" s="104">
        <f>('Renewable Diesel'!C356*'RD Feedstock Breakdown'!M$3*'Feedstock Conversion Rates'!B$2)/12</f>
        <v>7.7902500000000003</v>
      </c>
      <c r="N347" s="104">
        <f>('Renewable Diesel'!C356*'RD Feedstock Breakdown'!N$3*'Feedstock Conversion Rates'!B$8)/12</f>
        <v>3.671875</v>
      </c>
      <c r="O347" s="104">
        <f>('Renewable Diesel'!C356*'RD Feedstock Breakdown'!O$3*'Feedstock Conversion Rates'!B$7)/12</f>
        <v>11.9991</v>
      </c>
      <c r="P347" s="104">
        <f>('Renewable Diesel'!C356*'RD Feedstock Breakdown'!P$3*'Feedstock Conversion Rates'!B$3)/12</f>
        <v>10.4470425</v>
      </c>
      <c r="Q347" s="106">
        <f t="shared" si="299"/>
        <v>38.908267500000001</v>
      </c>
      <c r="R347" s="104">
        <f>('Renewable Diesel'!D356*'RD Feedstock Breakdown'!R$3*'Feedstock Conversion Rates'!B$7)/12</f>
        <v>2.2999999999999998</v>
      </c>
      <c r="S347" s="106">
        <f t="shared" si="329"/>
        <v>2.2999999999999998</v>
      </c>
      <c r="T347" s="104">
        <f t="shared" si="300"/>
        <v>0.82499999999999929</v>
      </c>
      <c r="U347" s="104"/>
      <c r="V347" s="104">
        <f>('Renewable Diesel'!E356*'RD Feedstock Breakdown'!V$3*'Feedstock Conversion Rates'!B$6)/12-20+25</f>
        <v>49.250150000000012</v>
      </c>
      <c r="W347" s="104">
        <f>('Renewable Diesel'!E356*'RD Feedstock Breakdown'!W$3*'Feedstock Conversion Rates'!B$8)/12-6</f>
        <v>16.1796875</v>
      </c>
      <c r="X347" s="106">
        <f t="shared" si="357"/>
        <v>66.254837500000008</v>
      </c>
      <c r="Y347" s="104">
        <f t="shared" si="301"/>
        <v>98</v>
      </c>
      <c r="Z347" s="104">
        <f>('Renewable Diesel'!F356*'RD Feedstock Breakdown'!Z$3*'Feedstock Conversion Rates'!B$6)/12-142+15+5+20+5+15</f>
        <v>77.460000000000008</v>
      </c>
      <c r="AA347" s="104">
        <f>('Renewable Diesel'!F356*'RD Feedstock Breakdown'!AA$3*'Feedstock Conversion Rates'!B$7)/12+24</f>
        <v>128.26666666666665</v>
      </c>
      <c r="AB347" s="106">
        <f t="shared" si="320"/>
        <v>303.72666666666669</v>
      </c>
      <c r="AC347" s="104">
        <f>('Renewable Diesel'!G356*'RD Feedstock Breakdown'!AC$3*'Feedstock Conversion Rates'!B$5)/12</f>
        <v>11.796875</v>
      </c>
      <c r="AD347" s="104">
        <f>('Renewable Diesel'!G356*'RD Feedstock Breakdown'!AD$3*'Feedstock Conversion Rates'!B$4)/12</f>
        <v>5.859375</v>
      </c>
      <c r="AE347" s="104">
        <f>('Renewable Diesel'!G356*'RD Feedstock Breakdown'!AE$3*'Feedstock Conversion Rates'!B$6)/12</f>
        <v>7.3281250000000009</v>
      </c>
      <c r="AF347" s="106">
        <f t="shared" si="366"/>
        <v>24.984375</v>
      </c>
      <c r="AG347" s="104">
        <f t="shared" si="306"/>
        <v>148</v>
      </c>
      <c r="AH347" s="104"/>
      <c r="AI347" s="104">
        <f>('Renewable Diesel'!H356*'RD Feedstock Breakdown'!AI$3*'Feedstock Conversion Rates'!B$6)/12-130-20+51-49</f>
        <v>0.51666666666667993</v>
      </c>
      <c r="AJ347" s="106">
        <f t="shared" si="328"/>
        <v>148.51666666666668</v>
      </c>
      <c r="AK347" s="104">
        <f>('Renewable Diesel'!J356*'RD Feedstock Breakdown'!AK$3*'Feedstock Conversion Rates'!B$4)/12</f>
        <v>95.8125</v>
      </c>
      <c r="AL347" s="106">
        <f t="shared" si="330"/>
        <v>95.8125</v>
      </c>
      <c r="AM347" s="104">
        <f>('Renewable Diesel'!K356*'RD Feedstock Breakdown'!AM$3*'Feedstock Conversion Rates'!B$4)/12+5+15-10+10</f>
        <v>78.59375</v>
      </c>
      <c r="AN347" s="104">
        <f>('Renewable Diesel'!K356*'RD Feedstock Breakdown'!AN$3*'Feedstock Conversion Rates'!B$6)/12-5-15+10-10</f>
        <v>4.4270833333333321</v>
      </c>
      <c r="AO347" s="106">
        <f t="shared" si="350"/>
        <v>83.020833333333329</v>
      </c>
      <c r="AP347" s="104">
        <f>('Renewable Diesel'!L356*'RD Feedstock Breakdown'!AP$3*'Feedstock Conversion Rates'!B$4)/12+15-10+15</f>
        <v>78.59375</v>
      </c>
      <c r="AQ347" s="104">
        <f>('Renewable Diesel'!L356*'RD Feedstock Breakdown'!AQ$3*'Feedstock Conversion Rates'!B$6)/12-15+10-15</f>
        <v>4.4270833333333321</v>
      </c>
      <c r="AR347" s="106">
        <f t="shared" si="339"/>
        <v>83.020833333333329</v>
      </c>
      <c r="AS347" s="104">
        <f>('Renewable Diesel'!M356*'RD Feedstock Breakdown'!AS$3*'Feedstock Conversion Rates'!B$4)/12</f>
        <v>456.25</v>
      </c>
      <c r="AT347" s="104">
        <f>('Renewable Diesel'!M356*'RD Feedstock Breakdown'!AT$3*'Feedstock Conversion Rates'!B$5)/12</f>
        <v>0</v>
      </c>
      <c r="AU347" s="106">
        <f t="shared" si="369"/>
        <v>456.25</v>
      </c>
      <c r="AV347" s="104">
        <f>'Renewable Diesel'!N356*'RD Feedstock Breakdown'!$AV$3*'Feedstock Conversion Rates'!$B$4/12-15-10+25+25-22+25</f>
        <v>106.74999999999999</v>
      </c>
      <c r="AW347" s="104">
        <f>'Renewable Diesel'!N356*'RD Feedstock Breakdown'!$AW$3*'Feedstock Conversion Rates'!$B$7/12+15+10-25-25+22-25</f>
        <v>13.400000000000006</v>
      </c>
      <c r="AX347" s="106">
        <f t="shared" si="322"/>
        <v>120.14999999999999</v>
      </c>
      <c r="AY347" s="104">
        <f>('Renewable Diesel'!O356*'RD Feedstock Breakdown'!AY$3*'Feedstock Conversion Rates'!B$4)/12</f>
        <v>210.9375</v>
      </c>
      <c r="AZ347" s="104">
        <f>('Renewable Diesel'!O356*'RD Feedstock Breakdown'!AZ$3*'Feedstock Conversion Rates'!B$3)/12</f>
        <v>25.03125</v>
      </c>
      <c r="BA347" s="106">
        <f t="shared" si="302"/>
        <v>235.96875</v>
      </c>
      <c r="BB347" s="104">
        <f>('Renewable Diesel'!Q356*'RD Feedstock Breakdown'!BB$3*'Feedstock Conversion Rates'!B$4)/12</f>
        <v>11.156249999999998</v>
      </c>
      <c r="BC347" s="104">
        <f>('Renewable Diesel'!Q356*'RD Feedstock Breakdown'!BC$3*'Feedstock Conversion Rates'!B$3)/12</f>
        <v>1.4017500000000001</v>
      </c>
      <c r="BD347" s="104">
        <f>('Renewable Diesel'!Q356*'RD Feedstock Breakdown'!BD$3*'Feedstock Conversion Rates'!B$6)/12</f>
        <v>0.8207500000000002</v>
      </c>
      <c r="BE347" s="106">
        <f t="shared" si="359"/>
        <v>13.378749999999998</v>
      </c>
      <c r="BF347" s="104">
        <f>('Renewable Diesel'!R356*'RD Feedstock Breakdown'!BF$3*'Feedstock Conversion Rates'!B$4)/12</f>
        <v>62.5</v>
      </c>
      <c r="BG347" s="106">
        <f t="shared" si="344"/>
        <v>62.5</v>
      </c>
      <c r="BH347" s="104">
        <f>('Renewable Diesel'!T356*'RD Feedstock Breakdown'!BH$3*'Feedstock Conversion Rates'!B$7)/12</f>
        <v>27.599999999999998</v>
      </c>
      <c r="BI347" s="106">
        <f t="shared" si="327"/>
        <v>27.599999999999998</v>
      </c>
      <c r="BJ347" s="104">
        <f>('Renewable Diesel'!W356*'RD Feedstock Breakdown'!BJ$3*'Feedstock Conversion Rates'!B$4)/12</f>
        <v>7.5</v>
      </c>
      <c r="BK347" s="104">
        <f>('Renewable Diesel'!W356*'RD Feedstock Breakdown'!BK$3*'Feedstock Conversion Rates'!B$3)/12</f>
        <v>1.335</v>
      </c>
      <c r="BL347" s="104">
        <f>('Renewable Diesel'!W356*'RD Feedstock Breakdown'!BL$3*'Feedstock Conversion Rates'!B$6)/12</f>
        <v>3.1266666666666669</v>
      </c>
      <c r="BM347" s="104">
        <f>('Renewable Diesel'!W356*'RD Feedstock Breakdown'!BM$3*'Feedstock Conversion Rates'!B$7)/12</f>
        <v>1.5333333333333332</v>
      </c>
      <c r="BN347" s="106">
        <f t="shared" si="374"/>
        <v>13.495000000000001</v>
      </c>
      <c r="BO347" s="104">
        <f>('Renewable Diesel'!P356*'Feedstock Conversion Rates'!B$4)/12</f>
        <v>31.25</v>
      </c>
      <c r="BP347" s="106">
        <f t="shared" si="367"/>
        <v>31.25</v>
      </c>
      <c r="BQ347" s="104">
        <f>('Renewable Diesel'!$S356*'RD Feedstock Breakdown'!BQ$3*'Feedstock Conversion Rates'!B$4)/12+10+15-15</f>
        <v>38.125</v>
      </c>
      <c r="BR347" s="104">
        <f>('Renewable Diesel'!$S356*'RD Feedstock Breakdown'!BR$3*'Feedstock Conversion Rates'!B$7)/12-10-15+15</f>
        <v>1.5</v>
      </c>
      <c r="BS347" s="106">
        <f t="shared" si="307"/>
        <v>39.625</v>
      </c>
      <c r="BT347" s="106"/>
      <c r="BU347" s="104">
        <f>('Renewable Diesel'!Y356*'Feedstock Conversion Rates'!B$7)/12</f>
        <v>2.6833333333333331</v>
      </c>
      <c r="BV347" s="106">
        <f t="shared" si="361"/>
        <v>2.6833333333333331</v>
      </c>
      <c r="BW347" s="104">
        <f>('Renewable Diesel'!$Z356*'RD Feedstock Breakdown'!BW$3*'Feedstock Conversion Rates'!$B$4)/12-180+110</f>
        <v>1.875</v>
      </c>
      <c r="BX347" s="104">
        <f>('Renewable Diesel'!$Z356*'RD Feedstock Breakdown'!BX$3*'Feedstock Conversion Rates'!$B$5)/12</f>
        <v>7.2354166666666666</v>
      </c>
      <c r="BY347" s="104">
        <f>('Renewable Diesel'!$Z356*'RD Feedstock Breakdown'!BY$3*'Feedstock Conversion Rates'!$B$7)/12</f>
        <v>61.716666666666661</v>
      </c>
      <c r="BZ347" s="104">
        <f>('Renewable Diesel'!$Z356*'RD Feedstock Breakdown'!BZ$3*'Feedstock Conversion Rates'!$B$3)/12+180-110</f>
        <v>85.352499999999992</v>
      </c>
      <c r="CA347" s="106">
        <f t="shared" si="312"/>
        <v>156.17958333333331</v>
      </c>
      <c r="CB347" s="104">
        <f>('Renewable Diesel'!AA356*'Feedstock Conversion Rates'!B$4)/12</f>
        <v>191.25</v>
      </c>
      <c r="CC347" s="106">
        <f t="shared" si="298"/>
        <v>191.25</v>
      </c>
      <c r="CD347" s="104">
        <f>('Renewable Diesel'!$AB356*'RD Feedstock Breakdown'!CD$3*'Feedstock Conversion Rates'!$B$6)/12-15-5</f>
        <v>12.830000000000005</v>
      </c>
      <c r="CE347" s="104">
        <f>('Renewable Diesel'!$AB356*'RD Feedstock Breakdown'!CE$3*'Feedstock Conversion Rates'!$B$4)/12+15+5</f>
        <v>31.25</v>
      </c>
      <c r="CF347" s="106">
        <f t="shared" si="372"/>
        <v>44.080000000000005</v>
      </c>
      <c r="CG347" s="104">
        <f>('Renewable Diesel'!AD356*'Feedstock Conversion Rates'!B$4)/12</f>
        <v>112.5</v>
      </c>
      <c r="CH347" s="106">
        <f t="shared" si="358"/>
        <v>112.5</v>
      </c>
      <c r="CI347" s="104">
        <f>('Renewable Diesel'!$AE356*'RD Feedstock Breakdown'!CI$3*'Feedstock Conversion Rates'!$B$5)/12</f>
        <v>0.34604166666666664</v>
      </c>
      <c r="CJ347" s="104">
        <f>('Renewable Diesel'!$AE356*'RD Feedstock Breakdown'!CJ$3*'Feedstock Conversion Rates'!$B$4)/12</f>
        <v>0.34375</v>
      </c>
      <c r="CK347" s="106">
        <f t="shared" si="368"/>
        <v>0.68979166666666658</v>
      </c>
      <c r="CL347" s="104">
        <f>(((CL$3*'Renewable Diesel'!$AF356)*'Feedstock Conversion Rates'!$B$3)/12)</f>
        <v>91.78125</v>
      </c>
      <c r="CM347" s="104">
        <f>(((CM$3*'Renewable Diesel'!$AF356)*'Feedstock Conversion Rates'!$B$6)/12)</f>
        <v>53.739583333333336</v>
      </c>
      <c r="CN347" s="104">
        <f>(((CN$3*'Renewable Diesel'!$AF356)*'Feedstock Conversion Rates'!$B$4)/12)</f>
        <v>42.96875</v>
      </c>
      <c r="CO347" s="106">
        <f t="shared" si="360"/>
        <v>188.48958333333334</v>
      </c>
      <c r="CP347" s="104">
        <f>('Renewable Diesel'!$AG356*'RD Feedstock Breakdown'!CP$3*'Feedstock Conversion Rates'!$B$3)/12</f>
        <v>6.0075000000000003</v>
      </c>
      <c r="CQ347" s="104">
        <f>('Renewable Diesel'!$AG356*'RD Feedstock Breakdown'!CQ$3*'Feedstock Conversion Rates'!$B$6)/12</f>
        <v>3.5175000000000001</v>
      </c>
      <c r="CR347" s="104">
        <f>('Renewable Diesel'!$AG356*'RD Feedstock Breakdown'!CR$3*'Feedstock Conversion Rates'!$B$4)/12</f>
        <v>2.8125</v>
      </c>
      <c r="CS347" s="106">
        <f t="shared" si="317"/>
        <v>12.3375</v>
      </c>
      <c r="CT347" s="104">
        <f>('Renewable Diesel'!AI356*'Feedstock Conversion Rates'!$B$4*'RD Feedstock Breakdown'!$CT$3)/12</f>
        <v>29.375</v>
      </c>
      <c r="CU347" s="106">
        <f t="shared" si="364"/>
        <v>29.375</v>
      </c>
      <c r="CV347" s="104">
        <f>('Renewable Diesel'!AN356*'Feedstock Conversion Rates'!$B$3*'RD Feedstock Breakdown'!$CV$3)/12</f>
        <v>0.50062499999999999</v>
      </c>
      <c r="CW347" s="106">
        <f t="shared" si="338"/>
        <v>0.50062499999999999</v>
      </c>
      <c r="CX347" s="104">
        <f>('Renewable Diesel'!AO356*'RD Feedstock Breakdown'!$CX$3*'Feedstock Conversion Rates'!$B$3)/12</f>
        <v>6.3412499999999996</v>
      </c>
      <c r="CY347" s="104">
        <f>('Renewable Diesel'!AO356*'RD Feedstock Breakdown'!$CY$3*'Feedstock Conversion Rates'!$B$6)/12</f>
        <v>7.4258333333333342</v>
      </c>
      <c r="CZ347" s="106">
        <f t="shared" si="318"/>
        <v>13.767083333333334</v>
      </c>
      <c r="DA347" s="104">
        <f>('Renewable Diesel'!$AP356*'RD Feedstock Breakdown'!DA$3*'Feedstock Conversion Rates'!$B$3)/12</f>
        <v>6.3412499999999996</v>
      </c>
      <c r="DB347" s="104">
        <f>('Renewable Diesel'!$AP356*'RD Feedstock Breakdown'!DB$3*'Feedstock Conversion Rates'!$B$8)/12</f>
        <v>7.421875</v>
      </c>
      <c r="DC347" s="106">
        <f t="shared" si="342"/>
        <v>13.763124999999999</v>
      </c>
      <c r="DD347" s="104">
        <f>('Renewable Diesel'!AQ356*$DD$3*'Feedstock Conversion Rates'!$B$14)/12</f>
        <v>3.1041666666666665</v>
      </c>
      <c r="DE347" s="106">
        <f t="shared" si="343"/>
        <v>3.1041666666666665</v>
      </c>
      <c r="DF347" s="104">
        <f>('Renewable Diesel'!AR356*'Feedstock Conversion Rates'!$B$4*$DF$3)/12</f>
        <v>75</v>
      </c>
      <c r="DG347" s="106">
        <f t="shared" si="319"/>
        <v>75</v>
      </c>
      <c r="DH347" s="104">
        <f>('Renewable Diesel'!AS356*'Feedstock Conversion Rates'!$B$4*$DH$3)/12</f>
        <v>75</v>
      </c>
      <c r="DI347" s="106">
        <f t="shared" si="323"/>
        <v>75</v>
      </c>
      <c r="DJ347" s="104">
        <f>('Renewable Diesel'!AT356*'Feedstock Conversion Rates'!$B$4*0.25)/12</f>
        <v>8.59375</v>
      </c>
      <c r="DK347" s="104">
        <f>('Renewable Diesel'!$AT356*'RD Feedstock Breakdown'!DK$3*'Feedstock Conversion Rates'!$B$3)/12*0.5</f>
        <v>9.1781249999999996</v>
      </c>
      <c r="DL347" s="104">
        <f>('Renewable Diesel'!$AT356*'RD Feedstock Breakdown'!$DL$3*'Feedstock Conversion Rates'!$B$6)/12</f>
        <v>10.747916666666669</v>
      </c>
      <c r="DM347" s="104">
        <f>('Renewable Diesel'!$AT356*'RD Feedstock Breakdown'!$DM$3*'Feedstock Conversion Rates'!$B$8)/12</f>
        <v>10.7421875</v>
      </c>
      <c r="DN347" s="106">
        <f t="shared" si="375"/>
        <v>39.26197916666667</v>
      </c>
      <c r="DP347" s="104">
        <f t="shared" si="345"/>
        <v>103.22025000000001</v>
      </c>
      <c r="DQ347" s="104">
        <f t="shared" si="346"/>
        <v>324.11776750000001</v>
      </c>
      <c r="DR347" s="104">
        <f t="shared" si="351"/>
        <v>1951.953125</v>
      </c>
      <c r="DS347" s="104">
        <f t="shared" si="365"/>
        <v>228.90125</v>
      </c>
      <c r="DT347" s="104">
        <f t="shared" si="347"/>
        <v>243.03923333333344</v>
      </c>
      <c r="DU347" s="104">
        <f t="shared" si="348"/>
        <v>367.90610000000009</v>
      </c>
      <c r="DV347" s="104">
        <f t="shared" si="352"/>
        <v>78.75</v>
      </c>
      <c r="DW347" s="104">
        <f t="shared" si="349"/>
        <v>3</v>
      </c>
      <c r="DX347" s="106">
        <f t="shared" si="353"/>
        <v>3300.8877258333337</v>
      </c>
      <c r="DY347" s="109">
        <f t="shared" si="340"/>
        <v>-5.631051180898794E-13</v>
      </c>
      <c r="EA347" s="110">
        <f t="shared" si="313"/>
        <v>3.1270451640078516E-2</v>
      </c>
      <c r="EB347" s="110">
        <f t="shared" si="313"/>
        <v>9.8191091130848465E-2</v>
      </c>
      <c r="EC347" s="110">
        <f t="shared" si="313"/>
        <v>0.59134187137710503</v>
      </c>
      <c r="ED347" s="110">
        <f t="shared" si="308"/>
        <v>6.9345360706629972E-2</v>
      </c>
      <c r="EE347" s="110">
        <f t="shared" si="308"/>
        <v>7.3628445896921982E-2</v>
      </c>
      <c r="EF347" s="110">
        <f t="shared" si="308"/>
        <v>0.11145671424105147</v>
      </c>
      <c r="EG347" s="110">
        <f t="shared" si="308"/>
        <v>2.3857218585075921E-2</v>
      </c>
      <c r="EH347" s="111">
        <f t="shared" si="354"/>
        <v>9.0884642228860647E-4</v>
      </c>
      <c r="EI347" s="110">
        <f t="shared" si="321"/>
        <v>0.99909115357771128</v>
      </c>
      <c r="EK347" s="132">
        <f>(EA347*'Renewable Diesel'!BF356*'Feedstock Conversion Rates'!B$2)+FB347</f>
        <v>483.84609576536326</v>
      </c>
      <c r="EL347" s="132">
        <f>(EB347*'Renewable Diesel'!BF356*'Feedstock Conversion Rates'!B$3)+FC347</f>
        <v>1431.7222149589222</v>
      </c>
      <c r="EM347" s="132">
        <f>(EC347*'Renewable Diesel'!BF356*'Feedstock Conversion Rates'!B$4)+FD347</f>
        <v>8073.3551226759973</v>
      </c>
      <c r="EN347" s="132">
        <f>(ED347*'Renewable Diesel'!BF356*'Feedstock Conversion Rates'!B$5)+FE347</f>
        <v>953.0562300104425</v>
      </c>
      <c r="EO347" s="132">
        <f>(EE347*'Renewable Diesel'!BF356*'Feedstock Conversion Rates'!B$6)+FF347</f>
        <v>1257.1949667062856</v>
      </c>
      <c r="EP347" s="132">
        <f>(EF347*'Renewable Diesel'!BF356*'Feedstock Conversion Rates'!B$7)+FG347</f>
        <v>1866.586947765185</v>
      </c>
      <c r="EQ347" s="132">
        <f>(EG347*'Renewable Diesel'!BF356*'Feedstock Conversion Rates'!B$8)+FH347</f>
        <v>407.14138301267781</v>
      </c>
      <c r="ER347" s="132">
        <f>(EH347*'Renewable Diesel'!BF356*'Feedstock Conversion Rates'!B$9)+FI347</f>
        <v>15.303345951968588</v>
      </c>
      <c r="ES347" s="132">
        <f t="shared" si="355"/>
        <v>14488.206306846843</v>
      </c>
      <c r="ET347" s="133">
        <f>ES347/'Renewable Diesel'!BF356</f>
        <v>15.81486194521271</v>
      </c>
      <c r="EW347" s="73">
        <f t="shared" si="309"/>
        <v>13510.163296522986</v>
      </c>
      <c r="EX347" s="73">
        <f t="shared" si="310"/>
        <v>8174.8702601362174</v>
      </c>
      <c r="EY347" s="92">
        <f t="shared" si="341"/>
        <v>0.93249385123252604</v>
      </c>
      <c r="EZ347" s="92">
        <f t="shared" si="341"/>
        <v>0.56424308758448127</v>
      </c>
      <c r="FB347" s="102">
        <f>IF('Renewable Diesel'!$BG356&lt;1,0,(((('Renewable Diesel'!$BG356-1)*'Renewable Diesel'!$BF356)*'RD Feedstock Breakdown'!EA347)*'Feedstock Conversion Rates'!$B$2))</f>
        <v>240.34422846904712</v>
      </c>
      <c r="FC347" s="102">
        <f>IF('Renewable Diesel'!$BG356&lt;1,0,(((('Renewable Diesel'!$BG356-1)*'Renewable Diesel'!$BF356)*'RD Feedstock Breakdown'!EB347)*'Feedstock Conversion Rates'!$B$3))</f>
        <v>711.18931029500038</v>
      </c>
      <c r="FD347" s="102">
        <f>IF('Renewable Diesel'!$BG356&lt;1,0,(((('Renewable Diesel'!$BG356-1)*'Renewable Diesel'!$BF356)*'RD Feedstock Breakdown'!EC347)*'Feedstock Conversion Rates'!$B$4))</f>
        <v>4010.3337096206797</v>
      </c>
      <c r="FE347" s="102">
        <f>IF('Renewable Diesel'!$BG356&lt;1,0,(((('Renewable Diesel'!$BG356-1)*'Renewable Diesel'!$BF356)*'RD Feedstock Breakdown'!ED347)*'Feedstock Conversion Rates'!$B$5))</f>
        <v>473.41823421586491</v>
      </c>
      <c r="FF347" s="102">
        <f>IF('Renewable Diesel'!$BG356&lt;1,0,(((('Renewable Diesel'!$BG356-1)*'Renewable Diesel'!$BF356)*'RD Feedstock Breakdown'!EE347)*'Feedstock Conversion Rates'!$B$6))</f>
        <v>624.49517925782982</v>
      </c>
      <c r="FG347" s="102">
        <f>IF('Renewable Diesel'!$BG356&lt;1,0,(((('Renewable Diesel'!$BG356-1)*'Renewable Diesel'!$BF356)*'RD Feedstock Breakdown'!EF347)*'Feedstock Conversion Rates'!$B$7))</f>
        <v>927.20268646865918</v>
      </c>
      <c r="FH347" s="102">
        <f>IF('Renewable Diesel'!$BG356&lt;1,0,(((('Renewable Diesel'!$BG356-1)*'Renewable Diesel'!$BF356)*'RD Feedstock Breakdown'!EG347)*'Feedstock Conversion Rates'!$B$8))</f>
        <v>202.24216426344032</v>
      </c>
      <c r="FI347" s="102">
        <f>IF('Renewable Diesel'!$BG356&lt;1,0,(((('Renewable Diesel'!$BG356-1)*'Renewable Diesel'!$BF356)*'RD Feedstock Breakdown'!EH347)*'Feedstock Conversion Rates'!$B$9))</f>
        <v>7.6017372218385182</v>
      </c>
      <c r="FJ347" s="102">
        <f t="shared" si="311"/>
        <v>7196.8272498123597</v>
      </c>
      <c r="GD347" s="91">
        <f>'Renewable Diesel'!BB356*0.32</f>
        <v>0</v>
      </c>
      <c r="GE347" s="91">
        <f>'Renewable Diesel'!BC356</f>
        <v>475.79349783530421</v>
      </c>
      <c r="GF347" s="91">
        <f>'Renewable Diesel'!BD356</f>
        <v>0</v>
      </c>
      <c r="GG347" s="91">
        <f t="shared" si="373"/>
        <v>475.79349783530421</v>
      </c>
      <c r="GH347" s="124">
        <v>1</v>
      </c>
      <c r="GI347" s="102">
        <f>$GG347*EA347*'Feedstock Conversion Rates'!$B$2</f>
        <v>126.46535930014279</v>
      </c>
      <c r="GJ347" s="102">
        <f>$GG347*EB347*'Feedstock Conversion Rates'!$B$3</f>
        <v>374.21664847034617</v>
      </c>
      <c r="GK347" s="102">
        <f>$GG347*EC347*'Feedstock Conversion Rates'!$B$4</f>
        <v>2110.174630492405</v>
      </c>
      <c r="GL347" s="102">
        <f>$GG347*ED347*'Feedstock Conversion Rates'!$B$5</f>
        <v>249.10524155590045</v>
      </c>
      <c r="GM347" s="102">
        <f>$GG347*EE347*'Feedstock Conversion Rates'!$B$6</f>
        <v>328.5995579303858</v>
      </c>
      <c r="GN347" s="102">
        <f>$GG347*EF347*'Feedstock Conversion Rates'!$B$7</f>
        <v>487.87949531901455</v>
      </c>
      <c r="GO347" s="102">
        <f>$GG347*EG347*'Feedstock Conversion Rates'!$B$8</f>
        <v>106.4166513676378</v>
      </c>
      <c r="GP347" s="102">
        <f>$GG347*EH347*'Feedstock Conversion Rates'!B$9</f>
        <v>3.9999147688661321</v>
      </c>
      <c r="GQ347" s="102">
        <f t="shared" si="356"/>
        <v>3786.8574992046988</v>
      </c>
      <c r="GR347" s="85">
        <f t="shared" si="371"/>
        <v>7.9590358347341654</v>
      </c>
      <c r="GT347" s="103">
        <f t="shared" si="333"/>
        <v>3.3395859053767546E-2</v>
      </c>
      <c r="GU347" s="103">
        <f t="shared" si="334"/>
        <v>9.8819839021916628E-2</v>
      </c>
      <c r="GV347" s="103">
        <f t="shared" si="335"/>
        <v>0.5572363446302312</v>
      </c>
      <c r="GW347" s="103">
        <f t="shared" si="331"/>
        <v>6.5781519797937088E-2</v>
      </c>
      <c r="GX347" s="103">
        <f t="shared" si="331"/>
        <v>8.6773679231235121E-2</v>
      </c>
      <c r="GY347" s="103">
        <f t="shared" si="331"/>
        <v>0.12883492326328019</v>
      </c>
      <c r="GZ347" s="103">
        <f t="shared" si="331"/>
        <v>2.8101572712991445E-2</v>
      </c>
      <c r="HA347" s="103">
        <f t="shared" si="331"/>
        <v>1.0562622886406943E-3</v>
      </c>
    </row>
    <row r="348" spans="1:209" x14ac:dyDescent="0.25">
      <c r="A348" s="96">
        <v>51014</v>
      </c>
      <c r="B348" s="104">
        <f t="shared" si="362"/>
        <v>104.25</v>
      </c>
      <c r="C348" s="104">
        <f t="shared" si="314"/>
        <v>49</v>
      </c>
      <c r="D348" s="104">
        <f t="shared" si="363"/>
        <v>2</v>
      </c>
      <c r="E348" s="104">
        <f>('Renewable Diesel'!B357*E$3*'Feedstock Conversion Rates'!$B$2)/12+26+13-100+27.5+39</f>
        <v>95.43</v>
      </c>
      <c r="F348" s="104">
        <f>('Renewable Diesel'!B357*'RD Feedstock Breakdown'!F$3*'Feedstock Conversion Rates'!B$8)/12+77+23-10-12-115.75+24+8</f>
        <v>48.15625</v>
      </c>
      <c r="G348" s="104">
        <f>('Renewable Diesel'!B357*'RD Feedstock Breakdown'!G$3*'Feedstock Conversion Rates'!B$7)/12+116.75-39-57.5-145-31.5+32+70-40+10+25</f>
        <v>116.90700000000004</v>
      </c>
      <c r="H348" s="104">
        <f>('Renewable Diesel'!B357*'RD Feedstock Breakdown'!H$3*'Feedstock Conversion Rates'!B$3)/12+67+10+12+3-235+20+47-20</f>
        <v>80.400224999999978</v>
      </c>
      <c r="I348" s="106">
        <f t="shared" si="370"/>
        <v>496.14347500000002</v>
      </c>
      <c r="J348" s="104">
        <f t="shared" si="332"/>
        <v>4</v>
      </c>
      <c r="K348" s="104"/>
      <c r="L348" s="104">
        <v>1</v>
      </c>
      <c r="M348" s="104">
        <f>('Renewable Diesel'!C357*'RD Feedstock Breakdown'!M$3*'Feedstock Conversion Rates'!B$2)/12</f>
        <v>7.7902500000000003</v>
      </c>
      <c r="N348" s="104">
        <f>('Renewable Diesel'!C357*'RD Feedstock Breakdown'!N$3*'Feedstock Conversion Rates'!B$8)/12</f>
        <v>3.671875</v>
      </c>
      <c r="O348" s="104">
        <f>('Renewable Diesel'!C357*'RD Feedstock Breakdown'!O$3*'Feedstock Conversion Rates'!B$7)/12</f>
        <v>11.9991</v>
      </c>
      <c r="P348" s="104">
        <f>('Renewable Diesel'!C357*'RD Feedstock Breakdown'!P$3*'Feedstock Conversion Rates'!B$3)/12</f>
        <v>10.4470425</v>
      </c>
      <c r="Q348" s="106">
        <f t="shared" si="299"/>
        <v>38.908267500000001</v>
      </c>
      <c r="R348" s="104">
        <f>('Renewable Diesel'!D357*'RD Feedstock Breakdown'!R$3*'Feedstock Conversion Rates'!B$7)/12</f>
        <v>2.2999999999999998</v>
      </c>
      <c r="S348" s="106">
        <f t="shared" si="329"/>
        <v>2.2999999999999998</v>
      </c>
      <c r="T348" s="104">
        <f t="shared" si="300"/>
        <v>0.82499999999999929</v>
      </c>
      <c r="U348" s="104"/>
      <c r="V348" s="104">
        <f>('Renewable Diesel'!E357*'RD Feedstock Breakdown'!V$3*'Feedstock Conversion Rates'!B$6)/12-20+25</f>
        <v>49.250150000000012</v>
      </c>
      <c r="W348" s="104">
        <f>('Renewable Diesel'!E357*'RD Feedstock Breakdown'!W$3*'Feedstock Conversion Rates'!B$8)/12-6</f>
        <v>16.1796875</v>
      </c>
      <c r="X348" s="106">
        <f t="shared" si="357"/>
        <v>66.254837500000008</v>
      </c>
      <c r="Y348" s="104">
        <f t="shared" si="301"/>
        <v>98</v>
      </c>
      <c r="Z348" s="104">
        <f>('Renewable Diesel'!F357*'RD Feedstock Breakdown'!Z$3*'Feedstock Conversion Rates'!B$6)/12-142+15+5+20+5+15</f>
        <v>77.460000000000008</v>
      </c>
      <c r="AA348" s="104">
        <f>('Renewable Diesel'!F357*'RD Feedstock Breakdown'!AA$3*'Feedstock Conversion Rates'!B$7)/12+24</f>
        <v>128.26666666666665</v>
      </c>
      <c r="AB348" s="106">
        <f t="shared" si="320"/>
        <v>303.72666666666669</v>
      </c>
      <c r="AC348" s="104">
        <f>('Renewable Diesel'!G357*'RD Feedstock Breakdown'!AC$3*'Feedstock Conversion Rates'!B$5)/12</f>
        <v>11.796875</v>
      </c>
      <c r="AD348" s="104">
        <f>('Renewable Diesel'!G357*'RD Feedstock Breakdown'!AD$3*'Feedstock Conversion Rates'!B$4)/12</f>
        <v>5.859375</v>
      </c>
      <c r="AE348" s="104">
        <f>('Renewable Diesel'!G357*'RD Feedstock Breakdown'!AE$3*'Feedstock Conversion Rates'!B$6)/12</f>
        <v>7.3281250000000009</v>
      </c>
      <c r="AF348" s="106">
        <f t="shared" si="366"/>
        <v>24.984375</v>
      </c>
      <c r="AG348" s="104">
        <f t="shared" si="306"/>
        <v>148</v>
      </c>
      <c r="AH348" s="104"/>
      <c r="AI348" s="104">
        <f>('Renewable Diesel'!H357*'RD Feedstock Breakdown'!AI$3*'Feedstock Conversion Rates'!B$6)/12-130-20+51-49</f>
        <v>0.51666666666667993</v>
      </c>
      <c r="AJ348" s="106">
        <f t="shared" si="328"/>
        <v>148.51666666666668</v>
      </c>
      <c r="AK348" s="104">
        <f>('Renewable Diesel'!J357*'RD Feedstock Breakdown'!AK$3*'Feedstock Conversion Rates'!B$4)/12</f>
        <v>95.8125</v>
      </c>
      <c r="AL348" s="106">
        <f t="shared" si="330"/>
        <v>95.8125</v>
      </c>
      <c r="AM348" s="104">
        <f>('Renewable Diesel'!K357*'RD Feedstock Breakdown'!AM$3*'Feedstock Conversion Rates'!B$4)/12+5+15-10+10</f>
        <v>78.59375</v>
      </c>
      <c r="AN348" s="104">
        <f>('Renewable Diesel'!K357*'RD Feedstock Breakdown'!AN$3*'Feedstock Conversion Rates'!B$6)/12-5-15+10-10</f>
        <v>4.4270833333333321</v>
      </c>
      <c r="AO348" s="106">
        <f t="shared" si="350"/>
        <v>83.020833333333329</v>
      </c>
      <c r="AP348" s="104">
        <f>('Renewable Diesel'!L357*'RD Feedstock Breakdown'!AP$3*'Feedstock Conversion Rates'!B$4)/12+15-10+15</f>
        <v>78.59375</v>
      </c>
      <c r="AQ348" s="104">
        <f>('Renewable Diesel'!L357*'RD Feedstock Breakdown'!AQ$3*'Feedstock Conversion Rates'!B$6)/12-15+10-15</f>
        <v>4.4270833333333321</v>
      </c>
      <c r="AR348" s="106">
        <f t="shared" si="339"/>
        <v>83.020833333333329</v>
      </c>
      <c r="AS348" s="104">
        <f>('Renewable Diesel'!M357*'RD Feedstock Breakdown'!AS$3*'Feedstock Conversion Rates'!B$4)/12</f>
        <v>456.25</v>
      </c>
      <c r="AT348" s="104">
        <f>('Renewable Diesel'!M357*'RD Feedstock Breakdown'!AT$3*'Feedstock Conversion Rates'!B$5)/12</f>
        <v>0</v>
      </c>
      <c r="AU348" s="106">
        <f t="shared" si="369"/>
        <v>456.25</v>
      </c>
      <c r="AV348" s="104">
        <f>'Renewable Diesel'!N357*'RD Feedstock Breakdown'!$AV$3*'Feedstock Conversion Rates'!$B$4/12-15-10+25+25-22+25</f>
        <v>106.74999999999999</v>
      </c>
      <c r="AW348" s="104">
        <f>'Renewable Diesel'!N357*'RD Feedstock Breakdown'!$AW$3*'Feedstock Conversion Rates'!$B$7/12+15+10-25-25+22-25</f>
        <v>13.400000000000006</v>
      </c>
      <c r="AX348" s="106">
        <f t="shared" si="322"/>
        <v>120.14999999999999</v>
      </c>
      <c r="AY348" s="104">
        <f>('Renewable Diesel'!O357*'RD Feedstock Breakdown'!AY$3*'Feedstock Conversion Rates'!B$4)/12</f>
        <v>210.9375</v>
      </c>
      <c r="AZ348" s="104">
        <f>('Renewable Diesel'!O357*'RD Feedstock Breakdown'!AZ$3*'Feedstock Conversion Rates'!B$3)/12</f>
        <v>25.03125</v>
      </c>
      <c r="BA348" s="106">
        <f t="shared" si="302"/>
        <v>235.96875</v>
      </c>
      <c r="BB348" s="104">
        <f>('Renewable Diesel'!Q357*'RD Feedstock Breakdown'!BB$3*'Feedstock Conversion Rates'!B$4)/12</f>
        <v>11.156249999999998</v>
      </c>
      <c r="BC348" s="104">
        <f>('Renewable Diesel'!Q357*'RD Feedstock Breakdown'!BC$3*'Feedstock Conversion Rates'!B$3)/12</f>
        <v>1.4017500000000001</v>
      </c>
      <c r="BD348" s="104">
        <f>('Renewable Diesel'!Q357*'RD Feedstock Breakdown'!BD$3*'Feedstock Conversion Rates'!B$6)/12</f>
        <v>0.8207500000000002</v>
      </c>
      <c r="BE348" s="106">
        <f t="shared" si="359"/>
        <v>13.378749999999998</v>
      </c>
      <c r="BF348" s="104">
        <f>('Renewable Diesel'!R357*'RD Feedstock Breakdown'!BF$3*'Feedstock Conversion Rates'!B$4)/12</f>
        <v>62.5</v>
      </c>
      <c r="BG348" s="106">
        <f t="shared" si="344"/>
        <v>62.5</v>
      </c>
      <c r="BH348" s="104">
        <f>('Renewable Diesel'!T357*'RD Feedstock Breakdown'!BH$3*'Feedstock Conversion Rates'!B$7)/12</f>
        <v>27.599999999999998</v>
      </c>
      <c r="BI348" s="106">
        <f t="shared" si="327"/>
        <v>27.599999999999998</v>
      </c>
      <c r="BJ348" s="104">
        <f>('Renewable Diesel'!W357*'RD Feedstock Breakdown'!BJ$3*'Feedstock Conversion Rates'!B$4)/12</f>
        <v>7.5</v>
      </c>
      <c r="BK348" s="104">
        <f>('Renewable Diesel'!W357*'RD Feedstock Breakdown'!BK$3*'Feedstock Conversion Rates'!B$3)/12</f>
        <v>1.335</v>
      </c>
      <c r="BL348" s="104">
        <f>('Renewable Diesel'!W357*'RD Feedstock Breakdown'!BL$3*'Feedstock Conversion Rates'!B$6)/12</f>
        <v>3.1266666666666669</v>
      </c>
      <c r="BM348" s="104">
        <f>('Renewable Diesel'!W357*'RD Feedstock Breakdown'!BM$3*'Feedstock Conversion Rates'!B$7)/12</f>
        <v>1.5333333333333332</v>
      </c>
      <c r="BN348" s="106">
        <f t="shared" si="374"/>
        <v>13.495000000000001</v>
      </c>
      <c r="BO348" s="104">
        <f>('Renewable Diesel'!P357*'Feedstock Conversion Rates'!B$4)/12</f>
        <v>31.25</v>
      </c>
      <c r="BP348" s="106">
        <f t="shared" si="367"/>
        <v>31.25</v>
      </c>
      <c r="BQ348" s="104">
        <f>('Renewable Diesel'!$S357*'RD Feedstock Breakdown'!BQ$3*'Feedstock Conversion Rates'!B$4)/12+10+15-15</f>
        <v>38.125</v>
      </c>
      <c r="BR348" s="104">
        <f>('Renewable Diesel'!$S357*'RD Feedstock Breakdown'!BR$3*'Feedstock Conversion Rates'!B$7)/12-10-15+15</f>
        <v>1.5</v>
      </c>
      <c r="BS348" s="106">
        <f t="shared" si="307"/>
        <v>39.625</v>
      </c>
      <c r="BT348" s="106"/>
      <c r="BU348" s="104">
        <f>('Renewable Diesel'!Y357*'Feedstock Conversion Rates'!B$7)/12</f>
        <v>2.6833333333333331</v>
      </c>
      <c r="BV348" s="106">
        <f t="shared" si="361"/>
        <v>2.6833333333333331</v>
      </c>
      <c r="BW348" s="104">
        <f>('Renewable Diesel'!$Z357*'RD Feedstock Breakdown'!BW$3*'Feedstock Conversion Rates'!$B$4)/12-180+110</f>
        <v>1.875</v>
      </c>
      <c r="BX348" s="104">
        <f>('Renewable Diesel'!$Z357*'RD Feedstock Breakdown'!BX$3*'Feedstock Conversion Rates'!$B$5)/12</f>
        <v>7.2354166666666666</v>
      </c>
      <c r="BY348" s="104">
        <f>('Renewable Diesel'!$Z357*'RD Feedstock Breakdown'!BY$3*'Feedstock Conversion Rates'!$B$7)/12</f>
        <v>61.716666666666661</v>
      </c>
      <c r="BZ348" s="104">
        <f>('Renewable Diesel'!$Z357*'RD Feedstock Breakdown'!BZ$3*'Feedstock Conversion Rates'!$B$3)/12+180-110</f>
        <v>85.352499999999992</v>
      </c>
      <c r="CA348" s="106">
        <f t="shared" si="312"/>
        <v>156.17958333333331</v>
      </c>
      <c r="CB348" s="104">
        <f>('Renewable Diesel'!AA357*'Feedstock Conversion Rates'!B$4)/12</f>
        <v>191.25</v>
      </c>
      <c r="CC348" s="106">
        <f t="shared" ref="CC348:CC411" si="376">CB348</f>
        <v>191.25</v>
      </c>
      <c r="CD348" s="104">
        <f>('Renewable Diesel'!$AB357*'RD Feedstock Breakdown'!CD$3*'Feedstock Conversion Rates'!$B$6)/12-15-5</f>
        <v>12.830000000000005</v>
      </c>
      <c r="CE348" s="104">
        <f>('Renewable Diesel'!$AB357*'RD Feedstock Breakdown'!CE$3*'Feedstock Conversion Rates'!$B$4)/12+15+5</f>
        <v>31.25</v>
      </c>
      <c r="CF348" s="106">
        <f t="shared" si="372"/>
        <v>44.080000000000005</v>
      </c>
      <c r="CG348" s="104">
        <f>('Renewable Diesel'!AD357*'Feedstock Conversion Rates'!B$4)/12</f>
        <v>112.5</v>
      </c>
      <c r="CH348" s="106">
        <f t="shared" si="358"/>
        <v>112.5</v>
      </c>
      <c r="CI348" s="104">
        <f>('Renewable Diesel'!$AE357*'RD Feedstock Breakdown'!CI$3*'Feedstock Conversion Rates'!$B$5)/12</f>
        <v>0.34604166666666664</v>
      </c>
      <c r="CJ348" s="104">
        <f>('Renewable Diesel'!$AE357*'RD Feedstock Breakdown'!CJ$3*'Feedstock Conversion Rates'!$B$4)/12</f>
        <v>0.34375</v>
      </c>
      <c r="CK348" s="106">
        <f t="shared" si="368"/>
        <v>0.68979166666666658</v>
      </c>
      <c r="CL348" s="104">
        <f>(((CL$3*'Renewable Diesel'!$AF357)*'Feedstock Conversion Rates'!$B$3)/12)</f>
        <v>91.78125</v>
      </c>
      <c r="CM348" s="104">
        <f>(((CM$3*'Renewable Diesel'!$AF357)*'Feedstock Conversion Rates'!$B$6)/12)</f>
        <v>53.739583333333336</v>
      </c>
      <c r="CN348" s="104">
        <f>(((CN$3*'Renewable Diesel'!$AF357)*'Feedstock Conversion Rates'!$B$4)/12)</f>
        <v>42.96875</v>
      </c>
      <c r="CO348" s="106">
        <f t="shared" si="360"/>
        <v>188.48958333333334</v>
      </c>
      <c r="CP348" s="104">
        <f>('Renewable Diesel'!$AG357*'RD Feedstock Breakdown'!CP$3*'Feedstock Conversion Rates'!$B$3)/12</f>
        <v>6.0075000000000003</v>
      </c>
      <c r="CQ348" s="104">
        <f>('Renewable Diesel'!$AG357*'RD Feedstock Breakdown'!CQ$3*'Feedstock Conversion Rates'!$B$6)/12</f>
        <v>3.5175000000000001</v>
      </c>
      <c r="CR348" s="104">
        <f>('Renewable Diesel'!$AG357*'RD Feedstock Breakdown'!CR$3*'Feedstock Conversion Rates'!$B$4)/12</f>
        <v>2.8125</v>
      </c>
      <c r="CS348" s="106">
        <f t="shared" si="317"/>
        <v>12.3375</v>
      </c>
      <c r="CT348" s="104">
        <f>('Renewable Diesel'!AI357*'Feedstock Conversion Rates'!$B$4*'RD Feedstock Breakdown'!$CT$3)/12</f>
        <v>29.375</v>
      </c>
      <c r="CU348" s="106">
        <f t="shared" si="364"/>
        <v>29.375</v>
      </c>
      <c r="CV348" s="104">
        <f>('Renewable Diesel'!AN357*'Feedstock Conversion Rates'!$B$3*'RD Feedstock Breakdown'!$CV$3)/12</f>
        <v>0.50062499999999999</v>
      </c>
      <c r="CW348" s="106">
        <f t="shared" si="338"/>
        <v>0.50062499999999999</v>
      </c>
      <c r="CX348" s="104">
        <f>('Renewable Diesel'!AO357*'RD Feedstock Breakdown'!$CX$3*'Feedstock Conversion Rates'!$B$3)/12</f>
        <v>6.3412499999999996</v>
      </c>
      <c r="CY348" s="104">
        <f>('Renewable Diesel'!AO357*'RD Feedstock Breakdown'!$CY$3*'Feedstock Conversion Rates'!$B$6)/12</f>
        <v>7.4258333333333342</v>
      </c>
      <c r="CZ348" s="106">
        <f t="shared" si="318"/>
        <v>13.767083333333334</v>
      </c>
      <c r="DA348" s="104">
        <f>('Renewable Diesel'!$AP357*'RD Feedstock Breakdown'!DA$3*'Feedstock Conversion Rates'!$B$3)/12</f>
        <v>6.3412499999999996</v>
      </c>
      <c r="DB348" s="104">
        <f>('Renewable Diesel'!$AP357*'RD Feedstock Breakdown'!DB$3*'Feedstock Conversion Rates'!$B$8)/12</f>
        <v>7.421875</v>
      </c>
      <c r="DC348" s="106">
        <f t="shared" si="342"/>
        <v>13.763124999999999</v>
      </c>
      <c r="DD348" s="104">
        <f>('Renewable Diesel'!AQ357*$DD$3*'Feedstock Conversion Rates'!$B$14)/12</f>
        <v>3.1041666666666665</v>
      </c>
      <c r="DE348" s="106">
        <f t="shared" si="343"/>
        <v>3.1041666666666665</v>
      </c>
      <c r="DF348" s="104">
        <f>('Renewable Diesel'!AR357*'Feedstock Conversion Rates'!$B$4*$DF$3)/12</f>
        <v>75</v>
      </c>
      <c r="DG348" s="106">
        <f t="shared" si="319"/>
        <v>75</v>
      </c>
      <c r="DH348" s="104">
        <f>('Renewable Diesel'!AS357*'Feedstock Conversion Rates'!$B$4*$DH$3)/12</f>
        <v>75</v>
      </c>
      <c r="DI348" s="106">
        <f t="shared" si="323"/>
        <v>75</v>
      </c>
      <c r="DJ348" s="104">
        <f>('Renewable Diesel'!AT357*'Feedstock Conversion Rates'!$B$4*0.25)/12</f>
        <v>8.59375</v>
      </c>
      <c r="DK348" s="104">
        <f>('Renewable Diesel'!$AT357*'RD Feedstock Breakdown'!DK$3*'Feedstock Conversion Rates'!$B$3)/12*0.5</f>
        <v>9.1781249999999996</v>
      </c>
      <c r="DL348" s="104">
        <f>('Renewable Diesel'!$AT357*'RD Feedstock Breakdown'!$DL$3*'Feedstock Conversion Rates'!$B$6)/12</f>
        <v>10.747916666666669</v>
      </c>
      <c r="DM348" s="104">
        <f>('Renewable Diesel'!$AT357*'RD Feedstock Breakdown'!$DM$3*'Feedstock Conversion Rates'!$B$8)/12</f>
        <v>10.7421875</v>
      </c>
      <c r="DN348" s="106">
        <f t="shared" si="375"/>
        <v>39.26197916666667</v>
      </c>
      <c r="DP348" s="104">
        <f t="shared" si="345"/>
        <v>103.22025000000001</v>
      </c>
      <c r="DQ348" s="104">
        <f t="shared" si="346"/>
        <v>324.11776750000001</v>
      </c>
      <c r="DR348" s="104">
        <f t="shared" si="351"/>
        <v>1951.953125</v>
      </c>
      <c r="DS348" s="104">
        <f t="shared" si="365"/>
        <v>228.90125</v>
      </c>
      <c r="DT348" s="104">
        <f t="shared" si="347"/>
        <v>243.03923333333344</v>
      </c>
      <c r="DU348" s="104">
        <f t="shared" si="348"/>
        <v>367.90610000000009</v>
      </c>
      <c r="DV348" s="104">
        <f t="shared" si="352"/>
        <v>78.75</v>
      </c>
      <c r="DW348" s="104">
        <f t="shared" si="349"/>
        <v>3</v>
      </c>
      <c r="DX348" s="106">
        <f t="shared" si="353"/>
        <v>3300.8877258333337</v>
      </c>
      <c r="DY348" s="109">
        <f t="shared" si="340"/>
        <v>-5.631051180898794E-13</v>
      </c>
      <c r="EA348" s="110">
        <f t="shared" si="313"/>
        <v>3.1270451640078516E-2</v>
      </c>
      <c r="EB348" s="110">
        <f t="shared" si="313"/>
        <v>9.8191091130848465E-2</v>
      </c>
      <c r="EC348" s="110">
        <f t="shared" si="313"/>
        <v>0.59134187137710503</v>
      </c>
      <c r="ED348" s="110">
        <f t="shared" si="308"/>
        <v>6.9345360706629972E-2</v>
      </c>
      <c r="EE348" s="110">
        <f t="shared" si="308"/>
        <v>7.3628445896921982E-2</v>
      </c>
      <c r="EF348" s="110">
        <f t="shared" si="308"/>
        <v>0.11145671424105147</v>
      </c>
      <c r="EG348" s="110">
        <f t="shared" si="308"/>
        <v>2.3857218585075921E-2</v>
      </c>
      <c r="EH348" s="111">
        <f t="shared" si="354"/>
        <v>9.0884642228860647E-4</v>
      </c>
      <c r="EI348" s="110">
        <f t="shared" si="321"/>
        <v>0.99909115357771128</v>
      </c>
      <c r="EK348" s="132">
        <f>(EA348*'Renewable Diesel'!BF357*'Feedstock Conversion Rates'!B$2)+FB348</f>
        <v>608.09821928268968</v>
      </c>
      <c r="EL348" s="132">
        <f>(EB348*'Renewable Diesel'!BF357*'Feedstock Conversion Rates'!B$3)+FC348</f>
        <v>1799.389799863533</v>
      </c>
      <c r="EM348" s="132">
        <f>(EC348*'Renewable Diesel'!BF357*'Feedstock Conversion Rates'!B$4)+FD348</f>
        <v>10146.600162124319</v>
      </c>
      <c r="EN348" s="132">
        <f>(ED348*'Renewable Diesel'!BF357*'Feedstock Conversion Rates'!B$5)+FE348</f>
        <v>1197.8019486317648</v>
      </c>
      <c r="EO348" s="132">
        <f>(EE348*'Renewable Diesel'!BF357*'Feedstock Conversion Rates'!B$6)+FF348</f>
        <v>1580.043793338758</v>
      </c>
      <c r="EP348" s="132">
        <f>(EF348*'Renewable Diesel'!BF357*'Feedstock Conversion Rates'!B$7)+FG348</f>
        <v>2345.9281970165175</v>
      </c>
      <c r="EQ348" s="132">
        <f>(EG348*'Renewable Diesel'!BF357*'Feedstock Conversion Rates'!B$8)+FH348</f>
        <v>511.69566557040793</v>
      </c>
      <c r="ER348" s="132">
        <f>(EH348*'Renewable Diesel'!BF357*'Feedstock Conversion Rates'!B$9)+FI348</f>
        <v>19.233259302709936</v>
      </c>
      <c r="ES348" s="132">
        <f t="shared" si="355"/>
        <v>18208.7910451307</v>
      </c>
      <c r="ET348" s="133">
        <f>ES348/'Renewable Diesel'!BF357</f>
        <v>17.729588280058028</v>
      </c>
      <c r="EW348" s="73">
        <f t="shared" si="309"/>
        <v>17596.159006242335</v>
      </c>
      <c r="EX348" s="73">
        <f t="shared" si="310"/>
        <v>10647.267082980356</v>
      </c>
      <c r="EY348" s="92">
        <f t="shared" si="341"/>
        <v>0.96635515024748486</v>
      </c>
      <c r="EZ348" s="92">
        <f t="shared" si="341"/>
        <v>0.58473223491834136</v>
      </c>
      <c r="FB348" s="102">
        <f>IF('Renewable Diesel'!$BG357&lt;1,0,(((('Renewable Diesel'!$BG357-1)*'Renewable Diesel'!$BF357)*'RD Feedstock Breakdown'!EA348)*'Feedstock Conversion Rates'!$B$2))</f>
        <v>335.11525758849285</v>
      </c>
      <c r="FC348" s="102">
        <f>IF('Renewable Diesel'!$BG357&lt;1,0,(((('Renewable Diesel'!$BG357-1)*'Renewable Diesel'!$BF357)*'RD Feedstock Breakdown'!EB348)*'Feedstock Conversion Rates'!$B$3))</f>
        <v>991.62101970085439</v>
      </c>
      <c r="FD348" s="102">
        <f>IF('Renewable Diesel'!$BG357&lt;1,0,(((('Renewable Diesel'!$BG357-1)*'Renewable Diesel'!$BF357)*'RD Feedstock Breakdown'!EC348)*'Feedstock Conversion Rates'!$B$4))</f>
        <v>5591.6633516682432</v>
      </c>
      <c r="FE348" s="102">
        <f>IF('Renewable Diesel'!$BG357&lt;1,0,(((('Renewable Diesel'!$BG357-1)*'Renewable Diesel'!$BF357)*'RD Feedstock Breakdown'!ED348)*'Feedstock Conversion Rates'!$B$5))</f>
        <v>660.09354381801086</v>
      </c>
      <c r="FF348" s="102">
        <f>IF('Renewable Diesel'!$BG357&lt;1,0,(((('Renewable Diesel'!$BG357-1)*'Renewable Diesel'!$BF357)*'RD Feedstock Breakdown'!EE348)*'Feedstock Conversion Rates'!$B$6))</f>
        <v>870.74220251854979</v>
      </c>
      <c r="FG348" s="102">
        <f>IF('Renewable Diesel'!$BG357&lt;1,0,(((('Renewable Diesel'!$BG357-1)*'Renewable Diesel'!$BF357)*'RD Feedstock Breakdown'!EF348)*'Feedstock Conversion Rates'!$B$7))</f>
        <v>1292.8114358806147</v>
      </c>
      <c r="FH348" s="102">
        <f>IF('Renewable Diesel'!$BG357&lt;1,0,(((('Renewable Diesel'!$BG357-1)*'Renewable Diesel'!$BF357)*'RD Feedstock Breakdown'!EG348)*'Feedstock Conversion Rates'!$B$8))</f>
        <v>281.98902633988337</v>
      </c>
      <c r="FI348" s="102">
        <f>IF('Renewable Diesel'!$BG357&lt;1,0,(((('Renewable Diesel'!$BG357-1)*'Renewable Diesel'!$BF357)*'RD Feedstock Breakdown'!EH348)*'Feedstock Conversion Rates'!$B$9))</f>
        <v>10.599206577346727</v>
      </c>
      <c r="FJ348" s="102">
        <f t="shared" si="311"/>
        <v>10034.635044091994</v>
      </c>
      <c r="GD348" s="91">
        <f>'Renewable Diesel'!BB357*0.32</f>
        <v>0</v>
      </c>
      <c r="GE348" s="91">
        <f>'Renewable Diesel'!BC357</f>
        <v>578.68338278706324</v>
      </c>
      <c r="GF348" s="91">
        <f>'Renewable Diesel'!BD357</f>
        <v>0</v>
      </c>
      <c r="GG348" s="91">
        <f t="shared" si="373"/>
        <v>578.68338278706324</v>
      </c>
      <c r="GH348" s="124">
        <v>1</v>
      </c>
      <c r="GI348" s="102">
        <f>$GG348*EA348*'Feedstock Conversion Rates'!$B$2</f>
        <v>153.81337125905921</v>
      </c>
      <c r="GJ348" s="102">
        <f>$GG348*EB348*'Feedstock Conversion Rates'!$B$3</f>
        <v>455.14063772896907</v>
      </c>
      <c r="GK348" s="102">
        <f>$GG348*EC348*'Feedstock Conversion Rates'!$B$4</f>
        <v>2566.4978588410168</v>
      </c>
      <c r="GL348" s="102">
        <f>$GG348*ED348*'Feedstock Conversion Rates'!$B$5</f>
        <v>302.97400975297802</v>
      </c>
      <c r="GM348" s="102">
        <f>$GG348*EE348*'Feedstock Conversion Rates'!$B$6</f>
        <v>399.65889536244003</v>
      </c>
      <c r="GN348" s="102">
        <f>$GG348*EF348*'Feedstock Conversion Rates'!$B$7</f>
        <v>593.38296556835292</v>
      </c>
      <c r="GO348" s="102">
        <f>$GG348*EG348*'Feedstock Conversion Rates'!$B$8</f>
        <v>129.42914957533245</v>
      </c>
      <c r="GP348" s="102">
        <f>$GG348*EH348*'Feedstock Conversion Rates'!B$9</f>
        <v>4.864892479275988</v>
      </c>
      <c r="GQ348" s="102">
        <f t="shared" si="356"/>
        <v>4605.7617805674245</v>
      </c>
      <c r="GR348" s="85">
        <f t="shared" si="371"/>
        <v>7.9590358347341654</v>
      </c>
      <c r="GT348" s="103">
        <f t="shared" si="333"/>
        <v>3.339585905376756E-2</v>
      </c>
      <c r="GU348" s="103">
        <f t="shared" si="334"/>
        <v>9.8819839021916642E-2</v>
      </c>
      <c r="GV348" s="103">
        <f t="shared" si="335"/>
        <v>0.55723634463023131</v>
      </c>
      <c r="GW348" s="103">
        <f t="shared" si="331"/>
        <v>6.5781519797937088E-2</v>
      </c>
      <c r="GX348" s="103">
        <f t="shared" si="331"/>
        <v>8.6773679231235121E-2</v>
      </c>
      <c r="GY348" s="103">
        <f t="shared" si="331"/>
        <v>0.12883492326328019</v>
      </c>
      <c r="GZ348" s="103">
        <f t="shared" si="331"/>
        <v>2.8101572712991445E-2</v>
      </c>
      <c r="HA348" s="103">
        <f t="shared" si="331"/>
        <v>1.0562622886406945E-3</v>
      </c>
    </row>
    <row r="349" spans="1:209" x14ac:dyDescent="0.25">
      <c r="A349" s="96">
        <v>51044</v>
      </c>
      <c r="B349" s="104">
        <f>115.75+145+100+235+31.5-21-287-20-28-32-70-39-47+40+20-3-10-60-1</f>
        <v>69.25</v>
      </c>
      <c r="C349" s="104">
        <f t="shared" si="314"/>
        <v>49</v>
      </c>
      <c r="D349" s="104">
        <f>1+1</f>
        <v>2</v>
      </c>
      <c r="E349" s="104">
        <f>('Renewable Diesel'!B358*E$3*'Feedstock Conversion Rates'!$B$2)/12+26+13-100+27.5+39</f>
        <v>95.43</v>
      </c>
      <c r="F349" s="104">
        <f>('Renewable Diesel'!B358*'RD Feedstock Breakdown'!F$3*'Feedstock Conversion Rates'!B$8)/12+77+23-10-12-115.75+24+8</f>
        <v>48.15625</v>
      </c>
      <c r="G349" s="104">
        <f>('Renewable Diesel'!B358*'RD Feedstock Breakdown'!G$3*'Feedstock Conversion Rates'!B$7)/12+116.75-39-57.5-145-31.5+32+70-40+10+60</f>
        <v>151.90700000000004</v>
      </c>
      <c r="H349" s="104">
        <f>('Renewable Diesel'!B358*'RD Feedstock Breakdown'!H$3*'Feedstock Conversion Rates'!B$3)/12+67+10+12+3-235+20+47-20</f>
        <v>80.400224999999978</v>
      </c>
      <c r="I349" s="106">
        <f t="shared" si="370"/>
        <v>496.14347500000002</v>
      </c>
      <c r="J349" s="104">
        <f t="shared" si="332"/>
        <v>4</v>
      </c>
      <c r="K349" s="104"/>
      <c r="L349" s="104">
        <v>1</v>
      </c>
      <c r="M349" s="104">
        <f>('Renewable Diesel'!C358*'RD Feedstock Breakdown'!M$3*'Feedstock Conversion Rates'!B$2)/12</f>
        <v>7.7902500000000003</v>
      </c>
      <c r="N349" s="104">
        <f>('Renewable Diesel'!C358*'RD Feedstock Breakdown'!N$3*'Feedstock Conversion Rates'!B$8)/12</f>
        <v>3.671875</v>
      </c>
      <c r="O349" s="104">
        <f>('Renewable Diesel'!C358*'RD Feedstock Breakdown'!O$3*'Feedstock Conversion Rates'!B$7)/12</f>
        <v>11.9991</v>
      </c>
      <c r="P349" s="104">
        <f>('Renewable Diesel'!C358*'RD Feedstock Breakdown'!P$3*'Feedstock Conversion Rates'!B$3)/12</f>
        <v>10.4470425</v>
      </c>
      <c r="Q349" s="106">
        <f t="shared" si="299"/>
        <v>38.908267500000001</v>
      </c>
      <c r="R349" s="104">
        <f>('Renewable Diesel'!D358*'RD Feedstock Breakdown'!R$3*'Feedstock Conversion Rates'!B$7)/12</f>
        <v>2.2999999999999998</v>
      </c>
      <c r="S349" s="106">
        <f t="shared" si="329"/>
        <v>2.2999999999999998</v>
      </c>
      <c r="T349" s="104">
        <f t="shared" si="300"/>
        <v>0.82499999999999929</v>
      </c>
      <c r="U349" s="104"/>
      <c r="V349" s="104">
        <f>('Renewable Diesel'!E358*'RD Feedstock Breakdown'!V$3*'Feedstock Conversion Rates'!B$6)/12-20+25</f>
        <v>49.250150000000012</v>
      </c>
      <c r="W349" s="104">
        <f>('Renewable Diesel'!E358*'RD Feedstock Breakdown'!W$3*'Feedstock Conversion Rates'!B$8)/12-6</f>
        <v>16.1796875</v>
      </c>
      <c r="X349" s="106">
        <f t="shared" si="357"/>
        <v>66.254837500000008</v>
      </c>
      <c r="Y349" s="104">
        <f t="shared" si="301"/>
        <v>98</v>
      </c>
      <c r="Z349" s="104">
        <f>('Renewable Diesel'!F358*'RD Feedstock Breakdown'!Z$3*'Feedstock Conversion Rates'!B$6)/12-142+15+5+20+5+15</f>
        <v>77.460000000000008</v>
      </c>
      <c r="AA349" s="104">
        <f>('Renewable Diesel'!F358*'RD Feedstock Breakdown'!AA$3*'Feedstock Conversion Rates'!B$7)/12+24</f>
        <v>128.26666666666665</v>
      </c>
      <c r="AB349" s="106">
        <f t="shared" si="320"/>
        <v>303.72666666666669</v>
      </c>
      <c r="AC349" s="104">
        <f>('Renewable Diesel'!G358*'RD Feedstock Breakdown'!AC$3*'Feedstock Conversion Rates'!B$5)/12</f>
        <v>11.796875</v>
      </c>
      <c r="AD349" s="104">
        <f>('Renewable Diesel'!G358*'RD Feedstock Breakdown'!AD$3*'Feedstock Conversion Rates'!B$4)/12</f>
        <v>5.859375</v>
      </c>
      <c r="AE349" s="104">
        <f>('Renewable Diesel'!G358*'RD Feedstock Breakdown'!AE$3*'Feedstock Conversion Rates'!B$6)/12</f>
        <v>7.3281250000000009</v>
      </c>
      <c r="AF349" s="106">
        <f t="shared" si="366"/>
        <v>24.984375</v>
      </c>
      <c r="AG349" s="104">
        <f t="shared" si="306"/>
        <v>148</v>
      </c>
      <c r="AH349" s="104"/>
      <c r="AI349" s="104">
        <f>('Renewable Diesel'!H358*'RD Feedstock Breakdown'!AI$3*'Feedstock Conversion Rates'!B$6)/12-130-20+51-49</f>
        <v>0.51666666666667993</v>
      </c>
      <c r="AJ349" s="106">
        <f t="shared" si="328"/>
        <v>148.51666666666668</v>
      </c>
      <c r="AK349" s="104">
        <f>('Renewable Diesel'!J358*'RD Feedstock Breakdown'!AK$3*'Feedstock Conversion Rates'!B$4)/12</f>
        <v>95.8125</v>
      </c>
      <c r="AL349" s="106">
        <f t="shared" si="330"/>
        <v>95.8125</v>
      </c>
      <c r="AM349" s="104">
        <f>('Renewable Diesel'!K358*'RD Feedstock Breakdown'!AM$3*'Feedstock Conversion Rates'!B$4)/12+5+15-10+10</f>
        <v>78.59375</v>
      </c>
      <c r="AN349" s="104">
        <f>('Renewable Diesel'!K358*'RD Feedstock Breakdown'!AN$3*'Feedstock Conversion Rates'!B$6)/12-5-15+10-10</f>
        <v>4.4270833333333321</v>
      </c>
      <c r="AO349" s="106">
        <f t="shared" si="350"/>
        <v>83.020833333333329</v>
      </c>
      <c r="AP349" s="104">
        <f>('Renewable Diesel'!L358*'RD Feedstock Breakdown'!AP$3*'Feedstock Conversion Rates'!B$4)/12+15-10+15</f>
        <v>78.59375</v>
      </c>
      <c r="AQ349" s="104">
        <f>('Renewable Diesel'!L358*'RD Feedstock Breakdown'!AQ$3*'Feedstock Conversion Rates'!B$6)/12-15+10-15</f>
        <v>4.4270833333333321</v>
      </c>
      <c r="AR349" s="106">
        <f t="shared" si="339"/>
        <v>83.020833333333329</v>
      </c>
      <c r="AS349" s="104">
        <f>('Renewable Diesel'!M358*'RD Feedstock Breakdown'!AS$3*'Feedstock Conversion Rates'!B$4)/12</f>
        <v>456.25</v>
      </c>
      <c r="AT349" s="104">
        <f>('Renewable Diesel'!M358*'RD Feedstock Breakdown'!AT$3*'Feedstock Conversion Rates'!B$5)/12</f>
        <v>0</v>
      </c>
      <c r="AU349" s="106">
        <f t="shared" si="369"/>
        <v>456.25</v>
      </c>
      <c r="AV349" s="104">
        <f>'Renewable Diesel'!N358*'RD Feedstock Breakdown'!$AV$3*'Feedstock Conversion Rates'!$B$4/12-15-10+25+25-22+25</f>
        <v>106.74999999999999</v>
      </c>
      <c r="AW349" s="104">
        <f>'Renewable Diesel'!N358*'RD Feedstock Breakdown'!$AW$3*'Feedstock Conversion Rates'!$B$7/12+15+10-25-25+22-25</f>
        <v>13.400000000000006</v>
      </c>
      <c r="AX349" s="106">
        <f t="shared" si="322"/>
        <v>120.14999999999999</v>
      </c>
      <c r="AY349" s="104">
        <f>('Renewable Diesel'!O358*'RD Feedstock Breakdown'!AY$3*'Feedstock Conversion Rates'!B$4)/12</f>
        <v>210.9375</v>
      </c>
      <c r="AZ349" s="104">
        <f>('Renewable Diesel'!O358*'RD Feedstock Breakdown'!AZ$3*'Feedstock Conversion Rates'!B$3)/12</f>
        <v>25.03125</v>
      </c>
      <c r="BA349" s="106">
        <f t="shared" si="302"/>
        <v>235.96875</v>
      </c>
      <c r="BB349" s="104">
        <f>('Renewable Diesel'!Q358*'RD Feedstock Breakdown'!BB$3*'Feedstock Conversion Rates'!B$4)/12</f>
        <v>11.156249999999998</v>
      </c>
      <c r="BC349" s="104">
        <f>('Renewable Diesel'!Q358*'RD Feedstock Breakdown'!BC$3*'Feedstock Conversion Rates'!B$3)/12</f>
        <v>1.4017500000000001</v>
      </c>
      <c r="BD349" s="104">
        <f>('Renewable Diesel'!Q358*'RD Feedstock Breakdown'!BD$3*'Feedstock Conversion Rates'!B$6)/12</f>
        <v>0.8207500000000002</v>
      </c>
      <c r="BE349" s="106">
        <f t="shared" si="359"/>
        <v>13.378749999999998</v>
      </c>
      <c r="BF349" s="104">
        <f>('Renewable Diesel'!R358*'RD Feedstock Breakdown'!BF$3*'Feedstock Conversion Rates'!B$4)/12</f>
        <v>62.5</v>
      </c>
      <c r="BG349" s="106">
        <f t="shared" si="344"/>
        <v>62.5</v>
      </c>
      <c r="BH349" s="104">
        <f>('Renewable Diesel'!T358*'RD Feedstock Breakdown'!BH$3*'Feedstock Conversion Rates'!B$7)/12</f>
        <v>27.599999999999998</v>
      </c>
      <c r="BI349" s="106">
        <f t="shared" si="327"/>
        <v>27.599999999999998</v>
      </c>
      <c r="BJ349" s="104">
        <f>('Renewable Diesel'!W358*'RD Feedstock Breakdown'!BJ$3*'Feedstock Conversion Rates'!B$4)/12</f>
        <v>7.5</v>
      </c>
      <c r="BK349" s="104">
        <f>('Renewable Diesel'!W358*'RD Feedstock Breakdown'!BK$3*'Feedstock Conversion Rates'!B$3)/12</f>
        <v>1.335</v>
      </c>
      <c r="BL349" s="104">
        <f>('Renewable Diesel'!W358*'RD Feedstock Breakdown'!BL$3*'Feedstock Conversion Rates'!B$6)/12</f>
        <v>3.1266666666666669</v>
      </c>
      <c r="BM349" s="104">
        <f>('Renewable Diesel'!W358*'RD Feedstock Breakdown'!BM$3*'Feedstock Conversion Rates'!B$7)/12</f>
        <v>1.5333333333333332</v>
      </c>
      <c r="BN349" s="106">
        <f t="shared" si="374"/>
        <v>13.495000000000001</v>
      </c>
      <c r="BO349" s="104">
        <f>('Renewable Diesel'!P358*'Feedstock Conversion Rates'!B$4)/12</f>
        <v>31.25</v>
      </c>
      <c r="BP349" s="106">
        <f t="shared" si="367"/>
        <v>31.25</v>
      </c>
      <c r="BQ349" s="104">
        <f>('Renewable Diesel'!$S358*'RD Feedstock Breakdown'!BQ$3*'Feedstock Conversion Rates'!B$4)/12+10+15-15</f>
        <v>38.125</v>
      </c>
      <c r="BR349" s="104">
        <f>('Renewable Diesel'!$S358*'RD Feedstock Breakdown'!BR$3*'Feedstock Conversion Rates'!B$7)/12-10-15+15</f>
        <v>1.5</v>
      </c>
      <c r="BS349" s="106">
        <f t="shared" si="307"/>
        <v>39.625</v>
      </c>
      <c r="BT349" s="106"/>
      <c r="BU349" s="104">
        <f>('Renewable Diesel'!Y358*'Feedstock Conversion Rates'!B$7)/12</f>
        <v>2.6833333333333331</v>
      </c>
      <c r="BV349" s="106">
        <f t="shared" si="361"/>
        <v>2.6833333333333331</v>
      </c>
      <c r="BW349" s="104">
        <f>('Renewable Diesel'!$Z358*'RD Feedstock Breakdown'!BW$3*'Feedstock Conversion Rates'!$B$4)/12-230+160</f>
        <v>1.875</v>
      </c>
      <c r="BX349" s="104">
        <f>('Renewable Diesel'!$Z358*'RD Feedstock Breakdown'!BX$3*'Feedstock Conversion Rates'!$B$5)/12</f>
        <v>7.2354166666666666</v>
      </c>
      <c r="BY349" s="104">
        <f>('Renewable Diesel'!$Z358*'RD Feedstock Breakdown'!BY$3*'Feedstock Conversion Rates'!$B$7)/12</f>
        <v>61.716666666666661</v>
      </c>
      <c r="BZ349" s="104">
        <f>('Renewable Diesel'!$Z358*'RD Feedstock Breakdown'!BZ$3*'Feedstock Conversion Rates'!$B$3)/12+230-160</f>
        <v>85.352499999999992</v>
      </c>
      <c r="CA349" s="106">
        <f t="shared" si="312"/>
        <v>156.17958333333331</v>
      </c>
      <c r="CB349" s="104">
        <f>('Renewable Diesel'!AA358*'Feedstock Conversion Rates'!B$4)/12</f>
        <v>191.25</v>
      </c>
      <c r="CC349" s="106">
        <f t="shared" si="376"/>
        <v>191.25</v>
      </c>
      <c r="CD349" s="104">
        <f>('Renewable Diesel'!$AB358*'RD Feedstock Breakdown'!CD$3*'Feedstock Conversion Rates'!$B$6)/12-15-5</f>
        <v>12.830000000000005</v>
      </c>
      <c r="CE349" s="104">
        <f>('Renewable Diesel'!$AB358*'RD Feedstock Breakdown'!CE$3*'Feedstock Conversion Rates'!$B$4)/12+15+5</f>
        <v>31.25</v>
      </c>
      <c r="CF349" s="106">
        <f t="shared" si="372"/>
        <v>44.080000000000005</v>
      </c>
      <c r="CG349" s="104">
        <f>('Renewable Diesel'!AD358*'Feedstock Conversion Rates'!B$4)/12</f>
        <v>112.5</v>
      </c>
      <c r="CH349" s="106">
        <f t="shared" si="358"/>
        <v>112.5</v>
      </c>
      <c r="CI349" s="104">
        <f>('Renewable Diesel'!$AE358*'RD Feedstock Breakdown'!CI$3*'Feedstock Conversion Rates'!$B$5)/12</f>
        <v>0.34604166666666664</v>
      </c>
      <c r="CJ349" s="104">
        <f>('Renewable Diesel'!$AE358*'RD Feedstock Breakdown'!CJ$3*'Feedstock Conversion Rates'!$B$4)/12</f>
        <v>0.34375</v>
      </c>
      <c r="CK349" s="106">
        <f t="shared" si="368"/>
        <v>0.68979166666666658</v>
      </c>
      <c r="CL349" s="104">
        <f>(((CL$3*'Renewable Diesel'!$AF358)*'Feedstock Conversion Rates'!$B$3)/12)</f>
        <v>91.78125</v>
      </c>
      <c r="CM349" s="104">
        <f>(((CM$3*'Renewable Diesel'!$AF358)*'Feedstock Conversion Rates'!$B$6)/12)</f>
        <v>53.739583333333336</v>
      </c>
      <c r="CN349" s="104">
        <f>(((CN$3*'Renewable Diesel'!$AF358)*'Feedstock Conversion Rates'!$B$4)/12)</f>
        <v>42.96875</v>
      </c>
      <c r="CO349" s="106">
        <f t="shared" si="360"/>
        <v>188.48958333333334</v>
      </c>
      <c r="CP349" s="104">
        <f>('Renewable Diesel'!$AG358*'RD Feedstock Breakdown'!CP$3*'Feedstock Conversion Rates'!$B$3)/12</f>
        <v>6.0075000000000003</v>
      </c>
      <c r="CQ349" s="104">
        <f>('Renewable Diesel'!$AG358*'RD Feedstock Breakdown'!CQ$3*'Feedstock Conversion Rates'!$B$6)/12</f>
        <v>3.5175000000000001</v>
      </c>
      <c r="CR349" s="104">
        <f>('Renewable Diesel'!$AG358*'RD Feedstock Breakdown'!CR$3*'Feedstock Conversion Rates'!$B$4)/12</f>
        <v>2.8125</v>
      </c>
      <c r="CS349" s="106">
        <f t="shared" si="317"/>
        <v>12.3375</v>
      </c>
      <c r="CT349" s="104">
        <f>('Renewable Diesel'!AI358*'Feedstock Conversion Rates'!$B$4*'RD Feedstock Breakdown'!$CT$3)/12</f>
        <v>29.375</v>
      </c>
      <c r="CU349" s="106">
        <f t="shared" si="364"/>
        <v>29.375</v>
      </c>
      <c r="CV349" s="104">
        <f>('Renewable Diesel'!AN358*'Feedstock Conversion Rates'!$B$3*'RD Feedstock Breakdown'!$CV$3)/12</f>
        <v>0.50062499999999999</v>
      </c>
      <c r="CW349" s="106">
        <f t="shared" si="338"/>
        <v>0.50062499999999999</v>
      </c>
      <c r="CX349" s="104">
        <f>('Renewable Diesel'!AO358*'RD Feedstock Breakdown'!$CX$3*'Feedstock Conversion Rates'!$B$3)/12</f>
        <v>6.3412499999999996</v>
      </c>
      <c r="CY349" s="104">
        <f>('Renewable Diesel'!AO358*'RD Feedstock Breakdown'!$CY$3*'Feedstock Conversion Rates'!$B$6)/12</f>
        <v>7.4258333333333342</v>
      </c>
      <c r="CZ349" s="106">
        <f t="shared" si="318"/>
        <v>13.767083333333334</v>
      </c>
      <c r="DA349" s="104">
        <f>('Renewable Diesel'!$AP358*'RD Feedstock Breakdown'!DA$3*'Feedstock Conversion Rates'!$B$3)/12</f>
        <v>6.3412499999999996</v>
      </c>
      <c r="DB349" s="104">
        <f>('Renewable Diesel'!$AP358*'RD Feedstock Breakdown'!DB$3*'Feedstock Conversion Rates'!$B$8)/12</f>
        <v>7.421875</v>
      </c>
      <c r="DC349" s="106">
        <f t="shared" si="342"/>
        <v>13.763124999999999</v>
      </c>
      <c r="DD349" s="104">
        <f>('Renewable Diesel'!AQ358*$DD$3*'Feedstock Conversion Rates'!$B$14)/12</f>
        <v>3.1041666666666665</v>
      </c>
      <c r="DE349" s="106">
        <f t="shared" si="343"/>
        <v>3.1041666666666665</v>
      </c>
      <c r="DF349" s="104">
        <f>('Renewable Diesel'!AR358*'Feedstock Conversion Rates'!$B$4*$DF$3)/12</f>
        <v>75</v>
      </c>
      <c r="DG349" s="106">
        <f t="shared" si="319"/>
        <v>75</v>
      </c>
      <c r="DH349" s="104">
        <f>('Renewable Diesel'!AS358*'Feedstock Conversion Rates'!$B$4*$DH$3)/12</f>
        <v>75</v>
      </c>
      <c r="DI349" s="106">
        <f t="shared" si="323"/>
        <v>75</v>
      </c>
      <c r="DJ349" s="104">
        <f>('Renewable Diesel'!AT358*'Feedstock Conversion Rates'!$B$4*0.25)/12</f>
        <v>8.59375</v>
      </c>
      <c r="DK349" s="104">
        <f>('Renewable Diesel'!$AT358*'RD Feedstock Breakdown'!DK$3*'Feedstock Conversion Rates'!$B$3)/12*0.5</f>
        <v>9.1781249999999996</v>
      </c>
      <c r="DL349" s="104">
        <f>('Renewable Diesel'!$AT358*'RD Feedstock Breakdown'!$DL$3*'Feedstock Conversion Rates'!$B$6)/12</f>
        <v>10.747916666666669</v>
      </c>
      <c r="DM349" s="104">
        <f>('Renewable Diesel'!$AT358*'RD Feedstock Breakdown'!$DM$3*'Feedstock Conversion Rates'!$B$8)/12</f>
        <v>10.7421875</v>
      </c>
      <c r="DN349" s="106">
        <f t="shared" si="375"/>
        <v>39.26197916666667</v>
      </c>
      <c r="DP349" s="104">
        <f t="shared" si="345"/>
        <v>103.22025000000001</v>
      </c>
      <c r="DQ349" s="104">
        <f t="shared" si="346"/>
        <v>324.11776750000001</v>
      </c>
      <c r="DR349" s="104">
        <f t="shared" si="351"/>
        <v>1916.953125</v>
      </c>
      <c r="DS349" s="104">
        <f t="shared" si="365"/>
        <v>228.90125</v>
      </c>
      <c r="DT349" s="104">
        <f t="shared" si="347"/>
        <v>243.03923333333344</v>
      </c>
      <c r="DU349" s="104">
        <f t="shared" si="348"/>
        <v>402.90610000000009</v>
      </c>
      <c r="DV349" s="104">
        <f t="shared" si="352"/>
        <v>78.75</v>
      </c>
      <c r="DW349" s="104">
        <f t="shared" si="349"/>
        <v>3</v>
      </c>
      <c r="DX349" s="106">
        <f t="shared" si="353"/>
        <v>3300.8877258333337</v>
      </c>
      <c r="DY349" s="109">
        <f t="shared" si="340"/>
        <v>-5.631051180898794E-13</v>
      </c>
      <c r="EA349" s="110">
        <f t="shared" si="313"/>
        <v>3.1270451640078516E-2</v>
      </c>
      <c r="EB349" s="110">
        <f t="shared" si="313"/>
        <v>9.8191091130848465E-2</v>
      </c>
      <c r="EC349" s="110">
        <f t="shared" si="313"/>
        <v>0.58073866311707134</v>
      </c>
      <c r="ED349" s="110">
        <f t="shared" si="308"/>
        <v>6.9345360706629972E-2</v>
      </c>
      <c r="EE349" s="110">
        <f t="shared" si="308"/>
        <v>7.3628445896921982E-2</v>
      </c>
      <c r="EF349" s="110">
        <f t="shared" si="308"/>
        <v>0.1220599225010852</v>
      </c>
      <c r="EG349" s="110">
        <f t="shared" si="308"/>
        <v>2.3857218585075921E-2</v>
      </c>
      <c r="EH349" s="111">
        <f t="shared" si="354"/>
        <v>9.0884642228860647E-4</v>
      </c>
      <c r="EI349" s="110">
        <f t="shared" si="321"/>
        <v>0.9990911535777115</v>
      </c>
      <c r="EK349" s="132">
        <f>(EA349*'Renewable Diesel'!BF358*'Feedstock Conversion Rates'!B$2)+FB349</f>
        <v>666.47443936734885</v>
      </c>
      <c r="EL349" s="132">
        <f>(EB349*'Renewable Diesel'!BF358*'Feedstock Conversion Rates'!B$3)+FC349</f>
        <v>1972.1276432646059</v>
      </c>
      <c r="EM349" s="132">
        <f>(EC349*'Renewable Diesel'!BF358*'Feedstock Conversion Rates'!B$4)+FD349</f>
        <v>10921.251851469486</v>
      </c>
      <c r="EN349" s="132">
        <f>(ED349*'Renewable Diesel'!BF358*'Feedstock Conversion Rates'!B$5)+FE349</f>
        <v>1312.7885543377354</v>
      </c>
      <c r="EO349" s="132">
        <f>(EE349*'Renewable Diesel'!BF358*'Feedstock Conversion Rates'!B$6)+FF349</f>
        <v>1731.72485619756</v>
      </c>
      <c r="EP349" s="132">
        <f>(EF349*'Renewable Diesel'!BF358*'Feedstock Conversion Rates'!B$7)+FG349</f>
        <v>2815.7321244502746</v>
      </c>
      <c r="EQ349" s="132">
        <f>(EG349*'Renewable Diesel'!BF358*'Feedstock Conversion Rates'!B$8)+FH349</f>
        <v>560.81743215762117</v>
      </c>
      <c r="ER349" s="132">
        <f>(EH349*'Renewable Diesel'!BF358*'Feedstock Conversion Rates'!B$9)+FI349</f>
        <v>21.079613957924554</v>
      </c>
      <c r="ES349" s="132">
        <f t="shared" si="355"/>
        <v>20001.996515202558</v>
      </c>
      <c r="ET349" s="133">
        <f>ES349/'Renewable Diesel'!BF358</f>
        <v>18.910639774613156</v>
      </c>
      <c r="EW349" s="73">
        <f t="shared" si="309"/>
        <v>19307.404531507716</v>
      </c>
      <c r="EX349" s="73">
        <f t="shared" si="310"/>
        <v>12259.160997694669</v>
      </c>
      <c r="EY349" s="92">
        <f t="shared" si="341"/>
        <v>0.96527386737784326</v>
      </c>
      <c r="EZ349" s="92">
        <f t="shared" si="341"/>
        <v>0.61289686698910628</v>
      </c>
      <c r="FB349" s="102">
        <f>IF('Renewable Diesel'!$BG358&lt;1,0,(((('Renewable Diesel'!$BG358-1)*'Renewable Diesel'!$BF358)*'RD Feedstock Breakdown'!EA349)*'Feedstock Conversion Rates'!$B$2))</f>
        <v>385.33601604582105</v>
      </c>
      <c r="FC349" s="102">
        <f>IF('Renewable Diesel'!$BG358&lt;1,0,(((('Renewable Diesel'!$BG358-1)*'Renewable Diesel'!$BF358)*'RD Feedstock Breakdown'!EB349)*'Feedstock Conversion Rates'!$B$3))</f>
        <v>1140.2264877716586</v>
      </c>
      <c r="FD349" s="102">
        <f>IF('Renewable Diesel'!$BG358&lt;1,0,(((('Renewable Diesel'!$BG358-1)*'Renewable Diesel'!$BF358)*'RD Feedstock Breakdown'!EC349)*'Feedstock Conversion Rates'!$B$4))</f>
        <v>6314.3482031705189</v>
      </c>
      <c r="FE349" s="102">
        <f>IF('Renewable Diesel'!$BG358&lt;1,0,(((('Renewable Diesel'!$BG358-1)*'Renewable Diesel'!$BF358)*'RD Feedstock Breakdown'!ED349)*'Feedstock Conversion Rates'!$B$5))</f>
        <v>759.01592252997443</v>
      </c>
      <c r="FF349" s="102">
        <f>IF('Renewable Diesel'!$BG358&lt;1,0,(((('Renewable Diesel'!$BG358-1)*'Renewable Diesel'!$BF358)*'RD Feedstock Breakdown'!EE349)*'Feedstock Conversion Rates'!$B$6))</f>
        <v>1001.2326318292432</v>
      </c>
      <c r="FG349" s="102">
        <f>IF('Renewable Diesel'!$BG358&lt;1,0,(((('Renewable Diesel'!$BG358-1)*'Renewable Diesel'!$BF358)*'RD Feedstock Breakdown'!EF349)*'Feedstock Conversion Rates'!$B$7))</f>
        <v>1627.9739101740261</v>
      </c>
      <c r="FH349" s="102">
        <f>IF('Renewable Diesel'!$BG358&lt;1,0,(((('Renewable Diesel'!$BG358-1)*'Renewable Diesel'!$BF358)*'RD Feedstock Breakdown'!EG349)*'Feedstock Conversion Rates'!$B$8))</f>
        <v>324.24822659635873</v>
      </c>
      <c r="FI349" s="102">
        <f>IF('Renewable Diesel'!$BG358&lt;1,0,(((('Renewable Diesel'!$BG358-1)*'Renewable Diesel'!$BF358)*'RD Feedstock Breakdown'!EH349)*'Feedstock Conversion Rates'!$B$9))</f>
        <v>12.187615882225037</v>
      </c>
      <c r="FJ349" s="102">
        <f t="shared" si="311"/>
        <v>11564.569013999828</v>
      </c>
      <c r="GD349" s="91">
        <f>'Renewable Diesel'!BB358*0.32</f>
        <v>0</v>
      </c>
      <c r="GE349" s="91">
        <f>'Renewable Diesel'!BC358</f>
        <v>565.03948105127643</v>
      </c>
      <c r="GF349" s="91">
        <f>'Renewable Diesel'!BD358</f>
        <v>0</v>
      </c>
      <c r="GG349" s="91">
        <f t="shared" si="373"/>
        <v>565.03948105127643</v>
      </c>
      <c r="GH349" s="124">
        <v>1</v>
      </c>
      <c r="GI349" s="102">
        <f>$GG349*EA349*'Feedstock Conversion Rates'!$B$2</f>
        <v>150.18683801906653</v>
      </c>
      <c r="GJ349" s="102">
        <f>$GG349*EB349*'Feedstock Conversion Rates'!$B$3</f>
        <v>444.40956384322999</v>
      </c>
      <c r="GK349" s="102">
        <f>$GG349*EC349*'Feedstock Conversion Rates'!$B$4</f>
        <v>2461.0520462556156</v>
      </c>
      <c r="GL349" s="102">
        <f>$GG349*ED349*'Feedstock Conversion Rates'!$B$5</f>
        <v>295.83064303375767</v>
      </c>
      <c r="GM349" s="102">
        <f>$GG349*EE349*'Feedstock Conversion Rates'!$B$6</f>
        <v>390.23594170875839</v>
      </c>
      <c r="GN349" s="102">
        <f>$GG349*EF349*'Feedstock Conversion Rates'!$B$7</f>
        <v>634.51181245798421</v>
      </c>
      <c r="GO349" s="102">
        <f>$GG349*EG349*'Feedstock Conversion Rates'!$B$8</f>
        <v>126.37753508098281</v>
      </c>
      <c r="GP349" s="102">
        <f>$GG349*EH349*'Feedstock Conversion Rates'!B$9</f>
        <v>4.7501905249486871</v>
      </c>
      <c r="GQ349" s="102">
        <f t="shared" si="356"/>
        <v>4507.3545709243435</v>
      </c>
      <c r="GR349" s="85">
        <f t="shared" si="371"/>
        <v>7.9770612887762233</v>
      </c>
      <c r="GT349" s="103">
        <f t="shared" si="333"/>
        <v>3.3320395734535477E-2</v>
      </c>
      <c r="GU349" s="103">
        <f t="shared" si="334"/>
        <v>9.8596539688709892E-2</v>
      </c>
      <c r="GV349" s="103">
        <f t="shared" si="335"/>
        <v>0.54600808690116343</v>
      </c>
      <c r="GW349" s="103">
        <f t="shared" si="331"/>
        <v>6.5632875865164156E-2</v>
      </c>
      <c r="GX349" s="103">
        <f t="shared" si="331"/>
        <v>8.6577600135134478E-2</v>
      </c>
      <c r="GY349" s="103">
        <f t="shared" si="331"/>
        <v>0.14077255349535592</v>
      </c>
      <c r="GZ349" s="103">
        <f t="shared" si="331"/>
        <v>2.8038072685962662E-2</v>
      </c>
      <c r="HA349" s="103">
        <f t="shared" si="331"/>
        <v>1.0538754939739615E-3</v>
      </c>
    </row>
    <row r="350" spans="1:209" x14ac:dyDescent="0.25">
      <c r="A350" s="96">
        <v>51075</v>
      </c>
      <c r="B350" s="104">
        <f t="shared" ref="B350:B360" si="377">115.75+145+100+235+31.5-21-287-20-28-32-70-39-47+40+20-3-10-60-1</f>
        <v>69.25</v>
      </c>
      <c r="C350" s="104">
        <f t="shared" si="314"/>
        <v>49</v>
      </c>
      <c r="D350" s="104">
        <f t="shared" ref="D350:D360" si="378">1+1</f>
        <v>2</v>
      </c>
      <c r="E350" s="104">
        <f>('Renewable Diesel'!B359*E$3*'Feedstock Conversion Rates'!$B$2)/12+26+13-100+27.5+39</f>
        <v>95.43</v>
      </c>
      <c r="F350" s="104">
        <f>('Renewable Diesel'!B359*'RD Feedstock Breakdown'!F$3*'Feedstock Conversion Rates'!B$8)/12+77+23-10-12-115.75+24+8</f>
        <v>48.15625</v>
      </c>
      <c r="G350" s="104">
        <f>('Renewable Diesel'!B359*'RD Feedstock Breakdown'!G$3*'Feedstock Conversion Rates'!B$7)/12+116.75-39-57.5-145-31.5+32+70-40+10+60</f>
        <v>151.90700000000004</v>
      </c>
      <c r="H350" s="104">
        <f>('Renewable Diesel'!B359*'RD Feedstock Breakdown'!H$3*'Feedstock Conversion Rates'!B$3)/12+67+10+12+3-235+20+47-20</f>
        <v>80.400224999999978</v>
      </c>
      <c r="I350" s="106">
        <f t="shared" si="370"/>
        <v>496.14347500000002</v>
      </c>
      <c r="J350" s="104">
        <f t="shared" si="332"/>
        <v>4</v>
      </c>
      <c r="K350" s="104"/>
      <c r="L350" s="104">
        <v>1</v>
      </c>
      <c r="M350" s="104">
        <f>('Renewable Diesel'!C359*'RD Feedstock Breakdown'!M$3*'Feedstock Conversion Rates'!B$2)/12</f>
        <v>7.7902500000000003</v>
      </c>
      <c r="N350" s="104">
        <f>('Renewable Diesel'!C359*'RD Feedstock Breakdown'!N$3*'Feedstock Conversion Rates'!B$8)/12</f>
        <v>3.671875</v>
      </c>
      <c r="O350" s="104">
        <f>('Renewable Diesel'!C359*'RD Feedstock Breakdown'!O$3*'Feedstock Conversion Rates'!B$7)/12</f>
        <v>11.9991</v>
      </c>
      <c r="P350" s="104">
        <f>('Renewable Diesel'!C359*'RD Feedstock Breakdown'!P$3*'Feedstock Conversion Rates'!B$3)/12</f>
        <v>10.4470425</v>
      </c>
      <c r="Q350" s="106">
        <f t="shared" si="299"/>
        <v>38.908267500000001</v>
      </c>
      <c r="R350" s="104">
        <f>('Renewable Diesel'!D359*'RD Feedstock Breakdown'!R$3*'Feedstock Conversion Rates'!B$7)/12</f>
        <v>2.2999999999999998</v>
      </c>
      <c r="S350" s="106">
        <f t="shared" si="329"/>
        <v>2.2999999999999998</v>
      </c>
      <c r="T350" s="104">
        <f t="shared" si="300"/>
        <v>0.82499999999999929</v>
      </c>
      <c r="U350" s="104"/>
      <c r="V350" s="104">
        <f>('Renewable Diesel'!E359*'RD Feedstock Breakdown'!V$3*'Feedstock Conversion Rates'!B$6)/12-20+25</f>
        <v>49.250150000000012</v>
      </c>
      <c r="W350" s="104">
        <f>('Renewable Diesel'!E359*'RD Feedstock Breakdown'!W$3*'Feedstock Conversion Rates'!B$8)/12-6</f>
        <v>16.1796875</v>
      </c>
      <c r="X350" s="106">
        <f t="shared" si="357"/>
        <v>66.254837500000008</v>
      </c>
      <c r="Y350" s="104">
        <f t="shared" si="301"/>
        <v>98</v>
      </c>
      <c r="Z350" s="104">
        <f>('Renewable Diesel'!F359*'RD Feedstock Breakdown'!Z$3*'Feedstock Conversion Rates'!B$6)/12-142+15+5+20+5+15</f>
        <v>77.460000000000008</v>
      </c>
      <c r="AA350" s="104">
        <f>('Renewable Diesel'!F359*'RD Feedstock Breakdown'!AA$3*'Feedstock Conversion Rates'!B$7)/12+24</f>
        <v>128.26666666666665</v>
      </c>
      <c r="AB350" s="106">
        <f t="shared" si="320"/>
        <v>303.72666666666669</v>
      </c>
      <c r="AC350" s="104">
        <f>('Renewable Diesel'!G359*'RD Feedstock Breakdown'!AC$3*'Feedstock Conversion Rates'!B$5)/12</f>
        <v>11.796875</v>
      </c>
      <c r="AD350" s="104">
        <f>('Renewable Diesel'!G359*'RD Feedstock Breakdown'!AD$3*'Feedstock Conversion Rates'!B$4)/12</f>
        <v>5.859375</v>
      </c>
      <c r="AE350" s="104">
        <f>('Renewable Diesel'!G359*'RD Feedstock Breakdown'!AE$3*'Feedstock Conversion Rates'!B$6)/12</f>
        <v>7.3281250000000009</v>
      </c>
      <c r="AF350" s="106">
        <f t="shared" si="366"/>
        <v>24.984375</v>
      </c>
      <c r="AG350" s="104">
        <f t="shared" si="306"/>
        <v>148</v>
      </c>
      <c r="AH350" s="104"/>
      <c r="AI350" s="104">
        <f>('Renewable Diesel'!H359*'RD Feedstock Breakdown'!AI$3*'Feedstock Conversion Rates'!B$6)/12-130-20+51-49</f>
        <v>0.51666666666667993</v>
      </c>
      <c r="AJ350" s="106">
        <f t="shared" si="328"/>
        <v>148.51666666666668</v>
      </c>
      <c r="AK350" s="104">
        <f>('Renewable Diesel'!J359*'RD Feedstock Breakdown'!AK$3*'Feedstock Conversion Rates'!B$4)/12</f>
        <v>95.8125</v>
      </c>
      <c r="AL350" s="106">
        <f t="shared" si="330"/>
        <v>95.8125</v>
      </c>
      <c r="AM350" s="104">
        <f>('Renewable Diesel'!K359*'RD Feedstock Breakdown'!AM$3*'Feedstock Conversion Rates'!B$4)/12+5+15-10+10</f>
        <v>78.59375</v>
      </c>
      <c r="AN350" s="104">
        <f>('Renewable Diesel'!K359*'RD Feedstock Breakdown'!AN$3*'Feedstock Conversion Rates'!B$6)/12-5-15+10-10</f>
        <v>4.4270833333333321</v>
      </c>
      <c r="AO350" s="106">
        <f t="shared" si="350"/>
        <v>83.020833333333329</v>
      </c>
      <c r="AP350" s="104">
        <f>('Renewable Diesel'!L359*'RD Feedstock Breakdown'!AP$3*'Feedstock Conversion Rates'!B$4)/12+15-10+15</f>
        <v>78.59375</v>
      </c>
      <c r="AQ350" s="104">
        <f>('Renewable Diesel'!L359*'RD Feedstock Breakdown'!AQ$3*'Feedstock Conversion Rates'!B$6)/12-15+10-15</f>
        <v>4.4270833333333321</v>
      </c>
      <c r="AR350" s="106">
        <f t="shared" si="339"/>
        <v>83.020833333333329</v>
      </c>
      <c r="AS350" s="104">
        <f>('Renewable Diesel'!M359*'RD Feedstock Breakdown'!AS$3*'Feedstock Conversion Rates'!B$4)/12</f>
        <v>456.25</v>
      </c>
      <c r="AT350" s="104">
        <f>('Renewable Diesel'!M359*'RD Feedstock Breakdown'!AT$3*'Feedstock Conversion Rates'!B$5)/12</f>
        <v>0</v>
      </c>
      <c r="AU350" s="106">
        <f t="shared" si="369"/>
        <v>456.25</v>
      </c>
      <c r="AV350" s="104">
        <f>'Renewable Diesel'!N359*'RD Feedstock Breakdown'!$AV$3*'Feedstock Conversion Rates'!$B$4/12-15-10+25+25-22+25</f>
        <v>106.74999999999999</v>
      </c>
      <c r="AW350" s="104">
        <f>'Renewable Diesel'!N359*'RD Feedstock Breakdown'!$AW$3*'Feedstock Conversion Rates'!$B$7/12+15+10-25-25+22-25</f>
        <v>13.400000000000006</v>
      </c>
      <c r="AX350" s="106">
        <f t="shared" si="322"/>
        <v>120.14999999999999</v>
      </c>
      <c r="AY350" s="104">
        <f>('Renewable Diesel'!O359*'RD Feedstock Breakdown'!AY$3*'Feedstock Conversion Rates'!B$4)/12</f>
        <v>210.9375</v>
      </c>
      <c r="AZ350" s="104">
        <f>('Renewable Diesel'!O359*'RD Feedstock Breakdown'!AZ$3*'Feedstock Conversion Rates'!B$3)/12</f>
        <v>25.03125</v>
      </c>
      <c r="BA350" s="106">
        <f t="shared" si="302"/>
        <v>235.96875</v>
      </c>
      <c r="BB350" s="104">
        <f>('Renewable Diesel'!Q359*'RD Feedstock Breakdown'!BB$3*'Feedstock Conversion Rates'!B$4)/12</f>
        <v>11.156249999999998</v>
      </c>
      <c r="BC350" s="104">
        <f>('Renewable Diesel'!Q359*'RD Feedstock Breakdown'!BC$3*'Feedstock Conversion Rates'!B$3)/12</f>
        <v>1.4017500000000001</v>
      </c>
      <c r="BD350" s="104">
        <f>('Renewable Diesel'!Q359*'RD Feedstock Breakdown'!BD$3*'Feedstock Conversion Rates'!B$6)/12</f>
        <v>0.8207500000000002</v>
      </c>
      <c r="BE350" s="106">
        <f t="shared" si="359"/>
        <v>13.378749999999998</v>
      </c>
      <c r="BF350" s="104">
        <f>('Renewable Diesel'!R359*'RD Feedstock Breakdown'!BF$3*'Feedstock Conversion Rates'!B$4)/12</f>
        <v>62.5</v>
      </c>
      <c r="BG350" s="106">
        <f t="shared" si="344"/>
        <v>62.5</v>
      </c>
      <c r="BH350" s="104">
        <f>('Renewable Diesel'!T359*'RD Feedstock Breakdown'!BH$3*'Feedstock Conversion Rates'!B$7)/12</f>
        <v>27.599999999999998</v>
      </c>
      <c r="BI350" s="106">
        <f t="shared" si="327"/>
        <v>27.599999999999998</v>
      </c>
      <c r="BJ350" s="104">
        <f>('Renewable Diesel'!W359*'RD Feedstock Breakdown'!BJ$3*'Feedstock Conversion Rates'!B$4)/12</f>
        <v>7.5</v>
      </c>
      <c r="BK350" s="104">
        <f>('Renewable Diesel'!W359*'RD Feedstock Breakdown'!BK$3*'Feedstock Conversion Rates'!B$3)/12</f>
        <v>1.335</v>
      </c>
      <c r="BL350" s="104">
        <f>('Renewable Diesel'!W359*'RD Feedstock Breakdown'!BL$3*'Feedstock Conversion Rates'!B$6)/12</f>
        <v>3.1266666666666669</v>
      </c>
      <c r="BM350" s="104">
        <f>('Renewable Diesel'!W359*'RD Feedstock Breakdown'!BM$3*'Feedstock Conversion Rates'!B$7)/12</f>
        <v>1.5333333333333332</v>
      </c>
      <c r="BN350" s="106">
        <f t="shared" si="374"/>
        <v>13.495000000000001</v>
      </c>
      <c r="BO350" s="104">
        <f>('Renewable Diesel'!P359*'Feedstock Conversion Rates'!B$4)/12</f>
        <v>31.25</v>
      </c>
      <c r="BP350" s="106">
        <f t="shared" si="367"/>
        <v>31.25</v>
      </c>
      <c r="BQ350" s="104">
        <f>('Renewable Diesel'!$S359*'RD Feedstock Breakdown'!BQ$3*'Feedstock Conversion Rates'!B$4)/12+10+15-15</f>
        <v>38.125</v>
      </c>
      <c r="BR350" s="104">
        <f>('Renewable Diesel'!$S359*'RD Feedstock Breakdown'!BR$3*'Feedstock Conversion Rates'!B$7)/12-10-15+15</f>
        <v>1.5</v>
      </c>
      <c r="BS350" s="106">
        <f t="shared" si="307"/>
        <v>39.625</v>
      </c>
      <c r="BT350" s="106"/>
      <c r="BU350" s="104">
        <f>('Renewable Diesel'!Y359*'Feedstock Conversion Rates'!B$7)/12</f>
        <v>2.6833333333333331</v>
      </c>
      <c r="BV350" s="106">
        <f t="shared" si="361"/>
        <v>2.6833333333333331</v>
      </c>
      <c r="BW350" s="104">
        <f>('Renewable Diesel'!$Z359*'RD Feedstock Breakdown'!BW$3*'Feedstock Conversion Rates'!$B$4)/12-230+160</f>
        <v>1.875</v>
      </c>
      <c r="BX350" s="104">
        <f>('Renewable Diesel'!$Z359*'RD Feedstock Breakdown'!BX$3*'Feedstock Conversion Rates'!$B$5)/12</f>
        <v>7.2354166666666666</v>
      </c>
      <c r="BY350" s="104">
        <f>('Renewable Diesel'!$Z359*'RD Feedstock Breakdown'!BY$3*'Feedstock Conversion Rates'!$B$7)/12</f>
        <v>61.716666666666661</v>
      </c>
      <c r="BZ350" s="104">
        <f>('Renewable Diesel'!$Z359*'RD Feedstock Breakdown'!BZ$3*'Feedstock Conversion Rates'!$B$3)/12+230-160</f>
        <v>85.352499999999992</v>
      </c>
      <c r="CA350" s="106">
        <f t="shared" si="312"/>
        <v>156.17958333333331</v>
      </c>
      <c r="CB350" s="104">
        <f>('Renewable Diesel'!AA359*'Feedstock Conversion Rates'!B$4)/12</f>
        <v>191.25</v>
      </c>
      <c r="CC350" s="106">
        <f t="shared" si="376"/>
        <v>191.25</v>
      </c>
      <c r="CD350" s="104">
        <f>('Renewable Diesel'!$AB359*'RD Feedstock Breakdown'!CD$3*'Feedstock Conversion Rates'!$B$6)/12-15-5</f>
        <v>12.830000000000005</v>
      </c>
      <c r="CE350" s="104">
        <f>('Renewable Diesel'!$AB359*'RD Feedstock Breakdown'!CE$3*'Feedstock Conversion Rates'!$B$4)/12+15+5</f>
        <v>31.25</v>
      </c>
      <c r="CF350" s="106">
        <f t="shared" si="372"/>
        <v>44.080000000000005</v>
      </c>
      <c r="CG350" s="104">
        <f>('Renewable Diesel'!AD359*'Feedstock Conversion Rates'!B$4)/12</f>
        <v>112.5</v>
      </c>
      <c r="CH350" s="106">
        <f t="shared" si="358"/>
        <v>112.5</v>
      </c>
      <c r="CI350" s="104">
        <f>('Renewable Diesel'!$AE359*'RD Feedstock Breakdown'!CI$3*'Feedstock Conversion Rates'!$B$5)/12</f>
        <v>0.34604166666666664</v>
      </c>
      <c r="CJ350" s="104">
        <f>('Renewable Diesel'!$AE359*'RD Feedstock Breakdown'!CJ$3*'Feedstock Conversion Rates'!$B$4)/12</f>
        <v>0.34375</v>
      </c>
      <c r="CK350" s="106">
        <f t="shared" si="368"/>
        <v>0.68979166666666658</v>
      </c>
      <c r="CL350" s="104">
        <f>(((CL$3*'Renewable Diesel'!$AF359)*'Feedstock Conversion Rates'!$B$3)/12)</f>
        <v>91.78125</v>
      </c>
      <c r="CM350" s="104">
        <f>(((CM$3*'Renewable Diesel'!$AF359)*'Feedstock Conversion Rates'!$B$6)/12)</f>
        <v>53.739583333333336</v>
      </c>
      <c r="CN350" s="104">
        <f>(((CN$3*'Renewable Diesel'!$AF359)*'Feedstock Conversion Rates'!$B$4)/12)</f>
        <v>42.96875</v>
      </c>
      <c r="CO350" s="106">
        <f t="shared" si="360"/>
        <v>188.48958333333334</v>
      </c>
      <c r="CP350" s="104">
        <f>('Renewable Diesel'!$AG359*'RD Feedstock Breakdown'!CP$3*'Feedstock Conversion Rates'!$B$3)/12</f>
        <v>6.0075000000000003</v>
      </c>
      <c r="CQ350" s="104">
        <f>('Renewable Diesel'!$AG359*'RD Feedstock Breakdown'!CQ$3*'Feedstock Conversion Rates'!$B$6)/12</f>
        <v>3.5175000000000001</v>
      </c>
      <c r="CR350" s="104">
        <f>('Renewable Diesel'!$AG359*'RD Feedstock Breakdown'!CR$3*'Feedstock Conversion Rates'!$B$4)/12</f>
        <v>2.8125</v>
      </c>
      <c r="CS350" s="106">
        <f t="shared" si="317"/>
        <v>12.3375</v>
      </c>
      <c r="CT350" s="104">
        <f>('Renewable Diesel'!AI359*'Feedstock Conversion Rates'!$B$4*'RD Feedstock Breakdown'!$CT$3)/12</f>
        <v>29.375</v>
      </c>
      <c r="CU350" s="106">
        <f t="shared" si="364"/>
        <v>29.375</v>
      </c>
      <c r="CV350" s="104">
        <f>('Renewable Diesel'!AN359*'Feedstock Conversion Rates'!$B$3*'RD Feedstock Breakdown'!$CV$3)/12</f>
        <v>0.50062499999999999</v>
      </c>
      <c r="CW350" s="106">
        <f t="shared" si="338"/>
        <v>0.50062499999999999</v>
      </c>
      <c r="CX350" s="104">
        <f>('Renewable Diesel'!AO359*'RD Feedstock Breakdown'!$CX$3*'Feedstock Conversion Rates'!$B$3)/12</f>
        <v>6.3412499999999996</v>
      </c>
      <c r="CY350" s="104">
        <f>('Renewable Diesel'!AO359*'RD Feedstock Breakdown'!$CY$3*'Feedstock Conversion Rates'!$B$6)/12</f>
        <v>7.4258333333333342</v>
      </c>
      <c r="CZ350" s="106">
        <f t="shared" si="318"/>
        <v>13.767083333333334</v>
      </c>
      <c r="DA350" s="104">
        <f>('Renewable Diesel'!$AP359*'RD Feedstock Breakdown'!DA$3*'Feedstock Conversion Rates'!$B$3)/12</f>
        <v>6.3412499999999996</v>
      </c>
      <c r="DB350" s="104">
        <f>('Renewable Diesel'!$AP359*'RD Feedstock Breakdown'!DB$3*'Feedstock Conversion Rates'!$B$8)/12</f>
        <v>7.421875</v>
      </c>
      <c r="DC350" s="106">
        <f t="shared" si="342"/>
        <v>13.763124999999999</v>
      </c>
      <c r="DD350" s="104">
        <f>('Renewable Diesel'!AQ359*$DD$3*'Feedstock Conversion Rates'!$B$14)/12</f>
        <v>3.1041666666666665</v>
      </c>
      <c r="DE350" s="106">
        <f t="shared" si="343"/>
        <v>3.1041666666666665</v>
      </c>
      <c r="DF350" s="104">
        <f>('Renewable Diesel'!AR359*'Feedstock Conversion Rates'!$B$4*$DF$3)/12</f>
        <v>75</v>
      </c>
      <c r="DG350" s="106">
        <f t="shared" si="319"/>
        <v>75</v>
      </c>
      <c r="DH350" s="104">
        <f>('Renewable Diesel'!AS359*'Feedstock Conversion Rates'!$B$4*$DH$3)/12</f>
        <v>75</v>
      </c>
      <c r="DI350" s="106">
        <f t="shared" si="323"/>
        <v>75</v>
      </c>
      <c r="DJ350" s="104">
        <f>('Renewable Diesel'!AT359*'Feedstock Conversion Rates'!$B$4*0.25)/12</f>
        <v>8.59375</v>
      </c>
      <c r="DK350" s="104">
        <f>('Renewable Diesel'!$AT359*'RD Feedstock Breakdown'!DK$3*'Feedstock Conversion Rates'!$B$3)/12*0.5</f>
        <v>9.1781249999999996</v>
      </c>
      <c r="DL350" s="104">
        <f>('Renewable Diesel'!$AT359*'RD Feedstock Breakdown'!$DL$3*'Feedstock Conversion Rates'!$B$6)/12</f>
        <v>10.747916666666669</v>
      </c>
      <c r="DM350" s="104">
        <f>('Renewable Diesel'!$AT359*'RD Feedstock Breakdown'!$DM$3*'Feedstock Conversion Rates'!$B$8)/12</f>
        <v>10.7421875</v>
      </c>
      <c r="DN350" s="106">
        <f t="shared" si="375"/>
        <v>39.26197916666667</v>
      </c>
      <c r="DP350" s="104">
        <f t="shared" si="345"/>
        <v>103.22025000000001</v>
      </c>
      <c r="DQ350" s="104">
        <f t="shared" si="346"/>
        <v>324.11776750000001</v>
      </c>
      <c r="DR350" s="104">
        <f t="shared" si="351"/>
        <v>1916.953125</v>
      </c>
      <c r="DS350" s="104">
        <f t="shared" si="365"/>
        <v>228.90125</v>
      </c>
      <c r="DT350" s="104">
        <f t="shared" si="347"/>
        <v>243.03923333333344</v>
      </c>
      <c r="DU350" s="104">
        <f t="shared" si="348"/>
        <v>402.90610000000009</v>
      </c>
      <c r="DV350" s="104">
        <f t="shared" si="352"/>
        <v>78.75</v>
      </c>
      <c r="DW350" s="104">
        <f t="shared" si="349"/>
        <v>3</v>
      </c>
      <c r="DX350" s="106">
        <f t="shared" si="353"/>
        <v>3300.8877258333337</v>
      </c>
      <c r="DY350" s="109">
        <f t="shared" si="340"/>
        <v>-5.631051180898794E-13</v>
      </c>
      <c r="EA350" s="110">
        <f t="shared" si="313"/>
        <v>3.1270451640078516E-2</v>
      </c>
      <c r="EB350" s="110">
        <f t="shared" si="313"/>
        <v>9.8191091130848465E-2</v>
      </c>
      <c r="EC350" s="110">
        <f t="shared" si="313"/>
        <v>0.58073866311707134</v>
      </c>
      <c r="ED350" s="110">
        <f t="shared" si="308"/>
        <v>6.9345360706629972E-2</v>
      </c>
      <c r="EE350" s="110">
        <f t="shared" si="308"/>
        <v>7.3628445896921982E-2</v>
      </c>
      <c r="EF350" s="110">
        <f t="shared" si="308"/>
        <v>0.1220599225010852</v>
      </c>
      <c r="EG350" s="110">
        <f t="shared" si="308"/>
        <v>2.3857218585075921E-2</v>
      </c>
      <c r="EH350" s="111">
        <f t="shared" si="354"/>
        <v>9.0884642228860647E-4</v>
      </c>
      <c r="EI350" s="110">
        <f t="shared" si="321"/>
        <v>0.9990911535777115</v>
      </c>
      <c r="EK350" s="132">
        <f>(EA350*'Renewable Diesel'!BF359*'Feedstock Conversion Rates'!B$2)+FB350</f>
        <v>681.86074405875684</v>
      </c>
      <c r="EL350" s="132">
        <f>(EB350*'Renewable Diesel'!BF359*'Feedstock Conversion Rates'!B$3)+FC350</f>
        <v>2017.6564062857674</v>
      </c>
      <c r="EM350" s="132">
        <f>(EC350*'Renewable Diesel'!BF359*'Feedstock Conversion Rates'!B$4)+FD350</f>
        <v>11173.381113557651</v>
      </c>
      <c r="EN350" s="132">
        <f>(ED350*'Renewable Diesel'!BF359*'Feedstock Conversion Rates'!B$5)+FE350</f>
        <v>1343.095740179112</v>
      </c>
      <c r="EO350" s="132">
        <f>(EE350*'Renewable Diesel'!BF359*'Feedstock Conversion Rates'!B$6)+FF350</f>
        <v>1771.7036531405201</v>
      </c>
      <c r="EP350" s="132">
        <f>(EF350*'Renewable Diesel'!BF359*'Feedstock Conversion Rates'!B$7)+FG350</f>
        <v>2880.7364364495502</v>
      </c>
      <c r="EQ350" s="132">
        <f>(EG350*'Renewable Diesel'!BF359*'Feedstock Conversion Rates'!B$8)+FH350</f>
        <v>573.7645271664278</v>
      </c>
      <c r="ER350" s="132">
        <f>(EH350*'Renewable Diesel'!BF359*'Feedstock Conversion Rates'!B$9)+FI350</f>
        <v>21.566260322700018</v>
      </c>
      <c r="ES350" s="132">
        <f t="shared" si="355"/>
        <v>20463.764881160485</v>
      </c>
      <c r="ET350" s="133">
        <f>ES350/'Renewable Diesel'!BF359</f>
        <v>18.816640923452233</v>
      </c>
      <c r="EW350" s="73">
        <f t="shared" si="309"/>
        <v>19726.762055733758</v>
      </c>
      <c r="EX350" s="73">
        <f t="shared" si="310"/>
        <v>12525.430417631052</v>
      </c>
      <c r="EY350" s="92">
        <f t="shared" si="341"/>
        <v>0.96398498371601049</v>
      </c>
      <c r="EZ350" s="92">
        <f t="shared" si="341"/>
        <v>0.61207849534873782</v>
      </c>
      <c r="FB350" s="102">
        <f>IF('Renewable Diesel'!$BG359&lt;1,0,(((('Renewable Diesel'!$BG359-1)*'Renewable Diesel'!$BF359)*'RD Feedstock Breakdown'!EA350)*'Feedstock Conversion Rates'!$B$2))</f>
        <v>392.79507246016533</v>
      </c>
      <c r="FC350" s="102">
        <f>IF('Renewable Diesel'!$BG359&lt;1,0,(((('Renewable Diesel'!$BG359-1)*'Renewable Diesel'!$BF359)*'RD Feedstock Breakdown'!EB350)*'Feedstock Conversion Rates'!$B$3))</f>
        <v>1162.2981689622563</v>
      </c>
      <c r="FD350" s="102">
        <f>IF('Renewable Diesel'!$BG359&lt;1,0,(((('Renewable Diesel'!$BG359-1)*'Renewable Diesel'!$BF359)*'RD Feedstock Breakdown'!EC350)*'Feedstock Conversion Rates'!$B$4))</f>
        <v>6436.5767971923715</v>
      </c>
      <c r="FE350" s="102">
        <f>IF('Renewable Diesel'!$BG359&lt;1,0,(((('Renewable Diesel'!$BG359-1)*'Renewable Diesel'!$BF359)*'RD Feedstock Breakdown'!ED350)*'Feedstock Conversion Rates'!$B$5))</f>
        <v>773.70840480462243</v>
      </c>
      <c r="FF350" s="102">
        <f>IF('Renewable Diesel'!$BG359&lt;1,0,(((('Renewable Diesel'!$BG359-1)*'Renewable Diesel'!$BF359)*'RD Feedstock Breakdown'!EE350)*'Feedstock Conversion Rates'!$B$6))</f>
        <v>1020.6137702998519</v>
      </c>
      <c r="FG350" s="102">
        <f>IF('Renewable Diesel'!$BG359&lt;1,0,(((('Renewable Diesel'!$BG359-1)*'Renewable Diesel'!$BF359)*'RD Feedstock Breakdown'!EF350)*'Feedstock Conversion Rates'!$B$7))</f>
        <v>1659.4870538497128</v>
      </c>
      <c r="FH350" s="102">
        <f>IF('Renewable Diesel'!$BG359&lt;1,0,(((('Renewable Diesel'!$BG359-1)*'Renewable Diesel'!$BF359)*'RD Feedstock Breakdown'!EG350)*'Feedstock Conversion Rates'!$B$8))</f>
        <v>330.52478968343263</v>
      </c>
      <c r="FI350" s="102">
        <f>IF('Renewable Diesel'!$BG359&lt;1,0,(((('Renewable Diesel'!$BG359-1)*'Renewable Diesel'!$BF359)*'RD Feedstock Breakdown'!EH350)*'Feedstock Conversion Rates'!$B$9))</f>
        <v>12.423534951910613</v>
      </c>
      <c r="FJ350" s="102">
        <f t="shared" si="311"/>
        <v>11788.427592204323</v>
      </c>
      <c r="GD350" s="91">
        <f>'Renewable Diesel'!BB359*0.32</f>
        <v>0</v>
      </c>
      <c r="GE350" s="91">
        <f>'Renewable Diesel'!BC359</f>
        <v>488.95019975573337</v>
      </c>
      <c r="GF350" s="91">
        <f>'Renewable Diesel'!BD359</f>
        <v>0</v>
      </c>
      <c r="GG350" s="91">
        <f t="shared" si="373"/>
        <v>488.95019975573337</v>
      </c>
      <c r="GH350" s="124">
        <v>1</v>
      </c>
      <c r="GI350" s="102">
        <f>$GG350*EA350*'Feedstock Conversion Rates'!$B$2</f>
        <v>129.96239539488133</v>
      </c>
      <c r="GJ350" s="102">
        <f>$GG350*EB350*'Feedstock Conversion Rates'!$B$3</f>
        <v>384.56453451752083</v>
      </c>
      <c r="GK350" s="102">
        <f>$GG350*EC350*'Feedstock Conversion Rates'!$B$4</f>
        <v>2129.6421400272716</v>
      </c>
      <c r="GL350" s="102">
        <f>$GG350*ED350*'Feedstock Conversion Rates'!$B$5</f>
        <v>255.9935311707828</v>
      </c>
      <c r="GM350" s="102">
        <f>$GG350*EE350*'Feedstock Conversion Rates'!$B$6</f>
        <v>337.68603442605956</v>
      </c>
      <c r="GN350" s="102">
        <f>$GG350*EF350*'Feedstock Conversion Rates'!$B$7</f>
        <v>549.06725609948944</v>
      </c>
      <c r="GO350" s="102">
        <f>$GG350*EG350*'Feedstock Conversion Rates'!$B$8</f>
        <v>109.3592980573975</v>
      </c>
      <c r="GP350" s="102">
        <f>$GG350*EH350*'Feedstock Conversion Rates'!B$9</f>
        <v>4.1105209174590041</v>
      </c>
      <c r="GQ350" s="102">
        <f t="shared" si="356"/>
        <v>3900.3857106108617</v>
      </c>
      <c r="GR350" s="85">
        <f t="shared" si="371"/>
        <v>7.9770612887762224</v>
      </c>
      <c r="GT350" s="103">
        <f t="shared" si="333"/>
        <v>3.3320395734535484E-2</v>
      </c>
      <c r="GU350" s="103">
        <f t="shared" si="334"/>
        <v>9.8596539688709892E-2</v>
      </c>
      <c r="GV350" s="103">
        <f t="shared" si="335"/>
        <v>0.54600808690116343</v>
      </c>
      <c r="GW350" s="103">
        <f t="shared" si="331"/>
        <v>6.5632875865164156E-2</v>
      </c>
      <c r="GX350" s="103">
        <f t="shared" si="331"/>
        <v>8.6577600135134478E-2</v>
      </c>
      <c r="GY350" s="103">
        <f t="shared" si="331"/>
        <v>0.14077255349535592</v>
      </c>
      <c r="GZ350" s="103">
        <f t="shared" si="331"/>
        <v>2.8038072685962669E-2</v>
      </c>
      <c r="HA350" s="103">
        <f t="shared" si="331"/>
        <v>1.0538754939739619E-3</v>
      </c>
    </row>
    <row r="351" spans="1:209" x14ac:dyDescent="0.25">
      <c r="A351" s="96">
        <v>51105</v>
      </c>
      <c r="B351" s="104">
        <f t="shared" si="377"/>
        <v>69.25</v>
      </c>
      <c r="C351" s="104">
        <f t="shared" si="314"/>
        <v>49</v>
      </c>
      <c r="D351" s="104">
        <f t="shared" si="378"/>
        <v>2</v>
      </c>
      <c r="E351" s="104">
        <f>('Renewable Diesel'!B360*E$3*'Feedstock Conversion Rates'!$B$2)/12+26+13-100+27.5+39</f>
        <v>95.43</v>
      </c>
      <c r="F351" s="104">
        <f>('Renewable Diesel'!B360*'RD Feedstock Breakdown'!F$3*'Feedstock Conversion Rates'!B$8)/12+77+23-10-12-115.75+24+8</f>
        <v>48.15625</v>
      </c>
      <c r="G351" s="104">
        <f>('Renewable Diesel'!B360*'RD Feedstock Breakdown'!G$3*'Feedstock Conversion Rates'!B$7)/12+116.75-39-57.5-145-31.5+32+70-40+10+60</f>
        <v>151.90700000000004</v>
      </c>
      <c r="H351" s="104">
        <f>('Renewable Diesel'!B360*'RD Feedstock Breakdown'!H$3*'Feedstock Conversion Rates'!B$3)/12+67+10+12+3-235+20+47-20</f>
        <v>80.400224999999978</v>
      </c>
      <c r="I351" s="106">
        <f t="shared" si="370"/>
        <v>496.14347500000002</v>
      </c>
      <c r="J351" s="104">
        <f t="shared" si="332"/>
        <v>4</v>
      </c>
      <c r="K351" s="104"/>
      <c r="L351" s="104">
        <v>1</v>
      </c>
      <c r="M351" s="104">
        <f>('Renewable Diesel'!C360*'RD Feedstock Breakdown'!M$3*'Feedstock Conversion Rates'!B$2)/12</f>
        <v>7.7902500000000003</v>
      </c>
      <c r="N351" s="104">
        <f>('Renewable Diesel'!C360*'RD Feedstock Breakdown'!N$3*'Feedstock Conversion Rates'!B$8)/12</f>
        <v>3.671875</v>
      </c>
      <c r="O351" s="104">
        <f>('Renewable Diesel'!C360*'RD Feedstock Breakdown'!O$3*'Feedstock Conversion Rates'!B$7)/12</f>
        <v>11.9991</v>
      </c>
      <c r="P351" s="104">
        <f>('Renewable Diesel'!C360*'RD Feedstock Breakdown'!P$3*'Feedstock Conversion Rates'!B$3)/12</f>
        <v>10.4470425</v>
      </c>
      <c r="Q351" s="106">
        <f t="shared" si="299"/>
        <v>38.908267500000001</v>
      </c>
      <c r="R351" s="104">
        <f>('Renewable Diesel'!D360*'RD Feedstock Breakdown'!R$3*'Feedstock Conversion Rates'!B$7)/12</f>
        <v>2.2999999999999998</v>
      </c>
      <c r="S351" s="106">
        <f t="shared" si="329"/>
        <v>2.2999999999999998</v>
      </c>
      <c r="T351" s="104">
        <f t="shared" si="300"/>
        <v>0.82499999999999929</v>
      </c>
      <c r="U351" s="104"/>
      <c r="V351" s="104">
        <f>('Renewable Diesel'!E360*'RD Feedstock Breakdown'!V$3*'Feedstock Conversion Rates'!B$6)/12-20+25</f>
        <v>49.250150000000012</v>
      </c>
      <c r="W351" s="104">
        <f>('Renewable Diesel'!E360*'RD Feedstock Breakdown'!W$3*'Feedstock Conversion Rates'!B$8)/12-6</f>
        <v>16.1796875</v>
      </c>
      <c r="X351" s="106">
        <f t="shared" si="357"/>
        <v>66.254837500000008</v>
      </c>
      <c r="Y351" s="104">
        <f t="shared" si="301"/>
        <v>98</v>
      </c>
      <c r="Z351" s="104">
        <f>('Renewable Diesel'!F360*'RD Feedstock Breakdown'!Z$3*'Feedstock Conversion Rates'!B$6)/12-142+15+5+20+5+15</f>
        <v>77.460000000000008</v>
      </c>
      <c r="AA351" s="104">
        <f>('Renewable Diesel'!F360*'RD Feedstock Breakdown'!AA$3*'Feedstock Conversion Rates'!B$7)/12+24</f>
        <v>128.26666666666665</v>
      </c>
      <c r="AB351" s="106">
        <f t="shared" si="320"/>
        <v>303.72666666666669</v>
      </c>
      <c r="AC351" s="104">
        <f>('Renewable Diesel'!G360*'RD Feedstock Breakdown'!AC$3*'Feedstock Conversion Rates'!B$5)/12</f>
        <v>11.796875</v>
      </c>
      <c r="AD351" s="104">
        <f>('Renewable Diesel'!G360*'RD Feedstock Breakdown'!AD$3*'Feedstock Conversion Rates'!B$4)/12</f>
        <v>5.859375</v>
      </c>
      <c r="AE351" s="104">
        <f>('Renewable Diesel'!G360*'RD Feedstock Breakdown'!AE$3*'Feedstock Conversion Rates'!B$6)/12</f>
        <v>7.3281250000000009</v>
      </c>
      <c r="AF351" s="106">
        <f t="shared" si="366"/>
        <v>24.984375</v>
      </c>
      <c r="AG351" s="104">
        <f t="shared" si="306"/>
        <v>148</v>
      </c>
      <c r="AH351" s="104"/>
      <c r="AI351" s="104">
        <f>('Renewable Diesel'!H360*'RD Feedstock Breakdown'!AI$3*'Feedstock Conversion Rates'!B$6)/12-130-20+51-49</f>
        <v>0.51666666666667993</v>
      </c>
      <c r="AJ351" s="106">
        <f t="shared" si="328"/>
        <v>148.51666666666668</v>
      </c>
      <c r="AK351" s="104">
        <f>('Renewable Diesel'!J360*'RD Feedstock Breakdown'!AK$3*'Feedstock Conversion Rates'!B$4)/12</f>
        <v>95.8125</v>
      </c>
      <c r="AL351" s="106">
        <f t="shared" si="330"/>
        <v>95.8125</v>
      </c>
      <c r="AM351" s="104">
        <f>('Renewable Diesel'!K360*'RD Feedstock Breakdown'!AM$3*'Feedstock Conversion Rates'!B$4)/12+5+15-10+10</f>
        <v>78.59375</v>
      </c>
      <c r="AN351" s="104">
        <f>('Renewable Diesel'!K360*'RD Feedstock Breakdown'!AN$3*'Feedstock Conversion Rates'!B$6)/12-5-15+10-10</f>
        <v>4.4270833333333321</v>
      </c>
      <c r="AO351" s="106">
        <f t="shared" si="350"/>
        <v>83.020833333333329</v>
      </c>
      <c r="AP351" s="104">
        <f>('Renewable Diesel'!L360*'RD Feedstock Breakdown'!AP$3*'Feedstock Conversion Rates'!B$4)/12+15-10+15</f>
        <v>78.59375</v>
      </c>
      <c r="AQ351" s="104">
        <f>('Renewable Diesel'!L360*'RD Feedstock Breakdown'!AQ$3*'Feedstock Conversion Rates'!B$6)/12-15+10-15</f>
        <v>4.4270833333333321</v>
      </c>
      <c r="AR351" s="106">
        <f t="shared" si="339"/>
        <v>83.020833333333329</v>
      </c>
      <c r="AS351" s="104">
        <f>('Renewable Diesel'!M360*'RD Feedstock Breakdown'!AS$3*'Feedstock Conversion Rates'!B$4)/12</f>
        <v>456.25</v>
      </c>
      <c r="AT351" s="104">
        <f>('Renewable Diesel'!M360*'RD Feedstock Breakdown'!AT$3*'Feedstock Conversion Rates'!B$5)/12</f>
        <v>0</v>
      </c>
      <c r="AU351" s="106">
        <f t="shared" si="369"/>
        <v>456.25</v>
      </c>
      <c r="AV351" s="104">
        <f>'Renewable Diesel'!N360*'RD Feedstock Breakdown'!$AV$3*'Feedstock Conversion Rates'!$B$4/12-15-10+25+25-22+25</f>
        <v>106.74999999999999</v>
      </c>
      <c r="AW351" s="104">
        <f>'Renewable Diesel'!N360*'RD Feedstock Breakdown'!$AW$3*'Feedstock Conversion Rates'!$B$7/12+15+10-25-25+22-25</f>
        <v>13.400000000000006</v>
      </c>
      <c r="AX351" s="106">
        <f t="shared" si="322"/>
        <v>120.14999999999999</v>
      </c>
      <c r="AY351" s="104">
        <f>('Renewable Diesel'!O360*'RD Feedstock Breakdown'!AY$3*'Feedstock Conversion Rates'!B$4)/12</f>
        <v>210.9375</v>
      </c>
      <c r="AZ351" s="104">
        <f>('Renewable Diesel'!O360*'RD Feedstock Breakdown'!AZ$3*'Feedstock Conversion Rates'!B$3)/12</f>
        <v>25.03125</v>
      </c>
      <c r="BA351" s="106">
        <f t="shared" si="302"/>
        <v>235.96875</v>
      </c>
      <c r="BB351" s="104">
        <f>('Renewable Diesel'!Q360*'RD Feedstock Breakdown'!BB$3*'Feedstock Conversion Rates'!B$4)/12</f>
        <v>11.156249999999998</v>
      </c>
      <c r="BC351" s="104">
        <f>('Renewable Diesel'!Q360*'RD Feedstock Breakdown'!BC$3*'Feedstock Conversion Rates'!B$3)/12</f>
        <v>1.4017500000000001</v>
      </c>
      <c r="BD351" s="104">
        <f>('Renewable Diesel'!Q360*'RD Feedstock Breakdown'!BD$3*'Feedstock Conversion Rates'!B$6)/12</f>
        <v>0.8207500000000002</v>
      </c>
      <c r="BE351" s="106">
        <f t="shared" si="359"/>
        <v>13.378749999999998</v>
      </c>
      <c r="BF351" s="104">
        <f>('Renewable Diesel'!R360*'RD Feedstock Breakdown'!BF$3*'Feedstock Conversion Rates'!B$4)/12</f>
        <v>62.5</v>
      </c>
      <c r="BG351" s="106">
        <f t="shared" si="344"/>
        <v>62.5</v>
      </c>
      <c r="BH351" s="104">
        <f>('Renewable Diesel'!T360*'RD Feedstock Breakdown'!BH$3*'Feedstock Conversion Rates'!B$7)/12</f>
        <v>27.599999999999998</v>
      </c>
      <c r="BI351" s="106">
        <f t="shared" si="327"/>
        <v>27.599999999999998</v>
      </c>
      <c r="BJ351" s="104">
        <f>('Renewable Diesel'!W360*'RD Feedstock Breakdown'!BJ$3*'Feedstock Conversion Rates'!B$4)/12</f>
        <v>7.5</v>
      </c>
      <c r="BK351" s="104">
        <f>('Renewable Diesel'!W360*'RD Feedstock Breakdown'!BK$3*'Feedstock Conversion Rates'!B$3)/12</f>
        <v>1.335</v>
      </c>
      <c r="BL351" s="104">
        <f>('Renewable Diesel'!W360*'RD Feedstock Breakdown'!BL$3*'Feedstock Conversion Rates'!B$6)/12</f>
        <v>3.1266666666666669</v>
      </c>
      <c r="BM351" s="104">
        <f>('Renewable Diesel'!W360*'RD Feedstock Breakdown'!BM$3*'Feedstock Conversion Rates'!B$7)/12</f>
        <v>1.5333333333333332</v>
      </c>
      <c r="BN351" s="106">
        <f t="shared" si="374"/>
        <v>13.495000000000001</v>
      </c>
      <c r="BO351" s="104">
        <f>('Renewable Diesel'!P360*'Feedstock Conversion Rates'!B$4)/12</f>
        <v>31.25</v>
      </c>
      <c r="BP351" s="106">
        <f t="shared" si="367"/>
        <v>31.25</v>
      </c>
      <c r="BQ351" s="104">
        <f>('Renewable Diesel'!$S360*'RD Feedstock Breakdown'!BQ$3*'Feedstock Conversion Rates'!B$4)/12+10+15-15</f>
        <v>38.125</v>
      </c>
      <c r="BR351" s="104">
        <f>('Renewable Diesel'!$S360*'RD Feedstock Breakdown'!BR$3*'Feedstock Conversion Rates'!B$7)/12-10-15+15</f>
        <v>1.5</v>
      </c>
      <c r="BS351" s="106">
        <f t="shared" si="307"/>
        <v>39.625</v>
      </c>
      <c r="BT351" s="106"/>
      <c r="BU351" s="104">
        <f>('Renewable Diesel'!Y360*'Feedstock Conversion Rates'!B$7)/12</f>
        <v>2.6833333333333331</v>
      </c>
      <c r="BV351" s="106">
        <f t="shared" si="361"/>
        <v>2.6833333333333331</v>
      </c>
      <c r="BW351" s="104">
        <f>('Renewable Diesel'!$Z360*'RD Feedstock Breakdown'!BW$3*'Feedstock Conversion Rates'!$B$4)/12-230+160</f>
        <v>1.875</v>
      </c>
      <c r="BX351" s="104">
        <f>('Renewable Diesel'!$Z360*'RD Feedstock Breakdown'!BX$3*'Feedstock Conversion Rates'!$B$5)/12</f>
        <v>7.2354166666666666</v>
      </c>
      <c r="BY351" s="104">
        <f>('Renewable Diesel'!$Z360*'RD Feedstock Breakdown'!BY$3*'Feedstock Conversion Rates'!$B$7)/12</f>
        <v>61.716666666666661</v>
      </c>
      <c r="BZ351" s="104">
        <f>('Renewable Diesel'!$Z360*'RD Feedstock Breakdown'!BZ$3*'Feedstock Conversion Rates'!$B$3)/12+230-160</f>
        <v>85.352499999999992</v>
      </c>
      <c r="CA351" s="106">
        <f t="shared" si="312"/>
        <v>156.17958333333331</v>
      </c>
      <c r="CB351" s="104">
        <f>('Renewable Diesel'!AA360*'Feedstock Conversion Rates'!B$4)/12</f>
        <v>191.25</v>
      </c>
      <c r="CC351" s="106">
        <f t="shared" si="376"/>
        <v>191.25</v>
      </c>
      <c r="CD351" s="104">
        <f>('Renewable Diesel'!$AB360*'RD Feedstock Breakdown'!CD$3*'Feedstock Conversion Rates'!$B$6)/12-15-5</f>
        <v>12.830000000000005</v>
      </c>
      <c r="CE351" s="104">
        <f>('Renewable Diesel'!$AB360*'RD Feedstock Breakdown'!CE$3*'Feedstock Conversion Rates'!$B$4)/12+15+5</f>
        <v>31.25</v>
      </c>
      <c r="CF351" s="106">
        <f t="shared" si="372"/>
        <v>44.080000000000005</v>
      </c>
      <c r="CG351" s="104">
        <f>('Renewable Diesel'!AD360*'Feedstock Conversion Rates'!B$4)/12</f>
        <v>112.5</v>
      </c>
      <c r="CH351" s="106">
        <f t="shared" si="358"/>
        <v>112.5</v>
      </c>
      <c r="CI351" s="104">
        <f>('Renewable Diesel'!$AE360*'RD Feedstock Breakdown'!CI$3*'Feedstock Conversion Rates'!$B$5)/12</f>
        <v>0.34604166666666664</v>
      </c>
      <c r="CJ351" s="104">
        <f>('Renewable Diesel'!$AE360*'RD Feedstock Breakdown'!CJ$3*'Feedstock Conversion Rates'!$B$4)/12</f>
        <v>0.34375</v>
      </c>
      <c r="CK351" s="106">
        <f t="shared" si="368"/>
        <v>0.68979166666666658</v>
      </c>
      <c r="CL351" s="104">
        <f>(((CL$3*'Renewable Diesel'!$AF360)*'Feedstock Conversion Rates'!$B$3)/12)</f>
        <v>91.78125</v>
      </c>
      <c r="CM351" s="104">
        <f>(((CM$3*'Renewable Diesel'!$AF360)*'Feedstock Conversion Rates'!$B$6)/12)</f>
        <v>53.739583333333336</v>
      </c>
      <c r="CN351" s="104">
        <f>(((CN$3*'Renewable Diesel'!$AF360)*'Feedstock Conversion Rates'!$B$4)/12)</f>
        <v>42.96875</v>
      </c>
      <c r="CO351" s="106">
        <f t="shared" si="360"/>
        <v>188.48958333333334</v>
      </c>
      <c r="CP351" s="104">
        <f>('Renewable Diesel'!$AG360*'RD Feedstock Breakdown'!CP$3*'Feedstock Conversion Rates'!$B$3)/12</f>
        <v>6.0075000000000003</v>
      </c>
      <c r="CQ351" s="104">
        <f>('Renewable Diesel'!$AG360*'RD Feedstock Breakdown'!CQ$3*'Feedstock Conversion Rates'!$B$6)/12</f>
        <v>3.5175000000000001</v>
      </c>
      <c r="CR351" s="104">
        <f>('Renewable Diesel'!$AG360*'RD Feedstock Breakdown'!CR$3*'Feedstock Conversion Rates'!$B$4)/12</f>
        <v>2.8125</v>
      </c>
      <c r="CS351" s="106">
        <f t="shared" si="317"/>
        <v>12.3375</v>
      </c>
      <c r="CT351" s="104">
        <f>('Renewable Diesel'!AI360*'Feedstock Conversion Rates'!$B$4*'RD Feedstock Breakdown'!$CT$3)/12</f>
        <v>29.375</v>
      </c>
      <c r="CU351" s="106">
        <f t="shared" si="364"/>
        <v>29.375</v>
      </c>
      <c r="CV351" s="104">
        <f>('Renewable Diesel'!AN360*'Feedstock Conversion Rates'!$B$3*'RD Feedstock Breakdown'!$CV$3)/12</f>
        <v>0.50062499999999999</v>
      </c>
      <c r="CW351" s="106">
        <f t="shared" si="338"/>
        <v>0.50062499999999999</v>
      </c>
      <c r="CX351" s="104">
        <f>('Renewable Diesel'!AO360*'RD Feedstock Breakdown'!$CX$3*'Feedstock Conversion Rates'!$B$3)/12</f>
        <v>6.3412499999999996</v>
      </c>
      <c r="CY351" s="104">
        <f>('Renewable Diesel'!AO360*'RD Feedstock Breakdown'!$CY$3*'Feedstock Conversion Rates'!$B$6)/12</f>
        <v>7.4258333333333342</v>
      </c>
      <c r="CZ351" s="106">
        <f t="shared" si="318"/>
        <v>13.767083333333334</v>
      </c>
      <c r="DA351" s="104">
        <f>('Renewable Diesel'!$AP360*'RD Feedstock Breakdown'!DA$3*'Feedstock Conversion Rates'!$B$3)/12</f>
        <v>6.3412499999999996</v>
      </c>
      <c r="DB351" s="104">
        <f>('Renewable Diesel'!$AP360*'RD Feedstock Breakdown'!DB$3*'Feedstock Conversion Rates'!$B$8)/12</f>
        <v>7.421875</v>
      </c>
      <c r="DC351" s="106">
        <f t="shared" si="342"/>
        <v>13.763124999999999</v>
      </c>
      <c r="DD351" s="104">
        <f>('Renewable Diesel'!AQ360*$DD$3*'Feedstock Conversion Rates'!$B$14)/12</f>
        <v>3.1041666666666665</v>
      </c>
      <c r="DE351" s="106">
        <f t="shared" si="343"/>
        <v>3.1041666666666665</v>
      </c>
      <c r="DF351" s="104">
        <f>('Renewable Diesel'!AR360*'Feedstock Conversion Rates'!$B$4*$DF$3)/12</f>
        <v>75</v>
      </c>
      <c r="DG351" s="106">
        <f t="shared" si="319"/>
        <v>75</v>
      </c>
      <c r="DH351" s="104">
        <f>('Renewable Diesel'!AS360*'Feedstock Conversion Rates'!$B$4*$DH$3)/12</f>
        <v>75</v>
      </c>
      <c r="DI351" s="106">
        <f t="shared" si="323"/>
        <v>75</v>
      </c>
      <c r="DJ351" s="104">
        <f>('Renewable Diesel'!AT360*'Feedstock Conversion Rates'!$B$4*0.25)/12</f>
        <v>8.59375</v>
      </c>
      <c r="DK351" s="104">
        <f>('Renewable Diesel'!$AT360*'RD Feedstock Breakdown'!DK$3*'Feedstock Conversion Rates'!$B$3)/12*0.5</f>
        <v>9.1781249999999996</v>
      </c>
      <c r="DL351" s="104">
        <f>('Renewable Diesel'!$AT360*'RD Feedstock Breakdown'!$DL$3*'Feedstock Conversion Rates'!$B$6)/12</f>
        <v>10.747916666666669</v>
      </c>
      <c r="DM351" s="104">
        <f>('Renewable Diesel'!$AT360*'RD Feedstock Breakdown'!$DM$3*'Feedstock Conversion Rates'!$B$8)/12</f>
        <v>10.7421875</v>
      </c>
      <c r="DN351" s="106">
        <f t="shared" si="375"/>
        <v>39.26197916666667</v>
      </c>
      <c r="DP351" s="104">
        <f t="shared" si="345"/>
        <v>103.22025000000001</v>
      </c>
      <c r="DQ351" s="104">
        <f t="shared" si="346"/>
        <v>324.11776750000001</v>
      </c>
      <c r="DR351" s="104">
        <f t="shared" si="351"/>
        <v>1916.953125</v>
      </c>
      <c r="DS351" s="104">
        <f t="shared" si="365"/>
        <v>228.90125</v>
      </c>
      <c r="DT351" s="104">
        <f t="shared" si="347"/>
        <v>243.03923333333344</v>
      </c>
      <c r="DU351" s="104">
        <f t="shared" si="348"/>
        <v>402.90610000000009</v>
      </c>
      <c r="DV351" s="104">
        <f t="shared" si="352"/>
        <v>78.75</v>
      </c>
      <c r="DW351" s="104">
        <f t="shared" si="349"/>
        <v>3</v>
      </c>
      <c r="DX351" s="106">
        <f t="shared" si="353"/>
        <v>3300.8877258333337</v>
      </c>
      <c r="DY351" s="109">
        <f t="shared" si="340"/>
        <v>-5.631051180898794E-13</v>
      </c>
      <c r="EA351" s="110">
        <f t="shared" si="313"/>
        <v>3.1270451640078516E-2</v>
      </c>
      <c r="EB351" s="110">
        <f t="shared" si="313"/>
        <v>9.8191091130848465E-2</v>
      </c>
      <c r="EC351" s="110">
        <f t="shared" si="313"/>
        <v>0.58073866311707134</v>
      </c>
      <c r="ED351" s="110">
        <f t="shared" si="308"/>
        <v>6.9345360706629972E-2</v>
      </c>
      <c r="EE351" s="110">
        <f t="shared" si="308"/>
        <v>7.3628445896921982E-2</v>
      </c>
      <c r="EF351" s="110">
        <f t="shared" si="308"/>
        <v>0.1220599225010852</v>
      </c>
      <c r="EG351" s="110">
        <f t="shared" si="308"/>
        <v>2.3857218585075921E-2</v>
      </c>
      <c r="EH351" s="111">
        <f t="shared" si="354"/>
        <v>9.0884642228860647E-4</v>
      </c>
      <c r="EI351" s="110">
        <f t="shared" si="321"/>
        <v>0.9990911535777115</v>
      </c>
      <c r="EK351" s="132">
        <f>(EA351*'Renewable Diesel'!BF360*'Feedstock Conversion Rates'!B$2)+FB351</f>
        <v>745.34001341864348</v>
      </c>
      <c r="EL351" s="132">
        <f>(EB351*'Renewable Diesel'!BF360*'Feedstock Conversion Rates'!B$3)+FC351</f>
        <v>2205.4944004895788</v>
      </c>
      <c r="EM351" s="132">
        <f>(EC351*'Renewable Diesel'!BF360*'Feedstock Conversion Rates'!B$4)+FD351</f>
        <v>12213.59068061124</v>
      </c>
      <c r="EN351" s="132">
        <f>(ED351*'Renewable Diesel'!BF360*'Feedstock Conversion Rates'!B$5)+FE351</f>
        <v>1468.1340812331018</v>
      </c>
      <c r="EO351" s="132">
        <f>(EE351*'Renewable Diesel'!BF360*'Feedstock Conversion Rates'!B$6)+FF351</f>
        <v>1936.6441551470571</v>
      </c>
      <c r="EP351" s="132">
        <f>(EF351*'Renewable Diesel'!BF360*'Feedstock Conversion Rates'!B$7)+FG351</f>
        <v>3148.9246930658646</v>
      </c>
      <c r="EQ351" s="132">
        <f>(EG351*'Renewable Diesel'!BF360*'Feedstock Conversion Rates'!B$8)+FH351</f>
        <v>627.18035039206757</v>
      </c>
      <c r="ER351" s="132">
        <f>(EH351*'Renewable Diesel'!BF360*'Feedstock Conversion Rates'!B$9)+FI351</f>
        <v>23.574016979816122</v>
      </c>
      <c r="ES351" s="132">
        <f t="shared" si="355"/>
        <v>22368.882391337364</v>
      </c>
      <c r="ET351" s="133">
        <f>ES351/'Renewable Diesel'!BF360</f>
        <v>19.998236098498626</v>
      </c>
      <c r="EW351" s="73">
        <f t="shared" si="309"/>
        <v>21905.970352833545</v>
      </c>
      <c r="EX351" s="73">
        <f t="shared" si="310"/>
        <v>13909.110203179738</v>
      </c>
      <c r="EY351" s="92">
        <f t="shared" si="341"/>
        <v>0.979305535680983</v>
      </c>
      <c r="EZ351" s="92">
        <f t="shared" si="341"/>
        <v>0.62180621990154583</v>
      </c>
      <c r="FB351" s="102">
        <f>IF('Renewable Diesel'!$BG360&lt;1,0,(((('Renewable Diesel'!$BG360-1)*'Renewable Diesel'!$BF360)*'RD Feedstock Breakdown'!EA351)*'Feedstock Conversion Rates'!$B$2))</f>
        <v>448.03264397198615</v>
      </c>
      <c r="FC351" s="102">
        <f>IF('Renewable Diesel'!$BG360&lt;1,0,(((('Renewable Diesel'!$BG360-1)*'Renewable Diesel'!$BF360)*'RD Feedstock Breakdown'!EB351)*'Feedstock Conversion Rates'!$B$3))</f>
        <v>1325.7486110057268</v>
      </c>
      <c r="FD351" s="102">
        <f>IF('Renewable Diesel'!$BG360&lt;1,0,(((('Renewable Diesel'!$BG360-1)*'Renewable Diesel'!$BF360)*'RD Feedstock Breakdown'!EC351)*'Feedstock Conversion Rates'!$B$4))</f>
        <v>7341.7329359886307</v>
      </c>
      <c r="FE351" s="102">
        <f>IF('Renewable Diesel'!$BG360&lt;1,0,(((('Renewable Diesel'!$BG360-1)*'Renewable Diesel'!$BF360)*'RD Feedstock Breakdown'!ED351)*'Feedstock Conversion Rates'!$B$5))</f>
        <v>882.51265500057229</v>
      </c>
      <c r="FF351" s="102">
        <f>IF('Renewable Diesel'!$BG360&lt;1,0,(((('Renewable Diesel'!$BG360-1)*'Renewable Diesel'!$BF360)*'RD Feedstock Breakdown'!EE351)*'Feedstock Conversion Rates'!$B$6))</f>
        <v>1164.1395680390901</v>
      </c>
      <c r="FG351" s="102">
        <f>IF('Renewable Diesel'!$BG360&lt;1,0,(((('Renewable Diesel'!$BG360-1)*'Renewable Diesel'!$BF360)*'RD Feedstock Breakdown'!EF351)*'Feedstock Conversion Rates'!$B$7))</f>
        <v>1892.8556504459966</v>
      </c>
      <c r="FH351" s="102">
        <f>IF('Renewable Diesel'!$BG360&lt;1,0,(((('Renewable Diesel'!$BG360-1)*'Renewable Diesel'!$BF360)*'RD Feedstock Breakdown'!EG351)*'Feedstock Conversion Rates'!$B$8))</f>
        <v>377.00548149104105</v>
      </c>
      <c r="FI351" s="102">
        <f>IF('Renewable Diesel'!$BG360&lt;1,0,(((('Renewable Diesel'!$BG360-1)*'Renewable Diesel'!$BF360)*'RD Feedstock Breakdown'!EH351)*'Feedstock Conversion Rates'!$B$9))</f>
        <v>14.170618732869604</v>
      </c>
      <c r="FJ351" s="102">
        <f t="shared" si="311"/>
        <v>13446.198164675912</v>
      </c>
      <c r="GD351" s="91">
        <f>'Renewable Diesel'!BB360*0.32</f>
        <v>0</v>
      </c>
      <c r="GE351" s="91">
        <f>'Renewable Diesel'!BC360</f>
        <v>439.34553413390921</v>
      </c>
      <c r="GF351" s="91">
        <f>'Renewable Diesel'!BD360</f>
        <v>0</v>
      </c>
      <c r="GG351" s="91">
        <f t="shared" si="373"/>
        <v>439.34553413390921</v>
      </c>
      <c r="GH351" s="124">
        <v>1</v>
      </c>
      <c r="GI351" s="102">
        <f>$GG351*EA351*'Feedstock Conversion Rates'!$B$2</f>
        <v>116.77753286656042</v>
      </c>
      <c r="GJ351" s="102">
        <f>$GG351*EB351*'Feedstock Conversion Rates'!$B$3</f>
        <v>345.54993721439251</v>
      </c>
      <c r="GK351" s="102">
        <f>$GG351*EC351*'Feedstock Conversion Rates'!$B$4</f>
        <v>1913.5870360453655</v>
      </c>
      <c r="GL351" s="102">
        <f>$GG351*ED351*'Feedstock Conversion Rates'!$B$5</f>
        <v>230.02263777219022</v>
      </c>
      <c r="GM351" s="102">
        <f>$GG351*EE351*'Feedstock Conversion Rates'!$B$6</f>
        <v>303.42732498850791</v>
      </c>
      <c r="GN351" s="102">
        <f>$GG351*EF351*'Feedstock Conversion Rates'!$B$7</f>
        <v>493.36363299776212</v>
      </c>
      <c r="GO351" s="102">
        <f>$GG351*EG351*'Feedstock Conversion Rates'!$B$8</f>
        <v>98.264647895715058</v>
      </c>
      <c r="GP351" s="102">
        <f>$GG351*EH351*'Feedstock Conversion Rates'!B$9</f>
        <v>3.6935029558262422</v>
      </c>
      <c r="GQ351" s="102">
        <f t="shared" si="356"/>
        <v>3504.6862527363196</v>
      </c>
      <c r="GR351" s="85">
        <f t="shared" si="371"/>
        <v>7.9770612887762224</v>
      </c>
      <c r="GT351" s="103">
        <f t="shared" si="333"/>
        <v>3.3320395734535491E-2</v>
      </c>
      <c r="GU351" s="103">
        <f t="shared" si="334"/>
        <v>9.8596539688709919E-2</v>
      </c>
      <c r="GV351" s="103">
        <f t="shared" si="335"/>
        <v>0.54600808690116365</v>
      </c>
      <c r="GW351" s="103">
        <f t="shared" si="331"/>
        <v>6.563287586516417E-2</v>
      </c>
      <c r="GX351" s="103">
        <f t="shared" si="331"/>
        <v>8.6577600135134478E-2</v>
      </c>
      <c r="GY351" s="103">
        <f t="shared" si="331"/>
        <v>0.14077255349535597</v>
      </c>
      <c r="GZ351" s="103">
        <f t="shared" si="331"/>
        <v>2.8038072685962673E-2</v>
      </c>
      <c r="HA351" s="103">
        <f t="shared" si="331"/>
        <v>1.0538754939739619E-3</v>
      </c>
    </row>
    <row r="352" spans="1:209" x14ac:dyDescent="0.25">
      <c r="A352" s="96">
        <v>51136</v>
      </c>
      <c r="B352" s="104">
        <f t="shared" si="377"/>
        <v>69.25</v>
      </c>
      <c r="C352" s="104">
        <f t="shared" si="314"/>
        <v>49</v>
      </c>
      <c r="D352" s="104">
        <f t="shared" si="378"/>
        <v>2</v>
      </c>
      <c r="E352" s="104">
        <f>('Renewable Diesel'!B361*E$3*'Feedstock Conversion Rates'!$B$2)/12+26+13-100+27.5+39</f>
        <v>95.43</v>
      </c>
      <c r="F352" s="104">
        <f>('Renewable Diesel'!B361*'RD Feedstock Breakdown'!F$3*'Feedstock Conversion Rates'!B$8)/12+77+23-10-12-115.75+24+8</f>
        <v>48.15625</v>
      </c>
      <c r="G352" s="104">
        <f>('Renewable Diesel'!B361*'RD Feedstock Breakdown'!G$3*'Feedstock Conversion Rates'!B$7)/12+116.75-39-57.5-145-31.5+32+70-40+10+60</f>
        <v>151.90700000000004</v>
      </c>
      <c r="H352" s="104">
        <f>('Renewable Diesel'!B361*'RD Feedstock Breakdown'!H$3*'Feedstock Conversion Rates'!B$3)/12+67+10+12+3-235+20+47-20</f>
        <v>80.400224999999978</v>
      </c>
      <c r="I352" s="106">
        <f t="shared" si="370"/>
        <v>496.14347500000002</v>
      </c>
      <c r="J352" s="104">
        <f t="shared" si="332"/>
        <v>4</v>
      </c>
      <c r="K352" s="104"/>
      <c r="L352" s="104">
        <v>1</v>
      </c>
      <c r="M352" s="104">
        <f>('Renewable Diesel'!C361*'RD Feedstock Breakdown'!M$3*'Feedstock Conversion Rates'!B$2)/12</f>
        <v>7.7902500000000003</v>
      </c>
      <c r="N352" s="104">
        <f>('Renewable Diesel'!C361*'RD Feedstock Breakdown'!N$3*'Feedstock Conversion Rates'!B$8)/12</f>
        <v>3.671875</v>
      </c>
      <c r="O352" s="104">
        <f>('Renewable Diesel'!C361*'RD Feedstock Breakdown'!O$3*'Feedstock Conversion Rates'!B$7)/12</f>
        <v>11.9991</v>
      </c>
      <c r="P352" s="104">
        <f>('Renewable Diesel'!C361*'RD Feedstock Breakdown'!P$3*'Feedstock Conversion Rates'!B$3)/12</f>
        <v>10.4470425</v>
      </c>
      <c r="Q352" s="106">
        <f t="shared" si="299"/>
        <v>38.908267500000001</v>
      </c>
      <c r="R352" s="104">
        <f>('Renewable Diesel'!D361*'RD Feedstock Breakdown'!R$3*'Feedstock Conversion Rates'!B$7)/12</f>
        <v>2.2999999999999998</v>
      </c>
      <c r="S352" s="106">
        <f t="shared" si="329"/>
        <v>2.2999999999999998</v>
      </c>
      <c r="T352" s="104">
        <f t="shared" si="300"/>
        <v>0.82499999999999929</v>
      </c>
      <c r="U352" s="104"/>
      <c r="V352" s="104">
        <f>('Renewable Diesel'!E361*'RD Feedstock Breakdown'!V$3*'Feedstock Conversion Rates'!B$6)/12-20+25</f>
        <v>49.250150000000012</v>
      </c>
      <c r="W352" s="104">
        <f>('Renewable Diesel'!E361*'RD Feedstock Breakdown'!W$3*'Feedstock Conversion Rates'!B$8)/12-6</f>
        <v>16.1796875</v>
      </c>
      <c r="X352" s="106">
        <f t="shared" si="357"/>
        <v>66.254837500000008</v>
      </c>
      <c r="Y352" s="104">
        <f t="shared" si="301"/>
        <v>98</v>
      </c>
      <c r="Z352" s="104">
        <f>('Renewable Diesel'!F361*'RD Feedstock Breakdown'!Z$3*'Feedstock Conversion Rates'!B$6)/12-142+15+5+20+5+15</f>
        <v>77.460000000000008</v>
      </c>
      <c r="AA352" s="104">
        <f>('Renewable Diesel'!F361*'RD Feedstock Breakdown'!AA$3*'Feedstock Conversion Rates'!B$7)/12+24</f>
        <v>128.26666666666665</v>
      </c>
      <c r="AB352" s="106">
        <f t="shared" si="320"/>
        <v>303.72666666666669</v>
      </c>
      <c r="AC352" s="104">
        <f>('Renewable Diesel'!G361*'RD Feedstock Breakdown'!AC$3*'Feedstock Conversion Rates'!B$5)/12</f>
        <v>11.796875</v>
      </c>
      <c r="AD352" s="104">
        <f>('Renewable Diesel'!G361*'RD Feedstock Breakdown'!AD$3*'Feedstock Conversion Rates'!B$4)/12</f>
        <v>5.859375</v>
      </c>
      <c r="AE352" s="104">
        <f>('Renewable Diesel'!G361*'RD Feedstock Breakdown'!AE$3*'Feedstock Conversion Rates'!B$6)/12</f>
        <v>7.3281250000000009</v>
      </c>
      <c r="AF352" s="106">
        <f t="shared" si="366"/>
        <v>24.984375</v>
      </c>
      <c r="AG352" s="104">
        <f t="shared" si="306"/>
        <v>148</v>
      </c>
      <c r="AH352" s="104"/>
      <c r="AI352" s="104">
        <f>('Renewable Diesel'!H361*'RD Feedstock Breakdown'!AI$3*'Feedstock Conversion Rates'!B$6)/12-130-20+51-49</f>
        <v>0.51666666666667993</v>
      </c>
      <c r="AJ352" s="106">
        <f t="shared" si="328"/>
        <v>148.51666666666668</v>
      </c>
      <c r="AK352" s="104">
        <f>('Renewable Diesel'!J361*'RD Feedstock Breakdown'!AK$3*'Feedstock Conversion Rates'!B$4)/12</f>
        <v>95.8125</v>
      </c>
      <c r="AL352" s="106">
        <f t="shared" si="330"/>
        <v>95.8125</v>
      </c>
      <c r="AM352" s="104">
        <f>('Renewable Diesel'!K361*'RD Feedstock Breakdown'!AM$3*'Feedstock Conversion Rates'!B$4)/12+5+15-10+10</f>
        <v>78.59375</v>
      </c>
      <c r="AN352" s="104">
        <f>('Renewable Diesel'!K361*'RD Feedstock Breakdown'!AN$3*'Feedstock Conversion Rates'!B$6)/12-5-15+10-10</f>
        <v>4.4270833333333321</v>
      </c>
      <c r="AO352" s="106">
        <f t="shared" si="350"/>
        <v>83.020833333333329</v>
      </c>
      <c r="AP352" s="104">
        <f>('Renewable Diesel'!L361*'RD Feedstock Breakdown'!AP$3*'Feedstock Conversion Rates'!B$4)/12+15-10+15</f>
        <v>78.59375</v>
      </c>
      <c r="AQ352" s="104">
        <f>('Renewable Diesel'!L361*'RD Feedstock Breakdown'!AQ$3*'Feedstock Conversion Rates'!B$6)/12-15+10-15</f>
        <v>4.4270833333333321</v>
      </c>
      <c r="AR352" s="106">
        <f t="shared" si="339"/>
        <v>83.020833333333329</v>
      </c>
      <c r="AS352" s="104">
        <f>('Renewable Diesel'!M361*'RD Feedstock Breakdown'!AS$3*'Feedstock Conversion Rates'!B$4)/12</f>
        <v>456.25</v>
      </c>
      <c r="AT352" s="104">
        <f>('Renewable Diesel'!M361*'RD Feedstock Breakdown'!AT$3*'Feedstock Conversion Rates'!B$5)/12</f>
        <v>0</v>
      </c>
      <c r="AU352" s="106">
        <f t="shared" si="369"/>
        <v>456.25</v>
      </c>
      <c r="AV352" s="104">
        <f>'Renewable Diesel'!N361*'RD Feedstock Breakdown'!$AV$3*'Feedstock Conversion Rates'!$B$4/12-15-10+25+25-22+25</f>
        <v>106.74999999999999</v>
      </c>
      <c r="AW352" s="104">
        <f>'Renewable Diesel'!N361*'RD Feedstock Breakdown'!$AW$3*'Feedstock Conversion Rates'!$B$7/12+15+10-25-25+22-25</f>
        <v>13.400000000000006</v>
      </c>
      <c r="AX352" s="106">
        <f t="shared" si="322"/>
        <v>120.14999999999999</v>
      </c>
      <c r="AY352" s="104">
        <f>('Renewable Diesel'!O361*'RD Feedstock Breakdown'!AY$3*'Feedstock Conversion Rates'!B$4)/12</f>
        <v>210.9375</v>
      </c>
      <c r="AZ352" s="104">
        <f>('Renewable Diesel'!O361*'RD Feedstock Breakdown'!AZ$3*'Feedstock Conversion Rates'!B$3)/12</f>
        <v>25.03125</v>
      </c>
      <c r="BA352" s="106">
        <f t="shared" si="302"/>
        <v>235.96875</v>
      </c>
      <c r="BB352" s="104">
        <f>('Renewable Diesel'!Q361*'RD Feedstock Breakdown'!BB$3*'Feedstock Conversion Rates'!B$4)/12</f>
        <v>11.156249999999998</v>
      </c>
      <c r="BC352" s="104">
        <f>('Renewable Diesel'!Q361*'RD Feedstock Breakdown'!BC$3*'Feedstock Conversion Rates'!B$3)/12</f>
        <v>1.4017500000000001</v>
      </c>
      <c r="BD352" s="104">
        <f>('Renewable Diesel'!Q361*'RD Feedstock Breakdown'!BD$3*'Feedstock Conversion Rates'!B$6)/12</f>
        <v>0.8207500000000002</v>
      </c>
      <c r="BE352" s="106">
        <f t="shared" si="359"/>
        <v>13.378749999999998</v>
      </c>
      <c r="BF352" s="104">
        <f>('Renewable Diesel'!R361*'RD Feedstock Breakdown'!BF$3*'Feedstock Conversion Rates'!B$4)/12</f>
        <v>62.5</v>
      </c>
      <c r="BG352" s="106">
        <f t="shared" si="344"/>
        <v>62.5</v>
      </c>
      <c r="BH352" s="104">
        <f>('Renewable Diesel'!T361*'RD Feedstock Breakdown'!BH$3*'Feedstock Conversion Rates'!B$7)/12</f>
        <v>27.599999999999998</v>
      </c>
      <c r="BI352" s="106">
        <f t="shared" si="327"/>
        <v>27.599999999999998</v>
      </c>
      <c r="BJ352" s="104">
        <f>('Renewable Diesel'!W361*'RD Feedstock Breakdown'!BJ$3*'Feedstock Conversion Rates'!B$4)/12</f>
        <v>7.5</v>
      </c>
      <c r="BK352" s="104">
        <f>('Renewable Diesel'!W361*'RD Feedstock Breakdown'!BK$3*'Feedstock Conversion Rates'!B$3)/12</f>
        <v>1.335</v>
      </c>
      <c r="BL352" s="104">
        <f>('Renewable Diesel'!W361*'RD Feedstock Breakdown'!BL$3*'Feedstock Conversion Rates'!B$6)/12</f>
        <v>3.1266666666666669</v>
      </c>
      <c r="BM352" s="104">
        <f>('Renewable Diesel'!W361*'RD Feedstock Breakdown'!BM$3*'Feedstock Conversion Rates'!B$7)/12</f>
        <v>1.5333333333333332</v>
      </c>
      <c r="BN352" s="106">
        <f t="shared" si="374"/>
        <v>13.495000000000001</v>
      </c>
      <c r="BO352" s="104">
        <f>('Renewable Diesel'!P361*'Feedstock Conversion Rates'!B$4)/12</f>
        <v>31.25</v>
      </c>
      <c r="BP352" s="106">
        <f t="shared" si="367"/>
        <v>31.25</v>
      </c>
      <c r="BQ352" s="104">
        <f>('Renewable Diesel'!$S361*'RD Feedstock Breakdown'!BQ$3*'Feedstock Conversion Rates'!B$4)/12+10+15-15</f>
        <v>38.125</v>
      </c>
      <c r="BR352" s="104">
        <f>('Renewable Diesel'!$S361*'RD Feedstock Breakdown'!BR$3*'Feedstock Conversion Rates'!B$7)/12-10-15+15</f>
        <v>1.5</v>
      </c>
      <c r="BS352" s="106">
        <f t="shared" si="307"/>
        <v>39.625</v>
      </c>
      <c r="BT352" s="106"/>
      <c r="BU352" s="104">
        <f>('Renewable Diesel'!Y361*'Feedstock Conversion Rates'!B$7)/12</f>
        <v>2.6833333333333331</v>
      </c>
      <c r="BV352" s="106">
        <f t="shared" si="361"/>
        <v>2.6833333333333331</v>
      </c>
      <c r="BW352" s="104">
        <f>('Renewable Diesel'!$Z361*'RD Feedstock Breakdown'!BW$3*'Feedstock Conversion Rates'!$B$4)/12-230+160</f>
        <v>1.875</v>
      </c>
      <c r="BX352" s="104">
        <f>('Renewable Diesel'!$Z361*'RD Feedstock Breakdown'!BX$3*'Feedstock Conversion Rates'!$B$5)/12</f>
        <v>7.2354166666666666</v>
      </c>
      <c r="BY352" s="104">
        <f>('Renewable Diesel'!$Z361*'RD Feedstock Breakdown'!BY$3*'Feedstock Conversion Rates'!$B$7)/12</f>
        <v>61.716666666666661</v>
      </c>
      <c r="BZ352" s="104">
        <f>('Renewable Diesel'!$Z361*'RD Feedstock Breakdown'!BZ$3*'Feedstock Conversion Rates'!$B$3)/12+230-160</f>
        <v>85.352499999999992</v>
      </c>
      <c r="CA352" s="106">
        <f t="shared" si="312"/>
        <v>156.17958333333331</v>
      </c>
      <c r="CB352" s="104">
        <f>('Renewable Diesel'!AA361*'Feedstock Conversion Rates'!B$4)/12</f>
        <v>191.25</v>
      </c>
      <c r="CC352" s="106">
        <f t="shared" si="376"/>
        <v>191.25</v>
      </c>
      <c r="CD352" s="104">
        <f>('Renewable Diesel'!$AB361*'RD Feedstock Breakdown'!CD$3*'Feedstock Conversion Rates'!$B$6)/12-15-5</f>
        <v>12.830000000000005</v>
      </c>
      <c r="CE352" s="104">
        <f>('Renewable Diesel'!$AB361*'RD Feedstock Breakdown'!CE$3*'Feedstock Conversion Rates'!$B$4)/12+15+5</f>
        <v>31.25</v>
      </c>
      <c r="CF352" s="106">
        <f t="shared" si="372"/>
        <v>44.080000000000005</v>
      </c>
      <c r="CG352" s="104">
        <f>('Renewable Diesel'!AD361*'Feedstock Conversion Rates'!B$4)/12</f>
        <v>112.5</v>
      </c>
      <c r="CH352" s="106">
        <f t="shared" si="358"/>
        <v>112.5</v>
      </c>
      <c r="CI352" s="104">
        <f>('Renewable Diesel'!$AE361*'RD Feedstock Breakdown'!CI$3*'Feedstock Conversion Rates'!$B$5)/12</f>
        <v>0.34604166666666664</v>
      </c>
      <c r="CJ352" s="104">
        <f>('Renewable Diesel'!$AE361*'RD Feedstock Breakdown'!CJ$3*'Feedstock Conversion Rates'!$B$4)/12</f>
        <v>0.34375</v>
      </c>
      <c r="CK352" s="106">
        <f t="shared" si="368"/>
        <v>0.68979166666666658</v>
      </c>
      <c r="CL352" s="104">
        <f>(((CL$3*'Renewable Diesel'!$AF361)*'Feedstock Conversion Rates'!$B$3)/12)</f>
        <v>91.78125</v>
      </c>
      <c r="CM352" s="104">
        <f>(((CM$3*'Renewable Diesel'!$AF361)*'Feedstock Conversion Rates'!$B$6)/12)</f>
        <v>53.739583333333336</v>
      </c>
      <c r="CN352" s="104">
        <f>(((CN$3*'Renewable Diesel'!$AF361)*'Feedstock Conversion Rates'!$B$4)/12)</f>
        <v>42.96875</v>
      </c>
      <c r="CO352" s="106">
        <f t="shared" si="360"/>
        <v>188.48958333333334</v>
      </c>
      <c r="CP352" s="104">
        <f>('Renewable Diesel'!$AG361*'RD Feedstock Breakdown'!CP$3*'Feedstock Conversion Rates'!$B$3)/12</f>
        <v>6.0075000000000003</v>
      </c>
      <c r="CQ352" s="104">
        <f>('Renewable Diesel'!$AG361*'RD Feedstock Breakdown'!CQ$3*'Feedstock Conversion Rates'!$B$6)/12</f>
        <v>3.5175000000000001</v>
      </c>
      <c r="CR352" s="104">
        <f>('Renewable Diesel'!$AG361*'RD Feedstock Breakdown'!CR$3*'Feedstock Conversion Rates'!$B$4)/12</f>
        <v>2.8125</v>
      </c>
      <c r="CS352" s="106">
        <f t="shared" si="317"/>
        <v>12.3375</v>
      </c>
      <c r="CT352" s="104">
        <f>('Renewable Diesel'!AI361*'Feedstock Conversion Rates'!$B$4*'RD Feedstock Breakdown'!$CT$3)/12</f>
        <v>29.375</v>
      </c>
      <c r="CU352" s="106">
        <f t="shared" si="364"/>
        <v>29.375</v>
      </c>
      <c r="CV352" s="104">
        <f>('Renewable Diesel'!AN361*'Feedstock Conversion Rates'!$B$3*'RD Feedstock Breakdown'!$CV$3)/12</f>
        <v>0.50062499999999999</v>
      </c>
      <c r="CW352" s="106">
        <f t="shared" si="338"/>
        <v>0.50062499999999999</v>
      </c>
      <c r="CX352" s="104">
        <f>('Renewable Diesel'!AO361*'RD Feedstock Breakdown'!$CX$3*'Feedstock Conversion Rates'!$B$3)/12</f>
        <v>6.3412499999999996</v>
      </c>
      <c r="CY352" s="104">
        <f>('Renewable Diesel'!AO361*'RD Feedstock Breakdown'!$CY$3*'Feedstock Conversion Rates'!$B$6)/12</f>
        <v>7.4258333333333342</v>
      </c>
      <c r="CZ352" s="106">
        <f t="shared" si="318"/>
        <v>13.767083333333334</v>
      </c>
      <c r="DA352" s="104">
        <f>('Renewable Diesel'!$AP361*'RD Feedstock Breakdown'!DA$3*'Feedstock Conversion Rates'!$B$3)/12</f>
        <v>6.3412499999999996</v>
      </c>
      <c r="DB352" s="104">
        <f>('Renewable Diesel'!$AP361*'RD Feedstock Breakdown'!DB$3*'Feedstock Conversion Rates'!$B$8)/12</f>
        <v>7.421875</v>
      </c>
      <c r="DC352" s="106">
        <f t="shared" si="342"/>
        <v>13.763124999999999</v>
      </c>
      <c r="DD352" s="104">
        <f>('Renewable Diesel'!AQ361*$DD$3*'Feedstock Conversion Rates'!$B$14)/12</f>
        <v>3.1041666666666665</v>
      </c>
      <c r="DE352" s="106">
        <f t="shared" si="343"/>
        <v>3.1041666666666665</v>
      </c>
      <c r="DF352" s="104">
        <f>('Renewable Diesel'!AR361*'Feedstock Conversion Rates'!$B$4*$DF$3)/12</f>
        <v>75</v>
      </c>
      <c r="DG352" s="106">
        <f t="shared" si="319"/>
        <v>75</v>
      </c>
      <c r="DH352" s="104">
        <f>('Renewable Diesel'!AS361*'Feedstock Conversion Rates'!$B$4*$DH$3)/12</f>
        <v>75</v>
      </c>
      <c r="DI352" s="106">
        <f t="shared" si="323"/>
        <v>75</v>
      </c>
      <c r="DJ352" s="104">
        <f>('Renewable Diesel'!AT361*'Feedstock Conversion Rates'!$B$4*0.25)/12</f>
        <v>8.59375</v>
      </c>
      <c r="DK352" s="104">
        <f>('Renewable Diesel'!$AT361*'RD Feedstock Breakdown'!DK$3*'Feedstock Conversion Rates'!$B$3)/12*0.5</f>
        <v>9.1781249999999996</v>
      </c>
      <c r="DL352" s="104">
        <f>('Renewable Diesel'!$AT361*'RD Feedstock Breakdown'!$DL$3*'Feedstock Conversion Rates'!$B$6)/12</f>
        <v>10.747916666666669</v>
      </c>
      <c r="DM352" s="104">
        <f>('Renewable Diesel'!$AT361*'RD Feedstock Breakdown'!$DM$3*'Feedstock Conversion Rates'!$B$8)/12</f>
        <v>10.7421875</v>
      </c>
      <c r="DN352" s="106">
        <f t="shared" si="375"/>
        <v>39.26197916666667</v>
      </c>
      <c r="DP352" s="104">
        <f t="shared" si="345"/>
        <v>103.22025000000001</v>
      </c>
      <c r="DQ352" s="104">
        <f t="shared" si="346"/>
        <v>324.11776750000001</v>
      </c>
      <c r="DR352" s="104">
        <f t="shared" si="351"/>
        <v>1916.953125</v>
      </c>
      <c r="DS352" s="104">
        <f t="shared" si="365"/>
        <v>228.90125</v>
      </c>
      <c r="DT352" s="104">
        <f t="shared" si="347"/>
        <v>243.03923333333344</v>
      </c>
      <c r="DU352" s="104">
        <f t="shared" si="348"/>
        <v>402.90610000000009</v>
      </c>
      <c r="DV352" s="104">
        <f t="shared" si="352"/>
        <v>78.75</v>
      </c>
      <c r="DW352" s="104">
        <f t="shared" si="349"/>
        <v>3</v>
      </c>
      <c r="DX352" s="106">
        <f t="shared" si="353"/>
        <v>3300.8877258333337</v>
      </c>
      <c r="DY352" s="109">
        <f t="shared" si="340"/>
        <v>-5.631051180898794E-13</v>
      </c>
      <c r="EA352" s="110">
        <f t="shared" si="313"/>
        <v>3.1270451640078516E-2</v>
      </c>
      <c r="EB352" s="110">
        <f t="shared" si="313"/>
        <v>9.8191091130848465E-2</v>
      </c>
      <c r="EC352" s="110">
        <f t="shared" si="313"/>
        <v>0.58073866311707134</v>
      </c>
      <c r="ED352" s="110">
        <f t="shared" si="308"/>
        <v>6.9345360706629972E-2</v>
      </c>
      <c r="EE352" s="110">
        <f t="shared" si="308"/>
        <v>7.3628445896921982E-2</v>
      </c>
      <c r="EF352" s="110">
        <f t="shared" si="308"/>
        <v>0.1220599225010852</v>
      </c>
      <c r="EG352" s="110">
        <f t="shared" si="308"/>
        <v>2.3857218585075921E-2</v>
      </c>
      <c r="EH352" s="111">
        <f t="shared" si="354"/>
        <v>9.0884642228860647E-4</v>
      </c>
      <c r="EI352" s="110">
        <f t="shared" si="321"/>
        <v>0.9990911535777115</v>
      </c>
      <c r="EK352" s="132">
        <f>(EA352*'Renewable Diesel'!BF361*'Feedstock Conversion Rates'!B$2)+FB352</f>
        <v>188.72658682508836</v>
      </c>
      <c r="EL352" s="132">
        <f>(EB352*'Renewable Diesel'!BF361*'Feedstock Conversion Rates'!B$3)+FC352</f>
        <v>558.45040246410485</v>
      </c>
      <c r="EM352" s="132">
        <f>(EC352*'Renewable Diesel'!BF361*'Feedstock Conversion Rates'!B$4)+FD352</f>
        <v>3092.5875983204132</v>
      </c>
      <c r="EN352" s="132">
        <f>(ED352*'Renewable Diesel'!BF361*'Feedstock Conversion Rates'!B$5)+FE352</f>
        <v>371.74434374165554</v>
      </c>
      <c r="EO352" s="132">
        <f>(EE352*'Renewable Diesel'!BF361*'Feedstock Conversion Rates'!B$6)+FF352</f>
        <v>490.37517738950186</v>
      </c>
      <c r="EP352" s="132">
        <f>(EF352*'Renewable Diesel'!BF361*'Feedstock Conversion Rates'!B$7)+FG352</f>
        <v>797.33517427268532</v>
      </c>
      <c r="EQ352" s="132">
        <f>(EG352*'Renewable Diesel'!BF361*'Feedstock Conversion Rates'!B$8)+FH352</f>
        <v>158.80753041870321</v>
      </c>
      <c r="ER352" s="132">
        <f>(EH352*'Renewable Diesel'!BF361*'Feedstock Conversion Rates'!B$9)+FI352</f>
        <v>5.9691465401823685</v>
      </c>
      <c r="ES352" s="132">
        <f t="shared" si="355"/>
        <v>5663.9959599723352</v>
      </c>
      <c r="ET352" s="133">
        <f>ES352/'Renewable Diesel'!BF361</f>
        <v>9.8994438389942072</v>
      </c>
      <c r="EW352" s="73">
        <f t="shared" si="309"/>
        <v>4137.0739043276517</v>
      </c>
      <c r="EX352" s="73">
        <f t="shared" si="310"/>
        <v>2626.8188958152759</v>
      </c>
      <c r="EY352" s="92">
        <f t="shared" si="341"/>
        <v>0.730416111445789</v>
      </c>
      <c r="EZ352" s="92">
        <f t="shared" si="341"/>
        <v>0.46377485336838165</v>
      </c>
      <c r="FB352" s="102">
        <f>IF('Renewable Diesel'!$BG361&lt;1,0,(((('Renewable Diesel'!$BG361-1)*'Renewable Diesel'!$BF361)*'RD Feedstock Breakdown'!EA352)*'Feedstock Conversion Rates'!$B$2))</f>
        <v>36.648997981649288</v>
      </c>
      <c r="FC352" s="102">
        <f>IF('Renewable Diesel'!$BG361&lt;1,0,(((('Renewable Diesel'!$BG361-1)*'Renewable Diesel'!$BF361)*'RD Feedstock Breakdown'!EB352)*'Feedstock Conversion Rates'!$B$3))</f>
        <v>108.44602245536649</v>
      </c>
      <c r="FD352" s="102">
        <f>IF('Renewable Diesel'!$BG361&lt;1,0,(((('Renewable Diesel'!$BG361-1)*'Renewable Diesel'!$BF361)*'RD Feedstock Breakdown'!EC352)*'Feedstock Conversion Rates'!$B$4))</f>
        <v>600.5525694901803</v>
      </c>
      <c r="FE352" s="102">
        <f>IF('Renewable Diesel'!$BG361&lt;1,0,(((('Renewable Diesel'!$BG361-1)*'Renewable Diesel'!$BF361)*'RD Feedstock Breakdown'!ED352)*'Feedstock Conversion Rates'!$B$5))</f>
        <v>72.189392775402851</v>
      </c>
      <c r="FF352" s="102">
        <f>IF('Renewable Diesel'!$BG361&lt;1,0,(((('Renewable Diesel'!$BG361-1)*'Renewable Diesel'!$BF361)*'RD Feedstock Breakdown'!EE352)*'Feedstock Conversion Rates'!$B$6))</f>
        <v>95.226428818187529</v>
      </c>
      <c r="FG352" s="102">
        <f>IF('Renewable Diesel'!$BG361&lt;1,0,(((('Renewable Diesel'!$BG361-1)*'Renewable Diesel'!$BF361)*'RD Feedstock Breakdown'!EF352)*'Feedstock Conversion Rates'!$B$7))</f>
        <v>154.83528677228776</v>
      </c>
      <c r="FH352" s="102">
        <f>IF('Renewable Diesel'!$BG361&lt;1,0,(((('Renewable Diesel'!$BG361-1)*'Renewable Diesel'!$BF361)*'RD Feedstock Breakdown'!EG352)*'Feedstock Conversion Rates'!$B$8))</f>
        <v>30.838987551763751</v>
      </c>
      <c r="FI352" s="102">
        <f>IF('Renewable Diesel'!$BG361&lt;1,0,(((('Renewable Diesel'!$BG361-1)*'Renewable Diesel'!$BF361)*'RD Feedstock Breakdown'!EH352)*'Feedstock Conversion Rates'!$B$9))</f>
        <v>1.1591543257551835</v>
      </c>
      <c r="FJ352" s="102">
        <f t="shared" si="311"/>
        <v>1099.8968401705931</v>
      </c>
      <c r="GD352" s="91">
        <f>'Renewable Diesel'!BB361*0.32</f>
        <v>0</v>
      </c>
      <c r="GE352" s="91">
        <f>'Renewable Diesel'!BC361</f>
        <v>261.65457854580529</v>
      </c>
      <c r="GF352" s="91">
        <f>'Renewable Diesel'!BD361</f>
        <v>0</v>
      </c>
      <c r="GG352" s="91">
        <f t="shared" si="373"/>
        <v>261.65457854580529</v>
      </c>
      <c r="GH352" s="124">
        <v>1</v>
      </c>
      <c r="GI352" s="102">
        <f>$GG352*EA352*'Feedstock Conversion Rates'!$B$2</f>
        <v>69.547483180984699</v>
      </c>
      <c r="GJ352" s="102">
        <f>$GG352*EB352*'Feedstock Conversion Rates'!$B$3</f>
        <v>205.79411002002726</v>
      </c>
      <c r="GK352" s="102">
        <f>$GG352*EC352*'Feedstock Conversion Rates'!$B$4</f>
        <v>1139.6469760736377</v>
      </c>
      <c r="GL352" s="102">
        <f>$GG352*ED352*'Feedstock Conversion Rates'!$B$5</f>
        <v>136.99121002999084</v>
      </c>
      <c r="GM352" s="102">
        <f>$GG352*EE352*'Feedstock Conversion Rates'!$B$6</f>
        <v>180.70776341372959</v>
      </c>
      <c r="GN352" s="102">
        <f>$GG352*EF352*'Feedstock Conversion Rates'!$B$7</f>
        <v>293.82534573006694</v>
      </c>
      <c r="GO352" s="102">
        <f>$GG352*EG352*'Feedstock Conversion Rates'!$B$8</f>
        <v>58.522035695186183</v>
      </c>
      <c r="GP352" s="102">
        <f>$GG352*EH352*'Feedstock Conversion Rates'!B$9</f>
        <v>2.1996854051777919</v>
      </c>
      <c r="GQ352" s="102">
        <f t="shared" si="356"/>
        <v>2087.234609548801</v>
      </c>
      <c r="GR352" s="85">
        <f t="shared" si="371"/>
        <v>7.9770612887762233</v>
      </c>
      <c r="GT352" s="103">
        <f t="shared" si="333"/>
        <v>3.3320395734535477E-2</v>
      </c>
      <c r="GU352" s="103">
        <f t="shared" si="334"/>
        <v>9.8596539688709892E-2</v>
      </c>
      <c r="GV352" s="103">
        <f t="shared" si="335"/>
        <v>0.54600808690116343</v>
      </c>
      <c r="GW352" s="103">
        <f t="shared" si="331"/>
        <v>6.5632875865164156E-2</v>
      </c>
      <c r="GX352" s="103">
        <f t="shared" si="331"/>
        <v>8.657760013513445E-2</v>
      </c>
      <c r="GY352" s="103">
        <f t="shared" si="331"/>
        <v>0.14077255349535589</v>
      </c>
      <c r="GZ352" s="103">
        <f t="shared" si="331"/>
        <v>2.8038072685962666E-2</v>
      </c>
      <c r="HA352" s="103">
        <f t="shared" si="331"/>
        <v>1.0538754939739617E-3</v>
      </c>
    </row>
    <row r="353" spans="1:209" x14ac:dyDescent="0.25">
      <c r="A353" s="96">
        <v>51167</v>
      </c>
      <c r="B353" s="104">
        <f t="shared" si="377"/>
        <v>69.25</v>
      </c>
      <c r="C353" s="104">
        <f t="shared" si="314"/>
        <v>49</v>
      </c>
      <c r="D353" s="104">
        <f t="shared" si="378"/>
        <v>2</v>
      </c>
      <c r="E353" s="104">
        <f>('Renewable Diesel'!B362*E$3*'Feedstock Conversion Rates'!$B$2)/12+26+13-100+27.5+39</f>
        <v>95.43</v>
      </c>
      <c r="F353" s="104">
        <f>('Renewable Diesel'!B362*'RD Feedstock Breakdown'!F$3*'Feedstock Conversion Rates'!B$8)/12+77+23-10-12-115.75+24+8</f>
        <v>48.15625</v>
      </c>
      <c r="G353" s="104">
        <f>('Renewable Diesel'!B362*'RD Feedstock Breakdown'!G$3*'Feedstock Conversion Rates'!B$7)/12+116.75-39-57.5-145-31.5+32+70-40+10+60</f>
        <v>151.90700000000004</v>
      </c>
      <c r="H353" s="104">
        <f>('Renewable Diesel'!B362*'RD Feedstock Breakdown'!H$3*'Feedstock Conversion Rates'!B$3)/12+67+10+12+3-235+20+47-20</f>
        <v>80.400224999999978</v>
      </c>
      <c r="I353" s="106">
        <f t="shared" si="370"/>
        <v>496.14347500000002</v>
      </c>
      <c r="J353" s="104">
        <f t="shared" si="332"/>
        <v>4</v>
      </c>
      <c r="K353" s="104"/>
      <c r="L353" s="104">
        <v>1</v>
      </c>
      <c r="M353" s="104">
        <f>('Renewable Diesel'!C362*'RD Feedstock Breakdown'!M$3*'Feedstock Conversion Rates'!B$2)/12</f>
        <v>7.7902500000000003</v>
      </c>
      <c r="N353" s="104">
        <f>('Renewable Diesel'!C362*'RD Feedstock Breakdown'!N$3*'Feedstock Conversion Rates'!B$8)/12</f>
        <v>3.671875</v>
      </c>
      <c r="O353" s="104">
        <f>('Renewable Diesel'!C362*'RD Feedstock Breakdown'!O$3*'Feedstock Conversion Rates'!B$7)/12</f>
        <v>11.9991</v>
      </c>
      <c r="P353" s="104">
        <f>('Renewable Diesel'!C362*'RD Feedstock Breakdown'!P$3*'Feedstock Conversion Rates'!B$3)/12</f>
        <v>10.4470425</v>
      </c>
      <c r="Q353" s="106">
        <f t="shared" ref="Q353:Q416" si="379">SUM(J353:P353)</f>
        <v>38.908267500000001</v>
      </c>
      <c r="R353" s="104">
        <f>('Renewable Diesel'!D362*'RD Feedstock Breakdown'!R$3*'Feedstock Conversion Rates'!B$7)/12</f>
        <v>2.2999999999999998</v>
      </c>
      <c r="S353" s="106">
        <f t="shared" si="329"/>
        <v>2.2999999999999998</v>
      </c>
      <c r="T353" s="104">
        <f t="shared" ref="T353:T416" si="380">5.825+20-25</f>
        <v>0.82499999999999929</v>
      </c>
      <c r="U353" s="104"/>
      <c r="V353" s="104">
        <f>('Renewable Diesel'!E362*'RD Feedstock Breakdown'!V$3*'Feedstock Conversion Rates'!B$6)/12-20+25</f>
        <v>49.250150000000012</v>
      </c>
      <c r="W353" s="104">
        <f>('Renewable Diesel'!E362*'RD Feedstock Breakdown'!W$3*'Feedstock Conversion Rates'!B$8)/12-6</f>
        <v>16.1796875</v>
      </c>
      <c r="X353" s="106">
        <f t="shared" si="357"/>
        <v>66.254837500000008</v>
      </c>
      <c r="Y353" s="104">
        <f t="shared" ref="Y353:Y416" si="381">142-15-5-24</f>
        <v>98</v>
      </c>
      <c r="Z353" s="104">
        <f>('Renewable Diesel'!F362*'RD Feedstock Breakdown'!Z$3*'Feedstock Conversion Rates'!B$6)/12-142+15+5+20+5+15</f>
        <v>77.460000000000008</v>
      </c>
      <c r="AA353" s="104">
        <f>('Renewable Diesel'!F362*'RD Feedstock Breakdown'!AA$3*'Feedstock Conversion Rates'!B$7)/12+24</f>
        <v>128.26666666666665</v>
      </c>
      <c r="AB353" s="106">
        <f t="shared" si="320"/>
        <v>303.72666666666669</v>
      </c>
      <c r="AC353" s="104">
        <f>('Renewable Diesel'!G362*'RD Feedstock Breakdown'!AC$3*'Feedstock Conversion Rates'!B$5)/12</f>
        <v>11.796875</v>
      </c>
      <c r="AD353" s="104">
        <f>('Renewable Diesel'!G362*'RD Feedstock Breakdown'!AD$3*'Feedstock Conversion Rates'!B$4)/12</f>
        <v>5.859375</v>
      </c>
      <c r="AE353" s="104">
        <f>('Renewable Diesel'!G362*'RD Feedstock Breakdown'!AE$3*'Feedstock Conversion Rates'!B$6)/12</f>
        <v>7.3281250000000009</v>
      </c>
      <c r="AF353" s="106">
        <f t="shared" si="366"/>
        <v>24.984375</v>
      </c>
      <c r="AG353" s="104">
        <f t="shared" si="306"/>
        <v>148</v>
      </c>
      <c r="AH353" s="104"/>
      <c r="AI353" s="104">
        <f>('Renewable Diesel'!H362*'RD Feedstock Breakdown'!AI$3*'Feedstock Conversion Rates'!B$6)/12-130-20+51-49</f>
        <v>0.51666666666667993</v>
      </c>
      <c r="AJ353" s="106">
        <f t="shared" si="328"/>
        <v>148.51666666666668</v>
      </c>
      <c r="AK353" s="104">
        <f>('Renewable Diesel'!J362*'RD Feedstock Breakdown'!AK$3*'Feedstock Conversion Rates'!B$4)/12</f>
        <v>95.8125</v>
      </c>
      <c r="AL353" s="106">
        <f t="shared" si="330"/>
        <v>95.8125</v>
      </c>
      <c r="AM353" s="104">
        <f>('Renewable Diesel'!K362*'RD Feedstock Breakdown'!AM$3*'Feedstock Conversion Rates'!B$4)/12+5+15-10+10</f>
        <v>78.59375</v>
      </c>
      <c r="AN353" s="104">
        <f>('Renewable Diesel'!K362*'RD Feedstock Breakdown'!AN$3*'Feedstock Conversion Rates'!B$6)/12-5-15+10-10</f>
        <v>4.4270833333333321</v>
      </c>
      <c r="AO353" s="106">
        <f t="shared" si="350"/>
        <v>83.020833333333329</v>
      </c>
      <c r="AP353" s="104">
        <f>('Renewable Diesel'!L362*'RD Feedstock Breakdown'!AP$3*'Feedstock Conversion Rates'!B$4)/12+15-10+15</f>
        <v>78.59375</v>
      </c>
      <c r="AQ353" s="104">
        <f>('Renewable Diesel'!L362*'RD Feedstock Breakdown'!AQ$3*'Feedstock Conversion Rates'!B$6)/12-15+10-15</f>
        <v>4.4270833333333321</v>
      </c>
      <c r="AR353" s="106">
        <f t="shared" si="339"/>
        <v>83.020833333333329</v>
      </c>
      <c r="AS353" s="104">
        <f>('Renewable Diesel'!M362*'RD Feedstock Breakdown'!AS$3*'Feedstock Conversion Rates'!B$4)/12</f>
        <v>456.25</v>
      </c>
      <c r="AT353" s="104">
        <f>('Renewable Diesel'!M362*'RD Feedstock Breakdown'!AT$3*'Feedstock Conversion Rates'!B$5)/12</f>
        <v>0</v>
      </c>
      <c r="AU353" s="106">
        <f t="shared" si="369"/>
        <v>456.25</v>
      </c>
      <c r="AV353" s="104">
        <f>'Renewable Diesel'!N362*'RD Feedstock Breakdown'!$AV$3*'Feedstock Conversion Rates'!$B$4/12-15-10+25+25-22+25</f>
        <v>106.74999999999999</v>
      </c>
      <c r="AW353" s="104">
        <f>'Renewable Diesel'!N362*'RD Feedstock Breakdown'!$AW$3*'Feedstock Conversion Rates'!$B$7/12+15+10-25-25+22-25</f>
        <v>13.400000000000006</v>
      </c>
      <c r="AX353" s="106">
        <f t="shared" si="322"/>
        <v>120.14999999999999</v>
      </c>
      <c r="AY353" s="104">
        <f>('Renewable Diesel'!O362*'RD Feedstock Breakdown'!AY$3*'Feedstock Conversion Rates'!B$4)/12</f>
        <v>210.9375</v>
      </c>
      <c r="AZ353" s="104">
        <f>('Renewable Diesel'!O362*'RD Feedstock Breakdown'!AZ$3*'Feedstock Conversion Rates'!B$3)/12</f>
        <v>25.03125</v>
      </c>
      <c r="BA353" s="106">
        <f t="shared" ref="BA353:BA416" si="382">SUM(AY353:AZ353)</f>
        <v>235.96875</v>
      </c>
      <c r="BB353" s="104">
        <f>('Renewable Diesel'!Q362*'RD Feedstock Breakdown'!BB$3*'Feedstock Conversion Rates'!B$4)/12</f>
        <v>11.156249999999998</v>
      </c>
      <c r="BC353" s="104">
        <f>('Renewable Diesel'!Q362*'RD Feedstock Breakdown'!BC$3*'Feedstock Conversion Rates'!B$3)/12</f>
        <v>1.4017500000000001</v>
      </c>
      <c r="BD353" s="104">
        <f>('Renewable Diesel'!Q362*'RD Feedstock Breakdown'!BD$3*'Feedstock Conversion Rates'!B$6)/12</f>
        <v>0.8207500000000002</v>
      </c>
      <c r="BE353" s="106">
        <f t="shared" si="359"/>
        <v>13.378749999999998</v>
      </c>
      <c r="BF353" s="104">
        <f>('Renewable Diesel'!R362*'RD Feedstock Breakdown'!BF$3*'Feedstock Conversion Rates'!B$4)/12</f>
        <v>62.5</v>
      </c>
      <c r="BG353" s="106">
        <f t="shared" si="344"/>
        <v>62.5</v>
      </c>
      <c r="BH353" s="104">
        <f>('Renewable Diesel'!T362*'RD Feedstock Breakdown'!BH$3*'Feedstock Conversion Rates'!B$7)/12</f>
        <v>27.599999999999998</v>
      </c>
      <c r="BI353" s="106">
        <f t="shared" si="327"/>
        <v>27.599999999999998</v>
      </c>
      <c r="BJ353" s="104">
        <f>('Renewable Diesel'!W362*'RD Feedstock Breakdown'!BJ$3*'Feedstock Conversion Rates'!B$4)/12</f>
        <v>7.5</v>
      </c>
      <c r="BK353" s="104">
        <f>('Renewable Diesel'!W362*'RD Feedstock Breakdown'!BK$3*'Feedstock Conversion Rates'!B$3)/12</f>
        <v>1.335</v>
      </c>
      <c r="BL353" s="104">
        <f>('Renewable Diesel'!W362*'RD Feedstock Breakdown'!BL$3*'Feedstock Conversion Rates'!B$6)/12</f>
        <v>3.1266666666666669</v>
      </c>
      <c r="BM353" s="104">
        <f>('Renewable Diesel'!W362*'RD Feedstock Breakdown'!BM$3*'Feedstock Conversion Rates'!B$7)/12</f>
        <v>1.5333333333333332</v>
      </c>
      <c r="BN353" s="106">
        <f t="shared" si="374"/>
        <v>13.495000000000001</v>
      </c>
      <c r="BO353" s="104">
        <f>('Renewable Diesel'!P362*'Feedstock Conversion Rates'!B$4)/12</f>
        <v>31.25</v>
      </c>
      <c r="BP353" s="106">
        <f t="shared" si="367"/>
        <v>31.25</v>
      </c>
      <c r="BQ353" s="104">
        <f>('Renewable Diesel'!$S362*'RD Feedstock Breakdown'!BQ$3*'Feedstock Conversion Rates'!B$4)/12+10+15-15</f>
        <v>38.125</v>
      </c>
      <c r="BR353" s="104">
        <f>('Renewable Diesel'!$S362*'RD Feedstock Breakdown'!BR$3*'Feedstock Conversion Rates'!B$7)/12-10-15+15</f>
        <v>1.5</v>
      </c>
      <c r="BS353" s="106">
        <f t="shared" si="307"/>
        <v>39.625</v>
      </c>
      <c r="BT353" s="106"/>
      <c r="BU353" s="104">
        <f>('Renewable Diesel'!Y362*'Feedstock Conversion Rates'!B$7)/12</f>
        <v>2.6833333333333331</v>
      </c>
      <c r="BV353" s="106">
        <f t="shared" si="361"/>
        <v>2.6833333333333331</v>
      </c>
      <c r="BW353" s="104">
        <f>('Renewable Diesel'!$Z362*'RD Feedstock Breakdown'!BW$3*'Feedstock Conversion Rates'!$B$4)/12-230+160</f>
        <v>1.875</v>
      </c>
      <c r="BX353" s="104">
        <f>('Renewable Diesel'!$Z362*'RD Feedstock Breakdown'!BX$3*'Feedstock Conversion Rates'!$B$5)/12</f>
        <v>7.2354166666666666</v>
      </c>
      <c r="BY353" s="104">
        <f>('Renewable Diesel'!$Z362*'RD Feedstock Breakdown'!BY$3*'Feedstock Conversion Rates'!$B$7)/12</f>
        <v>61.716666666666661</v>
      </c>
      <c r="BZ353" s="104">
        <f>('Renewable Diesel'!$Z362*'RD Feedstock Breakdown'!BZ$3*'Feedstock Conversion Rates'!$B$3)/12+230-160</f>
        <v>85.352499999999992</v>
      </c>
      <c r="CA353" s="106">
        <f t="shared" si="312"/>
        <v>156.17958333333331</v>
      </c>
      <c r="CB353" s="104">
        <f>('Renewable Diesel'!AA362*'Feedstock Conversion Rates'!B$4)/12</f>
        <v>191.25</v>
      </c>
      <c r="CC353" s="106">
        <f t="shared" si="376"/>
        <v>191.25</v>
      </c>
      <c r="CD353" s="104">
        <f>('Renewable Diesel'!$AB362*'RD Feedstock Breakdown'!CD$3*'Feedstock Conversion Rates'!$B$6)/12-15-5</f>
        <v>12.830000000000005</v>
      </c>
      <c r="CE353" s="104">
        <f>('Renewable Diesel'!$AB362*'RD Feedstock Breakdown'!CE$3*'Feedstock Conversion Rates'!$B$4)/12+15+5</f>
        <v>31.25</v>
      </c>
      <c r="CF353" s="106">
        <f t="shared" si="372"/>
        <v>44.080000000000005</v>
      </c>
      <c r="CG353" s="104">
        <f>('Renewable Diesel'!AD362*'Feedstock Conversion Rates'!B$4)/12</f>
        <v>112.5</v>
      </c>
      <c r="CH353" s="106">
        <f t="shared" si="358"/>
        <v>112.5</v>
      </c>
      <c r="CI353" s="104">
        <f>('Renewable Diesel'!$AE362*'RD Feedstock Breakdown'!CI$3*'Feedstock Conversion Rates'!$B$5)/12</f>
        <v>0.34604166666666664</v>
      </c>
      <c r="CJ353" s="104">
        <f>('Renewable Diesel'!$AE362*'RD Feedstock Breakdown'!CJ$3*'Feedstock Conversion Rates'!$B$4)/12</f>
        <v>0.34375</v>
      </c>
      <c r="CK353" s="106">
        <f t="shared" si="368"/>
        <v>0.68979166666666658</v>
      </c>
      <c r="CL353" s="104">
        <f>(((CL$3*'Renewable Diesel'!$AF362)*'Feedstock Conversion Rates'!$B$3)/12)</f>
        <v>91.78125</v>
      </c>
      <c r="CM353" s="104">
        <f>(((CM$3*'Renewable Diesel'!$AF362)*'Feedstock Conversion Rates'!$B$6)/12)</f>
        <v>53.739583333333336</v>
      </c>
      <c r="CN353" s="104">
        <f>(((CN$3*'Renewable Diesel'!$AF362)*'Feedstock Conversion Rates'!$B$4)/12)</f>
        <v>42.96875</v>
      </c>
      <c r="CO353" s="106">
        <f t="shared" si="360"/>
        <v>188.48958333333334</v>
      </c>
      <c r="CP353" s="104">
        <f>('Renewable Diesel'!$AG362*'RD Feedstock Breakdown'!CP$3*'Feedstock Conversion Rates'!$B$3)/12</f>
        <v>6.0075000000000003</v>
      </c>
      <c r="CQ353" s="104">
        <f>('Renewable Diesel'!$AG362*'RD Feedstock Breakdown'!CQ$3*'Feedstock Conversion Rates'!$B$6)/12</f>
        <v>3.5175000000000001</v>
      </c>
      <c r="CR353" s="104">
        <f>('Renewable Diesel'!$AG362*'RD Feedstock Breakdown'!CR$3*'Feedstock Conversion Rates'!$B$4)/12</f>
        <v>2.8125</v>
      </c>
      <c r="CS353" s="106">
        <f t="shared" si="317"/>
        <v>12.3375</v>
      </c>
      <c r="CT353" s="104">
        <f>('Renewable Diesel'!AI362*'Feedstock Conversion Rates'!$B$4*'RD Feedstock Breakdown'!$CT$3)/12</f>
        <v>29.375</v>
      </c>
      <c r="CU353" s="106">
        <f t="shared" si="364"/>
        <v>29.375</v>
      </c>
      <c r="CV353" s="104">
        <f>('Renewable Diesel'!AN362*'Feedstock Conversion Rates'!$B$3*'RD Feedstock Breakdown'!$CV$3)/12</f>
        <v>0.50062499999999999</v>
      </c>
      <c r="CW353" s="106">
        <f t="shared" si="338"/>
        <v>0.50062499999999999</v>
      </c>
      <c r="CX353" s="104">
        <f>('Renewable Diesel'!AO362*'RD Feedstock Breakdown'!$CX$3*'Feedstock Conversion Rates'!$B$3)/12</f>
        <v>6.3412499999999996</v>
      </c>
      <c r="CY353" s="104">
        <f>('Renewable Diesel'!AO362*'RD Feedstock Breakdown'!$CY$3*'Feedstock Conversion Rates'!$B$6)/12</f>
        <v>7.4258333333333342</v>
      </c>
      <c r="CZ353" s="106">
        <f t="shared" si="318"/>
        <v>13.767083333333334</v>
      </c>
      <c r="DA353" s="104">
        <f>('Renewable Diesel'!$AP362*'RD Feedstock Breakdown'!DA$3*'Feedstock Conversion Rates'!$B$3)/12</f>
        <v>6.3412499999999996</v>
      </c>
      <c r="DB353" s="104">
        <f>('Renewable Diesel'!$AP362*'RD Feedstock Breakdown'!DB$3*'Feedstock Conversion Rates'!$B$8)/12</f>
        <v>7.421875</v>
      </c>
      <c r="DC353" s="106">
        <f t="shared" si="342"/>
        <v>13.763124999999999</v>
      </c>
      <c r="DD353" s="104">
        <f>('Renewable Diesel'!AQ362*$DD$3*'Feedstock Conversion Rates'!$B$14)/12</f>
        <v>3.1041666666666665</v>
      </c>
      <c r="DE353" s="106">
        <f t="shared" si="343"/>
        <v>3.1041666666666665</v>
      </c>
      <c r="DF353" s="104">
        <f>('Renewable Diesel'!AR362*'Feedstock Conversion Rates'!$B$4*$DF$3)/12</f>
        <v>75</v>
      </c>
      <c r="DG353" s="106">
        <f t="shared" si="319"/>
        <v>75</v>
      </c>
      <c r="DH353" s="104">
        <f>('Renewable Diesel'!AS362*'Feedstock Conversion Rates'!$B$4*$DH$3)/12</f>
        <v>75</v>
      </c>
      <c r="DI353" s="106">
        <f t="shared" si="323"/>
        <v>75</v>
      </c>
      <c r="DJ353" s="104">
        <f>('Renewable Diesel'!AT362*'Feedstock Conversion Rates'!$B$4*0.25)/12</f>
        <v>8.59375</v>
      </c>
      <c r="DK353" s="104">
        <f>('Renewable Diesel'!$AT362*'RD Feedstock Breakdown'!DK$3*'Feedstock Conversion Rates'!$B$3)/12*0.5</f>
        <v>9.1781249999999996</v>
      </c>
      <c r="DL353" s="104">
        <f>('Renewable Diesel'!$AT362*'RD Feedstock Breakdown'!$DL$3*'Feedstock Conversion Rates'!$B$6)/12</f>
        <v>10.747916666666669</v>
      </c>
      <c r="DM353" s="104">
        <f>('Renewable Diesel'!$AT362*'RD Feedstock Breakdown'!$DM$3*'Feedstock Conversion Rates'!$B$8)/12</f>
        <v>10.7421875</v>
      </c>
      <c r="DN353" s="106">
        <f t="shared" si="375"/>
        <v>39.26197916666667</v>
      </c>
      <c r="DP353" s="104">
        <f t="shared" si="345"/>
        <v>103.22025000000001</v>
      </c>
      <c r="DQ353" s="104">
        <f t="shared" si="346"/>
        <v>324.11776750000001</v>
      </c>
      <c r="DR353" s="104">
        <f t="shared" si="351"/>
        <v>1916.953125</v>
      </c>
      <c r="DS353" s="104">
        <f t="shared" si="365"/>
        <v>228.90125</v>
      </c>
      <c r="DT353" s="104">
        <f t="shared" si="347"/>
        <v>243.03923333333344</v>
      </c>
      <c r="DU353" s="104">
        <f t="shared" si="348"/>
        <v>402.90610000000009</v>
      </c>
      <c r="DV353" s="104">
        <f t="shared" si="352"/>
        <v>78.75</v>
      </c>
      <c r="DW353" s="104">
        <f t="shared" si="349"/>
        <v>3</v>
      </c>
      <c r="DX353" s="106">
        <f t="shared" si="353"/>
        <v>3300.8877258333337</v>
      </c>
      <c r="DY353" s="109">
        <f t="shared" si="340"/>
        <v>-5.631051180898794E-13</v>
      </c>
      <c r="EA353" s="110">
        <f t="shared" si="313"/>
        <v>3.1270451640078516E-2</v>
      </c>
      <c r="EB353" s="110">
        <f t="shared" si="313"/>
        <v>9.8191091130848465E-2</v>
      </c>
      <c r="EC353" s="110">
        <f t="shared" si="313"/>
        <v>0.58073866311707134</v>
      </c>
      <c r="ED353" s="110">
        <f t="shared" si="308"/>
        <v>6.9345360706629972E-2</v>
      </c>
      <c r="EE353" s="110">
        <f t="shared" si="308"/>
        <v>7.3628445896921982E-2</v>
      </c>
      <c r="EF353" s="110">
        <f t="shared" si="308"/>
        <v>0.1220599225010852</v>
      </c>
      <c r="EG353" s="110">
        <f t="shared" si="308"/>
        <v>2.3857218585075921E-2</v>
      </c>
      <c r="EH353" s="111">
        <f t="shared" si="354"/>
        <v>9.0884642228860647E-4</v>
      </c>
      <c r="EI353" s="110">
        <f t="shared" si="321"/>
        <v>0.9990911535777115</v>
      </c>
      <c r="EK353" s="132">
        <f>(EA353*'Renewable Diesel'!BF362*'Feedstock Conversion Rates'!B$2)+FB353</f>
        <v>405.84174912840149</v>
      </c>
      <c r="EL353" s="132">
        <f>(EB353*'Renewable Diesel'!BF362*'Feedstock Conversion Rates'!B$3)+FC353</f>
        <v>1200.9038681314366</v>
      </c>
      <c r="EM353" s="132">
        <f>(EC353*'Renewable Diesel'!BF362*'Feedstock Conversion Rates'!B$4)+FD353</f>
        <v>6650.3675043855128</v>
      </c>
      <c r="EN353" s="132">
        <f>(ED353*'Renewable Diesel'!BF362*'Feedstock Conversion Rates'!B$5)+FE353</f>
        <v>799.40710649596394</v>
      </c>
      <c r="EO353" s="132">
        <f>(EE353*'Renewable Diesel'!BF362*'Feedstock Conversion Rates'!B$6)+FF353</f>
        <v>1054.5134263745906</v>
      </c>
      <c r="EP353" s="132">
        <f>(EF353*'Renewable Diesel'!BF362*'Feedstock Conversion Rates'!B$7)+FG353</f>
        <v>1714.6068670670663</v>
      </c>
      <c r="EQ353" s="132">
        <f>(EG353*'Renewable Diesel'!BF362*'Feedstock Conversion Rates'!B$8)+FH353</f>
        <v>341.503160758273</v>
      </c>
      <c r="ER353" s="132">
        <f>(EH353*'Renewable Diesel'!BF362*'Feedstock Conversion Rates'!B$9)+FI353</f>
        <v>12.836182296437945</v>
      </c>
      <c r="ES353" s="132">
        <f t="shared" si="355"/>
        <v>12179.979864637684</v>
      </c>
      <c r="ET353" s="133">
        <f>ES353/'Renewable Diesel'!BF362</f>
        <v>14.516857504941344</v>
      </c>
      <c r="EW353" s="73">
        <f t="shared" si="309"/>
        <v>10805.873394309092</v>
      </c>
      <c r="EX353" s="73">
        <f t="shared" si="310"/>
        <v>6861.1470508820294</v>
      </c>
      <c r="EY353" s="92">
        <f t="shared" si="341"/>
        <v>0.88718319031724713</v>
      </c>
      <c r="EZ353" s="92">
        <f t="shared" si="341"/>
        <v>0.56331349699535216</v>
      </c>
      <c r="FB353" s="102">
        <f>IF('Renewable Diesel'!$BG362&lt;1,0,(((('Renewable Diesel'!$BG362-1)*'Renewable Diesel'!$BF362)*'RD Feedstock Breakdown'!EA353)*'Feedstock Conversion Rates'!$B$2))</f>
        <v>182.83036355549584</v>
      </c>
      <c r="FC353" s="102">
        <f>IF('Renewable Diesel'!$BG362&lt;1,0,(((('Renewable Diesel'!$BG362-1)*'Renewable Diesel'!$BF362)*'RD Feedstock Breakdown'!EB353)*'Feedstock Conversion Rates'!$B$3))</f>
        <v>541.00321437409866</v>
      </c>
      <c r="FD353" s="102">
        <f>IF('Renewable Diesel'!$BG362&lt;1,0,(((('Renewable Diesel'!$BG362-1)*'Renewable Diesel'!$BF362)*'RD Feedstock Breakdown'!EC353)*'Feedstock Conversion Rates'!$B$4))</f>
        <v>2995.9685301370314</v>
      </c>
      <c r="FE353" s="102">
        <f>IF('Renewable Diesel'!$BG362&lt;1,0,(((('Renewable Diesel'!$BG362-1)*'Renewable Diesel'!$BF362)*'RD Feedstock Breakdown'!ED353)*'Feedstock Conversion Rates'!$B$5))</f>
        <v>360.130253290582</v>
      </c>
      <c r="FF353" s="102">
        <f>IF('Renewable Diesel'!$BG362&lt;1,0,(((('Renewable Diesel'!$BG362-1)*'Renewable Diesel'!$BF362)*'RD Feedstock Breakdown'!EE353)*'Feedstock Conversion Rates'!$B$6))</f>
        <v>475.05480530841157</v>
      </c>
      <c r="FG353" s="102">
        <f>IF('Renewable Diesel'!$BG362&lt;1,0,(((('Renewable Diesel'!$BG362-1)*'Renewable Diesel'!$BF362)*'RD Feedstock Breakdown'!EF353)*'Feedstock Conversion Rates'!$B$7))</f>
        <v>772.42471365714755</v>
      </c>
      <c r="FH353" s="102">
        <f>IF('Renewable Diesel'!$BG362&lt;1,0,(((('Renewable Diesel'!$BG362-1)*'Renewable Diesel'!$BF362)*'RD Feedstock Breakdown'!EG353)*'Feedstock Conversion Rates'!$B$8))</f>
        <v>153.84604262838403</v>
      </c>
      <c r="FI353" s="102">
        <f>IF('Renewable Diesel'!$BG362&lt;1,0,(((('Renewable Diesel'!$BG362-1)*'Renewable Diesel'!$BF362)*'RD Feedstock Breakdown'!EH353)*'Feedstock Conversion Rates'!$B$9))</f>
        <v>5.7826576022859264</v>
      </c>
      <c r="FJ353" s="102">
        <f t="shared" si="311"/>
        <v>5487.0405805534365</v>
      </c>
      <c r="GD353" s="91">
        <f>'Renewable Diesel'!BB362*0.32</f>
        <v>0</v>
      </c>
      <c r="GE353" s="91">
        <f>'Renewable Diesel'!BC362</f>
        <v>496.6361497181764</v>
      </c>
      <c r="GF353" s="91">
        <f>'Renewable Diesel'!BD362</f>
        <v>0</v>
      </c>
      <c r="GG353" s="91">
        <f t="shared" si="373"/>
        <v>496.6361497181764</v>
      </c>
      <c r="GH353" s="124">
        <v>1</v>
      </c>
      <c r="GI353" s="102">
        <f>$GG353*EA353*'Feedstock Conversion Rates'!$B$2</f>
        <v>132.00531197105474</v>
      </c>
      <c r="GJ353" s="102">
        <f>$GG353*EB353*'Feedstock Conversion Rates'!$B$3</f>
        <v>390.60961594116782</v>
      </c>
      <c r="GK353" s="102">
        <f>$GG353*EC353*'Feedstock Conversion Rates'!$B$4</f>
        <v>2163.1186023220762</v>
      </c>
      <c r="GL353" s="102">
        <f>$GG353*ED353*'Feedstock Conversion Rates'!$B$5</f>
        <v>260.01756771329917</v>
      </c>
      <c r="GM353" s="102">
        <f>$GG353*EE353*'Feedstock Conversion Rates'!$B$6</f>
        <v>342.99421911421615</v>
      </c>
      <c r="GN353" s="102">
        <f>$GG353*EF353*'Feedstock Conversion Rates'!$B$7</f>
        <v>557.69820350170914</v>
      </c>
      <c r="GO353" s="102">
        <f>$GG353*EG353*'Feedstock Conversion Rates'!$B$8</f>
        <v>111.07834857259711</v>
      </c>
      <c r="GP353" s="102">
        <f>$GG353*EH353*'Feedstock Conversion Rates'!B$9</f>
        <v>4.175135387617618</v>
      </c>
      <c r="GQ353" s="102">
        <f t="shared" si="356"/>
        <v>3961.6970045237381</v>
      </c>
      <c r="GR353" s="85">
        <f t="shared" si="371"/>
        <v>7.9770612887762242</v>
      </c>
      <c r="GT353" s="103">
        <f t="shared" si="333"/>
        <v>3.3320395734535484E-2</v>
      </c>
      <c r="GU353" s="103">
        <f t="shared" si="334"/>
        <v>9.8596539688709892E-2</v>
      </c>
      <c r="GV353" s="103">
        <f t="shared" si="335"/>
        <v>0.54600808690116343</v>
      </c>
      <c r="GW353" s="103">
        <f t="shared" si="331"/>
        <v>6.5632875865164156E-2</v>
      </c>
      <c r="GX353" s="103">
        <f t="shared" si="331"/>
        <v>8.6577600135134464E-2</v>
      </c>
      <c r="GY353" s="103">
        <f t="shared" si="331"/>
        <v>0.14077255349535592</v>
      </c>
      <c r="GZ353" s="103">
        <f t="shared" si="331"/>
        <v>2.8038072685962655E-2</v>
      </c>
      <c r="HA353" s="103">
        <f t="shared" si="331"/>
        <v>1.0538754939739617E-3</v>
      </c>
    </row>
    <row r="354" spans="1:209" x14ac:dyDescent="0.25">
      <c r="A354" s="96">
        <v>51196</v>
      </c>
      <c r="B354" s="104">
        <f t="shared" si="377"/>
        <v>69.25</v>
      </c>
      <c r="C354" s="104">
        <f t="shared" si="314"/>
        <v>49</v>
      </c>
      <c r="D354" s="104">
        <f t="shared" si="378"/>
        <v>2</v>
      </c>
      <c r="E354" s="104">
        <f>('Renewable Diesel'!B363*E$3*'Feedstock Conversion Rates'!$B$2)/12+26+13-100+27.5+39</f>
        <v>95.43</v>
      </c>
      <c r="F354" s="104">
        <f>('Renewable Diesel'!B363*'RD Feedstock Breakdown'!F$3*'Feedstock Conversion Rates'!B$8)/12+77+23-10-12-115.75+24+8</f>
        <v>48.15625</v>
      </c>
      <c r="G354" s="104">
        <f>('Renewable Diesel'!B363*'RD Feedstock Breakdown'!G$3*'Feedstock Conversion Rates'!B$7)/12+116.75-39-57.5-145-31.5+32+70-40+10+60</f>
        <v>151.90700000000004</v>
      </c>
      <c r="H354" s="104">
        <f>('Renewable Diesel'!B363*'RD Feedstock Breakdown'!H$3*'Feedstock Conversion Rates'!B$3)/12+67+10+12+3-235+20+47-20</f>
        <v>80.400224999999978</v>
      </c>
      <c r="I354" s="106">
        <f t="shared" si="370"/>
        <v>496.14347500000002</v>
      </c>
      <c r="J354" s="104">
        <f t="shared" si="332"/>
        <v>4</v>
      </c>
      <c r="K354" s="104"/>
      <c r="L354" s="104">
        <v>1</v>
      </c>
      <c r="M354" s="104">
        <f>('Renewable Diesel'!C363*'RD Feedstock Breakdown'!M$3*'Feedstock Conversion Rates'!B$2)/12</f>
        <v>7.7902500000000003</v>
      </c>
      <c r="N354" s="104">
        <f>('Renewable Diesel'!C363*'RD Feedstock Breakdown'!N$3*'Feedstock Conversion Rates'!B$8)/12</f>
        <v>3.671875</v>
      </c>
      <c r="O354" s="104">
        <f>('Renewable Diesel'!C363*'RD Feedstock Breakdown'!O$3*'Feedstock Conversion Rates'!B$7)/12</f>
        <v>11.9991</v>
      </c>
      <c r="P354" s="104">
        <f>('Renewable Diesel'!C363*'RD Feedstock Breakdown'!P$3*'Feedstock Conversion Rates'!B$3)/12</f>
        <v>10.4470425</v>
      </c>
      <c r="Q354" s="106">
        <f t="shared" si="379"/>
        <v>38.908267500000001</v>
      </c>
      <c r="R354" s="104">
        <f>('Renewable Diesel'!D363*'RD Feedstock Breakdown'!R$3*'Feedstock Conversion Rates'!B$7)/12</f>
        <v>2.2999999999999998</v>
      </c>
      <c r="S354" s="106">
        <f t="shared" si="329"/>
        <v>2.2999999999999998</v>
      </c>
      <c r="T354" s="104">
        <f t="shared" si="380"/>
        <v>0.82499999999999929</v>
      </c>
      <c r="U354" s="104"/>
      <c r="V354" s="104">
        <f>('Renewable Diesel'!E363*'RD Feedstock Breakdown'!V$3*'Feedstock Conversion Rates'!B$6)/12-20+25</f>
        <v>49.250150000000012</v>
      </c>
      <c r="W354" s="104">
        <f>('Renewable Diesel'!E363*'RD Feedstock Breakdown'!W$3*'Feedstock Conversion Rates'!B$8)/12-6</f>
        <v>16.1796875</v>
      </c>
      <c r="X354" s="106">
        <f t="shared" si="357"/>
        <v>66.254837500000008</v>
      </c>
      <c r="Y354" s="104">
        <f t="shared" si="381"/>
        <v>98</v>
      </c>
      <c r="Z354" s="104">
        <f>('Renewable Diesel'!F363*'RD Feedstock Breakdown'!Z$3*'Feedstock Conversion Rates'!B$6)/12-142+15+5+20+5+15</f>
        <v>77.460000000000008</v>
      </c>
      <c r="AA354" s="104">
        <f>('Renewable Diesel'!F363*'RD Feedstock Breakdown'!AA$3*'Feedstock Conversion Rates'!B$7)/12+24</f>
        <v>128.26666666666665</v>
      </c>
      <c r="AB354" s="106">
        <f t="shared" si="320"/>
        <v>303.72666666666669</v>
      </c>
      <c r="AC354" s="104">
        <f>('Renewable Diesel'!G363*'RD Feedstock Breakdown'!AC$3*'Feedstock Conversion Rates'!B$5)/12</f>
        <v>11.796875</v>
      </c>
      <c r="AD354" s="104">
        <f>('Renewable Diesel'!G363*'RD Feedstock Breakdown'!AD$3*'Feedstock Conversion Rates'!B$4)/12</f>
        <v>5.859375</v>
      </c>
      <c r="AE354" s="104">
        <f>('Renewable Diesel'!G363*'RD Feedstock Breakdown'!AE$3*'Feedstock Conversion Rates'!B$6)/12</f>
        <v>7.3281250000000009</v>
      </c>
      <c r="AF354" s="106">
        <f t="shared" si="366"/>
        <v>24.984375</v>
      </c>
      <c r="AG354" s="104">
        <f t="shared" ref="AG354:AG417" si="383">130+20-51+49</f>
        <v>148</v>
      </c>
      <c r="AH354" s="104"/>
      <c r="AI354" s="104">
        <f>('Renewable Diesel'!H363*'RD Feedstock Breakdown'!AI$3*'Feedstock Conversion Rates'!B$6)/12-130-20+51-49</f>
        <v>0.51666666666667993</v>
      </c>
      <c r="AJ354" s="106">
        <f t="shared" si="328"/>
        <v>148.51666666666668</v>
      </c>
      <c r="AK354" s="104">
        <f>('Renewable Diesel'!J363*'RD Feedstock Breakdown'!AK$3*'Feedstock Conversion Rates'!B$4)/12</f>
        <v>95.8125</v>
      </c>
      <c r="AL354" s="106">
        <f t="shared" si="330"/>
        <v>95.8125</v>
      </c>
      <c r="AM354" s="104">
        <f>('Renewable Diesel'!K363*'RD Feedstock Breakdown'!AM$3*'Feedstock Conversion Rates'!B$4)/12+5+15-10+10</f>
        <v>78.59375</v>
      </c>
      <c r="AN354" s="104">
        <f>('Renewable Diesel'!K363*'RD Feedstock Breakdown'!AN$3*'Feedstock Conversion Rates'!B$6)/12-5-15+10-10</f>
        <v>4.4270833333333321</v>
      </c>
      <c r="AO354" s="106">
        <f t="shared" si="350"/>
        <v>83.020833333333329</v>
      </c>
      <c r="AP354" s="104">
        <f>('Renewable Diesel'!L363*'RD Feedstock Breakdown'!AP$3*'Feedstock Conversion Rates'!B$4)/12+15-10+15</f>
        <v>78.59375</v>
      </c>
      <c r="AQ354" s="104">
        <f>('Renewable Diesel'!L363*'RD Feedstock Breakdown'!AQ$3*'Feedstock Conversion Rates'!B$6)/12-15+10-15</f>
        <v>4.4270833333333321</v>
      </c>
      <c r="AR354" s="106">
        <f t="shared" si="339"/>
        <v>83.020833333333329</v>
      </c>
      <c r="AS354" s="104">
        <f>('Renewable Diesel'!M363*'RD Feedstock Breakdown'!AS$3*'Feedstock Conversion Rates'!B$4)/12</f>
        <v>456.25</v>
      </c>
      <c r="AT354" s="104">
        <f>('Renewable Diesel'!M363*'RD Feedstock Breakdown'!AT$3*'Feedstock Conversion Rates'!B$5)/12</f>
        <v>0</v>
      </c>
      <c r="AU354" s="106">
        <f t="shared" si="369"/>
        <v>456.25</v>
      </c>
      <c r="AV354" s="104">
        <f>'Renewable Diesel'!N363*'RD Feedstock Breakdown'!$AV$3*'Feedstock Conversion Rates'!$B$4/12-15-10+25+25-22+25</f>
        <v>106.74999999999999</v>
      </c>
      <c r="AW354" s="104">
        <f>'Renewable Diesel'!N363*'RD Feedstock Breakdown'!$AW$3*'Feedstock Conversion Rates'!$B$7/12+15+10-25-25+22-25</f>
        <v>13.400000000000006</v>
      </c>
      <c r="AX354" s="106">
        <f t="shared" si="322"/>
        <v>120.14999999999999</v>
      </c>
      <c r="AY354" s="104">
        <f>('Renewable Diesel'!O363*'RD Feedstock Breakdown'!AY$3*'Feedstock Conversion Rates'!B$4)/12</f>
        <v>210.9375</v>
      </c>
      <c r="AZ354" s="104">
        <f>('Renewable Diesel'!O363*'RD Feedstock Breakdown'!AZ$3*'Feedstock Conversion Rates'!B$3)/12</f>
        <v>25.03125</v>
      </c>
      <c r="BA354" s="106">
        <f t="shared" si="382"/>
        <v>235.96875</v>
      </c>
      <c r="BB354" s="104">
        <f>('Renewable Diesel'!Q363*'RD Feedstock Breakdown'!BB$3*'Feedstock Conversion Rates'!B$4)/12</f>
        <v>11.156249999999998</v>
      </c>
      <c r="BC354" s="104">
        <f>('Renewable Diesel'!Q363*'RD Feedstock Breakdown'!BC$3*'Feedstock Conversion Rates'!B$3)/12</f>
        <v>1.4017500000000001</v>
      </c>
      <c r="BD354" s="104">
        <f>('Renewable Diesel'!Q363*'RD Feedstock Breakdown'!BD$3*'Feedstock Conversion Rates'!B$6)/12</f>
        <v>0.8207500000000002</v>
      </c>
      <c r="BE354" s="106">
        <f t="shared" si="359"/>
        <v>13.378749999999998</v>
      </c>
      <c r="BF354" s="104">
        <f>('Renewable Diesel'!R363*'RD Feedstock Breakdown'!BF$3*'Feedstock Conversion Rates'!B$4)/12</f>
        <v>62.5</v>
      </c>
      <c r="BG354" s="106">
        <f t="shared" si="344"/>
        <v>62.5</v>
      </c>
      <c r="BH354" s="104">
        <f>('Renewable Diesel'!T363*'RD Feedstock Breakdown'!BH$3*'Feedstock Conversion Rates'!B$7)/12</f>
        <v>27.599999999999998</v>
      </c>
      <c r="BI354" s="106">
        <f t="shared" si="327"/>
        <v>27.599999999999998</v>
      </c>
      <c r="BJ354" s="104">
        <f>('Renewable Diesel'!W363*'RD Feedstock Breakdown'!BJ$3*'Feedstock Conversion Rates'!B$4)/12</f>
        <v>7.5</v>
      </c>
      <c r="BK354" s="104">
        <f>('Renewable Diesel'!W363*'RD Feedstock Breakdown'!BK$3*'Feedstock Conversion Rates'!B$3)/12</f>
        <v>1.335</v>
      </c>
      <c r="BL354" s="104">
        <f>('Renewable Diesel'!W363*'RD Feedstock Breakdown'!BL$3*'Feedstock Conversion Rates'!B$6)/12</f>
        <v>3.1266666666666669</v>
      </c>
      <c r="BM354" s="104">
        <f>('Renewable Diesel'!W363*'RD Feedstock Breakdown'!BM$3*'Feedstock Conversion Rates'!B$7)/12</f>
        <v>1.5333333333333332</v>
      </c>
      <c r="BN354" s="106">
        <f t="shared" si="374"/>
        <v>13.495000000000001</v>
      </c>
      <c r="BO354" s="104">
        <f>('Renewable Diesel'!P363*'Feedstock Conversion Rates'!B$4)/12</f>
        <v>31.25</v>
      </c>
      <c r="BP354" s="106">
        <f t="shared" si="367"/>
        <v>31.25</v>
      </c>
      <c r="BQ354" s="104">
        <f>('Renewable Diesel'!$S363*'RD Feedstock Breakdown'!BQ$3*'Feedstock Conversion Rates'!B$4)/12+10+15-15</f>
        <v>38.125</v>
      </c>
      <c r="BR354" s="104">
        <f>('Renewable Diesel'!$S363*'RD Feedstock Breakdown'!BR$3*'Feedstock Conversion Rates'!B$7)/12-10-15+15</f>
        <v>1.5</v>
      </c>
      <c r="BS354" s="106">
        <f t="shared" si="307"/>
        <v>39.625</v>
      </c>
      <c r="BT354" s="106"/>
      <c r="BU354" s="104">
        <f>('Renewable Diesel'!Y363*'Feedstock Conversion Rates'!B$7)/12</f>
        <v>2.6833333333333331</v>
      </c>
      <c r="BV354" s="106">
        <f t="shared" si="361"/>
        <v>2.6833333333333331</v>
      </c>
      <c r="BW354" s="104">
        <f>('Renewable Diesel'!$Z363*'RD Feedstock Breakdown'!BW$3*'Feedstock Conversion Rates'!$B$4)/12-230+160</f>
        <v>1.875</v>
      </c>
      <c r="BX354" s="104">
        <f>('Renewable Diesel'!$Z363*'RD Feedstock Breakdown'!BX$3*'Feedstock Conversion Rates'!$B$5)/12</f>
        <v>7.2354166666666666</v>
      </c>
      <c r="BY354" s="104">
        <f>('Renewable Diesel'!$Z363*'RD Feedstock Breakdown'!BY$3*'Feedstock Conversion Rates'!$B$7)/12</f>
        <v>61.716666666666661</v>
      </c>
      <c r="BZ354" s="104">
        <f>('Renewable Diesel'!$Z363*'RD Feedstock Breakdown'!BZ$3*'Feedstock Conversion Rates'!$B$3)/12+230-160</f>
        <v>85.352499999999992</v>
      </c>
      <c r="CA354" s="106">
        <f t="shared" si="312"/>
        <v>156.17958333333331</v>
      </c>
      <c r="CB354" s="104">
        <f>('Renewable Diesel'!AA363*'Feedstock Conversion Rates'!B$4)/12</f>
        <v>191.25</v>
      </c>
      <c r="CC354" s="106">
        <f t="shared" si="376"/>
        <v>191.25</v>
      </c>
      <c r="CD354" s="104">
        <f>('Renewable Diesel'!$AB363*'RD Feedstock Breakdown'!CD$3*'Feedstock Conversion Rates'!$B$6)/12-15-5</f>
        <v>12.830000000000005</v>
      </c>
      <c r="CE354" s="104">
        <f>('Renewable Diesel'!$AB363*'RD Feedstock Breakdown'!CE$3*'Feedstock Conversion Rates'!$B$4)/12+15+5</f>
        <v>31.25</v>
      </c>
      <c r="CF354" s="106">
        <f t="shared" si="372"/>
        <v>44.080000000000005</v>
      </c>
      <c r="CG354" s="104">
        <f>('Renewable Diesel'!AD363*'Feedstock Conversion Rates'!B$4)/12</f>
        <v>112.5</v>
      </c>
      <c r="CH354" s="106">
        <f t="shared" si="358"/>
        <v>112.5</v>
      </c>
      <c r="CI354" s="104">
        <f>('Renewable Diesel'!$AE363*'RD Feedstock Breakdown'!CI$3*'Feedstock Conversion Rates'!$B$5)/12</f>
        <v>0.34604166666666664</v>
      </c>
      <c r="CJ354" s="104">
        <f>('Renewable Diesel'!$AE363*'RD Feedstock Breakdown'!CJ$3*'Feedstock Conversion Rates'!$B$4)/12</f>
        <v>0.34375</v>
      </c>
      <c r="CK354" s="106">
        <f t="shared" si="368"/>
        <v>0.68979166666666658</v>
      </c>
      <c r="CL354" s="104">
        <f>(((CL$3*'Renewable Diesel'!$AF363)*'Feedstock Conversion Rates'!$B$3)/12)</f>
        <v>91.78125</v>
      </c>
      <c r="CM354" s="104">
        <f>(((CM$3*'Renewable Diesel'!$AF363)*'Feedstock Conversion Rates'!$B$6)/12)</f>
        <v>53.739583333333336</v>
      </c>
      <c r="CN354" s="104">
        <f>(((CN$3*'Renewable Diesel'!$AF363)*'Feedstock Conversion Rates'!$B$4)/12)</f>
        <v>42.96875</v>
      </c>
      <c r="CO354" s="106">
        <f t="shared" si="360"/>
        <v>188.48958333333334</v>
      </c>
      <c r="CP354" s="104">
        <f>('Renewable Diesel'!$AG363*'RD Feedstock Breakdown'!CP$3*'Feedstock Conversion Rates'!$B$3)/12</f>
        <v>6.0075000000000003</v>
      </c>
      <c r="CQ354" s="104">
        <f>('Renewable Diesel'!$AG363*'RD Feedstock Breakdown'!CQ$3*'Feedstock Conversion Rates'!$B$6)/12</f>
        <v>3.5175000000000001</v>
      </c>
      <c r="CR354" s="104">
        <f>('Renewable Diesel'!$AG363*'RD Feedstock Breakdown'!CR$3*'Feedstock Conversion Rates'!$B$4)/12</f>
        <v>2.8125</v>
      </c>
      <c r="CS354" s="106">
        <f t="shared" si="317"/>
        <v>12.3375</v>
      </c>
      <c r="CT354" s="104">
        <f>('Renewable Diesel'!AI363*'Feedstock Conversion Rates'!$B$4*'RD Feedstock Breakdown'!$CT$3)/12</f>
        <v>29.375</v>
      </c>
      <c r="CU354" s="106">
        <f t="shared" si="364"/>
        <v>29.375</v>
      </c>
      <c r="CV354" s="104">
        <f>('Renewable Diesel'!AN363*'Feedstock Conversion Rates'!$B$3*'RD Feedstock Breakdown'!$CV$3)/12</f>
        <v>0.50062499999999999</v>
      </c>
      <c r="CW354" s="106">
        <f t="shared" si="338"/>
        <v>0.50062499999999999</v>
      </c>
      <c r="CX354" s="104">
        <f>('Renewable Diesel'!AO363*'RD Feedstock Breakdown'!$CX$3*'Feedstock Conversion Rates'!$B$3)/12</f>
        <v>6.3412499999999996</v>
      </c>
      <c r="CY354" s="104">
        <f>('Renewable Diesel'!AO363*'RD Feedstock Breakdown'!$CY$3*'Feedstock Conversion Rates'!$B$6)/12</f>
        <v>7.4258333333333342</v>
      </c>
      <c r="CZ354" s="106">
        <f t="shared" si="318"/>
        <v>13.767083333333334</v>
      </c>
      <c r="DA354" s="104">
        <f>('Renewable Diesel'!$AP363*'RD Feedstock Breakdown'!DA$3*'Feedstock Conversion Rates'!$B$3)/12</f>
        <v>6.3412499999999996</v>
      </c>
      <c r="DB354" s="104">
        <f>('Renewable Diesel'!$AP363*'RD Feedstock Breakdown'!DB$3*'Feedstock Conversion Rates'!$B$8)/12</f>
        <v>7.421875</v>
      </c>
      <c r="DC354" s="106">
        <f t="shared" si="342"/>
        <v>13.763124999999999</v>
      </c>
      <c r="DD354" s="104">
        <f>('Renewable Diesel'!AQ363*$DD$3*'Feedstock Conversion Rates'!$B$14)/12</f>
        <v>3.1041666666666665</v>
      </c>
      <c r="DE354" s="106">
        <f t="shared" si="343"/>
        <v>3.1041666666666665</v>
      </c>
      <c r="DF354" s="104">
        <f>('Renewable Diesel'!AR363*'Feedstock Conversion Rates'!$B$4*$DF$3)/12</f>
        <v>75</v>
      </c>
      <c r="DG354" s="106">
        <f t="shared" si="319"/>
        <v>75</v>
      </c>
      <c r="DH354" s="104">
        <f>('Renewable Diesel'!AS363*'Feedstock Conversion Rates'!$B$4*$DH$3)/12</f>
        <v>75</v>
      </c>
      <c r="DI354" s="106">
        <f t="shared" si="323"/>
        <v>75</v>
      </c>
      <c r="DJ354" s="104">
        <f>('Renewable Diesel'!AT363*'Feedstock Conversion Rates'!$B$4*0.25)/12</f>
        <v>8.59375</v>
      </c>
      <c r="DK354" s="104">
        <f>('Renewable Diesel'!$AT363*'RD Feedstock Breakdown'!DK$3*'Feedstock Conversion Rates'!$B$3)/12*0.5</f>
        <v>9.1781249999999996</v>
      </c>
      <c r="DL354" s="104">
        <f>('Renewable Diesel'!$AT363*'RD Feedstock Breakdown'!$DL$3*'Feedstock Conversion Rates'!$B$6)/12</f>
        <v>10.747916666666669</v>
      </c>
      <c r="DM354" s="104">
        <f>('Renewable Diesel'!$AT363*'RD Feedstock Breakdown'!$DM$3*'Feedstock Conversion Rates'!$B$8)/12</f>
        <v>10.7421875</v>
      </c>
      <c r="DN354" s="106">
        <f t="shared" si="375"/>
        <v>39.26197916666667</v>
      </c>
      <c r="DP354" s="104">
        <f t="shared" si="345"/>
        <v>103.22025000000001</v>
      </c>
      <c r="DQ354" s="104">
        <f t="shared" si="346"/>
        <v>324.11776750000001</v>
      </c>
      <c r="DR354" s="104">
        <f t="shared" si="351"/>
        <v>1916.953125</v>
      </c>
      <c r="DS354" s="104">
        <f t="shared" si="365"/>
        <v>228.90125</v>
      </c>
      <c r="DT354" s="104">
        <f t="shared" si="347"/>
        <v>243.03923333333344</v>
      </c>
      <c r="DU354" s="104">
        <f t="shared" si="348"/>
        <v>402.90610000000009</v>
      </c>
      <c r="DV354" s="104">
        <f t="shared" si="352"/>
        <v>78.75</v>
      </c>
      <c r="DW354" s="104">
        <f t="shared" si="349"/>
        <v>3</v>
      </c>
      <c r="DX354" s="106">
        <f t="shared" si="353"/>
        <v>3300.8877258333337</v>
      </c>
      <c r="DY354" s="109">
        <f t="shared" si="340"/>
        <v>-5.631051180898794E-13</v>
      </c>
      <c r="EA354" s="110">
        <f t="shared" si="313"/>
        <v>3.1270451640078516E-2</v>
      </c>
      <c r="EB354" s="110">
        <f t="shared" si="313"/>
        <v>9.8191091130848465E-2</v>
      </c>
      <c r="EC354" s="110">
        <f t="shared" si="313"/>
        <v>0.58073866311707134</v>
      </c>
      <c r="ED354" s="110">
        <f t="shared" si="308"/>
        <v>6.9345360706629972E-2</v>
      </c>
      <c r="EE354" s="110">
        <f t="shared" si="308"/>
        <v>7.3628445896921982E-2</v>
      </c>
      <c r="EF354" s="110">
        <f t="shared" si="308"/>
        <v>0.1220599225010852</v>
      </c>
      <c r="EG354" s="110">
        <f t="shared" si="308"/>
        <v>2.3857218585075921E-2</v>
      </c>
      <c r="EH354" s="111">
        <f t="shared" si="354"/>
        <v>9.0884642228860647E-4</v>
      </c>
      <c r="EI354" s="110">
        <f t="shared" si="321"/>
        <v>0.9990911535777115</v>
      </c>
      <c r="EK354" s="132">
        <f>(EA354*'Renewable Diesel'!BF363*'Feedstock Conversion Rates'!B$2)+FB354</f>
        <v>192.46168783757221</v>
      </c>
      <c r="EL354" s="132">
        <f>(EB354*'Renewable Diesel'!BF363*'Feedstock Conversion Rates'!B$3)+FC354</f>
        <v>569.50273323930628</v>
      </c>
      <c r="EM354" s="132">
        <f>(EC354*'Renewable Diesel'!BF363*'Feedstock Conversion Rates'!B$4)+FD354</f>
        <v>3153.7932146779381</v>
      </c>
      <c r="EN354" s="132">
        <f>(ED354*'Renewable Diesel'!BF363*'Feedstock Conversion Rates'!B$5)+FE354</f>
        <v>379.10156191665197</v>
      </c>
      <c r="EO354" s="132">
        <f>(EE354*'Renewable Diesel'!BF363*'Feedstock Conversion Rates'!B$6)+FF354</f>
        <v>500.08022664820533</v>
      </c>
      <c r="EP354" s="132">
        <f>(EF354*'Renewable Diesel'!BF363*'Feedstock Conversion Rates'!B$7)+FG354</f>
        <v>813.11529018965985</v>
      </c>
      <c r="EQ354" s="132">
        <f>(EG354*'Renewable Diesel'!BF363*'Feedstock Conversion Rates'!B$8)+FH354</f>
        <v>161.95050130391661</v>
      </c>
      <c r="ER354" s="132">
        <f>(EH354*'Renewable Diesel'!BF363*'Feedstock Conversion Rates'!B$9)+FI354</f>
        <v>6.0872823347249909</v>
      </c>
      <c r="ES354" s="132">
        <f t="shared" si="355"/>
        <v>5776.0924981479757</v>
      </c>
      <c r="ET354" s="133">
        <f>ES354/'Renewable Diesel'!BF363</f>
        <v>10.335898750898325</v>
      </c>
      <c r="EW354" s="73">
        <f t="shared" si="309"/>
        <v>4339.1647246281382</v>
      </c>
      <c r="EX354" s="73">
        <f t="shared" si="310"/>
        <v>2755.1356718053817</v>
      </c>
      <c r="EY354" s="92">
        <f t="shared" si="341"/>
        <v>0.75122839982556222</v>
      </c>
      <c r="EZ354" s="92">
        <f t="shared" si="341"/>
        <v>0.47698953448006204</v>
      </c>
      <c r="FB354" s="102">
        <f>IF('Renewable Diesel'!$BG363&lt;1,0,(((('Renewable Diesel'!$BG363-1)*'Renewable Diesel'!$BF363)*'RD Feedstock Breakdown'!EA354)*'Feedstock Conversion Rates'!$B$2))</f>
        <v>43.923208831264667</v>
      </c>
      <c r="FC354" s="102">
        <f>IF('Renewable Diesel'!$BG363&lt;1,0,(((('Renewable Diesel'!$BG363-1)*'Renewable Diesel'!$BF363)*'RD Feedstock Breakdown'!EB354)*'Feedstock Conversion Rates'!$B$3))</f>
        <v>129.97073736128161</v>
      </c>
      <c r="FD354" s="102">
        <f>IF('Renewable Diesel'!$BG363&lt;1,0,(((('Renewable Diesel'!$BG363-1)*'Renewable Diesel'!$BF363)*'RD Feedstock Breakdown'!EC354)*'Feedstock Conversion Rates'!$B$4))</f>
        <v>719.75217268089409</v>
      </c>
      <c r="FE354" s="102">
        <f>IF('Renewable Diesel'!$BG363&lt;1,0,(((('Renewable Diesel'!$BG363-1)*'Renewable Diesel'!$BF363)*'RD Feedstock Breakdown'!ED354)*'Feedstock Conversion Rates'!$B$5))</f>
        <v>86.517775352654141</v>
      </c>
      <c r="FF354" s="102">
        <f>IF('Renewable Diesel'!$BG363&lt;1,0,(((('Renewable Diesel'!$BG363-1)*'Renewable Diesel'!$BF363)*'RD Feedstock Breakdown'!EE354)*'Feedstock Conversion Rates'!$B$6))</f>
        <v>114.12727631274194</v>
      </c>
      <c r="FG354" s="102">
        <f>IF('Renewable Diesel'!$BG363&lt;1,0,(((('Renewable Diesel'!$BG363-1)*'Renewable Diesel'!$BF363)*'RD Feedstock Breakdown'!EF354)*'Feedstock Conversion Rates'!$B$7))</f>
        <v>185.56749187940264</v>
      </c>
      <c r="FH354" s="102">
        <f>IF('Renewable Diesel'!$BG363&lt;1,0,(((('Renewable Diesel'!$BG363-1)*'Renewable Diesel'!$BF363)*'RD Feedstock Breakdown'!EG354)*'Feedstock Conversion Rates'!$B$8))</f>
        <v>36.9600088673402</v>
      </c>
      <c r="FI354" s="102">
        <f>IF('Renewable Diesel'!$BG363&lt;1,0,(((('Renewable Diesel'!$BG363-1)*'Renewable Diesel'!$BF363)*'RD Feedstock Breakdown'!EH354)*'Feedstock Conversion Rates'!$B$9))</f>
        <v>1.3892269999660569</v>
      </c>
      <c r="FJ354" s="102">
        <f t="shared" si="311"/>
        <v>1318.2078982855453</v>
      </c>
      <c r="GD354" s="91">
        <f>'Renewable Diesel'!BB363*0.32</f>
        <v>0</v>
      </c>
      <c r="GE354" s="91">
        <f>'Renewable Diesel'!BC363</f>
        <v>198.21581021517588</v>
      </c>
      <c r="GF354" s="91">
        <f>'Renewable Diesel'!BD363</f>
        <v>0</v>
      </c>
      <c r="GG354" s="91">
        <f t="shared" si="373"/>
        <v>198.21581021517588</v>
      </c>
      <c r="GH354" s="124">
        <v>1</v>
      </c>
      <c r="GI354" s="102">
        <f>$GG354*EA354*'Feedstock Conversion Rates'!$B$2</f>
        <v>52.685532214877426</v>
      </c>
      <c r="GJ354" s="102">
        <f>$GG354*EB354*'Feedstock Conversion Rates'!$B$3</f>
        <v>155.89884374215052</v>
      </c>
      <c r="GK354" s="102">
        <f>$GG354*EC354*'Feedstock Conversion Rates'!$B$4</f>
        <v>863.33688474771282</v>
      </c>
      <c r="GL354" s="102">
        <f>$GG354*ED354*'Feedstock Conversion Rates'!$B$5</f>
        <v>103.77736877131852</v>
      </c>
      <c r="GM354" s="102">
        <f>$GG354*EE354*'Feedstock Conversion Rates'!$B$6</f>
        <v>136.89474090725389</v>
      </c>
      <c r="GN354" s="102">
        <f>$GG354*EF354*'Feedstock Conversion Rates'!$B$7</f>
        <v>222.58669918685843</v>
      </c>
      <c r="GO354" s="102">
        <f>$GG354*EG354*'Feedstock Conversion Rates'!$B$8</f>
        <v>44.333230418637896</v>
      </c>
      <c r="GP354" s="102">
        <f>$GG354*EH354*'Feedstock Conversion Rates'!B$9</f>
        <v>1.666366502084675</v>
      </c>
      <c r="GQ354" s="102">
        <f t="shared" si="356"/>
        <v>1581.1796664908941</v>
      </c>
      <c r="GR354" s="85">
        <f t="shared" si="371"/>
        <v>7.9770612887762224</v>
      </c>
      <c r="GT354" s="103">
        <f t="shared" si="333"/>
        <v>3.3320395734535484E-2</v>
      </c>
      <c r="GU354" s="103">
        <f t="shared" si="334"/>
        <v>9.8596539688709892E-2</v>
      </c>
      <c r="GV354" s="103">
        <f t="shared" si="335"/>
        <v>0.54600808690116343</v>
      </c>
      <c r="GW354" s="103">
        <f t="shared" si="331"/>
        <v>6.5632875865164156E-2</v>
      </c>
      <c r="GX354" s="103">
        <f t="shared" si="331"/>
        <v>8.6577600135134464E-2</v>
      </c>
      <c r="GY354" s="103">
        <f t="shared" si="331"/>
        <v>0.14077255349535592</v>
      </c>
      <c r="GZ354" s="103">
        <f t="shared" si="331"/>
        <v>2.8038072685962666E-2</v>
      </c>
      <c r="HA354" s="103">
        <f t="shared" si="331"/>
        <v>1.0538754939739615E-3</v>
      </c>
    </row>
    <row r="355" spans="1:209" x14ac:dyDescent="0.25">
      <c r="A355" s="96">
        <v>51227</v>
      </c>
      <c r="B355" s="104">
        <f t="shared" si="377"/>
        <v>69.25</v>
      </c>
      <c r="C355" s="104">
        <f t="shared" si="314"/>
        <v>49</v>
      </c>
      <c r="D355" s="104">
        <f t="shared" si="378"/>
        <v>2</v>
      </c>
      <c r="E355" s="104">
        <f>('Renewable Diesel'!B364*E$3*'Feedstock Conversion Rates'!$B$2)/12+26+13-100+27.5+39</f>
        <v>95.43</v>
      </c>
      <c r="F355" s="104">
        <f>('Renewable Diesel'!B364*'RD Feedstock Breakdown'!F$3*'Feedstock Conversion Rates'!B$8)/12+77+23-10-12-115.75+24+8</f>
        <v>48.15625</v>
      </c>
      <c r="G355" s="104">
        <f>('Renewable Diesel'!B364*'RD Feedstock Breakdown'!G$3*'Feedstock Conversion Rates'!B$7)/12+116.75-39-57.5-145-31.5+32+70-40+10+60</f>
        <v>151.90700000000004</v>
      </c>
      <c r="H355" s="104">
        <f>('Renewable Diesel'!B364*'RD Feedstock Breakdown'!H$3*'Feedstock Conversion Rates'!B$3)/12+67+10+12+3-235+20+47-20</f>
        <v>80.400224999999978</v>
      </c>
      <c r="I355" s="106">
        <f t="shared" si="370"/>
        <v>496.14347500000002</v>
      </c>
      <c r="J355" s="104">
        <f t="shared" si="332"/>
        <v>4</v>
      </c>
      <c r="K355" s="104"/>
      <c r="L355" s="104">
        <v>1</v>
      </c>
      <c r="M355" s="104">
        <f>('Renewable Diesel'!C364*'RD Feedstock Breakdown'!M$3*'Feedstock Conversion Rates'!B$2)/12</f>
        <v>7.7902500000000003</v>
      </c>
      <c r="N355" s="104">
        <f>('Renewable Diesel'!C364*'RD Feedstock Breakdown'!N$3*'Feedstock Conversion Rates'!B$8)/12</f>
        <v>3.671875</v>
      </c>
      <c r="O355" s="104">
        <f>('Renewable Diesel'!C364*'RD Feedstock Breakdown'!O$3*'Feedstock Conversion Rates'!B$7)/12</f>
        <v>11.9991</v>
      </c>
      <c r="P355" s="104">
        <f>('Renewable Diesel'!C364*'RD Feedstock Breakdown'!P$3*'Feedstock Conversion Rates'!B$3)/12</f>
        <v>10.4470425</v>
      </c>
      <c r="Q355" s="106">
        <f t="shared" si="379"/>
        <v>38.908267500000001</v>
      </c>
      <c r="R355" s="104">
        <f>('Renewable Diesel'!D364*'RD Feedstock Breakdown'!R$3*'Feedstock Conversion Rates'!B$7)/12</f>
        <v>2.2999999999999998</v>
      </c>
      <c r="S355" s="106">
        <f t="shared" si="329"/>
        <v>2.2999999999999998</v>
      </c>
      <c r="T355" s="104">
        <f t="shared" si="380"/>
        <v>0.82499999999999929</v>
      </c>
      <c r="U355" s="104"/>
      <c r="V355" s="104">
        <f>('Renewable Diesel'!E364*'RD Feedstock Breakdown'!V$3*'Feedstock Conversion Rates'!B$6)/12-20+25</f>
        <v>49.250150000000012</v>
      </c>
      <c r="W355" s="104">
        <f>('Renewable Diesel'!E364*'RD Feedstock Breakdown'!W$3*'Feedstock Conversion Rates'!B$8)/12-6</f>
        <v>16.1796875</v>
      </c>
      <c r="X355" s="106">
        <f t="shared" si="357"/>
        <v>66.254837500000008</v>
      </c>
      <c r="Y355" s="104">
        <f t="shared" si="381"/>
        <v>98</v>
      </c>
      <c r="Z355" s="104">
        <f>('Renewable Diesel'!F364*'RD Feedstock Breakdown'!Z$3*'Feedstock Conversion Rates'!B$6)/12-142+15+5+20+5+15</f>
        <v>77.460000000000008</v>
      </c>
      <c r="AA355" s="104">
        <f>('Renewable Diesel'!F364*'RD Feedstock Breakdown'!AA$3*'Feedstock Conversion Rates'!B$7)/12+24</f>
        <v>128.26666666666665</v>
      </c>
      <c r="AB355" s="106">
        <f t="shared" si="320"/>
        <v>303.72666666666669</v>
      </c>
      <c r="AC355" s="104">
        <f>('Renewable Diesel'!G364*'RD Feedstock Breakdown'!AC$3*'Feedstock Conversion Rates'!B$5)/12</f>
        <v>11.796875</v>
      </c>
      <c r="AD355" s="104">
        <f>('Renewable Diesel'!G364*'RD Feedstock Breakdown'!AD$3*'Feedstock Conversion Rates'!B$4)/12</f>
        <v>5.859375</v>
      </c>
      <c r="AE355" s="104">
        <f>('Renewable Diesel'!G364*'RD Feedstock Breakdown'!AE$3*'Feedstock Conversion Rates'!B$6)/12</f>
        <v>7.3281250000000009</v>
      </c>
      <c r="AF355" s="106">
        <f t="shared" si="366"/>
        <v>24.984375</v>
      </c>
      <c r="AG355" s="104">
        <f t="shared" si="383"/>
        <v>148</v>
      </c>
      <c r="AH355" s="104"/>
      <c r="AI355" s="104">
        <f>('Renewable Diesel'!H364*'RD Feedstock Breakdown'!AI$3*'Feedstock Conversion Rates'!B$6)/12-130-20+51-49</f>
        <v>0.51666666666667993</v>
      </c>
      <c r="AJ355" s="106">
        <f t="shared" si="328"/>
        <v>148.51666666666668</v>
      </c>
      <c r="AK355" s="104">
        <f>('Renewable Diesel'!J364*'RD Feedstock Breakdown'!AK$3*'Feedstock Conversion Rates'!B$4)/12</f>
        <v>95.8125</v>
      </c>
      <c r="AL355" s="106">
        <f t="shared" si="330"/>
        <v>95.8125</v>
      </c>
      <c r="AM355" s="104">
        <f>('Renewable Diesel'!K364*'RD Feedstock Breakdown'!AM$3*'Feedstock Conversion Rates'!B$4)/12+5+15-10+10</f>
        <v>78.59375</v>
      </c>
      <c r="AN355" s="104">
        <f>('Renewable Diesel'!K364*'RD Feedstock Breakdown'!AN$3*'Feedstock Conversion Rates'!B$6)/12-5-15+10-10</f>
        <v>4.4270833333333321</v>
      </c>
      <c r="AO355" s="106">
        <f t="shared" si="350"/>
        <v>83.020833333333329</v>
      </c>
      <c r="AP355" s="104">
        <f>('Renewable Diesel'!L364*'RD Feedstock Breakdown'!AP$3*'Feedstock Conversion Rates'!B$4)/12+15-10+15</f>
        <v>78.59375</v>
      </c>
      <c r="AQ355" s="104">
        <f>('Renewable Diesel'!L364*'RD Feedstock Breakdown'!AQ$3*'Feedstock Conversion Rates'!B$6)/12-15+10-15</f>
        <v>4.4270833333333321</v>
      </c>
      <c r="AR355" s="106">
        <f t="shared" si="339"/>
        <v>83.020833333333329</v>
      </c>
      <c r="AS355" s="104">
        <f>('Renewable Diesel'!M364*'RD Feedstock Breakdown'!AS$3*'Feedstock Conversion Rates'!B$4)/12</f>
        <v>456.25</v>
      </c>
      <c r="AT355" s="104">
        <f>('Renewable Diesel'!M364*'RD Feedstock Breakdown'!AT$3*'Feedstock Conversion Rates'!B$5)/12</f>
        <v>0</v>
      </c>
      <c r="AU355" s="106">
        <f t="shared" si="369"/>
        <v>456.25</v>
      </c>
      <c r="AV355" s="104">
        <f>'Renewable Diesel'!N364*'RD Feedstock Breakdown'!$AV$3*'Feedstock Conversion Rates'!$B$4/12-15-10+25+25-22+25</f>
        <v>106.74999999999999</v>
      </c>
      <c r="AW355" s="104">
        <f>'Renewable Diesel'!N364*'RD Feedstock Breakdown'!$AW$3*'Feedstock Conversion Rates'!$B$7/12+15+10-25-25+22-25</f>
        <v>13.400000000000006</v>
      </c>
      <c r="AX355" s="106">
        <f t="shared" si="322"/>
        <v>120.14999999999999</v>
      </c>
      <c r="AY355" s="104">
        <f>('Renewable Diesel'!O364*'RD Feedstock Breakdown'!AY$3*'Feedstock Conversion Rates'!B$4)/12</f>
        <v>210.9375</v>
      </c>
      <c r="AZ355" s="104">
        <f>('Renewable Diesel'!O364*'RD Feedstock Breakdown'!AZ$3*'Feedstock Conversion Rates'!B$3)/12</f>
        <v>25.03125</v>
      </c>
      <c r="BA355" s="106">
        <f t="shared" si="382"/>
        <v>235.96875</v>
      </c>
      <c r="BB355" s="104">
        <f>('Renewable Diesel'!Q364*'RD Feedstock Breakdown'!BB$3*'Feedstock Conversion Rates'!B$4)/12</f>
        <v>11.156249999999998</v>
      </c>
      <c r="BC355" s="104">
        <f>('Renewable Diesel'!Q364*'RD Feedstock Breakdown'!BC$3*'Feedstock Conversion Rates'!B$3)/12</f>
        <v>1.4017500000000001</v>
      </c>
      <c r="BD355" s="104">
        <f>('Renewable Diesel'!Q364*'RD Feedstock Breakdown'!BD$3*'Feedstock Conversion Rates'!B$6)/12</f>
        <v>0.8207500000000002</v>
      </c>
      <c r="BE355" s="106">
        <f t="shared" si="359"/>
        <v>13.378749999999998</v>
      </c>
      <c r="BF355" s="104">
        <f>('Renewable Diesel'!R364*'RD Feedstock Breakdown'!BF$3*'Feedstock Conversion Rates'!B$4)/12</f>
        <v>62.5</v>
      </c>
      <c r="BG355" s="106">
        <f t="shared" si="344"/>
        <v>62.5</v>
      </c>
      <c r="BH355" s="104">
        <f>('Renewable Diesel'!T364*'RD Feedstock Breakdown'!BH$3*'Feedstock Conversion Rates'!B$7)/12</f>
        <v>27.599999999999998</v>
      </c>
      <c r="BI355" s="106">
        <f t="shared" si="327"/>
        <v>27.599999999999998</v>
      </c>
      <c r="BJ355" s="104">
        <f>('Renewable Diesel'!W364*'RD Feedstock Breakdown'!BJ$3*'Feedstock Conversion Rates'!B$4)/12</f>
        <v>7.5</v>
      </c>
      <c r="BK355" s="104">
        <f>('Renewable Diesel'!W364*'RD Feedstock Breakdown'!BK$3*'Feedstock Conversion Rates'!B$3)/12</f>
        <v>1.335</v>
      </c>
      <c r="BL355" s="104">
        <f>('Renewable Diesel'!W364*'RD Feedstock Breakdown'!BL$3*'Feedstock Conversion Rates'!B$6)/12</f>
        <v>3.1266666666666669</v>
      </c>
      <c r="BM355" s="104">
        <f>('Renewable Diesel'!W364*'RD Feedstock Breakdown'!BM$3*'Feedstock Conversion Rates'!B$7)/12</f>
        <v>1.5333333333333332</v>
      </c>
      <c r="BN355" s="106">
        <f t="shared" si="374"/>
        <v>13.495000000000001</v>
      </c>
      <c r="BO355" s="104">
        <f>('Renewable Diesel'!P364*'Feedstock Conversion Rates'!B$4)/12</f>
        <v>31.25</v>
      </c>
      <c r="BP355" s="106">
        <f t="shared" si="367"/>
        <v>31.25</v>
      </c>
      <c r="BQ355" s="104">
        <f>('Renewable Diesel'!$S364*'RD Feedstock Breakdown'!BQ$3*'Feedstock Conversion Rates'!B$4)/12+10+15-15</f>
        <v>38.125</v>
      </c>
      <c r="BR355" s="104">
        <f>('Renewable Diesel'!$S364*'RD Feedstock Breakdown'!BR$3*'Feedstock Conversion Rates'!B$7)/12-10-15+15</f>
        <v>1.5</v>
      </c>
      <c r="BS355" s="106">
        <f t="shared" si="307"/>
        <v>39.625</v>
      </c>
      <c r="BT355" s="106"/>
      <c r="BU355" s="104">
        <f>('Renewable Diesel'!Y364*'Feedstock Conversion Rates'!B$7)/12</f>
        <v>2.6833333333333331</v>
      </c>
      <c r="BV355" s="106">
        <f t="shared" si="361"/>
        <v>2.6833333333333331</v>
      </c>
      <c r="BW355" s="104">
        <f>('Renewable Diesel'!$Z364*'RD Feedstock Breakdown'!BW$3*'Feedstock Conversion Rates'!$B$4)/12-230+160</f>
        <v>1.875</v>
      </c>
      <c r="BX355" s="104">
        <f>('Renewable Diesel'!$Z364*'RD Feedstock Breakdown'!BX$3*'Feedstock Conversion Rates'!$B$5)/12</f>
        <v>7.2354166666666666</v>
      </c>
      <c r="BY355" s="104">
        <f>('Renewable Diesel'!$Z364*'RD Feedstock Breakdown'!BY$3*'Feedstock Conversion Rates'!$B$7)/12</f>
        <v>61.716666666666661</v>
      </c>
      <c r="BZ355" s="104">
        <f>('Renewable Diesel'!$Z364*'RD Feedstock Breakdown'!BZ$3*'Feedstock Conversion Rates'!$B$3)/12+230-160</f>
        <v>85.352499999999992</v>
      </c>
      <c r="CA355" s="106">
        <f t="shared" si="312"/>
        <v>156.17958333333331</v>
      </c>
      <c r="CB355" s="104">
        <f>('Renewable Diesel'!AA364*'Feedstock Conversion Rates'!B$4)/12</f>
        <v>191.25</v>
      </c>
      <c r="CC355" s="106">
        <f t="shared" si="376"/>
        <v>191.25</v>
      </c>
      <c r="CD355" s="104">
        <f>('Renewable Diesel'!$AB364*'RD Feedstock Breakdown'!CD$3*'Feedstock Conversion Rates'!$B$6)/12-15-5</f>
        <v>12.830000000000005</v>
      </c>
      <c r="CE355" s="104">
        <f>('Renewable Diesel'!$AB364*'RD Feedstock Breakdown'!CE$3*'Feedstock Conversion Rates'!$B$4)/12+15+5</f>
        <v>31.25</v>
      </c>
      <c r="CF355" s="106">
        <f t="shared" si="372"/>
        <v>44.080000000000005</v>
      </c>
      <c r="CG355" s="104">
        <f>('Renewable Diesel'!AD364*'Feedstock Conversion Rates'!B$4)/12</f>
        <v>112.5</v>
      </c>
      <c r="CH355" s="106">
        <f t="shared" si="358"/>
        <v>112.5</v>
      </c>
      <c r="CI355" s="104">
        <f>('Renewable Diesel'!$AE364*'RD Feedstock Breakdown'!CI$3*'Feedstock Conversion Rates'!$B$5)/12</f>
        <v>0.34604166666666664</v>
      </c>
      <c r="CJ355" s="104">
        <f>('Renewable Diesel'!$AE364*'RD Feedstock Breakdown'!CJ$3*'Feedstock Conversion Rates'!$B$4)/12</f>
        <v>0.34375</v>
      </c>
      <c r="CK355" s="106">
        <f t="shared" si="368"/>
        <v>0.68979166666666658</v>
      </c>
      <c r="CL355" s="104">
        <f>(((CL$3*'Renewable Diesel'!$AF364)*'Feedstock Conversion Rates'!$B$3)/12)</f>
        <v>91.78125</v>
      </c>
      <c r="CM355" s="104">
        <f>(((CM$3*'Renewable Diesel'!$AF364)*'Feedstock Conversion Rates'!$B$6)/12)</f>
        <v>53.739583333333336</v>
      </c>
      <c r="CN355" s="104">
        <f>(((CN$3*'Renewable Diesel'!$AF364)*'Feedstock Conversion Rates'!$B$4)/12)</f>
        <v>42.96875</v>
      </c>
      <c r="CO355" s="106">
        <f t="shared" si="360"/>
        <v>188.48958333333334</v>
      </c>
      <c r="CP355" s="104">
        <f>('Renewable Diesel'!$AG364*'RD Feedstock Breakdown'!CP$3*'Feedstock Conversion Rates'!$B$3)/12</f>
        <v>6.0075000000000003</v>
      </c>
      <c r="CQ355" s="104">
        <f>('Renewable Diesel'!$AG364*'RD Feedstock Breakdown'!CQ$3*'Feedstock Conversion Rates'!$B$6)/12</f>
        <v>3.5175000000000001</v>
      </c>
      <c r="CR355" s="104">
        <f>('Renewable Diesel'!$AG364*'RD Feedstock Breakdown'!CR$3*'Feedstock Conversion Rates'!$B$4)/12</f>
        <v>2.8125</v>
      </c>
      <c r="CS355" s="106">
        <f t="shared" si="317"/>
        <v>12.3375</v>
      </c>
      <c r="CT355" s="104">
        <f>('Renewable Diesel'!AI364*'Feedstock Conversion Rates'!$B$4*'RD Feedstock Breakdown'!$CT$3)/12</f>
        <v>29.375</v>
      </c>
      <c r="CU355" s="106">
        <f t="shared" si="364"/>
        <v>29.375</v>
      </c>
      <c r="CV355" s="104">
        <f>('Renewable Diesel'!AN364*'Feedstock Conversion Rates'!$B$3*'RD Feedstock Breakdown'!$CV$3)/12</f>
        <v>0.50062499999999999</v>
      </c>
      <c r="CW355" s="106">
        <f t="shared" si="338"/>
        <v>0.50062499999999999</v>
      </c>
      <c r="CX355" s="104">
        <f>('Renewable Diesel'!AO364*'RD Feedstock Breakdown'!$CX$3*'Feedstock Conversion Rates'!$B$3)/12</f>
        <v>6.3412499999999996</v>
      </c>
      <c r="CY355" s="104">
        <f>('Renewable Diesel'!AO364*'RD Feedstock Breakdown'!$CY$3*'Feedstock Conversion Rates'!$B$6)/12</f>
        <v>7.4258333333333342</v>
      </c>
      <c r="CZ355" s="106">
        <f t="shared" si="318"/>
        <v>13.767083333333334</v>
      </c>
      <c r="DA355" s="104">
        <f>('Renewable Diesel'!$AP364*'RD Feedstock Breakdown'!DA$3*'Feedstock Conversion Rates'!$B$3)/12</f>
        <v>6.3412499999999996</v>
      </c>
      <c r="DB355" s="104">
        <f>('Renewable Diesel'!$AP364*'RD Feedstock Breakdown'!DB$3*'Feedstock Conversion Rates'!$B$8)/12</f>
        <v>7.421875</v>
      </c>
      <c r="DC355" s="106">
        <f t="shared" si="342"/>
        <v>13.763124999999999</v>
      </c>
      <c r="DD355" s="104">
        <f>('Renewable Diesel'!AQ364*$DD$3*'Feedstock Conversion Rates'!$B$14)/12</f>
        <v>3.1041666666666665</v>
      </c>
      <c r="DE355" s="106">
        <f t="shared" si="343"/>
        <v>3.1041666666666665</v>
      </c>
      <c r="DF355" s="104">
        <f>('Renewable Diesel'!AR364*'Feedstock Conversion Rates'!$B$4*$DF$3)/12</f>
        <v>75</v>
      </c>
      <c r="DG355" s="106">
        <f t="shared" si="319"/>
        <v>75</v>
      </c>
      <c r="DH355" s="104">
        <f>('Renewable Diesel'!AS364*'Feedstock Conversion Rates'!$B$4*$DH$3)/12</f>
        <v>75</v>
      </c>
      <c r="DI355" s="106">
        <f t="shared" si="323"/>
        <v>75</v>
      </c>
      <c r="DJ355" s="104">
        <f>('Renewable Diesel'!AT364*'Feedstock Conversion Rates'!$B$4*0.25)/12</f>
        <v>8.59375</v>
      </c>
      <c r="DK355" s="104">
        <f>('Renewable Diesel'!$AT364*'RD Feedstock Breakdown'!DK$3*'Feedstock Conversion Rates'!$B$3)/12*0.5</f>
        <v>9.1781249999999996</v>
      </c>
      <c r="DL355" s="104">
        <f>('Renewable Diesel'!$AT364*'RD Feedstock Breakdown'!$DL$3*'Feedstock Conversion Rates'!$B$6)/12</f>
        <v>10.747916666666669</v>
      </c>
      <c r="DM355" s="104">
        <f>('Renewable Diesel'!$AT364*'RD Feedstock Breakdown'!$DM$3*'Feedstock Conversion Rates'!$B$8)/12</f>
        <v>10.7421875</v>
      </c>
      <c r="DN355" s="106">
        <f t="shared" si="375"/>
        <v>39.26197916666667</v>
      </c>
      <c r="DP355" s="104">
        <f t="shared" si="345"/>
        <v>103.22025000000001</v>
      </c>
      <c r="DQ355" s="104">
        <f t="shared" si="346"/>
        <v>324.11776750000001</v>
      </c>
      <c r="DR355" s="104">
        <f t="shared" si="351"/>
        <v>1916.953125</v>
      </c>
      <c r="DS355" s="104">
        <f t="shared" si="365"/>
        <v>228.90125</v>
      </c>
      <c r="DT355" s="104">
        <f t="shared" si="347"/>
        <v>243.03923333333344</v>
      </c>
      <c r="DU355" s="104">
        <f t="shared" si="348"/>
        <v>402.90610000000009</v>
      </c>
      <c r="DV355" s="104">
        <f t="shared" si="352"/>
        <v>78.75</v>
      </c>
      <c r="DW355" s="104">
        <f t="shared" si="349"/>
        <v>3</v>
      </c>
      <c r="DX355" s="106">
        <f t="shared" si="353"/>
        <v>3300.8877258333337</v>
      </c>
      <c r="DY355" s="109">
        <f t="shared" si="340"/>
        <v>-5.631051180898794E-13</v>
      </c>
      <c r="EA355" s="110">
        <f t="shared" si="313"/>
        <v>3.1270451640078516E-2</v>
      </c>
      <c r="EB355" s="110">
        <f t="shared" si="313"/>
        <v>9.8191091130848465E-2</v>
      </c>
      <c r="EC355" s="110">
        <f t="shared" si="313"/>
        <v>0.58073866311707134</v>
      </c>
      <c r="ED355" s="110">
        <f t="shared" si="308"/>
        <v>6.9345360706629972E-2</v>
      </c>
      <c r="EE355" s="110">
        <f t="shared" si="308"/>
        <v>7.3628445896921982E-2</v>
      </c>
      <c r="EF355" s="110">
        <f t="shared" si="308"/>
        <v>0.1220599225010852</v>
      </c>
      <c r="EG355" s="110">
        <f t="shared" si="308"/>
        <v>2.3857218585075921E-2</v>
      </c>
      <c r="EH355" s="111">
        <f t="shared" si="354"/>
        <v>9.0884642228860647E-4</v>
      </c>
      <c r="EI355" s="110">
        <f t="shared" si="321"/>
        <v>0.9990911535777115</v>
      </c>
      <c r="EK355" s="132">
        <f>(EA355*'Renewable Diesel'!BF364*'Feedstock Conversion Rates'!B$2)+FB355</f>
        <v>257.49148062809456</v>
      </c>
      <c r="EL355" s="132">
        <f>(EB355*'Renewable Diesel'!BF364*'Feedstock Conversion Rates'!B$3)+FC355</f>
        <v>761.92879554965862</v>
      </c>
      <c r="EM355" s="132">
        <f>(EC355*'Renewable Diesel'!BF364*'Feedstock Conversion Rates'!B$4)+FD355</f>
        <v>4219.4105931753538</v>
      </c>
      <c r="EN355" s="132">
        <f>(ED355*'Renewable Diesel'!BF364*'Feedstock Conversion Rates'!B$5)+FE355</f>
        <v>507.19404772509534</v>
      </c>
      <c r="EO355" s="132">
        <f>(EE355*'Renewable Diesel'!BF364*'Feedstock Conversion Rates'!B$6)+FF355</f>
        <v>669.04951026487799</v>
      </c>
      <c r="EP355" s="132">
        <f>(EF355*'Renewable Diesel'!BF364*'Feedstock Conversion Rates'!B$7)+FG355</f>
        <v>1087.8542235843638</v>
      </c>
      <c r="EQ355" s="132">
        <f>(EG355*'Renewable Diesel'!BF364*'Feedstock Conversion Rates'!B$8)+FH355</f>
        <v>216.67104158621453</v>
      </c>
      <c r="ER355" s="132">
        <f>(EH355*'Renewable Diesel'!BF364*'Feedstock Conversion Rates'!B$9)+FI355</f>
        <v>8.1440797853358102</v>
      </c>
      <c r="ES355" s="132">
        <f t="shared" si="355"/>
        <v>7727.7437722989944</v>
      </c>
      <c r="ET355" s="133">
        <f>ES355/'Renewable Diesel'!BF364</f>
        <v>11.563137384087533</v>
      </c>
      <c r="EW355" s="73">
        <f t="shared" si="309"/>
        <v>6192.4666601519102</v>
      </c>
      <c r="EX355" s="73">
        <f t="shared" si="310"/>
        <v>3931.8824876629183</v>
      </c>
      <c r="EY355" s="92">
        <f t="shared" si="341"/>
        <v>0.80132919033231076</v>
      </c>
      <c r="EZ355" s="92">
        <f t="shared" si="341"/>
        <v>0.50880083547247168</v>
      </c>
      <c r="FB355" s="102">
        <f>IF('Renewable Diesel'!$BG364&lt;1,0,(((('Renewable Diesel'!$BG364-1)*'Renewable Diesel'!$BF364)*'RD Feedstock Breakdown'!EA355)*'Feedstock Conversion Rates'!$B$2))</f>
        <v>79.855839531702586</v>
      </c>
      <c r="FC355" s="102">
        <f>IF('Renewable Diesel'!$BG364&lt;1,0,(((('Renewable Diesel'!$BG364-1)*'Renewable Diesel'!$BF364)*'RD Feedstock Breakdown'!EB355)*'Feedstock Conversion Rates'!$B$3))</f>
        <v>236.29699702522237</v>
      </c>
      <c r="FD355" s="102">
        <f>IF('Renewable Diesel'!$BG364&lt;1,0,(((('Renewable Diesel'!$BG364-1)*'Renewable Diesel'!$BF364)*'RD Feedstock Breakdown'!EC355)*'Feedstock Conversion Rates'!$B$4))</f>
        <v>1308.5659161424446</v>
      </c>
      <c r="FE355" s="102">
        <f>IF('Renewable Diesel'!$BG364&lt;1,0,(((('Renewable Diesel'!$BG364-1)*'Renewable Diesel'!$BF364)*'RD Feedstock Breakdown'!ED355)*'Feedstock Conversion Rates'!$B$5))</f>
        <v>157.29610310901586</v>
      </c>
      <c r="FF355" s="102">
        <f>IF('Renewable Diesel'!$BG364&lt;1,0,(((('Renewable Diesel'!$BG364-1)*'Renewable Diesel'!$BF364)*'RD Feedstock Breakdown'!EE355)*'Feedstock Conversion Rates'!$B$6))</f>
        <v>207.49234188312363</v>
      </c>
      <c r="FG355" s="102">
        <f>IF('Renewable Diesel'!$BG364&lt;1,0,(((('Renewable Diesel'!$BG364-1)*'Renewable Diesel'!$BF364)*'RD Feedstock Breakdown'!EF355)*'Feedstock Conversion Rates'!$B$7))</f>
        <v>337.37625843206024</v>
      </c>
      <c r="FH355" s="102">
        <f>IF('Renewable Diesel'!$BG364&lt;1,0,(((('Renewable Diesel'!$BG364-1)*'Renewable Diesel'!$BF364)*'RD Feedstock Breakdown'!EG355)*'Feedstock Conversion Rates'!$B$8))</f>
        <v>67.196195718281786</v>
      </c>
      <c r="FI355" s="102">
        <f>IF('Renewable Diesel'!$BG364&lt;1,0,(((('Renewable Diesel'!$BG364-1)*'Renewable Diesel'!$BF364)*'RD Feedstock Breakdown'!EH355)*'Feedstock Conversion Rates'!$B$9))</f>
        <v>2.5257236739824012</v>
      </c>
      <c r="FJ355" s="102">
        <f t="shared" si="311"/>
        <v>2396.6053755158332</v>
      </c>
      <c r="GD355" s="91">
        <f>'Renewable Diesel'!BB364*0.32</f>
        <v>0</v>
      </c>
      <c r="GE355" s="91">
        <f>'Renewable Diesel'!BC364</f>
        <v>318.16222956939333</v>
      </c>
      <c r="GF355" s="91">
        <f>'Renewable Diesel'!BD364</f>
        <v>0</v>
      </c>
      <c r="GG355" s="91">
        <f t="shared" si="373"/>
        <v>318.16222956939333</v>
      </c>
      <c r="GH355" s="124">
        <v>1</v>
      </c>
      <c r="GI355" s="102">
        <f>$GG355*EA355*'Feedstock Conversion Rates'!$B$2</f>
        <v>84.567151214318827</v>
      </c>
      <c r="GJ355" s="102">
        <f>$GG355*EB355*'Feedstock Conversion Rates'!$B$3</f>
        <v>250.23797878911827</v>
      </c>
      <c r="GK355" s="102">
        <f>$GG355*EC355*'Feedstock Conversion Rates'!$B$4</f>
        <v>1385.7683089085717</v>
      </c>
      <c r="GL355" s="102">
        <f>$GG355*ED355*'Feedstock Conversion Rates'!$B$5</f>
        <v>166.57621302399968</v>
      </c>
      <c r="GM355" s="102">
        <f>$GG355*EE355*'Feedstock Conversion Rates'!$B$6</f>
        <v>219.73391494903913</v>
      </c>
      <c r="GN355" s="102">
        <f>$GG355*EF355*'Feedstock Conversion Rates'!$B$7</f>
        <v>357.28068517291615</v>
      </c>
      <c r="GO355" s="102">
        <f>$GG355*EG355*'Feedstock Conversion Rates'!$B$8</f>
        <v>71.160617403301146</v>
      </c>
      <c r="GP355" s="102">
        <f>$GG355*EH355*'Feedstock Conversion Rates'!B$9</f>
        <v>2.6747355874764618</v>
      </c>
      <c r="GQ355" s="102">
        <f t="shared" si="356"/>
        <v>2537.9996050487412</v>
      </c>
      <c r="GR355" s="85">
        <f t="shared" si="371"/>
        <v>7.9770612887762224</v>
      </c>
      <c r="GT355" s="103">
        <f t="shared" si="333"/>
        <v>3.3320395734535484E-2</v>
      </c>
      <c r="GU355" s="103">
        <f t="shared" si="334"/>
        <v>9.8596539688709905E-2</v>
      </c>
      <c r="GV355" s="103">
        <f t="shared" si="335"/>
        <v>0.54600808690116354</v>
      </c>
      <c r="GW355" s="103">
        <f t="shared" si="331"/>
        <v>6.563287586516417E-2</v>
      </c>
      <c r="GX355" s="103">
        <f t="shared" si="331"/>
        <v>8.6577600135134491E-2</v>
      </c>
      <c r="GY355" s="103">
        <f t="shared" si="331"/>
        <v>0.14077255349535592</v>
      </c>
      <c r="GZ355" s="103">
        <f t="shared" si="331"/>
        <v>2.8038072685962666E-2</v>
      </c>
      <c r="HA355" s="103">
        <f t="shared" si="331"/>
        <v>1.0538754939739617E-3</v>
      </c>
    </row>
    <row r="356" spans="1:209" x14ac:dyDescent="0.25">
      <c r="A356" s="96">
        <v>51257</v>
      </c>
      <c r="B356" s="104">
        <f t="shared" si="377"/>
        <v>69.25</v>
      </c>
      <c r="C356" s="104">
        <f t="shared" si="314"/>
        <v>49</v>
      </c>
      <c r="D356" s="104">
        <f t="shared" si="378"/>
        <v>2</v>
      </c>
      <c r="E356" s="104">
        <f>('Renewable Diesel'!B365*E$3*'Feedstock Conversion Rates'!$B$2)/12+26+13-100+27.5+39</f>
        <v>95.43</v>
      </c>
      <c r="F356" s="104">
        <f>('Renewable Diesel'!B365*'RD Feedstock Breakdown'!F$3*'Feedstock Conversion Rates'!B$8)/12+77+23-10-12-115.75+24+8</f>
        <v>48.15625</v>
      </c>
      <c r="G356" s="104">
        <f>('Renewable Diesel'!B365*'RD Feedstock Breakdown'!G$3*'Feedstock Conversion Rates'!B$7)/12+116.75-39-57.5-145-31.5+32+70-40+10+60</f>
        <v>151.90700000000004</v>
      </c>
      <c r="H356" s="104">
        <f>('Renewable Diesel'!B365*'RD Feedstock Breakdown'!H$3*'Feedstock Conversion Rates'!B$3)/12+67+10+12+3-235+20+47-20</f>
        <v>80.400224999999978</v>
      </c>
      <c r="I356" s="106">
        <f t="shared" si="370"/>
        <v>496.14347500000002</v>
      </c>
      <c r="J356" s="104">
        <f t="shared" si="332"/>
        <v>4</v>
      </c>
      <c r="K356" s="104"/>
      <c r="L356" s="104">
        <v>1</v>
      </c>
      <c r="M356" s="104">
        <f>('Renewable Diesel'!C365*'RD Feedstock Breakdown'!M$3*'Feedstock Conversion Rates'!B$2)/12</f>
        <v>7.7902500000000003</v>
      </c>
      <c r="N356" s="104">
        <f>('Renewable Diesel'!C365*'RD Feedstock Breakdown'!N$3*'Feedstock Conversion Rates'!B$8)/12</f>
        <v>3.671875</v>
      </c>
      <c r="O356" s="104">
        <f>('Renewable Diesel'!C365*'RD Feedstock Breakdown'!O$3*'Feedstock Conversion Rates'!B$7)/12</f>
        <v>11.9991</v>
      </c>
      <c r="P356" s="104">
        <f>('Renewable Diesel'!C365*'RD Feedstock Breakdown'!P$3*'Feedstock Conversion Rates'!B$3)/12</f>
        <v>10.4470425</v>
      </c>
      <c r="Q356" s="106">
        <f t="shared" si="379"/>
        <v>38.908267500000001</v>
      </c>
      <c r="R356" s="104">
        <f>('Renewable Diesel'!D365*'RD Feedstock Breakdown'!R$3*'Feedstock Conversion Rates'!B$7)/12</f>
        <v>2.2999999999999998</v>
      </c>
      <c r="S356" s="106">
        <f t="shared" si="329"/>
        <v>2.2999999999999998</v>
      </c>
      <c r="T356" s="104">
        <f t="shared" si="380"/>
        <v>0.82499999999999929</v>
      </c>
      <c r="U356" s="104"/>
      <c r="V356" s="104">
        <f>('Renewable Diesel'!E365*'RD Feedstock Breakdown'!V$3*'Feedstock Conversion Rates'!B$6)/12-20+25</f>
        <v>49.250150000000012</v>
      </c>
      <c r="W356" s="104">
        <f>('Renewable Diesel'!E365*'RD Feedstock Breakdown'!W$3*'Feedstock Conversion Rates'!B$8)/12-6</f>
        <v>16.1796875</v>
      </c>
      <c r="X356" s="106">
        <f t="shared" si="357"/>
        <v>66.254837500000008</v>
      </c>
      <c r="Y356" s="104">
        <f t="shared" si="381"/>
        <v>98</v>
      </c>
      <c r="Z356" s="104">
        <f>('Renewable Diesel'!F365*'RD Feedstock Breakdown'!Z$3*'Feedstock Conversion Rates'!B$6)/12-142+15+5+20+5+15</f>
        <v>77.460000000000008</v>
      </c>
      <c r="AA356" s="104">
        <f>('Renewable Diesel'!F365*'RD Feedstock Breakdown'!AA$3*'Feedstock Conversion Rates'!B$7)/12+24</f>
        <v>128.26666666666665</v>
      </c>
      <c r="AB356" s="106">
        <f t="shared" si="320"/>
        <v>303.72666666666669</v>
      </c>
      <c r="AC356" s="104">
        <f>('Renewable Diesel'!G365*'RD Feedstock Breakdown'!AC$3*'Feedstock Conversion Rates'!B$5)/12</f>
        <v>11.796875</v>
      </c>
      <c r="AD356" s="104">
        <f>('Renewable Diesel'!G365*'RD Feedstock Breakdown'!AD$3*'Feedstock Conversion Rates'!B$4)/12</f>
        <v>5.859375</v>
      </c>
      <c r="AE356" s="104">
        <f>('Renewable Diesel'!G365*'RD Feedstock Breakdown'!AE$3*'Feedstock Conversion Rates'!B$6)/12</f>
        <v>7.3281250000000009</v>
      </c>
      <c r="AF356" s="106">
        <f t="shared" si="366"/>
        <v>24.984375</v>
      </c>
      <c r="AG356" s="104">
        <f t="shared" si="383"/>
        <v>148</v>
      </c>
      <c r="AH356" s="104"/>
      <c r="AI356" s="104">
        <f>('Renewable Diesel'!H365*'RD Feedstock Breakdown'!AI$3*'Feedstock Conversion Rates'!B$6)/12-130-20+51-49</f>
        <v>0.51666666666667993</v>
      </c>
      <c r="AJ356" s="106">
        <f t="shared" si="328"/>
        <v>148.51666666666668</v>
      </c>
      <c r="AK356" s="104">
        <f>('Renewable Diesel'!J365*'RD Feedstock Breakdown'!AK$3*'Feedstock Conversion Rates'!B$4)/12</f>
        <v>95.8125</v>
      </c>
      <c r="AL356" s="106">
        <f t="shared" si="330"/>
        <v>95.8125</v>
      </c>
      <c r="AM356" s="104">
        <f>('Renewable Diesel'!K365*'RD Feedstock Breakdown'!AM$3*'Feedstock Conversion Rates'!B$4)/12+5+15-10+10</f>
        <v>78.59375</v>
      </c>
      <c r="AN356" s="104">
        <f>('Renewable Diesel'!K365*'RD Feedstock Breakdown'!AN$3*'Feedstock Conversion Rates'!B$6)/12-5-15+10-10</f>
        <v>4.4270833333333321</v>
      </c>
      <c r="AO356" s="106">
        <f t="shared" si="350"/>
        <v>83.020833333333329</v>
      </c>
      <c r="AP356" s="104">
        <f>('Renewable Diesel'!L365*'RD Feedstock Breakdown'!AP$3*'Feedstock Conversion Rates'!B$4)/12+15-10+15</f>
        <v>78.59375</v>
      </c>
      <c r="AQ356" s="104">
        <f>('Renewable Diesel'!L365*'RD Feedstock Breakdown'!AQ$3*'Feedstock Conversion Rates'!B$6)/12-15+10-15</f>
        <v>4.4270833333333321</v>
      </c>
      <c r="AR356" s="106">
        <f t="shared" si="339"/>
        <v>83.020833333333329</v>
      </c>
      <c r="AS356" s="104">
        <f>('Renewable Diesel'!M365*'RD Feedstock Breakdown'!AS$3*'Feedstock Conversion Rates'!B$4)/12</f>
        <v>456.25</v>
      </c>
      <c r="AT356" s="104">
        <f>('Renewable Diesel'!M365*'RD Feedstock Breakdown'!AT$3*'Feedstock Conversion Rates'!B$5)/12</f>
        <v>0</v>
      </c>
      <c r="AU356" s="106">
        <f t="shared" si="369"/>
        <v>456.25</v>
      </c>
      <c r="AV356" s="104">
        <f>'Renewable Diesel'!N365*'RD Feedstock Breakdown'!$AV$3*'Feedstock Conversion Rates'!$B$4/12-15-10+25+25-22+25</f>
        <v>106.74999999999999</v>
      </c>
      <c r="AW356" s="104">
        <f>'Renewable Diesel'!N365*'RD Feedstock Breakdown'!$AW$3*'Feedstock Conversion Rates'!$B$7/12+15+10-25-25+22-25</f>
        <v>13.400000000000006</v>
      </c>
      <c r="AX356" s="106">
        <f t="shared" si="322"/>
        <v>120.14999999999999</v>
      </c>
      <c r="AY356" s="104">
        <f>('Renewable Diesel'!O365*'RD Feedstock Breakdown'!AY$3*'Feedstock Conversion Rates'!B$4)/12</f>
        <v>210.9375</v>
      </c>
      <c r="AZ356" s="104">
        <f>('Renewable Diesel'!O365*'RD Feedstock Breakdown'!AZ$3*'Feedstock Conversion Rates'!B$3)/12</f>
        <v>25.03125</v>
      </c>
      <c r="BA356" s="106">
        <f t="shared" si="382"/>
        <v>235.96875</v>
      </c>
      <c r="BB356" s="104">
        <f>('Renewable Diesel'!Q365*'RD Feedstock Breakdown'!BB$3*'Feedstock Conversion Rates'!B$4)/12</f>
        <v>11.156249999999998</v>
      </c>
      <c r="BC356" s="104">
        <f>('Renewable Diesel'!Q365*'RD Feedstock Breakdown'!BC$3*'Feedstock Conversion Rates'!B$3)/12</f>
        <v>1.4017500000000001</v>
      </c>
      <c r="BD356" s="104">
        <f>('Renewable Diesel'!Q365*'RD Feedstock Breakdown'!BD$3*'Feedstock Conversion Rates'!B$6)/12</f>
        <v>0.8207500000000002</v>
      </c>
      <c r="BE356" s="106">
        <f t="shared" si="359"/>
        <v>13.378749999999998</v>
      </c>
      <c r="BF356" s="104">
        <f>('Renewable Diesel'!R365*'RD Feedstock Breakdown'!BF$3*'Feedstock Conversion Rates'!B$4)/12</f>
        <v>62.5</v>
      </c>
      <c r="BG356" s="106">
        <f t="shared" si="344"/>
        <v>62.5</v>
      </c>
      <c r="BH356" s="104">
        <f>('Renewable Diesel'!T365*'RD Feedstock Breakdown'!BH$3*'Feedstock Conversion Rates'!B$7)/12</f>
        <v>27.599999999999998</v>
      </c>
      <c r="BI356" s="106">
        <f t="shared" si="327"/>
        <v>27.599999999999998</v>
      </c>
      <c r="BJ356" s="104">
        <f>('Renewable Diesel'!W365*'RD Feedstock Breakdown'!BJ$3*'Feedstock Conversion Rates'!B$4)/12</f>
        <v>7.5</v>
      </c>
      <c r="BK356" s="104">
        <f>('Renewable Diesel'!W365*'RD Feedstock Breakdown'!BK$3*'Feedstock Conversion Rates'!B$3)/12</f>
        <v>1.335</v>
      </c>
      <c r="BL356" s="104">
        <f>('Renewable Diesel'!W365*'RD Feedstock Breakdown'!BL$3*'Feedstock Conversion Rates'!B$6)/12</f>
        <v>3.1266666666666669</v>
      </c>
      <c r="BM356" s="104">
        <f>('Renewable Diesel'!W365*'RD Feedstock Breakdown'!BM$3*'Feedstock Conversion Rates'!B$7)/12</f>
        <v>1.5333333333333332</v>
      </c>
      <c r="BN356" s="106">
        <f t="shared" si="374"/>
        <v>13.495000000000001</v>
      </c>
      <c r="BO356" s="104">
        <f>('Renewable Diesel'!P365*'Feedstock Conversion Rates'!B$4)/12</f>
        <v>31.25</v>
      </c>
      <c r="BP356" s="106">
        <f t="shared" si="367"/>
        <v>31.25</v>
      </c>
      <c r="BQ356" s="104">
        <f>('Renewable Diesel'!$S365*'RD Feedstock Breakdown'!BQ$3*'Feedstock Conversion Rates'!B$4)/12+10+15-15</f>
        <v>38.125</v>
      </c>
      <c r="BR356" s="104">
        <f>('Renewable Diesel'!$S365*'RD Feedstock Breakdown'!BR$3*'Feedstock Conversion Rates'!B$7)/12-10-15+15</f>
        <v>1.5</v>
      </c>
      <c r="BS356" s="106">
        <f t="shared" si="307"/>
        <v>39.625</v>
      </c>
      <c r="BT356" s="106"/>
      <c r="BU356" s="104">
        <f>('Renewable Diesel'!Y365*'Feedstock Conversion Rates'!B$7)/12</f>
        <v>2.6833333333333331</v>
      </c>
      <c r="BV356" s="106">
        <f t="shared" si="361"/>
        <v>2.6833333333333331</v>
      </c>
      <c r="BW356" s="104">
        <f>('Renewable Diesel'!$Z365*'RD Feedstock Breakdown'!BW$3*'Feedstock Conversion Rates'!$B$4)/12-230+160</f>
        <v>1.875</v>
      </c>
      <c r="BX356" s="104">
        <f>('Renewable Diesel'!$Z365*'RD Feedstock Breakdown'!BX$3*'Feedstock Conversion Rates'!$B$5)/12</f>
        <v>7.2354166666666666</v>
      </c>
      <c r="BY356" s="104">
        <f>('Renewable Diesel'!$Z365*'RD Feedstock Breakdown'!BY$3*'Feedstock Conversion Rates'!$B$7)/12</f>
        <v>61.716666666666661</v>
      </c>
      <c r="BZ356" s="104">
        <f>('Renewable Diesel'!$Z365*'RD Feedstock Breakdown'!BZ$3*'Feedstock Conversion Rates'!$B$3)/12+230-160</f>
        <v>85.352499999999992</v>
      </c>
      <c r="CA356" s="106">
        <f t="shared" si="312"/>
        <v>156.17958333333331</v>
      </c>
      <c r="CB356" s="104">
        <f>('Renewable Diesel'!AA365*'Feedstock Conversion Rates'!B$4)/12</f>
        <v>191.25</v>
      </c>
      <c r="CC356" s="106">
        <f t="shared" si="376"/>
        <v>191.25</v>
      </c>
      <c r="CD356" s="104">
        <f>('Renewable Diesel'!$AB365*'RD Feedstock Breakdown'!CD$3*'Feedstock Conversion Rates'!$B$6)/12-15-5</f>
        <v>12.830000000000005</v>
      </c>
      <c r="CE356" s="104">
        <f>('Renewable Diesel'!$AB365*'RD Feedstock Breakdown'!CE$3*'Feedstock Conversion Rates'!$B$4)/12+15+5</f>
        <v>31.25</v>
      </c>
      <c r="CF356" s="106">
        <f t="shared" si="372"/>
        <v>44.080000000000005</v>
      </c>
      <c r="CG356" s="104">
        <f>('Renewable Diesel'!AD365*'Feedstock Conversion Rates'!B$4)/12</f>
        <v>112.5</v>
      </c>
      <c r="CH356" s="106">
        <f t="shared" si="358"/>
        <v>112.5</v>
      </c>
      <c r="CI356" s="104">
        <f>('Renewable Diesel'!$AE365*'RD Feedstock Breakdown'!CI$3*'Feedstock Conversion Rates'!$B$5)/12</f>
        <v>0.34604166666666664</v>
      </c>
      <c r="CJ356" s="104">
        <f>('Renewable Diesel'!$AE365*'RD Feedstock Breakdown'!CJ$3*'Feedstock Conversion Rates'!$B$4)/12</f>
        <v>0.34375</v>
      </c>
      <c r="CK356" s="106">
        <f t="shared" si="368"/>
        <v>0.68979166666666658</v>
      </c>
      <c r="CL356" s="104">
        <f>(((CL$3*'Renewable Diesel'!$AF365)*'Feedstock Conversion Rates'!$B$3)/12)</f>
        <v>91.78125</v>
      </c>
      <c r="CM356" s="104">
        <f>(((CM$3*'Renewable Diesel'!$AF365)*'Feedstock Conversion Rates'!$B$6)/12)</f>
        <v>53.739583333333336</v>
      </c>
      <c r="CN356" s="104">
        <f>(((CN$3*'Renewable Diesel'!$AF365)*'Feedstock Conversion Rates'!$B$4)/12)</f>
        <v>42.96875</v>
      </c>
      <c r="CO356" s="106">
        <f t="shared" si="360"/>
        <v>188.48958333333334</v>
      </c>
      <c r="CP356" s="104">
        <f>('Renewable Diesel'!$AG365*'RD Feedstock Breakdown'!CP$3*'Feedstock Conversion Rates'!$B$3)/12</f>
        <v>6.0075000000000003</v>
      </c>
      <c r="CQ356" s="104">
        <f>('Renewable Diesel'!$AG365*'RD Feedstock Breakdown'!CQ$3*'Feedstock Conversion Rates'!$B$6)/12</f>
        <v>3.5175000000000001</v>
      </c>
      <c r="CR356" s="104">
        <f>('Renewable Diesel'!$AG365*'RD Feedstock Breakdown'!CR$3*'Feedstock Conversion Rates'!$B$4)/12</f>
        <v>2.8125</v>
      </c>
      <c r="CS356" s="106">
        <f t="shared" si="317"/>
        <v>12.3375</v>
      </c>
      <c r="CT356" s="104">
        <f>('Renewable Diesel'!AI365*'Feedstock Conversion Rates'!$B$4*'RD Feedstock Breakdown'!$CT$3)/12</f>
        <v>29.375</v>
      </c>
      <c r="CU356" s="106">
        <f t="shared" si="364"/>
        <v>29.375</v>
      </c>
      <c r="CV356" s="104">
        <f>('Renewable Diesel'!AN365*'Feedstock Conversion Rates'!$B$3*'RD Feedstock Breakdown'!$CV$3)/12</f>
        <v>0.50062499999999999</v>
      </c>
      <c r="CW356" s="106">
        <f t="shared" si="338"/>
        <v>0.50062499999999999</v>
      </c>
      <c r="CX356" s="104">
        <f>('Renewable Diesel'!AO365*'RD Feedstock Breakdown'!$CX$3*'Feedstock Conversion Rates'!$B$3)/12</f>
        <v>6.3412499999999996</v>
      </c>
      <c r="CY356" s="104">
        <f>('Renewable Diesel'!AO365*'RD Feedstock Breakdown'!$CY$3*'Feedstock Conversion Rates'!$B$6)/12</f>
        <v>7.4258333333333342</v>
      </c>
      <c r="CZ356" s="106">
        <f t="shared" si="318"/>
        <v>13.767083333333334</v>
      </c>
      <c r="DA356" s="104">
        <f>('Renewable Diesel'!$AP365*'RD Feedstock Breakdown'!DA$3*'Feedstock Conversion Rates'!$B$3)/12</f>
        <v>6.3412499999999996</v>
      </c>
      <c r="DB356" s="104">
        <f>('Renewable Diesel'!$AP365*'RD Feedstock Breakdown'!DB$3*'Feedstock Conversion Rates'!$B$8)/12</f>
        <v>7.421875</v>
      </c>
      <c r="DC356" s="106">
        <f t="shared" si="342"/>
        <v>13.763124999999999</v>
      </c>
      <c r="DD356" s="104">
        <f>('Renewable Diesel'!AQ365*$DD$3*'Feedstock Conversion Rates'!$B$14)/12</f>
        <v>3.1041666666666665</v>
      </c>
      <c r="DE356" s="106">
        <f t="shared" si="343"/>
        <v>3.1041666666666665</v>
      </c>
      <c r="DF356" s="104">
        <f>('Renewable Diesel'!AR365*'Feedstock Conversion Rates'!$B$4*$DF$3)/12</f>
        <v>75</v>
      </c>
      <c r="DG356" s="106">
        <f t="shared" si="319"/>
        <v>75</v>
      </c>
      <c r="DH356" s="104">
        <f>('Renewable Diesel'!AS365*'Feedstock Conversion Rates'!$B$4*$DH$3)/12</f>
        <v>75</v>
      </c>
      <c r="DI356" s="106">
        <f t="shared" si="323"/>
        <v>75</v>
      </c>
      <c r="DJ356" s="104">
        <f>('Renewable Diesel'!AT365*'Feedstock Conversion Rates'!$B$4*0.25)/12</f>
        <v>8.59375</v>
      </c>
      <c r="DK356" s="104">
        <f>('Renewable Diesel'!$AT365*'RD Feedstock Breakdown'!DK$3*'Feedstock Conversion Rates'!$B$3)/12*0.5</f>
        <v>9.1781249999999996</v>
      </c>
      <c r="DL356" s="104">
        <f>('Renewable Diesel'!$AT365*'RD Feedstock Breakdown'!$DL$3*'Feedstock Conversion Rates'!$B$6)/12</f>
        <v>10.747916666666669</v>
      </c>
      <c r="DM356" s="104">
        <f>('Renewable Diesel'!$AT365*'RD Feedstock Breakdown'!$DM$3*'Feedstock Conversion Rates'!$B$8)/12</f>
        <v>10.7421875</v>
      </c>
      <c r="DN356" s="106">
        <f t="shared" si="375"/>
        <v>39.26197916666667</v>
      </c>
      <c r="DP356" s="104">
        <f t="shared" si="345"/>
        <v>103.22025000000001</v>
      </c>
      <c r="DQ356" s="104">
        <f t="shared" si="346"/>
        <v>324.11776750000001</v>
      </c>
      <c r="DR356" s="104">
        <f t="shared" si="351"/>
        <v>1916.953125</v>
      </c>
      <c r="DS356" s="104">
        <f t="shared" si="365"/>
        <v>228.90125</v>
      </c>
      <c r="DT356" s="104">
        <f t="shared" si="347"/>
        <v>243.03923333333344</v>
      </c>
      <c r="DU356" s="104">
        <f t="shared" si="348"/>
        <v>402.90610000000009</v>
      </c>
      <c r="DV356" s="104">
        <f t="shared" si="352"/>
        <v>78.75</v>
      </c>
      <c r="DW356" s="104">
        <f t="shared" si="349"/>
        <v>3</v>
      </c>
      <c r="DX356" s="106">
        <f t="shared" si="353"/>
        <v>3300.8877258333337</v>
      </c>
      <c r="DY356" s="109">
        <f t="shared" si="340"/>
        <v>-5.631051180898794E-13</v>
      </c>
      <c r="EA356" s="110">
        <f t="shared" si="313"/>
        <v>3.1270451640078516E-2</v>
      </c>
      <c r="EB356" s="110">
        <f t="shared" si="313"/>
        <v>9.8191091130848465E-2</v>
      </c>
      <c r="EC356" s="110">
        <f t="shared" si="313"/>
        <v>0.58073866311707134</v>
      </c>
      <c r="ED356" s="110">
        <f t="shared" si="308"/>
        <v>6.9345360706629972E-2</v>
      </c>
      <c r="EE356" s="110">
        <f t="shared" si="308"/>
        <v>7.3628445896921982E-2</v>
      </c>
      <c r="EF356" s="110">
        <f t="shared" si="308"/>
        <v>0.1220599225010852</v>
      </c>
      <c r="EG356" s="110">
        <f t="shared" ref="EG356:EG419" si="384">DV356/$DX356</f>
        <v>2.3857218585075921E-2</v>
      </c>
      <c r="EH356" s="111">
        <f t="shared" si="354"/>
        <v>9.0884642228860647E-4</v>
      </c>
      <c r="EI356" s="110">
        <f t="shared" si="321"/>
        <v>0.9990911535777115</v>
      </c>
      <c r="EK356" s="132">
        <f>(EA356*'Renewable Diesel'!BF365*'Feedstock Conversion Rates'!B$2)+FB356</f>
        <v>390.8136318367159</v>
      </c>
      <c r="EL356" s="132">
        <f>(EB356*'Renewable Diesel'!BF365*'Feedstock Conversion Rates'!B$3)+FC356</f>
        <v>1156.434997629382</v>
      </c>
      <c r="EM356" s="132">
        <f>(EC356*'Renewable Diesel'!BF365*'Feedstock Conversion Rates'!B$4)+FD356</f>
        <v>6404.1077169108148</v>
      </c>
      <c r="EN356" s="132">
        <f>(ED356*'Renewable Diesel'!BF365*'Feedstock Conversion Rates'!B$5)+FE356</f>
        <v>769.80546056863113</v>
      </c>
      <c r="EO356" s="132">
        <f>(EE356*'Renewable Diesel'!BF365*'Feedstock Conversion Rates'!B$6)+FF356</f>
        <v>1015.4653208229836</v>
      </c>
      <c r="EP356" s="132">
        <f>(EF356*'Renewable Diesel'!BF365*'Feedstock Conversion Rates'!B$7)+FG356</f>
        <v>1651.1158310591834</v>
      </c>
      <c r="EQ356" s="132">
        <f>(EG356*'Renewable Diesel'!BF365*'Feedstock Conversion Rates'!B$8)+FH356</f>
        <v>328.85746926305688</v>
      </c>
      <c r="ER356" s="132">
        <f>(EH356*'Renewable Diesel'!BF365*'Feedstock Conversion Rates'!B$9)+FI356</f>
        <v>12.360864876427279</v>
      </c>
      <c r="ES356" s="132">
        <f t="shared" si="355"/>
        <v>11728.961292967195</v>
      </c>
      <c r="ET356" s="133">
        <f>ES356/'Renewable Diesel'!BF365</f>
        <v>14.481025716882689</v>
      </c>
      <c r="EW356" s="73">
        <f t="shared" si="309"/>
        <v>10395.983010713244</v>
      </c>
      <c r="EX356" s="73">
        <f t="shared" si="310"/>
        <v>6600.8887548636212</v>
      </c>
      <c r="EY356" s="92">
        <f t="shared" si="341"/>
        <v>0.88635154904524938</v>
      </c>
      <c r="EZ356" s="92">
        <f t="shared" si="341"/>
        <v>0.56278544962217425</v>
      </c>
      <c r="FB356" s="102">
        <f>IF('Renewable Diesel'!$BG365&lt;1,0,(((('Renewable Diesel'!$BG365-1)*'Renewable Diesel'!$BF365)*'RD Feedstock Breakdown'!EA356)*'Feedstock Conversion Rates'!$B$2))</f>
        <v>175.52886164145801</v>
      </c>
      <c r="FC356" s="102">
        <f>IF('Renewable Diesel'!$BG365&lt;1,0,(((('Renewable Diesel'!$BG365-1)*'Renewable Diesel'!$BF365)*'RD Feedstock Breakdown'!EB356)*'Feedstock Conversion Rates'!$B$3))</f>
        <v>519.39774398922975</v>
      </c>
      <c r="FD356" s="102">
        <f>IF('Renewable Diesel'!$BG365&lt;1,0,(((('Renewable Diesel'!$BG365-1)*'Renewable Diesel'!$BF365)*'RD Feedstock Breakdown'!EC356)*'Feedstock Conversion Rates'!$B$4))</f>
        <v>2876.3217191162094</v>
      </c>
      <c r="FE356" s="102">
        <f>IF('Renewable Diesel'!$BG365&lt;1,0,(((('Renewable Diesel'!$BG365-1)*'Renewable Diesel'!$BF365)*'RD Feedstock Breakdown'!ED356)*'Feedstock Conversion Rates'!$B$5))</f>
        <v>345.74811411758867</v>
      </c>
      <c r="FF356" s="102">
        <f>IF('Renewable Diesel'!$BG365&lt;1,0,(((('Renewable Diesel'!$BG365-1)*'Renewable Diesel'!$BF365)*'RD Feedstock Breakdown'!EE356)*'Feedstock Conversion Rates'!$B$6))</f>
        <v>456.08304644528715</v>
      </c>
      <c r="FG356" s="102">
        <f>IF('Renewable Diesel'!$BG365&lt;1,0,(((('Renewable Diesel'!$BG365-1)*'Renewable Diesel'!$BF365)*'RD Feedstock Breakdown'!EF356)*'Feedstock Conversion Rates'!$B$7))</f>
        <v>741.57720881419027</v>
      </c>
      <c r="FH356" s="102">
        <f>IF('Renewable Diesel'!$BG365&lt;1,0,(((('Renewable Diesel'!$BG365-1)*'Renewable Diesel'!$BF365)*'RD Feedstock Breakdown'!EG356)*'Feedstock Conversion Rates'!$B$8))</f>
        <v>147.70205673417385</v>
      </c>
      <c r="FI356" s="102">
        <f>IF('Renewable Diesel'!$BG365&lt;1,0,(((('Renewable Diesel'!$BG365-1)*'Renewable Diesel'!$BF365)*'RD Feedstock Breakdown'!EH356)*'Feedstock Conversion Rates'!$B$9))</f>
        <v>5.5517217515321207</v>
      </c>
      <c r="FJ356" s="102">
        <f t="shared" si="311"/>
        <v>5267.9104726096703</v>
      </c>
      <c r="GD356" s="91">
        <f>'Renewable Diesel'!BB365*0.32</f>
        <v>0</v>
      </c>
      <c r="GE356" s="91">
        <f>'Renewable Diesel'!BC365</f>
        <v>418.80709362650219</v>
      </c>
      <c r="GF356" s="91">
        <f>'Renewable Diesel'!BD365</f>
        <v>0</v>
      </c>
      <c r="GG356" s="91">
        <f t="shared" si="373"/>
        <v>418.80709362650219</v>
      </c>
      <c r="GH356" s="124">
        <v>1</v>
      </c>
      <c r="GI356" s="102">
        <f>$GG356*EA356*'Feedstock Conversion Rates'!$B$2</f>
        <v>111.31843922603966</v>
      </c>
      <c r="GJ356" s="102">
        <f>$GG356*EB356*'Feedstock Conversion Rates'!$B$3</f>
        <v>329.39623522717051</v>
      </c>
      <c r="GK356" s="102">
        <f>$GG356*EC356*'Feedstock Conversion Rates'!$B$4</f>
        <v>1824.1310374245077</v>
      </c>
      <c r="GL356" s="102">
        <f>$GG356*ED356*'Feedstock Conversion Rates'!$B$5</f>
        <v>219.26958375388986</v>
      </c>
      <c r="GM356" s="102">
        <f>$GG356*EE356*'Feedstock Conversion Rates'!$B$6</f>
        <v>289.24276277397843</v>
      </c>
      <c r="GN356" s="102">
        <f>$GG356*EF356*'Feedstock Conversion Rates'!$B$7</f>
        <v>470.29996479679136</v>
      </c>
      <c r="GO356" s="102">
        <f>$GG356*EG356*'Feedstock Conversion Rates'!$B$8</f>
        <v>93.670991040260816</v>
      </c>
      <c r="GP356" s="102">
        <f>$GG356*EH356*'Feedstock Conversion Rates'!B$9</f>
        <v>3.5208397902117077</v>
      </c>
      <c r="GQ356" s="102">
        <f t="shared" si="356"/>
        <v>3340.8498540328501</v>
      </c>
      <c r="GR356" s="85">
        <f t="shared" si="371"/>
        <v>7.9770612887762233</v>
      </c>
      <c r="GT356" s="103">
        <f t="shared" si="333"/>
        <v>3.3320395734535484E-2</v>
      </c>
      <c r="GU356" s="103">
        <f t="shared" si="334"/>
        <v>9.8596539688709878E-2</v>
      </c>
      <c r="GV356" s="103">
        <f t="shared" si="335"/>
        <v>0.54600808690116354</v>
      </c>
      <c r="GW356" s="103">
        <f t="shared" si="331"/>
        <v>6.5632875865164156E-2</v>
      </c>
      <c r="GX356" s="103">
        <f t="shared" si="331"/>
        <v>8.6577600135134478E-2</v>
      </c>
      <c r="GY356" s="103">
        <f t="shared" si="331"/>
        <v>0.14077255349535589</v>
      </c>
      <c r="GZ356" s="103">
        <f t="shared" si="331"/>
        <v>2.8038072685962669E-2</v>
      </c>
      <c r="HA356" s="103">
        <f t="shared" si="331"/>
        <v>1.0538754939739617E-3</v>
      </c>
    </row>
    <row r="357" spans="1:209" x14ac:dyDescent="0.25">
      <c r="A357" s="96">
        <v>51288</v>
      </c>
      <c r="B357" s="104">
        <f t="shared" si="377"/>
        <v>69.25</v>
      </c>
      <c r="C357" s="104">
        <f t="shared" si="314"/>
        <v>49</v>
      </c>
      <c r="D357" s="104">
        <f t="shared" si="378"/>
        <v>2</v>
      </c>
      <c r="E357" s="104">
        <f>('Renewable Diesel'!B366*E$3*'Feedstock Conversion Rates'!$B$2)/12+26+13-100+27.5+39</f>
        <v>95.43</v>
      </c>
      <c r="F357" s="104">
        <f>('Renewable Diesel'!B366*'RD Feedstock Breakdown'!F$3*'Feedstock Conversion Rates'!B$8)/12+77+23-10-12-115.75+24+8</f>
        <v>48.15625</v>
      </c>
      <c r="G357" s="104">
        <f>('Renewable Diesel'!B366*'RD Feedstock Breakdown'!G$3*'Feedstock Conversion Rates'!B$7)/12+116.75-39-57.5-145-31.5+32+70-40+10+60</f>
        <v>151.90700000000004</v>
      </c>
      <c r="H357" s="104">
        <f>('Renewable Diesel'!B366*'RD Feedstock Breakdown'!H$3*'Feedstock Conversion Rates'!B$3)/12+67+10+12+3-235+20+47-20</f>
        <v>80.400224999999978</v>
      </c>
      <c r="I357" s="106">
        <f t="shared" si="370"/>
        <v>496.14347500000002</v>
      </c>
      <c r="J357" s="104">
        <f t="shared" si="332"/>
        <v>4</v>
      </c>
      <c r="K357" s="104"/>
      <c r="L357" s="104">
        <v>1</v>
      </c>
      <c r="M357" s="104">
        <f>('Renewable Diesel'!C366*'RD Feedstock Breakdown'!M$3*'Feedstock Conversion Rates'!B$2)/12</f>
        <v>7.7902500000000003</v>
      </c>
      <c r="N357" s="104">
        <f>('Renewable Diesel'!C366*'RD Feedstock Breakdown'!N$3*'Feedstock Conversion Rates'!B$8)/12</f>
        <v>3.671875</v>
      </c>
      <c r="O357" s="104">
        <f>('Renewable Diesel'!C366*'RD Feedstock Breakdown'!O$3*'Feedstock Conversion Rates'!B$7)/12</f>
        <v>11.9991</v>
      </c>
      <c r="P357" s="104">
        <f>('Renewable Diesel'!C366*'RD Feedstock Breakdown'!P$3*'Feedstock Conversion Rates'!B$3)/12</f>
        <v>10.4470425</v>
      </c>
      <c r="Q357" s="106">
        <f t="shared" si="379"/>
        <v>38.908267500000001</v>
      </c>
      <c r="R357" s="104">
        <f>('Renewable Diesel'!D366*'RD Feedstock Breakdown'!R$3*'Feedstock Conversion Rates'!B$7)/12</f>
        <v>2.2999999999999998</v>
      </c>
      <c r="S357" s="106">
        <f t="shared" si="329"/>
        <v>2.2999999999999998</v>
      </c>
      <c r="T357" s="104">
        <f t="shared" si="380"/>
        <v>0.82499999999999929</v>
      </c>
      <c r="U357" s="104"/>
      <c r="V357" s="104">
        <f>('Renewable Diesel'!E366*'RD Feedstock Breakdown'!V$3*'Feedstock Conversion Rates'!B$6)/12-20+25</f>
        <v>49.250150000000012</v>
      </c>
      <c r="W357" s="104">
        <f>('Renewable Diesel'!E366*'RD Feedstock Breakdown'!W$3*'Feedstock Conversion Rates'!B$8)/12-6</f>
        <v>16.1796875</v>
      </c>
      <c r="X357" s="106">
        <f t="shared" si="357"/>
        <v>66.254837500000008</v>
      </c>
      <c r="Y357" s="104">
        <f t="shared" si="381"/>
        <v>98</v>
      </c>
      <c r="Z357" s="104">
        <f>('Renewable Diesel'!F366*'RD Feedstock Breakdown'!Z$3*'Feedstock Conversion Rates'!B$6)/12-142+15+5+20+5+15</f>
        <v>77.460000000000008</v>
      </c>
      <c r="AA357" s="104">
        <f>('Renewable Diesel'!F366*'RD Feedstock Breakdown'!AA$3*'Feedstock Conversion Rates'!B$7)/12+24</f>
        <v>128.26666666666665</v>
      </c>
      <c r="AB357" s="106">
        <f t="shared" si="320"/>
        <v>303.72666666666669</v>
      </c>
      <c r="AC357" s="104">
        <f>('Renewable Diesel'!G366*'RD Feedstock Breakdown'!AC$3*'Feedstock Conversion Rates'!B$5)/12</f>
        <v>11.796875</v>
      </c>
      <c r="AD357" s="104">
        <f>('Renewable Diesel'!G366*'RD Feedstock Breakdown'!AD$3*'Feedstock Conversion Rates'!B$4)/12</f>
        <v>5.859375</v>
      </c>
      <c r="AE357" s="104">
        <f>('Renewable Diesel'!G366*'RD Feedstock Breakdown'!AE$3*'Feedstock Conversion Rates'!B$6)/12</f>
        <v>7.3281250000000009</v>
      </c>
      <c r="AF357" s="106">
        <f t="shared" si="366"/>
        <v>24.984375</v>
      </c>
      <c r="AG357" s="104">
        <f t="shared" si="383"/>
        <v>148</v>
      </c>
      <c r="AH357" s="104"/>
      <c r="AI357" s="104">
        <f>('Renewable Diesel'!H366*'RD Feedstock Breakdown'!AI$3*'Feedstock Conversion Rates'!B$6)/12-130-20+51-49</f>
        <v>0.51666666666667993</v>
      </c>
      <c r="AJ357" s="106">
        <f t="shared" si="328"/>
        <v>148.51666666666668</v>
      </c>
      <c r="AK357" s="104">
        <f>('Renewable Diesel'!J366*'RD Feedstock Breakdown'!AK$3*'Feedstock Conversion Rates'!B$4)/12</f>
        <v>95.8125</v>
      </c>
      <c r="AL357" s="106">
        <f t="shared" si="330"/>
        <v>95.8125</v>
      </c>
      <c r="AM357" s="104">
        <f>('Renewable Diesel'!K366*'RD Feedstock Breakdown'!AM$3*'Feedstock Conversion Rates'!B$4)/12+5+15-10+10</f>
        <v>78.59375</v>
      </c>
      <c r="AN357" s="104">
        <f>('Renewable Diesel'!K366*'RD Feedstock Breakdown'!AN$3*'Feedstock Conversion Rates'!B$6)/12-5-15+10-10</f>
        <v>4.4270833333333321</v>
      </c>
      <c r="AO357" s="106">
        <f t="shared" si="350"/>
        <v>83.020833333333329</v>
      </c>
      <c r="AP357" s="104">
        <f>('Renewable Diesel'!L366*'RD Feedstock Breakdown'!AP$3*'Feedstock Conversion Rates'!B$4)/12+15-10+15</f>
        <v>78.59375</v>
      </c>
      <c r="AQ357" s="104">
        <f>('Renewable Diesel'!L366*'RD Feedstock Breakdown'!AQ$3*'Feedstock Conversion Rates'!B$6)/12-15+10-15</f>
        <v>4.4270833333333321</v>
      </c>
      <c r="AR357" s="106">
        <f t="shared" si="339"/>
        <v>83.020833333333329</v>
      </c>
      <c r="AS357" s="104">
        <f>('Renewable Diesel'!M366*'RD Feedstock Breakdown'!AS$3*'Feedstock Conversion Rates'!B$4)/12</f>
        <v>456.25</v>
      </c>
      <c r="AT357" s="104">
        <f>('Renewable Diesel'!M366*'RD Feedstock Breakdown'!AT$3*'Feedstock Conversion Rates'!B$5)/12</f>
        <v>0</v>
      </c>
      <c r="AU357" s="106">
        <f t="shared" si="369"/>
        <v>456.25</v>
      </c>
      <c r="AV357" s="104">
        <f>'Renewable Diesel'!N366*'RD Feedstock Breakdown'!$AV$3*'Feedstock Conversion Rates'!$B$4/12-15-10+25+25-22+25</f>
        <v>106.74999999999999</v>
      </c>
      <c r="AW357" s="104">
        <f>'Renewable Diesel'!N366*'RD Feedstock Breakdown'!$AW$3*'Feedstock Conversion Rates'!$B$7/12+15+10-25-25+22-25</f>
        <v>13.400000000000006</v>
      </c>
      <c r="AX357" s="106">
        <f t="shared" si="322"/>
        <v>120.14999999999999</v>
      </c>
      <c r="AY357" s="104">
        <f>('Renewable Diesel'!O366*'RD Feedstock Breakdown'!AY$3*'Feedstock Conversion Rates'!B$4)/12</f>
        <v>210.9375</v>
      </c>
      <c r="AZ357" s="104">
        <f>('Renewable Diesel'!O366*'RD Feedstock Breakdown'!AZ$3*'Feedstock Conversion Rates'!B$3)/12</f>
        <v>25.03125</v>
      </c>
      <c r="BA357" s="106">
        <f t="shared" si="382"/>
        <v>235.96875</v>
      </c>
      <c r="BB357" s="104">
        <f>('Renewable Diesel'!Q366*'RD Feedstock Breakdown'!BB$3*'Feedstock Conversion Rates'!B$4)/12</f>
        <v>11.156249999999998</v>
      </c>
      <c r="BC357" s="104">
        <f>('Renewable Diesel'!Q366*'RD Feedstock Breakdown'!BC$3*'Feedstock Conversion Rates'!B$3)/12</f>
        <v>1.4017500000000001</v>
      </c>
      <c r="BD357" s="104">
        <f>('Renewable Diesel'!Q366*'RD Feedstock Breakdown'!BD$3*'Feedstock Conversion Rates'!B$6)/12</f>
        <v>0.8207500000000002</v>
      </c>
      <c r="BE357" s="106">
        <f t="shared" si="359"/>
        <v>13.378749999999998</v>
      </c>
      <c r="BF357" s="104">
        <f>('Renewable Diesel'!R366*'RD Feedstock Breakdown'!BF$3*'Feedstock Conversion Rates'!B$4)/12</f>
        <v>62.5</v>
      </c>
      <c r="BG357" s="106">
        <f t="shared" si="344"/>
        <v>62.5</v>
      </c>
      <c r="BH357" s="104">
        <f>('Renewable Diesel'!T366*'RD Feedstock Breakdown'!BH$3*'Feedstock Conversion Rates'!B$7)/12</f>
        <v>27.599999999999998</v>
      </c>
      <c r="BI357" s="106">
        <f t="shared" si="327"/>
        <v>27.599999999999998</v>
      </c>
      <c r="BJ357" s="104">
        <f>('Renewable Diesel'!W366*'RD Feedstock Breakdown'!BJ$3*'Feedstock Conversion Rates'!B$4)/12</f>
        <v>7.5</v>
      </c>
      <c r="BK357" s="104">
        <f>('Renewable Diesel'!W366*'RD Feedstock Breakdown'!BK$3*'Feedstock Conversion Rates'!B$3)/12</f>
        <v>1.335</v>
      </c>
      <c r="BL357" s="104">
        <f>('Renewable Diesel'!W366*'RD Feedstock Breakdown'!BL$3*'Feedstock Conversion Rates'!B$6)/12</f>
        <v>3.1266666666666669</v>
      </c>
      <c r="BM357" s="104">
        <f>('Renewable Diesel'!W366*'RD Feedstock Breakdown'!BM$3*'Feedstock Conversion Rates'!B$7)/12</f>
        <v>1.5333333333333332</v>
      </c>
      <c r="BN357" s="106">
        <f t="shared" si="374"/>
        <v>13.495000000000001</v>
      </c>
      <c r="BO357" s="104">
        <f>('Renewable Diesel'!P366*'Feedstock Conversion Rates'!B$4)/12</f>
        <v>31.25</v>
      </c>
      <c r="BP357" s="106">
        <f t="shared" si="367"/>
        <v>31.25</v>
      </c>
      <c r="BQ357" s="104">
        <f>('Renewable Diesel'!$S366*'RD Feedstock Breakdown'!BQ$3*'Feedstock Conversion Rates'!B$4)/12+10+15-15</f>
        <v>38.125</v>
      </c>
      <c r="BR357" s="104">
        <f>('Renewable Diesel'!$S366*'RD Feedstock Breakdown'!BR$3*'Feedstock Conversion Rates'!B$7)/12-10-15+15</f>
        <v>1.5</v>
      </c>
      <c r="BS357" s="106">
        <f t="shared" ref="BS357:BS420" si="385">SUM(BQ357:BR357)</f>
        <v>39.625</v>
      </c>
      <c r="BT357" s="106"/>
      <c r="BU357" s="104">
        <f>('Renewable Diesel'!Y366*'Feedstock Conversion Rates'!B$7)/12</f>
        <v>2.6833333333333331</v>
      </c>
      <c r="BV357" s="106">
        <f t="shared" si="361"/>
        <v>2.6833333333333331</v>
      </c>
      <c r="BW357" s="104">
        <f>('Renewable Diesel'!$Z366*'RD Feedstock Breakdown'!BW$3*'Feedstock Conversion Rates'!$B$4)/12-230+160</f>
        <v>1.875</v>
      </c>
      <c r="BX357" s="104">
        <f>('Renewable Diesel'!$Z366*'RD Feedstock Breakdown'!BX$3*'Feedstock Conversion Rates'!$B$5)/12</f>
        <v>7.2354166666666666</v>
      </c>
      <c r="BY357" s="104">
        <f>('Renewable Diesel'!$Z366*'RD Feedstock Breakdown'!BY$3*'Feedstock Conversion Rates'!$B$7)/12</f>
        <v>61.716666666666661</v>
      </c>
      <c r="BZ357" s="104">
        <f>('Renewable Diesel'!$Z366*'RD Feedstock Breakdown'!BZ$3*'Feedstock Conversion Rates'!$B$3)/12+230-160</f>
        <v>85.352499999999992</v>
      </c>
      <c r="CA357" s="106">
        <f t="shared" si="312"/>
        <v>156.17958333333331</v>
      </c>
      <c r="CB357" s="104">
        <f>('Renewable Diesel'!AA366*'Feedstock Conversion Rates'!B$4)/12</f>
        <v>191.25</v>
      </c>
      <c r="CC357" s="106">
        <f t="shared" si="376"/>
        <v>191.25</v>
      </c>
      <c r="CD357" s="104">
        <f>('Renewable Diesel'!$AB366*'RD Feedstock Breakdown'!CD$3*'Feedstock Conversion Rates'!$B$6)/12-15-5</f>
        <v>12.830000000000005</v>
      </c>
      <c r="CE357" s="104">
        <f>('Renewable Diesel'!$AB366*'RD Feedstock Breakdown'!CE$3*'Feedstock Conversion Rates'!$B$4)/12+15+5</f>
        <v>31.25</v>
      </c>
      <c r="CF357" s="106">
        <f t="shared" si="372"/>
        <v>44.080000000000005</v>
      </c>
      <c r="CG357" s="104">
        <f>('Renewable Diesel'!AD366*'Feedstock Conversion Rates'!B$4)/12</f>
        <v>112.5</v>
      </c>
      <c r="CH357" s="106">
        <f t="shared" si="358"/>
        <v>112.5</v>
      </c>
      <c r="CI357" s="104">
        <f>('Renewable Diesel'!$AE366*'RD Feedstock Breakdown'!CI$3*'Feedstock Conversion Rates'!$B$5)/12</f>
        <v>0.34604166666666664</v>
      </c>
      <c r="CJ357" s="104">
        <f>('Renewable Diesel'!$AE366*'RD Feedstock Breakdown'!CJ$3*'Feedstock Conversion Rates'!$B$4)/12</f>
        <v>0.34375</v>
      </c>
      <c r="CK357" s="106">
        <f t="shared" si="368"/>
        <v>0.68979166666666658</v>
      </c>
      <c r="CL357" s="104">
        <f>(((CL$3*'Renewable Diesel'!$AF366)*'Feedstock Conversion Rates'!$B$3)/12)</f>
        <v>91.78125</v>
      </c>
      <c r="CM357" s="104">
        <f>(((CM$3*'Renewable Diesel'!$AF366)*'Feedstock Conversion Rates'!$B$6)/12)</f>
        <v>53.739583333333336</v>
      </c>
      <c r="CN357" s="104">
        <f>(((CN$3*'Renewable Diesel'!$AF366)*'Feedstock Conversion Rates'!$B$4)/12)</f>
        <v>42.96875</v>
      </c>
      <c r="CO357" s="106">
        <f t="shared" si="360"/>
        <v>188.48958333333334</v>
      </c>
      <c r="CP357" s="104">
        <f>('Renewable Diesel'!$AG366*'RD Feedstock Breakdown'!CP$3*'Feedstock Conversion Rates'!$B$3)/12</f>
        <v>6.0075000000000003</v>
      </c>
      <c r="CQ357" s="104">
        <f>('Renewable Diesel'!$AG366*'RD Feedstock Breakdown'!CQ$3*'Feedstock Conversion Rates'!$B$6)/12</f>
        <v>3.5175000000000001</v>
      </c>
      <c r="CR357" s="104">
        <f>('Renewable Diesel'!$AG366*'RD Feedstock Breakdown'!CR$3*'Feedstock Conversion Rates'!$B$4)/12</f>
        <v>2.8125</v>
      </c>
      <c r="CS357" s="106">
        <f t="shared" si="317"/>
        <v>12.3375</v>
      </c>
      <c r="CT357" s="104">
        <f>('Renewable Diesel'!AI366*'Feedstock Conversion Rates'!$B$4*'RD Feedstock Breakdown'!$CT$3)/12</f>
        <v>29.375</v>
      </c>
      <c r="CU357" s="106">
        <f t="shared" si="364"/>
        <v>29.375</v>
      </c>
      <c r="CV357" s="104">
        <f>('Renewable Diesel'!AN366*'Feedstock Conversion Rates'!$B$3*'RD Feedstock Breakdown'!$CV$3)/12</f>
        <v>0.50062499999999999</v>
      </c>
      <c r="CW357" s="106">
        <f t="shared" si="338"/>
        <v>0.50062499999999999</v>
      </c>
      <c r="CX357" s="104">
        <f>('Renewable Diesel'!AO366*'RD Feedstock Breakdown'!$CX$3*'Feedstock Conversion Rates'!$B$3)/12</f>
        <v>6.3412499999999996</v>
      </c>
      <c r="CY357" s="104">
        <f>('Renewable Diesel'!AO366*'RD Feedstock Breakdown'!$CY$3*'Feedstock Conversion Rates'!$B$6)/12</f>
        <v>7.4258333333333342</v>
      </c>
      <c r="CZ357" s="106">
        <f t="shared" si="318"/>
        <v>13.767083333333334</v>
      </c>
      <c r="DA357" s="104">
        <f>('Renewable Diesel'!$AP366*'RD Feedstock Breakdown'!DA$3*'Feedstock Conversion Rates'!$B$3)/12</f>
        <v>6.3412499999999996</v>
      </c>
      <c r="DB357" s="104">
        <f>('Renewable Diesel'!$AP366*'RD Feedstock Breakdown'!DB$3*'Feedstock Conversion Rates'!$B$8)/12</f>
        <v>7.421875</v>
      </c>
      <c r="DC357" s="106">
        <f t="shared" si="342"/>
        <v>13.763124999999999</v>
      </c>
      <c r="DD357" s="104">
        <f>('Renewable Diesel'!AQ366*$DD$3*'Feedstock Conversion Rates'!$B$14)/12</f>
        <v>3.1041666666666665</v>
      </c>
      <c r="DE357" s="106">
        <f t="shared" si="343"/>
        <v>3.1041666666666665</v>
      </c>
      <c r="DF357" s="104">
        <f>('Renewable Diesel'!AR366*'Feedstock Conversion Rates'!$B$4*$DF$3)/12</f>
        <v>75</v>
      </c>
      <c r="DG357" s="106">
        <f t="shared" si="319"/>
        <v>75</v>
      </c>
      <c r="DH357" s="104">
        <f>('Renewable Diesel'!AS366*'Feedstock Conversion Rates'!$B$4*$DH$3)/12</f>
        <v>75</v>
      </c>
      <c r="DI357" s="106">
        <f t="shared" si="323"/>
        <v>75</v>
      </c>
      <c r="DJ357" s="104">
        <f>('Renewable Diesel'!AT366*'Feedstock Conversion Rates'!$B$4*0.25)/12</f>
        <v>8.59375</v>
      </c>
      <c r="DK357" s="104">
        <f>('Renewable Diesel'!$AT366*'RD Feedstock Breakdown'!DK$3*'Feedstock Conversion Rates'!$B$3)/12*0.5</f>
        <v>9.1781249999999996</v>
      </c>
      <c r="DL357" s="104">
        <f>('Renewable Diesel'!$AT366*'RD Feedstock Breakdown'!$DL$3*'Feedstock Conversion Rates'!$B$6)/12</f>
        <v>10.747916666666669</v>
      </c>
      <c r="DM357" s="104">
        <f>('Renewable Diesel'!$AT366*'RD Feedstock Breakdown'!$DM$3*'Feedstock Conversion Rates'!$B$8)/12</f>
        <v>10.7421875</v>
      </c>
      <c r="DN357" s="106">
        <f t="shared" si="375"/>
        <v>39.26197916666667</v>
      </c>
      <c r="DP357" s="104">
        <f t="shared" si="345"/>
        <v>103.22025000000001</v>
      </c>
      <c r="DQ357" s="104">
        <f t="shared" si="346"/>
        <v>324.11776750000001</v>
      </c>
      <c r="DR357" s="104">
        <f t="shared" si="351"/>
        <v>1916.953125</v>
      </c>
      <c r="DS357" s="104">
        <f t="shared" si="365"/>
        <v>228.90125</v>
      </c>
      <c r="DT357" s="104">
        <f t="shared" si="347"/>
        <v>243.03923333333344</v>
      </c>
      <c r="DU357" s="104">
        <f t="shared" si="348"/>
        <v>402.90610000000009</v>
      </c>
      <c r="DV357" s="104">
        <f t="shared" si="352"/>
        <v>78.75</v>
      </c>
      <c r="DW357" s="104">
        <f t="shared" si="349"/>
        <v>3</v>
      </c>
      <c r="DX357" s="106">
        <f t="shared" si="353"/>
        <v>3300.8877258333337</v>
      </c>
      <c r="DY357" s="109">
        <f t="shared" si="340"/>
        <v>-5.631051180898794E-13</v>
      </c>
      <c r="EA357" s="110">
        <f t="shared" si="313"/>
        <v>3.1270451640078516E-2</v>
      </c>
      <c r="EB357" s="110">
        <f t="shared" si="313"/>
        <v>9.8191091130848465E-2</v>
      </c>
      <c r="EC357" s="110">
        <f t="shared" si="313"/>
        <v>0.58073866311707134</v>
      </c>
      <c r="ED357" s="110">
        <f t="shared" si="313"/>
        <v>6.9345360706629972E-2</v>
      </c>
      <c r="EE357" s="110">
        <f t="shared" si="313"/>
        <v>7.3628445896921982E-2</v>
      </c>
      <c r="EF357" s="110">
        <f t="shared" si="313"/>
        <v>0.1220599225010852</v>
      </c>
      <c r="EG357" s="110">
        <f t="shared" si="384"/>
        <v>2.3857218585075921E-2</v>
      </c>
      <c r="EH357" s="111">
        <f t="shared" si="354"/>
        <v>9.0884642228860647E-4</v>
      </c>
      <c r="EI357" s="110">
        <f t="shared" si="321"/>
        <v>0.9990911535777115</v>
      </c>
      <c r="EK357" s="132">
        <f>(EA357*'Renewable Diesel'!BF366*'Feedstock Conversion Rates'!B$2)+FB357</f>
        <v>357.50138103763067</v>
      </c>
      <c r="EL357" s="132">
        <f>(EB357*'Renewable Diesel'!BF366*'Feedstock Conversion Rates'!B$3)+FC357</f>
        <v>1057.8625591685741</v>
      </c>
      <c r="EM357" s="132">
        <f>(EC357*'Renewable Diesel'!BF366*'Feedstock Conversion Rates'!B$4)+FD357</f>
        <v>5858.2330978309383</v>
      </c>
      <c r="EN357" s="132">
        <f>(ED357*'Renewable Diesel'!BF366*'Feedstock Conversion Rates'!B$5)+FE357</f>
        <v>704.18862819651531</v>
      </c>
      <c r="EO357" s="132">
        <f>(EE357*'Renewable Diesel'!BF366*'Feedstock Conversion Rates'!B$6)+FF357</f>
        <v>928.908883970847</v>
      </c>
      <c r="EP357" s="132">
        <f>(EF357*'Renewable Diesel'!BF366*'Feedstock Conversion Rates'!B$7)+FG357</f>
        <v>1510.3776884204849</v>
      </c>
      <c r="EQ357" s="132">
        <f>(EG357*'Renewable Diesel'!BF366*'Feedstock Conversion Rates'!B$8)+FH357</f>
        <v>300.82625028597556</v>
      </c>
      <c r="ER357" s="132">
        <f>(EH357*'Renewable Diesel'!BF366*'Feedstock Conversion Rates'!B$9)+FI357</f>
        <v>11.307246994876033</v>
      </c>
      <c r="ES357" s="132">
        <f t="shared" si="355"/>
        <v>10729.205735905844</v>
      </c>
      <c r="ET357" s="133">
        <f>ES357/'Renewable Diesel'!BF366</f>
        <v>13.624893468668631</v>
      </c>
      <c r="EW357" s="73">
        <f t="shared" ref="EW357:EW420" si="386">EN357+EM357+FD357+FE357</f>
        <v>9282.6966909299572</v>
      </c>
      <c r="EX357" s="73">
        <f t="shared" ref="EX357:EX420" si="387">EQ357+EO357+EL357+EK357+ER357+EP357+FB357+FC357+FF357+FG357+FH357+FI357</f>
        <v>5894.0119600835551</v>
      </c>
      <c r="EY357" s="92">
        <f t="shared" si="341"/>
        <v>0.86518023043075143</v>
      </c>
      <c r="EZ357" s="92">
        <f t="shared" si="341"/>
        <v>0.54934280366709143</v>
      </c>
      <c r="FB357" s="102">
        <f>IF('Renewable Diesel'!$BG366&lt;1,0,(((('Renewable Diesel'!$BG366-1)*'Renewable Diesel'!$BF366)*'RD Feedstock Breakdown'!EA357)*'Feedstock Conversion Rates'!$B$2))</f>
        <v>148.19255716188778</v>
      </c>
      <c r="FC357" s="102">
        <f>IF('Renewable Diesel'!$BG366&lt;1,0,(((('Renewable Diesel'!$BG366-1)*'Renewable Diesel'!$BF366)*'RD Feedstock Breakdown'!EB357)*'Feedstock Conversion Rates'!$B$3))</f>
        <v>438.50839768506643</v>
      </c>
      <c r="FD357" s="102">
        <f>IF('Renewable Diesel'!$BG366&lt;1,0,(((('Renewable Diesel'!$BG366-1)*'Renewable Diesel'!$BF366)*'RD Feedstock Breakdown'!EC357)*'Feedstock Conversion Rates'!$B$4))</f>
        <v>2428.372558165287</v>
      </c>
      <c r="FE357" s="102">
        <f>IF('Renewable Diesel'!$BG366&lt;1,0,(((('Renewable Diesel'!$BG366-1)*'Renewable Diesel'!$BF366)*'RD Feedstock Breakdown'!ED357)*'Feedstock Conversion Rates'!$B$5))</f>
        <v>291.90240673721746</v>
      </c>
      <c r="FF357" s="102">
        <f>IF('Renewable Diesel'!$BG366&lt;1,0,(((('Renewable Diesel'!$BG366-1)*'Renewable Diesel'!$BF366)*'RD Feedstock Breakdown'!EE357)*'Feedstock Conversion Rates'!$B$6))</f>
        <v>385.05412898403682</v>
      </c>
      <c r="FG357" s="102">
        <f>IF('Renewable Diesel'!$BG366&lt;1,0,(((('Renewable Diesel'!$BG366-1)*'Renewable Diesel'!$BF366)*'RD Feedstock Breakdown'!EF357)*'Feedstock Conversion Rates'!$B$7))</f>
        <v>626.08634203774602</v>
      </c>
      <c r="FH357" s="102">
        <f>IF('Renewable Diesel'!$BG366&lt;1,0,(((('Renewable Diesel'!$BG366-1)*'Renewable Diesel'!$BF366)*'RD Feedstock Breakdown'!EG357)*'Feedstock Conversion Rates'!$B$8))</f>
        <v>124.69941000481973</v>
      </c>
      <c r="FI357" s="102">
        <f>IF('Renewable Diesel'!$BG366&lt;1,0,(((('Renewable Diesel'!$BG366-1)*'Renewable Diesel'!$BF366)*'RD Feedstock Breakdown'!EH357)*'Feedstock Conversion Rates'!$B$9))</f>
        <v>4.6871143316097319</v>
      </c>
      <c r="FJ357" s="102">
        <f t="shared" ref="FJ357:FJ420" si="388">SUM(FB357:FI357)</f>
        <v>4447.5029151076706</v>
      </c>
      <c r="GD357" s="91">
        <f>'Renewable Diesel'!BB366*0.32</f>
        <v>0</v>
      </c>
      <c r="GE357" s="91">
        <f>'Renewable Diesel'!BC366</f>
        <v>399.51455976192761</v>
      </c>
      <c r="GF357" s="91">
        <f>'Renewable Diesel'!BD366</f>
        <v>0</v>
      </c>
      <c r="GG357" s="91">
        <f t="shared" si="373"/>
        <v>399.51455976192761</v>
      </c>
      <c r="GH357" s="124">
        <v>1</v>
      </c>
      <c r="GI357" s="102">
        <f>$GG357*EA357*'Feedstock Conversion Rates'!$B$2</f>
        <v>106.19050612461224</v>
      </c>
      <c r="GJ357" s="102">
        <f>$GG357*EB357*'Feedstock Conversion Rates'!$B$3</f>
        <v>314.22245207093079</v>
      </c>
      <c r="GK357" s="102">
        <f>$GG357*EC357*'Feedstock Conversion Rates'!$B$4</f>
        <v>1740.1016349896036</v>
      </c>
      <c r="GL357" s="102">
        <f>$GG357*ED357*'Feedstock Conversion Rates'!$B$5</f>
        <v>209.16883346952216</v>
      </c>
      <c r="GM357" s="102">
        <f>$GG357*EE357*'Feedstock Conversion Rates'!$B$6</f>
        <v>275.91866707258941</v>
      </c>
      <c r="GN357" s="102">
        <f>$GG357*EF357*'Feedstock Conversion Rates'!$B$7</f>
        <v>448.63538906388368</v>
      </c>
      <c r="GO357" s="102">
        <f>$GG357*EG357*'Feedstock Conversion Rates'!$B$8</f>
        <v>89.355995439006406</v>
      </c>
      <c r="GP357" s="102">
        <f>$GG357*EH357*'Feedstock Conversion Rates'!B$9</f>
        <v>3.3586507491994793</v>
      </c>
      <c r="GQ357" s="102">
        <f t="shared" si="356"/>
        <v>3186.9521289793483</v>
      </c>
      <c r="GR357" s="85">
        <f t="shared" si="371"/>
        <v>7.9770612887762251</v>
      </c>
      <c r="GT357" s="103">
        <f t="shared" ref="GT357:GT387" si="389">(GI357+FB357+EK357)/SUM($ES357,$FJ357,$GQ357)</f>
        <v>3.3320395734535491E-2</v>
      </c>
      <c r="GU357" s="103">
        <f t="shared" ref="GU357:GU387" si="390">(GJ357+FC357+EL357)/SUM($ES357,$FJ357,$GQ357)</f>
        <v>9.8596539688709892E-2</v>
      </c>
      <c r="GV357" s="103">
        <f t="shared" ref="GV357:GV387" si="391">(GK357+FD357+EM357)/SUM($ES357,$FJ357,$GQ357)</f>
        <v>0.54600808690116343</v>
      </c>
      <c r="GW357" s="103">
        <f t="shared" si="331"/>
        <v>6.5632875865164156E-2</v>
      </c>
      <c r="GX357" s="103">
        <f t="shared" si="331"/>
        <v>8.6577600135134464E-2</v>
      </c>
      <c r="GY357" s="103">
        <f t="shared" si="331"/>
        <v>0.14077255349535595</v>
      </c>
      <c r="GZ357" s="103">
        <f t="shared" si="331"/>
        <v>2.8038072685962662E-2</v>
      </c>
      <c r="HA357" s="103">
        <f t="shared" si="331"/>
        <v>1.0538754939739617E-3</v>
      </c>
    </row>
    <row r="358" spans="1:209" x14ac:dyDescent="0.25">
      <c r="A358" s="96">
        <v>51318</v>
      </c>
      <c r="B358" s="104">
        <f t="shared" si="377"/>
        <v>69.25</v>
      </c>
      <c r="C358" s="104">
        <f t="shared" si="314"/>
        <v>49</v>
      </c>
      <c r="D358" s="104">
        <f t="shared" si="378"/>
        <v>2</v>
      </c>
      <c r="E358" s="104">
        <f>('Renewable Diesel'!B367*E$3*'Feedstock Conversion Rates'!$B$2)/12+26+13-100+27.5+39</f>
        <v>95.43</v>
      </c>
      <c r="F358" s="104">
        <f>('Renewable Diesel'!B367*'RD Feedstock Breakdown'!F$3*'Feedstock Conversion Rates'!B$8)/12+77+23-10-12-115.75+24+8</f>
        <v>48.15625</v>
      </c>
      <c r="G358" s="104">
        <f>('Renewable Diesel'!B367*'RD Feedstock Breakdown'!G$3*'Feedstock Conversion Rates'!B$7)/12+116.75-39-57.5-145-31.5+32+70-40+10+60</f>
        <v>151.90700000000004</v>
      </c>
      <c r="H358" s="104">
        <f>('Renewable Diesel'!B367*'RD Feedstock Breakdown'!H$3*'Feedstock Conversion Rates'!B$3)/12+67+10+12+3-235+20+47-20</f>
        <v>80.400224999999978</v>
      </c>
      <c r="I358" s="106">
        <f t="shared" si="370"/>
        <v>496.14347500000002</v>
      </c>
      <c r="J358" s="104">
        <f t="shared" si="332"/>
        <v>4</v>
      </c>
      <c r="K358" s="104"/>
      <c r="L358" s="104">
        <v>1</v>
      </c>
      <c r="M358" s="104">
        <f>('Renewable Diesel'!C367*'RD Feedstock Breakdown'!M$3*'Feedstock Conversion Rates'!B$2)/12</f>
        <v>7.7902500000000003</v>
      </c>
      <c r="N358" s="104">
        <f>('Renewable Diesel'!C367*'RD Feedstock Breakdown'!N$3*'Feedstock Conversion Rates'!B$8)/12</f>
        <v>3.671875</v>
      </c>
      <c r="O358" s="104">
        <f>('Renewable Diesel'!C367*'RD Feedstock Breakdown'!O$3*'Feedstock Conversion Rates'!B$7)/12</f>
        <v>11.9991</v>
      </c>
      <c r="P358" s="104">
        <f>('Renewable Diesel'!C367*'RD Feedstock Breakdown'!P$3*'Feedstock Conversion Rates'!B$3)/12</f>
        <v>10.4470425</v>
      </c>
      <c r="Q358" s="106">
        <f t="shared" si="379"/>
        <v>38.908267500000001</v>
      </c>
      <c r="R358" s="104">
        <f>('Renewable Diesel'!D367*'RD Feedstock Breakdown'!R$3*'Feedstock Conversion Rates'!B$7)/12</f>
        <v>2.2999999999999998</v>
      </c>
      <c r="S358" s="106">
        <f t="shared" si="329"/>
        <v>2.2999999999999998</v>
      </c>
      <c r="T358" s="104">
        <f t="shared" si="380"/>
        <v>0.82499999999999929</v>
      </c>
      <c r="U358" s="104"/>
      <c r="V358" s="104">
        <f>('Renewable Diesel'!E367*'RD Feedstock Breakdown'!V$3*'Feedstock Conversion Rates'!B$6)/12-20+25</f>
        <v>49.250150000000012</v>
      </c>
      <c r="W358" s="104">
        <f>('Renewable Diesel'!E367*'RD Feedstock Breakdown'!W$3*'Feedstock Conversion Rates'!B$8)/12-6</f>
        <v>16.1796875</v>
      </c>
      <c r="X358" s="106">
        <f t="shared" si="357"/>
        <v>66.254837500000008</v>
      </c>
      <c r="Y358" s="104">
        <f t="shared" si="381"/>
        <v>98</v>
      </c>
      <c r="Z358" s="104">
        <f>('Renewable Diesel'!F367*'RD Feedstock Breakdown'!Z$3*'Feedstock Conversion Rates'!B$6)/12-142+15+5+20+5+15</f>
        <v>77.460000000000008</v>
      </c>
      <c r="AA358" s="104">
        <f>('Renewable Diesel'!F367*'RD Feedstock Breakdown'!AA$3*'Feedstock Conversion Rates'!B$7)/12+24</f>
        <v>128.26666666666665</v>
      </c>
      <c r="AB358" s="106">
        <f t="shared" si="320"/>
        <v>303.72666666666669</v>
      </c>
      <c r="AC358" s="104">
        <f>('Renewable Diesel'!G367*'RD Feedstock Breakdown'!AC$3*'Feedstock Conversion Rates'!B$5)/12</f>
        <v>11.796875</v>
      </c>
      <c r="AD358" s="104">
        <f>('Renewable Diesel'!G367*'RD Feedstock Breakdown'!AD$3*'Feedstock Conversion Rates'!B$4)/12</f>
        <v>5.859375</v>
      </c>
      <c r="AE358" s="104">
        <f>('Renewable Diesel'!G367*'RD Feedstock Breakdown'!AE$3*'Feedstock Conversion Rates'!B$6)/12</f>
        <v>7.3281250000000009</v>
      </c>
      <c r="AF358" s="106">
        <f t="shared" si="366"/>
        <v>24.984375</v>
      </c>
      <c r="AG358" s="104">
        <f t="shared" si="383"/>
        <v>148</v>
      </c>
      <c r="AH358" s="104"/>
      <c r="AI358" s="104">
        <f>('Renewable Diesel'!H367*'RD Feedstock Breakdown'!AI$3*'Feedstock Conversion Rates'!B$6)/12-130-20+51-49</f>
        <v>0.51666666666667993</v>
      </c>
      <c r="AJ358" s="106">
        <f t="shared" si="328"/>
        <v>148.51666666666668</v>
      </c>
      <c r="AK358" s="104">
        <f>('Renewable Diesel'!J367*'RD Feedstock Breakdown'!AK$3*'Feedstock Conversion Rates'!B$4)/12</f>
        <v>95.8125</v>
      </c>
      <c r="AL358" s="106">
        <f t="shared" si="330"/>
        <v>95.8125</v>
      </c>
      <c r="AM358" s="104">
        <f>('Renewable Diesel'!K367*'RD Feedstock Breakdown'!AM$3*'Feedstock Conversion Rates'!B$4)/12+5+15-10+10</f>
        <v>78.59375</v>
      </c>
      <c r="AN358" s="104">
        <f>('Renewable Diesel'!K367*'RD Feedstock Breakdown'!AN$3*'Feedstock Conversion Rates'!B$6)/12-5-15+10-10</f>
        <v>4.4270833333333321</v>
      </c>
      <c r="AO358" s="106">
        <f t="shared" si="350"/>
        <v>83.020833333333329</v>
      </c>
      <c r="AP358" s="104">
        <f>('Renewable Diesel'!L367*'RD Feedstock Breakdown'!AP$3*'Feedstock Conversion Rates'!B$4)/12+15-10+15</f>
        <v>78.59375</v>
      </c>
      <c r="AQ358" s="104">
        <f>('Renewable Diesel'!L367*'RD Feedstock Breakdown'!AQ$3*'Feedstock Conversion Rates'!B$6)/12-15+10-15</f>
        <v>4.4270833333333321</v>
      </c>
      <c r="AR358" s="106">
        <f t="shared" si="339"/>
        <v>83.020833333333329</v>
      </c>
      <c r="AS358" s="104">
        <f>('Renewable Diesel'!M367*'RD Feedstock Breakdown'!AS$3*'Feedstock Conversion Rates'!B$4)/12</f>
        <v>456.25</v>
      </c>
      <c r="AT358" s="104">
        <f>('Renewable Diesel'!M367*'RD Feedstock Breakdown'!AT$3*'Feedstock Conversion Rates'!B$5)/12</f>
        <v>0</v>
      </c>
      <c r="AU358" s="106">
        <f t="shared" si="369"/>
        <v>456.25</v>
      </c>
      <c r="AV358" s="104">
        <f>'Renewable Diesel'!N367*'RD Feedstock Breakdown'!$AV$3*'Feedstock Conversion Rates'!$B$4/12-15-10+25+25-22+25</f>
        <v>106.74999999999999</v>
      </c>
      <c r="AW358" s="104">
        <f>'Renewable Diesel'!N367*'RD Feedstock Breakdown'!$AW$3*'Feedstock Conversion Rates'!$B$7/12+15+10-25-25+22-25</f>
        <v>13.400000000000006</v>
      </c>
      <c r="AX358" s="106">
        <f t="shared" si="322"/>
        <v>120.14999999999999</v>
      </c>
      <c r="AY358" s="104">
        <f>('Renewable Diesel'!O367*'RD Feedstock Breakdown'!AY$3*'Feedstock Conversion Rates'!B$4)/12</f>
        <v>210.9375</v>
      </c>
      <c r="AZ358" s="104">
        <f>('Renewable Diesel'!O367*'RD Feedstock Breakdown'!AZ$3*'Feedstock Conversion Rates'!B$3)/12</f>
        <v>25.03125</v>
      </c>
      <c r="BA358" s="106">
        <f t="shared" si="382"/>
        <v>235.96875</v>
      </c>
      <c r="BB358" s="104">
        <f>('Renewable Diesel'!Q367*'RD Feedstock Breakdown'!BB$3*'Feedstock Conversion Rates'!B$4)/12</f>
        <v>11.156249999999998</v>
      </c>
      <c r="BC358" s="104">
        <f>('Renewable Diesel'!Q367*'RD Feedstock Breakdown'!BC$3*'Feedstock Conversion Rates'!B$3)/12</f>
        <v>1.4017500000000001</v>
      </c>
      <c r="BD358" s="104">
        <f>('Renewable Diesel'!Q367*'RD Feedstock Breakdown'!BD$3*'Feedstock Conversion Rates'!B$6)/12</f>
        <v>0.8207500000000002</v>
      </c>
      <c r="BE358" s="106">
        <f t="shared" si="359"/>
        <v>13.378749999999998</v>
      </c>
      <c r="BF358" s="104">
        <f>('Renewable Diesel'!R367*'RD Feedstock Breakdown'!BF$3*'Feedstock Conversion Rates'!B$4)/12</f>
        <v>62.5</v>
      </c>
      <c r="BG358" s="106">
        <f t="shared" si="344"/>
        <v>62.5</v>
      </c>
      <c r="BH358" s="104">
        <f>('Renewable Diesel'!T367*'RD Feedstock Breakdown'!BH$3*'Feedstock Conversion Rates'!B$7)/12</f>
        <v>27.599999999999998</v>
      </c>
      <c r="BI358" s="106">
        <f t="shared" si="327"/>
        <v>27.599999999999998</v>
      </c>
      <c r="BJ358" s="104">
        <f>('Renewable Diesel'!W367*'RD Feedstock Breakdown'!BJ$3*'Feedstock Conversion Rates'!B$4)/12</f>
        <v>7.5</v>
      </c>
      <c r="BK358" s="104">
        <f>('Renewable Diesel'!W367*'RD Feedstock Breakdown'!BK$3*'Feedstock Conversion Rates'!B$3)/12</f>
        <v>1.335</v>
      </c>
      <c r="BL358" s="104">
        <f>('Renewable Diesel'!W367*'RD Feedstock Breakdown'!BL$3*'Feedstock Conversion Rates'!B$6)/12</f>
        <v>3.1266666666666669</v>
      </c>
      <c r="BM358" s="104">
        <f>('Renewable Diesel'!W367*'RD Feedstock Breakdown'!BM$3*'Feedstock Conversion Rates'!B$7)/12</f>
        <v>1.5333333333333332</v>
      </c>
      <c r="BN358" s="106">
        <f t="shared" si="374"/>
        <v>13.495000000000001</v>
      </c>
      <c r="BO358" s="104">
        <f>('Renewable Diesel'!P367*'Feedstock Conversion Rates'!B$4)/12</f>
        <v>31.25</v>
      </c>
      <c r="BP358" s="106">
        <f t="shared" si="367"/>
        <v>31.25</v>
      </c>
      <c r="BQ358" s="104">
        <f>('Renewable Diesel'!$S367*'RD Feedstock Breakdown'!BQ$3*'Feedstock Conversion Rates'!B$4)/12+10+15-15</f>
        <v>38.125</v>
      </c>
      <c r="BR358" s="104">
        <f>('Renewable Diesel'!$S367*'RD Feedstock Breakdown'!BR$3*'Feedstock Conversion Rates'!B$7)/12-10-15+15</f>
        <v>1.5</v>
      </c>
      <c r="BS358" s="106">
        <f t="shared" si="385"/>
        <v>39.625</v>
      </c>
      <c r="BT358" s="106"/>
      <c r="BU358" s="104">
        <f>('Renewable Diesel'!Y367*'Feedstock Conversion Rates'!B$7)/12</f>
        <v>2.6833333333333331</v>
      </c>
      <c r="BV358" s="106">
        <f t="shared" si="361"/>
        <v>2.6833333333333331</v>
      </c>
      <c r="BW358" s="104">
        <f>('Renewable Diesel'!$Z367*'RD Feedstock Breakdown'!BW$3*'Feedstock Conversion Rates'!$B$4)/12-230+160</f>
        <v>1.875</v>
      </c>
      <c r="BX358" s="104">
        <f>('Renewable Diesel'!$Z367*'RD Feedstock Breakdown'!BX$3*'Feedstock Conversion Rates'!$B$5)/12</f>
        <v>7.2354166666666666</v>
      </c>
      <c r="BY358" s="104">
        <f>('Renewable Diesel'!$Z367*'RD Feedstock Breakdown'!BY$3*'Feedstock Conversion Rates'!$B$7)/12</f>
        <v>61.716666666666661</v>
      </c>
      <c r="BZ358" s="104">
        <f>('Renewable Diesel'!$Z367*'RD Feedstock Breakdown'!BZ$3*'Feedstock Conversion Rates'!$B$3)/12+230-160</f>
        <v>85.352499999999992</v>
      </c>
      <c r="CA358" s="106">
        <f t="shared" ref="CA358:CA421" si="392">SUM(BW358:BZ358)</f>
        <v>156.17958333333331</v>
      </c>
      <c r="CB358" s="104">
        <f>('Renewable Diesel'!AA367*'Feedstock Conversion Rates'!B$4)/12</f>
        <v>191.25</v>
      </c>
      <c r="CC358" s="106">
        <f t="shared" si="376"/>
        <v>191.25</v>
      </c>
      <c r="CD358" s="104">
        <f>('Renewable Diesel'!$AB367*'RD Feedstock Breakdown'!CD$3*'Feedstock Conversion Rates'!$B$6)/12-15-5</f>
        <v>12.830000000000005</v>
      </c>
      <c r="CE358" s="104">
        <f>('Renewable Diesel'!$AB367*'RD Feedstock Breakdown'!CE$3*'Feedstock Conversion Rates'!$B$4)/12+15+5</f>
        <v>31.25</v>
      </c>
      <c r="CF358" s="106">
        <f t="shared" si="372"/>
        <v>44.080000000000005</v>
      </c>
      <c r="CG358" s="104">
        <f>('Renewable Diesel'!AD367*'Feedstock Conversion Rates'!B$4)/12</f>
        <v>112.5</v>
      </c>
      <c r="CH358" s="106">
        <f t="shared" si="358"/>
        <v>112.5</v>
      </c>
      <c r="CI358" s="104">
        <f>('Renewable Diesel'!$AE367*'RD Feedstock Breakdown'!CI$3*'Feedstock Conversion Rates'!$B$5)/12</f>
        <v>0.34604166666666664</v>
      </c>
      <c r="CJ358" s="104">
        <f>('Renewable Diesel'!$AE367*'RD Feedstock Breakdown'!CJ$3*'Feedstock Conversion Rates'!$B$4)/12</f>
        <v>0.34375</v>
      </c>
      <c r="CK358" s="106">
        <f t="shared" si="368"/>
        <v>0.68979166666666658</v>
      </c>
      <c r="CL358" s="104">
        <f>(((CL$3*'Renewable Diesel'!$AF367)*'Feedstock Conversion Rates'!$B$3)/12)</f>
        <v>91.78125</v>
      </c>
      <c r="CM358" s="104">
        <f>(((CM$3*'Renewable Diesel'!$AF367)*'Feedstock Conversion Rates'!$B$6)/12)</f>
        <v>53.739583333333336</v>
      </c>
      <c r="CN358" s="104">
        <f>(((CN$3*'Renewable Diesel'!$AF367)*'Feedstock Conversion Rates'!$B$4)/12)</f>
        <v>42.96875</v>
      </c>
      <c r="CO358" s="106">
        <f t="shared" si="360"/>
        <v>188.48958333333334</v>
      </c>
      <c r="CP358" s="104">
        <f>('Renewable Diesel'!$AG367*'RD Feedstock Breakdown'!CP$3*'Feedstock Conversion Rates'!$B$3)/12</f>
        <v>6.0075000000000003</v>
      </c>
      <c r="CQ358" s="104">
        <f>('Renewable Diesel'!$AG367*'RD Feedstock Breakdown'!CQ$3*'Feedstock Conversion Rates'!$B$6)/12</f>
        <v>3.5175000000000001</v>
      </c>
      <c r="CR358" s="104">
        <f>('Renewable Diesel'!$AG367*'RD Feedstock Breakdown'!CR$3*'Feedstock Conversion Rates'!$B$4)/12</f>
        <v>2.8125</v>
      </c>
      <c r="CS358" s="106">
        <f t="shared" si="317"/>
        <v>12.3375</v>
      </c>
      <c r="CT358" s="104">
        <f>('Renewable Diesel'!AI367*'Feedstock Conversion Rates'!$B$4*'RD Feedstock Breakdown'!$CT$3)/12</f>
        <v>29.375</v>
      </c>
      <c r="CU358" s="106">
        <f t="shared" si="364"/>
        <v>29.375</v>
      </c>
      <c r="CV358" s="104">
        <f>('Renewable Diesel'!AN367*'Feedstock Conversion Rates'!$B$3*'RD Feedstock Breakdown'!$CV$3)/12</f>
        <v>0.50062499999999999</v>
      </c>
      <c r="CW358" s="106">
        <f t="shared" si="338"/>
        <v>0.50062499999999999</v>
      </c>
      <c r="CX358" s="104">
        <f>('Renewable Diesel'!AO367*'RD Feedstock Breakdown'!$CX$3*'Feedstock Conversion Rates'!$B$3)/12</f>
        <v>6.3412499999999996</v>
      </c>
      <c r="CY358" s="104">
        <f>('Renewable Diesel'!AO367*'RD Feedstock Breakdown'!$CY$3*'Feedstock Conversion Rates'!$B$6)/12</f>
        <v>7.4258333333333342</v>
      </c>
      <c r="CZ358" s="106">
        <f t="shared" si="318"/>
        <v>13.767083333333334</v>
      </c>
      <c r="DA358" s="104">
        <f>('Renewable Diesel'!$AP367*'RD Feedstock Breakdown'!DA$3*'Feedstock Conversion Rates'!$B$3)/12</f>
        <v>6.3412499999999996</v>
      </c>
      <c r="DB358" s="104">
        <f>('Renewable Diesel'!$AP367*'RD Feedstock Breakdown'!DB$3*'Feedstock Conversion Rates'!$B$8)/12</f>
        <v>7.421875</v>
      </c>
      <c r="DC358" s="106">
        <f t="shared" si="342"/>
        <v>13.763124999999999</v>
      </c>
      <c r="DD358" s="104">
        <f>('Renewable Diesel'!AQ367*$DD$3*'Feedstock Conversion Rates'!$B$14)/12</f>
        <v>3.1041666666666665</v>
      </c>
      <c r="DE358" s="106">
        <f t="shared" si="343"/>
        <v>3.1041666666666665</v>
      </c>
      <c r="DF358" s="104">
        <f>('Renewable Diesel'!AR367*'Feedstock Conversion Rates'!$B$4*$DF$3)/12</f>
        <v>75</v>
      </c>
      <c r="DG358" s="106">
        <f t="shared" si="319"/>
        <v>75</v>
      </c>
      <c r="DH358" s="104">
        <f>('Renewable Diesel'!AS367*'Feedstock Conversion Rates'!$B$4*$DH$3)/12</f>
        <v>75</v>
      </c>
      <c r="DI358" s="106">
        <f t="shared" si="323"/>
        <v>75</v>
      </c>
      <c r="DJ358" s="104">
        <f>('Renewable Diesel'!AT367*'Feedstock Conversion Rates'!$B$4*0.25)/12</f>
        <v>8.59375</v>
      </c>
      <c r="DK358" s="104">
        <f>('Renewable Diesel'!$AT367*'RD Feedstock Breakdown'!DK$3*'Feedstock Conversion Rates'!$B$3)/12*0.5</f>
        <v>9.1781249999999996</v>
      </c>
      <c r="DL358" s="104">
        <f>('Renewable Diesel'!$AT367*'RD Feedstock Breakdown'!$DL$3*'Feedstock Conversion Rates'!$B$6)/12</f>
        <v>10.747916666666669</v>
      </c>
      <c r="DM358" s="104">
        <f>('Renewable Diesel'!$AT367*'RD Feedstock Breakdown'!$DM$3*'Feedstock Conversion Rates'!$B$8)/12</f>
        <v>10.7421875</v>
      </c>
      <c r="DN358" s="106">
        <f t="shared" si="375"/>
        <v>39.26197916666667</v>
      </c>
      <c r="DP358" s="104">
        <f t="shared" si="345"/>
        <v>103.22025000000001</v>
      </c>
      <c r="DQ358" s="104">
        <f t="shared" si="346"/>
        <v>324.11776750000001</v>
      </c>
      <c r="DR358" s="104">
        <f t="shared" si="351"/>
        <v>1916.953125</v>
      </c>
      <c r="DS358" s="104">
        <f t="shared" si="365"/>
        <v>228.90125</v>
      </c>
      <c r="DT358" s="104">
        <f t="shared" si="347"/>
        <v>243.03923333333344</v>
      </c>
      <c r="DU358" s="104">
        <f t="shared" si="348"/>
        <v>402.90610000000009</v>
      </c>
      <c r="DV358" s="104">
        <f t="shared" si="352"/>
        <v>78.75</v>
      </c>
      <c r="DW358" s="104">
        <f t="shared" si="349"/>
        <v>3</v>
      </c>
      <c r="DX358" s="106">
        <f t="shared" si="353"/>
        <v>3300.8877258333337</v>
      </c>
      <c r="DY358" s="109">
        <f t="shared" si="340"/>
        <v>-5.631051180898794E-13</v>
      </c>
      <c r="EA358" s="110">
        <f t="shared" ref="EA358:EF393" si="393">DP358/$DX358</f>
        <v>3.1270451640078516E-2</v>
      </c>
      <c r="EB358" s="110">
        <f t="shared" si="393"/>
        <v>9.8191091130848465E-2</v>
      </c>
      <c r="EC358" s="110">
        <f t="shared" si="393"/>
        <v>0.58073866311707134</v>
      </c>
      <c r="ED358" s="110">
        <f t="shared" si="393"/>
        <v>6.9345360706629972E-2</v>
      </c>
      <c r="EE358" s="110">
        <f t="shared" si="393"/>
        <v>7.3628445896921982E-2</v>
      </c>
      <c r="EF358" s="110">
        <f t="shared" si="393"/>
        <v>0.1220599225010852</v>
      </c>
      <c r="EG358" s="110">
        <f t="shared" si="384"/>
        <v>2.3857218585075921E-2</v>
      </c>
      <c r="EH358" s="111">
        <f t="shared" si="354"/>
        <v>9.0884642228860647E-4</v>
      </c>
      <c r="EI358" s="110">
        <f t="shared" si="321"/>
        <v>0.9990911535777115</v>
      </c>
      <c r="EK358" s="132">
        <f>(EA358*'Renewable Diesel'!BF367*'Feedstock Conversion Rates'!B$2)+FB358</f>
        <v>395.27954473673901</v>
      </c>
      <c r="EL358" s="132">
        <f>(EB358*'Renewable Diesel'!BF367*'Feedstock Conversion Rates'!B$3)+FC358</f>
        <v>1169.6498334314992</v>
      </c>
      <c r="EM358" s="132">
        <f>(EC358*'Renewable Diesel'!BF367*'Feedstock Conversion Rates'!B$4)+FD358</f>
        <v>6477.2888573221071</v>
      </c>
      <c r="EN358" s="132">
        <f>(ED358*'Renewable Diesel'!BF367*'Feedstock Conversion Rates'!B$5)+FE358</f>
        <v>778.60219603741359</v>
      </c>
      <c r="EO358" s="132">
        <f>(EE358*'Renewable Diesel'!BF367*'Feedstock Conversion Rates'!B$6)+FF358</f>
        <v>1027.0692652772145</v>
      </c>
      <c r="EP358" s="132">
        <f>(EF358*'Renewable Diesel'!BF367*'Feedstock Conversion Rates'!B$7)+FG358</f>
        <v>1669.983493005122</v>
      </c>
      <c r="EQ358" s="132">
        <f>(EG358*'Renewable Diesel'!BF367*'Feedstock Conversion Rates'!B$8)+FH358</f>
        <v>332.61539553432999</v>
      </c>
      <c r="ER358" s="132">
        <f>(EH358*'Renewable Diesel'!BF367*'Feedstock Conversion Rates'!B$9)+FI358</f>
        <v>12.502115184528465</v>
      </c>
      <c r="ES358" s="132">
        <f t="shared" si="355"/>
        <v>11862.990700528953</v>
      </c>
      <c r="ET358" s="133">
        <f>ES358/'Renewable Diesel'!BF367</f>
        <v>14.563529613892452</v>
      </c>
      <c r="EW358" s="73">
        <f t="shared" si="386"/>
        <v>10537.423611775728</v>
      </c>
      <c r="EX358" s="73">
        <f t="shared" si="387"/>
        <v>6690.6959113463108</v>
      </c>
      <c r="EY358" s="92">
        <f t="shared" si="341"/>
        <v>0.88826029437129039</v>
      </c>
      <c r="EZ358" s="92">
        <f t="shared" si="341"/>
        <v>0.56399740000200649</v>
      </c>
      <c r="FB358" s="102">
        <f>IF('Renewable Diesel'!$BG367&lt;1,0,(((('Renewable Diesel'!$BG367-1)*'Renewable Diesel'!$BF367)*'RD Feedstock Breakdown'!EA358)*'Feedstock Conversion Rates'!$B$2))</f>
        <v>178.768215535564</v>
      </c>
      <c r="FC358" s="102">
        <f>IF('Renewable Diesel'!$BG367&lt;1,0,(((('Renewable Diesel'!$BG367-1)*'Renewable Diesel'!$BF367)*'RD Feedstock Breakdown'!EB358)*'Feedstock Conversion Rates'!$B$3))</f>
        <v>528.98313689184045</v>
      </c>
      <c r="FD358" s="102">
        <f>IF('Renewable Diesel'!$BG367&lt;1,0,(((('Renewable Diesel'!$BG367-1)*'Renewable Diesel'!$BF367)*'RD Feedstock Breakdown'!EC358)*'Feedstock Conversion Rates'!$B$4))</f>
        <v>2929.403724402342</v>
      </c>
      <c r="FE358" s="102">
        <f>IF('Renewable Diesel'!$BG367&lt;1,0,(((('Renewable Diesel'!$BG367-1)*'Renewable Diesel'!$BF367)*'RD Feedstock Breakdown'!ED358)*'Feedstock Conversion Rates'!$B$5))</f>
        <v>352.12883401386625</v>
      </c>
      <c r="FF358" s="102">
        <f>IF('Renewable Diesel'!$BG367&lt;1,0,(((('Renewable Diesel'!$BG367-1)*'Renewable Diesel'!$BF367)*'RD Feedstock Breakdown'!EE358)*'Feedstock Conversion Rates'!$B$6))</f>
        <v>464.4999778759489</v>
      </c>
      <c r="FG358" s="102">
        <f>IF('Renewable Diesel'!$BG367&lt;1,0,(((('Renewable Diesel'!$BG367-1)*'Renewable Diesel'!$BF367)*'RD Feedstock Breakdown'!EF358)*'Feedstock Conversion Rates'!$B$7))</f>
        <v>755.26288418796105</v>
      </c>
      <c r="FH358" s="102">
        <f>IF('Renewable Diesel'!$BG367&lt;1,0,(((('Renewable Diesel'!$BG367-1)*'Renewable Diesel'!$BF367)*'RD Feedstock Breakdown'!EG358)*'Feedstock Conversion Rates'!$B$8))</f>
        <v>150.42787189741824</v>
      </c>
      <c r="FI358" s="102">
        <f>IF('Renewable Diesel'!$BG367&lt;1,0,(((('Renewable Diesel'!$BG367-1)*'Renewable Diesel'!$BF367)*'RD Feedstock Breakdown'!EH358)*'Feedstock Conversion Rates'!$B$9))</f>
        <v>5.654177788144227</v>
      </c>
      <c r="FJ358" s="102">
        <f t="shared" si="388"/>
        <v>5365.1288225930857</v>
      </c>
      <c r="GD358" s="91">
        <f>'Renewable Diesel'!BB367*0.32</f>
        <v>0</v>
      </c>
      <c r="GE358" s="91">
        <f>'Renewable Diesel'!BC367</f>
        <v>434.58589758986244</v>
      </c>
      <c r="GF358" s="91">
        <f>'Renewable Diesel'!BD367</f>
        <v>0</v>
      </c>
      <c r="GG358" s="91">
        <f t="shared" si="373"/>
        <v>434.58589758986244</v>
      </c>
      <c r="GH358" s="124">
        <v>1</v>
      </c>
      <c r="GI358" s="102">
        <f>$GG358*EA358*'Feedstock Conversion Rates'!$B$2</f>
        <v>115.51242699937322</v>
      </c>
      <c r="GJ358" s="102">
        <f>$GG358*EB358*'Feedstock Conversion Rates'!$B$3</f>
        <v>341.80643243016635</v>
      </c>
      <c r="GK358" s="102">
        <f>$GG358*EC358*'Feedstock Conversion Rates'!$B$4</f>
        <v>1892.8562488190189</v>
      </c>
      <c r="GL358" s="102">
        <f>$GG358*ED358*'Feedstock Conversion Rates'!$B$5</f>
        <v>227.53069448919592</v>
      </c>
      <c r="GM358" s="102">
        <f>$GG358*EE358*'Feedstock Conversion Rates'!$B$6</f>
        <v>300.14015424868319</v>
      </c>
      <c r="GN358" s="102">
        <f>$GG358*EF358*'Feedstock Conversion Rates'!$B$7</f>
        <v>488.018793014925</v>
      </c>
      <c r="GO358" s="102">
        <f>$GG358*EG358*'Feedstock Conversion Rates'!$B$8</f>
        <v>97.200100807432193</v>
      </c>
      <c r="GP358" s="102">
        <f>$GG358*EH358*'Feedstock Conversion Rates'!B$9</f>
        <v>3.6534895033650705</v>
      </c>
      <c r="GQ358" s="102">
        <f t="shared" si="356"/>
        <v>3466.7183403121599</v>
      </c>
      <c r="GT358" s="103">
        <f t="shared" si="389"/>
        <v>3.3320395734535477E-2</v>
      </c>
      <c r="GU358" s="103">
        <f t="shared" si="390"/>
        <v>9.8596539688709878E-2</v>
      </c>
      <c r="GV358" s="103">
        <f t="shared" si="391"/>
        <v>0.54600808690116343</v>
      </c>
      <c r="GW358" s="103">
        <f t="shared" si="331"/>
        <v>6.5632875865164156E-2</v>
      </c>
      <c r="GX358" s="103">
        <f t="shared" si="331"/>
        <v>8.6577600135134464E-2</v>
      </c>
      <c r="GY358" s="103">
        <f t="shared" si="331"/>
        <v>0.14077255349535592</v>
      </c>
      <c r="GZ358" s="103">
        <f t="shared" si="331"/>
        <v>2.8038072685962666E-2</v>
      </c>
      <c r="HA358" s="103">
        <f t="shared" si="331"/>
        <v>1.0538754939739615E-3</v>
      </c>
    </row>
    <row r="359" spans="1:209" x14ac:dyDescent="0.25">
      <c r="A359" s="96">
        <v>51349</v>
      </c>
      <c r="B359" s="104">
        <f t="shared" si="377"/>
        <v>69.25</v>
      </c>
      <c r="C359" s="104">
        <f t="shared" si="314"/>
        <v>49</v>
      </c>
      <c r="D359" s="104">
        <f t="shared" si="378"/>
        <v>2</v>
      </c>
      <c r="E359" s="104">
        <f>('Renewable Diesel'!B368*E$3*'Feedstock Conversion Rates'!$B$2)/12+26+13-100+27.5+39</f>
        <v>95.43</v>
      </c>
      <c r="F359" s="104">
        <f>('Renewable Diesel'!B368*'RD Feedstock Breakdown'!F$3*'Feedstock Conversion Rates'!B$8)/12+77+23-10-12-115.75+24+8</f>
        <v>48.15625</v>
      </c>
      <c r="G359" s="104">
        <f>('Renewable Diesel'!B368*'RD Feedstock Breakdown'!G$3*'Feedstock Conversion Rates'!B$7)/12+116.75-39-57.5-145-31.5+32+70-40+10+60</f>
        <v>151.90700000000004</v>
      </c>
      <c r="H359" s="104">
        <f>('Renewable Diesel'!B368*'RD Feedstock Breakdown'!H$3*'Feedstock Conversion Rates'!B$3)/12+67+10+12+3-235+20+47-20</f>
        <v>80.400224999999978</v>
      </c>
      <c r="I359" s="106">
        <f t="shared" si="370"/>
        <v>496.14347500000002</v>
      </c>
      <c r="J359" s="104">
        <f t="shared" si="332"/>
        <v>4</v>
      </c>
      <c r="K359" s="104"/>
      <c r="L359" s="104">
        <v>1</v>
      </c>
      <c r="M359" s="104">
        <f>('Renewable Diesel'!C368*'RD Feedstock Breakdown'!M$3*'Feedstock Conversion Rates'!B$2)/12</f>
        <v>7.7902500000000003</v>
      </c>
      <c r="N359" s="104">
        <f>('Renewable Diesel'!C368*'RD Feedstock Breakdown'!N$3*'Feedstock Conversion Rates'!B$8)/12</f>
        <v>3.671875</v>
      </c>
      <c r="O359" s="104">
        <f>('Renewable Diesel'!C368*'RD Feedstock Breakdown'!O$3*'Feedstock Conversion Rates'!B$7)/12</f>
        <v>11.9991</v>
      </c>
      <c r="P359" s="104">
        <f>('Renewable Diesel'!C368*'RD Feedstock Breakdown'!P$3*'Feedstock Conversion Rates'!B$3)/12</f>
        <v>10.4470425</v>
      </c>
      <c r="Q359" s="106">
        <f t="shared" si="379"/>
        <v>38.908267500000001</v>
      </c>
      <c r="R359" s="104">
        <f>('Renewable Diesel'!D368*'RD Feedstock Breakdown'!R$3*'Feedstock Conversion Rates'!B$7)/12</f>
        <v>2.2999999999999998</v>
      </c>
      <c r="S359" s="106">
        <f t="shared" si="329"/>
        <v>2.2999999999999998</v>
      </c>
      <c r="T359" s="104">
        <f t="shared" si="380"/>
        <v>0.82499999999999929</v>
      </c>
      <c r="U359" s="104"/>
      <c r="V359" s="104">
        <f>('Renewable Diesel'!E368*'RD Feedstock Breakdown'!V$3*'Feedstock Conversion Rates'!B$6)/12-20+25</f>
        <v>49.250150000000012</v>
      </c>
      <c r="W359" s="104">
        <f>('Renewable Diesel'!E368*'RD Feedstock Breakdown'!W$3*'Feedstock Conversion Rates'!B$8)/12-6</f>
        <v>16.1796875</v>
      </c>
      <c r="X359" s="106">
        <f t="shared" si="357"/>
        <v>66.254837500000008</v>
      </c>
      <c r="Y359" s="104">
        <f t="shared" si="381"/>
        <v>98</v>
      </c>
      <c r="Z359" s="104">
        <f>('Renewable Diesel'!F368*'RD Feedstock Breakdown'!Z$3*'Feedstock Conversion Rates'!B$6)/12-142+15+5+20+5+15</f>
        <v>77.460000000000008</v>
      </c>
      <c r="AA359" s="104">
        <f>('Renewable Diesel'!F368*'RD Feedstock Breakdown'!AA$3*'Feedstock Conversion Rates'!B$7)/12+24</f>
        <v>128.26666666666665</v>
      </c>
      <c r="AB359" s="106">
        <f t="shared" si="320"/>
        <v>303.72666666666669</v>
      </c>
      <c r="AC359" s="104">
        <f>('Renewable Diesel'!G368*'RD Feedstock Breakdown'!AC$3*'Feedstock Conversion Rates'!B$5)/12</f>
        <v>11.796875</v>
      </c>
      <c r="AD359" s="104">
        <f>('Renewable Diesel'!G368*'RD Feedstock Breakdown'!AD$3*'Feedstock Conversion Rates'!B$4)/12</f>
        <v>5.859375</v>
      </c>
      <c r="AE359" s="104">
        <f>('Renewable Diesel'!G368*'RD Feedstock Breakdown'!AE$3*'Feedstock Conversion Rates'!B$6)/12</f>
        <v>7.3281250000000009</v>
      </c>
      <c r="AF359" s="106">
        <f t="shared" si="366"/>
        <v>24.984375</v>
      </c>
      <c r="AG359" s="104">
        <f t="shared" si="383"/>
        <v>148</v>
      </c>
      <c r="AH359" s="104"/>
      <c r="AI359" s="104">
        <f>('Renewable Diesel'!H368*'RD Feedstock Breakdown'!AI$3*'Feedstock Conversion Rates'!B$6)/12-130-20+51-49</f>
        <v>0.51666666666667993</v>
      </c>
      <c r="AJ359" s="106">
        <f t="shared" si="328"/>
        <v>148.51666666666668</v>
      </c>
      <c r="AK359" s="104">
        <f>('Renewable Diesel'!J368*'RD Feedstock Breakdown'!AK$3*'Feedstock Conversion Rates'!B$4)/12</f>
        <v>95.8125</v>
      </c>
      <c r="AL359" s="106">
        <f t="shared" si="330"/>
        <v>95.8125</v>
      </c>
      <c r="AM359" s="104">
        <f>('Renewable Diesel'!K368*'RD Feedstock Breakdown'!AM$3*'Feedstock Conversion Rates'!B$4)/12+5+15-10+10</f>
        <v>78.59375</v>
      </c>
      <c r="AN359" s="104">
        <f>('Renewable Diesel'!K368*'RD Feedstock Breakdown'!AN$3*'Feedstock Conversion Rates'!B$6)/12-5-15+10-10</f>
        <v>4.4270833333333321</v>
      </c>
      <c r="AO359" s="106">
        <f t="shared" si="350"/>
        <v>83.020833333333329</v>
      </c>
      <c r="AP359" s="104">
        <f>('Renewable Diesel'!L368*'RD Feedstock Breakdown'!AP$3*'Feedstock Conversion Rates'!B$4)/12+15-10+15</f>
        <v>78.59375</v>
      </c>
      <c r="AQ359" s="104">
        <f>('Renewable Diesel'!L368*'RD Feedstock Breakdown'!AQ$3*'Feedstock Conversion Rates'!B$6)/12-15+10-15</f>
        <v>4.4270833333333321</v>
      </c>
      <c r="AR359" s="106">
        <f t="shared" si="339"/>
        <v>83.020833333333329</v>
      </c>
      <c r="AS359" s="104">
        <f>('Renewable Diesel'!M368*'RD Feedstock Breakdown'!AS$3*'Feedstock Conversion Rates'!B$4)/12</f>
        <v>456.25</v>
      </c>
      <c r="AT359" s="104">
        <f>('Renewable Diesel'!M368*'RD Feedstock Breakdown'!AT$3*'Feedstock Conversion Rates'!B$5)/12</f>
        <v>0</v>
      </c>
      <c r="AU359" s="106">
        <f t="shared" si="369"/>
        <v>456.25</v>
      </c>
      <c r="AV359" s="104">
        <f>'Renewable Diesel'!N368*'RD Feedstock Breakdown'!$AV$3*'Feedstock Conversion Rates'!$B$4/12-15-10+25+25-22+25</f>
        <v>106.74999999999999</v>
      </c>
      <c r="AW359" s="104">
        <f>'Renewable Diesel'!N368*'RD Feedstock Breakdown'!$AW$3*'Feedstock Conversion Rates'!$B$7/12+15+10-25-25+22-25</f>
        <v>13.400000000000006</v>
      </c>
      <c r="AX359" s="106">
        <f t="shared" si="322"/>
        <v>120.14999999999999</v>
      </c>
      <c r="AY359" s="104">
        <f>('Renewable Diesel'!O368*'RD Feedstock Breakdown'!AY$3*'Feedstock Conversion Rates'!B$4)/12</f>
        <v>210.9375</v>
      </c>
      <c r="AZ359" s="104">
        <f>('Renewable Diesel'!O368*'RD Feedstock Breakdown'!AZ$3*'Feedstock Conversion Rates'!B$3)/12</f>
        <v>25.03125</v>
      </c>
      <c r="BA359" s="106">
        <f t="shared" si="382"/>
        <v>235.96875</v>
      </c>
      <c r="BB359" s="104">
        <f>('Renewable Diesel'!Q368*'RD Feedstock Breakdown'!BB$3*'Feedstock Conversion Rates'!B$4)/12</f>
        <v>11.156249999999998</v>
      </c>
      <c r="BC359" s="104">
        <f>('Renewable Diesel'!Q368*'RD Feedstock Breakdown'!BC$3*'Feedstock Conversion Rates'!B$3)/12</f>
        <v>1.4017500000000001</v>
      </c>
      <c r="BD359" s="104">
        <f>('Renewable Diesel'!Q368*'RD Feedstock Breakdown'!BD$3*'Feedstock Conversion Rates'!B$6)/12</f>
        <v>0.8207500000000002</v>
      </c>
      <c r="BE359" s="106">
        <f t="shared" si="359"/>
        <v>13.378749999999998</v>
      </c>
      <c r="BF359" s="104">
        <f>('Renewable Diesel'!R368*'RD Feedstock Breakdown'!BF$3*'Feedstock Conversion Rates'!B$4)/12</f>
        <v>62.5</v>
      </c>
      <c r="BG359" s="106">
        <f t="shared" si="344"/>
        <v>62.5</v>
      </c>
      <c r="BH359" s="104">
        <f>('Renewable Diesel'!T368*'RD Feedstock Breakdown'!BH$3*'Feedstock Conversion Rates'!B$7)/12</f>
        <v>27.599999999999998</v>
      </c>
      <c r="BI359" s="106">
        <f t="shared" si="327"/>
        <v>27.599999999999998</v>
      </c>
      <c r="BJ359" s="104">
        <f>('Renewable Diesel'!W368*'RD Feedstock Breakdown'!BJ$3*'Feedstock Conversion Rates'!B$4)/12</f>
        <v>7.5</v>
      </c>
      <c r="BK359" s="104">
        <f>('Renewable Diesel'!W368*'RD Feedstock Breakdown'!BK$3*'Feedstock Conversion Rates'!B$3)/12</f>
        <v>1.335</v>
      </c>
      <c r="BL359" s="104">
        <f>('Renewable Diesel'!W368*'RD Feedstock Breakdown'!BL$3*'Feedstock Conversion Rates'!B$6)/12</f>
        <v>3.1266666666666669</v>
      </c>
      <c r="BM359" s="104">
        <f>('Renewable Diesel'!W368*'RD Feedstock Breakdown'!BM$3*'Feedstock Conversion Rates'!B$7)/12</f>
        <v>1.5333333333333332</v>
      </c>
      <c r="BN359" s="106">
        <f t="shared" si="374"/>
        <v>13.495000000000001</v>
      </c>
      <c r="BO359" s="104">
        <f>('Renewable Diesel'!P368*'Feedstock Conversion Rates'!B$4)/12</f>
        <v>31.25</v>
      </c>
      <c r="BP359" s="106">
        <f t="shared" si="367"/>
        <v>31.25</v>
      </c>
      <c r="BQ359" s="104">
        <f>('Renewable Diesel'!$S368*'RD Feedstock Breakdown'!BQ$3*'Feedstock Conversion Rates'!B$4)/12+10+15-15</f>
        <v>38.125</v>
      </c>
      <c r="BR359" s="104">
        <f>('Renewable Diesel'!$S368*'RD Feedstock Breakdown'!BR$3*'Feedstock Conversion Rates'!B$7)/12-10-15+15</f>
        <v>1.5</v>
      </c>
      <c r="BS359" s="106">
        <f t="shared" si="385"/>
        <v>39.625</v>
      </c>
      <c r="BT359" s="106"/>
      <c r="BU359" s="104">
        <f>('Renewable Diesel'!Y368*'Feedstock Conversion Rates'!B$7)/12</f>
        <v>2.6833333333333331</v>
      </c>
      <c r="BV359" s="106">
        <f t="shared" si="361"/>
        <v>2.6833333333333331</v>
      </c>
      <c r="BW359" s="104">
        <f>('Renewable Diesel'!$Z368*'RD Feedstock Breakdown'!BW$3*'Feedstock Conversion Rates'!$B$4)/12-230+160</f>
        <v>1.875</v>
      </c>
      <c r="BX359" s="104">
        <f>('Renewable Diesel'!$Z368*'RD Feedstock Breakdown'!BX$3*'Feedstock Conversion Rates'!$B$5)/12</f>
        <v>7.2354166666666666</v>
      </c>
      <c r="BY359" s="104">
        <f>('Renewable Diesel'!$Z368*'RD Feedstock Breakdown'!BY$3*'Feedstock Conversion Rates'!$B$7)/12</f>
        <v>61.716666666666661</v>
      </c>
      <c r="BZ359" s="104">
        <f>('Renewable Diesel'!$Z368*'RD Feedstock Breakdown'!BZ$3*'Feedstock Conversion Rates'!$B$3)/12+230-160</f>
        <v>85.352499999999992</v>
      </c>
      <c r="CA359" s="106">
        <f t="shared" si="392"/>
        <v>156.17958333333331</v>
      </c>
      <c r="CB359" s="104">
        <f>('Renewable Diesel'!AA368*'Feedstock Conversion Rates'!B$4)/12</f>
        <v>191.25</v>
      </c>
      <c r="CC359" s="106">
        <f t="shared" si="376"/>
        <v>191.25</v>
      </c>
      <c r="CD359" s="104">
        <f>('Renewable Diesel'!$AB368*'RD Feedstock Breakdown'!CD$3*'Feedstock Conversion Rates'!$B$6)/12-15-5</f>
        <v>12.830000000000005</v>
      </c>
      <c r="CE359" s="104">
        <f>('Renewable Diesel'!$AB368*'RD Feedstock Breakdown'!CE$3*'Feedstock Conversion Rates'!$B$4)/12+15+5</f>
        <v>31.25</v>
      </c>
      <c r="CF359" s="106">
        <f t="shared" si="372"/>
        <v>44.080000000000005</v>
      </c>
      <c r="CG359" s="104">
        <f>('Renewable Diesel'!AD368*'Feedstock Conversion Rates'!B$4)/12</f>
        <v>112.5</v>
      </c>
      <c r="CH359" s="106">
        <f t="shared" si="358"/>
        <v>112.5</v>
      </c>
      <c r="CI359" s="104">
        <f>('Renewable Diesel'!$AE368*'RD Feedstock Breakdown'!CI$3*'Feedstock Conversion Rates'!$B$5)/12</f>
        <v>0.34604166666666664</v>
      </c>
      <c r="CJ359" s="104">
        <f>('Renewable Diesel'!$AE368*'RD Feedstock Breakdown'!CJ$3*'Feedstock Conversion Rates'!$B$4)/12</f>
        <v>0.34375</v>
      </c>
      <c r="CK359" s="106">
        <f t="shared" si="368"/>
        <v>0.68979166666666658</v>
      </c>
      <c r="CL359" s="104">
        <f>(((CL$3*'Renewable Diesel'!$AF368)*'Feedstock Conversion Rates'!$B$3)/12)</f>
        <v>91.78125</v>
      </c>
      <c r="CM359" s="104">
        <f>(((CM$3*'Renewable Diesel'!$AF368)*'Feedstock Conversion Rates'!$B$6)/12)</f>
        <v>53.739583333333336</v>
      </c>
      <c r="CN359" s="104">
        <f>(((CN$3*'Renewable Diesel'!$AF368)*'Feedstock Conversion Rates'!$B$4)/12)</f>
        <v>42.96875</v>
      </c>
      <c r="CO359" s="106">
        <f t="shared" si="360"/>
        <v>188.48958333333334</v>
      </c>
      <c r="CP359" s="104">
        <f>('Renewable Diesel'!$AG368*'RD Feedstock Breakdown'!CP$3*'Feedstock Conversion Rates'!$B$3)/12</f>
        <v>6.0075000000000003</v>
      </c>
      <c r="CQ359" s="104">
        <f>('Renewable Diesel'!$AG368*'RD Feedstock Breakdown'!CQ$3*'Feedstock Conversion Rates'!$B$6)/12</f>
        <v>3.5175000000000001</v>
      </c>
      <c r="CR359" s="104">
        <f>('Renewable Diesel'!$AG368*'RD Feedstock Breakdown'!CR$3*'Feedstock Conversion Rates'!$B$4)/12</f>
        <v>2.8125</v>
      </c>
      <c r="CS359" s="106">
        <f t="shared" si="317"/>
        <v>12.3375</v>
      </c>
      <c r="CT359" s="104">
        <f>('Renewable Diesel'!AI368*'Feedstock Conversion Rates'!$B$4*'RD Feedstock Breakdown'!$CT$3)/12</f>
        <v>29.375</v>
      </c>
      <c r="CU359" s="106">
        <f t="shared" si="364"/>
        <v>29.375</v>
      </c>
      <c r="CV359" s="104">
        <f>('Renewable Diesel'!AN368*'Feedstock Conversion Rates'!$B$3*'RD Feedstock Breakdown'!$CV$3)/12</f>
        <v>0.50062499999999999</v>
      </c>
      <c r="CW359" s="106">
        <f t="shared" si="338"/>
        <v>0.50062499999999999</v>
      </c>
      <c r="CX359" s="104">
        <f>('Renewable Diesel'!AO368*'RD Feedstock Breakdown'!$CX$3*'Feedstock Conversion Rates'!$B$3)/12</f>
        <v>6.3412499999999996</v>
      </c>
      <c r="CY359" s="104">
        <f>('Renewable Diesel'!AO368*'RD Feedstock Breakdown'!$CY$3*'Feedstock Conversion Rates'!$B$6)/12</f>
        <v>7.4258333333333342</v>
      </c>
      <c r="CZ359" s="106">
        <f t="shared" si="318"/>
        <v>13.767083333333334</v>
      </c>
      <c r="DA359" s="104">
        <f>('Renewable Diesel'!$AP368*'RD Feedstock Breakdown'!DA$3*'Feedstock Conversion Rates'!$B$3)/12</f>
        <v>6.3412499999999996</v>
      </c>
      <c r="DB359" s="104">
        <f>('Renewable Diesel'!$AP368*'RD Feedstock Breakdown'!DB$3*'Feedstock Conversion Rates'!$B$8)/12</f>
        <v>7.421875</v>
      </c>
      <c r="DC359" s="106">
        <f t="shared" si="342"/>
        <v>13.763124999999999</v>
      </c>
      <c r="DD359" s="104">
        <f>('Renewable Diesel'!AQ368*$DD$3*'Feedstock Conversion Rates'!$B$14)/12</f>
        <v>3.1041666666666665</v>
      </c>
      <c r="DE359" s="106">
        <f t="shared" si="343"/>
        <v>3.1041666666666665</v>
      </c>
      <c r="DF359" s="104">
        <f>('Renewable Diesel'!AR368*'Feedstock Conversion Rates'!$B$4*$DF$3)/12</f>
        <v>75</v>
      </c>
      <c r="DG359" s="106">
        <f t="shared" si="319"/>
        <v>75</v>
      </c>
      <c r="DH359" s="104">
        <f>('Renewable Diesel'!AS368*'Feedstock Conversion Rates'!$B$4*$DH$3)/12</f>
        <v>75</v>
      </c>
      <c r="DI359" s="106">
        <f t="shared" si="323"/>
        <v>75</v>
      </c>
      <c r="DJ359" s="104">
        <f>('Renewable Diesel'!AT368*'Feedstock Conversion Rates'!$B$4*0.25)/12</f>
        <v>8.59375</v>
      </c>
      <c r="DK359" s="104">
        <f>('Renewable Diesel'!$AT368*'RD Feedstock Breakdown'!DK$3*'Feedstock Conversion Rates'!$B$3)/12*0.5</f>
        <v>9.1781249999999996</v>
      </c>
      <c r="DL359" s="104">
        <f>('Renewable Diesel'!$AT368*'RD Feedstock Breakdown'!$DL$3*'Feedstock Conversion Rates'!$B$6)/12</f>
        <v>10.747916666666669</v>
      </c>
      <c r="DM359" s="104">
        <f>('Renewable Diesel'!$AT368*'RD Feedstock Breakdown'!$DM$3*'Feedstock Conversion Rates'!$B$8)/12</f>
        <v>10.7421875</v>
      </c>
      <c r="DN359" s="106">
        <f t="shared" si="375"/>
        <v>39.26197916666667</v>
      </c>
      <c r="DP359" s="104">
        <f t="shared" si="345"/>
        <v>103.22025000000001</v>
      </c>
      <c r="DQ359" s="104">
        <f t="shared" si="346"/>
        <v>324.11776750000001</v>
      </c>
      <c r="DR359" s="104">
        <f t="shared" si="351"/>
        <v>1916.953125</v>
      </c>
      <c r="DS359" s="104">
        <f t="shared" si="365"/>
        <v>228.90125</v>
      </c>
      <c r="DT359" s="104">
        <f t="shared" si="347"/>
        <v>243.03923333333344</v>
      </c>
      <c r="DU359" s="104">
        <f t="shared" si="348"/>
        <v>402.90610000000009</v>
      </c>
      <c r="DV359" s="104">
        <f t="shared" si="352"/>
        <v>78.75</v>
      </c>
      <c r="DW359" s="104">
        <f t="shared" si="349"/>
        <v>3</v>
      </c>
      <c r="DX359" s="106">
        <f t="shared" si="353"/>
        <v>3300.8877258333337</v>
      </c>
      <c r="DY359" s="109">
        <f t="shared" si="340"/>
        <v>-5.631051180898794E-13</v>
      </c>
      <c r="EA359" s="110">
        <f t="shared" si="393"/>
        <v>3.1270451640078516E-2</v>
      </c>
      <c r="EB359" s="110">
        <f t="shared" si="393"/>
        <v>9.8191091130848465E-2</v>
      </c>
      <c r="EC359" s="110">
        <f t="shared" si="393"/>
        <v>0.58073866311707134</v>
      </c>
      <c r="ED359" s="110">
        <f t="shared" si="393"/>
        <v>6.9345360706629972E-2</v>
      </c>
      <c r="EE359" s="110">
        <f t="shared" si="393"/>
        <v>7.3628445896921982E-2</v>
      </c>
      <c r="EF359" s="110">
        <f t="shared" si="393"/>
        <v>0.1220599225010852</v>
      </c>
      <c r="EG359" s="110">
        <f t="shared" si="384"/>
        <v>2.3857218585075921E-2</v>
      </c>
      <c r="EH359" s="111">
        <f t="shared" si="354"/>
        <v>9.0884642228860647E-4</v>
      </c>
      <c r="EI359" s="110">
        <f t="shared" si="321"/>
        <v>0.9990911535777115</v>
      </c>
      <c r="EK359" s="132">
        <f>(EA359*'Renewable Diesel'!BF368*'Feedstock Conversion Rates'!B$2)+FB359</f>
        <v>425.00992086271845</v>
      </c>
      <c r="EL359" s="132">
        <f>(EB359*'Renewable Diesel'!BF368*'Feedstock Conversion Rates'!B$3)+FC359</f>
        <v>1257.6233447012708</v>
      </c>
      <c r="EM359" s="132">
        <f>(EC359*'Renewable Diesel'!BF368*'Feedstock Conversion Rates'!B$4)+FD359</f>
        <v>6964.4687191919056</v>
      </c>
      <c r="EN359" s="132">
        <f>(ED359*'Renewable Diesel'!BF368*'Feedstock Conversion Rates'!B$5)+FE359</f>
        <v>837.16362793777353</v>
      </c>
      <c r="EO359" s="132">
        <f>(EE359*'Renewable Diesel'!BF368*'Feedstock Conversion Rates'!B$6)+FF359</f>
        <v>1104.3187864596516</v>
      </c>
      <c r="EP359" s="132">
        <f>(EF359*'Renewable Diesel'!BF368*'Feedstock Conversion Rates'!B$7)+FG359</f>
        <v>1795.5888728744144</v>
      </c>
      <c r="EQ359" s="132">
        <f>(EG359*'Renewable Diesel'!BF368*'Feedstock Conversion Rates'!B$8)+FH359</f>
        <v>357.63257880677349</v>
      </c>
      <c r="ER359" s="132">
        <f>(EH359*'Renewable Diesel'!BF368*'Feedstock Conversion Rates'!B$9)+FI359</f>
        <v>13.442443597054595</v>
      </c>
      <c r="ES359" s="132">
        <f t="shared" si="355"/>
        <v>12755.24829443156</v>
      </c>
      <c r="ET359" s="133">
        <f>ES359/'Renewable Diesel'!BF368</f>
        <v>14.855722804478305</v>
      </c>
      <c r="EW359" s="73">
        <f t="shared" si="386"/>
        <v>11414.030672822726</v>
      </c>
      <c r="EX359" s="73">
        <f t="shared" si="387"/>
        <v>7247.2941364238422</v>
      </c>
      <c r="EY359" s="92">
        <f t="shared" si="341"/>
        <v>0.89484974414850427</v>
      </c>
      <c r="EZ359" s="92">
        <f t="shared" si="341"/>
        <v>0.56818134536728115</v>
      </c>
      <c r="FB359" s="102">
        <f>IF('Renewable Diesel'!$BG368&lt;1,0,(((('Renewable Diesel'!$BG368-1)*'Renewable Diesel'!$BF368)*'RD Feedstock Breakdown'!EA359)*'Feedstock Conversion Rates'!$B$2))</f>
        <v>196.79280671208207</v>
      </c>
      <c r="FC359" s="102">
        <f>IF('Renewable Diesel'!$BG368&lt;1,0,(((('Renewable Diesel'!$BG368-1)*'Renewable Diesel'!$BF368)*'RD Feedstock Breakdown'!EB359)*'Feedstock Conversion Rates'!$B$3))</f>
        <v>582.31870749751511</v>
      </c>
      <c r="FD359" s="102">
        <f>IF('Renewable Diesel'!$BG368&lt;1,0,(((('Renewable Diesel'!$BG368-1)*'Renewable Diesel'!$BF368)*'RD Feedstock Breakdown'!EC359)*'Feedstock Conversion Rates'!$B$4))</f>
        <v>3224.7655389460319</v>
      </c>
      <c r="FE359" s="102">
        <f>IF('Renewable Diesel'!$BG368&lt;1,0,(((('Renewable Diesel'!$BG368-1)*'Renewable Diesel'!$BF368)*'RD Feedstock Breakdown'!ED359)*'Feedstock Conversion Rates'!$B$5))</f>
        <v>387.63278674701456</v>
      </c>
      <c r="FF359" s="102">
        <f>IF('Renewable Diesel'!$BG368&lt;1,0,(((('Renewable Diesel'!$BG368-1)*'Renewable Diesel'!$BF368)*'RD Feedstock Breakdown'!EE359)*'Feedstock Conversion Rates'!$B$6))</f>
        <v>511.33393086716205</v>
      </c>
      <c r="FG359" s="102">
        <f>IF('Renewable Diesel'!$BG368&lt;1,0,(((('Renewable Diesel'!$BG368-1)*'Renewable Diesel'!$BF368)*'RD Feedstock Breakdown'!EF359)*'Feedstock Conversion Rates'!$B$7))</f>
        <v>831.41347212946062</v>
      </c>
      <c r="FH359" s="102">
        <f>IF('Renewable Diesel'!$BG368&lt;1,0,(((('Renewable Diesel'!$BG368-1)*'Renewable Diesel'!$BF368)*'RD Feedstock Breakdown'!EG359)*'Feedstock Conversion Rates'!$B$8))</f>
        <v>165.59500261124018</v>
      </c>
      <c r="FI359" s="102">
        <f>IF('Renewable Diesel'!$BG368&lt;1,0,(((('Renewable Diesel'!$BG368-1)*'Renewable Diesel'!$BF368)*'RD Feedstock Breakdown'!EH359)*'Feedstock Conversion Rates'!$B$9))</f>
        <v>6.2242693044986774</v>
      </c>
      <c r="FJ359" s="102">
        <f t="shared" si="388"/>
        <v>5906.0765148150058</v>
      </c>
      <c r="GD359" s="91">
        <f>'Renewable Diesel'!BB368*0.32</f>
        <v>0</v>
      </c>
      <c r="GE359" s="91">
        <f>'Renewable Diesel'!BC368</f>
        <v>473.18816068332802</v>
      </c>
      <c r="GF359" s="91">
        <f>'Renewable Diesel'!BD368</f>
        <v>0</v>
      </c>
      <c r="GG359" s="91">
        <f t="shared" si="373"/>
        <v>473.18816068332802</v>
      </c>
      <c r="GH359" s="124">
        <v>1</v>
      </c>
      <c r="GI359" s="102">
        <f>$GG359*EA359*'Feedstock Conversion Rates'!$B$2</f>
        <v>125.77286371009853</v>
      </c>
      <c r="GJ359" s="102">
        <f>$GG359*EB359*'Feedstock Conversion Rates'!$B$3</f>
        <v>372.16752307963873</v>
      </c>
      <c r="GK359" s="102">
        <f>$GG359*EC359*'Feedstock Conversion Rates'!$B$4</f>
        <v>2060.9899487854636</v>
      </c>
      <c r="GL359" s="102">
        <f>$GG359*ED359*'Feedstock Conversion Rates'!$B$5</f>
        <v>247.74119781942582</v>
      </c>
      <c r="GM359" s="102">
        <f>$GG359*EE359*'Feedstock Conversion Rates'!$B$6</f>
        <v>326.80022136884389</v>
      </c>
      <c r="GN359" s="102">
        <f>$GG359*EF359*'Feedstock Conversion Rates'!$B$7</f>
        <v>531.36725403723017</v>
      </c>
      <c r="GO359" s="102">
        <f>$GG359*EG359*'Feedstock Conversion Rates'!$B$8</f>
        <v>105.83393794961424</v>
      </c>
      <c r="GP359" s="102">
        <f>$GG359*EH359*'Feedstock Conversion Rates'!B$9</f>
        <v>3.9780121438839124</v>
      </c>
      <c r="GQ359" s="102">
        <f t="shared" si="356"/>
        <v>3774.650958894199</v>
      </c>
      <c r="GT359" s="103">
        <f t="shared" si="389"/>
        <v>3.3320395734535484E-2</v>
      </c>
      <c r="GU359" s="103">
        <f t="shared" si="390"/>
        <v>9.8596539688709905E-2</v>
      </c>
      <c r="GV359" s="103">
        <f t="shared" si="391"/>
        <v>0.54600808690116354</v>
      </c>
      <c r="GW359" s="103">
        <f t="shared" si="331"/>
        <v>6.5632875865164156E-2</v>
      </c>
      <c r="GX359" s="103">
        <f t="shared" si="331"/>
        <v>8.6577600135134478E-2</v>
      </c>
      <c r="GY359" s="103">
        <f t="shared" si="331"/>
        <v>0.14077255349535595</v>
      </c>
      <c r="GZ359" s="103">
        <f t="shared" si="331"/>
        <v>2.8038072685962669E-2</v>
      </c>
      <c r="HA359" s="103">
        <f t="shared" si="331"/>
        <v>1.0538754939739617E-3</v>
      </c>
    </row>
    <row r="360" spans="1:209" x14ac:dyDescent="0.25">
      <c r="A360" s="96">
        <v>51380</v>
      </c>
      <c r="B360" s="104">
        <f t="shared" si="377"/>
        <v>69.25</v>
      </c>
      <c r="C360" s="104">
        <f t="shared" si="314"/>
        <v>49</v>
      </c>
      <c r="D360" s="104">
        <f t="shared" si="378"/>
        <v>2</v>
      </c>
      <c r="E360" s="104">
        <f>('Renewable Diesel'!B369*E$3*'Feedstock Conversion Rates'!$B$2)/12+26+13-100+27.5+39</f>
        <v>95.43</v>
      </c>
      <c r="F360" s="104">
        <f>('Renewable Diesel'!B369*'RD Feedstock Breakdown'!F$3*'Feedstock Conversion Rates'!B$8)/12+77+23-10-12-115.75+24+8</f>
        <v>48.15625</v>
      </c>
      <c r="G360" s="104">
        <f>('Renewable Diesel'!B369*'RD Feedstock Breakdown'!G$3*'Feedstock Conversion Rates'!B$7)/12+116.75-39-57.5-145-31.5+32+70-40+10+60</f>
        <v>151.90700000000004</v>
      </c>
      <c r="H360" s="104">
        <f>('Renewable Diesel'!B369*'RD Feedstock Breakdown'!H$3*'Feedstock Conversion Rates'!B$3)/12+67+10+12+3-235+20+47-20</f>
        <v>80.400224999999978</v>
      </c>
      <c r="I360" s="106">
        <f t="shared" si="370"/>
        <v>496.14347500000002</v>
      </c>
      <c r="J360" s="104">
        <f t="shared" si="332"/>
        <v>4</v>
      </c>
      <c r="K360" s="104"/>
      <c r="L360" s="104">
        <v>1</v>
      </c>
      <c r="M360" s="104">
        <f>('Renewable Diesel'!C369*'RD Feedstock Breakdown'!M$3*'Feedstock Conversion Rates'!B$2)/12</f>
        <v>7.7902500000000003</v>
      </c>
      <c r="N360" s="104">
        <f>('Renewable Diesel'!C369*'RD Feedstock Breakdown'!N$3*'Feedstock Conversion Rates'!B$8)/12</f>
        <v>3.671875</v>
      </c>
      <c r="O360" s="104">
        <f>('Renewable Diesel'!C369*'RD Feedstock Breakdown'!O$3*'Feedstock Conversion Rates'!B$7)/12</f>
        <v>11.9991</v>
      </c>
      <c r="P360" s="104">
        <f>('Renewable Diesel'!C369*'RD Feedstock Breakdown'!P$3*'Feedstock Conversion Rates'!B$3)/12</f>
        <v>10.4470425</v>
      </c>
      <c r="Q360" s="106">
        <f t="shared" si="379"/>
        <v>38.908267500000001</v>
      </c>
      <c r="R360" s="104">
        <f>('Renewable Diesel'!D369*'RD Feedstock Breakdown'!R$3*'Feedstock Conversion Rates'!B$7)/12</f>
        <v>2.2999999999999998</v>
      </c>
      <c r="S360" s="106">
        <f t="shared" si="329"/>
        <v>2.2999999999999998</v>
      </c>
      <c r="T360" s="104">
        <f t="shared" si="380"/>
        <v>0.82499999999999929</v>
      </c>
      <c r="U360" s="104"/>
      <c r="V360" s="104">
        <f>('Renewable Diesel'!E369*'RD Feedstock Breakdown'!V$3*'Feedstock Conversion Rates'!B$6)/12-20+25</f>
        <v>49.250150000000012</v>
      </c>
      <c r="W360" s="104">
        <f>('Renewable Diesel'!E369*'RD Feedstock Breakdown'!W$3*'Feedstock Conversion Rates'!B$8)/12-6</f>
        <v>16.1796875</v>
      </c>
      <c r="X360" s="106">
        <f t="shared" si="357"/>
        <v>66.254837500000008</v>
      </c>
      <c r="Y360" s="104">
        <f t="shared" si="381"/>
        <v>98</v>
      </c>
      <c r="Z360" s="104">
        <f>('Renewable Diesel'!F369*'RD Feedstock Breakdown'!Z$3*'Feedstock Conversion Rates'!B$6)/12-142+15+5+20+5+15</f>
        <v>77.460000000000008</v>
      </c>
      <c r="AA360" s="104">
        <f>('Renewable Diesel'!F369*'RD Feedstock Breakdown'!AA$3*'Feedstock Conversion Rates'!B$7)/12+24</f>
        <v>128.26666666666665</v>
      </c>
      <c r="AB360" s="106">
        <f t="shared" si="320"/>
        <v>303.72666666666669</v>
      </c>
      <c r="AC360" s="104">
        <f>('Renewable Diesel'!G369*'RD Feedstock Breakdown'!AC$3*'Feedstock Conversion Rates'!B$5)/12</f>
        <v>11.796875</v>
      </c>
      <c r="AD360" s="104">
        <f>('Renewable Diesel'!G369*'RD Feedstock Breakdown'!AD$3*'Feedstock Conversion Rates'!B$4)/12</f>
        <v>5.859375</v>
      </c>
      <c r="AE360" s="104">
        <f>('Renewable Diesel'!G369*'RD Feedstock Breakdown'!AE$3*'Feedstock Conversion Rates'!B$6)/12</f>
        <v>7.3281250000000009</v>
      </c>
      <c r="AF360" s="106">
        <f t="shared" si="366"/>
        <v>24.984375</v>
      </c>
      <c r="AG360" s="104">
        <f t="shared" si="383"/>
        <v>148</v>
      </c>
      <c r="AH360" s="104"/>
      <c r="AI360" s="104">
        <f>('Renewable Diesel'!H369*'RD Feedstock Breakdown'!AI$3*'Feedstock Conversion Rates'!B$6)/12-130-20+51-49</f>
        <v>0.51666666666667993</v>
      </c>
      <c r="AJ360" s="106">
        <f t="shared" si="328"/>
        <v>148.51666666666668</v>
      </c>
      <c r="AK360" s="104">
        <f>('Renewable Diesel'!J369*'RD Feedstock Breakdown'!AK$3*'Feedstock Conversion Rates'!B$4)/12</f>
        <v>95.8125</v>
      </c>
      <c r="AL360" s="106">
        <f t="shared" si="330"/>
        <v>95.8125</v>
      </c>
      <c r="AM360" s="104">
        <f>('Renewable Diesel'!K369*'RD Feedstock Breakdown'!AM$3*'Feedstock Conversion Rates'!B$4)/12+5+15-10+10</f>
        <v>78.59375</v>
      </c>
      <c r="AN360" s="104">
        <f>('Renewable Diesel'!K369*'RD Feedstock Breakdown'!AN$3*'Feedstock Conversion Rates'!B$6)/12-5-15+10-10</f>
        <v>4.4270833333333321</v>
      </c>
      <c r="AO360" s="106">
        <f t="shared" si="350"/>
        <v>83.020833333333329</v>
      </c>
      <c r="AP360" s="104">
        <f>('Renewable Diesel'!L369*'RD Feedstock Breakdown'!AP$3*'Feedstock Conversion Rates'!B$4)/12+15-10+15</f>
        <v>78.59375</v>
      </c>
      <c r="AQ360" s="104">
        <f>('Renewable Diesel'!L369*'RD Feedstock Breakdown'!AQ$3*'Feedstock Conversion Rates'!B$6)/12-15+10-15</f>
        <v>4.4270833333333321</v>
      </c>
      <c r="AR360" s="106">
        <f t="shared" si="339"/>
        <v>83.020833333333329</v>
      </c>
      <c r="AS360" s="104">
        <f>('Renewable Diesel'!M369*'RD Feedstock Breakdown'!AS$3*'Feedstock Conversion Rates'!B$4)/12</f>
        <v>456.25</v>
      </c>
      <c r="AT360" s="104">
        <f>('Renewable Diesel'!M369*'RD Feedstock Breakdown'!AT$3*'Feedstock Conversion Rates'!B$5)/12</f>
        <v>0</v>
      </c>
      <c r="AU360" s="106">
        <f t="shared" si="369"/>
        <v>456.25</v>
      </c>
      <c r="AV360" s="104">
        <f>'Renewable Diesel'!N369*'RD Feedstock Breakdown'!$AV$3*'Feedstock Conversion Rates'!$B$4/12-15-10+25+25-22+25</f>
        <v>106.74999999999999</v>
      </c>
      <c r="AW360" s="104">
        <f>'Renewable Diesel'!N369*'RD Feedstock Breakdown'!$AW$3*'Feedstock Conversion Rates'!$B$7/12+15+10-25-25+22-25</f>
        <v>13.400000000000006</v>
      </c>
      <c r="AX360" s="106">
        <f t="shared" si="322"/>
        <v>120.14999999999999</v>
      </c>
      <c r="AY360" s="104">
        <f>('Renewable Diesel'!O369*'RD Feedstock Breakdown'!AY$3*'Feedstock Conversion Rates'!B$4)/12</f>
        <v>210.9375</v>
      </c>
      <c r="AZ360" s="104">
        <f>('Renewable Diesel'!O369*'RD Feedstock Breakdown'!AZ$3*'Feedstock Conversion Rates'!B$3)/12</f>
        <v>25.03125</v>
      </c>
      <c r="BA360" s="106">
        <f t="shared" si="382"/>
        <v>235.96875</v>
      </c>
      <c r="BB360" s="104">
        <f>('Renewable Diesel'!Q369*'RD Feedstock Breakdown'!BB$3*'Feedstock Conversion Rates'!B$4)/12</f>
        <v>11.156249999999998</v>
      </c>
      <c r="BC360" s="104">
        <f>('Renewable Diesel'!Q369*'RD Feedstock Breakdown'!BC$3*'Feedstock Conversion Rates'!B$3)/12</f>
        <v>1.4017500000000001</v>
      </c>
      <c r="BD360" s="104">
        <f>('Renewable Diesel'!Q369*'RD Feedstock Breakdown'!BD$3*'Feedstock Conversion Rates'!B$6)/12</f>
        <v>0.8207500000000002</v>
      </c>
      <c r="BE360" s="106">
        <f t="shared" si="359"/>
        <v>13.378749999999998</v>
      </c>
      <c r="BF360" s="104">
        <f>('Renewable Diesel'!R369*'RD Feedstock Breakdown'!BF$3*'Feedstock Conversion Rates'!B$4)/12</f>
        <v>62.5</v>
      </c>
      <c r="BG360" s="106">
        <f t="shared" si="344"/>
        <v>62.5</v>
      </c>
      <c r="BH360" s="104">
        <f>('Renewable Diesel'!T369*'RD Feedstock Breakdown'!BH$3*'Feedstock Conversion Rates'!B$7)/12</f>
        <v>27.599999999999998</v>
      </c>
      <c r="BI360" s="106">
        <f t="shared" si="327"/>
        <v>27.599999999999998</v>
      </c>
      <c r="BJ360" s="104">
        <f>('Renewable Diesel'!W369*'RD Feedstock Breakdown'!BJ$3*'Feedstock Conversion Rates'!B$4)/12</f>
        <v>7.5</v>
      </c>
      <c r="BK360" s="104">
        <f>('Renewable Diesel'!W369*'RD Feedstock Breakdown'!BK$3*'Feedstock Conversion Rates'!B$3)/12</f>
        <v>1.335</v>
      </c>
      <c r="BL360" s="104">
        <f>('Renewable Diesel'!W369*'RD Feedstock Breakdown'!BL$3*'Feedstock Conversion Rates'!B$6)/12</f>
        <v>3.1266666666666669</v>
      </c>
      <c r="BM360" s="104">
        <f>('Renewable Diesel'!W369*'RD Feedstock Breakdown'!BM$3*'Feedstock Conversion Rates'!B$7)/12</f>
        <v>1.5333333333333332</v>
      </c>
      <c r="BN360" s="106">
        <f t="shared" si="374"/>
        <v>13.495000000000001</v>
      </c>
      <c r="BO360" s="104">
        <f>('Renewable Diesel'!P369*'Feedstock Conversion Rates'!B$4)/12</f>
        <v>31.25</v>
      </c>
      <c r="BP360" s="106">
        <f t="shared" si="367"/>
        <v>31.25</v>
      </c>
      <c r="BQ360" s="104">
        <f>('Renewable Diesel'!$S369*'RD Feedstock Breakdown'!BQ$3*'Feedstock Conversion Rates'!B$4)/12+10+15-15</f>
        <v>38.125</v>
      </c>
      <c r="BR360" s="104">
        <f>('Renewable Diesel'!$S369*'RD Feedstock Breakdown'!BR$3*'Feedstock Conversion Rates'!B$7)/12-10-15+15</f>
        <v>1.5</v>
      </c>
      <c r="BS360" s="106">
        <f t="shared" si="385"/>
        <v>39.625</v>
      </c>
      <c r="BT360" s="106"/>
      <c r="BU360" s="104">
        <f>('Renewable Diesel'!Y369*'Feedstock Conversion Rates'!B$7)/12</f>
        <v>2.6833333333333331</v>
      </c>
      <c r="BV360" s="106">
        <f t="shared" si="361"/>
        <v>2.6833333333333331</v>
      </c>
      <c r="BW360" s="104">
        <f>('Renewable Diesel'!$Z369*'RD Feedstock Breakdown'!BW$3*'Feedstock Conversion Rates'!$B$4)/12-230+160</f>
        <v>1.875</v>
      </c>
      <c r="BX360" s="104">
        <f>('Renewable Diesel'!$Z369*'RD Feedstock Breakdown'!BX$3*'Feedstock Conversion Rates'!$B$5)/12</f>
        <v>7.2354166666666666</v>
      </c>
      <c r="BY360" s="104">
        <f>('Renewable Diesel'!$Z369*'RD Feedstock Breakdown'!BY$3*'Feedstock Conversion Rates'!$B$7)/12</f>
        <v>61.716666666666661</v>
      </c>
      <c r="BZ360" s="104">
        <f>('Renewable Diesel'!$Z369*'RD Feedstock Breakdown'!BZ$3*'Feedstock Conversion Rates'!$B$3)/12+230-160</f>
        <v>85.352499999999992</v>
      </c>
      <c r="CA360" s="106">
        <f t="shared" si="392"/>
        <v>156.17958333333331</v>
      </c>
      <c r="CB360" s="104">
        <f>('Renewable Diesel'!AA369*'Feedstock Conversion Rates'!B$4)/12</f>
        <v>191.25</v>
      </c>
      <c r="CC360" s="106">
        <f t="shared" si="376"/>
        <v>191.25</v>
      </c>
      <c r="CD360" s="104">
        <f>('Renewable Diesel'!$AB369*'RD Feedstock Breakdown'!CD$3*'Feedstock Conversion Rates'!$B$6)/12-15-5</f>
        <v>12.830000000000005</v>
      </c>
      <c r="CE360" s="104">
        <f>('Renewable Diesel'!$AB369*'RD Feedstock Breakdown'!CE$3*'Feedstock Conversion Rates'!$B$4)/12+15+5</f>
        <v>31.25</v>
      </c>
      <c r="CF360" s="106">
        <f t="shared" si="372"/>
        <v>44.080000000000005</v>
      </c>
      <c r="CG360" s="104">
        <f>('Renewable Diesel'!AD369*'Feedstock Conversion Rates'!B$4)/12</f>
        <v>112.5</v>
      </c>
      <c r="CH360" s="106">
        <f t="shared" si="358"/>
        <v>112.5</v>
      </c>
      <c r="CI360" s="104">
        <f>('Renewable Diesel'!$AE369*'RD Feedstock Breakdown'!CI$3*'Feedstock Conversion Rates'!$B$5)/12</f>
        <v>0.34604166666666664</v>
      </c>
      <c r="CJ360" s="104">
        <f>('Renewable Diesel'!$AE369*'RD Feedstock Breakdown'!CJ$3*'Feedstock Conversion Rates'!$B$4)/12</f>
        <v>0.34375</v>
      </c>
      <c r="CK360" s="106">
        <f t="shared" si="368"/>
        <v>0.68979166666666658</v>
      </c>
      <c r="CL360" s="104">
        <f>(((CL$3*'Renewable Diesel'!$AF369)*'Feedstock Conversion Rates'!$B$3)/12)</f>
        <v>91.78125</v>
      </c>
      <c r="CM360" s="104">
        <f>(((CM$3*'Renewable Diesel'!$AF369)*'Feedstock Conversion Rates'!$B$6)/12)</f>
        <v>53.739583333333336</v>
      </c>
      <c r="CN360" s="104">
        <f>(((CN$3*'Renewable Diesel'!$AF369)*'Feedstock Conversion Rates'!$B$4)/12)</f>
        <v>42.96875</v>
      </c>
      <c r="CO360" s="106">
        <f t="shared" si="360"/>
        <v>188.48958333333334</v>
      </c>
      <c r="CP360" s="104">
        <f>('Renewable Diesel'!$AG369*'RD Feedstock Breakdown'!CP$3*'Feedstock Conversion Rates'!$B$3)/12</f>
        <v>6.0075000000000003</v>
      </c>
      <c r="CQ360" s="104">
        <f>('Renewable Diesel'!$AG369*'RD Feedstock Breakdown'!CQ$3*'Feedstock Conversion Rates'!$B$6)/12</f>
        <v>3.5175000000000001</v>
      </c>
      <c r="CR360" s="104">
        <f>('Renewable Diesel'!$AG369*'RD Feedstock Breakdown'!CR$3*'Feedstock Conversion Rates'!$B$4)/12</f>
        <v>2.8125</v>
      </c>
      <c r="CS360" s="106">
        <f t="shared" si="317"/>
        <v>12.3375</v>
      </c>
      <c r="CT360" s="104">
        <f>('Renewable Diesel'!AI369*'Feedstock Conversion Rates'!$B$4*'RD Feedstock Breakdown'!$CT$3)/12</f>
        <v>29.375</v>
      </c>
      <c r="CU360" s="106">
        <f t="shared" si="364"/>
        <v>29.375</v>
      </c>
      <c r="CV360" s="104">
        <f>('Renewable Diesel'!AN369*'Feedstock Conversion Rates'!$B$3*'RD Feedstock Breakdown'!$CV$3)/12</f>
        <v>0.50062499999999999</v>
      </c>
      <c r="CW360" s="106">
        <f t="shared" si="338"/>
        <v>0.50062499999999999</v>
      </c>
      <c r="CX360" s="104">
        <f>('Renewable Diesel'!AO369*'RD Feedstock Breakdown'!$CX$3*'Feedstock Conversion Rates'!$B$3)/12</f>
        <v>6.3412499999999996</v>
      </c>
      <c r="CY360" s="104">
        <f>('Renewable Diesel'!AO369*'RD Feedstock Breakdown'!$CY$3*'Feedstock Conversion Rates'!$B$6)/12</f>
        <v>7.4258333333333342</v>
      </c>
      <c r="CZ360" s="106">
        <f t="shared" si="318"/>
        <v>13.767083333333334</v>
      </c>
      <c r="DA360" s="104">
        <f>('Renewable Diesel'!$AP369*'RD Feedstock Breakdown'!DA$3*'Feedstock Conversion Rates'!$B$3)/12</f>
        <v>6.3412499999999996</v>
      </c>
      <c r="DB360" s="104">
        <f>('Renewable Diesel'!$AP369*'RD Feedstock Breakdown'!DB$3*'Feedstock Conversion Rates'!$B$8)/12</f>
        <v>7.421875</v>
      </c>
      <c r="DC360" s="106">
        <f t="shared" si="342"/>
        <v>13.763124999999999</v>
      </c>
      <c r="DD360" s="104">
        <f>('Renewable Diesel'!AQ369*$DD$3*'Feedstock Conversion Rates'!$B$14)/12</f>
        <v>3.1041666666666665</v>
      </c>
      <c r="DE360" s="106">
        <f t="shared" si="343"/>
        <v>3.1041666666666665</v>
      </c>
      <c r="DF360" s="104">
        <f>('Renewable Diesel'!AR369*'Feedstock Conversion Rates'!$B$4*$DF$3)/12</f>
        <v>75</v>
      </c>
      <c r="DG360" s="106">
        <f t="shared" si="319"/>
        <v>75</v>
      </c>
      <c r="DH360" s="104">
        <f>('Renewable Diesel'!AS369*'Feedstock Conversion Rates'!$B$4*$DH$3)/12</f>
        <v>75</v>
      </c>
      <c r="DI360" s="106">
        <f t="shared" si="323"/>
        <v>75</v>
      </c>
      <c r="DJ360" s="104">
        <f>('Renewable Diesel'!AT369*'Feedstock Conversion Rates'!$B$4*0.25)/12</f>
        <v>8.59375</v>
      </c>
      <c r="DK360" s="104">
        <f>('Renewable Diesel'!$AT369*'RD Feedstock Breakdown'!DK$3*'Feedstock Conversion Rates'!$B$3)/12*0.5</f>
        <v>9.1781249999999996</v>
      </c>
      <c r="DL360" s="104">
        <f>('Renewable Diesel'!$AT369*'RD Feedstock Breakdown'!$DL$3*'Feedstock Conversion Rates'!$B$6)/12</f>
        <v>10.747916666666669</v>
      </c>
      <c r="DM360" s="104">
        <f>('Renewable Diesel'!$AT369*'RD Feedstock Breakdown'!$DM$3*'Feedstock Conversion Rates'!$B$8)/12</f>
        <v>10.7421875</v>
      </c>
      <c r="DN360" s="106">
        <f t="shared" si="375"/>
        <v>39.26197916666667</v>
      </c>
      <c r="DP360" s="104">
        <f t="shared" si="345"/>
        <v>103.22025000000001</v>
      </c>
      <c r="DQ360" s="104">
        <f t="shared" si="346"/>
        <v>324.11776750000001</v>
      </c>
      <c r="DR360" s="104">
        <f t="shared" si="351"/>
        <v>1916.953125</v>
      </c>
      <c r="DS360" s="104">
        <f t="shared" si="365"/>
        <v>228.90125</v>
      </c>
      <c r="DT360" s="104">
        <f t="shared" si="347"/>
        <v>243.03923333333344</v>
      </c>
      <c r="DU360" s="104">
        <f t="shared" si="348"/>
        <v>402.90610000000009</v>
      </c>
      <c r="DV360" s="104">
        <f t="shared" si="352"/>
        <v>78.75</v>
      </c>
      <c r="DW360" s="104">
        <f t="shared" si="349"/>
        <v>3</v>
      </c>
      <c r="DX360" s="106">
        <f t="shared" si="353"/>
        <v>3300.8877258333337</v>
      </c>
      <c r="DY360" s="109">
        <f t="shared" si="340"/>
        <v>-5.631051180898794E-13</v>
      </c>
      <c r="EA360" s="110">
        <f t="shared" si="393"/>
        <v>3.1270451640078516E-2</v>
      </c>
      <c r="EB360" s="110">
        <f t="shared" si="393"/>
        <v>9.8191091130848465E-2</v>
      </c>
      <c r="EC360" s="110">
        <f t="shared" si="393"/>
        <v>0.58073866311707134</v>
      </c>
      <c r="ED360" s="110">
        <f t="shared" si="393"/>
        <v>6.9345360706629972E-2</v>
      </c>
      <c r="EE360" s="110">
        <f t="shared" si="393"/>
        <v>7.3628445896921982E-2</v>
      </c>
      <c r="EF360" s="110">
        <f t="shared" si="393"/>
        <v>0.1220599225010852</v>
      </c>
      <c r="EG360" s="110">
        <f t="shared" si="384"/>
        <v>2.3857218585075921E-2</v>
      </c>
      <c r="EH360" s="111">
        <f t="shared" si="354"/>
        <v>9.0884642228860647E-4</v>
      </c>
      <c r="EI360" s="110">
        <f t="shared" si="321"/>
        <v>0.9990911535777115</v>
      </c>
      <c r="EK360" s="132">
        <f>(EA360*'Renewable Diesel'!BF369*'Feedstock Conversion Rates'!B$2)+FB360</f>
        <v>540.13332102781965</v>
      </c>
      <c r="EL360" s="132">
        <f>(EB360*'Renewable Diesel'!BF369*'Feedstock Conversion Rates'!B$3)+FC360</f>
        <v>1598.2786293476333</v>
      </c>
      <c r="EM360" s="132">
        <f>(EC360*'Renewable Diesel'!BF369*'Feedstock Conversion Rates'!B$4)+FD360</f>
        <v>8850.9501398358225</v>
      </c>
      <c r="EN360" s="132">
        <f>(ED360*'Renewable Diesel'!BF369*'Feedstock Conversion Rates'!B$5)+FE360</f>
        <v>1063.9280365123177</v>
      </c>
      <c r="EO360" s="132">
        <f>(EE360*'Renewable Diesel'!BF369*'Feedstock Conversion Rates'!B$6)+FF360</f>
        <v>1403.4481180888265</v>
      </c>
      <c r="EP360" s="132">
        <f>(EF360*'Renewable Diesel'!BF369*'Feedstock Conversion Rates'!B$7)+FG360</f>
        <v>2281.9640989498894</v>
      </c>
      <c r="EQ360" s="132">
        <f>(EG360*'Renewable Diesel'!BF369*'Feedstock Conversion Rates'!B$8)+FH360</f>
        <v>454.50532567930622</v>
      </c>
      <c r="ER360" s="132">
        <f>(EH360*'Renewable Diesel'!BF369*'Feedstock Conversion Rates'!B$9)+FI360</f>
        <v>17.083628749342807</v>
      </c>
      <c r="ES360" s="132">
        <f t="shared" si="355"/>
        <v>16210.291298190956</v>
      </c>
      <c r="ET360" s="133">
        <f>ES360/'Renewable Diesel'!BF369</f>
        <v>16.747297618733857</v>
      </c>
      <c r="EW360" s="73">
        <f t="shared" si="386"/>
        <v>15107.108395750349</v>
      </c>
      <c r="EX360" s="73">
        <f t="shared" si="387"/>
        <v>9592.1993932897622</v>
      </c>
      <c r="EY360" s="92">
        <f t="shared" si="341"/>
        <v>0.93194552262218011</v>
      </c>
      <c r="EZ360" s="92">
        <f t="shared" si="341"/>
        <v>0.59173516483076627</v>
      </c>
      <c r="FB360" s="102">
        <f>IF('Renewable Diesel'!$BG369&lt;1,0,(((('Renewable Diesel'!$BG369-1)*'Renewable Diesel'!$BF369)*'RD Feedstock Breakdown'!EA360)*'Feedstock Conversion Rates'!$B$2))</f>
        <v>282.85738887209141</v>
      </c>
      <c r="FC360" s="102">
        <f>IF('Renewable Diesel'!$BG369&lt;1,0,(((('Renewable Diesel'!$BG369-1)*'Renewable Diesel'!$BF369)*'RD Feedstock Breakdown'!EB360)*'Feedstock Conversion Rates'!$B$3))</f>
        <v>836.98765135812118</v>
      </c>
      <c r="FD360" s="102">
        <f>IF('Renewable Diesel'!$BG369&lt;1,0,(((('Renewable Diesel'!$BG369-1)*'Renewable Diesel'!$BF369)*'RD Feedstock Breakdown'!EC360)*'Feedstock Conversion Rates'!$B$4))</f>
        <v>4635.0716538409742</v>
      </c>
      <c r="FE360" s="102">
        <f>IF('Renewable Diesel'!$BG369&lt;1,0,(((('Renewable Diesel'!$BG369-1)*'Renewable Diesel'!$BF369)*'RD Feedstock Breakdown'!ED360)*'Feedstock Conversion Rates'!$B$5))</f>
        <v>557.15856556123379</v>
      </c>
      <c r="FF360" s="102">
        <f>IF('Renewable Diesel'!$BG369&lt;1,0,(((('Renewable Diesel'!$BG369-1)*'Renewable Diesel'!$BF369)*'RD Feedstock Breakdown'!EE360)*'Feedstock Conversion Rates'!$B$6))</f>
        <v>734.95867528530027</v>
      </c>
      <c r="FG360" s="102">
        <f>IF('Renewable Diesel'!$BG369&lt;1,0,(((('Renewable Diesel'!$BG369-1)*'Renewable Diesel'!$BF369)*'RD Feedstock Breakdown'!EF360)*'Feedstock Conversion Rates'!$B$7))</f>
        <v>1195.020528081021</v>
      </c>
      <c r="FH360" s="102">
        <f>IF('Renewable Diesel'!$BG369&lt;1,0,(((('Renewable Diesel'!$BG369-1)*'Renewable Diesel'!$BF369)*'RD Feedstock Breakdown'!EG360)*'Feedstock Conversion Rates'!$B$8))</f>
        <v>238.01566140276427</v>
      </c>
      <c r="FI360" s="102">
        <f>IF('Renewable Diesel'!$BG369&lt;1,0,(((('Renewable Diesel'!$BG369-1)*'Renewable Diesel'!$BF369)*'RD Feedstock Breakdown'!EH360)*'Feedstock Conversion Rates'!$B$9))</f>
        <v>8.9463664476467564</v>
      </c>
      <c r="FJ360" s="102">
        <f t="shared" si="388"/>
        <v>8489.0164908491515</v>
      </c>
      <c r="GD360" s="91">
        <f>'Renewable Diesel'!BB369*0.32</f>
        <v>0</v>
      </c>
      <c r="GE360" s="91">
        <f>'Renewable Diesel'!BC369</f>
        <v>575.48992787385146</v>
      </c>
      <c r="GF360" s="91">
        <f>'Renewable Diesel'!BD369</f>
        <v>0</v>
      </c>
      <c r="GG360" s="91">
        <f t="shared" si="373"/>
        <v>575.48992787385146</v>
      </c>
      <c r="GH360" s="124">
        <v>1</v>
      </c>
      <c r="GI360" s="102">
        <f>$GG360*EA360*'Feedstock Conversion Rates'!$B$2</f>
        <v>152.96455465091813</v>
      </c>
      <c r="GJ360" s="102">
        <f>$GG360*EB360*'Feedstock Conversion Rates'!$B$3</f>
        <v>452.62895146150152</v>
      </c>
      <c r="GK360" s="102">
        <f>$GG360*EC360*'Feedstock Conversion Rates'!$B$4</f>
        <v>2506.569385131002</v>
      </c>
      <c r="GL360" s="102">
        <f>$GG360*ED360*'Feedstock Conversion Rates'!$B$5</f>
        <v>301.30205256740743</v>
      </c>
      <c r="GM360" s="102">
        <f>$GG360*EE360*'Feedstock Conversion Rates'!$B$6</f>
        <v>397.45338419525035</v>
      </c>
      <c r="GN360" s="102">
        <f>$GG360*EF360*'Feedstock Conversion Rates'!$B$7</f>
        <v>646.24715516722415</v>
      </c>
      <c r="GO360" s="102">
        <f>$GG360*EG360*'Feedstock Conversion Rates'!$B$8</f>
        <v>128.71489690121297</v>
      </c>
      <c r="GP360" s="102">
        <f>$GG360*EH360*'Feedstock Conversion Rates'!B$9</f>
        <v>4.8380456486043224</v>
      </c>
      <c r="GQ360" s="102">
        <f t="shared" si="356"/>
        <v>4590.7184257231211</v>
      </c>
      <c r="GT360" s="103">
        <f t="shared" si="389"/>
        <v>3.3320395734535484E-2</v>
      </c>
      <c r="GU360" s="103">
        <f t="shared" si="390"/>
        <v>9.8596539688709905E-2</v>
      </c>
      <c r="GV360" s="103">
        <f t="shared" si="391"/>
        <v>0.54600808690116354</v>
      </c>
      <c r="GW360" s="103">
        <f t="shared" si="331"/>
        <v>6.5632875865164156E-2</v>
      </c>
      <c r="GX360" s="103">
        <f t="shared" si="331"/>
        <v>8.6577600135134464E-2</v>
      </c>
      <c r="GY360" s="103">
        <f t="shared" si="331"/>
        <v>0.14077255349535595</v>
      </c>
      <c r="GZ360" s="103">
        <f t="shared" si="331"/>
        <v>2.8038072685962669E-2</v>
      </c>
      <c r="HA360" s="103">
        <f t="shared" si="331"/>
        <v>1.0538754939739617E-3</v>
      </c>
    </row>
    <row r="361" spans="1:209" x14ac:dyDescent="0.25">
      <c r="A361" s="96">
        <v>51410</v>
      </c>
      <c r="B361" s="104">
        <f>115.75+145+100+235+31.5-21-287-20-28-32-70-39-47+40+20-3-10-60-25-1</f>
        <v>44.25</v>
      </c>
      <c r="C361" s="104">
        <f t="shared" si="314"/>
        <v>49</v>
      </c>
      <c r="D361" s="104">
        <f>1+1</f>
        <v>2</v>
      </c>
      <c r="E361" s="104">
        <f>('Renewable Diesel'!B370*E$3*'Feedstock Conversion Rates'!$B$2)/12+26+13-100+27.5+39</f>
        <v>95.43</v>
      </c>
      <c r="F361" s="104">
        <f>('Renewable Diesel'!B370*'RD Feedstock Breakdown'!F$3*'Feedstock Conversion Rates'!B$8)/12+77+23-10-12-115.75+24+8</f>
        <v>48.15625</v>
      </c>
      <c r="G361" s="104">
        <f>('Renewable Diesel'!B370*'RD Feedstock Breakdown'!G$3*'Feedstock Conversion Rates'!B$7)/12+116.75-39-57.5-145-31.5+32+70-40+10+60</f>
        <v>151.90700000000004</v>
      </c>
      <c r="H361" s="104">
        <f>('Renewable Diesel'!B370*'RD Feedstock Breakdown'!H$3*'Feedstock Conversion Rates'!B$3)/12+67+10+12+3-235+20+47-20+25</f>
        <v>105.40022499999998</v>
      </c>
      <c r="I361" s="106">
        <f t="shared" si="370"/>
        <v>496.14347500000002</v>
      </c>
      <c r="J361" s="104">
        <f t="shared" si="332"/>
        <v>4</v>
      </c>
      <c r="K361" s="104"/>
      <c r="L361" s="104">
        <v>1</v>
      </c>
      <c r="M361" s="104">
        <f>('Renewable Diesel'!C370*'RD Feedstock Breakdown'!M$3*'Feedstock Conversion Rates'!B$2)/12</f>
        <v>7.7902500000000003</v>
      </c>
      <c r="N361" s="104">
        <f>('Renewable Diesel'!C370*'RD Feedstock Breakdown'!N$3*'Feedstock Conversion Rates'!B$8)/12</f>
        <v>3.671875</v>
      </c>
      <c r="O361" s="104">
        <f>('Renewable Diesel'!C370*'RD Feedstock Breakdown'!O$3*'Feedstock Conversion Rates'!B$7)/12</f>
        <v>11.9991</v>
      </c>
      <c r="P361" s="104">
        <f>('Renewable Diesel'!C370*'RD Feedstock Breakdown'!P$3*'Feedstock Conversion Rates'!B$3)/12</f>
        <v>10.4470425</v>
      </c>
      <c r="Q361" s="106">
        <f t="shared" si="379"/>
        <v>38.908267500000001</v>
      </c>
      <c r="R361" s="104">
        <f>('Renewable Diesel'!D370*'RD Feedstock Breakdown'!R$3*'Feedstock Conversion Rates'!B$7)/12</f>
        <v>2.2999999999999998</v>
      </c>
      <c r="S361" s="106">
        <f t="shared" si="329"/>
        <v>2.2999999999999998</v>
      </c>
      <c r="T361" s="104">
        <f t="shared" si="380"/>
        <v>0.82499999999999929</v>
      </c>
      <c r="U361" s="104"/>
      <c r="V361" s="104">
        <f>('Renewable Diesel'!E370*'RD Feedstock Breakdown'!V$3*'Feedstock Conversion Rates'!B$6)/12-20+25</f>
        <v>49.250150000000012</v>
      </c>
      <c r="W361" s="104">
        <f>('Renewable Diesel'!E370*'RD Feedstock Breakdown'!W$3*'Feedstock Conversion Rates'!B$8)/12-6</f>
        <v>16.1796875</v>
      </c>
      <c r="X361" s="106">
        <f t="shared" si="357"/>
        <v>66.254837500000008</v>
      </c>
      <c r="Y361" s="104">
        <f t="shared" si="381"/>
        <v>98</v>
      </c>
      <c r="Z361" s="104">
        <f>('Renewable Diesel'!F370*'RD Feedstock Breakdown'!Z$3*'Feedstock Conversion Rates'!B$6)/12-142+15+5+20+5+15</f>
        <v>77.460000000000008</v>
      </c>
      <c r="AA361" s="104">
        <f>('Renewable Diesel'!F370*'RD Feedstock Breakdown'!AA$3*'Feedstock Conversion Rates'!B$7)/12+24</f>
        <v>128.26666666666665</v>
      </c>
      <c r="AB361" s="106">
        <f t="shared" si="320"/>
        <v>303.72666666666669</v>
      </c>
      <c r="AC361" s="104">
        <f>('Renewable Diesel'!G370*'RD Feedstock Breakdown'!AC$3*'Feedstock Conversion Rates'!B$5)/12</f>
        <v>11.796875</v>
      </c>
      <c r="AD361" s="104">
        <f>('Renewable Diesel'!G370*'RD Feedstock Breakdown'!AD$3*'Feedstock Conversion Rates'!B$4)/12</f>
        <v>5.859375</v>
      </c>
      <c r="AE361" s="104">
        <f>('Renewable Diesel'!G370*'RD Feedstock Breakdown'!AE$3*'Feedstock Conversion Rates'!B$6)/12</f>
        <v>7.3281250000000009</v>
      </c>
      <c r="AF361" s="106">
        <f t="shared" si="366"/>
        <v>24.984375</v>
      </c>
      <c r="AG361" s="104">
        <f t="shared" si="383"/>
        <v>148</v>
      </c>
      <c r="AH361" s="104"/>
      <c r="AI361" s="104">
        <f>('Renewable Diesel'!H370*'RD Feedstock Breakdown'!AI$3*'Feedstock Conversion Rates'!B$6)/12-130-20+51-49</f>
        <v>0.51666666666667993</v>
      </c>
      <c r="AJ361" s="106">
        <f t="shared" si="328"/>
        <v>148.51666666666668</v>
      </c>
      <c r="AK361" s="104">
        <f>('Renewable Diesel'!J370*'RD Feedstock Breakdown'!AK$3*'Feedstock Conversion Rates'!B$4)/12</f>
        <v>95.8125</v>
      </c>
      <c r="AL361" s="106">
        <f t="shared" si="330"/>
        <v>95.8125</v>
      </c>
      <c r="AM361" s="104">
        <f>('Renewable Diesel'!K370*'RD Feedstock Breakdown'!AM$3*'Feedstock Conversion Rates'!B$4)/12+5+15-10+10</f>
        <v>78.59375</v>
      </c>
      <c r="AN361" s="104">
        <f>('Renewable Diesel'!K370*'RD Feedstock Breakdown'!AN$3*'Feedstock Conversion Rates'!B$6)/12-5-15+10-10</f>
        <v>4.4270833333333321</v>
      </c>
      <c r="AO361" s="106">
        <f t="shared" si="350"/>
        <v>83.020833333333329</v>
      </c>
      <c r="AP361" s="104">
        <f>('Renewable Diesel'!L370*'RD Feedstock Breakdown'!AP$3*'Feedstock Conversion Rates'!B$4)/12+15-10+15</f>
        <v>78.59375</v>
      </c>
      <c r="AQ361" s="104">
        <f>('Renewable Diesel'!L370*'RD Feedstock Breakdown'!AQ$3*'Feedstock Conversion Rates'!B$6)/12-15+10-15</f>
        <v>4.4270833333333321</v>
      </c>
      <c r="AR361" s="106">
        <f t="shared" si="339"/>
        <v>83.020833333333329</v>
      </c>
      <c r="AS361" s="104">
        <f>('Renewable Diesel'!M370*'RD Feedstock Breakdown'!AS$3*'Feedstock Conversion Rates'!B$4)/12</f>
        <v>456.25</v>
      </c>
      <c r="AT361" s="104">
        <f>('Renewable Diesel'!M370*'RD Feedstock Breakdown'!AT$3*'Feedstock Conversion Rates'!B$5)/12</f>
        <v>0</v>
      </c>
      <c r="AU361" s="106">
        <f t="shared" si="369"/>
        <v>456.25</v>
      </c>
      <c r="AV361" s="104">
        <f>'Renewable Diesel'!N370*'RD Feedstock Breakdown'!$AV$3*'Feedstock Conversion Rates'!$B$4/12-15-10+25+25-22+25</f>
        <v>106.74999999999999</v>
      </c>
      <c r="AW361" s="104">
        <f>'Renewable Diesel'!N370*'RD Feedstock Breakdown'!$AW$3*'Feedstock Conversion Rates'!$B$7/12+15+10-25-25+22-25</f>
        <v>13.400000000000006</v>
      </c>
      <c r="AX361" s="106">
        <f t="shared" si="322"/>
        <v>120.14999999999999</v>
      </c>
      <c r="AY361" s="104">
        <f>('Renewable Diesel'!O370*'RD Feedstock Breakdown'!AY$3*'Feedstock Conversion Rates'!B$4)/12</f>
        <v>210.9375</v>
      </c>
      <c r="AZ361" s="104">
        <f>('Renewable Diesel'!O370*'RD Feedstock Breakdown'!AZ$3*'Feedstock Conversion Rates'!B$3)/12</f>
        <v>25.03125</v>
      </c>
      <c r="BA361" s="106">
        <f t="shared" si="382"/>
        <v>235.96875</v>
      </c>
      <c r="BB361" s="104">
        <f>('Renewable Diesel'!Q370*'RD Feedstock Breakdown'!BB$3*'Feedstock Conversion Rates'!B$4)/12</f>
        <v>11.156249999999998</v>
      </c>
      <c r="BC361" s="104">
        <f>('Renewable Diesel'!Q370*'RD Feedstock Breakdown'!BC$3*'Feedstock Conversion Rates'!B$3)/12</f>
        <v>1.4017500000000001</v>
      </c>
      <c r="BD361" s="104">
        <f>('Renewable Diesel'!Q370*'RD Feedstock Breakdown'!BD$3*'Feedstock Conversion Rates'!B$6)/12</f>
        <v>0.8207500000000002</v>
      </c>
      <c r="BE361" s="106">
        <f t="shared" si="359"/>
        <v>13.378749999999998</v>
      </c>
      <c r="BF361" s="104">
        <f>('Renewable Diesel'!R370*'RD Feedstock Breakdown'!BF$3*'Feedstock Conversion Rates'!B$4)/12</f>
        <v>62.5</v>
      </c>
      <c r="BG361" s="106">
        <f t="shared" si="344"/>
        <v>62.5</v>
      </c>
      <c r="BH361" s="104">
        <f>('Renewable Diesel'!T370*'RD Feedstock Breakdown'!BH$3*'Feedstock Conversion Rates'!B$7)/12</f>
        <v>27.599999999999998</v>
      </c>
      <c r="BI361" s="106">
        <f t="shared" si="327"/>
        <v>27.599999999999998</v>
      </c>
      <c r="BJ361" s="104">
        <f>('Renewable Diesel'!W370*'RD Feedstock Breakdown'!BJ$3*'Feedstock Conversion Rates'!B$4)/12</f>
        <v>7.5</v>
      </c>
      <c r="BK361" s="104">
        <f>('Renewable Diesel'!W370*'RD Feedstock Breakdown'!BK$3*'Feedstock Conversion Rates'!B$3)/12</f>
        <v>1.335</v>
      </c>
      <c r="BL361" s="104">
        <f>('Renewable Diesel'!W370*'RD Feedstock Breakdown'!BL$3*'Feedstock Conversion Rates'!B$6)/12</f>
        <v>3.1266666666666669</v>
      </c>
      <c r="BM361" s="104">
        <f>('Renewable Diesel'!W370*'RD Feedstock Breakdown'!BM$3*'Feedstock Conversion Rates'!B$7)/12</f>
        <v>1.5333333333333332</v>
      </c>
      <c r="BN361" s="106">
        <f t="shared" si="374"/>
        <v>13.495000000000001</v>
      </c>
      <c r="BO361" s="104">
        <f>('Renewable Diesel'!P370*'Feedstock Conversion Rates'!B$4)/12</f>
        <v>31.25</v>
      </c>
      <c r="BP361" s="106">
        <f t="shared" si="367"/>
        <v>31.25</v>
      </c>
      <c r="BQ361" s="104">
        <f>('Renewable Diesel'!$S370*'RD Feedstock Breakdown'!BQ$3*'Feedstock Conversion Rates'!B$4)/12+10+15-15</f>
        <v>38.125</v>
      </c>
      <c r="BR361" s="104">
        <f>('Renewable Diesel'!$S370*'RD Feedstock Breakdown'!BR$3*'Feedstock Conversion Rates'!B$7)/12-10-15+15</f>
        <v>1.5</v>
      </c>
      <c r="BS361" s="106">
        <f t="shared" si="385"/>
        <v>39.625</v>
      </c>
      <c r="BT361" s="106"/>
      <c r="BU361" s="104">
        <f>('Renewable Diesel'!Y370*'Feedstock Conversion Rates'!B$7)/12</f>
        <v>2.6833333333333331</v>
      </c>
      <c r="BV361" s="106">
        <f t="shared" si="361"/>
        <v>2.6833333333333331</v>
      </c>
      <c r="BW361" s="104">
        <f>('Renewable Diesel'!$Z370*'RD Feedstock Breakdown'!BW$3*'Feedstock Conversion Rates'!$B$4)/12-250+180</f>
        <v>1.875</v>
      </c>
      <c r="BX361" s="104">
        <f>('Renewable Diesel'!$Z370*'RD Feedstock Breakdown'!BX$3*'Feedstock Conversion Rates'!$B$5)/12</f>
        <v>7.2354166666666666</v>
      </c>
      <c r="BY361" s="104">
        <f>('Renewable Diesel'!$Z370*'RD Feedstock Breakdown'!BY$3*'Feedstock Conversion Rates'!$B$7)/12</f>
        <v>61.716666666666661</v>
      </c>
      <c r="BZ361" s="104">
        <f>('Renewable Diesel'!$Z370*'RD Feedstock Breakdown'!BZ$3*'Feedstock Conversion Rates'!$B$3)/12+250-180</f>
        <v>85.35250000000002</v>
      </c>
      <c r="CA361" s="106">
        <f t="shared" si="392"/>
        <v>156.17958333333334</v>
      </c>
      <c r="CB361" s="104">
        <f>('Renewable Diesel'!AA370*'Feedstock Conversion Rates'!B$4)/12</f>
        <v>191.25</v>
      </c>
      <c r="CC361" s="106">
        <f t="shared" si="376"/>
        <v>191.25</v>
      </c>
      <c r="CD361" s="104">
        <f>('Renewable Diesel'!$AB370*'RD Feedstock Breakdown'!CD$3*'Feedstock Conversion Rates'!$B$6)/12-15-5</f>
        <v>12.830000000000005</v>
      </c>
      <c r="CE361" s="104">
        <f>('Renewable Diesel'!$AB370*'RD Feedstock Breakdown'!CE$3*'Feedstock Conversion Rates'!$B$4)/12+15+5</f>
        <v>31.25</v>
      </c>
      <c r="CF361" s="106">
        <f t="shared" si="372"/>
        <v>44.080000000000005</v>
      </c>
      <c r="CG361" s="104">
        <f>('Renewable Diesel'!AD370*'Feedstock Conversion Rates'!B$4)/12</f>
        <v>112.5</v>
      </c>
      <c r="CH361" s="106">
        <f t="shared" si="358"/>
        <v>112.5</v>
      </c>
      <c r="CI361" s="104">
        <f>('Renewable Diesel'!$AE370*'RD Feedstock Breakdown'!CI$3*'Feedstock Conversion Rates'!$B$5)/12</f>
        <v>0.34604166666666664</v>
      </c>
      <c r="CJ361" s="104">
        <f>('Renewable Diesel'!$AE370*'RD Feedstock Breakdown'!CJ$3*'Feedstock Conversion Rates'!$B$4)/12</f>
        <v>0.34375</v>
      </c>
      <c r="CK361" s="106">
        <f t="shared" si="368"/>
        <v>0.68979166666666658</v>
      </c>
      <c r="CL361" s="104">
        <f>(((CL$3*'Renewable Diesel'!$AF370)*'Feedstock Conversion Rates'!$B$3)/12)</f>
        <v>91.78125</v>
      </c>
      <c r="CM361" s="104">
        <f>(((CM$3*'Renewable Diesel'!$AF370)*'Feedstock Conversion Rates'!$B$6)/12)</f>
        <v>53.739583333333336</v>
      </c>
      <c r="CN361" s="104">
        <f>(((CN$3*'Renewable Diesel'!$AF370)*'Feedstock Conversion Rates'!$B$4)/12)</f>
        <v>42.96875</v>
      </c>
      <c r="CO361" s="106">
        <f t="shared" si="360"/>
        <v>188.48958333333334</v>
      </c>
      <c r="CP361" s="104">
        <f>('Renewable Diesel'!$AG370*'RD Feedstock Breakdown'!CP$3*'Feedstock Conversion Rates'!$B$3)/12</f>
        <v>6.0075000000000003</v>
      </c>
      <c r="CQ361" s="104">
        <f>('Renewable Diesel'!$AG370*'RD Feedstock Breakdown'!CQ$3*'Feedstock Conversion Rates'!$B$6)/12</f>
        <v>3.5175000000000001</v>
      </c>
      <c r="CR361" s="104">
        <f>('Renewable Diesel'!$AG370*'RD Feedstock Breakdown'!CR$3*'Feedstock Conversion Rates'!$B$4)/12</f>
        <v>2.8125</v>
      </c>
      <c r="CS361" s="106">
        <f t="shared" si="317"/>
        <v>12.3375</v>
      </c>
      <c r="CT361" s="104">
        <f>('Renewable Diesel'!AI370*'Feedstock Conversion Rates'!$B$4*'RD Feedstock Breakdown'!$CT$3)/12</f>
        <v>29.375</v>
      </c>
      <c r="CU361" s="106">
        <f t="shared" si="364"/>
        <v>29.375</v>
      </c>
      <c r="CV361" s="104">
        <f>('Renewable Diesel'!AN370*'Feedstock Conversion Rates'!$B$3*'RD Feedstock Breakdown'!$CV$3)/12</f>
        <v>0.50062499999999999</v>
      </c>
      <c r="CW361" s="106">
        <f t="shared" si="338"/>
        <v>0.50062499999999999</v>
      </c>
      <c r="CX361" s="104">
        <f>('Renewable Diesel'!AO370*'RD Feedstock Breakdown'!$CX$3*'Feedstock Conversion Rates'!$B$3)/12</f>
        <v>6.3412499999999996</v>
      </c>
      <c r="CY361" s="104">
        <f>('Renewable Diesel'!AO370*'RD Feedstock Breakdown'!$CY$3*'Feedstock Conversion Rates'!$B$6)/12</f>
        <v>7.4258333333333342</v>
      </c>
      <c r="CZ361" s="106">
        <f t="shared" si="318"/>
        <v>13.767083333333334</v>
      </c>
      <c r="DA361" s="104">
        <f>('Renewable Diesel'!$AP370*'RD Feedstock Breakdown'!DA$3*'Feedstock Conversion Rates'!$B$3)/12</f>
        <v>6.3412499999999996</v>
      </c>
      <c r="DB361" s="104">
        <f>('Renewable Diesel'!$AP370*'RD Feedstock Breakdown'!DB$3*'Feedstock Conversion Rates'!$B$8)/12</f>
        <v>7.421875</v>
      </c>
      <c r="DC361" s="106">
        <f t="shared" si="342"/>
        <v>13.763124999999999</v>
      </c>
      <c r="DD361" s="104">
        <f>('Renewable Diesel'!AQ370*$DD$3*'Feedstock Conversion Rates'!$B$14)/12</f>
        <v>3.1041666666666665</v>
      </c>
      <c r="DE361" s="106">
        <f t="shared" si="343"/>
        <v>3.1041666666666665</v>
      </c>
      <c r="DF361" s="104">
        <f>('Renewable Diesel'!AR370*'Feedstock Conversion Rates'!$B$4*$DF$3)/12</f>
        <v>75</v>
      </c>
      <c r="DG361" s="106">
        <f t="shared" si="319"/>
        <v>75</v>
      </c>
      <c r="DH361" s="104">
        <f>('Renewable Diesel'!AS370*'Feedstock Conversion Rates'!$B$4*$DH$3)/12</f>
        <v>75</v>
      </c>
      <c r="DI361" s="106">
        <f t="shared" si="323"/>
        <v>75</v>
      </c>
      <c r="DJ361" s="104">
        <f>('Renewable Diesel'!AT370*'Feedstock Conversion Rates'!$B$4*0.25)/12</f>
        <v>8.59375</v>
      </c>
      <c r="DK361" s="104">
        <f>('Renewable Diesel'!$AT370*'RD Feedstock Breakdown'!DK$3*'Feedstock Conversion Rates'!$B$3)/12*0.5</f>
        <v>9.1781249999999996</v>
      </c>
      <c r="DL361" s="104">
        <f>('Renewable Diesel'!$AT370*'RD Feedstock Breakdown'!$DL$3*'Feedstock Conversion Rates'!$B$6)/12</f>
        <v>10.747916666666669</v>
      </c>
      <c r="DM361" s="104">
        <f>('Renewable Diesel'!$AT370*'RD Feedstock Breakdown'!$DM$3*'Feedstock Conversion Rates'!$B$8)/12</f>
        <v>10.7421875</v>
      </c>
      <c r="DN361" s="106">
        <f t="shared" si="375"/>
        <v>39.26197916666667</v>
      </c>
      <c r="DP361" s="104">
        <f t="shared" si="345"/>
        <v>103.22025000000001</v>
      </c>
      <c r="DQ361" s="104">
        <f t="shared" si="346"/>
        <v>349.11776750000007</v>
      </c>
      <c r="DR361" s="104">
        <f t="shared" si="351"/>
        <v>1891.953125</v>
      </c>
      <c r="DS361" s="104">
        <f t="shared" si="365"/>
        <v>228.90125</v>
      </c>
      <c r="DT361" s="104">
        <f t="shared" si="347"/>
        <v>243.03923333333344</v>
      </c>
      <c r="DU361" s="104">
        <f t="shared" si="348"/>
        <v>402.90610000000009</v>
      </c>
      <c r="DV361" s="104">
        <f t="shared" si="352"/>
        <v>78.75</v>
      </c>
      <c r="DW361" s="104">
        <f t="shared" si="349"/>
        <v>3</v>
      </c>
      <c r="DX361" s="106">
        <f t="shared" si="353"/>
        <v>3300.8877258333337</v>
      </c>
      <c r="DY361" s="109">
        <f t="shared" si="340"/>
        <v>-5.631051180898794E-13</v>
      </c>
      <c r="EA361" s="110">
        <f t="shared" si="393"/>
        <v>3.1270451640078516E-2</v>
      </c>
      <c r="EB361" s="110">
        <f t="shared" si="393"/>
        <v>0.10576481131658687</v>
      </c>
      <c r="EC361" s="110">
        <f t="shared" si="393"/>
        <v>0.57316494293133291</v>
      </c>
      <c r="ED361" s="110">
        <f t="shared" si="393"/>
        <v>6.9345360706629972E-2</v>
      </c>
      <c r="EE361" s="110">
        <f t="shared" si="393"/>
        <v>7.3628445896921982E-2</v>
      </c>
      <c r="EF361" s="110">
        <f t="shared" si="393"/>
        <v>0.1220599225010852</v>
      </c>
      <c r="EG361" s="110">
        <f t="shared" si="384"/>
        <v>2.3857218585075921E-2</v>
      </c>
      <c r="EH361" s="111">
        <f t="shared" si="354"/>
        <v>9.0884642228860647E-4</v>
      </c>
      <c r="EI361" s="110">
        <f t="shared" si="321"/>
        <v>0.99909115357771139</v>
      </c>
      <c r="EK361" s="132">
        <f>(EA361*'Renewable Diesel'!BF370*'Feedstock Conversion Rates'!B$2)+FB361</f>
        <v>587.63198706487015</v>
      </c>
      <c r="EL361" s="132">
        <f>(EB361*'Renewable Diesel'!BF370*'Feedstock Conversion Rates'!B$3)+FC361</f>
        <v>1872.9494821365197</v>
      </c>
      <c r="EM361" s="132">
        <f>(EC361*'Renewable Diesel'!BF370*'Feedstock Conversion Rates'!B$4)+FD361</f>
        <v>9503.7112184069611</v>
      </c>
      <c r="EN361" s="132">
        <f>(ED361*'Renewable Diesel'!BF370*'Feedstock Conversion Rates'!B$5)+FE361</f>
        <v>1157.4885715253961</v>
      </c>
      <c r="EO361" s="132">
        <f>(EE361*'Renewable Diesel'!BF370*'Feedstock Conversion Rates'!B$6)+FF361</f>
        <v>1526.8656353317497</v>
      </c>
      <c r="EP361" s="132">
        <f>(EF361*'Renewable Diesel'!BF370*'Feedstock Conversion Rates'!B$7)+FG361</f>
        <v>2482.6372409776832</v>
      </c>
      <c r="EQ361" s="132">
        <f>(EG361*'Renewable Diesel'!BF370*'Feedstock Conversion Rates'!B$8)+FH361</f>
        <v>494.47397015289971</v>
      </c>
      <c r="ER361" s="132">
        <f>(EH361*'Renewable Diesel'!BF370*'Feedstock Conversion Rates'!B$9)+FI361</f>
        <v>18.585942243207406</v>
      </c>
      <c r="ES361" s="132">
        <f t="shared" si="355"/>
        <v>17644.344047839288</v>
      </c>
      <c r="ET361" s="133">
        <f>ES361/'Renewable Diesel'!BF370</f>
        <v>17.765499678581239</v>
      </c>
      <c r="EW361" s="73">
        <f t="shared" si="386"/>
        <v>16532.991705217151</v>
      </c>
      <c r="EX361" s="73">
        <f t="shared" si="387"/>
        <v>10829.200124486419</v>
      </c>
      <c r="EY361" s="92">
        <f t="shared" si="341"/>
        <v>0.93701367760632437</v>
      </c>
      <c r="EZ361" s="92">
        <f t="shared" si="341"/>
        <v>0.61374909121728183</v>
      </c>
      <c r="FB361" s="102">
        <f>IF('Renewable Diesel'!$BG370&lt;1,0,(((('Renewable Diesel'!$BG370-1)*'Renewable Diesel'!$BF370)*'RD Feedstock Breakdown'!EA361)*'Feedstock Conversion Rates'!$B$2))</f>
        <v>323.64582024516545</v>
      </c>
      <c r="FC361" s="102">
        <f>IF('Renewable Diesel'!$BG370&lt;1,0,(((('Renewable Diesel'!$BG370-1)*'Renewable Diesel'!$BF370)*'RD Feedstock Breakdown'!EB361)*'Feedstock Conversion Rates'!$B$3))</f>
        <v>1031.5508426482488</v>
      </c>
      <c r="FD361" s="102">
        <f>IF('Renewable Diesel'!$BG370&lt;1,0,(((('Renewable Diesel'!$BG370-1)*'Renewable Diesel'!$BF370)*'RD Feedstock Breakdown'!EC361)*'Feedstock Conversion Rates'!$B$4))</f>
        <v>5234.2903047497857</v>
      </c>
      <c r="FE361" s="102">
        <f>IF('Renewable Diesel'!$BG370&lt;1,0,(((('Renewable Diesel'!$BG370-1)*'Renewable Diesel'!$BF370)*'RD Feedstock Breakdown'!ED361)*'Feedstock Conversion Rates'!$B$5))</f>
        <v>637.5016105350079</v>
      </c>
      <c r="FF361" s="102">
        <f>IF('Renewable Diesel'!$BG370&lt;1,0,(((('Renewable Diesel'!$BG370-1)*'Renewable Diesel'!$BF370)*'RD Feedstock Breakdown'!EE361)*'Feedstock Conversion Rates'!$B$6))</f>
        <v>840.94074493692904</v>
      </c>
      <c r="FG361" s="102">
        <f>IF('Renewable Diesel'!$BG370&lt;1,0,(((('Renewable Diesel'!$BG370-1)*'Renewable Diesel'!$BF370)*'RD Feedstock Breakdown'!EF361)*'Feedstock Conversion Rates'!$B$7))</f>
        <v>1367.3441608254673</v>
      </c>
      <c r="FH361" s="102">
        <f>IF('Renewable Diesel'!$BG370&lt;1,0,(((('Renewable Diesel'!$BG370-1)*'Renewable Diesel'!$BF370)*'RD Feedstock Breakdown'!EG361)*'Feedstock Conversion Rates'!$B$8))</f>
        <v>272.33785291261222</v>
      </c>
      <c r="FI361" s="102">
        <f>IF('Renewable Diesel'!$BG370&lt;1,0,(((('Renewable Diesel'!$BG370-1)*'Renewable Diesel'!$BF370)*'RD Feedstock Breakdown'!EH361)*'Feedstock Conversion Rates'!$B$9))</f>
        <v>10.236445011064536</v>
      </c>
      <c r="FJ361" s="102">
        <f t="shared" si="388"/>
        <v>9717.8477818642823</v>
      </c>
      <c r="GD361" s="91">
        <f>'Renewable Diesel'!BB370*0.32</f>
        <v>0</v>
      </c>
      <c r="GE361" s="91">
        <f>'Renewable Diesel'!BC370</f>
        <v>561.93544273680811</v>
      </c>
      <c r="GF361" s="91">
        <f>'Renewable Diesel'!BD370</f>
        <v>0</v>
      </c>
      <c r="GG361" s="91">
        <f t="shared" si="373"/>
        <v>561.93544273680811</v>
      </c>
      <c r="GH361" s="124">
        <v>1</v>
      </c>
      <c r="GI361" s="102">
        <f>$GG361*EA361*'Feedstock Conversion Rates'!$B$2</f>
        <v>149.36178823905348</v>
      </c>
      <c r="GJ361" s="102">
        <f>$GG361*EB361*'Feedstock Conversion Rates'!$B$3</f>
        <v>476.05829854602132</v>
      </c>
      <c r="GK361" s="102">
        <f>$GG361*EC361*'Feedstock Conversion Rates'!$B$4</f>
        <v>2415.6127197550195</v>
      </c>
      <c r="GL361" s="102">
        <f>$GG361*ED361*'Feedstock Conversion Rates'!$B$5</f>
        <v>294.20550057669948</v>
      </c>
      <c r="GM361" s="102">
        <f>$GG361*EE361*'Feedstock Conversion Rates'!$B$6</f>
        <v>388.09218475837162</v>
      </c>
      <c r="GN361" s="102">
        <f>$GG361*EF361*'Feedstock Conversion Rates'!$B$7</f>
        <v>631.02612863782372</v>
      </c>
      <c r="GO361" s="102">
        <f>$GG361*EG361*'Feedstock Conversion Rates'!$B$8</f>
        <v>125.68328145068854</v>
      </c>
      <c r="GP361" s="102">
        <f>$GG361*EH361*'Feedstock Conversion Rates'!B$9</f>
        <v>4.7240954043687369</v>
      </c>
      <c r="GQ361" s="102">
        <f t="shared" si="356"/>
        <v>4484.763997368048</v>
      </c>
      <c r="GT361" s="103">
        <f t="shared" si="389"/>
        <v>3.3304269372191879E-2</v>
      </c>
      <c r="GU361" s="103">
        <f t="shared" si="390"/>
        <v>0.10615013383656387</v>
      </c>
      <c r="GV361" s="103">
        <f t="shared" si="391"/>
        <v>0.53862649654979822</v>
      </c>
      <c r="GW361" s="103">
        <f t="shared" si="331"/>
        <v>6.5601110950176747E-2</v>
      </c>
      <c r="GX361" s="103">
        <f t="shared" si="331"/>
        <v>8.653569841938831E-2</v>
      </c>
      <c r="GY361" s="103">
        <f t="shared" si="331"/>
        <v>0.14070442257566979</v>
      </c>
      <c r="GZ361" s="103">
        <f t="shared" si="331"/>
        <v>2.8024502855545513E-2</v>
      </c>
      <c r="HA361" s="103">
        <f t="shared" si="331"/>
        <v>1.0533654406655838E-3</v>
      </c>
    </row>
    <row r="362" spans="1:209" x14ac:dyDescent="0.25">
      <c r="A362" s="96">
        <v>51441</v>
      </c>
      <c r="B362" s="104">
        <f t="shared" ref="B362:B372" si="394">115.75+145+100+235+31.5-21-287-20-28-32-70-39-47+40+20-3-10-60-25-1</f>
        <v>44.25</v>
      </c>
      <c r="C362" s="104">
        <f t="shared" si="314"/>
        <v>49</v>
      </c>
      <c r="D362" s="104">
        <f t="shared" ref="D362:D372" si="395">1+1</f>
        <v>2</v>
      </c>
      <c r="E362" s="104">
        <f>('Renewable Diesel'!B371*E$3*'Feedstock Conversion Rates'!$B$2)/12+26+13-100+27.5+39</f>
        <v>95.43</v>
      </c>
      <c r="F362" s="104">
        <f>('Renewable Diesel'!B371*'RD Feedstock Breakdown'!F$3*'Feedstock Conversion Rates'!B$8)/12+77+23-10-12-115.75+24+8</f>
        <v>48.15625</v>
      </c>
      <c r="G362" s="104">
        <f>('Renewable Diesel'!B371*'RD Feedstock Breakdown'!G$3*'Feedstock Conversion Rates'!B$7)/12+116.75-39-57.5-145-31.5+32+70-40+10+60</f>
        <v>151.90700000000004</v>
      </c>
      <c r="H362" s="104">
        <f>('Renewable Diesel'!B371*'RD Feedstock Breakdown'!H$3*'Feedstock Conversion Rates'!B$3)/12+67+10+12+3-235+20+47-20+25</f>
        <v>105.40022499999998</v>
      </c>
      <c r="I362" s="106">
        <f t="shared" si="370"/>
        <v>496.14347500000002</v>
      </c>
      <c r="J362" s="104">
        <f t="shared" si="332"/>
        <v>4</v>
      </c>
      <c r="K362" s="104"/>
      <c r="L362" s="104">
        <v>1</v>
      </c>
      <c r="M362" s="104">
        <f>('Renewable Diesel'!C371*'RD Feedstock Breakdown'!M$3*'Feedstock Conversion Rates'!B$2)/12</f>
        <v>7.7902500000000003</v>
      </c>
      <c r="N362" s="104">
        <f>('Renewable Diesel'!C371*'RD Feedstock Breakdown'!N$3*'Feedstock Conversion Rates'!B$8)/12</f>
        <v>3.671875</v>
      </c>
      <c r="O362" s="104">
        <f>('Renewable Diesel'!C371*'RD Feedstock Breakdown'!O$3*'Feedstock Conversion Rates'!B$7)/12</f>
        <v>11.9991</v>
      </c>
      <c r="P362" s="104">
        <f>('Renewable Diesel'!C371*'RD Feedstock Breakdown'!P$3*'Feedstock Conversion Rates'!B$3)/12</f>
        <v>10.4470425</v>
      </c>
      <c r="Q362" s="106">
        <f t="shared" si="379"/>
        <v>38.908267500000001</v>
      </c>
      <c r="R362" s="104">
        <f>('Renewable Diesel'!D371*'RD Feedstock Breakdown'!R$3*'Feedstock Conversion Rates'!B$7)/12</f>
        <v>2.2999999999999998</v>
      </c>
      <c r="S362" s="106">
        <f t="shared" si="329"/>
        <v>2.2999999999999998</v>
      </c>
      <c r="T362" s="104">
        <f t="shared" si="380"/>
        <v>0.82499999999999929</v>
      </c>
      <c r="U362" s="104"/>
      <c r="V362" s="104">
        <f>('Renewable Diesel'!E371*'RD Feedstock Breakdown'!V$3*'Feedstock Conversion Rates'!B$6)/12-20+25</f>
        <v>49.250150000000012</v>
      </c>
      <c r="W362" s="104">
        <f>('Renewable Diesel'!E371*'RD Feedstock Breakdown'!W$3*'Feedstock Conversion Rates'!B$8)/12-6</f>
        <v>16.1796875</v>
      </c>
      <c r="X362" s="106">
        <f t="shared" si="357"/>
        <v>66.254837500000008</v>
      </c>
      <c r="Y362" s="104">
        <f t="shared" si="381"/>
        <v>98</v>
      </c>
      <c r="Z362" s="104">
        <f>('Renewable Diesel'!F371*'RD Feedstock Breakdown'!Z$3*'Feedstock Conversion Rates'!B$6)/12-142+15+5+20+5+15</f>
        <v>77.460000000000008</v>
      </c>
      <c r="AA362" s="104">
        <f>('Renewable Diesel'!F371*'RD Feedstock Breakdown'!AA$3*'Feedstock Conversion Rates'!B$7)/12+24</f>
        <v>128.26666666666665</v>
      </c>
      <c r="AB362" s="106">
        <f t="shared" si="320"/>
        <v>303.72666666666669</v>
      </c>
      <c r="AC362" s="104">
        <f>('Renewable Diesel'!G371*'RD Feedstock Breakdown'!AC$3*'Feedstock Conversion Rates'!B$5)/12</f>
        <v>11.796875</v>
      </c>
      <c r="AD362" s="104">
        <f>('Renewable Diesel'!G371*'RD Feedstock Breakdown'!AD$3*'Feedstock Conversion Rates'!B$4)/12</f>
        <v>5.859375</v>
      </c>
      <c r="AE362" s="104">
        <f>('Renewable Diesel'!G371*'RD Feedstock Breakdown'!AE$3*'Feedstock Conversion Rates'!B$6)/12</f>
        <v>7.3281250000000009</v>
      </c>
      <c r="AF362" s="106">
        <f t="shared" si="366"/>
        <v>24.984375</v>
      </c>
      <c r="AG362" s="104">
        <f t="shared" si="383"/>
        <v>148</v>
      </c>
      <c r="AH362" s="104"/>
      <c r="AI362" s="104">
        <f>('Renewable Diesel'!H371*'RD Feedstock Breakdown'!AI$3*'Feedstock Conversion Rates'!B$6)/12-130-20+51-49</f>
        <v>0.51666666666667993</v>
      </c>
      <c r="AJ362" s="106">
        <f t="shared" si="328"/>
        <v>148.51666666666668</v>
      </c>
      <c r="AK362" s="104">
        <f>('Renewable Diesel'!J371*'RD Feedstock Breakdown'!AK$3*'Feedstock Conversion Rates'!B$4)/12</f>
        <v>95.8125</v>
      </c>
      <c r="AL362" s="106">
        <f t="shared" si="330"/>
        <v>95.8125</v>
      </c>
      <c r="AM362" s="104">
        <f>('Renewable Diesel'!K371*'RD Feedstock Breakdown'!AM$3*'Feedstock Conversion Rates'!B$4)/12+5+15-10+10</f>
        <v>78.59375</v>
      </c>
      <c r="AN362" s="104">
        <f>('Renewable Diesel'!K371*'RD Feedstock Breakdown'!AN$3*'Feedstock Conversion Rates'!B$6)/12-5-15+10-10</f>
        <v>4.4270833333333321</v>
      </c>
      <c r="AO362" s="106">
        <f t="shared" si="350"/>
        <v>83.020833333333329</v>
      </c>
      <c r="AP362" s="104">
        <f>('Renewable Diesel'!L371*'RD Feedstock Breakdown'!AP$3*'Feedstock Conversion Rates'!B$4)/12+15-10+15</f>
        <v>78.59375</v>
      </c>
      <c r="AQ362" s="104">
        <f>('Renewable Diesel'!L371*'RD Feedstock Breakdown'!AQ$3*'Feedstock Conversion Rates'!B$6)/12-15+10-15</f>
        <v>4.4270833333333321</v>
      </c>
      <c r="AR362" s="106">
        <f t="shared" si="339"/>
        <v>83.020833333333329</v>
      </c>
      <c r="AS362" s="104">
        <f>('Renewable Diesel'!M371*'RD Feedstock Breakdown'!AS$3*'Feedstock Conversion Rates'!B$4)/12</f>
        <v>456.25</v>
      </c>
      <c r="AT362" s="104">
        <f>('Renewable Diesel'!M371*'RD Feedstock Breakdown'!AT$3*'Feedstock Conversion Rates'!B$5)/12</f>
        <v>0</v>
      </c>
      <c r="AU362" s="106">
        <f t="shared" si="369"/>
        <v>456.25</v>
      </c>
      <c r="AV362" s="104">
        <f>'Renewable Diesel'!N371*'RD Feedstock Breakdown'!$AV$3*'Feedstock Conversion Rates'!$B$4/12-15-10+25+25-22+25</f>
        <v>106.74999999999999</v>
      </c>
      <c r="AW362" s="104">
        <f>'Renewable Diesel'!N371*'RD Feedstock Breakdown'!$AW$3*'Feedstock Conversion Rates'!$B$7/12+15+10-25-25+22-25</f>
        <v>13.400000000000006</v>
      </c>
      <c r="AX362" s="106">
        <f t="shared" si="322"/>
        <v>120.14999999999999</v>
      </c>
      <c r="AY362" s="104">
        <f>('Renewable Diesel'!O371*'RD Feedstock Breakdown'!AY$3*'Feedstock Conversion Rates'!B$4)/12</f>
        <v>210.9375</v>
      </c>
      <c r="AZ362" s="104">
        <f>('Renewable Diesel'!O371*'RD Feedstock Breakdown'!AZ$3*'Feedstock Conversion Rates'!B$3)/12</f>
        <v>25.03125</v>
      </c>
      <c r="BA362" s="106">
        <f t="shared" si="382"/>
        <v>235.96875</v>
      </c>
      <c r="BB362" s="104">
        <f>('Renewable Diesel'!Q371*'RD Feedstock Breakdown'!BB$3*'Feedstock Conversion Rates'!B$4)/12</f>
        <v>11.156249999999998</v>
      </c>
      <c r="BC362" s="104">
        <f>('Renewable Diesel'!Q371*'RD Feedstock Breakdown'!BC$3*'Feedstock Conversion Rates'!B$3)/12</f>
        <v>1.4017500000000001</v>
      </c>
      <c r="BD362" s="104">
        <f>('Renewable Diesel'!Q371*'RD Feedstock Breakdown'!BD$3*'Feedstock Conversion Rates'!B$6)/12</f>
        <v>0.8207500000000002</v>
      </c>
      <c r="BE362" s="106">
        <f t="shared" si="359"/>
        <v>13.378749999999998</v>
      </c>
      <c r="BF362" s="104">
        <f>('Renewable Diesel'!R371*'RD Feedstock Breakdown'!BF$3*'Feedstock Conversion Rates'!B$4)/12</f>
        <v>62.5</v>
      </c>
      <c r="BG362" s="106">
        <f t="shared" si="344"/>
        <v>62.5</v>
      </c>
      <c r="BH362" s="104">
        <f>('Renewable Diesel'!T371*'RD Feedstock Breakdown'!BH$3*'Feedstock Conversion Rates'!B$7)/12</f>
        <v>27.599999999999998</v>
      </c>
      <c r="BI362" s="106">
        <f t="shared" si="327"/>
        <v>27.599999999999998</v>
      </c>
      <c r="BJ362" s="104">
        <f>('Renewable Diesel'!W371*'RD Feedstock Breakdown'!BJ$3*'Feedstock Conversion Rates'!B$4)/12</f>
        <v>7.5</v>
      </c>
      <c r="BK362" s="104">
        <f>('Renewable Diesel'!W371*'RD Feedstock Breakdown'!BK$3*'Feedstock Conversion Rates'!B$3)/12</f>
        <v>1.335</v>
      </c>
      <c r="BL362" s="104">
        <f>('Renewable Diesel'!W371*'RD Feedstock Breakdown'!BL$3*'Feedstock Conversion Rates'!B$6)/12</f>
        <v>3.1266666666666669</v>
      </c>
      <c r="BM362" s="104">
        <f>('Renewable Diesel'!W371*'RD Feedstock Breakdown'!BM$3*'Feedstock Conversion Rates'!B$7)/12</f>
        <v>1.5333333333333332</v>
      </c>
      <c r="BN362" s="106">
        <f t="shared" si="374"/>
        <v>13.495000000000001</v>
      </c>
      <c r="BO362" s="104">
        <f>('Renewable Diesel'!P371*'Feedstock Conversion Rates'!B$4)/12</f>
        <v>31.25</v>
      </c>
      <c r="BP362" s="106">
        <f t="shared" si="367"/>
        <v>31.25</v>
      </c>
      <c r="BQ362" s="104">
        <f>('Renewable Diesel'!$S371*'RD Feedstock Breakdown'!BQ$3*'Feedstock Conversion Rates'!B$4)/12+10+15-15</f>
        <v>38.125</v>
      </c>
      <c r="BR362" s="104">
        <f>('Renewable Diesel'!$S371*'RD Feedstock Breakdown'!BR$3*'Feedstock Conversion Rates'!B$7)/12-10-15+15</f>
        <v>1.5</v>
      </c>
      <c r="BS362" s="106">
        <f t="shared" si="385"/>
        <v>39.625</v>
      </c>
      <c r="BT362" s="106"/>
      <c r="BU362" s="104">
        <f>('Renewable Diesel'!Y371*'Feedstock Conversion Rates'!B$7)/12</f>
        <v>2.6833333333333331</v>
      </c>
      <c r="BV362" s="106">
        <f t="shared" si="361"/>
        <v>2.6833333333333331</v>
      </c>
      <c r="BW362" s="104">
        <f>('Renewable Diesel'!$Z371*'RD Feedstock Breakdown'!BW$3*'Feedstock Conversion Rates'!$B$4)/12-250+180</f>
        <v>1.875</v>
      </c>
      <c r="BX362" s="104">
        <f>('Renewable Diesel'!$Z371*'RD Feedstock Breakdown'!BX$3*'Feedstock Conversion Rates'!$B$5)/12</f>
        <v>7.2354166666666666</v>
      </c>
      <c r="BY362" s="104">
        <f>('Renewable Diesel'!$Z371*'RD Feedstock Breakdown'!BY$3*'Feedstock Conversion Rates'!$B$7)/12</f>
        <v>61.716666666666661</v>
      </c>
      <c r="BZ362" s="104">
        <f>('Renewable Diesel'!$Z371*'RD Feedstock Breakdown'!BZ$3*'Feedstock Conversion Rates'!$B$3)/12+250-180</f>
        <v>85.35250000000002</v>
      </c>
      <c r="CA362" s="106">
        <f t="shared" si="392"/>
        <v>156.17958333333334</v>
      </c>
      <c r="CB362" s="104">
        <f>('Renewable Diesel'!AA371*'Feedstock Conversion Rates'!B$4)/12</f>
        <v>191.25</v>
      </c>
      <c r="CC362" s="106">
        <f t="shared" si="376"/>
        <v>191.25</v>
      </c>
      <c r="CD362" s="104">
        <f>('Renewable Diesel'!$AB371*'RD Feedstock Breakdown'!CD$3*'Feedstock Conversion Rates'!$B$6)/12-15-5</f>
        <v>12.830000000000005</v>
      </c>
      <c r="CE362" s="104">
        <f>('Renewable Diesel'!$AB371*'RD Feedstock Breakdown'!CE$3*'Feedstock Conversion Rates'!$B$4)/12+15+5</f>
        <v>31.25</v>
      </c>
      <c r="CF362" s="106">
        <f t="shared" si="372"/>
        <v>44.080000000000005</v>
      </c>
      <c r="CG362" s="104">
        <f>('Renewable Diesel'!AD371*'Feedstock Conversion Rates'!B$4)/12</f>
        <v>112.5</v>
      </c>
      <c r="CH362" s="106">
        <f t="shared" si="358"/>
        <v>112.5</v>
      </c>
      <c r="CI362" s="104">
        <f>('Renewable Diesel'!$AE371*'RD Feedstock Breakdown'!CI$3*'Feedstock Conversion Rates'!$B$5)/12</f>
        <v>0.34604166666666664</v>
      </c>
      <c r="CJ362" s="104">
        <f>('Renewable Diesel'!$AE371*'RD Feedstock Breakdown'!CJ$3*'Feedstock Conversion Rates'!$B$4)/12</f>
        <v>0.34375</v>
      </c>
      <c r="CK362" s="106">
        <f t="shared" si="368"/>
        <v>0.68979166666666658</v>
      </c>
      <c r="CL362" s="104">
        <f>(((CL$3*'Renewable Diesel'!$AF371)*'Feedstock Conversion Rates'!$B$3)/12)</f>
        <v>91.78125</v>
      </c>
      <c r="CM362" s="104">
        <f>(((CM$3*'Renewable Diesel'!$AF371)*'Feedstock Conversion Rates'!$B$6)/12)</f>
        <v>53.739583333333336</v>
      </c>
      <c r="CN362" s="104">
        <f>(((CN$3*'Renewable Diesel'!$AF371)*'Feedstock Conversion Rates'!$B$4)/12)</f>
        <v>42.96875</v>
      </c>
      <c r="CO362" s="106">
        <f t="shared" si="360"/>
        <v>188.48958333333334</v>
      </c>
      <c r="CP362" s="104">
        <f>('Renewable Diesel'!$AG371*'RD Feedstock Breakdown'!CP$3*'Feedstock Conversion Rates'!$B$3)/12</f>
        <v>6.0075000000000003</v>
      </c>
      <c r="CQ362" s="104">
        <f>('Renewable Diesel'!$AG371*'RD Feedstock Breakdown'!CQ$3*'Feedstock Conversion Rates'!$B$6)/12</f>
        <v>3.5175000000000001</v>
      </c>
      <c r="CR362" s="104">
        <f>('Renewable Diesel'!$AG371*'RD Feedstock Breakdown'!CR$3*'Feedstock Conversion Rates'!$B$4)/12</f>
        <v>2.8125</v>
      </c>
      <c r="CS362" s="106">
        <f t="shared" si="317"/>
        <v>12.3375</v>
      </c>
      <c r="CT362" s="104">
        <f>('Renewable Diesel'!AI371*'Feedstock Conversion Rates'!$B$4*'RD Feedstock Breakdown'!$CT$3)/12</f>
        <v>29.375</v>
      </c>
      <c r="CU362" s="106">
        <f t="shared" si="364"/>
        <v>29.375</v>
      </c>
      <c r="CV362" s="104">
        <f>('Renewable Diesel'!AN371*'Feedstock Conversion Rates'!$B$3*'RD Feedstock Breakdown'!$CV$3)/12</f>
        <v>0.50062499999999999</v>
      </c>
      <c r="CW362" s="106">
        <f t="shared" si="338"/>
        <v>0.50062499999999999</v>
      </c>
      <c r="CX362" s="104">
        <f>('Renewable Diesel'!AO371*'RD Feedstock Breakdown'!$CX$3*'Feedstock Conversion Rates'!$B$3)/12</f>
        <v>6.3412499999999996</v>
      </c>
      <c r="CY362" s="104">
        <f>('Renewable Diesel'!AO371*'RD Feedstock Breakdown'!$CY$3*'Feedstock Conversion Rates'!$B$6)/12</f>
        <v>7.4258333333333342</v>
      </c>
      <c r="CZ362" s="106">
        <f t="shared" si="318"/>
        <v>13.767083333333334</v>
      </c>
      <c r="DA362" s="104">
        <f>('Renewable Diesel'!$AP371*'RD Feedstock Breakdown'!DA$3*'Feedstock Conversion Rates'!$B$3)/12</f>
        <v>6.3412499999999996</v>
      </c>
      <c r="DB362" s="104">
        <f>('Renewable Diesel'!$AP371*'RD Feedstock Breakdown'!DB$3*'Feedstock Conversion Rates'!$B$8)/12</f>
        <v>7.421875</v>
      </c>
      <c r="DC362" s="106">
        <f t="shared" si="342"/>
        <v>13.763124999999999</v>
      </c>
      <c r="DD362" s="104">
        <f>('Renewable Diesel'!AQ371*$DD$3*'Feedstock Conversion Rates'!$B$14)/12</f>
        <v>3.1041666666666665</v>
      </c>
      <c r="DE362" s="106">
        <f t="shared" si="343"/>
        <v>3.1041666666666665</v>
      </c>
      <c r="DF362" s="104">
        <f>('Renewable Diesel'!AR371*'Feedstock Conversion Rates'!$B$4*$DF$3)/12</f>
        <v>75</v>
      </c>
      <c r="DG362" s="106">
        <f t="shared" si="319"/>
        <v>75</v>
      </c>
      <c r="DH362" s="104">
        <f>('Renewable Diesel'!AS371*'Feedstock Conversion Rates'!$B$4*$DH$3)/12</f>
        <v>75</v>
      </c>
      <c r="DI362" s="106">
        <f t="shared" si="323"/>
        <v>75</v>
      </c>
      <c r="DJ362" s="104">
        <f>('Renewable Diesel'!AT371*'Feedstock Conversion Rates'!$B$4*0.25)/12</f>
        <v>8.59375</v>
      </c>
      <c r="DK362" s="104">
        <f>('Renewable Diesel'!$AT371*'RD Feedstock Breakdown'!DK$3*'Feedstock Conversion Rates'!$B$3)/12*0.5</f>
        <v>9.1781249999999996</v>
      </c>
      <c r="DL362" s="104">
        <f>('Renewable Diesel'!$AT371*'RD Feedstock Breakdown'!$DL$3*'Feedstock Conversion Rates'!$B$6)/12</f>
        <v>10.747916666666669</v>
      </c>
      <c r="DM362" s="104">
        <f>('Renewable Diesel'!$AT371*'RD Feedstock Breakdown'!$DM$3*'Feedstock Conversion Rates'!$B$8)/12</f>
        <v>10.7421875</v>
      </c>
      <c r="DN362" s="106">
        <f t="shared" si="375"/>
        <v>39.26197916666667</v>
      </c>
      <c r="DP362" s="104">
        <f t="shared" si="345"/>
        <v>103.22025000000001</v>
      </c>
      <c r="DQ362" s="104">
        <f t="shared" si="346"/>
        <v>349.11776750000007</v>
      </c>
      <c r="DR362" s="104">
        <f t="shared" si="351"/>
        <v>1891.953125</v>
      </c>
      <c r="DS362" s="104">
        <f t="shared" si="365"/>
        <v>228.90125</v>
      </c>
      <c r="DT362" s="104">
        <f t="shared" si="347"/>
        <v>243.03923333333344</v>
      </c>
      <c r="DU362" s="104">
        <f t="shared" si="348"/>
        <v>402.90610000000009</v>
      </c>
      <c r="DV362" s="104">
        <f t="shared" si="352"/>
        <v>78.75</v>
      </c>
      <c r="DW362" s="104">
        <f t="shared" si="349"/>
        <v>3</v>
      </c>
      <c r="DX362" s="106">
        <f t="shared" si="353"/>
        <v>3300.8877258333337</v>
      </c>
      <c r="DY362" s="109">
        <f t="shared" si="340"/>
        <v>-5.631051180898794E-13</v>
      </c>
      <c r="EA362" s="110">
        <f t="shared" si="393"/>
        <v>3.1270451640078516E-2</v>
      </c>
      <c r="EB362" s="110">
        <f t="shared" si="393"/>
        <v>0.10576481131658687</v>
      </c>
      <c r="EC362" s="110">
        <f t="shared" si="393"/>
        <v>0.57316494293133291</v>
      </c>
      <c r="ED362" s="110">
        <f t="shared" si="393"/>
        <v>6.9345360706629972E-2</v>
      </c>
      <c r="EE362" s="110">
        <f t="shared" si="393"/>
        <v>7.3628445896921982E-2</v>
      </c>
      <c r="EF362" s="110">
        <f t="shared" si="393"/>
        <v>0.1220599225010852</v>
      </c>
      <c r="EG362" s="110">
        <f t="shared" si="384"/>
        <v>2.3857218585075921E-2</v>
      </c>
      <c r="EH362" s="111">
        <f t="shared" si="354"/>
        <v>9.0884642228860647E-4</v>
      </c>
      <c r="EI362" s="110">
        <f t="shared" si="321"/>
        <v>0.99909115357771139</v>
      </c>
      <c r="EK362" s="132">
        <f>(EA362*'Renewable Diesel'!BF371*'Feedstock Conversion Rates'!B$2)+FB362</f>
        <v>588.33487173704134</v>
      </c>
      <c r="EL362" s="132">
        <f>(EB362*'Renewable Diesel'!BF371*'Feedstock Conversion Rates'!B$3)+FC362</f>
        <v>1875.1897745503486</v>
      </c>
      <c r="EM362" s="132">
        <f>(EC362*'Renewable Diesel'!BF371*'Feedstock Conversion Rates'!B$4)+FD362</f>
        <v>9515.0788993555834</v>
      </c>
      <c r="EN362" s="132">
        <f>(ED362*'Renewable Diesel'!BF371*'Feedstock Conversion Rates'!B$5)+FE362</f>
        <v>1158.8730791646112</v>
      </c>
      <c r="EO362" s="132">
        <f>(EE362*'Renewable Diesel'!BF371*'Feedstock Conversion Rates'!B$6)+FF362</f>
        <v>1528.6919662244909</v>
      </c>
      <c r="EP362" s="132">
        <f>(EF362*'Renewable Diesel'!BF371*'Feedstock Conversion Rates'!B$7)+FG362</f>
        <v>2485.6067996498732</v>
      </c>
      <c r="EQ362" s="132">
        <f>(EG362*'Renewable Diesel'!BF371*'Feedstock Conversion Rates'!B$8)+FH362</f>
        <v>495.06542565916652</v>
      </c>
      <c r="ER362" s="132">
        <f>(EH362*'Renewable Diesel'!BF371*'Feedstock Conversion Rates'!B$9)+FI362</f>
        <v>18.608173459696928</v>
      </c>
      <c r="ES362" s="132">
        <f t="shared" si="355"/>
        <v>17665.448989800811</v>
      </c>
      <c r="ET362" s="133">
        <f>ES362/'Renewable Diesel'!BF371</f>
        <v>17.48705954393283</v>
      </c>
      <c r="EW362" s="73">
        <f t="shared" si="386"/>
        <v>16476.416095394594</v>
      </c>
      <c r="EX362" s="73">
        <f t="shared" si="387"/>
        <v>10792.142790166219</v>
      </c>
      <c r="EY362" s="92">
        <f t="shared" si="341"/>
        <v>0.93269161202227535</v>
      </c>
      <c r="EZ362" s="92">
        <f t="shared" si="341"/>
        <v>0.61091811458611034</v>
      </c>
      <c r="FB362" s="102">
        <f>IF('Renewable Diesel'!$BG371&lt;1,0,(((('Renewable Diesel'!$BG371-1)*'Renewable Diesel'!$BF371)*'RD Feedstock Breakdown'!EA362)*'Feedstock Conversion Rates'!$B$2))</f>
        <v>319.82455877915254</v>
      </c>
      <c r="FC362" s="102">
        <f>IF('Renewable Diesel'!$BG371&lt;1,0,(((('Renewable Diesel'!$BG371-1)*'Renewable Diesel'!$BF371)*'RD Feedstock Breakdown'!EB362)*'Feedstock Conversion Rates'!$B$3))</f>
        <v>1019.3714006821548</v>
      </c>
      <c r="FD362" s="102">
        <f>IF('Renewable Diesel'!$BG371&lt;1,0,(((('Renewable Diesel'!$BG371-1)*'Renewable Diesel'!$BF371)*'RD Feedstock Breakdown'!EC362)*'Feedstock Conversion Rates'!$B$4))</f>
        <v>5172.4894391359057</v>
      </c>
      <c r="FE362" s="102">
        <f>IF('Renewable Diesel'!$BG371&lt;1,0,(((('Renewable Diesel'!$BG371-1)*'Renewable Diesel'!$BF371)*'RD Feedstock Breakdown'!ED362)*'Feedstock Conversion Rates'!$B$5))</f>
        <v>629.97467773849201</v>
      </c>
      <c r="FF362" s="102">
        <f>IF('Renewable Diesel'!$BG371&lt;1,0,(((('Renewable Diesel'!$BG371-1)*'Renewable Diesel'!$BF371)*'RD Feedstock Breakdown'!EE362)*'Feedstock Conversion Rates'!$B$6))</f>
        <v>831.01182182773061</v>
      </c>
      <c r="FG362" s="102">
        <f>IF('Renewable Diesel'!$BG371&lt;1,0,(((('Renewable Diesel'!$BG371-1)*'Renewable Diesel'!$BF371)*'RD Feedstock Breakdown'!EF362)*'Feedstock Conversion Rates'!$B$7))</f>
        <v>1351.2000328136112</v>
      </c>
      <c r="FH362" s="102">
        <f>IF('Renewable Diesel'!$BG371&lt;1,0,(((('Renewable Diesel'!$BG371-1)*'Renewable Diesel'!$BF371)*'RD Feedstock Breakdown'!EG362)*'Feedstock Conversion Rates'!$B$8))</f>
        <v>269.12238069584345</v>
      </c>
      <c r="FI362" s="102">
        <f>IF('Renewable Diesel'!$BG371&lt;1,0,(((('Renewable Diesel'!$BG371-1)*'Renewable Diesel'!$BF371)*'RD Feedstock Breakdown'!EH362)*'Feedstock Conversion Rates'!$B$9))</f>
        <v>10.115584087107258</v>
      </c>
      <c r="FJ362" s="102">
        <f t="shared" si="388"/>
        <v>9603.109895759997</v>
      </c>
      <c r="GD362" s="91">
        <f>'Renewable Diesel'!BB371*0.32</f>
        <v>0</v>
      </c>
      <c r="GE362" s="91">
        <f>'Renewable Diesel'!BC371</f>
        <v>486.24829163399761</v>
      </c>
      <c r="GF362" s="91">
        <f>'Renewable Diesel'!BD371</f>
        <v>0</v>
      </c>
      <c r="GG362" s="91">
        <f t="shared" si="373"/>
        <v>486.24829163399761</v>
      </c>
      <c r="GH362" s="124">
        <v>1</v>
      </c>
      <c r="GI362" s="102">
        <f>$GG362*EA362*'Feedstock Conversion Rates'!$B$2</f>
        <v>129.24423135319958</v>
      </c>
      <c r="GJ362" s="102">
        <f>$GG362*EB362*'Feedstock Conversion Rates'!$B$3</f>
        <v>411.93795012963648</v>
      </c>
      <c r="GK362" s="102">
        <f>$GG362*EC362*'Feedstock Conversion Rates'!$B$4</f>
        <v>2090.2535574364379</v>
      </c>
      <c r="GL362" s="102">
        <f>$GG362*ED362*'Feedstock Conversion Rates'!$B$5</f>
        <v>254.57892698138335</v>
      </c>
      <c r="GM362" s="102">
        <f>$GG362*EE362*'Feedstock Conversion Rates'!$B$6</f>
        <v>335.82000258995771</v>
      </c>
      <c r="GN362" s="102">
        <f>$GG362*EF362*'Feedstock Conversion Rates'!$B$7</f>
        <v>546.03314489680349</v>
      </c>
      <c r="GO362" s="102">
        <f>$GG362*EG362*'Feedstock Conversion Rates'!$B$8</f>
        <v>108.75498543873773</v>
      </c>
      <c r="GP362" s="102">
        <f>$GG362*EH362*'Feedstock Conversion Rates'!B$9</f>
        <v>4.0878064368084273</v>
      </c>
      <c r="GQ362" s="102">
        <f t="shared" si="356"/>
        <v>3880.7106052629642</v>
      </c>
      <c r="GT362" s="103">
        <f t="shared" si="389"/>
        <v>3.3304269372191893E-2</v>
      </c>
      <c r="GU362" s="103">
        <f t="shared" si="390"/>
        <v>0.10615013383656391</v>
      </c>
      <c r="GV362" s="103">
        <f t="shared" si="391"/>
        <v>0.53862649654979822</v>
      </c>
      <c r="GW362" s="103">
        <f t="shared" si="331"/>
        <v>6.5601110950176775E-2</v>
      </c>
      <c r="GX362" s="103">
        <f t="shared" si="331"/>
        <v>8.6535698419388296E-2</v>
      </c>
      <c r="GY362" s="103">
        <f t="shared" si="331"/>
        <v>0.14070442257566984</v>
      </c>
      <c r="GZ362" s="103">
        <f t="shared" si="331"/>
        <v>2.802450285554552E-2</v>
      </c>
      <c r="HA362" s="103">
        <f t="shared" si="331"/>
        <v>1.053365440665584E-3</v>
      </c>
    </row>
    <row r="363" spans="1:209" x14ac:dyDescent="0.25">
      <c r="A363" s="96">
        <v>51471</v>
      </c>
      <c r="B363" s="104">
        <f t="shared" si="394"/>
        <v>44.25</v>
      </c>
      <c r="C363" s="104">
        <f t="shared" si="314"/>
        <v>49</v>
      </c>
      <c r="D363" s="104">
        <f t="shared" si="395"/>
        <v>2</v>
      </c>
      <c r="E363" s="104">
        <f>('Renewable Diesel'!B372*E$3*'Feedstock Conversion Rates'!$B$2)/12+26+13-100+27.5+39</f>
        <v>95.43</v>
      </c>
      <c r="F363" s="104">
        <f>('Renewable Diesel'!B372*'RD Feedstock Breakdown'!F$3*'Feedstock Conversion Rates'!B$8)/12+77+23-10-12-115.75+24+8</f>
        <v>48.15625</v>
      </c>
      <c r="G363" s="104">
        <f>('Renewable Diesel'!B372*'RD Feedstock Breakdown'!G$3*'Feedstock Conversion Rates'!B$7)/12+116.75-39-57.5-145-31.5+32+70-40+10+60</f>
        <v>151.90700000000004</v>
      </c>
      <c r="H363" s="104">
        <f>('Renewable Diesel'!B372*'RD Feedstock Breakdown'!H$3*'Feedstock Conversion Rates'!B$3)/12+67+10+12+3-235+20+47-20+25</f>
        <v>105.40022499999998</v>
      </c>
      <c r="I363" s="106">
        <f t="shared" si="370"/>
        <v>496.14347500000002</v>
      </c>
      <c r="J363" s="104">
        <f t="shared" si="332"/>
        <v>4</v>
      </c>
      <c r="K363" s="104"/>
      <c r="L363" s="104">
        <v>1</v>
      </c>
      <c r="M363" s="104">
        <f>('Renewable Diesel'!C372*'RD Feedstock Breakdown'!M$3*'Feedstock Conversion Rates'!B$2)/12</f>
        <v>7.7902500000000003</v>
      </c>
      <c r="N363" s="104">
        <f>('Renewable Diesel'!C372*'RD Feedstock Breakdown'!N$3*'Feedstock Conversion Rates'!B$8)/12</f>
        <v>3.671875</v>
      </c>
      <c r="O363" s="104">
        <f>('Renewable Diesel'!C372*'RD Feedstock Breakdown'!O$3*'Feedstock Conversion Rates'!B$7)/12</f>
        <v>11.9991</v>
      </c>
      <c r="P363" s="104">
        <f>('Renewable Diesel'!C372*'RD Feedstock Breakdown'!P$3*'Feedstock Conversion Rates'!B$3)/12</f>
        <v>10.4470425</v>
      </c>
      <c r="Q363" s="106">
        <f t="shared" si="379"/>
        <v>38.908267500000001</v>
      </c>
      <c r="R363" s="104">
        <f>('Renewable Diesel'!D372*'RD Feedstock Breakdown'!R$3*'Feedstock Conversion Rates'!B$7)/12</f>
        <v>2.2999999999999998</v>
      </c>
      <c r="S363" s="106">
        <f t="shared" si="329"/>
        <v>2.2999999999999998</v>
      </c>
      <c r="T363" s="104">
        <f t="shared" si="380"/>
        <v>0.82499999999999929</v>
      </c>
      <c r="U363" s="104"/>
      <c r="V363" s="104">
        <f>('Renewable Diesel'!E372*'RD Feedstock Breakdown'!V$3*'Feedstock Conversion Rates'!B$6)/12-20+25</f>
        <v>49.250150000000012</v>
      </c>
      <c r="W363" s="104">
        <f>('Renewable Diesel'!E372*'RD Feedstock Breakdown'!W$3*'Feedstock Conversion Rates'!B$8)/12-6</f>
        <v>16.1796875</v>
      </c>
      <c r="X363" s="106">
        <f t="shared" si="357"/>
        <v>66.254837500000008</v>
      </c>
      <c r="Y363" s="104">
        <f t="shared" si="381"/>
        <v>98</v>
      </c>
      <c r="Z363" s="104">
        <f>('Renewable Diesel'!F372*'RD Feedstock Breakdown'!Z$3*'Feedstock Conversion Rates'!B$6)/12-142+15+5+20+5+15</f>
        <v>77.460000000000008</v>
      </c>
      <c r="AA363" s="104">
        <f>('Renewable Diesel'!F372*'RD Feedstock Breakdown'!AA$3*'Feedstock Conversion Rates'!B$7)/12+24</f>
        <v>128.26666666666665</v>
      </c>
      <c r="AB363" s="106">
        <f t="shared" si="320"/>
        <v>303.72666666666669</v>
      </c>
      <c r="AC363" s="104">
        <f>('Renewable Diesel'!G372*'RD Feedstock Breakdown'!AC$3*'Feedstock Conversion Rates'!B$5)/12</f>
        <v>11.796875</v>
      </c>
      <c r="AD363" s="104">
        <f>('Renewable Diesel'!G372*'RD Feedstock Breakdown'!AD$3*'Feedstock Conversion Rates'!B$4)/12</f>
        <v>5.859375</v>
      </c>
      <c r="AE363" s="104">
        <f>('Renewable Diesel'!G372*'RD Feedstock Breakdown'!AE$3*'Feedstock Conversion Rates'!B$6)/12</f>
        <v>7.3281250000000009</v>
      </c>
      <c r="AF363" s="106">
        <f t="shared" si="366"/>
        <v>24.984375</v>
      </c>
      <c r="AG363" s="104">
        <f t="shared" si="383"/>
        <v>148</v>
      </c>
      <c r="AH363" s="104"/>
      <c r="AI363" s="104">
        <f>('Renewable Diesel'!H372*'RD Feedstock Breakdown'!AI$3*'Feedstock Conversion Rates'!B$6)/12-130-20+51-49</f>
        <v>0.51666666666667993</v>
      </c>
      <c r="AJ363" s="106">
        <f t="shared" si="328"/>
        <v>148.51666666666668</v>
      </c>
      <c r="AK363" s="104">
        <f>('Renewable Diesel'!J372*'RD Feedstock Breakdown'!AK$3*'Feedstock Conversion Rates'!B$4)/12</f>
        <v>95.8125</v>
      </c>
      <c r="AL363" s="106">
        <f t="shared" si="330"/>
        <v>95.8125</v>
      </c>
      <c r="AM363" s="104">
        <f>('Renewable Diesel'!K372*'RD Feedstock Breakdown'!AM$3*'Feedstock Conversion Rates'!B$4)/12+5+15-10+10</f>
        <v>78.59375</v>
      </c>
      <c r="AN363" s="104">
        <f>('Renewable Diesel'!K372*'RD Feedstock Breakdown'!AN$3*'Feedstock Conversion Rates'!B$6)/12-5-15+10-10</f>
        <v>4.4270833333333321</v>
      </c>
      <c r="AO363" s="106">
        <f t="shared" si="350"/>
        <v>83.020833333333329</v>
      </c>
      <c r="AP363" s="104">
        <f>('Renewable Diesel'!L372*'RD Feedstock Breakdown'!AP$3*'Feedstock Conversion Rates'!B$4)/12+15-10+15</f>
        <v>78.59375</v>
      </c>
      <c r="AQ363" s="104">
        <f>('Renewable Diesel'!L372*'RD Feedstock Breakdown'!AQ$3*'Feedstock Conversion Rates'!B$6)/12-15+10-15</f>
        <v>4.4270833333333321</v>
      </c>
      <c r="AR363" s="106">
        <f t="shared" si="339"/>
        <v>83.020833333333329</v>
      </c>
      <c r="AS363" s="104">
        <f>('Renewable Diesel'!M372*'RD Feedstock Breakdown'!AS$3*'Feedstock Conversion Rates'!B$4)/12</f>
        <v>456.25</v>
      </c>
      <c r="AT363" s="104">
        <f>('Renewable Diesel'!M372*'RD Feedstock Breakdown'!AT$3*'Feedstock Conversion Rates'!B$5)/12</f>
        <v>0</v>
      </c>
      <c r="AU363" s="106">
        <f t="shared" si="369"/>
        <v>456.25</v>
      </c>
      <c r="AV363" s="104">
        <f>'Renewable Diesel'!N372*'RD Feedstock Breakdown'!$AV$3*'Feedstock Conversion Rates'!$B$4/12-15-10+25+25-22+25</f>
        <v>106.74999999999999</v>
      </c>
      <c r="AW363" s="104">
        <f>'Renewable Diesel'!N372*'RD Feedstock Breakdown'!$AW$3*'Feedstock Conversion Rates'!$B$7/12+15+10-25-25+22-25</f>
        <v>13.400000000000006</v>
      </c>
      <c r="AX363" s="106">
        <f t="shared" si="322"/>
        <v>120.14999999999999</v>
      </c>
      <c r="AY363" s="104">
        <f>('Renewable Diesel'!O372*'RD Feedstock Breakdown'!AY$3*'Feedstock Conversion Rates'!B$4)/12</f>
        <v>210.9375</v>
      </c>
      <c r="AZ363" s="104">
        <f>('Renewable Diesel'!O372*'RD Feedstock Breakdown'!AZ$3*'Feedstock Conversion Rates'!B$3)/12</f>
        <v>25.03125</v>
      </c>
      <c r="BA363" s="106">
        <f t="shared" si="382"/>
        <v>235.96875</v>
      </c>
      <c r="BB363" s="104">
        <f>('Renewable Diesel'!Q372*'RD Feedstock Breakdown'!BB$3*'Feedstock Conversion Rates'!B$4)/12</f>
        <v>11.156249999999998</v>
      </c>
      <c r="BC363" s="104">
        <f>('Renewable Diesel'!Q372*'RD Feedstock Breakdown'!BC$3*'Feedstock Conversion Rates'!B$3)/12</f>
        <v>1.4017500000000001</v>
      </c>
      <c r="BD363" s="104">
        <f>('Renewable Diesel'!Q372*'RD Feedstock Breakdown'!BD$3*'Feedstock Conversion Rates'!B$6)/12</f>
        <v>0.8207500000000002</v>
      </c>
      <c r="BE363" s="106">
        <f t="shared" si="359"/>
        <v>13.378749999999998</v>
      </c>
      <c r="BF363" s="104">
        <f>('Renewable Diesel'!R372*'RD Feedstock Breakdown'!BF$3*'Feedstock Conversion Rates'!B$4)/12</f>
        <v>62.5</v>
      </c>
      <c r="BG363" s="106">
        <f t="shared" si="344"/>
        <v>62.5</v>
      </c>
      <c r="BH363" s="104">
        <f>('Renewable Diesel'!T372*'RD Feedstock Breakdown'!BH$3*'Feedstock Conversion Rates'!B$7)/12</f>
        <v>27.599999999999998</v>
      </c>
      <c r="BI363" s="106">
        <f t="shared" si="327"/>
        <v>27.599999999999998</v>
      </c>
      <c r="BJ363" s="104">
        <f>('Renewable Diesel'!W372*'RD Feedstock Breakdown'!BJ$3*'Feedstock Conversion Rates'!B$4)/12</f>
        <v>7.5</v>
      </c>
      <c r="BK363" s="104">
        <f>('Renewable Diesel'!W372*'RD Feedstock Breakdown'!BK$3*'Feedstock Conversion Rates'!B$3)/12</f>
        <v>1.335</v>
      </c>
      <c r="BL363" s="104">
        <f>('Renewable Diesel'!W372*'RD Feedstock Breakdown'!BL$3*'Feedstock Conversion Rates'!B$6)/12</f>
        <v>3.1266666666666669</v>
      </c>
      <c r="BM363" s="104">
        <f>('Renewable Diesel'!W372*'RD Feedstock Breakdown'!BM$3*'Feedstock Conversion Rates'!B$7)/12</f>
        <v>1.5333333333333332</v>
      </c>
      <c r="BN363" s="106">
        <f t="shared" si="374"/>
        <v>13.495000000000001</v>
      </c>
      <c r="BO363" s="104">
        <f>('Renewable Diesel'!P372*'Feedstock Conversion Rates'!B$4)/12</f>
        <v>31.25</v>
      </c>
      <c r="BP363" s="106">
        <f t="shared" si="367"/>
        <v>31.25</v>
      </c>
      <c r="BQ363" s="104">
        <f>('Renewable Diesel'!$S372*'RD Feedstock Breakdown'!BQ$3*'Feedstock Conversion Rates'!B$4)/12+10+15-15</f>
        <v>38.125</v>
      </c>
      <c r="BR363" s="104">
        <f>('Renewable Diesel'!$S372*'RD Feedstock Breakdown'!BR$3*'Feedstock Conversion Rates'!B$7)/12-10-15+15</f>
        <v>1.5</v>
      </c>
      <c r="BS363" s="106">
        <f t="shared" si="385"/>
        <v>39.625</v>
      </c>
      <c r="BT363" s="106"/>
      <c r="BU363" s="104">
        <f>('Renewable Diesel'!Y372*'Feedstock Conversion Rates'!B$7)/12</f>
        <v>2.6833333333333331</v>
      </c>
      <c r="BV363" s="106">
        <f t="shared" si="361"/>
        <v>2.6833333333333331</v>
      </c>
      <c r="BW363" s="104">
        <f>('Renewable Diesel'!$Z372*'RD Feedstock Breakdown'!BW$3*'Feedstock Conversion Rates'!$B$4)/12-250+180</f>
        <v>1.875</v>
      </c>
      <c r="BX363" s="104">
        <f>('Renewable Diesel'!$Z372*'RD Feedstock Breakdown'!BX$3*'Feedstock Conversion Rates'!$B$5)/12</f>
        <v>7.2354166666666666</v>
      </c>
      <c r="BY363" s="104">
        <f>('Renewable Diesel'!$Z372*'RD Feedstock Breakdown'!BY$3*'Feedstock Conversion Rates'!$B$7)/12</f>
        <v>61.716666666666661</v>
      </c>
      <c r="BZ363" s="104">
        <f>('Renewable Diesel'!$Z372*'RD Feedstock Breakdown'!BZ$3*'Feedstock Conversion Rates'!$B$3)/12+250-180</f>
        <v>85.35250000000002</v>
      </c>
      <c r="CA363" s="106">
        <f t="shared" si="392"/>
        <v>156.17958333333334</v>
      </c>
      <c r="CB363" s="104">
        <f>('Renewable Diesel'!AA372*'Feedstock Conversion Rates'!B$4)/12</f>
        <v>191.25</v>
      </c>
      <c r="CC363" s="106">
        <f t="shared" si="376"/>
        <v>191.25</v>
      </c>
      <c r="CD363" s="104">
        <f>('Renewable Diesel'!$AB372*'RD Feedstock Breakdown'!CD$3*'Feedstock Conversion Rates'!$B$6)/12-15-5</f>
        <v>12.830000000000005</v>
      </c>
      <c r="CE363" s="104">
        <f>('Renewable Diesel'!$AB372*'RD Feedstock Breakdown'!CE$3*'Feedstock Conversion Rates'!$B$4)/12+15+5</f>
        <v>31.25</v>
      </c>
      <c r="CF363" s="106">
        <f t="shared" si="372"/>
        <v>44.080000000000005</v>
      </c>
      <c r="CG363" s="104">
        <f>('Renewable Diesel'!AD372*'Feedstock Conversion Rates'!B$4)/12</f>
        <v>112.5</v>
      </c>
      <c r="CH363" s="106">
        <f t="shared" si="358"/>
        <v>112.5</v>
      </c>
      <c r="CI363" s="104">
        <f>('Renewable Diesel'!$AE372*'RD Feedstock Breakdown'!CI$3*'Feedstock Conversion Rates'!$B$5)/12</f>
        <v>0.34604166666666664</v>
      </c>
      <c r="CJ363" s="104">
        <f>('Renewable Diesel'!$AE372*'RD Feedstock Breakdown'!CJ$3*'Feedstock Conversion Rates'!$B$4)/12</f>
        <v>0.34375</v>
      </c>
      <c r="CK363" s="106">
        <f t="shared" si="368"/>
        <v>0.68979166666666658</v>
      </c>
      <c r="CL363" s="104">
        <f>(((CL$3*'Renewable Diesel'!$AF372)*'Feedstock Conversion Rates'!$B$3)/12)</f>
        <v>91.78125</v>
      </c>
      <c r="CM363" s="104">
        <f>(((CM$3*'Renewable Diesel'!$AF372)*'Feedstock Conversion Rates'!$B$6)/12)</f>
        <v>53.739583333333336</v>
      </c>
      <c r="CN363" s="104">
        <f>(((CN$3*'Renewable Diesel'!$AF372)*'Feedstock Conversion Rates'!$B$4)/12)</f>
        <v>42.96875</v>
      </c>
      <c r="CO363" s="106">
        <f t="shared" si="360"/>
        <v>188.48958333333334</v>
      </c>
      <c r="CP363" s="104">
        <f>('Renewable Diesel'!$AG372*'RD Feedstock Breakdown'!CP$3*'Feedstock Conversion Rates'!$B$3)/12</f>
        <v>6.0075000000000003</v>
      </c>
      <c r="CQ363" s="104">
        <f>('Renewable Diesel'!$AG372*'RD Feedstock Breakdown'!CQ$3*'Feedstock Conversion Rates'!$B$6)/12</f>
        <v>3.5175000000000001</v>
      </c>
      <c r="CR363" s="104">
        <f>('Renewable Diesel'!$AG372*'RD Feedstock Breakdown'!CR$3*'Feedstock Conversion Rates'!$B$4)/12</f>
        <v>2.8125</v>
      </c>
      <c r="CS363" s="106">
        <f t="shared" si="317"/>
        <v>12.3375</v>
      </c>
      <c r="CT363" s="104">
        <f>('Renewable Diesel'!AI372*'Feedstock Conversion Rates'!$B$4*'RD Feedstock Breakdown'!$CT$3)/12</f>
        <v>29.375</v>
      </c>
      <c r="CU363" s="106">
        <f t="shared" si="364"/>
        <v>29.375</v>
      </c>
      <c r="CV363" s="104">
        <f>('Renewable Diesel'!AN372*'Feedstock Conversion Rates'!$B$3*'RD Feedstock Breakdown'!$CV$3)/12</f>
        <v>0.50062499999999999</v>
      </c>
      <c r="CW363" s="106">
        <f t="shared" si="338"/>
        <v>0.50062499999999999</v>
      </c>
      <c r="CX363" s="104">
        <f>('Renewable Diesel'!AO372*'RD Feedstock Breakdown'!$CX$3*'Feedstock Conversion Rates'!$B$3)/12</f>
        <v>6.3412499999999996</v>
      </c>
      <c r="CY363" s="104">
        <f>('Renewable Diesel'!AO372*'RD Feedstock Breakdown'!$CY$3*'Feedstock Conversion Rates'!$B$6)/12</f>
        <v>7.4258333333333342</v>
      </c>
      <c r="CZ363" s="106">
        <f t="shared" si="318"/>
        <v>13.767083333333334</v>
      </c>
      <c r="DA363" s="104">
        <f>('Renewable Diesel'!$AP372*'RD Feedstock Breakdown'!DA$3*'Feedstock Conversion Rates'!$B$3)/12</f>
        <v>6.3412499999999996</v>
      </c>
      <c r="DB363" s="104">
        <f>('Renewable Diesel'!$AP372*'RD Feedstock Breakdown'!DB$3*'Feedstock Conversion Rates'!$B$8)/12</f>
        <v>7.421875</v>
      </c>
      <c r="DC363" s="106">
        <f t="shared" si="342"/>
        <v>13.763124999999999</v>
      </c>
      <c r="DD363" s="104">
        <f>('Renewable Diesel'!AQ372*$DD$3*'Feedstock Conversion Rates'!$B$14)/12</f>
        <v>3.1041666666666665</v>
      </c>
      <c r="DE363" s="106">
        <f t="shared" si="343"/>
        <v>3.1041666666666665</v>
      </c>
      <c r="DF363" s="104">
        <f>('Renewable Diesel'!AR372*'Feedstock Conversion Rates'!$B$4*$DF$3)/12</f>
        <v>75</v>
      </c>
      <c r="DG363" s="106">
        <f t="shared" si="319"/>
        <v>75</v>
      </c>
      <c r="DH363" s="104">
        <f>('Renewable Diesel'!AS372*'Feedstock Conversion Rates'!$B$4*$DH$3)/12</f>
        <v>75</v>
      </c>
      <c r="DI363" s="106">
        <f t="shared" si="323"/>
        <v>75</v>
      </c>
      <c r="DJ363" s="104">
        <f>('Renewable Diesel'!AT372*'Feedstock Conversion Rates'!$B$4*0.25)/12</f>
        <v>8.59375</v>
      </c>
      <c r="DK363" s="104">
        <f>('Renewable Diesel'!$AT372*'RD Feedstock Breakdown'!DK$3*'Feedstock Conversion Rates'!$B$3)/12*0.5</f>
        <v>9.1781249999999996</v>
      </c>
      <c r="DL363" s="104">
        <f>('Renewable Diesel'!$AT372*'RD Feedstock Breakdown'!$DL$3*'Feedstock Conversion Rates'!$B$6)/12</f>
        <v>10.747916666666669</v>
      </c>
      <c r="DM363" s="104">
        <f>('Renewable Diesel'!$AT372*'RD Feedstock Breakdown'!$DM$3*'Feedstock Conversion Rates'!$B$8)/12</f>
        <v>10.7421875</v>
      </c>
      <c r="DN363" s="106">
        <f t="shared" si="375"/>
        <v>39.26197916666667</v>
      </c>
      <c r="DP363" s="104">
        <f t="shared" si="345"/>
        <v>103.22025000000001</v>
      </c>
      <c r="DQ363" s="104">
        <f t="shared" si="346"/>
        <v>349.11776750000007</v>
      </c>
      <c r="DR363" s="104">
        <f t="shared" si="351"/>
        <v>1891.953125</v>
      </c>
      <c r="DS363" s="104">
        <f t="shared" si="365"/>
        <v>228.90125</v>
      </c>
      <c r="DT363" s="104">
        <f t="shared" si="347"/>
        <v>243.03923333333344</v>
      </c>
      <c r="DU363" s="104">
        <f t="shared" si="348"/>
        <v>402.90610000000009</v>
      </c>
      <c r="DV363" s="104">
        <f t="shared" si="352"/>
        <v>78.75</v>
      </c>
      <c r="DW363" s="104">
        <f t="shared" si="349"/>
        <v>3</v>
      </c>
      <c r="DX363" s="106">
        <f t="shared" si="353"/>
        <v>3300.8877258333337</v>
      </c>
      <c r="DY363" s="109">
        <f t="shared" si="340"/>
        <v>-5.631051180898794E-13</v>
      </c>
      <c r="EA363" s="110">
        <f t="shared" si="393"/>
        <v>3.1270451640078516E-2</v>
      </c>
      <c r="EB363" s="110">
        <f t="shared" si="393"/>
        <v>0.10576481131658687</v>
      </c>
      <c r="EC363" s="110">
        <f t="shared" si="393"/>
        <v>0.57316494293133291</v>
      </c>
      <c r="ED363" s="110">
        <f t="shared" si="393"/>
        <v>6.9345360706629972E-2</v>
      </c>
      <c r="EE363" s="110">
        <f t="shared" si="393"/>
        <v>7.3628445896921982E-2</v>
      </c>
      <c r="EF363" s="110">
        <f t="shared" si="393"/>
        <v>0.1220599225010852</v>
      </c>
      <c r="EG363" s="110">
        <f t="shared" si="384"/>
        <v>2.3857218585075921E-2</v>
      </c>
      <c r="EH363" s="111">
        <f t="shared" si="354"/>
        <v>9.0884642228860647E-4</v>
      </c>
      <c r="EI363" s="110">
        <f t="shared" si="321"/>
        <v>0.99909115357771139</v>
      </c>
      <c r="EK363" s="132">
        <f>(EA363*'Renewable Diesel'!BF372*'Feedstock Conversion Rates'!B$2)+FB363</f>
        <v>633.76354070448338</v>
      </c>
      <c r="EL363" s="132">
        <f>(EB363*'Renewable Diesel'!BF372*'Feedstock Conversion Rates'!B$3)+FC363</f>
        <v>2019.9838019172234</v>
      </c>
      <c r="EM363" s="132">
        <f>(EC363*'Renewable Diesel'!BF372*'Feedstock Conversion Rates'!B$4)+FD363</f>
        <v>10249.792053858377</v>
      </c>
      <c r="EN363" s="132">
        <f>(ED363*'Renewable Diesel'!BF372*'Feedstock Conversion Rates'!B$5)+FE363</f>
        <v>1248.3562358117999</v>
      </c>
      <c r="EO363" s="132">
        <f>(EE363*'Renewable Diesel'!BF372*'Feedstock Conversion Rates'!B$6)+FF363</f>
        <v>1646.7309345449676</v>
      </c>
      <c r="EP363" s="132">
        <f>(EF363*'Renewable Diesel'!BF372*'Feedstock Conversion Rates'!B$7)+FG363</f>
        <v>2677.5345841633603</v>
      </c>
      <c r="EQ363" s="132">
        <f>(EG363*'Renewable Diesel'!BF372*'Feedstock Conversion Rates'!B$8)+FH363</f>
        <v>533.29223222783821</v>
      </c>
      <c r="ER363" s="132">
        <f>(EH363*'Renewable Diesel'!BF372*'Feedstock Conversion Rates'!B$9)+FI363</f>
        <v>20.045015966913024</v>
      </c>
      <c r="ES363" s="132">
        <f t="shared" si="355"/>
        <v>19029.498399194963</v>
      </c>
      <c r="ET363" s="133">
        <f>ES363/'Renewable Diesel'!BF372</f>
        <v>18.449658793606801</v>
      </c>
      <c r="EW363" s="73">
        <f t="shared" si="386"/>
        <v>18022.445986373648</v>
      </c>
      <c r="EX363" s="73">
        <f t="shared" si="387"/>
        <v>11804.800836959221</v>
      </c>
      <c r="EY363" s="92">
        <f t="shared" si="341"/>
        <v>0.94707940316157169</v>
      </c>
      <c r="EZ363" s="92">
        <f t="shared" si="341"/>
        <v>0.62034219658982814</v>
      </c>
      <c r="FB363" s="102">
        <f>IF('Renewable Diesel'!$BG372&lt;1,0,(((('Renewable Diesel'!$BG372-1)*'Renewable Diesel'!$BF372)*'RD Feedstock Breakdown'!EA363)*'Feedstock Conversion Rates'!$B$2))</f>
        <v>359.61112213064928</v>
      </c>
      <c r="FC363" s="102">
        <f>IF('Renewable Diesel'!$BG372&lt;1,0,(((('Renewable Diesel'!$BG372-1)*'Renewable Diesel'!$BF372)*'RD Feedstock Breakdown'!EB363)*'Feedstock Conversion Rates'!$B$3))</f>
        <v>1146.1824403557855</v>
      </c>
      <c r="FD363" s="102">
        <f>IF('Renewable Diesel'!$BG372&lt;1,0,(((('Renewable Diesel'!$BG372-1)*'Renewable Diesel'!$BF372)*'RD Feedstock Breakdown'!EC363)*'Feedstock Conversion Rates'!$B$4))</f>
        <v>5815.9534043195054</v>
      </c>
      <c r="FE363" s="102">
        <f>IF('Renewable Diesel'!$BG372&lt;1,0,(((('Renewable Diesel'!$BG372-1)*'Renewable Diesel'!$BF372)*'RD Feedstock Breakdown'!ED363)*'Feedstock Conversion Rates'!$B$5))</f>
        <v>708.34429238396717</v>
      </c>
      <c r="FF363" s="102">
        <f>IF('Renewable Diesel'!$BG372&lt;1,0,(((('Renewable Diesel'!$BG372-1)*'Renewable Diesel'!$BF372)*'RD Feedstock Breakdown'!EE363)*'Feedstock Conversion Rates'!$B$6))</f>
        <v>934.39070123962313</v>
      </c>
      <c r="FG363" s="102">
        <f>IF('Renewable Diesel'!$BG372&lt;1,0,(((('Renewable Diesel'!$BG372-1)*'Renewable Diesel'!$BF372)*'RD Feedstock Breakdown'!EF363)*'Feedstock Conversion Rates'!$B$7))</f>
        <v>1519.2909571356727</v>
      </c>
      <c r="FH363" s="102">
        <f>IF('Renewable Diesel'!$BG372&lt;1,0,(((('Renewable Diesel'!$BG372-1)*'Renewable Diesel'!$BF372)*'RD Feedstock Breakdown'!EG363)*'Feedstock Conversion Rates'!$B$8))</f>
        <v>302.60153154571492</v>
      </c>
      <c r="FI363" s="102">
        <f>IF('Renewable Diesel'!$BG372&lt;1,0,(((('Renewable Diesel'!$BG372-1)*'Renewable Diesel'!$BF372)*'RD Feedstock Breakdown'!EH363)*'Feedstock Conversion Rates'!$B$9))</f>
        <v>11.373975026988139</v>
      </c>
      <c r="FJ363" s="102">
        <f t="shared" si="388"/>
        <v>10797.748424137908</v>
      </c>
      <c r="GD363" s="91">
        <f>'Renewable Diesel'!BB372*0.32</f>
        <v>0</v>
      </c>
      <c r="GE363" s="91">
        <f>'Renewable Diesel'!BC372</f>
        <v>436.91412379586603</v>
      </c>
      <c r="GF363" s="91">
        <f>'Renewable Diesel'!BD372</f>
        <v>0</v>
      </c>
      <c r="GG363" s="91">
        <f t="shared" si="373"/>
        <v>436.91412379586603</v>
      </c>
      <c r="GH363" s="124">
        <v>1</v>
      </c>
      <c r="GI363" s="102">
        <f>$GG363*EA363*'Feedstock Conversion Rates'!$B$2</f>
        <v>116.1312668217202</v>
      </c>
      <c r="GJ363" s="102">
        <f>$GG363*EB363*'Feedstock Conversion Rates'!$B$3</f>
        <v>370.14322031722139</v>
      </c>
      <c r="GK363" s="102">
        <f>$GG363*EC363*'Feedstock Conversion Rates'!$B$4</f>
        <v>1878.1789412351316</v>
      </c>
      <c r="GL363" s="102">
        <f>$GG363*ED363*'Feedstock Conversion Rates'!$B$5</f>
        <v>228.7496547189636</v>
      </c>
      <c r="GM363" s="102">
        <f>$GG363*EE363*'Feedstock Conversion Rates'!$B$6</f>
        <v>301.7481083412369</v>
      </c>
      <c r="GN363" s="102">
        <f>$GG363*EF363*'Feedstock Conversion Rates'!$B$7</f>
        <v>490.63327762940713</v>
      </c>
      <c r="GO363" s="102">
        <f>$GG363*EG363*'Feedstock Conversion Rates'!$B$8</f>
        <v>97.720835196608405</v>
      </c>
      <c r="GP363" s="102">
        <f>$GG363*EH363*'Feedstock Conversion Rates'!B$9</f>
        <v>3.6730625038979161</v>
      </c>
      <c r="GQ363" s="102">
        <f t="shared" si="356"/>
        <v>3486.9783667641868</v>
      </c>
      <c r="GT363" s="103">
        <f t="shared" si="389"/>
        <v>3.3304269372191886E-2</v>
      </c>
      <c r="GU363" s="103">
        <f t="shared" si="390"/>
        <v>0.10615013383656388</v>
      </c>
      <c r="GV363" s="103">
        <f t="shared" si="391"/>
        <v>0.53862649654979822</v>
      </c>
      <c r="GW363" s="103">
        <f t="shared" si="331"/>
        <v>6.5601110950176761E-2</v>
      </c>
      <c r="GX363" s="103">
        <f t="shared" si="331"/>
        <v>8.6535698419388282E-2</v>
      </c>
      <c r="GY363" s="103">
        <f t="shared" si="331"/>
        <v>0.14070442257566981</v>
      </c>
      <c r="GZ363" s="103">
        <f t="shared" si="331"/>
        <v>2.802450285554552E-2</v>
      </c>
      <c r="HA363" s="103">
        <f t="shared" si="331"/>
        <v>1.0533654406655838E-3</v>
      </c>
    </row>
    <row r="364" spans="1:209" x14ac:dyDescent="0.25">
      <c r="A364" s="96">
        <v>51502</v>
      </c>
      <c r="B364" s="104">
        <f t="shared" si="394"/>
        <v>44.25</v>
      </c>
      <c r="C364" s="104">
        <f t="shared" si="314"/>
        <v>49</v>
      </c>
      <c r="D364" s="104">
        <f t="shared" si="395"/>
        <v>2</v>
      </c>
      <c r="E364" s="104">
        <f>('Renewable Diesel'!B373*E$3*'Feedstock Conversion Rates'!$B$2)/12+26+13-100+27.5+39</f>
        <v>95.43</v>
      </c>
      <c r="F364" s="104">
        <f>('Renewable Diesel'!B373*'RD Feedstock Breakdown'!F$3*'Feedstock Conversion Rates'!B$8)/12+77+23-10-12-115.75+24+8</f>
        <v>48.15625</v>
      </c>
      <c r="G364" s="104">
        <f>('Renewable Diesel'!B373*'RD Feedstock Breakdown'!G$3*'Feedstock Conversion Rates'!B$7)/12+116.75-39-57.5-145-31.5+32+70-40+10+60</f>
        <v>151.90700000000004</v>
      </c>
      <c r="H364" s="104">
        <f>('Renewable Diesel'!B373*'RD Feedstock Breakdown'!H$3*'Feedstock Conversion Rates'!B$3)/12+67+10+12+3-235+20+47-20+25</f>
        <v>105.40022499999998</v>
      </c>
      <c r="I364" s="106">
        <f t="shared" si="370"/>
        <v>496.14347500000002</v>
      </c>
      <c r="J364" s="104">
        <f t="shared" si="332"/>
        <v>4</v>
      </c>
      <c r="K364" s="104"/>
      <c r="L364" s="104">
        <v>1</v>
      </c>
      <c r="M364" s="104">
        <f>('Renewable Diesel'!C373*'RD Feedstock Breakdown'!M$3*'Feedstock Conversion Rates'!B$2)/12</f>
        <v>7.7902500000000003</v>
      </c>
      <c r="N364" s="104">
        <f>('Renewable Diesel'!C373*'RD Feedstock Breakdown'!N$3*'Feedstock Conversion Rates'!B$8)/12</f>
        <v>3.671875</v>
      </c>
      <c r="O364" s="104">
        <f>('Renewable Diesel'!C373*'RD Feedstock Breakdown'!O$3*'Feedstock Conversion Rates'!B$7)/12</f>
        <v>11.9991</v>
      </c>
      <c r="P364" s="104">
        <f>('Renewable Diesel'!C373*'RD Feedstock Breakdown'!P$3*'Feedstock Conversion Rates'!B$3)/12</f>
        <v>10.4470425</v>
      </c>
      <c r="Q364" s="106">
        <f t="shared" si="379"/>
        <v>38.908267500000001</v>
      </c>
      <c r="R364" s="104">
        <f>('Renewable Diesel'!D373*'RD Feedstock Breakdown'!R$3*'Feedstock Conversion Rates'!B$7)/12</f>
        <v>2.2999999999999998</v>
      </c>
      <c r="S364" s="106">
        <f t="shared" si="329"/>
        <v>2.2999999999999998</v>
      </c>
      <c r="T364" s="104">
        <f t="shared" si="380"/>
        <v>0.82499999999999929</v>
      </c>
      <c r="U364" s="104"/>
      <c r="V364" s="104">
        <f>('Renewable Diesel'!E373*'RD Feedstock Breakdown'!V$3*'Feedstock Conversion Rates'!B$6)/12-20+25</f>
        <v>49.250150000000012</v>
      </c>
      <c r="W364" s="104">
        <f>('Renewable Diesel'!E373*'RD Feedstock Breakdown'!W$3*'Feedstock Conversion Rates'!B$8)/12-6</f>
        <v>16.1796875</v>
      </c>
      <c r="X364" s="106">
        <f t="shared" si="357"/>
        <v>66.254837500000008</v>
      </c>
      <c r="Y364" s="104">
        <f t="shared" si="381"/>
        <v>98</v>
      </c>
      <c r="Z364" s="104">
        <f>('Renewable Diesel'!F373*'RD Feedstock Breakdown'!Z$3*'Feedstock Conversion Rates'!B$6)/12-142+15+5+20+5+15</f>
        <v>77.460000000000008</v>
      </c>
      <c r="AA364" s="104">
        <f>('Renewable Diesel'!F373*'RD Feedstock Breakdown'!AA$3*'Feedstock Conversion Rates'!B$7)/12+24</f>
        <v>128.26666666666665</v>
      </c>
      <c r="AB364" s="106">
        <f t="shared" si="320"/>
        <v>303.72666666666669</v>
      </c>
      <c r="AC364" s="104">
        <f>('Renewable Diesel'!G373*'RD Feedstock Breakdown'!AC$3*'Feedstock Conversion Rates'!B$5)/12</f>
        <v>11.796875</v>
      </c>
      <c r="AD364" s="104">
        <f>('Renewable Diesel'!G373*'RD Feedstock Breakdown'!AD$3*'Feedstock Conversion Rates'!B$4)/12</f>
        <v>5.859375</v>
      </c>
      <c r="AE364" s="104">
        <f>('Renewable Diesel'!G373*'RD Feedstock Breakdown'!AE$3*'Feedstock Conversion Rates'!B$6)/12</f>
        <v>7.3281250000000009</v>
      </c>
      <c r="AF364" s="106">
        <f t="shared" si="366"/>
        <v>24.984375</v>
      </c>
      <c r="AG364" s="104">
        <f t="shared" si="383"/>
        <v>148</v>
      </c>
      <c r="AH364" s="104"/>
      <c r="AI364" s="104">
        <f>('Renewable Diesel'!H373*'RD Feedstock Breakdown'!AI$3*'Feedstock Conversion Rates'!B$6)/12-130-20+51-49</f>
        <v>0.51666666666667993</v>
      </c>
      <c r="AJ364" s="106">
        <f t="shared" si="328"/>
        <v>148.51666666666668</v>
      </c>
      <c r="AK364" s="104">
        <f>('Renewable Diesel'!J373*'RD Feedstock Breakdown'!AK$3*'Feedstock Conversion Rates'!B$4)/12</f>
        <v>95.8125</v>
      </c>
      <c r="AL364" s="106">
        <f t="shared" si="330"/>
        <v>95.8125</v>
      </c>
      <c r="AM364" s="104">
        <f>('Renewable Diesel'!K373*'RD Feedstock Breakdown'!AM$3*'Feedstock Conversion Rates'!B$4)/12+5+15-10+10</f>
        <v>78.59375</v>
      </c>
      <c r="AN364" s="104">
        <f>('Renewable Diesel'!K373*'RD Feedstock Breakdown'!AN$3*'Feedstock Conversion Rates'!B$6)/12-5-15+10-10</f>
        <v>4.4270833333333321</v>
      </c>
      <c r="AO364" s="106">
        <f t="shared" si="350"/>
        <v>83.020833333333329</v>
      </c>
      <c r="AP364" s="104">
        <f>('Renewable Diesel'!L373*'RD Feedstock Breakdown'!AP$3*'Feedstock Conversion Rates'!B$4)/12+15-10+15</f>
        <v>78.59375</v>
      </c>
      <c r="AQ364" s="104">
        <f>('Renewable Diesel'!L373*'RD Feedstock Breakdown'!AQ$3*'Feedstock Conversion Rates'!B$6)/12-15+10-15</f>
        <v>4.4270833333333321</v>
      </c>
      <c r="AR364" s="106">
        <f t="shared" si="339"/>
        <v>83.020833333333329</v>
      </c>
      <c r="AS364" s="104">
        <f>('Renewable Diesel'!M373*'RD Feedstock Breakdown'!AS$3*'Feedstock Conversion Rates'!B$4)/12</f>
        <v>456.25</v>
      </c>
      <c r="AT364" s="104">
        <f>('Renewable Diesel'!M373*'RD Feedstock Breakdown'!AT$3*'Feedstock Conversion Rates'!B$5)/12</f>
        <v>0</v>
      </c>
      <c r="AU364" s="106">
        <f t="shared" si="369"/>
        <v>456.25</v>
      </c>
      <c r="AV364" s="104">
        <f>'Renewable Diesel'!N373*'RD Feedstock Breakdown'!$AV$3*'Feedstock Conversion Rates'!$B$4/12-15-10+25+25-22+25</f>
        <v>106.74999999999999</v>
      </c>
      <c r="AW364" s="104">
        <f>'Renewable Diesel'!N373*'RD Feedstock Breakdown'!$AW$3*'Feedstock Conversion Rates'!$B$7/12+15+10-25-25+22-25</f>
        <v>13.400000000000006</v>
      </c>
      <c r="AX364" s="106">
        <f t="shared" si="322"/>
        <v>120.14999999999999</v>
      </c>
      <c r="AY364" s="104">
        <f>('Renewable Diesel'!O373*'RD Feedstock Breakdown'!AY$3*'Feedstock Conversion Rates'!B$4)/12</f>
        <v>210.9375</v>
      </c>
      <c r="AZ364" s="104">
        <f>('Renewable Diesel'!O373*'RD Feedstock Breakdown'!AZ$3*'Feedstock Conversion Rates'!B$3)/12</f>
        <v>25.03125</v>
      </c>
      <c r="BA364" s="106">
        <f t="shared" si="382"/>
        <v>235.96875</v>
      </c>
      <c r="BB364" s="104">
        <f>('Renewable Diesel'!Q373*'RD Feedstock Breakdown'!BB$3*'Feedstock Conversion Rates'!B$4)/12</f>
        <v>11.156249999999998</v>
      </c>
      <c r="BC364" s="104">
        <f>('Renewable Diesel'!Q373*'RD Feedstock Breakdown'!BC$3*'Feedstock Conversion Rates'!B$3)/12</f>
        <v>1.4017500000000001</v>
      </c>
      <c r="BD364" s="104">
        <f>('Renewable Diesel'!Q373*'RD Feedstock Breakdown'!BD$3*'Feedstock Conversion Rates'!B$6)/12</f>
        <v>0.8207500000000002</v>
      </c>
      <c r="BE364" s="106">
        <f t="shared" si="359"/>
        <v>13.378749999999998</v>
      </c>
      <c r="BF364" s="104">
        <f>('Renewable Diesel'!R373*'RD Feedstock Breakdown'!BF$3*'Feedstock Conversion Rates'!B$4)/12</f>
        <v>62.5</v>
      </c>
      <c r="BG364" s="106">
        <f t="shared" si="344"/>
        <v>62.5</v>
      </c>
      <c r="BH364" s="104">
        <f>('Renewable Diesel'!T373*'RD Feedstock Breakdown'!BH$3*'Feedstock Conversion Rates'!B$7)/12</f>
        <v>27.599999999999998</v>
      </c>
      <c r="BI364" s="106">
        <f t="shared" si="327"/>
        <v>27.599999999999998</v>
      </c>
      <c r="BJ364" s="104">
        <f>('Renewable Diesel'!W373*'RD Feedstock Breakdown'!BJ$3*'Feedstock Conversion Rates'!B$4)/12</f>
        <v>7.5</v>
      </c>
      <c r="BK364" s="104">
        <f>('Renewable Diesel'!W373*'RD Feedstock Breakdown'!BK$3*'Feedstock Conversion Rates'!B$3)/12</f>
        <v>1.335</v>
      </c>
      <c r="BL364" s="104">
        <f>('Renewable Diesel'!W373*'RD Feedstock Breakdown'!BL$3*'Feedstock Conversion Rates'!B$6)/12</f>
        <v>3.1266666666666669</v>
      </c>
      <c r="BM364" s="104">
        <f>('Renewable Diesel'!W373*'RD Feedstock Breakdown'!BM$3*'Feedstock Conversion Rates'!B$7)/12</f>
        <v>1.5333333333333332</v>
      </c>
      <c r="BN364" s="106">
        <f t="shared" si="374"/>
        <v>13.495000000000001</v>
      </c>
      <c r="BO364" s="104">
        <f>('Renewable Diesel'!P373*'Feedstock Conversion Rates'!B$4)/12</f>
        <v>31.25</v>
      </c>
      <c r="BP364" s="106">
        <f t="shared" si="367"/>
        <v>31.25</v>
      </c>
      <c r="BQ364" s="104">
        <f>('Renewable Diesel'!$S373*'RD Feedstock Breakdown'!BQ$3*'Feedstock Conversion Rates'!B$4)/12+10+15-15</f>
        <v>38.125</v>
      </c>
      <c r="BR364" s="104">
        <f>('Renewable Diesel'!$S373*'RD Feedstock Breakdown'!BR$3*'Feedstock Conversion Rates'!B$7)/12-10-15+15</f>
        <v>1.5</v>
      </c>
      <c r="BS364" s="106">
        <f t="shared" si="385"/>
        <v>39.625</v>
      </c>
      <c r="BT364" s="106"/>
      <c r="BU364" s="104">
        <f>('Renewable Diesel'!Y373*'Feedstock Conversion Rates'!B$7)/12</f>
        <v>2.6833333333333331</v>
      </c>
      <c r="BV364" s="106">
        <f t="shared" si="361"/>
        <v>2.6833333333333331</v>
      </c>
      <c r="BW364" s="104">
        <f>('Renewable Diesel'!$Z373*'RD Feedstock Breakdown'!BW$3*'Feedstock Conversion Rates'!$B$4)/12-250+180</f>
        <v>1.875</v>
      </c>
      <c r="BX364" s="104">
        <f>('Renewable Diesel'!$Z373*'RD Feedstock Breakdown'!BX$3*'Feedstock Conversion Rates'!$B$5)/12</f>
        <v>7.2354166666666666</v>
      </c>
      <c r="BY364" s="104">
        <f>('Renewable Diesel'!$Z373*'RD Feedstock Breakdown'!BY$3*'Feedstock Conversion Rates'!$B$7)/12</f>
        <v>61.716666666666661</v>
      </c>
      <c r="BZ364" s="104">
        <f>('Renewable Diesel'!$Z373*'RD Feedstock Breakdown'!BZ$3*'Feedstock Conversion Rates'!$B$3)/12+250-180</f>
        <v>85.35250000000002</v>
      </c>
      <c r="CA364" s="106">
        <f t="shared" si="392"/>
        <v>156.17958333333334</v>
      </c>
      <c r="CB364" s="104">
        <f>('Renewable Diesel'!AA373*'Feedstock Conversion Rates'!B$4)/12</f>
        <v>191.25</v>
      </c>
      <c r="CC364" s="106">
        <f t="shared" si="376"/>
        <v>191.25</v>
      </c>
      <c r="CD364" s="104">
        <f>('Renewable Diesel'!$AB373*'RD Feedstock Breakdown'!CD$3*'Feedstock Conversion Rates'!$B$6)/12-15-5</f>
        <v>12.830000000000005</v>
      </c>
      <c r="CE364" s="104">
        <f>('Renewable Diesel'!$AB373*'RD Feedstock Breakdown'!CE$3*'Feedstock Conversion Rates'!$B$4)/12+15+5</f>
        <v>31.25</v>
      </c>
      <c r="CF364" s="106">
        <f t="shared" si="372"/>
        <v>44.080000000000005</v>
      </c>
      <c r="CG364" s="104">
        <f>('Renewable Diesel'!AD373*'Feedstock Conversion Rates'!B$4)/12</f>
        <v>112.5</v>
      </c>
      <c r="CH364" s="106">
        <f t="shared" si="358"/>
        <v>112.5</v>
      </c>
      <c r="CI364" s="104">
        <f>('Renewable Diesel'!$AE373*'RD Feedstock Breakdown'!CI$3*'Feedstock Conversion Rates'!$B$5)/12</f>
        <v>0.34604166666666664</v>
      </c>
      <c r="CJ364" s="104">
        <f>('Renewable Diesel'!$AE373*'RD Feedstock Breakdown'!CJ$3*'Feedstock Conversion Rates'!$B$4)/12</f>
        <v>0.34375</v>
      </c>
      <c r="CK364" s="106">
        <f t="shared" si="368"/>
        <v>0.68979166666666658</v>
      </c>
      <c r="CL364" s="104">
        <f>(((CL$3*'Renewable Diesel'!$AF373)*'Feedstock Conversion Rates'!$B$3)/12)</f>
        <v>91.78125</v>
      </c>
      <c r="CM364" s="104">
        <f>(((CM$3*'Renewable Diesel'!$AF373)*'Feedstock Conversion Rates'!$B$6)/12)</f>
        <v>53.739583333333336</v>
      </c>
      <c r="CN364" s="104">
        <f>(((CN$3*'Renewable Diesel'!$AF373)*'Feedstock Conversion Rates'!$B$4)/12)</f>
        <v>42.96875</v>
      </c>
      <c r="CO364" s="106">
        <f t="shared" si="360"/>
        <v>188.48958333333334</v>
      </c>
      <c r="CP364" s="104">
        <f>('Renewable Diesel'!$AG373*'RD Feedstock Breakdown'!CP$3*'Feedstock Conversion Rates'!$B$3)/12</f>
        <v>6.0075000000000003</v>
      </c>
      <c r="CQ364" s="104">
        <f>('Renewable Diesel'!$AG373*'RD Feedstock Breakdown'!CQ$3*'Feedstock Conversion Rates'!$B$6)/12</f>
        <v>3.5175000000000001</v>
      </c>
      <c r="CR364" s="104">
        <f>('Renewable Diesel'!$AG373*'RD Feedstock Breakdown'!CR$3*'Feedstock Conversion Rates'!$B$4)/12</f>
        <v>2.8125</v>
      </c>
      <c r="CS364" s="106">
        <f t="shared" si="317"/>
        <v>12.3375</v>
      </c>
      <c r="CT364" s="104">
        <f>('Renewable Diesel'!AI373*'Feedstock Conversion Rates'!$B$4*'RD Feedstock Breakdown'!$CT$3)/12</f>
        <v>29.375</v>
      </c>
      <c r="CU364" s="106">
        <f t="shared" si="364"/>
        <v>29.375</v>
      </c>
      <c r="CV364" s="104">
        <f>('Renewable Diesel'!AN373*'Feedstock Conversion Rates'!$B$3*'RD Feedstock Breakdown'!$CV$3)/12</f>
        <v>0.50062499999999999</v>
      </c>
      <c r="CW364" s="106">
        <f t="shared" si="338"/>
        <v>0.50062499999999999</v>
      </c>
      <c r="CX364" s="104">
        <f>('Renewable Diesel'!AO373*'RD Feedstock Breakdown'!$CX$3*'Feedstock Conversion Rates'!$B$3)/12</f>
        <v>6.3412499999999996</v>
      </c>
      <c r="CY364" s="104">
        <f>('Renewable Diesel'!AO373*'RD Feedstock Breakdown'!$CY$3*'Feedstock Conversion Rates'!$B$6)/12</f>
        <v>7.4258333333333342</v>
      </c>
      <c r="CZ364" s="106">
        <f t="shared" si="318"/>
        <v>13.767083333333334</v>
      </c>
      <c r="DA364" s="104">
        <f>('Renewable Diesel'!$AP373*'RD Feedstock Breakdown'!DA$3*'Feedstock Conversion Rates'!$B$3)/12</f>
        <v>6.3412499999999996</v>
      </c>
      <c r="DB364" s="104">
        <f>('Renewable Diesel'!$AP373*'RD Feedstock Breakdown'!DB$3*'Feedstock Conversion Rates'!$B$8)/12</f>
        <v>7.421875</v>
      </c>
      <c r="DC364" s="106">
        <f t="shared" si="342"/>
        <v>13.763124999999999</v>
      </c>
      <c r="DD364" s="104">
        <f>('Renewable Diesel'!AQ373*$DD$3*'Feedstock Conversion Rates'!$B$14)/12</f>
        <v>3.1041666666666665</v>
      </c>
      <c r="DE364" s="106">
        <f t="shared" si="343"/>
        <v>3.1041666666666665</v>
      </c>
      <c r="DF364" s="104">
        <f>('Renewable Diesel'!AR373*'Feedstock Conversion Rates'!$B$4*$DF$3)/12</f>
        <v>75</v>
      </c>
      <c r="DG364" s="106">
        <f t="shared" si="319"/>
        <v>75</v>
      </c>
      <c r="DH364" s="104">
        <f>('Renewable Diesel'!AS373*'Feedstock Conversion Rates'!$B$4*$DH$3)/12</f>
        <v>75</v>
      </c>
      <c r="DI364" s="106">
        <f t="shared" si="323"/>
        <v>75</v>
      </c>
      <c r="DJ364" s="104">
        <f>('Renewable Diesel'!AT373*'Feedstock Conversion Rates'!$B$4*0.25)/12</f>
        <v>8.59375</v>
      </c>
      <c r="DK364" s="104">
        <f>('Renewable Diesel'!$AT373*'RD Feedstock Breakdown'!DK$3*'Feedstock Conversion Rates'!$B$3)/12*0.5</f>
        <v>9.1781249999999996</v>
      </c>
      <c r="DL364" s="104">
        <f>('Renewable Diesel'!$AT373*'RD Feedstock Breakdown'!$DL$3*'Feedstock Conversion Rates'!$B$6)/12</f>
        <v>10.747916666666669</v>
      </c>
      <c r="DM364" s="104">
        <f>('Renewable Diesel'!$AT373*'RD Feedstock Breakdown'!$DM$3*'Feedstock Conversion Rates'!$B$8)/12</f>
        <v>10.7421875</v>
      </c>
      <c r="DN364" s="106">
        <f t="shared" si="375"/>
        <v>39.26197916666667</v>
      </c>
      <c r="DP364" s="104">
        <f t="shared" si="345"/>
        <v>103.22025000000001</v>
      </c>
      <c r="DQ364" s="104">
        <f t="shared" si="346"/>
        <v>349.11776750000007</v>
      </c>
      <c r="DR364" s="104">
        <f t="shared" si="351"/>
        <v>1891.953125</v>
      </c>
      <c r="DS364" s="104">
        <f t="shared" si="365"/>
        <v>228.90125</v>
      </c>
      <c r="DT364" s="104">
        <f t="shared" si="347"/>
        <v>243.03923333333344</v>
      </c>
      <c r="DU364" s="104">
        <f t="shared" si="348"/>
        <v>402.90610000000009</v>
      </c>
      <c r="DV364" s="104">
        <f t="shared" si="352"/>
        <v>78.75</v>
      </c>
      <c r="DW364" s="104">
        <f t="shared" si="349"/>
        <v>3</v>
      </c>
      <c r="DX364" s="106">
        <f t="shared" si="353"/>
        <v>3300.8877258333337</v>
      </c>
      <c r="DY364" s="109">
        <f t="shared" si="340"/>
        <v>-5.631051180898794E-13</v>
      </c>
      <c r="EA364" s="110">
        <f t="shared" si="393"/>
        <v>3.1270451640078516E-2</v>
      </c>
      <c r="EB364" s="110">
        <f t="shared" si="393"/>
        <v>0.10576481131658687</v>
      </c>
      <c r="EC364" s="110">
        <f t="shared" si="393"/>
        <v>0.57316494293133291</v>
      </c>
      <c r="ED364" s="110">
        <f t="shared" si="393"/>
        <v>6.9345360706629972E-2</v>
      </c>
      <c r="EE364" s="110">
        <f t="shared" si="393"/>
        <v>7.3628445896921982E-2</v>
      </c>
      <c r="EF364" s="110">
        <f t="shared" si="393"/>
        <v>0.1220599225010852</v>
      </c>
      <c r="EG364" s="110">
        <f t="shared" si="384"/>
        <v>2.3857218585075921E-2</v>
      </c>
      <c r="EH364" s="111">
        <f t="shared" si="354"/>
        <v>9.0884642228860647E-4</v>
      </c>
      <c r="EI364" s="110">
        <f t="shared" si="321"/>
        <v>0.99909115357771139</v>
      </c>
      <c r="EK364" s="132">
        <f>(EA364*'Renewable Diesel'!BF373*'Feedstock Conversion Rates'!B$2)+FB364</f>
        <v>209.00529388679828</v>
      </c>
      <c r="EL364" s="132">
        <f>(EB364*'Renewable Diesel'!BF373*'Feedstock Conversion Rates'!B$3)+FC364</f>
        <v>666.15903416751212</v>
      </c>
      <c r="EM364" s="132">
        <f>(EC364*'Renewable Diesel'!BF373*'Feedstock Conversion Rates'!B$4)+FD364</f>
        <v>3380.2209545123574</v>
      </c>
      <c r="EN364" s="132">
        <f>(ED364*'Renewable Diesel'!BF373*'Feedstock Conversion Rates'!B$5)+FE364</f>
        <v>411.68834302338519</v>
      </c>
      <c r="EO364" s="132">
        <f>(EE364*'Renewable Diesel'!BF373*'Feedstock Conversion Rates'!B$6)+FF364</f>
        <v>543.06608194039052</v>
      </c>
      <c r="EP364" s="132">
        <f>(EF364*'Renewable Diesel'!BF373*'Feedstock Conversion Rates'!B$7)+FG364</f>
        <v>883.00898791537327</v>
      </c>
      <c r="EQ364" s="132">
        <f>(EG364*'Renewable Diesel'!BF373*'Feedstock Conversion Rates'!B$8)+FH364</f>
        <v>175.87142927222902</v>
      </c>
      <c r="ER364" s="132">
        <f>(EH364*'Renewable Diesel'!BF373*'Feedstock Conversion Rates'!B$9)+FI364</f>
        <v>6.6105324526450513</v>
      </c>
      <c r="ES364" s="132">
        <f t="shared" si="355"/>
        <v>6275.6306571706909</v>
      </c>
      <c r="ET364" s="133">
        <f>ES364/'Renewable Diesel'!BF373</f>
        <v>10.422769579808284</v>
      </c>
      <c r="EW364" s="73">
        <f t="shared" si="386"/>
        <v>4680.2775300224212</v>
      </c>
      <c r="EX364" s="73">
        <f t="shared" si="387"/>
        <v>3065.6074178490057</v>
      </c>
      <c r="EY364" s="92">
        <f t="shared" si="341"/>
        <v>0.74578600712816334</v>
      </c>
      <c r="EZ364" s="92">
        <f t="shared" si="341"/>
        <v>0.48849391962641503</v>
      </c>
      <c r="FB364" s="102">
        <f>IF('Renewable Diesel'!$BG373&lt;1,0,(((('Renewable Diesel'!$BG373-1)*'Renewable Diesel'!$BF373)*'RD Feedstock Breakdown'!EA364)*'Feedstock Conversion Rates'!$B$2))</f>
        <v>48.965744943118246</v>
      </c>
      <c r="FC364" s="102">
        <f>IF('Renewable Diesel'!$BG373&lt;1,0,(((('Renewable Diesel'!$BG373-1)*'Renewable Diesel'!$BF373)*'RD Feedstock Breakdown'!EB364)*'Feedstock Conversion Rates'!$B$3))</f>
        <v>156.0676897316655</v>
      </c>
      <c r="FD364" s="102">
        <f>IF('Renewable Diesel'!$BG373&lt;1,0,(((('Renewable Diesel'!$BG373-1)*'Renewable Diesel'!$BF373)*'RD Feedstock Breakdown'!EC364)*'Feedstock Conversion Rates'!$B$4))</f>
        <v>791.91791763744629</v>
      </c>
      <c r="FE364" s="102">
        <f>IF('Renewable Diesel'!$BG373&lt;1,0,(((('Renewable Diesel'!$BG373-1)*'Renewable Diesel'!$BF373)*'RD Feedstock Breakdown'!ED364)*'Feedstock Conversion Rates'!$B$5))</f>
        <v>96.450314849232456</v>
      </c>
      <c r="FF364" s="102">
        <f>IF('Renewable Diesel'!$BG373&lt;1,0,(((('Renewable Diesel'!$BG373-1)*'Renewable Diesel'!$BF373)*'RD Feedstock Breakdown'!EE364)*'Feedstock Conversion Rates'!$B$6))</f>
        <v>127.2294818998906</v>
      </c>
      <c r="FG364" s="102">
        <f>IF('Renewable Diesel'!$BG373&lt;1,0,(((('Renewable Diesel'!$BG373-1)*'Renewable Diesel'!$BF373)*'RD Feedstock Breakdown'!EF364)*'Feedstock Conversion Rates'!$B$7))</f>
        <v>206.87128101244812</v>
      </c>
      <c r="FH364" s="102">
        <f>IF('Renewable Diesel'!$BG373&lt;1,0,(((('Renewable Diesel'!$BG373-1)*'Renewable Diesel'!$BF373)*'RD Feedstock Breakdown'!EG364)*'Feedstock Conversion Rates'!$B$8))</f>
        <v>41.203145568120846</v>
      </c>
      <c r="FI364" s="102">
        <f>IF('Renewable Diesel'!$BG373&lt;1,0,(((('Renewable Diesel'!$BG373-1)*'Renewable Diesel'!$BF373)*'RD Feedstock Breakdown'!EH364)*'Feedstock Conversion Rates'!$B$9))</f>
        <v>1.5487150588144467</v>
      </c>
      <c r="FJ364" s="102">
        <f t="shared" si="388"/>
        <v>1470.2542907007364</v>
      </c>
      <c r="GD364" s="91">
        <f>'Renewable Diesel'!BB373*0.32</f>
        <v>0</v>
      </c>
      <c r="GE364" s="91">
        <f>'Renewable Diesel'!BC373</f>
        <v>273.020100644651</v>
      </c>
      <c r="GF364" s="91">
        <f>'Renewable Diesel'!BD373</f>
        <v>0</v>
      </c>
      <c r="GG364" s="91">
        <f t="shared" si="373"/>
        <v>273.020100644651</v>
      </c>
      <c r="GH364" s="124">
        <v>1</v>
      </c>
      <c r="GI364" s="102">
        <f>$GG364*EA364*'Feedstock Conversion Rates'!$B$2</f>
        <v>72.568425758812396</v>
      </c>
      <c r="GJ364" s="102">
        <f>$GG364*EB364*'Feedstock Conversion Rates'!$B$3</f>
        <v>231.29611463683972</v>
      </c>
      <c r="GK364" s="102">
        <f>$GG364*EC364*'Feedstock Conversion Rates'!$B$4</f>
        <v>1173.6416280382361</v>
      </c>
      <c r="GL364" s="102">
        <f>$GG364*ED364*'Feedstock Conversion Rates'!$B$5</f>
        <v>142.94171406319623</v>
      </c>
      <c r="GM364" s="102">
        <f>$GG364*EE364*'Feedstock Conversion Rates'!$B$6</f>
        <v>188.55718875123495</v>
      </c>
      <c r="GN364" s="102">
        <f>$GG364*EF364*'Feedstock Conversion Rates'!$B$7</f>
        <v>306.58827339850615</v>
      </c>
      <c r="GO364" s="102">
        <f>$GG364*EG364*'Feedstock Conversion Rates'!$B$8</f>
        <v>61.064064554989365</v>
      </c>
      <c r="GP364" s="102">
        <f>$GG364*EH364*'Feedstock Conversion Rates'!B$9</f>
        <v>2.2952334105748387</v>
      </c>
      <c r="GQ364" s="102">
        <f t="shared" si="356"/>
        <v>2178.9526426123898</v>
      </c>
      <c r="GT364" s="103">
        <f t="shared" si="389"/>
        <v>3.3304269372191886E-2</v>
      </c>
      <c r="GU364" s="103">
        <f t="shared" si="390"/>
        <v>0.10615013383656388</v>
      </c>
      <c r="GV364" s="103">
        <f t="shared" si="391"/>
        <v>0.53862649654979822</v>
      </c>
      <c r="GW364" s="103">
        <f t="shared" si="331"/>
        <v>6.5601110950176761E-2</v>
      </c>
      <c r="GX364" s="103">
        <f t="shared" si="331"/>
        <v>8.6535698419388296E-2</v>
      </c>
      <c r="GY364" s="103">
        <f t="shared" si="331"/>
        <v>0.14070442257566981</v>
      </c>
      <c r="GZ364" s="103">
        <f t="shared" si="331"/>
        <v>2.8024502855545516E-2</v>
      </c>
      <c r="HA364" s="103">
        <f t="shared" si="331"/>
        <v>1.0533654406655838E-3</v>
      </c>
    </row>
    <row r="365" spans="1:209" x14ac:dyDescent="0.25">
      <c r="A365" s="96">
        <v>51533</v>
      </c>
      <c r="B365" s="104">
        <f t="shared" si="394"/>
        <v>44.25</v>
      </c>
      <c r="C365" s="104">
        <f t="shared" ref="C365:C428" si="396">50-1</f>
        <v>49</v>
      </c>
      <c r="D365" s="104">
        <f t="shared" si="395"/>
        <v>2</v>
      </c>
      <c r="E365" s="104">
        <f>('Renewable Diesel'!B374*E$3*'Feedstock Conversion Rates'!$B$2)/12+26+13-100+27.5+39</f>
        <v>95.43</v>
      </c>
      <c r="F365" s="104">
        <f>('Renewable Diesel'!B374*'RD Feedstock Breakdown'!F$3*'Feedstock Conversion Rates'!B$8)/12+77+23-10-12-115.75+24+8</f>
        <v>48.15625</v>
      </c>
      <c r="G365" s="104">
        <f>('Renewable Diesel'!B374*'RD Feedstock Breakdown'!G$3*'Feedstock Conversion Rates'!B$7)/12+116.75-39-57.5-145-31.5+32+70-40+10+60</f>
        <v>151.90700000000004</v>
      </c>
      <c r="H365" s="104">
        <f>('Renewable Diesel'!B374*'RD Feedstock Breakdown'!H$3*'Feedstock Conversion Rates'!B$3)/12+67+10+12+3-235+20+47-20+25</f>
        <v>105.40022499999998</v>
      </c>
      <c r="I365" s="106">
        <f t="shared" si="370"/>
        <v>496.14347500000002</v>
      </c>
      <c r="J365" s="104">
        <f t="shared" si="332"/>
        <v>4</v>
      </c>
      <c r="K365" s="104"/>
      <c r="L365" s="104">
        <v>1</v>
      </c>
      <c r="M365" s="104">
        <f>('Renewable Diesel'!C374*'RD Feedstock Breakdown'!M$3*'Feedstock Conversion Rates'!B$2)/12</f>
        <v>7.7902500000000003</v>
      </c>
      <c r="N365" s="104">
        <f>('Renewable Diesel'!C374*'RD Feedstock Breakdown'!N$3*'Feedstock Conversion Rates'!B$8)/12</f>
        <v>3.671875</v>
      </c>
      <c r="O365" s="104">
        <f>('Renewable Diesel'!C374*'RD Feedstock Breakdown'!O$3*'Feedstock Conversion Rates'!B$7)/12</f>
        <v>11.9991</v>
      </c>
      <c r="P365" s="104">
        <f>('Renewable Diesel'!C374*'RD Feedstock Breakdown'!P$3*'Feedstock Conversion Rates'!B$3)/12</f>
        <v>10.4470425</v>
      </c>
      <c r="Q365" s="106">
        <f t="shared" si="379"/>
        <v>38.908267500000001</v>
      </c>
      <c r="R365" s="104">
        <f>('Renewable Diesel'!D374*'RD Feedstock Breakdown'!R$3*'Feedstock Conversion Rates'!B$7)/12</f>
        <v>2.2999999999999998</v>
      </c>
      <c r="S365" s="106">
        <f t="shared" si="329"/>
        <v>2.2999999999999998</v>
      </c>
      <c r="T365" s="104">
        <f t="shared" si="380"/>
        <v>0.82499999999999929</v>
      </c>
      <c r="U365" s="104"/>
      <c r="V365" s="104">
        <f>('Renewable Diesel'!E374*'RD Feedstock Breakdown'!V$3*'Feedstock Conversion Rates'!B$6)/12-20+25</f>
        <v>49.250150000000012</v>
      </c>
      <c r="W365" s="104">
        <f>('Renewable Diesel'!E374*'RD Feedstock Breakdown'!W$3*'Feedstock Conversion Rates'!B$8)/12-6</f>
        <v>16.1796875</v>
      </c>
      <c r="X365" s="106">
        <f t="shared" si="357"/>
        <v>66.254837500000008</v>
      </c>
      <c r="Y365" s="104">
        <f t="shared" si="381"/>
        <v>98</v>
      </c>
      <c r="Z365" s="104">
        <f>('Renewable Diesel'!F374*'RD Feedstock Breakdown'!Z$3*'Feedstock Conversion Rates'!B$6)/12-142+15+5+20+5+15</f>
        <v>77.460000000000008</v>
      </c>
      <c r="AA365" s="104">
        <f>('Renewable Diesel'!F374*'RD Feedstock Breakdown'!AA$3*'Feedstock Conversion Rates'!B$7)/12+24</f>
        <v>128.26666666666665</v>
      </c>
      <c r="AB365" s="106">
        <f t="shared" si="320"/>
        <v>303.72666666666669</v>
      </c>
      <c r="AC365" s="104">
        <f>('Renewable Diesel'!G374*'RD Feedstock Breakdown'!AC$3*'Feedstock Conversion Rates'!B$5)/12</f>
        <v>11.796875</v>
      </c>
      <c r="AD365" s="104">
        <f>('Renewable Diesel'!G374*'RD Feedstock Breakdown'!AD$3*'Feedstock Conversion Rates'!B$4)/12</f>
        <v>5.859375</v>
      </c>
      <c r="AE365" s="104">
        <f>('Renewable Diesel'!G374*'RD Feedstock Breakdown'!AE$3*'Feedstock Conversion Rates'!B$6)/12</f>
        <v>7.3281250000000009</v>
      </c>
      <c r="AF365" s="106">
        <f t="shared" si="366"/>
        <v>24.984375</v>
      </c>
      <c r="AG365" s="104">
        <f t="shared" si="383"/>
        <v>148</v>
      </c>
      <c r="AH365" s="104"/>
      <c r="AI365" s="104">
        <f>('Renewable Diesel'!H374*'RD Feedstock Breakdown'!AI$3*'Feedstock Conversion Rates'!B$6)/12-130-20+51-49</f>
        <v>0.51666666666667993</v>
      </c>
      <c r="AJ365" s="106">
        <f t="shared" si="328"/>
        <v>148.51666666666668</v>
      </c>
      <c r="AK365" s="104">
        <f>('Renewable Diesel'!J374*'RD Feedstock Breakdown'!AK$3*'Feedstock Conversion Rates'!B$4)/12</f>
        <v>95.8125</v>
      </c>
      <c r="AL365" s="106">
        <f t="shared" si="330"/>
        <v>95.8125</v>
      </c>
      <c r="AM365" s="104">
        <f>('Renewable Diesel'!K374*'RD Feedstock Breakdown'!AM$3*'Feedstock Conversion Rates'!B$4)/12+5+15-10+10</f>
        <v>78.59375</v>
      </c>
      <c r="AN365" s="104">
        <f>('Renewable Diesel'!K374*'RD Feedstock Breakdown'!AN$3*'Feedstock Conversion Rates'!B$6)/12-5-15+10-10</f>
        <v>4.4270833333333321</v>
      </c>
      <c r="AO365" s="106">
        <f t="shared" si="350"/>
        <v>83.020833333333329</v>
      </c>
      <c r="AP365" s="104">
        <f>('Renewable Diesel'!L374*'RD Feedstock Breakdown'!AP$3*'Feedstock Conversion Rates'!B$4)/12+15-10+15</f>
        <v>78.59375</v>
      </c>
      <c r="AQ365" s="104">
        <f>('Renewable Diesel'!L374*'RD Feedstock Breakdown'!AQ$3*'Feedstock Conversion Rates'!B$6)/12-15+10-15</f>
        <v>4.4270833333333321</v>
      </c>
      <c r="AR365" s="106">
        <f t="shared" si="339"/>
        <v>83.020833333333329</v>
      </c>
      <c r="AS365" s="104">
        <f>('Renewable Diesel'!M374*'RD Feedstock Breakdown'!AS$3*'Feedstock Conversion Rates'!B$4)/12</f>
        <v>456.25</v>
      </c>
      <c r="AT365" s="104">
        <f>('Renewable Diesel'!M374*'RD Feedstock Breakdown'!AT$3*'Feedstock Conversion Rates'!B$5)/12</f>
        <v>0</v>
      </c>
      <c r="AU365" s="106">
        <f t="shared" si="369"/>
        <v>456.25</v>
      </c>
      <c r="AV365" s="104">
        <f>'Renewable Diesel'!N374*'RD Feedstock Breakdown'!$AV$3*'Feedstock Conversion Rates'!$B$4/12-15-10+25+25-22+25</f>
        <v>106.74999999999999</v>
      </c>
      <c r="AW365" s="104">
        <f>'Renewable Diesel'!N374*'RD Feedstock Breakdown'!$AW$3*'Feedstock Conversion Rates'!$B$7/12+15+10-25-25+22-25</f>
        <v>13.400000000000006</v>
      </c>
      <c r="AX365" s="106">
        <f t="shared" si="322"/>
        <v>120.14999999999999</v>
      </c>
      <c r="AY365" s="104">
        <f>('Renewable Diesel'!O374*'RD Feedstock Breakdown'!AY$3*'Feedstock Conversion Rates'!B$4)/12</f>
        <v>210.9375</v>
      </c>
      <c r="AZ365" s="104">
        <f>('Renewable Diesel'!O374*'RD Feedstock Breakdown'!AZ$3*'Feedstock Conversion Rates'!B$3)/12</f>
        <v>25.03125</v>
      </c>
      <c r="BA365" s="106">
        <f t="shared" si="382"/>
        <v>235.96875</v>
      </c>
      <c r="BB365" s="104">
        <f>('Renewable Diesel'!Q374*'RD Feedstock Breakdown'!BB$3*'Feedstock Conversion Rates'!B$4)/12</f>
        <v>11.156249999999998</v>
      </c>
      <c r="BC365" s="104">
        <f>('Renewable Diesel'!Q374*'RD Feedstock Breakdown'!BC$3*'Feedstock Conversion Rates'!B$3)/12</f>
        <v>1.4017500000000001</v>
      </c>
      <c r="BD365" s="104">
        <f>('Renewable Diesel'!Q374*'RD Feedstock Breakdown'!BD$3*'Feedstock Conversion Rates'!B$6)/12</f>
        <v>0.8207500000000002</v>
      </c>
      <c r="BE365" s="106">
        <f t="shared" si="359"/>
        <v>13.378749999999998</v>
      </c>
      <c r="BF365" s="104">
        <f>('Renewable Diesel'!R374*'RD Feedstock Breakdown'!BF$3*'Feedstock Conversion Rates'!B$4)/12</f>
        <v>62.5</v>
      </c>
      <c r="BG365" s="106">
        <f t="shared" si="344"/>
        <v>62.5</v>
      </c>
      <c r="BH365" s="104">
        <f>('Renewable Diesel'!T374*'RD Feedstock Breakdown'!BH$3*'Feedstock Conversion Rates'!B$7)/12</f>
        <v>27.599999999999998</v>
      </c>
      <c r="BI365" s="106">
        <f t="shared" si="327"/>
        <v>27.599999999999998</v>
      </c>
      <c r="BJ365" s="104">
        <f>('Renewable Diesel'!W374*'RD Feedstock Breakdown'!BJ$3*'Feedstock Conversion Rates'!B$4)/12</f>
        <v>7.5</v>
      </c>
      <c r="BK365" s="104">
        <f>('Renewable Diesel'!W374*'RD Feedstock Breakdown'!BK$3*'Feedstock Conversion Rates'!B$3)/12</f>
        <v>1.335</v>
      </c>
      <c r="BL365" s="104">
        <f>('Renewable Diesel'!W374*'RD Feedstock Breakdown'!BL$3*'Feedstock Conversion Rates'!B$6)/12</f>
        <v>3.1266666666666669</v>
      </c>
      <c r="BM365" s="104">
        <f>('Renewable Diesel'!W374*'RD Feedstock Breakdown'!BM$3*'Feedstock Conversion Rates'!B$7)/12</f>
        <v>1.5333333333333332</v>
      </c>
      <c r="BN365" s="106">
        <f t="shared" si="374"/>
        <v>13.495000000000001</v>
      </c>
      <c r="BO365" s="104">
        <f>('Renewable Diesel'!P374*'Feedstock Conversion Rates'!B$4)/12</f>
        <v>31.25</v>
      </c>
      <c r="BP365" s="106">
        <f t="shared" si="367"/>
        <v>31.25</v>
      </c>
      <c r="BQ365" s="104">
        <f>('Renewable Diesel'!$S374*'RD Feedstock Breakdown'!BQ$3*'Feedstock Conversion Rates'!B$4)/12+10+15-15</f>
        <v>38.125</v>
      </c>
      <c r="BR365" s="104">
        <f>('Renewable Diesel'!$S374*'RD Feedstock Breakdown'!BR$3*'Feedstock Conversion Rates'!B$7)/12-10-15+15</f>
        <v>1.5</v>
      </c>
      <c r="BS365" s="106">
        <f t="shared" si="385"/>
        <v>39.625</v>
      </c>
      <c r="BT365" s="106"/>
      <c r="BU365" s="104">
        <f>('Renewable Diesel'!Y374*'Feedstock Conversion Rates'!B$7)/12</f>
        <v>2.6833333333333331</v>
      </c>
      <c r="BV365" s="106">
        <f t="shared" si="361"/>
        <v>2.6833333333333331</v>
      </c>
      <c r="BW365" s="104">
        <f>('Renewable Diesel'!$Z374*'RD Feedstock Breakdown'!BW$3*'Feedstock Conversion Rates'!$B$4)/12-250+180</f>
        <v>1.875</v>
      </c>
      <c r="BX365" s="104">
        <f>('Renewable Diesel'!$Z374*'RD Feedstock Breakdown'!BX$3*'Feedstock Conversion Rates'!$B$5)/12</f>
        <v>7.2354166666666666</v>
      </c>
      <c r="BY365" s="104">
        <f>('Renewable Diesel'!$Z374*'RD Feedstock Breakdown'!BY$3*'Feedstock Conversion Rates'!$B$7)/12</f>
        <v>61.716666666666661</v>
      </c>
      <c r="BZ365" s="104">
        <f>('Renewable Diesel'!$Z374*'RD Feedstock Breakdown'!BZ$3*'Feedstock Conversion Rates'!$B$3)/12+250-180</f>
        <v>85.35250000000002</v>
      </c>
      <c r="CA365" s="106">
        <f t="shared" si="392"/>
        <v>156.17958333333334</v>
      </c>
      <c r="CB365" s="104">
        <f>('Renewable Diesel'!AA374*'Feedstock Conversion Rates'!B$4)/12</f>
        <v>191.25</v>
      </c>
      <c r="CC365" s="106">
        <f t="shared" si="376"/>
        <v>191.25</v>
      </c>
      <c r="CD365" s="104">
        <f>('Renewable Diesel'!$AB374*'RD Feedstock Breakdown'!CD$3*'Feedstock Conversion Rates'!$B$6)/12-15-5</f>
        <v>12.830000000000005</v>
      </c>
      <c r="CE365" s="104">
        <f>('Renewable Diesel'!$AB374*'RD Feedstock Breakdown'!CE$3*'Feedstock Conversion Rates'!$B$4)/12+15+5</f>
        <v>31.25</v>
      </c>
      <c r="CF365" s="106">
        <f t="shared" si="372"/>
        <v>44.080000000000005</v>
      </c>
      <c r="CG365" s="104">
        <f>('Renewable Diesel'!AD374*'Feedstock Conversion Rates'!B$4)/12</f>
        <v>112.5</v>
      </c>
      <c r="CH365" s="106">
        <f t="shared" si="358"/>
        <v>112.5</v>
      </c>
      <c r="CI365" s="104">
        <f>('Renewable Diesel'!$AE374*'RD Feedstock Breakdown'!CI$3*'Feedstock Conversion Rates'!$B$5)/12</f>
        <v>0.34604166666666664</v>
      </c>
      <c r="CJ365" s="104">
        <f>('Renewable Diesel'!$AE374*'RD Feedstock Breakdown'!CJ$3*'Feedstock Conversion Rates'!$B$4)/12</f>
        <v>0.34375</v>
      </c>
      <c r="CK365" s="106">
        <f t="shared" si="368"/>
        <v>0.68979166666666658</v>
      </c>
      <c r="CL365" s="104">
        <f>(((CL$3*'Renewable Diesel'!$AF374)*'Feedstock Conversion Rates'!$B$3)/12)</f>
        <v>91.78125</v>
      </c>
      <c r="CM365" s="104">
        <f>(((CM$3*'Renewable Diesel'!$AF374)*'Feedstock Conversion Rates'!$B$6)/12)</f>
        <v>53.739583333333336</v>
      </c>
      <c r="CN365" s="104">
        <f>(((CN$3*'Renewable Diesel'!$AF374)*'Feedstock Conversion Rates'!$B$4)/12)</f>
        <v>42.96875</v>
      </c>
      <c r="CO365" s="106">
        <f t="shared" si="360"/>
        <v>188.48958333333334</v>
      </c>
      <c r="CP365" s="104">
        <f>('Renewable Diesel'!$AG374*'RD Feedstock Breakdown'!CP$3*'Feedstock Conversion Rates'!$B$3)/12</f>
        <v>6.0075000000000003</v>
      </c>
      <c r="CQ365" s="104">
        <f>('Renewable Diesel'!$AG374*'RD Feedstock Breakdown'!CQ$3*'Feedstock Conversion Rates'!$B$6)/12</f>
        <v>3.5175000000000001</v>
      </c>
      <c r="CR365" s="104">
        <f>('Renewable Diesel'!$AG374*'RD Feedstock Breakdown'!CR$3*'Feedstock Conversion Rates'!$B$4)/12</f>
        <v>2.8125</v>
      </c>
      <c r="CS365" s="106">
        <f t="shared" si="317"/>
        <v>12.3375</v>
      </c>
      <c r="CT365" s="104">
        <f>('Renewable Diesel'!AI374*'Feedstock Conversion Rates'!$B$4*'RD Feedstock Breakdown'!$CT$3)/12</f>
        <v>29.375</v>
      </c>
      <c r="CU365" s="106">
        <f t="shared" si="364"/>
        <v>29.375</v>
      </c>
      <c r="CV365" s="104">
        <f>('Renewable Diesel'!AN374*'Feedstock Conversion Rates'!$B$3*'RD Feedstock Breakdown'!$CV$3)/12</f>
        <v>0.50062499999999999</v>
      </c>
      <c r="CW365" s="106">
        <f t="shared" si="338"/>
        <v>0.50062499999999999</v>
      </c>
      <c r="CX365" s="104">
        <f>('Renewable Diesel'!AO374*'RD Feedstock Breakdown'!$CX$3*'Feedstock Conversion Rates'!$B$3)/12</f>
        <v>6.3412499999999996</v>
      </c>
      <c r="CY365" s="104">
        <f>('Renewable Diesel'!AO374*'RD Feedstock Breakdown'!$CY$3*'Feedstock Conversion Rates'!$B$6)/12</f>
        <v>7.4258333333333342</v>
      </c>
      <c r="CZ365" s="106">
        <f t="shared" si="318"/>
        <v>13.767083333333334</v>
      </c>
      <c r="DA365" s="104">
        <f>('Renewable Diesel'!$AP374*'RD Feedstock Breakdown'!DA$3*'Feedstock Conversion Rates'!$B$3)/12</f>
        <v>6.3412499999999996</v>
      </c>
      <c r="DB365" s="104">
        <f>('Renewable Diesel'!$AP374*'RD Feedstock Breakdown'!DB$3*'Feedstock Conversion Rates'!$B$8)/12</f>
        <v>7.421875</v>
      </c>
      <c r="DC365" s="106">
        <f t="shared" si="342"/>
        <v>13.763124999999999</v>
      </c>
      <c r="DD365" s="104">
        <f>('Renewable Diesel'!AQ374*$DD$3*'Feedstock Conversion Rates'!$B$14)/12</f>
        <v>3.1041666666666665</v>
      </c>
      <c r="DE365" s="106">
        <f t="shared" si="343"/>
        <v>3.1041666666666665</v>
      </c>
      <c r="DF365" s="104">
        <f>('Renewable Diesel'!AR374*'Feedstock Conversion Rates'!$B$4*$DF$3)/12</f>
        <v>75</v>
      </c>
      <c r="DG365" s="106">
        <f t="shared" si="319"/>
        <v>75</v>
      </c>
      <c r="DH365" s="104">
        <f>('Renewable Diesel'!AS374*'Feedstock Conversion Rates'!$B$4*$DH$3)/12</f>
        <v>75</v>
      </c>
      <c r="DI365" s="106">
        <f t="shared" si="323"/>
        <v>75</v>
      </c>
      <c r="DJ365" s="104">
        <f>('Renewable Diesel'!AT374*'Feedstock Conversion Rates'!$B$4*0.25)/12</f>
        <v>8.59375</v>
      </c>
      <c r="DK365" s="104">
        <f>('Renewable Diesel'!$AT374*'RD Feedstock Breakdown'!DK$3*'Feedstock Conversion Rates'!$B$3)/12*0.5</f>
        <v>9.1781249999999996</v>
      </c>
      <c r="DL365" s="104">
        <f>('Renewable Diesel'!$AT374*'RD Feedstock Breakdown'!$DL$3*'Feedstock Conversion Rates'!$B$6)/12</f>
        <v>10.747916666666669</v>
      </c>
      <c r="DM365" s="104">
        <f>('Renewable Diesel'!$AT374*'RD Feedstock Breakdown'!$DM$3*'Feedstock Conversion Rates'!$B$8)/12</f>
        <v>10.7421875</v>
      </c>
      <c r="DN365" s="106">
        <f t="shared" si="375"/>
        <v>39.26197916666667</v>
      </c>
      <c r="DP365" s="104">
        <f t="shared" si="345"/>
        <v>103.22025000000001</v>
      </c>
      <c r="DQ365" s="104">
        <f t="shared" si="346"/>
        <v>349.11776750000007</v>
      </c>
      <c r="DR365" s="104">
        <f t="shared" si="351"/>
        <v>1891.953125</v>
      </c>
      <c r="DS365" s="104">
        <f t="shared" si="365"/>
        <v>228.90125</v>
      </c>
      <c r="DT365" s="104">
        <f t="shared" si="347"/>
        <v>243.03923333333344</v>
      </c>
      <c r="DU365" s="104">
        <f t="shared" si="348"/>
        <v>402.90610000000009</v>
      </c>
      <c r="DV365" s="104">
        <f t="shared" si="352"/>
        <v>78.75</v>
      </c>
      <c r="DW365" s="104">
        <f t="shared" si="349"/>
        <v>3</v>
      </c>
      <c r="DX365" s="106">
        <f t="shared" si="353"/>
        <v>3300.8877258333337</v>
      </c>
      <c r="DY365" s="109">
        <f t="shared" si="340"/>
        <v>-5.631051180898794E-13</v>
      </c>
      <c r="EA365" s="110">
        <f t="shared" si="393"/>
        <v>3.1270451640078516E-2</v>
      </c>
      <c r="EB365" s="110">
        <f t="shared" si="393"/>
        <v>0.10576481131658687</v>
      </c>
      <c r="EC365" s="110">
        <f t="shared" si="393"/>
        <v>0.57316494293133291</v>
      </c>
      <c r="ED365" s="110">
        <f t="shared" si="393"/>
        <v>6.9345360706629972E-2</v>
      </c>
      <c r="EE365" s="110">
        <f t="shared" si="393"/>
        <v>7.3628445896921982E-2</v>
      </c>
      <c r="EF365" s="110">
        <f t="shared" si="393"/>
        <v>0.1220599225010852</v>
      </c>
      <c r="EG365" s="110">
        <f t="shared" si="384"/>
        <v>2.3857218585075921E-2</v>
      </c>
      <c r="EH365" s="111">
        <f t="shared" si="354"/>
        <v>9.0884642228860647E-4</v>
      </c>
      <c r="EI365" s="110">
        <f t="shared" si="321"/>
        <v>0.99909115357771139</v>
      </c>
      <c r="EK365" s="132">
        <f>(EA365*'Renewable Diesel'!BF374*'Feedstock Conversion Rates'!B$2)+FB365</f>
        <v>447.56511394079837</v>
      </c>
      <c r="EL365" s="132">
        <f>(EB365*'Renewable Diesel'!BF374*'Feedstock Conversion Rates'!B$3)+FC365</f>
        <v>1426.51670914785</v>
      </c>
      <c r="EM365" s="132">
        <f>(EC365*'Renewable Diesel'!BF374*'Feedstock Conversion Rates'!B$4)+FD365</f>
        <v>7238.4241973832459</v>
      </c>
      <c r="EN365" s="132">
        <f>(ED365*'Renewable Diesel'!BF374*'Feedstock Conversion Rates'!B$5)+FE365</f>
        <v>881.59173735167474</v>
      </c>
      <c r="EO365" s="132">
        <f>(EE365*'Renewable Diesel'!BF374*'Feedstock Conversion Rates'!B$6)+FF365</f>
        <v>1162.9247676983668</v>
      </c>
      <c r="EP365" s="132">
        <f>(EF365*'Renewable Diesel'!BF374*'Feedstock Conversion Rates'!B$7)+FG365</f>
        <v>1890.8804219147864</v>
      </c>
      <c r="EQ365" s="132">
        <f>(EG365*'Renewable Diesel'!BF374*'Feedstock Conversion Rates'!B$8)+FH365</f>
        <v>376.61206956695253</v>
      </c>
      <c r="ER365" s="132">
        <f>(EH365*'Renewable Diesel'!BF374*'Feedstock Conversion Rates'!B$9)+FI365</f>
        <v>14.155831440230852</v>
      </c>
      <c r="ES365" s="132">
        <f t="shared" si="355"/>
        <v>13438.670848443904</v>
      </c>
      <c r="ET365" s="133">
        <f>ES365/'Renewable Diesel'!BF374</f>
        <v>15.252204066545122</v>
      </c>
      <c r="EW365" s="73">
        <f t="shared" si="386"/>
        <v>11991.122738300439</v>
      </c>
      <c r="EX365" s="73">
        <f t="shared" si="387"/>
        <v>7854.2510735887081</v>
      </c>
      <c r="EY365" s="92">
        <f t="shared" si="341"/>
        <v>0.89228487500971276</v>
      </c>
      <c r="EZ365" s="92">
        <f t="shared" si="341"/>
        <v>0.58445148051960594</v>
      </c>
      <c r="FB365" s="102">
        <f>IF('Renewable Diesel'!$BG374&lt;1,0,(((('Renewable Diesel'!$BG374-1)*'Renewable Diesel'!$BF374)*'RD Feedstock Breakdown'!EA365)*'Feedstock Conversion Rates'!$B$2))</f>
        <v>213.37056128220038</v>
      </c>
      <c r="FC365" s="102">
        <f>IF('Renewable Diesel'!$BG374&lt;1,0,(((('Renewable Diesel'!$BG374-1)*'Renewable Diesel'!$BF374)*'RD Feedstock Breakdown'!EB365)*'Feedstock Conversion Rates'!$B$3))</f>
        <v>680.07237702082284</v>
      </c>
      <c r="FD365" s="102">
        <f>IF('Renewable Diesel'!$BG374&lt;1,0,(((('Renewable Diesel'!$BG374-1)*'Renewable Diesel'!$BF374)*'RD Feedstock Breakdown'!EC365)*'Feedstock Conversion Rates'!$B$4))</f>
        <v>3450.8199716357212</v>
      </c>
      <c r="FE365" s="102">
        <f>IF('Renewable Diesel'!$BG374&lt;1,0,(((('Renewable Diesel'!$BG374-1)*'Renewable Diesel'!$BF374)*'RD Feedstock Breakdown'!ED365)*'Feedstock Conversion Rates'!$B$5))</f>
        <v>420.28683192979759</v>
      </c>
      <c r="FF365" s="102">
        <f>IF('Renewable Diesel'!$BG374&lt;1,0,(((('Renewable Diesel'!$BG374-1)*'Renewable Diesel'!$BF374)*'RD Feedstock Breakdown'!EE365)*'Feedstock Conversion Rates'!$B$6))</f>
        <v>554.40851550729883</v>
      </c>
      <c r="FG365" s="102">
        <f>IF('Renewable Diesel'!$BG374&lt;1,0,(((('Renewable Diesel'!$BG374-1)*'Renewable Diesel'!$BF374)*'RD Feedstock Breakdown'!EF365)*'Feedstock Conversion Rates'!$B$7))</f>
        <v>901.45144108539557</v>
      </c>
      <c r="FH365" s="102">
        <f>IF('Renewable Diesel'!$BG374&lt;1,0,(((('Renewable Diesel'!$BG374-1)*'Renewable Diesel'!$BF374)*'RD Feedstock Breakdown'!EG365)*'Feedstock Conversion Rates'!$B$8))</f>
        <v>179.54466549370315</v>
      </c>
      <c r="FI365" s="102">
        <f>IF('Renewable Diesel'!$BG374&lt;1,0,(((('Renewable Diesel'!$BG374-1)*'Renewable Diesel'!$BF374)*'RD Feedstock Breakdown'!EH365)*'Feedstock Conversion Rates'!$B$9))</f>
        <v>6.7485994903030004</v>
      </c>
      <c r="FJ365" s="102">
        <f t="shared" si="388"/>
        <v>6406.7029634452419</v>
      </c>
      <c r="GD365" s="91">
        <f>'Renewable Diesel'!BB374*0.32</f>
        <v>0</v>
      </c>
      <c r="GE365" s="91">
        <f>'Renewable Diesel'!BC374</f>
        <v>518.21148668275396</v>
      </c>
      <c r="GF365" s="91">
        <f>'Renewable Diesel'!BD374</f>
        <v>0</v>
      </c>
      <c r="GG365" s="91">
        <f t="shared" si="373"/>
        <v>518.21148668275396</v>
      </c>
      <c r="GH365" s="124">
        <v>1</v>
      </c>
      <c r="GI365" s="102">
        <f>$GG365*EA365*'Feedstock Conversion Rates'!$B$2</f>
        <v>137.74001148599314</v>
      </c>
      <c r="GJ365" s="102">
        <f>$GG365*EB365*'Feedstock Conversion Rates'!$B$3</f>
        <v>439.01640628982642</v>
      </c>
      <c r="GK365" s="102">
        <f>$GG365*EC365*'Feedstock Conversion Rates'!$B$4</f>
        <v>2227.654928931614</v>
      </c>
      <c r="GL365" s="102">
        <f>$GG365*ED365*'Feedstock Conversion Rates'!$B$5</f>
        <v>271.31349662082579</v>
      </c>
      <c r="GM365" s="102">
        <f>$GG365*EE365*'Feedstock Conversion Rates'!$B$6</f>
        <v>357.89489812940809</v>
      </c>
      <c r="GN365" s="102">
        <f>$GG365*EF365*'Feedstock Conversion Rates'!$B$7</f>
        <v>581.92625591375565</v>
      </c>
      <c r="GO365" s="102">
        <f>$GG365*EG365*'Feedstock Conversion Rates'!$B$8</f>
        <v>115.90391916644646</v>
      </c>
      <c r="GP365" s="102">
        <f>$GG365*EH365*'Feedstock Conversion Rates'!B$9</f>
        <v>4.3565155648594471</v>
      </c>
      <c r="GQ365" s="102">
        <f t="shared" si="356"/>
        <v>4135.8064321027286</v>
      </c>
      <c r="GT365" s="103">
        <f t="shared" si="389"/>
        <v>3.3304269372191893E-2</v>
      </c>
      <c r="GU365" s="103">
        <f t="shared" si="390"/>
        <v>0.10615013383656388</v>
      </c>
      <c r="GV365" s="103">
        <f t="shared" si="391"/>
        <v>0.53862649654979822</v>
      </c>
      <c r="GW365" s="103">
        <f t="shared" si="331"/>
        <v>6.5601110950176761E-2</v>
      </c>
      <c r="GX365" s="103">
        <f t="shared" si="331"/>
        <v>8.6535698419388296E-2</v>
      </c>
      <c r="GY365" s="103">
        <f t="shared" si="331"/>
        <v>0.14070442257566984</v>
      </c>
      <c r="GZ365" s="103">
        <f t="shared" si="331"/>
        <v>2.802450285554552E-2</v>
      </c>
      <c r="HA365" s="103">
        <f t="shared" si="331"/>
        <v>1.053365440665584E-3</v>
      </c>
    </row>
    <row r="366" spans="1:209" x14ac:dyDescent="0.25">
      <c r="A366" s="96">
        <v>51561</v>
      </c>
      <c r="B366" s="104">
        <f t="shared" si="394"/>
        <v>44.25</v>
      </c>
      <c r="C366" s="104">
        <f t="shared" si="396"/>
        <v>49</v>
      </c>
      <c r="D366" s="104">
        <f t="shared" si="395"/>
        <v>2</v>
      </c>
      <c r="E366" s="104">
        <f>('Renewable Diesel'!B375*E$3*'Feedstock Conversion Rates'!$B$2)/12+26+13-100+27.5+39</f>
        <v>95.43</v>
      </c>
      <c r="F366" s="104">
        <f>('Renewable Diesel'!B375*'RD Feedstock Breakdown'!F$3*'Feedstock Conversion Rates'!B$8)/12+77+23-10-12-115.75+24+8</f>
        <v>48.15625</v>
      </c>
      <c r="G366" s="104">
        <f>('Renewable Diesel'!B375*'RD Feedstock Breakdown'!G$3*'Feedstock Conversion Rates'!B$7)/12+116.75-39-57.5-145-31.5+32+70-40+10+60</f>
        <v>151.90700000000004</v>
      </c>
      <c r="H366" s="104">
        <f>('Renewable Diesel'!B375*'RD Feedstock Breakdown'!H$3*'Feedstock Conversion Rates'!B$3)/12+67+10+12+3-235+20+47-20+25</f>
        <v>105.40022499999998</v>
      </c>
      <c r="I366" s="106">
        <f t="shared" si="370"/>
        <v>496.14347500000002</v>
      </c>
      <c r="J366" s="104">
        <f t="shared" si="332"/>
        <v>4</v>
      </c>
      <c r="K366" s="104"/>
      <c r="L366" s="104">
        <v>1</v>
      </c>
      <c r="M366" s="104">
        <f>('Renewable Diesel'!C375*'RD Feedstock Breakdown'!M$3*'Feedstock Conversion Rates'!B$2)/12</f>
        <v>7.7902500000000003</v>
      </c>
      <c r="N366" s="104">
        <f>('Renewable Diesel'!C375*'RD Feedstock Breakdown'!N$3*'Feedstock Conversion Rates'!B$8)/12</f>
        <v>3.671875</v>
      </c>
      <c r="O366" s="104">
        <f>('Renewable Diesel'!C375*'RD Feedstock Breakdown'!O$3*'Feedstock Conversion Rates'!B$7)/12</f>
        <v>11.9991</v>
      </c>
      <c r="P366" s="104">
        <f>('Renewable Diesel'!C375*'RD Feedstock Breakdown'!P$3*'Feedstock Conversion Rates'!B$3)/12</f>
        <v>10.4470425</v>
      </c>
      <c r="Q366" s="106">
        <f t="shared" si="379"/>
        <v>38.908267500000001</v>
      </c>
      <c r="R366" s="104">
        <f>('Renewable Diesel'!D375*'RD Feedstock Breakdown'!R$3*'Feedstock Conversion Rates'!B$7)/12</f>
        <v>2.2999999999999998</v>
      </c>
      <c r="S366" s="106">
        <f t="shared" si="329"/>
        <v>2.2999999999999998</v>
      </c>
      <c r="T366" s="104">
        <f t="shared" si="380"/>
        <v>0.82499999999999929</v>
      </c>
      <c r="U366" s="104"/>
      <c r="V366" s="104">
        <f>('Renewable Diesel'!E375*'RD Feedstock Breakdown'!V$3*'Feedstock Conversion Rates'!B$6)/12-20+25</f>
        <v>49.250150000000012</v>
      </c>
      <c r="W366" s="104">
        <f>('Renewable Diesel'!E375*'RD Feedstock Breakdown'!W$3*'Feedstock Conversion Rates'!B$8)/12-6</f>
        <v>16.1796875</v>
      </c>
      <c r="X366" s="106">
        <f t="shared" si="357"/>
        <v>66.254837500000008</v>
      </c>
      <c r="Y366" s="104">
        <f t="shared" si="381"/>
        <v>98</v>
      </c>
      <c r="Z366" s="104">
        <f>('Renewable Diesel'!F375*'RD Feedstock Breakdown'!Z$3*'Feedstock Conversion Rates'!B$6)/12-142+15+5+20+5+15</f>
        <v>77.460000000000008</v>
      </c>
      <c r="AA366" s="104">
        <f>('Renewable Diesel'!F375*'RD Feedstock Breakdown'!AA$3*'Feedstock Conversion Rates'!B$7)/12+24</f>
        <v>128.26666666666665</v>
      </c>
      <c r="AB366" s="106">
        <f t="shared" si="320"/>
        <v>303.72666666666669</v>
      </c>
      <c r="AC366" s="104">
        <f>('Renewable Diesel'!G375*'RD Feedstock Breakdown'!AC$3*'Feedstock Conversion Rates'!B$5)/12</f>
        <v>11.796875</v>
      </c>
      <c r="AD366" s="104">
        <f>('Renewable Diesel'!G375*'RD Feedstock Breakdown'!AD$3*'Feedstock Conversion Rates'!B$4)/12</f>
        <v>5.859375</v>
      </c>
      <c r="AE366" s="104">
        <f>('Renewable Diesel'!G375*'RD Feedstock Breakdown'!AE$3*'Feedstock Conversion Rates'!B$6)/12</f>
        <v>7.3281250000000009</v>
      </c>
      <c r="AF366" s="106">
        <f t="shared" si="366"/>
        <v>24.984375</v>
      </c>
      <c r="AG366" s="104">
        <f t="shared" si="383"/>
        <v>148</v>
      </c>
      <c r="AH366" s="104"/>
      <c r="AI366" s="104">
        <f>('Renewable Diesel'!H375*'RD Feedstock Breakdown'!AI$3*'Feedstock Conversion Rates'!B$6)/12-130-20+51-49</f>
        <v>0.51666666666667993</v>
      </c>
      <c r="AJ366" s="106">
        <f t="shared" si="328"/>
        <v>148.51666666666668</v>
      </c>
      <c r="AK366" s="104">
        <f>('Renewable Diesel'!J375*'RD Feedstock Breakdown'!AK$3*'Feedstock Conversion Rates'!B$4)/12</f>
        <v>95.8125</v>
      </c>
      <c r="AL366" s="106">
        <f t="shared" si="330"/>
        <v>95.8125</v>
      </c>
      <c r="AM366" s="104">
        <f>('Renewable Diesel'!K375*'RD Feedstock Breakdown'!AM$3*'Feedstock Conversion Rates'!B$4)/12+5+15-10+10</f>
        <v>78.59375</v>
      </c>
      <c r="AN366" s="104">
        <f>('Renewable Diesel'!K375*'RD Feedstock Breakdown'!AN$3*'Feedstock Conversion Rates'!B$6)/12-5-15+10-10</f>
        <v>4.4270833333333321</v>
      </c>
      <c r="AO366" s="106">
        <f t="shared" si="350"/>
        <v>83.020833333333329</v>
      </c>
      <c r="AP366" s="104">
        <f>('Renewable Diesel'!L375*'RD Feedstock Breakdown'!AP$3*'Feedstock Conversion Rates'!B$4)/12+15-10+15</f>
        <v>78.59375</v>
      </c>
      <c r="AQ366" s="104">
        <f>('Renewable Diesel'!L375*'RD Feedstock Breakdown'!AQ$3*'Feedstock Conversion Rates'!B$6)/12-15+10-15</f>
        <v>4.4270833333333321</v>
      </c>
      <c r="AR366" s="106">
        <f t="shared" si="339"/>
        <v>83.020833333333329</v>
      </c>
      <c r="AS366" s="104">
        <f>('Renewable Diesel'!M375*'RD Feedstock Breakdown'!AS$3*'Feedstock Conversion Rates'!B$4)/12</f>
        <v>456.25</v>
      </c>
      <c r="AT366" s="104">
        <f>('Renewable Diesel'!M375*'RD Feedstock Breakdown'!AT$3*'Feedstock Conversion Rates'!B$5)/12</f>
        <v>0</v>
      </c>
      <c r="AU366" s="106">
        <f t="shared" si="369"/>
        <v>456.25</v>
      </c>
      <c r="AV366" s="104">
        <f>'Renewable Diesel'!N375*'RD Feedstock Breakdown'!$AV$3*'Feedstock Conversion Rates'!$B$4/12-15-10+25+25-22+25</f>
        <v>106.74999999999999</v>
      </c>
      <c r="AW366" s="104">
        <f>'Renewable Diesel'!N375*'RD Feedstock Breakdown'!$AW$3*'Feedstock Conversion Rates'!$B$7/12+15+10-25-25+22-25</f>
        <v>13.400000000000006</v>
      </c>
      <c r="AX366" s="106">
        <f t="shared" si="322"/>
        <v>120.14999999999999</v>
      </c>
      <c r="AY366" s="104">
        <f>('Renewable Diesel'!O375*'RD Feedstock Breakdown'!AY$3*'Feedstock Conversion Rates'!B$4)/12</f>
        <v>210.9375</v>
      </c>
      <c r="AZ366" s="104">
        <f>('Renewable Diesel'!O375*'RD Feedstock Breakdown'!AZ$3*'Feedstock Conversion Rates'!B$3)/12</f>
        <v>25.03125</v>
      </c>
      <c r="BA366" s="106">
        <f t="shared" si="382"/>
        <v>235.96875</v>
      </c>
      <c r="BB366" s="104">
        <f>('Renewable Diesel'!Q375*'RD Feedstock Breakdown'!BB$3*'Feedstock Conversion Rates'!B$4)/12</f>
        <v>11.156249999999998</v>
      </c>
      <c r="BC366" s="104">
        <f>('Renewable Diesel'!Q375*'RD Feedstock Breakdown'!BC$3*'Feedstock Conversion Rates'!B$3)/12</f>
        <v>1.4017500000000001</v>
      </c>
      <c r="BD366" s="104">
        <f>('Renewable Diesel'!Q375*'RD Feedstock Breakdown'!BD$3*'Feedstock Conversion Rates'!B$6)/12</f>
        <v>0.8207500000000002</v>
      </c>
      <c r="BE366" s="106">
        <f t="shared" si="359"/>
        <v>13.378749999999998</v>
      </c>
      <c r="BF366" s="104">
        <f>('Renewable Diesel'!R375*'RD Feedstock Breakdown'!BF$3*'Feedstock Conversion Rates'!B$4)/12</f>
        <v>62.5</v>
      </c>
      <c r="BG366" s="106">
        <f t="shared" si="344"/>
        <v>62.5</v>
      </c>
      <c r="BH366" s="104">
        <f>('Renewable Diesel'!T375*'RD Feedstock Breakdown'!BH$3*'Feedstock Conversion Rates'!B$7)/12</f>
        <v>27.599999999999998</v>
      </c>
      <c r="BI366" s="106">
        <f t="shared" si="327"/>
        <v>27.599999999999998</v>
      </c>
      <c r="BJ366" s="104">
        <f>('Renewable Diesel'!W375*'RD Feedstock Breakdown'!BJ$3*'Feedstock Conversion Rates'!B$4)/12</f>
        <v>7.5</v>
      </c>
      <c r="BK366" s="104">
        <f>('Renewable Diesel'!W375*'RD Feedstock Breakdown'!BK$3*'Feedstock Conversion Rates'!B$3)/12</f>
        <v>1.335</v>
      </c>
      <c r="BL366" s="104">
        <f>('Renewable Diesel'!W375*'RD Feedstock Breakdown'!BL$3*'Feedstock Conversion Rates'!B$6)/12</f>
        <v>3.1266666666666669</v>
      </c>
      <c r="BM366" s="104">
        <f>('Renewable Diesel'!W375*'RD Feedstock Breakdown'!BM$3*'Feedstock Conversion Rates'!B$7)/12</f>
        <v>1.5333333333333332</v>
      </c>
      <c r="BN366" s="106">
        <f t="shared" si="374"/>
        <v>13.495000000000001</v>
      </c>
      <c r="BO366" s="104">
        <f>('Renewable Diesel'!P375*'Feedstock Conversion Rates'!B$4)/12</f>
        <v>31.25</v>
      </c>
      <c r="BP366" s="106">
        <f t="shared" si="367"/>
        <v>31.25</v>
      </c>
      <c r="BQ366" s="104">
        <f>('Renewable Diesel'!$S375*'RD Feedstock Breakdown'!BQ$3*'Feedstock Conversion Rates'!B$4)/12+10+15-15</f>
        <v>38.125</v>
      </c>
      <c r="BR366" s="104">
        <f>('Renewable Diesel'!$S375*'RD Feedstock Breakdown'!BR$3*'Feedstock Conversion Rates'!B$7)/12-10-15+15</f>
        <v>1.5</v>
      </c>
      <c r="BS366" s="106">
        <f t="shared" si="385"/>
        <v>39.625</v>
      </c>
      <c r="BT366" s="106"/>
      <c r="BU366" s="104">
        <f>('Renewable Diesel'!Y375*'Feedstock Conversion Rates'!B$7)/12</f>
        <v>2.6833333333333331</v>
      </c>
      <c r="BV366" s="106">
        <f t="shared" si="361"/>
        <v>2.6833333333333331</v>
      </c>
      <c r="BW366" s="104">
        <f>('Renewable Diesel'!$Z375*'RD Feedstock Breakdown'!BW$3*'Feedstock Conversion Rates'!$B$4)/12-250+180</f>
        <v>1.875</v>
      </c>
      <c r="BX366" s="104">
        <f>('Renewable Diesel'!$Z375*'RD Feedstock Breakdown'!BX$3*'Feedstock Conversion Rates'!$B$5)/12</f>
        <v>7.2354166666666666</v>
      </c>
      <c r="BY366" s="104">
        <f>('Renewable Diesel'!$Z375*'RD Feedstock Breakdown'!BY$3*'Feedstock Conversion Rates'!$B$7)/12</f>
        <v>61.716666666666661</v>
      </c>
      <c r="BZ366" s="104">
        <f>('Renewable Diesel'!$Z375*'RD Feedstock Breakdown'!BZ$3*'Feedstock Conversion Rates'!$B$3)/12+250-180</f>
        <v>85.35250000000002</v>
      </c>
      <c r="CA366" s="106">
        <f t="shared" si="392"/>
        <v>156.17958333333334</v>
      </c>
      <c r="CB366" s="104">
        <f>('Renewable Diesel'!AA375*'Feedstock Conversion Rates'!B$4)/12</f>
        <v>191.25</v>
      </c>
      <c r="CC366" s="106">
        <f t="shared" si="376"/>
        <v>191.25</v>
      </c>
      <c r="CD366" s="104">
        <f>('Renewable Diesel'!$AB375*'RD Feedstock Breakdown'!CD$3*'Feedstock Conversion Rates'!$B$6)/12-15-5</f>
        <v>12.830000000000005</v>
      </c>
      <c r="CE366" s="104">
        <f>('Renewable Diesel'!$AB375*'RD Feedstock Breakdown'!CE$3*'Feedstock Conversion Rates'!$B$4)/12+15+5</f>
        <v>31.25</v>
      </c>
      <c r="CF366" s="106">
        <f t="shared" si="372"/>
        <v>44.080000000000005</v>
      </c>
      <c r="CG366" s="104">
        <f>('Renewable Diesel'!AD375*'Feedstock Conversion Rates'!B$4)/12</f>
        <v>112.5</v>
      </c>
      <c r="CH366" s="106">
        <f t="shared" si="358"/>
        <v>112.5</v>
      </c>
      <c r="CI366" s="104">
        <f>('Renewable Diesel'!$AE375*'RD Feedstock Breakdown'!CI$3*'Feedstock Conversion Rates'!$B$5)/12</f>
        <v>0.34604166666666664</v>
      </c>
      <c r="CJ366" s="104">
        <f>('Renewable Diesel'!$AE375*'RD Feedstock Breakdown'!CJ$3*'Feedstock Conversion Rates'!$B$4)/12</f>
        <v>0.34375</v>
      </c>
      <c r="CK366" s="106">
        <f t="shared" si="368"/>
        <v>0.68979166666666658</v>
      </c>
      <c r="CL366" s="104">
        <f>(((CL$3*'Renewable Diesel'!$AF375)*'Feedstock Conversion Rates'!$B$3)/12)</f>
        <v>91.78125</v>
      </c>
      <c r="CM366" s="104">
        <f>(((CM$3*'Renewable Diesel'!$AF375)*'Feedstock Conversion Rates'!$B$6)/12)</f>
        <v>53.739583333333336</v>
      </c>
      <c r="CN366" s="104">
        <f>(((CN$3*'Renewable Diesel'!$AF375)*'Feedstock Conversion Rates'!$B$4)/12)</f>
        <v>42.96875</v>
      </c>
      <c r="CO366" s="106">
        <f t="shared" si="360"/>
        <v>188.48958333333334</v>
      </c>
      <c r="CP366" s="104">
        <f>('Renewable Diesel'!$AG375*'RD Feedstock Breakdown'!CP$3*'Feedstock Conversion Rates'!$B$3)/12</f>
        <v>6.0075000000000003</v>
      </c>
      <c r="CQ366" s="104">
        <f>('Renewable Diesel'!$AG375*'RD Feedstock Breakdown'!CQ$3*'Feedstock Conversion Rates'!$B$6)/12</f>
        <v>3.5175000000000001</v>
      </c>
      <c r="CR366" s="104">
        <f>('Renewable Diesel'!$AG375*'RD Feedstock Breakdown'!CR$3*'Feedstock Conversion Rates'!$B$4)/12</f>
        <v>2.8125</v>
      </c>
      <c r="CS366" s="106">
        <f t="shared" si="317"/>
        <v>12.3375</v>
      </c>
      <c r="CT366" s="104">
        <f>('Renewable Diesel'!AI375*'Feedstock Conversion Rates'!$B$4*'RD Feedstock Breakdown'!$CT$3)/12</f>
        <v>29.375</v>
      </c>
      <c r="CU366" s="106">
        <f t="shared" si="364"/>
        <v>29.375</v>
      </c>
      <c r="CV366" s="104">
        <f>('Renewable Diesel'!AN375*'Feedstock Conversion Rates'!$B$3*'RD Feedstock Breakdown'!$CV$3)/12</f>
        <v>0.50062499999999999</v>
      </c>
      <c r="CW366" s="106">
        <f t="shared" si="338"/>
        <v>0.50062499999999999</v>
      </c>
      <c r="CX366" s="104">
        <f>('Renewable Diesel'!AO375*'RD Feedstock Breakdown'!$CX$3*'Feedstock Conversion Rates'!$B$3)/12</f>
        <v>6.3412499999999996</v>
      </c>
      <c r="CY366" s="104">
        <f>('Renewable Diesel'!AO375*'RD Feedstock Breakdown'!$CY$3*'Feedstock Conversion Rates'!$B$6)/12</f>
        <v>7.4258333333333342</v>
      </c>
      <c r="CZ366" s="106">
        <f t="shared" si="318"/>
        <v>13.767083333333334</v>
      </c>
      <c r="DA366" s="104">
        <f>('Renewable Diesel'!$AP375*'RD Feedstock Breakdown'!DA$3*'Feedstock Conversion Rates'!$B$3)/12</f>
        <v>6.3412499999999996</v>
      </c>
      <c r="DB366" s="104">
        <f>('Renewable Diesel'!$AP375*'RD Feedstock Breakdown'!DB$3*'Feedstock Conversion Rates'!$B$8)/12</f>
        <v>7.421875</v>
      </c>
      <c r="DC366" s="106">
        <f t="shared" si="342"/>
        <v>13.763124999999999</v>
      </c>
      <c r="DD366" s="104">
        <f>('Renewable Diesel'!AQ375*$DD$3*'Feedstock Conversion Rates'!$B$14)/12</f>
        <v>3.1041666666666665</v>
      </c>
      <c r="DE366" s="106">
        <f t="shared" si="343"/>
        <v>3.1041666666666665</v>
      </c>
      <c r="DF366" s="104">
        <f>('Renewable Diesel'!AR375*'Feedstock Conversion Rates'!$B$4*$DF$3)/12</f>
        <v>75</v>
      </c>
      <c r="DG366" s="106">
        <f t="shared" si="319"/>
        <v>75</v>
      </c>
      <c r="DH366" s="104">
        <f>('Renewable Diesel'!AS375*'Feedstock Conversion Rates'!$B$4*$DH$3)/12</f>
        <v>75</v>
      </c>
      <c r="DI366" s="106">
        <f t="shared" si="323"/>
        <v>75</v>
      </c>
      <c r="DJ366" s="104">
        <f>('Renewable Diesel'!AT375*'Feedstock Conversion Rates'!$B$4*0.25)/12</f>
        <v>8.59375</v>
      </c>
      <c r="DK366" s="104">
        <f>('Renewable Diesel'!$AT375*'RD Feedstock Breakdown'!DK$3*'Feedstock Conversion Rates'!$B$3)/12*0.5</f>
        <v>9.1781249999999996</v>
      </c>
      <c r="DL366" s="104">
        <f>('Renewable Diesel'!$AT375*'RD Feedstock Breakdown'!$DL$3*'Feedstock Conversion Rates'!$B$6)/12</f>
        <v>10.747916666666669</v>
      </c>
      <c r="DM366" s="104">
        <f>('Renewable Diesel'!$AT375*'RD Feedstock Breakdown'!$DM$3*'Feedstock Conversion Rates'!$B$8)/12</f>
        <v>10.7421875</v>
      </c>
      <c r="DN366" s="106">
        <f t="shared" si="375"/>
        <v>39.26197916666667</v>
      </c>
      <c r="DP366" s="104">
        <f t="shared" si="345"/>
        <v>103.22025000000001</v>
      </c>
      <c r="DQ366" s="104">
        <f t="shared" si="346"/>
        <v>349.11776750000007</v>
      </c>
      <c r="DR366" s="104">
        <f t="shared" si="351"/>
        <v>1891.953125</v>
      </c>
      <c r="DS366" s="104">
        <f t="shared" si="365"/>
        <v>228.90125</v>
      </c>
      <c r="DT366" s="104">
        <f t="shared" si="347"/>
        <v>243.03923333333344</v>
      </c>
      <c r="DU366" s="104">
        <f t="shared" si="348"/>
        <v>402.90610000000009</v>
      </c>
      <c r="DV366" s="104">
        <f t="shared" si="352"/>
        <v>78.75</v>
      </c>
      <c r="DW366" s="104">
        <f t="shared" si="349"/>
        <v>3</v>
      </c>
      <c r="DX366" s="106">
        <f t="shared" si="353"/>
        <v>3300.8877258333337</v>
      </c>
      <c r="DY366" s="109">
        <f t="shared" si="340"/>
        <v>-5.631051180898794E-13</v>
      </c>
      <c r="EA366" s="110">
        <f t="shared" si="393"/>
        <v>3.1270451640078516E-2</v>
      </c>
      <c r="EB366" s="110">
        <f t="shared" si="393"/>
        <v>0.10576481131658687</v>
      </c>
      <c r="EC366" s="110">
        <f t="shared" si="393"/>
        <v>0.57316494293133291</v>
      </c>
      <c r="ED366" s="110">
        <f t="shared" si="393"/>
        <v>6.9345360706629972E-2</v>
      </c>
      <c r="EE366" s="110">
        <f t="shared" si="393"/>
        <v>7.3628445896921982E-2</v>
      </c>
      <c r="EF366" s="110">
        <f t="shared" si="393"/>
        <v>0.1220599225010852</v>
      </c>
      <c r="EG366" s="110">
        <f t="shared" si="384"/>
        <v>2.3857218585075921E-2</v>
      </c>
      <c r="EH366" s="111">
        <f t="shared" si="354"/>
        <v>9.0884642228860647E-4</v>
      </c>
      <c r="EI366" s="110">
        <f t="shared" si="321"/>
        <v>0.99909115357771139</v>
      </c>
      <c r="EK366" s="132">
        <f>(EA366*'Renewable Diesel'!BF375*'Feedstock Conversion Rates'!B$2)+FB366</f>
        <v>221.47486394893542</v>
      </c>
      <c r="EL366" s="132">
        <f>(EB366*'Renewable Diesel'!BF375*'Feedstock Conversion Rates'!B$3)+FC366</f>
        <v>705.90308368224123</v>
      </c>
      <c r="EM366" s="132">
        <f>(EC366*'Renewable Diesel'!BF375*'Feedstock Conversion Rates'!B$4)+FD366</f>
        <v>3581.8900186491978</v>
      </c>
      <c r="EN366" s="132">
        <f>(ED366*'Renewable Diesel'!BF375*'Feedstock Conversion Rates'!B$5)+FE366</f>
        <v>436.25028852068777</v>
      </c>
      <c r="EO366" s="132">
        <f>(EE366*'Renewable Diesel'!BF375*'Feedstock Conversion Rates'!B$6)+FF366</f>
        <v>575.46622086124364</v>
      </c>
      <c r="EP366" s="132">
        <f>(EF366*'Renewable Diesel'!BF375*'Feedstock Conversion Rates'!B$7)+FG366</f>
        <v>935.69063169359833</v>
      </c>
      <c r="EQ366" s="132">
        <f>(EG366*'Renewable Diesel'!BF375*'Feedstock Conversion Rates'!B$8)+FH366</f>
        <v>186.36418315637729</v>
      </c>
      <c r="ER366" s="132">
        <f>(EH366*'Renewable Diesel'!BF375*'Feedstock Conversion Rates'!B$9)+FI366</f>
        <v>7.0049267573698639</v>
      </c>
      <c r="ES366" s="132">
        <f t="shared" si="355"/>
        <v>6650.0442172696512</v>
      </c>
      <c r="ET366" s="133">
        <f>ES366/'Renewable Diesel'!BF375</f>
        <v>11.289339836406356</v>
      </c>
      <c r="EW366" s="73">
        <f t="shared" si="386"/>
        <v>5195.6829868628492</v>
      </c>
      <c r="EX366" s="73">
        <f t="shared" si="387"/>
        <v>3403.2008151538662</v>
      </c>
      <c r="EY366" s="92">
        <f t="shared" si="341"/>
        <v>0.78130051727627037</v>
      </c>
      <c r="EZ366" s="92">
        <f t="shared" si="341"/>
        <v>0.51175611830008838</v>
      </c>
      <c r="FB366" s="102">
        <f>IF('Renewable Diesel'!$BG375&lt;1,0,(((('Renewable Diesel'!$BG375-1)*'Renewable Diesel'!$BF375)*'RD Feedstock Breakdown'!EA366)*'Feedstock Conversion Rates'!$B$2))</f>
        <v>64.904678493606781</v>
      </c>
      <c r="FC366" s="102">
        <f>IF('Renewable Diesel'!$BG375&lt;1,0,(((('Renewable Diesel'!$BG375-1)*'Renewable Diesel'!$BF375)*'RD Feedstock Breakdown'!EB366)*'Feedstock Conversion Rates'!$B$3))</f>
        <v>206.86958274689437</v>
      </c>
      <c r="FD366" s="102">
        <f>IF('Renewable Diesel'!$BG375&lt;1,0,(((('Renewable Diesel'!$BG375-1)*'Renewable Diesel'!$BF375)*'RD Feedstock Breakdown'!EC366)*'Feedstock Conversion Rates'!$B$4))</f>
        <v>1049.6966378698744</v>
      </c>
      <c r="FE366" s="102">
        <f>IF('Renewable Diesel'!$BG375&lt;1,0,(((('Renewable Diesel'!$BG375-1)*'Renewable Diesel'!$BF375)*'RD Feedstock Breakdown'!ED366)*'Feedstock Conversion Rates'!$B$5))</f>
        <v>127.84604182308851</v>
      </c>
      <c r="FF366" s="102">
        <f>IF('Renewable Diesel'!$BG375&lt;1,0,(((('Renewable Diesel'!$BG375-1)*'Renewable Diesel'!$BF375)*'RD Feedstock Breakdown'!EE366)*'Feedstock Conversion Rates'!$B$6))</f>
        <v>168.6441945734378</v>
      </c>
      <c r="FG366" s="102">
        <f>IF('Renewable Diesel'!$BG375&lt;1,0,(((('Renewable Diesel'!$BG375-1)*'Renewable Diesel'!$BF375)*'RD Feedstock Breakdown'!EF366)*'Feedstock Conversion Rates'!$B$7))</f>
        <v>274.21034846444365</v>
      </c>
      <c r="FH366" s="102">
        <f>IF('Renewable Diesel'!$BG375&lt;1,0,(((('Renewable Diesel'!$BG375-1)*'Renewable Diesel'!$BF375)*'RD Feedstock Breakdown'!EG366)*'Feedstock Conversion Rates'!$B$8))</f>
        <v>54.615260507744217</v>
      </c>
      <c r="FI366" s="102">
        <f>IF('Renewable Diesel'!$BG375&lt;1,0,(((('Renewable Diesel'!$BG375-1)*'Renewable Diesel'!$BF375)*'RD Feedstock Breakdown'!EH366)*'Feedstock Conversion Rates'!$B$9))</f>
        <v>2.052840267973624</v>
      </c>
      <c r="FJ366" s="102">
        <f t="shared" si="388"/>
        <v>1948.8395847470633</v>
      </c>
      <c r="GD366" s="91">
        <f>'Renewable Diesel'!BB375*0.32</f>
        <v>0</v>
      </c>
      <c r="GE366" s="91">
        <f>'Renewable Diesel'!BC375</f>
        <v>206.84286106158768</v>
      </c>
      <c r="GF366" s="91">
        <f>'Renewable Diesel'!BD375</f>
        <v>0</v>
      </c>
      <c r="GG366" s="91">
        <f t="shared" si="373"/>
        <v>206.84286106158768</v>
      </c>
      <c r="GH366" s="124">
        <v>1</v>
      </c>
      <c r="GI366" s="102">
        <f>$GG366*EA366*'Feedstock Conversion Rates'!$B$2</f>
        <v>54.978592313335781</v>
      </c>
      <c r="GJ366" s="102">
        <f>$GG366*EB366*'Feedstock Conversion Rates'!$B$3</f>
        <v>175.23233634061813</v>
      </c>
      <c r="GK366" s="102">
        <f>$GG366*EC366*'Feedstock Conversion Rates'!$B$4</f>
        <v>889.16307492088902</v>
      </c>
      <c r="GL366" s="102">
        <f>$GG366*ED366*'Feedstock Conversion Rates'!$B$5</f>
        <v>108.29412571479894</v>
      </c>
      <c r="GM366" s="102">
        <f>$GG366*EE366*'Feedstock Conversion Rates'!$B$6</f>
        <v>142.85288263737726</v>
      </c>
      <c r="GN366" s="102">
        <f>$GG366*EF366*'Feedstock Conversion Rates'!$B$7</f>
        <v>232.27445703793714</v>
      </c>
      <c r="GO366" s="102">
        <f>$GG366*EG366*'Feedstock Conversion Rates'!$B$8</f>
        <v>46.262768897894865</v>
      </c>
      <c r="GP366" s="102">
        <f>$GG366*EH366*'Feedstock Conversion Rates'!B$9</f>
        <v>1.7388926468288104</v>
      </c>
      <c r="GQ366" s="102">
        <f t="shared" si="356"/>
        <v>1650.7971305096796</v>
      </c>
      <c r="GT366" s="103">
        <f t="shared" si="389"/>
        <v>3.3304269372191886E-2</v>
      </c>
      <c r="GU366" s="103">
        <f t="shared" si="390"/>
        <v>0.10615013383656388</v>
      </c>
      <c r="GV366" s="103">
        <f t="shared" si="391"/>
        <v>0.53862649654979822</v>
      </c>
      <c r="GW366" s="103">
        <f t="shared" si="331"/>
        <v>6.5601110950176761E-2</v>
      </c>
      <c r="GX366" s="103">
        <f t="shared" si="331"/>
        <v>8.6535698419388296E-2</v>
      </c>
      <c r="GY366" s="103">
        <f t="shared" si="331"/>
        <v>0.14070442257566981</v>
      </c>
      <c r="GZ366" s="103">
        <f t="shared" si="331"/>
        <v>2.8024502855545516E-2</v>
      </c>
      <c r="HA366" s="103">
        <f t="shared" si="331"/>
        <v>1.0533654406655838E-3</v>
      </c>
    </row>
    <row r="367" spans="1:209" x14ac:dyDescent="0.25">
      <c r="A367" s="96">
        <v>51592</v>
      </c>
      <c r="B367" s="104">
        <f t="shared" si="394"/>
        <v>44.25</v>
      </c>
      <c r="C367" s="104">
        <f t="shared" si="396"/>
        <v>49</v>
      </c>
      <c r="D367" s="104">
        <f t="shared" si="395"/>
        <v>2</v>
      </c>
      <c r="E367" s="104">
        <f>('Renewable Diesel'!B376*E$3*'Feedstock Conversion Rates'!$B$2)/12+26+13-100+27.5+39</f>
        <v>95.43</v>
      </c>
      <c r="F367" s="104">
        <f>('Renewable Diesel'!B376*'RD Feedstock Breakdown'!F$3*'Feedstock Conversion Rates'!B$8)/12+77+23-10-12-115.75+24+8</f>
        <v>48.15625</v>
      </c>
      <c r="G367" s="104">
        <f>('Renewable Diesel'!B376*'RD Feedstock Breakdown'!G$3*'Feedstock Conversion Rates'!B$7)/12+116.75-39-57.5-145-31.5+32+70-40+10+60</f>
        <v>151.90700000000004</v>
      </c>
      <c r="H367" s="104">
        <f>('Renewable Diesel'!B376*'RD Feedstock Breakdown'!H$3*'Feedstock Conversion Rates'!B$3)/12+67+10+12+3-235+20+47-20+25</f>
        <v>105.40022499999998</v>
      </c>
      <c r="I367" s="106">
        <f t="shared" si="370"/>
        <v>496.14347500000002</v>
      </c>
      <c r="J367" s="104">
        <f t="shared" si="332"/>
        <v>4</v>
      </c>
      <c r="K367" s="104"/>
      <c r="L367" s="104">
        <v>1</v>
      </c>
      <c r="M367" s="104">
        <f>('Renewable Diesel'!C376*'RD Feedstock Breakdown'!M$3*'Feedstock Conversion Rates'!B$2)/12</f>
        <v>7.7902500000000003</v>
      </c>
      <c r="N367" s="104">
        <f>('Renewable Diesel'!C376*'RD Feedstock Breakdown'!N$3*'Feedstock Conversion Rates'!B$8)/12</f>
        <v>3.671875</v>
      </c>
      <c r="O367" s="104">
        <f>('Renewable Diesel'!C376*'RD Feedstock Breakdown'!O$3*'Feedstock Conversion Rates'!B$7)/12</f>
        <v>11.9991</v>
      </c>
      <c r="P367" s="104">
        <f>('Renewable Diesel'!C376*'RD Feedstock Breakdown'!P$3*'Feedstock Conversion Rates'!B$3)/12</f>
        <v>10.4470425</v>
      </c>
      <c r="Q367" s="106">
        <f t="shared" si="379"/>
        <v>38.908267500000001</v>
      </c>
      <c r="R367" s="104">
        <f>('Renewable Diesel'!D376*'RD Feedstock Breakdown'!R$3*'Feedstock Conversion Rates'!B$7)/12</f>
        <v>2.2999999999999998</v>
      </c>
      <c r="S367" s="106">
        <f t="shared" si="329"/>
        <v>2.2999999999999998</v>
      </c>
      <c r="T367" s="104">
        <f t="shared" si="380"/>
        <v>0.82499999999999929</v>
      </c>
      <c r="U367" s="104"/>
      <c r="V367" s="104">
        <f>('Renewable Diesel'!E376*'RD Feedstock Breakdown'!V$3*'Feedstock Conversion Rates'!B$6)/12-20+25</f>
        <v>49.250150000000012</v>
      </c>
      <c r="W367" s="104">
        <f>('Renewable Diesel'!E376*'RD Feedstock Breakdown'!W$3*'Feedstock Conversion Rates'!B$8)/12-6</f>
        <v>16.1796875</v>
      </c>
      <c r="X367" s="106">
        <f t="shared" si="357"/>
        <v>66.254837500000008</v>
      </c>
      <c r="Y367" s="104">
        <f t="shared" si="381"/>
        <v>98</v>
      </c>
      <c r="Z367" s="104">
        <f>('Renewable Diesel'!F376*'RD Feedstock Breakdown'!Z$3*'Feedstock Conversion Rates'!B$6)/12-142+15+5+20+5+15</f>
        <v>77.460000000000008</v>
      </c>
      <c r="AA367" s="104">
        <f>('Renewable Diesel'!F376*'RD Feedstock Breakdown'!AA$3*'Feedstock Conversion Rates'!B$7)/12+24</f>
        <v>128.26666666666665</v>
      </c>
      <c r="AB367" s="106">
        <f t="shared" si="320"/>
        <v>303.72666666666669</v>
      </c>
      <c r="AC367" s="104">
        <f>('Renewable Diesel'!G376*'RD Feedstock Breakdown'!AC$3*'Feedstock Conversion Rates'!B$5)/12</f>
        <v>11.796875</v>
      </c>
      <c r="AD367" s="104">
        <f>('Renewable Diesel'!G376*'RD Feedstock Breakdown'!AD$3*'Feedstock Conversion Rates'!B$4)/12</f>
        <v>5.859375</v>
      </c>
      <c r="AE367" s="104">
        <f>('Renewable Diesel'!G376*'RD Feedstock Breakdown'!AE$3*'Feedstock Conversion Rates'!B$6)/12</f>
        <v>7.3281250000000009</v>
      </c>
      <c r="AF367" s="106">
        <f t="shared" si="366"/>
        <v>24.984375</v>
      </c>
      <c r="AG367" s="104">
        <f t="shared" si="383"/>
        <v>148</v>
      </c>
      <c r="AH367" s="104"/>
      <c r="AI367" s="104">
        <f>('Renewable Diesel'!H376*'RD Feedstock Breakdown'!AI$3*'Feedstock Conversion Rates'!B$6)/12-130-20+51-49</f>
        <v>0.51666666666667993</v>
      </c>
      <c r="AJ367" s="106">
        <f t="shared" si="328"/>
        <v>148.51666666666668</v>
      </c>
      <c r="AK367" s="104">
        <f>('Renewable Diesel'!J376*'RD Feedstock Breakdown'!AK$3*'Feedstock Conversion Rates'!B$4)/12</f>
        <v>95.8125</v>
      </c>
      <c r="AL367" s="106">
        <f t="shared" si="330"/>
        <v>95.8125</v>
      </c>
      <c r="AM367" s="104">
        <f>('Renewable Diesel'!K376*'RD Feedstock Breakdown'!AM$3*'Feedstock Conversion Rates'!B$4)/12+5+15-10+10</f>
        <v>78.59375</v>
      </c>
      <c r="AN367" s="104">
        <f>('Renewable Diesel'!K376*'RD Feedstock Breakdown'!AN$3*'Feedstock Conversion Rates'!B$6)/12-5-15+10-10</f>
        <v>4.4270833333333321</v>
      </c>
      <c r="AO367" s="106">
        <f t="shared" si="350"/>
        <v>83.020833333333329</v>
      </c>
      <c r="AP367" s="104">
        <f>('Renewable Diesel'!L376*'RD Feedstock Breakdown'!AP$3*'Feedstock Conversion Rates'!B$4)/12+15-10+15</f>
        <v>78.59375</v>
      </c>
      <c r="AQ367" s="104">
        <f>('Renewable Diesel'!L376*'RD Feedstock Breakdown'!AQ$3*'Feedstock Conversion Rates'!B$6)/12-15+10-15</f>
        <v>4.4270833333333321</v>
      </c>
      <c r="AR367" s="106">
        <f t="shared" si="339"/>
        <v>83.020833333333329</v>
      </c>
      <c r="AS367" s="104">
        <f>('Renewable Diesel'!M376*'RD Feedstock Breakdown'!AS$3*'Feedstock Conversion Rates'!B$4)/12</f>
        <v>456.25</v>
      </c>
      <c r="AT367" s="104">
        <f>('Renewable Diesel'!M376*'RD Feedstock Breakdown'!AT$3*'Feedstock Conversion Rates'!B$5)/12</f>
        <v>0</v>
      </c>
      <c r="AU367" s="106">
        <f t="shared" si="369"/>
        <v>456.25</v>
      </c>
      <c r="AV367" s="104">
        <f>'Renewable Diesel'!N376*'RD Feedstock Breakdown'!$AV$3*'Feedstock Conversion Rates'!$B$4/12-15-10+25+25-22+25</f>
        <v>106.74999999999999</v>
      </c>
      <c r="AW367" s="104">
        <f>'Renewable Diesel'!N376*'RD Feedstock Breakdown'!$AW$3*'Feedstock Conversion Rates'!$B$7/12+15+10-25-25+22-25</f>
        <v>13.400000000000006</v>
      </c>
      <c r="AX367" s="106">
        <f t="shared" si="322"/>
        <v>120.14999999999999</v>
      </c>
      <c r="AY367" s="104">
        <f>('Renewable Diesel'!O376*'RD Feedstock Breakdown'!AY$3*'Feedstock Conversion Rates'!B$4)/12</f>
        <v>210.9375</v>
      </c>
      <c r="AZ367" s="104">
        <f>('Renewable Diesel'!O376*'RD Feedstock Breakdown'!AZ$3*'Feedstock Conversion Rates'!B$3)/12</f>
        <v>25.03125</v>
      </c>
      <c r="BA367" s="106">
        <f t="shared" si="382"/>
        <v>235.96875</v>
      </c>
      <c r="BB367" s="104">
        <f>('Renewable Diesel'!Q376*'RD Feedstock Breakdown'!BB$3*'Feedstock Conversion Rates'!B$4)/12</f>
        <v>11.156249999999998</v>
      </c>
      <c r="BC367" s="104">
        <f>('Renewable Diesel'!Q376*'RD Feedstock Breakdown'!BC$3*'Feedstock Conversion Rates'!B$3)/12</f>
        <v>1.4017500000000001</v>
      </c>
      <c r="BD367" s="104">
        <f>('Renewable Diesel'!Q376*'RD Feedstock Breakdown'!BD$3*'Feedstock Conversion Rates'!B$6)/12</f>
        <v>0.8207500000000002</v>
      </c>
      <c r="BE367" s="106">
        <f t="shared" si="359"/>
        <v>13.378749999999998</v>
      </c>
      <c r="BF367" s="104">
        <f>('Renewable Diesel'!R376*'RD Feedstock Breakdown'!BF$3*'Feedstock Conversion Rates'!B$4)/12</f>
        <v>62.5</v>
      </c>
      <c r="BG367" s="106">
        <f t="shared" si="344"/>
        <v>62.5</v>
      </c>
      <c r="BH367" s="104">
        <f>('Renewable Diesel'!T376*'RD Feedstock Breakdown'!BH$3*'Feedstock Conversion Rates'!B$7)/12</f>
        <v>27.599999999999998</v>
      </c>
      <c r="BI367" s="106">
        <f t="shared" si="327"/>
        <v>27.599999999999998</v>
      </c>
      <c r="BJ367" s="104">
        <f>('Renewable Diesel'!W376*'RD Feedstock Breakdown'!BJ$3*'Feedstock Conversion Rates'!B$4)/12</f>
        <v>7.5</v>
      </c>
      <c r="BK367" s="104">
        <f>('Renewable Diesel'!W376*'RD Feedstock Breakdown'!BK$3*'Feedstock Conversion Rates'!B$3)/12</f>
        <v>1.335</v>
      </c>
      <c r="BL367" s="104">
        <f>('Renewable Diesel'!W376*'RD Feedstock Breakdown'!BL$3*'Feedstock Conversion Rates'!B$6)/12</f>
        <v>3.1266666666666669</v>
      </c>
      <c r="BM367" s="104">
        <f>('Renewable Diesel'!W376*'RD Feedstock Breakdown'!BM$3*'Feedstock Conversion Rates'!B$7)/12</f>
        <v>1.5333333333333332</v>
      </c>
      <c r="BN367" s="106">
        <f t="shared" si="374"/>
        <v>13.495000000000001</v>
      </c>
      <c r="BO367" s="104">
        <f>('Renewable Diesel'!P376*'Feedstock Conversion Rates'!B$4)/12</f>
        <v>31.25</v>
      </c>
      <c r="BP367" s="106">
        <f t="shared" si="367"/>
        <v>31.25</v>
      </c>
      <c r="BQ367" s="104">
        <f>('Renewable Diesel'!$S376*'RD Feedstock Breakdown'!BQ$3*'Feedstock Conversion Rates'!B$4)/12+10+15-15</f>
        <v>38.125</v>
      </c>
      <c r="BR367" s="104">
        <f>('Renewable Diesel'!$S376*'RD Feedstock Breakdown'!BR$3*'Feedstock Conversion Rates'!B$7)/12-10-15+15</f>
        <v>1.5</v>
      </c>
      <c r="BS367" s="106">
        <f t="shared" si="385"/>
        <v>39.625</v>
      </c>
      <c r="BT367" s="106"/>
      <c r="BU367" s="104">
        <f>('Renewable Diesel'!Y376*'Feedstock Conversion Rates'!B$7)/12</f>
        <v>2.6833333333333331</v>
      </c>
      <c r="BV367" s="106">
        <f t="shared" si="361"/>
        <v>2.6833333333333331</v>
      </c>
      <c r="BW367" s="104">
        <f>('Renewable Diesel'!$Z376*'RD Feedstock Breakdown'!BW$3*'Feedstock Conversion Rates'!$B$4)/12-250+180</f>
        <v>1.875</v>
      </c>
      <c r="BX367" s="104">
        <f>('Renewable Diesel'!$Z376*'RD Feedstock Breakdown'!BX$3*'Feedstock Conversion Rates'!$B$5)/12</f>
        <v>7.2354166666666666</v>
      </c>
      <c r="BY367" s="104">
        <f>('Renewable Diesel'!$Z376*'RD Feedstock Breakdown'!BY$3*'Feedstock Conversion Rates'!$B$7)/12</f>
        <v>61.716666666666661</v>
      </c>
      <c r="BZ367" s="104">
        <f>('Renewable Diesel'!$Z376*'RD Feedstock Breakdown'!BZ$3*'Feedstock Conversion Rates'!$B$3)/12+250-180</f>
        <v>85.35250000000002</v>
      </c>
      <c r="CA367" s="106">
        <f t="shared" si="392"/>
        <v>156.17958333333334</v>
      </c>
      <c r="CB367" s="104">
        <f>('Renewable Diesel'!AA376*'Feedstock Conversion Rates'!B$4)/12</f>
        <v>191.25</v>
      </c>
      <c r="CC367" s="106">
        <f t="shared" si="376"/>
        <v>191.25</v>
      </c>
      <c r="CD367" s="104">
        <f>('Renewable Diesel'!$AB376*'RD Feedstock Breakdown'!CD$3*'Feedstock Conversion Rates'!$B$6)/12-15-5</f>
        <v>12.830000000000005</v>
      </c>
      <c r="CE367" s="104">
        <f>('Renewable Diesel'!$AB376*'RD Feedstock Breakdown'!CE$3*'Feedstock Conversion Rates'!$B$4)/12+15+5</f>
        <v>31.25</v>
      </c>
      <c r="CF367" s="106">
        <f t="shared" si="372"/>
        <v>44.080000000000005</v>
      </c>
      <c r="CG367" s="104">
        <f>('Renewable Diesel'!AD376*'Feedstock Conversion Rates'!B$4)/12</f>
        <v>112.5</v>
      </c>
      <c r="CH367" s="106">
        <f t="shared" si="358"/>
        <v>112.5</v>
      </c>
      <c r="CI367" s="104">
        <f>('Renewable Diesel'!$AE376*'RD Feedstock Breakdown'!CI$3*'Feedstock Conversion Rates'!$B$5)/12</f>
        <v>0.34604166666666664</v>
      </c>
      <c r="CJ367" s="104">
        <f>('Renewable Diesel'!$AE376*'RD Feedstock Breakdown'!CJ$3*'Feedstock Conversion Rates'!$B$4)/12</f>
        <v>0.34375</v>
      </c>
      <c r="CK367" s="106">
        <f t="shared" si="368"/>
        <v>0.68979166666666658</v>
      </c>
      <c r="CL367" s="104">
        <f>(((CL$3*'Renewable Diesel'!$AF376)*'Feedstock Conversion Rates'!$B$3)/12)</f>
        <v>91.78125</v>
      </c>
      <c r="CM367" s="104">
        <f>(((CM$3*'Renewable Diesel'!$AF376)*'Feedstock Conversion Rates'!$B$6)/12)</f>
        <v>53.739583333333336</v>
      </c>
      <c r="CN367" s="104">
        <f>(((CN$3*'Renewable Diesel'!$AF376)*'Feedstock Conversion Rates'!$B$4)/12)</f>
        <v>42.96875</v>
      </c>
      <c r="CO367" s="106">
        <f t="shared" si="360"/>
        <v>188.48958333333334</v>
      </c>
      <c r="CP367" s="104">
        <f>('Renewable Diesel'!$AG376*'RD Feedstock Breakdown'!CP$3*'Feedstock Conversion Rates'!$B$3)/12</f>
        <v>6.0075000000000003</v>
      </c>
      <c r="CQ367" s="104">
        <f>('Renewable Diesel'!$AG376*'RD Feedstock Breakdown'!CQ$3*'Feedstock Conversion Rates'!$B$6)/12</f>
        <v>3.5175000000000001</v>
      </c>
      <c r="CR367" s="104">
        <f>('Renewable Diesel'!$AG376*'RD Feedstock Breakdown'!CR$3*'Feedstock Conversion Rates'!$B$4)/12</f>
        <v>2.8125</v>
      </c>
      <c r="CS367" s="106">
        <f t="shared" si="317"/>
        <v>12.3375</v>
      </c>
      <c r="CT367" s="104">
        <f>('Renewable Diesel'!AI376*'Feedstock Conversion Rates'!$B$4*'RD Feedstock Breakdown'!$CT$3)/12</f>
        <v>29.375</v>
      </c>
      <c r="CU367" s="106">
        <f t="shared" si="364"/>
        <v>29.375</v>
      </c>
      <c r="CV367" s="104">
        <f>('Renewable Diesel'!AN376*'Feedstock Conversion Rates'!$B$3*'RD Feedstock Breakdown'!$CV$3)/12</f>
        <v>0.50062499999999999</v>
      </c>
      <c r="CW367" s="106">
        <f t="shared" si="338"/>
        <v>0.50062499999999999</v>
      </c>
      <c r="CX367" s="104">
        <f>('Renewable Diesel'!AO376*'RD Feedstock Breakdown'!$CX$3*'Feedstock Conversion Rates'!$B$3)/12</f>
        <v>6.3412499999999996</v>
      </c>
      <c r="CY367" s="104">
        <f>('Renewable Diesel'!AO376*'RD Feedstock Breakdown'!$CY$3*'Feedstock Conversion Rates'!$B$6)/12</f>
        <v>7.4258333333333342</v>
      </c>
      <c r="CZ367" s="106">
        <f t="shared" si="318"/>
        <v>13.767083333333334</v>
      </c>
      <c r="DA367" s="104">
        <f>('Renewable Diesel'!$AP376*'RD Feedstock Breakdown'!DA$3*'Feedstock Conversion Rates'!$B$3)/12</f>
        <v>6.3412499999999996</v>
      </c>
      <c r="DB367" s="104">
        <f>('Renewable Diesel'!$AP376*'RD Feedstock Breakdown'!DB$3*'Feedstock Conversion Rates'!$B$8)/12</f>
        <v>7.421875</v>
      </c>
      <c r="DC367" s="106">
        <f t="shared" si="342"/>
        <v>13.763124999999999</v>
      </c>
      <c r="DD367" s="104">
        <f>('Renewable Diesel'!AQ376*$DD$3*'Feedstock Conversion Rates'!$B$14)/12</f>
        <v>3.1041666666666665</v>
      </c>
      <c r="DE367" s="106">
        <f t="shared" si="343"/>
        <v>3.1041666666666665</v>
      </c>
      <c r="DF367" s="104">
        <f>('Renewable Diesel'!AR376*'Feedstock Conversion Rates'!$B$4*$DF$3)/12</f>
        <v>75</v>
      </c>
      <c r="DG367" s="106">
        <f t="shared" si="319"/>
        <v>75</v>
      </c>
      <c r="DH367" s="104">
        <f>('Renewable Diesel'!AS376*'Feedstock Conversion Rates'!$B$4*$DH$3)/12</f>
        <v>75</v>
      </c>
      <c r="DI367" s="106">
        <f t="shared" si="323"/>
        <v>75</v>
      </c>
      <c r="DJ367" s="104">
        <f>('Renewable Diesel'!AT376*'Feedstock Conversion Rates'!$B$4*0.25)/12</f>
        <v>8.59375</v>
      </c>
      <c r="DK367" s="104">
        <f>('Renewable Diesel'!$AT376*'RD Feedstock Breakdown'!DK$3*'Feedstock Conversion Rates'!$B$3)/12*0.5</f>
        <v>9.1781249999999996</v>
      </c>
      <c r="DL367" s="104">
        <f>('Renewable Diesel'!$AT376*'RD Feedstock Breakdown'!$DL$3*'Feedstock Conversion Rates'!$B$6)/12</f>
        <v>10.747916666666669</v>
      </c>
      <c r="DM367" s="104">
        <f>('Renewable Diesel'!$AT376*'RD Feedstock Breakdown'!$DM$3*'Feedstock Conversion Rates'!$B$8)/12</f>
        <v>10.7421875</v>
      </c>
      <c r="DN367" s="106">
        <f t="shared" si="375"/>
        <v>39.26197916666667</v>
      </c>
      <c r="DP367" s="104">
        <f t="shared" si="345"/>
        <v>103.22025000000001</v>
      </c>
      <c r="DQ367" s="104">
        <f t="shared" si="346"/>
        <v>349.11776750000007</v>
      </c>
      <c r="DR367" s="104">
        <f t="shared" si="351"/>
        <v>1891.953125</v>
      </c>
      <c r="DS367" s="104">
        <f t="shared" si="365"/>
        <v>228.90125</v>
      </c>
      <c r="DT367" s="104">
        <f t="shared" si="347"/>
        <v>243.03923333333344</v>
      </c>
      <c r="DU367" s="104">
        <f t="shared" si="348"/>
        <v>402.90610000000009</v>
      </c>
      <c r="DV367" s="104">
        <f t="shared" si="352"/>
        <v>78.75</v>
      </c>
      <c r="DW367" s="104">
        <f t="shared" si="349"/>
        <v>3</v>
      </c>
      <c r="DX367" s="106">
        <f t="shared" si="353"/>
        <v>3300.8877258333337</v>
      </c>
      <c r="DY367" s="109">
        <f t="shared" si="340"/>
        <v>-5.631051180898794E-13</v>
      </c>
      <c r="EA367" s="110">
        <f t="shared" si="393"/>
        <v>3.1270451640078516E-2</v>
      </c>
      <c r="EB367" s="110">
        <f t="shared" si="393"/>
        <v>0.10576481131658687</v>
      </c>
      <c r="EC367" s="110">
        <f t="shared" si="393"/>
        <v>0.57316494293133291</v>
      </c>
      <c r="ED367" s="110">
        <f t="shared" si="393"/>
        <v>6.9345360706629972E-2</v>
      </c>
      <c r="EE367" s="110">
        <f t="shared" si="393"/>
        <v>7.3628445896921982E-2</v>
      </c>
      <c r="EF367" s="110">
        <f t="shared" si="393"/>
        <v>0.1220599225010852</v>
      </c>
      <c r="EG367" s="110">
        <f t="shared" si="384"/>
        <v>2.3857218585075921E-2</v>
      </c>
      <c r="EH367" s="111">
        <f t="shared" si="354"/>
        <v>9.0884642228860647E-4</v>
      </c>
      <c r="EI367" s="110">
        <f t="shared" si="321"/>
        <v>0.99909115357771139</v>
      </c>
      <c r="EK367" s="132">
        <f>(EA367*'Renewable Diesel'!BF376*'Feedstock Conversion Rates'!B$2)+FB367</f>
        <v>285.00643201963271</v>
      </c>
      <c r="EL367" s="132">
        <f>(EB367*'Renewable Diesel'!BF376*'Feedstock Conversion Rates'!B$3)+FC367</f>
        <v>908.39617482875462</v>
      </c>
      <c r="EM367" s="132">
        <f>(EC367*'Renewable Diesel'!BF376*'Feedstock Conversion Rates'!B$4)+FD367</f>
        <v>4609.3794839730417</v>
      </c>
      <c r="EN367" s="132">
        <f>(ED367*'Renewable Diesel'!BF376*'Feedstock Conversion Rates'!B$5)+FE367</f>
        <v>561.39164500168204</v>
      </c>
      <c r="EO367" s="132">
        <f>(EE367*'Renewable Diesel'!BF376*'Feedstock Conversion Rates'!B$6)+FF367</f>
        <v>740.54261251651792</v>
      </c>
      <c r="EP367" s="132">
        <f>(EF367*'Renewable Diesel'!BF376*'Feedstock Conversion Rates'!B$7)+FG367</f>
        <v>1204.0998407596971</v>
      </c>
      <c r="EQ367" s="132">
        <f>(EG367*'Renewable Diesel'!BF376*'Feedstock Conversion Rates'!B$8)+FH367</f>
        <v>239.82401411430118</v>
      </c>
      <c r="ER367" s="132">
        <f>(EH367*'Renewable Diesel'!BF376*'Feedstock Conversion Rates'!B$9)+FI367</f>
        <v>9.0143375463915127</v>
      </c>
      <c r="ES367" s="132">
        <f t="shared" si="355"/>
        <v>8557.6545407600188</v>
      </c>
      <c r="ET367" s="133">
        <f>ES367/'Renewable Diesel'!BF376</f>
        <v>12.171155867108135</v>
      </c>
      <c r="EW367" s="73">
        <f t="shared" si="386"/>
        <v>6950.9414585493187</v>
      </c>
      <c r="EX367" s="73">
        <f t="shared" si="387"/>
        <v>4552.9047283358195</v>
      </c>
      <c r="EY367" s="92">
        <f t="shared" si="341"/>
        <v>0.81224842922112095</v>
      </c>
      <c r="EZ367" s="92">
        <f t="shared" si="341"/>
        <v>0.53202717013760981</v>
      </c>
      <c r="FB367" s="102">
        <f>IF('Renewable Diesel'!$BG376&lt;1,0,(((('Renewable Diesel'!$BG376-1)*'Renewable Diesel'!$BF376)*'RD Feedstock Breakdown'!EA367)*'Feedstock Conversion Rates'!$B$2))</f>
        <v>98.120760204652399</v>
      </c>
      <c r="FC367" s="102">
        <f>IF('Renewable Diesel'!$BG376&lt;1,0,(((('Renewable Diesel'!$BG376-1)*'Renewable Diesel'!$BF376)*'RD Feedstock Breakdown'!EB367)*'Feedstock Conversion Rates'!$B$3))</f>
        <v>312.73863754434785</v>
      </c>
      <c r="FD367" s="102">
        <f>IF('Renewable Diesel'!$BG376&lt;1,0,(((('Renewable Diesel'!$BG376-1)*'Renewable Diesel'!$BF376)*'RD Feedstock Breakdown'!EC367)*'Feedstock Conversion Rates'!$B$4))</f>
        <v>1586.896884516656</v>
      </c>
      <c r="FE367" s="102">
        <f>IF('Renewable Diesel'!$BG376&lt;1,0,(((('Renewable Diesel'!$BG376-1)*'Renewable Diesel'!$BF376)*'RD Feedstock Breakdown'!ED367)*'Feedstock Conversion Rates'!$B$5))</f>
        <v>193.27344505793786</v>
      </c>
      <c r="FF367" s="102">
        <f>IF('Renewable Diesel'!$BG376&lt;1,0,(((('Renewable Diesel'!$BG376-1)*'Renewable Diesel'!$BF376)*'RD Feedstock Breakdown'!EE367)*'Feedstock Conversion Rates'!$B$6))</f>
        <v>254.9507517748045</v>
      </c>
      <c r="FG367" s="102">
        <f>IF('Renewable Diesel'!$BG376&lt;1,0,(((('Renewable Diesel'!$BG376-1)*'Renewable Diesel'!$BF376)*'RD Feedstock Breakdown'!EF367)*'Feedstock Conversion Rates'!$B$7))</f>
        <v>414.54219436529706</v>
      </c>
      <c r="FH367" s="102">
        <f>IF('Renewable Diesel'!$BG376&lt;1,0,(((('Renewable Diesel'!$BG376-1)*'Renewable Diesel'!$BF376)*'RD Feedstock Breakdown'!EG367)*'Feedstock Conversion Rates'!$B$8))</f>
        <v>82.565556199817749</v>
      </c>
      <c r="FI367" s="102">
        <f>IF('Renewable Diesel'!$BG376&lt;1,0,(((('Renewable Diesel'!$BG376-1)*'Renewable Diesel'!$BF376)*'RD Feedstock Breakdown'!EH367)*'Feedstock Conversion Rates'!$B$9))</f>
        <v>3.1034164616058479</v>
      </c>
      <c r="FJ367" s="102">
        <f t="shared" si="388"/>
        <v>2946.191646125119</v>
      </c>
      <c r="GD367" s="91">
        <f>'Renewable Diesel'!BB376*0.32</f>
        <v>0</v>
      </c>
      <c r="GE367" s="91">
        <f>'Renewable Diesel'!BC376</f>
        <v>332.0000920550961</v>
      </c>
      <c r="GF367" s="91">
        <f>'Renewable Diesel'!BD376</f>
        <v>0</v>
      </c>
      <c r="GG367" s="91">
        <f t="shared" si="373"/>
        <v>332.0000920550961</v>
      </c>
      <c r="GH367" s="124">
        <v>1</v>
      </c>
      <c r="GI367" s="102">
        <f>$GG367*EA367*'Feedstock Conversion Rates'!$B$2</f>
        <v>88.245238996439227</v>
      </c>
      <c r="GJ367" s="102">
        <f>$GG367*EB367*'Feedstock Conversion Rates'!$B$3</f>
        <v>281.26255601730662</v>
      </c>
      <c r="GK367" s="102">
        <f>$GG367*EC367*'Feedstock Conversion Rates'!$B$4</f>
        <v>1427.1811036196732</v>
      </c>
      <c r="GL367" s="102">
        <f>$GG367*ED367*'Feedstock Conversion Rates'!$B$5</f>
        <v>173.82112934337221</v>
      </c>
      <c r="GM367" s="102">
        <f>$GG367*EE367*'Feedstock Conversion Rates'!$B$6</f>
        <v>229.29082465081356</v>
      </c>
      <c r="GN367" s="102">
        <f>$GG367*EF367*'Feedstock Conversion Rates'!$B$7</f>
        <v>372.81993066070328</v>
      </c>
      <c r="GO367" s="102">
        <f>$GG367*EG367*'Feedstock Conversion Rates'!$B$8</f>
        <v>74.255613435222713</v>
      </c>
      <c r="GP367" s="102">
        <f>$GG367*EH367*'Feedstock Conversion Rates'!B$9</f>
        <v>2.7910681367397991</v>
      </c>
      <c r="GQ367" s="102">
        <f t="shared" si="356"/>
        <v>2649.6674648602707</v>
      </c>
      <c r="GT367" s="103">
        <f t="shared" si="389"/>
        <v>3.3304269372191886E-2</v>
      </c>
      <c r="GU367" s="103">
        <f t="shared" si="390"/>
        <v>0.10615013383656388</v>
      </c>
      <c r="GV367" s="103">
        <f t="shared" si="391"/>
        <v>0.53862649654979822</v>
      </c>
      <c r="GW367" s="103">
        <f t="shared" si="331"/>
        <v>6.5601110950176775E-2</v>
      </c>
      <c r="GX367" s="103">
        <f t="shared" si="331"/>
        <v>8.653569841938831E-2</v>
      </c>
      <c r="GY367" s="103">
        <f t="shared" si="331"/>
        <v>0.14070442257566981</v>
      </c>
      <c r="GZ367" s="103">
        <f t="shared" si="331"/>
        <v>2.8024502855545516E-2</v>
      </c>
      <c r="HA367" s="103">
        <f t="shared" si="331"/>
        <v>1.053365440665584E-3</v>
      </c>
    </row>
    <row r="368" spans="1:209" x14ac:dyDescent="0.25">
      <c r="A368" s="96">
        <v>51622</v>
      </c>
      <c r="B368" s="104">
        <f t="shared" si="394"/>
        <v>44.25</v>
      </c>
      <c r="C368" s="104">
        <f t="shared" si="396"/>
        <v>49</v>
      </c>
      <c r="D368" s="104">
        <f t="shared" si="395"/>
        <v>2</v>
      </c>
      <c r="E368" s="104">
        <f>('Renewable Diesel'!B377*E$3*'Feedstock Conversion Rates'!$B$2)/12+26+13-100+27.5+39</f>
        <v>95.43</v>
      </c>
      <c r="F368" s="104">
        <f>('Renewable Diesel'!B377*'RD Feedstock Breakdown'!F$3*'Feedstock Conversion Rates'!B$8)/12+77+23-10-12-115.75+24+8</f>
        <v>48.15625</v>
      </c>
      <c r="G368" s="104">
        <f>('Renewable Diesel'!B377*'RD Feedstock Breakdown'!G$3*'Feedstock Conversion Rates'!B$7)/12+116.75-39-57.5-145-31.5+32+70-40+10+60</f>
        <v>151.90700000000004</v>
      </c>
      <c r="H368" s="104">
        <f>('Renewable Diesel'!B377*'RD Feedstock Breakdown'!H$3*'Feedstock Conversion Rates'!B$3)/12+67+10+12+3-235+20+47-20+25</f>
        <v>105.40022499999998</v>
      </c>
      <c r="I368" s="106">
        <f t="shared" si="370"/>
        <v>496.14347500000002</v>
      </c>
      <c r="J368" s="104">
        <f t="shared" si="332"/>
        <v>4</v>
      </c>
      <c r="K368" s="104"/>
      <c r="L368" s="104">
        <v>1</v>
      </c>
      <c r="M368" s="104">
        <f>('Renewable Diesel'!C377*'RD Feedstock Breakdown'!M$3*'Feedstock Conversion Rates'!B$2)/12</f>
        <v>7.7902500000000003</v>
      </c>
      <c r="N368" s="104">
        <f>('Renewable Diesel'!C377*'RD Feedstock Breakdown'!N$3*'Feedstock Conversion Rates'!B$8)/12</f>
        <v>3.671875</v>
      </c>
      <c r="O368" s="104">
        <f>('Renewable Diesel'!C377*'RD Feedstock Breakdown'!O$3*'Feedstock Conversion Rates'!B$7)/12</f>
        <v>11.9991</v>
      </c>
      <c r="P368" s="104">
        <f>('Renewable Diesel'!C377*'RD Feedstock Breakdown'!P$3*'Feedstock Conversion Rates'!B$3)/12</f>
        <v>10.4470425</v>
      </c>
      <c r="Q368" s="106">
        <f t="shared" si="379"/>
        <v>38.908267500000001</v>
      </c>
      <c r="R368" s="104">
        <f>('Renewable Diesel'!D377*'RD Feedstock Breakdown'!R$3*'Feedstock Conversion Rates'!B$7)/12</f>
        <v>2.2999999999999998</v>
      </c>
      <c r="S368" s="106">
        <f t="shared" si="329"/>
        <v>2.2999999999999998</v>
      </c>
      <c r="T368" s="104">
        <f t="shared" si="380"/>
        <v>0.82499999999999929</v>
      </c>
      <c r="U368" s="104"/>
      <c r="V368" s="104">
        <f>('Renewable Diesel'!E377*'RD Feedstock Breakdown'!V$3*'Feedstock Conversion Rates'!B$6)/12-20+25</f>
        <v>49.250150000000012</v>
      </c>
      <c r="W368" s="104">
        <f>('Renewable Diesel'!E377*'RD Feedstock Breakdown'!W$3*'Feedstock Conversion Rates'!B$8)/12-6</f>
        <v>16.1796875</v>
      </c>
      <c r="X368" s="106">
        <f t="shared" si="357"/>
        <v>66.254837500000008</v>
      </c>
      <c r="Y368" s="104">
        <f t="shared" si="381"/>
        <v>98</v>
      </c>
      <c r="Z368" s="104">
        <f>('Renewable Diesel'!F377*'RD Feedstock Breakdown'!Z$3*'Feedstock Conversion Rates'!B$6)/12-142+15+5+20+5+15</f>
        <v>77.460000000000008</v>
      </c>
      <c r="AA368" s="104">
        <f>('Renewable Diesel'!F377*'RD Feedstock Breakdown'!AA$3*'Feedstock Conversion Rates'!B$7)/12+24</f>
        <v>128.26666666666665</v>
      </c>
      <c r="AB368" s="106">
        <f t="shared" si="320"/>
        <v>303.72666666666669</v>
      </c>
      <c r="AC368" s="104">
        <f>('Renewable Diesel'!G377*'RD Feedstock Breakdown'!AC$3*'Feedstock Conversion Rates'!B$5)/12</f>
        <v>11.796875</v>
      </c>
      <c r="AD368" s="104">
        <f>('Renewable Diesel'!G377*'RD Feedstock Breakdown'!AD$3*'Feedstock Conversion Rates'!B$4)/12</f>
        <v>5.859375</v>
      </c>
      <c r="AE368" s="104">
        <f>('Renewable Diesel'!G377*'RD Feedstock Breakdown'!AE$3*'Feedstock Conversion Rates'!B$6)/12</f>
        <v>7.3281250000000009</v>
      </c>
      <c r="AF368" s="106">
        <f t="shared" si="366"/>
        <v>24.984375</v>
      </c>
      <c r="AG368" s="104">
        <f t="shared" si="383"/>
        <v>148</v>
      </c>
      <c r="AH368" s="104"/>
      <c r="AI368" s="104">
        <f>('Renewable Diesel'!H377*'RD Feedstock Breakdown'!AI$3*'Feedstock Conversion Rates'!B$6)/12-130-20+51-49</f>
        <v>0.51666666666667993</v>
      </c>
      <c r="AJ368" s="106">
        <f t="shared" si="328"/>
        <v>148.51666666666668</v>
      </c>
      <c r="AK368" s="104">
        <f>('Renewable Diesel'!J377*'RD Feedstock Breakdown'!AK$3*'Feedstock Conversion Rates'!B$4)/12</f>
        <v>95.8125</v>
      </c>
      <c r="AL368" s="106">
        <f t="shared" si="330"/>
        <v>95.8125</v>
      </c>
      <c r="AM368" s="104">
        <f>('Renewable Diesel'!K377*'RD Feedstock Breakdown'!AM$3*'Feedstock Conversion Rates'!B$4)/12+5+15-10+10</f>
        <v>78.59375</v>
      </c>
      <c r="AN368" s="104">
        <f>('Renewable Diesel'!K377*'RD Feedstock Breakdown'!AN$3*'Feedstock Conversion Rates'!B$6)/12-5-15+10-10</f>
        <v>4.4270833333333321</v>
      </c>
      <c r="AO368" s="106">
        <f t="shared" si="350"/>
        <v>83.020833333333329</v>
      </c>
      <c r="AP368" s="104">
        <f>('Renewable Diesel'!L377*'RD Feedstock Breakdown'!AP$3*'Feedstock Conversion Rates'!B$4)/12+15-10+15</f>
        <v>78.59375</v>
      </c>
      <c r="AQ368" s="104">
        <f>('Renewable Diesel'!L377*'RD Feedstock Breakdown'!AQ$3*'Feedstock Conversion Rates'!B$6)/12-15+10-15</f>
        <v>4.4270833333333321</v>
      </c>
      <c r="AR368" s="106">
        <f t="shared" si="339"/>
        <v>83.020833333333329</v>
      </c>
      <c r="AS368" s="104">
        <f>('Renewable Diesel'!M377*'RD Feedstock Breakdown'!AS$3*'Feedstock Conversion Rates'!B$4)/12</f>
        <v>456.25</v>
      </c>
      <c r="AT368" s="104">
        <f>('Renewable Diesel'!M377*'RD Feedstock Breakdown'!AT$3*'Feedstock Conversion Rates'!B$5)/12</f>
        <v>0</v>
      </c>
      <c r="AU368" s="106">
        <f t="shared" si="369"/>
        <v>456.25</v>
      </c>
      <c r="AV368" s="104">
        <f>'Renewable Diesel'!N377*'RD Feedstock Breakdown'!$AV$3*'Feedstock Conversion Rates'!$B$4/12-15-10+25+25-22+25</f>
        <v>106.74999999999999</v>
      </c>
      <c r="AW368" s="104">
        <f>'Renewable Diesel'!N377*'RD Feedstock Breakdown'!$AW$3*'Feedstock Conversion Rates'!$B$7/12+15+10-25-25+22-25</f>
        <v>13.400000000000006</v>
      </c>
      <c r="AX368" s="106">
        <f t="shared" si="322"/>
        <v>120.14999999999999</v>
      </c>
      <c r="AY368" s="104">
        <f>('Renewable Diesel'!O377*'RD Feedstock Breakdown'!AY$3*'Feedstock Conversion Rates'!B$4)/12</f>
        <v>210.9375</v>
      </c>
      <c r="AZ368" s="104">
        <f>('Renewable Diesel'!O377*'RD Feedstock Breakdown'!AZ$3*'Feedstock Conversion Rates'!B$3)/12</f>
        <v>25.03125</v>
      </c>
      <c r="BA368" s="106">
        <f t="shared" si="382"/>
        <v>235.96875</v>
      </c>
      <c r="BB368" s="104">
        <f>('Renewable Diesel'!Q377*'RD Feedstock Breakdown'!BB$3*'Feedstock Conversion Rates'!B$4)/12</f>
        <v>11.156249999999998</v>
      </c>
      <c r="BC368" s="104">
        <f>('Renewable Diesel'!Q377*'RD Feedstock Breakdown'!BC$3*'Feedstock Conversion Rates'!B$3)/12</f>
        <v>1.4017500000000001</v>
      </c>
      <c r="BD368" s="104">
        <f>('Renewable Diesel'!Q377*'RD Feedstock Breakdown'!BD$3*'Feedstock Conversion Rates'!B$6)/12</f>
        <v>0.8207500000000002</v>
      </c>
      <c r="BE368" s="106">
        <f t="shared" si="359"/>
        <v>13.378749999999998</v>
      </c>
      <c r="BF368" s="104">
        <f>('Renewable Diesel'!R377*'RD Feedstock Breakdown'!BF$3*'Feedstock Conversion Rates'!B$4)/12</f>
        <v>62.5</v>
      </c>
      <c r="BG368" s="106">
        <f t="shared" si="344"/>
        <v>62.5</v>
      </c>
      <c r="BH368" s="104">
        <f>('Renewable Diesel'!T377*'RD Feedstock Breakdown'!BH$3*'Feedstock Conversion Rates'!B$7)/12</f>
        <v>27.599999999999998</v>
      </c>
      <c r="BI368" s="106">
        <f t="shared" si="327"/>
        <v>27.599999999999998</v>
      </c>
      <c r="BJ368" s="104">
        <f>('Renewable Diesel'!W377*'RD Feedstock Breakdown'!BJ$3*'Feedstock Conversion Rates'!B$4)/12</f>
        <v>7.5</v>
      </c>
      <c r="BK368" s="104">
        <f>('Renewable Diesel'!W377*'RD Feedstock Breakdown'!BK$3*'Feedstock Conversion Rates'!B$3)/12</f>
        <v>1.335</v>
      </c>
      <c r="BL368" s="104">
        <f>('Renewable Diesel'!W377*'RD Feedstock Breakdown'!BL$3*'Feedstock Conversion Rates'!B$6)/12</f>
        <v>3.1266666666666669</v>
      </c>
      <c r="BM368" s="104">
        <f>('Renewable Diesel'!W377*'RD Feedstock Breakdown'!BM$3*'Feedstock Conversion Rates'!B$7)/12</f>
        <v>1.5333333333333332</v>
      </c>
      <c r="BN368" s="106">
        <f t="shared" si="374"/>
        <v>13.495000000000001</v>
      </c>
      <c r="BO368" s="104">
        <f>('Renewable Diesel'!P377*'Feedstock Conversion Rates'!B$4)/12</f>
        <v>31.25</v>
      </c>
      <c r="BP368" s="106">
        <f t="shared" si="367"/>
        <v>31.25</v>
      </c>
      <c r="BQ368" s="104">
        <f>('Renewable Diesel'!$S377*'RD Feedstock Breakdown'!BQ$3*'Feedstock Conversion Rates'!B$4)/12+10+15-15</f>
        <v>38.125</v>
      </c>
      <c r="BR368" s="104">
        <f>('Renewable Diesel'!$S377*'RD Feedstock Breakdown'!BR$3*'Feedstock Conversion Rates'!B$7)/12-10-15+15</f>
        <v>1.5</v>
      </c>
      <c r="BS368" s="106">
        <f t="shared" si="385"/>
        <v>39.625</v>
      </c>
      <c r="BT368" s="106"/>
      <c r="BU368" s="104">
        <f>('Renewable Diesel'!Y377*'Feedstock Conversion Rates'!B$7)/12</f>
        <v>2.6833333333333331</v>
      </c>
      <c r="BV368" s="106">
        <f t="shared" si="361"/>
        <v>2.6833333333333331</v>
      </c>
      <c r="BW368" s="104">
        <f>('Renewable Diesel'!$Z377*'RD Feedstock Breakdown'!BW$3*'Feedstock Conversion Rates'!$B$4)/12-250+180</f>
        <v>1.875</v>
      </c>
      <c r="BX368" s="104">
        <f>('Renewable Diesel'!$Z377*'RD Feedstock Breakdown'!BX$3*'Feedstock Conversion Rates'!$B$5)/12</f>
        <v>7.2354166666666666</v>
      </c>
      <c r="BY368" s="104">
        <f>('Renewable Diesel'!$Z377*'RD Feedstock Breakdown'!BY$3*'Feedstock Conversion Rates'!$B$7)/12</f>
        <v>61.716666666666661</v>
      </c>
      <c r="BZ368" s="104">
        <f>('Renewable Diesel'!$Z377*'RD Feedstock Breakdown'!BZ$3*'Feedstock Conversion Rates'!$B$3)/12+250-180</f>
        <v>85.35250000000002</v>
      </c>
      <c r="CA368" s="106">
        <f t="shared" si="392"/>
        <v>156.17958333333334</v>
      </c>
      <c r="CB368" s="104">
        <f>('Renewable Diesel'!AA377*'Feedstock Conversion Rates'!B$4)/12</f>
        <v>191.25</v>
      </c>
      <c r="CC368" s="106">
        <f t="shared" si="376"/>
        <v>191.25</v>
      </c>
      <c r="CD368" s="104">
        <f>('Renewable Diesel'!$AB377*'RD Feedstock Breakdown'!CD$3*'Feedstock Conversion Rates'!$B$6)/12-15-5</f>
        <v>12.830000000000005</v>
      </c>
      <c r="CE368" s="104">
        <f>('Renewable Diesel'!$AB377*'RD Feedstock Breakdown'!CE$3*'Feedstock Conversion Rates'!$B$4)/12+15+5</f>
        <v>31.25</v>
      </c>
      <c r="CF368" s="106">
        <f t="shared" si="372"/>
        <v>44.080000000000005</v>
      </c>
      <c r="CG368" s="104">
        <f>('Renewable Diesel'!AD377*'Feedstock Conversion Rates'!B$4)/12</f>
        <v>112.5</v>
      </c>
      <c r="CH368" s="106">
        <f t="shared" si="358"/>
        <v>112.5</v>
      </c>
      <c r="CI368" s="104">
        <f>('Renewable Diesel'!$AE377*'RD Feedstock Breakdown'!CI$3*'Feedstock Conversion Rates'!$B$5)/12</f>
        <v>0.34604166666666664</v>
      </c>
      <c r="CJ368" s="104">
        <f>('Renewable Diesel'!$AE377*'RD Feedstock Breakdown'!CJ$3*'Feedstock Conversion Rates'!$B$4)/12</f>
        <v>0.34375</v>
      </c>
      <c r="CK368" s="106">
        <f t="shared" si="368"/>
        <v>0.68979166666666658</v>
      </c>
      <c r="CL368" s="104">
        <f>(((CL$3*'Renewable Diesel'!$AF377)*'Feedstock Conversion Rates'!$B$3)/12)</f>
        <v>91.78125</v>
      </c>
      <c r="CM368" s="104">
        <f>(((CM$3*'Renewable Diesel'!$AF377)*'Feedstock Conversion Rates'!$B$6)/12)</f>
        <v>53.739583333333336</v>
      </c>
      <c r="CN368" s="104">
        <f>(((CN$3*'Renewable Diesel'!$AF377)*'Feedstock Conversion Rates'!$B$4)/12)</f>
        <v>42.96875</v>
      </c>
      <c r="CO368" s="106">
        <f t="shared" si="360"/>
        <v>188.48958333333334</v>
      </c>
      <c r="CP368" s="104">
        <f>('Renewable Diesel'!$AG377*'RD Feedstock Breakdown'!CP$3*'Feedstock Conversion Rates'!$B$3)/12</f>
        <v>6.0075000000000003</v>
      </c>
      <c r="CQ368" s="104">
        <f>('Renewable Diesel'!$AG377*'RD Feedstock Breakdown'!CQ$3*'Feedstock Conversion Rates'!$B$6)/12</f>
        <v>3.5175000000000001</v>
      </c>
      <c r="CR368" s="104">
        <f>('Renewable Diesel'!$AG377*'RD Feedstock Breakdown'!CR$3*'Feedstock Conversion Rates'!$B$4)/12</f>
        <v>2.8125</v>
      </c>
      <c r="CS368" s="106">
        <f t="shared" si="317"/>
        <v>12.3375</v>
      </c>
      <c r="CT368" s="104">
        <f>('Renewable Diesel'!AI377*'Feedstock Conversion Rates'!$B$4*'RD Feedstock Breakdown'!$CT$3)/12</f>
        <v>29.375</v>
      </c>
      <c r="CU368" s="106">
        <f t="shared" si="364"/>
        <v>29.375</v>
      </c>
      <c r="CV368" s="104">
        <f>('Renewable Diesel'!AN377*'Feedstock Conversion Rates'!$B$3*'RD Feedstock Breakdown'!$CV$3)/12</f>
        <v>0.50062499999999999</v>
      </c>
      <c r="CW368" s="106">
        <f t="shared" si="338"/>
        <v>0.50062499999999999</v>
      </c>
      <c r="CX368" s="104">
        <f>('Renewable Diesel'!AO377*'RD Feedstock Breakdown'!$CX$3*'Feedstock Conversion Rates'!$B$3)/12</f>
        <v>6.3412499999999996</v>
      </c>
      <c r="CY368" s="104">
        <f>('Renewable Diesel'!AO377*'RD Feedstock Breakdown'!$CY$3*'Feedstock Conversion Rates'!$B$6)/12</f>
        <v>7.4258333333333342</v>
      </c>
      <c r="CZ368" s="106">
        <f t="shared" si="318"/>
        <v>13.767083333333334</v>
      </c>
      <c r="DA368" s="104">
        <f>('Renewable Diesel'!$AP377*'RD Feedstock Breakdown'!DA$3*'Feedstock Conversion Rates'!$B$3)/12</f>
        <v>6.3412499999999996</v>
      </c>
      <c r="DB368" s="104">
        <f>('Renewable Diesel'!$AP377*'RD Feedstock Breakdown'!DB$3*'Feedstock Conversion Rates'!$B$8)/12</f>
        <v>7.421875</v>
      </c>
      <c r="DC368" s="106">
        <f t="shared" si="342"/>
        <v>13.763124999999999</v>
      </c>
      <c r="DD368" s="104">
        <f>('Renewable Diesel'!AQ377*$DD$3*'Feedstock Conversion Rates'!$B$14)/12</f>
        <v>3.1041666666666665</v>
      </c>
      <c r="DE368" s="106">
        <f t="shared" si="343"/>
        <v>3.1041666666666665</v>
      </c>
      <c r="DF368" s="104">
        <f>('Renewable Diesel'!AR377*'Feedstock Conversion Rates'!$B$4*$DF$3)/12</f>
        <v>75</v>
      </c>
      <c r="DG368" s="106">
        <f t="shared" si="319"/>
        <v>75</v>
      </c>
      <c r="DH368" s="104">
        <f>('Renewable Diesel'!AS377*'Feedstock Conversion Rates'!$B$4*$DH$3)/12</f>
        <v>75</v>
      </c>
      <c r="DI368" s="106">
        <f t="shared" si="323"/>
        <v>75</v>
      </c>
      <c r="DJ368" s="104">
        <f>('Renewable Diesel'!AT377*'Feedstock Conversion Rates'!$B$4*0.25)/12</f>
        <v>8.59375</v>
      </c>
      <c r="DK368" s="104">
        <f>('Renewable Diesel'!$AT377*'RD Feedstock Breakdown'!DK$3*'Feedstock Conversion Rates'!$B$3)/12*0.5</f>
        <v>9.1781249999999996</v>
      </c>
      <c r="DL368" s="104">
        <f>('Renewable Diesel'!$AT377*'RD Feedstock Breakdown'!$DL$3*'Feedstock Conversion Rates'!$B$6)/12</f>
        <v>10.747916666666669</v>
      </c>
      <c r="DM368" s="104">
        <f>('Renewable Diesel'!$AT377*'RD Feedstock Breakdown'!$DM$3*'Feedstock Conversion Rates'!$B$8)/12</f>
        <v>10.7421875</v>
      </c>
      <c r="DN368" s="106">
        <f t="shared" si="375"/>
        <v>39.26197916666667</v>
      </c>
      <c r="DP368" s="104">
        <f t="shared" si="345"/>
        <v>103.22025000000001</v>
      </c>
      <c r="DQ368" s="104">
        <f t="shared" si="346"/>
        <v>349.11776750000007</v>
      </c>
      <c r="DR368" s="104">
        <f t="shared" si="351"/>
        <v>1891.953125</v>
      </c>
      <c r="DS368" s="104">
        <f t="shared" si="365"/>
        <v>228.90125</v>
      </c>
      <c r="DT368" s="104">
        <f t="shared" si="347"/>
        <v>243.03923333333344</v>
      </c>
      <c r="DU368" s="104">
        <f t="shared" si="348"/>
        <v>402.90610000000009</v>
      </c>
      <c r="DV368" s="104">
        <f t="shared" si="352"/>
        <v>78.75</v>
      </c>
      <c r="DW368" s="104">
        <f t="shared" si="349"/>
        <v>3</v>
      </c>
      <c r="DX368" s="106">
        <f t="shared" si="353"/>
        <v>3300.8877258333337</v>
      </c>
      <c r="DY368" s="109">
        <f t="shared" si="340"/>
        <v>-5.631051180898794E-13</v>
      </c>
      <c r="EA368" s="110">
        <f t="shared" si="393"/>
        <v>3.1270451640078516E-2</v>
      </c>
      <c r="EB368" s="110">
        <f t="shared" si="393"/>
        <v>0.10576481131658687</v>
      </c>
      <c r="EC368" s="110">
        <f t="shared" si="393"/>
        <v>0.57316494293133291</v>
      </c>
      <c r="ED368" s="110">
        <f t="shared" si="393"/>
        <v>6.9345360706629972E-2</v>
      </c>
      <c r="EE368" s="110">
        <f t="shared" si="393"/>
        <v>7.3628445896921982E-2</v>
      </c>
      <c r="EF368" s="110">
        <f t="shared" si="393"/>
        <v>0.1220599225010852</v>
      </c>
      <c r="EG368" s="110">
        <f t="shared" si="384"/>
        <v>2.3857218585075921E-2</v>
      </c>
      <c r="EH368" s="111">
        <f t="shared" si="354"/>
        <v>9.0884642228860647E-4</v>
      </c>
      <c r="EI368" s="110">
        <f t="shared" si="321"/>
        <v>0.99909115357771139</v>
      </c>
      <c r="EK368" s="132">
        <f>(EA368*'Renewable Diesel'!BF377*'Feedstock Conversion Rates'!B$2)+FB368</f>
        <v>432.02237586768763</v>
      </c>
      <c r="EL368" s="132">
        <f>(EB368*'Renewable Diesel'!BF377*'Feedstock Conversion Rates'!B$3)+FC368</f>
        <v>1376.977603268982</v>
      </c>
      <c r="EM368" s="132">
        <f>(EC368*'Renewable Diesel'!BF377*'Feedstock Conversion Rates'!B$4)+FD368</f>
        <v>6987.0531055405609</v>
      </c>
      <c r="EN368" s="132">
        <f>(ED368*'Renewable Diesel'!BF377*'Feedstock Conversion Rates'!B$5)+FE368</f>
        <v>850.97641673290082</v>
      </c>
      <c r="EO368" s="132">
        <f>(EE368*'Renewable Diesel'!BF377*'Feedstock Conversion Rates'!B$6)+FF368</f>
        <v>1122.5395041913018</v>
      </c>
      <c r="EP368" s="132">
        <f>(EF368*'Renewable Diesel'!BF377*'Feedstock Conversion Rates'!B$7)+FG368</f>
        <v>1825.2152076030159</v>
      </c>
      <c r="EQ368" s="132">
        <f>(EG368*'Renewable Diesel'!BF377*'Feedstock Conversion Rates'!B$8)+FH368</f>
        <v>363.53334075158386</v>
      </c>
      <c r="ER368" s="132">
        <f>(EH368*'Renewable Diesel'!BF377*'Feedstock Conversion Rates'!B$9)+FI368</f>
        <v>13.664237315869057</v>
      </c>
      <c r="ES368" s="132">
        <f t="shared" si="355"/>
        <v>12971.981791271903</v>
      </c>
      <c r="ET368" s="133">
        <f>ES368/'Renewable Diesel'!BF377</f>
        <v>15.232733130776225</v>
      </c>
      <c r="EW368" s="73">
        <f t="shared" si="386"/>
        <v>11569.460675298535</v>
      </c>
      <c r="EX368" s="73">
        <f t="shared" si="387"/>
        <v>7578.0601127167865</v>
      </c>
      <c r="EY368" s="92">
        <f t="shared" si="341"/>
        <v>0.89188073661057377</v>
      </c>
      <c r="EZ368" s="92">
        <f t="shared" si="341"/>
        <v>0.58418676765454802</v>
      </c>
      <c r="FB368" s="102">
        <f>IF('Renewable Diesel'!$BG377&lt;1,0,(((('Renewable Diesel'!$BG377-1)*'Renewable Diesel'!$BF377)*'RD Feedstock Breakdown'!EA368)*'Feedstock Conversion Rates'!$B$2))</f>
        <v>205.67181426601852</v>
      </c>
      <c r="FC368" s="102">
        <f>IF('Renewable Diesel'!$BG377&lt;1,0,(((('Renewable Diesel'!$BG377-1)*'Renewable Diesel'!$BF377)*'RD Feedstock Breakdown'!EB368)*'Feedstock Conversion Rates'!$B$3))</f>
        <v>655.5342910172335</v>
      </c>
      <c r="FD368" s="102">
        <f>IF('Renewable Diesel'!$BG377&lt;1,0,(((('Renewable Diesel'!$BG377-1)*'Renewable Diesel'!$BF377)*'RD Feedstock Breakdown'!EC368)*'Feedstock Conversion Rates'!$B$4))</f>
        <v>3326.3089341225646</v>
      </c>
      <c r="FE368" s="102">
        <f>IF('Renewable Diesel'!$BG377&lt;1,0,(((('Renewable Diesel'!$BG377-1)*'Renewable Diesel'!$BF377)*'RD Feedstock Breakdown'!ED368)*'Feedstock Conversion Rates'!$B$5))</f>
        <v>405.12221890250845</v>
      </c>
      <c r="FF368" s="102">
        <f>IF('Renewable Diesel'!$BG377&lt;1,0,(((('Renewable Diesel'!$BG377-1)*'Renewable Diesel'!$BF377)*'RD Feedstock Breakdown'!EE368)*'Feedstock Conversion Rates'!$B$6))</f>
        <v>534.40458019936057</v>
      </c>
      <c r="FG368" s="102">
        <f>IF('Renewable Diesel'!$BG377&lt;1,0,(((('Renewable Diesel'!$BG377-1)*'Renewable Diesel'!$BF377)*'RD Feedstock Breakdown'!EF368)*'Feedstock Conversion Rates'!$B$7))</f>
        <v>868.9256486303143</v>
      </c>
      <c r="FH368" s="102">
        <f>IF('Renewable Diesel'!$BG377&lt;1,0,(((('Renewable Diesel'!$BG377-1)*'Renewable Diesel'!$BF377)*'RD Feedstock Breakdown'!EG368)*'Feedstock Conversion Rates'!$B$8))</f>
        <v>173.06641024876868</v>
      </c>
      <c r="FI368" s="102">
        <f>IF('Renewable Diesel'!$BG377&lt;1,0,(((('Renewable Diesel'!$BG377-1)*'Renewable Diesel'!$BF377)*'RD Feedstock Breakdown'!EH368)*'Feedstock Conversion Rates'!$B$9))</f>
        <v>6.5050993566521313</v>
      </c>
      <c r="FJ368" s="102">
        <f t="shared" si="388"/>
        <v>6175.5389967434203</v>
      </c>
      <c r="GD368" s="91">
        <f>'Renewable Diesel'!BB377*0.32</f>
        <v>0</v>
      </c>
      <c r="GE368" s="91">
        <f>'Renewable Diesel'!BC377</f>
        <v>437.02163005349729</v>
      </c>
      <c r="GF368" s="91">
        <f>'Renewable Diesel'!BD377</f>
        <v>0</v>
      </c>
      <c r="GG368" s="91">
        <f t="shared" si="373"/>
        <v>437.02163005349729</v>
      </c>
      <c r="GH368" s="124">
        <v>1</v>
      </c>
      <c r="GI368" s="102">
        <f>$GG368*EA368*'Feedstock Conversion Rates'!$B$2</f>
        <v>116.15984186017747</v>
      </c>
      <c r="GJ368" s="102">
        <f>$GG368*EB368*'Feedstock Conversion Rates'!$B$3</f>
        <v>370.23429705344171</v>
      </c>
      <c r="GK368" s="102">
        <f>$GG368*EC368*'Feedstock Conversion Rates'!$B$4</f>
        <v>1878.6410823702815</v>
      </c>
      <c r="GL368" s="102">
        <f>$GG368*ED368*'Feedstock Conversion Rates'!$B$5</f>
        <v>228.80594042357674</v>
      </c>
      <c r="GM368" s="102">
        <f>$GG368*EE368*'Feedstock Conversion Rates'!$B$6</f>
        <v>301.8223559063951</v>
      </c>
      <c r="GN368" s="102">
        <f>$GG368*EF368*'Feedstock Conversion Rates'!$B$7</f>
        <v>490.75400191977582</v>
      </c>
      <c r="GO368" s="102">
        <f>$GG368*EG368*'Feedstock Conversion Rates'!$B$8</f>
        <v>97.74488019930439</v>
      </c>
      <c r="GP368" s="102">
        <f>$GG368*EH368*'Feedstock Conversion Rates'!B$9</f>
        <v>3.6739662906659172</v>
      </c>
      <c r="GQ368" s="102">
        <f t="shared" si="356"/>
        <v>3487.8363660236187</v>
      </c>
      <c r="GT368" s="103">
        <f t="shared" si="389"/>
        <v>3.3304269372191886E-2</v>
      </c>
      <c r="GU368" s="103">
        <f t="shared" si="390"/>
        <v>0.10615013383656388</v>
      </c>
      <c r="GV368" s="103">
        <f t="shared" si="391"/>
        <v>0.53862649654979822</v>
      </c>
      <c r="GW368" s="103">
        <f t="shared" si="331"/>
        <v>6.5601110950176775E-2</v>
      </c>
      <c r="GX368" s="103">
        <f t="shared" si="331"/>
        <v>8.653569841938831E-2</v>
      </c>
      <c r="GY368" s="103">
        <f t="shared" si="331"/>
        <v>0.14070442257566979</v>
      </c>
      <c r="GZ368" s="103">
        <f t="shared" si="331"/>
        <v>2.8024502855545516E-2</v>
      </c>
      <c r="HA368" s="103">
        <f t="shared" si="331"/>
        <v>1.0533654406655838E-3</v>
      </c>
    </row>
    <row r="369" spans="1:209" x14ac:dyDescent="0.25">
      <c r="A369" s="96">
        <v>51653</v>
      </c>
      <c r="B369" s="104">
        <f t="shared" si="394"/>
        <v>44.25</v>
      </c>
      <c r="C369" s="104">
        <f t="shared" si="396"/>
        <v>49</v>
      </c>
      <c r="D369" s="104">
        <f t="shared" si="395"/>
        <v>2</v>
      </c>
      <c r="E369" s="104">
        <f>('Renewable Diesel'!B378*E$3*'Feedstock Conversion Rates'!$B$2)/12+26+13-100+27.5+39</f>
        <v>95.43</v>
      </c>
      <c r="F369" s="104">
        <f>('Renewable Diesel'!B378*'RD Feedstock Breakdown'!F$3*'Feedstock Conversion Rates'!B$8)/12+77+23-10-12-115.75+24+8</f>
        <v>48.15625</v>
      </c>
      <c r="G369" s="104">
        <f>('Renewable Diesel'!B378*'RD Feedstock Breakdown'!G$3*'Feedstock Conversion Rates'!B$7)/12+116.75-39-57.5-145-31.5+32+70-40+10+60</f>
        <v>151.90700000000004</v>
      </c>
      <c r="H369" s="104">
        <f>('Renewable Diesel'!B378*'RD Feedstock Breakdown'!H$3*'Feedstock Conversion Rates'!B$3)/12+67+10+12+3-235+20+47-20+25</f>
        <v>105.40022499999998</v>
      </c>
      <c r="I369" s="106">
        <f t="shared" si="370"/>
        <v>496.14347500000002</v>
      </c>
      <c r="J369" s="104">
        <f t="shared" si="332"/>
        <v>4</v>
      </c>
      <c r="K369" s="104"/>
      <c r="L369" s="104">
        <v>1</v>
      </c>
      <c r="M369" s="104">
        <f>('Renewable Diesel'!C378*'RD Feedstock Breakdown'!M$3*'Feedstock Conversion Rates'!B$2)/12</f>
        <v>7.7902500000000003</v>
      </c>
      <c r="N369" s="104">
        <f>('Renewable Diesel'!C378*'RD Feedstock Breakdown'!N$3*'Feedstock Conversion Rates'!B$8)/12</f>
        <v>3.671875</v>
      </c>
      <c r="O369" s="104">
        <f>('Renewable Diesel'!C378*'RD Feedstock Breakdown'!O$3*'Feedstock Conversion Rates'!B$7)/12</f>
        <v>11.9991</v>
      </c>
      <c r="P369" s="104">
        <f>('Renewable Diesel'!C378*'RD Feedstock Breakdown'!P$3*'Feedstock Conversion Rates'!B$3)/12</f>
        <v>10.4470425</v>
      </c>
      <c r="Q369" s="106">
        <f t="shared" si="379"/>
        <v>38.908267500000001</v>
      </c>
      <c r="R369" s="104">
        <f>('Renewable Diesel'!D378*'RD Feedstock Breakdown'!R$3*'Feedstock Conversion Rates'!B$7)/12</f>
        <v>2.2999999999999998</v>
      </c>
      <c r="S369" s="106">
        <f t="shared" si="329"/>
        <v>2.2999999999999998</v>
      </c>
      <c r="T369" s="104">
        <f t="shared" si="380"/>
        <v>0.82499999999999929</v>
      </c>
      <c r="U369" s="104"/>
      <c r="V369" s="104">
        <f>('Renewable Diesel'!E378*'RD Feedstock Breakdown'!V$3*'Feedstock Conversion Rates'!B$6)/12-20+25</f>
        <v>49.250150000000012</v>
      </c>
      <c r="W369" s="104">
        <f>('Renewable Diesel'!E378*'RD Feedstock Breakdown'!W$3*'Feedstock Conversion Rates'!B$8)/12-6</f>
        <v>16.1796875</v>
      </c>
      <c r="X369" s="106">
        <f t="shared" si="357"/>
        <v>66.254837500000008</v>
      </c>
      <c r="Y369" s="104">
        <f t="shared" si="381"/>
        <v>98</v>
      </c>
      <c r="Z369" s="104">
        <f>('Renewable Diesel'!F378*'RD Feedstock Breakdown'!Z$3*'Feedstock Conversion Rates'!B$6)/12-142+15+5+20+5+15</f>
        <v>77.460000000000008</v>
      </c>
      <c r="AA369" s="104">
        <f>('Renewable Diesel'!F378*'RD Feedstock Breakdown'!AA$3*'Feedstock Conversion Rates'!B$7)/12+24</f>
        <v>128.26666666666665</v>
      </c>
      <c r="AB369" s="106">
        <f t="shared" si="320"/>
        <v>303.72666666666669</v>
      </c>
      <c r="AC369" s="104">
        <f>('Renewable Diesel'!G378*'RD Feedstock Breakdown'!AC$3*'Feedstock Conversion Rates'!B$5)/12</f>
        <v>11.796875</v>
      </c>
      <c r="AD369" s="104">
        <f>('Renewable Diesel'!G378*'RD Feedstock Breakdown'!AD$3*'Feedstock Conversion Rates'!B$4)/12</f>
        <v>5.859375</v>
      </c>
      <c r="AE369" s="104">
        <f>('Renewable Diesel'!G378*'RD Feedstock Breakdown'!AE$3*'Feedstock Conversion Rates'!B$6)/12</f>
        <v>7.3281250000000009</v>
      </c>
      <c r="AF369" s="106">
        <f t="shared" si="366"/>
        <v>24.984375</v>
      </c>
      <c r="AG369" s="104">
        <f t="shared" si="383"/>
        <v>148</v>
      </c>
      <c r="AH369" s="104"/>
      <c r="AI369" s="104">
        <f>('Renewable Diesel'!H378*'RD Feedstock Breakdown'!AI$3*'Feedstock Conversion Rates'!B$6)/12-130-20+51-49</f>
        <v>0.51666666666667993</v>
      </c>
      <c r="AJ369" s="106">
        <f t="shared" si="328"/>
        <v>148.51666666666668</v>
      </c>
      <c r="AK369" s="104">
        <f>('Renewable Diesel'!J378*'RD Feedstock Breakdown'!AK$3*'Feedstock Conversion Rates'!B$4)/12</f>
        <v>95.8125</v>
      </c>
      <c r="AL369" s="106">
        <f t="shared" si="330"/>
        <v>95.8125</v>
      </c>
      <c r="AM369" s="104">
        <f>('Renewable Diesel'!K378*'RD Feedstock Breakdown'!AM$3*'Feedstock Conversion Rates'!B$4)/12+5+15-10+10</f>
        <v>78.59375</v>
      </c>
      <c r="AN369" s="104">
        <f>('Renewable Diesel'!K378*'RD Feedstock Breakdown'!AN$3*'Feedstock Conversion Rates'!B$6)/12-5-15+10-10</f>
        <v>4.4270833333333321</v>
      </c>
      <c r="AO369" s="106">
        <f t="shared" si="350"/>
        <v>83.020833333333329</v>
      </c>
      <c r="AP369" s="104">
        <f>('Renewable Diesel'!L378*'RD Feedstock Breakdown'!AP$3*'Feedstock Conversion Rates'!B$4)/12+15-10+15</f>
        <v>78.59375</v>
      </c>
      <c r="AQ369" s="104">
        <f>('Renewable Diesel'!L378*'RD Feedstock Breakdown'!AQ$3*'Feedstock Conversion Rates'!B$6)/12-15+10-15</f>
        <v>4.4270833333333321</v>
      </c>
      <c r="AR369" s="106">
        <f t="shared" si="339"/>
        <v>83.020833333333329</v>
      </c>
      <c r="AS369" s="104">
        <f>('Renewable Diesel'!M378*'RD Feedstock Breakdown'!AS$3*'Feedstock Conversion Rates'!B$4)/12</f>
        <v>456.25</v>
      </c>
      <c r="AT369" s="104">
        <f>('Renewable Diesel'!M378*'RD Feedstock Breakdown'!AT$3*'Feedstock Conversion Rates'!B$5)/12</f>
        <v>0</v>
      </c>
      <c r="AU369" s="106">
        <f t="shared" si="369"/>
        <v>456.25</v>
      </c>
      <c r="AV369" s="104">
        <f>'Renewable Diesel'!N378*'RD Feedstock Breakdown'!$AV$3*'Feedstock Conversion Rates'!$B$4/12-15-10+25+25-22+25</f>
        <v>106.74999999999999</v>
      </c>
      <c r="AW369" s="104">
        <f>'Renewable Diesel'!N378*'RD Feedstock Breakdown'!$AW$3*'Feedstock Conversion Rates'!$B$7/12+15+10-25-25+22-25</f>
        <v>13.400000000000006</v>
      </c>
      <c r="AX369" s="106">
        <f t="shared" si="322"/>
        <v>120.14999999999999</v>
      </c>
      <c r="AY369" s="104">
        <f>('Renewable Diesel'!O378*'RD Feedstock Breakdown'!AY$3*'Feedstock Conversion Rates'!B$4)/12</f>
        <v>210.9375</v>
      </c>
      <c r="AZ369" s="104">
        <f>('Renewable Diesel'!O378*'RD Feedstock Breakdown'!AZ$3*'Feedstock Conversion Rates'!B$3)/12</f>
        <v>25.03125</v>
      </c>
      <c r="BA369" s="106">
        <f t="shared" si="382"/>
        <v>235.96875</v>
      </c>
      <c r="BB369" s="104">
        <f>('Renewable Diesel'!Q378*'RD Feedstock Breakdown'!BB$3*'Feedstock Conversion Rates'!B$4)/12</f>
        <v>11.156249999999998</v>
      </c>
      <c r="BC369" s="104">
        <f>('Renewable Diesel'!Q378*'RD Feedstock Breakdown'!BC$3*'Feedstock Conversion Rates'!B$3)/12</f>
        <v>1.4017500000000001</v>
      </c>
      <c r="BD369" s="104">
        <f>('Renewable Diesel'!Q378*'RD Feedstock Breakdown'!BD$3*'Feedstock Conversion Rates'!B$6)/12</f>
        <v>0.8207500000000002</v>
      </c>
      <c r="BE369" s="106">
        <f t="shared" si="359"/>
        <v>13.378749999999998</v>
      </c>
      <c r="BF369" s="104">
        <f>('Renewable Diesel'!R378*'RD Feedstock Breakdown'!BF$3*'Feedstock Conversion Rates'!B$4)/12</f>
        <v>62.5</v>
      </c>
      <c r="BG369" s="106">
        <f t="shared" si="344"/>
        <v>62.5</v>
      </c>
      <c r="BH369" s="104">
        <f>('Renewable Diesel'!T378*'RD Feedstock Breakdown'!BH$3*'Feedstock Conversion Rates'!B$7)/12</f>
        <v>27.599999999999998</v>
      </c>
      <c r="BI369" s="106">
        <f t="shared" si="327"/>
        <v>27.599999999999998</v>
      </c>
      <c r="BJ369" s="104">
        <f>('Renewable Diesel'!W378*'RD Feedstock Breakdown'!BJ$3*'Feedstock Conversion Rates'!B$4)/12</f>
        <v>7.5</v>
      </c>
      <c r="BK369" s="104">
        <f>('Renewable Diesel'!W378*'RD Feedstock Breakdown'!BK$3*'Feedstock Conversion Rates'!B$3)/12</f>
        <v>1.335</v>
      </c>
      <c r="BL369" s="104">
        <f>('Renewable Diesel'!W378*'RD Feedstock Breakdown'!BL$3*'Feedstock Conversion Rates'!B$6)/12</f>
        <v>3.1266666666666669</v>
      </c>
      <c r="BM369" s="104">
        <f>('Renewable Diesel'!W378*'RD Feedstock Breakdown'!BM$3*'Feedstock Conversion Rates'!B$7)/12</f>
        <v>1.5333333333333332</v>
      </c>
      <c r="BN369" s="106">
        <f t="shared" si="374"/>
        <v>13.495000000000001</v>
      </c>
      <c r="BO369" s="104">
        <f>('Renewable Diesel'!P378*'Feedstock Conversion Rates'!B$4)/12</f>
        <v>31.25</v>
      </c>
      <c r="BP369" s="106">
        <f t="shared" si="367"/>
        <v>31.25</v>
      </c>
      <c r="BQ369" s="104">
        <f>('Renewable Diesel'!$S378*'RD Feedstock Breakdown'!BQ$3*'Feedstock Conversion Rates'!B$4)/12+10+15-15</f>
        <v>38.125</v>
      </c>
      <c r="BR369" s="104">
        <f>('Renewable Diesel'!$S378*'RD Feedstock Breakdown'!BR$3*'Feedstock Conversion Rates'!B$7)/12-10-15+15</f>
        <v>1.5</v>
      </c>
      <c r="BS369" s="106">
        <f t="shared" si="385"/>
        <v>39.625</v>
      </c>
      <c r="BT369" s="106"/>
      <c r="BU369" s="104">
        <f>('Renewable Diesel'!Y378*'Feedstock Conversion Rates'!B$7)/12</f>
        <v>2.6833333333333331</v>
      </c>
      <c r="BV369" s="106">
        <f t="shared" si="361"/>
        <v>2.6833333333333331</v>
      </c>
      <c r="BW369" s="104">
        <f>('Renewable Diesel'!$Z378*'RD Feedstock Breakdown'!BW$3*'Feedstock Conversion Rates'!$B$4)/12-250+180</f>
        <v>1.875</v>
      </c>
      <c r="BX369" s="104">
        <f>('Renewable Diesel'!$Z378*'RD Feedstock Breakdown'!BX$3*'Feedstock Conversion Rates'!$B$5)/12</f>
        <v>7.2354166666666666</v>
      </c>
      <c r="BY369" s="104">
        <f>('Renewable Diesel'!$Z378*'RD Feedstock Breakdown'!BY$3*'Feedstock Conversion Rates'!$B$7)/12</f>
        <v>61.716666666666661</v>
      </c>
      <c r="BZ369" s="104">
        <f>('Renewable Diesel'!$Z378*'RD Feedstock Breakdown'!BZ$3*'Feedstock Conversion Rates'!$B$3)/12+250-180</f>
        <v>85.35250000000002</v>
      </c>
      <c r="CA369" s="106">
        <f t="shared" si="392"/>
        <v>156.17958333333334</v>
      </c>
      <c r="CB369" s="104">
        <f>('Renewable Diesel'!AA378*'Feedstock Conversion Rates'!B$4)/12</f>
        <v>191.25</v>
      </c>
      <c r="CC369" s="106">
        <f t="shared" si="376"/>
        <v>191.25</v>
      </c>
      <c r="CD369" s="104">
        <f>('Renewable Diesel'!$AB378*'RD Feedstock Breakdown'!CD$3*'Feedstock Conversion Rates'!$B$6)/12-15-5</f>
        <v>12.830000000000005</v>
      </c>
      <c r="CE369" s="104">
        <f>('Renewable Diesel'!$AB378*'RD Feedstock Breakdown'!CE$3*'Feedstock Conversion Rates'!$B$4)/12+15+5</f>
        <v>31.25</v>
      </c>
      <c r="CF369" s="106">
        <f t="shared" si="372"/>
        <v>44.080000000000005</v>
      </c>
      <c r="CG369" s="104">
        <f>('Renewable Diesel'!AD378*'Feedstock Conversion Rates'!B$4)/12</f>
        <v>112.5</v>
      </c>
      <c r="CH369" s="106">
        <f t="shared" si="358"/>
        <v>112.5</v>
      </c>
      <c r="CI369" s="104">
        <f>('Renewable Diesel'!$AE378*'RD Feedstock Breakdown'!CI$3*'Feedstock Conversion Rates'!$B$5)/12</f>
        <v>0.34604166666666664</v>
      </c>
      <c r="CJ369" s="104">
        <f>('Renewable Diesel'!$AE378*'RD Feedstock Breakdown'!CJ$3*'Feedstock Conversion Rates'!$B$4)/12</f>
        <v>0.34375</v>
      </c>
      <c r="CK369" s="106">
        <f t="shared" si="368"/>
        <v>0.68979166666666658</v>
      </c>
      <c r="CL369" s="104">
        <f>(((CL$3*'Renewable Diesel'!$AF378)*'Feedstock Conversion Rates'!$B$3)/12)</f>
        <v>91.78125</v>
      </c>
      <c r="CM369" s="104">
        <f>(((CM$3*'Renewable Diesel'!$AF378)*'Feedstock Conversion Rates'!$B$6)/12)</f>
        <v>53.739583333333336</v>
      </c>
      <c r="CN369" s="104">
        <f>(((CN$3*'Renewable Diesel'!$AF378)*'Feedstock Conversion Rates'!$B$4)/12)</f>
        <v>42.96875</v>
      </c>
      <c r="CO369" s="106">
        <f t="shared" si="360"/>
        <v>188.48958333333334</v>
      </c>
      <c r="CP369" s="104">
        <f>('Renewable Diesel'!$AG378*'RD Feedstock Breakdown'!CP$3*'Feedstock Conversion Rates'!$B$3)/12</f>
        <v>6.0075000000000003</v>
      </c>
      <c r="CQ369" s="104">
        <f>('Renewable Diesel'!$AG378*'RD Feedstock Breakdown'!CQ$3*'Feedstock Conversion Rates'!$B$6)/12</f>
        <v>3.5175000000000001</v>
      </c>
      <c r="CR369" s="104">
        <f>('Renewable Diesel'!$AG378*'RD Feedstock Breakdown'!CR$3*'Feedstock Conversion Rates'!$B$4)/12</f>
        <v>2.8125</v>
      </c>
      <c r="CS369" s="106">
        <f t="shared" ref="CS369:CS432" si="397">SUM(CP369:CR369)</f>
        <v>12.3375</v>
      </c>
      <c r="CT369" s="104">
        <f>('Renewable Diesel'!AI378*'Feedstock Conversion Rates'!$B$4*'RD Feedstock Breakdown'!$CT$3)/12</f>
        <v>29.375</v>
      </c>
      <c r="CU369" s="106">
        <f t="shared" si="364"/>
        <v>29.375</v>
      </c>
      <c r="CV369" s="104">
        <f>('Renewable Diesel'!AN378*'Feedstock Conversion Rates'!$B$3*'RD Feedstock Breakdown'!$CV$3)/12</f>
        <v>0.50062499999999999</v>
      </c>
      <c r="CW369" s="106">
        <f t="shared" si="338"/>
        <v>0.50062499999999999</v>
      </c>
      <c r="CX369" s="104">
        <f>('Renewable Diesel'!AO378*'RD Feedstock Breakdown'!$CX$3*'Feedstock Conversion Rates'!$B$3)/12</f>
        <v>6.3412499999999996</v>
      </c>
      <c r="CY369" s="104">
        <f>('Renewable Diesel'!AO378*'RD Feedstock Breakdown'!$CY$3*'Feedstock Conversion Rates'!$B$6)/12</f>
        <v>7.4258333333333342</v>
      </c>
      <c r="CZ369" s="106">
        <f t="shared" si="318"/>
        <v>13.767083333333334</v>
      </c>
      <c r="DA369" s="104">
        <f>('Renewable Diesel'!$AP378*'RD Feedstock Breakdown'!DA$3*'Feedstock Conversion Rates'!$B$3)/12</f>
        <v>6.3412499999999996</v>
      </c>
      <c r="DB369" s="104">
        <f>('Renewable Diesel'!$AP378*'RD Feedstock Breakdown'!DB$3*'Feedstock Conversion Rates'!$B$8)/12</f>
        <v>7.421875</v>
      </c>
      <c r="DC369" s="106">
        <f t="shared" si="342"/>
        <v>13.763124999999999</v>
      </c>
      <c r="DD369" s="104">
        <f>('Renewable Diesel'!AQ378*$DD$3*'Feedstock Conversion Rates'!$B$14)/12</f>
        <v>3.1041666666666665</v>
      </c>
      <c r="DE369" s="106">
        <f t="shared" si="343"/>
        <v>3.1041666666666665</v>
      </c>
      <c r="DF369" s="104">
        <f>('Renewable Diesel'!AR378*'Feedstock Conversion Rates'!$B$4*$DF$3)/12</f>
        <v>75</v>
      </c>
      <c r="DG369" s="106">
        <f t="shared" si="319"/>
        <v>75</v>
      </c>
      <c r="DH369" s="104">
        <f>('Renewable Diesel'!AS378*'Feedstock Conversion Rates'!$B$4*$DH$3)/12</f>
        <v>75</v>
      </c>
      <c r="DI369" s="106">
        <f t="shared" si="323"/>
        <v>75</v>
      </c>
      <c r="DJ369" s="104">
        <f>('Renewable Diesel'!AT378*'Feedstock Conversion Rates'!$B$4*0.25)/12</f>
        <v>8.59375</v>
      </c>
      <c r="DK369" s="104">
        <f>('Renewable Diesel'!$AT378*'RD Feedstock Breakdown'!DK$3*'Feedstock Conversion Rates'!$B$3)/12*0.5</f>
        <v>9.1781249999999996</v>
      </c>
      <c r="DL369" s="104">
        <f>('Renewable Diesel'!$AT378*'RD Feedstock Breakdown'!$DL$3*'Feedstock Conversion Rates'!$B$6)/12</f>
        <v>10.747916666666669</v>
      </c>
      <c r="DM369" s="104">
        <f>('Renewable Diesel'!$AT378*'RD Feedstock Breakdown'!$DM$3*'Feedstock Conversion Rates'!$B$8)/12</f>
        <v>10.7421875</v>
      </c>
      <c r="DN369" s="106">
        <f t="shared" si="375"/>
        <v>39.26197916666667</v>
      </c>
      <c r="DP369" s="104">
        <f t="shared" si="345"/>
        <v>103.22025000000001</v>
      </c>
      <c r="DQ369" s="104">
        <f t="shared" si="346"/>
        <v>349.11776750000007</v>
      </c>
      <c r="DR369" s="104">
        <f t="shared" si="351"/>
        <v>1891.953125</v>
      </c>
      <c r="DS369" s="104">
        <f t="shared" si="365"/>
        <v>228.90125</v>
      </c>
      <c r="DT369" s="104">
        <f t="shared" si="347"/>
        <v>243.03923333333344</v>
      </c>
      <c r="DU369" s="104">
        <f t="shared" si="348"/>
        <v>402.90610000000009</v>
      </c>
      <c r="DV369" s="104">
        <f t="shared" si="352"/>
        <v>78.75</v>
      </c>
      <c r="DW369" s="104">
        <f t="shared" si="349"/>
        <v>3</v>
      </c>
      <c r="DX369" s="106">
        <f t="shared" si="353"/>
        <v>3300.8877258333337</v>
      </c>
      <c r="DY369" s="109">
        <f t="shared" si="340"/>
        <v>-5.631051180898794E-13</v>
      </c>
      <c r="EA369" s="110">
        <f t="shared" si="393"/>
        <v>3.1270451640078516E-2</v>
      </c>
      <c r="EB369" s="110">
        <f t="shared" si="393"/>
        <v>0.10576481131658687</v>
      </c>
      <c r="EC369" s="110">
        <f t="shared" si="393"/>
        <v>0.57316494293133291</v>
      </c>
      <c r="ED369" s="110">
        <f t="shared" si="393"/>
        <v>6.9345360706629972E-2</v>
      </c>
      <c r="EE369" s="110">
        <f t="shared" si="393"/>
        <v>7.3628445896921982E-2</v>
      </c>
      <c r="EF369" s="110">
        <f t="shared" si="393"/>
        <v>0.1220599225010852</v>
      </c>
      <c r="EG369" s="110">
        <f t="shared" si="384"/>
        <v>2.3857218585075921E-2</v>
      </c>
      <c r="EH369" s="111">
        <f t="shared" si="354"/>
        <v>9.0884642228860647E-4</v>
      </c>
      <c r="EI369" s="110">
        <f t="shared" si="321"/>
        <v>0.99909115357771139</v>
      </c>
      <c r="EK369" s="132">
        <f>(EA369*'Renewable Diesel'!BF378*'Feedstock Conversion Rates'!B$2)+FB369</f>
        <v>395.3144762406568</v>
      </c>
      <c r="EL369" s="132">
        <f>(EB369*'Renewable Diesel'!BF378*'Feedstock Conversion Rates'!B$3)+FC369</f>
        <v>1259.9791363540471</v>
      </c>
      <c r="EM369" s="132">
        <f>(EC369*'Renewable Diesel'!BF378*'Feedstock Conversion Rates'!B$4)+FD369</f>
        <v>6393.3800496674839</v>
      </c>
      <c r="EN369" s="132">
        <f>(ED369*'Renewable Diesel'!BF378*'Feedstock Conversion Rates'!B$5)+FE369</f>
        <v>778.67100239489764</v>
      </c>
      <c r="EO369" s="132">
        <f>(EE369*'Renewable Diesel'!BF378*'Feedstock Conversion Rates'!B$6)+FF369</f>
        <v>1027.1600290785332</v>
      </c>
      <c r="EP369" s="132">
        <f>(EF369*'Renewable Diesel'!BF378*'Feedstock Conversion Rates'!B$7)+FG369</f>
        <v>1670.1310721948507</v>
      </c>
      <c r="EQ369" s="132">
        <f>(EG369*'Renewable Diesel'!BF378*'Feedstock Conversion Rates'!B$8)+FH369</f>
        <v>332.64478930425031</v>
      </c>
      <c r="ER369" s="132">
        <f>(EH369*'Renewable Diesel'!BF378*'Feedstock Conversion Rates'!B$9)+FI369</f>
        <v>12.503220017023249</v>
      </c>
      <c r="ES369" s="132">
        <f t="shared" si="355"/>
        <v>11869.783775251743</v>
      </c>
      <c r="ET369" s="133">
        <f>ES369/'Renewable Diesel'!BF378</f>
        <v>14.33427898084693</v>
      </c>
      <c r="EW369" s="73">
        <f t="shared" si="386"/>
        <v>10350.905541534701</v>
      </c>
      <c r="EX369" s="73">
        <f t="shared" si="387"/>
        <v>6779.8998256052464</v>
      </c>
      <c r="EY369" s="92">
        <f t="shared" si="341"/>
        <v>0.87203825592140338</v>
      </c>
      <c r="EZ369" s="92">
        <f t="shared" si="341"/>
        <v>0.57118983411822544</v>
      </c>
      <c r="FB369" s="102">
        <f>IF('Renewable Diesel'!$BG378&lt;1,0,(((('Renewable Diesel'!$BG378-1)*'Renewable Diesel'!$BF378)*'RD Feedstock Breakdown'!EA369)*'Feedstock Conversion Rates'!$B$2))</f>
        <v>175.21448026916252</v>
      </c>
      <c r="FC369" s="102">
        <f>IF('Renewable Diesel'!$BG378&lt;1,0,(((('Renewable Diesel'!$BG378-1)*'Renewable Diesel'!$BF378)*'RD Feedstock Breakdown'!EB369)*'Feedstock Conversion Rates'!$B$3))</f>
        <v>558.45814609598528</v>
      </c>
      <c r="FD369" s="102">
        <f>IF('Renewable Diesel'!$BG378&lt;1,0,(((('Renewable Diesel'!$BG378-1)*'Renewable Diesel'!$BF378)*'RD Feedstock Breakdown'!EC369)*'Feedstock Conversion Rates'!$B$4))</f>
        <v>2833.7256283115858</v>
      </c>
      <c r="FE369" s="102">
        <f>IF('Renewable Diesel'!$BG378&lt;1,0,(((('Renewable Diesel'!$BG378-1)*'Renewable Diesel'!$BF378)*'RD Feedstock Breakdown'!ED369)*'Feedstock Conversion Rates'!$B$5))</f>
        <v>345.12886116073372</v>
      </c>
      <c r="FF369" s="102">
        <f>IF('Renewable Diesel'!$BG378&lt;1,0,(((('Renewable Diesel'!$BG378-1)*'Renewable Diesel'!$BF378)*'RD Feedstock Breakdown'!EE369)*'Feedstock Conversion Rates'!$B$6))</f>
        <v>455.26617785352784</v>
      </c>
      <c r="FG369" s="102">
        <f>IF('Renewable Diesel'!$BG378&lt;1,0,(((('Renewable Diesel'!$BG378-1)*'Renewable Diesel'!$BF378)*'RD Feedstock Breakdown'!EF369)*'Feedstock Conversion Rates'!$B$7))</f>
        <v>740.24900524476107</v>
      </c>
      <c r="FH369" s="102">
        <f>IF('Renewable Diesel'!$BG378&lt;1,0,(((('Renewable Diesel'!$BG378-1)*'Renewable Diesel'!$BF378)*'RD Feedstock Breakdown'!EG369)*'Feedstock Conversion Rates'!$B$8))</f>
        <v>147.4375146249576</v>
      </c>
      <c r="FI369" s="102">
        <f>IF('Renewable Diesel'!$BG378&lt;1,0,(((('Renewable Diesel'!$BG378-1)*'Renewable Diesel'!$BF378)*'RD Feedstock Breakdown'!EH369)*'Feedstock Conversion Rates'!$B$9))</f>
        <v>5.5417783274904693</v>
      </c>
      <c r="FJ369" s="102">
        <f t="shared" si="388"/>
        <v>5261.021591888205</v>
      </c>
      <c r="GD369" s="91">
        <f>'Renewable Diesel'!BB378*0.32</f>
        <v>0</v>
      </c>
      <c r="GE369" s="91">
        <f>'Renewable Diesel'!BC378</f>
        <v>416.88692029490289</v>
      </c>
      <c r="GF369" s="91">
        <f>'Renewable Diesel'!BD378</f>
        <v>0</v>
      </c>
      <c r="GG369" s="91">
        <f t="shared" si="373"/>
        <v>416.88692029490289</v>
      </c>
      <c r="GH369" s="124">
        <v>1</v>
      </c>
      <c r="GI369" s="102">
        <f>$GG369*EA369*'Feedstock Conversion Rates'!$B$2</f>
        <v>110.80805938393574</v>
      </c>
      <c r="GJ369" s="102">
        <f>$GG369*EB369*'Feedstock Conversion Rates'!$B$3</f>
        <v>353.17665138740057</v>
      </c>
      <c r="GK369" s="102">
        <f>$GG369*EC369*'Feedstock Conversion Rates'!$B$4</f>
        <v>1792.0872590973536</v>
      </c>
      <c r="GL369" s="102">
        <f>$GG369*ED369*'Feedstock Conversion Rates'!$B$5</f>
        <v>218.26426265603234</v>
      </c>
      <c r="GM369" s="102">
        <f>$GG369*EE369*'Feedstock Conversion Rates'!$B$6</f>
        <v>287.9166242059149</v>
      </c>
      <c r="GN369" s="102">
        <f>$GG369*EF369*'Feedstock Conversion Rates'!$B$7</f>
        <v>468.14370368278975</v>
      </c>
      <c r="GO369" s="102">
        <f>$GG369*EG369*'Feedstock Conversion Rates'!$B$8</f>
        <v>93.241522338137074</v>
      </c>
      <c r="GP369" s="102">
        <f>$GG369*EH369*'Feedstock Conversion Rates'!B$9</f>
        <v>3.5046972205826759</v>
      </c>
      <c r="GQ369" s="102">
        <f t="shared" si="356"/>
        <v>3327.1427799721469</v>
      </c>
      <c r="GT369" s="103">
        <f t="shared" si="389"/>
        <v>3.3304269372191886E-2</v>
      </c>
      <c r="GU369" s="103">
        <f t="shared" si="390"/>
        <v>0.10615013383656391</v>
      </c>
      <c r="GV369" s="103">
        <f t="shared" si="391"/>
        <v>0.53862649654979822</v>
      </c>
      <c r="GW369" s="103">
        <f t="shared" si="331"/>
        <v>6.5601110950176775E-2</v>
      </c>
      <c r="GX369" s="103">
        <f t="shared" si="331"/>
        <v>8.653569841938831E-2</v>
      </c>
      <c r="GY369" s="103">
        <f t="shared" si="331"/>
        <v>0.14070442257566984</v>
      </c>
      <c r="GZ369" s="103">
        <f t="shared" si="331"/>
        <v>2.802450285554552E-2</v>
      </c>
      <c r="HA369" s="103">
        <f t="shared" si="331"/>
        <v>1.0533654406655838E-3</v>
      </c>
    </row>
    <row r="370" spans="1:209" x14ac:dyDescent="0.25">
      <c r="A370" s="96">
        <v>51683</v>
      </c>
      <c r="B370" s="104">
        <f t="shared" si="394"/>
        <v>44.25</v>
      </c>
      <c r="C370" s="104">
        <f t="shared" si="396"/>
        <v>49</v>
      </c>
      <c r="D370" s="104">
        <f t="shared" si="395"/>
        <v>2</v>
      </c>
      <c r="E370" s="104">
        <f>('Renewable Diesel'!B379*E$3*'Feedstock Conversion Rates'!$B$2)/12+26+13-100+27.5+39</f>
        <v>95.43</v>
      </c>
      <c r="F370" s="104">
        <f>('Renewable Diesel'!B379*'RD Feedstock Breakdown'!F$3*'Feedstock Conversion Rates'!B$8)/12+77+23-10-12-115.75+24+8</f>
        <v>48.15625</v>
      </c>
      <c r="G370" s="104">
        <f>('Renewable Diesel'!B379*'RD Feedstock Breakdown'!G$3*'Feedstock Conversion Rates'!B$7)/12+116.75-39-57.5-145-31.5+32+70-40+10+60</f>
        <v>151.90700000000004</v>
      </c>
      <c r="H370" s="104">
        <f>('Renewable Diesel'!B379*'RD Feedstock Breakdown'!H$3*'Feedstock Conversion Rates'!B$3)/12+67+10+12+3-235+20+47-20+25</f>
        <v>105.40022499999998</v>
      </c>
      <c r="I370" s="106">
        <f t="shared" si="370"/>
        <v>496.14347500000002</v>
      </c>
      <c r="J370" s="104">
        <f t="shared" si="332"/>
        <v>4</v>
      </c>
      <c r="K370" s="104"/>
      <c r="L370" s="104">
        <v>1</v>
      </c>
      <c r="M370" s="104">
        <f>('Renewable Diesel'!C379*'RD Feedstock Breakdown'!M$3*'Feedstock Conversion Rates'!B$2)/12</f>
        <v>7.7902500000000003</v>
      </c>
      <c r="N370" s="104">
        <f>('Renewable Diesel'!C379*'RD Feedstock Breakdown'!N$3*'Feedstock Conversion Rates'!B$8)/12</f>
        <v>3.671875</v>
      </c>
      <c r="O370" s="104">
        <f>('Renewable Diesel'!C379*'RD Feedstock Breakdown'!O$3*'Feedstock Conversion Rates'!B$7)/12</f>
        <v>11.9991</v>
      </c>
      <c r="P370" s="104">
        <f>('Renewable Diesel'!C379*'RD Feedstock Breakdown'!P$3*'Feedstock Conversion Rates'!B$3)/12</f>
        <v>10.4470425</v>
      </c>
      <c r="Q370" s="106">
        <f t="shared" si="379"/>
        <v>38.908267500000001</v>
      </c>
      <c r="R370" s="104">
        <f>('Renewable Diesel'!D379*'RD Feedstock Breakdown'!R$3*'Feedstock Conversion Rates'!B$7)/12</f>
        <v>2.2999999999999998</v>
      </c>
      <c r="S370" s="106">
        <f t="shared" si="329"/>
        <v>2.2999999999999998</v>
      </c>
      <c r="T370" s="104">
        <f t="shared" si="380"/>
        <v>0.82499999999999929</v>
      </c>
      <c r="U370" s="104"/>
      <c r="V370" s="104">
        <f>('Renewable Diesel'!E379*'RD Feedstock Breakdown'!V$3*'Feedstock Conversion Rates'!B$6)/12-20+25</f>
        <v>49.250150000000012</v>
      </c>
      <c r="W370" s="104">
        <f>('Renewable Diesel'!E379*'RD Feedstock Breakdown'!W$3*'Feedstock Conversion Rates'!B$8)/12-6</f>
        <v>16.1796875</v>
      </c>
      <c r="X370" s="106">
        <f t="shared" si="357"/>
        <v>66.254837500000008</v>
      </c>
      <c r="Y370" s="104">
        <f t="shared" si="381"/>
        <v>98</v>
      </c>
      <c r="Z370" s="104">
        <f>('Renewable Diesel'!F379*'RD Feedstock Breakdown'!Z$3*'Feedstock Conversion Rates'!B$6)/12-142+15+5+20+5+15</f>
        <v>77.460000000000008</v>
      </c>
      <c r="AA370" s="104">
        <f>('Renewable Diesel'!F379*'RD Feedstock Breakdown'!AA$3*'Feedstock Conversion Rates'!B$7)/12+24</f>
        <v>128.26666666666665</v>
      </c>
      <c r="AB370" s="106">
        <f t="shared" si="320"/>
        <v>303.72666666666669</v>
      </c>
      <c r="AC370" s="104">
        <f>('Renewable Diesel'!G379*'RD Feedstock Breakdown'!AC$3*'Feedstock Conversion Rates'!B$5)/12</f>
        <v>11.796875</v>
      </c>
      <c r="AD370" s="104">
        <f>('Renewable Diesel'!G379*'RD Feedstock Breakdown'!AD$3*'Feedstock Conversion Rates'!B$4)/12</f>
        <v>5.859375</v>
      </c>
      <c r="AE370" s="104">
        <f>('Renewable Diesel'!G379*'RD Feedstock Breakdown'!AE$3*'Feedstock Conversion Rates'!B$6)/12</f>
        <v>7.3281250000000009</v>
      </c>
      <c r="AF370" s="106">
        <f t="shared" si="366"/>
        <v>24.984375</v>
      </c>
      <c r="AG370" s="104">
        <f t="shared" si="383"/>
        <v>148</v>
      </c>
      <c r="AH370" s="104"/>
      <c r="AI370" s="104">
        <f>('Renewable Diesel'!H379*'RD Feedstock Breakdown'!AI$3*'Feedstock Conversion Rates'!B$6)/12-130-20+51-49</f>
        <v>0.51666666666667993</v>
      </c>
      <c r="AJ370" s="106">
        <f t="shared" si="328"/>
        <v>148.51666666666668</v>
      </c>
      <c r="AK370" s="104">
        <f>('Renewable Diesel'!J379*'RD Feedstock Breakdown'!AK$3*'Feedstock Conversion Rates'!B$4)/12</f>
        <v>95.8125</v>
      </c>
      <c r="AL370" s="106">
        <f t="shared" si="330"/>
        <v>95.8125</v>
      </c>
      <c r="AM370" s="104">
        <f>('Renewable Diesel'!K379*'RD Feedstock Breakdown'!AM$3*'Feedstock Conversion Rates'!B$4)/12+5+15-10+10</f>
        <v>78.59375</v>
      </c>
      <c r="AN370" s="104">
        <f>('Renewable Diesel'!K379*'RD Feedstock Breakdown'!AN$3*'Feedstock Conversion Rates'!B$6)/12-5-15+10-10</f>
        <v>4.4270833333333321</v>
      </c>
      <c r="AO370" s="106">
        <f t="shared" si="350"/>
        <v>83.020833333333329</v>
      </c>
      <c r="AP370" s="104">
        <f>('Renewable Diesel'!L379*'RD Feedstock Breakdown'!AP$3*'Feedstock Conversion Rates'!B$4)/12+15-10+15</f>
        <v>78.59375</v>
      </c>
      <c r="AQ370" s="104">
        <f>('Renewable Diesel'!L379*'RD Feedstock Breakdown'!AQ$3*'Feedstock Conversion Rates'!B$6)/12-15+10-15</f>
        <v>4.4270833333333321</v>
      </c>
      <c r="AR370" s="106">
        <f t="shared" si="339"/>
        <v>83.020833333333329</v>
      </c>
      <c r="AS370" s="104">
        <f>('Renewable Diesel'!M379*'RD Feedstock Breakdown'!AS$3*'Feedstock Conversion Rates'!B$4)/12</f>
        <v>456.25</v>
      </c>
      <c r="AT370" s="104">
        <f>('Renewable Diesel'!M379*'RD Feedstock Breakdown'!AT$3*'Feedstock Conversion Rates'!B$5)/12</f>
        <v>0</v>
      </c>
      <c r="AU370" s="106">
        <f t="shared" si="369"/>
        <v>456.25</v>
      </c>
      <c r="AV370" s="104">
        <f>'Renewable Diesel'!N379*'RD Feedstock Breakdown'!$AV$3*'Feedstock Conversion Rates'!$B$4/12-15-10+25+25-22+25</f>
        <v>106.74999999999999</v>
      </c>
      <c r="AW370" s="104">
        <f>'Renewable Diesel'!N379*'RD Feedstock Breakdown'!$AW$3*'Feedstock Conversion Rates'!$B$7/12+15+10-25-25+22-25</f>
        <v>13.400000000000006</v>
      </c>
      <c r="AX370" s="106">
        <f t="shared" si="322"/>
        <v>120.14999999999999</v>
      </c>
      <c r="AY370" s="104">
        <f>('Renewable Diesel'!O379*'RD Feedstock Breakdown'!AY$3*'Feedstock Conversion Rates'!B$4)/12</f>
        <v>210.9375</v>
      </c>
      <c r="AZ370" s="104">
        <f>('Renewable Diesel'!O379*'RD Feedstock Breakdown'!AZ$3*'Feedstock Conversion Rates'!B$3)/12</f>
        <v>25.03125</v>
      </c>
      <c r="BA370" s="106">
        <f t="shared" si="382"/>
        <v>235.96875</v>
      </c>
      <c r="BB370" s="104">
        <f>('Renewable Diesel'!Q379*'RD Feedstock Breakdown'!BB$3*'Feedstock Conversion Rates'!B$4)/12</f>
        <v>11.156249999999998</v>
      </c>
      <c r="BC370" s="104">
        <f>('Renewable Diesel'!Q379*'RD Feedstock Breakdown'!BC$3*'Feedstock Conversion Rates'!B$3)/12</f>
        <v>1.4017500000000001</v>
      </c>
      <c r="BD370" s="104">
        <f>('Renewable Diesel'!Q379*'RD Feedstock Breakdown'!BD$3*'Feedstock Conversion Rates'!B$6)/12</f>
        <v>0.8207500000000002</v>
      </c>
      <c r="BE370" s="106">
        <f t="shared" si="359"/>
        <v>13.378749999999998</v>
      </c>
      <c r="BF370" s="104">
        <f>('Renewable Diesel'!R379*'RD Feedstock Breakdown'!BF$3*'Feedstock Conversion Rates'!B$4)/12</f>
        <v>62.5</v>
      </c>
      <c r="BG370" s="106">
        <f t="shared" si="344"/>
        <v>62.5</v>
      </c>
      <c r="BH370" s="104">
        <f>('Renewable Diesel'!T379*'RD Feedstock Breakdown'!BH$3*'Feedstock Conversion Rates'!B$7)/12</f>
        <v>27.599999999999998</v>
      </c>
      <c r="BI370" s="106">
        <f t="shared" si="327"/>
        <v>27.599999999999998</v>
      </c>
      <c r="BJ370" s="104">
        <f>('Renewable Diesel'!W379*'RD Feedstock Breakdown'!BJ$3*'Feedstock Conversion Rates'!B$4)/12</f>
        <v>7.5</v>
      </c>
      <c r="BK370" s="104">
        <f>('Renewable Diesel'!W379*'RD Feedstock Breakdown'!BK$3*'Feedstock Conversion Rates'!B$3)/12</f>
        <v>1.335</v>
      </c>
      <c r="BL370" s="104">
        <f>('Renewable Diesel'!W379*'RD Feedstock Breakdown'!BL$3*'Feedstock Conversion Rates'!B$6)/12</f>
        <v>3.1266666666666669</v>
      </c>
      <c r="BM370" s="104">
        <f>('Renewable Diesel'!W379*'RD Feedstock Breakdown'!BM$3*'Feedstock Conversion Rates'!B$7)/12</f>
        <v>1.5333333333333332</v>
      </c>
      <c r="BN370" s="106">
        <f t="shared" si="374"/>
        <v>13.495000000000001</v>
      </c>
      <c r="BO370" s="104">
        <f>('Renewable Diesel'!P379*'Feedstock Conversion Rates'!B$4)/12</f>
        <v>31.25</v>
      </c>
      <c r="BP370" s="106">
        <f t="shared" si="367"/>
        <v>31.25</v>
      </c>
      <c r="BQ370" s="104">
        <f>('Renewable Diesel'!$S379*'RD Feedstock Breakdown'!BQ$3*'Feedstock Conversion Rates'!B$4)/12+10+15-15</f>
        <v>38.125</v>
      </c>
      <c r="BR370" s="104">
        <f>('Renewable Diesel'!$S379*'RD Feedstock Breakdown'!BR$3*'Feedstock Conversion Rates'!B$7)/12-10-15+15</f>
        <v>1.5</v>
      </c>
      <c r="BS370" s="106">
        <f t="shared" si="385"/>
        <v>39.625</v>
      </c>
      <c r="BT370" s="106"/>
      <c r="BU370" s="104">
        <f>('Renewable Diesel'!Y379*'Feedstock Conversion Rates'!B$7)/12</f>
        <v>2.6833333333333331</v>
      </c>
      <c r="BV370" s="106">
        <f t="shared" si="361"/>
        <v>2.6833333333333331</v>
      </c>
      <c r="BW370" s="104">
        <f>('Renewable Diesel'!$Z379*'RD Feedstock Breakdown'!BW$3*'Feedstock Conversion Rates'!$B$4)/12-250+180</f>
        <v>1.875</v>
      </c>
      <c r="BX370" s="104">
        <f>('Renewable Diesel'!$Z379*'RD Feedstock Breakdown'!BX$3*'Feedstock Conversion Rates'!$B$5)/12</f>
        <v>7.2354166666666666</v>
      </c>
      <c r="BY370" s="104">
        <f>('Renewable Diesel'!$Z379*'RD Feedstock Breakdown'!BY$3*'Feedstock Conversion Rates'!$B$7)/12</f>
        <v>61.716666666666661</v>
      </c>
      <c r="BZ370" s="104">
        <f>('Renewable Diesel'!$Z379*'RD Feedstock Breakdown'!BZ$3*'Feedstock Conversion Rates'!$B$3)/12+250-180</f>
        <v>85.35250000000002</v>
      </c>
      <c r="CA370" s="106">
        <f t="shared" si="392"/>
        <v>156.17958333333334</v>
      </c>
      <c r="CB370" s="104">
        <f>('Renewable Diesel'!AA379*'Feedstock Conversion Rates'!B$4)/12</f>
        <v>191.25</v>
      </c>
      <c r="CC370" s="106">
        <f t="shared" si="376"/>
        <v>191.25</v>
      </c>
      <c r="CD370" s="104">
        <f>('Renewable Diesel'!$AB379*'RD Feedstock Breakdown'!CD$3*'Feedstock Conversion Rates'!$B$6)/12-15-5</f>
        <v>12.830000000000005</v>
      </c>
      <c r="CE370" s="104">
        <f>('Renewable Diesel'!$AB379*'RD Feedstock Breakdown'!CE$3*'Feedstock Conversion Rates'!$B$4)/12+15+5</f>
        <v>31.25</v>
      </c>
      <c r="CF370" s="106">
        <f t="shared" si="372"/>
        <v>44.080000000000005</v>
      </c>
      <c r="CG370" s="104">
        <f>('Renewable Diesel'!AD379*'Feedstock Conversion Rates'!B$4)/12</f>
        <v>112.5</v>
      </c>
      <c r="CH370" s="106">
        <f t="shared" si="358"/>
        <v>112.5</v>
      </c>
      <c r="CI370" s="104">
        <f>('Renewable Diesel'!$AE379*'RD Feedstock Breakdown'!CI$3*'Feedstock Conversion Rates'!$B$5)/12</f>
        <v>0.34604166666666664</v>
      </c>
      <c r="CJ370" s="104">
        <f>('Renewable Diesel'!$AE379*'RD Feedstock Breakdown'!CJ$3*'Feedstock Conversion Rates'!$B$4)/12</f>
        <v>0.34375</v>
      </c>
      <c r="CK370" s="106">
        <f t="shared" si="368"/>
        <v>0.68979166666666658</v>
      </c>
      <c r="CL370" s="104">
        <f>(((CL$3*'Renewable Diesel'!$AF379)*'Feedstock Conversion Rates'!$B$3)/12)</f>
        <v>91.78125</v>
      </c>
      <c r="CM370" s="104">
        <f>(((CM$3*'Renewable Diesel'!$AF379)*'Feedstock Conversion Rates'!$B$6)/12)</f>
        <v>53.739583333333336</v>
      </c>
      <c r="CN370" s="104">
        <f>(((CN$3*'Renewable Diesel'!$AF379)*'Feedstock Conversion Rates'!$B$4)/12)</f>
        <v>42.96875</v>
      </c>
      <c r="CO370" s="106">
        <f t="shared" si="360"/>
        <v>188.48958333333334</v>
      </c>
      <c r="CP370" s="104">
        <f>('Renewable Diesel'!$AG379*'RD Feedstock Breakdown'!CP$3*'Feedstock Conversion Rates'!$B$3)/12</f>
        <v>6.0075000000000003</v>
      </c>
      <c r="CQ370" s="104">
        <f>('Renewable Diesel'!$AG379*'RD Feedstock Breakdown'!CQ$3*'Feedstock Conversion Rates'!$B$6)/12</f>
        <v>3.5175000000000001</v>
      </c>
      <c r="CR370" s="104">
        <f>('Renewable Diesel'!$AG379*'RD Feedstock Breakdown'!CR$3*'Feedstock Conversion Rates'!$B$4)/12</f>
        <v>2.8125</v>
      </c>
      <c r="CS370" s="106">
        <f t="shared" si="397"/>
        <v>12.3375</v>
      </c>
      <c r="CT370" s="104">
        <f>('Renewable Diesel'!AI379*'Feedstock Conversion Rates'!$B$4*'RD Feedstock Breakdown'!$CT$3)/12</f>
        <v>29.375</v>
      </c>
      <c r="CU370" s="106">
        <f t="shared" si="364"/>
        <v>29.375</v>
      </c>
      <c r="CV370" s="104">
        <f>('Renewable Diesel'!AN379*'Feedstock Conversion Rates'!$B$3*'RD Feedstock Breakdown'!$CV$3)/12</f>
        <v>0.50062499999999999</v>
      </c>
      <c r="CW370" s="106">
        <f t="shared" si="338"/>
        <v>0.50062499999999999</v>
      </c>
      <c r="CX370" s="104">
        <f>('Renewable Diesel'!AO379*'RD Feedstock Breakdown'!$CX$3*'Feedstock Conversion Rates'!$B$3)/12</f>
        <v>6.3412499999999996</v>
      </c>
      <c r="CY370" s="104">
        <f>('Renewable Diesel'!AO379*'RD Feedstock Breakdown'!$CY$3*'Feedstock Conversion Rates'!$B$6)/12</f>
        <v>7.4258333333333342</v>
      </c>
      <c r="CZ370" s="106">
        <f t="shared" ref="CZ370:CZ433" si="398">CY370+CX370</f>
        <v>13.767083333333334</v>
      </c>
      <c r="DA370" s="104">
        <f>('Renewable Diesel'!$AP379*'RD Feedstock Breakdown'!DA$3*'Feedstock Conversion Rates'!$B$3)/12</f>
        <v>6.3412499999999996</v>
      </c>
      <c r="DB370" s="104">
        <f>('Renewable Diesel'!$AP379*'RD Feedstock Breakdown'!DB$3*'Feedstock Conversion Rates'!$B$8)/12</f>
        <v>7.421875</v>
      </c>
      <c r="DC370" s="106">
        <f t="shared" si="342"/>
        <v>13.763124999999999</v>
      </c>
      <c r="DD370" s="104">
        <f>('Renewable Diesel'!AQ379*$DD$3*'Feedstock Conversion Rates'!$B$14)/12</f>
        <v>3.1041666666666665</v>
      </c>
      <c r="DE370" s="106">
        <f t="shared" si="343"/>
        <v>3.1041666666666665</v>
      </c>
      <c r="DF370" s="104">
        <f>('Renewable Diesel'!AR379*'Feedstock Conversion Rates'!$B$4*$DF$3)/12</f>
        <v>75</v>
      </c>
      <c r="DG370" s="106">
        <f t="shared" ref="DG370:DG433" si="399">DF370</f>
        <v>75</v>
      </c>
      <c r="DH370" s="104">
        <f>('Renewable Diesel'!AS379*'Feedstock Conversion Rates'!$B$4*$DH$3)/12</f>
        <v>75</v>
      </c>
      <c r="DI370" s="106">
        <f t="shared" si="323"/>
        <v>75</v>
      </c>
      <c r="DJ370" s="104">
        <f>('Renewable Diesel'!AT379*'Feedstock Conversion Rates'!$B$4*0.25)/12</f>
        <v>8.59375</v>
      </c>
      <c r="DK370" s="104">
        <f>('Renewable Diesel'!$AT379*'RD Feedstock Breakdown'!DK$3*'Feedstock Conversion Rates'!$B$3)/12*0.5</f>
        <v>9.1781249999999996</v>
      </c>
      <c r="DL370" s="104">
        <f>('Renewable Diesel'!$AT379*'RD Feedstock Breakdown'!$DL$3*'Feedstock Conversion Rates'!$B$6)/12</f>
        <v>10.747916666666669</v>
      </c>
      <c r="DM370" s="104">
        <f>('Renewable Diesel'!$AT379*'RD Feedstock Breakdown'!$DM$3*'Feedstock Conversion Rates'!$B$8)/12</f>
        <v>10.7421875</v>
      </c>
      <c r="DN370" s="106">
        <f t="shared" si="375"/>
        <v>39.26197916666667</v>
      </c>
      <c r="DP370" s="104">
        <f t="shared" si="345"/>
        <v>103.22025000000001</v>
      </c>
      <c r="DQ370" s="104">
        <f t="shared" si="346"/>
        <v>349.11776750000007</v>
      </c>
      <c r="DR370" s="104">
        <f t="shared" si="351"/>
        <v>1891.953125</v>
      </c>
      <c r="DS370" s="104">
        <f t="shared" si="365"/>
        <v>228.90125</v>
      </c>
      <c r="DT370" s="104">
        <f t="shared" si="347"/>
        <v>243.03923333333344</v>
      </c>
      <c r="DU370" s="104">
        <f t="shared" si="348"/>
        <v>402.90610000000009</v>
      </c>
      <c r="DV370" s="104">
        <f t="shared" si="352"/>
        <v>78.75</v>
      </c>
      <c r="DW370" s="104">
        <f t="shared" si="349"/>
        <v>3</v>
      </c>
      <c r="DX370" s="106">
        <f t="shared" si="353"/>
        <v>3300.8877258333337</v>
      </c>
      <c r="DY370" s="109">
        <f t="shared" si="340"/>
        <v>-5.631051180898794E-13</v>
      </c>
      <c r="EA370" s="110">
        <f t="shared" si="393"/>
        <v>3.1270451640078516E-2</v>
      </c>
      <c r="EB370" s="110">
        <f t="shared" si="393"/>
        <v>0.10576481131658687</v>
      </c>
      <c r="EC370" s="110">
        <f t="shared" si="393"/>
        <v>0.57316494293133291</v>
      </c>
      <c r="ED370" s="110">
        <f t="shared" si="393"/>
        <v>6.9345360706629972E-2</v>
      </c>
      <c r="EE370" s="110">
        <f t="shared" si="393"/>
        <v>7.3628445896921982E-2</v>
      </c>
      <c r="EF370" s="110">
        <f t="shared" si="393"/>
        <v>0.1220599225010852</v>
      </c>
      <c r="EG370" s="110">
        <f t="shared" si="384"/>
        <v>2.3857218585075921E-2</v>
      </c>
      <c r="EH370" s="111">
        <f t="shared" si="354"/>
        <v>9.0884642228860647E-4</v>
      </c>
      <c r="EI370" s="110">
        <f t="shared" si="321"/>
        <v>0.99909115357771139</v>
      </c>
      <c r="EK370" s="132">
        <f>(EA370*'Renewable Diesel'!BF379*'Feedstock Conversion Rates'!B$2)+FB370</f>
        <v>436.73457507812725</v>
      </c>
      <c r="EL370" s="132">
        <f>(EB370*'Renewable Diesel'!BF379*'Feedstock Conversion Rates'!B$3)+FC370</f>
        <v>1391.9967160218464</v>
      </c>
      <c r="EM370" s="132">
        <f>(EC370*'Renewable Diesel'!BF379*'Feedstock Conversion Rates'!B$4)+FD370</f>
        <v>7063.263014948845</v>
      </c>
      <c r="EN370" s="132">
        <f>(ED370*'Renewable Diesel'!BF379*'Feedstock Conversion Rates'!B$5)+FE370</f>
        <v>860.25827485651712</v>
      </c>
      <c r="EO370" s="132">
        <f>(EE370*'Renewable Diesel'!BF379*'Feedstock Conversion Rates'!B$6)+FF370</f>
        <v>1134.7833833531477</v>
      </c>
      <c r="EP370" s="132">
        <f>(EF370*'Renewable Diesel'!BF379*'Feedstock Conversion Rates'!B$7)+FG370</f>
        <v>1845.1233839859528</v>
      </c>
      <c r="EQ370" s="132">
        <f>(EG370*'Renewable Diesel'!BF379*'Feedstock Conversion Rates'!B$8)+FH370</f>
        <v>367.49850926355634</v>
      </c>
      <c r="ER370" s="132">
        <f>(EH370*'Renewable Diesel'!BF379*'Feedstock Conversion Rates'!B$9)+FI370</f>
        <v>13.813277300573038</v>
      </c>
      <c r="ES370" s="132">
        <f t="shared" si="355"/>
        <v>13113.471134808564</v>
      </c>
      <c r="ET370" s="133">
        <f>ES370/'Renewable Diesel'!BF379</f>
        <v>15.3155818517965</v>
      </c>
      <c r="EW370" s="73">
        <f t="shared" si="386"/>
        <v>11718.108991874933</v>
      </c>
      <c r="EX370" s="73">
        <f t="shared" si="387"/>
        <v>7675.4255742784644</v>
      </c>
      <c r="EY370" s="92">
        <f t="shared" si="341"/>
        <v>0.8935932272554622</v>
      </c>
      <c r="EZ370" s="92">
        <f t="shared" si="341"/>
        <v>0.58530845840692158</v>
      </c>
      <c r="FB370" s="102">
        <f>IF('Renewable Diesel'!$BG379&lt;1,0,(((('Renewable Diesel'!$BG379-1)*'Renewable Diesel'!$BF379)*'RD Feedstock Breakdown'!EA370)*'Feedstock Conversion Rates'!$B$2))</f>
        <v>209.1529241919599</v>
      </c>
      <c r="FC370" s="102">
        <f>IF('Renewable Diesel'!$BG379&lt;1,0,(((('Renewable Diesel'!$BG379-1)*'Renewable Diesel'!$BF379)*'RD Feedstock Breakdown'!EB370)*'Feedstock Conversion Rates'!$B$3))</f>
        <v>666.62957373936422</v>
      </c>
      <c r="FD370" s="102">
        <f>IF('Renewable Diesel'!$BG379&lt;1,0,(((('Renewable Diesel'!$BG379-1)*'Renewable Diesel'!$BF379)*'RD Feedstock Breakdown'!EC370)*'Feedstock Conversion Rates'!$B$4))</f>
        <v>3382.6085641357704</v>
      </c>
      <c r="FE370" s="102">
        <f>IF('Renewable Diesel'!$BG379&lt;1,0,(((('Renewable Diesel'!$BG379-1)*'Renewable Diesel'!$BF379)*'RD Feedstock Breakdown'!ED370)*'Feedstock Conversion Rates'!$B$5))</f>
        <v>411.97913793379996</v>
      </c>
      <c r="FF370" s="102">
        <f>IF('Renewable Diesel'!$BG379&lt;1,0,(((('Renewable Diesel'!$BG379-1)*'Renewable Diesel'!$BF379)*'RD Feedstock Breakdown'!EE370)*'Feedstock Conversion Rates'!$B$6))</f>
        <v>543.44967514948507</v>
      </c>
      <c r="FG370" s="102">
        <f>IF('Renewable Diesel'!$BG379&lt;1,0,(((('Renewable Diesel'!$BG379-1)*'Renewable Diesel'!$BF379)*'RD Feedstock Breakdown'!EF370)*'Feedstock Conversion Rates'!$B$7))</f>
        <v>883.63269884595388</v>
      </c>
      <c r="FH370" s="102">
        <f>IF('Renewable Diesel'!$BG379&lt;1,0,(((('Renewable Diesel'!$BG379-1)*'Renewable Diesel'!$BF379)*'RD Feedstock Breakdown'!EG370)*'Feedstock Conversion Rates'!$B$8))</f>
        <v>175.99565556473016</v>
      </c>
      <c r="FI370" s="102">
        <f>IF('Renewable Diesel'!$BG379&lt;1,0,(((('Renewable Diesel'!$BG379-1)*'Renewable Diesel'!$BF379)*'RD Feedstock Breakdown'!EH370)*'Feedstock Conversion Rates'!$B$9))</f>
        <v>6.6152017837663646</v>
      </c>
      <c r="FJ370" s="102">
        <f t="shared" si="388"/>
        <v>6280.0634313448309</v>
      </c>
      <c r="GD370" s="91">
        <f>'Renewable Diesel'!BB379*0.32</f>
        <v>0</v>
      </c>
      <c r="GE370" s="91">
        <f>'Renewable Diesel'!BC379</f>
        <v>453.48586998691627</v>
      </c>
      <c r="GF370" s="91">
        <f>'Renewable Diesel'!BD379</f>
        <v>0</v>
      </c>
      <c r="GG370" s="91">
        <f t="shared" si="373"/>
        <v>453.48586998691627</v>
      </c>
      <c r="GH370" s="124">
        <v>1</v>
      </c>
      <c r="GI370" s="102">
        <f>$GG370*EA370*'Feedstock Conversion Rates'!$B$2</f>
        <v>120.53601771852078</v>
      </c>
      <c r="GJ370" s="102">
        <f>$GG370*EB370*'Feedstock Conversion Rates'!$B$3</f>
        <v>384.18240826597463</v>
      </c>
      <c r="GK370" s="102">
        <f>$GG370*EC370*'Feedstock Conversion Rates'!$B$4</f>
        <v>1949.4165209341254</v>
      </c>
      <c r="GL370" s="102">
        <f>$GG370*ED370*'Feedstock Conversion Rates'!$B$5</f>
        <v>237.4259162834997</v>
      </c>
      <c r="GM370" s="102">
        <f>$GG370*EE370*'Feedstock Conversion Rates'!$B$6</f>
        <v>313.19313333062547</v>
      </c>
      <c r="GN370" s="102">
        <f>$GG370*EF370*'Feedstock Conversion Rates'!$B$7</f>
        <v>509.24254134264982</v>
      </c>
      <c r="GO370" s="102">
        <f>$GG370*EG370*'Feedstock Conversion Rates'!$B$8</f>
        <v>101.42729555176108</v>
      </c>
      <c r="GP370" s="102">
        <f>$GG370*EH370*'Feedstock Conversion Rates'!B$9</f>
        <v>3.8123783470884165</v>
      </c>
      <c r="GQ370" s="102">
        <f t="shared" si="356"/>
        <v>3619.2362117742455</v>
      </c>
      <c r="GT370" s="103">
        <f t="shared" si="389"/>
        <v>3.3304269372191886E-2</v>
      </c>
      <c r="GU370" s="103">
        <f t="shared" si="390"/>
        <v>0.1061501338365639</v>
      </c>
      <c r="GV370" s="103">
        <f t="shared" si="391"/>
        <v>0.53862649654979833</v>
      </c>
      <c r="GW370" s="103">
        <f t="shared" si="331"/>
        <v>6.5601110950176775E-2</v>
      </c>
      <c r="GX370" s="103">
        <f t="shared" si="331"/>
        <v>8.653569841938831E-2</v>
      </c>
      <c r="GY370" s="103">
        <f t="shared" si="331"/>
        <v>0.14070442257566981</v>
      </c>
      <c r="GZ370" s="103">
        <f t="shared" si="331"/>
        <v>2.802450285554552E-2</v>
      </c>
      <c r="HA370" s="103">
        <f t="shared" si="331"/>
        <v>1.053365440665584E-3</v>
      </c>
    </row>
    <row r="371" spans="1:209" x14ac:dyDescent="0.25">
      <c r="A371" s="96">
        <v>51714</v>
      </c>
      <c r="B371" s="104">
        <f t="shared" si="394"/>
        <v>44.25</v>
      </c>
      <c r="C371" s="104">
        <f t="shared" si="396"/>
        <v>49</v>
      </c>
      <c r="D371" s="104">
        <f t="shared" si="395"/>
        <v>2</v>
      </c>
      <c r="E371" s="104">
        <f>('Renewable Diesel'!B380*E$3*'Feedstock Conversion Rates'!$B$2)/12+26+13-100+27.5+39</f>
        <v>95.43</v>
      </c>
      <c r="F371" s="104">
        <f>('Renewable Diesel'!B380*'RD Feedstock Breakdown'!F$3*'Feedstock Conversion Rates'!B$8)/12+77+23-10-12-115.75+24+8</f>
        <v>48.15625</v>
      </c>
      <c r="G371" s="104">
        <f>('Renewable Diesel'!B380*'RD Feedstock Breakdown'!G$3*'Feedstock Conversion Rates'!B$7)/12+116.75-39-57.5-145-31.5+32+70-40+10+60</f>
        <v>151.90700000000004</v>
      </c>
      <c r="H371" s="104">
        <f>('Renewable Diesel'!B380*'RD Feedstock Breakdown'!H$3*'Feedstock Conversion Rates'!B$3)/12+67+10+12+3-235+20+47-20+25</f>
        <v>105.40022499999998</v>
      </c>
      <c r="I371" s="106">
        <f t="shared" si="370"/>
        <v>496.14347500000002</v>
      </c>
      <c r="J371" s="104">
        <f t="shared" si="332"/>
        <v>4</v>
      </c>
      <c r="K371" s="104"/>
      <c r="L371" s="104">
        <v>1</v>
      </c>
      <c r="M371" s="104">
        <f>('Renewable Diesel'!C380*'RD Feedstock Breakdown'!M$3*'Feedstock Conversion Rates'!B$2)/12</f>
        <v>7.7902500000000003</v>
      </c>
      <c r="N371" s="104">
        <f>('Renewable Diesel'!C380*'RD Feedstock Breakdown'!N$3*'Feedstock Conversion Rates'!B$8)/12</f>
        <v>3.671875</v>
      </c>
      <c r="O371" s="104">
        <f>('Renewable Diesel'!C380*'RD Feedstock Breakdown'!O$3*'Feedstock Conversion Rates'!B$7)/12</f>
        <v>11.9991</v>
      </c>
      <c r="P371" s="104">
        <f>('Renewable Diesel'!C380*'RD Feedstock Breakdown'!P$3*'Feedstock Conversion Rates'!B$3)/12</f>
        <v>10.4470425</v>
      </c>
      <c r="Q371" s="106">
        <f t="shared" si="379"/>
        <v>38.908267500000001</v>
      </c>
      <c r="R371" s="104">
        <f>('Renewable Diesel'!D380*'RD Feedstock Breakdown'!R$3*'Feedstock Conversion Rates'!B$7)/12</f>
        <v>2.2999999999999998</v>
      </c>
      <c r="S371" s="106">
        <f t="shared" si="329"/>
        <v>2.2999999999999998</v>
      </c>
      <c r="T371" s="104">
        <f t="shared" si="380"/>
        <v>0.82499999999999929</v>
      </c>
      <c r="U371" s="104"/>
      <c r="V371" s="104">
        <f>('Renewable Diesel'!E380*'RD Feedstock Breakdown'!V$3*'Feedstock Conversion Rates'!B$6)/12-20+25</f>
        <v>49.250150000000012</v>
      </c>
      <c r="W371" s="104">
        <f>('Renewable Diesel'!E380*'RD Feedstock Breakdown'!W$3*'Feedstock Conversion Rates'!B$8)/12-6</f>
        <v>16.1796875</v>
      </c>
      <c r="X371" s="106">
        <f t="shared" si="357"/>
        <v>66.254837500000008</v>
      </c>
      <c r="Y371" s="104">
        <f t="shared" si="381"/>
        <v>98</v>
      </c>
      <c r="Z371" s="104">
        <f>('Renewable Diesel'!F380*'RD Feedstock Breakdown'!Z$3*'Feedstock Conversion Rates'!B$6)/12-142+15+5+20+5+15</f>
        <v>77.460000000000008</v>
      </c>
      <c r="AA371" s="104">
        <f>('Renewable Diesel'!F380*'RD Feedstock Breakdown'!AA$3*'Feedstock Conversion Rates'!B$7)/12+24</f>
        <v>128.26666666666665</v>
      </c>
      <c r="AB371" s="106">
        <f t="shared" ref="AB371:AB434" si="400">SUM(Y371:AA371)</f>
        <v>303.72666666666669</v>
      </c>
      <c r="AC371" s="104">
        <f>('Renewable Diesel'!G380*'RD Feedstock Breakdown'!AC$3*'Feedstock Conversion Rates'!B$5)/12</f>
        <v>11.796875</v>
      </c>
      <c r="AD371" s="104">
        <f>('Renewable Diesel'!G380*'RD Feedstock Breakdown'!AD$3*'Feedstock Conversion Rates'!B$4)/12</f>
        <v>5.859375</v>
      </c>
      <c r="AE371" s="104">
        <f>('Renewable Diesel'!G380*'RD Feedstock Breakdown'!AE$3*'Feedstock Conversion Rates'!B$6)/12</f>
        <v>7.3281250000000009</v>
      </c>
      <c r="AF371" s="106">
        <f t="shared" si="366"/>
        <v>24.984375</v>
      </c>
      <c r="AG371" s="104">
        <f t="shared" si="383"/>
        <v>148</v>
      </c>
      <c r="AH371" s="104"/>
      <c r="AI371" s="104">
        <f>('Renewable Diesel'!H380*'RD Feedstock Breakdown'!AI$3*'Feedstock Conversion Rates'!B$6)/12-130-20+51-49</f>
        <v>0.51666666666667993</v>
      </c>
      <c r="AJ371" s="106">
        <f t="shared" si="328"/>
        <v>148.51666666666668</v>
      </c>
      <c r="AK371" s="104">
        <f>('Renewable Diesel'!J380*'RD Feedstock Breakdown'!AK$3*'Feedstock Conversion Rates'!B$4)/12</f>
        <v>95.8125</v>
      </c>
      <c r="AL371" s="106">
        <f t="shared" si="330"/>
        <v>95.8125</v>
      </c>
      <c r="AM371" s="104">
        <f>('Renewable Diesel'!K380*'RD Feedstock Breakdown'!AM$3*'Feedstock Conversion Rates'!B$4)/12+5+15-10+10</f>
        <v>78.59375</v>
      </c>
      <c r="AN371" s="104">
        <f>('Renewable Diesel'!K380*'RD Feedstock Breakdown'!AN$3*'Feedstock Conversion Rates'!B$6)/12-5-15+10-10</f>
        <v>4.4270833333333321</v>
      </c>
      <c r="AO371" s="106">
        <f t="shared" si="350"/>
        <v>83.020833333333329</v>
      </c>
      <c r="AP371" s="104">
        <f>('Renewable Diesel'!L380*'RD Feedstock Breakdown'!AP$3*'Feedstock Conversion Rates'!B$4)/12+15-10+15</f>
        <v>78.59375</v>
      </c>
      <c r="AQ371" s="104">
        <f>('Renewable Diesel'!L380*'RD Feedstock Breakdown'!AQ$3*'Feedstock Conversion Rates'!B$6)/12-15+10-15</f>
        <v>4.4270833333333321</v>
      </c>
      <c r="AR371" s="106">
        <f t="shared" si="339"/>
        <v>83.020833333333329</v>
      </c>
      <c r="AS371" s="104">
        <f>('Renewable Diesel'!M380*'RD Feedstock Breakdown'!AS$3*'Feedstock Conversion Rates'!B$4)/12</f>
        <v>456.25</v>
      </c>
      <c r="AT371" s="104">
        <f>('Renewable Diesel'!M380*'RD Feedstock Breakdown'!AT$3*'Feedstock Conversion Rates'!B$5)/12</f>
        <v>0</v>
      </c>
      <c r="AU371" s="106">
        <f t="shared" si="369"/>
        <v>456.25</v>
      </c>
      <c r="AV371" s="104">
        <f>'Renewable Diesel'!N380*'RD Feedstock Breakdown'!$AV$3*'Feedstock Conversion Rates'!$B$4/12-15-10+25+25-22+25</f>
        <v>106.74999999999999</v>
      </c>
      <c r="AW371" s="104">
        <f>'Renewable Diesel'!N380*'RD Feedstock Breakdown'!$AW$3*'Feedstock Conversion Rates'!$B$7/12+15+10-25-25+22-25</f>
        <v>13.400000000000006</v>
      </c>
      <c r="AX371" s="106">
        <f t="shared" si="322"/>
        <v>120.14999999999999</v>
      </c>
      <c r="AY371" s="104">
        <f>('Renewable Diesel'!O380*'RD Feedstock Breakdown'!AY$3*'Feedstock Conversion Rates'!B$4)/12</f>
        <v>210.9375</v>
      </c>
      <c r="AZ371" s="104">
        <f>('Renewable Diesel'!O380*'RD Feedstock Breakdown'!AZ$3*'Feedstock Conversion Rates'!B$3)/12</f>
        <v>25.03125</v>
      </c>
      <c r="BA371" s="106">
        <f t="shared" si="382"/>
        <v>235.96875</v>
      </c>
      <c r="BB371" s="104">
        <f>('Renewable Diesel'!Q380*'RD Feedstock Breakdown'!BB$3*'Feedstock Conversion Rates'!B$4)/12</f>
        <v>11.156249999999998</v>
      </c>
      <c r="BC371" s="104">
        <f>('Renewable Diesel'!Q380*'RD Feedstock Breakdown'!BC$3*'Feedstock Conversion Rates'!B$3)/12</f>
        <v>1.4017500000000001</v>
      </c>
      <c r="BD371" s="104">
        <f>('Renewable Diesel'!Q380*'RD Feedstock Breakdown'!BD$3*'Feedstock Conversion Rates'!B$6)/12</f>
        <v>0.8207500000000002</v>
      </c>
      <c r="BE371" s="106">
        <f t="shared" si="359"/>
        <v>13.378749999999998</v>
      </c>
      <c r="BF371" s="104">
        <f>('Renewable Diesel'!R380*'RD Feedstock Breakdown'!BF$3*'Feedstock Conversion Rates'!B$4)/12</f>
        <v>62.5</v>
      </c>
      <c r="BG371" s="106">
        <f t="shared" si="344"/>
        <v>62.5</v>
      </c>
      <c r="BH371" s="104">
        <f>('Renewable Diesel'!T380*'RD Feedstock Breakdown'!BH$3*'Feedstock Conversion Rates'!B$7)/12</f>
        <v>27.599999999999998</v>
      </c>
      <c r="BI371" s="106">
        <f t="shared" si="327"/>
        <v>27.599999999999998</v>
      </c>
      <c r="BJ371" s="104">
        <f>('Renewable Diesel'!W380*'RD Feedstock Breakdown'!BJ$3*'Feedstock Conversion Rates'!B$4)/12</f>
        <v>7.5</v>
      </c>
      <c r="BK371" s="104">
        <f>('Renewable Diesel'!W380*'RD Feedstock Breakdown'!BK$3*'Feedstock Conversion Rates'!B$3)/12</f>
        <v>1.335</v>
      </c>
      <c r="BL371" s="104">
        <f>('Renewable Diesel'!W380*'RD Feedstock Breakdown'!BL$3*'Feedstock Conversion Rates'!B$6)/12</f>
        <v>3.1266666666666669</v>
      </c>
      <c r="BM371" s="104">
        <f>('Renewable Diesel'!W380*'RD Feedstock Breakdown'!BM$3*'Feedstock Conversion Rates'!B$7)/12</f>
        <v>1.5333333333333332</v>
      </c>
      <c r="BN371" s="106">
        <f t="shared" si="374"/>
        <v>13.495000000000001</v>
      </c>
      <c r="BO371" s="104">
        <f>('Renewable Diesel'!P380*'Feedstock Conversion Rates'!B$4)/12</f>
        <v>31.25</v>
      </c>
      <c r="BP371" s="106">
        <f t="shared" si="367"/>
        <v>31.25</v>
      </c>
      <c r="BQ371" s="104">
        <f>('Renewable Diesel'!$S380*'RD Feedstock Breakdown'!BQ$3*'Feedstock Conversion Rates'!B$4)/12+10+15-15</f>
        <v>38.125</v>
      </c>
      <c r="BR371" s="104">
        <f>('Renewable Diesel'!$S380*'RD Feedstock Breakdown'!BR$3*'Feedstock Conversion Rates'!B$7)/12-10-15+15</f>
        <v>1.5</v>
      </c>
      <c r="BS371" s="106">
        <f t="shared" si="385"/>
        <v>39.625</v>
      </c>
      <c r="BT371" s="106"/>
      <c r="BU371" s="104">
        <f>('Renewable Diesel'!Y380*'Feedstock Conversion Rates'!B$7)/12</f>
        <v>2.6833333333333331</v>
      </c>
      <c r="BV371" s="106">
        <f t="shared" si="361"/>
        <v>2.6833333333333331</v>
      </c>
      <c r="BW371" s="104">
        <f>('Renewable Diesel'!$Z380*'RD Feedstock Breakdown'!BW$3*'Feedstock Conversion Rates'!$B$4)/12-250+180</f>
        <v>1.875</v>
      </c>
      <c r="BX371" s="104">
        <f>('Renewable Diesel'!$Z380*'RD Feedstock Breakdown'!BX$3*'Feedstock Conversion Rates'!$B$5)/12</f>
        <v>7.2354166666666666</v>
      </c>
      <c r="BY371" s="104">
        <f>('Renewable Diesel'!$Z380*'RD Feedstock Breakdown'!BY$3*'Feedstock Conversion Rates'!$B$7)/12</f>
        <v>61.716666666666661</v>
      </c>
      <c r="BZ371" s="104">
        <f>('Renewable Diesel'!$Z380*'RD Feedstock Breakdown'!BZ$3*'Feedstock Conversion Rates'!$B$3)/12+250-180</f>
        <v>85.35250000000002</v>
      </c>
      <c r="CA371" s="106">
        <f t="shared" si="392"/>
        <v>156.17958333333334</v>
      </c>
      <c r="CB371" s="104">
        <f>('Renewable Diesel'!AA380*'Feedstock Conversion Rates'!B$4)/12</f>
        <v>191.25</v>
      </c>
      <c r="CC371" s="106">
        <f t="shared" si="376"/>
        <v>191.25</v>
      </c>
      <c r="CD371" s="104">
        <f>('Renewable Diesel'!$AB380*'RD Feedstock Breakdown'!CD$3*'Feedstock Conversion Rates'!$B$6)/12-15-5</f>
        <v>12.830000000000005</v>
      </c>
      <c r="CE371" s="104">
        <f>('Renewable Diesel'!$AB380*'RD Feedstock Breakdown'!CE$3*'Feedstock Conversion Rates'!$B$4)/12+15+5</f>
        <v>31.25</v>
      </c>
      <c r="CF371" s="106">
        <f t="shared" si="372"/>
        <v>44.080000000000005</v>
      </c>
      <c r="CG371" s="104">
        <f>('Renewable Diesel'!AD380*'Feedstock Conversion Rates'!B$4)/12</f>
        <v>112.5</v>
      </c>
      <c r="CH371" s="106">
        <f t="shared" si="358"/>
        <v>112.5</v>
      </c>
      <c r="CI371" s="104">
        <f>('Renewable Diesel'!$AE380*'RD Feedstock Breakdown'!CI$3*'Feedstock Conversion Rates'!$B$5)/12</f>
        <v>0.34604166666666664</v>
      </c>
      <c r="CJ371" s="104">
        <f>('Renewable Diesel'!$AE380*'RD Feedstock Breakdown'!CJ$3*'Feedstock Conversion Rates'!$B$4)/12</f>
        <v>0.34375</v>
      </c>
      <c r="CK371" s="106">
        <f t="shared" si="368"/>
        <v>0.68979166666666658</v>
      </c>
      <c r="CL371" s="104">
        <f>(((CL$3*'Renewable Diesel'!$AF380)*'Feedstock Conversion Rates'!$B$3)/12)</f>
        <v>91.78125</v>
      </c>
      <c r="CM371" s="104">
        <f>(((CM$3*'Renewable Diesel'!$AF380)*'Feedstock Conversion Rates'!$B$6)/12)</f>
        <v>53.739583333333336</v>
      </c>
      <c r="CN371" s="104">
        <f>(((CN$3*'Renewable Diesel'!$AF380)*'Feedstock Conversion Rates'!$B$4)/12)</f>
        <v>42.96875</v>
      </c>
      <c r="CO371" s="106">
        <f t="shared" si="360"/>
        <v>188.48958333333334</v>
      </c>
      <c r="CP371" s="104">
        <f>('Renewable Diesel'!$AG380*'RD Feedstock Breakdown'!CP$3*'Feedstock Conversion Rates'!$B$3)/12</f>
        <v>6.0075000000000003</v>
      </c>
      <c r="CQ371" s="104">
        <f>('Renewable Diesel'!$AG380*'RD Feedstock Breakdown'!CQ$3*'Feedstock Conversion Rates'!$B$6)/12</f>
        <v>3.5175000000000001</v>
      </c>
      <c r="CR371" s="104">
        <f>('Renewable Diesel'!$AG380*'RD Feedstock Breakdown'!CR$3*'Feedstock Conversion Rates'!$B$4)/12</f>
        <v>2.8125</v>
      </c>
      <c r="CS371" s="106">
        <f t="shared" si="397"/>
        <v>12.3375</v>
      </c>
      <c r="CT371" s="104">
        <f>('Renewable Diesel'!AI380*'Feedstock Conversion Rates'!$B$4*'RD Feedstock Breakdown'!$CT$3)/12</f>
        <v>29.375</v>
      </c>
      <c r="CU371" s="106">
        <f t="shared" si="364"/>
        <v>29.375</v>
      </c>
      <c r="CV371" s="104">
        <f>('Renewable Diesel'!AN380*'Feedstock Conversion Rates'!$B$3*'RD Feedstock Breakdown'!$CV$3)/12</f>
        <v>0.50062499999999999</v>
      </c>
      <c r="CW371" s="106">
        <f t="shared" si="338"/>
        <v>0.50062499999999999</v>
      </c>
      <c r="CX371" s="104">
        <f>('Renewable Diesel'!AO380*'RD Feedstock Breakdown'!$CX$3*'Feedstock Conversion Rates'!$B$3)/12</f>
        <v>6.3412499999999996</v>
      </c>
      <c r="CY371" s="104">
        <f>('Renewable Diesel'!AO380*'RD Feedstock Breakdown'!$CY$3*'Feedstock Conversion Rates'!$B$6)/12</f>
        <v>7.4258333333333342</v>
      </c>
      <c r="CZ371" s="106">
        <f t="shared" si="398"/>
        <v>13.767083333333334</v>
      </c>
      <c r="DA371" s="104">
        <f>('Renewable Diesel'!$AP380*'RD Feedstock Breakdown'!DA$3*'Feedstock Conversion Rates'!$B$3)/12</f>
        <v>6.3412499999999996</v>
      </c>
      <c r="DB371" s="104">
        <f>('Renewable Diesel'!$AP380*'RD Feedstock Breakdown'!DB$3*'Feedstock Conversion Rates'!$B$8)/12</f>
        <v>7.421875</v>
      </c>
      <c r="DC371" s="106">
        <f t="shared" si="342"/>
        <v>13.763124999999999</v>
      </c>
      <c r="DD371" s="104">
        <f>('Renewable Diesel'!AQ380*$DD$3*'Feedstock Conversion Rates'!$B$14)/12</f>
        <v>3.1041666666666665</v>
      </c>
      <c r="DE371" s="106">
        <f t="shared" si="343"/>
        <v>3.1041666666666665</v>
      </c>
      <c r="DF371" s="104">
        <f>('Renewable Diesel'!AR380*'Feedstock Conversion Rates'!$B$4*$DF$3)/12</f>
        <v>75</v>
      </c>
      <c r="DG371" s="106">
        <f t="shared" si="399"/>
        <v>75</v>
      </c>
      <c r="DH371" s="104">
        <f>('Renewable Diesel'!AS380*'Feedstock Conversion Rates'!$B$4*$DH$3)/12</f>
        <v>75</v>
      </c>
      <c r="DI371" s="106">
        <f t="shared" si="323"/>
        <v>75</v>
      </c>
      <c r="DJ371" s="104">
        <f>('Renewable Diesel'!AT380*'Feedstock Conversion Rates'!$B$4*0.25)/12</f>
        <v>8.59375</v>
      </c>
      <c r="DK371" s="104">
        <f>('Renewable Diesel'!$AT380*'RD Feedstock Breakdown'!DK$3*'Feedstock Conversion Rates'!$B$3)/12*0.5</f>
        <v>9.1781249999999996</v>
      </c>
      <c r="DL371" s="104">
        <f>('Renewable Diesel'!$AT380*'RD Feedstock Breakdown'!$DL$3*'Feedstock Conversion Rates'!$B$6)/12</f>
        <v>10.747916666666669</v>
      </c>
      <c r="DM371" s="104">
        <f>('Renewable Diesel'!$AT380*'RD Feedstock Breakdown'!$DM$3*'Feedstock Conversion Rates'!$B$8)/12</f>
        <v>10.7421875</v>
      </c>
      <c r="DN371" s="106">
        <f t="shared" si="375"/>
        <v>39.26197916666667</v>
      </c>
      <c r="DP371" s="104">
        <f t="shared" si="345"/>
        <v>103.22025000000001</v>
      </c>
      <c r="DQ371" s="104">
        <f t="shared" si="346"/>
        <v>349.11776750000007</v>
      </c>
      <c r="DR371" s="104">
        <f t="shared" si="351"/>
        <v>1891.953125</v>
      </c>
      <c r="DS371" s="104">
        <f t="shared" si="365"/>
        <v>228.90125</v>
      </c>
      <c r="DT371" s="104">
        <f t="shared" si="347"/>
        <v>243.03923333333344</v>
      </c>
      <c r="DU371" s="104">
        <f t="shared" si="348"/>
        <v>402.90610000000009</v>
      </c>
      <c r="DV371" s="104">
        <f t="shared" si="352"/>
        <v>78.75</v>
      </c>
      <c r="DW371" s="104">
        <f t="shared" si="349"/>
        <v>3</v>
      </c>
      <c r="DX371" s="106">
        <f t="shared" si="353"/>
        <v>3300.8877258333337</v>
      </c>
      <c r="DY371" s="109">
        <f t="shared" si="340"/>
        <v>-5.631051180898794E-13</v>
      </c>
      <c r="EA371" s="110">
        <f t="shared" si="393"/>
        <v>3.1270451640078516E-2</v>
      </c>
      <c r="EB371" s="110">
        <f t="shared" si="393"/>
        <v>0.10576481131658687</v>
      </c>
      <c r="EC371" s="110">
        <f t="shared" si="393"/>
        <v>0.57316494293133291</v>
      </c>
      <c r="ED371" s="110">
        <f t="shared" si="393"/>
        <v>6.9345360706629972E-2</v>
      </c>
      <c r="EE371" s="110">
        <f t="shared" si="393"/>
        <v>7.3628445896921982E-2</v>
      </c>
      <c r="EF371" s="110">
        <f t="shared" si="393"/>
        <v>0.1220599225010852</v>
      </c>
      <c r="EG371" s="110">
        <f t="shared" si="384"/>
        <v>2.3857218585075921E-2</v>
      </c>
      <c r="EH371" s="111">
        <f t="shared" si="354"/>
        <v>9.0884642228860647E-4</v>
      </c>
      <c r="EI371" s="110">
        <f t="shared" si="321"/>
        <v>0.99909115357771139</v>
      </c>
      <c r="EK371" s="132">
        <f>(EA371*'Renewable Diesel'!BF380*'Feedstock Conversion Rates'!B$2)+FB371</f>
        <v>469.33108864117446</v>
      </c>
      <c r="EL371" s="132">
        <f>(EB371*'Renewable Diesel'!BF380*'Feedstock Conversion Rates'!B$3)+FC371</f>
        <v>1495.8910317521875</v>
      </c>
      <c r="EM371" s="132">
        <f>(EC371*'Renewable Diesel'!BF380*'Feedstock Conversion Rates'!B$4)+FD371</f>
        <v>7590.4430501566421</v>
      </c>
      <c r="EN371" s="132">
        <f>(ED371*'Renewable Diesel'!BF380*'Feedstock Conversion Rates'!B$5)+FE371</f>
        <v>924.46528324157043</v>
      </c>
      <c r="EO371" s="132">
        <f>(EE371*'Renewable Diesel'!BF380*'Feedstock Conversion Rates'!B$6)+FF371</f>
        <v>1219.4800940268433</v>
      </c>
      <c r="EP371" s="132">
        <f>(EF371*'Renewable Diesel'!BF380*'Feedstock Conversion Rates'!B$7)+FG371</f>
        <v>1982.837668230186</v>
      </c>
      <c r="EQ371" s="132">
        <f>(EG371*'Renewable Diesel'!BF380*'Feedstock Conversion Rates'!B$8)+FH371</f>
        <v>394.92745770315764</v>
      </c>
      <c r="ER371" s="132">
        <f>(EH371*'Renewable Diesel'!BF380*'Feedstock Conversion Rates'!B$9)+FI371</f>
        <v>14.844257457794878</v>
      </c>
      <c r="ES371" s="132">
        <f t="shared" si="355"/>
        <v>14092.219931209556</v>
      </c>
      <c r="ET371" s="133">
        <f>ES371/'Renewable Diesel'!BF380</f>
        <v>15.618673812675501</v>
      </c>
      <c r="EW371" s="73">
        <f t="shared" si="386"/>
        <v>12678.817592177729</v>
      </c>
      <c r="EX371" s="73">
        <f t="shared" si="387"/>
        <v>8304.6949696481606</v>
      </c>
      <c r="EY371" s="92">
        <f t="shared" si="341"/>
        <v>0.89970335788603373</v>
      </c>
      <c r="EZ371" s="92">
        <f t="shared" si="341"/>
        <v>0.58931062743748674</v>
      </c>
      <c r="FB371" s="102">
        <f>IF('Renewable Diesel'!$BG380&lt;1,0,(((('Renewable Diesel'!$BG380-1)*'Renewable Diesel'!$BF380)*'RD Feedstock Breakdown'!EA371)*'Feedstock Conversion Rates'!$B$2))</f>
        <v>229.50946609264722</v>
      </c>
      <c r="FC371" s="102">
        <f>IF('Renewable Diesel'!$BG380&lt;1,0,(((('Renewable Diesel'!$BG380-1)*'Renewable Diesel'!$BF380)*'RD Feedstock Breakdown'!EB371)*'Feedstock Conversion Rates'!$B$3))</f>
        <v>731.51163504685019</v>
      </c>
      <c r="FD371" s="102">
        <f>IF('Renewable Diesel'!$BG380&lt;1,0,(((('Renewable Diesel'!$BG380-1)*'Renewable Diesel'!$BF380)*'RD Feedstock Breakdown'!EC371)*'Feedstock Conversion Rates'!$B$4))</f>
        <v>3711.8328063283188</v>
      </c>
      <c r="FE371" s="102">
        <f>IF('Renewable Diesel'!$BG380&lt;1,0,(((('Renewable Diesel'!$BG380-1)*'Renewable Diesel'!$BF380)*'RD Feedstock Breakdown'!ED371)*'Feedstock Conversion Rates'!$B$5))</f>
        <v>452.07645245119755</v>
      </c>
      <c r="FF371" s="102">
        <f>IF('Renewable Diesel'!$BG380&lt;1,0,(((('Renewable Diesel'!$BG380-1)*'Renewable Diesel'!$BF380)*'RD Feedstock Breakdown'!EE371)*'Feedstock Conversion Rates'!$B$6))</f>
        <v>596.34282080276807</v>
      </c>
      <c r="FG371" s="102">
        <f>IF('Renewable Diesel'!$BG380&lt;1,0,(((('Renewable Diesel'!$BG380-1)*'Renewable Diesel'!$BF380)*'RD Feedstock Breakdown'!EF371)*'Feedstock Conversion Rates'!$B$7))</f>
        <v>969.63535039083968</v>
      </c>
      <c r="FH371" s="102">
        <f>IF('Renewable Diesel'!$BG380&lt;1,0,(((('Renewable Diesel'!$BG380-1)*'Renewable Diesel'!$BF380)*'RD Feedstock Breakdown'!EG371)*'Feedstock Conversion Rates'!$B$8))</f>
        <v>193.1250500051072</v>
      </c>
      <c r="FI371" s="102">
        <f>IF('Renewable Diesel'!$BG380&lt;1,0,(((('Renewable Diesel'!$BG380-1)*'Renewable Diesel'!$BF380)*'RD Feedstock Breakdown'!EH371)*'Feedstock Conversion Rates'!$B$9))</f>
        <v>7.2590494986046643</v>
      </c>
      <c r="FJ371" s="102">
        <f t="shared" si="388"/>
        <v>6891.2926306163336</v>
      </c>
      <c r="GD371" s="91">
        <f>'Renewable Diesel'!BB380*0.32</f>
        <v>0</v>
      </c>
      <c r="GE371" s="91">
        <f>'Renewable Diesel'!BC380</f>
        <v>493.77231937976603</v>
      </c>
      <c r="GF371" s="91">
        <f>'Renewable Diesel'!BD380</f>
        <v>0</v>
      </c>
      <c r="GG371" s="91">
        <f t="shared" si="373"/>
        <v>493.77231937976603</v>
      </c>
      <c r="GH371" s="124">
        <v>1</v>
      </c>
      <c r="GI371" s="102">
        <f>$GG371*EA371*'Feedstock Conversion Rates'!$B$2</f>
        <v>131.24410919218221</v>
      </c>
      <c r="GJ371" s="102">
        <f>$GG371*EB371*'Feedstock Conversion Rates'!$B$3</f>
        <v>418.31212690236094</v>
      </c>
      <c r="GK371" s="102">
        <f>$GG371*EC371*'Feedstock Conversion Rates'!$B$4</f>
        <v>2122.5973744378161</v>
      </c>
      <c r="GL371" s="102">
        <f>$GG371*ED371*'Feedstock Conversion Rates'!$B$5</f>
        <v>258.51818793726073</v>
      </c>
      <c r="GM371" s="102">
        <f>$GG371*EE371*'Feedstock Conversion Rates'!$B$6</f>
        <v>341.01635815674035</v>
      </c>
      <c r="GN371" s="102">
        <f>$GG371*EF371*'Feedstock Conversion Rates'!$B$7</f>
        <v>554.48226153741302</v>
      </c>
      <c r="GO371" s="102">
        <f>$GG371*EG371*'Feedstock Conversion Rates'!$B$8</f>
        <v>110.4378202003406</v>
      </c>
      <c r="GP371" s="102">
        <f>$GG371*EH371*'Feedstock Conversion Rates'!B$9</f>
        <v>4.1510596545143894</v>
      </c>
      <c r="GQ371" s="102">
        <f t="shared" si="356"/>
        <v>3940.7592980186282</v>
      </c>
      <c r="GT371" s="103">
        <f t="shared" si="389"/>
        <v>3.3304269372191893E-2</v>
      </c>
      <c r="GU371" s="103">
        <f t="shared" si="390"/>
        <v>0.1061501338365639</v>
      </c>
      <c r="GV371" s="103">
        <f t="shared" si="391"/>
        <v>0.53862649654979833</v>
      </c>
      <c r="GW371" s="103">
        <f t="shared" si="331"/>
        <v>6.5601110950176761E-2</v>
      </c>
      <c r="GX371" s="103">
        <f t="shared" si="331"/>
        <v>8.653569841938831E-2</v>
      </c>
      <c r="GY371" s="103">
        <f t="shared" si="331"/>
        <v>0.14070442257566981</v>
      </c>
      <c r="GZ371" s="103">
        <f t="shared" si="331"/>
        <v>2.8024502855545516E-2</v>
      </c>
      <c r="HA371" s="103">
        <f t="shared" si="331"/>
        <v>1.053365440665584E-3</v>
      </c>
    </row>
    <row r="372" spans="1:209" x14ac:dyDescent="0.25">
      <c r="A372" s="96">
        <v>51745</v>
      </c>
      <c r="B372" s="104">
        <f t="shared" si="394"/>
        <v>44.25</v>
      </c>
      <c r="C372" s="104">
        <f t="shared" si="396"/>
        <v>49</v>
      </c>
      <c r="D372" s="104">
        <f t="shared" si="395"/>
        <v>2</v>
      </c>
      <c r="E372" s="104">
        <f>('Renewable Diesel'!B381*E$3*'Feedstock Conversion Rates'!$B$2)/12+26+13-100+27.5+39</f>
        <v>95.43</v>
      </c>
      <c r="F372" s="104">
        <f>('Renewable Diesel'!B381*'RD Feedstock Breakdown'!F$3*'Feedstock Conversion Rates'!B$8)/12+77+23-10-12-115.75+24+8</f>
        <v>48.15625</v>
      </c>
      <c r="G372" s="104">
        <f>('Renewable Diesel'!B381*'RD Feedstock Breakdown'!G$3*'Feedstock Conversion Rates'!B$7)/12+116.75-39-57.5-145-31.5+32+70-40+10+60</f>
        <v>151.90700000000004</v>
      </c>
      <c r="H372" s="104">
        <f>('Renewable Diesel'!B381*'RD Feedstock Breakdown'!H$3*'Feedstock Conversion Rates'!B$3)/12+67+10+12+3-235+20+47-20+25</f>
        <v>105.40022499999998</v>
      </c>
      <c r="I372" s="106">
        <f t="shared" si="370"/>
        <v>496.14347500000002</v>
      </c>
      <c r="J372" s="104">
        <f t="shared" si="332"/>
        <v>4</v>
      </c>
      <c r="K372" s="104"/>
      <c r="L372" s="104">
        <v>1</v>
      </c>
      <c r="M372" s="104">
        <f>('Renewable Diesel'!C381*'RD Feedstock Breakdown'!M$3*'Feedstock Conversion Rates'!B$2)/12</f>
        <v>7.7902500000000003</v>
      </c>
      <c r="N372" s="104">
        <f>('Renewable Diesel'!C381*'RD Feedstock Breakdown'!N$3*'Feedstock Conversion Rates'!B$8)/12</f>
        <v>3.671875</v>
      </c>
      <c r="O372" s="104">
        <f>('Renewable Diesel'!C381*'RD Feedstock Breakdown'!O$3*'Feedstock Conversion Rates'!B$7)/12</f>
        <v>11.9991</v>
      </c>
      <c r="P372" s="104">
        <f>('Renewable Diesel'!C381*'RD Feedstock Breakdown'!P$3*'Feedstock Conversion Rates'!B$3)/12</f>
        <v>10.4470425</v>
      </c>
      <c r="Q372" s="106">
        <f t="shared" si="379"/>
        <v>38.908267500000001</v>
      </c>
      <c r="R372" s="104">
        <f>('Renewable Diesel'!D381*'RD Feedstock Breakdown'!R$3*'Feedstock Conversion Rates'!B$7)/12</f>
        <v>2.2999999999999998</v>
      </c>
      <c r="S372" s="106">
        <f t="shared" si="329"/>
        <v>2.2999999999999998</v>
      </c>
      <c r="T372" s="104">
        <f t="shared" si="380"/>
        <v>0.82499999999999929</v>
      </c>
      <c r="U372" s="104"/>
      <c r="V372" s="104">
        <f>('Renewable Diesel'!E381*'RD Feedstock Breakdown'!V$3*'Feedstock Conversion Rates'!B$6)/12-20+25</f>
        <v>49.250150000000012</v>
      </c>
      <c r="W372" s="104">
        <f>('Renewable Diesel'!E381*'RD Feedstock Breakdown'!W$3*'Feedstock Conversion Rates'!B$8)/12-6</f>
        <v>16.1796875</v>
      </c>
      <c r="X372" s="106">
        <f t="shared" si="357"/>
        <v>66.254837500000008</v>
      </c>
      <c r="Y372" s="104">
        <f t="shared" si="381"/>
        <v>98</v>
      </c>
      <c r="Z372" s="104">
        <f>('Renewable Diesel'!F381*'RD Feedstock Breakdown'!Z$3*'Feedstock Conversion Rates'!B$6)/12-142+15+5+20+5+15</f>
        <v>77.460000000000008</v>
      </c>
      <c r="AA372" s="104">
        <f>('Renewable Diesel'!F381*'RD Feedstock Breakdown'!AA$3*'Feedstock Conversion Rates'!B$7)/12+24</f>
        <v>128.26666666666665</v>
      </c>
      <c r="AB372" s="106">
        <f t="shared" si="400"/>
        <v>303.72666666666669</v>
      </c>
      <c r="AC372" s="104">
        <f>('Renewable Diesel'!G381*'RD Feedstock Breakdown'!AC$3*'Feedstock Conversion Rates'!B$5)/12</f>
        <v>11.796875</v>
      </c>
      <c r="AD372" s="104">
        <f>('Renewable Diesel'!G381*'RD Feedstock Breakdown'!AD$3*'Feedstock Conversion Rates'!B$4)/12</f>
        <v>5.859375</v>
      </c>
      <c r="AE372" s="104">
        <f>('Renewable Diesel'!G381*'RD Feedstock Breakdown'!AE$3*'Feedstock Conversion Rates'!B$6)/12</f>
        <v>7.3281250000000009</v>
      </c>
      <c r="AF372" s="106">
        <f t="shared" si="366"/>
        <v>24.984375</v>
      </c>
      <c r="AG372" s="104">
        <f t="shared" si="383"/>
        <v>148</v>
      </c>
      <c r="AH372" s="104"/>
      <c r="AI372" s="104">
        <f>('Renewable Diesel'!H381*'RD Feedstock Breakdown'!AI$3*'Feedstock Conversion Rates'!B$6)/12-130-20+51-49</f>
        <v>0.51666666666667993</v>
      </c>
      <c r="AJ372" s="106">
        <f t="shared" si="328"/>
        <v>148.51666666666668</v>
      </c>
      <c r="AK372" s="104">
        <f>('Renewable Diesel'!J381*'RD Feedstock Breakdown'!AK$3*'Feedstock Conversion Rates'!B$4)/12</f>
        <v>95.8125</v>
      </c>
      <c r="AL372" s="106">
        <f t="shared" si="330"/>
        <v>95.8125</v>
      </c>
      <c r="AM372" s="104">
        <f>('Renewable Diesel'!K381*'RD Feedstock Breakdown'!AM$3*'Feedstock Conversion Rates'!B$4)/12+5+15-10+10</f>
        <v>78.59375</v>
      </c>
      <c r="AN372" s="104">
        <f>('Renewable Diesel'!K381*'RD Feedstock Breakdown'!AN$3*'Feedstock Conversion Rates'!B$6)/12-5-15+10-10</f>
        <v>4.4270833333333321</v>
      </c>
      <c r="AO372" s="106">
        <f t="shared" si="350"/>
        <v>83.020833333333329</v>
      </c>
      <c r="AP372" s="104">
        <f>('Renewable Diesel'!L381*'RD Feedstock Breakdown'!AP$3*'Feedstock Conversion Rates'!B$4)/12+15-10+15</f>
        <v>78.59375</v>
      </c>
      <c r="AQ372" s="104">
        <f>('Renewable Diesel'!L381*'RD Feedstock Breakdown'!AQ$3*'Feedstock Conversion Rates'!B$6)/12-15+10-15</f>
        <v>4.4270833333333321</v>
      </c>
      <c r="AR372" s="106">
        <f t="shared" si="339"/>
        <v>83.020833333333329</v>
      </c>
      <c r="AS372" s="104">
        <f>('Renewable Diesel'!M381*'RD Feedstock Breakdown'!AS$3*'Feedstock Conversion Rates'!B$4)/12</f>
        <v>456.25</v>
      </c>
      <c r="AT372" s="104">
        <f>('Renewable Diesel'!M381*'RD Feedstock Breakdown'!AT$3*'Feedstock Conversion Rates'!B$5)/12</f>
        <v>0</v>
      </c>
      <c r="AU372" s="106">
        <f t="shared" si="369"/>
        <v>456.25</v>
      </c>
      <c r="AV372" s="104">
        <f>'Renewable Diesel'!N381*'RD Feedstock Breakdown'!$AV$3*'Feedstock Conversion Rates'!$B$4/12-15-10+25+25-22+25</f>
        <v>106.74999999999999</v>
      </c>
      <c r="AW372" s="104">
        <f>'Renewable Diesel'!N381*'RD Feedstock Breakdown'!$AW$3*'Feedstock Conversion Rates'!$B$7/12+15+10-25-25+22-25</f>
        <v>13.400000000000006</v>
      </c>
      <c r="AX372" s="106">
        <f t="shared" si="322"/>
        <v>120.14999999999999</v>
      </c>
      <c r="AY372" s="104">
        <f>('Renewable Diesel'!O381*'RD Feedstock Breakdown'!AY$3*'Feedstock Conversion Rates'!B$4)/12</f>
        <v>210.9375</v>
      </c>
      <c r="AZ372" s="104">
        <f>('Renewable Diesel'!O381*'RD Feedstock Breakdown'!AZ$3*'Feedstock Conversion Rates'!B$3)/12</f>
        <v>25.03125</v>
      </c>
      <c r="BA372" s="106">
        <f t="shared" si="382"/>
        <v>235.96875</v>
      </c>
      <c r="BB372" s="104">
        <f>('Renewable Diesel'!Q381*'RD Feedstock Breakdown'!BB$3*'Feedstock Conversion Rates'!B$4)/12</f>
        <v>11.156249999999998</v>
      </c>
      <c r="BC372" s="104">
        <f>('Renewable Diesel'!Q381*'RD Feedstock Breakdown'!BC$3*'Feedstock Conversion Rates'!B$3)/12</f>
        <v>1.4017500000000001</v>
      </c>
      <c r="BD372" s="104">
        <f>('Renewable Diesel'!Q381*'RD Feedstock Breakdown'!BD$3*'Feedstock Conversion Rates'!B$6)/12</f>
        <v>0.8207500000000002</v>
      </c>
      <c r="BE372" s="106">
        <f t="shared" si="359"/>
        <v>13.378749999999998</v>
      </c>
      <c r="BF372" s="104">
        <f>('Renewable Diesel'!R381*'RD Feedstock Breakdown'!BF$3*'Feedstock Conversion Rates'!B$4)/12</f>
        <v>62.5</v>
      </c>
      <c r="BG372" s="106">
        <f t="shared" si="344"/>
        <v>62.5</v>
      </c>
      <c r="BH372" s="104">
        <f>('Renewable Diesel'!T381*'RD Feedstock Breakdown'!BH$3*'Feedstock Conversion Rates'!B$7)/12</f>
        <v>27.599999999999998</v>
      </c>
      <c r="BI372" s="106">
        <f t="shared" si="327"/>
        <v>27.599999999999998</v>
      </c>
      <c r="BJ372" s="104">
        <f>('Renewable Diesel'!W381*'RD Feedstock Breakdown'!BJ$3*'Feedstock Conversion Rates'!B$4)/12</f>
        <v>7.5</v>
      </c>
      <c r="BK372" s="104">
        <f>('Renewable Diesel'!W381*'RD Feedstock Breakdown'!BK$3*'Feedstock Conversion Rates'!B$3)/12</f>
        <v>1.335</v>
      </c>
      <c r="BL372" s="104">
        <f>('Renewable Diesel'!W381*'RD Feedstock Breakdown'!BL$3*'Feedstock Conversion Rates'!B$6)/12</f>
        <v>3.1266666666666669</v>
      </c>
      <c r="BM372" s="104">
        <f>('Renewable Diesel'!W381*'RD Feedstock Breakdown'!BM$3*'Feedstock Conversion Rates'!B$7)/12</f>
        <v>1.5333333333333332</v>
      </c>
      <c r="BN372" s="106">
        <f t="shared" si="374"/>
        <v>13.495000000000001</v>
      </c>
      <c r="BO372" s="104">
        <f>('Renewable Diesel'!P381*'Feedstock Conversion Rates'!B$4)/12</f>
        <v>31.25</v>
      </c>
      <c r="BP372" s="106">
        <f t="shared" si="367"/>
        <v>31.25</v>
      </c>
      <c r="BQ372" s="104">
        <f>('Renewable Diesel'!$S381*'RD Feedstock Breakdown'!BQ$3*'Feedstock Conversion Rates'!B$4)/12+10+15-15</f>
        <v>38.125</v>
      </c>
      <c r="BR372" s="104">
        <f>('Renewable Diesel'!$S381*'RD Feedstock Breakdown'!BR$3*'Feedstock Conversion Rates'!B$7)/12-10-15+15</f>
        <v>1.5</v>
      </c>
      <c r="BS372" s="106">
        <f t="shared" si="385"/>
        <v>39.625</v>
      </c>
      <c r="BT372" s="106"/>
      <c r="BU372" s="104">
        <f>('Renewable Diesel'!Y381*'Feedstock Conversion Rates'!B$7)/12</f>
        <v>2.6833333333333331</v>
      </c>
      <c r="BV372" s="106">
        <f t="shared" si="361"/>
        <v>2.6833333333333331</v>
      </c>
      <c r="BW372" s="104">
        <f>('Renewable Diesel'!$Z381*'RD Feedstock Breakdown'!BW$3*'Feedstock Conversion Rates'!$B$4)/12-250+180</f>
        <v>1.875</v>
      </c>
      <c r="BX372" s="104">
        <f>('Renewable Diesel'!$Z381*'RD Feedstock Breakdown'!BX$3*'Feedstock Conversion Rates'!$B$5)/12</f>
        <v>7.2354166666666666</v>
      </c>
      <c r="BY372" s="104">
        <f>('Renewable Diesel'!$Z381*'RD Feedstock Breakdown'!BY$3*'Feedstock Conversion Rates'!$B$7)/12</f>
        <v>61.716666666666661</v>
      </c>
      <c r="BZ372" s="104">
        <f>('Renewable Diesel'!$Z381*'RD Feedstock Breakdown'!BZ$3*'Feedstock Conversion Rates'!$B$3)/12+250-180</f>
        <v>85.35250000000002</v>
      </c>
      <c r="CA372" s="106">
        <f t="shared" si="392"/>
        <v>156.17958333333334</v>
      </c>
      <c r="CB372" s="104">
        <f>('Renewable Diesel'!AA381*'Feedstock Conversion Rates'!B$4)/12</f>
        <v>191.25</v>
      </c>
      <c r="CC372" s="106">
        <f t="shared" si="376"/>
        <v>191.25</v>
      </c>
      <c r="CD372" s="104">
        <f>('Renewable Diesel'!$AB381*'RD Feedstock Breakdown'!CD$3*'Feedstock Conversion Rates'!$B$6)/12-15-5</f>
        <v>12.830000000000005</v>
      </c>
      <c r="CE372" s="104">
        <f>('Renewable Diesel'!$AB381*'RD Feedstock Breakdown'!CE$3*'Feedstock Conversion Rates'!$B$4)/12+15+5</f>
        <v>31.25</v>
      </c>
      <c r="CF372" s="106">
        <f t="shared" si="372"/>
        <v>44.080000000000005</v>
      </c>
      <c r="CG372" s="104">
        <f>('Renewable Diesel'!AD381*'Feedstock Conversion Rates'!B$4)/12</f>
        <v>112.5</v>
      </c>
      <c r="CH372" s="106">
        <f t="shared" si="358"/>
        <v>112.5</v>
      </c>
      <c r="CI372" s="104">
        <f>('Renewable Diesel'!$AE381*'RD Feedstock Breakdown'!CI$3*'Feedstock Conversion Rates'!$B$5)/12</f>
        <v>0.34604166666666664</v>
      </c>
      <c r="CJ372" s="104">
        <f>('Renewable Diesel'!$AE381*'RD Feedstock Breakdown'!CJ$3*'Feedstock Conversion Rates'!$B$4)/12</f>
        <v>0.34375</v>
      </c>
      <c r="CK372" s="106">
        <f t="shared" si="368"/>
        <v>0.68979166666666658</v>
      </c>
      <c r="CL372" s="104">
        <f>(((CL$3*'Renewable Diesel'!$AF381)*'Feedstock Conversion Rates'!$B$3)/12)</f>
        <v>91.78125</v>
      </c>
      <c r="CM372" s="104">
        <f>(((CM$3*'Renewable Diesel'!$AF381)*'Feedstock Conversion Rates'!$B$6)/12)</f>
        <v>53.739583333333336</v>
      </c>
      <c r="CN372" s="104">
        <f>(((CN$3*'Renewable Diesel'!$AF381)*'Feedstock Conversion Rates'!$B$4)/12)</f>
        <v>42.96875</v>
      </c>
      <c r="CO372" s="106">
        <f t="shared" si="360"/>
        <v>188.48958333333334</v>
      </c>
      <c r="CP372" s="104">
        <f>('Renewable Diesel'!$AG381*'RD Feedstock Breakdown'!CP$3*'Feedstock Conversion Rates'!$B$3)/12</f>
        <v>6.0075000000000003</v>
      </c>
      <c r="CQ372" s="104">
        <f>('Renewable Diesel'!$AG381*'RD Feedstock Breakdown'!CQ$3*'Feedstock Conversion Rates'!$B$6)/12</f>
        <v>3.5175000000000001</v>
      </c>
      <c r="CR372" s="104">
        <f>('Renewable Diesel'!$AG381*'RD Feedstock Breakdown'!CR$3*'Feedstock Conversion Rates'!$B$4)/12</f>
        <v>2.8125</v>
      </c>
      <c r="CS372" s="106">
        <f t="shared" si="397"/>
        <v>12.3375</v>
      </c>
      <c r="CT372" s="104">
        <f>('Renewable Diesel'!AI381*'Feedstock Conversion Rates'!$B$4*'RD Feedstock Breakdown'!$CT$3)/12</f>
        <v>29.375</v>
      </c>
      <c r="CU372" s="106">
        <f t="shared" si="364"/>
        <v>29.375</v>
      </c>
      <c r="CV372" s="104">
        <f>('Renewable Diesel'!AN381*'Feedstock Conversion Rates'!$B$3*'RD Feedstock Breakdown'!$CV$3)/12</f>
        <v>0.50062499999999999</v>
      </c>
      <c r="CW372" s="106">
        <f t="shared" si="338"/>
        <v>0.50062499999999999</v>
      </c>
      <c r="CX372" s="104">
        <f>('Renewable Diesel'!AO381*'RD Feedstock Breakdown'!$CX$3*'Feedstock Conversion Rates'!$B$3)/12</f>
        <v>6.3412499999999996</v>
      </c>
      <c r="CY372" s="104">
        <f>('Renewable Diesel'!AO381*'RD Feedstock Breakdown'!$CY$3*'Feedstock Conversion Rates'!$B$6)/12</f>
        <v>7.4258333333333342</v>
      </c>
      <c r="CZ372" s="106">
        <f t="shared" si="398"/>
        <v>13.767083333333334</v>
      </c>
      <c r="DA372" s="104">
        <f>('Renewable Diesel'!$AP381*'RD Feedstock Breakdown'!DA$3*'Feedstock Conversion Rates'!$B$3)/12</f>
        <v>6.3412499999999996</v>
      </c>
      <c r="DB372" s="104">
        <f>('Renewable Diesel'!$AP381*'RD Feedstock Breakdown'!DB$3*'Feedstock Conversion Rates'!$B$8)/12</f>
        <v>7.421875</v>
      </c>
      <c r="DC372" s="106">
        <f t="shared" si="342"/>
        <v>13.763124999999999</v>
      </c>
      <c r="DD372" s="104">
        <f>('Renewable Diesel'!AQ381*$DD$3*'Feedstock Conversion Rates'!$B$14)/12</f>
        <v>3.1041666666666665</v>
      </c>
      <c r="DE372" s="106">
        <f t="shared" si="343"/>
        <v>3.1041666666666665</v>
      </c>
      <c r="DF372" s="104">
        <f>('Renewable Diesel'!AR381*'Feedstock Conversion Rates'!$B$4*$DF$3)/12</f>
        <v>75</v>
      </c>
      <c r="DG372" s="106">
        <f t="shared" si="399"/>
        <v>75</v>
      </c>
      <c r="DH372" s="104">
        <f>('Renewable Diesel'!AS381*'Feedstock Conversion Rates'!$B$4*$DH$3)/12</f>
        <v>75</v>
      </c>
      <c r="DI372" s="106">
        <f t="shared" si="323"/>
        <v>75</v>
      </c>
      <c r="DJ372" s="104">
        <f>('Renewable Diesel'!AT381*'Feedstock Conversion Rates'!$B$4*0.25)/12</f>
        <v>8.59375</v>
      </c>
      <c r="DK372" s="104">
        <f>('Renewable Diesel'!$AT381*'RD Feedstock Breakdown'!DK$3*'Feedstock Conversion Rates'!$B$3)/12*0.5</f>
        <v>9.1781249999999996</v>
      </c>
      <c r="DL372" s="104">
        <f>('Renewable Diesel'!$AT381*'RD Feedstock Breakdown'!$DL$3*'Feedstock Conversion Rates'!$B$6)/12</f>
        <v>10.747916666666669</v>
      </c>
      <c r="DM372" s="104">
        <f>('Renewable Diesel'!$AT381*'RD Feedstock Breakdown'!$DM$3*'Feedstock Conversion Rates'!$B$8)/12</f>
        <v>10.7421875</v>
      </c>
      <c r="DN372" s="106">
        <f t="shared" si="375"/>
        <v>39.26197916666667</v>
      </c>
      <c r="DP372" s="104">
        <f t="shared" si="345"/>
        <v>103.22025000000001</v>
      </c>
      <c r="DQ372" s="104">
        <f t="shared" si="346"/>
        <v>349.11776750000007</v>
      </c>
      <c r="DR372" s="104">
        <f t="shared" si="351"/>
        <v>1891.953125</v>
      </c>
      <c r="DS372" s="104">
        <f t="shared" si="365"/>
        <v>228.90125</v>
      </c>
      <c r="DT372" s="104">
        <f t="shared" si="347"/>
        <v>243.03923333333344</v>
      </c>
      <c r="DU372" s="104">
        <f t="shared" si="348"/>
        <v>402.90610000000009</v>
      </c>
      <c r="DV372" s="104">
        <f t="shared" si="352"/>
        <v>78.75</v>
      </c>
      <c r="DW372" s="104">
        <f t="shared" si="349"/>
        <v>3</v>
      </c>
      <c r="DX372" s="106">
        <f t="shared" si="353"/>
        <v>3300.8877258333337</v>
      </c>
      <c r="DY372" s="109">
        <f t="shared" si="340"/>
        <v>-5.631051180898794E-13</v>
      </c>
      <c r="EA372" s="110">
        <f t="shared" si="393"/>
        <v>3.1270451640078516E-2</v>
      </c>
      <c r="EB372" s="110">
        <f t="shared" si="393"/>
        <v>0.10576481131658687</v>
      </c>
      <c r="EC372" s="110">
        <f t="shared" si="393"/>
        <v>0.57316494293133291</v>
      </c>
      <c r="ED372" s="110">
        <f t="shared" si="393"/>
        <v>6.9345360706629972E-2</v>
      </c>
      <c r="EE372" s="110">
        <f t="shared" si="393"/>
        <v>7.3628445896921982E-2</v>
      </c>
      <c r="EF372" s="110">
        <f t="shared" si="393"/>
        <v>0.1220599225010852</v>
      </c>
      <c r="EG372" s="110">
        <f t="shared" si="384"/>
        <v>2.3857218585075921E-2</v>
      </c>
      <c r="EH372" s="111">
        <f t="shared" si="354"/>
        <v>9.0884642228860647E-4</v>
      </c>
      <c r="EI372" s="110">
        <f>SUM(EA372:EG372)</f>
        <v>0.99909115357771139</v>
      </c>
      <c r="EK372" s="132">
        <f>(EA372*'Renewable Diesel'!BF381*'Feedstock Conversion Rates'!B$2)+FB372</f>
        <v>595.68446991307019</v>
      </c>
      <c r="EL372" s="132">
        <f>(EB372*'Renewable Diesel'!BF381*'Feedstock Conversion Rates'!B$3)+FC372</f>
        <v>1898.6150243677737</v>
      </c>
      <c r="EM372" s="132">
        <f>(EC372*'Renewable Diesel'!BF381*'Feedstock Conversion Rates'!B$4)+FD372</f>
        <v>9633.943188866424</v>
      </c>
      <c r="EN372" s="132">
        <f>(ED372*'Renewable Diesel'!BF381*'Feedstock Conversion Rates'!B$5)+FE372</f>
        <v>1173.3499559877207</v>
      </c>
      <c r="EO372" s="132">
        <f>(EE372*'Renewable Diesel'!BF381*'Feedstock Conversion Rates'!B$6)+FF372</f>
        <v>1547.7886953602324</v>
      </c>
      <c r="EP372" s="132">
        <f>(EF372*'Renewable Diesel'!BF381*'Feedstock Conversion Rates'!B$7)+FG372</f>
        <v>2516.6575023680293</v>
      </c>
      <c r="EQ372" s="132">
        <f>(EG372*'Renewable Diesel'!BF381*'Feedstock Conversion Rates'!B$8)+FH372</f>
        <v>501.24988305618751</v>
      </c>
      <c r="ER372" s="132">
        <f>(EH372*'Renewable Diesel'!BF381*'Feedstock Conversion Rates'!B$9)+FI372</f>
        <v>18.840630525032573</v>
      </c>
      <c r="ES372" s="132">
        <f t="shared" si="355"/>
        <v>17886.129350444469</v>
      </c>
      <c r="ET372" s="133">
        <f>ES372/'Renewable Diesel'!BF381</f>
        <v>17.595946481770664</v>
      </c>
      <c r="EW372" s="73">
        <f t="shared" si="386"/>
        <v>16712.765061001199</v>
      </c>
      <c r="EX372" s="73">
        <f t="shared" si="387"/>
        <v>10946.952657212945</v>
      </c>
      <c r="EY372" s="92">
        <f t="shared" si="341"/>
        <v>0.9343980876771355</v>
      </c>
      <c r="EZ372" s="92">
        <f t="shared" si="341"/>
        <v>0.6120358654870689</v>
      </c>
      <c r="FB372" s="102">
        <f>IF('Renewable Diesel'!$BG381&lt;1,0,(((('Renewable Diesel'!$BG381-1)*'Renewable Diesel'!$BF381)*'RD Feedstock Breakdown'!EA372)*'Feedstock Conversion Rates'!$B$2))</f>
        <v>325.50221973312239</v>
      </c>
      <c r="FC372" s="102">
        <f>IF('Renewable Diesel'!$BG381&lt;1,0,(((('Renewable Diesel'!$BG381-1)*'Renewable Diesel'!$BF381)*'RD Feedstock Breakdown'!EB372)*'Feedstock Conversion Rates'!$B$3))</f>
        <v>1037.4677133022344</v>
      </c>
      <c r="FD372" s="102">
        <f>IF('Renewable Diesel'!$BG381&lt;1,0,(((('Renewable Diesel'!$BG381-1)*'Renewable Diesel'!$BF381)*'RD Feedstock Breakdown'!EC372)*'Feedstock Conversion Rates'!$B$4))</f>
        <v>5264.3136612516391</v>
      </c>
      <c r="FE372" s="102">
        <f>IF('Renewable Diesel'!$BG381&lt;1,0,(((('Renewable Diesel'!$BG381-1)*'Renewable Diesel'!$BF381)*'RD Feedstock Breakdown'!ED372)*'Feedstock Conversion Rates'!$B$5))</f>
        <v>641.15825489541521</v>
      </c>
      <c r="FF372" s="102">
        <f>IF('Renewable Diesel'!$BG381&lt;1,0,(((('Renewable Diesel'!$BG381-1)*'Renewable Diesel'!$BF381)*'RD Feedstock Breakdown'!EE372)*'Feedstock Conversion Rates'!$B$6))</f>
        <v>845.76429546855786</v>
      </c>
      <c r="FG372" s="102">
        <f>IF('Renewable Diesel'!$BG381&lt;1,0,(((('Renewable Diesel'!$BG381-1)*'Renewable Diesel'!$BF381)*'RD Feedstock Breakdown'!EF372)*'Feedstock Conversion Rates'!$B$7))</f>
        <v>1375.1871077793148</v>
      </c>
      <c r="FH372" s="102">
        <f>IF('Renewable Diesel'!$BG381&lt;1,0,(((('Renewable Diesel'!$BG381-1)*'Renewable Diesel'!$BF381)*'RD Feedstock Breakdown'!EG372)*'Feedstock Conversion Rates'!$B$8))</f>
        <v>273.89995512148761</v>
      </c>
      <c r="FI372" s="102">
        <f>IF('Renewable Diesel'!$BG381&lt;1,0,(((('Renewable Diesel'!$BG381-1)*'Renewable Diesel'!$BF381)*'RD Feedstock Breakdown'!EH372)*'Feedstock Conversion Rates'!$B$9))</f>
        <v>10.295160217899722</v>
      </c>
      <c r="FJ372" s="102">
        <f t="shared" si="388"/>
        <v>9773.5883677696711</v>
      </c>
      <c r="GD372" s="91">
        <f>'Renewable Diesel'!BB381*0.32</f>
        <v>0</v>
      </c>
      <c r="GE372" s="91">
        <f>'Renewable Diesel'!BC381</f>
        <v>600.55125467594326</v>
      </c>
      <c r="GF372" s="91">
        <f>'Renewable Diesel'!BD381</f>
        <v>0</v>
      </c>
      <c r="GG372" s="91">
        <f t="shared" si="373"/>
        <v>600.55125467594326</v>
      </c>
      <c r="GH372" s="124">
        <v>1</v>
      </c>
      <c r="GI372" s="102">
        <f>$GG372*EA372*'Feedstock Conversion Rates'!$B$2</f>
        <v>159.62582621722677</v>
      </c>
      <c r="GJ372" s="102">
        <f>$GG372*EB372*'Feedstock Conversion Rates'!$B$3</f>
        <v>508.77269299529257</v>
      </c>
      <c r="GK372" s="102">
        <f>$GG372*EC372*'Feedstock Conversion Rates'!$B$4</f>
        <v>2581.6119421025805</v>
      </c>
      <c r="GL372" s="102">
        <f>$GG372*ED372*'Feedstock Conversion Rates'!$B$5</f>
        <v>314.42309750633473</v>
      </c>
      <c r="GM372" s="102">
        <f>$GG372*EE372*'Feedstock Conversion Rates'!$B$6</f>
        <v>414.76160918315651</v>
      </c>
      <c r="GN372" s="102">
        <f>$GG372*EF372*'Feedstock Conversion Rates'!$B$7</f>
        <v>674.38980435381097</v>
      </c>
      <c r="GO372" s="102">
        <f>$GG372*EG372*'Feedstock Conversion Rates'!$B$8</f>
        <v>134.32014894698978</v>
      </c>
      <c r="GP372" s="102">
        <f>$GG372*EH372*'Feedstock Conversion Rates'!B$9</f>
        <v>5.048731947721774</v>
      </c>
      <c r="GQ372" s="102">
        <f t="shared" si="356"/>
        <v>4792.9538532531133</v>
      </c>
      <c r="GT372" s="103">
        <f t="shared" si="389"/>
        <v>3.3304269372191893E-2</v>
      </c>
      <c r="GU372" s="103">
        <f t="shared" si="390"/>
        <v>0.10615013383656387</v>
      </c>
      <c r="GV372" s="103">
        <f t="shared" si="391"/>
        <v>0.53862649654979833</v>
      </c>
      <c r="GW372" s="103">
        <f t="shared" si="331"/>
        <v>6.5601110950176761E-2</v>
      </c>
      <c r="GX372" s="103">
        <f t="shared" si="331"/>
        <v>8.653569841938831E-2</v>
      </c>
      <c r="GY372" s="103">
        <f t="shared" si="331"/>
        <v>0.14070442257566984</v>
      </c>
      <c r="GZ372" s="103">
        <f t="shared" si="331"/>
        <v>2.8024502855545516E-2</v>
      </c>
      <c r="HA372" s="103">
        <f t="shared" si="331"/>
        <v>1.0533654406655838E-3</v>
      </c>
    </row>
    <row r="373" spans="1:209" x14ac:dyDescent="0.25">
      <c r="A373" s="96">
        <v>51775</v>
      </c>
      <c r="B373" s="104">
        <f>115.75+145+100+235+31.5-21-287-20-28-32-70-39-47+40+20-3-10-60-25-1</f>
        <v>44.25</v>
      </c>
      <c r="C373" s="104">
        <f t="shared" si="396"/>
        <v>49</v>
      </c>
      <c r="D373" s="104">
        <f>1+1</f>
        <v>2</v>
      </c>
      <c r="E373" s="104">
        <f>('Renewable Diesel'!B382*E$3*'Feedstock Conversion Rates'!$B$2)/12+26+13-100+27.5+39</f>
        <v>95.43</v>
      </c>
      <c r="F373" s="104">
        <f>('Renewable Diesel'!B382*'RD Feedstock Breakdown'!F$3*'Feedstock Conversion Rates'!B$8)/12+77+23-10-12-115.75+24+8</f>
        <v>48.15625</v>
      </c>
      <c r="G373" s="104">
        <f>('Renewable Diesel'!B382*'RD Feedstock Breakdown'!G$3*'Feedstock Conversion Rates'!B$7)/12+116.75-39-57.5-145-31.5+32+70-40+10+60</f>
        <v>151.90700000000004</v>
      </c>
      <c r="H373" s="104">
        <f>('Renewable Diesel'!B382*'RD Feedstock Breakdown'!H$3*'Feedstock Conversion Rates'!B$3)/12+67+10+12+3-235+20+47-20+25</f>
        <v>105.40022499999998</v>
      </c>
      <c r="I373" s="106">
        <f t="shared" si="370"/>
        <v>496.14347500000002</v>
      </c>
      <c r="J373" s="104">
        <f t="shared" si="332"/>
        <v>4</v>
      </c>
      <c r="K373" s="104"/>
      <c r="L373" s="104">
        <v>1</v>
      </c>
      <c r="M373" s="104">
        <f>('Renewable Diesel'!C382*'RD Feedstock Breakdown'!M$3*'Feedstock Conversion Rates'!B$2)/12</f>
        <v>7.7902500000000003</v>
      </c>
      <c r="N373" s="104">
        <f>('Renewable Diesel'!C382*'RD Feedstock Breakdown'!N$3*'Feedstock Conversion Rates'!B$8)/12</f>
        <v>3.671875</v>
      </c>
      <c r="O373" s="104">
        <f>('Renewable Diesel'!C382*'RD Feedstock Breakdown'!O$3*'Feedstock Conversion Rates'!B$7)/12</f>
        <v>11.9991</v>
      </c>
      <c r="P373" s="104">
        <f>('Renewable Diesel'!C382*'RD Feedstock Breakdown'!P$3*'Feedstock Conversion Rates'!B$3)/12</f>
        <v>10.4470425</v>
      </c>
      <c r="Q373" s="106">
        <f t="shared" si="379"/>
        <v>38.908267500000001</v>
      </c>
      <c r="R373" s="104">
        <f>('Renewable Diesel'!D382*'RD Feedstock Breakdown'!R$3*'Feedstock Conversion Rates'!B$7)/12</f>
        <v>2.2999999999999998</v>
      </c>
      <c r="S373" s="106">
        <f t="shared" si="329"/>
        <v>2.2999999999999998</v>
      </c>
      <c r="T373" s="104">
        <f t="shared" si="380"/>
        <v>0.82499999999999929</v>
      </c>
      <c r="U373" s="104"/>
      <c r="V373" s="104">
        <f>('Renewable Diesel'!E382*'RD Feedstock Breakdown'!V$3*'Feedstock Conversion Rates'!B$6)/12-20+25</f>
        <v>49.250150000000012</v>
      </c>
      <c r="W373" s="104">
        <f>('Renewable Diesel'!E382*'RD Feedstock Breakdown'!W$3*'Feedstock Conversion Rates'!B$8)/12-6</f>
        <v>16.1796875</v>
      </c>
      <c r="X373" s="106">
        <f t="shared" si="357"/>
        <v>66.254837500000008</v>
      </c>
      <c r="Y373" s="104">
        <f t="shared" si="381"/>
        <v>98</v>
      </c>
      <c r="Z373" s="104">
        <f>('Renewable Diesel'!F382*'RD Feedstock Breakdown'!Z$3*'Feedstock Conversion Rates'!B$6)/12-142+15+5+20+5+15</f>
        <v>77.460000000000008</v>
      </c>
      <c r="AA373" s="104">
        <f>('Renewable Diesel'!F382*'RD Feedstock Breakdown'!AA$3*'Feedstock Conversion Rates'!B$7)/12+24</f>
        <v>128.26666666666665</v>
      </c>
      <c r="AB373" s="106">
        <f t="shared" si="400"/>
        <v>303.72666666666669</v>
      </c>
      <c r="AC373" s="104">
        <f>('Renewable Diesel'!G382*'RD Feedstock Breakdown'!AC$3*'Feedstock Conversion Rates'!B$5)/12</f>
        <v>11.796875</v>
      </c>
      <c r="AD373" s="104">
        <f>('Renewable Diesel'!G382*'RD Feedstock Breakdown'!AD$3*'Feedstock Conversion Rates'!B$4)/12</f>
        <v>5.859375</v>
      </c>
      <c r="AE373" s="104">
        <f>('Renewable Diesel'!G382*'RD Feedstock Breakdown'!AE$3*'Feedstock Conversion Rates'!B$6)/12</f>
        <v>7.3281250000000009</v>
      </c>
      <c r="AF373" s="106">
        <f t="shared" si="366"/>
        <v>24.984375</v>
      </c>
      <c r="AG373" s="104">
        <f t="shared" si="383"/>
        <v>148</v>
      </c>
      <c r="AH373" s="104"/>
      <c r="AI373" s="104">
        <f>('Renewable Diesel'!H382*'RD Feedstock Breakdown'!AI$3*'Feedstock Conversion Rates'!B$6)/12-130-20+51-49</f>
        <v>0.51666666666667993</v>
      </c>
      <c r="AJ373" s="106">
        <f t="shared" si="328"/>
        <v>148.51666666666668</v>
      </c>
      <c r="AK373" s="104">
        <f>('Renewable Diesel'!J382*'RD Feedstock Breakdown'!AK$3*'Feedstock Conversion Rates'!B$4)/12</f>
        <v>95.8125</v>
      </c>
      <c r="AL373" s="106">
        <f t="shared" si="330"/>
        <v>95.8125</v>
      </c>
      <c r="AM373" s="104">
        <f>('Renewable Diesel'!K382*'RD Feedstock Breakdown'!AM$3*'Feedstock Conversion Rates'!B$4)/12+5+15-10+10</f>
        <v>78.59375</v>
      </c>
      <c r="AN373" s="104">
        <f>('Renewable Diesel'!K382*'RD Feedstock Breakdown'!AN$3*'Feedstock Conversion Rates'!B$6)/12-5-15+10-10</f>
        <v>4.4270833333333321</v>
      </c>
      <c r="AO373" s="106">
        <f t="shared" si="350"/>
        <v>83.020833333333329</v>
      </c>
      <c r="AP373" s="104">
        <f>('Renewable Diesel'!L382*'RD Feedstock Breakdown'!AP$3*'Feedstock Conversion Rates'!B$4)/12+15-10+15</f>
        <v>78.59375</v>
      </c>
      <c r="AQ373" s="104">
        <f>('Renewable Diesel'!L382*'RD Feedstock Breakdown'!AQ$3*'Feedstock Conversion Rates'!B$6)/12-15+10-15</f>
        <v>4.4270833333333321</v>
      </c>
      <c r="AR373" s="106">
        <f t="shared" si="339"/>
        <v>83.020833333333329</v>
      </c>
      <c r="AS373" s="104">
        <f>('Renewable Diesel'!M382*'RD Feedstock Breakdown'!AS$3*'Feedstock Conversion Rates'!B$4)/12</f>
        <v>456.25</v>
      </c>
      <c r="AT373" s="104">
        <f>('Renewable Diesel'!M382*'RD Feedstock Breakdown'!AT$3*'Feedstock Conversion Rates'!B$5)/12</f>
        <v>0</v>
      </c>
      <c r="AU373" s="106">
        <f t="shared" si="369"/>
        <v>456.25</v>
      </c>
      <c r="AV373" s="104">
        <f>'Renewable Diesel'!N382*'RD Feedstock Breakdown'!$AV$3*'Feedstock Conversion Rates'!$B$4/12-15-10+25+25-22+25</f>
        <v>106.74999999999999</v>
      </c>
      <c r="AW373" s="104">
        <f>'Renewable Diesel'!N382*'RD Feedstock Breakdown'!$AW$3*'Feedstock Conversion Rates'!$B$7/12+15+10-25-25+22-25</f>
        <v>13.400000000000006</v>
      </c>
      <c r="AX373" s="106">
        <f t="shared" si="322"/>
        <v>120.14999999999999</v>
      </c>
      <c r="AY373" s="104">
        <f>('Renewable Diesel'!O382*'RD Feedstock Breakdown'!AY$3*'Feedstock Conversion Rates'!B$4)/12</f>
        <v>210.9375</v>
      </c>
      <c r="AZ373" s="104">
        <f>('Renewable Diesel'!O382*'RD Feedstock Breakdown'!AZ$3*'Feedstock Conversion Rates'!B$3)/12</f>
        <v>25.03125</v>
      </c>
      <c r="BA373" s="106">
        <f t="shared" si="382"/>
        <v>235.96875</v>
      </c>
      <c r="BB373" s="104">
        <f>('Renewable Diesel'!Q382*'RD Feedstock Breakdown'!BB$3*'Feedstock Conversion Rates'!B$4)/12</f>
        <v>11.156249999999998</v>
      </c>
      <c r="BC373" s="104">
        <f>('Renewable Diesel'!Q382*'RD Feedstock Breakdown'!BC$3*'Feedstock Conversion Rates'!B$3)/12</f>
        <v>1.4017500000000001</v>
      </c>
      <c r="BD373" s="104">
        <f>('Renewable Diesel'!Q382*'RD Feedstock Breakdown'!BD$3*'Feedstock Conversion Rates'!B$6)/12</f>
        <v>0.8207500000000002</v>
      </c>
      <c r="BE373" s="106">
        <f t="shared" si="359"/>
        <v>13.378749999999998</v>
      </c>
      <c r="BF373" s="104">
        <f>('Renewable Diesel'!R382*'RD Feedstock Breakdown'!BF$3*'Feedstock Conversion Rates'!B$4)/12</f>
        <v>62.5</v>
      </c>
      <c r="BG373" s="106">
        <f t="shared" si="344"/>
        <v>62.5</v>
      </c>
      <c r="BH373" s="104">
        <f>('Renewable Diesel'!T382*'RD Feedstock Breakdown'!BH$3*'Feedstock Conversion Rates'!B$7)/12</f>
        <v>27.599999999999998</v>
      </c>
      <c r="BI373" s="106">
        <f t="shared" si="327"/>
        <v>27.599999999999998</v>
      </c>
      <c r="BJ373" s="104">
        <f>('Renewable Diesel'!W382*'RD Feedstock Breakdown'!BJ$3*'Feedstock Conversion Rates'!B$4)/12</f>
        <v>7.5</v>
      </c>
      <c r="BK373" s="104">
        <f>('Renewable Diesel'!W382*'RD Feedstock Breakdown'!BK$3*'Feedstock Conversion Rates'!B$3)/12</f>
        <v>1.335</v>
      </c>
      <c r="BL373" s="104">
        <f>('Renewable Diesel'!W382*'RD Feedstock Breakdown'!BL$3*'Feedstock Conversion Rates'!B$6)/12</f>
        <v>3.1266666666666669</v>
      </c>
      <c r="BM373" s="104">
        <f>('Renewable Diesel'!W382*'RD Feedstock Breakdown'!BM$3*'Feedstock Conversion Rates'!B$7)/12</f>
        <v>1.5333333333333332</v>
      </c>
      <c r="BN373" s="106">
        <f t="shared" si="374"/>
        <v>13.495000000000001</v>
      </c>
      <c r="BO373" s="104">
        <f>('Renewable Diesel'!P382*'Feedstock Conversion Rates'!B$4)/12</f>
        <v>31.25</v>
      </c>
      <c r="BP373" s="106">
        <f t="shared" si="367"/>
        <v>31.25</v>
      </c>
      <c r="BQ373" s="104">
        <f>('Renewable Diesel'!$S382*'RD Feedstock Breakdown'!BQ$3*'Feedstock Conversion Rates'!B$4)/12+10+15-15</f>
        <v>38.125</v>
      </c>
      <c r="BR373" s="104">
        <f>('Renewable Diesel'!$S382*'RD Feedstock Breakdown'!BR$3*'Feedstock Conversion Rates'!B$7)/12-10-15+15</f>
        <v>1.5</v>
      </c>
      <c r="BS373" s="106">
        <f t="shared" si="385"/>
        <v>39.625</v>
      </c>
      <c r="BT373" s="106"/>
      <c r="BU373" s="104">
        <f>('Renewable Diesel'!Y382*'Feedstock Conversion Rates'!B$7)/12</f>
        <v>2.6833333333333331</v>
      </c>
      <c r="BV373" s="106">
        <f t="shared" si="361"/>
        <v>2.6833333333333331</v>
      </c>
      <c r="BW373" s="104">
        <f>('Renewable Diesel'!$Z382*'RD Feedstock Breakdown'!BW$3*'Feedstock Conversion Rates'!$B$4)/12-250+180</f>
        <v>1.875</v>
      </c>
      <c r="BX373" s="104">
        <f>('Renewable Diesel'!$Z382*'RD Feedstock Breakdown'!BX$3*'Feedstock Conversion Rates'!$B$5)/12</f>
        <v>7.2354166666666666</v>
      </c>
      <c r="BY373" s="104">
        <f>('Renewable Diesel'!$Z382*'RD Feedstock Breakdown'!BY$3*'Feedstock Conversion Rates'!$B$7)/12</f>
        <v>61.716666666666661</v>
      </c>
      <c r="BZ373" s="104">
        <f>('Renewable Diesel'!$Z382*'RD Feedstock Breakdown'!BZ$3*'Feedstock Conversion Rates'!$B$3)/12+250-180</f>
        <v>85.35250000000002</v>
      </c>
      <c r="CA373" s="106">
        <f t="shared" si="392"/>
        <v>156.17958333333334</v>
      </c>
      <c r="CB373" s="104">
        <f>('Renewable Diesel'!AA382*'Feedstock Conversion Rates'!B$4)/12</f>
        <v>191.25</v>
      </c>
      <c r="CC373" s="106">
        <f t="shared" si="376"/>
        <v>191.25</v>
      </c>
      <c r="CD373" s="104">
        <f>('Renewable Diesel'!$AB382*'RD Feedstock Breakdown'!CD$3*'Feedstock Conversion Rates'!$B$6)/12-15-5</f>
        <v>12.830000000000005</v>
      </c>
      <c r="CE373" s="104">
        <f>('Renewable Diesel'!$AB382*'RD Feedstock Breakdown'!CE$3*'Feedstock Conversion Rates'!$B$4)/12+15+5</f>
        <v>31.25</v>
      </c>
      <c r="CF373" s="106">
        <f t="shared" si="372"/>
        <v>44.080000000000005</v>
      </c>
      <c r="CG373" s="104">
        <f>('Renewable Diesel'!AD382*'Feedstock Conversion Rates'!B$4)/12</f>
        <v>112.5</v>
      </c>
      <c r="CH373" s="106">
        <f t="shared" si="358"/>
        <v>112.5</v>
      </c>
      <c r="CI373" s="104">
        <f>('Renewable Diesel'!$AE382*'RD Feedstock Breakdown'!CI$3*'Feedstock Conversion Rates'!$B$5)/12</f>
        <v>0.34604166666666664</v>
      </c>
      <c r="CJ373" s="104">
        <f>('Renewable Diesel'!$AE382*'RD Feedstock Breakdown'!CJ$3*'Feedstock Conversion Rates'!$B$4)/12</f>
        <v>0.34375</v>
      </c>
      <c r="CK373" s="106">
        <f t="shared" si="368"/>
        <v>0.68979166666666658</v>
      </c>
      <c r="CL373" s="104">
        <f>(((CL$3*'Renewable Diesel'!$AF382)*'Feedstock Conversion Rates'!$B$3)/12)</f>
        <v>91.78125</v>
      </c>
      <c r="CM373" s="104">
        <f>(((CM$3*'Renewable Diesel'!$AF382)*'Feedstock Conversion Rates'!$B$6)/12)</f>
        <v>53.739583333333336</v>
      </c>
      <c r="CN373" s="104">
        <f>(((CN$3*'Renewable Diesel'!$AF382)*'Feedstock Conversion Rates'!$B$4)/12)</f>
        <v>42.96875</v>
      </c>
      <c r="CO373" s="106">
        <f t="shared" si="360"/>
        <v>188.48958333333334</v>
      </c>
      <c r="CP373" s="104">
        <f>('Renewable Diesel'!$AG382*'RD Feedstock Breakdown'!CP$3*'Feedstock Conversion Rates'!$B$3)/12</f>
        <v>6.0075000000000003</v>
      </c>
      <c r="CQ373" s="104">
        <f>('Renewable Diesel'!$AG382*'RD Feedstock Breakdown'!CQ$3*'Feedstock Conversion Rates'!$B$6)/12</f>
        <v>3.5175000000000001</v>
      </c>
      <c r="CR373" s="104">
        <f>('Renewable Diesel'!$AG382*'RD Feedstock Breakdown'!CR$3*'Feedstock Conversion Rates'!$B$4)/12</f>
        <v>2.8125</v>
      </c>
      <c r="CS373" s="106">
        <f t="shared" si="397"/>
        <v>12.3375</v>
      </c>
      <c r="CT373" s="104">
        <f>('Renewable Diesel'!AI382*'Feedstock Conversion Rates'!$B$4*'RD Feedstock Breakdown'!$CT$3)/12</f>
        <v>29.375</v>
      </c>
      <c r="CU373" s="106">
        <f t="shared" si="364"/>
        <v>29.375</v>
      </c>
      <c r="CV373" s="104">
        <f>('Renewable Diesel'!AN382*'Feedstock Conversion Rates'!$B$3*'RD Feedstock Breakdown'!$CV$3)/12</f>
        <v>0.50062499999999999</v>
      </c>
      <c r="CW373" s="106">
        <f t="shared" si="338"/>
        <v>0.50062499999999999</v>
      </c>
      <c r="CX373" s="104">
        <f>('Renewable Diesel'!AO382*'RD Feedstock Breakdown'!$CX$3*'Feedstock Conversion Rates'!$B$3)/12</f>
        <v>6.3412499999999996</v>
      </c>
      <c r="CY373" s="104">
        <f>('Renewable Diesel'!AO382*'RD Feedstock Breakdown'!$CY$3*'Feedstock Conversion Rates'!$B$6)/12</f>
        <v>7.4258333333333342</v>
      </c>
      <c r="CZ373" s="106">
        <f t="shared" si="398"/>
        <v>13.767083333333334</v>
      </c>
      <c r="DA373" s="104">
        <f>('Renewable Diesel'!$AP382*'RD Feedstock Breakdown'!DA$3*'Feedstock Conversion Rates'!$B$3)/12</f>
        <v>6.3412499999999996</v>
      </c>
      <c r="DB373" s="104">
        <f>('Renewable Diesel'!$AP382*'RD Feedstock Breakdown'!DB$3*'Feedstock Conversion Rates'!$B$8)/12</f>
        <v>7.421875</v>
      </c>
      <c r="DC373" s="106">
        <f t="shared" si="342"/>
        <v>13.763124999999999</v>
      </c>
      <c r="DD373" s="104">
        <f>('Renewable Diesel'!AQ382*$DD$3*'Feedstock Conversion Rates'!$B$14)/12</f>
        <v>3.1041666666666665</v>
      </c>
      <c r="DE373" s="106">
        <f t="shared" si="343"/>
        <v>3.1041666666666665</v>
      </c>
      <c r="DF373" s="104">
        <f>('Renewable Diesel'!AR382*'Feedstock Conversion Rates'!$B$4*$DF$3)/12</f>
        <v>75</v>
      </c>
      <c r="DG373" s="106">
        <f t="shared" si="399"/>
        <v>75</v>
      </c>
      <c r="DH373" s="104">
        <f>('Renewable Diesel'!AS382*'Feedstock Conversion Rates'!$B$4*$DH$3)/12</f>
        <v>75</v>
      </c>
      <c r="DI373" s="106">
        <f t="shared" si="323"/>
        <v>75</v>
      </c>
      <c r="DJ373" s="104">
        <f>('Renewable Diesel'!AT382*'Feedstock Conversion Rates'!$B$4*0.25)/12</f>
        <v>8.59375</v>
      </c>
      <c r="DK373" s="104">
        <f>('Renewable Diesel'!$AT382*'RD Feedstock Breakdown'!DK$3*'Feedstock Conversion Rates'!$B$3)/12*0.5</f>
        <v>9.1781249999999996</v>
      </c>
      <c r="DL373" s="104">
        <f>('Renewable Diesel'!$AT382*'RD Feedstock Breakdown'!$DL$3*'Feedstock Conversion Rates'!$B$6)/12</f>
        <v>10.747916666666669</v>
      </c>
      <c r="DM373" s="104">
        <f>('Renewable Diesel'!$AT382*'RD Feedstock Breakdown'!$DM$3*'Feedstock Conversion Rates'!$B$8)/12</f>
        <v>10.7421875</v>
      </c>
      <c r="DN373" s="106">
        <f t="shared" si="375"/>
        <v>39.26197916666667</v>
      </c>
      <c r="DP373" s="104">
        <f t="shared" si="345"/>
        <v>103.22025000000001</v>
      </c>
      <c r="DQ373" s="104">
        <f t="shared" si="346"/>
        <v>349.11776750000007</v>
      </c>
      <c r="DR373" s="104">
        <f t="shared" si="351"/>
        <v>1891.953125</v>
      </c>
      <c r="DS373" s="104">
        <f t="shared" si="365"/>
        <v>228.90125</v>
      </c>
      <c r="DT373" s="104">
        <f t="shared" si="347"/>
        <v>243.03923333333344</v>
      </c>
      <c r="DU373" s="104">
        <f t="shared" si="348"/>
        <v>402.90610000000009</v>
      </c>
      <c r="DV373" s="104">
        <f t="shared" si="352"/>
        <v>78.75</v>
      </c>
      <c r="DW373" s="104">
        <f t="shared" si="349"/>
        <v>3</v>
      </c>
      <c r="DX373" s="106">
        <f t="shared" si="353"/>
        <v>3300.8877258333337</v>
      </c>
      <c r="DY373" s="109">
        <f t="shared" si="340"/>
        <v>-5.631051180898794E-13</v>
      </c>
      <c r="EA373" s="110">
        <f t="shared" si="393"/>
        <v>3.1270451640078516E-2</v>
      </c>
      <c r="EB373" s="110">
        <f t="shared" si="393"/>
        <v>0.10576481131658687</v>
      </c>
      <c r="EC373" s="110">
        <f t="shared" si="393"/>
        <v>0.57316494293133291</v>
      </c>
      <c r="ED373" s="110">
        <f t="shared" si="393"/>
        <v>6.9345360706629972E-2</v>
      </c>
      <c r="EE373" s="110">
        <f t="shared" si="393"/>
        <v>7.3628445896921982E-2</v>
      </c>
      <c r="EF373" s="110">
        <f t="shared" si="393"/>
        <v>0.1220599225010852</v>
      </c>
      <c r="EG373" s="110">
        <f t="shared" si="384"/>
        <v>2.3857218585075921E-2</v>
      </c>
      <c r="EH373" s="111">
        <f t="shared" si="354"/>
        <v>9.0884642228860647E-4</v>
      </c>
      <c r="EI373" s="110">
        <f>SUM(EA373:EG373)</f>
        <v>0.99909115357771139</v>
      </c>
      <c r="EK373" s="132">
        <f>(EA373*'Renewable Diesel'!BF382*'Feedstock Conversion Rates'!B$2)+FB373</f>
        <v>648.60292720170196</v>
      </c>
      <c r="EL373" s="132">
        <f>(EB373*'Renewable Diesel'!BF382*'Feedstock Conversion Rates'!B$3)+FC373</f>
        <v>2067.2811272279387</v>
      </c>
      <c r="EM373" s="132">
        <f>(EC373*'Renewable Diesel'!BF382*'Feedstock Conversion Rates'!B$4)+FD373</f>
        <v>10489.787913566954</v>
      </c>
      <c r="EN373" s="132">
        <f>(ED373*'Renewable Diesel'!BF382*'Feedstock Conversion Rates'!B$5)+FE373</f>
        <v>1277.5861291073852</v>
      </c>
      <c r="EO373" s="132">
        <f>(EE373*'Renewable Diesel'!BF382*'Feedstock Conversion Rates'!B$6)+FF373</f>
        <v>1685.2886539863159</v>
      </c>
      <c r="EP373" s="132">
        <f>(EF373*'Renewable Diesel'!BF382*'Feedstock Conversion Rates'!B$7)+FG373</f>
        <v>2740.228267220456</v>
      </c>
      <c r="EQ373" s="132">
        <f>(EG373*'Renewable Diesel'!BF382*'Feedstock Conversion Rates'!B$8)+FH373</f>
        <v>545.77911265203636</v>
      </c>
      <c r="ER373" s="132">
        <f>(EH373*'Renewable Diesel'!BF382*'Feedstock Conversion Rates'!B$9)+FI373</f>
        <v>20.514364107301937</v>
      </c>
      <c r="ES373" s="132">
        <f t="shared" si="355"/>
        <v>19475.068495070085</v>
      </c>
      <c r="ET373" s="133">
        <f>ES373/'Renewable Diesel'!BF382</f>
        <v>18.664405669625598</v>
      </c>
      <c r="EW373" s="73">
        <f t="shared" si="386"/>
        <v>18503.003799681599</v>
      </c>
      <c r="EX373" s="73">
        <f t="shared" si="387"/>
        <v>12119.568836876328</v>
      </c>
      <c r="EY373" s="92">
        <f t="shared" si="341"/>
        <v>0.95008671237102171</v>
      </c>
      <c r="EZ373" s="92">
        <f t="shared" si="341"/>
        <v>0.62231200059420966</v>
      </c>
      <c r="FB373" s="102">
        <f>IF('Renewable Diesel'!$BG382&lt;1,0,(((('Renewable Diesel'!$BG382-1)*'Renewable Diesel'!$BF382)*'RD Feedstock Breakdown'!EA373)*'Feedstock Conversion Rates'!$B$2))</f>
        <v>371.25948075573564</v>
      </c>
      <c r="FC373" s="102">
        <f>IF('Renewable Diesel'!$BG382&lt;1,0,(((('Renewable Diesel'!$BG382-1)*'Renewable Diesel'!$BF382)*'RD Feedstock Breakdown'!EB373)*'Feedstock Conversion Rates'!$B$3))</f>
        <v>1183.3090565625839</v>
      </c>
      <c r="FD373" s="102">
        <f>IF('Renewable Diesel'!$BG382&lt;1,0,(((('Renewable Diesel'!$BG382-1)*'Renewable Diesel'!$BF382)*'RD Feedstock Breakdown'!EC373)*'Feedstock Conversion Rates'!$B$4))</f>
        <v>6004.3411010039599</v>
      </c>
      <c r="FE373" s="102">
        <f>IF('Renewable Diesel'!$BG382&lt;1,0,(((('Renewable Diesel'!$BG382-1)*'Renewable Diesel'!$BF382)*'RD Feedstock Breakdown'!ED373)*'Feedstock Conversion Rates'!$B$5))</f>
        <v>731.28865600329857</v>
      </c>
      <c r="FF373" s="102">
        <f>IF('Renewable Diesel'!$BG382&lt;1,0,(((('Renewable Diesel'!$BG382-1)*'Renewable Diesel'!$BF382)*'RD Feedstock Breakdown'!EE373)*'Feedstock Conversion Rates'!$B$6))</f>
        <v>964.65705651667361</v>
      </c>
      <c r="FG373" s="102">
        <f>IF('Renewable Diesel'!$BG382&lt;1,0,(((('Renewable Diesel'!$BG382-1)*'Renewable Diesel'!$BF382)*'RD Feedstock Breakdown'!EF373)*'Feedstock Conversion Rates'!$B$7))</f>
        <v>1568.503133387934</v>
      </c>
      <c r="FH373" s="102">
        <f>IF('Renewable Diesel'!$BG382&lt;1,0,(((('Renewable Diesel'!$BG382-1)*'Renewable Diesel'!$BF382)*'RD Feedstock Breakdown'!EG373)*'Feedstock Conversion Rates'!$B$8))</f>
        <v>312.40326164533138</v>
      </c>
      <c r="FI373" s="102">
        <f>IF('Renewable Diesel'!$BG382&lt;1,0,(((('Renewable Diesel'!$BG382-1)*'Renewable Diesel'!$BF382)*'RD Feedstock Breakdown'!EH373)*'Feedstock Conversion Rates'!$B$9))</f>
        <v>11.742395612319756</v>
      </c>
      <c r="FJ373" s="102">
        <f t="shared" si="388"/>
        <v>11147.504141487838</v>
      </c>
      <c r="GD373" s="91">
        <f>'Renewable Diesel'!BB382*0.32</f>
        <v>0</v>
      </c>
      <c r="GE373" s="91">
        <f>'Renewable Diesel'!BC382</f>
        <v>586.37046775575391</v>
      </c>
      <c r="GF373" s="91">
        <f>'Renewable Diesel'!BD382</f>
        <v>0</v>
      </c>
      <c r="GG373" s="91">
        <f t="shared" si="373"/>
        <v>586.37046775575391</v>
      </c>
      <c r="GH373" s="124">
        <v>1</v>
      </c>
      <c r="GI373" s="102">
        <f>$GG373*EA373*'Feedstock Conversion Rates'!$B$2</f>
        <v>155.85658951857545</v>
      </c>
      <c r="GJ373" s="102">
        <f>$GG373*EB373*'Feedstock Conversion Rates'!$B$3</f>
        <v>496.75906868928683</v>
      </c>
      <c r="GK373" s="102">
        <f>$GG373*EC373*'Feedstock Conversion Rates'!$B$4</f>
        <v>2520.6524676588424</v>
      </c>
      <c r="GL373" s="102">
        <f>$GG373*ED373*'Feedstock Conversion Rates'!$B$5</f>
        <v>306.99864053649759</v>
      </c>
      <c r="GM373" s="102">
        <f>$GG373*EE373*'Feedstock Conversion Rates'!$B$6</f>
        <v>404.9678639254351</v>
      </c>
      <c r="GN373" s="102">
        <f>$GG373*EF373*'Feedstock Conversion Rates'!$B$7</f>
        <v>658.46547143096996</v>
      </c>
      <c r="GO373" s="102">
        <f>$GG373*EG373*'Feedstock Conversion Rates'!$B$8</f>
        <v>131.14845394764595</v>
      </c>
      <c r="GP373" s="102">
        <f>$GG373*EH373*'Feedstock Conversion Rates'!B$9</f>
        <v>4.929516491238501</v>
      </c>
      <c r="GQ373" s="102">
        <f t="shared" si="356"/>
        <v>4679.7780721984909</v>
      </c>
      <c r="GT373" s="103">
        <f t="shared" si="389"/>
        <v>3.3304269372191893E-2</v>
      </c>
      <c r="GU373" s="103">
        <f t="shared" si="390"/>
        <v>0.10615013383656388</v>
      </c>
      <c r="GV373" s="103">
        <f t="shared" si="391"/>
        <v>0.53862649654979822</v>
      </c>
      <c r="GW373" s="103">
        <f t="shared" si="331"/>
        <v>6.5601110950176789E-2</v>
      </c>
      <c r="GX373" s="103">
        <f t="shared" si="331"/>
        <v>8.6535698419388324E-2</v>
      </c>
      <c r="GY373" s="103">
        <f t="shared" si="331"/>
        <v>0.14070442257566984</v>
      </c>
      <c r="GZ373" s="103">
        <f t="shared" si="331"/>
        <v>2.8024502855545523E-2</v>
      </c>
      <c r="HA373" s="103">
        <f t="shared" si="331"/>
        <v>1.053365440665584E-3</v>
      </c>
    </row>
    <row r="374" spans="1:209" x14ac:dyDescent="0.25">
      <c r="A374" s="96">
        <v>51806</v>
      </c>
      <c r="B374" s="104">
        <f>115.75+145+100+235+31.5-21-287-20-28-32-70-39-47+40+20-3-10-60-25-1</f>
        <v>44.25</v>
      </c>
      <c r="C374" s="104">
        <f t="shared" si="396"/>
        <v>49</v>
      </c>
      <c r="D374" s="104">
        <f>1+1</f>
        <v>2</v>
      </c>
      <c r="E374" s="104">
        <f>('Renewable Diesel'!B383*E$3*'Feedstock Conversion Rates'!$B$2)/12+26+13-100+27.5+39</f>
        <v>95.43</v>
      </c>
      <c r="F374" s="104">
        <f>('Renewable Diesel'!B383*'RD Feedstock Breakdown'!F$3*'Feedstock Conversion Rates'!B$8)/12+77+23-10-12-115.75+24+8</f>
        <v>48.15625</v>
      </c>
      <c r="G374" s="104">
        <f>('Renewable Diesel'!B383*'RD Feedstock Breakdown'!G$3*'Feedstock Conversion Rates'!B$7)/12+116.75-39-57.5-145-31.5+32+70-40+10+60</f>
        <v>151.90700000000004</v>
      </c>
      <c r="H374" s="104">
        <f>('Renewable Diesel'!B383*'RD Feedstock Breakdown'!H$3*'Feedstock Conversion Rates'!B$3)/12+67+10+12+3-235+20+47-20+25</f>
        <v>105.40022499999998</v>
      </c>
      <c r="I374" s="106">
        <f t="shared" si="370"/>
        <v>496.14347500000002</v>
      </c>
      <c r="J374" s="104">
        <f t="shared" si="332"/>
        <v>4</v>
      </c>
      <c r="K374" s="104"/>
      <c r="L374" s="104">
        <v>1</v>
      </c>
      <c r="M374" s="104">
        <f>('Renewable Diesel'!C383*'RD Feedstock Breakdown'!M$3*'Feedstock Conversion Rates'!B$2)/12</f>
        <v>7.7902500000000003</v>
      </c>
      <c r="N374" s="104">
        <f>('Renewable Diesel'!C383*'RD Feedstock Breakdown'!N$3*'Feedstock Conversion Rates'!B$8)/12</f>
        <v>3.671875</v>
      </c>
      <c r="O374" s="104">
        <f>('Renewable Diesel'!C383*'RD Feedstock Breakdown'!O$3*'Feedstock Conversion Rates'!B$7)/12</f>
        <v>11.9991</v>
      </c>
      <c r="P374" s="104">
        <f>('Renewable Diesel'!C383*'RD Feedstock Breakdown'!P$3*'Feedstock Conversion Rates'!B$3)/12</f>
        <v>10.4470425</v>
      </c>
      <c r="Q374" s="106">
        <f t="shared" si="379"/>
        <v>38.908267500000001</v>
      </c>
      <c r="R374" s="104">
        <f>('Renewable Diesel'!D383*'RD Feedstock Breakdown'!R$3*'Feedstock Conversion Rates'!B$7)/12</f>
        <v>2.2999999999999998</v>
      </c>
      <c r="S374" s="106">
        <f t="shared" si="329"/>
        <v>2.2999999999999998</v>
      </c>
      <c r="T374" s="104">
        <f t="shared" si="380"/>
        <v>0.82499999999999929</v>
      </c>
      <c r="U374" s="104"/>
      <c r="V374" s="104">
        <f>('Renewable Diesel'!E383*'RD Feedstock Breakdown'!V$3*'Feedstock Conversion Rates'!B$6)/12-20+25</f>
        <v>49.250150000000012</v>
      </c>
      <c r="W374" s="104">
        <f>('Renewable Diesel'!E383*'RD Feedstock Breakdown'!W$3*'Feedstock Conversion Rates'!B$8)/12-6</f>
        <v>16.1796875</v>
      </c>
      <c r="X374" s="106">
        <f t="shared" si="357"/>
        <v>66.254837500000008</v>
      </c>
      <c r="Y374" s="104">
        <f t="shared" si="381"/>
        <v>98</v>
      </c>
      <c r="Z374" s="104">
        <f>('Renewable Diesel'!F383*'RD Feedstock Breakdown'!Z$3*'Feedstock Conversion Rates'!B$6)/12-142+15+5+20+5+15</f>
        <v>77.460000000000008</v>
      </c>
      <c r="AA374" s="104">
        <f>('Renewable Diesel'!F383*'RD Feedstock Breakdown'!AA$3*'Feedstock Conversion Rates'!B$7)/12+24</f>
        <v>128.26666666666665</v>
      </c>
      <c r="AB374" s="106">
        <f t="shared" si="400"/>
        <v>303.72666666666669</v>
      </c>
      <c r="AC374" s="104">
        <f>('Renewable Diesel'!G383*'RD Feedstock Breakdown'!AC$3*'Feedstock Conversion Rates'!B$5)/12</f>
        <v>11.796875</v>
      </c>
      <c r="AD374" s="104">
        <f>('Renewable Diesel'!G383*'RD Feedstock Breakdown'!AD$3*'Feedstock Conversion Rates'!B$4)/12</f>
        <v>5.859375</v>
      </c>
      <c r="AE374" s="104">
        <f>('Renewable Diesel'!G383*'RD Feedstock Breakdown'!AE$3*'Feedstock Conversion Rates'!B$6)/12</f>
        <v>7.3281250000000009</v>
      </c>
      <c r="AF374" s="106">
        <f t="shared" si="366"/>
        <v>24.984375</v>
      </c>
      <c r="AG374" s="104">
        <f t="shared" si="383"/>
        <v>148</v>
      </c>
      <c r="AH374" s="104"/>
      <c r="AI374" s="104">
        <f>('Renewable Diesel'!H383*'RD Feedstock Breakdown'!AI$3*'Feedstock Conversion Rates'!B$6)/12-130-20+51-49</f>
        <v>0.51666666666667993</v>
      </c>
      <c r="AJ374" s="106">
        <f t="shared" si="328"/>
        <v>148.51666666666668</v>
      </c>
      <c r="AK374" s="104">
        <f>('Renewable Diesel'!J383*'RD Feedstock Breakdown'!AK$3*'Feedstock Conversion Rates'!B$4)/12</f>
        <v>95.8125</v>
      </c>
      <c r="AL374" s="106">
        <f t="shared" si="330"/>
        <v>95.8125</v>
      </c>
      <c r="AM374" s="104">
        <f>('Renewable Diesel'!K383*'RD Feedstock Breakdown'!AM$3*'Feedstock Conversion Rates'!B$4)/12+5+15-10+10</f>
        <v>78.59375</v>
      </c>
      <c r="AN374" s="104">
        <f>('Renewable Diesel'!K383*'RD Feedstock Breakdown'!AN$3*'Feedstock Conversion Rates'!B$6)/12-5-15+10-10</f>
        <v>4.4270833333333321</v>
      </c>
      <c r="AO374" s="106">
        <f t="shared" si="350"/>
        <v>83.020833333333329</v>
      </c>
      <c r="AP374" s="104">
        <f>('Renewable Diesel'!L383*'RD Feedstock Breakdown'!AP$3*'Feedstock Conversion Rates'!B$4)/12+15-10+15</f>
        <v>78.59375</v>
      </c>
      <c r="AQ374" s="104">
        <f>('Renewable Diesel'!L383*'RD Feedstock Breakdown'!AQ$3*'Feedstock Conversion Rates'!B$6)/12-15+10-15</f>
        <v>4.4270833333333321</v>
      </c>
      <c r="AR374" s="106">
        <f t="shared" si="339"/>
        <v>83.020833333333329</v>
      </c>
      <c r="AS374" s="104">
        <f>('Renewable Diesel'!M383*'RD Feedstock Breakdown'!AS$3*'Feedstock Conversion Rates'!B$4)/12</f>
        <v>456.25</v>
      </c>
      <c r="AT374" s="104">
        <f>('Renewable Diesel'!M383*'RD Feedstock Breakdown'!AT$3*'Feedstock Conversion Rates'!B$5)/12</f>
        <v>0</v>
      </c>
      <c r="AU374" s="106">
        <f t="shared" si="369"/>
        <v>456.25</v>
      </c>
      <c r="AV374" s="104">
        <f>'Renewable Diesel'!N383*'RD Feedstock Breakdown'!$AV$3*'Feedstock Conversion Rates'!$B$4/12-15-10+25+25-22+25</f>
        <v>106.74999999999999</v>
      </c>
      <c r="AW374" s="104">
        <f>'Renewable Diesel'!N383*'RD Feedstock Breakdown'!$AW$3*'Feedstock Conversion Rates'!$B$7/12+15+10-25-25+22-25</f>
        <v>13.400000000000006</v>
      </c>
      <c r="AX374" s="106">
        <f t="shared" si="322"/>
        <v>120.14999999999999</v>
      </c>
      <c r="AY374" s="104">
        <f>('Renewable Diesel'!O383*'RD Feedstock Breakdown'!AY$3*'Feedstock Conversion Rates'!B$4)/12</f>
        <v>210.9375</v>
      </c>
      <c r="AZ374" s="104">
        <f>('Renewable Diesel'!O383*'RD Feedstock Breakdown'!AZ$3*'Feedstock Conversion Rates'!B$3)/12</f>
        <v>25.03125</v>
      </c>
      <c r="BA374" s="106">
        <f t="shared" si="382"/>
        <v>235.96875</v>
      </c>
      <c r="BB374" s="104">
        <f>('Renewable Diesel'!Q383*'RD Feedstock Breakdown'!BB$3*'Feedstock Conversion Rates'!B$4)/12</f>
        <v>11.156249999999998</v>
      </c>
      <c r="BC374" s="104">
        <f>('Renewable Diesel'!Q383*'RD Feedstock Breakdown'!BC$3*'Feedstock Conversion Rates'!B$3)/12</f>
        <v>1.4017500000000001</v>
      </c>
      <c r="BD374" s="104">
        <f>('Renewable Diesel'!Q383*'RD Feedstock Breakdown'!BD$3*'Feedstock Conversion Rates'!B$6)/12</f>
        <v>0.8207500000000002</v>
      </c>
      <c r="BE374" s="106">
        <f t="shared" si="359"/>
        <v>13.378749999999998</v>
      </c>
      <c r="BF374" s="104">
        <f>('Renewable Diesel'!R383*'RD Feedstock Breakdown'!BF$3*'Feedstock Conversion Rates'!B$4)/12</f>
        <v>62.5</v>
      </c>
      <c r="BG374" s="106">
        <f t="shared" si="344"/>
        <v>62.5</v>
      </c>
      <c r="BH374" s="104">
        <f>('Renewable Diesel'!T383*'RD Feedstock Breakdown'!BH$3*'Feedstock Conversion Rates'!B$7)/12</f>
        <v>27.599999999999998</v>
      </c>
      <c r="BI374" s="106">
        <f t="shared" si="327"/>
        <v>27.599999999999998</v>
      </c>
      <c r="BJ374" s="104">
        <f>('Renewable Diesel'!W383*'RD Feedstock Breakdown'!BJ$3*'Feedstock Conversion Rates'!B$4)/12</f>
        <v>7.5</v>
      </c>
      <c r="BK374" s="104">
        <f>('Renewable Diesel'!W383*'RD Feedstock Breakdown'!BK$3*'Feedstock Conversion Rates'!B$3)/12</f>
        <v>1.335</v>
      </c>
      <c r="BL374" s="104">
        <f>('Renewable Diesel'!W383*'RD Feedstock Breakdown'!BL$3*'Feedstock Conversion Rates'!B$6)/12</f>
        <v>3.1266666666666669</v>
      </c>
      <c r="BM374" s="104">
        <f>('Renewable Diesel'!W383*'RD Feedstock Breakdown'!BM$3*'Feedstock Conversion Rates'!B$7)/12</f>
        <v>1.5333333333333332</v>
      </c>
      <c r="BN374" s="106">
        <f t="shared" si="374"/>
        <v>13.495000000000001</v>
      </c>
      <c r="BO374" s="104">
        <f>('Renewable Diesel'!P383*'Feedstock Conversion Rates'!B$4)/12</f>
        <v>31.25</v>
      </c>
      <c r="BP374" s="106">
        <f t="shared" si="367"/>
        <v>31.25</v>
      </c>
      <c r="BQ374" s="104">
        <f>('Renewable Diesel'!$S383*'RD Feedstock Breakdown'!BQ$3*'Feedstock Conversion Rates'!B$4)/12+10+15-15</f>
        <v>38.125</v>
      </c>
      <c r="BR374" s="104">
        <f>('Renewable Diesel'!$S383*'RD Feedstock Breakdown'!BR$3*'Feedstock Conversion Rates'!B$7)/12-10-15+15</f>
        <v>1.5</v>
      </c>
      <c r="BS374" s="106">
        <f t="shared" si="385"/>
        <v>39.625</v>
      </c>
      <c r="BT374" s="106"/>
      <c r="BU374" s="104">
        <f>('Renewable Diesel'!Y383*'Feedstock Conversion Rates'!B$7)/12</f>
        <v>2.6833333333333331</v>
      </c>
      <c r="BV374" s="106">
        <f t="shared" si="361"/>
        <v>2.6833333333333331</v>
      </c>
      <c r="BW374" s="104">
        <f>('Renewable Diesel'!$Z383*'RD Feedstock Breakdown'!BW$3*'Feedstock Conversion Rates'!$B$4)/12-250+180</f>
        <v>1.875</v>
      </c>
      <c r="BX374" s="104">
        <f>('Renewable Diesel'!$Z383*'RD Feedstock Breakdown'!BX$3*'Feedstock Conversion Rates'!$B$5)/12</f>
        <v>7.2354166666666666</v>
      </c>
      <c r="BY374" s="104">
        <f>('Renewable Diesel'!$Z383*'RD Feedstock Breakdown'!BY$3*'Feedstock Conversion Rates'!$B$7)/12</f>
        <v>61.716666666666661</v>
      </c>
      <c r="BZ374" s="104">
        <f>('Renewable Diesel'!$Z383*'RD Feedstock Breakdown'!BZ$3*'Feedstock Conversion Rates'!$B$3)/12+250-180</f>
        <v>85.35250000000002</v>
      </c>
      <c r="CA374" s="106">
        <f t="shared" si="392"/>
        <v>156.17958333333334</v>
      </c>
      <c r="CB374" s="104">
        <f>('Renewable Diesel'!AA383*'Feedstock Conversion Rates'!B$4)/12</f>
        <v>191.25</v>
      </c>
      <c r="CC374" s="106">
        <f t="shared" si="376"/>
        <v>191.25</v>
      </c>
      <c r="CD374" s="104">
        <f>('Renewable Diesel'!$AB383*'RD Feedstock Breakdown'!CD$3*'Feedstock Conversion Rates'!$B$6)/12-15-5</f>
        <v>12.830000000000005</v>
      </c>
      <c r="CE374" s="104">
        <f>('Renewable Diesel'!$AB383*'RD Feedstock Breakdown'!CE$3*'Feedstock Conversion Rates'!$B$4)/12+15+5</f>
        <v>31.25</v>
      </c>
      <c r="CF374" s="106">
        <f t="shared" si="372"/>
        <v>44.080000000000005</v>
      </c>
      <c r="CG374" s="104">
        <f>('Renewable Diesel'!AD383*'Feedstock Conversion Rates'!B$4)/12</f>
        <v>112.5</v>
      </c>
      <c r="CH374" s="106">
        <f t="shared" si="358"/>
        <v>112.5</v>
      </c>
      <c r="CI374" s="104">
        <f>('Renewable Diesel'!$AE383*'RD Feedstock Breakdown'!CI$3*'Feedstock Conversion Rates'!$B$5)/12</f>
        <v>0.34604166666666664</v>
      </c>
      <c r="CJ374" s="104">
        <f>('Renewable Diesel'!$AE383*'RD Feedstock Breakdown'!CJ$3*'Feedstock Conversion Rates'!$B$4)/12</f>
        <v>0.34375</v>
      </c>
      <c r="CK374" s="106">
        <f t="shared" si="368"/>
        <v>0.68979166666666658</v>
      </c>
      <c r="CL374" s="104">
        <f>(((CL$3*'Renewable Diesel'!$AF383)*'Feedstock Conversion Rates'!$B$3)/12)</f>
        <v>91.78125</v>
      </c>
      <c r="CM374" s="104">
        <f>(((CM$3*'Renewable Diesel'!$AF383)*'Feedstock Conversion Rates'!$B$6)/12)</f>
        <v>53.739583333333336</v>
      </c>
      <c r="CN374" s="104">
        <f>(((CN$3*'Renewable Diesel'!$AF383)*'Feedstock Conversion Rates'!$B$4)/12)</f>
        <v>42.96875</v>
      </c>
      <c r="CO374" s="106">
        <f t="shared" si="360"/>
        <v>188.48958333333334</v>
      </c>
      <c r="CP374" s="104">
        <f>('Renewable Diesel'!$AG383*'RD Feedstock Breakdown'!CP$3*'Feedstock Conversion Rates'!$B$3)/12</f>
        <v>6.0075000000000003</v>
      </c>
      <c r="CQ374" s="104">
        <f>('Renewable Diesel'!$AG383*'RD Feedstock Breakdown'!CQ$3*'Feedstock Conversion Rates'!$B$6)/12</f>
        <v>3.5175000000000001</v>
      </c>
      <c r="CR374" s="104">
        <f>('Renewable Diesel'!$AG383*'RD Feedstock Breakdown'!CR$3*'Feedstock Conversion Rates'!$B$4)/12</f>
        <v>2.8125</v>
      </c>
      <c r="CS374" s="106">
        <f t="shared" si="397"/>
        <v>12.3375</v>
      </c>
      <c r="CT374" s="104">
        <f>('Renewable Diesel'!AI383*'Feedstock Conversion Rates'!$B$4*'RD Feedstock Breakdown'!$CT$3)/12</f>
        <v>29.375</v>
      </c>
      <c r="CU374" s="106">
        <f t="shared" si="364"/>
        <v>29.375</v>
      </c>
      <c r="CV374" s="104">
        <f>('Renewable Diesel'!AN383*'Feedstock Conversion Rates'!$B$3*'RD Feedstock Breakdown'!$CV$3)/12</f>
        <v>0.50062499999999999</v>
      </c>
      <c r="CW374" s="106">
        <f t="shared" si="338"/>
        <v>0.50062499999999999</v>
      </c>
      <c r="CX374" s="104">
        <f>('Renewable Diesel'!AO383*'RD Feedstock Breakdown'!$CX$3*'Feedstock Conversion Rates'!$B$3)/12</f>
        <v>6.3412499999999996</v>
      </c>
      <c r="CY374" s="104">
        <f>('Renewable Diesel'!AO383*'RD Feedstock Breakdown'!$CY$3*'Feedstock Conversion Rates'!$B$6)/12</f>
        <v>7.4258333333333342</v>
      </c>
      <c r="CZ374" s="106">
        <f t="shared" si="398"/>
        <v>13.767083333333334</v>
      </c>
      <c r="DA374" s="104">
        <f>('Renewable Diesel'!$AP383*'RD Feedstock Breakdown'!DA$3*'Feedstock Conversion Rates'!$B$3)/12</f>
        <v>6.3412499999999996</v>
      </c>
      <c r="DB374" s="104">
        <f>('Renewable Diesel'!$AP383*'RD Feedstock Breakdown'!DB$3*'Feedstock Conversion Rates'!$B$8)/12</f>
        <v>7.421875</v>
      </c>
      <c r="DC374" s="106">
        <f t="shared" si="342"/>
        <v>13.763124999999999</v>
      </c>
      <c r="DD374" s="104">
        <f>('Renewable Diesel'!AQ383*$DD$3*'Feedstock Conversion Rates'!$B$14)/12</f>
        <v>3.1041666666666665</v>
      </c>
      <c r="DE374" s="106">
        <f t="shared" si="343"/>
        <v>3.1041666666666665</v>
      </c>
      <c r="DF374" s="104">
        <f>('Renewable Diesel'!AR383*'Feedstock Conversion Rates'!$B$4*$DF$3)/12</f>
        <v>75</v>
      </c>
      <c r="DG374" s="106">
        <f t="shared" si="399"/>
        <v>75</v>
      </c>
      <c r="DH374" s="104">
        <f>('Renewable Diesel'!AS383*'Feedstock Conversion Rates'!$B$4*$DH$3)/12</f>
        <v>75</v>
      </c>
      <c r="DI374" s="106">
        <f t="shared" si="323"/>
        <v>75</v>
      </c>
      <c r="DJ374" s="104">
        <f>('Renewable Diesel'!AT383*'Feedstock Conversion Rates'!$B$4*0.25)/12</f>
        <v>8.59375</v>
      </c>
      <c r="DK374" s="104">
        <f>('Renewable Diesel'!$AT383*'RD Feedstock Breakdown'!DK$3*'Feedstock Conversion Rates'!$B$3)/12*0.5</f>
        <v>9.1781249999999996</v>
      </c>
      <c r="DL374" s="104">
        <f>('Renewable Diesel'!$AT383*'RD Feedstock Breakdown'!$DL$3*'Feedstock Conversion Rates'!$B$6)/12</f>
        <v>10.747916666666669</v>
      </c>
      <c r="DM374" s="104">
        <f>('Renewable Diesel'!$AT383*'RD Feedstock Breakdown'!$DM$3*'Feedstock Conversion Rates'!$B$8)/12</f>
        <v>10.7421875</v>
      </c>
      <c r="DN374" s="106">
        <f t="shared" si="375"/>
        <v>39.26197916666667</v>
      </c>
      <c r="DP374" s="104">
        <f t="shared" si="345"/>
        <v>103.22025000000001</v>
      </c>
      <c r="DQ374" s="104">
        <f t="shared" si="346"/>
        <v>349.11776750000007</v>
      </c>
      <c r="DR374" s="104">
        <f t="shared" si="351"/>
        <v>1891.953125</v>
      </c>
      <c r="DS374" s="104">
        <f t="shared" si="365"/>
        <v>228.90125</v>
      </c>
      <c r="DT374" s="104">
        <f t="shared" si="347"/>
        <v>243.03923333333344</v>
      </c>
      <c r="DU374" s="104">
        <f t="shared" si="348"/>
        <v>402.90610000000009</v>
      </c>
      <c r="DV374" s="104">
        <f t="shared" si="352"/>
        <v>78.75</v>
      </c>
      <c r="DW374" s="104">
        <f t="shared" si="349"/>
        <v>3</v>
      </c>
      <c r="DX374" s="106">
        <f t="shared" si="353"/>
        <v>3300.8877258333337</v>
      </c>
      <c r="DY374" s="109">
        <f t="shared" si="340"/>
        <v>-5.631051180898794E-13</v>
      </c>
      <c r="EA374" s="110">
        <f t="shared" si="393"/>
        <v>3.1270451640078516E-2</v>
      </c>
      <c r="EB374" s="110">
        <f t="shared" si="393"/>
        <v>0.10576481131658687</v>
      </c>
      <c r="EC374" s="110">
        <f t="shared" si="393"/>
        <v>0.57316494293133291</v>
      </c>
      <c r="ED374" s="110">
        <f t="shared" si="393"/>
        <v>6.9345360706629972E-2</v>
      </c>
      <c r="EE374" s="110">
        <f t="shared" si="393"/>
        <v>7.3628445896921982E-2</v>
      </c>
      <c r="EF374" s="110">
        <f t="shared" si="393"/>
        <v>0.1220599225010852</v>
      </c>
      <c r="EG374" s="110">
        <f t="shared" si="384"/>
        <v>2.3857218585075921E-2</v>
      </c>
      <c r="EH374" s="111">
        <f t="shared" si="354"/>
        <v>9.0884642228860647E-4</v>
      </c>
      <c r="EI374" s="110">
        <f>SUM(EA374:EG374)</f>
        <v>0.99909115357771139</v>
      </c>
      <c r="EK374" s="132">
        <f>(EA374*'Renewable Diesel'!BF383*'Feedstock Conversion Rates'!B$2)+FB374</f>
        <v>651.06843054980641</v>
      </c>
      <c r="EL374" s="132">
        <f>(EB374*'Renewable Diesel'!BF383*'Feedstock Conversion Rates'!B$3)+FC374</f>
        <v>2075.1393843015594</v>
      </c>
      <c r="EM374" s="132">
        <f>(EC374*'Renewable Diesel'!BF383*'Feedstock Conversion Rates'!B$4)+FD374</f>
        <v>10529.66224366501</v>
      </c>
      <c r="EN374" s="132">
        <f>(ED374*'Renewable Diesel'!BF383*'Feedstock Conversion Rates'!B$5)+FE374</f>
        <v>1282.4425562783135</v>
      </c>
      <c r="EO374" s="132">
        <f>(EE374*'Renewable Diesel'!BF383*'Feedstock Conversion Rates'!B$6)+FF374</f>
        <v>1691.6948613046397</v>
      </c>
      <c r="EP374" s="132">
        <f>(EF374*'Renewable Diesel'!BF383*'Feedstock Conversion Rates'!B$7)+FG374</f>
        <v>2750.6445661362663</v>
      </c>
      <c r="EQ374" s="132">
        <f>(EG374*'Renewable Diesel'!BF383*'Feedstock Conversion Rates'!B$8)+FH374</f>
        <v>547.85375674187196</v>
      </c>
      <c r="ER374" s="132">
        <f>(EH374*'Renewable Diesel'!BF383*'Feedstock Conversion Rates'!B$9)+FI374</f>
        <v>20.592344380392898</v>
      </c>
      <c r="ES374" s="132">
        <f t="shared" si="355"/>
        <v>19549.09814335786</v>
      </c>
      <c r="ET374" s="133">
        <f>ES374/'Renewable Diesel'!BF383</f>
        <v>18.39576327596118</v>
      </c>
      <c r="EW374" s="73">
        <f t="shared" si="386"/>
        <v>18499.578024211231</v>
      </c>
      <c r="EX374" s="73">
        <f t="shared" si="387"/>
        <v>12117.324935178942</v>
      </c>
      <c r="EY374" s="92">
        <f t="shared" si="341"/>
        <v>0.94631362984367529</v>
      </c>
      <c r="EZ374" s="92">
        <f t="shared" si="341"/>
        <v>0.61984061087217013</v>
      </c>
      <c r="FB374" s="102">
        <f>IF('Renewable Diesel'!$BG383&lt;1,0,(((('Renewable Diesel'!$BG383-1)*'Renewable Diesel'!$BF383)*'RD Feedstock Breakdown'!EA374)*'Feedstock Conversion Rates'!$B$2))</f>
        <v>368.60515295198263</v>
      </c>
      <c r="FC374" s="102">
        <f>IF('Renewable Diesel'!$BG383&lt;1,0,(((('Renewable Diesel'!$BG383-1)*'Renewable Diesel'!$BF383)*'RD Feedstock Breakdown'!EB374)*'Feedstock Conversion Rates'!$B$3))</f>
        <v>1174.8489624987956</v>
      </c>
      <c r="FD374" s="102">
        <f>IF('Renewable Diesel'!$BG383&lt;1,0,(((('Renewable Diesel'!$BG383-1)*'Renewable Diesel'!$BF383)*'RD Feedstock Breakdown'!EC374)*'Feedstock Conversion Rates'!$B$4))</f>
        <v>5961.4129325564663</v>
      </c>
      <c r="FE374" s="102">
        <f>IF('Renewable Diesel'!$BG383&lt;1,0,(((('Renewable Diesel'!$BG383-1)*'Renewable Diesel'!$BF383)*'RD Feedstock Breakdown'!ED374)*'Feedstock Conversion Rates'!$B$5))</f>
        <v>726.06029171143609</v>
      </c>
      <c r="FF374" s="102">
        <f>IF('Renewable Diesel'!$BG383&lt;1,0,(((('Renewable Diesel'!$BG383-1)*'Renewable Diesel'!$BF383)*'RD Feedstock Breakdown'!EE374)*'Feedstock Conversion Rates'!$B$6))</f>
        <v>957.76021972482522</v>
      </c>
      <c r="FG374" s="102">
        <f>IF('Renewable Diesel'!$BG383&lt;1,0,(((('Renewable Diesel'!$BG383-1)*'Renewable Diesel'!$BF383)*'RD Feedstock Breakdown'!EF374)*'Feedstock Conversion Rates'!$B$7))</f>
        <v>1557.2890858200431</v>
      </c>
      <c r="FH374" s="102">
        <f>IF('Renewable Diesel'!$BG383&lt;1,0,(((('Renewable Diesel'!$BG383-1)*'Renewable Diesel'!$BF383)*'RD Feedstock Breakdown'!EG374)*'Feedstock Conversion Rates'!$B$8))</f>
        <v>310.16972767151788</v>
      </c>
      <c r="FI374" s="102">
        <f>IF('Renewable Diesel'!$BG383&lt;1,0,(((('Renewable Diesel'!$BG383-1)*'Renewable Diesel'!$BF383)*'RD Feedstock Breakdown'!EH374)*'Feedstock Conversion Rates'!$B$9))</f>
        <v>11.658443097240541</v>
      </c>
      <c r="FJ374" s="102">
        <f t="shared" si="388"/>
        <v>11067.804816032307</v>
      </c>
      <c r="GD374" s="91">
        <f>'Renewable Diesel'!BB383*0.32</f>
        <v>0</v>
      </c>
      <c r="GE374" s="91">
        <f>'Renewable Diesel'!BC383</f>
        <v>507.37406269245309</v>
      </c>
      <c r="GF374" s="91">
        <f>'Renewable Diesel'!BD383</f>
        <v>0</v>
      </c>
      <c r="GG374" s="91">
        <f t="shared" si="373"/>
        <v>507.37406269245309</v>
      </c>
      <c r="GH374" s="124">
        <v>1</v>
      </c>
      <c r="GI374" s="102">
        <f>$GG374*EA374*'Feedstock Conversion Rates'!$B$2</f>
        <v>134.85943677226342</v>
      </c>
      <c r="GJ374" s="102">
        <f>$GG374*EB374*'Feedstock Conversion Rates'!$B$3</f>
        <v>429.83519928085531</v>
      </c>
      <c r="GK374" s="102">
        <f>$GG374*EC374*'Feedstock Conversion Rates'!$B$4</f>
        <v>2181.067692659688</v>
      </c>
      <c r="GL374" s="102">
        <f>$GG374*ED374*'Feedstock Conversion Rates'!$B$5</f>
        <v>265.63948229900319</v>
      </c>
      <c r="GM374" s="102">
        <f>$GG374*EE374*'Feedstock Conversion Rates'!$B$6</f>
        <v>350.41019573536715</v>
      </c>
      <c r="GN374" s="102">
        <f>$GG374*EF374*'Feedstock Conversion Rates'!$B$7</f>
        <v>569.75635669597443</v>
      </c>
      <c r="GO374" s="102">
        <f>$GG374*EG374*'Feedstock Conversion Rates'!$B$8</f>
        <v>113.48000548173626</v>
      </c>
      <c r="GP374" s="102">
        <f>$GG374*EH374*'Feedstock Conversion Rates'!B$9</f>
        <v>4.2654071901706585</v>
      </c>
      <c r="GQ374" s="102">
        <f t="shared" si="356"/>
        <v>4049.3137761150583</v>
      </c>
      <c r="GT374" s="103">
        <f t="shared" si="389"/>
        <v>3.3304269372191886E-2</v>
      </c>
      <c r="GU374" s="103">
        <f t="shared" si="390"/>
        <v>0.10615013383656388</v>
      </c>
      <c r="GV374" s="103">
        <f t="shared" si="391"/>
        <v>0.53862649654979833</v>
      </c>
      <c r="GW374" s="103">
        <f t="shared" si="331"/>
        <v>6.5601110950176775E-2</v>
      </c>
      <c r="GX374" s="103">
        <f t="shared" si="331"/>
        <v>8.653569841938831E-2</v>
      </c>
      <c r="GY374" s="103">
        <f t="shared" si="331"/>
        <v>0.14070442257566981</v>
      </c>
      <c r="GZ374" s="103">
        <f t="shared" si="331"/>
        <v>2.8024502855545523E-2</v>
      </c>
      <c r="HA374" s="103">
        <f t="shared" si="331"/>
        <v>1.053365440665584E-3</v>
      </c>
    </row>
    <row r="375" spans="1:209" x14ac:dyDescent="0.25">
      <c r="A375" s="96">
        <v>51836</v>
      </c>
      <c r="B375" s="104">
        <f>115.75+145+100+235+31.5-21-287-20-28-32-70-39-47+40+20-3-10-60-25-1</f>
        <v>44.25</v>
      </c>
      <c r="C375" s="104">
        <f t="shared" si="396"/>
        <v>49</v>
      </c>
      <c r="D375" s="104">
        <f>1+1</f>
        <v>2</v>
      </c>
      <c r="E375" s="104">
        <f>('Renewable Diesel'!B384*E$3*'Feedstock Conversion Rates'!$B$2)/12+26+13-100+27.5+39</f>
        <v>95.43</v>
      </c>
      <c r="F375" s="104">
        <f>('Renewable Diesel'!B384*'RD Feedstock Breakdown'!F$3*'Feedstock Conversion Rates'!B$8)/12+77+23-10-12-115.75+24+8</f>
        <v>48.15625</v>
      </c>
      <c r="G375" s="104">
        <f>('Renewable Diesel'!B384*'RD Feedstock Breakdown'!G$3*'Feedstock Conversion Rates'!B$7)/12+116.75-39-57.5-145-31.5+32+70-40+10+60</f>
        <v>151.90700000000004</v>
      </c>
      <c r="H375" s="104">
        <f>('Renewable Diesel'!B384*'RD Feedstock Breakdown'!H$3*'Feedstock Conversion Rates'!B$3)/12+67+10+12+3-235+20+47-20+25</f>
        <v>105.40022499999998</v>
      </c>
      <c r="I375" s="106">
        <f t="shared" si="370"/>
        <v>496.14347500000002</v>
      </c>
      <c r="J375" s="104">
        <f t="shared" si="332"/>
        <v>4</v>
      </c>
      <c r="K375" s="104"/>
      <c r="L375" s="104">
        <v>1</v>
      </c>
      <c r="M375" s="104">
        <f>('Renewable Diesel'!C384*'RD Feedstock Breakdown'!M$3*'Feedstock Conversion Rates'!B$2)/12</f>
        <v>7.7902500000000003</v>
      </c>
      <c r="N375" s="104">
        <f>('Renewable Diesel'!C384*'RD Feedstock Breakdown'!N$3*'Feedstock Conversion Rates'!B$8)/12</f>
        <v>3.671875</v>
      </c>
      <c r="O375" s="104">
        <f>('Renewable Diesel'!C384*'RD Feedstock Breakdown'!O$3*'Feedstock Conversion Rates'!B$7)/12</f>
        <v>11.9991</v>
      </c>
      <c r="P375" s="104">
        <f>('Renewable Diesel'!C384*'RD Feedstock Breakdown'!P$3*'Feedstock Conversion Rates'!B$3)/12</f>
        <v>10.4470425</v>
      </c>
      <c r="Q375" s="106">
        <f t="shared" si="379"/>
        <v>38.908267500000001</v>
      </c>
      <c r="R375" s="104">
        <f>('Renewable Diesel'!D384*'RD Feedstock Breakdown'!R$3*'Feedstock Conversion Rates'!B$7)/12</f>
        <v>2.2999999999999998</v>
      </c>
      <c r="S375" s="106">
        <f t="shared" si="329"/>
        <v>2.2999999999999998</v>
      </c>
      <c r="T375" s="104">
        <f t="shared" si="380"/>
        <v>0.82499999999999929</v>
      </c>
      <c r="U375" s="104"/>
      <c r="V375" s="104">
        <f>('Renewable Diesel'!E384*'RD Feedstock Breakdown'!V$3*'Feedstock Conversion Rates'!B$6)/12-20+25</f>
        <v>49.250150000000012</v>
      </c>
      <c r="W375" s="104">
        <f>('Renewable Diesel'!E384*'RD Feedstock Breakdown'!W$3*'Feedstock Conversion Rates'!B$8)/12-6</f>
        <v>16.1796875</v>
      </c>
      <c r="X375" s="106">
        <f t="shared" si="357"/>
        <v>66.254837500000008</v>
      </c>
      <c r="Y375" s="104">
        <f t="shared" si="381"/>
        <v>98</v>
      </c>
      <c r="Z375" s="104">
        <f>('Renewable Diesel'!F384*'RD Feedstock Breakdown'!Z$3*'Feedstock Conversion Rates'!B$6)/12-142+15+5+20+5+15</f>
        <v>77.460000000000008</v>
      </c>
      <c r="AA375" s="104">
        <f>('Renewable Diesel'!F384*'RD Feedstock Breakdown'!AA$3*'Feedstock Conversion Rates'!B$7)/12+24</f>
        <v>128.26666666666665</v>
      </c>
      <c r="AB375" s="106">
        <f t="shared" si="400"/>
        <v>303.72666666666669</v>
      </c>
      <c r="AC375" s="104">
        <f>('Renewable Diesel'!G384*'RD Feedstock Breakdown'!AC$3*'Feedstock Conversion Rates'!B$5)/12</f>
        <v>11.796875</v>
      </c>
      <c r="AD375" s="104">
        <f>('Renewable Diesel'!G384*'RD Feedstock Breakdown'!AD$3*'Feedstock Conversion Rates'!B$4)/12</f>
        <v>5.859375</v>
      </c>
      <c r="AE375" s="104">
        <f>('Renewable Diesel'!G384*'RD Feedstock Breakdown'!AE$3*'Feedstock Conversion Rates'!B$6)/12</f>
        <v>7.3281250000000009</v>
      </c>
      <c r="AF375" s="106">
        <f t="shared" si="366"/>
        <v>24.984375</v>
      </c>
      <c r="AG375" s="104">
        <f t="shared" si="383"/>
        <v>148</v>
      </c>
      <c r="AH375" s="104"/>
      <c r="AI375" s="104">
        <f>('Renewable Diesel'!H384*'RD Feedstock Breakdown'!AI$3*'Feedstock Conversion Rates'!B$6)/12-130-20+51-49</f>
        <v>0.51666666666667993</v>
      </c>
      <c r="AJ375" s="106">
        <f t="shared" si="328"/>
        <v>148.51666666666668</v>
      </c>
      <c r="AK375" s="104">
        <f>('Renewable Diesel'!J384*'RD Feedstock Breakdown'!AK$3*'Feedstock Conversion Rates'!B$4)/12</f>
        <v>95.8125</v>
      </c>
      <c r="AL375" s="106">
        <f t="shared" si="330"/>
        <v>95.8125</v>
      </c>
      <c r="AM375" s="104">
        <f>('Renewable Diesel'!K384*'RD Feedstock Breakdown'!AM$3*'Feedstock Conversion Rates'!B$4)/12+5+15-10+10</f>
        <v>78.59375</v>
      </c>
      <c r="AN375" s="104">
        <f>('Renewable Diesel'!K384*'RD Feedstock Breakdown'!AN$3*'Feedstock Conversion Rates'!B$6)/12-5-15+10-10</f>
        <v>4.4270833333333321</v>
      </c>
      <c r="AO375" s="106">
        <f t="shared" si="350"/>
        <v>83.020833333333329</v>
      </c>
      <c r="AP375" s="104">
        <f>('Renewable Diesel'!L384*'RD Feedstock Breakdown'!AP$3*'Feedstock Conversion Rates'!B$4)/12+15-10+15</f>
        <v>78.59375</v>
      </c>
      <c r="AQ375" s="104">
        <f>('Renewable Diesel'!L384*'RD Feedstock Breakdown'!AQ$3*'Feedstock Conversion Rates'!B$6)/12-15+10-15</f>
        <v>4.4270833333333321</v>
      </c>
      <c r="AR375" s="106">
        <f t="shared" si="339"/>
        <v>83.020833333333329</v>
      </c>
      <c r="AS375" s="104">
        <f>('Renewable Diesel'!M384*'RD Feedstock Breakdown'!AS$3*'Feedstock Conversion Rates'!B$4)/12</f>
        <v>456.25</v>
      </c>
      <c r="AT375" s="104">
        <f>('Renewable Diesel'!M384*'RD Feedstock Breakdown'!AT$3*'Feedstock Conversion Rates'!B$5)/12</f>
        <v>0</v>
      </c>
      <c r="AU375" s="106">
        <f t="shared" si="369"/>
        <v>456.25</v>
      </c>
      <c r="AV375" s="104">
        <f>'Renewable Diesel'!N384*'RD Feedstock Breakdown'!$AV$3*'Feedstock Conversion Rates'!$B$4/12-15-10+25+25-22+25</f>
        <v>106.74999999999999</v>
      </c>
      <c r="AW375" s="104">
        <f>'Renewable Diesel'!N384*'RD Feedstock Breakdown'!$AW$3*'Feedstock Conversion Rates'!$B$7/12+15+10-25-25+22-25</f>
        <v>13.400000000000006</v>
      </c>
      <c r="AX375" s="106">
        <f>SUM(AV375:AW375)</f>
        <v>120.14999999999999</v>
      </c>
      <c r="AY375" s="104">
        <f>('Renewable Diesel'!O384*'RD Feedstock Breakdown'!AY$3*'Feedstock Conversion Rates'!B$4)/12</f>
        <v>210.9375</v>
      </c>
      <c r="AZ375" s="104">
        <f>('Renewable Diesel'!O384*'RD Feedstock Breakdown'!AZ$3*'Feedstock Conversion Rates'!B$3)/12</f>
        <v>25.03125</v>
      </c>
      <c r="BA375" s="106">
        <f t="shared" si="382"/>
        <v>235.96875</v>
      </c>
      <c r="BB375" s="104">
        <f>('Renewable Diesel'!Q384*'RD Feedstock Breakdown'!BB$3*'Feedstock Conversion Rates'!B$4)/12</f>
        <v>11.156249999999998</v>
      </c>
      <c r="BC375" s="104">
        <f>('Renewable Diesel'!Q384*'RD Feedstock Breakdown'!BC$3*'Feedstock Conversion Rates'!B$3)/12</f>
        <v>1.4017500000000001</v>
      </c>
      <c r="BD375" s="104">
        <f>('Renewable Diesel'!Q384*'RD Feedstock Breakdown'!BD$3*'Feedstock Conversion Rates'!B$6)/12</f>
        <v>0.8207500000000002</v>
      </c>
      <c r="BE375" s="106">
        <f t="shared" si="359"/>
        <v>13.378749999999998</v>
      </c>
      <c r="BF375" s="104">
        <f>('Renewable Diesel'!R384*'RD Feedstock Breakdown'!BF$3*'Feedstock Conversion Rates'!B$4)/12</f>
        <v>62.5</v>
      </c>
      <c r="BG375" s="106">
        <f t="shared" si="344"/>
        <v>62.5</v>
      </c>
      <c r="BH375" s="104">
        <f>('Renewable Diesel'!T384*'RD Feedstock Breakdown'!BH$3*'Feedstock Conversion Rates'!B$7)/12</f>
        <v>27.599999999999998</v>
      </c>
      <c r="BI375" s="106">
        <f t="shared" si="327"/>
        <v>27.599999999999998</v>
      </c>
      <c r="BJ375" s="104">
        <f>('Renewable Diesel'!W384*'RD Feedstock Breakdown'!BJ$3*'Feedstock Conversion Rates'!B$4)/12</f>
        <v>7.5</v>
      </c>
      <c r="BK375" s="104">
        <f>('Renewable Diesel'!W384*'RD Feedstock Breakdown'!BK$3*'Feedstock Conversion Rates'!B$3)/12</f>
        <v>1.335</v>
      </c>
      <c r="BL375" s="104">
        <f>('Renewable Diesel'!W384*'RD Feedstock Breakdown'!BL$3*'Feedstock Conversion Rates'!B$6)/12</f>
        <v>3.1266666666666669</v>
      </c>
      <c r="BM375" s="104">
        <f>('Renewable Diesel'!W384*'RD Feedstock Breakdown'!BM$3*'Feedstock Conversion Rates'!B$7)/12</f>
        <v>1.5333333333333332</v>
      </c>
      <c r="BN375" s="106">
        <f t="shared" si="374"/>
        <v>13.495000000000001</v>
      </c>
      <c r="BO375" s="104">
        <f>('Renewable Diesel'!P384*'Feedstock Conversion Rates'!B$4)/12</f>
        <v>31.25</v>
      </c>
      <c r="BP375" s="106">
        <f t="shared" si="367"/>
        <v>31.25</v>
      </c>
      <c r="BQ375" s="104">
        <f>('Renewable Diesel'!$S384*'RD Feedstock Breakdown'!BQ$3*'Feedstock Conversion Rates'!B$4)/12+10+15-15</f>
        <v>38.125</v>
      </c>
      <c r="BR375" s="104">
        <f>('Renewable Diesel'!$S384*'RD Feedstock Breakdown'!BR$3*'Feedstock Conversion Rates'!B$7)/12-10-15+15</f>
        <v>1.5</v>
      </c>
      <c r="BS375" s="106">
        <f t="shared" si="385"/>
        <v>39.625</v>
      </c>
      <c r="BT375" s="106"/>
      <c r="BU375" s="104">
        <f>('Renewable Diesel'!Y384*'Feedstock Conversion Rates'!B$7)/12</f>
        <v>2.6833333333333331</v>
      </c>
      <c r="BV375" s="106">
        <f t="shared" si="361"/>
        <v>2.6833333333333331</v>
      </c>
      <c r="BW375" s="104">
        <f>('Renewable Diesel'!$Z384*'RD Feedstock Breakdown'!BW$3*'Feedstock Conversion Rates'!$B$4)/12-250+180</f>
        <v>1.875</v>
      </c>
      <c r="BX375" s="104">
        <f>('Renewable Diesel'!$Z384*'RD Feedstock Breakdown'!BX$3*'Feedstock Conversion Rates'!$B$5)/12</f>
        <v>7.2354166666666666</v>
      </c>
      <c r="BY375" s="104">
        <f>('Renewable Diesel'!$Z384*'RD Feedstock Breakdown'!BY$3*'Feedstock Conversion Rates'!$B$7)/12</f>
        <v>61.716666666666661</v>
      </c>
      <c r="BZ375" s="104">
        <f>('Renewable Diesel'!$Z384*'RD Feedstock Breakdown'!BZ$3*'Feedstock Conversion Rates'!$B$3)/12+250-180</f>
        <v>85.35250000000002</v>
      </c>
      <c r="CA375" s="106">
        <f t="shared" si="392"/>
        <v>156.17958333333334</v>
      </c>
      <c r="CB375" s="104">
        <f>('Renewable Diesel'!AA384*'Feedstock Conversion Rates'!B$4)/12</f>
        <v>191.25</v>
      </c>
      <c r="CC375" s="106">
        <f t="shared" si="376"/>
        <v>191.25</v>
      </c>
      <c r="CD375" s="104">
        <f>('Renewable Diesel'!$AB384*'RD Feedstock Breakdown'!CD$3*'Feedstock Conversion Rates'!$B$6)/12-15-5</f>
        <v>12.830000000000005</v>
      </c>
      <c r="CE375" s="104">
        <f>('Renewable Diesel'!$AB384*'RD Feedstock Breakdown'!CE$3*'Feedstock Conversion Rates'!$B$4)/12+15+5</f>
        <v>31.25</v>
      </c>
      <c r="CF375" s="106">
        <f t="shared" si="372"/>
        <v>44.080000000000005</v>
      </c>
      <c r="CG375" s="104">
        <f>('Renewable Diesel'!AD384*'Feedstock Conversion Rates'!B$4)/12</f>
        <v>112.5</v>
      </c>
      <c r="CH375" s="106">
        <f t="shared" si="358"/>
        <v>112.5</v>
      </c>
      <c r="CI375" s="104">
        <f>('Renewable Diesel'!$AE384*'RD Feedstock Breakdown'!CI$3*'Feedstock Conversion Rates'!$B$5)/12</f>
        <v>0.34604166666666664</v>
      </c>
      <c r="CJ375" s="104">
        <f>('Renewable Diesel'!$AE384*'RD Feedstock Breakdown'!CJ$3*'Feedstock Conversion Rates'!$B$4)/12</f>
        <v>0.34375</v>
      </c>
      <c r="CK375" s="106">
        <f t="shared" si="368"/>
        <v>0.68979166666666658</v>
      </c>
      <c r="CL375" s="104">
        <f>(((CL$3*'Renewable Diesel'!$AF384)*'Feedstock Conversion Rates'!$B$3)/12)</f>
        <v>91.78125</v>
      </c>
      <c r="CM375" s="104">
        <f>(((CM$3*'Renewable Diesel'!$AF384)*'Feedstock Conversion Rates'!$B$6)/12)</f>
        <v>53.739583333333336</v>
      </c>
      <c r="CN375" s="104">
        <f>(((CN$3*'Renewable Diesel'!$AF384)*'Feedstock Conversion Rates'!$B$4)/12)</f>
        <v>42.96875</v>
      </c>
      <c r="CO375" s="106">
        <f t="shared" si="360"/>
        <v>188.48958333333334</v>
      </c>
      <c r="CP375" s="104">
        <f>('Renewable Diesel'!$AG384*'RD Feedstock Breakdown'!CP$3*'Feedstock Conversion Rates'!$B$3)/12</f>
        <v>6.0075000000000003</v>
      </c>
      <c r="CQ375" s="104">
        <f>('Renewable Diesel'!$AG384*'RD Feedstock Breakdown'!CQ$3*'Feedstock Conversion Rates'!$B$6)/12</f>
        <v>3.5175000000000001</v>
      </c>
      <c r="CR375" s="104">
        <f>('Renewable Diesel'!$AG384*'RD Feedstock Breakdown'!CR$3*'Feedstock Conversion Rates'!$B$4)/12</f>
        <v>2.8125</v>
      </c>
      <c r="CS375" s="106">
        <f t="shared" si="397"/>
        <v>12.3375</v>
      </c>
      <c r="CT375" s="104">
        <f>('Renewable Diesel'!AI384*'Feedstock Conversion Rates'!$B$4*'RD Feedstock Breakdown'!$CT$3)/12</f>
        <v>29.375</v>
      </c>
      <c r="CU375" s="106">
        <f t="shared" si="364"/>
        <v>29.375</v>
      </c>
      <c r="CV375" s="104">
        <f>('Renewable Diesel'!AN384*'Feedstock Conversion Rates'!$B$3*'RD Feedstock Breakdown'!$CV$3)/12</f>
        <v>0.50062499999999999</v>
      </c>
      <c r="CW375" s="106">
        <f t="shared" si="338"/>
        <v>0.50062499999999999</v>
      </c>
      <c r="CX375" s="104">
        <f>('Renewable Diesel'!AO384*'RD Feedstock Breakdown'!$CX$3*'Feedstock Conversion Rates'!$B$3)/12</f>
        <v>6.3412499999999996</v>
      </c>
      <c r="CY375" s="104">
        <f>('Renewable Diesel'!AO384*'RD Feedstock Breakdown'!$CY$3*'Feedstock Conversion Rates'!$B$6)/12</f>
        <v>7.4258333333333342</v>
      </c>
      <c r="CZ375" s="106">
        <f t="shared" si="398"/>
        <v>13.767083333333334</v>
      </c>
      <c r="DA375" s="104">
        <f>('Renewable Diesel'!$AP384*'RD Feedstock Breakdown'!DA$3*'Feedstock Conversion Rates'!$B$3)/12</f>
        <v>6.3412499999999996</v>
      </c>
      <c r="DB375" s="104">
        <f>('Renewable Diesel'!$AP384*'RD Feedstock Breakdown'!DB$3*'Feedstock Conversion Rates'!$B$8)/12</f>
        <v>7.421875</v>
      </c>
      <c r="DC375" s="106">
        <f t="shared" si="342"/>
        <v>13.763124999999999</v>
      </c>
      <c r="DD375" s="104">
        <f>('Renewable Diesel'!AQ384*$DD$3*'Feedstock Conversion Rates'!$B$14)/12</f>
        <v>3.1041666666666665</v>
      </c>
      <c r="DE375" s="106">
        <f t="shared" si="343"/>
        <v>3.1041666666666665</v>
      </c>
      <c r="DF375" s="104">
        <f>('Renewable Diesel'!AR384*'Feedstock Conversion Rates'!$B$4*$DF$3)/12</f>
        <v>75</v>
      </c>
      <c r="DG375" s="106">
        <f t="shared" si="399"/>
        <v>75</v>
      </c>
      <c r="DH375" s="104">
        <f>('Renewable Diesel'!AS384*'Feedstock Conversion Rates'!$B$4*$DH$3)/12</f>
        <v>75</v>
      </c>
      <c r="DI375" s="106">
        <f t="shared" si="323"/>
        <v>75</v>
      </c>
      <c r="DJ375" s="104">
        <f>('Renewable Diesel'!AT384*'Feedstock Conversion Rates'!$B$4*0.25)/12</f>
        <v>8.59375</v>
      </c>
      <c r="DK375" s="104">
        <f>('Renewable Diesel'!$AT384*'RD Feedstock Breakdown'!DK$3*'Feedstock Conversion Rates'!$B$3)/12*0.5</f>
        <v>9.1781249999999996</v>
      </c>
      <c r="DL375" s="104">
        <f>('Renewable Diesel'!$AT384*'RD Feedstock Breakdown'!$DL$3*'Feedstock Conversion Rates'!$B$6)/12</f>
        <v>10.747916666666669</v>
      </c>
      <c r="DM375" s="104">
        <f>('Renewable Diesel'!$AT384*'RD Feedstock Breakdown'!$DM$3*'Feedstock Conversion Rates'!$B$8)/12</f>
        <v>10.7421875</v>
      </c>
      <c r="DN375" s="106">
        <f t="shared" si="375"/>
        <v>39.26197916666667</v>
      </c>
      <c r="DP375" s="104">
        <f t="shared" si="345"/>
        <v>103.22025000000001</v>
      </c>
      <c r="DQ375" s="104">
        <f t="shared" si="346"/>
        <v>349.11776750000007</v>
      </c>
      <c r="DR375" s="104">
        <f t="shared" si="351"/>
        <v>1891.953125</v>
      </c>
      <c r="DS375" s="104">
        <f t="shared" si="365"/>
        <v>228.90125</v>
      </c>
      <c r="DT375" s="104">
        <f t="shared" si="347"/>
        <v>243.03923333333344</v>
      </c>
      <c r="DU375" s="104">
        <f t="shared" si="348"/>
        <v>402.90610000000009</v>
      </c>
      <c r="DV375" s="104">
        <f t="shared" si="352"/>
        <v>78.75</v>
      </c>
      <c r="DW375" s="104">
        <f t="shared" si="349"/>
        <v>3</v>
      </c>
      <c r="DX375" s="106">
        <f t="shared" si="353"/>
        <v>3300.8877258333337</v>
      </c>
      <c r="DY375" s="109">
        <f t="shared" si="340"/>
        <v>-5.631051180898794E-13</v>
      </c>
      <c r="EA375" s="110">
        <f t="shared" si="393"/>
        <v>3.1270451640078516E-2</v>
      </c>
      <c r="EB375" s="110">
        <f t="shared" si="393"/>
        <v>0.10576481131658687</v>
      </c>
      <c r="EC375" s="110">
        <f t="shared" si="393"/>
        <v>0.57316494293133291</v>
      </c>
      <c r="ED375" s="110">
        <f t="shared" si="393"/>
        <v>6.9345360706629972E-2</v>
      </c>
      <c r="EE375" s="110">
        <f t="shared" si="393"/>
        <v>7.3628445896921982E-2</v>
      </c>
      <c r="EF375" s="110">
        <f t="shared" si="393"/>
        <v>0.1220599225010852</v>
      </c>
      <c r="EG375" s="110">
        <f t="shared" si="384"/>
        <v>2.3857218585075921E-2</v>
      </c>
      <c r="EH375" s="111">
        <f t="shared" si="354"/>
        <v>9.0884642228860647E-4</v>
      </c>
      <c r="EI375" s="110">
        <f>SUM(EA375:EG375)</f>
        <v>0.99909115357771139</v>
      </c>
      <c r="EK375" s="132">
        <f>(EA375*'Renewable Diesel'!BF384*'Feedstock Conversion Rates'!B$2)+FB375</f>
        <v>702.6044829405638</v>
      </c>
      <c r="EL375" s="132">
        <f>(EB375*'Renewable Diesel'!BF384*'Feedstock Conversion Rates'!B$3)+FC375</f>
        <v>2239.3993714386684</v>
      </c>
      <c r="EM375" s="132">
        <f>(EC375*'Renewable Diesel'!BF384*'Feedstock Conversion Rates'!B$4)+FD375</f>
        <v>11363.14947723928</v>
      </c>
      <c r="EN375" s="132">
        <f>(ED375*'Renewable Diesel'!BF384*'Feedstock Conversion Rates'!B$5)+FE375</f>
        <v>1383.9557362564663</v>
      </c>
      <c r="EO375" s="132">
        <f>(EE375*'Renewable Diesel'!BF384*'Feedstock Conversion Rates'!B$6)+FF375</f>
        <v>1825.6028668390923</v>
      </c>
      <c r="EP375" s="132">
        <f>(EF375*'Renewable Diesel'!BF384*'Feedstock Conversion Rates'!B$7)+FG375</f>
        <v>2968.3749241403261</v>
      </c>
      <c r="EQ375" s="132">
        <f>(EG375*'Renewable Diesel'!BF384*'Feedstock Conversion Rates'!B$8)+FH375</f>
        <v>591.219735777408</v>
      </c>
      <c r="ER375" s="132">
        <f>(EH375*'Renewable Diesel'!BF384*'Feedstock Conversion Rates'!B$9)+FI375</f>
        <v>22.222354513030194</v>
      </c>
      <c r="ES375" s="132">
        <f t="shared" si="355"/>
        <v>21096.528949144838</v>
      </c>
      <c r="ET375" s="133">
        <f>ES375/'Renewable Diesel'!BF384</f>
        <v>19.425856278832331</v>
      </c>
      <c r="EW375" s="73">
        <f t="shared" si="386"/>
        <v>20257.186379433635</v>
      </c>
      <c r="EX375" s="73">
        <f t="shared" si="387"/>
        <v>13268.568034948154</v>
      </c>
      <c r="EY375" s="92">
        <f t="shared" si="341"/>
        <v>0.96021418633678945</v>
      </c>
      <c r="EZ375" s="92">
        <f t="shared" si="341"/>
        <v>0.62894555151386666</v>
      </c>
      <c r="FB375" s="102">
        <f>IF('Renewable Diesel'!$BG384&lt;1,0,(((('Renewable Diesel'!$BG384-1)*'Renewable Diesel'!$BF384)*'RD Feedstock Breakdown'!EA375)*'Feedstock Conversion Rates'!$B$2))</f>
        <v>413.94627298195843</v>
      </c>
      <c r="FC375" s="102">
        <f>IF('Renewable Diesel'!$BG384&lt;1,0,(((('Renewable Diesel'!$BG384-1)*'Renewable Diesel'!$BF384)*'RD Feedstock Breakdown'!EB375)*'Feedstock Conversion Rates'!$B$3))</f>
        <v>1319.3639466197303</v>
      </c>
      <c r="FD375" s="102">
        <f>IF('Renewable Diesel'!$BG384&lt;1,0,(((('Renewable Diesel'!$BG384-1)*'Renewable Diesel'!$BF384)*'RD Feedstock Breakdown'!EC375)*'Feedstock Conversion Rates'!$B$4))</f>
        <v>6694.7101671681148</v>
      </c>
      <c r="FE375" s="102">
        <f>IF('Renewable Diesel'!$BG384&lt;1,0,(((('Renewable Diesel'!$BG384-1)*'Renewable Diesel'!$BF384)*'RD Feedstock Breakdown'!ED375)*'Feedstock Conversion Rates'!$B$5))</f>
        <v>815.37099876977152</v>
      </c>
      <c r="FF375" s="102">
        <f>IF('Renewable Diesel'!$BG384&lt;1,0,(((('Renewable Diesel'!$BG384-1)*'Renewable Diesel'!$BF384)*'RD Feedstock Breakdown'!EE375)*'Feedstock Conversion Rates'!$B$6))</f>
        <v>1075.5717064463261</v>
      </c>
      <c r="FG375" s="102">
        <f>IF('Renewable Diesel'!$BG384&lt;1,0,(((('Renewable Diesel'!$BG384-1)*'Renewable Diesel'!$BF384)*'RD Feedstock Breakdown'!EF375)*'Feedstock Conversion Rates'!$B$7))</f>
        <v>1748.8469921489759</v>
      </c>
      <c r="FH375" s="102">
        <f>IF('Renewable Diesel'!$BG384&lt;1,0,(((('Renewable Diesel'!$BG384-1)*'Renewable Diesel'!$BF384)*'RD Feedstock Breakdown'!EG375)*'Feedstock Conversion Rates'!$B$8))</f>
        <v>348.32286454275192</v>
      </c>
      <c r="FI375" s="102">
        <f>IF('Renewable Diesel'!$BG384&lt;1,0,(((('Renewable Diesel'!$BG384-1)*'Renewable Diesel'!$BF384)*'RD Feedstock Breakdown'!EH375)*'Feedstock Conversion Rates'!$B$9))</f>
        <v>13.092516559321215</v>
      </c>
      <c r="FJ375" s="102">
        <f t="shared" si="388"/>
        <v>12429.22546523695</v>
      </c>
      <c r="GD375" s="91">
        <f>'Renewable Diesel'!BB384*0.32</f>
        <v>0</v>
      </c>
      <c r="GE375" s="91">
        <f>'Renewable Diesel'!BC384</f>
        <v>455.89531930239582</v>
      </c>
      <c r="GF375" s="91">
        <f>'Renewable Diesel'!BD384</f>
        <v>0</v>
      </c>
      <c r="GG375" s="91">
        <f t="shared" si="373"/>
        <v>455.89531930239582</v>
      </c>
      <c r="GH375" s="124">
        <v>1</v>
      </c>
      <c r="GI375" s="102">
        <f>$GG375*EA375*'Feedstock Conversion Rates'!$B$2</f>
        <v>121.17644654906164</v>
      </c>
      <c r="GJ375" s="102">
        <f>$GG375*EB375*'Feedstock Conversion Rates'!$B$3</f>
        <v>386.22363623332546</v>
      </c>
      <c r="GK375" s="102">
        <f>$GG375*EC375*'Feedstock Conversion Rates'!$B$4</f>
        <v>1959.774110029646</v>
      </c>
      <c r="GL375" s="102">
        <f>$GG375*ED375*'Feedstock Conversion Rates'!$B$5</f>
        <v>238.68740147924106</v>
      </c>
      <c r="GM375" s="102">
        <f>$GG375*EE375*'Feedstock Conversion Rates'!$B$6</f>
        <v>314.85718293097608</v>
      </c>
      <c r="GN375" s="102">
        <f>$GG375*EF375*'Feedstock Conversion Rates'!$B$7</f>
        <v>511.9482355524529</v>
      </c>
      <c r="GO375" s="102">
        <f>$GG375*EG375*'Feedstock Conversion Rates'!$B$8</f>
        <v>101.96619641728348</v>
      </c>
      <c r="GP375" s="102">
        <f>$GG375*EH375*'Feedstock Conversion Rates'!B$9</f>
        <v>3.8326341764464651</v>
      </c>
      <c r="GQ375" s="102">
        <f t="shared" si="356"/>
        <v>3638.4658433684331</v>
      </c>
      <c r="GT375" s="103">
        <f t="shared" si="389"/>
        <v>3.3304269372191893E-2</v>
      </c>
      <c r="GU375" s="103">
        <f t="shared" si="390"/>
        <v>0.10615013383656388</v>
      </c>
      <c r="GV375" s="103">
        <f t="shared" si="391"/>
        <v>0.53862649654979822</v>
      </c>
      <c r="GW375" s="103">
        <f t="shared" ref="GW375:GW387" si="401">(GL375+FE375+EN375)/SUM($ES375,$FJ375,$GQ375)</f>
        <v>6.5601110950176761E-2</v>
      </c>
      <c r="GX375" s="103">
        <f t="shared" ref="GX375:GX387" si="402">(GM375+FF375+EO375)/SUM($ES375,$FJ375,$GQ375)</f>
        <v>8.653569841938831E-2</v>
      </c>
      <c r="GY375" s="103">
        <f t="shared" ref="GY375:GY387" si="403">(GN375+FG375+EP375)/SUM($ES375,$FJ375,$GQ375)</f>
        <v>0.14070442257566981</v>
      </c>
      <c r="GZ375" s="103">
        <f t="shared" ref="GZ375:GZ387" si="404">(GO375+FH375+EQ375)/SUM($ES375,$FJ375,$GQ375)</f>
        <v>2.8024502855545513E-2</v>
      </c>
      <c r="HA375" s="103">
        <f t="shared" ref="HA375:HA387" si="405">(GP375+FI375+ER375)/SUM($ES375,$FJ375,$GQ375)</f>
        <v>1.0533654406655838E-3</v>
      </c>
    </row>
    <row r="376" spans="1:209" x14ac:dyDescent="0.25">
      <c r="A376" s="96">
        <v>51867</v>
      </c>
      <c r="B376" s="104">
        <f t="shared" ref="B376:B439" si="406">115.75+145+100+235+31.5-21-287-20-28-32-70-39-47+40+20-3-10-60-25-1</f>
        <v>44.25</v>
      </c>
      <c r="C376" s="104">
        <f t="shared" si="396"/>
        <v>49</v>
      </c>
      <c r="D376" s="104">
        <f t="shared" ref="D376:D439" si="407">1+1</f>
        <v>2</v>
      </c>
      <c r="E376" s="104">
        <f>('Renewable Diesel'!B385*E$3*'Feedstock Conversion Rates'!$B$2)/12+26+13-100+27.5+39</f>
        <v>95.43</v>
      </c>
      <c r="F376" s="104">
        <f>('Renewable Diesel'!B385*'RD Feedstock Breakdown'!F$3*'Feedstock Conversion Rates'!B$8)/12+77+23-10-12-115.75+24+8</f>
        <v>48.15625</v>
      </c>
      <c r="G376" s="104">
        <f>('Renewable Diesel'!B385*'RD Feedstock Breakdown'!G$3*'Feedstock Conversion Rates'!B$7)/12+116.75-39-57.5-145-31.5+32+70-40+10+60</f>
        <v>151.90700000000004</v>
      </c>
      <c r="H376" s="104">
        <f>('Renewable Diesel'!B385*'RD Feedstock Breakdown'!H$3*'Feedstock Conversion Rates'!B$3)/12+67+10+12+3-235+20+47-20+25</f>
        <v>105.40022499999998</v>
      </c>
      <c r="I376" s="106">
        <f t="shared" si="370"/>
        <v>496.14347500000002</v>
      </c>
      <c r="J376" s="104">
        <f t="shared" si="332"/>
        <v>4</v>
      </c>
      <c r="K376" s="104"/>
      <c r="L376" s="104">
        <v>1</v>
      </c>
      <c r="M376" s="104">
        <f>('Renewable Diesel'!C385*'RD Feedstock Breakdown'!M$3*'Feedstock Conversion Rates'!B$2)/12</f>
        <v>7.7902500000000003</v>
      </c>
      <c r="N376" s="104">
        <f>('Renewable Diesel'!C385*'RD Feedstock Breakdown'!N$3*'Feedstock Conversion Rates'!B$8)/12</f>
        <v>3.671875</v>
      </c>
      <c r="O376" s="104">
        <f>('Renewable Diesel'!C385*'RD Feedstock Breakdown'!O$3*'Feedstock Conversion Rates'!B$7)/12</f>
        <v>11.9991</v>
      </c>
      <c r="P376" s="104">
        <f>('Renewable Diesel'!C385*'RD Feedstock Breakdown'!P$3*'Feedstock Conversion Rates'!B$3)/12</f>
        <v>10.4470425</v>
      </c>
      <c r="Q376" s="106">
        <f t="shared" si="379"/>
        <v>38.908267500000001</v>
      </c>
      <c r="R376" s="104">
        <f>('Renewable Diesel'!D385*'RD Feedstock Breakdown'!R$3*'Feedstock Conversion Rates'!B$7)/12</f>
        <v>2.2999999999999998</v>
      </c>
      <c r="S376" s="106">
        <f t="shared" si="329"/>
        <v>2.2999999999999998</v>
      </c>
      <c r="T376" s="104">
        <f t="shared" si="380"/>
        <v>0.82499999999999929</v>
      </c>
      <c r="U376" s="104"/>
      <c r="V376" s="104">
        <f>('Renewable Diesel'!E385*'RD Feedstock Breakdown'!V$3*'Feedstock Conversion Rates'!B$6)/12-20+25</f>
        <v>49.250150000000012</v>
      </c>
      <c r="W376" s="104">
        <f>('Renewable Diesel'!E385*'RD Feedstock Breakdown'!W$3*'Feedstock Conversion Rates'!B$8)/12-6</f>
        <v>16.1796875</v>
      </c>
      <c r="X376" s="106">
        <f t="shared" si="357"/>
        <v>66.254837500000008</v>
      </c>
      <c r="Y376" s="104">
        <f t="shared" si="381"/>
        <v>98</v>
      </c>
      <c r="Z376" s="104">
        <f>('Renewable Diesel'!F385*'RD Feedstock Breakdown'!Z$3*'Feedstock Conversion Rates'!B$6)/12-142+15+5+20+5+15</f>
        <v>77.460000000000008</v>
      </c>
      <c r="AA376" s="104">
        <f>('Renewable Diesel'!F385*'RD Feedstock Breakdown'!AA$3*'Feedstock Conversion Rates'!B$7)/12+24</f>
        <v>128.26666666666665</v>
      </c>
      <c r="AB376" s="106">
        <f t="shared" si="400"/>
        <v>303.72666666666669</v>
      </c>
      <c r="AC376" s="104">
        <f>('Renewable Diesel'!G385*'RD Feedstock Breakdown'!AC$3*'Feedstock Conversion Rates'!B$5)/12</f>
        <v>11.796875</v>
      </c>
      <c r="AD376" s="104">
        <f>('Renewable Diesel'!G385*'RD Feedstock Breakdown'!AD$3*'Feedstock Conversion Rates'!B$4)/12</f>
        <v>5.859375</v>
      </c>
      <c r="AE376" s="104">
        <f>('Renewable Diesel'!G385*'RD Feedstock Breakdown'!AE$3*'Feedstock Conversion Rates'!B$6)/12</f>
        <v>7.3281250000000009</v>
      </c>
      <c r="AF376" s="106">
        <f t="shared" si="366"/>
        <v>24.984375</v>
      </c>
      <c r="AG376" s="104">
        <f t="shared" si="383"/>
        <v>148</v>
      </c>
      <c r="AH376" s="104"/>
      <c r="AI376" s="104">
        <f>('Renewable Diesel'!H385*'RD Feedstock Breakdown'!AI$3*'Feedstock Conversion Rates'!B$6)/12-130-20+51-49</f>
        <v>0.51666666666667993</v>
      </c>
      <c r="AJ376" s="106">
        <f t="shared" si="328"/>
        <v>148.51666666666668</v>
      </c>
      <c r="AK376" s="104">
        <f>('Renewable Diesel'!J385*'RD Feedstock Breakdown'!AK$3*'Feedstock Conversion Rates'!B$4)/12</f>
        <v>95.8125</v>
      </c>
      <c r="AL376" s="106">
        <f t="shared" si="330"/>
        <v>95.8125</v>
      </c>
      <c r="AM376" s="104">
        <f>('Renewable Diesel'!K385*'RD Feedstock Breakdown'!AM$3*'Feedstock Conversion Rates'!B$4)/12+5+15-10+10</f>
        <v>78.59375</v>
      </c>
      <c r="AN376" s="104">
        <f>('Renewable Diesel'!K385*'RD Feedstock Breakdown'!AN$3*'Feedstock Conversion Rates'!B$6)/12-5-15+10-10</f>
        <v>4.4270833333333321</v>
      </c>
      <c r="AO376" s="106">
        <f t="shared" si="350"/>
        <v>83.020833333333329</v>
      </c>
      <c r="AP376" s="104">
        <f>('Renewable Diesel'!L385*'RD Feedstock Breakdown'!AP$3*'Feedstock Conversion Rates'!B$4)/12+15-10+15</f>
        <v>78.59375</v>
      </c>
      <c r="AQ376" s="104">
        <f>('Renewable Diesel'!L385*'RD Feedstock Breakdown'!AQ$3*'Feedstock Conversion Rates'!B$6)/12-15+10-15</f>
        <v>4.4270833333333321</v>
      </c>
      <c r="AR376" s="106">
        <f t="shared" si="339"/>
        <v>83.020833333333329</v>
      </c>
      <c r="AS376" s="104">
        <f>('Renewable Diesel'!M385*'RD Feedstock Breakdown'!AS$3*'Feedstock Conversion Rates'!B$4)/12</f>
        <v>456.25</v>
      </c>
      <c r="AT376" s="104">
        <f>('Renewable Diesel'!M385*'RD Feedstock Breakdown'!AT$3*'Feedstock Conversion Rates'!B$5)/12</f>
        <v>0</v>
      </c>
      <c r="AU376" s="106">
        <f t="shared" si="369"/>
        <v>456.25</v>
      </c>
      <c r="AV376" s="104">
        <f>'Renewable Diesel'!N385*'RD Feedstock Breakdown'!$AV$3*'Feedstock Conversion Rates'!$B$4/12-15-10+25+25-22+25</f>
        <v>106.74999999999999</v>
      </c>
      <c r="AW376" s="104">
        <f>'Renewable Diesel'!N385*'RD Feedstock Breakdown'!$AW$3*'Feedstock Conversion Rates'!$B$7/12+15+10-25-25+22-25</f>
        <v>13.400000000000006</v>
      </c>
      <c r="AX376" s="106">
        <f t="shared" ref="AX376:AX439" si="408">SUM(AV376:AW376)</f>
        <v>120.14999999999999</v>
      </c>
      <c r="AY376" s="104">
        <f>('Renewable Diesel'!O385*'RD Feedstock Breakdown'!AY$3*'Feedstock Conversion Rates'!B$4)/12</f>
        <v>210.9375</v>
      </c>
      <c r="AZ376" s="104">
        <f>('Renewable Diesel'!O385*'RD Feedstock Breakdown'!AZ$3*'Feedstock Conversion Rates'!B$3)/12</f>
        <v>25.03125</v>
      </c>
      <c r="BA376" s="106">
        <f t="shared" si="382"/>
        <v>235.96875</v>
      </c>
      <c r="BB376" s="104">
        <f>('Renewable Diesel'!Q385*'RD Feedstock Breakdown'!BB$3*'Feedstock Conversion Rates'!B$4)/12</f>
        <v>11.156249999999998</v>
      </c>
      <c r="BC376" s="104">
        <f>('Renewable Diesel'!Q385*'RD Feedstock Breakdown'!BC$3*'Feedstock Conversion Rates'!B$3)/12</f>
        <v>1.4017500000000001</v>
      </c>
      <c r="BD376" s="104">
        <f>('Renewable Diesel'!Q385*'RD Feedstock Breakdown'!BD$3*'Feedstock Conversion Rates'!B$6)/12</f>
        <v>0.8207500000000002</v>
      </c>
      <c r="BE376" s="106">
        <f t="shared" si="359"/>
        <v>13.378749999999998</v>
      </c>
      <c r="BF376" s="104">
        <f>('Renewable Diesel'!R385*'RD Feedstock Breakdown'!BF$3*'Feedstock Conversion Rates'!B$4)/12</f>
        <v>62.5</v>
      </c>
      <c r="BG376" s="106">
        <f t="shared" si="344"/>
        <v>62.5</v>
      </c>
      <c r="BH376" s="104">
        <f>('Renewable Diesel'!T385*'RD Feedstock Breakdown'!BH$3*'Feedstock Conversion Rates'!B$7)/12</f>
        <v>27.599999999999998</v>
      </c>
      <c r="BI376" s="106">
        <f t="shared" si="327"/>
        <v>27.599999999999998</v>
      </c>
      <c r="BJ376" s="104">
        <f>('Renewable Diesel'!W385*'RD Feedstock Breakdown'!BJ$3*'Feedstock Conversion Rates'!B$4)/12</f>
        <v>7.5</v>
      </c>
      <c r="BK376" s="104">
        <f>('Renewable Diesel'!W385*'RD Feedstock Breakdown'!BK$3*'Feedstock Conversion Rates'!B$3)/12</f>
        <v>1.335</v>
      </c>
      <c r="BL376" s="104">
        <f>('Renewable Diesel'!W385*'RD Feedstock Breakdown'!BL$3*'Feedstock Conversion Rates'!B$6)/12</f>
        <v>3.1266666666666669</v>
      </c>
      <c r="BM376" s="104">
        <f>('Renewable Diesel'!W385*'RD Feedstock Breakdown'!BM$3*'Feedstock Conversion Rates'!B$7)/12</f>
        <v>1.5333333333333332</v>
      </c>
      <c r="BN376" s="106">
        <f t="shared" si="374"/>
        <v>13.495000000000001</v>
      </c>
      <c r="BO376" s="104">
        <f>('Renewable Diesel'!P385*'Feedstock Conversion Rates'!B$4)/12</f>
        <v>31.25</v>
      </c>
      <c r="BP376" s="106">
        <f t="shared" si="367"/>
        <v>31.25</v>
      </c>
      <c r="BQ376" s="104">
        <f>('Renewable Diesel'!$S385*'RD Feedstock Breakdown'!BQ$3*'Feedstock Conversion Rates'!B$4)/12+10+15-15</f>
        <v>38.125</v>
      </c>
      <c r="BR376" s="104">
        <f>('Renewable Diesel'!$S385*'RD Feedstock Breakdown'!BR$3*'Feedstock Conversion Rates'!B$7)/12-10-15+15</f>
        <v>1.5</v>
      </c>
      <c r="BS376" s="106">
        <f t="shared" si="385"/>
        <v>39.625</v>
      </c>
      <c r="BT376" s="106"/>
      <c r="BU376" s="104">
        <f>('Renewable Diesel'!Y385*'Feedstock Conversion Rates'!B$7)/12</f>
        <v>2.6833333333333331</v>
      </c>
      <c r="BV376" s="106">
        <f t="shared" si="361"/>
        <v>2.6833333333333331</v>
      </c>
      <c r="BW376" s="104">
        <f>('Renewable Diesel'!$Z385*'RD Feedstock Breakdown'!BW$3*'Feedstock Conversion Rates'!$B$4)/12-250+180</f>
        <v>1.875</v>
      </c>
      <c r="BX376" s="104">
        <f>('Renewable Diesel'!$Z385*'RD Feedstock Breakdown'!BX$3*'Feedstock Conversion Rates'!$B$5)/12</f>
        <v>7.2354166666666666</v>
      </c>
      <c r="BY376" s="104">
        <f>('Renewable Diesel'!$Z385*'RD Feedstock Breakdown'!BY$3*'Feedstock Conversion Rates'!$B$7)/12</f>
        <v>61.716666666666661</v>
      </c>
      <c r="BZ376" s="104">
        <f>('Renewable Diesel'!$Z385*'RD Feedstock Breakdown'!BZ$3*'Feedstock Conversion Rates'!$B$3)/12+250-180</f>
        <v>85.35250000000002</v>
      </c>
      <c r="CA376" s="106">
        <f t="shared" si="392"/>
        <v>156.17958333333334</v>
      </c>
      <c r="CB376" s="104">
        <f>('Renewable Diesel'!AA385*'Feedstock Conversion Rates'!B$4)/12</f>
        <v>191.25</v>
      </c>
      <c r="CC376" s="106">
        <f t="shared" si="376"/>
        <v>191.25</v>
      </c>
      <c r="CD376" s="104">
        <f>('Renewable Diesel'!$AB385*'RD Feedstock Breakdown'!CD$3*'Feedstock Conversion Rates'!$B$6)/12-15-5</f>
        <v>12.830000000000005</v>
      </c>
      <c r="CE376" s="104">
        <f>('Renewable Diesel'!$AB385*'RD Feedstock Breakdown'!CE$3*'Feedstock Conversion Rates'!$B$4)/12+15+5</f>
        <v>31.25</v>
      </c>
      <c r="CF376" s="106">
        <f t="shared" si="372"/>
        <v>44.080000000000005</v>
      </c>
      <c r="CG376" s="104">
        <f>('Renewable Diesel'!AD385*'Feedstock Conversion Rates'!B$4)/12</f>
        <v>112.5</v>
      </c>
      <c r="CH376" s="106">
        <f t="shared" si="358"/>
        <v>112.5</v>
      </c>
      <c r="CI376" s="104">
        <f>('Renewable Diesel'!$AE385*'RD Feedstock Breakdown'!CI$3*'Feedstock Conversion Rates'!$B$5)/12</f>
        <v>0.34604166666666664</v>
      </c>
      <c r="CJ376" s="104">
        <f>('Renewable Diesel'!$AE385*'RD Feedstock Breakdown'!CJ$3*'Feedstock Conversion Rates'!$B$4)/12</f>
        <v>0.34375</v>
      </c>
      <c r="CK376" s="106">
        <f t="shared" si="368"/>
        <v>0.68979166666666658</v>
      </c>
      <c r="CL376" s="104">
        <f>(((CL$3*'Renewable Diesel'!$AF385)*'Feedstock Conversion Rates'!$B$3)/12)</f>
        <v>91.78125</v>
      </c>
      <c r="CM376" s="104">
        <f>(((CM$3*'Renewable Diesel'!$AF385)*'Feedstock Conversion Rates'!$B$6)/12)</f>
        <v>53.739583333333336</v>
      </c>
      <c r="CN376" s="104">
        <f>(((CN$3*'Renewable Diesel'!$AF385)*'Feedstock Conversion Rates'!$B$4)/12)</f>
        <v>42.96875</v>
      </c>
      <c r="CO376" s="106">
        <f t="shared" si="360"/>
        <v>188.48958333333334</v>
      </c>
      <c r="CP376" s="104">
        <f>('Renewable Diesel'!$AG385*'RD Feedstock Breakdown'!CP$3*'Feedstock Conversion Rates'!$B$3)/12</f>
        <v>6.0075000000000003</v>
      </c>
      <c r="CQ376" s="104">
        <f>('Renewable Diesel'!$AG385*'RD Feedstock Breakdown'!CQ$3*'Feedstock Conversion Rates'!$B$6)/12</f>
        <v>3.5175000000000001</v>
      </c>
      <c r="CR376" s="104">
        <f>('Renewable Diesel'!$AG385*'RD Feedstock Breakdown'!CR$3*'Feedstock Conversion Rates'!$B$4)/12</f>
        <v>2.8125</v>
      </c>
      <c r="CS376" s="106">
        <f t="shared" si="397"/>
        <v>12.3375</v>
      </c>
      <c r="CT376" s="104">
        <f>('Renewable Diesel'!AI385*'Feedstock Conversion Rates'!$B$4*'RD Feedstock Breakdown'!$CT$3)/12</f>
        <v>29.375</v>
      </c>
      <c r="CU376" s="106">
        <f t="shared" si="364"/>
        <v>29.375</v>
      </c>
      <c r="CV376" s="104">
        <f>('Renewable Diesel'!AN385*'Feedstock Conversion Rates'!$B$3*'RD Feedstock Breakdown'!$CV$3)/12</f>
        <v>0.50062499999999999</v>
      </c>
      <c r="CW376" s="106">
        <f t="shared" si="338"/>
        <v>0.50062499999999999</v>
      </c>
      <c r="CX376" s="104">
        <f>('Renewable Diesel'!AO385*'RD Feedstock Breakdown'!$CX$3*'Feedstock Conversion Rates'!$B$3)/12</f>
        <v>6.3412499999999996</v>
      </c>
      <c r="CY376" s="104">
        <f>('Renewable Diesel'!AO385*'RD Feedstock Breakdown'!$CY$3*'Feedstock Conversion Rates'!$B$6)/12</f>
        <v>7.4258333333333342</v>
      </c>
      <c r="CZ376" s="106">
        <f t="shared" si="398"/>
        <v>13.767083333333334</v>
      </c>
      <c r="DA376" s="104">
        <f>('Renewable Diesel'!$AP385*'RD Feedstock Breakdown'!DA$3*'Feedstock Conversion Rates'!$B$3)/12</f>
        <v>6.3412499999999996</v>
      </c>
      <c r="DB376" s="104">
        <f>('Renewable Diesel'!$AP385*'RD Feedstock Breakdown'!DB$3*'Feedstock Conversion Rates'!$B$8)/12</f>
        <v>7.421875</v>
      </c>
      <c r="DC376" s="106">
        <f t="shared" si="342"/>
        <v>13.763124999999999</v>
      </c>
      <c r="DD376" s="104">
        <f>('Renewable Diesel'!AQ385*$DD$3*'Feedstock Conversion Rates'!$B$14)/12</f>
        <v>3.1041666666666665</v>
      </c>
      <c r="DE376" s="106">
        <f t="shared" si="343"/>
        <v>3.1041666666666665</v>
      </c>
      <c r="DF376" s="104">
        <f>('Renewable Diesel'!AR385*'Feedstock Conversion Rates'!$B$4*$DF$3)/12</f>
        <v>75</v>
      </c>
      <c r="DG376" s="106">
        <f t="shared" si="399"/>
        <v>75</v>
      </c>
      <c r="DH376" s="104">
        <f>('Renewable Diesel'!AS385*'Feedstock Conversion Rates'!$B$4*$DH$3)/12</f>
        <v>75</v>
      </c>
      <c r="DI376" s="106">
        <f t="shared" si="323"/>
        <v>75</v>
      </c>
      <c r="DJ376" s="104">
        <f>('Renewable Diesel'!AT385*'Feedstock Conversion Rates'!$B$4*0.25)/12</f>
        <v>8.59375</v>
      </c>
      <c r="DK376" s="104">
        <f>('Renewable Diesel'!$AT385*'RD Feedstock Breakdown'!DK$3*'Feedstock Conversion Rates'!$B$3)/12*0.5</f>
        <v>9.1781249999999996</v>
      </c>
      <c r="DL376" s="104">
        <f>('Renewable Diesel'!$AT385*'RD Feedstock Breakdown'!$DL$3*'Feedstock Conversion Rates'!$B$6)/12</f>
        <v>10.747916666666669</v>
      </c>
      <c r="DM376" s="104">
        <f>('Renewable Diesel'!$AT385*'RD Feedstock Breakdown'!$DM$3*'Feedstock Conversion Rates'!$B$8)/12</f>
        <v>10.7421875</v>
      </c>
      <c r="DN376" s="106">
        <f t="shared" si="375"/>
        <v>39.26197916666667</v>
      </c>
      <c r="DP376" s="104">
        <f t="shared" si="345"/>
        <v>103.22025000000001</v>
      </c>
      <c r="DQ376" s="104">
        <f t="shared" si="346"/>
        <v>349.11776750000007</v>
      </c>
      <c r="DR376" s="104">
        <f t="shared" si="351"/>
        <v>1891.953125</v>
      </c>
      <c r="DS376" s="104">
        <f t="shared" si="365"/>
        <v>228.90125</v>
      </c>
      <c r="DT376" s="104">
        <f t="shared" si="347"/>
        <v>243.03923333333344</v>
      </c>
      <c r="DU376" s="104">
        <f t="shared" si="348"/>
        <v>402.90610000000009</v>
      </c>
      <c r="DV376" s="104">
        <f t="shared" si="352"/>
        <v>78.75</v>
      </c>
      <c r="DW376" s="104">
        <f t="shared" si="349"/>
        <v>3</v>
      </c>
      <c r="DX376" s="106">
        <f t="shared" si="353"/>
        <v>3300.8877258333337</v>
      </c>
      <c r="DY376" s="109">
        <f t="shared" si="340"/>
        <v>-5.631051180898794E-13</v>
      </c>
      <c r="EA376" s="110">
        <f t="shared" si="393"/>
        <v>3.1270451640078516E-2</v>
      </c>
      <c r="EB376" s="110">
        <f t="shared" si="393"/>
        <v>0.10576481131658687</v>
      </c>
      <c r="EC376" s="110">
        <f t="shared" si="393"/>
        <v>0.57316494293133291</v>
      </c>
      <c r="ED376" s="110">
        <f t="shared" si="393"/>
        <v>6.9345360706629972E-2</v>
      </c>
      <c r="EE376" s="110">
        <f t="shared" si="393"/>
        <v>7.3628445896921982E-2</v>
      </c>
      <c r="EF376" s="110">
        <f t="shared" si="393"/>
        <v>0.1220599225010852</v>
      </c>
      <c r="EG376" s="110">
        <f t="shared" si="384"/>
        <v>2.3857218585075921E-2</v>
      </c>
      <c r="EH376" s="111">
        <f t="shared" si="354"/>
        <v>9.0884642228860647E-4</v>
      </c>
      <c r="EI376" s="110">
        <f t="shared" ref="EI376:EI439" si="409">SUM(EA376:EG376)</f>
        <v>0.99909115357771139</v>
      </c>
      <c r="EK376" s="132">
        <f>(EA376*'Renewable Diesel'!BF385*'Feedstock Conversion Rates'!B$2)+FB376</f>
        <v>228.67525508122893</v>
      </c>
      <c r="EL376" s="132">
        <f>(EB376*'Renewable Diesel'!BF385*'Feedstock Conversion Rates'!B$3)+FC376</f>
        <v>728.85276841565701</v>
      </c>
      <c r="EM376" s="132">
        <f>(EC376*'Renewable Diesel'!BF385*'Feedstock Conversion Rates'!B$4)+FD376</f>
        <v>3698.3411981071013</v>
      </c>
      <c r="EN376" s="132">
        <f>(ED376*'Renewable Diesel'!BF385*'Feedstock Conversion Rates'!B$5)+FE376</f>
        <v>450.43326465132941</v>
      </c>
      <c r="EO376" s="132">
        <f>(EE376*'Renewable Diesel'!BF385*'Feedstock Conversion Rates'!B$6)+FF376</f>
        <v>594.17525989051751</v>
      </c>
      <c r="EP376" s="132">
        <f>(EF376*'Renewable Diesel'!BF385*'Feedstock Conversion Rates'!B$7)+FG376</f>
        <v>966.11096205023023</v>
      </c>
      <c r="EQ376" s="132">
        <f>(EG376*'Renewable Diesel'!BF385*'Feedstock Conversion Rates'!B$8)+FH376</f>
        <v>192.42308748461608</v>
      </c>
      <c r="ER376" s="132">
        <f>(EH376*'Renewable Diesel'!BF385*'Feedstock Conversion Rates'!B$9)+FI376</f>
        <v>7.2326646216439823</v>
      </c>
      <c r="ES376" s="132">
        <f t="shared" si="355"/>
        <v>6866.244460302325</v>
      </c>
      <c r="ET376" s="133">
        <f>ES376/'Renewable Diesel'!BF385</f>
        <v>10.902198362154417</v>
      </c>
      <c r="EW376" s="73">
        <f t="shared" si="386"/>
        <v>5260.4501581076474</v>
      </c>
      <c r="EX376" s="73">
        <f t="shared" si="387"/>
        <v>3445.623667073975</v>
      </c>
      <c r="EY376" s="92">
        <f t="shared" ref="EY376:EZ439" si="410">EW376/$ES376</f>
        <v>0.76613208115751041</v>
      </c>
      <c r="EZ376" s="92">
        <f t="shared" si="410"/>
        <v>0.50182070955892855</v>
      </c>
      <c r="FB376" s="102">
        <f>IF('Renewable Diesel'!$BG385&lt;1,0,(((('Renewable Diesel'!$BG385-1)*'Renewable Diesel'!$BF385)*'RD Feedstock Breakdown'!EA376)*'Feedstock Conversion Rates'!$B$2))</f>
        <v>61.274172766808839</v>
      </c>
      <c r="FC376" s="102">
        <f>IF('Renewable Diesel'!$BG385&lt;1,0,(((('Renewable Diesel'!$BG385-1)*'Renewable Diesel'!$BF385)*'RD Feedstock Breakdown'!EB376)*'Feedstock Conversion Rates'!$B$3))</f>
        <v>195.29813331837775</v>
      </c>
      <c r="FD376" s="102">
        <f>IF('Renewable Diesel'!$BG385&lt;1,0,(((('Renewable Diesel'!$BG385-1)*'Renewable Diesel'!$BF385)*'RD Feedstock Breakdown'!EC376)*'Feedstock Conversion Rates'!$B$4))</f>
        <v>990.98084505437646</v>
      </c>
      <c r="FE376" s="102">
        <f>IF('Renewable Diesel'!$BG385&lt;1,0,(((('Renewable Diesel'!$BG385-1)*'Renewable Diesel'!$BF385)*'RD Feedstock Breakdown'!ED376)*'Feedstock Conversion Rates'!$B$5))</f>
        <v>120.69485029484005</v>
      </c>
      <c r="FF376" s="102">
        <f>IF('Renewable Diesel'!$BG385&lt;1,0,(((('Renewable Diesel'!$BG385-1)*'Renewable Diesel'!$BF385)*'RD Feedstock Breakdown'!EE376)*'Feedstock Conversion Rates'!$B$6))</f>
        <v>159.21091906232962</v>
      </c>
      <c r="FG376" s="102">
        <f>IF('Renewable Diesel'!$BG385&lt;1,0,(((('Renewable Diesel'!$BG385-1)*'Renewable Diesel'!$BF385)*'RD Feedstock Breakdown'!EF376)*'Feedstock Conversion Rates'!$B$7))</f>
        <v>258.87212842310288</v>
      </c>
      <c r="FH376" s="102">
        <f>IF('Renewable Diesel'!$BG385&lt;1,0,(((('Renewable Diesel'!$BG385-1)*'Renewable Diesel'!$BF385)*'RD Feedstock Breakdown'!EG376)*'Feedstock Conversion Rates'!$B$8))</f>
        <v>51.560303289776371</v>
      </c>
      <c r="FI376" s="102">
        <f>IF('Renewable Diesel'!$BG385&lt;1,0,(((('Renewable Diesel'!$BG385-1)*'Renewable Diesel'!$BF385)*'RD Feedstock Breakdown'!EH376)*'Feedstock Conversion Rates'!$B$9))</f>
        <v>1.9380126696855624</v>
      </c>
      <c r="FJ376" s="102">
        <f t="shared" si="388"/>
        <v>1839.8293648792974</v>
      </c>
      <c r="GD376" s="91">
        <f>'Renewable Diesel'!BB385*0.32</f>
        <v>0</v>
      </c>
      <c r="GE376" s="91">
        <f>'Renewable Diesel'!BC385</f>
        <v>281.87390502968736</v>
      </c>
      <c r="GF376" s="91">
        <f>'Renewable Diesel'!BD385</f>
        <v>0</v>
      </c>
      <c r="GG376" s="91">
        <f t="shared" si="373"/>
        <v>281.87390502968736</v>
      </c>
      <c r="GH376" s="124">
        <v>1</v>
      </c>
      <c r="GI376" s="102">
        <f>$GG376*EA376*'Feedstock Conversion Rates'!$B$2</f>
        <v>74.921756684562851</v>
      </c>
      <c r="GJ376" s="102">
        <f>$GG376*EB376*'Feedstock Conversion Rates'!$B$3</f>
        <v>238.79684644808063</v>
      </c>
      <c r="GK376" s="102">
        <f>$GG376*EC376*'Feedstock Conversion Rates'!$B$4</f>
        <v>1211.7018051762955</v>
      </c>
      <c r="GL376" s="102">
        <f>$GG376*ED376*'Feedstock Conversion Rates'!$B$5</f>
        <v>147.57718951642872</v>
      </c>
      <c r="GM376" s="102">
        <f>$GG376*EE376*'Feedstock Conversion Rates'!$B$6</f>
        <v>194.67193437126051</v>
      </c>
      <c r="GN376" s="102">
        <f>$GG376*EF376*'Feedstock Conversion Rates'!$B$7</f>
        <v>316.53066442761735</v>
      </c>
      <c r="GO376" s="102">
        <f>$GG376*EG376*'Feedstock Conversion Rates'!$B$8</f>
        <v>63.044319053645467</v>
      </c>
      <c r="GP376" s="102">
        <f>$GG376*EH376*'Feedstock Conversion Rates'!B$9</f>
        <v>2.3696658336354357</v>
      </c>
      <c r="GQ376" s="102">
        <f t="shared" si="356"/>
        <v>2249.6141815115261</v>
      </c>
      <c r="GT376" s="103">
        <f t="shared" si="389"/>
        <v>3.3304269372191893E-2</v>
      </c>
      <c r="GU376" s="103">
        <f t="shared" si="390"/>
        <v>0.10615013383656388</v>
      </c>
      <c r="GV376" s="103">
        <f t="shared" si="391"/>
        <v>0.53862649654979833</v>
      </c>
      <c r="GW376" s="103">
        <f t="shared" si="401"/>
        <v>6.5601110950176775E-2</v>
      </c>
      <c r="GX376" s="103">
        <f t="shared" si="402"/>
        <v>8.6535698419388296E-2</v>
      </c>
      <c r="GY376" s="103">
        <f t="shared" si="403"/>
        <v>0.14070442257566981</v>
      </c>
      <c r="GZ376" s="103">
        <f t="shared" si="404"/>
        <v>2.802450285554552E-2</v>
      </c>
      <c r="HA376" s="103">
        <f t="shared" si="405"/>
        <v>1.053365440665584E-3</v>
      </c>
    </row>
    <row r="377" spans="1:209" x14ac:dyDescent="0.25">
      <c r="A377" s="96">
        <v>51898</v>
      </c>
      <c r="B377" s="104">
        <f t="shared" si="406"/>
        <v>44.25</v>
      </c>
      <c r="C377" s="104">
        <f t="shared" si="396"/>
        <v>49</v>
      </c>
      <c r="D377" s="104">
        <f t="shared" si="407"/>
        <v>2</v>
      </c>
      <c r="E377" s="104">
        <f>('Renewable Diesel'!B386*E$3*'Feedstock Conversion Rates'!$B$2)/12+26+13-100+27.5+39</f>
        <v>95.43</v>
      </c>
      <c r="F377" s="104">
        <f>('Renewable Diesel'!B386*'RD Feedstock Breakdown'!F$3*'Feedstock Conversion Rates'!B$8)/12+77+23-10-12-115.75+24+8</f>
        <v>48.15625</v>
      </c>
      <c r="G377" s="104">
        <f>('Renewable Diesel'!B386*'RD Feedstock Breakdown'!G$3*'Feedstock Conversion Rates'!B$7)/12+116.75-39-57.5-145-31.5+32+70-40+10+60</f>
        <v>151.90700000000004</v>
      </c>
      <c r="H377" s="104">
        <f>('Renewable Diesel'!B386*'RD Feedstock Breakdown'!H$3*'Feedstock Conversion Rates'!B$3)/12+67+10+12+3-235+20+47-20+25</f>
        <v>105.40022499999998</v>
      </c>
      <c r="I377" s="106">
        <f t="shared" si="370"/>
        <v>496.14347500000002</v>
      </c>
      <c r="J377" s="104">
        <f t="shared" si="332"/>
        <v>4</v>
      </c>
      <c r="K377" s="104"/>
      <c r="L377" s="104">
        <v>1</v>
      </c>
      <c r="M377" s="104">
        <f>('Renewable Diesel'!C386*'RD Feedstock Breakdown'!M$3*'Feedstock Conversion Rates'!B$2)/12</f>
        <v>7.7902500000000003</v>
      </c>
      <c r="N377" s="104">
        <f>('Renewable Diesel'!C386*'RD Feedstock Breakdown'!N$3*'Feedstock Conversion Rates'!B$8)/12</f>
        <v>3.671875</v>
      </c>
      <c r="O377" s="104">
        <f>('Renewable Diesel'!C386*'RD Feedstock Breakdown'!O$3*'Feedstock Conversion Rates'!B$7)/12</f>
        <v>11.9991</v>
      </c>
      <c r="P377" s="104">
        <f>('Renewable Diesel'!C386*'RD Feedstock Breakdown'!P$3*'Feedstock Conversion Rates'!B$3)/12</f>
        <v>10.4470425</v>
      </c>
      <c r="Q377" s="106">
        <f t="shared" si="379"/>
        <v>38.908267500000001</v>
      </c>
      <c r="R377" s="104">
        <f>('Renewable Diesel'!D386*'RD Feedstock Breakdown'!R$3*'Feedstock Conversion Rates'!B$7)/12</f>
        <v>2.2999999999999998</v>
      </c>
      <c r="S377" s="106">
        <f t="shared" si="329"/>
        <v>2.2999999999999998</v>
      </c>
      <c r="T377" s="104">
        <f t="shared" si="380"/>
        <v>0.82499999999999929</v>
      </c>
      <c r="U377" s="104"/>
      <c r="V377" s="104">
        <f>('Renewable Diesel'!E386*'RD Feedstock Breakdown'!V$3*'Feedstock Conversion Rates'!B$6)/12-20+25</f>
        <v>49.250150000000012</v>
      </c>
      <c r="W377" s="104">
        <f>('Renewable Diesel'!E386*'RD Feedstock Breakdown'!W$3*'Feedstock Conversion Rates'!B$8)/12-6</f>
        <v>16.1796875</v>
      </c>
      <c r="X377" s="106">
        <f t="shared" si="357"/>
        <v>66.254837500000008</v>
      </c>
      <c r="Y377" s="104">
        <f t="shared" si="381"/>
        <v>98</v>
      </c>
      <c r="Z377" s="104">
        <f>('Renewable Diesel'!F386*'RD Feedstock Breakdown'!Z$3*'Feedstock Conversion Rates'!B$6)/12-142+15+5+20+5+15</f>
        <v>77.460000000000008</v>
      </c>
      <c r="AA377" s="104">
        <f>('Renewable Diesel'!F386*'RD Feedstock Breakdown'!AA$3*'Feedstock Conversion Rates'!B$7)/12+24</f>
        <v>128.26666666666665</v>
      </c>
      <c r="AB377" s="106">
        <f t="shared" si="400"/>
        <v>303.72666666666669</v>
      </c>
      <c r="AC377" s="104">
        <f>('Renewable Diesel'!G386*'RD Feedstock Breakdown'!AC$3*'Feedstock Conversion Rates'!B$5)/12</f>
        <v>11.796875</v>
      </c>
      <c r="AD377" s="104">
        <f>('Renewable Diesel'!G386*'RD Feedstock Breakdown'!AD$3*'Feedstock Conversion Rates'!B$4)/12</f>
        <v>5.859375</v>
      </c>
      <c r="AE377" s="104">
        <f>('Renewable Diesel'!G386*'RD Feedstock Breakdown'!AE$3*'Feedstock Conversion Rates'!B$6)/12</f>
        <v>7.3281250000000009</v>
      </c>
      <c r="AF377" s="106">
        <f t="shared" si="366"/>
        <v>24.984375</v>
      </c>
      <c r="AG377" s="104">
        <f t="shared" si="383"/>
        <v>148</v>
      </c>
      <c r="AH377" s="104"/>
      <c r="AI377" s="104">
        <f>('Renewable Diesel'!H386*'RD Feedstock Breakdown'!AI$3*'Feedstock Conversion Rates'!B$6)/12-130-20+51-49</f>
        <v>0.51666666666667993</v>
      </c>
      <c r="AJ377" s="106">
        <f t="shared" si="328"/>
        <v>148.51666666666668</v>
      </c>
      <c r="AK377" s="104">
        <f>('Renewable Diesel'!J386*'RD Feedstock Breakdown'!AK$3*'Feedstock Conversion Rates'!B$4)/12</f>
        <v>95.8125</v>
      </c>
      <c r="AL377" s="106">
        <f t="shared" si="330"/>
        <v>95.8125</v>
      </c>
      <c r="AM377" s="104">
        <f>('Renewable Diesel'!K386*'RD Feedstock Breakdown'!AM$3*'Feedstock Conversion Rates'!B$4)/12+5+15-10+10</f>
        <v>78.59375</v>
      </c>
      <c r="AN377" s="104">
        <f>('Renewable Diesel'!K386*'RD Feedstock Breakdown'!AN$3*'Feedstock Conversion Rates'!B$6)/12-5-15+10-10</f>
        <v>4.4270833333333321</v>
      </c>
      <c r="AO377" s="106">
        <f t="shared" si="350"/>
        <v>83.020833333333329</v>
      </c>
      <c r="AP377" s="104">
        <f>('Renewable Diesel'!L386*'RD Feedstock Breakdown'!AP$3*'Feedstock Conversion Rates'!B$4)/12+15-10+15</f>
        <v>78.59375</v>
      </c>
      <c r="AQ377" s="104">
        <f>('Renewable Diesel'!L386*'RD Feedstock Breakdown'!AQ$3*'Feedstock Conversion Rates'!B$6)/12-15+10-15</f>
        <v>4.4270833333333321</v>
      </c>
      <c r="AR377" s="106">
        <f t="shared" si="339"/>
        <v>83.020833333333329</v>
      </c>
      <c r="AS377" s="104">
        <f>('Renewable Diesel'!M386*'RD Feedstock Breakdown'!AS$3*'Feedstock Conversion Rates'!B$4)/12</f>
        <v>456.25</v>
      </c>
      <c r="AT377" s="104">
        <f>('Renewable Diesel'!M386*'RD Feedstock Breakdown'!AT$3*'Feedstock Conversion Rates'!B$5)/12</f>
        <v>0</v>
      </c>
      <c r="AU377" s="106">
        <f t="shared" si="369"/>
        <v>456.25</v>
      </c>
      <c r="AV377" s="104">
        <f>'Renewable Diesel'!N386*'RD Feedstock Breakdown'!$AV$3*'Feedstock Conversion Rates'!$B$4/12-15-10+25+25-22+25</f>
        <v>106.74999999999999</v>
      </c>
      <c r="AW377" s="104">
        <f>'Renewable Diesel'!N386*'RD Feedstock Breakdown'!$AW$3*'Feedstock Conversion Rates'!$B$7/12+15+10-25-25+22-25</f>
        <v>13.400000000000006</v>
      </c>
      <c r="AX377" s="106">
        <f t="shared" si="408"/>
        <v>120.14999999999999</v>
      </c>
      <c r="AY377" s="104">
        <f>('Renewable Diesel'!O386*'RD Feedstock Breakdown'!AY$3*'Feedstock Conversion Rates'!B$4)/12</f>
        <v>210.9375</v>
      </c>
      <c r="AZ377" s="104">
        <f>('Renewable Diesel'!O386*'RD Feedstock Breakdown'!AZ$3*'Feedstock Conversion Rates'!B$3)/12</f>
        <v>25.03125</v>
      </c>
      <c r="BA377" s="106">
        <f t="shared" si="382"/>
        <v>235.96875</v>
      </c>
      <c r="BB377" s="104">
        <f>('Renewable Diesel'!Q386*'RD Feedstock Breakdown'!BB$3*'Feedstock Conversion Rates'!B$4)/12</f>
        <v>11.156249999999998</v>
      </c>
      <c r="BC377" s="104">
        <f>('Renewable Diesel'!Q386*'RD Feedstock Breakdown'!BC$3*'Feedstock Conversion Rates'!B$3)/12</f>
        <v>1.4017500000000001</v>
      </c>
      <c r="BD377" s="104">
        <f>('Renewable Diesel'!Q386*'RD Feedstock Breakdown'!BD$3*'Feedstock Conversion Rates'!B$6)/12</f>
        <v>0.8207500000000002</v>
      </c>
      <c r="BE377" s="106">
        <f t="shared" si="359"/>
        <v>13.378749999999998</v>
      </c>
      <c r="BF377" s="104">
        <f>('Renewable Diesel'!R386*'RD Feedstock Breakdown'!BF$3*'Feedstock Conversion Rates'!B$4)/12</f>
        <v>62.5</v>
      </c>
      <c r="BG377" s="106">
        <f t="shared" si="344"/>
        <v>62.5</v>
      </c>
      <c r="BH377" s="104">
        <f>('Renewable Diesel'!T386*'RD Feedstock Breakdown'!BH$3*'Feedstock Conversion Rates'!B$7)/12</f>
        <v>27.599999999999998</v>
      </c>
      <c r="BI377" s="106">
        <f t="shared" si="327"/>
        <v>27.599999999999998</v>
      </c>
      <c r="BJ377" s="104">
        <f>('Renewable Diesel'!W386*'RD Feedstock Breakdown'!BJ$3*'Feedstock Conversion Rates'!B$4)/12</f>
        <v>7.5</v>
      </c>
      <c r="BK377" s="104">
        <f>('Renewable Diesel'!W386*'RD Feedstock Breakdown'!BK$3*'Feedstock Conversion Rates'!B$3)/12</f>
        <v>1.335</v>
      </c>
      <c r="BL377" s="104">
        <f>('Renewable Diesel'!W386*'RD Feedstock Breakdown'!BL$3*'Feedstock Conversion Rates'!B$6)/12</f>
        <v>3.1266666666666669</v>
      </c>
      <c r="BM377" s="104">
        <f>('Renewable Diesel'!W386*'RD Feedstock Breakdown'!BM$3*'Feedstock Conversion Rates'!B$7)/12</f>
        <v>1.5333333333333332</v>
      </c>
      <c r="BN377" s="106">
        <f t="shared" si="374"/>
        <v>13.495000000000001</v>
      </c>
      <c r="BO377" s="104">
        <f>('Renewable Diesel'!P386*'Feedstock Conversion Rates'!B$4)/12</f>
        <v>31.25</v>
      </c>
      <c r="BP377" s="106">
        <f t="shared" si="367"/>
        <v>31.25</v>
      </c>
      <c r="BQ377" s="104">
        <f>('Renewable Diesel'!$S386*'RD Feedstock Breakdown'!BQ$3*'Feedstock Conversion Rates'!B$4)/12+10+15-15</f>
        <v>38.125</v>
      </c>
      <c r="BR377" s="104">
        <f>('Renewable Diesel'!$S386*'RD Feedstock Breakdown'!BR$3*'Feedstock Conversion Rates'!B$7)/12-10-15+15</f>
        <v>1.5</v>
      </c>
      <c r="BS377" s="106">
        <f t="shared" si="385"/>
        <v>39.625</v>
      </c>
      <c r="BT377" s="106"/>
      <c r="BU377" s="104">
        <f>('Renewable Diesel'!Y386*'Feedstock Conversion Rates'!B$7)/12</f>
        <v>2.6833333333333331</v>
      </c>
      <c r="BV377" s="106">
        <f t="shared" si="361"/>
        <v>2.6833333333333331</v>
      </c>
      <c r="BW377" s="104">
        <f>('Renewable Diesel'!$Z386*'RD Feedstock Breakdown'!BW$3*'Feedstock Conversion Rates'!$B$4)/12-250+180</f>
        <v>1.875</v>
      </c>
      <c r="BX377" s="104">
        <f>('Renewable Diesel'!$Z386*'RD Feedstock Breakdown'!BX$3*'Feedstock Conversion Rates'!$B$5)/12</f>
        <v>7.2354166666666666</v>
      </c>
      <c r="BY377" s="104">
        <f>('Renewable Diesel'!$Z386*'RD Feedstock Breakdown'!BY$3*'Feedstock Conversion Rates'!$B$7)/12</f>
        <v>61.716666666666661</v>
      </c>
      <c r="BZ377" s="104">
        <f>('Renewable Diesel'!$Z386*'RD Feedstock Breakdown'!BZ$3*'Feedstock Conversion Rates'!$B$3)/12+250-180</f>
        <v>85.35250000000002</v>
      </c>
      <c r="CA377" s="106">
        <f t="shared" si="392"/>
        <v>156.17958333333334</v>
      </c>
      <c r="CB377" s="104">
        <f>('Renewable Diesel'!AA386*'Feedstock Conversion Rates'!B$4)/12</f>
        <v>191.25</v>
      </c>
      <c r="CC377" s="106">
        <f t="shared" si="376"/>
        <v>191.25</v>
      </c>
      <c r="CD377" s="104">
        <f>('Renewable Diesel'!$AB386*'RD Feedstock Breakdown'!CD$3*'Feedstock Conversion Rates'!$B$6)/12-15-5</f>
        <v>12.830000000000005</v>
      </c>
      <c r="CE377" s="104">
        <f>('Renewable Diesel'!$AB386*'RD Feedstock Breakdown'!CE$3*'Feedstock Conversion Rates'!$B$4)/12+15+5</f>
        <v>31.25</v>
      </c>
      <c r="CF377" s="106">
        <f t="shared" si="372"/>
        <v>44.080000000000005</v>
      </c>
      <c r="CG377" s="104">
        <f>('Renewable Diesel'!AD386*'Feedstock Conversion Rates'!B$4)/12</f>
        <v>112.5</v>
      </c>
      <c r="CH377" s="106">
        <f t="shared" si="358"/>
        <v>112.5</v>
      </c>
      <c r="CI377" s="104">
        <f>('Renewable Diesel'!$AE386*'RD Feedstock Breakdown'!CI$3*'Feedstock Conversion Rates'!$B$5)/12</f>
        <v>0.34604166666666664</v>
      </c>
      <c r="CJ377" s="104">
        <f>('Renewable Diesel'!$AE386*'RD Feedstock Breakdown'!CJ$3*'Feedstock Conversion Rates'!$B$4)/12</f>
        <v>0.34375</v>
      </c>
      <c r="CK377" s="106">
        <f t="shared" si="368"/>
        <v>0.68979166666666658</v>
      </c>
      <c r="CL377" s="104">
        <f>(((CL$3*'Renewable Diesel'!$AF386)*'Feedstock Conversion Rates'!$B$3)/12)</f>
        <v>91.78125</v>
      </c>
      <c r="CM377" s="104">
        <f>(((CM$3*'Renewable Diesel'!$AF386)*'Feedstock Conversion Rates'!$B$6)/12)</f>
        <v>53.739583333333336</v>
      </c>
      <c r="CN377" s="104">
        <f>(((CN$3*'Renewable Diesel'!$AF386)*'Feedstock Conversion Rates'!$B$4)/12)</f>
        <v>42.96875</v>
      </c>
      <c r="CO377" s="106">
        <f t="shared" si="360"/>
        <v>188.48958333333334</v>
      </c>
      <c r="CP377" s="104">
        <f>('Renewable Diesel'!$AG386*'RD Feedstock Breakdown'!CP$3*'Feedstock Conversion Rates'!$B$3)/12</f>
        <v>6.0075000000000003</v>
      </c>
      <c r="CQ377" s="104">
        <f>('Renewable Diesel'!$AG386*'RD Feedstock Breakdown'!CQ$3*'Feedstock Conversion Rates'!$B$6)/12</f>
        <v>3.5175000000000001</v>
      </c>
      <c r="CR377" s="104">
        <f>('Renewable Diesel'!$AG386*'RD Feedstock Breakdown'!CR$3*'Feedstock Conversion Rates'!$B$4)/12</f>
        <v>2.8125</v>
      </c>
      <c r="CS377" s="106">
        <f t="shared" si="397"/>
        <v>12.3375</v>
      </c>
      <c r="CT377" s="104">
        <f>('Renewable Diesel'!AI386*'Feedstock Conversion Rates'!$B$4*'RD Feedstock Breakdown'!$CT$3)/12</f>
        <v>29.375</v>
      </c>
      <c r="CU377" s="106">
        <f t="shared" si="364"/>
        <v>29.375</v>
      </c>
      <c r="CV377" s="104">
        <f>('Renewable Diesel'!AN386*'Feedstock Conversion Rates'!$B$3*'RD Feedstock Breakdown'!$CV$3)/12</f>
        <v>0.50062499999999999</v>
      </c>
      <c r="CW377" s="106">
        <f t="shared" si="338"/>
        <v>0.50062499999999999</v>
      </c>
      <c r="CX377" s="104">
        <f>('Renewable Diesel'!AO386*'RD Feedstock Breakdown'!$CX$3*'Feedstock Conversion Rates'!$B$3)/12</f>
        <v>6.3412499999999996</v>
      </c>
      <c r="CY377" s="104">
        <f>('Renewable Diesel'!AO386*'RD Feedstock Breakdown'!$CY$3*'Feedstock Conversion Rates'!$B$6)/12</f>
        <v>7.4258333333333342</v>
      </c>
      <c r="CZ377" s="106">
        <f t="shared" si="398"/>
        <v>13.767083333333334</v>
      </c>
      <c r="DA377" s="104">
        <f>('Renewable Diesel'!$AP386*'RD Feedstock Breakdown'!DA$3*'Feedstock Conversion Rates'!$B$3)/12</f>
        <v>6.3412499999999996</v>
      </c>
      <c r="DB377" s="104">
        <f>('Renewable Diesel'!$AP386*'RD Feedstock Breakdown'!DB$3*'Feedstock Conversion Rates'!$B$8)/12</f>
        <v>7.421875</v>
      </c>
      <c r="DC377" s="106">
        <f t="shared" si="342"/>
        <v>13.763124999999999</v>
      </c>
      <c r="DD377" s="104">
        <f>('Renewable Diesel'!AQ386*$DD$3*'Feedstock Conversion Rates'!$B$14)/12</f>
        <v>3.1041666666666665</v>
      </c>
      <c r="DE377" s="106">
        <f t="shared" si="343"/>
        <v>3.1041666666666665</v>
      </c>
      <c r="DF377" s="104">
        <f>('Renewable Diesel'!AR386*'Feedstock Conversion Rates'!$B$4*$DF$3)/12</f>
        <v>75</v>
      </c>
      <c r="DG377" s="106">
        <f t="shared" si="399"/>
        <v>75</v>
      </c>
      <c r="DH377" s="104">
        <f>('Renewable Diesel'!AS386*'Feedstock Conversion Rates'!$B$4*$DH$3)/12</f>
        <v>75</v>
      </c>
      <c r="DI377" s="106">
        <f t="shared" ref="DI377:DI440" si="411">DH377</f>
        <v>75</v>
      </c>
      <c r="DJ377" s="104">
        <f>('Renewable Diesel'!AT386*'Feedstock Conversion Rates'!$B$4*0.25)/12</f>
        <v>8.59375</v>
      </c>
      <c r="DK377" s="104">
        <f>('Renewable Diesel'!$AT386*'RD Feedstock Breakdown'!DK$3*'Feedstock Conversion Rates'!$B$3)/12*0.5</f>
        <v>9.1781249999999996</v>
      </c>
      <c r="DL377" s="104">
        <f>('Renewable Diesel'!$AT386*'RD Feedstock Breakdown'!$DL$3*'Feedstock Conversion Rates'!$B$6)/12</f>
        <v>10.747916666666669</v>
      </c>
      <c r="DM377" s="104">
        <f>('Renewable Diesel'!$AT386*'RD Feedstock Breakdown'!$DM$3*'Feedstock Conversion Rates'!$B$8)/12</f>
        <v>10.7421875</v>
      </c>
      <c r="DN377" s="106">
        <f t="shared" si="375"/>
        <v>39.26197916666667</v>
      </c>
      <c r="DP377" s="104">
        <f t="shared" si="345"/>
        <v>103.22025000000001</v>
      </c>
      <c r="DQ377" s="104">
        <f t="shared" si="346"/>
        <v>349.11776750000007</v>
      </c>
      <c r="DR377" s="104">
        <f t="shared" si="351"/>
        <v>1891.953125</v>
      </c>
      <c r="DS377" s="104">
        <f t="shared" si="365"/>
        <v>228.90125</v>
      </c>
      <c r="DT377" s="104">
        <f t="shared" si="347"/>
        <v>243.03923333333344</v>
      </c>
      <c r="DU377" s="104">
        <f t="shared" si="348"/>
        <v>402.90610000000009</v>
      </c>
      <c r="DV377" s="104">
        <f t="shared" si="352"/>
        <v>78.75</v>
      </c>
      <c r="DW377" s="104">
        <f t="shared" si="349"/>
        <v>3</v>
      </c>
      <c r="DX377" s="106">
        <f t="shared" si="353"/>
        <v>3300.8877258333337</v>
      </c>
      <c r="DY377" s="109">
        <f t="shared" si="340"/>
        <v>-5.631051180898794E-13</v>
      </c>
      <c r="EA377" s="110">
        <f t="shared" si="393"/>
        <v>3.1270451640078516E-2</v>
      </c>
      <c r="EB377" s="110">
        <f t="shared" si="393"/>
        <v>0.10576481131658687</v>
      </c>
      <c r="EC377" s="110">
        <f t="shared" si="393"/>
        <v>0.57316494293133291</v>
      </c>
      <c r="ED377" s="110">
        <f t="shared" si="393"/>
        <v>6.9345360706629972E-2</v>
      </c>
      <c r="EE377" s="110">
        <f t="shared" si="393"/>
        <v>7.3628445896921982E-2</v>
      </c>
      <c r="EF377" s="110">
        <f t="shared" si="393"/>
        <v>0.1220599225010852</v>
      </c>
      <c r="EG377" s="110">
        <f t="shared" si="384"/>
        <v>2.3857218585075921E-2</v>
      </c>
      <c r="EH377" s="111">
        <f t="shared" si="354"/>
        <v>9.0884642228860647E-4</v>
      </c>
      <c r="EI377" s="110">
        <f t="shared" si="409"/>
        <v>0.99909115357771139</v>
      </c>
      <c r="EK377" s="132">
        <f>(EA377*'Renewable Diesel'!BF386*'Feedstock Conversion Rates'!B$2)+FB377</f>
        <v>486.55869744141177</v>
      </c>
      <c r="EL377" s="132">
        <f>(EB377*'Renewable Diesel'!BF386*'Feedstock Conversion Rates'!B$3)+FC377</f>
        <v>1550.8002975701031</v>
      </c>
      <c r="EM377" s="132">
        <f>(EC377*'Renewable Diesel'!BF386*'Feedstock Conversion Rates'!B$4)+FD377</f>
        <v>7869.0633816313257</v>
      </c>
      <c r="EN377" s="132">
        <f>(ED377*'Renewable Diesel'!BF386*'Feedstock Conversion Rates'!B$5)+FE377</f>
        <v>958.39937930837232</v>
      </c>
      <c r="EO377" s="132">
        <f>(EE377*'Renewable Diesel'!BF386*'Feedstock Conversion Rates'!B$6)+FF377</f>
        <v>1264.2432186269975</v>
      </c>
      <c r="EP377" s="132">
        <f>(EF377*'Renewable Diesel'!BF386*'Feedstock Conversion Rates'!B$7)+FG377</f>
        <v>2055.6211519783956</v>
      </c>
      <c r="EQ377" s="132">
        <f>(EG377*'Renewable Diesel'!BF386*'Feedstock Conversion Rates'!B$8)+FH377</f>
        <v>409.42395263060956</v>
      </c>
      <c r="ER377" s="132">
        <f>(EH377*'Renewable Diesel'!BF386*'Feedstock Conversion Rates'!B$9)+FI377</f>
        <v>15.389141584591801</v>
      </c>
      <c r="ES377" s="132">
        <f t="shared" si="355"/>
        <v>14609.499220771808</v>
      </c>
      <c r="ET377" s="133">
        <f>ES377/'Renewable Diesel'!BF386</f>
        <v>15.902745677168985</v>
      </c>
      <c r="EW377" s="73">
        <f t="shared" si="386"/>
        <v>13224.79063622063</v>
      </c>
      <c r="EX377" s="73">
        <f t="shared" si="387"/>
        <v>8662.3103040011028</v>
      </c>
      <c r="EY377" s="92">
        <f t="shared" si="410"/>
        <v>0.9052186140246069</v>
      </c>
      <c r="EZ377" s="92">
        <f t="shared" si="410"/>
        <v>0.59292315041743637</v>
      </c>
      <c r="FB377" s="102">
        <f>IF('Renewable Diesel'!$BG386&lt;1,0,(((('Renewable Diesel'!$BG386-1)*'Renewable Diesel'!$BF386)*'RD Feedstock Breakdown'!EA377)*'Feedstock Conversion Rates'!$B$2))</f>
        <v>242.37520804808719</v>
      </c>
      <c r="FC377" s="102">
        <f>IF('Renewable Diesel'!$BG386&lt;1,0,(((('Renewable Diesel'!$BG386-1)*'Renewable Diesel'!$BF386)*'RD Feedstock Breakdown'!EB377)*'Feedstock Conversion Rates'!$B$3))</f>
        <v>772.51839652881699</v>
      </c>
      <c r="FD377" s="102">
        <f>IF('Renewable Diesel'!$BG386&lt;1,0,(((('Renewable Diesel'!$BG386-1)*'Renewable Diesel'!$BF386)*'RD Feedstock Breakdown'!EC377)*'Feedstock Conversion Rates'!$B$4))</f>
        <v>3919.9091174321015</v>
      </c>
      <c r="FE377" s="102">
        <f>IF('Renewable Diesel'!$BG386&lt;1,0,(((('Renewable Diesel'!$BG386-1)*'Renewable Diesel'!$BF386)*'RD Feedstock Breakdown'!ED377)*'Feedstock Conversion Rates'!$B$5))</f>
        <v>477.41875784883177</v>
      </c>
      <c r="FF377" s="102">
        <f>IF('Renewable Diesel'!$BG386&lt;1,0,(((('Renewable Diesel'!$BG386-1)*'Renewable Diesel'!$BF386)*'RD Feedstock Breakdown'!EE377)*'Feedstock Conversion Rates'!$B$6))</f>
        <v>629.77234761074055</v>
      </c>
      <c r="FG377" s="102">
        <f>IF('Renewable Diesel'!$BG386&lt;1,0,(((('Renewable Diesel'!$BG386-1)*'Renewable Diesel'!$BF386)*'RD Feedstock Breakdown'!EF377)*'Feedstock Conversion Rates'!$B$7))</f>
        <v>1023.9907476709036</v>
      </c>
      <c r="FH377" s="102">
        <f>IF('Renewable Diesel'!$BG386&lt;1,0,(((('Renewable Diesel'!$BG386-1)*'Renewable Diesel'!$BF386)*'RD Feedstock Breakdown'!EG377)*'Feedstock Conversion Rates'!$B$8))</f>
        <v>203.95117016824742</v>
      </c>
      <c r="FI377" s="102">
        <f>IF('Renewable Diesel'!$BG386&lt;1,0,(((('Renewable Diesel'!$BG386-1)*'Renewable Diesel'!$BF386)*'RD Feedstock Breakdown'!EH377)*'Feedstock Conversion Rates'!$B$9))</f>
        <v>7.6659741421969825</v>
      </c>
      <c r="FJ377" s="102">
        <f t="shared" si="388"/>
        <v>7277.6017194499273</v>
      </c>
      <c r="GD377" s="91">
        <f>'Renewable Diesel'!BB386*0.32</f>
        <v>0</v>
      </c>
      <c r="GE377" s="91">
        <f>'Renewable Diesel'!BC386</f>
        <v>535.01511255638309</v>
      </c>
      <c r="GF377" s="91">
        <f>'Renewable Diesel'!BD386</f>
        <v>0</v>
      </c>
      <c r="GG377" s="91">
        <f t="shared" si="373"/>
        <v>535.01511255638309</v>
      </c>
      <c r="GH377" s="124">
        <v>1</v>
      </c>
      <c r="GI377" s="102">
        <f>$GG377*EA377*'Feedstock Conversion Rates'!$B$2</f>
        <v>142.2063957331971</v>
      </c>
      <c r="GJ377" s="102">
        <f>$GG377*EB377*'Feedstock Conversion Rates'!$B$3</f>
        <v>453.25203717269721</v>
      </c>
      <c r="GK377" s="102">
        <f>$GG377*EC377*'Feedstock Conversion Rates'!$B$4</f>
        <v>2299.8892984183499</v>
      </c>
      <c r="GL377" s="102">
        <f>$GG377*ED377*'Feedstock Conversion Rates'!$B$5</f>
        <v>280.11116052609066</v>
      </c>
      <c r="GM377" s="102">
        <f>$GG377*EE377*'Feedstock Conversion Rates'!$B$6</f>
        <v>369.50006730221901</v>
      </c>
      <c r="GN377" s="102">
        <f>$GG377*EF377*'Feedstock Conversion Rates'!$B$7</f>
        <v>600.79590921498163</v>
      </c>
      <c r="GO377" s="102">
        <f>$GG377*EG377*'Feedstock Conversion Rates'!$B$8</f>
        <v>119.66224206165589</v>
      </c>
      <c r="GP377" s="102">
        <f>$GG377*EH377*'Feedstock Conversion Rates'!B$9</f>
        <v>4.4977807809841446</v>
      </c>
      <c r="GQ377" s="102">
        <f t="shared" si="356"/>
        <v>4269.9148912101755</v>
      </c>
      <c r="GT377" s="103">
        <f t="shared" si="389"/>
        <v>3.3304269372191886E-2</v>
      </c>
      <c r="GU377" s="103">
        <f t="shared" si="390"/>
        <v>0.10615013383656388</v>
      </c>
      <c r="GV377" s="103">
        <f t="shared" si="391"/>
        <v>0.53862649654979822</v>
      </c>
      <c r="GW377" s="103">
        <f t="shared" si="401"/>
        <v>6.5601110950176761E-2</v>
      </c>
      <c r="GX377" s="103">
        <f t="shared" si="402"/>
        <v>8.6535698419388282E-2</v>
      </c>
      <c r="GY377" s="103">
        <f t="shared" si="403"/>
        <v>0.14070442257566981</v>
      </c>
      <c r="GZ377" s="103">
        <f t="shared" si="404"/>
        <v>2.8024502855545516E-2</v>
      </c>
      <c r="HA377" s="103">
        <f t="shared" si="405"/>
        <v>1.0533654406655838E-3</v>
      </c>
    </row>
    <row r="378" spans="1:209" x14ac:dyDescent="0.25">
      <c r="A378" s="96">
        <v>51926</v>
      </c>
      <c r="B378" s="104">
        <f t="shared" si="406"/>
        <v>44.25</v>
      </c>
      <c r="C378" s="104">
        <f t="shared" si="396"/>
        <v>49</v>
      </c>
      <c r="D378" s="104">
        <f t="shared" si="407"/>
        <v>2</v>
      </c>
      <c r="E378" s="104">
        <f>('Renewable Diesel'!B387*E$3*'Feedstock Conversion Rates'!$B$2)/12+26+13-100+27.5+39</f>
        <v>95.43</v>
      </c>
      <c r="F378" s="104">
        <f>('Renewable Diesel'!B387*'RD Feedstock Breakdown'!F$3*'Feedstock Conversion Rates'!B$8)/12+77+23-10-12-115.75+24+8</f>
        <v>48.15625</v>
      </c>
      <c r="G378" s="104">
        <f>('Renewable Diesel'!B387*'RD Feedstock Breakdown'!G$3*'Feedstock Conversion Rates'!B$7)/12+116.75-39-57.5-145-31.5+32+70-40+10+60</f>
        <v>151.90700000000004</v>
      </c>
      <c r="H378" s="104">
        <f>('Renewable Diesel'!B387*'RD Feedstock Breakdown'!H$3*'Feedstock Conversion Rates'!B$3)/12+67+10+12+3-235+20+47-20+25</f>
        <v>105.40022499999998</v>
      </c>
      <c r="I378" s="106">
        <f t="shared" si="370"/>
        <v>496.14347500000002</v>
      </c>
      <c r="J378" s="104">
        <f t="shared" si="332"/>
        <v>4</v>
      </c>
      <c r="K378" s="104"/>
      <c r="L378" s="104">
        <v>1</v>
      </c>
      <c r="M378" s="104">
        <f>('Renewable Diesel'!C387*'RD Feedstock Breakdown'!M$3*'Feedstock Conversion Rates'!B$2)/12</f>
        <v>7.7902500000000003</v>
      </c>
      <c r="N378" s="104">
        <f>('Renewable Diesel'!C387*'RD Feedstock Breakdown'!N$3*'Feedstock Conversion Rates'!B$8)/12</f>
        <v>3.671875</v>
      </c>
      <c r="O378" s="104">
        <f>('Renewable Diesel'!C387*'RD Feedstock Breakdown'!O$3*'Feedstock Conversion Rates'!B$7)/12</f>
        <v>11.9991</v>
      </c>
      <c r="P378" s="104">
        <f>('Renewable Diesel'!C387*'RD Feedstock Breakdown'!P$3*'Feedstock Conversion Rates'!B$3)/12</f>
        <v>10.4470425</v>
      </c>
      <c r="Q378" s="106">
        <f t="shared" si="379"/>
        <v>38.908267500000001</v>
      </c>
      <c r="R378" s="104">
        <f>('Renewable Diesel'!D387*'RD Feedstock Breakdown'!R$3*'Feedstock Conversion Rates'!B$7)/12</f>
        <v>2.2999999999999998</v>
      </c>
      <c r="S378" s="106">
        <f t="shared" si="329"/>
        <v>2.2999999999999998</v>
      </c>
      <c r="T378" s="104">
        <f t="shared" si="380"/>
        <v>0.82499999999999929</v>
      </c>
      <c r="U378" s="104"/>
      <c r="V378" s="104">
        <f>('Renewable Diesel'!E387*'RD Feedstock Breakdown'!V$3*'Feedstock Conversion Rates'!B$6)/12-20+25</f>
        <v>49.250150000000012</v>
      </c>
      <c r="W378" s="104">
        <f>('Renewable Diesel'!E387*'RD Feedstock Breakdown'!W$3*'Feedstock Conversion Rates'!B$8)/12-6</f>
        <v>16.1796875</v>
      </c>
      <c r="X378" s="106">
        <f t="shared" si="357"/>
        <v>66.254837500000008</v>
      </c>
      <c r="Y378" s="104">
        <f t="shared" si="381"/>
        <v>98</v>
      </c>
      <c r="Z378" s="104">
        <f>('Renewable Diesel'!F387*'RD Feedstock Breakdown'!Z$3*'Feedstock Conversion Rates'!B$6)/12-142+15+5+20+5+15</f>
        <v>77.460000000000008</v>
      </c>
      <c r="AA378" s="104">
        <f>('Renewable Diesel'!F387*'RD Feedstock Breakdown'!AA$3*'Feedstock Conversion Rates'!B$7)/12+24</f>
        <v>128.26666666666665</v>
      </c>
      <c r="AB378" s="106">
        <f t="shared" si="400"/>
        <v>303.72666666666669</v>
      </c>
      <c r="AC378" s="104">
        <f>('Renewable Diesel'!G387*'RD Feedstock Breakdown'!AC$3*'Feedstock Conversion Rates'!B$5)/12</f>
        <v>11.796875</v>
      </c>
      <c r="AD378" s="104">
        <f>('Renewable Diesel'!G387*'RD Feedstock Breakdown'!AD$3*'Feedstock Conversion Rates'!B$4)/12</f>
        <v>5.859375</v>
      </c>
      <c r="AE378" s="104">
        <f>('Renewable Diesel'!G387*'RD Feedstock Breakdown'!AE$3*'Feedstock Conversion Rates'!B$6)/12</f>
        <v>7.3281250000000009</v>
      </c>
      <c r="AF378" s="106">
        <f t="shared" si="366"/>
        <v>24.984375</v>
      </c>
      <c r="AG378" s="104">
        <f t="shared" si="383"/>
        <v>148</v>
      </c>
      <c r="AH378" s="104"/>
      <c r="AI378" s="104">
        <f>('Renewable Diesel'!H387*'RD Feedstock Breakdown'!AI$3*'Feedstock Conversion Rates'!B$6)/12-130-20+51-49</f>
        <v>0.51666666666667993</v>
      </c>
      <c r="AJ378" s="106">
        <f t="shared" si="328"/>
        <v>148.51666666666668</v>
      </c>
      <c r="AK378" s="104">
        <f>('Renewable Diesel'!J387*'RD Feedstock Breakdown'!AK$3*'Feedstock Conversion Rates'!B$4)/12</f>
        <v>95.8125</v>
      </c>
      <c r="AL378" s="106">
        <f t="shared" si="330"/>
        <v>95.8125</v>
      </c>
      <c r="AM378" s="104">
        <f>('Renewable Diesel'!K387*'RD Feedstock Breakdown'!AM$3*'Feedstock Conversion Rates'!B$4)/12+5+15-10+10</f>
        <v>78.59375</v>
      </c>
      <c r="AN378" s="104">
        <f>('Renewable Diesel'!K387*'RD Feedstock Breakdown'!AN$3*'Feedstock Conversion Rates'!B$6)/12-5-15+10-10</f>
        <v>4.4270833333333321</v>
      </c>
      <c r="AO378" s="106">
        <f t="shared" si="350"/>
        <v>83.020833333333329</v>
      </c>
      <c r="AP378" s="104">
        <f>('Renewable Diesel'!L387*'RD Feedstock Breakdown'!AP$3*'Feedstock Conversion Rates'!B$4)/12+15-10+15</f>
        <v>78.59375</v>
      </c>
      <c r="AQ378" s="104">
        <f>('Renewable Diesel'!L387*'RD Feedstock Breakdown'!AQ$3*'Feedstock Conversion Rates'!B$6)/12-15+10-15</f>
        <v>4.4270833333333321</v>
      </c>
      <c r="AR378" s="106">
        <f t="shared" si="339"/>
        <v>83.020833333333329</v>
      </c>
      <c r="AS378" s="104">
        <f>('Renewable Diesel'!M387*'RD Feedstock Breakdown'!AS$3*'Feedstock Conversion Rates'!B$4)/12</f>
        <v>456.25</v>
      </c>
      <c r="AT378" s="104">
        <f>('Renewable Diesel'!M387*'RD Feedstock Breakdown'!AT$3*'Feedstock Conversion Rates'!B$5)/12</f>
        <v>0</v>
      </c>
      <c r="AU378" s="106">
        <f t="shared" si="369"/>
        <v>456.25</v>
      </c>
      <c r="AV378" s="104">
        <f>'Renewable Diesel'!N387*'RD Feedstock Breakdown'!$AV$3*'Feedstock Conversion Rates'!$B$4/12-15-10+25+25-22+25</f>
        <v>106.74999999999999</v>
      </c>
      <c r="AW378" s="104">
        <f>'Renewable Diesel'!N387*'RD Feedstock Breakdown'!$AW$3*'Feedstock Conversion Rates'!$B$7/12+15+10-25-25+22-25</f>
        <v>13.400000000000006</v>
      </c>
      <c r="AX378" s="106">
        <f t="shared" si="408"/>
        <v>120.14999999999999</v>
      </c>
      <c r="AY378" s="104">
        <f>('Renewable Diesel'!O387*'RD Feedstock Breakdown'!AY$3*'Feedstock Conversion Rates'!B$4)/12</f>
        <v>210.9375</v>
      </c>
      <c r="AZ378" s="104">
        <f>('Renewable Diesel'!O387*'RD Feedstock Breakdown'!AZ$3*'Feedstock Conversion Rates'!B$3)/12</f>
        <v>25.03125</v>
      </c>
      <c r="BA378" s="106">
        <f t="shared" si="382"/>
        <v>235.96875</v>
      </c>
      <c r="BB378" s="104">
        <f>('Renewable Diesel'!Q387*'RD Feedstock Breakdown'!BB$3*'Feedstock Conversion Rates'!B$4)/12</f>
        <v>11.156249999999998</v>
      </c>
      <c r="BC378" s="104">
        <f>('Renewable Diesel'!Q387*'RD Feedstock Breakdown'!BC$3*'Feedstock Conversion Rates'!B$3)/12</f>
        <v>1.4017500000000001</v>
      </c>
      <c r="BD378" s="104">
        <f>('Renewable Diesel'!Q387*'RD Feedstock Breakdown'!BD$3*'Feedstock Conversion Rates'!B$6)/12</f>
        <v>0.8207500000000002</v>
      </c>
      <c r="BE378" s="106">
        <f t="shared" si="359"/>
        <v>13.378749999999998</v>
      </c>
      <c r="BF378" s="104">
        <f>('Renewable Diesel'!R387*'RD Feedstock Breakdown'!BF$3*'Feedstock Conversion Rates'!B$4)/12</f>
        <v>62.5</v>
      </c>
      <c r="BG378" s="106">
        <f t="shared" si="344"/>
        <v>62.5</v>
      </c>
      <c r="BH378" s="104">
        <f>('Renewable Diesel'!T387*'RD Feedstock Breakdown'!BH$3*'Feedstock Conversion Rates'!B$7)/12</f>
        <v>27.599999999999998</v>
      </c>
      <c r="BI378" s="106">
        <f t="shared" si="327"/>
        <v>27.599999999999998</v>
      </c>
      <c r="BJ378" s="104">
        <f>('Renewable Diesel'!W387*'RD Feedstock Breakdown'!BJ$3*'Feedstock Conversion Rates'!B$4)/12</f>
        <v>7.5</v>
      </c>
      <c r="BK378" s="104">
        <f>('Renewable Diesel'!W387*'RD Feedstock Breakdown'!BK$3*'Feedstock Conversion Rates'!B$3)/12</f>
        <v>1.335</v>
      </c>
      <c r="BL378" s="104">
        <f>('Renewable Diesel'!W387*'RD Feedstock Breakdown'!BL$3*'Feedstock Conversion Rates'!B$6)/12</f>
        <v>3.1266666666666669</v>
      </c>
      <c r="BM378" s="104">
        <f>('Renewable Diesel'!W387*'RD Feedstock Breakdown'!BM$3*'Feedstock Conversion Rates'!B$7)/12</f>
        <v>1.5333333333333332</v>
      </c>
      <c r="BN378" s="106">
        <f t="shared" si="374"/>
        <v>13.495000000000001</v>
      </c>
      <c r="BO378" s="104">
        <f>('Renewable Diesel'!P387*'Feedstock Conversion Rates'!B$4)/12</f>
        <v>31.25</v>
      </c>
      <c r="BP378" s="106">
        <f t="shared" si="367"/>
        <v>31.25</v>
      </c>
      <c r="BQ378" s="104">
        <f>('Renewable Diesel'!$S387*'RD Feedstock Breakdown'!BQ$3*'Feedstock Conversion Rates'!B$4)/12+10+15-15</f>
        <v>38.125</v>
      </c>
      <c r="BR378" s="104">
        <f>('Renewable Diesel'!$S387*'RD Feedstock Breakdown'!BR$3*'Feedstock Conversion Rates'!B$7)/12-10-15+15</f>
        <v>1.5</v>
      </c>
      <c r="BS378" s="106">
        <f t="shared" si="385"/>
        <v>39.625</v>
      </c>
      <c r="BT378" s="106"/>
      <c r="BU378" s="104">
        <f>('Renewable Diesel'!Y387*'Feedstock Conversion Rates'!B$7)/12</f>
        <v>2.6833333333333331</v>
      </c>
      <c r="BV378" s="106">
        <f t="shared" si="361"/>
        <v>2.6833333333333331</v>
      </c>
      <c r="BW378" s="104">
        <f>('Renewable Diesel'!$Z387*'RD Feedstock Breakdown'!BW$3*'Feedstock Conversion Rates'!$B$4)/12-250+180</f>
        <v>1.875</v>
      </c>
      <c r="BX378" s="104">
        <f>('Renewable Diesel'!$Z387*'RD Feedstock Breakdown'!BX$3*'Feedstock Conversion Rates'!$B$5)/12</f>
        <v>7.2354166666666666</v>
      </c>
      <c r="BY378" s="104">
        <f>('Renewable Diesel'!$Z387*'RD Feedstock Breakdown'!BY$3*'Feedstock Conversion Rates'!$B$7)/12</f>
        <v>61.716666666666661</v>
      </c>
      <c r="BZ378" s="104">
        <f>('Renewable Diesel'!$Z387*'RD Feedstock Breakdown'!BZ$3*'Feedstock Conversion Rates'!$B$3)/12+250-180</f>
        <v>85.35250000000002</v>
      </c>
      <c r="CA378" s="106">
        <f t="shared" si="392"/>
        <v>156.17958333333334</v>
      </c>
      <c r="CB378" s="104">
        <f>('Renewable Diesel'!AA387*'Feedstock Conversion Rates'!B$4)/12</f>
        <v>191.25</v>
      </c>
      <c r="CC378" s="106">
        <f t="shared" si="376"/>
        <v>191.25</v>
      </c>
      <c r="CD378" s="104">
        <f>('Renewable Diesel'!$AB387*'RD Feedstock Breakdown'!CD$3*'Feedstock Conversion Rates'!$B$6)/12-15-5</f>
        <v>12.830000000000005</v>
      </c>
      <c r="CE378" s="104">
        <f>('Renewable Diesel'!$AB387*'RD Feedstock Breakdown'!CE$3*'Feedstock Conversion Rates'!$B$4)/12+15+5</f>
        <v>31.25</v>
      </c>
      <c r="CF378" s="106">
        <f t="shared" si="372"/>
        <v>44.080000000000005</v>
      </c>
      <c r="CG378" s="104">
        <f>('Renewable Diesel'!AD387*'Feedstock Conversion Rates'!B$4)/12</f>
        <v>112.5</v>
      </c>
      <c r="CH378" s="106">
        <f t="shared" si="358"/>
        <v>112.5</v>
      </c>
      <c r="CI378" s="104">
        <f>('Renewable Diesel'!$AE387*'RD Feedstock Breakdown'!CI$3*'Feedstock Conversion Rates'!$B$5)/12</f>
        <v>0.34604166666666664</v>
      </c>
      <c r="CJ378" s="104">
        <f>('Renewable Diesel'!$AE387*'RD Feedstock Breakdown'!CJ$3*'Feedstock Conversion Rates'!$B$4)/12</f>
        <v>0.34375</v>
      </c>
      <c r="CK378" s="106">
        <f t="shared" si="368"/>
        <v>0.68979166666666658</v>
      </c>
      <c r="CL378" s="104">
        <f>(((CL$3*'Renewable Diesel'!$AF387)*'Feedstock Conversion Rates'!$B$3)/12)</f>
        <v>91.78125</v>
      </c>
      <c r="CM378" s="104">
        <f>(((CM$3*'Renewable Diesel'!$AF387)*'Feedstock Conversion Rates'!$B$6)/12)</f>
        <v>53.739583333333336</v>
      </c>
      <c r="CN378" s="104">
        <f>(((CN$3*'Renewable Diesel'!$AF387)*'Feedstock Conversion Rates'!$B$4)/12)</f>
        <v>42.96875</v>
      </c>
      <c r="CO378" s="106">
        <f t="shared" si="360"/>
        <v>188.48958333333334</v>
      </c>
      <c r="CP378" s="104">
        <f>('Renewable Diesel'!$AG387*'RD Feedstock Breakdown'!CP$3*'Feedstock Conversion Rates'!$B$3)/12</f>
        <v>6.0075000000000003</v>
      </c>
      <c r="CQ378" s="104">
        <f>('Renewable Diesel'!$AG387*'RD Feedstock Breakdown'!CQ$3*'Feedstock Conversion Rates'!$B$6)/12</f>
        <v>3.5175000000000001</v>
      </c>
      <c r="CR378" s="104">
        <f>('Renewable Diesel'!$AG387*'RD Feedstock Breakdown'!CR$3*'Feedstock Conversion Rates'!$B$4)/12</f>
        <v>2.8125</v>
      </c>
      <c r="CS378" s="106">
        <f t="shared" si="397"/>
        <v>12.3375</v>
      </c>
      <c r="CT378" s="104">
        <f>('Renewable Diesel'!AI387*'Feedstock Conversion Rates'!$B$4*'RD Feedstock Breakdown'!$CT$3)/12</f>
        <v>29.375</v>
      </c>
      <c r="CU378" s="106">
        <f t="shared" si="364"/>
        <v>29.375</v>
      </c>
      <c r="CV378" s="104">
        <f>('Renewable Diesel'!AN387*'Feedstock Conversion Rates'!$B$3*'RD Feedstock Breakdown'!$CV$3)/12</f>
        <v>0.50062499999999999</v>
      </c>
      <c r="CW378" s="106">
        <f t="shared" si="338"/>
        <v>0.50062499999999999</v>
      </c>
      <c r="CX378" s="104">
        <f>('Renewable Diesel'!AO387*'RD Feedstock Breakdown'!$CX$3*'Feedstock Conversion Rates'!$B$3)/12</f>
        <v>6.3412499999999996</v>
      </c>
      <c r="CY378" s="104">
        <f>('Renewable Diesel'!AO387*'RD Feedstock Breakdown'!$CY$3*'Feedstock Conversion Rates'!$B$6)/12</f>
        <v>7.4258333333333342</v>
      </c>
      <c r="CZ378" s="106">
        <f t="shared" si="398"/>
        <v>13.767083333333334</v>
      </c>
      <c r="DA378" s="104">
        <f>('Renewable Diesel'!$AP387*'RD Feedstock Breakdown'!DA$3*'Feedstock Conversion Rates'!$B$3)/12</f>
        <v>6.3412499999999996</v>
      </c>
      <c r="DB378" s="104">
        <f>('Renewable Diesel'!$AP387*'RD Feedstock Breakdown'!DB$3*'Feedstock Conversion Rates'!$B$8)/12</f>
        <v>7.421875</v>
      </c>
      <c r="DC378" s="106">
        <f t="shared" si="342"/>
        <v>13.763124999999999</v>
      </c>
      <c r="DD378" s="104">
        <f>('Renewable Diesel'!AQ387*$DD$3*'Feedstock Conversion Rates'!$B$14)/12</f>
        <v>3.1041666666666665</v>
      </c>
      <c r="DE378" s="106">
        <f t="shared" si="343"/>
        <v>3.1041666666666665</v>
      </c>
      <c r="DF378" s="104">
        <f>('Renewable Diesel'!AR387*'Feedstock Conversion Rates'!$B$4*$DF$3)/12</f>
        <v>75</v>
      </c>
      <c r="DG378" s="106">
        <f t="shared" si="399"/>
        <v>75</v>
      </c>
      <c r="DH378" s="104">
        <f>('Renewable Diesel'!AS387*'Feedstock Conversion Rates'!$B$4*$DH$3)/12</f>
        <v>75</v>
      </c>
      <c r="DI378" s="106">
        <f t="shared" si="411"/>
        <v>75</v>
      </c>
      <c r="DJ378" s="104">
        <f>('Renewable Diesel'!AT387*'Feedstock Conversion Rates'!$B$4*0.25)/12</f>
        <v>8.59375</v>
      </c>
      <c r="DK378" s="104">
        <f>('Renewable Diesel'!$AT387*'RD Feedstock Breakdown'!DK$3*'Feedstock Conversion Rates'!$B$3)/12*0.5</f>
        <v>9.1781249999999996</v>
      </c>
      <c r="DL378" s="104">
        <f>('Renewable Diesel'!$AT387*'RD Feedstock Breakdown'!$DL$3*'Feedstock Conversion Rates'!$B$6)/12</f>
        <v>10.747916666666669</v>
      </c>
      <c r="DM378" s="104">
        <f>('Renewable Diesel'!$AT387*'RD Feedstock Breakdown'!$DM$3*'Feedstock Conversion Rates'!$B$8)/12</f>
        <v>10.7421875</v>
      </c>
      <c r="DN378" s="106">
        <f t="shared" si="375"/>
        <v>39.26197916666667</v>
      </c>
      <c r="DP378" s="104">
        <f t="shared" si="345"/>
        <v>103.22025000000001</v>
      </c>
      <c r="DQ378" s="104">
        <f t="shared" si="346"/>
        <v>349.11776750000007</v>
      </c>
      <c r="DR378" s="104">
        <f t="shared" si="351"/>
        <v>1891.953125</v>
      </c>
      <c r="DS378" s="104">
        <f t="shared" si="365"/>
        <v>228.90125</v>
      </c>
      <c r="DT378" s="104">
        <f t="shared" si="347"/>
        <v>243.03923333333344</v>
      </c>
      <c r="DU378" s="104">
        <f t="shared" si="348"/>
        <v>402.90610000000009</v>
      </c>
      <c r="DV378" s="104">
        <f t="shared" si="352"/>
        <v>78.75</v>
      </c>
      <c r="DW378" s="104">
        <f t="shared" si="349"/>
        <v>3</v>
      </c>
      <c r="DX378" s="106">
        <f t="shared" si="353"/>
        <v>3300.8877258333337</v>
      </c>
      <c r="DY378" s="109">
        <f t="shared" si="340"/>
        <v>-5.631051180898794E-13</v>
      </c>
      <c r="EA378" s="110">
        <f t="shared" si="393"/>
        <v>3.1270451640078516E-2</v>
      </c>
      <c r="EB378" s="110">
        <f t="shared" si="393"/>
        <v>0.10576481131658687</v>
      </c>
      <c r="EC378" s="110">
        <f t="shared" si="393"/>
        <v>0.57316494293133291</v>
      </c>
      <c r="ED378" s="110">
        <f t="shared" si="393"/>
        <v>6.9345360706629972E-2</v>
      </c>
      <c r="EE378" s="110">
        <f t="shared" si="393"/>
        <v>7.3628445896921982E-2</v>
      </c>
      <c r="EF378" s="110">
        <f t="shared" si="393"/>
        <v>0.1220599225010852</v>
      </c>
      <c r="EG378" s="110">
        <f t="shared" si="384"/>
        <v>2.3857218585075921E-2</v>
      </c>
      <c r="EH378" s="111">
        <f t="shared" si="354"/>
        <v>9.0884642228860647E-4</v>
      </c>
      <c r="EI378" s="110">
        <f t="shared" si="409"/>
        <v>0.99909115357771139</v>
      </c>
      <c r="EK378" s="132">
        <f>(EA378*'Renewable Diesel'!BF387*'Feedstock Conversion Rates'!B$2)+FB378</f>
        <v>243.4890773473897</v>
      </c>
      <c r="EL378" s="132">
        <f>(EB378*'Renewable Diesel'!BF387*'Feedstock Conversion Rates'!B$3)+FC378</f>
        <v>776.06861328559489</v>
      </c>
      <c r="EM378" s="132">
        <f>(EC378*'Renewable Diesel'!BF387*'Feedstock Conversion Rates'!B$4)+FD378</f>
        <v>3937.9236101565275</v>
      </c>
      <c r="EN378" s="132">
        <f>(ED378*'Renewable Diesel'!BF387*'Feedstock Conversion Rates'!B$5)+FE378</f>
        <v>479.6128027825589</v>
      </c>
      <c r="EO378" s="132">
        <f>(EE378*'Renewable Diesel'!BF387*'Feedstock Conversion Rates'!B$6)+FF378</f>
        <v>632.66655485744093</v>
      </c>
      <c r="EP378" s="132">
        <f>(EF378*'Renewable Diesel'!BF387*'Feedstock Conversion Rates'!B$7)+FG378</f>
        <v>1028.6966409253578</v>
      </c>
      <c r="EQ378" s="132">
        <f>(EG378*'Renewable Diesel'!BF387*'Feedstock Conversion Rates'!B$8)+FH378</f>
        <v>204.88845640654191</v>
      </c>
      <c r="ER378" s="132">
        <f>(EH378*'Renewable Diesel'!BF387*'Feedstock Conversion Rates'!B$9)+FI378</f>
        <v>7.7012042027093841</v>
      </c>
      <c r="ES378" s="132">
        <f t="shared" si="355"/>
        <v>7311.046959964121</v>
      </c>
      <c r="ET378" s="133">
        <f>ES378/'Renewable Diesel'!BF387</f>
        <v>11.837120447877885</v>
      </c>
      <c r="EW378" s="73">
        <f t="shared" si="386"/>
        <v>5856.6439055291949</v>
      </c>
      <c r="EX378" s="73">
        <f t="shared" si="387"/>
        <v>3836.1338372180808</v>
      </c>
      <c r="EY378" s="92">
        <f t="shared" si="410"/>
        <v>0.80106774550904214</v>
      </c>
      <c r="EZ378" s="92">
        <f t="shared" si="410"/>
        <v>0.52470376106528338</v>
      </c>
      <c r="FB378" s="102">
        <f>IF('Renewable Diesel'!$BG387&lt;1,0,(((('Renewable Diesel'!$BG387-1)*'Renewable Diesel'!$BF387)*'RD Feedstock Breakdown'!EA378)*'Feedstock Conversion Rates'!$B$2))</f>
        <v>79.321803561851652</v>
      </c>
      <c r="FC378" s="102">
        <f>IF('Renewable Diesel'!$BG387&lt;1,0,(((('Renewable Diesel'!$BG387-1)*'Renewable Diesel'!$BF387)*'RD Feedstock Breakdown'!EB378)*'Feedstock Conversion Rates'!$B$3))</f>
        <v>252.82104135509601</v>
      </c>
      <c r="FD378" s="102">
        <f>IF('Renewable Diesel'!$BG387&lt;1,0,(((('Renewable Diesel'!$BG387-1)*'Renewable Diesel'!$BF387)*'RD Feedstock Breakdown'!EC378)*'Feedstock Conversion Rates'!$B$4))</f>
        <v>1282.8633072552996</v>
      </c>
      <c r="FE378" s="102">
        <f>IF('Renewable Diesel'!$BG387&lt;1,0,(((('Renewable Diesel'!$BG387-1)*'Renewable Diesel'!$BF387)*'RD Feedstock Breakdown'!ED378)*'Feedstock Conversion Rates'!$B$5))</f>
        <v>156.24418533480915</v>
      </c>
      <c r="FF378" s="102">
        <f>IF('Renewable Diesel'!$BG387&lt;1,0,(((('Renewable Diesel'!$BG387-1)*'Renewable Diesel'!$BF387)*'RD Feedstock Breakdown'!EE378)*'Feedstock Conversion Rates'!$B$6))</f>
        <v>206.10473673509679</v>
      </c>
      <c r="FG378" s="102">
        <f>IF('Renewable Diesel'!$BG387&lt;1,0,(((('Renewable Diesel'!$BG387-1)*'Renewable Diesel'!$BF387)*'RD Feedstock Breakdown'!EF378)*'Feedstock Conversion Rates'!$B$7))</f>
        <v>335.12005452220194</v>
      </c>
      <c r="FH378" s="102">
        <f>IF('Renewable Diesel'!$BG387&lt;1,0,(((('Renewable Diesel'!$BG387-1)*'Renewable Diesel'!$BF387)*'RD Feedstock Breakdown'!EG378)*'Feedstock Conversion Rates'!$B$8))</f>
        <v>66.746821123247202</v>
      </c>
      <c r="FI378" s="102">
        <f>IF('Renewable Diesel'!$BG387&lt;1,0,(((('Renewable Diesel'!$BG387-1)*'Renewable Diesel'!$BF387)*'RD Feedstock Breakdown'!EH378)*'Feedstock Conversion Rates'!$B$9))</f>
        <v>2.5088328955531645</v>
      </c>
      <c r="FJ378" s="102">
        <f t="shared" si="388"/>
        <v>2381.7307827831555</v>
      </c>
      <c r="GD378" s="91">
        <f>'Renewable Diesel'!BB387*0.32</f>
        <v>0</v>
      </c>
      <c r="GE378" s="91">
        <f>'Renewable Diesel'!BC387</f>
        <v>213.54120254829346</v>
      </c>
      <c r="GF378" s="91">
        <f>'Renewable Diesel'!BD387</f>
        <v>0</v>
      </c>
      <c r="GG378" s="91">
        <f t="shared" si="373"/>
        <v>213.54120254829346</v>
      </c>
      <c r="GH378" s="124">
        <v>1</v>
      </c>
      <c r="GI378" s="102">
        <f>$GG378*EA378*'Feedstock Conversion Rates'!$B$2</f>
        <v>56.759003703330279</v>
      </c>
      <c r="GJ378" s="102">
        <f>$GG378*EB378*'Feedstock Conversion Rates'!$B$3</f>
        <v>180.90701141665687</v>
      </c>
      <c r="GK378" s="102">
        <f>$GG378*EC378*'Feedstock Conversion Rates'!$B$4</f>
        <v>917.95748379060615</v>
      </c>
      <c r="GL378" s="102">
        <f>$GG378*ED378*'Feedstock Conversion Rates'!$B$5</f>
        <v>111.801092459114</v>
      </c>
      <c r="GM378" s="102">
        <f>$GG378*EE378*'Feedstock Conversion Rates'!$B$6</f>
        <v>147.47899052118063</v>
      </c>
      <c r="GN378" s="102">
        <f>$GG378*EF378*'Feedstock Conversion Rates'!$B$7</f>
        <v>239.79636823126577</v>
      </c>
      <c r="GO378" s="102">
        <f>$GG378*EG378*'Feedstock Conversion Rates'!$B$8</f>
        <v>47.760929494824452</v>
      </c>
      <c r="GP378" s="102">
        <f>$GG378*EH378*'Feedstock Conversion Rates'!B$9</f>
        <v>1.7952044610118143</v>
      </c>
      <c r="GQ378" s="102">
        <f t="shared" si="356"/>
        <v>1704.2560840779897</v>
      </c>
      <c r="GT378" s="103">
        <f t="shared" si="389"/>
        <v>3.3304269372191893E-2</v>
      </c>
      <c r="GU378" s="103">
        <f t="shared" si="390"/>
        <v>0.1061501338365639</v>
      </c>
      <c r="GV378" s="103">
        <f t="shared" si="391"/>
        <v>0.53862649654979833</v>
      </c>
      <c r="GW378" s="103">
        <f t="shared" si="401"/>
        <v>6.5601110950176775E-2</v>
      </c>
      <c r="GX378" s="103">
        <f t="shared" si="402"/>
        <v>8.6535698419388324E-2</v>
      </c>
      <c r="GY378" s="103">
        <f t="shared" si="403"/>
        <v>0.14070442257566981</v>
      </c>
      <c r="GZ378" s="103">
        <f t="shared" si="404"/>
        <v>2.802450285554552E-2</v>
      </c>
      <c r="HA378" s="103">
        <f t="shared" si="405"/>
        <v>1.053365440665584E-3</v>
      </c>
    </row>
    <row r="379" spans="1:209" x14ac:dyDescent="0.25">
      <c r="A379" s="96">
        <v>51957</v>
      </c>
      <c r="B379" s="104">
        <f t="shared" si="406"/>
        <v>44.25</v>
      </c>
      <c r="C379" s="104">
        <f t="shared" si="396"/>
        <v>49</v>
      </c>
      <c r="D379" s="104">
        <f t="shared" si="407"/>
        <v>2</v>
      </c>
      <c r="E379" s="104">
        <f>('Renewable Diesel'!B388*E$3*'Feedstock Conversion Rates'!$B$2)/12+26+13-100+27.5+39</f>
        <v>95.43</v>
      </c>
      <c r="F379" s="104">
        <f>('Renewable Diesel'!B388*'RD Feedstock Breakdown'!F$3*'Feedstock Conversion Rates'!B$8)/12+77+23-10-12-115.75+24+8</f>
        <v>48.15625</v>
      </c>
      <c r="G379" s="104">
        <f>('Renewable Diesel'!B388*'RD Feedstock Breakdown'!G$3*'Feedstock Conversion Rates'!B$7)/12+116.75-39-57.5-145-31.5+32+70-40+10+60</f>
        <v>151.90700000000004</v>
      </c>
      <c r="H379" s="104">
        <f>('Renewable Diesel'!B388*'RD Feedstock Breakdown'!H$3*'Feedstock Conversion Rates'!B$3)/12+67+10+12+3-235+20+47-20+25</f>
        <v>105.40022499999998</v>
      </c>
      <c r="I379" s="106">
        <f t="shared" si="370"/>
        <v>496.14347500000002</v>
      </c>
      <c r="J379" s="104">
        <f t="shared" si="332"/>
        <v>4</v>
      </c>
      <c r="K379" s="104"/>
      <c r="L379" s="104">
        <v>1</v>
      </c>
      <c r="M379" s="104">
        <f>('Renewable Diesel'!C388*'RD Feedstock Breakdown'!M$3*'Feedstock Conversion Rates'!B$2)/12</f>
        <v>7.7902500000000003</v>
      </c>
      <c r="N379" s="104">
        <f>('Renewable Diesel'!C388*'RD Feedstock Breakdown'!N$3*'Feedstock Conversion Rates'!B$8)/12</f>
        <v>3.671875</v>
      </c>
      <c r="O379" s="104">
        <f>('Renewable Diesel'!C388*'RD Feedstock Breakdown'!O$3*'Feedstock Conversion Rates'!B$7)/12</f>
        <v>11.9991</v>
      </c>
      <c r="P379" s="104">
        <f>('Renewable Diesel'!C388*'RD Feedstock Breakdown'!P$3*'Feedstock Conversion Rates'!B$3)/12</f>
        <v>10.4470425</v>
      </c>
      <c r="Q379" s="106">
        <f t="shared" si="379"/>
        <v>38.908267500000001</v>
      </c>
      <c r="R379" s="104">
        <f>('Renewable Diesel'!D388*'RD Feedstock Breakdown'!R$3*'Feedstock Conversion Rates'!B$7)/12</f>
        <v>2.2999999999999998</v>
      </c>
      <c r="S379" s="106">
        <f t="shared" si="329"/>
        <v>2.2999999999999998</v>
      </c>
      <c r="T379" s="104">
        <f t="shared" si="380"/>
        <v>0.82499999999999929</v>
      </c>
      <c r="U379" s="104"/>
      <c r="V379" s="104">
        <f>('Renewable Diesel'!E388*'RD Feedstock Breakdown'!V$3*'Feedstock Conversion Rates'!B$6)/12-20+25</f>
        <v>49.250150000000012</v>
      </c>
      <c r="W379" s="104">
        <f>('Renewable Diesel'!E388*'RD Feedstock Breakdown'!W$3*'Feedstock Conversion Rates'!B$8)/12-6</f>
        <v>16.1796875</v>
      </c>
      <c r="X379" s="106">
        <f t="shared" si="357"/>
        <v>66.254837500000008</v>
      </c>
      <c r="Y379" s="104">
        <f t="shared" si="381"/>
        <v>98</v>
      </c>
      <c r="Z379" s="104">
        <f>('Renewable Diesel'!F388*'RD Feedstock Breakdown'!Z$3*'Feedstock Conversion Rates'!B$6)/12-142+15+5+20+5+15</f>
        <v>77.460000000000008</v>
      </c>
      <c r="AA379" s="104">
        <f>('Renewable Diesel'!F388*'RD Feedstock Breakdown'!AA$3*'Feedstock Conversion Rates'!B$7)/12+24</f>
        <v>128.26666666666665</v>
      </c>
      <c r="AB379" s="106">
        <f t="shared" si="400"/>
        <v>303.72666666666669</v>
      </c>
      <c r="AC379" s="104">
        <f>('Renewable Diesel'!G388*'RD Feedstock Breakdown'!AC$3*'Feedstock Conversion Rates'!B$5)/12</f>
        <v>11.796875</v>
      </c>
      <c r="AD379" s="104">
        <f>('Renewable Diesel'!G388*'RD Feedstock Breakdown'!AD$3*'Feedstock Conversion Rates'!B$4)/12</f>
        <v>5.859375</v>
      </c>
      <c r="AE379" s="104">
        <f>('Renewable Diesel'!G388*'RD Feedstock Breakdown'!AE$3*'Feedstock Conversion Rates'!B$6)/12</f>
        <v>7.3281250000000009</v>
      </c>
      <c r="AF379" s="106">
        <f t="shared" si="366"/>
        <v>24.984375</v>
      </c>
      <c r="AG379" s="104">
        <f t="shared" si="383"/>
        <v>148</v>
      </c>
      <c r="AH379" s="104"/>
      <c r="AI379" s="104">
        <f>('Renewable Diesel'!H388*'RD Feedstock Breakdown'!AI$3*'Feedstock Conversion Rates'!B$6)/12-130-20+51-49</f>
        <v>0.51666666666667993</v>
      </c>
      <c r="AJ379" s="106">
        <f t="shared" si="328"/>
        <v>148.51666666666668</v>
      </c>
      <c r="AK379" s="104">
        <f>('Renewable Diesel'!J388*'RD Feedstock Breakdown'!AK$3*'Feedstock Conversion Rates'!B$4)/12</f>
        <v>95.8125</v>
      </c>
      <c r="AL379" s="106">
        <f t="shared" si="330"/>
        <v>95.8125</v>
      </c>
      <c r="AM379" s="104">
        <f>('Renewable Diesel'!K388*'RD Feedstock Breakdown'!AM$3*'Feedstock Conversion Rates'!B$4)/12+5+15-10+10</f>
        <v>78.59375</v>
      </c>
      <c r="AN379" s="104">
        <f>('Renewable Diesel'!K388*'RD Feedstock Breakdown'!AN$3*'Feedstock Conversion Rates'!B$6)/12-5-15+10-10</f>
        <v>4.4270833333333321</v>
      </c>
      <c r="AO379" s="106">
        <f t="shared" si="350"/>
        <v>83.020833333333329</v>
      </c>
      <c r="AP379" s="104">
        <f>('Renewable Diesel'!L388*'RD Feedstock Breakdown'!AP$3*'Feedstock Conversion Rates'!B$4)/12+15-10+15</f>
        <v>78.59375</v>
      </c>
      <c r="AQ379" s="104">
        <f>('Renewable Diesel'!L388*'RD Feedstock Breakdown'!AQ$3*'Feedstock Conversion Rates'!B$6)/12-15+10-15</f>
        <v>4.4270833333333321</v>
      </c>
      <c r="AR379" s="106">
        <f t="shared" si="339"/>
        <v>83.020833333333329</v>
      </c>
      <c r="AS379" s="104">
        <f>('Renewable Diesel'!M388*'RD Feedstock Breakdown'!AS$3*'Feedstock Conversion Rates'!B$4)/12</f>
        <v>456.25</v>
      </c>
      <c r="AT379" s="104">
        <f>('Renewable Diesel'!M388*'RD Feedstock Breakdown'!AT$3*'Feedstock Conversion Rates'!B$5)/12</f>
        <v>0</v>
      </c>
      <c r="AU379" s="106">
        <f t="shared" si="369"/>
        <v>456.25</v>
      </c>
      <c r="AV379" s="104">
        <f>'Renewable Diesel'!N388*'RD Feedstock Breakdown'!$AV$3*'Feedstock Conversion Rates'!$B$4/12-15-10+25+25-22+25</f>
        <v>106.74999999999999</v>
      </c>
      <c r="AW379" s="104">
        <f>'Renewable Diesel'!N388*'RD Feedstock Breakdown'!$AW$3*'Feedstock Conversion Rates'!$B$7/12+15+10-25-25+22-25</f>
        <v>13.400000000000006</v>
      </c>
      <c r="AX379" s="106">
        <f t="shared" si="408"/>
        <v>120.14999999999999</v>
      </c>
      <c r="AY379" s="104">
        <f>('Renewable Diesel'!O388*'RD Feedstock Breakdown'!AY$3*'Feedstock Conversion Rates'!B$4)/12</f>
        <v>210.9375</v>
      </c>
      <c r="AZ379" s="104">
        <f>('Renewable Diesel'!O388*'RD Feedstock Breakdown'!AZ$3*'Feedstock Conversion Rates'!B$3)/12</f>
        <v>25.03125</v>
      </c>
      <c r="BA379" s="106">
        <f t="shared" si="382"/>
        <v>235.96875</v>
      </c>
      <c r="BB379" s="104">
        <f>('Renewable Diesel'!Q388*'RD Feedstock Breakdown'!BB$3*'Feedstock Conversion Rates'!B$4)/12</f>
        <v>11.156249999999998</v>
      </c>
      <c r="BC379" s="104">
        <f>('Renewable Diesel'!Q388*'RD Feedstock Breakdown'!BC$3*'Feedstock Conversion Rates'!B$3)/12</f>
        <v>1.4017500000000001</v>
      </c>
      <c r="BD379" s="104">
        <f>('Renewable Diesel'!Q388*'RD Feedstock Breakdown'!BD$3*'Feedstock Conversion Rates'!B$6)/12</f>
        <v>0.8207500000000002</v>
      </c>
      <c r="BE379" s="106">
        <f t="shared" si="359"/>
        <v>13.378749999999998</v>
      </c>
      <c r="BF379" s="104">
        <f>('Renewable Diesel'!R388*'RD Feedstock Breakdown'!BF$3*'Feedstock Conversion Rates'!B$4)/12</f>
        <v>62.5</v>
      </c>
      <c r="BG379" s="106">
        <f t="shared" si="344"/>
        <v>62.5</v>
      </c>
      <c r="BH379" s="104">
        <f>('Renewable Diesel'!T388*'RD Feedstock Breakdown'!BH$3*'Feedstock Conversion Rates'!B$7)/12</f>
        <v>27.599999999999998</v>
      </c>
      <c r="BI379" s="106">
        <f t="shared" si="327"/>
        <v>27.599999999999998</v>
      </c>
      <c r="BJ379" s="104">
        <f>('Renewable Diesel'!W388*'RD Feedstock Breakdown'!BJ$3*'Feedstock Conversion Rates'!B$4)/12</f>
        <v>7.5</v>
      </c>
      <c r="BK379" s="104">
        <f>('Renewable Diesel'!W388*'RD Feedstock Breakdown'!BK$3*'Feedstock Conversion Rates'!B$3)/12</f>
        <v>1.335</v>
      </c>
      <c r="BL379" s="104">
        <f>('Renewable Diesel'!W388*'RD Feedstock Breakdown'!BL$3*'Feedstock Conversion Rates'!B$6)/12</f>
        <v>3.1266666666666669</v>
      </c>
      <c r="BM379" s="104">
        <f>('Renewable Diesel'!W388*'RD Feedstock Breakdown'!BM$3*'Feedstock Conversion Rates'!B$7)/12</f>
        <v>1.5333333333333332</v>
      </c>
      <c r="BN379" s="106">
        <f t="shared" si="374"/>
        <v>13.495000000000001</v>
      </c>
      <c r="BO379" s="104">
        <f>('Renewable Diesel'!P388*'Feedstock Conversion Rates'!B$4)/12</f>
        <v>31.25</v>
      </c>
      <c r="BP379" s="106">
        <f t="shared" si="367"/>
        <v>31.25</v>
      </c>
      <c r="BQ379" s="104">
        <f>('Renewable Diesel'!$S388*'RD Feedstock Breakdown'!BQ$3*'Feedstock Conversion Rates'!B$4)/12+10+15-15</f>
        <v>38.125</v>
      </c>
      <c r="BR379" s="104">
        <f>('Renewable Diesel'!$S388*'RD Feedstock Breakdown'!BR$3*'Feedstock Conversion Rates'!B$7)/12-10-15+15</f>
        <v>1.5</v>
      </c>
      <c r="BS379" s="106">
        <f t="shared" si="385"/>
        <v>39.625</v>
      </c>
      <c r="BT379" s="106"/>
      <c r="BU379" s="104">
        <f>('Renewable Diesel'!Y388*'Feedstock Conversion Rates'!B$7)/12</f>
        <v>2.6833333333333331</v>
      </c>
      <c r="BV379" s="106">
        <f t="shared" si="361"/>
        <v>2.6833333333333331</v>
      </c>
      <c r="BW379" s="104">
        <f>('Renewable Diesel'!$Z388*'RD Feedstock Breakdown'!BW$3*'Feedstock Conversion Rates'!$B$4)/12-250+180</f>
        <v>1.875</v>
      </c>
      <c r="BX379" s="104">
        <f>('Renewable Diesel'!$Z388*'RD Feedstock Breakdown'!BX$3*'Feedstock Conversion Rates'!$B$5)/12</f>
        <v>7.2354166666666666</v>
      </c>
      <c r="BY379" s="104">
        <f>('Renewable Diesel'!$Z388*'RD Feedstock Breakdown'!BY$3*'Feedstock Conversion Rates'!$B$7)/12</f>
        <v>61.716666666666661</v>
      </c>
      <c r="BZ379" s="104">
        <f>('Renewable Diesel'!$Z388*'RD Feedstock Breakdown'!BZ$3*'Feedstock Conversion Rates'!$B$3)/12+250-180</f>
        <v>85.35250000000002</v>
      </c>
      <c r="CA379" s="106">
        <f t="shared" si="392"/>
        <v>156.17958333333334</v>
      </c>
      <c r="CB379" s="104">
        <f>('Renewable Diesel'!AA388*'Feedstock Conversion Rates'!B$4)/12</f>
        <v>191.25</v>
      </c>
      <c r="CC379" s="106">
        <f t="shared" si="376"/>
        <v>191.25</v>
      </c>
      <c r="CD379" s="104">
        <f>('Renewable Diesel'!$AB388*'RD Feedstock Breakdown'!CD$3*'Feedstock Conversion Rates'!$B$6)/12-15-5</f>
        <v>12.830000000000005</v>
      </c>
      <c r="CE379" s="104">
        <f>('Renewable Diesel'!$AB388*'RD Feedstock Breakdown'!CE$3*'Feedstock Conversion Rates'!$B$4)/12+15+5</f>
        <v>31.25</v>
      </c>
      <c r="CF379" s="106">
        <f t="shared" si="372"/>
        <v>44.080000000000005</v>
      </c>
      <c r="CG379" s="104">
        <f>('Renewable Diesel'!AD388*'Feedstock Conversion Rates'!B$4)/12</f>
        <v>112.5</v>
      </c>
      <c r="CH379" s="106">
        <f t="shared" si="358"/>
        <v>112.5</v>
      </c>
      <c r="CI379" s="104">
        <f>('Renewable Diesel'!$AE388*'RD Feedstock Breakdown'!CI$3*'Feedstock Conversion Rates'!$B$5)/12</f>
        <v>0.34604166666666664</v>
      </c>
      <c r="CJ379" s="104">
        <f>('Renewable Diesel'!$AE388*'RD Feedstock Breakdown'!CJ$3*'Feedstock Conversion Rates'!$B$4)/12</f>
        <v>0.34375</v>
      </c>
      <c r="CK379" s="106">
        <f t="shared" si="368"/>
        <v>0.68979166666666658</v>
      </c>
      <c r="CL379" s="104">
        <f>(((CL$3*'Renewable Diesel'!$AF388)*'Feedstock Conversion Rates'!$B$3)/12)</f>
        <v>91.78125</v>
      </c>
      <c r="CM379" s="104">
        <f>(((CM$3*'Renewable Diesel'!$AF388)*'Feedstock Conversion Rates'!$B$6)/12)</f>
        <v>53.739583333333336</v>
      </c>
      <c r="CN379" s="104">
        <f>(((CN$3*'Renewable Diesel'!$AF388)*'Feedstock Conversion Rates'!$B$4)/12)</f>
        <v>42.96875</v>
      </c>
      <c r="CO379" s="106">
        <f t="shared" si="360"/>
        <v>188.48958333333334</v>
      </c>
      <c r="CP379" s="104">
        <f>('Renewable Diesel'!$AG388*'RD Feedstock Breakdown'!CP$3*'Feedstock Conversion Rates'!$B$3)/12</f>
        <v>6.0075000000000003</v>
      </c>
      <c r="CQ379" s="104">
        <f>('Renewable Diesel'!$AG388*'RD Feedstock Breakdown'!CQ$3*'Feedstock Conversion Rates'!$B$6)/12</f>
        <v>3.5175000000000001</v>
      </c>
      <c r="CR379" s="104">
        <f>('Renewable Diesel'!$AG388*'RD Feedstock Breakdown'!CR$3*'Feedstock Conversion Rates'!$B$4)/12</f>
        <v>2.8125</v>
      </c>
      <c r="CS379" s="106">
        <f t="shared" si="397"/>
        <v>12.3375</v>
      </c>
      <c r="CT379" s="104">
        <f>('Renewable Diesel'!AI388*'Feedstock Conversion Rates'!$B$4*'RD Feedstock Breakdown'!$CT$3)/12</f>
        <v>29.375</v>
      </c>
      <c r="CU379" s="106">
        <f t="shared" si="364"/>
        <v>29.375</v>
      </c>
      <c r="CV379" s="104">
        <f>('Renewable Diesel'!AN388*'Feedstock Conversion Rates'!$B$3*'RD Feedstock Breakdown'!$CV$3)/12</f>
        <v>0.50062499999999999</v>
      </c>
      <c r="CW379" s="106">
        <f t="shared" si="338"/>
        <v>0.50062499999999999</v>
      </c>
      <c r="CX379" s="104">
        <f>('Renewable Diesel'!AO388*'RD Feedstock Breakdown'!$CX$3*'Feedstock Conversion Rates'!$B$3)/12</f>
        <v>6.3412499999999996</v>
      </c>
      <c r="CY379" s="104">
        <f>('Renewable Diesel'!AO388*'RD Feedstock Breakdown'!$CY$3*'Feedstock Conversion Rates'!$B$6)/12</f>
        <v>7.4258333333333342</v>
      </c>
      <c r="CZ379" s="106">
        <f t="shared" si="398"/>
        <v>13.767083333333334</v>
      </c>
      <c r="DA379" s="104">
        <f>('Renewable Diesel'!$AP388*'RD Feedstock Breakdown'!DA$3*'Feedstock Conversion Rates'!$B$3)/12</f>
        <v>6.3412499999999996</v>
      </c>
      <c r="DB379" s="104">
        <f>('Renewable Diesel'!$AP388*'RD Feedstock Breakdown'!DB$3*'Feedstock Conversion Rates'!$B$8)/12</f>
        <v>7.421875</v>
      </c>
      <c r="DC379" s="106">
        <f t="shared" si="342"/>
        <v>13.763124999999999</v>
      </c>
      <c r="DD379" s="104">
        <f>('Renewable Diesel'!AQ388*$DD$3*'Feedstock Conversion Rates'!$B$14)/12</f>
        <v>3.1041666666666665</v>
      </c>
      <c r="DE379" s="106">
        <f t="shared" si="343"/>
        <v>3.1041666666666665</v>
      </c>
      <c r="DF379" s="104">
        <f>('Renewable Diesel'!AR388*'Feedstock Conversion Rates'!$B$4*$DF$3)/12</f>
        <v>75</v>
      </c>
      <c r="DG379" s="106">
        <f t="shared" si="399"/>
        <v>75</v>
      </c>
      <c r="DH379" s="104">
        <f>('Renewable Diesel'!AS388*'Feedstock Conversion Rates'!$B$4*$DH$3)/12</f>
        <v>75</v>
      </c>
      <c r="DI379" s="106">
        <f t="shared" si="411"/>
        <v>75</v>
      </c>
      <c r="DJ379" s="104">
        <f>('Renewable Diesel'!AT388*'Feedstock Conversion Rates'!$B$4*0.25)/12</f>
        <v>8.59375</v>
      </c>
      <c r="DK379" s="104">
        <f>('Renewable Diesel'!$AT388*'RD Feedstock Breakdown'!DK$3*'Feedstock Conversion Rates'!$B$3)/12*0.5</f>
        <v>9.1781249999999996</v>
      </c>
      <c r="DL379" s="104">
        <f>('Renewable Diesel'!$AT388*'RD Feedstock Breakdown'!$DL$3*'Feedstock Conversion Rates'!$B$6)/12</f>
        <v>10.747916666666669</v>
      </c>
      <c r="DM379" s="104">
        <f>('Renewable Diesel'!$AT388*'RD Feedstock Breakdown'!$DM$3*'Feedstock Conversion Rates'!$B$8)/12</f>
        <v>10.7421875</v>
      </c>
      <c r="DN379" s="106">
        <f t="shared" si="375"/>
        <v>39.26197916666667</v>
      </c>
      <c r="DP379" s="104">
        <f t="shared" si="345"/>
        <v>103.22025000000001</v>
      </c>
      <c r="DQ379" s="104">
        <f t="shared" si="346"/>
        <v>349.11776750000007</v>
      </c>
      <c r="DR379" s="104">
        <f t="shared" si="351"/>
        <v>1891.953125</v>
      </c>
      <c r="DS379" s="104">
        <f t="shared" si="365"/>
        <v>228.90125</v>
      </c>
      <c r="DT379" s="104">
        <f t="shared" si="347"/>
        <v>243.03923333333344</v>
      </c>
      <c r="DU379" s="104">
        <f t="shared" si="348"/>
        <v>402.90610000000009</v>
      </c>
      <c r="DV379" s="104">
        <f t="shared" si="352"/>
        <v>78.75</v>
      </c>
      <c r="DW379" s="104">
        <f t="shared" si="349"/>
        <v>3</v>
      </c>
      <c r="DX379" s="106">
        <f t="shared" si="353"/>
        <v>3300.8877258333337</v>
      </c>
      <c r="DY379" s="109">
        <f t="shared" si="340"/>
        <v>-5.631051180898794E-13</v>
      </c>
      <c r="EA379" s="110">
        <f t="shared" si="393"/>
        <v>3.1270451640078516E-2</v>
      </c>
      <c r="EB379" s="110">
        <f t="shared" si="393"/>
        <v>0.10576481131658687</v>
      </c>
      <c r="EC379" s="110">
        <f t="shared" si="393"/>
        <v>0.57316494293133291</v>
      </c>
      <c r="ED379" s="110">
        <f t="shared" si="393"/>
        <v>6.9345360706629972E-2</v>
      </c>
      <c r="EE379" s="110">
        <f t="shared" si="393"/>
        <v>7.3628445896921982E-2</v>
      </c>
      <c r="EF379" s="110">
        <f t="shared" si="393"/>
        <v>0.1220599225010852</v>
      </c>
      <c r="EG379" s="110">
        <f t="shared" si="384"/>
        <v>2.3857218585075921E-2</v>
      </c>
      <c r="EH379" s="111">
        <f t="shared" si="354"/>
        <v>9.0884642228860647E-4</v>
      </c>
      <c r="EI379" s="110">
        <f t="shared" si="409"/>
        <v>0.99909115357771139</v>
      </c>
      <c r="EK379" s="132">
        <f>(EA379*'Renewable Diesel'!BF388*'Feedstock Conversion Rates'!B$2)+FB379</f>
        <v>311.54763232794824</v>
      </c>
      <c r="EL379" s="132">
        <f>(EB379*'Renewable Diesel'!BF388*'Feedstock Conversion Rates'!B$3)+FC379</f>
        <v>992.99049315549587</v>
      </c>
      <c r="EM379" s="132">
        <f>(EC379*'Renewable Diesel'!BF388*'Feedstock Conversion Rates'!B$4)+FD379</f>
        <v>5038.6275655487625</v>
      </c>
      <c r="EN379" s="132">
        <f>(ED379*'Renewable Diesel'!BF388*'Feedstock Conversion Rates'!B$5)+FE379</f>
        <v>613.6711953115431</v>
      </c>
      <c r="EO379" s="132">
        <f>(EE379*'Renewable Diesel'!BF388*'Feedstock Conversion Rates'!B$6)+FF379</f>
        <v>809.50558179536654</v>
      </c>
      <c r="EP379" s="132">
        <f>(EF379*'Renewable Diesel'!BF388*'Feedstock Conversion Rates'!B$7)+FG379</f>
        <v>1316.2315384141996</v>
      </c>
      <c r="EQ379" s="132">
        <f>(EG379*'Renewable Diesel'!BF388*'Feedstock Conversion Rates'!B$8)+FH379</f>
        <v>262.15760550817367</v>
      </c>
      <c r="ER379" s="132">
        <f>(EH379*'Renewable Diesel'!BF388*'Feedstock Conversion Rates'!B$9)+FI379</f>
        <v>9.8537969816405582</v>
      </c>
      <c r="ES379" s="132">
        <f t="shared" si="355"/>
        <v>9354.5854090431294</v>
      </c>
      <c r="ET379" s="133">
        <f>ES379/'Renewable Diesel'!BF388</f>
        <v>12.725261656809604</v>
      </c>
      <c r="EW379" s="73">
        <f t="shared" si="386"/>
        <v>7759.635743459693</v>
      </c>
      <c r="EX379" s="73">
        <f t="shared" si="387"/>
        <v>5082.6039144824745</v>
      </c>
      <c r="EY379" s="92">
        <f t="shared" si="410"/>
        <v>0.82950076397382722</v>
      </c>
      <c r="EZ379" s="92">
        <f t="shared" si="410"/>
        <v>0.54332754389832105</v>
      </c>
      <c r="FB379" s="102">
        <f>IF('Renewable Diesel'!$BG388&lt;1,0,(((('Renewable Diesel'!$BG388-1)*'Renewable Diesel'!$BF388)*'RD Feedstock Breakdown'!EA379)*'Feedstock Conversion Rates'!$B$2))</f>
        <v>116.15377658240314</v>
      </c>
      <c r="FC379" s="102">
        <f>IF('Renewable Diesel'!$BG388&lt;1,0,(((('Renewable Diesel'!$BG388-1)*'Renewable Diesel'!$BF388)*'RD Feedstock Breakdown'!EB379)*'Feedstock Conversion Rates'!$B$3))</f>
        <v>370.2149652962936</v>
      </c>
      <c r="FD379" s="102">
        <f>IF('Renewable Diesel'!$BG388&lt;1,0,(((('Renewable Diesel'!$BG388-1)*'Renewable Diesel'!$BF388)*'RD Feedstock Breakdown'!EC379)*'Feedstock Conversion Rates'!$B$4))</f>
        <v>1878.542989261507</v>
      </c>
      <c r="FE379" s="102">
        <f>IF('Renewable Diesel'!$BG388&lt;1,0,(((('Renewable Diesel'!$BG388-1)*'Renewable Diesel'!$BF388)*'RD Feedstock Breakdown'!ED379)*'Feedstock Conversion Rates'!$B$5))</f>
        <v>228.79399333788123</v>
      </c>
      <c r="FF379" s="102">
        <f>IF('Renewable Diesel'!$BG388&lt;1,0,(((('Renewable Diesel'!$BG388-1)*'Renewable Diesel'!$BF388)*'RD Feedstock Breakdown'!EE379)*'Feedstock Conversion Rates'!$B$6))</f>
        <v>301.80659627382545</v>
      </c>
      <c r="FG379" s="102">
        <f>IF('Renewable Diesel'!$BG388&lt;1,0,(((('Renewable Diesel'!$BG388-1)*'Renewable Diesel'!$BF388)*'RD Feedstock Breakdown'!EF379)*'Feedstock Conversion Rates'!$B$7))</f>
        <v>490.72837723492057</v>
      </c>
      <c r="FH379" s="102">
        <f>IF('Renewable Diesel'!$BG388&lt;1,0,(((('Renewable Diesel'!$BG388-1)*'Renewable Diesel'!$BF388)*'RD Feedstock Breakdown'!EG379)*'Feedstock Conversion Rates'!$B$8))</f>
        <v>97.739776457426558</v>
      </c>
      <c r="FI379" s="102">
        <f>IF('Renewable Diesel'!$BG388&lt;1,0,(((('Renewable Diesel'!$BG388-1)*'Renewable Diesel'!$BF388)*'RD Feedstock Breakdown'!EH379)*'Feedstock Conversion Rates'!$B$9))</f>
        <v>3.6737744547807316</v>
      </c>
      <c r="FJ379" s="102">
        <f t="shared" si="388"/>
        <v>3487.6542488990385</v>
      </c>
      <c r="GD379" s="91">
        <f>'Renewable Diesel'!BB388*0.32</f>
        <v>0</v>
      </c>
      <c r="GE379" s="91">
        <f>'Renewable Diesel'!BC388</f>
        <v>342.76190405742483</v>
      </c>
      <c r="GF379" s="91">
        <f>'Renewable Diesel'!BD388</f>
        <v>0</v>
      </c>
      <c r="GG379" s="91">
        <f t="shared" si="373"/>
        <v>342.76190405742483</v>
      </c>
      <c r="GH379" s="124">
        <v>1</v>
      </c>
      <c r="GI379" s="102">
        <f>$GG379*EA379*'Feedstock Conversion Rates'!$B$2</f>
        <v>91.105716131555951</v>
      </c>
      <c r="GJ379" s="102">
        <f>$GG379*EB379*'Feedstock Conversion Rates'!$B$3</f>
        <v>290.37970635427217</v>
      </c>
      <c r="GK379" s="102">
        <f>$GG379*EC379*'Feedstock Conversion Rates'!$B$4</f>
        <v>1473.4433038358168</v>
      </c>
      <c r="GL379" s="102">
        <f>$GG379*ED379*'Feedstock Conversion Rates'!$B$5</f>
        <v>179.4555564438183</v>
      </c>
      <c r="GM379" s="102">
        <f>$GG379*EE379*'Feedstock Conversion Rates'!$B$6</f>
        <v>236.72330677296148</v>
      </c>
      <c r="GN379" s="102">
        <f>$GG379*EF379*'Feedstock Conversion Rates'!$B$7</f>
        <v>384.90492129927776</v>
      </c>
      <c r="GO379" s="102">
        <f>$GG379*EG379*'Feedstock Conversion Rates'!$B$8</f>
        <v>76.662615635013793</v>
      </c>
      <c r="GP379" s="102">
        <f>$GG379*EH379*'Feedstock Conversion Rates'!B$9</f>
        <v>2.8815408543446455</v>
      </c>
      <c r="GQ379" s="102">
        <f t="shared" si="356"/>
        <v>2735.5566673270609</v>
      </c>
      <c r="GT379" s="103">
        <f t="shared" si="389"/>
        <v>3.3304269372191886E-2</v>
      </c>
      <c r="GU379" s="103">
        <f t="shared" si="390"/>
        <v>0.10615013383656388</v>
      </c>
      <c r="GV379" s="103">
        <f t="shared" si="391"/>
        <v>0.53862649654979833</v>
      </c>
      <c r="GW379" s="103">
        <f t="shared" si="401"/>
        <v>6.5601110950176775E-2</v>
      </c>
      <c r="GX379" s="103">
        <f t="shared" si="402"/>
        <v>8.653569841938831E-2</v>
      </c>
      <c r="GY379" s="103">
        <f t="shared" si="403"/>
        <v>0.14070442257566984</v>
      </c>
      <c r="GZ379" s="103">
        <f t="shared" si="404"/>
        <v>2.802450285554552E-2</v>
      </c>
      <c r="HA379" s="103">
        <f t="shared" si="405"/>
        <v>1.053365440665584E-3</v>
      </c>
    </row>
    <row r="380" spans="1:209" x14ac:dyDescent="0.25">
      <c r="A380" s="96">
        <v>51987</v>
      </c>
      <c r="B380" s="104">
        <f t="shared" si="406"/>
        <v>44.25</v>
      </c>
      <c r="C380" s="104">
        <f t="shared" si="396"/>
        <v>49</v>
      </c>
      <c r="D380" s="104">
        <f t="shared" si="407"/>
        <v>2</v>
      </c>
      <c r="E380" s="104">
        <f>('Renewable Diesel'!B389*E$3*'Feedstock Conversion Rates'!$B$2)/12+26+13-100+27.5+39</f>
        <v>95.43</v>
      </c>
      <c r="F380" s="104">
        <f>('Renewable Diesel'!B389*'RD Feedstock Breakdown'!F$3*'Feedstock Conversion Rates'!B$8)/12+77+23-10-12-115.75+24+8</f>
        <v>48.15625</v>
      </c>
      <c r="G380" s="104">
        <f>('Renewable Diesel'!B389*'RD Feedstock Breakdown'!G$3*'Feedstock Conversion Rates'!B$7)/12+116.75-39-57.5-145-31.5+32+70-40+10+60</f>
        <v>151.90700000000004</v>
      </c>
      <c r="H380" s="104">
        <f>('Renewable Diesel'!B389*'RD Feedstock Breakdown'!H$3*'Feedstock Conversion Rates'!B$3)/12+67+10+12+3-235+20+47-20+25</f>
        <v>105.40022499999998</v>
      </c>
      <c r="I380" s="106">
        <f t="shared" si="370"/>
        <v>496.14347500000002</v>
      </c>
      <c r="J380" s="104">
        <f t="shared" si="332"/>
        <v>4</v>
      </c>
      <c r="K380" s="104"/>
      <c r="L380" s="104">
        <v>1</v>
      </c>
      <c r="M380" s="104">
        <f>('Renewable Diesel'!C389*'RD Feedstock Breakdown'!M$3*'Feedstock Conversion Rates'!B$2)/12</f>
        <v>7.7902500000000003</v>
      </c>
      <c r="N380" s="104">
        <f>('Renewable Diesel'!C389*'RD Feedstock Breakdown'!N$3*'Feedstock Conversion Rates'!B$8)/12</f>
        <v>3.671875</v>
      </c>
      <c r="O380" s="104">
        <f>('Renewable Diesel'!C389*'RD Feedstock Breakdown'!O$3*'Feedstock Conversion Rates'!B$7)/12</f>
        <v>11.9991</v>
      </c>
      <c r="P380" s="104">
        <f>('Renewable Diesel'!C389*'RD Feedstock Breakdown'!P$3*'Feedstock Conversion Rates'!B$3)/12</f>
        <v>10.4470425</v>
      </c>
      <c r="Q380" s="106">
        <f t="shared" si="379"/>
        <v>38.908267500000001</v>
      </c>
      <c r="R380" s="104">
        <f>('Renewable Diesel'!D389*'RD Feedstock Breakdown'!R$3*'Feedstock Conversion Rates'!B$7)/12</f>
        <v>2.2999999999999998</v>
      </c>
      <c r="S380" s="106">
        <f t="shared" si="329"/>
        <v>2.2999999999999998</v>
      </c>
      <c r="T380" s="104">
        <f t="shared" si="380"/>
        <v>0.82499999999999929</v>
      </c>
      <c r="U380" s="104"/>
      <c r="V380" s="104">
        <f>('Renewable Diesel'!E389*'RD Feedstock Breakdown'!V$3*'Feedstock Conversion Rates'!B$6)/12-20+25</f>
        <v>49.250150000000012</v>
      </c>
      <c r="W380" s="104">
        <f>('Renewable Diesel'!E389*'RD Feedstock Breakdown'!W$3*'Feedstock Conversion Rates'!B$8)/12-6</f>
        <v>16.1796875</v>
      </c>
      <c r="X380" s="106">
        <f t="shared" si="357"/>
        <v>66.254837500000008</v>
      </c>
      <c r="Y380" s="104">
        <f t="shared" si="381"/>
        <v>98</v>
      </c>
      <c r="Z380" s="104">
        <f>('Renewable Diesel'!F389*'RD Feedstock Breakdown'!Z$3*'Feedstock Conversion Rates'!B$6)/12-142+15+5+20+5+15</f>
        <v>77.460000000000008</v>
      </c>
      <c r="AA380" s="104">
        <f>('Renewable Diesel'!F389*'RD Feedstock Breakdown'!AA$3*'Feedstock Conversion Rates'!B$7)/12+24</f>
        <v>128.26666666666665</v>
      </c>
      <c r="AB380" s="106">
        <f t="shared" si="400"/>
        <v>303.72666666666669</v>
      </c>
      <c r="AC380" s="104">
        <f>('Renewable Diesel'!G389*'RD Feedstock Breakdown'!AC$3*'Feedstock Conversion Rates'!B$5)/12</f>
        <v>11.796875</v>
      </c>
      <c r="AD380" s="104">
        <f>('Renewable Diesel'!G389*'RD Feedstock Breakdown'!AD$3*'Feedstock Conversion Rates'!B$4)/12</f>
        <v>5.859375</v>
      </c>
      <c r="AE380" s="104">
        <f>('Renewable Diesel'!G389*'RD Feedstock Breakdown'!AE$3*'Feedstock Conversion Rates'!B$6)/12</f>
        <v>7.3281250000000009</v>
      </c>
      <c r="AF380" s="106">
        <f t="shared" si="366"/>
        <v>24.984375</v>
      </c>
      <c r="AG380" s="104">
        <f t="shared" si="383"/>
        <v>148</v>
      </c>
      <c r="AH380" s="104"/>
      <c r="AI380" s="104">
        <f>('Renewable Diesel'!H389*'RD Feedstock Breakdown'!AI$3*'Feedstock Conversion Rates'!B$6)/12-130-20+51-49</f>
        <v>0.51666666666667993</v>
      </c>
      <c r="AJ380" s="106">
        <f t="shared" si="328"/>
        <v>148.51666666666668</v>
      </c>
      <c r="AK380" s="104">
        <f>('Renewable Diesel'!J389*'RD Feedstock Breakdown'!AK$3*'Feedstock Conversion Rates'!B$4)/12</f>
        <v>95.8125</v>
      </c>
      <c r="AL380" s="106">
        <f t="shared" si="330"/>
        <v>95.8125</v>
      </c>
      <c r="AM380" s="104">
        <f>('Renewable Diesel'!K389*'RD Feedstock Breakdown'!AM$3*'Feedstock Conversion Rates'!B$4)/12+5+15-10+10</f>
        <v>78.59375</v>
      </c>
      <c r="AN380" s="104">
        <f>('Renewable Diesel'!K389*'RD Feedstock Breakdown'!AN$3*'Feedstock Conversion Rates'!B$6)/12-5-15+10-10</f>
        <v>4.4270833333333321</v>
      </c>
      <c r="AO380" s="106">
        <f t="shared" si="350"/>
        <v>83.020833333333329</v>
      </c>
      <c r="AP380" s="104">
        <f>('Renewable Diesel'!L389*'RD Feedstock Breakdown'!AP$3*'Feedstock Conversion Rates'!B$4)/12+15-10+15</f>
        <v>78.59375</v>
      </c>
      <c r="AQ380" s="104">
        <f>('Renewable Diesel'!L389*'RD Feedstock Breakdown'!AQ$3*'Feedstock Conversion Rates'!B$6)/12-15+10-15</f>
        <v>4.4270833333333321</v>
      </c>
      <c r="AR380" s="106">
        <f t="shared" si="339"/>
        <v>83.020833333333329</v>
      </c>
      <c r="AS380" s="104">
        <f>('Renewable Diesel'!M389*'RD Feedstock Breakdown'!AS$3*'Feedstock Conversion Rates'!B$4)/12</f>
        <v>456.25</v>
      </c>
      <c r="AT380" s="104">
        <f>('Renewable Diesel'!M389*'RD Feedstock Breakdown'!AT$3*'Feedstock Conversion Rates'!B$5)/12</f>
        <v>0</v>
      </c>
      <c r="AU380" s="106">
        <f t="shared" si="369"/>
        <v>456.25</v>
      </c>
      <c r="AV380" s="104">
        <f>'Renewable Diesel'!N389*'RD Feedstock Breakdown'!$AV$3*'Feedstock Conversion Rates'!$B$4/12-15-10+25+25-22+25</f>
        <v>106.74999999999999</v>
      </c>
      <c r="AW380" s="104">
        <f>'Renewable Diesel'!N389*'RD Feedstock Breakdown'!$AW$3*'Feedstock Conversion Rates'!$B$7/12+15+10-25-25+22-25</f>
        <v>13.400000000000006</v>
      </c>
      <c r="AX380" s="106">
        <f t="shared" si="408"/>
        <v>120.14999999999999</v>
      </c>
      <c r="AY380" s="104">
        <f>('Renewable Diesel'!O389*'RD Feedstock Breakdown'!AY$3*'Feedstock Conversion Rates'!B$4)/12</f>
        <v>210.9375</v>
      </c>
      <c r="AZ380" s="104">
        <f>('Renewable Diesel'!O389*'RD Feedstock Breakdown'!AZ$3*'Feedstock Conversion Rates'!B$3)/12</f>
        <v>25.03125</v>
      </c>
      <c r="BA380" s="106">
        <f t="shared" si="382"/>
        <v>235.96875</v>
      </c>
      <c r="BB380" s="104">
        <f>('Renewable Diesel'!Q389*'RD Feedstock Breakdown'!BB$3*'Feedstock Conversion Rates'!B$4)/12</f>
        <v>11.156249999999998</v>
      </c>
      <c r="BC380" s="104">
        <f>('Renewable Diesel'!Q389*'RD Feedstock Breakdown'!BC$3*'Feedstock Conversion Rates'!B$3)/12</f>
        <v>1.4017500000000001</v>
      </c>
      <c r="BD380" s="104">
        <f>('Renewable Diesel'!Q389*'RD Feedstock Breakdown'!BD$3*'Feedstock Conversion Rates'!B$6)/12</f>
        <v>0.8207500000000002</v>
      </c>
      <c r="BE380" s="106">
        <f t="shared" si="359"/>
        <v>13.378749999999998</v>
      </c>
      <c r="BF380" s="104">
        <f>('Renewable Diesel'!R389*'RD Feedstock Breakdown'!BF$3*'Feedstock Conversion Rates'!B$4)/12</f>
        <v>62.5</v>
      </c>
      <c r="BG380" s="106">
        <f t="shared" si="344"/>
        <v>62.5</v>
      </c>
      <c r="BH380" s="104">
        <f>('Renewable Diesel'!T389*'RD Feedstock Breakdown'!BH$3*'Feedstock Conversion Rates'!B$7)/12</f>
        <v>27.599999999999998</v>
      </c>
      <c r="BI380" s="106">
        <f t="shared" si="327"/>
        <v>27.599999999999998</v>
      </c>
      <c r="BJ380" s="104">
        <f>('Renewable Diesel'!W389*'RD Feedstock Breakdown'!BJ$3*'Feedstock Conversion Rates'!B$4)/12</f>
        <v>7.5</v>
      </c>
      <c r="BK380" s="104">
        <f>('Renewable Diesel'!W389*'RD Feedstock Breakdown'!BK$3*'Feedstock Conversion Rates'!B$3)/12</f>
        <v>1.335</v>
      </c>
      <c r="BL380" s="104">
        <f>('Renewable Diesel'!W389*'RD Feedstock Breakdown'!BL$3*'Feedstock Conversion Rates'!B$6)/12</f>
        <v>3.1266666666666669</v>
      </c>
      <c r="BM380" s="104">
        <f>('Renewable Diesel'!W389*'RD Feedstock Breakdown'!BM$3*'Feedstock Conversion Rates'!B$7)/12</f>
        <v>1.5333333333333332</v>
      </c>
      <c r="BN380" s="106">
        <f t="shared" si="374"/>
        <v>13.495000000000001</v>
      </c>
      <c r="BO380" s="104">
        <f>('Renewable Diesel'!P389*'Feedstock Conversion Rates'!B$4)/12</f>
        <v>31.25</v>
      </c>
      <c r="BP380" s="106">
        <f t="shared" si="367"/>
        <v>31.25</v>
      </c>
      <c r="BQ380" s="104">
        <f>('Renewable Diesel'!$S389*'RD Feedstock Breakdown'!BQ$3*'Feedstock Conversion Rates'!B$4)/12+10+15-15</f>
        <v>38.125</v>
      </c>
      <c r="BR380" s="104">
        <f>('Renewable Diesel'!$S389*'RD Feedstock Breakdown'!BR$3*'Feedstock Conversion Rates'!B$7)/12-10-15+15</f>
        <v>1.5</v>
      </c>
      <c r="BS380" s="106">
        <f t="shared" si="385"/>
        <v>39.625</v>
      </c>
      <c r="BT380" s="106"/>
      <c r="BU380" s="104">
        <f>('Renewable Diesel'!Y389*'Feedstock Conversion Rates'!B$7)/12</f>
        <v>2.6833333333333331</v>
      </c>
      <c r="BV380" s="106">
        <f t="shared" si="361"/>
        <v>2.6833333333333331</v>
      </c>
      <c r="BW380" s="104">
        <f>('Renewable Diesel'!$Z389*'RD Feedstock Breakdown'!BW$3*'Feedstock Conversion Rates'!$B$4)/12-250+180</f>
        <v>1.875</v>
      </c>
      <c r="BX380" s="104">
        <f>('Renewable Diesel'!$Z389*'RD Feedstock Breakdown'!BX$3*'Feedstock Conversion Rates'!$B$5)/12</f>
        <v>7.2354166666666666</v>
      </c>
      <c r="BY380" s="104">
        <f>('Renewable Diesel'!$Z389*'RD Feedstock Breakdown'!BY$3*'Feedstock Conversion Rates'!$B$7)/12</f>
        <v>61.716666666666661</v>
      </c>
      <c r="BZ380" s="104">
        <f>('Renewable Diesel'!$Z389*'RD Feedstock Breakdown'!BZ$3*'Feedstock Conversion Rates'!$B$3)/12+250-180</f>
        <v>85.35250000000002</v>
      </c>
      <c r="CA380" s="106">
        <f t="shared" si="392"/>
        <v>156.17958333333334</v>
      </c>
      <c r="CB380" s="104">
        <f>('Renewable Diesel'!AA389*'Feedstock Conversion Rates'!B$4)/12</f>
        <v>191.25</v>
      </c>
      <c r="CC380" s="106">
        <f t="shared" si="376"/>
        <v>191.25</v>
      </c>
      <c r="CD380" s="104">
        <f>('Renewable Diesel'!$AB389*'RD Feedstock Breakdown'!CD$3*'Feedstock Conversion Rates'!$B$6)/12-15-5</f>
        <v>12.830000000000005</v>
      </c>
      <c r="CE380" s="104">
        <f>('Renewable Diesel'!$AB389*'RD Feedstock Breakdown'!CE$3*'Feedstock Conversion Rates'!$B$4)/12+15+5</f>
        <v>31.25</v>
      </c>
      <c r="CF380" s="106">
        <f t="shared" si="372"/>
        <v>44.080000000000005</v>
      </c>
      <c r="CG380" s="104">
        <f>('Renewable Diesel'!AD389*'Feedstock Conversion Rates'!B$4)/12</f>
        <v>112.5</v>
      </c>
      <c r="CH380" s="106">
        <f t="shared" si="358"/>
        <v>112.5</v>
      </c>
      <c r="CI380" s="104">
        <f>('Renewable Diesel'!$AE389*'RD Feedstock Breakdown'!CI$3*'Feedstock Conversion Rates'!$B$5)/12</f>
        <v>0.34604166666666664</v>
      </c>
      <c r="CJ380" s="104">
        <f>('Renewable Diesel'!$AE389*'RD Feedstock Breakdown'!CJ$3*'Feedstock Conversion Rates'!$B$4)/12</f>
        <v>0.34375</v>
      </c>
      <c r="CK380" s="106">
        <f t="shared" si="368"/>
        <v>0.68979166666666658</v>
      </c>
      <c r="CL380" s="104">
        <f>(((CL$3*'Renewable Diesel'!$AF389)*'Feedstock Conversion Rates'!$B$3)/12)</f>
        <v>91.78125</v>
      </c>
      <c r="CM380" s="104">
        <f>(((CM$3*'Renewable Diesel'!$AF389)*'Feedstock Conversion Rates'!$B$6)/12)</f>
        <v>53.739583333333336</v>
      </c>
      <c r="CN380" s="104">
        <f>(((CN$3*'Renewable Diesel'!$AF389)*'Feedstock Conversion Rates'!$B$4)/12)</f>
        <v>42.96875</v>
      </c>
      <c r="CO380" s="106">
        <f t="shared" si="360"/>
        <v>188.48958333333334</v>
      </c>
      <c r="CP380" s="104">
        <f>('Renewable Diesel'!$AG389*'RD Feedstock Breakdown'!CP$3*'Feedstock Conversion Rates'!$B$3)/12</f>
        <v>6.0075000000000003</v>
      </c>
      <c r="CQ380" s="104">
        <f>('Renewable Diesel'!$AG389*'RD Feedstock Breakdown'!CQ$3*'Feedstock Conversion Rates'!$B$6)/12</f>
        <v>3.5175000000000001</v>
      </c>
      <c r="CR380" s="104">
        <f>('Renewable Diesel'!$AG389*'RD Feedstock Breakdown'!CR$3*'Feedstock Conversion Rates'!$B$4)/12</f>
        <v>2.8125</v>
      </c>
      <c r="CS380" s="106">
        <f t="shared" si="397"/>
        <v>12.3375</v>
      </c>
      <c r="CT380" s="104">
        <f>('Renewable Diesel'!AI389*'Feedstock Conversion Rates'!$B$4*'RD Feedstock Breakdown'!$CT$3)/12</f>
        <v>29.375</v>
      </c>
      <c r="CU380" s="106">
        <f t="shared" si="364"/>
        <v>29.375</v>
      </c>
      <c r="CV380" s="104">
        <f>('Renewable Diesel'!AN389*'Feedstock Conversion Rates'!$B$3*'RD Feedstock Breakdown'!$CV$3)/12</f>
        <v>0.50062499999999999</v>
      </c>
      <c r="CW380" s="106">
        <f t="shared" si="338"/>
        <v>0.50062499999999999</v>
      </c>
      <c r="CX380" s="104">
        <f>('Renewable Diesel'!AO389*'RD Feedstock Breakdown'!$CX$3*'Feedstock Conversion Rates'!$B$3)/12</f>
        <v>6.3412499999999996</v>
      </c>
      <c r="CY380" s="104">
        <f>('Renewable Diesel'!AO389*'RD Feedstock Breakdown'!$CY$3*'Feedstock Conversion Rates'!$B$6)/12</f>
        <v>7.4258333333333342</v>
      </c>
      <c r="CZ380" s="106">
        <f t="shared" si="398"/>
        <v>13.767083333333334</v>
      </c>
      <c r="DA380" s="104">
        <f>('Renewable Diesel'!$AP389*'RD Feedstock Breakdown'!DA$3*'Feedstock Conversion Rates'!$B$3)/12</f>
        <v>6.3412499999999996</v>
      </c>
      <c r="DB380" s="104">
        <f>('Renewable Diesel'!$AP389*'RD Feedstock Breakdown'!DB$3*'Feedstock Conversion Rates'!$B$8)/12</f>
        <v>7.421875</v>
      </c>
      <c r="DC380" s="106">
        <f t="shared" si="342"/>
        <v>13.763124999999999</v>
      </c>
      <c r="DD380" s="104">
        <f>('Renewable Diesel'!AQ389*$DD$3*'Feedstock Conversion Rates'!$B$14)/12</f>
        <v>3.1041666666666665</v>
      </c>
      <c r="DE380" s="106">
        <f t="shared" si="343"/>
        <v>3.1041666666666665</v>
      </c>
      <c r="DF380" s="104">
        <f>('Renewable Diesel'!AR389*'Feedstock Conversion Rates'!$B$4*$DF$3)/12</f>
        <v>75</v>
      </c>
      <c r="DG380" s="106">
        <f t="shared" si="399"/>
        <v>75</v>
      </c>
      <c r="DH380" s="104">
        <f>('Renewable Diesel'!AS389*'Feedstock Conversion Rates'!$B$4*$DH$3)/12</f>
        <v>75</v>
      </c>
      <c r="DI380" s="106">
        <f t="shared" si="411"/>
        <v>75</v>
      </c>
      <c r="DJ380" s="104">
        <f>('Renewable Diesel'!AT389*'Feedstock Conversion Rates'!$B$4*0.25)/12</f>
        <v>8.59375</v>
      </c>
      <c r="DK380" s="104">
        <f>('Renewable Diesel'!$AT389*'RD Feedstock Breakdown'!DK$3*'Feedstock Conversion Rates'!$B$3)/12*0.5</f>
        <v>9.1781249999999996</v>
      </c>
      <c r="DL380" s="104">
        <f>('Renewable Diesel'!$AT389*'RD Feedstock Breakdown'!$DL$3*'Feedstock Conversion Rates'!$B$6)/12</f>
        <v>10.747916666666669</v>
      </c>
      <c r="DM380" s="104">
        <f>('Renewable Diesel'!$AT389*'RD Feedstock Breakdown'!$DM$3*'Feedstock Conversion Rates'!$B$8)/12</f>
        <v>10.7421875</v>
      </c>
      <c r="DN380" s="106">
        <f t="shared" si="375"/>
        <v>39.26197916666667</v>
      </c>
      <c r="DP380" s="104">
        <f t="shared" si="345"/>
        <v>103.22025000000001</v>
      </c>
      <c r="DQ380" s="104">
        <f t="shared" si="346"/>
        <v>349.11776750000007</v>
      </c>
      <c r="DR380" s="104">
        <f t="shared" si="351"/>
        <v>1891.953125</v>
      </c>
      <c r="DS380" s="104">
        <f t="shared" si="365"/>
        <v>228.90125</v>
      </c>
      <c r="DT380" s="104">
        <f t="shared" si="347"/>
        <v>243.03923333333344</v>
      </c>
      <c r="DU380" s="104">
        <f t="shared" si="348"/>
        <v>402.90610000000009</v>
      </c>
      <c r="DV380" s="104">
        <f t="shared" si="352"/>
        <v>78.75</v>
      </c>
      <c r="DW380" s="104">
        <f t="shared" si="349"/>
        <v>3</v>
      </c>
      <c r="DX380" s="106">
        <f t="shared" si="353"/>
        <v>3300.8877258333337</v>
      </c>
      <c r="DY380" s="109">
        <f t="shared" si="340"/>
        <v>-5.631051180898794E-13</v>
      </c>
      <c r="EA380" s="110">
        <f t="shared" si="393"/>
        <v>3.1270451640078516E-2</v>
      </c>
      <c r="EB380" s="110">
        <f t="shared" si="393"/>
        <v>0.10576481131658687</v>
      </c>
      <c r="EC380" s="110">
        <f t="shared" si="393"/>
        <v>0.57316494293133291</v>
      </c>
      <c r="ED380" s="110">
        <f t="shared" si="393"/>
        <v>6.9345360706629972E-2</v>
      </c>
      <c r="EE380" s="110">
        <f t="shared" si="393"/>
        <v>7.3628445896921982E-2</v>
      </c>
      <c r="EF380" s="110">
        <f t="shared" si="393"/>
        <v>0.1220599225010852</v>
      </c>
      <c r="EG380" s="110">
        <f t="shared" si="384"/>
        <v>2.3857218585075921E-2</v>
      </c>
      <c r="EH380" s="111">
        <f t="shared" si="354"/>
        <v>9.0884642228860647E-4</v>
      </c>
      <c r="EI380" s="110">
        <f t="shared" si="409"/>
        <v>0.99909115357771139</v>
      </c>
      <c r="EK380" s="132">
        <f>(EA380*'Renewable Diesel'!BF389*'Feedstock Conversion Rates'!B$2)+FB380</f>
        <v>471.33369986509717</v>
      </c>
      <c r="EL380" s="132">
        <f>(EB380*'Renewable Diesel'!BF389*'Feedstock Conversion Rates'!B$3)+FC380</f>
        <v>1502.2739205964476</v>
      </c>
      <c r="EM380" s="132">
        <f>(EC380*'Renewable Diesel'!BF389*'Feedstock Conversion Rates'!B$4)+FD380</f>
        <v>7622.8310739093404</v>
      </c>
      <c r="EN380" s="132">
        <f>(ED380*'Renewable Diesel'!BF389*'Feedstock Conversion Rates'!B$5)+FE380</f>
        <v>928.40992828459662</v>
      </c>
      <c r="EO380" s="132">
        <f>(EE380*'Renewable Diesel'!BF389*'Feedstock Conversion Rates'!B$6)+FF380</f>
        <v>1224.68355184746</v>
      </c>
      <c r="EP380" s="132">
        <f>(EF380*'Renewable Diesel'!BF389*'Feedstock Conversion Rates'!B$7)+FG380</f>
        <v>1991.2983329202475</v>
      </c>
      <c r="EQ380" s="132">
        <f>(EG380*'Renewable Diesel'!BF389*'Feedstock Conversion Rates'!B$8)+FH380</f>
        <v>396.61259252284628</v>
      </c>
      <c r="ER380" s="132">
        <f>(EH380*'Renewable Diesel'!BF389*'Feedstock Conversion Rates'!B$9)+FI380</f>
        <v>14.907597128477777</v>
      </c>
      <c r="ES380" s="132">
        <f t="shared" si="355"/>
        <v>14152.350697074513</v>
      </c>
      <c r="ET380" s="133">
        <f>ES380/'Renewable Diesel'!BF389</f>
        <v>15.910687991477941</v>
      </c>
      <c r="EW380" s="73">
        <f t="shared" si="386"/>
        <v>12813.11352412397</v>
      </c>
      <c r="EX380" s="73">
        <f t="shared" si="387"/>
        <v>8392.6595406635406</v>
      </c>
      <c r="EY380" s="92">
        <f t="shared" si="410"/>
        <v>0.90536998399655388</v>
      </c>
      <c r="EZ380" s="92">
        <f t="shared" si="410"/>
        <v>0.59302229857817323</v>
      </c>
      <c r="FB380" s="102">
        <f>IF('Renewable Diesel'!$BG389&lt;1,0,(((('Renewable Diesel'!$BG389-1)*'Renewable Diesel'!$BF389)*'RD Feedstock Breakdown'!EA380)*'Feedstock Conversion Rates'!$B$2))</f>
        <v>234.90907853015713</v>
      </c>
      <c r="FC380" s="102">
        <f>IF('Renewable Diesel'!$BG389&lt;1,0,(((('Renewable Diesel'!$BG389-1)*'Renewable Diesel'!$BF389)*'RD Feedstock Breakdown'!EB380)*'Feedstock Conversion Rates'!$B$3))</f>
        <v>748.7217283385479</v>
      </c>
      <c r="FD380" s="102">
        <f>IF('Renewable Diesel'!$BG389&lt;1,0,(((('Renewable Diesel'!$BG389-1)*'Renewable Diesel'!$BF389)*'RD Feedstock Breakdown'!EC380)*'Feedstock Conversion Rates'!$B$4))</f>
        <v>3799.1601786072342</v>
      </c>
      <c r="FE380" s="102">
        <f>IF('Renewable Diesel'!$BG389&lt;1,0,(((('Renewable Diesel'!$BG389-1)*'Renewable Diesel'!$BF389)*'RD Feedstock Breakdown'!ED380)*'Feedstock Conversion Rates'!$B$5))</f>
        <v>462.7123433227988</v>
      </c>
      <c r="FF380" s="102">
        <f>IF('Renewable Diesel'!$BG389&lt;1,0,(((('Renewable Diesel'!$BG389-1)*'Renewable Diesel'!$BF389)*'RD Feedstock Breakdown'!EE380)*'Feedstock Conversion Rates'!$B$6))</f>
        <v>610.37283083697969</v>
      </c>
      <c r="FG380" s="102">
        <f>IF('Renewable Diesel'!$BG389&lt;1,0,(((('Renewable Diesel'!$BG389-1)*'Renewable Diesel'!$BF389)*'RD Feedstock Breakdown'!EF380)*'Feedstock Conversion Rates'!$B$7))</f>
        <v>992.44772143137106</v>
      </c>
      <c r="FH380" s="102">
        <f>IF('Renewable Diesel'!$BG389&lt;1,0,(((('Renewable Diesel'!$BG389-1)*'Renewable Diesel'!$BF389)*'RD Feedstock Breakdown'!EG380)*'Feedstock Conversion Rates'!$B$8))</f>
        <v>197.66865528534149</v>
      </c>
      <c r="FI380" s="102">
        <f>IF('Renewable Diesel'!$BG389&lt;1,0,(((('Renewable Diesel'!$BG389-1)*'Renewable Diesel'!$BF389)*'RD Feedstock Breakdown'!EH380)*'Feedstock Conversion Rates'!$B$9))</f>
        <v>7.4298313605664861</v>
      </c>
      <c r="FJ380" s="102">
        <f t="shared" si="388"/>
        <v>7053.4223677129976</v>
      </c>
      <c r="GD380" s="91">
        <f>'Renewable Diesel'!BB389*0.32</f>
        <v>0</v>
      </c>
      <c r="GE380" s="91">
        <f>'Renewable Diesel'!BC389</f>
        <v>451.18661120667758</v>
      </c>
      <c r="GF380" s="91">
        <f>'Renewable Diesel'!BD389</f>
        <v>0</v>
      </c>
      <c r="GG380" s="91">
        <f t="shared" si="373"/>
        <v>451.18661120667758</v>
      </c>
      <c r="GH380" s="124">
        <v>1</v>
      </c>
      <c r="GI380" s="102">
        <f>$GG380*EA380*'Feedstock Conversion Rates'!$B$2</f>
        <v>119.92487740430921</v>
      </c>
      <c r="GJ380" s="102">
        <f>$GG380*EB380*'Feedstock Conversion Rates'!$B$3</f>
        <v>382.2345310907844</v>
      </c>
      <c r="GK380" s="102">
        <f>$GG380*EC380*'Feedstock Conversion Rates'!$B$4</f>
        <v>1939.5326119774263</v>
      </c>
      <c r="GL380" s="102">
        <f>$GG380*ED380*'Feedstock Conversion Rates'!$B$5</f>
        <v>236.2221221659745</v>
      </c>
      <c r="GM380" s="102">
        <f>$GG380*EE380*'Feedstock Conversion Rates'!$B$6</f>
        <v>311.60518515102359</v>
      </c>
      <c r="GN380" s="102">
        <f>$GG380*EF380*'Feedstock Conversion Rates'!$B$7</f>
        <v>506.66058573621177</v>
      </c>
      <c r="GO380" s="102">
        <f>$GG380*EG380*'Feedstock Conversion Rates'!$B$8</f>
        <v>100.91304005828786</v>
      </c>
      <c r="GP380" s="102">
        <f>$GG380*EH380*'Feedstock Conversion Rates'!B$9</f>
        <v>3.7930488707623118</v>
      </c>
      <c r="GQ380" s="102">
        <f t="shared" si="356"/>
        <v>3600.8860024547803</v>
      </c>
      <c r="GT380" s="103">
        <f t="shared" si="389"/>
        <v>3.3304269372191886E-2</v>
      </c>
      <c r="GU380" s="103">
        <f t="shared" si="390"/>
        <v>0.10615013383656388</v>
      </c>
      <c r="GV380" s="103">
        <f t="shared" si="391"/>
        <v>0.53862649654979822</v>
      </c>
      <c r="GW380" s="103">
        <f t="shared" si="401"/>
        <v>6.5601110950176775E-2</v>
      </c>
      <c r="GX380" s="103">
        <f t="shared" si="402"/>
        <v>8.653569841938831E-2</v>
      </c>
      <c r="GY380" s="103">
        <f t="shared" si="403"/>
        <v>0.14070442257566981</v>
      </c>
      <c r="GZ380" s="103">
        <f t="shared" si="404"/>
        <v>2.8024502855545516E-2</v>
      </c>
      <c r="HA380" s="103">
        <f t="shared" si="405"/>
        <v>1.0533654406655838E-3</v>
      </c>
    </row>
    <row r="381" spans="1:209" x14ac:dyDescent="0.25">
      <c r="A381" s="96">
        <v>52018</v>
      </c>
      <c r="B381" s="104">
        <f t="shared" si="406"/>
        <v>44.25</v>
      </c>
      <c r="C381" s="104">
        <f t="shared" si="396"/>
        <v>49</v>
      </c>
      <c r="D381" s="104">
        <f t="shared" si="407"/>
        <v>2</v>
      </c>
      <c r="E381" s="104">
        <f>('Renewable Diesel'!B390*E$3*'Feedstock Conversion Rates'!$B$2)/12+26+13-100+27.5+39</f>
        <v>95.43</v>
      </c>
      <c r="F381" s="104">
        <f>('Renewable Diesel'!B390*'RD Feedstock Breakdown'!F$3*'Feedstock Conversion Rates'!B$8)/12+77+23-10-12-115.75+24+8</f>
        <v>48.15625</v>
      </c>
      <c r="G381" s="104">
        <f>('Renewable Diesel'!B390*'RD Feedstock Breakdown'!G$3*'Feedstock Conversion Rates'!B$7)/12+116.75-39-57.5-145-31.5+32+70-40+10+60</f>
        <v>151.90700000000004</v>
      </c>
      <c r="H381" s="104">
        <f>('Renewable Diesel'!B390*'RD Feedstock Breakdown'!H$3*'Feedstock Conversion Rates'!B$3)/12+67+10+12+3-235+20+47-20+25</f>
        <v>105.40022499999998</v>
      </c>
      <c r="I381" s="106">
        <f t="shared" si="370"/>
        <v>496.14347500000002</v>
      </c>
      <c r="J381" s="104">
        <f t="shared" si="332"/>
        <v>4</v>
      </c>
      <c r="K381" s="104"/>
      <c r="L381" s="104">
        <v>1</v>
      </c>
      <c r="M381" s="104">
        <f>('Renewable Diesel'!C390*'RD Feedstock Breakdown'!M$3*'Feedstock Conversion Rates'!B$2)/12</f>
        <v>7.7902500000000003</v>
      </c>
      <c r="N381" s="104">
        <f>('Renewable Diesel'!C390*'RD Feedstock Breakdown'!N$3*'Feedstock Conversion Rates'!B$8)/12</f>
        <v>3.671875</v>
      </c>
      <c r="O381" s="104">
        <f>('Renewable Diesel'!C390*'RD Feedstock Breakdown'!O$3*'Feedstock Conversion Rates'!B$7)/12</f>
        <v>11.9991</v>
      </c>
      <c r="P381" s="104">
        <f>('Renewable Diesel'!C390*'RD Feedstock Breakdown'!P$3*'Feedstock Conversion Rates'!B$3)/12</f>
        <v>10.4470425</v>
      </c>
      <c r="Q381" s="106">
        <f t="shared" si="379"/>
        <v>38.908267500000001</v>
      </c>
      <c r="R381" s="104">
        <f>('Renewable Diesel'!D390*'RD Feedstock Breakdown'!R$3*'Feedstock Conversion Rates'!B$7)/12</f>
        <v>2.2999999999999998</v>
      </c>
      <c r="S381" s="106">
        <f t="shared" si="329"/>
        <v>2.2999999999999998</v>
      </c>
      <c r="T381" s="104">
        <f t="shared" si="380"/>
        <v>0.82499999999999929</v>
      </c>
      <c r="U381" s="104"/>
      <c r="V381" s="104">
        <f>('Renewable Diesel'!E390*'RD Feedstock Breakdown'!V$3*'Feedstock Conversion Rates'!B$6)/12-20+25</f>
        <v>49.250150000000012</v>
      </c>
      <c r="W381" s="104">
        <f>('Renewable Diesel'!E390*'RD Feedstock Breakdown'!W$3*'Feedstock Conversion Rates'!B$8)/12-6</f>
        <v>16.1796875</v>
      </c>
      <c r="X381" s="106">
        <f t="shared" si="357"/>
        <v>66.254837500000008</v>
      </c>
      <c r="Y381" s="104">
        <f t="shared" si="381"/>
        <v>98</v>
      </c>
      <c r="Z381" s="104">
        <f>('Renewable Diesel'!F390*'RD Feedstock Breakdown'!Z$3*'Feedstock Conversion Rates'!B$6)/12-142+15+5+20+5+15</f>
        <v>77.460000000000008</v>
      </c>
      <c r="AA381" s="104">
        <f>('Renewable Diesel'!F390*'RD Feedstock Breakdown'!AA$3*'Feedstock Conversion Rates'!B$7)/12+24</f>
        <v>128.26666666666665</v>
      </c>
      <c r="AB381" s="106">
        <f t="shared" si="400"/>
        <v>303.72666666666669</v>
      </c>
      <c r="AC381" s="104">
        <f>('Renewable Diesel'!G390*'RD Feedstock Breakdown'!AC$3*'Feedstock Conversion Rates'!B$5)/12</f>
        <v>11.796875</v>
      </c>
      <c r="AD381" s="104">
        <f>('Renewable Diesel'!G390*'RD Feedstock Breakdown'!AD$3*'Feedstock Conversion Rates'!B$4)/12</f>
        <v>5.859375</v>
      </c>
      <c r="AE381" s="104">
        <f>('Renewable Diesel'!G390*'RD Feedstock Breakdown'!AE$3*'Feedstock Conversion Rates'!B$6)/12</f>
        <v>7.3281250000000009</v>
      </c>
      <c r="AF381" s="106">
        <f t="shared" si="366"/>
        <v>24.984375</v>
      </c>
      <c r="AG381" s="104">
        <f t="shared" si="383"/>
        <v>148</v>
      </c>
      <c r="AH381" s="104"/>
      <c r="AI381" s="104">
        <f>('Renewable Diesel'!H390*'RD Feedstock Breakdown'!AI$3*'Feedstock Conversion Rates'!B$6)/12-130-20+51-49</f>
        <v>0.51666666666667993</v>
      </c>
      <c r="AJ381" s="106">
        <f t="shared" si="328"/>
        <v>148.51666666666668</v>
      </c>
      <c r="AK381" s="104">
        <f>('Renewable Diesel'!J390*'RD Feedstock Breakdown'!AK$3*'Feedstock Conversion Rates'!B$4)/12</f>
        <v>95.8125</v>
      </c>
      <c r="AL381" s="106">
        <f t="shared" si="330"/>
        <v>95.8125</v>
      </c>
      <c r="AM381" s="104">
        <f>('Renewable Diesel'!K390*'RD Feedstock Breakdown'!AM$3*'Feedstock Conversion Rates'!B$4)/12+5+15-10+10</f>
        <v>78.59375</v>
      </c>
      <c r="AN381" s="104">
        <f>('Renewable Diesel'!K390*'RD Feedstock Breakdown'!AN$3*'Feedstock Conversion Rates'!B$6)/12-5-15+10-10</f>
        <v>4.4270833333333321</v>
      </c>
      <c r="AO381" s="106">
        <f t="shared" si="350"/>
        <v>83.020833333333329</v>
      </c>
      <c r="AP381" s="104">
        <f>('Renewable Diesel'!L390*'RD Feedstock Breakdown'!AP$3*'Feedstock Conversion Rates'!B$4)/12+15-10+15</f>
        <v>78.59375</v>
      </c>
      <c r="AQ381" s="104">
        <f>('Renewable Diesel'!L390*'RD Feedstock Breakdown'!AQ$3*'Feedstock Conversion Rates'!B$6)/12-15+10-15</f>
        <v>4.4270833333333321</v>
      </c>
      <c r="AR381" s="106">
        <f t="shared" si="339"/>
        <v>83.020833333333329</v>
      </c>
      <c r="AS381" s="104">
        <f>('Renewable Diesel'!M390*'RD Feedstock Breakdown'!AS$3*'Feedstock Conversion Rates'!B$4)/12</f>
        <v>456.25</v>
      </c>
      <c r="AT381" s="104">
        <f>('Renewable Diesel'!M390*'RD Feedstock Breakdown'!AT$3*'Feedstock Conversion Rates'!B$5)/12</f>
        <v>0</v>
      </c>
      <c r="AU381" s="106">
        <f t="shared" si="369"/>
        <v>456.25</v>
      </c>
      <c r="AV381" s="104">
        <f>'Renewable Diesel'!N390*'RD Feedstock Breakdown'!$AV$3*'Feedstock Conversion Rates'!$B$4/12-15-10+25+25-22+25</f>
        <v>106.74999999999999</v>
      </c>
      <c r="AW381" s="104">
        <f>'Renewable Diesel'!N390*'RD Feedstock Breakdown'!$AW$3*'Feedstock Conversion Rates'!$B$7/12+15+10-25-25+22-25</f>
        <v>13.400000000000006</v>
      </c>
      <c r="AX381" s="106">
        <f t="shared" si="408"/>
        <v>120.14999999999999</v>
      </c>
      <c r="AY381" s="104">
        <f>('Renewable Diesel'!O390*'RD Feedstock Breakdown'!AY$3*'Feedstock Conversion Rates'!B$4)/12</f>
        <v>210.9375</v>
      </c>
      <c r="AZ381" s="104">
        <f>('Renewable Diesel'!O390*'RD Feedstock Breakdown'!AZ$3*'Feedstock Conversion Rates'!B$3)/12</f>
        <v>25.03125</v>
      </c>
      <c r="BA381" s="106">
        <f t="shared" si="382"/>
        <v>235.96875</v>
      </c>
      <c r="BB381" s="104">
        <f>('Renewable Diesel'!Q390*'RD Feedstock Breakdown'!BB$3*'Feedstock Conversion Rates'!B$4)/12</f>
        <v>11.156249999999998</v>
      </c>
      <c r="BC381" s="104">
        <f>('Renewable Diesel'!Q390*'RD Feedstock Breakdown'!BC$3*'Feedstock Conversion Rates'!B$3)/12</f>
        <v>1.4017500000000001</v>
      </c>
      <c r="BD381" s="104">
        <f>('Renewable Diesel'!Q390*'RD Feedstock Breakdown'!BD$3*'Feedstock Conversion Rates'!B$6)/12</f>
        <v>0.8207500000000002</v>
      </c>
      <c r="BE381" s="106">
        <f t="shared" si="359"/>
        <v>13.378749999999998</v>
      </c>
      <c r="BF381" s="104">
        <f>('Renewable Diesel'!R390*'RD Feedstock Breakdown'!BF$3*'Feedstock Conversion Rates'!B$4)/12</f>
        <v>62.5</v>
      </c>
      <c r="BG381" s="106">
        <f t="shared" si="344"/>
        <v>62.5</v>
      </c>
      <c r="BH381" s="104">
        <f>('Renewable Diesel'!T390*'RD Feedstock Breakdown'!BH$3*'Feedstock Conversion Rates'!B$7)/12</f>
        <v>27.599999999999998</v>
      </c>
      <c r="BI381" s="106">
        <f t="shared" ref="BI381:BI444" si="412">BH381</f>
        <v>27.599999999999998</v>
      </c>
      <c r="BJ381" s="104">
        <f>('Renewable Diesel'!W390*'RD Feedstock Breakdown'!BJ$3*'Feedstock Conversion Rates'!B$4)/12</f>
        <v>7.5</v>
      </c>
      <c r="BK381" s="104">
        <f>('Renewable Diesel'!W390*'RD Feedstock Breakdown'!BK$3*'Feedstock Conversion Rates'!B$3)/12</f>
        <v>1.335</v>
      </c>
      <c r="BL381" s="104">
        <f>('Renewable Diesel'!W390*'RD Feedstock Breakdown'!BL$3*'Feedstock Conversion Rates'!B$6)/12</f>
        <v>3.1266666666666669</v>
      </c>
      <c r="BM381" s="104">
        <f>('Renewable Diesel'!W390*'RD Feedstock Breakdown'!BM$3*'Feedstock Conversion Rates'!B$7)/12</f>
        <v>1.5333333333333332</v>
      </c>
      <c r="BN381" s="106">
        <f t="shared" si="374"/>
        <v>13.495000000000001</v>
      </c>
      <c r="BO381" s="104">
        <f>('Renewable Diesel'!P390*'Feedstock Conversion Rates'!B$4)/12</f>
        <v>31.25</v>
      </c>
      <c r="BP381" s="106">
        <f t="shared" si="367"/>
        <v>31.25</v>
      </c>
      <c r="BQ381" s="104">
        <f>('Renewable Diesel'!$S390*'RD Feedstock Breakdown'!BQ$3*'Feedstock Conversion Rates'!B$4)/12+10+15-15</f>
        <v>38.125</v>
      </c>
      <c r="BR381" s="104">
        <f>('Renewable Diesel'!$S390*'RD Feedstock Breakdown'!BR$3*'Feedstock Conversion Rates'!B$7)/12-10-15+15</f>
        <v>1.5</v>
      </c>
      <c r="BS381" s="106">
        <f t="shared" si="385"/>
        <v>39.625</v>
      </c>
      <c r="BT381" s="106"/>
      <c r="BU381" s="104">
        <f>('Renewable Diesel'!Y390*'Feedstock Conversion Rates'!B$7)/12</f>
        <v>2.6833333333333331</v>
      </c>
      <c r="BV381" s="106">
        <f t="shared" si="361"/>
        <v>2.6833333333333331</v>
      </c>
      <c r="BW381" s="104">
        <f>('Renewable Diesel'!$Z390*'RD Feedstock Breakdown'!BW$3*'Feedstock Conversion Rates'!$B$4)/12-250+180</f>
        <v>1.875</v>
      </c>
      <c r="BX381" s="104">
        <f>('Renewable Diesel'!$Z390*'RD Feedstock Breakdown'!BX$3*'Feedstock Conversion Rates'!$B$5)/12</f>
        <v>7.2354166666666666</v>
      </c>
      <c r="BY381" s="104">
        <f>('Renewable Diesel'!$Z390*'RD Feedstock Breakdown'!BY$3*'Feedstock Conversion Rates'!$B$7)/12</f>
        <v>61.716666666666661</v>
      </c>
      <c r="BZ381" s="104">
        <f>('Renewable Diesel'!$Z390*'RD Feedstock Breakdown'!BZ$3*'Feedstock Conversion Rates'!$B$3)/12+250-180</f>
        <v>85.35250000000002</v>
      </c>
      <c r="CA381" s="106">
        <f t="shared" si="392"/>
        <v>156.17958333333334</v>
      </c>
      <c r="CB381" s="104">
        <f>('Renewable Diesel'!AA390*'Feedstock Conversion Rates'!B$4)/12</f>
        <v>191.25</v>
      </c>
      <c r="CC381" s="106">
        <f t="shared" si="376"/>
        <v>191.25</v>
      </c>
      <c r="CD381" s="104">
        <f>('Renewable Diesel'!$AB390*'RD Feedstock Breakdown'!CD$3*'Feedstock Conversion Rates'!$B$6)/12-15-5</f>
        <v>12.830000000000005</v>
      </c>
      <c r="CE381" s="104">
        <f>('Renewable Diesel'!$AB390*'RD Feedstock Breakdown'!CE$3*'Feedstock Conversion Rates'!$B$4)/12+15+5</f>
        <v>31.25</v>
      </c>
      <c r="CF381" s="106">
        <f t="shared" si="372"/>
        <v>44.080000000000005</v>
      </c>
      <c r="CG381" s="104">
        <f>('Renewable Diesel'!AD390*'Feedstock Conversion Rates'!B$4)/12</f>
        <v>112.5</v>
      </c>
      <c r="CH381" s="106">
        <f t="shared" si="358"/>
        <v>112.5</v>
      </c>
      <c r="CI381" s="104">
        <f>('Renewable Diesel'!$AE390*'RD Feedstock Breakdown'!CI$3*'Feedstock Conversion Rates'!$B$5)/12</f>
        <v>0.34604166666666664</v>
      </c>
      <c r="CJ381" s="104">
        <f>('Renewable Diesel'!$AE390*'RD Feedstock Breakdown'!CJ$3*'Feedstock Conversion Rates'!$B$4)/12</f>
        <v>0.34375</v>
      </c>
      <c r="CK381" s="106">
        <f t="shared" si="368"/>
        <v>0.68979166666666658</v>
      </c>
      <c r="CL381" s="104">
        <f>(((CL$3*'Renewable Diesel'!$AF390)*'Feedstock Conversion Rates'!$B$3)/12)</f>
        <v>91.78125</v>
      </c>
      <c r="CM381" s="104">
        <f>(((CM$3*'Renewable Diesel'!$AF390)*'Feedstock Conversion Rates'!$B$6)/12)</f>
        <v>53.739583333333336</v>
      </c>
      <c r="CN381" s="104">
        <f>(((CN$3*'Renewable Diesel'!$AF390)*'Feedstock Conversion Rates'!$B$4)/12)</f>
        <v>42.96875</v>
      </c>
      <c r="CO381" s="106">
        <f t="shared" si="360"/>
        <v>188.48958333333334</v>
      </c>
      <c r="CP381" s="104">
        <f>('Renewable Diesel'!$AG390*'RD Feedstock Breakdown'!CP$3*'Feedstock Conversion Rates'!$B$3)/12</f>
        <v>6.0075000000000003</v>
      </c>
      <c r="CQ381" s="104">
        <f>('Renewable Diesel'!$AG390*'RD Feedstock Breakdown'!CQ$3*'Feedstock Conversion Rates'!$B$6)/12</f>
        <v>3.5175000000000001</v>
      </c>
      <c r="CR381" s="104">
        <f>('Renewable Diesel'!$AG390*'RD Feedstock Breakdown'!CR$3*'Feedstock Conversion Rates'!$B$4)/12</f>
        <v>2.8125</v>
      </c>
      <c r="CS381" s="106">
        <f t="shared" si="397"/>
        <v>12.3375</v>
      </c>
      <c r="CT381" s="104">
        <f>('Renewable Diesel'!AI390*'Feedstock Conversion Rates'!$B$4*'RD Feedstock Breakdown'!$CT$3)/12</f>
        <v>29.375</v>
      </c>
      <c r="CU381" s="106">
        <f t="shared" si="364"/>
        <v>29.375</v>
      </c>
      <c r="CV381" s="104">
        <f>('Renewable Diesel'!AN390*'Feedstock Conversion Rates'!$B$3*'RD Feedstock Breakdown'!$CV$3)/12</f>
        <v>0.50062499999999999</v>
      </c>
      <c r="CW381" s="106">
        <f t="shared" si="338"/>
        <v>0.50062499999999999</v>
      </c>
      <c r="CX381" s="104">
        <f>('Renewable Diesel'!AO390*'RD Feedstock Breakdown'!$CX$3*'Feedstock Conversion Rates'!$B$3)/12</f>
        <v>6.3412499999999996</v>
      </c>
      <c r="CY381" s="104">
        <f>('Renewable Diesel'!AO390*'RD Feedstock Breakdown'!$CY$3*'Feedstock Conversion Rates'!$B$6)/12</f>
        <v>7.4258333333333342</v>
      </c>
      <c r="CZ381" s="106">
        <f t="shared" si="398"/>
        <v>13.767083333333334</v>
      </c>
      <c r="DA381" s="104">
        <f>('Renewable Diesel'!$AP390*'RD Feedstock Breakdown'!DA$3*'Feedstock Conversion Rates'!$B$3)/12</f>
        <v>6.3412499999999996</v>
      </c>
      <c r="DB381" s="104">
        <f>('Renewable Diesel'!$AP390*'RD Feedstock Breakdown'!DB$3*'Feedstock Conversion Rates'!$B$8)/12</f>
        <v>7.421875</v>
      </c>
      <c r="DC381" s="106">
        <f t="shared" si="342"/>
        <v>13.763124999999999</v>
      </c>
      <c r="DD381" s="104">
        <f>('Renewable Diesel'!AQ390*$DD$3*'Feedstock Conversion Rates'!$B$14)/12</f>
        <v>3.1041666666666665</v>
      </c>
      <c r="DE381" s="106">
        <f t="shared" si="343"/>
        <v>3.1041666666666665</v>
      </c>
      <c r="DF381" s="104">
        <f>('Renewable Diesel'!AR390*'Feedstock Conversion Rates'!$B$4*$DF$3)/12</f>
        <v>75</v>
      </c>
      <c r="DG381" s="106">
        <f t="shared" si="399"/>
        <v>75</v>
      </c>
      <c r="DH381" s="104">
        <f>('Renewable Diesel'!AS390*'Feedstock Conversion Rates'!$B$4*$DH$3)/12</f>
        <v>75</v>
      </c>
      <c r="DI381" s="106">
        <f t="shared" si="411"/>
        <v>75</v>
      </c>
      <c r="DJ381" s="104">
        <f>('Renewable Diesel'!AT390*'Feedstock Conversion Rates'!$B$4*0.25)/12</f>
        <v>8.59375</v>
      </c>
      <c r="DK381" s="104">
        <f>('Renewable Diesel'!$AT390*'RD Feedstock Breakdown'!DK$3*'Feedstock Conversion Rates'!$B$3)/12*0.5</f>
        <v>9.1781249999999996</v>
      </c>
      <c r="DL381" s="104">
        <f>('Renewable Diesel'!$AT390*'RD Feedstock Breakdown'!$DL$3*'Feedstock Conversion Rates'!$B$6)/12</f>
        <v>10.747916666666669</v>
      </c>
      <c r="DM381" s="104">
        <f>('Renewable Diesel'!$AT390*'RD Feedstock Breakdown'!$DM$3*'Feedstock Conversion Rates'!$B$8)/12</f>
        <v>10.7421875</v>
      </c>
      <c r="DN381" s="106">
        <f t="shared" si="375"/>
        <v>39.26197916666667</v>
      </c>
      <c r="DP381" s="104">
        <f t="shared" si="345"/>
        <v>103.22025000000001</v>
      </c>
      <c r="DQ381" s="104">
        <f t="shared" si="346"/>
        <v>349.11776750000007</v>
      </c>
      <c r="DR381" s="104">
        <f t="shared" si="351"/>
        <v>1891.953125</v>
      </c>
      <c r="DS381" s="104">
        <f t="shared" si="365"/>
        <v>228.90125</v>
      </c>
      <c r="DT381" s="104">
        <f t="shared" si="347"/>
        <v>243.03923333333344</v>
      </c>
      <c r="DU381" s="104">
        <f t="shared" si="348"/>
        <v>402.90610000000009</v>
      </c>
      <c r="DV381" s="104">
        <f t="shared" si="352"/>
        <v>78.75</v>
      </c>
      <c r="DW381" s="104">
        <f t="shared" si="349"/>
        <v>3</v>
      </c>
      <c r="DX381" s="106">
        <f t="shared" si="353"/>
        <v>3300.8877258333337</v>
      </c>
      <c r="DY381" s="109">
        <f t="shared" si="340"/>
        <v>-5.631051180898794E-13</v>
      </c>
      <c r="EA381" s="110">
        <f t="shared" si="393"/>
        <v>3.1270451640078516E-2</v>
      </c>
      <c r="EB381" s="110">
        <f t="shared" si="393"/>
        <v>0.10576481131658687</v>
      </c>
      <c r="EC381" s="110">
        <f t="shared" si="393"/>
        <v>0.57316494293133291</v>
      </c>
      <c r="ED381" s="110">
        <f t="shared" si="393"/>
        <v>6.9345360706629972E-2</v>
      </c>
      <c r="EE381" s="110">
        <f t="shared" si="393"/>
        <v>7.3628445896921982E-2</v>
      </c>
      <c r="EF381" s="110">
        <f t="shared" si="393"/>
        <v>0.1220599225010852</v>
      </c>
      <c r="EG381" s="110">
        <f t="shared" si="384"/>
        <v>2.3857218585075921E-2</v>
      </c>
      <c r="EH381" s="111">
        <f t="shared" si="354"/>
        <v>9.0884642228860647E-4</v>
      </c>
      <c r="EI381" s="110">
        <f t="shared" si="409"/>
        <v>0.99909115357771139</v>
      </c>
      <c r="EK381" s="132">
        <f>(EA381*'Renewable Diesel'!BF390*'Feedstock Conversion Rates'!B$2)+FB381</f>
        <v>431.48657558988691</v>
      </c>
      <c r="EL381" s="132">
        <f>(EB381*'Renewable Diesel'!BF390*'Feedstock Conversion Rates'!B$3)+FC381</f>
        <v>1375.2698561161287</v>
      </c>
      <c r="EM381" s="132">
        <f>(EC381*'Renewable Diesel'!BF390*'Feedstock Conversion Rates'!B$4)+FD381</f>
        <v>6978.3876631836965</v>
      </c>
      <c r="EN381" s="132">
        <f>(ED381*'Renewable Diesel'!BF390*'Feedstock Conversion Rates'!B$5)+FE381</f>
        <v>849.92102371171381</v>
      </c>
      <c r="EO381" s="132">
        <f>(EE381*'Renewable Diesel'!BF390*'Feedstock Conversion Rates'!B$6)+FF381</f>
        <v>1121.1473147775473</v>
      </c>
      <c r="EP381" s="132">
        <f>(EF381*'Renewable Diesel'!BF390*'Feedstock Conversion Rates'!B$7)+FG381</f>
        <v>1822.9515498160422</v>
      </c>
      <c r="EQ381" s="132">
        <f>(EG381*'Renewable Diesel'!BF390*'Feedstock Conversion Rates'!B$8)+FH381</f>
        <v>363.08248154649448</v>
      </c>
      <c r="ER381" s="132">
        <f>(EH381*'Renewable Diesel'!BF390*'Feedstock Conversion Rates'!B$9)+FI381</f>
        <v>13.647290734953952</v>
      </c>
      <c r="ES381" s="132">
        <f t="shared" si="355"/>
        <v>12955.893755476463</v>
      </c>
      <c r="ET381" s="133">
        <f>ES381/'Renewable Diesel'!BF390</f>
        <v>14.975734698933689</v>
      </c>
      <c r="EW381" s="73">
        <f t="shared" si="386"/>
        <v>11484.726174941738</v>
      </c>
      <c r="EX381" s="73">
        <f t="shared" si="387"/>
        <v>7522.5585508595605</v>
      </c>
      <c r="EY381" s="92">
        <f t="shared" si="410"/>
        <v>0.88644800518583577</v>
      </c>
      <c r="EZ381" s="92">
        <f t="shared" si="410"/>
        <v>0.58062829881418032</v>
      </c>
      <c r="FB381" s="102">
        <f>IF('Renewable Diesel'!$BG390&lt;1,0,(((('Renewable Diesel'!$BG390-1)*'Renewable Diesel'!$BF390)*'RD Feedstock Breakdown'!EA381)*'Feedstock Conversion Rates'!$B$2))</f>
        <v>201.53715495214792</v>
      </c>
      <c r="FC381" s="102">
        <f>IF('Renewable Diesel'!$BG390&lt;1,0,(((('Renewable Diesel'!$BG390-1)*'Renewable Diesel'!$BF390)*'RD Feedstock Breakdown'!EB381)*'Feedstock Conversion Rates'!$B$3))</f>
        <v>642.35596139735526</v>
      </c>
      <c r="FD381" s="102">
        <f>IF('Renewable Diesel'!$BG390&lt;1,0,(((('Renewable Diesel'!$BG390-1)*'Renewable Diesel'!$BF390)*'RD Feedstock Breakdown'!EC381)*'Feedstock Conversion Rates'!$B$4))</f>
        <v>3259.4395175991494</v>
      </c>
      <c r="FE381" s="102">
        <f>IF('Renewable Diesel'!$BG390&lt;1,0,(((('Renewable Diesel'!$BG390-1)*'Renewable Diesel'!$BF390)*'RD Feedstock Breakdown'!ED381)*'Feedstock Conversion Rates'!$B$5))</f>
        <v>396.97797044717726</v>
      </c>
      <c r="FF381" s="102">
        <f>IF('Renewable Diesel'!$BG390&lt;1,0,(((('Renewable Diesel'!$BG390-1)*'Renewable Diesel'!$BF390)*'RD Feedstock Breakdown'!EE381)*'Feedstock Conversion Rates'!$B$6))</f>
        <v>523.66134402583941</v>
      </c>
      <c r="FG381" s="102">
        <f>IF('Renewable Diesel'!$BG390&lt;1,0,(((('Renewable Diesel'!$BG390-1)*'Renewable Diesel'!$BF390)*'RD Feedstock Breakdown'!EF381)*'Feedstock Conversion Rates'!$B$7))</f>
        <v>851.45747225917796</v>
      </c>
      <c r="FH381" s="102">
        <f>IF('Renewable Diesel'!$BG390&lt;1,0,(((('Renewable Diesel'!$BG390-1)*'Renewable Diesel'!$BF390)*'RD Feedstock Breakdown'!EG381)*'Feedstock Conversion Rates'!$B$8))</f>
        <v>169.58722352789064</v>
      </c>
      <c r="FI381" s="102">
        <f>IF('Renewable Diesel'!$BG390&lt;1,0,(((('Renewable Diesel'!$BG390-1)*'Renewable Diesel'!$BF390)*'RD Feedstock Breakdown'!EH381)*'Feedstock Conversion Rates'!$B$9))</f>
        <v>6.3743261160959532</v>
      </c>
      <c r="FJ381" s="102">
        <f t="shared" si="388"/>
        <v>6051.3909703248346</v>
      </c>
      <c r="GD381" s="91">
        <f>'Renewable Diesel'!BB390*0.32</f>
        <v>0</v>
      </c>
      <c r="GE381" s="91">
        <f>'Renewable Diesel'!BC390</f>
        <v>430.40037567974269</v>
      </c>
      <c r="GF381" s="91">
        <f>'Renewable Diesel'!BD390</f>
        <v>0</v>
      </c>
      <c r="GG381" s="91">
        <f t="shared" si="373"/>
        <v>430.40037567974269</v>
      </c>
      <c r="GH381" s="124">
        <v>1</v>
      </c>
      <c r="GI381" s="102">
        <f>$GG381*EA381*'Feedstock Conversion Rates'!$B$2</f>
        <v>114.39992013530266</v>
      </c>
      <c r="GJ381" s="102">
        <f>$GG381*EB381*'Feedstock Conversion Rates'!$B$3</f>
        <v>364.62492834009225</v>
      </c>
      <c r="GK381" s="102">
        <f>$GG381*EC381*'Feedstock Conversion Rates'!$B$4</f>
        <v>1850.1780507307797</v>
      </c>
      <c r="GL381" s="102">
        <f>$GG381*ED381*'Feedstock Conversion Rates'!$B$5</f>
        <v>225.3393332133451</v>
      </c>
      <c r="GM381" s="102">
        <f>$GG381*EE381*'Feedstock Conversion Rates'!$B$6</f>
        <v>297.24948706716282</v>
      </c>
      <c r="GN381" s="102">
        <f>$GG381*EF381*'Feedstock Conversion Rates'!$B$7</f>
        <v>483.31865579914756</v>
      </c>
      <c r="GO381" s="102">
        <f>$GG381*EG381*'Feedstock Conversion Rates'!$B$8</f>
        <v>96.263961015847642</v>
      </c>
      <c r="GP381" s="102">
        <f>$GG381*EH381*'Feedstock Conversion Rates'!B$9</f>
        <v>3.6183025346909079</v>
      </c>
      <c r="GQ381" s="102">
        <f t="shared" si="356"/>
        <v>3434.9926388363683</v>
      </c>
      <c r="GT381" s="103">
        <f t="shared" si="389"/>
        <v>3.3304269372191886E-2</v>
      </c>
      <c r="GU381" s="103">
        <f t="shared" si="390"/>
        <v>0.10615013383656388</v>
      </c>
      <c r="GV381" s="103">
        <f t="shared" si="391"/>
        <v>0.53862649654979822</v>
      </c>
      <c r="GW381" s="103">
        <f t="shared" si="401"/>
        <v>6.5601110950176761E-2</v>
      </c>
      <c r="GX381" s="103">
        <f t="shared" si="402"/>
        <v>8.653569841938831E-2</v>
      </c>
      <c r="GY381" s="103">
        <f t="shared" si="403"/>
        <v>0.14070442257566981</v>
      </c>
      <c r="GZ381" s="103">
        <f t="shared" si="404"/>
        <v>2.8024502855545513E-2</v>
      </c>
      <c r="HA381" s="103">
        <f t="shared" si="405"/>
        <v>1.0533654406655838E-3</v>
      </c>
    </row>
    <row r="382" spans="1:209" x14ac:dyDescent="0.25">
      <c r="A382" s="96">
        <v>52048</v>
      </c>
      <c r="B382" s="104">
        <f t="shared" si="406"/>
        <v>44.25</v>
      </c>
      <c r="C382" s="104">
        <f t="shared" si="396"/>
        <v>49</v>
      </c>
      <c r="D382" s="104">
        <f t="shared" si="407"/>
        <v>2</v>
      </c>
      <c r="E382" s="104">
        <f>('Renewable Diesel'!B391*E$3*'Feedstock Conversion Rates'!$B$2)/12+26+13-100+27.5+39</f>
        <v>95.43</v>
      </c>
      <c r="F382" s="104">
        <f>('Renewable Diesel'!B391*'RD Feedstock Breakdown'!F$3*'Feedstock Conversion Rates'!B$8)/12+77+23-10-12-115.75+24+8</f>
        <v>48.15625</v>
      </c>
      <c r="G382" s="104">
        <f>('Renewable Diesel'!B391*'RD Feedstock Breakdown'!G$3*'Feedstock Conversion Rates'!B$7)/12+116.75-39-57.5-145-31.5+32+70-40+10+60</f>
        <v>151.90700000000004</v>
      </c>
      <c r="H382" s="104">
        <f>('Renewable Diesel'!B391*'RD Feedstock Breakdown'!H$3*'Feedstock Conversion Rates'!B$3)/12+67+10+12+3-235+20+47-20+25</f>
        <v>105.40022499999998</v>
      </c>
      <c r="I382" s="106">
        <f t="shared" si="370"/>
        <v>496.14347500000002</v>
      </c>
      <c r="J382" s="104">
        <f t="shared" si="332"/>
        <v>4</v>
      </c>
      <c r="K382" s="104"/>
      <c r="L382" s="104">
        <v>1</v>
      </c>
      <c r="M382" s="104">
        <f>('Renewable Diesel'!C391*'RD Feedstock Breakdown'!M$3*'Feedstock Conversion Rates'!B$2)/12</f>
        <v>7.7902500000000003</v>
      </c>
      <c r="N382" s="104">
        <f>('Renewable Diesel'!C391*'RD Feedstock Breakdown'!N$3*'Feedstock Conversion Rates'!B$8)/12</f>
        <v>3.671875</v>
      </c>
      <c r="O382" s="104">
        <f>('Renewable Diesel'!C391*'RD Feedstock Breakdown'!O$3*'Feedstock Conversion Rates'!B$7)/12</f>
        <v>11.9991</v>
      </c>
      <c r="P382" s="104">
        <f>('Renewable Diesel'!C391*'RD Feedstock Breakdown'!P$3*'Feedstock Conversion Rates'!B$3)/12</f>
        <v>10.4470425</v>
      </c>
      <c r="Q382" s="106">
        <f t="shared" si="379"/>
        <v>38.908267500000001</v>
      </c>
      <c r="R382" s="104">
        <f>('Renewable Diesel'!D391*'RD Feedstock Breakdown'!R$3*'Feedstock Conversion Rates'!B$7)/12</f>
        <v>2.2999999999999998</v>
      </c>
      <c r="S382" s="106">
        <f t="shared" si="329"/>
        <v>2.2999999999999998</v>
      </c>
      <c r="T382" s="104">
        <f t="shared" si="380"/>
        <v>0.82499999999999929</v>
      </c>
      <c r="U382" s="104"/>
      <c r="V382" s="104">
        <f>('Renewable Diesel'!E391*'RD Feedstock Breakdown'!V$3*'Feedstock Conversion Rates'!B$6)/12-20+25</f>
        <v>49.250150000000012</v>
      </c>
      <c r="W382" s="104">
        <f>('Renewable Diesel'!E391*'RD Feedstock Breakdown'!W$3*'Feedstock Conversion Rates'!B$8)/12-6</f>
        <v>16.1796875</v>
      </c>
      <c r="X382" s="106">
        <f t="shared" si="357"/>
        <v>66.254837500000008</v>
      </c>
      <c r="Y382" s="104">
        <f t="shared" si="381"/>
        <v>98</v>
      </c>
      <c r="Z382" s="104">
        <f>('Renewable Diesel'!F391*'RD Feedstock Breakdown'!Z$3*'Feedstock Conversion Rates'!B$6)/12-142+15+5+20+5+15</f>
        <v>77.460000000000008</v>
      </c>
      <c r="AA382" s="104">
        <f>('Renewable Diesel'!F391*'RD Feedstock Breakdown'!AA$3*'Feedstock Conversion Rates'!B$7)/12+24</f>
        <v>128.26666666666665</v>
      </c>
      <c r="AB382" s="106">
        <f t="shared" si="400"/>
        <v>303.72666666666669</v>
      </c>
      <c r="AC382" s="104">
        <f>('Renewable Diesel'!G391*'RD Feedstock Breakdown'!AC$3*'Feedstock Conversion Rates'!B$5)/12</f>
        <v>11.796875</v>
      </c>
      <c r="AD382" s="104">
        <f>('Renewable Diesel'!G391*'RD Feedstock Breakdown'!AD$3*'Feedstock Conversion Rates'!B$4)/12</f>
        <v>5.859375</v>
      </c>
      <c r="AE382" s="104">
        <f>('Renewable Diesel'!G391*'RD Feedstock Breakdown'!AE$3*'Feedstock Conversion Rates'!B$6)/12</f>
        <v>7.3281250000000009</v>
      </c>
      <c r="AF382" s="106">
        <f t="shared" si="366"/>
        <v>24.984375</v>
      </c>
      <c r="AG382" s="104">
        <f t="shared" si="383"/>
        <v>148</v>
      </c>
      <c r="AH382" s="104"/>
      <c r="AI382" s="104">
        <f>('Renewable Diesel'!H391*'RD Feedstock Breakdown'!AI$3*'Feedstock Conversion Rates'!B$6)/12-130-20+51-49</f>
        <v>0.51666666666667993</v>
      </c>
      <c r="AJ382" s="106">
        <f t="shared" si="328"/>
        <v>148.51666666666668</v>
      </c>
      <c r="AK382" s="104">
        <f>('Renewable Diesel'!J391*'RD Feedstock Breakdown'!AK$3*'Feedstock Conversion Rates'!B$4)/12</f>
        <v>95.8125</v>
      </c>
      <c r="AL382" s="106">
        <f t="shared" si="330"/>
        <v>95.8125</v>
      </c>
      <c r="AM382" s="104">
        <f>('Renewable Diesel'!K391*'RD Feedstock Breakdown'!AM$3*'Feedstock Conversion Rates'!B$4)/12+5+15-10+10</f>
        <v>78.59375</v>
      </c>
      <c r="AN382" s="104">
        <f>('Renewable Diesel'!K391*'RD Feedstock Breakdown'!AN$3*'Feedstock Conversion Rates'!B$6)/12-5-15+10-10</f>
        <v>4.4270833333333321</v>
      </c>
      <c r="AO382" s="106">
        <f t="shared" si="350"/>
        <v>83.020833333333329</v>
      </c>
      <c r="AP382" s="104">
        <f>('Renewable Diesel'!L391*'RD Feedstock Breakdown'!AP$3*'Feedstock Conversion Rates'!B$4)/12+15-10+15</f>
        <v>78.59375</v>
      </c>
      <c r="AQ382" s="104">
        <f>('Renewable Diesel'!L391*'RD Feedstock Breakdown'!AQ$3*'Feedstock Conversion Rates'!B$6)/12-15+10-15</f>
        <v>4.4270833333333321</v>
      </c>
      <c r="AR382" s="106">
        <f t="shared" si="339"/>
        <v>83.020833333333329</v>
      </c>
      <c r="AS382" s="104">
        <f>('Renewable Diesel'!M391*'RD Feedstock Breakdown'!AS$3*'Feedstock Conversion Rates'!B$4)/12</f>
        <v>456.25</v>
      </c>
      <c r="AT382" s="104">
        <f>('Renewable Diesel'!M391*'RD Feedstock Breakdown'!AT$3*'Feedstock Conversion Rates'!B$5)/12</f>
        <v>0</v>
      </c>
      <c r="AU382" s="106">
        <f t="shared" si="369"/>
        <v>456.25</v>
      </c>
      <c r="AV382" s="104">
        <f>'Renewable Diesel'!N391*'RD Feedstock Breakdown'!$AV$3*'Feedstock Conversion Rates'!$B$4/12-15-10+25+25-22+25</f>
        <v>106.74999999999999</v>
      </c>
      <c r="AW382" s="104">
        <f>'Renewable Diesel'!N391*'RD Feedstock Breakdown'!$AW$3*'Feedstock Conversion Rates'!$B$7/12+15+10-25-25+22-25</f>
        <v>13.400000000000006</v>
      </c>
      <c r="AX382" s="106">
        <f t="shared" si="408"/>
        <v>120.14999999999999</v>
      </c>
      <c r="AY382" s="104">
        <f>('Renewable Diesel'!O391*'RD Feedstock Breakdown'!AY$3*'Feedstock Conversion Rates'!B$4)/12</f>
        <v>210.9375</v>
      </c>
      <c r="AZ382" s="104">
        <f>('Renewable Diesel'!O391*'RD Feedstock Breakdown'!AZ$3*'Feedstock Conversion Rates'!B$3)/12</f>
        <v>25.03125</v>
      </c>
      <c r="BA382" s="106">
        <f t="shared" si="382"/>
        <v>235.96875</v>
      </c>
      <c r="BB382" s="104">
        <f>('Renewable Diesel'!Q391*'RD Feedstock Breakdown'!BB$3*'Feedstock Conversion Rates'!B$4)/12</f>
        <v>11.156249999999998</v>
      </c>
      <c r="BC382" s="104">
        <f>('Renewable Diesel'!Q391*'RD Feedstock Breakdown'!BC$3*'Feedstock Conversion Rates'!B$3)/12</f>
        <v>1.4017500000000001</v>
      </c>
      <c r="BD382" s="104">
        <f>('Renewable Diesel'!Q391*'RD Feedstock Breakdown'!BD$3*'Feedstock Conversion Rates'!B$6)/12</f>
        <v>0.8207500000000002</v>
      </c>
      <c r="BE382" s="106">
        <f t="shared" si="359"/>
        <v>13.378749999999998</v>
      </c>
      <c r="BF382" s="104">
        <f>('Renewable Diesel'!R391*'RD Feedstock Breakdown'!BF$3*'Feedstock Conversion Rates'!B$4)/12</f>
        <v>62.5</v>
      </c>
      <c r="BG382" s="106">
        <f t="shared" si="344"/>
        <v>62.5</v>
      </c>
      <c r="BH382" s="104">
        <f>('Renewable Diesel'!T391*'RD Feedstock Breakdown'!BH$3*'Feedstock Conversion Rates'!B$7)/12</f>
        <v>27.599999999999998</v>
      </c>
      <c r="BI382" s="106">
        <f t="shared" si="412"/>
        <v>27.599999999999998</v>
      </c>
      <c r="BJ382" s="104">
        <f>('Renewable Diesel'!W391*'RD Feedstock Breakdown'!BJ$3*'Feedstock Conversion Rates'!B$4)/12</f>
        <v>7.5</v>
      </c>
      <c r="BK382" s="104">
        <f>('Renewable Diesel'!W391*'RD Feedstock Breakdown'!BK$3*'Feedstock Conversion Rates'!B$3)/12</f>
        <v>1.335</v>
      </c>
      <c r="BL382" s="104">
        <f>('Renewable Diesel'!W391*'RD Feedstock Breakdown'!BL$3*'Feedstock Conversion Rates'!B$6)/12</f>
        <v>3.1266666666666669</v>
      </c>
      <c r="BM382" s="104">
        <f>('Renewable Diesel'!W391*'RD Feedstock Breakdown'!BM$3*'Feedstock Conversion Rates'!B$7)/12</f>
        <v>1.5333333333333332</v>
      </c>
      <c r="BN382" s="106">
        <f t="shared" si="374"/>
        <v>13.495000000000001</v>
      </c>
      <c r="BO382" s="104">
        <f>('Renewable Diesel'!P391*'Feedstock Conversion Rates'!B$4)/12</f>
        <v>31.25</v>
      </c>
      <c r="BP382" s="106">
        <f t="shared" si="367"/>
        <v>31.25</v>
      </c>
      <c r="BQ382" s="104">
        <f>('Renewable Diesel'!$S391*'RD Feedstock Breakdown'!BQ$3*'Feedstock Conversion Rates'!B$4)/12+10+15-15</f>
        <v>38.125</v>
      </c>
      <c r="BR382" s="104">
        <f>('Renewable Diesel'!$S391*'RD Feedstock Breakdown'!BR$3*'Feedstock Conversion Rates'!B$7)/12-10-15+15</f>
        <v>1.5</v>
      </c>
      <c r="BS382" s="106">
        <f t="shared" si="385"/>
        <v>39.625</v>
      </c>
      <c r="BT382" s="106"/>
      <c r="BU382" s="104">
        <f>('Renewable Diesel'!Y391*'Feedstock Conversion Rates'!B$7)/12</f>
        <v>2.6833333333333331</v>
      </c>
      <c r="BV382" s="106">
        <f t="shared" si="361"/>
        <v>2.6833333333333331</v>
      </c>
      <c r="BW382" s="104">
        <f>('Renewable Diesel'!$Z391*'RD Feedstock Breakdown'!BW$3*'Feedstock Conversion Rates'!$B$4)/12-250+180</f>
        <v>1.875</v>
      </c>
      <c r="BX382" s="104">
        <f>('Renewable Diesel'!$Z391*'RD Feedstock Breakdown'!BX$3*'Feedstock Conversion Rates'!$B$5)/12</f>
        <v>7.2354166666666666</v>
      </c>
      <c r="BY382" s="104">
        <f>('Renewable Diesel'!$Z391*'RD Feedstock Breakdown'!BY$3*'Feedstock Conversion Rates'!$B$7)/12</f>
        <v>61.716666666666661</v>
      </c>
      <c r="BZ382" s="104">
        <f>('Renewable Diesel'!$Z391*'RD Feedstock Breakdown'!BZ$3*'Feedstock Conversion Rates'!$B$3)/12+250-180</f>
        <v>85.35250000000002</v>
      </c>
      <c r="CA382" s="106">
        <f t="shared" si="392"/>
        <v>156.17958333333334</v>
      </c>
      <c r="CB382" s="104">
        <f>('Renewable Diesel'!AA391*'Feedstock Conversion Rates'!B$4)/12</f>
        <v>191.25</v>
      </c>
      <c r="CC382" s="106">
        <f t="shared" si="376"/>
        <v>191.25</v>
      </c>
      <c r="CD382" s="104">
        <f>('Renewable Diesel'!$AB391*'RD Feedstock Breakdown'!CD$3*'Feedstock Conversion Rates'!$B$6)/12-15-5</f>
        <v>12.830000000000005</v>
      </c>
      <c r="CE382" s="104">
        <f>('Renewable Diesel'!$AB391*'RD Feedstock Breakdown'!CE$3*'Feedstock Conversion Rates'!$B$4)/12+15+5</f>
        <v>31.25</v>
      </c>
      <c r="CF382" s="106">
        <f t="shared" si="372"/>
        <v>44.080000000000005</v>
      </c>
      <c r="CG382" s="104">
        <f>('Renewable Diesel'!AD391*'Feedstock Conversion Rates'!B$4)/12</f>
        <v>112.5</v>
      </c>
      <c r="CH382" s="106">
        <f t="shared" si="358"/>
        <v>112.5</v>
      </c>
      <c r="CI382" s="104">
        <f>('Renewable Diesel'!$AE391*'RD Feedstock Breakdown'!CI$3*'Feedstock Conversion Rates'!$B$5)/12</f>
        <v>0.34604166666666664</v>
      </c>
      <c r="CJ382" s="104">
        <f>('Renewable Diesel'!$AE391*'RD Feedstock Breakdown'!CJ$3*'Feedstock Conversion Rates'!$B$4)/12</f>
        <v>0.34375</v>
      </c>
      <c r="CK382" s="106">
        <f t="shared" si="368"/>
        <v>0.68979166666666658</v>
      </c>
      <c r="CL382" s="104">
        <f>(((CL$3*'Renewable Diesel'!$AF391)*'Feedstock Conversion Rates'!$B$3)/12)</f>
        <v>91.78125</v>
      </c>
      <c r="CM382" s="104">
        <f>(((CM$3*'Renewable Diesel'!$AF391)*'Feedstock Conversion Rates'!$B$6)/12)</f>
        <v>53.739583333333336</v>
      </c>
      <c r="CN382" s="104">
        <f>(((CN$3*'Renewable Diesel'!$AF391)*'Feedstock Conversion Rates'!$B$4)/12)</f>
        <v>42.96875</v>
      </c>
      <c r="CO382" s="106">
        <f t="shared" si="360"/>
        <v>188.48958333333334</v>
      </c>
      <c r="CP382" s="104">
        <f>('Renewable Diesel'!$AG391*'RD Feedstock Breakdown'!CP$3*'Feedstock Conversion Rates'!$B$3)/12</f>
        <v>6.0075000000000003</v>
      </c>
      <c r="CQ382" s="104">
        <f>('Renewable Diesel'!$AG391*'RD Feedstock Breakdown'!CQ$3*'Feedstock Conversion Rates'!$B$6)/12</f>
        <v>3.5175000000000001</v>
      </c>
      <c r="CR382" s="104">
        <f>('Renewable Diesel'!$AG391*'RD Feedstock Breakdown'!CR$3*'Feedstock Conversion Rates'!$B$4)/12</f>
        <v>2.8125</v>
      </c>
      <c r="CS382" s="106">
        <f t="shared" si="397"/>
        <v>12.3375</v>
      </c>
      <c r="CT382" s="104">
        <f>('Renewable Diesel'!AI391*'Feedstock Conversion Rates'!$B$4*'RD Feedstock Breakdown'!$CT$3)/12</f>
        <v>29.375</v>
      </c>
      <c r="CU382" s="106">
        <f t="shared" si="364"/>
        <v>29.375</v>
      </c>
      <c r="CV382" s="104">
        <f>('Renewable Diesel'!AN391*'Feedstock Conversion Rates'!$B$3*'RD Feedstock Breakdown'!$CV$3)/12</f>
        <v>0.50062499999999999</v>
      </c>
      <c r="CW382" s="106">
        <f t="shared" si="338"/>
        <v>0.50062499999999999</v>
      </c>
      <c r="CX382" s="104">
        <f>('Renewable Diesel'!AO391*'RD Feedstock Breakdown'!$CX$3*'Feedstock Conversion Rates'!$B$3)/12</f>
        <v>6.3412499999999996</v>
      </c>
      <c r="CY382" s="104">
        <f>('Renewable Diesel'!AO391*'RD Feedstock Breakdown'!$CY$3*'Feedstock Conversion Rates'!$B$6)/12</f>
        <v>7.4258333333333342</v>
      </c>
      <c r="CZ382" s="106">
        <f t="shared" si="398"/>
        <v>13.767083333333334</v>
      </c>
      <c r="DA382" s="104">
        <f>('Renewable Diesel'!$AP391*'RD Feedstock Breakdown'!DA$3*'Feedstock Conversion Rates'!$B$3)/12</f>
        <v>6.3412499999999996</v>
      </c>
      <c r="DB382" s="104">
        <f>('Renewable Diesel'!$AP391*'RD Feedstock Breakdown'!DB$3*'Feedstock Conversion Rates'!$B$8)/12</f>
        <v>7.421875</v>
      </c>
      <c r="DC382" s="106">
        <f t="shared" si="342"/>
        <v>13.763124999999999</v>
      </c>
      <c r="DD382" s="104">
        <f>('Renewable Diesel'!AQ391*$DD$3*'Feedstock Conversion Rates'!$B$14)/12</f>
        <v>3.1041666666666665</v>
      </c>
      <c r="DE382" s="106">
        <f t="shared" si="343"/>
        <v>3.1041666666666665</v>
      </c>
      <c r="DF382" s="104">
        <f>('Renewable Diesel'!AR391*'Feedstock Conversion Rates'!$B$4*$DF$3)/12</f>
        <v>75</v>
      </c>
      <c r="DG382" s="106">
        <f t="shared" si="399"/>
        <v>75</v>
      </c>
      <c r="DH382" s="104">
        <f>('Renewable Diesel'!AS391*'Feedstock Conversion Rates'!$B$4*$DH$3)/12</f>
        <v>75</v>
      </c>
      <c r="DI382" s="106">
        <f t="shared" si="411"/>
        <v>75</v>
      </c>
      <c r="DJ382" s="104">
        <f>('Renewable Diesel'!AT391*'Feedstock Conversion Rates'!$B$4*0.25)/12</f>
        <v>8.59375</v>
      </c>
      <c r="DK382" s="104">
        <f>('Renewable Diesel'!$AT391*'RD Feedstock Breakdown'!DK$3*'Feedstock Conversion Rates'!$B$3)/12*0.5</f>
        <v>9.1781249999999996</v>
      </c>
      <c r="DL382" s="104">
        <f>('Renewable Diesel'!$AT391*'RD Feedstock Breakdown'!$DL$3*'Feedstock Conversion Rates'!$B$6)/12</f>
        <v>10.747916666666669</v>
      </c>
      <c r="DM382" s="104">
        <f>('Renewable Diesel'!$AT391*'RD Feedstock Breakdown'!$DM$3*'Feedstock Conversion Rates'!$B$8)/12</f>
        <v>10.7421875</v>
      </c>
      <c r="DN382" s="106">
        <f t="shared" si="375"/>
        <v>39.26197916666667</v>
      </c>
      <c r="DP382" s="104">
        <f t="shared" si="345"/>
        <v>103.22025000000001</v>
      </c>
      <c r="DQ382" s="104">
        <f t="shared" si="346"/>
        <v>349.11776750000007</v>
      </c>
      <c r="DR382" s="104">
        <f t="shared" si="351"/>
        <v>1891.953125</v>
      </c>
      <c r="DS382" s="104">
        <f t="shared" si="365"/>
        <v>228.90125</v>
      </c>
      <c r="DT382" s="104">
        <f t="shared" si="347"/>
        <v>243.03923333333344</v>
      </c>
      <c r="DU382" s="104">
        <f t="shared" si="348"/>
        <v>402.90610000000009</v>
      </c>
      <c r="DV382" s="104">
        <f t="shared" si="352"/>
        <v>78.75</v>
      </c>
      <c r="DW382" s="104">
        <f t="shared" si="349"/>
        <v>3</v>
      </c>
      <c r="DX382" s="106">
        <f t="shared" si="353"/>
        <v>3300.8877258333337</v>
      </c>
      <c r="DY382" s="109">
        <f t="shared" si="340"/>
        <v>-5.631051180898794E-13</v>
      </c>
      <c r="EA382" s="110">
        <f t="shared" si="393"/>
        <v>3.1270451640078516E-2</v>
      </c>
      <c r="EB382" s="110">
        <f t="shared" si="393"/>
        <v>0.10576481131658687</v>
      </c>
      <c r="EC382" s="110">
        <f t="shared" si="393"/>
        <v>0.57316494293133291</v>
      </c>
      <c r="ED382" s="110">
        <f t="shared" si="393"/>
        <v>6.9345360706629972E-2</v>
      </c>
      <c r="EE382" s="110">
        <f t="shared" si="393"/>
        <v>7.3628445896921982E-2</v>
      </c>
      <c r="EF382" s="110">
        <f t="shared" si="393"/>
        <v>0.1220599225010852</v>
      </c>
      <c r="EG382" s="110">
        <f t="shared" si="384"/>
        <v>2.3857218585075921E-2</v>
      </c>
      <c r="EH382" s="111">
        <f t="shared" si="354"/>
        <v>9.0884642228860647E-4</v>
      </c>
      <c r="EI382" s="110">
        <f t="shared" si="409"/>
        <v>0.99909115357771139</v>
      </c>
      <c r="EK382" s="132">
        <f>(EA382*'Renewable Diesel'!BF391*'Feedstock Conversion Rates'!B$2)+FB382</f>
        <v>476.09878778393818</v>
      </c>
      <c r="EL382" s="132">
        <f>(EB382*'Renewable Diesel'!BF391*'Feedstock Conversion Rates'!B$3)+FC382</f>
        <v>1517.4616046340475</v>
      </c>
      <c r="EM382" s="132">
        <f>(EC382*'Renewable Diesel'!BF391*'Feedstock Conversion Rates'!B$4)+FD382</f>
        <v>7699.8963469166538</v>
      </c>
      <c r="EN382" s="132">
        <f>(ED382*'Renewable Diesel'!BF391*'Feedstock Conversion Rates'!B$5)+FE382</f>
        <v>937.79596398343824</v>
      </c>
      <c r="EO382" s="132">
        <f>(EE382*'Renewable Diesel'!BF391*'Feedstock Conversion Rates'!B$6)+FF382</f>
        <v>1237.0648536703125</v>
      </c>
      <c r="EP382" s="132">
        <f>(EF382*'Renewable Diesel'!BF391*'Feedstock Conversion Rates'!B$7)+FG382</f>
        <v>2011.4299543844504</v>
      </c>
      <c r="EQ382" s="132">
        <f>(EG382*'Renewable Diesel'!BF391*'Feedstock Conversion Rates'!B$8)+FH382</f>
        <v>400.62226523165475</v>
      </c>
      <c r="ER382" s="132">
        <f>(EH382*'Renewable Diesel'!BF391*'Feedstock Conversion Rates'!B$9)+FI382</f>
        <v>15.058309905850134</v>
      </c>
      <c r="ES382" s="132">
        <f t="shared" si="355"/>
        <v>14295.428086510345</v>
      </c>
      <c r="ET382" s="133">
        <f>ES382/'Renewable Diesel'!BF391</f>
        <v>15.99091264870559</v>
      </c>
      <c r="EW382" s="73">
        <f t="shared" si="386"/>
        <v>12964.388345413539</v>
      </c>
      <c r="EX382" s="73">
        <f t="shared" si="387"/>
        <v>8491.7453771987184</v>
      </c>
      <c r="EY382" s="92">
        <f t="shared" si="410"/>
        <v>0.90689052940269621</v>
      </c>
      <c r="EZ382" s="92">
        <f t="shared" si="410"/>
        <v>0.59401826414780956</v>
      </c>
      <c r="FB382" s="102">
        <f>IF('Renewable Diesel'!$BG391&lt;1,0,(((('Renewable Diesel'!$BG391-1)*'Renewable Diesel'!$BF391)*'RD Feedstock Breakdown'!EA382)*'Feedstock Conversion Rates'!$B$2))</f>
        <v>238.48206939971078</v>
      </c>
      <c r="FC382" s="102">
        <f>IF('Renewable Diesel'!$BG391&lt;1,0,(((('Renewable Diesel'!$BG391-1)*'Renewable Diesel'!$BF391)*'RD Feedstock Breakdown'!EB382)*'Feedstock Conversion Rates'!$B$3))</f>
        <v>760.10986163645532</v>
      </c>
      <c r="FD382" s="102">
        <f>IF('Renewable Diesel'!$BG391&lt;1,0,(((('Renewable Diesel'!$BG391-1)*'Renewable Diesel'!$BF391)*'RD Feedstock Breakdown'!EC382)*'Feedstock Conversion Rates'!$B$4))</f>
        <v>3856.9457895979685</v>
      </c>
      <c r="FE382" s="102">
        <f>IF('Renewable Diesel'!$BG391&lt;1,0,(((('Renewable Diesel'!$BG391-1)*'Renewable Diesel'!$BF391)*'RD Feedstock Breakdown'!ED382)*'Feedstock Conversion Rates'!$B$5))</f>
        <v>469.75024491547771</v>
      </c>
      <c r="FF382" s="102">
        <f>IF('Renewable Diesel'!$BG391&lt;1,0,(((('Renewable Diesel'!$BG391-1)*'Renewable Diesel'!$BF391)*'RD Feedstock Breakdown'!EE382)*'Feedstock Conversion Rates'!$B$6))</f>
        <v>619.6566633957292</v>
      </c>
      <c r="FG382" s="102">
        <f>IF('Renewable Diesel'!$BG391&lt;1,0,(((('Renewable Diesel'!$BG391-1)*'Renewable Diesel'!$BF391)*'RD Feedstock Breakdown'!EF382)*'Feedstock Conversion Rates'!$B$7))</f>
        <v>1007.542951762064</v>
      </c>
      <c r="FH382" s="102">
        <f>IF('Renewable Diesel'!$BG391&lt;1,0,(((('Renewable Diesel'!$BG391-1)*'Renewable Diesel'!$BF391)*'RD Feedstock Breakdown'!EG382)*'Feedstock Conversion Rates'!$B$8))</f>
        <v>200.67521554665893</v>
      </c>
      <c r="FI382" s="102">
        <f>IF('Renewable Diesel'!$BG391&lt;1,0,(((('Renewable Diesel'!$BG391-1)*'Renewable Diesel'!$BF391)*'RD Feedstock Breakdown'!EH382)*'Feedstock Conversion Rates'!$B$9))</f>
        <v>7.542839847849022</v>
      </c>
      <c r="FJ382" s="102">
        <f t="shared" si="388"/>
        <v>7160.705636101914</v>
      </c>
      <c r="GD382" s="91">
        <f>'Renewable Diesel'!BB391*0.32</f>
        <v>0</v>
      </c>
      <c r="GE382" s="91">
        <f>'Renewable Diesel'!BC391</f>
        <v>468.18163319149016</v>
      </c>
      <c r="GF382" s="91">
        <f>'Renewable Diesel'!BD391</f>
        <v>0</v>
      </c>
      <c r="GG382" s="91">
        <f t="shared" si="373"/>
        <v>468.18163319149016</v>
      </c>
      <c r="GH382" s="124">
        <v>1</v>
      </c>
      <c r="GI382" s="102">
        <f>$GG382*EA382*'Feedstock Conversion Rates'!$B$2</f>
        <v>124.4421345156435</v>
      </c>
      <c r="GJ382" s="102">
        <f>$GG382*EB382*'Feedstock Conversion Rates'!$B$3</f>
        <v>396.63230819207939</v>
      </c>
      <c r="GK382" s="102">
        <f>$GG382*EC382*'Feedstock Conversion Rates'!$B$4</f>
        <v>2012.5897430227401</v>
      </c>
      <c r="GL382" s="102">
        <f>$GG382*ED382*'Feedstock Conversion Rates'!$B$5</f>
        <v>245.11999293561672</v>
      </c>
      <c r="GM382" s="102">
        <f>$GG382*EE382*'Feedstock Conversion Rates'!$B$6</f>
        <v>323.34253914311131</v>
      </c>
      <c r="GN382" s="102">
        <f>$GG382*EF382*'Feedstock Conversion Rates'!$B$7</f>
        <v>525.74516754681997</v>
      </c>
      <c r="GO382" s="102">
        <f>$GG382*EG382*'Feedstock Conversion Rates'!$B$8</f>
        <v>104.71417088031767</v>
      </c>
      <c r="GP382" s="102">
        <f>$GG382*EH382*'Feedstock Conversion Rates'!B$9</f>
        <v>3.9359231213427335</v>
      </c>
      <c r="GQ382" s="102">
        <f t="shared" si="356"/>
        <v>3736.5219793576716</v>
      </c>
      <c r="GT382" s="103">
        <f t="shared" si="389"/>
        <v>3.3304269372191886E-2</v>
      </c>
      <c r="GU382" s="103">
        <f t="shared" si="390"/>
        <v>0.10615013383656387</v>
      </c>
      <c r="GV382" s="103">
        <f t="shared" si="391"/>
        <v>0.53862649654979822</v>
      </c>
      <c r="GW382" s="103">
        <f t="shared" si="401"/>
        <v>6.5601110950176761E-2</v>
      </c>
      <c r="GX382" s="103">
        <f t="shared" si="402"/>
        <v>8.6535698419388296E-2</v>
      </c>
      <c r="GY382" s="103">
        <f t="shared" si="403"/>
        <v>0.14070442257566979</v>
      </c>
      <c r="GZ382" s="103">
        <f t="shared" si="404"/>
        <v>2.8024502855545513E-2</v>
      </c>
      <c r="HA382" s="103">
        <f t="shared" si="405"/>
        <v>1.0533654406655838E-3</v>
      </c>
    </row>
    <row r="383" spans="1:209" x14ac:dyDescent="0.25">
      <c r="A383" s="96">
        <v>52079</v>
      </c>
      <c r="B383" s="104">
        <f t="shared" si="406"/>
        <v>44.25</v>
      </c>
      <c r="C383" s="104">
        <f t="shared" si="396"/>
        <v>49</v>
      </c>
      <c r="D383" s="104">
        <f t="shared" si="407"/>
        <v>2</v>
      </c>
      <c r="E383" s="104">
        <f>('Renewable Diesel'!B392*E$3*'Feedstock Conversion Rates'!$B$2)/12+26+13-100+27.5+39</f>
        <v>95.43</v>
      </c>
      <c r="F383" s="104">
        <f>('Renewable Diesel'!B392*'RD Feedstock Breakdown'!F$3*'Feedstock Conversion Rates'!B$8)/12+77+23-10-12-115.75+24+8</f>
        <v>48.15625</v>
      </c>
      <c r="G383" s="104">
        <f>('Renewable Diesel'!B392*'RD Feedstock Breakdown'!G$3*'Feedstock Conversion Rates'!B$7)/12+116.75-39-57.5-145-31.5+32+70-40+10+60</f>
        <v>151.90700000000004</v>
      </c>
      <c r="H383" s="104">
        <f>('Renewable Diesel'!B392*'RD Feedstock Breakdown'!H$3*'Feedstock Conversion Rates'!B$3)/12+67+10+12+3-235+20+47-20+25</f>
        <v>105.40022499999998</v>
      </c>
      <c r="I383" s="106">
        <f t="shared" si="370"/>
        <v>496.14347500000002</v>
      </c>
      <c r="J383" s="104">
        <f t="shared" si="332"/>
        <v>4</v>
      </c>
      <c r="K383" s="104"/>
      <c r="L383" s="104">
        <v>1</v>
      </c>
      <c r="M383" s="104">
        <f>('Renewable Diesel'!C392*'RD Feedstock Breakdown'!M$3*'Feedstock Conversion Rates'!B$2)/12</f>
        <v>7.7902500000000003</v>
      </c>
      <c r="N383" s="104">
        <f>('Renewable Diesel'!C392*'RD Feedstock Breakdown'!N$3*'Feedstock Conversion Rates'!B$8)/12</f>
        <v>3.671875</v>
      </c>
      <c r="O383" s="104">
        <f>('Renewable Diesel'!C392*'RD Feedstock Breakdown'!O$3*'Feedstock Conversion Rates'!B$7)/12</f>
        <v>11.9991</v>
      </c>
      <c r="P383" s="104">
        <f>('Renewable Diesel'!C392*'RD Feedstock Breakdown'!P$3*'Feedstock Conversion Rates'!B$3)/12</f>
        <v>10.4470425</v>
      </c>
      <c r="Q383" s="106">
        <f t="shared" si="379"/>
        <v>38.908267500000001</v>
      </c>
      <c r="R383" s="104">
        <f>('Renewable Diesel'!D392*'RD Feedstock Breakdown'!R$3*'Feedstock Conversion Rates'!B$7)/12</f>
        <v>2.2999999999999998</v>
      </c>
      <c r="S383" s="106">
        <f t="shared" si="329"/>
        <v>2.2999999999999998</v>
      </c>
      <c r="T383" s="104">
        <f t="shared" si="380"/>
        <v>0.82499999999999929</v>
      </c>
      <c r="U383" s="104"/>
      <c r="V383" s="104">
        <f>('Renewable Diesel'!E392*'RD Feedstock Breakdown'!V$3*'Feedstock Conversion Rates'!B$6)/12-20+25</f>
        <v>49.250150000000012</v>
      </c>
      <c r="W383" s="104">
        <f>('Renewable Diesel'!E392*'RD Feedstock Breakdown'!W$3*'Feedstock Conversion Rates'!B$8)/12-6</f>
        <v>16.1796875</v>
      </c>
      <c r="X383" s="106">
        <f t="shared" si="357"/>
        <v>66.254837500000008</v>
      </c>
      <c r="Y383" s="104">
        <f t="shared" si="381"/>
        <v>98</v>
      </c>
      <c r="Z383" s="104">
        <f>('Renewable Diesel'!F392*'RD Feedstock Breakdown'!Z$3*'Feedstock Conversion Rates'!B$6)/12-142+15+5+20+5+15</f>
        <v>77.460000000000008</v>
      </c>
      <c r="AA383" s="104">
        <f>('Renewable Diesel'!F392*'RD Feedstock Breakdown'!AA$3*'Feedstock Conversion Rates'!B$7)/12+24</f>
        <v>128.26666666666665</v>
      </c>
      <c r="AB383" s="106">
        <f t="shared" si="400"/>
        <v>303.72666666666669</v>
      </c>
      <c r="AC383" s="104">
        <f>('Renewable Diesel'!G392*'RD Feedstock Breakdown'!AC$3*'Feedstock Conversion Rates'!B$5)/12</f>
        <v>11.796875</v>
      </c>
      <c r="AD383" s="104">
        <f>('Renewable Diesel'!G392*'RD Feedstock Breakdown'!AD$3*'Feedstock Conversion Rates'!B$4)/12</f>
        <v>5.859375</v>
      </c>
      <c r="AE383" s="104">
        <f>('Renewable Diesel'!G392*'RD Feedstock Breakdown'!AE$3*'Feedstock Conversion Rates'!B$6)/12</f>
        <v>7.3281250000000009</v>
      </c>
      <c r="AF383" s="106">
        <f t="shared" si="366"/>
        <v>24.984375</v>
      </c>
      <c r="AG383" s="104">
        <f t="shared" si="383"/>
        <v>148</v>
      </c>
      <c r="AH383" s="104"/>
      <c r="AI383" s="104">
        <f>('Renewable Diesel'!H392*'RD Feedstock Breakdown'!AI$3*'Feedstock Conversion Rates'!B$6)/12-130-20+51-49</f>
        <v>0.51666666666667993</v>
      </c>
      <c r="AJ383" s="106">
        <f t="shared" si="328"/>
        <v>148.51666666666668</v>
      </c>
      <c r="AK383" s="104">
        <f>('Renewable Diesel'!J392*'RD Feedstock Breakdown'!AK$3*'Feedstock Conversion Rates'!B$4)/12</f>
        <v>95.8125</v>
      </c>
      <c r="AL383" s="106">
        <f t="shared" si="330"/>
        <v>95.8125</v>
      </c>
      <c r="AM383" s="104">
        <f>('Renewable Diesel'!K392*'RD Feedstock Breakdown'!AM$3*'Feedstock Conversion Rates'!B$4)/12+5+15-10+10</f>
        <v>78.59375</v>
      </c>
      <c r="AN383" s="104">
        <f>('Renewable Diesel'!K392*'RD Feedstock Breakdown'!AN$3*'Feedstock Conversion Rates'!B$6)/12-5-15+10-10</f>
        <v>4.4270833333333321</v>
      </c>
      <c r="AO383" s="106">
        <f t="shared" si="350"/>
        <v>83.020833333333329</v>
      </c>
      <c r="AP383" s="104">
        <f>('Renewable Diesel'!L392*'RD Feedstock Breakdown'!AP$3*'Feedstock Conversion Rates'!B$4)/12+15-10+15</f>
        <v>78.59375</v>
      </c>
      <c r="AQ383" s="104">
        <f>('Renewable Diesel'!L392*'RD Feedstock Breakdown'!AQ$3*'Feedstock Conversion Rates'!B$6)/12-15+10-15</f>
        <v>4.4270833333333321</v>
      </c>
      <c r="AR383" s="106">
        <f t="shared" si="339"/>
        <v>83.020833333333329</v>
      </c>
      <c r="AS383" s="104">
        <f>('Renewable Diesel'!M392*'RD Feedstock Breakdown'!AS$3*'Feedstock Conversion Rates'!B$4)/12</f>
        <v>456.25</v>
      </c>
      <c r="AT383" s="104">
        <f>('Renewable Diesel'!M392*'RD Feedstock Breakdown'!AT$3*'Feedstock Conversion Rates'!B$5)/12</f>
        <v>0</v>
      </c>
      <c r="AU383" s="106">
        <f t="shared" si="369"/>
        <v>456.25</v>
      </c>
      <c r="AV383" s="104">
        <f>'Renewable Diesel'!N392*'RD Feedstock Breakdown'!$AV$3*'Feedstock Conversion Rates'!$B$4/12-15-10+25+25-22+25</f>
        <v>106.74999999999999</v>
      </c>
      <c r="AW383" s="104">
        <f>'Renewable Diesel'!N392*'RD Feedstock Breakdown'!$AW$3*'Feedstock Conversion Rates'!$B$7/12+15+10-25-25+22-25</f>
        <v>13.400000000000006</v>
      </c>
      <c r="AX383" s="106">
        <f t="shared" si="408"/>
        <v>120.14999999999999</v>
      </c>
      <c r="AY383" s="104">
        <f>('Renewable Diesel'!O392*'RD Feedstock Breakdown'!AY$3*'Feedstock Conversion Rates'!B$4)/12</f>
        <v>210.9375</v>
      </c>
      <c r="AZ383" s="104">
        <f>('Renewable Diesel'!O392*'RD Feedstock Breakdown'!AZ$3*'Feedstock Conversion Rates'!B$3)/12</f>
        <v>25.03125</v>
      </c>
      <c r="BA383" s="106">
        <f t="shared" si="382"/>
        <v>235.96875</v>
      </c>
      <c r="BB383" s="104">
        <f>('Renewable Diesel'!Q392*'RD Feedstock Breakdown'!BB$3*'Feedstock Conversion Rates'!B$4)/12</f>
        <v>11.156249999999998</v>
      </c>
      <c r="BC383" s="104">
        <f>('Renewable Diesel'!Q392*'RD Feedstock Breakdown'!BC$3*'Feedstock Conversion Rates'!B$3)/12</f>
        <v>1.4017500000000001</v>
      </c>
      <c r="BD383" s="104">
        <f>('Renewable Diesel'!Q392*'RD Feedstock Breakdown'!BD$3*'Feedstock Conversion Rates'!B$6)/12</f>
        <v>0.8207500000000002</v>
      </c>
      <c r="BE383" s="106">
        <f t="shared" si="359"/>
        <v>13.378749999999998</v>
      </c>
      <c r="BF383" s="104">
        <f>('Renewable Diesel'!R392*'RD Feedstock Breakdown'!BF$3*'Feedstock Conversion Rates'!B$4)/12</f>
        <v>62.5</v>
      </c>
      <c r="BG383" s="106">
        <f t="shared" si="344"/>
        <v>62.5</v>
      </c>
      <c r="BH383" s="104">
        <f>('Renewable Diesel'!T392*'RD Feedstock Breakdown'!BH$3*'Feedstock Conversion Rates'!B$7)/12</f>
        <v>27.599999999999998</v>
      </c>
      <c r="BI383" s="106">
        <f t="shared" si="412"/>
        <v>27.599999999999998</v>
      </c>
      <c r="BJ383" s="104">
        <f>('Renewable Diesel'!W392*'RD Feedstock Breakdown'!BJ$3*'Feedstock Conversion Rates'!B$4)/12</f>
        <v>7.5</v>
      </c>
      <c r="BK383" s="104">
        <f>('Renewable Diesel'!W392*'RD Feedstock Breakdown'!BK$3*'Feedstock Conversion Rates'!B$3)/12</f>
        <v>1.335</v>
      </c>
      <c r="BL383" s="104">
        <f>('Renewable Diesel'!W392*'RD Feedstock Breakdown'!BL$3*'Feedstock Conversion Rates'!B$6)/12</f>
        <v>3.1266666666666669</v>
      </c>
      <c r="BM383" s="104">
        <f>('Renewable Diesel'!W392*'RD Feedstock Breakdown'!BM$3*'Feedstock Conversion Rates'!B$7)/12</f>
        <v>1.5333333333333332</v>
      </c>
      <c r="BN383" s="106">
        <f t="shared" si="374"/>
        <v>13.495000000000001</v>
      </c>
      <c r="BO383" s="104">
        <f>('Renewable Diesel'!P392*'Feedstock Conversion Rates'!B$4)/12</f>
        <v>31.25</v>
      </c>
      <c r="BP383" s="106">
        <f t="shared" si="367"/>
        <v>31.25</v>
      </c>
      <c r="BQ383" s="104">
        <f>('Renewable Diesel'!$S392*'RD Feedstock Breakdown'!BQ$3*'Feedstock Conversion Rates'!B$4)/12+10+15-15</f>
        <v>38.125</v>
      </c>
      <c r="BR383" s="104">
        <f>('Renewable Diesel'!$S392*'RD Feedstock Breakdown'!BR$3*'Feedstock Conversion Rates'!B$7)/12-10-15+15</f>
        <v>1.5</v>
      </c>
      <c r="BS383" s="106">
        <f t="shared" si="385"/>
        <v>39.625</v>
      </c>
      <c r="BT383" s="106"/>
      <c r="BU383" s="104">
        <f>('Renewable Diesel'!Y392*'Feedstock Conversion Rates'!B$7)/12</f>
        <v>2.6833333333333331</v>
      </c>
      <c r="BV383" s="106">
        <f t="shared" si="361"/>
        <v>2.6833333333333331</v>
      </c>
      <c r="BW383" s="104">
        <f>('Renewable Diesel'!$Z392*'RD Feedstock Breakdown'!BW$3*'Feedstock Conversion Rates'!$B$4)/12-250+180</f>
        <v>1.875</v>
      </c>
      <c r="BX383" s="104">
        <f>('Renewable Diesel'!$Z392*'RD Feedstock Breakdown'!BX$3*'Feedstock Conversion Rates'!$B$5)/12</f>
        <v>7.2354166666666666</v>
      </c>
      <c r="BY383" s="104">
        <f>('Renewable Diesel'!$Z392*'RD Feedstock Breakdown'!BY$3*'Feedstock Conversion Rates'!$B$7)/12</f>
        <v>61.716666666666661</v>
      </c>
      <c r="BZ383" s="104">
        <f>('Renewable Diesel'!$Z392*'RD Feedstock Breakdown'!BZ$3*'Feedstock Conversion Rates'!$B$3)/12+250-180</f>
        <v>85.35250000000002</v>
      </c>
      <c r="CA383" s="106">
        <f t="shared" si="392"/>
        <v>156.17958333333334</v>
      </c>
      <c r="CB383" s="104">
        <f>('Renewable Diesel'!AA392*'Feedstock Conversion Rates'!B$4)/12</f>
        <v>191.25</v>
      </c>
      <c r="CC383" s="106">
        <f t="shared" si="376"/>
        <v>191.25</v>
      </c>
      <c r="CD383" s="104">
        <f>('Renewable Diesel'!$AB392*'RD Feedstock Breakdown'!CD$3*'Feedstock Conversion Rates'!$B$6)/12-15-5</f>
        <v>12.830000000000005</v>
      </c>
      <c r="CE383" s="104">
        <f>('Renewable Diesel'!$AB392*'RD Feedstock Breakdown'!CE$3*'Feedstock Conversion Rates'!$B$4)/12+15+5</f>
        <v>31.25</v>
      </c>
      <c r="CF383" s="106">
        <f t="shared" si="372"/>
        <v>44.080000000000005</v>
      </c>
      <c r="CG383" s="104">
        <f>('Renewable Diesel'!AD392*'Feedstock Conversion Rates'!B$4)/12</f>
        <v>112.5</v>
      </c>
      <c r="CH383" s="106">
        <f t="shared" si="358"/>
        <v>112.5</v>
      </c>
      <c r="CI383" s="104">
        <f>('Renewable Diesel'!$AE392*'RD Feedstock Breakdown'!CI$3*'Feedstock Conversion Rates'!$B$5)/12</f>
        <v>0.34604166666666664</v>
      </c>
      <c r="CJ383" s="104">
        <f>('Renewable Diesel'!$AE392*'RD Feedstock Breakdown'!CJ$3*'Feedstock Conversion Rates'!$B$4)/12</f>
        <v>0.34375</v>
      </c>
      <c r="CK383" s="106">
        <f t="shared" si="368"/>
        <v>0.68979166666666658</v>
      </c>
      <c r="CL383" s="104">
        <f>(((CL$3*'Renewable Diesel'!$AF392)*'Feedstock Conversion Rates'!$B$3)/12)</f>
        <v>91.78125</v>
      </c>
      <c r="CM383" s="104">
        <f>(((CM$3*'Renewable Diesel'!$AF392)*'Feedstock Conversion Rates'!$B$6)/12)</f>
        <v>53.739583333333336</v>
      </c>
      <c r="CN383" s="104">
        <f>(((CN$3*'Renewable Diesel'!$AF392)*'Feedstock Conversion Rates'!$B$4)/12)</f>
        <v>42.96875</v>
      </c>
      <c r="CO383" s="106">
        <f t="shared" si="360"/>
        <v>188.48958333333334</v>
      </c>
      <c r="CP383" s="104">
        <f>('Renewable Diesel'!$AG392*'RD Feedstock Breakdown'!CP$3*'Feedstock Conversion Rates'!$B$3)/12</f>
        <v>6.0075000000000003</v>
      </c>
      <c r="CQ383" s="104">
        <f>('Renewable Diesel'!$AG392*'RD Feedstock Breakdown'!CQ$3*'Feedstock Conversion Rates'!$B$6)/12</f>
        <v>3.5175000000000001</v>
      </c>
      <c r="CR383" s="104">
        <f>('Renewable Diesel'!$AG392*'RD Feedstock Breakdown'!CR$3*'Feedstock Conversion Rates'!$B$4)/12</f>
        <v>2.8125</v>
      </c>
      <c r="CS383" s="106">
        <f t="shared" si="397"/>
        <v>12.3375</v>
      </c>
      <c r="CT383" s="104">
        <f>('Renewable Diesel'!AI392*'Feedstock Conversion Rates'!$B$4*'RD Feedstock Breakdown'!$CT$3)/12</f>
        <v>29.375</v>
      </c>
      <c r="CU383" s="106">
        <f t="shared" si="364"/>
        <v>29.375</v>
      </c>
      <c r="CV383" s="104">
        <f>('Renewable Diesel'!AN392*'Feedstock Conversion Rates'!$B$3*'RD Feedstock Breakdown'!$CV$3)/12</f>
        <v>0.50062499999999999</v>
      </c>
      <c r="CW383" s="106">
        <f t="shared" si="338"/>
        <v>0.50062499999999999</v>
      </c>
      <c r="CX383" s="104">
        <f>('Renewable Diesel'!AO392*'RD Feedstock Breakdown'!$CX$3*'Feedstock Conversion Rates'!$B$3)/12</f>
        <v>6.3412499999999996</v>
      </c>
      <c r="CY383" s="104">
        <f>('Renewable Diesel'!AO392*'RD Feedstock Breakdown'!$CY$3*'Feedstock Conversion Rates'!$B$6)/12</f>
        <v>7.4258333333333342</v>
      </c>
      <c r="CZ383" s="106">
        <f t="shared" si="398"/>
        <v>13.767083333333334</v>
      </c>
      <c r="DA383" s="104">
        <f>('Renewable Diesel'!$AP392*'RD Feedstock Breakdown'!DA$3*'Feedstock Conversion Rates'!$B$3)/12</f>
        <v>6.3412499999999996</v>
      </c>
      <c r="DB383" s="104">
        <f>('Renewable Diesel'!$AP392*'RD Feedstock Breakdown'!DB$3*'Feedstock Conversion Rates'!$B$8)/12</f>
        <v>7.421875</v>
      </c>
      <c r="DC383" s="106">
        <f t="shared" si="342"/>
        <v>13.763124999999999</v>
      </c>
      <c r="DD383" s="104">
        <f>('Renewable Diesel'!AQ392*$DD$3*'Feedstock Conversion Rates'!$B$14)/12</f>
        <v>3.1041666666666665</v>
      </c>
      <c r="DE383" s="106">
        <f t="shared" si="343"/>
        <v>3.1041666666666665</v>
      </c>
      <c r="DF383" s="104">
        <f>('Renewable Diesel'!AR392*'Feedstock Conversion Rates'!$B$4*$DF$3)/12</f>
        <v>75</v>
      </c>
      <c r="DG383" s="106">
        <f t="shared" si="399"/>
        <v>75</v>
      </c>
      <c r="DH383" s="104">
        <f>('Renewable Diesel'!AS392*'Feedstock Conversion Rates'!$B$4*$DH$3)/12</f>
        <v>75</v>
      </c>
      <c r="DI383" s="106">
        <f t="shared" si="411"/>
        <v>75</v>
      </c>
      <c r="DJ383" s="104">
        <f>('Renewable Diesel'!AT392*'Feedstock Conversion Rates'!$B$4*0.25)/12</f>
        <v>8.59375</v>
      </c>
      <c r="DK383" s="104">
        <f>('Renewable Diesel'!$AT392*'RD Feedstock Breakdown'!DK$3*'Feedstock Conversion Rates'!$B$3)/12*0.5</f>
        <v>9.1781249999999996</v>
      </c>
      <c r="DL383" s="104">
        <f>('Renewable Diesel'!$AT392*'RD Feedstock Breakdown'!$DL$3*'Feedstock Conversion Rates'!$B$6)/12</f>
        <v>10.747916666666669</v>
      </c>
      <c r="DM383" s="104">
        <f>('Renewable Diesel'!$AT392*'RD Feedstock Breakdown'!$DM$3*'Feedstock Conversion Rates'!$B$8)/12</f>
        <v>10.7421875</v>
      </c>
      <c r="DN383" s="106">
        <f t="shared" si="375"/>
        <v>39.26197916666667</v>
      </c>
      <c r="DP383" s="104">
        <f t="shared" si="345"/>
        <v>103.22025000000001</v>
      </c>
      <c r="DQ383" s="104">
        <f t="shared" si="346"/>
        <v>349.11776750000007</v>
      </c>
      <c r="DR383" s="104">
        <f t="shared" si="351"/>
        <v>1891.953125</v>
      </c>
      <c r="DS383" s="104">
        <f t="shared" si="365"/>
        <v>228.90125</v>
      </c>
      <c r="DT383" s="104">
        <f t="shared" si="347"/>
        <v>243.03923333333344</v>
      </c>
      <c r="DU383" s="104">
        <f t="shared" si="348"/>
        <v>402.90610000000009</v>
      </c>
      <c r="DV383" s="104">
        <f t="shared" si="352"/>
        <v>78.75</v>
      </c>
      <c r="DW383" s="104">
        <f t="shared" si="349"/>
        <v>3</v>
      </c>
      <c r="DX383" s="106">
        <f t="shared" si="353"/>
        <v>3300.8877258333337</v>
      </c>
      <c r="DY383" s="109">
        <f t="shared" si="340"/>
        <v>-5.631051180898794E-13</v>
      </c>
      <c r="EA383" s="110">
        <f t="shared" si="393"/>
        <v>3.1270451640078516E-2</v>
      </c>
      <c r="EB383" s="110">
        <f t="shared" si="393"/>
        <v>0.10576481131658687</v>
      </c>
      <c r="EC383" s="110">
        <f t="shared" si="393"/>
        <v>0.57316494293133291</v>
      </c>
      <c r="ED383" s="110">
        <f t="shared" si="393"/>
        <v>6.9345360706629972E-2</v>
      </c>
      <c r="EE383" s="110">
        <f t="shared" si="393"/>
        <v>7.3628445896921982E-2</v>
      </c>
      <c r="EF383" s="110">
        <f t="shared" si="393"/>
        <v>0.1220599225010852</v>
      </c>
      <c r="EG383" s="110">
        <f t="shared" si="384"/>
        <v>2.3857218585075921E-2</v>
      </c>
      <c r="EH383" s="111">
        <f t="shared" si="354"/>
        <v>9.0884642228860647E-4</v>
      </c>
      <c r="EI383" s="110">
        <f t="shared" si="409"/>
        <v>0.99909115357771139</v>
      </c>
      <c r="EK383" s="132">
        <f>(EA383*'Renewable Diesel'!BF392*'Feedstock Conversion Rates'!B$2)+FB383</f>
        <v>511.20511915755787</v>
      </c>
      <c r="EL383" s="132">
        <f>(EB383*'Renewable Diesel'!BF392*'Feedstock Conversion Rates'!B$3)+FC383</f>
        <v>1629.3554201738666</v>
      </c>
      <c r="EM383" s="132">
        <f>(EC383*'Renewable Diesel'!BF392*'Feedstock Conversion Rates'!B$4)+FD383</f>
        <v>8267.6674054307823</v>
      </c>
      <c r="EN383" s="132">
        <f>(ED383*'Renewable Diesel'!BF392*'Feedstock Conversion Rates'!B$5)+FE383</f>
        <v>1006.9466879869335</v>
      </c>
      <c r="EO383" s="132">
        <f>(EE383*'Renewable Diesel'!BF392*'Feedstock Conversion Rates'!B$6)+FF383</f>
        <v>1328.2829155472461</v>
      </c>
      <c r="EP383" s="132">
        <f>(EF383*'Renewable Diesel'!BF392*'Feedstock Conversion Rates'!B$7)+FG383</f>
        <v>2159.7477580111445</v>
      </c>
      <c r="EQ383" s="132">
        <f>(EG383*'Renewable Diesel'!BF392*'Feedstock Conversion Rates'!B$8)+FH383</f>
        <v>430.16314699767872</v>
      </c>
      <c r="ER383" s="132">
        <f>(EH383*'Renewable Diesel'!BF392*'Feedstock Conversion Rates'!B$9)+FI383</f>
        <v>16.168671937944492</v>
      </c>
      <c r="ES383" s="132">
        <f t="shared" si="355"/>
        <v>15349.537125243154</v>
      </c>
      <c r="ET383" s="133">
        <f>ES383/'Renewable Diesel'!BF392</f>
        <v>16.300543706766987</v>
      </c>
      <c r="EW383" s="73">
        <f t="shared" si="386"/>
        <v>14008.276026968571</v>
      </c>
      <c r="EX383" s="73">
        <f t="shared" si="387"/>
        <v>9175.497526392528</v>
      </c>
      <c r="EY383" s="92">
        <f t="shared" si="410"/>
        <v>0.91261879186774919</v>
      </c>
      <c r="EZ383" s="92">
        <f t="shared" si="410"/>
        <v>0.59777030743832138</v>
      </c>
      <c r="FB383" s="102">
        <f>IF('Renewable Diesel'!$BG392&lt;1,0,(((('Renewable Diesel'!$BG392-1)*'Renewable Diesel'!$BF392)*'RD Feedstock Breakdown'!EA383)*'Feedstock Conversion Rates'!$B$2))</f>
        <v>260.91352032747841</v>
      </c>
      <c r="FC383" s="102">
        <f>IF('Renewable Diesel'!$BG392&lt;1,0,(((('Renewable Diesel'!$BG392-1)*'Renewable Diesel'!$BF392)*'RD Feedstock Breakdown'!EB383)*'Feedstock Conversion Rates'!$B$3))</f>
        <v>831.60524535200386</v>
      </c>
      <c r="FD383" s="102">
        <f>IF('Renewable Diesel'!$BG392&lt;1,0,(((('Renewable Diesel'!$BG392-1)*'Renewable Diesel'!$BF392)*'RD Feedstock Breakdown'!EC383)*'Feedstock Conversion Rates'!$B$4))</f>
        <v>4219.7273204199737</v>
      </c>
      <c r="FE383" s="102">
        <f>IF('Renewable Diesel'!$BG392&lt;1,0,(((('Renewable Diesel'!$BG392-1)*'Renewable Diesel'!$BF392)*'RD Feedstock Breakdown'!ED383)*'Feedstock Conversion Rates'!$B$5))</f>
        <v>513.93461313088176</v>
      </c>
      <c r="FF383" s="102">
        <f>IF('Renewable Diesel'!$BG392&lt;1,0,(((('Renewable Diesel'!$BG392-1)*'Renewable Diesel'!$BF392)*'RD Feedstock Breakdown'!EE383)*'Feedstock Conversion Rates'!$B$6))</f>
        <v>677.94112088980023</v>
      </c>
      <c r="FG383" s="102">
        <f>IF('Renewable Diesel'!$BG392&lt;1,0,(((('Renewable Diesel'!$BG392-1)*'Renewable Diesel'!$BF392)*'RD Feedstock Breakdown'!EF383)*'Feedstock Conversion Rates'!$B$7))</f>
        <v>1102.3117129396132</v>
      </c>
      <c r="FH383" s="102">
        <f>IF('Renewable Diesel'!$BG392&lt;1,0,(((('Renewable Diesel'!$BG392-1)*'Renewable Diesel'!$BF392)*'RD Feedstock Breakdown'!EG383)*'Feedstock Conversion Rates'!$B$8))</f>
        <v>219.55058115081002</v>
      </c>
      <c r="FI383" s="102">
        <f>IF('Renewable Diesel'!$BG392&lt;1,0,(((('Renewable Diesel'!$BG392-1)*'Renewable Diesel'!$BF392)*'RD Feedstock Breakdown'!EH383)*'Feedstock Conversion Rates'!$B$9))</f>
        <v>8.2523139073828258</v>
      </c>
      <c r="FJ383" s="102">
        <f t="shared" si="388"/>
        <v>7834.2364281179443</v>
      </c>
      <c r="GD383" s="91">
        <f>'Renewable Diesel'!BB392*0.32</f>
        <v>0</v>
      </c>
      <c r="GE383" s="91">
        <f>'Renewable Diesel'!BC392</f>
        <v>509.77433443475007</v>
      </c>
      <c r="GF383" s="91">
        <f>'Renewable Diesel'!BD392</f>
        <v>0</v>
      </c>
      <c r="GG383" s="91">
        <f t="shared" si="373"/>
        <v>509.77433443475007</v>
      </c>
      <c r="GH383" s="124">
        <v>1</v>
      </c>
      <c r="GI383" s="102">
        <f>$GG383*EA383*'Feedstock Conversion Rates'!$B$2</f>
        <v>135.49742621450804</v>
      </c>
      <c r="GJ383" s="102">
        <f>$GG383*EB383*'Feedstock Conversion Rates'!$B$3</f>
        <v>431.86865222719524</v>
      </c>
      <c r="GK383" s="102">
        <f>$GG383*EC383*'Feedstock Conversion Rates'!$B$4</f>
        <v>2191.385829781138</v>
      </c>
      <c r="GL383" s="102">
        <f>$GG383*ED383*'Feedstock Conversion Rates'!$B$5</f>
        <v>266.89616250771769</v>
      </c>
      <c r="GM383" s="102">
        <f>$GG383*EE383*'Feedstock Conversion Rates'!$B$6</f>
        <v>352.06790698409168</v>
      </c>
      <c r="GN383" s="102">
        <f>$GG383*EF383*'Feedstock Conversion Rates'!$B$7</f>
        <v>572.45174493816046</v>
      </c>
      <c r="GO383" s="102">
        <f>$GG383*EG383*'Feedstock Conversion Rates'!$B$8</f>
        <v>114.01685367816962</v>
      </c>
      <c r="GP383" s="102">
        <f>$GG383*EH383*'Feedstock Conversion Rates'!B$9</f>
        <v>4.2855858652365981</v>
      </c>
      <c r="GQ383" s="102">
        <f t="shared" si="356"/>
        <v>4068.4701621962176</v>
      </c>
      <c r="GT383" s="103">
        <f t="shared" si="389"/>
        <v>3.3304269372191893E-2</v>
      </c>
      <c r="GU383" s="103">
        <f t="shared" si="390"/>
        <v>0.10615013383656388</v>
      </c>
      <c r="GV383" s="103">
        <f t="shared" si="391"/>
        <v>0.53862649654979833</v>
      </c>
      <c r="GW383" s="103">
        <f t="shared" si="401"/>
        <v>6.5601110950176775E-2</v>
      </c>
      <c r="GX383" s="103">
        <f t="shared" si="402"/>
        <v>8.653569841938831E-2</v>
      </c>
      <c r="GY383" s="103">
        <f t="shared" si="403"/>
        <v>0.14070442257566981</v>
      </c>
      <c r="GZ383" s="103">
        <f t="shared" si="404"/>
        <v>2.802450285554552E-2</v>
      </c>
      <c r="HA383" s="103">
        <f t="shared" si="405"/>
        <v>1.0533654406655838E-3</v>
      </c>
    </row>
    <row r="384" spans="1:209" x14ac:dyDescent="0.25">
      <c r="A384" s="96">
        <v>52110</v>
      </c>
      <c r="B384" s="104">
        <f t="shared" si="406"/>
        <v>44.25</v>
      </c>
      <c r="C384" s="104">
        <f t="shared" si="396"/>
        <v>49</v>
      </c>
      <c r="D384" s="104">
        <f t="shared" si="407"/>
        <v>2</v>
      </c>
      <c r="E384" s="104">
        <f>('Renewable Diesel'!B393*E$3*'Feedstock Conversion Rates'!$B$2)/12+26+13-100+27.5+39</f>
        <v>95.43</v>
      </c>
      <c r="F384" s="104">
        <f>('Renewable Diesel'!B393*'RD Feedstock Breakdown'!F$3*'Feedstock Conversion Rates'!B$8)/12+77+23-10-12-115.75+24+8</f>
        <v>48.15625</v>
      </c>
      <c r="G384" s="104">
        <f>('Renewable Diesel'!B393*'RD Feedstock Breakdown'!G$3*'Feedstock Conversion Rates'!B$7)/12+116.75-39-57.5-145-31.5+32+70-40+10+60</f>
        <v>151.90700000000004</v>
      </c>
      <c r="H384" s="104">
        <f>('Renewable Diesel'!B393*'RD Feedstock Breakdown'!H$3*'Feedstock Conversion Rates'!B$3)/12+67+10+12+3-235+20+47-20+25</f>
        <v>105.40022499999998</v>
      </c>
      <c r="I384" s="106">
        <f t="shared" si="370"/>
        <v>496.14347500000002</v>
      </c>
      <c r="J384" s="104">
        <f t="shared" si="332"/>
        <v>4</v>
      </c>
      <c r="K384" s="104"/>
      <c r="L384" s="104">
        <v>1</v>
      </c>
      <c r="M384" s="104">
        <f>('Renewable Diesel'!C393*'RD Feedstock Breakdown'!M$3*'Feedstock Conversion Rates'!B$2)/12</f>
        <v>7.7902500000000003</v>
      </c>
      <c r="N384" s="104">
        <f>('Renewable Diesel'!C393*'RD Feedstock Breakdown'!N$3*'Feedstock Conversion Rates'!B$8)/12</f>
        <v>3.671875</v>
      </c>
      <c r="O384" s="104">
        <f>('Renewable Diesel'!C393*'RD Feedstock Breakdown'!O$3*'Feedstock Conversion Rates'!B$7)/12</f>
        <v>11.9991</v>
      </c>
      <c r="P384" s="104">
        <f>('Renewable Diesel'!C393*'RD Feedstock Breakdown'!P$3*'Feedstock Conversion Rates'!B$3)/12</f>
        <v>10.4470425</v>
      </c>
      <c r="Q384" s="106">
        <f t="shared" si="379"/>
        <v>38.908267500000001</v>
      </c>
      <c r="R384" s="104">
        <f>('Renewable Diesel'!D393*'RD Feedstock Breakdown'!R$3*'Feedstock Conversion Rates'!B$7)/12</f>
        <v>2.2999999999999998</v>
      </c>
      <c r="S384" s="106">
        <f t="shared" si="329"/>
        <v>2.2999999999999998</v>
      </c>
      <c r="T384" s="104">
        <f t="shared" si="380"/>
        <v>0.82499999999999929</v>
      </c>
      <c r="U384" s="104"/>
      <c r="V384" s="104">
        <f>('Renewable Diesel'!E393*'RD Feedstock Breakdown'!V$3*'Feedstock Conversion Rates'!B$6)/12-20+25</f>
        <v>49.250150000000012</v>
      </c>
      <c r="W384" s="104">
        <f>('Renewable Diesel'!E393*'RD Feedstock Breakdown'!W$3*'Feedstock Conversion Rates'!B$8)/12-6</f>
        <v>16.1796875</v>
      </c>
      <c r="X384" s="106">
        <f t="shared" si="357"/>
        <v>66.254837500000008</v>
      </c>
      <c r="Y384" s="104">
        <f t="shared" si="381"/>
        <v>98</v>
      </c>
      <c r="Z384" s="104">
        <f>('Renewable Diesel'!F393*'RD Feedstock Breakdown'!Z$3*'Feedstock Conversion Rates'!B$6)/12-142+15+5+20+5+15</f>
        <v>77.460000000000008</v>
      </c>
      <c r="AA384" s="104">
        <f>('Renewable Diesel'!F393*'RD Feedstock Breakdown'!AA$3*'Feedstock Conversion Rates'!B$7)/12+24</f>
        <v>128.26666666666665</v>
      </c>
      <c r="AB384" s="106">
        <f t="shared" si="400"/>
        <v>303.72666666666669</v>
      </c>
      <c r="AC384" s="104">
        <f>('Renewable Diesel'!G393*'RD Feedstock Breakdown'!AC$3*'Feedstock Conversion Rates'!B$5)/12</f>
        <v>11.796875</v>
      </c>
      <c r="AD384" s="104">
        <f>('Renewable Diesel'!G393*'RD Feedstock Breakdown'!AD$3*'Feedstock Conversion Rates'!B$4)/12</f>
        <v>5.859375</v>
      </c>
      <c r="AE384" s="104">
        <f>('Renewable Diesel'!G393*'RD Feedstock Breakdown'!AE$3*'Feedstock Conversion Rates'!B$6)/12</f>
        <v>7.3281250000000009</v>
      </c>
      <c r="AF384" s="106">
        <f t="shared" si="366"/>
        <v>24.984375</v>
      </c>
      <c r="AG384" s="104">
        <f t="shared" si="383"/>
        <v>148</v>
      </c>
      <c r="AH384" s="104"/>
      <c r="AI384" s="104">
        <f>('Renewable Diesel'!H393*'RD Feedstock Breakdown'!AI$3*'Feedstock Conversion Rates'!B$6)/12-130-20+51-49</f>
        <v>0.51666666666667993</v>
      </c>
      <c r="AJ384" s="106">
        <f t="shared" ref="AJ384:AJ447" si="413">AI384+AG384</f>
        <v>148.51666666666668</v>
      </c>
      <c r="AK384" s="104">
        <f>('Renewable Diesel'!J393*'RD Feedstock Breakdown'!AK$3*'Feedstock Conversion Rates'!B$4)/12</f>
        <v>95.8125</v>
      </c>
      <c r="AL384" s="106">
        <f t="shared" si="330"/>
        <v>95.8125</v>
      </c>
      <c r="AM384" s="104">
        <f>('Renewable Diesel'!K393*'RD Feedstock Breakdown'!AM$3*'Feedstock Conversion Rates'!B$4)/12+5+15-10+10</f>
        <v>78.59375</v>
      </c>
      <c r="AN384" s="104">
        <f>('Renewable Diesel'!K393*'RD Feedstock Breakdown'!AN$3*'Feedstock Conversion Rates'!B$6)/12-5-15+10-10</f>
        <v>4.4270833333333321</v>
      </c>
      <c r="AO384" s="106">
        <f t="shared" si="350"/>
        <v>83.020833333333329</v>
      </c>
      <c r="AP384" s="104">
        <f>('Renewable Diesel'!L393*'RD Feedstock Breakdown'!AP$3*'Feedstock Conversion Rates'!B$4)/12+15-10+15</f>
        <v>78.59375</v>
      </c>
      <c r="AQ384" s="104">
        <f>('Renewable Diesel'!L393*'RD Feedstock Breakdown'!AQ$3*'Feedstock Conversion Rates'!B$6)/12-15+10-15</f>
        <v>4.4270833333333321</v>
      </c>
      <c r="AR384" s="106">
        <f t="shared" si="339"/>
        <v>83.020833333333329</v>
      </c>
      <c r="AS384" s="104">
        <f>('Renewable Diesel'!M393*'RD Feedstock Breakdown'!AS$3*'Feedstock Conversion Rates'!B$4)/12</f>
        <v>456.25</v>
      </c>
      <c r="AT384" s="104">
        <f>('Renewable Diesel'!M393*'RD Feedstock Breakdown'!AT$3*'Feedstock Conversion Rates'!B$5)/12</f>
        <v>0</v>
      </c>
      <c r="AU384" s="106">
        <f t="shared" si="369"/>
        <v>456.25</v>
      </c>
      <c r="AV384" s="104">
        <f>'Renewable Diesel'!N393*'RD Feedstock Breakdown'!$AV$3*'Feedstock Conversion Rates'!$B$4/12-15-10+25+25-22+25</f>
        <v>106.74999999999999</v>
      </c>
      <c r="AW384" s="104">
        <f>'Renewable Diesel'!N393*'RD Feedstock Breakdown'!$AW$3*'Feedstock Conversion Rates'!$B$7/12+15+10-25-25+22-25</f>
        <v>13.400000000000006</v>
      </c>
      <c r="AX384" s="106">
        <f t="shared" si="408"/>
        <v>120.14999999999999</v>
      </c>
      <c r="AY384" s="104">
        <f>('Renewable Diesel'!O393*'RD Feedstock Breakdown'!AY$3*'Feedstock Conversion Rates'!B$4)/12</f>
        <v>210.9375</v>
      </c>
      <c r="AZ384" s="104">
        <f>('Renewable Diesel'!O393*'RD Feedstock Breakdown'!AZ$3*'Feedstock Conversion Rates'!B$3)/12</f>
        <v>25.03125</v>
      </c>
      <c r="BA384" s="106">
        <f t="shared" si="382"/>
        <v>235.96875</v>
      </c>
      <c r="BB384" s="104">
        <f>('Renewable Diesel'!Q393*'RD Feedstock Breakdown'!BB$3*'Feedstock Conversion Rates'!B$4)/12</f>
        <v>11.156249999999998</v>
      </c>
      <c r="BC384" s="104">
        <f>('Renewable Diesel'!Q393*'RD Feedstock Breakdown'!BC$3*'Feedstock Conversion Rates'!B$3)/12</f>
        <v>1.4017500000000001</v>
      </c>
      <c r="BD384" s="104">
        <f>('Renewable Diesel'!Q393*'RD Feedstock Breakdown'!BD$3*'Feedstock Conversion Rates'!B$6)/12</f>
        <v>0.8207500000000002</v>
      </c>
      <c r="BE384" s="106">
        <f t="shared" si="359"/>
        <v>13.378749999999998</v>
      </c>
      <c r="BF384" s="104">
        <f>('Renewable Diesel'!R393*'RD Feedstock Breakdown'!BF$3*'Feedstock Conversion Rates'!B$4)/12</f>
        <v>62.5</v>
      </c>
      <c r="BG384" s="106">
        <f t="shared" si="344"/>
        <v>62.5</v>
      </c>
      <c r="BH384" s="104">
        <f>('Renewable Diesel'!T393*'RD Feedstock Breakdown'!BH$3*'Feedstock Conversion Rates'!B$7)/12</f>
        <v>27.599999999999998</v>
      </c>
      <c r="BI384" s="106">
        <f t="shared" si="412"/>
        <v>27.599999999999998</v>
      </c>
      <c r="BJ384" s="104">
        <f>('Renewable Diesel'!W393*'RD Feedstock Breakdown'!BJ$3*'Feedstock Conversion Rates'!B$4)/12</f>
        <v>7.5</v>
      </c>
      <c r="BK384" s="104">
        <f>('Renewable Diesel'!W393*'RD Feedstock Breakdown'!BK$3*'Feedstock Conversion Rates'!B$3)/12</f>
        <v>1.335</v>
      </c>
      <c r="BL384" s="104">
        <f>('Renewable Diesel'!W393*'RD Feedstock Breakdown'!BL$3*'Feedstock Conversion Rates'!B$6)/12</f>
        <v>3.1266666666666669</v>
      </c>
      <c r="BM384" s="104">
        <f>('Renewable Diesel'!W393*'RD Feedstock Breakdown'!BM$3*'Feedstock Conversion Rates'!B$7)/12</f>
        <v>1.5333333333333332</v>
      </c>
      <c r="BN384" s="106">
        <f t="shared" si="374"/>
        <v>13.495000000000001</v>
      </c>
      <c r="BO384" s="104">
        <f>('Renewable Diesel'!P393*'Feedstock Conversion Rates'!B$4)/12</f>
        <v>31.25</v>
      </c>
      <c r="BP384" s="106">
        <f t="shared" si="367"/>
        <v>31.25</v>
      </c>
      <c r="BQ384" s="104">
        <f>('Renewable Diesel'!$S393*'RD Feedstock Breakdown'!BQ$3*'Feedstock Conversion Rates'!B$4)/12+10+15-15</f>
        <v>38.125</v>
      </c>
      <c r="BR384" s="104">
        <f>('Renewable Diesel'!$S393*'RD Feedstock Breakdown'!BR$3*'Feedstock Conversion Rates'!B$7)/12-10-15+15</f>
        <v>1.5</v>
      </c>
      <c r="BS384" s="106">
        <f t="shared" si="385"/>
        <v>39.625</v>
      </c>
      <c r="BT384" s="106"/>
      <c r="BU384" s="104">
        <f>('Renewable Diesel'!Y393*'Feedstock Conversion Rates'!B$7)/12</f>
        <v>2.6833333333333331</v>
      </c>
      <c r="BV384" s="106">
        <f t="shared" si="361"/>
        <v>2.6833333333333331</v>
      </c>
      <c r="BW384" s="104">
        <f>('Renewable Diesel'!$Z393*'RD Feedstock Breakdown'!BW$3*'Feedstock Conversion Rates'!$B$4)/12-250+180</f>
        <v>1.875</v>
      </c>
      <c r="BX384" s="104">
        <f>('Renewable Diesel'!$Z393*'RD Feedstock Breakdown'!BX$3*'Feedstock Conversion Rates'!$B$5)/12</f>
        <v>7.2354166666666666</v>
      </c>
      <c r="BY384" s="104">
        <f>('Renewable Diesel'!$Z393*'RD Feedstock Breakdown'!BY$3*'Feedstock Conversion Rates'!$B$7)/12</f>
        <v>61.716666666666661</v>
      </c>
      <c r="BZ384" s="104">
        <f>('Renewable Diesel'!$Z393*'RD Feedstock Breakdown'!BZ$3*'Feedstock Conversion Rates'!$B$3)/12+250-180</f>
        <v>85.35250000000002</v>
      </c>
      <c r="CA384" s="106">
        <f t="shared" si="392"/>
        <v>156.17958333333334</v>
      </c>
      <c r="CB384" s="104">
        <f>('Renewable Diesel'!AA393*'Feedstock Conversion Rates'!B$4)/12</f>
        <v>191.25</v>
      </c>
      <c r="CC384" s="106">
        <f t="shared" si="376"/>
        <v>191.25</v>
      </c>
      <c r="CD384" s="104">
        <f>('Renewable Diesel'!$AB393*'RD Feedstock Breakdown'!CD$3*'Feedstock Conversion Rates'!$B$6)/12-15-5</f>
        <v>12.830000000000005</v>
      </c>
      <c r="CE384" s="104">
        <f>('Renewable Diesel'!$AB393*'RD Feedstock Breakdown'!CE$3*'Feedstock Conversion Rates'!$B$4)/12+15+5</f>
        <v>31.25</v>
      </c>
      <c r="CF384" s="106">
        <f t="shared" si="372"/>
        <v>44.080000000000005</v>
      </c>
      <c r="CG384" s="104">
        <f>('Renewable Diesel'!AD393*'Feedstock Conversion Rates'!B$4)/12</f>
        <v>112.5</v>
      </c>
      <c r="CH384" s="106">
        <f t="shared" si="358"/>
        <v>112.5</v>
      </c>
      <c r="CI384" s="104">
        <f>('Renewable Diesel'!$AE393*'RD Feedstock Breakdown'!CI$3*'Feedstock Conversion Rates'!$B$5)/12</f>
        <v>0.34604166666666664</v>
      </c>
      <c r="CJ384" s="104">
        <f>('Renewable Diesel'!$AE393*'RD Feedstock Breakdown'!CJ$3*'Feedstock Conversion Rates'!$B$4)/12</f>
        <v>0.34375</v>
      </c>
      <c r="CK384" s="106">
        <f t="shared" si="368"/>
        <v>0.68979166666666658</v>
      </c>
      <c r="CL384" s="104">
        <f>(((CL$3*'Renewable Diesel'!$AF393)*'Feedstock Conversion Rates'!$B$3)/12)</f>
        <v>91.78125</v>
      </c>
      <c r="CM384" s="104">
        <f>(((CM$3*'Renewable Diesel'!$AF393)*'Feedstock Conversion Rates'!$B$6)/12)</f>
        <v>53.739583333333336</v>
      </c>
      <c r="CN384" s="104">
        <f>(((CN$3*'Renewable Diesel'!$AF393)*'Feedstock Conversion Rates'!$B$4)/12)</f>
        <v>42.96875</v>
      </c>
      <c r="CO384" s="106">
        <f t="shared" si="360"/>
        <v>188.48958333333334</v>
      </c>
      <c r="CP384" s="104">
        <f>('Renewable Diesel'!$AG393*'RD Feedstock Breakdown'!CP$3*'Feedstock Conversion Rates'!$B$3)/12</f>
        <v>6.0075000000000003</v>
      </c>
      <c r="CQ384" s="104">
        <f>('Renewable Diesel'!$AG393*'RD Feedstock Breakdown'!CQ$3*'Feedstock Conversion Rates'!$B$6)/12</f>
        <v>3.5175000000000001</v>
      </c>
      <c r="CR384" s="104">
        <f>('Renewable Diesel'!$AG393*'RD Feedstock Breakdown'!CR$3*'Feedstock Conversion Rates'!$B$4)/12</f>
        <v>2.8125</v>
      </c>
      <c r="CS384" s="106">
        <f t="shared" si="397"/>
        <v>12.3375</v>
      </c>
      <c r="CT384" s="104">
        <f>('Renewable Diesel'!AI393*'Feedstock Conversion Rates'!$B$4*'RD Feedstock Breakdown'!$CT$3)/12</f>
        <v>29.375</v>
      </c>
      <c r="CU384" s="106">
        <f t="shared" si="364"/>
        <v>29.375</v>
      </c>
      <c r="CV384" s="104">
        <f>('Renewable Diesel'!AN393*'Feedstock Conversion Rates'!$B$3*'RD Feedstock Breakdown'!$CV$3)/12</f>
        <v>0.50062499999999999</v>
      </c>
      <c r="CW384" s="106">
        <f t="shared" si="338"/>
        <v>0.50062499999999999</v>
      </c>
      <c r="CX384" s="104">
        <f>('Renewable Diesel'!AO393*'RD Feedstock Breakdown'!$CX$3*'Feedstock Conversion Rates'!$B$3)/12</f>
        <v>6.3412499999999996</v>
      </c>
      <c r="CY384" s="104">
        <f>('Renewable Diesel'!AO393*'RD Feedstock Breakdown'!$CY$3*'Feedstock Conversion Rates'!$B$6)/12</f>
        <v>7.4258333333333342</v>
      </c>
      <c r="CZ384" s="106">
        <f t="shared" si="398"/>
        <v>13.767083333333334</v>
      </c>
      <c r="DA384" s="104">
        <f>('Renewable Diesel'!$AP393*'RD Feedstock Breakdown'!DA$3*'Feedstock Conversion Rates'!$B$3)/12</f>
        <v>6.3412499999999996</v>
      </c>
      <c r="DB384" s="104">
        <f>('Renewable Diesel'!$AP393*'RD Feedstock Breakdown'!DB$3*'Feedstock Conversion Rates'!$B$8)/12</f>
        <v>7.421875</v>
      </c>
      <c r="DC384" s="106">
        <f t="shared" si="342"/>
        <v>13.763124999999999</v>
      </c>
      <c r="DD384" s="104">
        <f>('Renewable Diesel'!AQ393*$DD$3*'Feedstock Conversion Rates'!$B$14)/12</f>
        <v>3.1041666666666665</v>
      </c>
      <c r="DE384" s="106">
        <f t="shared" si="343"/>
        <v>3.1041666666666665</v>
      </c>
      <c r="DF384" s="104">
        <f>('Renewable Diesel'!AR393*'Feedstock Conversion Rates'!$B$4*$DF$3)/12</f>
        <v>75</v>
      </c>
      <c r="DG384" s="106">
        <f t="shared" si="399"/>
        <v>75</v>
      </c>
      <c r="DH384" s="104">
        <f>('Renewable Diesel'!AS393*'Feedstock Conversion Rates'!$B$4*$DH$3)/12</f>
        <v>75</v>
      </c>
      <c r="DI384" s="106">
        <f t="shared" si="411"/>
        <v>75</v>
      </c>
      <c r="DJ384" s="104">
        <f>('Renewable Diesel'!AT393*'Feedstock Conversion Rates'!$B$4*0.25)/12</f>
        <v>8.59375</v>
      </c>
      <c r="DK384" s="104">
        <f>('Renewable Diesel'!$AT393*'RD Feedstock Breakdown'!DK$3*'Feedstock Conversion Rates'!$B$3)/12*0.5</f>
        <v>9.1781249999999996</v>
      </c>
      <c r="DL384" s="104">
        <f>('Renewable Diesel'!$AT393*'RD Feedstock Breakdown'!$DL$3*'Feedstock Conversion Rates'!$B$6)/12</f>
        <v>10.747916666666669</v>
      </c>
      <c r="DM384" s="104">
        <f>('Renewable Diesel'!$AT393*'RD Feedstock Breakdown'!$DM$3*'Feedstock Conversion Rates'!$B$8)/12</f>
        <v>10.7421875</v>
      </c>
      <c r="DN384" s="106">
        <f t="shared" si="375"/>
        <v>39.26197916666667</v>
      </c>
      <c r="DP384" s="104">
        <f t="shared" si="345"/>
        <v>103.22025000000001</v>
      </c>
      <c r="DQ384" s="104">
        <f t="shared" si="346"/>
        <v>349.11776750000007</v>
      </c>
      <c r="DR384" s="104">
        <f t="shared" si="351"/>
        <v>1891.953125</v>
      </c>
      <c r="DS384" s="104">
        <f t="shared" si="365"/>
        <v>228.90125</v>
      </c>
      <c r="DT384" s="104">
        <f t="shared" si="347"/>
        <v>243.03923333333344</v>
      </c>
      <c r="DU384" s="104">
        <f t="shared" si="348"/>
        <v>402.90610000000009</v>
      </c>
      <c r="DV384" s="104">
        <f t="shared" si="352"/>
        <v>78.75</v>
      </c>
      <c r="DW384" s="104">
        <f t="shared" si="349"/>
        <v>3</v>
      </c>
      <c r="DX384" s="106">
        <f t="shared" si="353"/>
        <v>3300.8877258333337</v>
      </c>
      <c r="DY384" s="109">
        <f t="shared" si="340"/>
        <v>-5.631051180898794E-13</v>
      </c>
      <c r="EA384" s="110">
        <f t="shared" si="393"/>
        <v>3.1270451640078516E-2</v>
      </c>
      <c r="EB384" s="110">
        <f t="shared" si="393"/>
        <v>0.10576481131658687</v>
      </c>
      <c r="EC384" s="110">
        <f t="shared" si="393"/>
        <v>0.57316494293133291</v>
      </c>
      <c r="ED384" s="110">
        <f t="shared" si="393"/>
        <v>6.9345360706629972E-2</v>
      </c>
      <c r="EE384" s="110">
        <f t="shared" si="393"/>
        <v>7.3628445896921982E-2</v>
      </c>
      <c r="EF384" s="110">
        <f t="shared" si="393"/>
        <v>0.1220599225010852</v>
      </c>
      <c r="EG384" s="110">
        <f t="shared" si="384"/>
        <v>2.3857218585075921E-2</v>
      </c>
      <c r="EH384" s="111">
        <f t="shared" si="354"/>
        <v>9.0884642228860647E-4</v>
      </c>
      <c r="EI384" s="110">
        <f t="shared" si="409"/>
        <v>0.99909115357771139</v>
      </c>
      <c r="EK384" s="132">
        <f>(EA384*'Renewable Diesel'!BF393*'Feedstock Conversion Rates'!B$2)+FB384</f>
        <v>647.48731436254207</v>
      </c>
      <c r="EL384" s="132">
        <f>(EB384*'Renewable Diesel'!BF393*'Feedstock Conversion Rates'!B$3)+FC384</f>
        <v>2063.7253533160965</v>
      </c>
      <c r="EM384" s="132">
        <f>(EC384*'Renewable Diesel'!BF393*'Feedstock Conversion Rates'!B$4)+FD384</f>
        <v>10471.745222753132</v>
      </c>
      <c r="EN384" s="132">
        <f>(ED384*'Renewable Diesel'!BF393*'Feedstock Conversion Rates'!B$5)+FE384</f>
        <v>1275.3886498346442</v>
      </c>
      <c r="EO384" s="132">
        <f>(EE384*'Renewable Diesel'!BF393*'Feedstock Conversion Rates'!B$6)+FF384</f>
        <v>1682.3899164363802</v>
      </c>
      <c r="EP384" s="132">
        <f>(EF384*'Renewable Diesel'!BF393*'Feedstock Conversion Rates'!B$7)+FG384</f>
        <v>2735.5150078302627</v>
      </c>
      <c r="EQ384" s="132">
        <f>(EG384*'Renewable Diesel'!BF393*'Feedstock Conversion Rates'!B$8)+FH384</f>
        <v>544.84035927938828</v>
      </c>
      <c r="ER384" s="132">
        <f>(EH384*'Renewable Diesel'!BF393*'Feedstock Conversion Rates'!B$9)+FI384</f>
        <v>20.479078901168119</v>
      </c>
      <c r="ES384" s="132">
        <f t="shared" si="355"/>
        <v>19441.570902713611</v>
      </c>
      <c r="ET384" s="133">
        <f>ES384/'Renewable Diesel'!BF393</f>
        <v>18.345101778655096</v>
      </c>
      <c r="EW384" s="73">
        <f t="shared" si="386"/>
        <v>18383.74928374666</v>
      </c>
      <c r="EX384" s="73">
        <f t="shared" si="387"/>
        <v>12041.456475735986</v>
      </c>
      <c r="EY384" s="92">
        <f t="shared" si="410"/>
        <v>0.94558970444002022</v>
      </c>
      <c r="EZ384" s="92">
        <f t="shared" si="410"/>
        <v>0.61936643576755757</v>
      </c>
      <c r="FB384" s="102">
        <f>IF('Renewable Diesel'!$BG393&lt;1,0,(((('Renewable Diesel'!$BG393-1)*'Renewable Diesel'!$BF393)*'RD Feedstock Breakdown'!EA384)*'Feedstock Conversion Rates'!$B$2))</f>
        <v>365.80193395563214</v>
      </c>
      <c r="FC384" s="102">
        <f>IF('Renewable Diesel'!$BG393&lt;1,0,(((('Renewable Diesel'!$BG393-1)*'Renewable Diesel'!$BF393)*'RD Feedstock Breakdown'!EB384)*'Feedstock Conversion Rates'!$B$3))</f>
        <v>1165.9143100579811</v>
      </c>
      <c r="FD384" s="102">
        <f>IF('Renewable Diesel'!$BG393&lt;1,0,(((('Renewable Diesel'!$BG393-1)*'Renewable Diesel'!$BF393)*'RD Feedstock Breakdown'!EC384)*'Feedstock Conversion Rates'!$B$4))</f>
        <v>5916.0767622837493</v>
      </c>
      <c r="FE384" s="102">
        <f>IF('Renewable Diesel'!$BG393&lt;1,0,(((('Renewable Diesel'!$BG393-1)*'Renewable Diesel'!$BF393)*'RD Feedstock Breakdown'!ED384)*'Feedstock Conversion Rates'!$B$5))</f>
        <v>720.53864887513419</v>
      </c>
      <c r="FF384" s="102">
        <f>IF('Renewable Diesel'!$BG393&lt;1,0,(((('Renewable Diesel'!$BG393-1)*'Renewable Diesel'!$BF393)*'RD Feedstock Breakdown'!EE384)*'Feedstock Conversion Rates'!$B$6))</f>
        <v>950.47651351404625</v>
      </c>
      <c r="FG384" s="102">
        <f>IF('Renewable Diesel'!$BG393&lt;1,0,(((('Renewable Diesel'!$BG393-1)*'Renewable Diesel'!$BF393)*'RD Feedstock Breakdown'!EF384)*'Feedstock Conversion Rates'!$B$7))</f>
        <v>1545.4460003036866</v>
      </c>
      <c r="FH384" s="102">
        <f>IF('Renewable Diesel'!$BG393&lt;1,0,(((('Renewable Diesel'!$BG393-1)*'Renewable Diesel'!$BF393)*'RD Feedstock Breakdown'!EG384)*'Feedstock Conversion Rates'!$B$8))</f>
        <v>307.81090640779303</v>
      </c>
      <c r="FI384" s="102">
        <f>IF('Renewable Diesel'!$BG393&lt;1,0,(((('Renewable Diesel'!$BG393-1)*'Renewable Diesel'!$BF393)*'RD Feedstock Breakdown'!EH384)*'Feedstock Conversion Rates'!$B$9))</f>
        <v>11.569781371010379</v>
      </c>
      <c r="FJ384" s="102">
        <f t="shared" si="388"/>
        <v>10983.634856769031</v>
      </c>
      <c r="GD384" s="91">
        <f>'Renewable Diesel'!BB393*0.32</f>
        <v>0</v>
      </c>
      <c r="GE384" s="91">
        <f>'Renewable Diesel'!BC393</f>
        <v>620.01397122608716</v>
      </c>
      <c r="GF384" s="91">
        <f>'Renewable Diesel'!BD393</f>
        <v>0</v>
      </c>
      <c r="GG384" s="91">
        <f t="shared" si="373"/>
        <v>620.01397122608716</v>
      </c>
      <c r="GH384" s="124">
        <v>1</v>
      </c>
      <c r="GI384" s="102">
        <f>$GG384*EA384*'Feedstock Conversion Rates'!$B$2</f>
        <v>164.79899367888632</v>
      </c>
      <c r="GJ384" s="102">
        <f>$GG384*EB384*'Feedstock Conversion Rates'!$B$3</f>
        <v>525.26104204980231</v>
      </c>
      <c r="GK384" s="102">
        <f>$GG384*EC384*'Feedstock Conversion Rates'!$B$4</f>
        <v>2665.2770432582201</v>
      </c>
      <c r="GL384" s="102">
        <f>$GG384*ED384*'Feedstock Conversion Rates'!$B$5</f>
        <v>324.6129482075645</v>
      </c>
      <c r="GM384" s="102">
        <f>$GG384*EE384*'Feedstock Conversion Rates'!$B$6</f>
        <v>428.20323897338852</v>
      </c>
      <c r="GN384" s="102">
        <f>$GG384*EF384*'Feedstock Conversion Rates'!$B$7</f>
        <v>696.24548695250564</v>
      </c>
      <c r="GO384" s="102">
        <f>$GG384*EG384*'Feedstock Conversion Rates'!$B$8</f>
        <v>138.67320785007874</v>
      </c>
      <c r="GP384" s="102">
        <f>$GG384*EH384*'Feedstock Conversion Rates'!B$9</f>
        <v>5.2123516855394678</v>
      </c>
      <c r="GQ384" s="102">
        <f t="shared" si="356"/>
        <v>4948.2843126559846</v>
      </c>
      <c r="GT384" s="103">
        <f t="shared" si="389"/>
        <v>3.33042693721919E-2</v>
      </c>
      <c r="GU384" s="103">
        <f t="shared" si="390"/>
        <v>0.10615013383656392</v>
      </c>
      <c r="GV384" s="103">
        <f t="shared" si="391"/>
        <v>0.53862649654979844</v>
      </c>
      <c r="GW384" s="103">
        <f t="shared" si="401"/>
        <v>6.5601110950176789E-2</v>
      </c>
      <c r="GX384" s="103">
        <f t="shared" si="402"/>
        <v>8.6535698419388324E-2</v>
      </c>
      <c r="GY384" s="103">
        <f t="shared" si="403"/>
        <v>0.14070442257566987</v>
      </c>
      <c r="GZ384" s="103">
        <f t="shared" si="404"/>
        <v>2.8024502855545523E-2</v>
      </c>
      <c r="HA384" s="103">
        <f t="shared" si="405"/>
        <v>1.053365440665584E-3</v>
      </c>
    </row>
    <row r="385" spans="1:209" x14ac:dyDescent="0.25">
      <c r="A385" s="96">
        <v>52140</v>
      </c>
      <c r="B385" s="104">
        <f t="shared" si="406"/>
        <v>44.25</v>
      </c>
      <c r="C385" s="104">
        <f t="shared" si="396"/>
        <v>49</v>
      </c>
      <c r="D385" s="104">
        <f t="shared" si="407"/>
        <v>2</v>
      </c>
      <c r="E385" s="104">
        <f>('Renewable Diesel'!B394*E$3*'Feedstock Conversion Rates'!$B$2)/12+26+13-100+27.5+39</f>
        <v>95.43</v>
      </c>
      <c r="F385" s="104">
        <f>('Renewable Diesel'!B394*'RD Feedstock Breakdown'!F$3*'Feedstock Conversion Rates'!B$8)/12+77+23-10-12-115.75+24+8</f>
        <v>48.15625</v>
      </c>
      <c r="G385" s="104">
        <f>('Renewable Diesel'!B394*'RD Feedstock Breakdown'!G$3*'Feedstock Conversion Rates'!B$7)/12+116.75-39-57.5-145-31.5+32+70-40+10+60</f>
        <v>151.90700000000004</v>
      </c>
      <c r="H385" s="104">
        <f>('Renewable Diesel'!B394*'RD Feedstock Breakdown'!H$3*'Feedstock Conversion Rates'!B$3)/12+67+10+12+3-235+20+47-20+25</f>
        <v>105.40022499999998</v>
      </c>
      <c r="I385" s="106">
        <f t="shared" si="370"/>
        <v>496.14347500000002</v>
      </c>
      <c r="J385" s="104">
        <f t="shared" si="332"/>
        <v>4</v>
      </c>
      <c r="K385" s="104"/>
      <c r="L385" s="104">
        <v>1</v>
      </c>
      <c r="M385" s="104">
        <f>('Renewable Diesel'!C394*'RD Feedstock Breakdown'!M$3*'Feedstock Conversion Rates'!B$2)/12</f>
        <v>7.7902500000000003</v>
      </c>
      <c r="N385" s="104">
        <f>('Renewable Diesel'!C394*'RD Feedstock Breakdown'!N$3*'Feedstock Conversion Rates'!B$8)/12</f>
        <v>3.671875</v>
      </c>
      <c r="O385" s="104">
        <f>('Renewable Diesel'!C394*'RD Feedstock Breakdown'!O$3*'Feedstock Conversion Rates'!B$7)/12</f>
        <v>11.9991</v>
      </c>
      <c r="P385" s="104">
        <f>('Renewable Diesel'!C394*'RD Feedstock Breakdown'!P$3*'Feedstock Conversion Rates'!B$3)/12</f>
        <v>10.4470425</v>
      </c>
      <c r="Q385" s="106">
        <f t="shared" si="379"/>
        <v>38.908267500000001</v>
      </c>
      <c r="R385" s="104">
        <f>('Renewable Diesel'!D394*'RD Feedstock Breakdown'!R$3*'Feedstock Conversion Rates'!B$7)/12</f>
        <v>2.2999999999999998</v>
      </c>
      <c r="S385" s="106">
        <f t="shared" ref="S385:S448" si="414">R385</f>
        <v>2.2999999999999998</v>
      </c>
      <c r="T385" s="104">
        <f t="shared" si="380"/>
        <v>0.82499999999999929</v>
      </c>
      <c r="U385" s="104"/>
      <c r="V385" s="104">
        <f>('Renewable Diesel'!E394*'RD Feedstock Breakdown'!V$3*'Feedstock Conversion Rates'!B$6)/12-20+25</f>
        <v>49.250150000000012</v>
      </c>
      <c r="W385" s="104">
        <f>('Renewable Diesel'!E394*'RD Feedstock Breakdown'!W$3*'Feedstock Conversion Rates'!B$8)/12-6</f>
        <v>16.1796875</v>
      </c>
      <c r="X385" s="106">
        <f t="shared" si="357"/>
        <v>66.254837500000008</v>
      </c>
      <c r="Y385" s="104">
        <f t="shared" si="381"/>
        <v>98</v>
      </c>
      <c r="Z385" s="104">
        <f>('Renewable Diesel'!F394*'RD Feedstock Breakdown'!Z$3*'Feedstock Conversion Rates'!B$6)/12-142+15+5+20+5+15</f>
        <v>77.460000000000008</v>
      </c>
      <c r="AA385" s="104">
        <f>('Renewable Diesel'!F394*'RD Feedstock Breakdown'!AA$3*'Feedstock Conversion Rates'!B$7)/12+24</f>
        <v>128.26666666666665</v>
      </c>
      <c r="AB385" s="106">
        <f t="shared" si="400"/>
        <v>303.72666666666669</v>
      </c>
      <c r="AC385" s="104">
        <f>('Renewable Diesel'!G394*'RD Feedstock Breakdown'!AC$3*'Feedstock Conversion Rates'!B$5)/12</f>
        <v>11.796875</v>
      </c>
      <c r="AD385" s="104">
        <f>('Renewable Diesel'!G394*'RD Feedstock Breakdown'!AD$3*'Feedstock Conversion Rates'!B$4)/12</f>
        <v>5.859375</v>
      </c>
      <c r="AE385" s="104">
        <f>('Renewable Diesel'!G394*'RD Feedstock Breakdown'!AE$3*'Feedstock Conversion Rates'!B$6)/12</f>
        <v>7.3281250000000009</v>
      </c>
      <c r="AF385" s="106">
        <f t="shared" si="366"/>
        <v>24.984375</v>
      </c>
      <c r="AG385" s="104">
        <f t="shared" si="383"/>
        <v>148</v>
      </c>
      <c r="AH385" s="104"/>
      <c r="AI385" s="104">
        <f>('Renewable Diesel'!H394*'RD Feedstock Breakdown'!AI$3*'Feedstock Conversion Rates'!B$6)/12-130-20+51-49</f>
        <v>0.51666666666667993</v>
      </c>
      <c r="AJ385" s="106">
        <f t="shared" si="413"/>
        <v>148.51666666666668</v>
      </c>
      <c r="AK385" s="104">
        <f>('Renewable Diesel'!J394*'RD Feedstock Breakdown'!AK$3*'Feedstock Conversion Rates'!B$4)/12</f>
        <v>95.8125</v>
      </c>
      <c r="AL385" s="106">
        <f t="shared" si="330"/>
        <v>95.8125</v>
      </c>
      <c r="AM385" s="104">
        <f>('Renewable Diesel'!K394*'RD Feedstock Breakdown'!AM$3*'Feedstock Conversion Rates'!B$4)/12+5+15-10+10</f>
        <v>78.59375</v>
      </c>
      <c r="AN385" s="104">
        <f>('Renewable Diesel'!K394*'RD Feedstock Breakdown'!AN$3*'Feedstock Conversion Rates'!B$6)/12-5-15+10-10</f>
        <v>4.4270833333333321</v>
      </c>
      <c r="AO385" s="106">
        <f t="shared" si="350"/>
        <v>83.020833333333329</v>
      </c>
      <c r="AP385" s="104">
        <f>('Renewable Diesel'!L394*'RD Feedstock Breakdown'!AP$3*'Feedstock Conversion Rates'!B$4)/12+15-10+15</f>
        <v>78.59375</v>
      </c>
      <c r="AQ385" s="104">
        <f>('Renewable Diesel'!L394*'RD Feedstock Breakdown'!AQ$3*'Feedstock Conversion Rates'!B$6)/12-15+10-15</f>
        <v>4.4270833333333321</v>
      </c>
      <c r="AR385" s="106">
        <f t="shared" si="339"/>
        <v>83.020833333333329</v>
      </c>
      <c r="AS385" s="104">
        <f>('Renewable Diesel'!M394*'RD Feedstock Breakdown'!AS$3*'Feedstock Conversion Rates'!B$4)/12</f>
        <v>456.25</v>
      </c>
      <c r="AT385" s="104">
        <f>('Renewable Diesel'!M394*'RD Feedstock Breakdown'!AT$3*'Feedstock Conversion Rates'!B$5)/12</f>
        <v>0</v>
      </c>
      <c r="AU385" s="106">
        <f t="shared" si="369"/>
        <v>456.25</v>
      </c>
      <c r="AV385" s="104">
        <f>'Renewable Diesel'!N394*'RD Feedstock Breakdown'!$AV$3*'Feedstock Conversion Rates'!$B$4/12-15-10+25+25-22+25</f>
        <v>106.74999999999999</v>
      </c>
      <c r="AW385" s="104">
        <f>'Renewable Diesel'!N394*'RD Feedstock Breakdown'!$AW$3*'Feedstock Conversion Rates'!$B$7/12+15+10-25-25+22-25</f>
        <v>13.400000000000006</v>
      </c>
      <c r="AX385" s="106">
        <f t="shared" si="408"/>
        <v>120.14999999999999</v>
      </c>
      <c r="AY385" s="104">
        <f>('Renewable Diesel'!O394*'RD Feedstock Breakdown'!AY$3*'Feedstock Conversion Rates'!B$4)/12</f>
        <v>210.9375</v>
      </c>
      <c r="AZ385" s="104">
        <f>('Renewable Diesel'!O394*'RD Feedstock Breakdown'!AZ$3*'Feedstock Conversion Rates'!B$3)/12</f>
        <v>25.03125</v>
      </c>
      <c r="BA385" s="106">
        <f t="shared" si="382"/>
        <v>235.96875</v>
      </c>
      <c r="BB385" s="104">
        <f>('Renewable Diesel'!Q394*'RD Feedstock Breakdown'!BB$3*'Feedstock Conversion Rates'!B$4)/12</f>
        <v>11.156249999999998</v>
      </c>
      <c r="BC385" s="104">
        <f>('Renewable Diesel'!Q394*'RD Feedstock Breakdown'!BC$3*'Feedstock Conversion Rates'!B$3)/12</f>
        <v>1.4017500000000001</v>
      </c>
      <c r="BD385" s="104">
        <f>('Renewable Diesel'!Q394*'RD Feedstock Breakdown'!BD$3*'Feedstock Conversion Rates'!B$6)/12</f>
        <v>0.8207500000000002</v>
      </c>
      <c r="BE385" s="106">
        <f t="shared" si="359"/>
        <v>13.378749999999998</v>
      </c>
      <c r="BF385" s="104">
        <f>('Renewable Diesel'!R394*'RD Feedstock Breakdown'!BF$3*'Feedstock Conversion Rates'!B$4)/12</f>
        <v>62.5</v>
      </c>
      <c r="BG385" s="106">
        <f t="shared" si="344"/>
        <v>62.5</v>
      </c>
      <c r="BH385" s="104">
        <f>('Renewable Diesel'!T394*'RD Feedstock Breakdown'!BH$3*'Feedstock Conversion Rates'!B$7)/12</f>
        <v>27.599999999999998</v>
      </c>
      <c r="BI385" s="106">
        <f t="shared" si="412"/>
        <v>27.599999999999998</v>
      </c>
      <c r="BJ385" s="104">
        <f>('Renewable Diesel'!W394*'RD Feedstock Breakdown'!BJ$3*'Feedstock Conversion Rates'!B$4)/12</f>
        <v>7.5</v>
      </c>
      <c r="BK385" s="104">
        <f>('Renewable Diesel'!W394*'RD Feedstock Breakdown'!BK$3*'Feedstock Conversion Rates'!B$3)/12</f>
        <v>1.335</v>
      </c>
      <c r="BL385" s="104">
        <f>('Renewable Diesel'!W394*'RD Feedstock Breakdown'!BL$3*'Feedstock Conversion Rates'!B$6)/12</f>
        <v>3.1266666666666669</v>
      </c>
      <c r="BM385" s="104">
        <f>('Renewable Diesel'!W394*'RD Feedstock Breakdown'!BM$3*'Feedstock Conversion Rates'!B$7)/12</f>
        <v>1.5333333333333332</v>
      </c>
      <c r="BN385" s="106">
        <f t="shared" si="374"/>
        <v>13.495000000000001</v>
      </c>
      <c r="BO385" s="104">
        <f>('Renewable Diesel'!P394*'Feedstock Conversion Rates'!B$4)/12</f>
        <v>31.25</v>
      </c>
      <c r="BP385" s="106">
        <f t="shared" si="367"/>
        <v>31.25</v>
      </c>
      <c r="BQ385" s="104">
        <f>('Renewable Diesel'!$S394*'RD Feedstock Breakdown'!BQ$3*'Feedstock Conversion Rates'!B$4)/12+10+15-15</f>
        <v>38.125</v>
      </c>
      <c r="BR385" s="104">
        <f>('Renewable Diesel'!$S394*'RD Feedstock Breakdown'!BR$3*'Feedstock Conversion Rates'!B$7)/12-10-15+15</f>
        <v>1.5</v>
      </c>
      <c r="BS385" s="106">
        <f t="shared" si="385"/>
        <v>39.625</v>
      </c>
      <c r="BT385" s="106"/>
      <c r="BU385" s="104">
        <f>('Renewable Diesel'!Y394*'Feedstock Conversion Rates'!B$7)/12</f>
        <v>2.6833333333333331</v>
      </c>
      <c r="BV385" s="106">
        <f t="shared" si="361"/>
        <v>2.6833333333333331</v>
      </c>
      <c r="BW385" s="104">
        <f>('Renewable Diesel'!$Z394*'RD Feedstock Breakdown'!BW$3*'Feedstock Conversion Rates'!$B$4)/12-250+180</f>
        <v>1.875</v>
      </c>
      <c r="BX385" s="104">
        <f>('Renewable Diesel'!$Z394*'RD Feedstock Breakdown'!BX$3*'Feedstock Conversion Rates'!$B$5)/12</f>
        <v>7.2354166666666666</v>
      </c>
      <c r="BY385" s="104">
        <f>('Renewable Diesel'!$Z394*'RD Feedstock Breakdown'!BY$3*'Feedstock Conversion Rates'!$B$7)/12</f>
        <v>61.716666666666661</v>
      </c>
      <c r="BZ385" s="104">
        <f>('Renewable Diesel'!$Z394*'RD Feedstock Breakdown'!BZ$3*'Feedstock Conversion Rates'!$B$3)/12+250-180</f>
        <v>85.35250000000002</v>
      </c>
      <c r="CA385" s="106">
        <f t="shared" si="392"/>
        <v>156.17958333333334</v>
      </c>
      <c r="CB385" s="104">
        <f>('Renewable Diesel'!AA394*'Feedstock Conversion Rates'!B$4)/12</f>
        <v>191.25</v>
      </c>
      <c r="CC385" s="106">
        <f t="shared" si="376"/>
        <v>191.25</v>
      </c>
      <c r="CD385" s="104">
        <f>('Renewable Diesel'!$AB394*'RD Feedstock Breakdown'!CD$3*'Feedstock Conversion Rates'!$B$6)/12-15-5</f>
        <v>12.830000000000005</v>
      </c>
      <c r="CE385" s="104">
        <f>('Renewable Diesel'!$AB394*'RD Feedstock Breakdown'!CE$3*'Feedstock Conversion Rates'!$B$4)/12+15+5</f>
        <v>31.25</v>
      </c>
      <c r="CF385" s="106">
        <f t="shared" si="372"/>
        <v>44.080000000000005</v>
      </c>
      <c r="CG385" s="104">
        <f>('Renewable Diesel'!AD394*'Feedstock Conversion Rates'!B$4)/12</f>
        <v>112.5</v>
      </c>
      <c r="CH385" s="106">
        <f t="shared" si="358"/>
        <v>112.5</v>
      </c>
      <c r="CI385" s="104">
        <f>('Renewable Diesel'!$AE394*'RD Feedstock Breakdown'!CI$3*'Feedstock Conversion Rates'!$B$5)/12</f>
        <v>0.34604166666666664</v>
      </c>
      <c r="CJ385" s="104">
        <f>('Renewable Diesel'!$AE394*'RD Feedstock Breakdown'!CJ$3*'Feedstock Conversion Rates'!$B$4)/12</f>
        <v>0.34375</v>
      </c>
      <c r="CK385" s="106">
        <f t="shared" si="368"/>
        <v>0.68979166666666658</v>
      </c>
      <c r="CL385" s="104">
        <f>(((CL$3*'Renewable Diesel'!$AF394)*'Feedstock Conversion Rates'!$B$3)/12)</f>
        <v>91.78125</v>
      </c>
      <c r="CM385" s="104">
        <f>(((CM$3*'Renewable Diesel'!$AF394)*'Feedstock Conversion Rates'!$B$6)/12)</f>
        <v>53.739583333333336</v>
      </c>
      <c r="CN385" s="104">
        <f>(((CN$3*'Renewable Diesel'!$AF394)*'Feedstock Conversion Rates'!$B$4)/12)</f>
        <v>42.96875</v>
      </c>
      <c r="CO385" s="106">
        <f t="shared" si="360"/>
        <v>188.48958333333334</v>
      </c>
      <c r="CP385" s="104">
        <f>('Renewable Diesel'!$AG394*'RD Feedstock Breakdown'!CP$3*'Feedstock Conversion Rates'!$B$3)/12</f>
        <v>6.0075000000000003</v>
      </c>
      <c r="CQ385" s="104">
        <f>('Renewable Diesel'!$AG394*'RD Feedstock Breakdown'!CQ$3*'Feedstock Conversion Rates'!$B$6)/12</f>
        <v>3.5175000000000001</v>
      </c>
      <c r="CR385" s="104">
        <f>('Renewable Diesel'!$AG394*'RD Feedstock Breakdown'!CR$3*'Feedstock Conversion Rates'!$B$4)/12</f>
        <v>2.8125</v>
      </c>
      <c r="CS385" s="106">
        <f t="shared" si="397"/>
        <v>12.3375</v>
      </c>
      <c r="CT385" s="104">
        <f>('Renewable Diesel'!AI394*'Feedstock Conversion Rates'!$B$4*'RD Feedstock Breakdown'!$CT$3)/12</f>
        <v>29.375</v>
      </c>
      <c r="CU385" s="106">
        <f t="shared" si="364"/>
        <v>29.375</v>
      </c>
      <c r="CV385" s="104">
        <f>('Renewable Diesel'!AN394*'Feedstock Conversion Rates'!$B$3*'RD Feedstock Breakdown'!$CV$3)/12</f>
        <v>0.50062499999999999</v>
      </c>
      <c r="CW385" s="106">
        <f t="shared" si="338"/>
        <v>0.50062499999999999</v>
      </c>
      <c r="CX385" s="104">
        <f>('Renewable Diesel'!AO394*'RD Feedstock Breakdown'!$CX$3*'Feedstock Conversion Rates'!$B$3)/12</f>
        <v>6.3412499999999996</v>
      </c>
      <c r="CY385" s="104">
        <f>('Renewable Diesel'!AO394*'RD Feedstock Breakdown'!$CY$3*'Feedstock Conversion Rates'!$B$6)/12</f>
        <v>7.4258333333333342</v>
      </c>
      <c r="CZ385" s="106">
        <f t="shared" si="398"/>
        <v>13.767083333333334</v>
      </c>
      <c r="DA385" s="104">
        <f>('Renewable Diesel'!$AP394*'RD Feedstock Breakdown'!DA$3*'Feedstock Conversion Rates'!$B$3)/12</f>
        <v>6.3412499999999996</v>
      </c>
      <c r="DB385" s="104">
        <f>('Renewable Diesel'!$AP394*'RD Feedstock Breakdown'!DB$3*'Feedstock Conversion Rates'!$B$8)/12</f>
        <v>7.421875</v>
      </c>
      <c r="DC385" s="106">
        <f t="shared" si="342"/>
        <v>13.763124999999999</v>
      </c>
      <c r="DD385" s="104">
        <f>('Renewable Diesel'!AQ394*$DD$3*'Feedstock Conversion Rates'!$B$14)/12</f>
        <v>3.1041666666666665</v>
      </c>
      <c r="DE385" s="106">
        <f t="shared" si="343"/>
        <v>3.1041666666666665</v>
      </c>
      <c r="DF385" s="104">
        <f>('Renewable Diesel'!AR394*'Feedstock Conversion Rates'!$B$4*$DF$3)/12</f>
        <v>75</v>
      </c>
      <c r="DG385" s="106">
        <f t="shared" si="399"/>
        <v>75</v>
      </c>
      <c r="DH385" s="104">
        <f>('Renewable Diesel'!AS394*'Feedstock Conversion Rates'!$B$4*$DH$3)/12</f>
        <v>75</v>
      </c>
      <c r="DI385" s="106">
        <f t="shared" si="411"/>
        <v>75</v>
      </c>
      <c r="DJ385" s="104">
        <f>('Renewable Diesel'!AT394*'Feedstock Conversion Rates'!$B$4*0.25)/12</f>
        <v>8.59375</v>
      </c>
      <c r="DK385" s="104">
        <f>('Renewable Diesel'!$AT394*'RD Feedstock Breakdown'!DK$3*'Feedstock Conversion Rates'!$B$3)/12*0.5</f>
        <v>9.1781249999999996</v>
      </c>
      <c r="DL385" s="104">
        <f>('Renewable Diesel'!$AT394*'RD Feedstock Breakdown'!$DL$3*'Feedstock Conversion Rates'!$B$6)/12</f>
        <v>10.747916666666669</v>
      </c>
      <c r="DM385" s="104">
        <f>('Renewable Diesel'!$AT394*'RD Feedstock Breakdown'!$DM$3*'Feedstock Conversion Rates'!$B$8)/12</f>
        <v>10.7421875</v>
      </c>
      <c r="DN385" s="106">
        <f t="shared" si="375"/>
        <v>39.26197916666667</v>
      </c>
      <c r="DP385" s="104">
        <f t="shared" si="345"/>
        <v>103.22025000000001</v>
      </c>
      <c r="DQ385" s="104">
        <f t="shared" si="346"/>
        <v>349.11776750000007</v>
      </c>
      <c r="DR385" s="104">
        <f t="shared" si="351"/>
        <v>1891.953125</v>
      </c>
      <c r="DS385" s="104">
        <f t="shared" si="365"/>
        <v>228.90125</v>
      </c>
      <c r="DT385" s="104">
        <f t="shared" si="347"/>
        <v>243.03923333333344</v>
      </c>
      <c r="DU385" s="104">
        <f t="shared" si="348"/>
        <v>402.90610000000009</v>
      </c>
      <c r="DV385" s="104">
        <f t="shared" si="352"/>
        <v>78.75</v>
      </c>
      <c r="DW385" s="104">
        <f t="shared" si="349"/>
        <v>3</v>
      </c>
      <c r="DX385" s="106">
        <f t="shared" si="353"/>
        <v>3300.8877258333337</v>
      </c>
      <c r="DY385" s="109">
        <f t="shared" si="340"/>
        <v>-5.631051180898794E-13</v>
      </c>
      <c r="EA385" s="110">
        <f t="shared" si="393"/>
        <v>3.1270451640078516E-2</v>
      </c>
      <c r="EB385" s="110">
        <f t="shared" si="393"/>
        <v>0.10576481131658687</v>
      </c>
      <c r="EC385" s="110">
        <f t="shared" si="393"/>
        <v>0.57316494293133291</v>
      </c>
      <c r="ED385" s="110">
        <f t="shared" si="393"/>
        <v>6.9345360706629972E-2</v>
      </c>
      <c r="EE385" s="110">
        <f t="shared" si="393"/>
        <v>7.3628445896921982E-2</v>
      </c>
      <c r="EF385" s="110">
        <f t="shared" si="393"/>
        <v>0.1220599225010852</v>
      </c>
      <c r="EG385" s="110">
        <f t="shared" si="384"/>
        <v>2.3857218585075921E-2</v>
      </c>
      <c r="EH385" s="111">
        <f t="shared" si="354"/>
        <v>9.0884642228860647E-4</v>
      </c>
      <c r="EI385" s="110">
        <f t="shared" si="409"/>
        <v>0.99909115357771139</v>
      </c>
      <c r="EK385" s="132">
        <f>(EA385*'Renewable Diesel'!BF394*'Feedstock Conversion Rates'!B$2)+FB385</f>
        <v>705.98057200757421</v>
      </c>
      <c r="EL385" s="132">
        <f>(EB385*'Renewable Diesel'!BF394*'Feedstock Conversion Rates'!B$3)+FC385</f>
        <v>2250.1599229554222</v>
      </c>
      <c r="EM385" s="132">
        <f>(EC385*'Renewable Diesel'!BF394*'Feedstock Conversion Rates'!B$4)+FD385</f>
        <v>11417.750615786466</v>
      </c>
      <c r="EN385" s="132">
        <f>(ED385*'Renewable Diesel'!BF394*'Feedstock Conversion Rates'!B$5)+FE385</f>
        <v>1390.6057903677738</v>
      </c>
      <c r="EO385" s="132">
        <f>(EE385*'Renewable Diesel'!BF394*'Feedstock Conversion Rates'!B$6)+FF385</f>
        <v>1834.3750822591294</v>
      </c>
      <c r="EP385" s="132">
        <f>(EF385*'Renewable Diesel'!BF394*'Feedstock Conversion Rates'!B$7)+FG385</f>
        <v>2982.6382805115181</v>
      </c>
      <c r="EQ385" s="132">
        <f>(EG385*'Renewable Diesel'!BF394*'Feedstock Conversion Rates'!B$8)+FH385</f>
        <v>594.0606093195255</v>
      </c>
      <c r="ER385" s="132">
        <f>(EH385*'Renewable Diesel'!BF394*'Feedstock Conversion Rates'!B$9)+FI385</f>
        <v>22.329135283629149</v>
      </c>
      <c r="ES385" s="132">
        <f t="shared" si="355"/>
        <v>21197.900008491033</v>
      </c>
      <c r="ET385" s="133">
        <f>ES385/'Renewable Diesel'!BF394</f>
        <v>19.472471997549547</v>
      </c>
      <c r="EW385" s="73">
        <f t="shared" si="386"/>
        <v>20367.121615256041</v>
      </c>
      <c r="EX385" s="73">
        <f t="shared" si="387"/>
        <v>13340.576216569501</v>
      </c>
      <c r="EY385" s="92">
        <f t="shared" si="410"/>
        <v>0.96080845777637336</v>
      </c>
      <c r="EZ385" s="92">
        <f t="shared" si="410"/>
        <v>0.62933480256184804</v>
      </c>
      <c r="FB385" s="102">
        <f>IF('Renewable Diesel'!$BG394&lt;1,0,(((('Renewable Diesel'!$BG394-1)*'Renewable Diesel'!$BF394)*'RD Feedstock Breakdown'!EA385)*'Feedstock Conversion Rates'!$B$2))</f>
        <v>416.62967649999206</v>
      </c>
      <c r="FC385" s="102">
        <f>IF('Renewable Diesel'!$BG394&lt;1,0,(((('Renewable Diesel'!$BG394-1)*'Renewable Diesel'!$BF394)*'RD Feedstock Breakdown'!EB385)*'Feedstock Conversion Rates'!$B$3))</f>
        <v>1327.9167132153129</v>
      </c>
      <c r="FD385" s="102">
        <f>IF('Renewable Diesel'!$BG394&lt;1,0,(((('Renewable Diesel'!$BG394-1)*'Renewable Diesel'!$BF394)*'RD Feedstock Breakdown'!EC385)*'Feedstock Conversion Rates'!$B$4))</f>
        <v>6738.1085741289553</v>
      </c>
      <c r="FE385" s="102">
        <f>IF('Renewable Diesel'!$BG394&lt;1,0,(((('Renewable Diesel'!$BG394-1)*'Renewable Diesel'!$BF394)*'RD Feedstock Breakdown'!ED385)*'Feedstock Conversion Rates'!$B$5))</f>
        <v>820.65663497284663</v>
      </c>
      <c r="FF385" s="102">
        <f>IF('Renewable Diesel'!$BG394&lt;1,0,(((('Renewable Diesel'!$BG394-1)*'Renewable Diesel'!$BF394)*'RD Feedstock Breakdown'!EE385)*'Feedstock Conversion Rates'!$B$6))</f>
        <v>1082.5440917275948</v>
      </c>
      <c r="FG385" s="102">
        <f>IF('Renewable Diesel'!$BG394&lt;1,0,(((('Renewable Diesel'!$BG394-1)*'Renewable Diesel'!$BF394)*'RD Feedstock Breakdown'!EF385)*'Feedstock Conversion Rates'!$B$7))</f>
        <v>1760.1838792706524</v>
      </c>
      <c r="FH385" s="102">
        <f>IF('Renewable Diesel'!$BG394&lt;1,0,(((('Renewable Diesel'!$BG394-1)*'Renewable Diesel'!$BF394)*'RD Feedstock Breakdown'!EG385)*'Feedstock Conversion Rates'!$B$8))</f>
        <v>350.58086482233489</v>
      </c>
      <c r="FI385" s="102">
        <f>IF('Renewable Diesel'!$BG394&lt;1,0,(((('Renewable Diesel'!$BG394-1)*'Renewable Diesel'!$BF394)*'RD Feedstock Breakdown'!EH385)*'Feedstock Conversion Rates'!$B$9))</f>
        <v>13.177388696814113</v>
      </c>
      <c r="FJ385" s="102">
        <f t="shared" si="388"/>
        <v>12509.797823334506</v>
      </c>
      <c r="GD385" s="91">
        <f>'Renewable Diesel'!BB394*0.32</f>
        <v>0</v>
      </c>
      <c r="GE385" s="91">
        <f>'Renewable Diesel'!BC394</f>
        <v>605.37603966827749</v>
      </c>
      <c r="GF385" s="91">
        <f>'Renewable Diesel'!BD394</f>
        <v>0</v>
      </c>
      <c r="GG385" s="91">
        <f t="shared" si="373"/>
        <v>605.37603966827749</v>
      </c>
      <c r="GH385" s="124">
        <v>1</v>
      </c>
      <c r="GI385" s="102">
        <f>$GG385*EA385*'Feedstock Conversion Rates'!$B$2</f>
        <v>160.90824846632754</v>
      </c>
      <c r="GJ385" s="102">
        <f>$GG385*EB385*'Feedstock Conversion Rates'!$B$3</f>
        <v>512.8601357148948</v>
      </c>
      <c r="GK385" s="102">
        <f>$GG385*EC385*'Feedstock Conversion Rates'!$B$4</f>
        <v>2602.3524242134845</v>
      </c>
      <c r="GL385" s="102">
        <f>$GG385*ED385*'Feedstock Conversion Rates'!$B$5</f>
        <v>316.94914974630615</v>
      </c>
      <c r="GM385" s="102">
        <f>$GG385*EE385*'Feedstock Conversion Rates'!$B$6</f>
        <v>418.0937737100013</v>
      </c>
      <c r="GN385" s="102">
        <f>$GG385*EF385*'Feedstock Conversion Rates'!$B$7</f>
        <v>679.80780287049913</v>
      </c>
      <c r="GO385" s="102">
        <f>$GG385*EG385*'Feedstock Conversion Rates'!$B$8</f>
        <v>135.39926723000332</v>
      </c>
      <c r="GP385" s="102">
        <f>$GG385*EH385*'Feedstock Conversion Rates'!B$9</f>
        <v>5.0892930920737758</v>
      </c>
      <c r="GQ385" s="102">
        <f t="shared" si="356"/>
        <v>4831.4600950435906</v>
      </c>
      <c r="GT385" s="103">
        <f t="shared" si="389"/>
        <v>3.3304269372191886E-2</v>
      </c>
      <c r="GU385" s="103">
        <f t="shared" si="390"/>
        <v>0.10615013383656387</v>
      </c>
      <c r="GV385" s="103">
        <f t="shared" si="391"/>
        <v>0.53862649654979822</v>
      </c>
      <c r="GW385" s="103">
        <f t="shared" si="401"/>
        <v>6.5601110950176775E-2</v>
      </c>
      <c r="GX385" s="103">
        <f t="shared" si="402"/>
        <v>8.653569841938831E-2</v>
      </c>
      <c r="GY385" s="103">
        <f t="shared" si="403"/>
        <v>0.14070442257566981</v>
      </c>
      <c r="GZ385" s="103">
        <f t="shared" si="404"/>
        <v>2.802450285554552E-2</v>
      </c>
      <c r="HA385" s="103">
        <f t="shared" si="405"/>
        <v>1.0533654406655838E-3</v>
      </c>
    </row>
    <row r="386" spans="1:209" x14ac:dyDescent="0.25">
      <c r="A386" s="96">
        <v>52171</v>
      </c>
      <c r="B386" s="104">
        <f t="shared" si="406"/>
        <v>44.25</v>
      </c>
      <c r="C386" s="104">
        <f t="shared" si="396"/>
        <v>49</v>
      </c>
      <c r="D386" s="104">
        <f t="shared" si="407"/>
        <v>2</v>
      </c>
      <c r="E386" s="104">
        <f>('Renewable Diesel'!B395*E$3*'Feedstock Conversion Rates'!$B$2)/12+26+13-100+27.5+39</f>
        <v>95.43</v>
      </c>
      <c r="F386" s="104">
        <f>('Renewable Diesel'!B395*'RD Feedstock Breakdown'!F$3*'Feedstock Conversion Rates'!B$8)/12+77+23-10-12-115.75+24+8</f>
        <v>48.15625</v>
      </c>
      <c r="G386" s="104">
        <f>('Renewable Diesel'!B395*'RD Feedstock Breakdown'!G$3*'Feedstock Conversion Rates'!B$7)/12+116.75-39-57.5-145-31.5+32+70-40+10+60</f>
        <v>151.90700000000004</v>
      </c>
      <c r="H386" s="104">
        <f>('Renewable Diesel'!B395*'RD Feedstock Breakdown'!H$3*'Feedstock Conversion Rates'!B$3)/12+67+10+12+3-235+20+47-20+25</f>
        <v>105.40022499999998</v>
      </c>
      <c r="I386" s="106">
        <f t="shared" si="370"/>
        <v>496.14347500000002</v>
      </c>
      <c r="J386" s="104">
        <f t="shared" si="332"/>
        <v>4</v>
      </c>
      <c r="K386" s="104"/>
      <c r="L386" s="104">
        <v>1</v>
      </c>
      <c r="M386" s="104">
        <f>('Renewable Diesel'!C395*'RD Feedstock Breakdown'!M$3*'Feedstock Conversion Rates'!B$2)/12</f>
        <v>7.7902500000000003</v>
      </c>
      <c r="N386" s="104">
        <f>('Renewable Diesel'!C395*'RD Feedstock Breakdown'!N$3*'Feedstock Conversion Rates'!B$8)/12</f>
        <v>3.671875</v>
      </c>
      <c r="O386" s="104">
        <f>('Renewable Diesel'!C395*'RD Feedstock Breakdown'!O$3*'Feedstock Conversion Rates'!B$7)/12</f>
        <v>11.9991</v>
      </c>
      <c r="P386" s="104">
        <f>('Renewable Diesel'!C395*'RD Feedstock Breakdown'!P$3*'Feedstock Conversion Rates'!B$3)/12</f>
        <v>10.4470425</v>
      </c>
      <c r="Q386" s="106">
        <f t="shared" si="379"/>
        <v>38.908267500000001</v>
      </c>
      <c r="R386" s="104">
        <f>('Renewable Diesel'!D395*'RD Feedstock Breakdown'!R$3*'Feedstock Conversion Rates'!B$7)/12</f>
        <v>2.2999999999999998</v>
      </c>
      <c r="S386" s="106">
        <f t="shared" si="414"/>
        <v>2.2999999999999998</v>
      </c>
      <c r="T386" s="104">
        <f t="shared" si="380"/>
        <v>0.82499999999999929</v>
      </c>
      <c r="U386" s="104"/>
      <c r="V386" s="104">
        <f>('Renewable Diesel'!E395*'RD Feedstock Breakdown'!V$3*'Feedstock Conversion Rates'!B$6)/12-20+25</f>
        <v>49.250150000000012</v>
      </c>
      <c r="W386" s="104">
        <f>('Renewable Diesel'!E395*'RD Feedstock Breakdown'!W$3*'Feedstock Conversion Rates'!B$8)/12-6</f>
        <v>16.1796875</v>
      </c>
      <c r="X386" s="106">
        <f t="shared" si="357"/>
        <v>66.254837500000008</v>
      </c>
      <c r="Y386" s="104">
        <f t="shared" si="381"/>
        <v>98</v>
      </c>
      <c r="Z386" s="104">
        <f>('Renewable Diesel'!F395*'RD Feedstock Breakdown'!Z$3*'Feedstock Conversion Rates'!B$6)/12-142+15+5+20+5+15</f>
        <v>77.460000000000008</v>
      </c>
      <c r="AA386" s="104">
        <f>('Renewable Diesel'!F395*'RD Feedstock Breakdown'!AA$3*'Feedstock Conversion Rates'!B$7)/12+24</f>
        <v>128.26666666666665</v>
      </c>
      <c r="AB386" s="106">
        <f t="shared" si="400"/>
        <v>303.72666666666669</v>
      </c>
      <c r="AC386" s="104">
        <f>('Renewable Diesel'!G395*'RD Feedstock Breakdown'!AC$3*'Feedstock Conversion Rates'!B$5)/12</f>
        <v>11.796875</v>
      </c>
      <c r="AD386" s="104">
        <f>('Renewable Diesel'!G395*'RD Feedstock Breakdown'!AD$3*'Feedstock Conversion Rates'!B$4)/12</f>
        <v>5.859375</v>
      </c>
      <c r="AE386" s="104">
        <f>('Renewable Diesel'!G395*'RD Feedstock Breakdown'!AE$3*'Feedstock Conversion Rates'!B$6)/12</f>
        <v>7.3281250000000009</v>
      </c>
      <c r="AF386" s="106">
        <f t="shared" si="366"/>
        <v>24.984375</v>
      </c>
      <c r="AG386" s="104">
        <f t="shared" si="383"/>
        <v>148</v>
      </c>
      <c r="AH386" s="104"/>
      <c r="AI386" s="104">
        <f>('Renewable Diesel'!H395*'RD Feedstock Breakdown'!AI$3*'Feedstock Conversion Rates'!B$6)/12-130-20+51-49</f>
        <v>0.51666666666667993</v>
      </c>
      <c r="AJ386" s="106">
        <f t="shared" si="413"/>
        <v>148.51666666666668</v>
      </c>
      <c r="AK386" s="104">
        <f>('Renewable Diesel'!J395*'RD Feedstock Breakdown'!AK$3*'Feedstock Conversion Rates'!B$4)/12</f>
        <v>95.8125</v>
      </c>
      <c r="AL386" s="106">
        <f t="shared" si="330"/>
        <v>95.8125</v>
      </c>
      <c r="AM386" s="104">
        <f>('Renewable Diesel'!K395*'RD Feedstock Breakdown'!AM$3*'Feedstock Conversion Rates'!B$4)/12+5+15-10+10</f>
        <v>78.59375</v>
      </c>
      <c r="AN386" s="104">
        <f>('Renewable Diesel'!K395*'RD Feedstock Breakdown'!AN$3*'Feedstock Conversion Rates'!B$6)/12-5-15+10-10</f>
        <v>4.4270833333333321</v>
      </c>
      <c r="AO386" s="106">
        <f t="shared" si="350"/>
        <v>83.020833333333329</v>
      </c>
      <c r="AP386" s="104">
        <f>('Renewable Diesel'!L395*'RD Feedstock Breakdown'!AP$3*'Feedstock Conversion Rates'!B$4)/12+15-10+15</f>
        <v>78.59375</v>
      </c>
      <c r="AQ386" s="104">
        <f>('Renewable Diesel'!L395*'RD Feedstock Breakdown'!AQ$3*'Feedstock Conversion Rates'!B$6)/12-15+10-15</f>
        <v>4.4270833333333321</v>
      </c>
      <c r="AR386" s="106">
        <f t="shared" si="339"/>
        <v>83.020833333333329</v>
      </c>
      <c r="AS386" s="104">
        <f>('Renewable Diesel'!M395*'RD Feedstock Breakdown'!AS$3*'Feedstock Conversion Rates'!B$4)/12</f>
        <v>456.25</v>
      </c>
      <c r="AT386" s="104">
        <f>('Renewable Diesel'!M395*'RD Feedstock Breakdown'!AT$3*'Feedstock Conversion Rates'!B$5)/12</f>
        <v>0</v>
      </c>
      <c r="AU386" s="106">
        <f t="shared" si="369"/>
        <v>456.25</v>
      </c>
      <c r="AV386" s="104">
        <f>'Renewable Diesel'!N395*'RD Feedstock Breakdown'!$AV$3*'Feedstock Conversion Rates'!$B$4/12-15-10+25+25-22+25</f>
        <v>106.74999999999999</v>
      </c>
      <c r="AW386" s="104">
        <f>'Renewable Diesel'!N395*'RD Feedstock Breakdown'!$AW$3*'Feedstock Conversion Rates'!$B$7/12+15+10-25-25+22-25</f>
        <v>13.400000000000006</v>
      </c>
      <c r="AX386" s="106">
        <f t="shared" si="408"/>
        <v>120.14999999999999</v>
      </c>
      <c r="AY386" s="104">
        <f>('Renewable Diesel'!O395*'RD Feedstock Breakdown'!AY$3*'Feedstock Conversion Rates'!B$4)/12</f>
        <v>210.9375</v>
      </c>
      <c r="AZ386" s="104">
        <f>('Renewable Diesel'!O395*'RD Feedstock Breakdown'!AZ$3*'Feedstock Conversion Rates'!B$3)/12</f>
        <v>25.03125</v>
      </c>
      <c r="BA386" s="106">
        <f t="shared" si="382"/>
        <v>235.96875</v>
      </c>
      <c r="BB386" s="104">
        <f>('Renewable Diesel'!Q395*'RD Feedstock Breakdown'!BB$3*'Feedstock Conversion Rates'!B$4)/12</f>
        <v>11.156249999999998</v>
      </c>
      <c r="BC386" s="104">
        <f>('Renewable Diesel'!Q395*'RD Feedstock Breakdown'!BC$3*'Feedstock Conversion Rates'!B$3)/12</f>
        <v>1.4017500000000001</v>
      </c>
      <c r="BD386" s="104">
        <f>('Renewable Diesel'!Q395*'RD Feedstock Breakdown'!BD$3*'Feedstock Conversion Rates'!B$6)/12</f>
        <v>0.8207500000000002</v>
      </c>
      <c r="BE386" s="106">
        <f t="shared" si="359"/>
        <v>13.378749999999998</v>
      </c>
      <c r="BF386" s="104">
        <f>('Renewable Diesel'!R395*'RD Feedstock Breakdown'!BF$3*'Feedstock Conversion Rates'!B$4)/12</f>
        <v>62.5</v>
      </c>
      <c r="BG386" s="106">
        <f t="shared" si="344"/>
        <v>62.5</v>
      </c>
      <c r="BH386" s="104">
        <f>('Renewable Diesel'!T395*'RD Feedstock Breakdown'!BH$3*'Feedstock Conversion Rates'!B$7)/12</f>
        <v>27.599999999999998</v>
      </c>
      <c r="BI386" s="106">
        <f t="shared" si="412"/>
        <v>27.599999999999998</v>
      </c>
      <c r="BJ386" s="104">
        <f>('Renewable Diesel'!W395*'RD Feedstock Breakdown'!BJ$3*'Feedstock Conversion Rates'!B$4)/12</f>
        <v>7.5</v>
      </c>
      <c r="BK386" s="104">
        <f>('Renewable Diesel'!W395*'RD Feedstock Breakdown'!BK$3*'Feedstock Conversion Rates'!B$3)/12</f>
        <v>1.335</v>
      </c>
      <c r="BL386" s="104">
        <f>('Renewable Diesel'!W395*'RD Feedstock Breakdown'!BL$3*'Feedstock Conversion Rates'!B$6)/12</f>
        <v>3.1266666666666669</v>
      </c>
      <c r="BM386" s="104">
        <f>('Renewable Diesel'!W395*'RD Feedstock Breakdown'!BM$3*'Feedstock Conversion Rates'!B$7)/12</f>
        <v>1.5333333333333332</v>
      </c>
      <c r="BN386" s="106">
        <f t="shared" si="374"/>
        <v>13.495000000000001</v>
      </c>
      <c r="BO386" s="104">
        <f>('Renewable Diesel'!P395*'Feedstock Conversion Rates'!B$4)/12</f>
        <v>31.25</v>
      </c>
      <c r="BP386" s="106">
        <f t="shared" si="367"/>
        <v>31.25</v>
      </c>
      <c r="BQ386" s="104">
        <f>('Renewable Diesel'!$S395*'RD Feedstock Breakdown'!BQ$3*'Feedstock Conversion Rates'!B$4)/12+10+15-15</f>
        <v>38.125</v>
      </c>
      <c r="BR386" s="104">
        <f>('Renewable Diesel'!$S395*'RD Feedstock Breakdown'!BR$3*'Feedstock Conversion Rates'!B$7)/12-10-15+15</f>
        <v>1.5</v>
      </c>
      <c r="BS386" s="106">
        <f t="shared" si="385"/>
        <v>39.625</v>
      </c>
      <c r="BT386" s="106"/>
      <c r="BU386" s="104">
        <f>('Renewable Diesel'!Y395*'Feedstock Conversion Rates'!B$7)/12</f>
        <v>2.6833333333333331</v>
      </c>
      <c r="BV386" s="106">
        <f t="shared" si="361"/>
        <v>2.6833333333333331</v>
      </c>
      <c r="BW386" s="104">
        <f>('Renewable Diesel'!$Z395*'RD Feedstock Breakdown'!BW$3*'Feedstock Conversion Rates'!$B$4)/12-250+180</f>
        <v>1.875</v>
      </c>
      <c r="BX386" s="104">
        <f>('Renewable Diesel'!$Z395*'RD Feedstock Breakdown'!BX$3*'Feedstock Conversion Rates'!$B$5)/12</f>
        <v>7.2354166666666666</v>
      </c>
      <c r="BY386" s="104">
        <f>('Renewable Diesel'!$Z395*'RD Feedstock Breakdown'!BY$3*'Feedstock Conversion Rates'!$B$7)/12</f>
        <v>61.716666666666661</v>
      </c>
      <c r="BZ386" s="104">
        <f>('Renewable Diesel'!$Z395*'RD Feedstock Breakdown'!BZ$3*'Feedstock Conversion Rates'!$B$3)/12+250-180</f>
        <v>85.35250000000002</v>
      </c>
      <c r="CA386" s="106">
        <f t="shared" si="392"/>
        <v>156.17958333333334</v>
      </c>
      <c r="CB386" s="104">
        <f>('Renewable Diesel'!AA395*'Feedstock Conversion Rates'!B$4)/12</f>
        <v>191.25</v>
      </c>
      <c r="CC386" s="106">
        <f t="shared" si="376"/>
        <v>191.25</v>
      </c>
      <c r="CD386" s="104">
        <f>('Renewable Diesel'!$AB395*'RD Feedstock Breakdown'!CD$3*'Feedstock Conversion Rates'!$B$6)/12-15-5</f>
        <v>12.830000000000005</v>
      </c>
      <c r="CE386" s="104">
        <f>('Renewable Diesel'!$AB395*'RD Feedstock Breakdown'!CE$3*'Feedstock Conversion Rates'!$B$4)/12+15+5</f>
        <v>31.25</v>
      </c>
      <c r="CF386" s="106">
        <f t="shared" si="372"/>
        <v>44.080000000000005</v>
      </c>
      <c r="CG386" s="104">
        <f>('Renewable Diesel'!AD395*'Feedstock Conversion Rates'!B$4)/12</f>
        <v>112.5</v>
      </c>
      <c r="CH386" s="106">
        <f t="shared" si="358"/>
        <v>112.5</v>
      </c>
      <c r="CI386" s="104">
        <f>('Renewable Diesel'!$AE395*'RD Feedstock Breakdown'!CI$3*'Feedstock Conversion Rates'!$B$5)/12</f>
        <v>0.34604166666666664</v>
      </c>
      <c r="CJ386" s="104">
        <f>('Renewable Diesel'!$AE395*'RD Feedstock Breakdown'!CJ$3*'Feedstock Conversion Rates'!$B$4)/12</f>
        <v>0.34375</v>
      </c>
      <c r="CK386" s="106">
        <f t="shared" si="368"/>
        <v>0.68979166666666658</v>
      </c>
      <c r="CL386" s="104">
        <f>(((CL$3*'Renewable Diesel'!$AF395)*'Feedstock Conversion Rates'!$B$3)/12)</f>
        <v>91.78125</v>
      </c>
      <c r="CM386" s="104">
        <f>(((CM$3*'Renewable Diesel'!$AF395)*'Feedstock Conversion Rates'!$B$6)/12)</f>
        <v>53.739583333333336</v>
      </c>
      <c r="CN386" s="104">
        <f>(((CN$3*'Renewable Diesel'!$AF395)*'Feedstock Conversion Rates'!$B$4)/12)</f>
        <v>42.96875</v>
      </c>
      <c r="CO386" s="106">
        <f t="shared" si="360"/>
        <v>188.48958333333334</v>
      </c>
      <c r="CP386" s="104">
        <f>('Renewable Diesel'!$AG395*'RD Feedstock Breakdown'!CP$3*'Feedstock Conversion Rates'!$B$3)/12</f>
        <v>6.0075000000000003</v>
      </c>
      <c r="CQ386" s="104">
        <f>('Renewable Diesel'!$AG395*'RD Feedstock Breakdown'!CQ$3*'Feedstock Conversion Rates'!$B$6)/12</f>
        <v>3.5175000000000001</v>
      </c>
      <c r="CR386" s="104">
        <f>('Renewable Diesel'!$AG395*'RD Feedstock Breakdown'!CR$3*'Feedstock Conversion Rates'!$B$4)/12</f>
        <v>2.8125</v>
      </c>
      <c r="CS386" s="106">
        <f t="shared" si="397"/>
        <v>12.3375</v>
      </c>
      <c r="CT386" s="104">
        <f>('Renewable Diesel'!AI395*'Feedstock Conversion Rates'!$B$4*'RD Feedstock Breakdown'!$CT$3)/12</f>
        <v>29.375</v>
      </c>
      <c r="CU386" s="106">
        <f t="shared" si="364"/>
        <v>29.375</v>
      </c>
      <c r="CV386" s="104">
        <f>('Renewable Diesel'!AN395*'Feedstock Conversion Rates'!$B$3*'RD Feedstock Breakdown'!$CV$3)/12</f>
        <v>0.50062499999999999</v>
      </c>
      <c r="CW386" s="106">
        <f t="shared" si="338"/>
        <v>0.50062499999999999</v>
      </c>
      <c r="CX386" s="104">
        <f>('Renewable Diesel'!AO395*'RD Feedstock Breakdown'!$CX$3*'Feedstock Conversion Rates'!$B$3)/12</f>
        <v>6.3412499999999996</v>
      </c>
      <c r="CY386" s="104">
        <f>('Renewable Diesel'!AO395*'RD Feedstock Breakdown'!$CY$3*'Feedstock Conversion Rates'!$B$6)/12</f>
        <v>7.4258333333333342</v>
      </c>
      <c r="CZ386" s="106">
        <f t="shared" si="398"/>
        <v>13.767083333333334</v>
      </c>
      <c r="DA386" s="104">
        <f>('Renewable Diesel'!$AP395*'RD Feedstock Breakdown'!DA$3*'Feedstock Conversion Rates'!$B$3)/12</f>
        <v>6.3412499999999996</v>
      </c>
      <c r="DB386" s="104">
        <f>('Renewable Diesel'!$AP395*'RD Feedstock Breakdown'!DB$3*'Feedstock Conversion Rates'!$B$8)/12</f>
        <v>7.421875</v>
      </c>
      <c r="DC386" s="106">
        <f t="shared" si="342"/>
        <v>13.763124999999999</v>
      </c>
      <c r="DD386" s="104">
        <f>('Renewable Diesel'!AQ395*$DD$3*'Feedstock Conversion Rates'!$B$14)/12</f>
        <v>3.1041666666666665</v>
      </c>
      <c r="DE386" s="106">
        <f t="shared" si="343"/>
        <v>3.1041666666666665</v>
      </c>
      <c r="DF386" s="104">
        <f>('Renewable Diesel'!AR395*'Feedstock Conversion Rates'!$B$4*$DF$3)/12</f>
        <v>75</v>
      </c>
      <c r="DG386" s="106">
        <f t="shared" si="399"/>
        <v>75</v>
      </c>
      <c r="DH386" s="104">
        <f>('Renewable Diesel'!AS395*'Feedstock Conversion Rates'!$B$4*$DH$3)/12</f>
        <v>75</v>
      </c>
      <c r="DI386" s="106">
        <f t="shared" si="411"/>
        <v>75</v>
      </c>
      <c r="DJ386" s="104">
        <f>('Renewable Diesel'!AT395*'Feedstock Conversion Rates'!$B$4*0.25)/12</f>
        <v>8.59375</v>
      </c>
      <c r="DK386" s="104">
        <f>('Renewable Diesel'!$AT395*'RD Feedstock Breakdown'!DK$3*'Feedstock Conversion Rates'!$B$3)/12*0.5</f>
        <v>9.1781249999999996</v>
      </c>
      <c r="DL386" s="104">
        <f>('Renewable Diesel'!$AT395*'RD Feedstock Breakdown'!$DL$3*'Feedstock Conversion Rates'!$B$6)/12</f>
        <v>10.747916666666669</v>
      </c>
      <c r="DM386" s="104">
        <f>('Renewable Diesel'!$AT395*'RD Feedstock Breakdown'!$DM$3*'Feedstock Conversion Rates'!$B$8)/12</f>
        <v>10.7421875</v>
      </c>
      <c r="DN386" s="106">
        <f t="shared" si="375"/>
        <v>39.26197916666667</v>
      </c>
      <c r="DP386" s="104">
        <f t="shared" si="345"/>
        <v>103.22025000000001</v>
      </c>
      <c r="DQ386" s="104">
        <f t="shared" si="346"/>
        <v>349.11776750000007</v>
      </c>
      <c r="DR386" s="104">
        <f t="shared" si="351"/>
        <v>1891.953125</v>
      </c>
      <c r="DS386" s="104">
        <f t="shared" si="365"/>
        <v>228.90125</v>
      </c>
      <c r="DT386" s="104">
        <f t="shared" si="347"/>
        <v>243.03923333333344</v>
      </c>
      <c r="DU386" s="104">
        <f t="shared" si="348"/>
        <v>402.90610000000009</v>
      </c>
      <c r="DV386" s="104">
        <f t="shared" si="352"/>
        <v>78.75</v>
      </c>
      <c r="DW386" s="104">
        <f t="shared" si="349"/>
        <v>3</v>
      </c>
      <c r="DX386" s="106">
        <f t="shared" si="353"/>
        <v>3300.8877258333337</v>
      </c>
      <c r="DY386" s="109">
        <f t="shared" si="340"/>
        <v>-5.631051180898794E-13</v>
      </c>
      <c r="EA386" s="110">
        <f t="shared" si="393"/>
        <v>3.1270451640078516E-2</v>
      </c>
      <c r="EB386" s="110">
        <f t="shared" si="393"/>
        <v>0.10576481131658687</v>
      </c>
      <c r="EC386" s="110">
        <f t="shared" si="393"/>
        <v>0.57316494293133291</v>
      </c>
      <c r="ED386" s="110">
        <f t="shared" si="393"/>
        <v>6.9345360706629972E-2</v>
      </c>
      <c r="EE386" s="110">
        <f t="shared" si="393"/>
        <v>7.3628445896921982E-2</v>
      </c>
      <c r="EF386" s="110">
        <f t="shared" si="393"/>
        <v>0.1220599225010852</v>
      </c>
      <c r="EG386" s="110">
        <f t="shared" si="384"/>
        <v>2.3857218585075921E-2</v>
      </c>
      <c r="EH386" s="111">
        <f t="shared" si="354"/>
        <v>9.0884642228860647E-4</v>
      </c>
      <c r="EI386" s="110">
        <f t="shared" si="409"/>
        <v>0.99909115357771139</v>
      </c>
      <c r="EK386" s="132">
        <f>(EA386*'Renewable Diesel'!BF395*'Feedstock Conversion Rates'!B$2)+FB386</f>
        <v>711.53832179741755</v>
      </c>
      <c r="EL386" s="132">
        <f>(EB386*'Renewable Diesel'!BF395*'Feedstock Conversion Rates'!B$3)+FC386</f>
        <v>2267.8740447525097</v>
      </c>
      <c r="EM386" s="132">
        <f>(EC386*'Renewable Diesel'!BF395*'Feedstock Conversion Rates'!B$4)+FD386</f>
        <v>11507.635527073642</v>
      </c>
      <c r="EN386" s="132">
        <f>(ED386*'Renewable Diesel'!BF395*'Feedstock Conversion Rates'!B$5)+FE386</f>
        <v>1401.5531724142706</v>
      </c>
      <c r="EO386" s="132">
        <f>(EE386*'Renewable Diesel'!BF395*'Feedstock Conversion Rates'!B$6)+FF386</f>
        <v>1848.8159863465157</v>
      </c>
      <c r="EP386" s="132">
        <f>(EF386*'Renewable Diesel'!BF395*'Feedstock Conversion Rates'!B$7)+FG386</f>
        <v>3006.1187528275659</v>
      </c>
      <c r="EQ386" s="132">
        <f>(EG386*'Renewable Diesel'!BF395*'Feedstock Conversion Rates'!B$8)+FH386</f>
        <v>598.73728224440652</v>
      </c>
      <c r="ER386" s="132">
        <f>(EH386*'Renewable Diesel'!BF395*'Feedstock Conversion Rates'!B$9)+FI386</f>
        <v>22.504918799281818</v>
      </c>
      <c r="ES386" s="132">
        <f t="shared" si="355"/>
        <v>21364.778006255608</v>
      </c>
      <c r="ET386" s="133">
        <f>ES386/'Renewable Diesel'!BF395</f>
        <v>19.23107852013689</v>
      </c>
      <c r="EW386" s="73">
        <f t="shared" si="386"/>
        <v>20461.046434222066</v>
      </c>
      <c r="EX386" s="73">
        <f t="shared" si="387"/>
        <v>13402.097487454692</v>
      </c>
      <c r="EY386" s="92">
        <f t="shared" si="410"/>
        <v>0.95769993155234612</v>
      </c>
      <c r="EZ386" s="92">
        <f t="shared" si="410"/>
        <v>0.6272987008585138</v>
      </c>
      <c r="FB386" s="102">
        <f>IF('Renewable Diesel'!$BG395&lt;1,0,(((('Renewable Diesel'!$BG395-1)*'Renewable Diesel'!$BF395)*'RD Feedstock Breakdown'!EA386)*'Feedstock Conversion Rates'!$B$2))</f>
        <v>416.24894515940753</v>
      </c>
      <c r="FC386" s="102">
        <f>IF('Renewable Diesel'!$BG395&lt;1,0,(((('Renewable Diesel'!$BG395-1)*'Renewable Diesel'!$BF395)*'RD Feedstock Breakdown'!EB386)*'Feedstock Conversion Rates'!$B$3))</f>
        <v>1326.703214660303</v>
      </c>
      <c r="FD386" s="102">
        <f>IF('Renewable Diesel'!$BG395&lt;1,0,(((('Renewable Diesel'!$BG395-1)*'Renewable Diesel'!$BF395)*'RD Feedstock Breakdown'!EC386)*'Feedstock Conversion Rates'!$B$4))</f>
        <v>6731.9510456207045</v>
      </c>
      <c r="FE386" s="102">
        <f>IF('Renewable Diesel'!$BG395&lt;1,0,(((('Renewable Diesel'!$BG395-1)*'Renewable Diesel'!$BF395)*'RD Feedstock Breakdown'!ED386)*'Feedstock Conversion Rates'!$B$5))</f>
        <v>819.90668911345017</v>
      </c>
      <c r="FF386" s="102">
        <f>IF('Renewable Diesel'!$BG395&lt;1,0,(((('Renewable Diesel'!$BG395-1)*'Renewable Diesel'!$BF395)*'RD Feedstock Breakdown'!EE386)*'Feedstock Conversion Rates'!$B$6))</f>
        <v>1081.5548235920464</v>
      </c>
      <c r="FG386" s="102">
        <f>IF('Renewable Diesel'!$BG395&lt;1,0,(((('Renewable Diesel'!$BG395-1)*'Renewable Diesel'!$BF395)*'RD Feedstock Breakdown'!EF386)*'Feedstock Conversion Rates'!$B$7))</f>
        <v>1758.5753592687654</v>
      </c>
      <c r="FH386" s="102">
        <f>IF('Renewable Diesel'!$BG395&lt;1,0,(((('Renewable Diesel'!$BG395-1)*'Renewable Diesel'!$BF395)*'RD Feedstock Breakdown'!EG386)*'Feedstock Conversion Rates'!$B$8))</f>
        <v>350.26049128637271</v>
      </c>
      <c r="FI386" s="102">
        <f>IF('Renewable Diesel'!$BG395&lt;1,0,(((('Renewable Diesel'!$BG395-1)*'Renewable Diesel'!$BF395)*'RD Feedstock Breakdown'!EH386)*'Feedstock Conversion Rates'!$B$9))</f>
        <v>13.165346720097309</v>
      </c>
      <c r="FJ386" s="102">
        <f t="shared" si="388"/>
        <v>12498.365915421149</v>
      </c>
      <c r="GD386" s="91">
        <f>'Renewable Diesel'!BB395*0.32</f>
        <v>0</v>
      </c>
      <c r="GE386" s="91">
        <f>'Renewable Diesel'!BC395</f>
        <v>523.83375870202167</v>
      </c>
      <c r="GF386" s="91">
        <f>'Renewable Diesel'!BD395</f>
        <v>0</v>
      </c>
      <c r="GG386" s="91">
        <f t="shared" si="373"/>
        <v>523.83375870202167</v>
      </c>
      <c r="GH386" s="124">
        <v>1</v>
      </c>
      <c r="GI386" s="102">
        <f>$GG386*EA386*'Feedstock Conversion Rates'!$B$2</f>
        <v>139.23440486092309</v>
      </c>
      <c r="GJ386" s="102">
        <f>$GG386*EB386*'Feedstock Conversion Rates'!$B$3</f>
        <v>443.77946098952629</v>
      </c>
      <c r="GK386" s="102">
        <f>$GG386*EC386*'Feedstock Conversion Rates'!$B$4</f>
        <v>2251.8235980896238</v>
      </c>
      <c r="GL386" s="102">
        <f>$GG386*ED386*'Feedstock Conversion Rates'!$B$5</f>
        <v>274.25707915363603</v>
      </c>
      <c r="GM386" s="102">
        <f>$GG386*EE386*'Feedstock Conversion Rates'!$B$6</f>
        <v>361.77783496755558</v>
      </c>
      <c r="GN386" s="102">
        <f>$GG386*EF386*'Feedstock Conversion Rates'!$B$7</f>
        <v>588.23979351371258</v>
      </c>
      <c r="GO386" s="102">
        <f>$GG386*EG386*'Feedstock Conversion Rates'!$B$8</f>
        <v>117.16140453371294</v>
      </c>
      <c r="GP386" s="102">
        <f>$GG386*EH386*'Feedstock Conversion Rates'!B$9</f>
        <v>4.4037810466005114</v>
      </c>
      <c r="GQ386" s="102">
        <f t="shared" si="356"/>
        <v>4180.6773571552903</v>
      </c>
      <c r="GT386" s="103">
        <f t="shared" si="389"/>
        <v>3.3304269372191879E-2</v>
      </c>
      <c r="GU386" s="103">
        <f t="shared" si="390"/>
        <v>0.10615013383656388</v>
      </c>
      <c r="GV386" s="103">
        <f t="shared" si="391"/>
        <v>0.53862649654979822</v>
      </c>
      <c r="GW386" s="103">
        <f t="shared" si="401"/>
        <v>6.5601110950176761E-2</v>
      </c>
      <c r="GX386" s="103">
        <f t="shared" si="402"/>
        <v>8.6535698419388296E-2</v>
      </c>
      <c r="GY386" s="103">
        <f t="shared" si="403"/>
        <v>0.14070442257566979</v>
      </c>
      <c r="GZ386" s="103">
        <f t="shared" si="404"/>
        <v>2.8024502855545516E-2</v>
      </c>
      <c r="HA386" s="103">
        <f t="shared" si="405"/>
        <v>1.053365440665584E-3</v>
      </c>
    </row>
    <row r="387" spans="1:209" x14ac:dyDescent="0.25">
      <c r="A387" s="96">
        <v>52201</v>
      </c>
      <c r="B387" s="104">
        <f t="shared" si="406"/>
        <v>44.25</v>
      </c>
      <c r="C387" s="104">
        <f t="shared" si="396"/>
        <v>49</v>
      </c>
      <c r="D387" s="104">
        <f t="shared" si="407"/>
        <v>2</v>
      </c>
      <c r="E387" s="104">
        <f>('Renewable Diesel'!B396*E$3*'Feedstock Conversion Rates'!$B$2)/12+26+13-100+27.5+39</f>
        <v>95.43</v>
      </c>
      <c r="F387" s="104">
        <f>('Renewable Diesel'!B396*'RD Feedstock Breakdown'!F$3*'Feedstock Conversion Rates'!B$8)/12+77+23-10-12-115.75+24+8</f>
        <v>48.15625</v>
      </c>
      <c r="G387" s="104">
        <f>('Renewable Diesel'!B396*'RD Feedstock Breakdown'!G$3*'Feedstock Conversion Rates'!B$7)/12+116.75-39-57.5-145-31.5+32+70-40+10+60</f>
        <v>151.90700000000004</v>
      </c>
      <c r="H387" s="104">
        <f>('Renewable Diesel'!B396*'RD Feedstock Breakdown'!H$3*'Feedstock Conversion Rates'!B$3)/12+67+10+12+3-235+20+47-20+25</f>
        <v>105.40022499999998</v>
      </c>
      <c r="I387" s="106">
        <f t="shared" si="370"/>
        <v>496.14347500000002</v>
      </c>
      <c r="J387" s="104">
        <f t="shared" si="332"/>
        <v>4</v>
      </c>
      <c r="K387" s="104"/>
      <c r="L387" s="104">
        <v>1</v>
      </c>
      <c r="M387" s="104">
        <f>('Renewable Diesel'!C396*'RD Feedstock Breakdown'!M$3*'Feedstock Conversion Rates'!B$2)/12</f>
        <v>7.7902500000000003</v>
      </c>
      <c r="N387" s="104">
        <f>('Renewable Diesel'!C396*'RD Feedstock Breakdown'!N$3*'Feedstock Conversion Rates'!B$8)/12</f>
        <v>3.671875</v>
      </c>
      <c r="O387" s="104">
        <f>('Renewable Diesel'!C396*'RD Feedstock Breakdown'!O$3*'Feedstock Conversion Rates'!B$7)/12</f>
        <v>11.9991</v>
      </c>
      <c r="P387" s="104">
        <f>('Renewable Diesel'!C396*'RD Feedstock Breakdown'!P$3*'Feedstock Conversion Rates'!B$3)/12</f>
        <v>10.4470425</v>
      </c>
      <c r="Q387" s="106">
        <f t="shared" si="379"/>
        <v>38.908267500000001</v>
      </c>
      <c r="R387" s="104">
        <f>('Renewable Diesel'!D396*'RD Feedstock Breakdown'!R$3*'Feedstock Conversion Rates'!B$7)/12</f>
        <v>2.2999999999999998</v>
      </c>
      <c r="S387" s="106">
        <f t="shared" si="414"/>
        <v>2.2999999999999998</v>
      </c>
      <c r="T387" s="104">
        <f t="shared" si="380"/>
        <v>0.82499999999999929</v>
      </c>
      <c r="U387" s="104"/>
      <c r="V387" s="104">
        <f>('Renewable Diesel'!E396*'RD Feedstock Breakdown'!V$3*'Feedstock Conversion Rates'!B$6)/12-20+25</f>
        <v>49.250150000000012</v>
      </c>
      <c r="W387" s="104">
        <f>('Renewable Diesel'!E396*'RD Feedstock Breakdown'!W$3*'Feedstock Conversion Rates'!B$8)/12-6</f>
        <v>16.1796875</v>
      </c>
      <c r="X387" s="106">
        <f t="shared" si="357"/>
        <v>66.254837500000008</v>
      </c>
      <c r="Y387" s="104">
        <f t="shared" si="381"/>
        <v>98</v>
      </c>
      <c r="Z387" s="104">
        <f>('Renewable Diesel'!F396*'RD Feedstock Breakdown'!Z$3*'Feedstock Conversion Rates'!B$6)/12-142+15+5+20+5+15</f>
        <v>77.460000000000008</v>
      </c>
      <c r="AA387" s="104">
        <f>('Renewable Diesel'!F396*'RD Feedstock Breakdown'!AA$3*'Feedstock Conversion Rates'!B$7)/12+24</f>
        <v>128.26666666666665</v>
      </c>
      <c r="AB387" s="106">
        <f t="shared" si="400"/>
        <v>303.72666666666669</v>
      </c>
      <c r="AC387" s="104">
        <f>('Renewable Diesel'!G396*'RD Feedstock Breakdown'!AC$3*'Feedstock Conversion Rates'!B$5)/12</f>
        <v>11.796875</v>
      </c>
      <c r="AD387" s="104">
        <f>('Renewable Diesel'!G396*'RD Feedstock Breakdown'!AD$3*'Feedstock Conversion Rates'!B$4)/12</f>
        <v>5.859375</v>
      </c>
      <c r="AE387" s="104">
        <f>('Renewable Diesel'!G396*'RD Feedstock Breakdown'!AE$3*'Feedstock Conversion Rates'!B$6)/12</f>
        <v>7.3281250000000009</v>
      </c>
      <c r="AF387" s="106">
        <f t="shared" si="366"/>
        <v>24.984375</v>
      </c>
      <c r="AG387" s="104">
        <f t="shared" si="383"/>
        <v>148</v>
      </c>
      <c r="AH387" s="104"/>
      <c r="AI387" s="104">
        <f>('Renewable Diesel'!H396*'RD Feedstock Breakdown'!AI$3*'Feedstock Conversion Rates'!B$6)/12-130-20+51-49</f>
        <v>0.51666666666667993</v>
      </c>
      <c r="AJ387" s="106">
        <f t="shared" si="413"/>
        <v>148.51666666666668</v>
      </c>
      <c r="AK387" s="104">
        <f>('Renewable Diesel'!J396*'RD Feedstock Breakdown'!AK$3*'Feedstock Conversion Rates'!B$4)/12</f>
        <v>95.8125</v>
      </c>
      <c r="AL387" s="106">
        <f t="shared" si="330"/>
        <v>95.8125</v>
      </c>
      <c r="AM387" s="104">
        <f>('Renewable Diesel'!K396*'RD Feedstock Breakdown'!AM$3*'Feedstock Conversion Rates'!B$4)/12+5+15-10+10</f>
        <v>78.59375</v>
      </c>
      <c r="AN387" s="104">
        <f>('Renewable Diesel'!K396*'RD Feedstock Breakdown'!AN$3*'Feedstock Conversion Rates'!B$6)/12-5-15+10-10</f>
        <v>4.4270833333333321</v>
      </c>
      <c r="AO387" s="106">
        <f t="shared" si="350"/>
        <v>83.020833333333329</v>
      </c>
      <c r="AP387" s="104">
        <f>('Renewable Diesel'!L396*'RD Feedstock Breakdown'!AP$3*'Feedstock Conversion Rates'!B$4)/12+15-10+15</f>
        <v>78.59375</v>
      </c>
      <c r="AQ387" s="104">
        <f>('Renewable Diesel'!L396*'RD Feedstock Breakdown'!AQ$3*'Feedstock Conversion Rates'!B$6)/12-15+10-15</f>
        <v>4.4270833333333321</v>
      </c>
      <c r="AR387" s="106">
        <f t="shared" si="339"/>
        <v>83.020833333333329</v>
      </c>
      <c r="AS387" s="104">
        <f>('Renewable Diesel'!M396*'RD Feedstock Breakdown'!AS$3*'Feedstock Conversion Rates'!B$4)/12</f>
        <v>456.25</v>
      </c>
      <c r="AT387" s="104">
        <f>('Renewable Diesel'!M396*'RD Feedstock Breakdown'!AT$3*'Feedstock Conversion Rates'!B$5)/12</f>
        <v>0</v>
      </c>
      <c r="AU387" s="106">
        <f t="shared" si="369"/>
        <v>456.25</v>
      </c>
      <c r="AV387" s="104">
        <f>'Renewable Diesel'!N396*'RD Feedstock Breakdown'!$AV$3*'Feedstock Conversion Rates'!$B$4/12-15-10+25+25-22+25</f>
        <v>106.74999999999999</v>
      </c>
      <c r="AW387" s="104">
        <f>'Renewable Diesel'!N396*'RD Feedstock Breakdown'!$AW$3*'Feedstock Conversion Rates'!$B$7/12+15+10-25-25+22-25</f>
        <v>13.400000000000006</v>
      </c>
      <c r="AX387" s="106">
        <f t="shared" si="408"/>
        <v>120.14999999999999</v>
      </c>
      <c r="AY387" s="104">
        <f>('Renewable Diesel'!O396*'RD Feedstock Breakdown'!AY$3*'Feedstock Conversion Rates'!B$4)/12</f>
        <v>210.9375</v>
      </c>
      <c r="AZ387" s="104">
        <f>('Renewable Diesel'!O396*'RD Feedstock Breakdown'!AZ$3*'Feedstock Conversion Rates'!B$3)/12</f>
        <v>25.03125</v>
      </c>
      <c r="BA387" s="106">
        <f t="shared" si="382"/>
        <v>235.96875</v>
      </c>
      <c r="BB387" s="104">
        <f>('Renewable Diesel'!Q396*'RD Feedstock Breakdown'!BB$3*'Feedstock Conversion Rates'!B$4)/12</f>
        <v>11.156249999999998</v>
      </c>
      <c r="BC387" s="104">
        <f>('Renewable Diesel'!Q396*'RD Feedstock Breakdown'!BC$3*'Feedstock Conversion Rates'!B$3)/12</f>
        <v>1.4017500000000001</v>
      </c>
      <c r="BD387" s="104">
        <f>('Renewable Diesel'!Q396*'RD Feedstock Breakdown'!BD$3*'Feedstock Conversion Rates'!B$6)/12</f>
        <v>0.8207500000000002</v>
      </c>
      <c r="BE387" s="106">
        <f t="shared" si="359"/>
        <v>13.378749999999998</v>
      </c>
      <c r="BF387" s="104">
        <f>('Renewable Diesel'!R396*'RD Feedstock Breakdown'!BF$3*'Feedstock Conversion Rates'!B$4)/12</f>
        <v>62.5</v>
      </c>
      <c r="BG387" s="106">
        <f t="shared" si="344"/>
        <v>62.5</v>
      </c>
      <c r="BH387" s="104">
        <f>('Renewable Diesel'!T396*'RD Feedstock Breakdown'!BH$3*'Feedstock Conversion Rates'!B$7)/12</f>
        <v>27.599999999999998</v>
      </c>
      <c r="BI387" s="106">
        <f t="shared" si="412"/>
        <v>27.599999999999998</v>
      </c>
      <c r="BJ387" s="104">
        <f>('Renewable Diesel'!W396*'RD Feedstock Breakdown'!BJ$3*'Feedstock Conversion Rates'!B$4)/12</f>
        <v>7.5</v>
      </c>
      <c r="BK387" s="104">
        <f>('Renewable Diesel'!W396*'RD Feedstock Breakdown'!BK$3*'Feedstock Conversion Rates'!B$3)/12</f>
        <v>1.335</v>
      </c>
      <c r="BL387" s="104">
        <f>('Renewable Diesel'!W396*'RD Feedstock Breakdown'!BL$3*'Feedstock Conversion Rates'!B$6)/12</f>
        <v>3.1266666666666669</v>
      </c>
      <c r="BM387" s="104">
        <f>('Renewable Diesel'!W396*'RD Feedstock Breakdown'!BM$3*'Feedstock Conversion Rates'!B$7)/12</f>
        <v>1.5333333333333332</v>
      </c>
      <c r="BN387" s="106">
        <f t="shared" si="374"/>
        <v>13.495000000000001</v>
      </c>
      <c r="BO387" s="104">
        <f>('Renewable Diesel'!P396*'Feedstock Conversion Rates'!B$4)/12</f>
        <v>31.25</v>
      </c>
      <c r="BP387" s="106">
        <f t="shared" si="367"/>
        <v>31.25</v>
      </c>
      <c r="BQ387" s="104">
        <f>('Renewable Diesel'!$S396*'RD Feedstock Breakdown'!BQ$3*'Feedstock Conversion Rates'!B$4)/12+10+15-15</f>
        <v>38.125</v>
      </c>
      <c r="BR387" s="104">
        <f>('Renewable Diesel'!$S396*'RD Feedstock Breakdown'!BR$3*'Feedstock Conversion Rates'!B$7)/12-10-15+15</f>
        <v>1.5</v>
      </c>
      <c r="BS387" s="106">
        <f t="shared" si="385"/>
        <v>39.625</v>
      </c>
      <c r="BT387" s="106"/>
      <c r="BU387" s="104">
        <f>('Renewable Diesel'!Y396*'Feedstock Conversion Rates'!B$7)/12</f>
        <v>2.6833333333333331</v>
      </c>
      <c r="BV387" s="106">
        <f t="shared" si="361"/>
        <v>2.6833333333333331</v>
      </c>
      <c r="BW387" s="104">
        <f>('Renewable Diesel'!$Z396*'RD Feedstock Breakdown'!BW$3*'Feedstock Conversion Rates'!$B$4)/12-250+180</f>
        <v>1.875</v>
      </c>
      <c r="BX387" s="104">
        <f>('Renewable Diesel'!$Z396*'RD Feedstock Breakdown'!BX$3*'Feedstock Conversion Rates'!$B$5)/12</f>
        <v>7.2354166666666666</v>
      </c>
      <c r="BY387" s="104">
        <f>('Renewable Diesel'!$Z396*'RD Feedstock Breakdown'!BY$3*'Feedstock Conversion Rates'!$B$7)/12</f>
        <v>61.716666666666661</v>
      </c>
      <c r="BZ387" s="104">
        <f>('Renewable Diesel'!$Z396*'RD Feedstock Breakdown'!BZ$3*'Feedstock Conversion Rates'!$B$3)/12+250-180</f>
        <v>85.35250000000002</v>
      </c>
      <c r="CA387" s="106">
        <f t="shared" si="392"/>
        <v>156.17958333333334</v>
      </c>
      <c r="CB387" s="104">
        <f>('Renewable Diesel'!AA396*'Feedstock Conversion Rates'!B$4)/12</f>
        <v>191.25</v>
      </c>
      <c r="CC387" s="106">
        <f t="shared" si="376"/>
        <v>191.25</v>
      </c>
      <c r="CD387" s="104">
        <f>('Renewable Diesel'!$AB396*'RD Feedstock Breakdown'!CD$3*'Feedstock Conversion Rates'!$B$6)/12-15-5</f>
        <v>12.830000000000005</v>
      </c>
      <c r="CE387" s="104">
        <f>('Renewable Diesel'!$AB396*'RD Feedstock Breakdown'!CE$3*'Feedstock Conversion Rates'!$B$4)/12+15+5</f>
        <v>31.25</v>
      </c>
      <c r="CF387" s="106">
        <f t="shared" si="372"/>
        <v>44.080000000000005</v>
      </c>
      <c r="CG387" s="104">
        <f>('Renewable Diesel'!AD396*'Feedstock Conversion Rates'!B$4)/12</f>
        <v>112.5</v>
      </c>
      <c r="CH387" s="106">
        <f t="shared" si="358"/>
        <v>112.5</v>
      </c>
      <c r="CI387" s="104">
        <f>('Renewable Diesel'!$AE396*'RD Feedstock Breakdown'!CI$3*'Feedstock Conversion Rates'!$B$5)/12</f>
        <v>0.34604166666666664</v>
      </c>
      <c r="CJ387" s="104">
        <f>('Renewable Diesel'!$AE396*'RD Feedstock Breakdown'!CJ$3*'Feedstock Conversion Rates'!$B$4)/12</f>
        <v>0.34375</v>
      </c>
      <c r="CK387" s="106">
        <f t="shared" si="368"/>
        <v>0.68979166666666658</v>
      </c>
      <c r="CL387" s="104">
        <f>(((CL$3*'Renewable Diesel'!$AF396)*'Feedstock Conversion Rates'!$B$3)/12)</f>
        <v>91.78125</v>
      </c>
      <c r="CM387" s="104">
        <f>(((CM$3*'Renewable Diesel'!$AF396)*'Feedstock Conversion Rates'!$B$6)/12)</f>
        <v>53.739583333333336</v>
      </c>
      <c r="CN387" s="104">
        <f>(((CN$3*'Renewable Diesel'!$AF396)*'Feedstock Conversion Rates'!$B$4)/12)</f>
        <v>42.96875</v>
      </c>
      <c r="CO387" s="106">
        <f t="shared" si="360"/>
        <v>188.48958333333334</v>
      </c>
      <c r="CP387" s="104">
        <f>('Renewable Diesel'!$AG396*'RD Feedstock Breakdown'!CP$3*'Feedstock Conversion Rates'!$B$3)/12</f>
        <v>6.0075000000000003</v>
      </c>
      <c r="CQ387" s="104">
        <f>('Renewable Diesel'!$AG396*'RD Feedstock Breakdown'!CQ$3*'Feedstock Conversion Rates'!$B$6)/12</f>
        <v>3.5175000000000001</v>
      </c>
      <c r="CR387" s="104">
        <f>('Renewable Diesel'!$AG396*'RD Feedstock Breakdown'!CR$3*'Feedstock Conversion Rates'!$B$4)/12</f>
        <v>2.8125</v>
      </c>
      <c r="CS387" s="106">
        <f t="shared" si="397"/>
        <v>12.3375</v>
      </c>
      <c r="CT387" s="104">
        <f>('Renewable Diesel'!AI396*'Feedstock Conversion Rates'!$B$4*'RD Feedstock Breakdown'!$CT$3)/12</f>
        <v>29.375</v>
      </c>
      <c r="CU387" s="106">
        <f t="shared" si="364"/>
        <v>29.375</v>
      </c>
      <c r="CV387" s="104">
        <f>('Renewable Diesel'!AN396*'Feedstock Conversion Rates'!$B$3*'RD Feedstock Breakdown'!$CV$3)/12</f>
        <v>0.50062499999999999</v>
      </c>
      <c r="CW387" s="106">
        <f t="shared" si="338"/>
        <v>0.50062499999999999</v>
      </c>
      <c r="CX387" s="104">
        <f>('Renewable Diesel'!AO396*'RD Feedstock Breakdown'!$CX$3*'Feedstock Conversion Rates'!$B$3)/12</f>
        <v>6.3412499999999996</v>
      </c>
      <c r="CY387" s="104">
        <f>('Renewable Diesel'!AO396*'RD Feedstock Breakdown'!$CY$3*'Feedstock Conversion Rates'!$B$6)/12</f>
        <v>7.4258333333333342</v>
      </c>
      <c r="CZ387" s="106">
        <f t="shared" si="398"/>
        <v>13.767083333333334</v>
      </c>
      <c r="DA387" s="104">
        <f>('Renewable Diesel'!$AP396*'RD Feedstock Breakdown'!DA$3*'Feedstock Conversion Rates'!$B$3)/12</f>
        <v>6.3412499999999996</v>
      </c>
      <c r="DB387" s="104">
        <f>('Renewable Diesel'!$AP396*'RD Feedstock Breakdown'!DB$3*'Feedstock Conversion Rates'!$B$8)/12</f>
        <v>7.421875</v>
      </c>
      <c r="DC387" s="106">
        <f t="shared" si="342"/>
        <v>13.763124999999999</v>
      </c>
      <c r="DD387" s="104">
        <f>('Renewable Diesel'!AQ396*$DD$3*'Feedstock Conversion Rates'!$B$14)/12</f>
        <v>3.1041666666666665</v>
      </c>
      <c r="DE387" s="106">
        <f t="shared" si="343"/>
        <v>3.1041666666666665</v>
      </c>
      <c r="DF387" s="104">
        <f>('Renewable Diesel'!AR396*'Feedstock Conversion Rates'!$B$4*$DF$3)/12</f>
        <v>75</v>
      </c>
      <c r="DG387" s="106">
        <f t="shared" si="399"/>
        <v>75</v>
      </c>
      <c r="DH387" s="104">
        <f>('Renewable Diesel'!AS396*'Feedstock Conversion Rates'!$B$4*$DH$3)/12</f>
        <v>75</v>
      </c>
      <c r="DI387" s="106">
        <f t="shared" si="411"/>
        <v>75</v>
      </c>
      <c r="DJ387" s="104">
        <f>('Renewable Diesel'!AT396*'Feedstock Conversion Rates'!$B$4*0.25)/12</f>
        <v>8.59375</v>
      </c>
      <c r="DK387" s="104">
        <f>('Renewable Diesel'!$AT396*'RD Feedstock Breakdown'!DK$3*'Feedstock Conversion Rates'!$B$3)/12*0.5</f>
        <v>9.1781249999999996</v>
      </c>
      <c r="DL387" s="104">
        <f>('Renewable Diesel'!$AT396*'RD Feedstock Breakdown'!$DL$3*'Feedstock Conversion Rates'!$B$6)/12</f>
        <v>10.747916666666669</v>
      </c>
      <c r="DM387" s="104">
        <f>('Renewable Diesel'!$AT396*'RD Feedstock Breakdown'!$DM$3*'Feedstock Conversion Rates'!$B$8)/12</f>
        <v>10.7421875</v>
      </c>
      <c r="DN387" s="106">
        <f t="shared" si="375"/>
        <v>39.26197916666667</v>
      </c>
      <c r="DP387" s="104">
        <f t="shared" si="345"/>
        <v>103.22025000000001</v>
      </c>
      <c r="DQ387" s="104">
        <f t="shared" si="346"/>
        <v>349.11776750000007</v>
      </c>
      <c r="DR387" s="104">
        <f t="shared" si="351"/>
        <v>1891.953125</v>
      </c>
      <c r="DS387" s="104">
        <f t="shared" si="365"/>
        <v>228.90125</v>
      </c>
      <c r="DT387" s="104">
        <f t="shared" si="347"/>
        <v>243.03923333333344</v>
      </c>
      <c r="DU387" s="104">
        <f t="shared" si="348"/>
        <v>402.90610000000009</v>
      </c>
      <c r="DV387" s="104">
        <f t="shared" si="352"/>
        <v>78.75</v>
      </c>
      <c r="DW387" s="104">
        <f t="shared" si="349"/>
        <v>3</v>
      </c>
      <c r="DX387" s="106">
        <f t="shared" si="353"/>
        <v>3300.8877258333337</v>
      </c>
      <c r="DY387" s="109">
        <f t="shared" si="340"/>
        <v>-5.631051180898794E-13</v>
      </c>
      <c r="EA387" s="110">
        <f t="shared" si="393"/>
        <v>3.1270451640078516E-2</v>
      </c>
      <c r="EB387" s="110">
        <f t="shared" si="393"/>
        <v>0.10576481131658687</v>
      </c>
      <c r="EC387" s="110">
        <f t="shared" si="393"/>
        <v>0.57316494293133291</v>
      </c>
      <c r="ED387" s="110">
        <f t="shared" si="393"/>
        <v>6.9345360706629972E-2</v>
      </c>
      <c r="EE387" s="110">
        <f t="shared" si="393"/>
        <v>7.3628445896921982E-2</v>
      </c>
      <c r="EF387" s="110">
        <f t="shared" si="393"/>
        <v>0.1220599225010852</v>
      </c>
      <c r="EG387" s="110">
        <f t="shared" si="384"/>
        <v>2.3857218585075921E-2</v>
      </c>
      <c r="EH387" s="111">
        <f t="shared" si="354"/>
        <v>9.0884642228860647E-4</v>
      </c>
      <c r="EI387" s="110">
        <f t="shared" si="409"/>
        <v>0.99909115357771139</v>
      </c>
      <c r="EK387" s="132">
        <f>(EA387*'Renewable Diesel'!BF396*'Feedstock Conversion Rates'!B$2)+FB387</f>
        <v>769.96697971786466</v>
      </c>
      <c r="EL387" s="132">
        <f>(EB387*'Renewable Diesel'!BF396*'Feedstock Conversion Rates'!B$3)+FC387</f>
        <v>2454.1027167835173</v>
      </c>
      <c r="EM387" s="132">
        <f>(EC387*'Renewable Diesel'!BF396*'Feedstock Conversion Rates'!B$4)+FD387</f>
        <v>12452.59615545706</v>
      </c>
      <c r="EN387" s="132">
        <f>(ED387*'Renewable Diesel'!BF396*'Feedstock Conversion Rates'!B$5)+FE387</f>
        <v>1516.6430675887796</v>
      </c>
      <c r="EO387" s="132">
        <f>(EE387*'Renewable Diesel'!BF396*'Feedstock Conversion Rates'!B$6)+FF387</f>
        <v>2000.6333003475597</v>
      </c>
      <c r="EP387" s="132">
        <f>(EF387*'Renewable Diesel'!BF396*'Feedstock Conversion Rates'!B$7)+FG387</f>
        <v>3252.9691035346223</v>
      </c>
      <c r="EQ387" s="132">
        <f>(EG387*'Renewable Diesel'!BF396*'Feedstock Conversion Rates'!B$8)+FH387</f>
        <v>647.90317363322856</v>
      </c>
      <c r="ER387" s="132">
        <f>(EH387*'Renewable Diesel'!BF396*'Feedstock Conversion Rates'!B$9)+FI387</f>
        <v>24.352931986721988</v>
      </c>
      <c r="ES387" s="132">
        <f t="shared" si="355"/>
        <v>23119.167429049354</v>
      </c>
      <c r="ET387" s="133">
        <f>ES387/'Renewable Diesel'!BF396</f>
        <v>20.335776654584794</v>
      </c>
      <c r="EW387" s="73">
        <f t="shared" si="386"/>
        <v>22456.148615314825</v>
      </c>
      <c r="EX387" s="73">
        <f t="shared" si="387"/>
        <v>14708.900344014222</v>
      </c>
      <c r="EY387" s="92">
        <f t="shared" si="410"/>
        <v>0.97132168293822541</v>
      </c>
      <c r="EZ387" s="92">
        <f t="shared" si="410"/>
        <v>0.6362210226278483</v>
      </c>
      <c r="FB387" s="102">
        <f>IF('Renewable Diesel'!$BG396&lt;1,0,(((('Renewable Diesel'!$BG396-1)*'Renewable Diesel'!$BF396)*'RD Feedstock Breakdown'!EA387)*'Feedstock Conversion Rates'!$B$2))</f>
        <v>467.78782205432975</v>
      </c>
      <c r="FC387" s="102">
        <f>IF('Renewable Diesel'!$BG396&lt;1,0,(((('Renewable Diesel'!$BG396-1)*'Renewable Diesel'!$BF396)*'RD Feedstock Breakdown'!EB387)*'Feedstock Conversion Rates'!$B$3))</f>
        <v>1490.9722042917101</v>
      </c>
      <c r="FD387" s="102">
        <f>IF('Renewable Diesel'!$BG396&lt;1,0,(((('Renewable Diesel'!$BG396-1)*'Renewable Diesel'!$BF396)*'RD Feedstock Breakdown'!EC387)*'Feedstock Conversion Rates'!$B$4))</f>
        <v>7565.483959608071</v>
      </c>
      <c r="FE387" s="102">
        <f>IF('Renewable Diesel'!$BG396&lt;1,0,(((('Renewable Diesel'!$BG396-1)*'Renewable Diesel'!$BF396)*'RD Feedstock Breakdown'!ED387)*'Feedstock Conversion Rates'!$B$5))</f>
        <v>921.42543266091684</v>
      </c>
      <c r="FF387" s="102">
        <f>IF('Renewable Diesel'!$BG396&lt;1,0,(((('Renewable Diesel'!$BG396-1)*'Renewable Diesel'!$BF396)*'RD Feedstock Breakdown'!EE387)*'Feedstock Conversion Rates'!$B$6))</f>
        <v>1215.4701681387398</v>
      </c>
      <c r="FG387" s="102">
        <f>IF('Renewable Diesel'!$BG396&lt;1,0,(((('Renewable Diesel'!$BG396-1)*'Renewable Diesel'!$BF396)*'RD Feedstock Breakdown'!EF387)*'Feedstock Conversion Rates'!$B$7))</f>
        <v>1976.3176502842698</v>
      </c>
      <c r="FH387" s="102">
        <f>IF('Renewable Diesel'!$BG396&lt;1,0,(((('Renewable Diesel'!$BG396-1)*'Renewable Diesel'!$BF396)*'RD Feedstock Breakdown'!EG387)*'Feedstock Conversion Rates'!$B$8))</f>
        <v>393.62884705397738</v>
      </c>
      <c r="FI387" s="102">
        <f>IF('Renewable Diesel'!$BG396&lt;1,0,(((('Renewable Diesel'!$BG396-1)*'Renewable Diesel'!$BF396)*'RD Feedstock Breakdown'!EH387)*'Feedstock Conversion Rates'!$B$9))</f>
        <v>14.795446187679657</v>
      </c>
      <c r="FJ387" s="102">
        <f t="shared" si="388"/>
        <v>14045.881530279694</v>
      </c>
      <c r="GD387" s="91">
        <f>'Renewable Diesel'!BB396*0.32</f>
        <v>0</v>
      </c>
      <c r="GE387" s="91">
        <f>'Renewable Diesel'!BC396</f>
        <v>470.68731942735002</v>
      </c>
      <c r="GF387" s="91">
        <f>'Renewable Diesel'!BD396</f>
        <v>0</v>
      </c>
      <c r="GG387" s="91">
        <f t="shared" si="373"/>
        <v>470.68731942735002</v>
      </c>
      <c r="GH387" s="124">
        <v>1</v>
      </c>
      <c r="GI387" s="102">
        <f>$GG387*EA387*'Feedstock Conversion Rates'!$B$2</f>
        <v>125.10814300788466</v>
      </c>
      <c r="GJ387" s="102">
        <f>$GG387*EB387*'Feedstock Conversion Rates'!$B$3</f>
        <v>398.75506578203328</v>
      </c>
      <c r="GK387" s="102">
        <f>$GG387*EC387*'Feedstock Conversion Rates'!$B$4</f>
        <v>2023.3610293355937</v>
      </c>
      <c r="GL387" s="102">
        <f>$GG387*ED387*'Feedstock Conversion Rates'!$B$5</f>
        <v>246.43186369023391</v>
      </c>
      <c r="GM387" s="102">
        <f>$GG387*EE387*'Feedstock Conversion Rates'!$B$6</f>
        <v>325.07305331188797</v>
      </c>
      <c r="GN387" s="102">
        <f>$GG387*EF387*'Feedstock Conversion Rates'!$B$7</f>
        <v>528.55893113022205</v>
      </c>
      <c r="GO387" s="102">
        <f>$GG387*EG387*'Feedstock Conversion Rates'!$B$8</f>
        <v>105.27459623251633</v>
      </c>
      <c r="GP387" s="102">
        <f>$GG387*EH387*'Feedstock Conversion Rates'!B$9</f>
        <v>3.9569879980729943</v>
      </c>
      <c r="GQ387" s="102">
        <f t="shared" si="356"/>
        <v>3756.5196704884452</v>
      </c>
      <c r="GT387" s="103">
        <f t="shared" si="389"/>
        <v>3.3304269372191886E-2</v>
      </c>
      <c r="GU387" s="103">
        <f t="shared" si="390"/>
        <v>0.1061501338365639</v>
      </c>
      <c r="GV387" s="103">
        <f t="shared" si="391"/>
        <v>0.53862649654979833</v>
      </c>
      <c r="GW387" s="103">
        <f t="shared" si="401"/>
        <v>6.5601110950176761E-2</v>
      </c>
      <c r="GX387" s="103">
        <f t="shared" si="402"/>
        <v>8.6535698419388296E-2</v>
      </c>
      <c r="GY387" s="103">
        <f t="shared" si="403"/>
        <v>0.14070442257566981</v>
      </c>
      <c r="GZ387" s="103">
        <f t="shared" si="404"/>
        <v>2.802450285554552E-2</v>
      </c>
      <c r="HA387" s="103">
        <f t="shared" si="405"/>
        <v>1.053365440665584E-3</v>
      </c>
    </row>
    <row r="388" spans="1:209" x14ac:dyDescent="0.25">
      <c r="A388" s="96">
        <v>52232</v>
      </c>
      <c r="B388" s="104">
        <f t="shared" si="406"/>
        <v>44.25</v>
      </c>
      <c r="C388" s="104">
        <f t="shared" si="396"/>
        <v>49</v>
      </c>
      <c r="D388" s="104">
        <f t="shared" si="407"/>
        <v>2</v>
      </c>
      <c r="E388" s="104">
        <f>('Renewable Diesel'!B397*E$3*'Feedstock Conversion Rates'!$B$2)/12+26+13-100+27.5+39</f>
        <v>95.43</v>
      </c>
      <c r="F388" s="104">
        <f>('Renewable Diesel'!B397*'RD Feedstock Breakdown'!F$3*'Feedstock Conversion Rates'!B$8)/12+77+23-10-12-115.75+24+8</f>
        <v>48.15625</v>
      </c>
      <c r="G388" s="104">
        <f>('Renewable Diesel'!B397*'RD Feedstock Breakdown'!G$3*'Feedstock Conversion Rates'!B$7)/12+116.75-39-57.5-145-31.5+32+70-40+10+60</f>
        <v>151.90700000000004</v>
      </c>
      <c r="H388" s="104">
        <f>('Renewable Diesel'!B397*'RD Feedstock Breakdown'!H$3*'Feedstock Conversion Rates'!B$3)/12+67+10+12+3-235+20+47-20+25</f>
        <v>105.40022499999998</v>
      </c>
      <c r="I388" s="106">
        <f t="shared" si="370"/>
        <v>496.14347500000002</v>
      </c>
      <c r="J388" s="104">
        <f t="shared" si="332"/>
        <v>4</v>
      </c>
      <c r="K388" s="104"/>
      <c r="L388" s="104">
        <v>1</v>
      </c>
      <c r="M388" s="104">
        <f>('Renewable Diesel'!C397*'RD Feedstock Breakdown'!M$3*'Feedstock Conversion Rates'!B$2)/12</f>
        <v>7.7902500000000003</v>
      </c>
      <c r="N388" s="104">
        <f>('Renewable Diesel'!C397*'RD Feedstock Breakdown'!N$3*'Feedstock Conversion Rates'!B$8)/12</f>
        <v>3.671875</v>
      </c>
      <c r="O388" s="104">
        <f>('Renewable Diesel'!C397*'RD Feedstock Breakdown'!O$3*'Feedstock Conversion Rates'!B$7)/12</f>
        <v>11.9991</v>
      </c>
      <c r="P388" s="104">
        <f>('Renewable Diesel'!C397*'RD Feedstock Breakdown'!P$3*'Feedstock Conversion Rates'!B$3)/12</f>
        <v>10.4470425</v>
      </c>
      <c r="Q388" s="106">
        <f t="shared" si="379"/>
        <v>38.908267500000001</v>
      </c>
      <c r="R388" s="104">
        <f>('Renewable Diesel'!D397*'RD Feedstock Breakdown'!R$3*'Feedstock Conversion Rates'!B$7)/12</f>
        <v>2.2999999999999998</v>
      </c>
      <c r="S388" s="106">
        <f t="shared" si="414"/>
        <v>2.2999999999999998</v>
      </c>
      <c r="T388" s="104">
        <f t="shared" si="380"/>
        <v>0.82499999999999929</v>
      </c>
      <c r="U388" s="104"/>
      <c r="V388" s="104">
        <f>('Renewable Diesel'!E397*'RD Feedstock Breakdown'!V$3*'Feedstock Conversion Rates'!B$6)/12-20+25</f>
        <v>49.250150000000012</v>
      </c>
      <c r="W388" s="104">
        <f>('Renewable Diesel'!E397*'RD Feedstock Breakdown'!W$3*'Feedstock Conversion Rates'!B$8)/12-6</f>
        <v>16.1796875</v>
      </c>
      <c r="X388" s="106">
        <f t="shared" si="357"/>
        <v>66.254837500000008</v>
      </c>
      <c r="Y388" s="104">
        <f t="shared" si="381"/>
        <v>98</v>
      </c>
      <c r="Z388" s="104">
        <f>('Renewable Diesel'!F397*'RD Feedstock Breakdown'!Z$3*'Feedstock Conversion Rates'!B$6)/12-142+15+5+20+5+15</f>
        <v>77.460000000000008</v>
      </c>
      <c r="AA388" s="104">
        <f>('Renewable Diesel'!F397*'RD Feedstock Breakdown'!AA$3*'Feedstock Conversion Rates'!B$7)/12+24</f>
        <v>128.26666666666665</v>
      </c>
      <c r="AB388" s="106">
        <f t="shared" si="400"/>
        <v>303.72666666666669</v>
      </c>
      <c r="AC388" s="104">
        <f>('Renewable Diesel'!G397*'RD Feedstock Breakdown'!AC$3*'Feedstock Conversion Rates'!B$5)/12</f>
        <v>11.796875</v>
      </c>
      <c r="AD388" s="104">
        <f>('Renewable Diesel'!G397*'RD Feedstock Breakdown'!AD$3*'Feedstock Conversion Rates'!B$4)/12</f>
        <v>5.859375</v>
      </c>
      <c r="AE388" s="104">
        <f>('Renewable Diesel'!G397*'RD Feedstock Breakdown'!AE$3*'Feedstock Conversion Rates'!B$6)/12</f>
        <v>7.3281250000000009</v>
      </c>
      <c r="AF388" s="106">
        <f t="shared" si="366"/>
        <v>24.984375</v>
      </c>
      <c r="AG388" s="104">
        <f t="shared" si="383"/>
        <v>148</v>
      </c>
      <c r="AH388" s="104"/>
      <c r="AI388" s="104">
        <f>('Renewable Diesel'!H397*'RD Feedstock Breakdown'!AI$3*'Feedstock Conversion Rates'!B$6)/12-130-20+51-49</f>
        <v>0.51666666666667993</v>
      </c>
      <c r="AJ388" s="106">
        <f t="shared" si="413"/>
        <v>148.51666666666668</v>
      </c>
      <c r="AK388" s="104">
        <f>('Renewable Diesel'!J397*'RD Feedstock Breakdown'!AK$3*'Feedstock Conversion Rates'!B$4)/12</f>
        <v>95.8125</v>
      </c>
      <c r="AL388" s="106">
        <f t="shared" ref="AL388:AL451" si="415">AK388</f>
        <v>95.8125</v>
      </c>
      <c r="AM388" s="104">
        <f>('Renewable Diesel'!K397*'RD Feedstock Breakdown'!AM$3*'Feedstock Conversion Rates'!B$4)/12+5+15-10+10</f>
        <v>78.59375</v>
      </c>
      <c r="AN388" s="104">
        <f>('Renewable Diesel'!K397*'RD Feedstock Breakdown'!AN$3*'Feedstock Conversion Rates'!B$6)/12-5-15+10-10</f>
        <v>4.4270833333333321</v>
      </c>
      <c r="AO388" s="106">
        <f t="shared" si="350"/>
        <v>83.020833333333329</v>
      </c>
      <c r="AP388" s="104">
        <f>('Renewable Diesel'!L397*'RD Feedstock Breakdown'!AP$3*'Feedstock Conversion Rates'!B$4)/12+15-10+15</f>
        <v>78.59375</v>
      </c>
      <c r="AQ388" s="104">
        <f>('Renewable Diesel'!L397*'RD Feedstock Breakdown'!AQ$3*'Feedstock Conversion Rates'!B$6)/12-15+10-15</f>
        <v>4.4270833333333321</v>
      </c>
      <c r="AR388" s="106">
        <f t="shared" si="339"/>
        <v>83.020833333333329</v>
      </c>
      <c r="AS388" s="104">
        <f>('Renewable Diesel'!M397*'RD Feedstock Breakdown'!AS$3*'Feedstock Conversion Rates'!B$4)/12</f>
        <v>456.25</v>
      </c>
      <c r="AT388" s="104">
        <f>('Renewable Diesel'!M397*'RD Feedstock Breakdown'!AT$3*'Feedstock Conversion Rates'!B$5)/12</f>
        <v>0</v>
      </c>
      <c r="AU388" s="106">
        <f t="shared" si="369"/>
        <v>456.25</v>
      </c>
      <c r="AV388" s="104">
        <f>'Renewable Diesel'!N397*'RD Feedstock Breakdown'!$AV$3*'Feedstock Conversion Rates'!$B$4/12-15-10+25+25-22+25</f>
        <v>106.74999999999999</v>
      </c>
      <c r="AW388" s="104">
        <f>'Renewable Diesel'!N397*'RD Feedstock Breakdown'!$AW$3*'Feedstock Conversion Rates'!$B$7/12+15+10-25-25+22-25</f>
        <v>13.400000000000006</v>
      </c>
      <c r="AX388" s="106">
        <f t="shared" si="408"/>
        <v>120.14999999999999</v>
      </c>
      <c r="AY388" s="104">
        <f>('Renewable Diesel'!O397*'RD Feedstock Breakdown'!AY$3*'Feedstock Conversion Rates'!B$4)/12</f>
        <v>210.9375</v>
      </c>
      <c r="AZ388" s="104">
        <f>('Renewable Diesel'!O397*'RD Feedstock Breakdown'!AZ$3*'Feedstock Conversion Rates'!B$3)/12</f>
        <v>25.03125</v>
      </c>
      <c r="BA388" s="106">
        <f t="shared" si="382"/>
        <v>235.96875</v>
      </c>
      <c r="BB388" s="104">
        <f>('Renewable Diesel'!Q397*'RD Feedstock Breakdown'!BB$3*'Feedstock Conversion Rates'!B$4)/12</f>
        <v>11.156249999999998</v>
      </c>
      <c r="BC388" s="104">
        <f>('Renewable Diesel'!Q397*'RD Feedstock Breakdown'!BC$3*'Feedstock Conversion Rates'!B$3)/12</f>
        <v>1.4017500000000001</v>
      </c>
      <c r="BD388" s="104">
        <f>('Renewable Diesel'!Q397*'RD Feedstock Breakdown'!BD$3*'Feedstock Conversion Rates'!B$6)/12</f>
        <v>0.8207500000000002</v>
      </c>
      <c r="BE388" s="106">
        <f t="shared" si="359"/>
        <v>13.378749999999998</v>
      </c>
      <c r="BF388" s="104">
        <f>('Renewable Diesel'!R397*'RD Feedstock Breakdown'!BF$3*'Feedstock Conversion Rates'!B$4)/12</f>
        <v>62.5</v>
      </c>
      <c r="BG388" s="106">
        <f t="shared" si="344"/>
        <v>62.5</v>
      </c>
      <c r="BH388" s="104">
        <f>('Renewable Diesel'!T397*'RD Feedstock Breakdown'!BH$3*'Feedstock Conversion Rates'!B$7)/12</f>
        <v>27.599999999999998</v>
      </c>
      <c r="BI388" s="106">
        <f t="shared" si="412"/>
        <v>27.599999999999998</v>
      </c>
      <c r="BJ388" s="104">
        <f>('Renewable Diesel'!W397*'RD Feedstock Breakdown'!BJ$3*'Feedstock Conversion Rates'!B$4)/12</f>
        <v>7.5</v>
      </c>
      <c r="BK388" s="104">
        <f>('Renewable Diesel'!W397*'RD Feedstock Breakdown'!BK$3*'Feedstock Conversion Rates'!B$3)/12</f>
        <v>1.335</v>
      </c>
      <c r="BL388" s="104">
        <f>('Renewable Diesel'!W397*'RD Feedstock Breakdown'!BL$3*'Feedstock Conversion Rates'!B$6)/12</f>
        <v>3.1266666666666669</v>
      </c>
      <c r="BM388" s="104">
        <f>('Renewable Diesel'!W397*'RD Feedstock Breakdown'!BM$3*'Feedstock Conversion Rates'!B$7)/12</f>
        <v>1.5333333333333332</v>
      </c>
      <c r="BN388" s="106">
        <f t="shared" si="374"/>
        <v>13.495000000000001</v>
      </c>
      <c r="BO388" s="104">
        <f>('Renewable Diesel'!P397*'Feedstock Conversion Rates'!B$4)/12</f>
        <v>31.25</v>
      </c>
      <c r="BP388" s="106">
        <f t="shared" si="367"/>
        <v>31.25</v>
      </c>
      <c r="BQ388" s="104">
        <f>('Renewable Diesel'!$S397*'RD Feedstock Breakdown'!BQ$3*'Feedstock Conversion Rates'!B$4)/12+10+15-15</f>
        <v>38.125</v>
      </c>
      <c r="BR388" s="104">
        <f>('Renewable Diesel'!$S397*'RD Feedstock Breakdown'!BR$3*'Feedstock Conversion Rates'!B$7)/12-10-15+15</f>
        <v>1.5</v>
      </c>
      <c r="BS388" s="106">
        <f t="shared" si="385"/>
        <v>39.625</v>
      </c>
      <c r="BT388" s="106"/>
      <c r="BU388" s="104">
        <f>('Renewable Diesel'!Y397*'Feedstock Conversion Rates'!B$7)/12</f>
        <v>2.6833333333333331</v>
      </c>
      <c r="BV388" s="106">
        <f t="shared" si="361"/>
        <v>2.6833333333333331</v>
      </c>
      <c r="BW388" s="104">
        <f>('Renewable Diesel'!$Z397*'RD Feedstock Breakdown'!BW$3*'Feedstock Conversion Rates'!$B$4)/12-250+180</f>
        <v>1.875</v>
      </c>
      <c r="BX388" s="104">
        <f>('Renewable Diesel'!$Z397*'RD Feedstock Breakdown'!BX$3*'Feedstock Conversion Rates'!$B$5)/12</f>
        <v>7.2354166666666666</v>
      </c>
      <c r="BY388" s="104">
        <f>('Renewable Diesel'!$Z397*'RD Feedstock Breakdown'!BY$3*'Feedstock Conversion Rates'!$B$7)/12</f>
        <v>61.716666666666661</v>
      </c>
      <c r="BZ388" s="104">
        <f>('Renewable Diesel'!$Z397*'RD Feedstock Breakdown'!BZ$3*'Feedstock Conversion Rates'!$B$3)/12+250-180</f>
        <v>85.35250000000002</v>
      </c>
      <c r="CA388" s="106">
        <f t="shared" si="392"/>
        <v>156.17958333333334</v>
      </c>
      <c r="CB388" s="104">
        <f>('Renewable Diesel'!AA397*'Feedstock Conversion Rates'!B$4)/12</f>
        <v>191.25</v>
      </c>
      <c r="CC388" s="106">
        <f t="shared" si="376"/>
        <v>191.25</v>
      </c>
      <c r="CD388" s="104">
        <f>('Renewable Diesel'!$AB397*'RD Feedstock Breakdown'!CD$3*'Feedstock Conversion Rates'!$B$6)/12-15-5</f>
        <v>12.830000000000005</v>
      </c>
      <c r="CE388" s="104">
        <f>('Renewable Diesel'!$AB397*'RD Feedstock Breakdown'!CE$3*'Feedstock Conversion Rates'!$B$4)/12+15+5</f>
        <v>31.25</v>
      </c>
      <c r="CF388" s="106">
        <f t="shared" si="372"/>
        <v>44.080000000000005</v>
      </c>
      <c r="CG388" s="104">
        <f>('Renewable Diesel'!AD397*'Feedstock Conversion Rates'!B$4)/12</f>
        <v>112.5</v>
      </c>
      <c r="CH388" s="106">
        <f t="shared" si="358"/>
        <v>112.5</v>
      </c>
      <c r="CI388" s="104">
        <f>('Renewable Diesel'!$AE397*'RD Feedstock Breakdown'!CI$3*'Feedstock Conversion Rates'!$B$5)/12</f>
        <v>0.34604166666666664</v>
      </c>
      <c r="CJ388" s="104">
        <f>('Renewable Diesel'!$AE397*'RD Feedstock Breakdown'!CJ$3*'Feedstock Conversion Rates'!$B$4)/12</f>
        <v>0.34375</v>
      </c>
      <c r="CK388" s="106">
        <f t="shared" si="368"/>
        <v>0.68979166666666658</v>
      </c>
      <c r="CL388" s="104">
        <f>(((CL$3*'Renewable Diesel'!$AF397)*'Feedstock Conversion Rates'!$B$3)/12)</f>
        <v>91.78125</v>
      </c>
      <c r="CM388" s="104">
        <f>(((CM$3*'Renewable Diesel'!$AF397)*'Feedstock Conversion Rates'!$B$6)/12)</f>
        <v>53.739583333333336</v>
      </c>
      <c r="CN388" s="104">
        <f>(((CN$3*'Renewable Diesel'!$AF397)*'Feedstock Conversion Rates'!$B$4)/12)</f>
        <v>42.96875</v>
      </c>
      <c r="CO388" s="106">
        <f t="shared" si="360"/>
        <v>188.48958333333334</v>
      </c>
      <c r="CP388" s="104">
        <f>('Renewable Diesel'!$AG397*'RD Feedstock Breakdown'!CP$3*'Feedstock Conversion Rates'!$B$3)/12</f>
        <v>6.0075000000000003</v>
      </c>
      <c r="CQ388" s="104">
        <f>('Renewable Diesel'!$AG397*'RD Feedstock Breakdown'!CQ$3*'Feedstock Conversion Rates'!$B$6)/12</f>
        <v>3.5175000000000001</v>
      </c>
      <c r="CR388" s="104">
        <f>('Renewable Diesel'!$AG397*'RD Feedstock Breakdown'!CR$3*'Feedstock Conversion Rates'!$B$4)/12</f>
        <v>2.8125</v>
      </c>
      <c r="CS388" s="106">
        <f t="shared" si="397"/>
        <v>12.3375</v>
      </c>
      <c r="CT388" s="104">
        <f>('Renewable Diesel'!AI397*'Feedstock Conversion Rates'!$B$4*'RD Feedstock Breakdown'!$CT$3)/12</f>
        <v>29.375</v>
      </c>
      <c r="CU388" s="106">
        <f t="shared" si="364"/>
        <v>29.375</v>
      </c>
      <c r="CV388" s="104">
        <f>('Renewable Diesel'!AN397*'Feedstock Conversion Rates'!$B$3*'RD Feedstock Breakdown'!$CV$3)/12</f>
        <v>0.50062499999999999</v>
      </c>
      <c r="CW388" s="106">
        <f t="shared" si="338"/>
        <v>0.50062499999999999</v>
      </c>
      <c r="CX388" s="104">
        <f>('Renewable Diesel'!AO397*'RD Feedstock Breakdown'!$CX$3*'Feedstock Conversion Rates'!$B$3)/12</f>
        <v>6.3412499999999996</v>
      </c>
      <c r="CY388" s="104">
        <f>('Renewable Diesel'!AO397*'RD Feedstock Breakdown'!$CY$3*'Feedstock Conversion Rates'!$B$6)/12</f>
        <v>7.4258333333333342</v>
      </c>
      <c r="CZ388" s="106">
        <f t="shared" si="398"/>
        <v>13.767083333333334</v>
      </c>
      <c r="DA388" s="104">
        <f>('Renewable Diesel'!$AP397*'RD Feedstock Breakdown'!DA$3*'Feedstock Conversion Rates'!$B$3)/12</f>
        <v>6.3412499999999996</v>
      </c>
      <c r="DB388" s="104">
        <f>('Renewable Diesel'!$AP397*'RD Feedstock Breakdown'!DB$3*'Feedstock Conversion Rates'!$B$8)/12</f>
        <v>7.421875</v>
      </c>
      <c r="DC388" s="106">
        <f t="shared" si="342"/>
        <v>13.763124999999999</v>
      </c>
      <c r="DD388" s="104">
        <f>('Renewable Diesel'!AQ397*$DD$3*'Feedstock Conversion Rates'!$B$14)/12</f>
        <v>3.1041666666666665</v>
      </c>
      <c r="DE388" s="106">
        <f t="shared" si="343"/>
        <v>3.1041666666666665</v>
      </c>
      <c r="DF388" s="104">
        <f>('Renewable Diesel'!AR397*'Feedstock Conversion Rates'!$B$4*$DF$3)/12</f>
        <v>75</v>
      </c>
      <c r="DG388" s="106">
        <f t="shared" si="399"/>
        <v>75</v>
      </c>
      <c r="DH388" s="104">
        <f>('Renewable Diesel'!AS397*'Feedstock Conversion Rates'!$B$4*$DH$3)/12</f>
        <v>75</v>
      </c>
      <c r="DI388" s="106">
        <f t="shared" si="411"/>
        <v>75</v>
      </c>
      <c r="DJ388" s="104">
        <f>('Renewable Diesel'!AT397*'Feedstock Conversion Rates'!$B$4*0.25)/12</f>
        <v>8.59375</v>
      </c>
      <c r="DK388" s="104">
        <f>('Renewable Diesel'!$AT397*'RD Feedstock Breakdown'!DK$3*'Feedstock Conversion Rates'!$B$3)/12*0.5</f>
        <v>9.1781249999999996</v>
      </c>
      <c r="DL388" s="104">
        <f>('Renewable Diesel'!$AT397*'RD Feedstock Breakdown'!$DL$3*'Feedstock Conversion Rates'!$B$6)/12</f>
        <v>10.747916666666669</v>
      </c>
      <c r="DM388" s="104">
        <f>('Renewable Diesel'!$AT397*'RD Feedstock Breakdown'!$DM$3*'Feedstock Conversion Rates'!$B$8)/12</f>
        <v>10.7421875</v>
      </c>
      <c r="DN388" s="106">
        <f t="shared" si="375"/>
        <v>39.26197916666667</v>
      </c>
      <c r="DP388" s="104">
        <f t="shared" si="345"/>
        <v>103.22025000000001</v>
      </c>
      <c r="DQ388" s="104">
        <f t="shared" si="346"/>
        <v>349.11776750000007</v>
      </c>
      <c r="DR388" s="104">
        <f t="shared" si="351"/>
        <v>1891.953125</v>
      </c>
      <c r="DS388" s="104">
        <f t="shared" si="365"/>
        <v>228.90125</v>
      </c>
      <c r="DT388" s="104">
        <f t="shared" si="347"/>
        <v>243.03923333333344</v>
      </c>
      <c r="DU388" s="104">
        <f t="shared" si="348"/>
        <v>402.90610000000009</v>
      </c>
      <c r="DV388" s="104">
        <f t="shared" si="352"/>
        <v>78.75</v>
      </c>
      <c r="DW388" s="104">
        <f t="shared" si="349"/>
        <v>3</v>
      </c>
      <c r="DX388" s="106">
        <f t="shared" si="353"/>
        <v>3300.8877258333337</v>
      </c>
      <c r="DY388" s="109">
        <f t="shared" si="340"/>
        <v>-5.631051180898794E-13</v>
      </c>
      <c r="EA388" s="110">
        <f t="shared" si="393"/>
        <v>3.1270451640078516E-2</v>
      </c>
      <c r="EB388" s="110">
        <f t="shared" si="393"/>
        <v>0.10576481131658687</v>
      </c>
      <c r="EC388" s="110">
        <f t="shared" si="393"/>
        <v>0.57316494293133291</v>
      </c>
      <c r="ED388" s="110">
        <f t="shared" si="393"/>
        <v>6.9345360706629972E-2</v>
      </c>
      <c r="EE388" s="110">
        <f t="shared" si="393"/>
        <v>7.3628445896921982E-2</v>
      </c>
      <c r="EF388" s="110">
        <f t="shared" si="393"/>
        <v>0.1220599225010852</v>
      </c>
      <c r="EG388" s="110">
        <f t="shared" si="384"/>
        <v>2.3857218585075921E-2</v>
      </c>
      <c r="EH388" s="111">
        <f t="shared" si="354"/>
        <v>9.0884642228860647E-4</v>
      </c>
      <c r="EI388" s="110">
        <f t="shared" si="409"/>
        <v>0.99909115357771139</v>
      </c>
      <c r="EK388" s="132">
        <f>(EA388*'Renewable Diesel'!BF397*'Feedstock Conversion Rates'!B$2)+FB388</f>
        <v>256.11661832120598</v>
      </c>
      <c r="EL388" s="132">
        <f>(EB388*'Renewable Diesel'!BF397*'Feedstock Conversion Rates'!B$3)+FC388</f>
        <v>816.31616081223422</v>
      </c>
      <c r="EM388" s="132">
        <f>(EC388*'Renewable Diesel'!BF397*'Feedstock Conversion Rates'!B$4)+FD388</f>
        <v>4142.1475214741786</v>
      </c>
      <c r="EN388" s="132">
        <f>(ED388*'Renewable Diesel'!BF397*'Feedstock Conversion Rates'!B$5)+FE388</f>
        <v>504.48591160814681</v>
      </c>
      <c r="EO388" s="132">
        <f>(EE388*'Renewable Diesel'!BF397*'Feedstock Conversion Rates'!B$6)+FF388</f>
        <v>665.4771553626432</v>
      </c>
      <c r="EP388" s="132">
        <f>(EF388*'Renewable Diesel'!BF397*'Feedstock Conversion Rates'!B$7)+FG388</f>
        <v>1082.0456827978983</v>
      </c>
      <c r="EQ388" s="132">
        <f>(EG388*'Renewable Diesel'!BF397*'Feedstock Conversion Rates'!B$8)+FH388</f>
        <v>215.51413788072284</v>
      </c>
      <c r="ER388" s="132">
        <f>(EH388*'Renewable Diesel'!BF397*'Feedstock Conversion Rates'!B$9)+FI388</f>
        <v>8.1005948968500263</v>
      </c>
      <c r="ES388" s="132">
        <f t="shared" si="355"/>
        <v>7690.203783153881</v>
      </c>
      <c r="ET388" s="133">
        <f>ES388/'Renewable Diesel'!BF397</f>
        <v>11.537809736402473</v>
      </c>
      <c r="EW388" s="73">
        <f t="shared" si="386"/>
        <v>6079.1015606908541</v>
      </c>
      <c r="EX388" s="73">
        <f t="shared" si="387"/>
        <v>3981.8448198353058</v>
      </c>
      <c r="EY388" s="92">
        <f t="shared" si="410"/>
        <v>0.79049941095289322</v>
      </c>
      <c r="EZ388" s="92">
        <f t="shared" si="410"/>
        <v>0.51778144404416349</v>
      </c>
      <c r="FB388" s="102">
        <f>IF('Renewable Diesel'!$BG397&lt;1,0,(((('Renewable Diesel'!$BG397-1)*'Renewable Diesel'!$BF397)*'RD Feedstock Breakdown'!EA388)*'Feedstock Conversion Rates'!$B$2))</f>
        <v>78.955850075016258</v>
      </c>
      <c r="FC388" s="102">
        <f>IF('Renewable Diesel'!$BG397&lt;1,0,(((('Renewable Diesel'!$BG397-1)*'Renewable Diesel'!$BF397)*'RD Feedstock Breakdown'!EB388)*'Feedstock Conversion Rates'!$B$3))</f>
        <v>251.65464400311055</v>
      </c>
      <c r="FD388" s="102">
        <f>IF('Renewable Diesel'!$BG397&lt;1,0,(((('Renewable Diesel'!$BG397-1)*'Renewable Diesel'!$BF397)*'RD Feedstock Breakdown'!EC388)*'Feedstock Conversion Rates'!$B$4))</f>
        <v>1276.9447794439998</v>
      </c>
      <c r="FE388" s="102">
        <f>IF('Renewable Diesel'!$BG397&lt;1,0,(((('Renewable Diesel'!$BG397-1)*'Renewable Diesel'!$BF397)*'RD Feedstock Breakdown'!ED388)*'Feedstock Conversion Rates'!$B$5))</f>
        <v>155.52334816452915</v>
      </c>
      <c r="FF388" s="102">
        <f>IF('Renewable Diesel'!$BG397&lt;1,0,(((('Renewable Diesel'!$BG397-1)*'Renewable Diesel'!$BF397)*'RD Feedstock Breakdown'!EE388)*'Feedstock Conversion Rates'!$B$6))</f>
        <v>205.15386643620491</v>
      </c>
      <c r="FG388" s="102">
        <f>IF('Renewable Diesel'!$BG397&lt;1,0,(((('Renewable Diesel'!$BG397-1)*'Renewable Diesel'!$BF397)*'RD Feedstock Breakdown'!EF388)*'Feedstock Conversion Rates'!$B$7))</f>
        <v>333.57396823881027</v>
      </c>
      <c r="FH388" s="102">
        <f>IF('Renewable Diesel'!$BG397&lt;1,0,(((('Renewable Diesel'!$BG397-1)*'Renewable Diesel'!$BF397)*'RD Feedstock Breakdown'!EG388)*'Feedstock Conversion Rates'!$B$8))</f>
        <v>66.438882689822847</v>
      </c>
      <c r="FI388" s="102">
        <f>IF('Renewable Diesel'!$BG397&lt;1,0,(((('Renewable Diesel'!$BG397-1)*'Renewable Diesel'!$BF397)*'RD Feedstock Breakdown'!EH388)*'Feedstock Conversion Rates'!$B$9))</f>
        <v>2.497258320785722</v>
      </c>
      <c r="FJ388" s="102">
        <f t="shared" si="388"/>
        <v>2370.7425973722798</v>
      </c>
      <c r="GD388" s="91">
        <f>'Renewable Diesel'!BB397*0.32</f>
        <v>0</v>
      </c>
      <c r="GE388" s="91">
        <f>'Renewable Diesel'!BC397</f>
        <v>288.35473498635713</v>
      </c>
      <c r="GF388" s="91">
        <f>'Renewable Diesel'!BD397</f>
        <v>0</v>
      </c>
      <c r="GG388" s="91">
        <f t="shared" si="373"/>
        <v>288.35473498635713</v>
      </c>
      <c r="GH388" s="124">
        <v>1</v>
      </c>
      <c r="GI388" s="102">
        <f>$GG388*EA388*'Feedstock Conversion Rates'!$B$2</f>
        <v>76.644353762417566</v>
      </c>
      <c r="GJ388" s="102">
        <f>$GG388*EB388*'Feedstock Conversion Rates'!$B$3</f>
        <v>244.28725094599253</v>
      </c>
      <c r="GK388" s="102">
        <f>$GG388*EC388*'Feedstock Conversion Rates'!$B$4</f>
        <v>1239.5611891682624</v>
      </c>
      <c r="GL388" s="102">
        <f>$GG388*ED388*'Feedstock Conversion Rates'!$B$5</f>
        <v>150.9702764736569</v>
      </c>
      <c r="GM388" s="102">
        <f>$GG388*EE388*'Feedstock Conversion Rates'!$B$6</f>
        <v>199.14782121812289</v>
      </c>
      <c r="GN388" s="102">
        <f>$GG388*EF388*'Feedstock Conversion Rates'!$B$7</f>
        <v>323.80832076835253</v>
      </c>
      <c r="GO388" s="102">
        <f>$GG388*EG388*'Feedstock Conversion Rates'!$B$8</f>
        <v>64.493830711979641</v>
      </c>
      <c r="GP388" s="102">
        <f>$GG388*EH388*'Feedstock Conversion Rates'!B$9</f>
        <v>2.4241490654915521</v>
      </c>
      <c r="GQ388" s="102">
        <f t="shared" si="356"/>
        <v>2301.3371921142761</v>
      </c>
      <c r="GT388" s="103">
        <f>(GI388+FB388+EK388)/SUM($ES388,$FJ388,$GQ388)</f>
        <v>3.3304269372191886E-2</v>
      </c>
      <c r="GU388" s="103">
        <f t="shared" ref="GU388:HA424" si="416">(GJ388+FC388+EL388)/SUM($ES388,$FJ388,$GQ388)</f>
        <v>0.10615013383656387</v>
      </c>
      <c r="GV388" s="103">
        <f t="shared" si="416"/>
        <v>0.53862649654979811</v>
      </c>
      <c r="GW388" s="103">
        <f t="shared" si="416"/>
        <v>6.5601110950176761E-2</v>
      </c>
      <c r="GX388" s="103">
        <f t="shared" si="416"/>
        <v>8.6535698419388296E-2</v>
      </c>
      <c r="GY388" s="103">
        <f t="shared" si="416"/>
        <v>0.14070442257566981</v>
      </c>
      <c r="GZ388" s="103">
        <f t="shared" si="416"/>
        <v>2.8024502855545516E-2</v>
      </c>
      <c r="HA388" s="103">
        <f t="shared" si="416"/>
        <v>1.0533654406655836E-3</v>
      </c>
    </row>
    <row r="389" spans="1:209" x14ac:dyDescent="0.25">
      <c r="A389" s="96">
        <v>52263</v>
      </c>
      <c r="B389" s="104">
        <f t="shared" si="406"/>
        <v>44.25</v>
      </c>
      <c r="C389" s="104">
        <f t="shared" si="396"/>
        <v>49</v>
      </c>
      <c r="D389" s="104">
        <f t="shared" si="407"/>
        <v>2</v>
      </c>
      <c r="E389" s="104">
        <f>('Renewable Diesel'!B398*E$3*'Feedstock Conversion Rates'!$B$2)/12+26+13-100+27.5+39</f>
        <v>95.43</v>
      </c>
      <c r="F389" s="104">
        <f>('Renewable Diesel'!B398*'RD Feedstock Breakdown'!F$3*'Feedstock Conversion Rates'!B$8)/12+77+23-10-12-115.75+24+8</f>
        <v>48.15625</v>
      </c>
      <c r="G389" s="104">
        <f>('Renewable Diesel'!B398*'RD Feedstock Breakdown'!G$3*'Feedstock Conversion Rates'!B$7)/12+116.75-39-57.5-145-31.5+32+70-40+10+60</f>
        <v>151.90700000000004</v>
      </c>
      <c r="H389" s="104">
        <f>('Renewable Diesel'!B398*'RD Feedstock Breakdown'!H$3*'Feedstock Conversion Rates'!B$3)/12+67+10+12+3-235+20+47-20+25</f>
        <v>105.40022499999998</v>
      </c>
      <c r="I389" s="106">
        <f t="shared" si="370"/>
        <v>496.14347500000002</v>
      </c>
      <c r="J389" s="104">
        <f t="shared" ref="J389:J452" si="417">54-15-35</f>
        <v>4</v>
      </c>
      <c r="K389" s="104"/>
      <c r="L389" s="104">
        <v>1</v>
      </c>
      <c r="M389" s="104">
        <f>('Renewable Diesel'!C398*'RD Feedstock Breakdown'!M$3*'Feedstock Conversion Rates'!B$2)/12</f>
        <v>7.7902500000000003</v>
      </c>
      <c r="N389" s="104">
        <f>('Renewable Diesel'!C398*'RD Feedstock Breakdown'!N$3*'Feedstock Conversion Rates'!B$8)/12</f>
        <v>3.671875</v>
      </c>
      <c r="O389" s="104">
        <f>('Renewable Diesel'!C398*'RD Feedstock Breakdown'!O$3*'Feedstock Conversion Rates'!B$7)/12</f>
        <v>11.9991</v>
      </c>
      <c r="P389" s="104">
        <f>('Renewable Diesel'!C398*'RD Feedstock Breakdown'!P$3*'Feedstock Conversion Rates'!B$3)/12</f>
        <v>10.4470425</v>
      </c>
      <c r="Q389" s="106">
        <f t="shared" si="379"/>
        <v>38.908267500000001</v>
      </c>
      <c r="R389" s="104">
        <f>('Renewable Diesel'!D398*'RD Feedstock Breakdown'!R$3*'Feedstock Conversion Rates'!B$7)/12</f>
        <v>2.2999999999999998</v>
      </c>
      <c r="S389" s="106">
        <f t="shared" si="414"/>
        <v>2.2999999999999998</v>
      </c>
      <c r="T389" s="104">
        <f t="shared" si="380"/>
        <v>0.82499999999999929</v>
      </c>
      <c r="U389" s="104"/>
      <c r="V389" s="104">
        <f>('Renewable Diesel'!E398*'RD Feedstock Breakdown'!V$3*'Feedstock Conversion Rates'!B$6)/12-20+25</f>
        <v>49.250150000000012</v>
      </c>
      <c r="W389" s="104">
        <f>('Renewable Diesel'!E398*'RD Feedstock Breakdown'!W$3*'Feedstock Conversion Rates'!B$8)/12-6</f>
        <v>16.1796875</v>
      </c>
      <c r="X389" s="106">
        <f t="shared" si="357"/>
        <v>66.254837500000008</v>
      </c>
      <c r="Y389" s="104">
        <f t="shared" si="381"/>
        <v>98</v>
      </c>
      <c r="Z389" s="104">
        <f>('Renewable Diesel'!F398*'RD Feedstock Breakdown'!Z$3*'Feedstock Conversion Rates'!B$6)/12-142+15+5+20+5+15</f>
        <v>77.460000000000008</v>
      </c>
      <c r="AA389" s="104">
        <f>('Renewable Diesel'!F398*'RD Feedstock Breakdown'!AA$3*'Feedstock Conversion Rates'!B$7)/12+24</f>
        <v>128.26666666666665</v>
      </c>
      <c r="AB389" s="106">
        <f t="shared" si="400"/>
        <v>303.72666666666669</v>
      </c>
      <c r="AC389" s="104">
        <f>('Renewable Diesel'!G398*'RD Feedstock Breakdown'!AC$3*'Feedstock Conversion Rates'!B$5)/12</f>
        <v>11.796875</v>
      </c>
      <c r="AD389" s="104">
        <f>('Renewable Diesel'!G398*'RD Feedstock Breakdown'!AD$3*'Feedstock Conversion Rates'!B$4)/12</f>
        <v>5.859375</v>
      </c>
      <c r="AE389" s="104">
        <f>('Renewable Diesel'!G398*'RD Feedstock Breakdown'!AE$3*'Feedstock Conversion Rates'!B$6)/12</f>
        <v>7.3281250000000009</v>
      </c>
      <c r="AF389" s="106">
        <f t="shared" si="366"/>
        <v>24.984375</v>
      </c>
      <c r="AG389" s="104">
        <f t="shared" si="383"/>
        <v>148</v>
      </c>
      <c r="AH389" s="104"/>
      <c r="AI389" s="104">
        <f>('Renewable Diesel'!H398*'RD Feedstock Breakdown'!AI$3*'Feedstock Conversion Rates'!B$6)/12-130-20+51-49</f>
        <v>0.51666666666667993</v>
      </c>
      <c r="AJ389" s="106">
        <f t="shared" si="413"/>
        <v>148.51666666666668</v>
      </c>
      <c r="AK389" s="104">
        <f>('Renewable Diesel'!J398*'RD Feedstock Breakdown'!AK$3*'Feedstock Conversion Rates'!B$4)/12</f>
        <v>95.8125</v>
      </c>
      <c r="AL389" s="106">
        <f t="shared" si="415"/>
        <v>95.8125</v>
      </c>
      <c r="AM389" s="104">
        <f>('Renewable Diesel'!K398*'RD Feedstock Breakdown'!AM$3*'Feedstock Conversion Rates'!B$4)/12+5+15-10+10</f>
        <v>78.59375</v>
      </c>
      <c r="AN389" s="104">
        <f>('Renewable Diesel'!K398*'RD Feedstock Breakdown'!AN$3*'Feedstock Conversion Rates'!B$6)/12-5-15+10-10</f>
        <v>4.4270833333333321</v>
      </c>
      <c r="AO389" s="106">
        <f t="shared" si="350"/>
        <v>83.020833333333329</v>
      </c>
      <c r="AP389" s="104">
        <f>('Renewable Diesel'!L398*'RD Feedstock Breakdown'!AP$3*'Feedstock Conversion Rates'!B$4)/12+15-10+15</f>
        <v>78.59375</v>
      </c>
      <c r="AQ389" s="104">
        <f>('Renewable Diesel'!L398*'RD Feedstock Breakdown'!AQ$3*'Feedstock Conversion Rates'!B$6)/12-15+10-15</f>
        <v>4.4270833333333321</v>
      </c>
      <c r="AR389" s="106">
        <f t="shared" si="339"/>
        <v>83.020833333333329</v>
      </c>
      <c r="AS389" s="104">
        <f>('Renewable Diesel'!M398*'RD Feedstock Breakdown'!AS$3*'Feedstock Conversion Rates'!B$4)/12</f>
        <v>456.25</v>
      </c>
      <c r="AT389" s="104">
        <f>('Renewable Diesel'!M398*'RD Feedstock Breakdown'!AT$3*'Feedstock Conversion Rates'!B$5)/12</f>
        <v>0</v>
      </c>
      <c r="AU389" s="106">
        <f t="shared" si="369"/>
        <v>456.25</v>
      </c>
      <c r="AV389" s="104">
        <f>'Renewable Diesel'!N398*'RD Feedstock Breakdown'!$AV$3*'Feedstock Conversion Rates'!$B$4/12-15-10+25+25-22+25</f>
        <v>106.74999999999999</v>
      </c>
      <c r="AW389" s="104">
        <f>'Renewable Diesel'!N398*'RD Feedstock Breakdown'!$AW$3*'Feedstock Conversion Rates'!$B$7/12+15+10-25-25+22-25</f>
        <v>13.400000000000006</v>
      </c>
      <c r="AX389" s="106">
        <f t="shared" si="408"/>
        <v>120.14999999999999</v>
      </c>
      <c r="AY389" s="104">
        <f>('Renewable Diesel'!O398*'RD Feedstock Breakdown'!AY$3*'Feedstock Conversion Rates'!B$4)/12</f>
        <v>210.9375</v>
      </c>
      <c r="AZ389" s="104">
        <f>('Renewable Diesel'!O398*'RD Feedstock Breakdown'!AZ$3*'Feedstock Conversion Rates'!B$3)/12</f>
        <v>25.03125</v>
      </c>
      <c r="BA389" s="106">
        <f t="shared" si="382"/>
        <v>235.96875</v>
      </c>
      <c r="BB389" s="104">
        <f>('Renewable Diesel'!Q398*'RD Feedstock Breakdown'!BB$3*'Feedstock Conversion Rates'!B$4)/12</f>
        <v>11.156249999999998</v>
      </c>
      <c r="BC389" s="104">
        <f>('Renewable Diesel'!Q398*'RD Feedstock Breakdown'!BC$3*'Feedstock Conversion Rates'!B$3)/12</f>
        <v>1.4017500000000001</v>
      </c>
      <c r="BD389" s="104">
        <f>('Renewable Diesel'!Q398*'RD Feedstock Breakdown'!BD$3*'Feedstock Conversion Rates'!B$6)/12</f>
        <v>0.8207500000000002</v>
      </c>
      <c r="BE389" s="106">
        <f t="shared" si="359"/>
        <v>13.378749999999998</v>
      </c>
      <c r="BF389" s="104">
        <f>('Renewable Diesel'!R398*'RD Feedstock Breakdown'!BF$3*'Feedstock Conversion Rates'!B$4)/12</f>
        <v>62.5</v>
      </c>
      <c r="BG389" s="106">
        <f t="shared" si="344"/>
        <v>62.5</v>
      </c>
      <c r="BH389" s="104">
        <f>('Renewable Diesel'!T398*'RD Feedstock Breakdown'!BH$3*'Feedstock Conversion Rates'!B$7)/12</f>
        <v>27.599999999999998</v>
      </c>
      <c r="BI389" s="106">
        <f t="shared" si="412"/>
        <v>27.599999999999998</v>
      </c>
      <c r="BJ389" s="104">
        <f>('Renewable Diesel'!W398*'RD Feedstock Breakdown'!BJ$3*'Feedstock Conversion Rates'!B$4)/12</f>
        <v>7.5</v>
      </c>
      <c r="BK389" s="104">
        <f>('Renewable Diesel'!W398*'RD Feedstock Breakdown'!BK$3*'Feedstock Conversion Rates'!B$3)/12</f>
        <v>1.335</v>
      </c>
      <c r="BL389" s="104">
        <f>('Renewable Diesel'!W398*'RD Feedstock Breakdown'!BL$3*'Feedstock Conversion Rates'!B$6)/12</f>
        <v>3.1266666666666669</v>
      </c>
      <c r="BM389" s="104">
        <f>('Renewable Diesel'!W398*'RD Feedstock Breakdown'!BM$3*'Feedstock Conversion Rates'!B$7)/12</f>
        <v>1.5333333333333332</v>
      </c>
      <c r="BN389" s="106">
        <f t="shared" si="374"/>
        <v>13.495000000000001</v>
      </c>
      <c r="BO389" s="104">
        <f>('Renewable Diesel'!P398*'Feedstock Conversion Rates'!B$4)/12</f>
        <v>31.25</v>
      </c>
      <c r="BP389" s="106">
        <f t="shared" si="367"/>
        <v>31.25</v>
      </c>
      <c r="BQ389" s="104">
        <f>('Renewable Diesel'!$S398*'RD Feedstock Breakdown'!BQ$3*'Feedstock Conversion Rates'!B$4)/12+10+15-15</f>
        <v>38.125</v>
      </c>
      <c r="BR389" s="104">
        <f>('Renewable Diesel'!$S398*'RD Feedstock Breakdown'!BR$3*'Feedstock Conversion Rates'!B$7)/12-10-15+15</f>
        <v>1.5</v>
      </c>
      <c r="BS389" s="106">
        <f t="shared" si="385"/>
        <v>39.625</v>
      </c>
      <c r="BT389" s="106"/>
      <c r="BU389" s="104">
        <f>('Renewable Diesel'!Y398*'Feedstock Conversion Rates'!B$7)/12</f>
        <v>2.6833333333333331</v>
      </c>
      <c r="BV389" s="106">
        <f t="shared" si="361"/>
        <v>2.6833333333333331</v>
      </c>
      <c r="BW389" s="104">
        <f>('Renewable Diesel'!$Z398*'RD Feedstock Breakdown'!BW$3*'Feedstock Conversion Rates'!$B$4)/12-250+180</f>
        <v>1.875</v>
      </c>
      <c r="BX389" s="104">
        <f>('Renewable Diesel'!$Z398*'RD Feedstock Breakdown'!BX$3*'Feedstock Conversion Rates'!$B$5)/12</f>
        <v>7.2354166666666666</v>
      </c>
      <c r="BY389" s="104">
        <f>('Renewable Diesel'!$Z398*'RD Feedstock Breakdown'!BY$3*'Feedstock Conversion Rates'!$B$7)/12</f>
        <v>61.716666666666661</v>
      </c>
      <c r="BZ389" s="104">
        <f>('Renewable Diesel'!$Z398*'RD Feedstock Breakdown'!BZ$3*'Feedstock Conversion Rates'!$B$3)/12+250-180</f>
        <v>85.35250000000002</v>
      </c>
      <c r="CA389" s="106">
        <f t="shared" si="392"/>
        <v>156.17958333333334</v>
      </c>
      <c r="CB389" s="104">
        <f>('Renewable Diesel'!AA398*'Feedstock Conversion Rates'!B$4)/12</f>
        <v>191.25</v>
      </c>
      <c r="CC389" s="106">
        <f t="shared" si="376"/>
        <v>191.25</v>
      </c>
      <c r="CD389" s="104">
        <f>('Renewable Diesel'!$AB398*'RD Feedstock Breakdown'!CD$3*'Feedstock Conversion Rates'!$B$6)/12-15-5</f>
        <v>12.830000000000005</v>
      </c>
      <c r="CE389" s="104">
        <f>('Renewable Diesel'!$AB398*'RD Feedstock Breakdown'!CE$3*'Feedstock Conversion Rates'!$B$4)/12+15+5</f>
        <v>31.25</v>
      </c>
      <c r="CF389" s="106">
        <f t="shared" si="372"/>
        <v>44.080000000000005</v>
      </c>
      <c r="CG389" s="104">
        <f>('Renewable Diesel'!AD398*'Feedstock Conversion Rates'!B$4)/12</f>
        <v>112.5</v>
      </c>
      <c r="CH389" s="106">
        <f t="shared" si="358"/>
        <v>112.5</v>
      </c>
      <c r="CI389" s="104">
        <f>('Renewable Diesel'!$AE398*'RD Feedstock Breakdown'!CI$3*'Feedstock Conversion Rates'!$B$5)/12</f>
        <v>0.34604166666666664</v>
      </c>
      <c r="CJ389" s="104">
        <f>('Renewable Diesel'!$AE398*'RD Feedstock Breakdown'!CJ$3*'Feedstock Conversion Rates'!$B$4)/12</f>
        <v>0.34375</v>
      </c>
      <c r="CK389" s="106">
        <f t="shared" si="368"/>
        <v>0.68979166666666658</v>
      </c>
      <c r="CL389" s="104">
        <f>(((CL$3*'Renewable Diesel'!$AF398)*'Feedstock Conversion Rates'!$B$3)/12)</f>
        <v>91.78125</v>
      </c>
      <c r="CM389" s="104">
        <f>(((CM$3*'Renewable Diesel'!$AF398)*'Feedstock Conversion Rates'!$B$6)/12)</f>
        <v>53.739583333333336</v>
      </c>
      <c r="CN389" s="104">
        <f>(((CN$3*'Renewable Diesel'!$AF398)*'Feedstock Conversion Rates'!$B$4)/12)</f>
        <v>42.96875</v>
      </c>
      <c r="CO389" s="106">
        <f t="shared" si="360"/>
        <v>188.48958333333334</v>
      </c>
      <c r="CP389" s="104">
        <f>('Renewable Diesel'!$AG398*'RD Feedstock Breakdown'!CP$3*'Feedstock Conversion Rates'!$B$3)/12</f>
        <v>6.0075000000000003</v>
      </c>
      <c r="CQ389" s="104">
        <f>('Renewable Diesel'!$AG398*'RD Feedstock Breakdown'!CQ$3*'Feedstock Conversion Rates'!$B$6)/12</f>
        <v>3.5175000000000001</v>
      </c>
      <c r="CR389" s="104">
        <f>('Renewable Diesel'!$AG398*'RD Feedstock Breakdown'!CR$3*'Feedstock Conversion Rates'!$B$4)/12</f>
        <v>2.8125</v>
      </c>
      <c r="CS389" s="106">
        <f t="shared" si="397"/>
        <v>12.3375</v>
      </c>
      <c r="CT389" s="104">
        <f>('Renewable Diesel'!AI398*'Feedstock Conversion Rates'!$B$4*'RD Feedstock Breakdown'!$CT$3)/12</f>
        <v>29.375</v>
      </c>
      <c r="CU389" s="106">
        <f t="shared" si="364"/>
        <v>29.375</v>
      </c>
      <c r="CV389" s="104">
        <f>('Renewable Diesel'!AN398*'Feedstock Conversion Rates'!$B$3*'RD Feedstock Breakdown'!$CV$3)/12</f>
        <v>0.50062499999999999</v>
      </c>
      <c r="CW389" s="106">
        <f t="shared" si="338"/>
        <v>0.50062499999999999</v>
      </c>
      <c r="CX389" s="104">
        <f>('Renewable Diesel'!AO398*'RD Feedstock Breakdown'!$CX$3*'Feedstock Conversion Rates'!$B$3)/12</f>
        <v>6.3412499999999996</v>
      </c>
      <c r="CY389" s="104">
        <f>('Renewable Diesel'!AO398*'RD Feedstock Breakdown'!$CY$3*'Feedstock Conversion Rates'!$B$6)/12</f>
        <v>7.4258333333333342</v>
      </c>
      <c r="CZ389" s="106">
        <f t="shared" si="398"/>
        <v>13.767083333333334</v>
      </c>
      <c r="DA389" s="104">
        <f>('Renewable Diesel'!$AP398*'RD Feedstock Breakdown'!DA$3*'Feedstock Conversion Rates'!$B$3)/12</f>
        <v>6.3412499999999996</v>
      </c>
      <c r="DB389" s="104">
        <f>('Renewable Diesel'!$AP398*'RD Feedstock Breakdown'!DB$3*'Feedstock Conversion Rates'!$B$8)/12</f>
        <v>7.421875</v>
      </c>
      <c r="DC389" s="106">
        <f t="shared" si="342"/>
        <v>13.763124999999999</v>
      </c>
      <c r="DD389" s="104">
        <f>('Renewable Diesel'!AQ398*$DD$3*'Feedstock Conversion Rates'!$B$14)/12</f>
        <v>3.1041666666666665</v>
      </c>
      <c r="DE389" s="106">
        <f t="shared" si="343"/>
        <v>3.1041666666666665</v>
      </c>
      <c r="DF389" s="104">
        <f>('Renewable Diesel'!AR398*'Feedstock Conversion Rates'!$B$4*$DF$3)/12</f>
        <v>75</v>
      </c>
      <c r="DG389" s="106">
        <f t="shared" si="399"/>
        <v>75</v>
      </c>
      <c r="DH389" s="104">
        <f>('Renewable Diesel'!AS398*'Feedstock Conversion Rates'!$B$4*$DH$3)/12</f>
        <v>75</v>
      </c>
      <c r="DI389" s="106">
        <f t="shared" si="411"/>
        <v>75</v>
      </c>
      <c r="DJ389" s="104">
        <f>('Renewable Diesel'!AT398*'Feedstock Conversion Rates'!$B$4*0.25)/12</f>
        <v>8.59375</v>
      </c>
      <c r="DK389" s="104">
        <f>('Renewable Diesel'!$AT398*'RD Feedstock Breakdown'!DK$3*'Feedstock Conversion Rates'!$B$3)/12*0.5</f>
        <v>9.1781249999999996</v>
      </c>
      <c r="DL389" s="104">
        <f>('Renewable Diesel'!$AT398*'RD Feedstock Breakdown'!$DL$3*'Feedstock Conversion Rates'!$B$6)/12</f>
        <v>10.747916666666669</v>
      </c>
      <c r="DM389" s="104">
        <f>('Renewable Diesel'!$AT398*'RD Feedstock Breakdown'!$DM$3*'Feedstock Conversion Rates'!$B$8)/12</f>
        <v>10.7421875</v>
      </c>
      <c r="DN389" s="106">
        <f t="shared" si="375"/>
        <v>39.26197916666667</v>
      </c>
      <c r="DP389" s="104">
        <f t="shared" si="345"/>
        <v>103.22025000000001</v>
      </c>
      <c r="DQ389" s="104">
        <f t="shared" si="346"/>
        <v>349.11776750000007</v>
      </c>
      <c r="DR389" s="104">
        <f t="shared" si="351"/>
        <v>1891.953125</v>
      </c>
      <c r="DS389" s="104">
        <f t="shared" si="365"/>
        <v>228.90125</v>
      </c>
      <c r="DT389" s="104">
        <f t="shared" si="347"/>
        <v>243.03923333333344</v>
      </c>
      <c r="DU389" s="104">
        <f t="shared" si="348"/>
        <v>402.90610000000009</v>
      </c>
      <c r="DV389" s="104">
        <f t="shared" si="352"/>
        <v>78.75</v>
      </c>
      <c r="DW389" s="104">
        <f t="shared" si="349"/>
        <v>3</v>
      </c>
      <c r="DX389" s="106">
        <f t="shared" si="353"/>
        <v>3300.8877258333337</v>
      </c>
      <c r="DY389" s="109">
        <f t="shared" si="340"/>
        <v>-5.631051180898794E-13</v>
      </c>
      <c r="EA389" s="110">
        <f t="shared" si="393"/>
        <v>3.1270451640078516E-2</v>
      </c>
      <c r="EB389" s="110">
        <f t="shared" si="393"/>
        <v>0.10576481131658687</v>
      </c>
      <c r="EC389" s="110">
        <f t="shared" si="393"/>
        <v>0.57316494293133291</v>
      </c>
      <c r="ED389" s="110">
        <f t="shared" si="393"/>
        <v>6.9345360706629972E-2</v>
      </c>
      <c r="EE389" s="110">
        <f t="shared" si="393"/>
        <v>7.3628445896921982E-2</v>
      </c>
      <c r="EF389" s="110">
        <f t="shared" si="393"/>
        <v>0.1220599225010852</v>
      </c>
      <c r="EG389" s="110">
        <f t="shared" si="384"/>
        <v>2.3857218585075921E-2</v>
      </c>
      <c r="EH389" s="111">
        <f t="shared" si="354"/>
        <v>9.0884642228860647E-4</v>
      </c>
      <c r="EI389" s="110">
        <f t="shared" si="409"/>
        <v>0.99909115357771139</v>
      </c>
      <c r="EK389" s="132">
        <f>(EA389*'Renewable Diesel'!BF398*'Feedstock Conversion Rates'!B$2)+FB389</f>
        <v>536.10636604360093</v>
      </c>
      <c r="EL389" s="132">
        <f>(EB389*'Renewable Diesel'!BF398*'Feedstock Conversion Rates'!B$3)+FC389</f>
        <v>1708.722742726748</v>
      </c>
      <c r="EM389" s="132">
        <f>(EC389*'Renewable Diesel'!BF398*'Feedstock Conversion Rates'!B$4)+FD389</f>
        <v>8670.3926902902058</v>
      </c>
      <c r="EN389" s="132">
        <f>(ED389*'Renewable Diesel'!BF398*'Feedstock Conversion Rates'!B$5)+FE389</f>
        <v>1055.9959387455469</v>
      </c>
      <c r="EO389" s="132">
        <f>(EE389*'Renewable Diesel'!BF398*'Feedstock Conversion Rates'!B$6)+FF389</f>
        <v>1392.9847340052902</v>
      </c>
      <c r="EP389" s="132">
        <f>(EF389*'Renewable Diesel'!BF398*'Feedstock Conversion Rates'!B$7)+FG389</f>
        <v>2264.9509535942425</v>
      </c>
      <c r="EQ389" s="132">
        <f>(EG389*'Renewable Diesel'!BF398*'Feedstock Conversion Rates'!B$8)+FH389</f>
        <v>451.116768789101</v>
      </c>
      <c r="ER389" s="132">
        <f>(EH389*'Renewable Diesel'!BF398*'Feedstock Conversion Rates'!B$9)+FI389</f>
        <v>16.95626203956494</v>
      </c>
      <c r="ES389" s="132">
        <f t="shared" si="355"/>
        <v>16097.226456234301</v>
      </c>
      <c r="ET389" s="133">
        <f>ES389/'Renewable Diesel'!BF398</f>
        <v>16.69283019743883</v>
      </c>
      <c r="EW389" s="73">
        <f t="shared" si="386"/>
        <v>14802.54321048679</v>
      </c>
      <c r="EX389" s="73">
        <f t="shared" si="387"/>
        <v>9695.7468821045222</v>
      </c>
      <c r="EY389" s="92">
        <f t="shared" si="410"/>
        <v>0.91957103608702162</v>
      </c>
      <c r="EZ389" s="92">
        <f t="shared" si="410"/>
        <v>0.60232406548206652</v>
      </c>
      <c r="FB389" s="102">
        <f>IF('Renewable Diesel'!$BG398&lt;1,0,(((('Renewable Diesel'!$BG398-1)*'Renewable Diesel'!$BF398)*'RD Feedstock Breakdown'!EA389)*'Feedstock Conversion Rates'!$B$2))</f>
        <v>279.79128635815988</v>
      </c>
      <c r="FC389" s="102">
        <f>IF('Renewable Diesel'!$BG398&lt;1,0,(((('Renewable Diesel'!$BG398-1)*'Renewable Diesel'!$BF398)*'RD Feedstock Breakdown'!EB389)*'Feedstock Conversion Rates'!$B$3))</f>
        <v>891.77402936878707</v>
      </c>
      <c r="FD389" s="102">
        <f>IF('Renewable Diesel'!$BG398&lt;1,0,(((('Renewable Diesel'!$BG398-1)*'Renewable Diesel'!$BF398)*'RD Feedstock Breakdown'!EC389)*'Feedstock Conversion Rates'!$B$4))</f>
        <v>4525.0354737428861</v>
      </c>
      <c r="FE389" s="102">
        <f>IF('Renewable Diesel'!$BG398&lt;1,0,(((('Renewable Diesel'!$BG398-1)*'Renewable Diesel'!$BF398)*'RD Feedstock Breakdown'!ED389)*'Feedstock Conversion Rates'!$B$5))</f>
        <v>551.11910770815189</v>
      </c>
      <c r="FF389" s="102">
        <f>IF('Renewable Diesel'!$BG398&lt;1,0,(((('Renewable Diesel'!$BG398-1)*'Renewable Diesel'!$BF398)*'RD Feedstock Breakdown'!EE389)*'Feedstock Conversion Rates'!$B$6))</f>
        <v>726.99190923788012</v>
      </c>
      <c r="FG389" s="102">
        <f>IF('Renewable Diesel'!$BG398&lt;1,0,(((('Renewable Diesel'!$BG398-1)*'Renewable Diesel'!$BF398)*'RD Feedstock Breakdown'!EF389)*'Feedstock Conversion Rates'!$B$7))</f>
        <v>1182.0668079750703</v>
      </c>
      <c r="FH389" s="102">
        <f>IF('Renewable Diesel'!$BG398&lt;1,0,(((('Renewable Diesel'!$BG398-1)*'Renewable Diesel'!$BF398)*'RD Feedstock Breakdown'!EG389)*'Feedstock Conversion Rates'!$B$8))</f>
        <v>235.43563186670673</v>
      </c>
      <c r="FI389" s="102">
        <f>IF('Renewable Diesel'!$BG398&lt;1,0,(((('Renewable Diesel'!$BG398-1)*'Renewable Diesel'!$BF398)*'RD Feedstock Breakdown'!EH389)*'Feedstock Conversion Rates'!$B$9))</f>
        <v>8.8493900993708188</v>
      </c>
      <c r="FJ389" s="102">
        <f t="shared" si="388"/>
        <v>8401.0636363570138</v>
      </c>
      <c r="GD389" s="91">
        <f>'Renewable Diesel'!BB398*0.32</f>
        <v>0</v>
      </c>
      <c r="GE389" s="91">
        <f>'Renewable Diesel'!BC398</f>
        <v>547.31418860587985</v>
      </c>
      <c r="GF389" s="91">
        <f>'Renewable Diesel'!BD398</f>
        <v>0</v>
      </c>
      <c r="GG389" s="91">
        <f t="shared" si="373"/>
        <v>547.31418860587985</v>
      </c>
      <c r="GH389" s="124">
        <v>1</v>
      </c>
      <c r="GI389" s="102">
        <f>$GG389*EA389*'Feedstock Conversion Rates'!$B$2</f>
        <v>145.47547586719631</v>
      </c>
      <c r="GJ389" s="102">
        <f>$GG389*EB389*'Feedstock Conversion Rates'!$B$3</f>
        <v>463.67152092922163</v>
      </c>
      <c r="GK389" s="102">
        <f>$GG389*EC389*'Feedstock Conversion Rates'!$B$4</f>
        <v>2352.7597925834843</v>
      </c>
      <c r="GL389" s="102">
        <f>$GG389*ED389*'Feedstock Conversion Rates'!$B$5</f>
        <v>286.5504337069209</v>
      </c>
      <c r="GM389" s="102">
        <f>$GG389*EE389*'Feedstock Conversion Rates'!$B$6</f>
        <v>377.99423750673867</v>
      </c>
      <c r="GN389" s="102">
        <f>$GG389*EF389*'Feedstock Conversion Rates'!$B$7</f>
        <v>614.60717249379775</v>
      </c>
      <c r="GO389" s="102">
        <f>$GG389*EG389*'Feedstock Conversion Rates'!$B$8</f>
        <v>122.41307092766199</v>
      </c>
      <c r="GP389" s="102">
        <f>$GG389*EH389*'Feedstock Conversion Rates'!B$9</f>
        <v>4.6011770151857707</v>
      </c>
      <c r="GQ389" s="102">
        <f t="shared" si="356"/>
        <v>4368.0728810302071</v>
      </c>
      <c r="GT389" s="103">
        <f t="shared" ref="GT389:GW452" si="418">(GI389+FB389+EK389)/SUM($ES389,$FJ389,$GQ389)</f>
        <v>3.3304269372191886E-2</v>
      </c>
      <c r="GU389" s="103">
        <f t="shared" si="416"/>
        <v>0.1061501338365639</v>
      </c>
      <c r="GV389" s="103">
        <f t="shared" si="416"/>
        <v>0.53862649654979833</v>
      </c>
      <c r="GW389" s="103">
        <f t="shared" si="416"/>
        <v>6.5601110950176761E-2</v>
      </c>
      <c r="GX389" s="103">
        <f t="shared" si="416"/>
        <v>8.6535698419388324E-2</v>
      </c>
      <c r="GY389" s="103">
        <f t="shared" si="416"/>
        <v>0.14070442257566981</v>
      </c>
      <c r="GZ389" s="103">
        <f t="shared" si="416"/>
        <v>2.802450285554552E-2</v>
      </c>
      <c r="HA389" s="103">
        <f t="shared" si="416"/>
        <v>1.053365440665584E-3</v>
      </c>
    </row>
    <row r="390" spans="1:209" x14ac:dyDescent="0.25">
      <c r="A390" s="96">
        <v>52291</v>
      </c>
      <c r="B390" s="104">
        <f t="shared" si="406"/>
        <v>44.25</v>
      </c>
      <c r="C390" s="104">
        <f t="shared" si="396"/>
        <v>49</v>
      </c>
      <c r="D390" s="104">
        <f t="shared" si="407"/>
        <v>2</v>
      </c>
      <c r="E390" s="104">
        <f>('Renewable Diesel'!B399*E$3*'Feedstock Conversion Rates'!$B$2)/12+26+13-100+27.5+39</f>
        <v>95.43</v>
      </c>
      <c r="F390" s="104">
        <f>('Renewable Diesel'!B399*'RD Feedstock Breakdown'!F$3*'Feedstock Conversion Rates'!B$8)/12+77+23-10-12-115.75+24+8</f>
        <v>48.15625</v>
      </c>
      <c r="G390" s="104">
        <f>('Renewable Diesel'!B399*'RD Feedstock Breakdown'!G$3*'Feedstock Conversion Rates'!B$7)/12+116.75-39-57.5-145-31.5+32+70-40+10+60</f>
        <v>151.90700000000004</v>
      </c>
      <c r="H390" s="104">
        <f>('Renewable Diesel'!B399*'RD Feedstock Breakdown'!H$3*'Feedstock Conversion Rates'!B$3)/12+67+10+12+3-235+20+47-20+25</f>
        <v>105.40022499999998</v>
      </c>
      <c r="I390" s="106">
        <f t="shared" si="370"/>
        <v>496.14347500000002</v>
      </c>
      <c r="J390" s="104">
        <f t="shared" si="417"/>
        <v>4</v>
      </c>
      <c r="K390" s="104"/>
      <c r="L390" s="104">
        <v>1</v>
      </c>
      <c r="M390" s="104">
        <f>('Renewable Diesel'!C399*'RD Feedstock Breakdown'!M$3*'Feedstock Conversion Rates'!B$2)/12</f>
        <v>7.7902500000000003</v>
      </c>
      <c r="N390" s="104">
        <f>('Renewable Diesel'!C399*'RD Feedstock Breakdown'!N$3*'Feedstock Conversion Rates'!B$8)/12</f>
        <v>3.671875</v>
      </c>
      <c r="O390" s="104">
        <f>('Renewable Diesel'!C399*'RD Feedstock Breakdown'!O$3*'Feedstock Conversion Rates'!B$7)/12</f>
        <v>11.9991</v>
      </c>
      <c r="P390" s="104">
        <f>('Renewable Diesel'!C399*'RD Feedstock Breakdown'!P$3*'Feedstock Conversion Rates'!B$3)/12</f>
        <v>10.4470425</v>
      </c>
      <c r="Q390" s="106">
        <f t="shared" si="379"/>
        <v>38.908267500000001</v>
      </c>
      <c r="R390" s="104">
        <f>('Renewable Diesel'!D399*'RD Feedstock Breakdown'!R$3*'Feedstock Conversion Rates'!B$7)/12</f>
        <v>2.2999999999999998</v>
      </c>
      <c r="S390" s="106">
        <f t="shared" si="414"/>
        <v>2.2999999999999998</v>
      </c>
      <c r="T390" s="104">
        <f t="shared" si="380"/>
        <v>0.82499999999999929</v>
      </c>
      <c r="U390" s="104"/>
      <c r="V390" s="104">
        <f>('Renewable Diesel'!E399*'RD Feedstock Breakdown'!V$3*'Feedstock Conversion Rates'!B$6)/12-20+25</f>
        <v>49.250150000000012</v>
      </c>
      <c r="W390" s="104">
        <f>('Renewable Diesel'!E399*'RD Feedstock Breakdown'!W$3*'Feedstock Conversion Rates'!B$8)/12-6</f>
        <v>16.1796875</v>
      </c>
      <c r="X390" s="106">
        <f t="shared" si="357"/>
        <v>66.254837500000008</v>
      </c>
      <c r="Y390" s="104">
        <f t="shared" si="381"/>
        <v>98</v>
      </c>
      <c r="Z390" s="104">
        <f>('Renewable Diesel'!F399*'RD Feedstock Breakdown'!Z$3*'Feedstock Conversion Rates'!B$6)/12-142+15+5+20+5+15</f>
        <v>77.460000000000008</v>
      </c>
      <c r="AA390" s="104">
        <f>('Renewable Diesel'!F399*'RD Feedstock Breakdown'!AA$3*'Feedstock Conversion Rates'!B$7)/12+24</f>
        <v>128.26666666666665</v>
      </c>
      <c r="AB390" s="106">
        <f t="shared" si="400"/>
        <v>303.72666666666669</v>
      </c>
      <c r="AC390" s="104">
        <f>('Renewable Diesel'!G399*'RD Feedstock Breakdown'!AC$3*'Feedstock Conversion Rates'!B$5)/12</f>
        <v>11.796875</v>
      </c>
      <c r="AD390" s="104">
        <f>('Renewable Diesel'!G399*'RD Feedstock Breakdown'!AD$3*'Feedstock Conversion Rates'!B$4)/12</f>
        <v>5.859375</v>
      </c>
      <c r="AE390" s="104">
        <f>('Renewable Diesel'!G399*'RD Feedstock Breakdown'!AE$3*'Feedstock Conversion Rates'!B$6)/12</f>
        <v>7.3281250000000009</v>
      </c>
      <c r="AF390" s="106">
        <f t="shared" si="366"/>
        <v>24.984375</v>
      </c>
      <c r="AG390" s="104">
        <f t="shared" si="383"/>
        <v>148</v>
      </c>
      <c r="AH390" s="104"/>
      <c r="AI390" s="104">
        <f>('Renewable Diesel'!H399*'RD Feedstock Breakdown'!AI$3*'Feedstock Conversion Rates'!B$6)/12-130-20+51-49</f>
        <v>0.51666666666667993</v>
      </c>
      <c r="AJ390" s="106">
        <f t="shared" si="413"/>
        <v>148.51666666666668</v>
      </c>
      <c r="AK390" s="104">
        <f>('Renewable Diesel'!J399*'RD Feedstock Breakdown'!AK$3*'Feedstock Conversion Rates'!B$4)/12</f>
        <v>95.8125</v>
      </c>
      <c r="AL390" s="106">
        <f t="shared" si="415"/>
        <v>95.8125</v>
      </c>
      <c r="AM390" s="104">
        <f>('Renewable Diesel'!K399*'RD Feedstock Breakdown'!AM$3*'Feedstock Conversion Rates'!B$4)/12+5+15-10+10</f>
        <v>78.59375</v>
      </c>
      <c r="AN390" s="104">
        <f>('Renewable Diesel'!K399*'RD Feedstock Breakdown'!AN$3*'Feedstock Conversion Rates'!B$6)/12-5-15+10-10</f>
        <v>4.4270833333333321</v>
      </c>
      <c r="AO390" s="106">
        <f t="shared" si="350"/>
        <v>83.020833333333329</v>
      </c>
      <c r="AP390" s="104">
        <f>('Renewable Diesel'!L399*'RD Feedstock Breakdown'!AP$3*'Feedstock Conversion Rates'!B$4)/12+15-10+15</f>
        <v>78.59375</v>
      </c>
      <c r="AQ390" s="104">
        <f>('Renewable Diesel'!L399*'RD Feedstock Breakdown'!AQ$3*'Feedstock Conversion Rates'!B$6)/12-15+10-15</f>
        <v>4.4270833333333321</v>
      </c>
      <c r="AR390" s="106">
        <f t="shared" si="339"/>
        <v>83.020833333333329</v>
      </c>
      <c r="AS390" s="104">
        <f>('Renewable Diesel'!M399*'RD Feedstock Breakdown'!AS$3*'Feedstock Conversion Rates'!B$4)/12</f>
        <v>456.25</v>
      </c>
      <c r="AT390" s="104">
        <f>('Renewable Diesel'!M399*'RD Feedstock Breakdown'!AT$3*'Feedstock Conversion Rates'!B$5)/12</f>
        <v>0</v>
      </c>
      <c r="AU390" s="106">
        <f t="shared" si="369"/>
        <v>456.25</v>
      </c>
      <c r="AV390" s="104">
        <f>'Renewable Diesel'!N399*'RD Feedstock Breakdown'!$AV$3*'Feedstock Conversion Rates'!$B$4/12-15-10+25+25-22+25</f>
        <v>106.74999999999999</v>
      </c>
      <c r="AW390" s="104">
        <f>'Renewable Diesel'!N399*'RD Feedstock Breakdown'!$AW$3*'Feedstock Conversion Rates'!$B$7/12+15+10-25-25+22-25</f>
        <v>13.400000000000006</v>
      </c>
      <c r="AX390" s="106">
        <f t="shared" si="408"/>
        <v>120.14999999999999</v>
      </c>
      <c r="AY390" s="104">
        <f>('Renewable Diesel'!O399*'RD Feedstock Breakdown'!AY$3*'Feedstock Conversion Rates'!B$4)/12</f>
        <v>210.9375</v>
      </c>
      <c r="AZ390" s="104">
        <f>('Renewable Diesel'!O399*'RD Feedstock Breakdown'!AZ$3*'Feedstock Conversion Rates'!B$3)/12</f>
        <v>25.03125</v>
      </c>
      <c r="BA390" s="106">
        <f t="shared" si="382"/>
        <v>235.96875</v>
      </c>
      <c r="BB390" s="104">
        <f>('Renewable Diesel'!Q399*'RD Feedstock Breakdown'!BB$3*'Feedstock Conversion Rates'!B$4)/12</f>
        <v>11.156249999999998</v>
      </c>
      <c r="BC390" s="104">
        <f>('Renewable Diesel'!Q399*'RD Feedstock Breakdown'!BC$3*'Feedstock Conversion Rates'!B$3)/12</f>
        <v>1.4017500000000001</v>
      </c>
      <c r="BD390" s="104">
        <f>('Renewable Diesel'!Q399*'RD Feedstock Breakdown'!BD$3*'Feedstock Conversion Rates'!B$6)/12</f>
        <v>0.8207500000000002</v>
      </c>
      <c r="BE390" s="106">
        <f t="shared" si="359"/>
        <v>13.378749999999998</v>
      </c>
      <c r="BF390" s="104">
        <f>('Renewable Diesel'!R399*'RD Feedstock Breakdown'!BF$3*'Feedstock Conversion Rates'!B$4)/12</f>
        <v>62.5</v>
      </c>
      <c r="BG390" s="106">
        <f t="shared" si="344"/>
        <v>62.5</v>
      </c>
      <c r="BH390" s="104">
        <f>('Renewable Diesel'!T399*'RD Feedstock Breakdown'!BH$3*'Feedstock Conversion Rates'!B$7)/12</f>
        <v>27.599999999999998</v>
      </c>
      <c r="BI390" s="106">
        <f t="shared" si="412"/>
        <v>27.599999999999998</v>
      </c>
      <c r="BJ390" s="104">
        <f>('Renewable Diesel'!W399*'RD Feedstock Breakdown'!BJ$3*'Feedstock Conversion Rates'!B$4)/12</f>
        <v>7.5</v>
      </c>
      <c r="BK390" s="104">
        <f>('Renewable Diesel'!W399*'RD Feedstock Breakdown'!BK$3*'Feedstock Conversion Rates'!B$3)/12</f>
        <v>1.335</v>
      </c>
      <c r="BL390" s="104">
        <f>('Renewable Diesel'!W399*'RD Feedstock Breakdown'!BL$3*'Feedstock Conversion Rates'!B$6)/12</f>
        <v>3.1266666666666669</v>
      </c>
      <c r="BM390" s="104">
        <f>('Renewable Diesel'!W399*'RD Feedstock Breakdown'!BM$3*'Feedstock Conversion Rates'!B$7)/12</f>
        <v>1.5333333333333332</v>
      </c>
      <c r="BN390" s="106">
        <f t="shared" si="374"/>
        <v>13.495000000000001</v>
      </c>
      <c r="BO390" s="104">
        <f>('Renewable Diesel'!P399*'Feedstock Conversion Rates'!B$4)/12</f>
        <v>31.25</v>
      </c>
      <c r="BP390" s="106">
        <f t="shared" si="367"/>
        <v>31.25</v>
      </c>
      <c r="BQ390" s="104">
        <f>('Renewable Diesel'!$S399*'RD Feedstock Breakdown'!BQ$3*'Feedstock Conversion Rates'!B$4)/12+10+15-15</f>
        <v>38.125</v>
      </c>
      <c r="BR390" s="104">
        <f>('Renewable Diesel'!$S399*'RD Feedstock Breakdown'!BR$3*'Feedstock Conversion Rates'!B$7)/12-10-15+15</f>
        <v>1.5</v>
      </c>
      <c r="BS390" s="106">
        <f t="shared" si="385"/>
        <v>39.625</v>
      </c>
      <c r="BT390" s="106"/>
      <c r="BU390" s="104">
        <f>('Renewable Diesel'!Y399*'Feedstock Conversion Rates'!B$7)/12</f>
        <v>2.6833333333333331</v>
      </c>
      <c r="BV390" s="106">
        <f t="shared" si="361"/>
        <v>2.6833333333333331</v>
      </c>
      <c r="BW390" s="104">
        <f>('Renewable Diesel'!$Z399*'RD Feedstock Breakdown'!BW$3*'Feedstock Conversion Rates'!$B$4)/12-250+180</f>
        <v>1.875</v>
      </c>
      <c r="BX390" s="104">
        <f>('Renewable Diesel'!$Z399*'RD Feedstock Breakdown'!BX$3*'Feedstock Conversion Rates'!$B$5)/12</f>
        <v>7.2354166666666666</v>
      </c>
      <c r="BY390" s="104">
        <f>('Renewable Diesel'!$Z399*'RD Feedstock Breakdown'!BY$3*'Feedstock Conversion Rates'!$B$7)/12</f>
        <v>61.716666666666661</v>
      </c>
      <c r="BZ390" s="104">
        <f>('Renewable Diesel'!$Z399*'RD Feedstock Breakdown'!BZ$3*'Feedstock Conversion Rates'!$B$3)/12+250-180</f>
        <v>85.35250000000002</v>
      </c>
      <c r="CA390" s="106">
        <f t="shared" si="392"/>
        <v>156.17958333333334</v>
      </c>
      <c r="CB390" s="104">
        <f>('Renewable Diesel'!AA399*'Feedstock Conversion Rates'!B$4)/12</f>
        <v>191.25</v>
      </c>
      <c r="CC390" s="106">
        <f t="shared" si="376"/>
        <v>191.25</v>
      </c>
      <c r="CD390" s="104">
        <f>('Renewable Diesel'!$AB399*'RD Feedstock Breakdown'!CD$3*'Feedstock Conversion Rates'!$B$6)/12-15-5</f>
        <v>12.830000000000005</v>
      </c>
      <c r="CE390" s="104">
        <f>('Renewable Diesel'!$AB399*'RD Feedstock Breakdown'!CE$3*'Feedstock Conversion Rates'!$B$4)/12+15+5</f>
        <v>31.25</v>
      </c>
      <c r="CF390" s="106">
        <f t="shared" si="372"/>
        <v>44.080000000000005</v>
      </c>
      <c r="CG390" s="104">
        <f>('Renewable Diesel'!AD399*'Feedstock Conversion Rates'!B$4)/12</f>
        <v>112.5</v>
      </c>
      <c r="CH390" s="106">
        <f t="shared" si="358"/>
        <v>112.5</v>
      </c>
      <c r="CI390" s="104">
        <f>('Renewable Diesel'!$AE399*'RD Feedstock Breakdown'!CI$3*'Feedstock Conversion Rates'!$B$5)/12</f>
        <v>0.34604166666666664</v>
      </c>
      <c r="CJ390" s="104">
        <f>('Renewable Diesel'!$AE399*'RD Feedstock Breakdown'!CJ$3*'Feedstock Conversion Rates'!$B$4)/12</f>
        <v>0.34375</v>
      </c>
      <c r="CK390" s="106">
        <f t="shared" si="368"/>
        <v>0.68979166666666658</v>
      </c>
      <c r="CL390" s="104">
        <f>(((CL$3*'Renewable Diesel'!$AF399)*'Feedstock Conversion Rates'!$B$3)/12)</f>
        <v>91.78125</v>
      </c>
      <c r="CM390" s="104">
        <f>(((CM$3*'Renewable Diesel'!$AF399)*'Feedstock Conversion Rates'!$B$6)/12)</f>
        <v>53.739583333333336</v>
      </c>
      <c r="CN390" s="104">
        <f>(((CN$3*'Renewable Diesel'!$AF399)*'Feedstock Conversion Rates'!$B$4)/12)</f>
        <v>42.96875</v>
      </c>
      <c r="CO390" s="106">
        <f t="shared" si="360"/>
        <v>188.48958333333334</v>
      </c>
      <c r="CP390" s="104">
        <f>('Renewable Diesel'!$AG399*'RD Feedstock Breakdown'!CP$3*'Feedstock Conversion Rates'!$B$3)/12</f>
        <v>6.0075000000000003</v>
      </c>
      <c r="CQ390" s="104">
        <f>('Renewable Diesel'!$AG399*'RD Feedstock Breakdown'!CQ$3*'Feedstock Conversion Rates'!$B$6)/12</f>
        <v>3.5175000000000001</v>
      </c>
      <c r="CR390" s="104">
        <f>('Renewable Diesel'!$AG399*'RD Feedstock Breakdown'!CR$3*'Feedstock Conversion Rates'!$B$4)/12</f>
        <v>2.8125</v>
      </c>
      <c r="CS390" s="106">
        <f t="shared" si="397"/>
        <v>12.3375</v>
      </c>
      <c r="CT390" s="104">
        <f>('Renewable Diesel'!AI399*'Feedstock Conversion Rates'!$B$4*'RD Feedstock Breakdown'!$CT$3)/12</f>
        <v>29.375</v>
      </c>
      <c r="CU390" s="106">
        <f t="shared" si="364"/>
        <v>29.375</v>
      </c>
      <c r="CV390" s="104">
        <f>('Renewable Diesel'!AN399*'Feedstock Conversion Rates'!$B$3*'RD Feedstock Breakdown'!$CV$3)/12</f>
        <v>0.50062499999999999</v>
      </c>
      <c r="CW390" s="106">
        <f t="shared" si="338"/>
        <v>0.50062499999999999</v>
      </c>
      <c r="CX390" s="104">
        <f>('Renewable Diesel'!AO399*'RD Feedstock Breakdown'!$CX$3*'Feedstock Conversion Rates'!$B$3)/12</f>
        <v>6.3412499999999996</v>
      </c>
      <c r="CY390" s="104">
        <f>('Renewable Diesel'!AO399*'RD Feedstock Breakdown'!$CY$3*'Feedstock Conversion Rates'!$B$6)/12</f>
        <v>7.4258333333333342</v>
      </c>
      <c r="CZ390" s="106">
        <f t="shared" si="398"/>
        <v>13.767083333333334</v>
      </c>
      <c r="DA390" s="104">
        <f>('Renewable Diesel'!$AP399*'RD Feedstock Breakdown'!DA$3*'Feedstock Conversion Rates'!$B$3)/12</f>
        <v>6.3412499999999996</v>
      </c>
      <c r="DB390" s="104">
        <f>('Renewable Diesel'!$AP399*'RD Feedstock Breakdown'!DB$3*'Feedstock Conversion Rates'!$B$8)/12</f>
        <v>7.421875</v>
      </c>
      <c r="DC390" s="106">
        <f t="shared" si="342"/>
        <v>13.763124999999999</v>
      </c>
      <c r="DD390" s="104">
        <f>('Renewable Diesel'!AQ399*$DD$3*'Feedstock Conversion Rates'!$B$14)/12</f>
        <v>3.1041666666666665</v>
      </c>
      <c r="DE390" s="106">
        <f t="shared" si="343"/>
        <v>3.1041666666666665</v>
      </c>
      <c r="DF390" s="104">
        <f>('Renewable Diesel'!AR399*'Feedstock Conversion Rates'!$B$4*$DF$3)/12</f>
        <v>75</v>
      </c>
      <c r="DG390" s="106">
        <f t="shared" si="399"/>
        <v>75</v>
      </c>
      <c r="DH390" s="104">
        <f>('Renewable Diesel'!AS399*'Feedstock Conversion Rates'!$B$4*$DH$3)/12</f>
        <v>75</v>
      </c>
      <c r="DI390" s="106">
        <f t="shared" si="411"/>
        <v>75</v>
      </c>
      <c r="DJ390" s="104">
        <f>('Renewable Diesel'!AT399*'Feedstock Conversion Rates'!$B$4*0.25)/12</f>
        <v>8.59375</v>
      </c>
      <c r="DK390" s="104">
        <f>('Renewable Diesel'!$AT399*'RD Feedstock Breakdown'!DK$3*'Feedstock Conversion Rates'!$B$3)/12*0.5</f>
        <v>9.1781249999999996</v>
      </c>
      <c r="DL390" s="104">
        <f>('Renewable Diesel'!$AT399*'RD Feedstock Breakdown'!$DL$3*'Feedstock Conversion Rates'!$B$6)/12</f>
        <v>10.747916666666669</v>
      </c>
      <c r="DM390" s="104">
        <f>('Renewable Diesel'!$AT399*'RD Feedstock Breakdown'!$DM$3*'Feedstock Conversion Rates'!$B$8)/12</f>
        <v>10.7421875</v>
      </c>
      <c r="DN390" s="106">
        <f t="shared" si="375"/>
        <v>39.26197916666667</v>
      </c>
      <c r="DP390" s="104">
        <f t="shared" si="345"/>
        <v>103.22025000000001</v>
      </c>
      <c r="DQ390" s="104">
        <f t="shared" si="346"/>
        <v>349.11776750000007</v>
      </c>
      <c r="DR390" s="104">
        <f t="shared" si="351"/>
        <v>1891.953125</v>
      </c>
      <c r="DS390" s="104">
        <f t="shared" si="365"/>
        <v>228.90125</v>
      </c>
      <c r="DT390" s="104">
        <f t="shared" si="347"/>
        <v>243.03923333333344</v>
      </c>
      <c r="DU390" s="104">
        <f t="shared" si="348"/>
        <v>402.90610000000009</v>
      </c>
      <c r="DV390" s="104">
        <f t="shared" si="352"/>
        <v>78.75</v>
      </c>
      <c r="DW390" s="104">
        <f t="shared" si="349"/>
        <v>3</v>
      </c>
      <c r="DX390" s="106">
        <f t="shared" si="353"/>
        <v>3300.8877258333337</v>
      </c>
      <c r="DY390" s="109">
        <f t="shared" si="340"/>
        <v>-5.631051180898794E-13</v>
      </c>
      <c r="EA390" s="110">
        <f t="shared" si="393"/>
        <v>3.1270451640078516E-2</v>
      </c>
      <c r="EB390" s="110">
        <f t="shared" si="393"/>
        <v>0.10576481131658687</v>
      </c>
      <c r="EC390" s="110">
        <f t="shared" si="393"/>
        <v>0.57316494293133291</v>
      </c>
      <c r="ED390" s="110">
        <f t="shared" si="393"/>
        <v>6.9345360706629972E-2</v>
      </c>
      <c r="EE390" s="110">
        <f t="shared" si="393"/>
        <v>7.3628445896921982E-2</v>
      </c>
      <c r="EF390" s="110">
        <f t="shared" si="393"/>
        <v>0.1220599225010852</v>
      </c>
      <c r="EG390" s="110">
        <f t="shared" si="384"/>
        <v>2.3857218585075921E-2</v>
      </c>
      <c r="EH390" s="111">
        <f t="shared" si="354"/>
        <v>9.0884642228860647E-4</v>
      </c>
      <c r="EI390" s="110">
        <f t="shared" si="409"/>
        <v>0.99909115357771139</v>
      </c>
      <c r="EK390" s="132">
        <f>(EA390*'Renewable Diesel'!BF399*'Feedstock Conversion Rates'!B$2)+FB390</f>
        <v>276.06795520276</v>
      </c>
      <c r="EL390" s="132">
        <f>(EB390*'Renewable Diesel'!BF399*'Feedstock Conversion Rates'!B$3)+FC390</f>
        <v>879.90671902347867</v>
      </c>
      <c r="EM390" s="132">
        <f>(EC390*'Renewable Diesel'!BF399*'Feedstock Conversion Rates'!B$4)+FD390</f>
        <v>4464.8184248920188</v>
      </c>
      <c r="EN390" s="132">
        <f>(ED390*'Renewable Diesel'!BF399*'Feedstock Conversion Rates'!B$5)+FE390</f>
        <v>543.78507321846018</v>
      </c>
      <c r="EO390" s="132">
        <f>(EE390*'Renewable Diesel'!BF399*'Feedstock Conversion Rates'!B$6)+FF390</f>
        <v>717.31744202833295</v>
      </c>
      <c r="EP390" s="132">
        <f>(EF390*'Renewable Diesel'!BF399*'Feedstock Conversion Rates'!B$7)+FG390</f>
        <v>1166.3364175430265</v>
      </c>
      <c r="EQ390" s="132">
        <f>(EG390*'Renewable Diesel'!BF399*'Feedstock Conversion Rates'!B$8)+FH390</f>
        <v>232.30256494875266</v>
      </c>
      <c r="ER390" s="132">
        <f>(EH390*'Renewable Diesel'!BF399*'Feedstock Conversion Rates'!B$9)+FI390</f>
        <v>8.7316265682324818</v>
      </c>
      <c r="ES390" s="132">
        <f t="shared" si="355"/>
        <v>8289.266223425062</v>
      </c>
      <c r="ET390" s="133">
        <f>ES390/'Renewable Diesel'!BF399</f>
        <v>12.604172086226491</v>
      </c>
      <c r="EW390" s="73">
        <f t="shared" si="386"/>
        <v>6845.7743134182365</v>
      </c>
      <c r="EX390" s="73">
        <f t="shared" si="387"/>
        <v>4484.019672233966</v>
      </c>
      <c r="EY390" s="92">
        <f t="shared" si="410"/>
        <v>0.8258601097974646</v>
      </c>
      <c r="EZ390" s="92">
        <f t="shared" si="410"/>
        <v>0.54094289547153707</v>
      </c>
      <c r="FB390" s="102">
        <f>IF('Renewable Diesel'!$BG399&lt;1,0,(((('Renewable Diesel'!$BG399-1)*'Renewable Diesel'!$BF399)*'RD Feedstock Breakdown'!EA390)*'Feedstock Conversion Rates'!$B$2))</f>
        <v>101.26255562684052</v>
      </c>
      <c r="FC390" s="102">
        <f>IF('Renewable Diesel'!$BG399&lt;1,0,(((('Renewable Diesel'!$BG399-1)*'Renewable Diesel'!$BF399)*'RD Feedstock Breakdown'!EB390)*'Feedstock Conversion Rates'!$B$3))</f>
        <v>322.75242889419911</v>
      </c>
      <c r="FD390" s="102">
        <f>IF('Renewable Diesel'!$BG399&lt;1,0,(((('Renewable Diesel'!$BG399-1)*'Renewable Diesel'!$BF399)*'RD Feedstock Breakdown'!EC390)*'Feedstock Conversion Rates'!$B$4))</f>
        <v>1637.7088162308032</v>
      </c>
      <c r="FE390" s="102">
        <f>IF('Renewable Diesel'!$BG399&lt;1,0,(((('Renewable Diesel'!$BG399-1)*'Renewable Diesel'!$BF399)*'RD Feedstock Breakdown'!ED390)*'Feedstock Conversion Rates'!$B$5))</f>
        <v>199.46199907695535</v>
      </c>
      <c r="FF390" s="102">
        <f>IF('Renewable Diesel'!$BG399&lt;1,0,(((('Renewable Diesel'!$BG399-1)*'Renewable Diesel'!$BF399)*'RD Feedstock Breakdown'!EE390)*'Feedstock Conversion Rates'!$B$6))</f>
        <v>263.1141934678655</v>
      </c>
      <c r="FG390" s="102">
        <f>IF('Renewable Diesel'!$BG399&lt;1,0,(((('Renewable Diesel'!$BG399-1)*'Renewable Diesel'!$BF399)*'RD Feedstock Breakdown'!EF390)*'Feedstock Conversion Rates'!$B$7))</f>
        <v>427.81570310946341</v>
      </c>
      <c r="FH390" s="102">
        <f>IF('Renewable Diesel'!$BG399&lt;1,0,(((('Renewable Diesel'!$BG399-1)*'Renewable Diesel'!$BF399)*'RD Feedstock Breakdown'!EG390)*'Feedstock Conversion Rates'!$B$8))</f>
        <v>85.209278954899943</v>
      </c>
      <c r="FI390" s="102">
        <f>IF('Renewable Diesel'!$BG399&lt;1,0,(((('Renewable Diesel'!$BG399-1)*'Renewable Diesel'!$BF399)*'RD Feedstock Breakdown'!EH390)*'Feedstock Conversion Rates'!$B$9))</f>
        <v>3.2027868661143346</v>
      </c>
      <c r="FJ390" s="102">
        <f t="shared" si="388"/>
        <v>3040.527762227141</v>
      </c>
      <c r="GD390" s="91">
        <f>'Renewable Diesel'!BB399*0.32</f>
        <v>0</v>
      </c>
      <c r="GE390" s="91">
        <f>'Renewable Diesel'!BC399</f>
        <v>218.44569756765975</v>
      </c>
      <c r="GF390" s="91">
        <f>'Renewable Diesel'!BD399</f>
        <v>0</v>
      </c>
      <c r="GG390" s="91">
        <f t="shared" si="373"/>
        <v>218.44569756765975</v>
      </c>
      <c r="GH390" s="124">
        <v>1</v>
      </c>
      <c r="GI390" s="102">
        <f>$GG390*EA390*'Feedstock Conversion Rates'!$B$2</f>
        <v>58.062612785068133</v>
      </c>
      <c r="GJ390" s="102">
        <f>$GG390*EB390*'Feedstock Conversion Rates'!$B$3</f>
        <v>185.06198256917148</v>
      </c>
      <c r="GK390" s="102">
        <f>$GG390*EC390*'Feedstock Conversion Rates'!$B$4</f>
        <v>939.04061834972174</v>
      </c>
      <c r="GL390" s="102">
        <f>$GG390*ED390*'Feedstock Conversion Rates'!$B$5</f>
        <v>114.36887747943778</v>
      </c>
      <c r="GM390" s="102">
        <f>$GG390*EE390*'Feedstock Conversion Rates'!$B$6</f>
        <v>150.86620556839719</v>
      </c>
      <c r="GN390" s="102">
        <f>$GG390*EF390*'Feedstock Conversion Rates'!$B$7</f>
        <v>245.3038772253972</v>
      </c>
      <c r="GO390" s="102">
        <f>$GG390*EG390*'Feedstock Conversion Rates'!$B$8</f>
        <v>48.857875836009804</v>
      </c>
      <c r="GP390" s="102">
        <f>$GG390*EH390*'Feedstock Conversion Rates'!B$9</f>
        <v>1.8364357139630354</v>
      </c>
      <c r="GQ390" s="102">
        <f t="shared" si="356"/>
        <v>1743.3984855271663</v>
      </c>
      <c r="GT390" s="103">
        <f t="shared" si="418"/>
        <v>3.3304269372191886E-2</v>
      </c>
      <c r="GU390" s="103">
        <f t="shared" si="416"/>
        <v>0.10615013383656388</v>
      </c>
      <c r="GV390" s="103">
        <f t="shared" si="416"/>
        <v>0.53862649654979833</v>
      </c>
      <c r="GW390" s="103">
        <f t="shared" si="416"/>
        <v>6.5601110950176761E-2</v>
      </c>
      <c r="GX390" s="103">
        <f t="shared" si="416"/>
        <v>8.6535698419388296E-2</v>
      </c>
      <c r="GY390" s="103">
        <f t="shared" si="416"/>
        <v>0.14070442257566981</v>
      </c>
      <c r="GZ390" s="103">
        <f t="shared" si="416"/>
        <v>2.802450285554552E-2</v>
      </c>
      <c r="HA390" s="103">
        <f t="shared" si="416"/>
        <v>1.053365440665584E-3</v>
      </c>
    </row>
    <row r="391" spans="1:209" x14ac:dyDescent="0.25">
      <c r="A391" s="96">
        <v>52322</v>
      </c>
      <c r="B391" s="104">
        <f t="shared" si="406"/>
        <v>44.25</v>
      </c>
      <c r="C391" s="104">
        <f t="shared" si="396"/>
        <v>49</v>
      </c>
      <c r="D391" s="104">
        <f t="shared" si="407"/>
        <v>2</v>
      </c>
      <c r="E391" s="104">
        <f>('Renewable Diesel'!B400*E$3*'Feedstock Conversion Rates'!$B$2)/12+26+13-100+27.5+39</f>
        <v>95.43</v>
      </c>
      <c r="F391" s="104">
        <f>('Renewable Diesel'!B400*'RD Feedstock Breakdown'!F$3*'Feedstock Conversion Rates'!B$8)/12+77+23-10-12-115.75+24+8</f>
        <v>48.15625</v>
      </c>
      <c r="G391" s="104">
        <f>('Renewable Diesel'!B400*'RD Feedstock Breakdown'!G$3*'Feedstock Conversion Rates'!B$7)/12+116.75-39-57.5-145-31.5+32+70-40+10+60</f>
        <v>151.90700000000004</v>
      </c>
      <c r="H391" s="104">
        <f>('Renewable Diesel'!B400*'RD Feedstock Breakdown'!H$3*'Feedstock Conversion Rates'!B$3)/12+67+10+12+3-235+20+47-20+25</f>
        <v>105.40022499999998</v>
      </c>
      <c r="I391" s="106">
        <f t="shared" si="370"/>
        <v>496.14347500000002</v>
      </c>
      <c r="J391" s="104">
        <f t="shared" si="417"/>
        <v>4</v>
      </c>
      <c r="K391" s="104"/>
      <c r="L391" s="104">
        <v>1</v>
      </c>
      <c r="M391" s="104">
        <f>('Renewable Diesel'!C400*'RD Feedstock Breakdown'!M$3*'Feedstock Conversion Rates'!B$2)/12</f>
        <v>7.7902500000000003</v>
      </c>
      <c r="N391" s="104">
        <f>('Renewable Diesel'!C400*'RD Feedstock Breakdown'!N$3*'Feedstock Conversion Rates'!B$8)/12</f>
        <v>3.671875</v>
      </c>
      <c r="O391" s="104">
        <f>('Renewable Diesel'!C400*'RD Feedstock Breakdown'!O$3*'Feedstock Conversion Rates'!B$7)/12</f>
        <v>11.9991</v>
      </c>
      <c r="P391" s="104">
        <f>('Renewable Diesel'!C400*'RD Feedstock Breakdown'!P$3*'Feedstock Conversion Rates'!B$3)/12</f>
        <v>10.4470425</v>
      </c>
      <c r="Q391" s="106">
        <f t="shared" si="379"/>
        <v>38.908267500000001</v>
      </c>
      <c r="R391" s="104">
        <f>('Renewable Diesel'!D400*'RD Feedstock Breakdown'!R$3*'Feedstock Conversion Rates'!B$7)/12</f>
        <v>2.2999999999999998</v>
      </c>
      <c r="S391" s="106">
        <f t="shared" si="414"/>
        <v>2.2999999999999998</v>
      </c>
      <c r="T391" s="104">
        <f t="shared" si="380"/>
        <v>0.82499999999999929</v>
      </c>
      <c r="U391" s="104"/>
      <c r="V391" s="104">
        <f>('Renewable Diesel'!E400*'RD Feedstock Breakdown'!V$3*'Feedstock Conversion Rates'!B$6)/12-20+25</f>
        <v>49.250150000000012</v>
      </c>
      <c r="W391" s="104">
        <f>('Renewable Diesel'!E400*'RD Feedstock Breakdown'!W$3*'Feedstock Conversion Rates'!B$8)/12-6</f>
        <v>16.1796875</v>
      </c>
      <c r="X391" s="106">
        <f t="shared" si="357"/>
        <v>66.254837500000008</v>
      </c>
      <c r="Y391" s="104">
        <f t="shared" si="381"/>
        <v>98</v>
      </c>
      <c r="Z391" s="104">
        <f>('Renewable Diesel'!F400*'RD Feedstock Breakdown'!Z$3*'Feedstock Conversion Rates'!B$6)/12-142+15+5+20+5+15</f>
        <v>77.460000000000008</v>
      </c>
      <c r="AA391" s="104">
        <f>('Renewable Diesel'!F400*'RD Feedstock Breakdown'!AA$3*'Feedstock Conversion Rates'!B$7)/12+24</f>
        <v>128.26666666666665</v>
      </c>
      <c r="AB391" s="106">
        <f t="shared" si="400"/>
        <v>303.72666666666669</v>
      </c>
      <c r="AC391" s="104">
        <f>('Renewable Diesel'!G400*'RD Feedstock Breakdown'!AC$3*'Feedstock Conversion Rates'!B$5)/12</f>
        <v>11.796875</v>
      </c>
      <c r="AD391" s="104">
        <f>('Renewable Diesel'!G400*'RD Feedstock Breakdown'!AD$3*'Feedstock Conversion Rates'!B$4)/12</f>
        <v>5.859375</v>
      </c>
      <c r="AE391" s="104">
        <f>('Renewable Diesel'!G400*'RD Feedstock Breakdown'!AE$3*'Feedstock Conversion Rates'!B$6)/12</f>
        <v>7.3281250000000009</v>
      </c>
      <c r="AF391" s="106">
        <f t="shared" si="366"/>
        <v>24.984375</v>
      </c>
      <c r="AG391" s="104">
        <f t="shared" si="383"/>
        <v>148</v>
      </c>
      <c r="AH391" s="104"/>
      <c r="AI391" s="104">
        <f>('Renewable Diesel'!H400*'RD Feedstock Breakdown'!AI$3*'Feedstock Conversion Rates'!B$6)/12-130-20+51-49</f>
        <v>0.51666666666667993</v>
      </c>
      <c r="AJ391" s="106">
        <f t="shared" si="413"/>
        <v>148.51666666666668</v>
      </c>
      <c r="AK391" s="104">
        <f>('Renewable Diesel'!J400*'RD Feedstock Breakdown'!AK$3*'Feedstock Conversion Rates'!B$4)/12</f>
        <v>95.8125</v>
      </c>
      <c r="AL391" s="106">
        <f t="shared" si="415"/>
        <v>95.8125</v>
      </c>
      <c r="AM391" s="104">
        <f>('Renewable Diesel'!K400*'RD Feedstock Breakdown'!AM$3*'Feedstock Conversion Rates'!B$4)/12+5+15-10+10</f>
        <v>78.59375</v>
      </c>
      <c r="AN391" s="104">
        <f>('Renewable Diesel'!K400*'RD Feedstock Breakdown'!AN$3*'Feedstock Conversion Rates'!B$6)/12-5-15+10-10</f>
        <v>4.4270833333333321</v>
      </c>
      <c r="AO391" s="106">
        <f t="shared" si="350"/>
        <v>83.020833333333329</v>
      </c>
      <c r="AP391" s="104">
        <f>('Renewable Diesel'!L400*'RD Feedstock Breakdown'!AP$3*'Feedstock Conversion Rates'!B$4)/12+15-10+15</f>
        <v>78.59375</v>
      </c>
      <c r="AQ391" s="104">
        <f>('Renewable Diesel'!L400*'RD Feedstock Breakdown'!AQ$3*'Feedstock Conversion Rates'!B$6)/12-15+10-15</f>
        <v>4.4270833333333321</v>
      </c>
      <c r="AR391" s="106">
        <f t="shared" si="339"/>
        <v>83.020833333333329</v>
      </c>
      <c r="AS391" s="104">
        <f>('Renewable Diesel'!M400*'RD Feedstock Breakdown'!AS$3*'Feedstock Conversion Rates'!B$4)/12</f>
        <v>456.25</v>
      </c>
      <c r="AT391" s="104">
        <f>('Renewable Diesel'!M400*'RD Feedstock Breakdown'!AT$3*'Feedstock Conversion Rates'!B$5)/12</f>
        <v>0</v>
      </c>
      <c r="AU391" s="106">
        <f t="shared" si="369"/>
        <v>456.25</v>
      </c>
      <c r="AV391" s="104">
        <f>'Renewable Diesel'!N400*'RD Feedstock Breakdown'!$AV$3*'Feedstock Conversion Rates'!$B$4/12-15-10+25+25-22+25</f>
        <v>106.74999999999999</v>
      </c>
      <c r="AW391" s="104">
        <f>'Renewable Diesel'!N400*'RD Feedstock Breakdown'!$AW$3*'Feedstock Conversion Rates'!$B$7/12+15+10-25-25+22-25</f>
        <v>13.400000000000006</v>
      </c>
      <c r="AX391" s="106">
        <f t="shared" si="408"/>
        <v>120.14999999999999</v>
      </c>
      <c r="AY391" s="104">
        <f>('Renewable Diesel'!O400*'RD Feedstock Breakdown'!AY$3*'Feedstock Conversion Rates'!B$4)/12</f>
        <v>210.9375</v>
      </c>
      <c r="AZ391" s="104">
        <f>('Renewable Diesel'!O400*'RD Feedstock Breakdown'!AZ$3*'Feedstock Conversion Rates'!B$3)/12</f>
        <v>25.03125</v>
      </c>
      <c r="BA391" s="106">
        <f t="shared" si="382"/>
        <v>235.96875</v>
      </c>
      <c r="BB391" s="104">
        <f>('Renewable Diesel'!Q400*'RD Feedstock Breakdown'!BB$3*'Feedstock Conversion Rates'!B$4)/12</f>
        <v>11.156249999999998</v>
      </c>
      <c r="BC391" s="104">
        <f>('Renewable Diesel'!Q400*'RD Feedstock Breakdown'!BC$3*'Feedstock Conversion Rates'!B$3)/12</f>
        <v>1.4017500000000001</v>
      </c>
      <c r="BD391" s="104">
        <f>('Renewable Diesel'!Q400*'RD Feedstock Breakdown'!BD$3*'Feedstock Conversion Rates'!B$6)/12</f>
        <v>0.8207500000000002</v>
      </c>
      <c r="BE391" s="106">
        <f t="shared" si="359"/>
        <v>13.378749999999998</v>
      </c>
      <c r="BF391" s="104">
        <f>('Renewable Diesel'!R400*'RD Feedstock Breakdown'!BF$3*'Feedstock Conversion Rates'!B$4)/12</f>
        <v>62.5</v>
      </c>
      <c r="BG391" s="106">
        <f t="shared" si="344"/>
        <v>62.5</v>
      </c>
      <c r="BH391" s="104">
        <f>('Renewable Diesel'!T400*'RD Feedstock Breakdown'!BH$3*'Feedstock Conversion Rates'!B$7)/12</f>
        <v>27.599999999999998</v>
      </c>
      <c r="BI391" s="106">
        <f t="shared" si="412"/>
        <v>27.599999999999998</v>
      </c>
      <c r="BJ391" s="104">
        <f>('Renewable Diesel'!W400*'RD Feedstock Breakdown'!BJ$3*'Feedstock Conversion Rates'!B$4)/12</f>
        <v>7.5</v>
      </c>
      <c r="BK391" s="104">
        <f>('Renewable Diesel'!W400*'RD Feedstock Breakdown'!BK$3*'Feedstock Conversion Rates'!B$3)/12</f>
        <v>1.335</v>
      </c>
      <c r="BL391" s="104">
        <f>('Renewable Diesel'!W400*'RD Feedstock Breakdown'!BL$3*'Feedstock Conversion Rates'!B$6)/12</f>
        <v>3.1266666666666669</v>
      </c>
      <c r="BM391" s="104">
        <f>('Renewable Diesel'!W400*'RD Feedstock Breakdown'!BM$3*'Feedstock Conversion Rates'!B$7)/12</f>
        <v>1.5333333333333332</v>
      </c>
      <c r="BN391" s="106">
        <f t="shared" si="374"/>
        <v>13.495000000000001</v>
      </c>
      <c r="BO391" s="104">
        <f>('Renewable Diesel'!P400*'Feedstock Conversion Rates'!B$4)/12</f>
        <v>31.25</v>
      </c>
      <c r="BP391" s="106">
        <f t="shared" si="367"/>
        <v>31.25</v>
      </c>
      <c r="BQ391" s="104">
        <f>('Renewable Diesel'!$S400*'RD Feedstock Breakdown'!BQ$3*'Feedstock Conversion Rates'!B$4)/12+10+15-15</f>
        <v>38.125</v>
      </c>
      <c r="BR391" s="104">
        <f>('Renewable Diesel'!$S400*'RD Feedstock Breakdown'!BR$3*'Feedstock Conversion Rates'!B$7)/12-10-15+15</f>
        <v>1.5</v>
      </c>
      <c r="BS391" s="106">
        <f t="shared" si="385"/>
        <v>39.625</v>
      </c>
      <c r="BT391" s="106"/>
      <c r="BU391" s="104">
        <f>('Renewable Diesel'!Y400*'Feedstock Conversion Rates'!B$7)/12</f>
        <v>2.6833333333333331</v>
      </c>
      <c r="BV391" s="106">
        <f t="shared" si="361"/>
        <v>2.6833333333333331</v>
      </c>
      <c r="BW391" s="104">
        <f>('Renewable Diesel'!$Z400*'RD Feedstock Breakdown'!BW$3*'Feedstock Conversion Rates'!$B$4)/12-250+180</f>
        <v>1.875</v>
      </c>
      <c r="BX391" s="104">
        <f>('Renewable Diesel'!$Z400*'RD Feedstock Breakdown'!BX$3*'Feedstock Conversion Rates'!$B$5)/12</f>
        <v>7.2354166666666666</v>
      </c>
      <c r="BY391" s="104">
        <f>('Renewable Diesel'!$Z400*'RD Feedstock Breakdown'!BY$3*'Feedstock Conversion Rates'!$B$7)/12</f>
        <v>61.716666666666661</v>
      </c>
      <c r="BZ391" s="104">
        <f>('Renewable Diesel'!$Z400*'RD Feedstock Breakdown'!BZ$3*'Feedstock Conversion Rates'!$B$3)/12+250-180</f>
        <v>85.35250000000002</v>
      </c>
      <c r="CA391" s="106">
        <f t="shared" si="392"/>
        <v>156.17958333333334</v>
      </c>
      <c r="CB391" s="104">
        <f>('Renewable Diesel'!AA400*'Feedstock Conversion Rates'!B$4)/12</f>
        <v>191.25</v>
      </c>
      <c r="CC391" s="106">
        <f t="shared" si="376"/>
        <v>191.25</v>
      </c>
      <c r="CD391" s="104">
        <f>('Renewable Diesel'!$AB400*'RD Feedstock Breakdown'!CD$3*'Feedstock Conversion Rates'!$B$6)/12-15-5</f>
        <v>12.830000000000005</v>
      </c>
      <c r="CE391" s="104">
        <f>('Renewable Diesel'!$AB400*'RD Feedstock Breakdown'!CE$3*'Feedstock Conversion Rates'!$B$4)/12+15+5</f>
        <v>31.25</v>
      </c>
      <c r="CF391" s="106">
        <f t="shared" si="372"/>
        <v>44.080000000000005</v>
      </c>
      <c r="CG391" s="104">
        <f>('Renewable Diesel'!AD400*'Feedstock Conversion Rates'!B$4)/12</f>
        <v>112.5</v>
      </c>
      <c r="CH391" s="106">
        <f t="shared" si="358"/>
        <v>112.5</v>
      </c>
      <c r="CI391" s="104">
        <f>('Renewable Diesel'!$AE400*'RD Feedstock Breakdown'!CI$3*'Feedstock Conversion Rates'!$B$5)/12</f>
        <v>0.34604166666666664</v>
      </c>
      <c r="CJ391" s="104">
        <f>('Renewable Diesel'!$AE400*'RD Feedstock Breakdown'!CJ$3*'Feedstock Conversion Rates'!$B$4)/12</f>
        <v>0.34375</v>
      </c>
      <c r="CK391" s="106">
        <f t="shared" si="368"/>
        <v>0.68979166666666658</v>
      </c>
      <c r="CL391" s="104">
        <f>(((CL$3*'Renewable Diesel'!$AF400)*'Feedstock Conversion Rates'!$B$3)/12)</f>
        <v>91.78125</v>
      </c>
      <c r="CM391" s="104">
        <f>(((CM$3*'Renewable Diesel'!$AF400)*'Feedstock Conversion Rates'!$B$6)/12)</f>
        <v>53.739583333333336</v>
      </c>
      <c r="CN391" s="104">
        <f>(((CN$3*'Renewable Diesel'!$AF400)*'Feedstock Conversion Rates'!$B$4)/12)</f>
        <v>42.96875</v>
      </c>
      <c r="CO391" s="106">
        <f t="shared" si="360"/>
        <v>188.48958333333334</v>
      </c>
      <c r="CP391" s="104">
        <f>('Renewable Diesel'!$AG400*'RD Feedstock Breakdown'!CP$3*'Feedstock Conversion Rates'!$B$3)/12</f>
        <v>6.0075000000000003</v>
      </c>
      <c r="CQ391" s="104">
        <f>('Renewable Diesel'!$AG400*'RD Feedstock Breakdown'!CQ$3*'Feedstock Conversion Rates'!$B$6)/12</f>
        <v>3.5175000000000001</v>
      </c>
      <c r="CR391" s="104">
        <f>('Renewable Diesel'!$AG400*'RD Feedstock Breakdown'!CR$3*'Feedstock Conversion Rates'!$B$4)/12</f>
        <v>2.8125</v>
      </c>
      <c r="CS391" s="106">
        <f t="shared" si="397"/>
        <v>12.3375</v>
      </c>
      <c r="CT391" s="104">
        <f>('Renewable Diesel'!AI400*'Feedstock Conversion Rates'!$B$4*'RD Feedstock Breakdown'!$CT$3)/12</f>
        <v>29.375</v>
      </c>
      <c r="CU391" s="106">
        <f t="shared" si="364"/>
        <v>29.375</v>
      </c>
      <c r="CV391" s="104">
        <f>('Renewable Diesel'!AN400*'Feedstock Conversion Rates'!$B$3*'RD Feedstock Breakdown'!$CV$3)/12</f>
        <v>0.50062499999999999</v>
      </c>
      <c r="CW391" s="106">
        <f t="shared" ref="CW391:CW454" si="419">CV391</f>
        <v>0.50062499999999999</v>
      </c>
      <c r="CX391" s="104">
        <f>('Renewable Diesel'!AO400*'RD Feedstock Breakdown'!$CX$3*'Feedstock Conversion Rates'!$B$3)/12</f>
        <v>6.3412499999999996</v>
      </c>
      <c r="CY391" s="104">
        <f>('Renewable Diesel'!AO400*'RD Feedstock Breakdown'!$CY$3*'Feedstock Conversion Rates'!$B$6)/12</f>
        <v>7.4258333333333342</v>
      </c>
      <c r="CZ391" s="106">
        <f t="shared" si="398"/>
        <v>13.767083333333334</v>
      </c>
      <c r="DA391" s="104">
        <f>('Renewable Diesel'!$AP400*'RD Feedstock Breakdown'!DA$3*'Feedstock Conversion Rates'!$B$3)/12</f>
        <v>6.3412499999999996</v>
      </c>
      <c r="DB391" s="104">
        <f>('Renewable Diesel'!$AP400*'RD Feedstock Breakdown'!DB$3*'Feedstock Conversion Rates'!$B$8)/12</f>
        <v>7.421875</v>
      </c>
      <c r="DC391" s="106">
        <f t="shared" si="342"/>
        <v>13.763124999999999</v>
      </c>
      <c r="DD391" s="104">
        <f>('Renewable Diesel'!AQ400*$DD$3*'Feedstock Conversion Rates'!$B$14)/12</f>
        <v>3.1041666666666665</v>
      </c>
      <c r="DE391" s="106">
        <f t="shared" si="343"/>
        <v>3.1041666666666665</v>
      </c>
      <c r="DF391" s="104">
        <f>('Renewable Diesel'!AR400*'Feedstock Conversion Rates'!$B$4*$DF$3)/12</f>
        <v>75</v>
      </c>
      <c r="DG391" s="106">
        <f t="shared" si="399"/>
        <v>75</v>
      </c>
      <c r="DH391" s="104">
        <f>('Renewable Diesel'!AS400*'Feedstock Conversion Rates'!$B$4*$DH$3)/12</f>
        <v>75</v>
      </c>
      <c r="DI391" s="106">
        <f t="shared" si="411"/>
        <v>75</v>
      </c>
      <c r="DJ391" s="104">
        <f>('Renewable Diesel'!AT400*'Feedstock Conversion Rates'!$B$4*0.25)/12</f>
        <v>8.59375</v>
      </c>
      <c r="DK391" s="104">
        <f>('Renewable Diesel'!$AT400*'RD Feedstock Breakdown'!DK$3*'Feedstock Conversion Rates'!$B$3)/12*0.5</f>
        <v>9.1781249999999996</v>
      </c>
      <c r="DL391" s="104">
        <f>('Renewable Diesel'!$AT400*'RD Feedstock Breakdown'!$DL$3*'Feedstock Conversion Rates'!$B$6)/12</f>
        <v>10.747916666666669</v>
      </c>
      <c r="DM391" s="104">
        <f>('Renewable Diesel'!$AT400*'RD Feedstock Breakdown'!$DM$3*'Feedstock Conversion Rates'!$B$8)/12</f>
        <v>10.7421875</v>
      </c>
      <c r="DN391" s="106">
        <f t="shared" si="375"/>
        <v>39.26197916666667</v>
      </c>
      <c r="DP391" s="104">
        <f t="shared" si="345"/>
        <v>103.22025000000001</v>
      </c>
      <c r="DQ391" s="104">
        <f t="shared" si="346"/>
        <v>349.11776750000007</v>
      </c>
      <c r="DR391" s="104">
        <f t="shared" si="351"/>
        <v>1891.953125</v>
      </c>
      <c r="DS391" s="104">
        <f t="shared" si="365"/>
        <v>228.90125</v>
      </c>
      <c r="DT391" s="104">
        <f t="shared" si="347"/>
        <v>243.03923333333344</v>
      </c>
      <c r="DU391" s="104">
        <f t="shared" si="348"/>
        <v>402.90610000000009</v>
      </c>
      <c r="DV391" s="104">
        <f t="shared" si="352"/>
        <v>78.75</v>
      </c>
      <c r="DW391" s="104">
        <f t="shared" si="349"/>
        <v>3</v>
      </c>
      <c r="DX391" s="106">
        <f t="shared" si="353"/>
        <v>3300.8877258333337</v>
      </c>
      <c r="DY391" s="109">
        <f t="shared" si="340"/>
        <v>-5.631051180898794E-13</v>
      </c>
      <c r="EA391" s="110">
        <f t="shared" si="393"/>
        <v>3.1270451640078516E-2</v>
      </c>
      <c r="EB391" s="110">
        <f t="shared" si="393"/>
        <v>0.10576481131658687</v>
      </c>
      <c r="EC391" s="110">
        <f t="shared" si="393"/>
        <v>0.57316494293133291</v>
      </c>
      <c r="ED391" s="110">
        <f t="shared" si="393"/>
        <v>6.9345360706629972E-2</v>
      </c>
      <c r="EE391" s="110">
        <f t="shared" si="393"/>
        <v>7.3628445896921982E-2</v>
      </c>
      <c r="EF391" s="110">
        <f t="shared" si="393"/>
        <v>0.1220599225010852</v>
      </c>
      <c r="EG391" s="110">
        <f t="shared" si="384"/>
        <v>2.3857218585075921E-2</v>
      </c>
      <c r="EH391" s="111">
        <f t="shared" si="354"/>
        <v>9.0884642228860647E-4</v>
      </c>
      <c r="EI391" s="110">
        <f t="shared" si="409"/>
        <v>0.99909115357771139</v>
      </c>
      <c r="EK391" s="132">
        <f>(EA391*'Renewable Diesel'!BF400*'Feedstock Conversion Rates'!B$2)+FB391</f>
        <v>348.14162495965104</v>
      </c>
      <c r="EL391" s="132">
        <f>(EB391*'Renewable Diesel'!BF400*'Feedstock Conversion Rates'!B$3)+FC391</f>
        <v>1109.6259062329825</v>
      </c>
      <c r="EM391" s="132">
        <f>(EC391*'Renewable Diesel'!BF400*'Feedstock Conversion Rates'!B$4)+FD391</f>
        <v>5630.4584153929245</v>
      </c>
      <c r="EN391" s="132">
        <f>(ED391*'Renewable Diesel'!BF400*'Feedstock Conversion Rates'!B$5)+FE391</f>
        <v>685.75224125536215</v>
      </c>
      <c r="EO391" s="132">
        <f>(EE391*'Renewable Diesel'!BF400*'Feedstock Conversion Rates'!B$6)+FF391</f>
        <v>904.58908820558202</v>
      </c>
      <c r="EP391" s="132">
        <f>(EF391*'Renewable Diesel'!BF400*'Feedstock Conversion Rates'!B$7)+FG391</f>
        <v>1470.8344376833629</v>
      </c>
      <c r="EQ391" s="132">
        <f>(EG391*'Renewable Diesel'!BF400*'Feedstock Conversion Rates'!B$8)+FH391</f>
        <v>292.95030777532662</v>
      </c>
      <c r="ER391" s="132">
        <f>(EH391*'Renewable Diesel'!BF400*'Feedstock Conversion Rates'!B$9)+FI391</f>
        <v>11.011211568444022</v>
      </c>
      <c r="ES391" s="132">
        <f t="shared" si="355"/>
        <v>10453.363233073638</v>
      </c>
      <c r="ET391" s="133">
        <f>ES391/'Renewable Diesel'!BF400</f>
        <v>13.451864051338374</v>
      </c>
      <c r="EW391" s="73">
        <f t="shared" si="386"/>
        <v>8885.0450160996952</v>
      </c>
      <c r="EX391" s="73">
        <f t="shared" si="387"/>
        <v>5819.7531523621165</v>
      </c>
      <c r="EY391" s="92">
        <f t="shared" si="410"/>
        <v>0.84996998745706032</v>
      </c>
      <c r="EZ391" s="92">
        <f t="shared" si="410"/>
        <v>0.55673499739766663</v>
      </c>
      <c r="FB391" s="102">
        <f>IF('Renewable Diesel'!$BG400&lt;1,0,(((('Renewable Diesel'!$BG400-1)*'Renewable Diesel'!$BF400)*'RD Feedstock Breakdown'!EA391)*'Feedstock Conversion Rates'!$B$2))</f>
        <v>141.59093430651498</v>
      </c>
      <c r="FC391" s="102">
        <f>IF('Renewable Diesel'!$BG400&lt;1,0,(((('Renewable Diesel'!$BG400-1)*'Renewable Diesel'!$BF400)*'RD Feedstock Breakdown'!EB391)*'Feedstock Conversion Rates'!$B$3))</f>
        <v>451.29038738889807</v>
      </c>
      <c r="FD391" s="102">
        <f>IF('Renewable Diesel'!$BG400&lt;1,0,(((('Renewable Diesel'!$BG400-1)*'Renewable Diesel'!$BF400)*'RD Feedstock Breakdown'!EC391)*'Feedstock Conversion Rates'!$B$4))</f>
        <v>2289.9355045575508</v>
      </c>
      <c r="FE391" s="102">
        <f>IF('Renewable Diesel'!$BG400&lt;1,0,(((('Renewable Diesel'!$BG400-1)*'Renewable Diesel'!$BF400)*'RD Feedstock Breakdown'!ED391)*'Feedstock Conversion Rates'!$B$5))</f>
        <v>278.89885489385728</v>
      </c>
      <c r="FF391" s="102">
        <f>IF('Renewable Diesel'!$BG400&lt;1,0,(((('Renewable Diesel'!$BG400-1)*'Renewable Diesel'!$BF400)*'RD Feedstock Breakdown'!EE391)*'Feedstock Conversion Rates'!$B$6))</f>
        <v>367.90089141840269</v>
      </c>
      <c r="FG391" s="102">
        <f>IF('Renewable Diesel'!$BG400&lt;1,0,(((('Renewable Diesel'!$BG400-1)*'Renewable Diesel'!$BF400)*'RD Feedstock Breakdown'!EF391)*'Feedstock Conversion Rates'!$B$7))</f>
        <v>598.19569770182329</v>
      </c>
      <c r="FH391" s="102">
        <f>IF('Renewable Diesel'!$BG400&lt;1,0,(((('Renewable Diesel'!$BG400-1)*'Renewable Diesel'!$BF400)*'RD Feedstock Breakdown'!EG391)*'Feedstock Conversion Rates'!$B$8))</f>
        <v>119.14435048695189</v>
      </c>
      <c r="FI391" s="102">
        <f>IF('Renewable Diesel'!$BG400&lt;1,0,(((('Renewable Diesel'!$BG400-1)*'Renewable Diesel'!$BF400)*'RD Feedstock Breakdown'!EH391)*'Feedstock Conversion Rates'!$B$9))</f>
        <v>4.4783146341762237</v>
      </c>
      <c r="FJ391" s="102">
        <f t="shared" si="388"/>
        <v>4251.4349353881753</v>
      </c>
      <c r="GD391" s="91">
        <f>'Renewable Diesel'!BB400*0.32</f>
        <v>0</v>
      </c>
      <c r="GE391" s="91">
        <f>'Renewable Diesel'!BC400</f>
        <v>350.63808208908694</v>
      </c>
      <c r="GF391" s="91">
        <f>'Renewable Diesel'!BD400</f>
        <v>0</v>
      </c>
      <c r="GG391" s="91">
        <f t="shared" si="373"/>
        <v>350.63808208908694</v>
      </c>
      <c r="GH391" s="124">
        <v>1</v>
      </c>
      <c r="GI391" s="102">
        <f>$GG391*EA391*'Feedstock Conversion Rates'!$B$2</f>
        <v>93.199195107661723</v>
      </c>
      <c r="GJ391" s="102">
        <f>$GG391*EB391*'Feedstock Conversion Rates'!$B$3</f>
        <v>297.05221644642302</v>
      </c>
      <c r="GK391" s="102">
        <f>$GG391*EC391*'Feedstock Conversion Rates'!$B$4</f>
        <v>1507.3009223260765</v>
      </c>
      <c r="GL391" s="102">
        <f>$GG391*ED391*'Feedstock Conversion Rates'!$B$5</f>
        <v>183.57918831361241</v>
      </c>
      <c r="GM391" s="102">
        <f>$GG391*EE391*'Feedstock Conversion Rates'!$B$6</f>
        <v>242.16286958994024</v>
      </c>
      <c r="GN391" s="102">
        <f>$GG391*EF391*'Feedstock Conversion Rates'!$B$7</f>
        <v>393.74948555665253</v>
      </c>
      <c r="GO391" s="102">
        <f>$GG391*EG391*'Feedstock Conversion Rates'!$B$8</f>
        <v>78.424212831104455</v>
      </c>
      <c r="GP391" s="102">
        <f>$GG391*EH391*'Feedstock Conversion Rates'!B$9</f>
        <v>2.9477545394294493</v>
      </c>
      <c r="GQ391" s="102">
        <f t="shared" si="356"/>
        <v>2798.4158447109003</v>
      </c>
      <c r="GT391" s="103">
        <f t="shared" si="418"/>
        <v>3.3304269372191879E-2</v>
      </c>
      <c r="GU391" s="103">
        <f t="shared" si="416"/>
        <v>0.10615013383656387</v>
      </c>
      <c r="GV391" s="103">
        <f t="shared" si="416"/>
        <v>0.53862649654979822</v>
      </c>
      <c r="GW391" s="103">
        <f t="shared" si="416"/>
        <v>6.5601110950176761E-2</v>
      </c>
      <c r="GX391" s="103">
        <f t="shared" si="416"/>
        <v>8.6535698419388296E-2</v>
      </c>
      <c r="GY391" s="103">
        <f t="shared" si="416"/>
        <v>0.14070442257566981</v>
      </c>
      <c r="GZ391" s="103">
        <f t="shared" si="416"/>
        <v>2.8024502855545516E-2</v>
      </c>
      <c r="HA391" s="103">
        <f t="shared" si="416"/>
        <v>1.0533654406655836E-3</v>
      </c>
    </row>
    <row r="392" spans="1:209" x14ac:dyDescent="0.25">
      <c r="A392" s="96">
        <v>52352</v>
      </c>
      <c r="B392" s="104">
        <f t="shared" si="406"/>
        <v>44.25</v>
      </c>
      <c r="C392" s="104">
        <f t="shared" si="396"/>
        <v>49</v>
      </c>
      <c r="D392" s="104">
        <f t="shared" si="407"/>
        <v>2</v>
      </c>
      <c r="E392" s="104">
        <f>('Renewable Diesel'!B401*E$3*'Feedstock Conversion Rates'!$B$2)/12+26+13-100+27.5+39</f>
        <v>95.43</v>
      </c>
      <c r="F392" s="104">
        <f>('Renewable Diesel'!B401*'RD Feedstock Breakdown'!F$3*'Feedstock Conversion Rates'!B$8)/12+77+23-10-12-115.75+24+8</f>
        <v>48.15625</v>
      </c>
      <c r="G392" s="104">
        <f>('Renewable Diesel'!B401*'RD Feedstock Breakdown'!G$3*'Feedstock Conversion Rates'!B$7)/12+116.75-39-57.5-145-31.5+32+70-40+10+60</f>
        <v>151.90700000000004</v>
      </c>
      <c r="H392" s="104">
        <f>('Renewable Diesel'!B401*'RD Feedstock Breakdown'!H$3*'Feedstock Conversion Rates'!B$3)/12+67+10+12+3-235+20+47-20+25</f>
        <v>105.40022499999998</v>
      </c>
      <c r="I392" s="106">
        <f t="shared" si="370"/>
        <v>496.14347500000002</v>
      </c>
      <c r="J392" s="104">
        <f t="shared" si="417"/>
        <v>4</v>
      </c>
      <c r="K392" s="104"/>
      <c r="L392" s="104">
        <v>1</v>
      </c>
      <c r="M392" s="104">
        <f>('Renewable Diesel'!C401*'RD Feedstock Breakdown'!M$3*'Feedstock Conversion Rates'!B$2)/12</f>
        <v>7.7902500000000003</v>
      </c>
      <c r="N392" s="104">
        <f>('Renewable Diesel'!C401*'RD Feedstock Breakdown'!N$3*'Feedstock Conversion Rates'!B$8)/12</f>
        <v>3.671875</v>
      </c>
      <c r="O392" s="104">
        <f>('Renewable Diesel'!C401*'RD Feedstock Breakdown'!O$3*'Feedstock Conversion Rates'!B$7)/12</f>
        <v>11.9991</v>
      </c>
      <c r="P392" s="104">
        <f>('Renewable Diesel'!C401*'RD Feedstock Breakdown'!P$3*'Feedstock Conversion Rates'!B$3)/12</f>
        <v>10.4470425</v>
      </c>
      <c r="Q392" s="106">
        <f t="shared" si="379"/>
        <v>38.908267500000001</v>
      </c>
      <c r="R392" s="104">
        <f>('Renewable Diesel'!D401*'RD Feedstock Breakdown'!R$3*'Feedstock Conversion Rates'!B$7)/12</f>
        <v>2.2999999999999998</v>
      </c>
      <c r="S392" s="106">
        <f t="shared" si="414"/>
        <v>2.2999999999999998</v>
      </c>
      <c r="T392" s="104">
        <f t="shared" si="380"/>
        <v>0.82499999999999929</v>
      </c>
      <c r="U392" s="104"/>
      <c r="V392" s="104">
        <f>('Renewable Diesel'!E401*'RD Feedstock Breakdown'!V$3*'Feedstock Conversion Rates'!B$6)/12-20+25</f>
        <v>49.250150000000012</v>
      </c>
      <c r="W392" s="104">
        <f>('Renewable Diesel'!E401*'RD Feedstock Breakdown'!W$3*'Feedstock Conversion Rates'!B$8)/12-6</f>
        <v>16.1796875</v>
      </c>
      <c r="X392" s="106">
        <f t="shared" si="357"/>
        <v>66.254837500000008</v>
      </c>
      <c r="Y392" s="104">
        <f t="shared" si="381"/>
        <v>98</v>
      </c>
      <c r="Z392" s="104">
        <f>('Renewable Diesel'!F401*'RD Feedstock Breakdown'!Z$3*'Feedstock Conversion Rates'!B$6)/12-142+15+5+20+5+15</f>
        <v>77.460000000000008</v>
      </c>
      <c r="AA392" s="104">
        <f>('Renewable Diesel'!F401*'RD Feedstock Breakdown'!AA$3*'Feedstock Conversion Rates'!B$7)/12+24</f>
        <v>128.26666666666665</v>
      </c>
      <c r="AB392" s="106">
        <f t="shared" si="400"/>
        <v>303.72666666666669</v>
      </c>
      <c r="AC392" s="104">
        <f>('Renewable Diesel'!G401*'RD Feedstock Breakdown'!AC$3*'Feedstock Conversion Rates'!B$5)/12</f>
        <v>11.796875</v>
      </c>
      <c r="AD392" s="104">
        <f>('Renewable Diesel'!G401*'RD Feedstock Breakdown'!AD$3*'Feedstock Conversion Rates'!B$4)/12</f>
        <v>5.859375</v>
      </c>
      <c r="AE392" s="104">
        <f>('Renewable Diesel'!G401*'RD Feedstock Breakdown'!AE$3*'Feedstock Conversion Rates'!B$6)/12</f>
        <v>7.3281250000000009</v>
      </c>
      <c r="AF392" s="106">
        <f t="shared" si="366"/>
        <v>24.984375</v>
      </c>
      <c r="AG392" s="104">
        <f t="shared" si="383"/>
        <v>148</v>
      </c>
      <c r="AH392" s="104"/>
      <c r="AI392" s="104">
        <f>('Renewable Diesel'!H401*'RD Feedstock Breakdown'!AI$3*'Feedstock Conversion Rates'!B$6)/12-130-20+51-49</f>
        <v>0.51666666666667993</v>
      </c>
      <c r="AJ392" s="106">
        <f t="shared" si="413"/>
        <v>148.51666666666668</v>
      </c>
      <c r="AK392" s="104">
        <f>('Renewable Diesel'!J401*'RD Feedstock Breakdown'!AK$3*'Feedstock Conversion Rates'!B$4)/12</f>
        <v>95.8125</v>
      </c>
      <c r="AL392" s="106">
        <f t="shared" si="415"/>
        <v>95.8125</v>
      </c>
      <c r="AM392" s="104">
        <f>('Renewable Diesel'!K401*'RD Feedstock Breakdown'!AM$3*'Feedstock Conversion Rates'!B$4)/12+5+15-10+10</f>
        <v>78.59375</v>
      </c>
      <c r="AN392" s="104">
        <f>('Renewable Diesel'!K401*'RD Feedstock Breakdown'!AN$3*'Feedstock Conversion Rates'!B$6)/12-5-15+10-10</f>
        <v>4.4270833333333321</v>
      </c>
      <c r="AO392" s="106">
        <f t="shared" si="350"/>
        <v>83.020833333333329</v>
      </c>
      <c r="AP392" s="104">
        <f>('Renewable Diesel'!L401*'RD Feedstock Breakdown'!AP$3*'Feedstock Conversion Rates'!B$4)/12+15-10+15</f>
        <v>78.59375</v>
      </c>
      <c r="AQ392" s="104">
        <f>('Renewable Diesel'!L401*'RD Feedstock Breakdown'!AQ$3*'Feedstock Conversion Rates'!B$6)/12-15+10-15</f>
        <v>4.4270833333333321</v>
      </c>
      <c r="AR392" s="106">
        <f t="shared" si="339"/>
        <v>83.020833333333329</v>
      </c>
      <c r="AS392" s="104">
        <f>('Renewable Diesel'!M401*'RD Feedstock Breakdown'!AS$3*'Feedstock Conversion Rates'!B$4)/12</f>
        <v>456.25</v>
      </c>
      <c r="AT392" s="104">
        <f>('Renewable Diesel'!M401*'RD Feedstock Breakdown'!AT$3*'Feedstock Conversion Rates'!B$5)/12</f>
        <v>0</v>
      </c>
      <c r="AU392" s="106">
        <f t="shared" si="369"/>
        <v>456.25</v>
      </c>
      <c r="AV392" s="104">
        <f>'Renewable Diesel'!N401*'RD Feedstock Breakdown'!$AV$3*'Feedstock Conversion Rates'!$B$4/12-15-10+25+25-22+25</f>
        <v>106.74999999999999</v>
      </c>
      <c r="AW392" s="104">
        <f>'Renewable Diesel'!N401*'RD Feedstock Breakdown'!$AW$3*'Feedstock Conversion Rates'!$B$7/12+15+10-25-25+22-25</f>
        <v>13.400000000000006</v>
      </c>
      <c r="AX392" s="106">
        <f t="shared" si="408"/>
        <v>120.14999999999999</v>
      </c>
      <c r="AY392" s="104">
        <f>('Renewable Diesel'!O401*'RD Feedstock Breakdown'!AY$3*'Feedstock Conversion Rates'!B$4)/12</f>
        <v>210.9375</v>
      </c>
      <c r="AZ392" s="104">
        <f>('Renewable Diesel'!O401*'RD Feedstock Breakdown'!AZ$3*'Feedstock Conversion Rates'!B$3)/12</f>
        <v>25.03125</v>
      </c>
      <c r="BA392" s="106">
        <f t="shared" si="382"/>
        <v>235.96875</v>
      </c>
      <c r="BB392" s="104">
        <f>('Renewable Diesel'!Q401*'RD Feedstock Breakdown'!BB$3*'Feedstock Conversion Rates'!B$4)/12</f>
        <v>11.156249999999998</v>
      </c>
      <c r="BC392" s="104">
        <f>('Renewable Diesel'!Q401*'RD Feedstock Breakdown'!BC$3*'Feedstock Conversion Rates'!B$3)/12</f>
        <v>1.4017500000000001</v>
      </c>
      <c r="BD392" s="104">
        <f>('Renewable Diesel'!Q401*'RD Feedstock Breakdown'!BD$3*'Feedstock Conversion Rates'!B$6)/12</f>
        <v>0.8207500000000002</v>
      </c>
      <c r="BE392" s="106">
        <f t="shared" si="359"/>
        <v>13.378749999999998</v>
      </c>
      <c r="BF392" s="104">
        <f>('Renewable Diesel'!R401*'RD Feedstock Breakdown'!BF$3*'Feedstock Conversion Rates'!B$4)/12</f>
        <v>62.5</v>
      </c>
      <c r="BG392" s="106">
        <f t="shared" si="344"/>
        <v>62.5</v>
      </c>
      <c r="BH392" s="104">
        <f>('Renewable Diesel'!T401*'RD Feedstock Breakdown'!BH$3*'Feedstock Conversion Rates'!B$7)/12</f>
        <v>27.599999999999998</v>
      </c>
      <c r="BI392" s="106">
        <f t="shared" si="412"/>
        <v>27.599999999999998</v>
      </c>
      <c r="BJ392" s="104">
        <f>('Renewable Diesel'!W401*'RD Feedstock Breakdown'!BJ$3*'Feedstock Conversion Rates'!B$4)/12</f>
        <v>7.5</v>
      </c>
      <c r="BK392" s="104">
        <f>('Renewable Diesel'!W401*'RD Feedstock Breakdown'!BK$3*'Feedstock Conversion Rates'!B$3)/12</f>
        <v>1.335</v>
      </c>
      <c r="BL392" s="104">
        <f>('Renewable Diesel'!W401*'RD Feedstock Breakdown'!BL$3*'Feedstock Conversion Rates'!B$6)/12</f>
        <v>3.1266666666666669</v>
      </c>
      <c r="BM392" s="104">
        <f>('Renewable Diesel'!W401*'RD Feedstock Breakdown'!BM$3*'Feedstock Conversion Rates'!B$7)/12</f>
        <v>1.5333333333333332</v>
      </c>
      <c r="BN392" s="106">
        <f t="shared" si="374"/>
        <v>13.495000000000001</v>
      </c>
      <c r="BO392" s="104">
        <f>('Renewable Diesel'!P401*'Feedstock Conversion Rates'!B$4)/12</f>
        <v>31.25</v>
      </c>
      <c r="BP392" s="106">
        <f t="shared" si="367"/>
        <v>31.25</v>
      </c>
      <c r="BQ392" s="104">
        <f>('Renewable Diesel'!$S401*'RD Feedstock Breakdown'!BQ$3*'Feedstock Conversion Rates'!B$4)/12+10+15-15</f>
        <v>38.125</v>
      </c>
      <c r="BR392" s="104">
        <f>('Renewable Diesel'!$S401*'RD Feedstock Breakdown'!BR$3*'Feedstock Conversion Rates'!B$7)/12-10-15+15</f>
        <v>1.5</v>
      </c>
      <c r="BS392" s="106">
        <f t="shared" si="385"/>
        <v>39.625</v>
      </c>
      <c r="BT392" s="106"/>
      <c r="BU392" s="104">
        <f>('Renewable Diesel'!Y401*'Feedstock Conversion Rates'!B$7)/12</f>
        <v>2.6833333333333331</v>
      </c>
      <c r="BV392" s="106">
        <f t="shared" si="361"/>
        <v>2.6833333333333331</v>
      </c>
      <c r="BW392" s="104">
        <f>('Renewable Diesel'!$Z401*'RD Feedstock Breakdown'!BW$3*'Feedstock Conversion Rates'!$B$4)/12-250+180</f>
        <v>1.875</v>
      </c>
      <c r="BX392" s="104">
        <f>('Renewable Diesel'!$Z401*'RD Feedstock Breakdown'!BX$3*'Feedstock Conversion Rates'!$B$5)/12</f>
        <v>7.2354166666666666</v>
      </c>
      <c r="BY392" s="104">
        <f>('Renewable Diesel'!$Z401*'RD Feedstock Breakdown'!BY$3*'Feedstock Conversion Rates'!$B$7)/12</f>
        <v>61.716666666666661</v>
      </c>
      <c r="BZ392" s="104">
        <f>('Renewable Diesel'!$Z401*'RD Feedstock Breakdown'!BZ$3*'Feedstock Conversion Rates'!$B$3)/12+250-180</f>
        <v>85.35250000000002</v>
      </c>
      <c r="CA392" s="106">
        <f t="shared" si="392"/>
        <v>156.17958333333334</v>
      </c>
      <c r="CB392" s="104">
        <f>('Renewable Diesel'!AA401*'Feedstock Conversion Rates'!B$4)/12</f>
        <v>191.25</v>
      </c>
      <c r="CC392" s="106">
        <f t="shared" si="376"/>
        <v>191.25</v>
      </c>
      <c r="CD392" s="104">
        <f>('Renewable Diesel'!$AB401*'RD Feedstock Breakdown'!CD$3*'Feedstock Conversion Rates'!$B$6)/12-15-5</f>
        <v>12.830000000000005</v>
      </c>
      <c r="CE392" s="104">
        <f>('Renewable Diesel'!$AB401*'RD Feedstock Breakdown'!CE$3*'Feedstock Conversion Rates'!$B$4)/12+15+5</f>
        <v>31.25</v>
      </c>
      <c r="CF392" s="106">
        <f t="shared" si="372"/>
        <v>44.080000000000005</v>
      </c>
      <c r="CG392" s="104">
        <f>('Renewable Diesel'!AD401*'Feedstock Conversion Rates'!B$4)/12</f>
        <v>112.5</v>
      </c>
      <c r="CH392" s="106">
        <f t="shared" si="358"/>
        <v>112.5</v>
      </c>
      <c r="CI392" s="104">
        <f>('Renewable Diesel'!$AE401*'RD Feedstock Breakdown'!CI$3*'Feedstock Conversion Rates'!$B$5)/12</f>
        <v>0.34604166666666664</v>
      </c>
      <c r="CJ392" s="104">
        <f>('Renewable Diesel'!$AE401*'RD Feedstock Breakdown'!CJ$3*'Feedstock Conversion Rates'!$B$4)/12</f>
        <v>0.34375</v>
      </c>
      <c r="CK392" s="106">
        <f t="shared" si="368"/>
        <v>0.68979166666666658</v>
      </c>
      <c r="CL392" s="104">
        <f>(((CL$3*'Renewable Diesel'!$AF401)*'Feedstock Conversion Rates'!$B$3)/12)</f>
        <v>91.78125</v>
      </c>
      <c r="CM392" s="104">
        <f>(((CM$3*'Renewable Diesel'!$AF401)*'Feedstock Conversion Rates'!$B$6)/12)</f>
        <v>53.739583333333336</v>
      </c>
      <c r="CN392" s="104">
        <f>(((CN$3*'Renewable Diesel'!$AF401)*'Feedstock Conversion Rates'!$B$4)/12)</f>
        <v>42.96875</v>
      </c>
      <c r="CO392" s="106">
        <f t="shared" si="360"/>
        <v>188.48958333333334</v>
      </c>
      <c r="CP392" s="104">
        <f>('Renewable Diesel'!$AG401*'RD Feedstock Breakdown'!CP$3*'Feedstock Conversion Rates'!$B$3)/12</f>
        <v>6.0075000000000003</v>
      </c>
      <c r="CQ392" s="104">
        <f>('Renewable Diesel'!$AG401*'RD Feedstock Breakdown'!CQ$3*'Feedstock Conversion Rates'!$B$6)/12</f>
        <v>3.5175000000000001</v>
      </c>
      <c r="CR392" s="104">
        <f>('Renewable Diesel'!$AG401*'RD Feedstock Breakdown'!CR$3*'Feedstock Conversion Rates'!$B$4)/12</f>
        <v>2.8125</v>
      </c>
      <c r="CS392" s="106">
        <f t="shared" si="397"/>
        <v>12.3375</v>
      </c>
      <c r="CT392" s="104">
        <f>('Renewable Diesel'!AI401*'Feedstock Conversion Rates'!$B$4*'RD Feedstock Breakdown'!$CT$3)/12</f>
        <v>29.375</v>
      </c>
      <c r="CU392" s="106">
        <f t="shared" si="364"/>
        <v>29.375</v>
      </c>
      <c r="CV392" s="104">
        <f>('Renewable Diesel'!AN401*'Feedstock Conversion Rates'!$B$3*'RD Feedstock Breakdown'!$CV$3)/12</f>
        <v>0.50062499999999999</v>
      </c>
      <c r="CW392" s="106">
        <f t="shared" si="419"/>
        <v>0.50062499999999999</v>
      </c>
      <c r="CX392" s="104">
        <f>('Renewable Diesel'!AO401*'RD Feedstock Breakdown'!$CX$3*'Feedstock Conversion Rates'!$B$3)/12</f>
        <v>6.3412499999999996</v>
      </c>
      <c r="CY392" s="104">
        <f>('Renewable Diesel'!AO401*'RD Feedstock Breakdown'!$CY$3*'Feedstock Conversion Rates'!$B$6)/12</f>
        <v>7.4258333333333342</v>
      </c>
      <c r="CZ392" s="106">
        <f t="shared" si="398"/>
        <v>13.767083333333334</v>
      </c>
      <c r="DA392" s="104">
        <f>('Renewable Diesel'!$AP401*'RD Feedstock Breakdown'!DA$3*'Feedstock Conversion Rates'!$B$3)/12</f>
        <v>6.3412499999999996</v>
      </c>
      <c r="DB392" s="104">
        <f>('Renewable Diesel'!$AP401*'RD Feedstock Breakdown'!DB$3*'Feedstock Conversion Rates'!$B$8)/12</f>
        <v>7.421875</v>
      </c>
      <c r="DC392" s="106">
        <f t="shared" si="342"/>
        <v>13.763124999999999</v>
      </c>
      <c r="DD392" s="104">
        <f>('Renewable Diesel'!AQ401*$DD$3*'Feedstock Conversion Rates'!$B$14)/12</f>
        <v>3.1041666666666665</v>
      </c>
      <c r="DE392" s="106">
        <f t="shared" si="343"/>
        <v>3.1041666666666665</v>
      </c>
      <c r="DF392" s="104">
        <f>('Renewable Diesel'!AR401*'Feedstock Conversion Rates'!$B$4*$DF$3)/12</f>
        <v>75</v>
      </c>
      <c r="DG392" s="106">
        <f t="shared" si="399"/>
        <v>75</v>
      </c>
      <c r="DH392" s="104">
        <f>('Renewable Diesel'!AS401*'Feedstock Conversion Rates'!$B$4*$DH$3)/12</f>
        <v>75</v>
      </c>
      <c r="DI392" s="106">
        <f t="shared" si="411"/>
        <v>75</v>
      </c>
      <c r="DJ392" s="104">
        <f>('Renewable Diesel'!AT401*'Feedstock Conversion Rates'!$B$4*0.25)/12</f>
        <v>8.59375</v>
      </c>
      <c r="DK392" s="104">
        <f>('Renewable Diesel'!$AT401*'RD Feedstock Breakdown'!DK$3*'Feedstock Conversion Rates'!$B$3)/12*0.5</f>
        <v>9.1781249999999996</v>
      </c>
      <c r="DL392" s="104">
        <f>('Renewable Diesel'!$AT401*'RD Feedstock Breakdown'!$DL$3*'Feedstock Conversion Rates'!$B$6)/12</f>
        <v>10.747916666666669</v>
      </c>
      <c r="DM392" s="104">
        <f>('Renewable Diesel'!$AT401*'RD Feedstock Breakdown'!$DM$3*'Feedstock Conversion Rates'!$B$8)/12</f>
        <v>10.7421875</v>
      </c>
      <c r="DN392" s="106">
        <f t="shared" si="375"/>
        <v>39.26197916666667</v>
      </c>
      <c r="DP392" s="104">
        <f t="shared" si="345"/>
        <v>103.22025000000001</v>
      </c>
      <c r="DQ392" s="104">
        <f t="shared" si="346"/>
        <v>349.11776750000007</v>
      </c>
      <c r="DR392" s="104">
        <f t="shared" si="351"/>
        <v>1891.953125</v>
      </c>
      <c r="DS392" s="104">
        <f t="shared" si="365"/>
        <v>228.90125</v>
      </c>
      <c r="DT392" s="104">
        <f t="shared" si="347"/>
        <v>243.03923333333344</v>
      </c>
      <c r="DU392" s="104">
        <f t="shared" si="348"/>
        <v>402.90610000000009</v>
      </c>
      <c r="DV392" s="104">
        <f t="shared" si="352"/>
        <v>78.75</v>
      </c>
      <c r="DW392" s="104">
        <f t="shared" si="349"/>
        <v>3</v>
      </c>
      <c r="DX392" s="106">
        <f t="shared" si="353"/>
        <v>3300.8877258333337</v>
      </c>
      <c r="DY392" s="109">
        <f t="shared" si="340"/>
        <v>-5.631051180898794E-13</v>
      </c>
      <c r="EA392" s="110">
        <f t="shared" si="393"/>
        <v>3.1270451640078516E-2</v>
      </c>
      <c r="EB392" s="110">
        <f t="shared" si="393"/>
        <v>0.10576481131658687</v>
      </c>
      <c r="EC392" s="110">
        <f t="shared" si="393"/>
        <v>0.57316494293133291</v>
      </c>
      <c r="ED392" s="110">
        <f t="shared" si="393"/>
        <v>6.9345360706629972E-2</v>
      </c>
      <c r="EE392" s="110">
        <f t="shared" si="393"/>
        <v>7.3628445896921982E-2</v>
      </c>
      <c r="EF392" s="110">
        <f t="shared" si="393"/>
        <v>0.1220599225010852</v>
      </c>
      <c r="EG392" s="110">
        <f t="shared" si="384"/>
        <v>2.3857218585075921E-2</v>
      </c>
      <c r="EH392" s="111">
        <f t="shared" si="354"/>
        <v>9.0884642228860647E-4</v>
      </c>
      <c r="EI392" s="110">
        <f t="shared" si="409"/>
        <v>0.99909115357771139</v>
      </c>
      <c r="EK392" s="132">
        <f>(EA392*'Renewable Diesel'!BF401*'Feedstock Conversion Rates'!B$2)+FB392</f>
        <v>524.08810226836817</v>
      </c>
      <c r="EL392" s="132">
        <f>(EB392*'Renewable Diesel'!BF401*'Feedstock Conversion Rates'!B$3)+FC392</f>
        <v>1670.4171340984053</v>
      </c>
      <c r="EM392" s="132">
        <f>(EC392*'Renewable Diesel'!BF401*'Feedstock Conversion Rates'!B$4)+FD392</f>
        <v>8476.0225559533137</v>
      </c>
      <c r="EN392" s="132">
        <f>(ED392*'Renewable Diesel'!BF401*'Feedstock Conversion Rates'!B$5)+FE392</f>
        <v>1032.3229541640017</v>
      </c>
      <c r="EO392" s="132">
        <f>(EE392*'Renewable Diesel'!BF401*'Feedstock Conversion Rates'!B$6)+FF392</f>
        <v>1361.7572406783661</v>
      </c>
      <c r="EP392" s="132">
        <f>(EF392*'Renewable Diesel'!BF401*'Feedstock Conversion Rates'!B$7)+FG392</f>
        <v>2214.1759960067284</v>
      </c>
      <c r="EQ392" s="132">
        <f>(EG392*'Renewable Diesel'!BF401*'Feedstock Conversion Rates'!B$8)+FH392</f>
        <v>441.00377505476217</v>
      </c>
      <c r="ER392" s="132">
        <f>(EH392*'Renewable Diesel'!BF401*'Feedstock Conversion Rates'!B$9)+FI392</f>
        <v>16.576141894121854</v>
      </c>
      <c r="ES392" s="132">
        <f t="shared" si="355"/>
        <v>15736.363900118067</v>
      </c>
      <c r="ET392" s="133">
        <f>ES392/'Renewable Diesel'!BF401</f>
        <v>16.777485160269244</v>
      </c>
      <c r="EW392" s="73">
        <f t="shared" si="386"/>
        <v>14493.642358661984</v>
      </c>
      <c r="EX392" s="73">
        <f t="shared" si="387"/>
        <v>9493.4151321902245</v>
      </c>
      <c r="EY392" s="92">
        <f t="shared" si="410"/>
        <v>0.92102867286598789</v>
      </c>
      <c r="EZ392" s="92">
        <f t="shared" si="410"/>
        <v>0.60327882555632795</v>
      </c>
      <c r="FB392" s="102">
        <f>IF('Renewable Diesel'!$BG401&lt;1,0,(((('Renewable Diesel'!$BG401-1)*'Renewable Diesel'!$BF401)*'RD Feedstock Breakdown'!EA392)*'Feedstock Conversion Rates'!$B$2))</f>
        <v>274.78332185322699</v>
      </c>
      <c r="FC392" s="102">
        <f>IF('Renewable Diesel'!$BG401&lt;1,0,(((('Renewable Diesel'!$BG401-1)*'Renewable Diesel'!$BF401)*'RD Feedstock Breakdown'!EB392)*'Feedstock Conversion Rates'!$B$3))</f>
        <v>875.81222890090896</v>
      </c>
      <c r="FD392" s="102">
        <f>IF('Renewable Diesel'!$BG401&lt;1,0,(((('Renewable Diesel'!$BG401-1)*'Renewable Diesel'!$BF401)*'RD Feedstock Breakdown'!EC392)*'Feedstock Conversion Rates'!$B$4))</f>
        <v>4444.0421828830058</v>
      </c>
      <c r="FE392" s="102">
        <f>IF('Renewable Diesel'!$BG401&lt;1,0,(((('Renewable Diesel'!$BG401-1)*'Renewable Diesel'!$BF401)*'RD Feedstock Breakdown'!ED392)*'Feedstock Conversion Rates'!$B$5))</f>
        <v>541.25466566166267</v>
      </c>
      <c r="FF392" s="102">
        <f>IF('Renewable Diesel'!$BG401&lt;1,0,(((('Renewable Diesel'!$BG401-1)*'Renewable Diesel'!$BF401)*'RD Feedstock Breakdown'!EE392)*'Feedstock Conversion Rates'!$B$6))</f>
        <v>713.97953231854967</v>
      </c>
      <c r="FG392" s="102">
        <f>IF('Renewable Diesel'!$BG401&lt;1,0,(((('Renewable Diesel'!$BG401-1)*'Renewable Diesel'!$BF401)*'RD Feedstock Breakdown'!EF392)*'Feedstock Conversion Rates'!$B$7))</f>
        <v>1160.9090775330271</v>
      </c>
      <c r="FH392" s="102">
        <f>IF('Renewable Diesel'!$BG401&lt;1,0,(((('Renewable Diesel'!$BG401-1)*'Renewable Diesel'!$BF401)*'RD Feedstock Breakdown'!EG392)*'Feedstock Conversion Rates'!$B$8))</f>
        <v>231.22158609376004</v>
      </c>
      <c r="FI392" s="102">
        <f>IF('Renewable Diesel'!$BG401&lt;1,0,(((('Renewable Diesel'!$BG401-1)*'Renewable Diesel'!$BF401)*'RD Feedstock Breakdown'!EH392)*'Feedstock Conversion Rates'!$B$9))</f>
        <v>8.6909954900003772</v>
      </c>
      <c r="FJ392" s="102">
        <f t="shared" si="388"/>
        <v>8250.6935907341413</v>
      </c>
      <c r="GD392" s="91">
        <f>'Renewable Diesel'!BB401*0.32</f>
        <v>0</v>
      </c>
      <c r="GE392" s="91">
        <f>'Renewable Diesel'!BC401</f>
        <v>461.55358961231804</v>
      </c>
      <c r="GF392" s="91">
        <f>'Renewable Diesel'!BD401</f>
        <v>0</v>
      </c>
      <c r="GG392" s="91">
        <f t="shared" si="373"/>
        <v>461.55358961231804</v>
      </c>
      <c r="GH392" s="124">
        <v>1</v>
      </c>
      <c r="GI392" s="102">
        <f>$GG392*EA392*'Feedstock Conversion Rates'!$B$2</f>
        <v>122.68040822785142</v>
      </c>
      <c r="GJ392" s="102">
        <f>$GG392*EB392*'Feedstock Conversion Rates'!$B$3</f>
        <v>391.0171878258999</v>
      </c>
      <c r="GK392" s="102">
        <f>$GG392*EC392*'Feedstock Conversion Rates'!$B$4</f>
        <v>1984.0975263742209</v>
      </c>
      <c r="GL392" s="102">
        <f>$GG392*ED392*'Feedstock Conversion Rates'!$B$5</f>
        <v>241.64983118615072</v>
      </c>
      <c r="GM392" s="102">
        <f>$GG392*EE392*'Feedstock Conversion Rates'!$B$6</f>
        <v>318.76498144220051</v>
      </c>
      <c r="GN392" s="102">
        <f>$GG392*EF392*'Feedstock Conversion Rates'!$B$7</f>
        <v>518.30219747923036</v>
      </c>
      <c r="GO392" s="102">
        <f>$GG392*EG392*'Feedstock Conversion Rates'!$B$8</f>
        <v>103.23173321350781</v>
      </c>
      <c r="GP392" s="102">
        <f>$GG392*EH392*'Feedstock Conversion Rates'!B$9</f>
        <v>3.8802022896759754</v>
      </c>
      <c r="GQ392" s="102">
        <f t="shared" si="356"/>
        <v>3683.6240680387377</v>
      </c>
      <c r="GT392" s="103">
        <f t="shared" si="418"/>
        <v>3.3304269372191886E-2</v>
      </c>
      <c r="GU392" s="103">
        <f t="shared" si="416"/>
        <v>0.10615013383656388</v>
      </c>
      <c r="GV392" s="103">
        <f t="shared" si="416"/>
        <v>0.53862649654979822</v>
      </c>
      <c r="GW392" s="103">
        <f t="shared" si="416"/>
        <v>6.5601110950176761E-2</v>
      </c>
      <c r="GX392" s="103">
        <f t="shared" si="416"/>
        <v>8.6535698419388296E-2</v>
      </c>
      <c r="GY392" s="103">
        <f t="shared" si="416"/>
        <v>0.14070442257566981</v>
      </c>
      <c r="GZ392" s="103">
        <f t="shared" si="416"/>
        <v>2.8024502855545516E-2</v>
      </c>
      <c r="HA392" s="103">
        <f t="shared" si="416"/>
        <v>1.0533654406655838E-3</v>
      </c>
    </row>
    <row r="393" spans="1:209" x14ac:dyDescent="0.25">
      <c r="A393" s="96">
        <v>52383</v>
      </c>
      <c r="B393" s="104">
        <f t="shared" si="406"/>
        <v>44.25</v>
      </c>
      <c r="C393" s="104">
        <f t="shared" si="396"/>
        <v>49</v>
      </c>
      <c r="D393" s="104">
        <f t="shared" si="407"/>
        <v>2</v>
      </c>
      <c r="E393" s="104">
        <f>('Renewable Diesel'!B402*E$3*'Feedstock Conversion Rates'!$B$2)/12+26+13-100+27.5+39</f>
        <v>95.43</v>
      </c>
      <c r="F393" s="104">
        <f>('Renewable Diesel'!B402*'RD Feedstock Breakdown'!F$3*'Feedstock Conversion Rates'!B$8)/12+77+23-10-12-115.75+24+8</f>
        <v>48.15625</v>
      </c>
      <c r="G393" s="104">
        <f>('Renewable Diesel'!B402*'RD Feedstock Breakdown'!G$3*'Feedstock Conversion Rates'!B$7)/12+116.75-39-57.5-145-31.5+32+70-40+10+60</f>
        <v>151.90700000000004</v>
      </c>
      <c r="H393" s="104">
        <f>('Renewable Diesel'!B402*'RD Feedstock Breakdown'!H$3*'Feedstock Conversion Rates'!B$3)/12+67+10+12+3-235+20+47-20+25</f>
        <v>105.40022499999998</v>
      </c>
      <c r="I393" s="106">
        <f t="shared" si="370"/>
        <v>496.14347500000002</v>
      </c>
      <c r="J393" s="104">
        <f t="shared" si="417"/>
        <v>4</v>
      </c>
      <c r="K393" s="104"/>
      <c r="L393" s="104">
        <v>1</v>
      </c>
      <c r="M393" s="104">
        <f>('Renewable Diesel'!C402*'RD Feedstock Breakdown'!M$3*'Feedstock Conversion Rates'!B$2)/12</f>
        <v>7.7902500000000003</v>
      </c>
      <c r="N393" s="104">
        <f>('Renewable Diesel'!C402*'RD Feedstock Breakdown'!N$3*'Feedstock Conversion Rates'!B$8)/12</f>
        <v>3.671875</v>
      </c>
      <c r="O393" s="104">
        <f>('Renewable Diesel'!C402*'RD Feedstock Breakdown'!O$3*'Feedstock Conversion Rates'!B$7)/12</f>
        <v>11.9991</v>
      </c>
      <c r="P393" s="104">
        <f>('Renewable Diesel'!C402*'RD Feedstock Breakdown'!P$3*'Feedstock Conversion Rates'!B$3)/12</f>
        <v>10.4470425</v>
      </c>
      <c r="Q393" s="106">
        <f t="shared" si="379"/>
        <v>38.908267500000001</v>
      </c>
      <c r="R393" s="104">
        <f>('Renewable Diesel'!D402*'RD Feedstock Breakdown'!R$3*'Feedstock Conversion Rates'!B$7)/12</f>
        <v>2.2999999999999998</v>
      </c>
      <c r="S393" s="106">
        <f t="shared" si="414"/>
        <v>2.2999999999999998</v>
      </c>
      <c r="T393" s="104">
        <f t="shared" si="380"/>
        <v>0.82499999999999929</v>
      </c>
      <c r="U393" s="104"/>
      <c r="V393" s="104">
        <f>('Renewable Diesel'!E402*'RD Feedstock Breakdown'!V$3*'Feedstock Conversion Rates'!B$6)/12-20+25</f>
        <v>49.250150000000012</v>
      </c>
      <c r="W393" s="104">
        <f>('Renewable Diesel'!E402*'RD Feedstock Breakdown'!W$3*'Feedstock Conversion Rates'!B$8)/12-6</f>
        <v>16.1796875</v>
      </c>
      <c r="X393" s="106">
        <f t="shared" si="357"/>
        <v>66.254837500000008</v>
      </c>
      <c r="Y393" s="104">
        <f t="shared" si="381"/>
        <v>98</v>
      </c>
      <c r="Z393" s="104">
        <f>('Renewable Diesel'!F402*'RD Feedstock Breakdown'!Z$3*'Feedstock Conversion Rates'!B$6)/12-142+15+5+20+5+15</f>
        <v>77.460000000000008</v>
      </c>
      <c r="AA393" s="104">
        <f>('Renewable Diesel'!F402*'RD Feedstock Breakdown'!AA$3*'Feedstock Conversion Rates'!B$7)/12+24</f>
        <v>128.26666666666665</v>
      </c>
      <c r="AB393" s="106">
        <f t="shared" si="400"/>
        <v>303.72666666666669</v>
      </c>
      <c r="AC393" s="104">
        <f>('Renewable Diesel'!G402*'RD Feedstock Breakdown'!AC$3*'Feedstock Conversion Rates'!B$5)/12</f>
        <v>11.796875</v>
      </c>
      <c r="AD393" s="104">
        <f>('Renewable Diesel'!G402*'RD Feedstock Breakdown'!AD$3*'Feedstock Conversion Rates'!B$4)/12</f>
        <v>5.859375</v>
      </c>
      <c r="AE393" s="104">
        <f>('Renewable Diesel'!G402*'RD Feedstock Breakdown'!AE$3*'Feedstock Conversion Rates'!B$6)/12</f>
        <v>7.3281250000000009</v>
      </c>
      <c r="AF393" s="106">
        <f t="shared" si="366"/>
        <v>24.984375</v>
      </c>
      <c r="AG393" s="104">
        <f t="shared" si="383"/>
        <v>148</v>
      </c>
      <c r="AH393" s="104"/>
      <c r="AI393" s="104">
        <f>('Renewable Diesel'!H402*'RD Feedstock Breakdown'!AI$3*'Feedstock Conversion Rates'!B$6)/12-130-20+51-49</f>
        <v>0.51666666666667993</v>
      </c>
      <c r="AJ393" s="106">
        <f t="shared" si="413"/>
        <v>148.51666666666668</v>
      </c>
      <c r="AK393" s="104">
        <f>('Renewable Diesel'!J402*'RD Feedstock Breakdown'!AK$3*'Feedstock Conversion Rates'!B$4)/12</f>
        <v>95.8125</v>
      </c>
      <c r="AL393" s="106">
        <f t="shared" si="415"/>
        <v>95.8125</v>
      </c>
      <c r="AM393" s="104">
        <f>('Renewable Diesel'!K402*'RD Feedstock Breakdown'!AM$3*'Feedstock Conversion Rates'!B$4)/12+5+15-10+10</f>
        <v>78.59375</v>
      </c>
      <c r="AN393" s="104">
        <f>('Renewable Diesel'!K402*'RD Feedstock Breakdown'!AN$3*'Feedstock Conversion Rates'!B$6)/12-5-15+10-10</f>
        <v>4.4270833333333321</v>
      </c>
      <c r="AO393" s="106">
        <f t="shared" si="350"/>
        <v>83.020833333333329</v>
      </c>
      <c r="AP393" s="104">
        <f>('Renewable Diesel'!L402*'RD Feedstock Breakdown'!AP$3*'Feedstock Conversion Rates'!B$4)/12+15-10+15</f>
        <v>78.59375</v>
      </c>
      <c r="AQ393" s="104">
        <f>('Renewable Diesel'!L402*'RD Feedstock Breakdown'!AQ$3*'Feedstock Conversion Rates'!B$6)/12-15+10-15</f>
        <v>4.4270833333333321</v>
      </c>
      <c r="AR393" s="106">
        <f t="shared" ref="AR393:AR456" si="420">SUM(AP393:AQ393)</f>
        <v>83.020833333333329</v>
      </c>
      <c r="AS393" s="104">
        <f>('Renewable Diesel'!M402*'RD Feedstock Breakdown'!AS$3*'Feedstock Conversion Rates'!B$4)/12</f>
        <v>456.25</v>
      </c>
      <c r="AT393" s="104">
        <f>('Renewable Diesel'!M402*'RD Feedstock Breakdown'!AT$3*'Feedstock Conversion Rates'!B$5)/12</f>
        <v>0</v>
      </c>
      <c r="AU393" s="106">
        <f t="shared" si="369"/>
        <v>456.25</v>
      </c>
      <c r="AV393" s="104">
        <f>'Renewable Diesel'!N402*'RD Feedstock Breakdown'!$AV$3*'Feedstock Conversion Rates'!$B$4/12-15-10+25+25-22+25</f>
        <v>106.74999999999999</v>
      </c>
      <c r="AW393" s="104">
        <f>'Renewable Diesel'!N402*'RD Feedstock Breakdown'!$AW$3*'Feedstock Conversion Rates'!$B$7/12+15+10-25-25+22-25</f>
        <v>13.400000000000006</v>
      </c>
      <c r="AX393" s="106">
        <f t="shared" si="408"/>
        <v>120.14999999999999</v>
      </c>
      <c r="AY393" s="104">
        <f>('Renewable Diesel'!O402*'RD Feedstock Breakdown'!AY$3*'Feedstock Conversion Rates'!B$4)/12</f>
        <v>210.9375</v>
      </c>
      <c r="AZ393" s="104">
        <f>('Renewable Diesel'!O402*'RD Feedstock Breakdown'!AZ$3*'Feedstock Conversion Rates'!B$3)/12</f>
        <v>25.03125</v>
      </c>
      <c r="BA393" s="106">
        <f t="shared" si="382"/>
        <v>235.96875</v>
      </c>
      <c r="BB393" s="104">
        <f>('Renewable Diesel'!Q402*'RD Feedstock Breakdown'!BB$3*'Feedstock Conversion Rates'!B$4)/12</f>
        <v>11.156249999999998</v>
      </c>
      <c r="BC393" s="104">
        <f>('Renewable Diesel'!Q402*'RD Feedstock Breakdown'!BC$3*'Feedstock Conversion Rates'!B$3)/12</f>
        <v>1.4017500000000001</v>
      </c>
      <c r="BD393" s="104">
        <f>('Renewable Diesel'!Q402*'RD Feedstock Breakdown'!BD$3*'Feedstock Conversion Rates'!B$6)/12</f>
        <v>0.8207500000000002</v>
      </c>
      <c r="BE393" s="106">
        <f t="shared" si="359"/>
        <v>13.378749999999998</v>
      </c>
      <c r="BF393" s="104">
        <f>('Renewable Diesel'!R402*'RD Feedstock Breakdown'!BF$3*'Feedstock Conversion Rates'!B$4)/12</f>
        <v>62.5</v>
      </c>
      <c r="BG393" s="106">
        <f t="shared" si="344"/>
        <v>62.5</v>
      </c>
      <c r="BH393" s="104">
        <f>('Renewable Diesel'!T402*'RD Feedstock Breakdown'!BH$3*'Feedstock Conversion Rates'!B$7)/12</f>
        <v>27.599999999999998</v>
      </c>
      <c r="BI393" s="106">
        <f t="shared" si="412"/>
        <v>27.599999999999998</v>
      </c>
      <c r="BJ393" s="104">
        <f>('Renewable Diesel'!W402*'RD Feedstock Breakdown'!BJ$3*'Feedstock Conversion Rates'!B$4)/12</f>
        <v>7.5</v>
      </c>
      <c r="BK393" s="104">
        <f>('Renewable Diesel'!W402*'RD Feedstock Breakdown'!BK$3*'Feedstock Conversion Rates'!B$3)/12</f>
        <v>1.335</v>
      </c>
      <c r="BL393" s="104">
        <f>('Renewable Diesel'!W402*'RD Feedstock Breakdown'!BL$3*'Feedstock Conversion Rates'!B$6)/12</f>
        <v>3.1266666666666669</v>
      </c>
      <c r="BM393" s="104">
        <f>('Renewable Diesel'!W402*'RD Feedstock Breakdown'!BM$3*'Feedstock Conversion Rates'!B$7)/12</f>
        <v>1.5333333333333332</v>
      </c>
      <c r="BN393" s="106">
        <f t="shared" si="374"/>
        <v>13.495000000000001</v>
      </c>
      <c r="BO393" s="104">
        <f>('Renewable Diesel'!P402*'Feedstock Conversion Rates'!B$4)/12</f>
        <v>31.25</v>
      </c>
      <c r="BP393" s="106">
        <f t="shared" si="367"/>
        <v>31.25</v>
      </c>
      <c r="BQ393" s="104">
        <f>('Renewable Diesel'!$S402*'RD Feedstock Breakdown'!BQ$3*'Feedstock Conversion Rates'!B$4)/12+10+15-15</f>
        <v>38.125</v>
      </c>
      <c r="BR393" s="104">
        <f>('Renewable Diesel'!$S402*'RD Feedstock Breakdown'!BR$3*'Feedstock Conversion Rates'!B$7)/12-10-15+15</f>
        <v>1.5</v>
      </c>
      <c r="BS393" s="106">
        <f t="shared" si="385"/>
        <v>39.625</v>
      </c>
      <c r="BT393" s="106"/>
      <c r="BU393" s="104">
        <f>('Renewable Diesel'!Y402*'Feedstock Conversion Rates'!B$7)/12</f>
        <v>2.6833333333333331</v>
      </c>
      <c r="BV393" s="106">
        <f t="shared" si="361"/>
        <v>2.6833333333333331</v>
      </c>
      <c r="BW393" s="104">
        <f>('Renewable Diesel'!$Z402*'RD Feedstock Breakdown'!BW$3*'Feedstock Conversion Rates'!$B$4)/12-250+180</f>
        <v>1.875</v>
      </c>
      <c r="BX393" s="104">
        <f>('Renewable Diesel'!$Z402*'RD Feedstock Breakdown'!BX$3*'Feedstock Conversion Rates'!$B$5)/12</f>
        <v>7.2354166666666666</v>
      </c>
      <c r="BY393" s="104">
        <f>('Renewable Diesel'!$Z402*'RD Feedstock Breakdown'!BY$3*'Feedstock Conversion Rates'!$B$7)/12</f>
        <v>61.716666666666661</v>
      </c>
      <c r="BZ393" s="104">
        <f>('Renewable Diesel'!$Z402*'RD Feedstock Breakdown'!BZ$3*'Feedstock Conversion Rates'!$B$3)/12+250-180</f>
        <v>85.35250000000002</v>
      </c>
      <c r="CA393" s="106">
        <f t="shared" si="392"/>
        <v>156.17958333333334</v>
      </c>
      <c r="CB393" s="104">
        <f>('Renewable Diesel'!AA402*'Feedstock Conversion Rates'!B$4)/12</f>
        <v>191.25</v>
      </c>
      <c r="CC393" s="106">
        <f t="shared" si="376"/>
        <v>191.25</v>
      </c>
      <c r="CD393" s="104">
        <f>('Renewable Diesel'!$AB402*'RD Feedstock Breakdown'!CD$3*'Feedstock Conversion Rates'!$B$6)/12-15-5</f>
        <v>12.830000000000005</v>
      </c>
      <c r="CE393" s="104">
        <f>('Renewable Diesel'!$AB402*'RD Feedstock Breakdown'!CE$3*'Feedstock Conversion Rates'!$B$4)/12+15+5</f>
        <v>31.25</v>
      </c>
      <c r="CF393" s="106">
        <f t="shared" si="372"/>
        <v>44.080000000000005</v>
      </c>
      <c r="CG393" s="104">
        <f>('Renewable Diesel'!AD402*'Feedstock Conversion Rates'!B$4)/12</f>
        <v>112.5</v>
      </c>
      <c r="CH393" s="106">
        <f t="shared" si="358"/>
        <v>112.5</v>
      </c>
      <c r="CI393" s="104">
        <f>('Renewable Diesel'!$AE402*'RD Feedstock Breakdown'!CI$3*'Feedstock Conversion Rates'!$B$5)/12</f>
        <v>0.34604166666666664</v>
      </c>
      <c r="CJ393" s="104">
        <f>('Renewable Diesel'!$AE402*'RD Feedstock Breakdown'!CJ$3*'Feedstock Conversion Rates'!$B$4)/12</f>
        <v>0.34375</v>
      </c>
      <c r="CK393" s="106">
        <f t="shared" si="368"/>
        <v>0.68979166666666658</v>
      </c>
      <c r="CL393" s="104">
        <f>(((CL$3*'Renewable Diesel'!$AF402)*'Feedstock Conversion Rates'!$B$3)/12)</f>
        <v>91.78125</v>
      </c>
      <c r="CM393" s="104">
        <f>(((CM$3*'Renewable Diesel'!$AF402)*'Feedstock Conversion Rates'!$B$6)/12)</f>
        <v>53.739583333333336</v>
      </c>
      <c r="CN393" s="104">
        <f>(((CN$3*'Renewable Diesel'!$AF402)*'Feedstock Conversion Rates'!$B$4)/12)</f>
        <v>42.96875</v>
      </c>
      <c r="CO393" s="106">
        <f t="shared" si="360"/>
        <v>188.48958333333334</v>
      </c>
      <c r="CP393" s="104">
        <f>('Renewable Diesel'!$AG402*'RD Feedstock Breakdown'!CP$3*'Feedstock Conversion Rates'!$B$3)/12</f>
        <v>6.0075000000000003</v>
      </c>
      <c r="CQ393" s="104">
        <f>('Renewable Diesel'!$AG402*'RD Feedstock Breakdown'!CQ$3*'Feedstock Conversion Rates'!$B$6)/12</f>
        <v>3.5175000000000001</v>
      </c>
      <c r="CR393" s="104">
        <f>('Renewable Diesel'!$AG402*'RD Feedstock Breakdown'!CR$3*'Feedstock Conversion Rates'!$B$4)/12</f>
        <v>2.8125</v>
      </c>
      <c r="CS393" s="106">
        <f t="shared" si="397"/>
        <v>12.3375</v>
      </c>
      <c r="CT393" s="104">
        <f>('Renewable Diesel'!AI402*'Feedstock Conversion Rates'!$B$4*'RD Feedstock Breakdown'!$CT$3)/12</f>
        <v>29.375</v>
      </c>
      <c r="CU393" s="106">
        <f t="shared" si="364"/>
        <v>29.375</v>
      </c>
      <c r="CV393" s="104">
        <f>('Renewable Diesel'!AN402*'Feedstock Conversion Rates'!$B$3*'RD Feedstock Breakdown'!$CV$3)/12</f>
        <v>0.50062499999999999</v>
      </c>
      <c r="CW393" s="106">
        <f t="shared" si="419"/>
        <v>0.50062499999999999</v>
      </c>
      <c r="CX393" s="104">
        <f>('Renewable Diesel'!AO402*'RD Feedstock Breakdown'!$CX$3*'Feedstock Conversion Rates'!$B$3)/12</f>
        <v>6.3412499999999996</v>
      </c>
      <c r="CY393" s="104">
        <f>('Renewable Diesel'!AO402*'RD Feedstock Breakdown'!$CY$3*'Feedstock Conversion Rates'!$B$6)/12</f>
        <v>7.4258333333333342</v>
      </c>
      <c r="CZ393" s="106">
        <f t="shared" si="398"/>
        <v>13.767083333333334</v>
      </c>
      <c r="DA393" s="104">
        <f>('Renewable Diesel'!$AP402*'RD Feedstock Breakdown'!DA$3*'Feedstock Conversion Rates'!$B$3)/12</f>
        <v>6.3412499999999996</v>
      </c>
      <c r="DB393" s="104">
        <f>('Renewable Diesel'!$AP402*'RD Feedstock Breakdown'!DB$3*'Feedstock Conversion Rates'!$B$8)/12</f>
        <v>7.421875</v>
      </c>
      <c r="DC393" s="106">
        <f t="shared" si="342"/>
        <v>13.763124999999999</v>
      </c>
      <c r="DD393" s="104">
        <f>('Renewable Diesel'!AQ402*$DD$3*'Feedstock Conversion Rates'!$B$14)/12</f>
        <v>3.1041666666666665</v>
      </c>
      <c r="DE393" s="106">
        <f t="shared" si="343"/>
        <v>3.1041666666666665</v>
      </c>
      <c r="DF393" s="104">
        <f>('Renewable Diesel'!AR402*'Feedstock Conversion Rates'!$B$4*$DF$3)/12</f>
        <v>75</v>
      </c>
      <c r="DG393" s="106">
        <f t="shared" si="399"/>
        <v>75</v>
      </c>
      <c r="DH393" s="104">
        <f>('Renewable Diesel'!AS402*'Feedstock Conversion Rates'!$B$4*$DH$3)/12</f>
        <v>75</v>
      </c>
      <c r="DI393" s="106">
        <f t="shared" si="411"/>
        <v>75</v>
      </c>
      <c r="DJ393" s="104">
        <f>('Renewable Diesel'!AT402*'Feedstock Conversion Rates'!$B$4*0.25)/12</f>
        <v>8.59375</v>
      </c>
      <c r="DK393" s="104">
        <f>('Renewable Diesel'!$AT402*'RD Feedstock Breakdown'!DK$3*'Feedstock Conversion Rates'!$B$3)/12*0.5</f>
        <v>9.1781249999999996</v>
      </c>
      <c r="DL393" s="104">
        <f>('Renewable Diesel'!$AT402*'RD Feedstock Breakdown'!$DL$3*'Feedstock Conversion Rates'!$B$6)/12</f>
        <v>10.747916666666669</v>
      </c>
      <c r="DM393" s="104">
        <f>('Renewable Diesel'!$AT402*'RD Feedstock Breakdown'!$DM$3*'Feedstock Conversion Rates'!$B$8)/12</f>
        <v>10.7421875</v>
      </c>
      <c r="DN393" s="106">
        <f t="shared" si="375"/>
        <v>39.26197916666667</v>
      </c>
      <c r="DP393" s="104">
        <f t="shared" si="345"/>
        <v>103.22025000000001</v>
      </c>
      <c r="DQ393" s="104">
        <f t="shared" si="346"/>
        <v>349.11776750000007</v>
      </c>
      <c r="DR393" s="104">
        <f t="shared" si="351"/>
        <v>1891.953125</v>
      </c>
      <c r="DS393" s="104">
        <f t="shared" si="365"/>
        <v>228.90125</v>
      </c>
      <c r="DT393" s="104">
        <f t="shared" si="347"/>
        <v>243.03923333333344</v>
      </c>
      <c r="DU393" s="104">
        <f t="shared" si="348"/>
        <v>402.90610000000009</v>
      </c>
      <c r="DV393" s="104">
        <f t="shared" si="352"/>
        <v>78.75</v>
      </c>
      <c r="DW393" s="104">
        <f t="shared" si="349"/>
        <v>3</v>
      </c>
      <c r="DX393" s="106">
        <f t="shared" si="353"/>
        <v>3300.8877258333337</v>
      </c>
      <c r="DY393" s="109">
        <f t="shared" ref="DY393:DY456" si="421">I393+Q393+S393+X393+AB393+AF393+AJ393+AL393+AO393+AR393+AU393+AX393+BA393+BE393+BG393+BI393+BN393-DX393+BP393+BS393+BV393+CA393+CC393+CF393+CH393+CK393+CO393+CS393+CU393+CW393+CZ393+DN393+DG393+DI393+DE393+DC393</f>
        <v>-5.631051180898794E-13</v>
      </c>
      <c r="EA393" s="110">
        <f t="shared" si="393"/>
        <v>3.1270451640078516E-2</v>
      </c>
      <c r="EB393" s="110">
        <f t="shared" si="393"/>
        <v>0.10576481131658687</v>
      </c>
      <c r="EC393" s="110">
        <f t="shared" si="393"/>
        <v>0.57316494293133291</v>
      </c>
      <c r="ED393" s="110">
        <f t="shared" si="393"/>
        <v>6.9345360706629972E-2</v>
      </c>
      <c r="EE393" s="110">
        <f t="shared" si="393"/>
        <v>7.3628445896921982E-2</v>
      </c>
      <c r="EF393" s="110">
        <f t="shared" si="393"/>
        <v>0.1220599225010852</v>
      </c>
      <c r="EG393" s="110">
        <f t="shared" si="384"/>
        <v>2.3857218585075921E-2</v>
      </c>
      <c r="EH393" s="111">
        <f t="shared" si="354"/>
        <v>9.0884642228860647E-4</v>
      </c>
      <c r="EI393" s="110">
        <f t="shared" si="409"/>
        <v>0.99909115357771139</v>
      </c>
      <c r="EK393" s="132">
        <f>(EA393*'Renewable Diesel'!BF402*'Feedstock Conversion Rates'!B$2)+FB393</f>
        <v>480.3496658848652</v>
      </c>
      <c r="EL393" s="132">
        <f>(EB393*'Renewable Diesel'!BF402*'Feedstock Conversion Rates'!B$3)+FC393</f>
        <v>1531.010356426005</v>
      </c>
      <c r="EM393" s="132">
        <f>(EC393*'Renewable Diesel'!BF402*'Feedstock Conversion Rates'!B$4)+FD393</f>
        <v>7768.6453578369874</v>
      </c>
      <c r="EN393" s="132">
        <f>(ED393*'Renewable Diesel'!BF402*'Feedstock Conversion Rates'!B$5)+FE393</f>
        <v>946.16913448653997</v>
      </c>
      <c r="EO393" s="132">
        <f>(EE393*'Renewable Diesel'!BF402*'Feedstock Conversion Rates'!B$6)+FF393</f>
        <v>1248.1100653591943</v>
      </c>
      <c r="EP393" s="132">
        <f>(EF393*'Renewable Diesel'!BF402*'Feedstock Conversion Rates'!B$7)+FG393</f>
        <v>2029.3891337901368</v>
      </c>
      <c r="EQ393" s="132">
        <f>(EG393*'Renewable Diesel'!BF402*'Feedstock Conversion Rates'!B$8)+FH393</f>
        <v>404.19924643327437</v>
      </c>
      <c r="ER393" s="132">
        <f>(EH393*'Renewable Diesel'!BF402*'Feedstock Conversion Rates'!B$9)+FI393</f>
        <v>15.192758977047518</v>
      </c>
      <c r="ES393" s="132">
        <f t="shared" si="355"/>
        <v>14423.06571919405</v>
      </c>
      <c r="ET393" s="133">
        <f>ES393/'Renewable Diesel'!BF402</f>
        <v>15.800951498396666</v>
      </c>
      <c r="EW393" s="73">
        <f t="shared" si="386"/>
        <v>13027.851588423817</v>
      </c>
      <c r="EX393" s="73">
        <f t="shared" si="387"/>
        <v>8533.3141489831032</v>
      </c>
      <c r="EY393" s="92">
        <f t="shared" si="410"/>
        <v>0.90326507845599713</v>
      </c>
      <c r="EZ393" s="92">
        <f t="shared" si="410"/>
        <v>0.59164357391972966</v>
      </c>
      <c r="FB393" s="102">
        <f>IF('Renewable Diesel'!$BG402&lt;1,0,(((('Renewable Diesel'!$BG402-1)*'Renewable Diesel'!$BF402)*'RD Feedstock Breakdown'!EA393)*'Feedstock Conversion Rates'!$B$2))</f>
        <v>237.72920581220933</v>
      </c>
      <c r="FC393" s="102">
        <f>IF('Renewable Diesel'!$BG402&lt;1,0,(((('Renewable Diesel'!$BG402-1)*'Renewable Diesel'!$BF402)*'RD Feedstock Breakdown'!EB393)*'Feedstock Conversion Rates'!$B$3))</f>
        <v>757.71027227207549</v>
      </c>
      <c r="FD393" s="102">
        <f>IF('Renewable Diesel'!$BG402&lt;1,0,(((('Renewable Diesel'!$BG402-1)*'Renewable Diesel'!$BF402)*'RD Feedstock Breakdown'!EC393)*'Feedstock Conversion Rates'!$B$4))</f>
        <v>3844.7698048320499</v>
      </c>
      <c r="FE393" s="102">
        <f>IF('Renewable Diesel'!$BG402&lt;1,0,(((('Renewable Diesel'!$BG402-1)*'Renewable Diesel'!$BF402)*'RD Feedstock Breakdown'!ED393)*'Feedstock Conversion Rates'!$B$5))</f>
        <v>468.26729126824142</v>
      </c>
      <c r="FF393" s="102">
        <f>IF('Renewable Diesel'!$BG402&lt;1,0,(((('Renewable Diesel'!$BG402-1)*'Renewable Diesel'!$BF402)*'RD Feedstock Breakdown'!EE393)*'Feedstock Conversion Rates'!$B$6))</f>
        <v>617.7004704634993</v>
      </c>
      <c r="FG393" s="102">
        <f>IF('Renewable Diesel'!$BG402&lt;1,0,(((('Renewable Diesel'!$BG402-1)*'Renewable Diesel'!$BF402)*'RD Feedstock Breakdown'!EF393)*'Feedstock Conversion Rates'!$B$7))</f>
        <v>1004.3622413500203</v>
      </c>
      <c r="FH393" s="102">
        <f>IF('Renewable Diesel'!$BG402&lt;1,0,(((('Renewable Diesel'!$BG402-1)*'Renewable Diesel'!$BF402)*'RD Feedstock Breakdown'!EG393)*'Feedstock Conversion Rates'!$B$8))</f>
        <v>200.04170434357616</v>
      </c>
      <c r="FI393" s="102">
        <f>IF('Renewable Diesel'!$BG402&lt;1,0,(((('Renewable Diesel'!$BG402-1)*'Renewable Diesel'!$BF402)*'RD Feedstock Breakdown'!EH393)*'Feedstock Conversion Rates'!$B$9))</f>
        <v>7.519027871199814</v>
      </c>
      <c r="FJ393" s="102">
        <f t="shared" si="388"/>
        <v>7138.1000182128719</v>
      </c>
      <c r="GD393" s="91">
        <f>'Renewable Diesel'!BB402*0.32</f>
        <v>0</v>
      </c>
      <c r="GE393" s="91">
        <f>'Renewable Diesel'!BC402</f>
        <v>440.29129120100424</v>
      </c>
      <c r="GF393" s="91">
        <f>'Renewable Diesel'!BD402</f>
        <v>0</v>
      </c>
      <c r="GG393" s="91">
        <f t="shared" si="373"/>
        <v>440.29129120100424</v>
      </c>
      <c r="GH393" s="124">
        <v>1</v>
      </c>
      <c r="GI393" s="102">
        <f>$GG393*EA393*'Feedstock Conversion Rates'!$B$2</f>
        <v>117.02891399691421</v>
      </c>
      <c r="GJ393" s="102">
        <f>$GG393*EB393*'Feedstock Conversion Rates'!$B$3</f>
        <v>373.004275959067</v>
      </c>
      <c r="GK393" s="102">
        <f>$GG393*EC393*'Feedstock Conversion Rates'!$B$4</f>
        <v>1892.6964959578986</v>
      </c>
      <c r="GL393" s="102">
        <f>$GG393*ED393*'Feedstock Conversion Rates'!$B$5</f>
        <v>230.51779595262727</v>
      </c>
      <c r="GM393" s="102">
        <f>$GG393*EE393*'Feedstock Conversion Rates'!$B$6</f>
        <v>304.08049775268165</v>
      </c>
      <c r="GN393" s="102">
        <f>$GG393*EF393*'Feedstock Conversion Rates'!$B$7</f>
        <v>494.42567211345528</v>
      </c>
      <c r="GO393" s="102">
        <f>$GG393*EG393*'Feedstock Conversion Rates'!$B$8</f>
        <v>98.476177268321948</v>
      </c>
      <c r="GP393" s="102">
        <f>$GG393*EH393*'Feedstock Conversion Rates'!B$9</f>
        <v>3.7014537741489897</v>
      </c>
      <c r="GQ393" s="102">
        <f t="shared" si="356"/>
        <v>3513.9312827751146</v>
      </c>
      <c r="GT393" s="103">
        <f t="shared" si="418"/>
        <v>3.3304269372191886E-2</v>
      </c>
      <c r="GU393" s="103">
        <f t="shared" si="416"/>
        <v>0.1061501338365639</v>
      </c>
      <c r="GV393" s="103">
        <f t="shared" si="416"/>
        <v>0.53862649654979822</v>
      </c>
      <c r="GW393" s="103">
        <f t="shared" si="416"/>
        <v>6.5601110950176761E-2</v>
      </c>
      <c r="GX393" s="103">
        <f t="shared" si="416"/>
        <v>8.653569841938831E-2</v>
      </c>
      <c r="GY393" s="103">
        <f t="shared" si="416"/>
        <v>0.14070442257566981</v>
      </c>
      <c r="GZ393" s="103">
        <f t="shared" si="416"/>
        <v>2.8024502855545523E-2</v>
      </c>
      <c r="HA393" s="103">
        <f t="shared" si="416"/>
        <v>1.053365440665584E-3</v>
      </c>
    </row>
    <row r="394" spans="1:209" x14ac:dyDescent="0.25">
      <c r="A394" s="96">
        <v>52413</v>
      </c>
      <c r="B394" s="104">
        <f t="shared" si="406"/>
        <v>44.25</v>
      </c>
      <c r="C394" s="104">
        <f t="shared" si="396"/>
        <v>49</v>
      </c>
      <c r="D394" s="104">
        <f t="shared" si="407"/>
        <v>2</v>
      </c>
      <c r="E394" s="104">
        <f>('Renewable Diesel'!B403*E$3*'Feedstock Conversion Rates'!$B$2)/12+26+13-100+27.5+39</f>
        <v>95.43</v>
      </c>
      <c r="F394" s="104">
        <f>('Renewable Diesel'!B403*'RD Feedstock Breakdown'!F$3*'Feedstock Conversion Rates'!B$8)/12+77+23-10-12-115.75+24+8</f>
        <v>48.15625</v>
      </c>
      <c r="G394" s="104">
        <f>('Renewable Diesel'!B403*'RD Feedstock Breakdown'!G$3*'Feedstock Conversion Rates'!B$7)/12+116.75-39-57.5-145-31.5+32+70-40+10+60</f>
        <v>151.90700000000004</v>
      </c>
      <c r="H394" s="104">
        <f>('Renewable Diesel'!B403*'RD Feedstock Breakdown'!H$3*'Feedstock Conversion Rates'!B$3)/12+67+10+12+3-235+20+47-20+25</f>
        <v>105.40022499999998</v>
      </c>
      <c r="I394" s="106">
        <f t="shared" si="370"/>
        <v>496.14347500000002</v>
      </c>
      <c r="J394" s="104">
        <f t="shared" si="417"/>
        <v>4</v>
      </c>
      <c r="K394" s="104"/>
      <c r="L394" s="104">
        <v>1</v>
      </c>
      <c r="M394" s="104">
        <f>('Renewable Diesel'!C403*'RD Feedstock Breakdown'!M$3*'Feedstock Conversion Rates'!B$2)/12</f>
        <v>7.7902500000000003</v>
      </c>
      <c r="N394" s="104">
        <f>('Renewable Diesel'!C403*'RD Feedstock Breakdown'!N$3*'Feedstock Conversion Rates'!B$8)/12</f>
        <v>3.671875</v>
      </c>
      <c r="O394" s="104">
        <f>('Renewable Diesel'!C403*'RD Feedstock Breakdown'!O$3*'Feedstock Conversion Rates'!B$7)/12</f>
        <v>11.9991</v>
      </c>
      <c r="P394" s="104">
        <f>('Renewable Diesel'!C403*'RD Feedstock Breakdown'!P$3*'Feedstock Conversion Rates'!B$3)/12</f>
        <v>10.4470425</v>
      </c>
      <c r="Q394" s="106">
        <f t="shared" si="379"/>
        <v>38.908267500000001</v>
      </c>
      <c r="R394" s="104">
        <f>('Renewable Diesel'!D403*'RD Feedstock Breakdown'!R$3*'Feedstock Conversion Rates'!B$7)/12</f>
        <v>2.2999999999999998</v>
      </c>
      <c r="S394" s="106">
        <f t="shared" si="414"/>
        <v>2.2999999999999998</v>
      </c>
      <c r="T394" s="104">
        <f t="shared" si="380"/>
        <v>0.82499999999999929</v>
      </c>
      <c r="U394" s="104"/>
      <c r="V394" s="104">
        <f>('Renewable Diesel'!E403*'RD Feedstock Breakdown'!V$3*'Feedstock Conversion Rates'!B$6)/12-20+25</f>
        <v>49.250150000000012</v>
      </c>
      <c r="W394" s="104">
        <f>('Renewable Diesel'!E403*'RD Feedstock Breakdown'!W$3*'Feedstock Conversion Rates'!B$8)/12-6</f>
        <v>16.1796875</v>
      </c>
      <c r="X394" s="106">
        <f t="shared" si="357"/>
        <v>66.254837500000008</v>
      </c>
      <c r="Y394" s="104">
        <f t="shared" si="381"/>
        <v>98</v>
      </c>
      <c r="Z394" s="104">
        <f>('Renewable Diesel'!F403*'RD Feedstock Breakdown'!Z$3*'Feedstock Conversion Rates'!B$6)/12-142+15+5+20+5+15</f>
        <v>77.460000000000008</v>
      </c>
      <c r="AA394" s="104">
        <f>('Renewable Diesel'!F403*'RD Feedstock Breakdown'!AA$3*'Feedstock Conversion Rates'!B$7)/12+24</f>
        <v>128.26666666666665</v>
      </c>
      <c r="AB394" s="106">
        <f t="shared" si="400"/>
        <v>303.72666666666669</v>
      </c>
      <c r="AC394" s="104">
        <f>('Renewable Diesel'!G403*'RD Feedstock Breakdown'!AC$3*'Feedstock Conversion Rates'!B$5)/12</f>
        <v>11.796875</v>
      </c>
      <c r="AD394" s="104">
        <f>('Renewable Diesel'!G403*'RD Feedstock Breakdown'!AD$3*'Feedstock Conversion Rates'!B$4)/12</f>
        <v>5.859375</v>
      </c>
      <c r="AE394" s="104">
        <f>('Renewable Diesel'!G403*'RD Feedstock Breakdown'!AE$3*'Feedstock Conversion Rates'!B$6)/12</f>
        <v>7.3281250000000009</v>
      </c>
      <c r="AF394" s="106">
        <f t="shared" si="366"/>
        <v>24.984375</v>
      </c>
      <c r="AG394" s="104">
        <f t="shared" si="383"/>
        <v>148</v>
      </c>
      <c r="AH394" s="104"/>
      <c r="AI394" s="104">
        <f>('Renewable Diesel'!H403*'RD Feedstock Breakdown'!AI$3*'Feedstock Conversion Rates'!B$6)/12-130-20+51-49</f>
        <v>0.51666666666667993</v>
      </c>
      <c r="AJ394" s="106">
        <f t="shared" si="413"/>
        <v>148.51666666666668</v>
      </c>
      <c r="AK394" s="104">
        <f>('Renewable Diesel'!J403*'RD Feedstock Breakdown'!AK$3*'Feedstock Conversion Rates'!B$4)/12</f>
        <v>95.8125</v>
      </c>
      <c r="AL394" s="106">
        <f t="shared" si="415"/>
        <v>95.8125</v>
      </c>
      <c r="AM394" s="104">
        <f>('Renewable Diesel'!K403*'RD Feedstock Breakdown'!AM$3*'Feedstock Conversion Rates'!B$4)/12+5+15-10+10</f>
        <v>78.59375</v>
      </c>
      <c r="AN394" s="104">
        <f>('Renewable Diesel'!K403*'RD Feedstock Breakdown'!AN$3*'Feedstock Conversion Rates'!B$6)/12-5-15+10-10</f>
        <v>4.4270833333333321</v>
      </c>
      <c r="AO394" s="106">
        <f t="shared" si="350"/>
        <v>83.020833333333329</v>
      </c>
      <c r="AP394" s="104">
        <f>('Renewable Diesel'!L403*'RD Feedstock Breakdown'!AP$3*'Feedstock Conversion Rates'!B$4)/12+15-10+15</f>
        <v>78.59375</v>
      </c>
      <c r="AQ394" s="104">
        <f>('Renewable Diesel'!L403*'RD Feedstock Breakdown'!AQ$3*'Feedstock Conversion Rates'!B$6)/12-15+10-15</f>
        <v>4.4270833333333321</v>
      </c>
      <c r="AR394" s="106">
        <f t="shared" si="420"/>
        <v>83.020833333333329</v>
      </c>
      <c r="AS394" s="104">
        <f>('Renewable Diesel'!M403*'RD Feedstock Breakdown'!AS$3*'Feedstock Conversion Rates'!B$4)/12</f>
        <v>456.25</v>
      </c>
      <c r="AT394" s="104">
        <f>('Renewable Diesel'!M403*'RD Feedstock Breakdown'!AT$3*'Feedstock Conversion Rates'!B$5)/12</f>
        <v>0</v>
      </c>
      <c r="AU394" s="106">
        <f t="shared" si="369"/>
        <v>456.25</v>
      </c>
      <c r="AV394" s="104">
        <f>'Renewable Diesel'!N403*'RD Feedstock Breakdown'!$AV$3*'Feedstock Conversion Rates'!$B$4/12-15-10+25+25-22+25</f>
        <v>106.74999999999999</v>
      </c>
      <c r="AW394" s="104">
        <f>'Renewable Diesel'!N403*'RD Feedstock Breakdown'!$AW$3*'Feedstock Conversion Rates'!$B$7/12+15+10-25-25+22-25</f>
        <v>13.400000000000006</v>
      </c>
      <c r="AX394" s="106">
        <f t="shared" si="408"/>
        <v>120.14999999999999</v>
      </c>
      <c r="AY394" s="104">
        <f>('Renewable Diesel'!O403*'RD Feedstock Breakdown'!AY$3*'Feedstock Conversion Rates'!B$4)/12</f>
        <v>210.9375</v>
      </c>
      <c r="AZ394" s="104">
        <f>('Renewable Diesel'!O403*'RD Feedstock Breakdown'!AZ$3*'Feedstock Conversion Rates'!B$3)/12</f>
        <v>25.03125</v>
      </c>
      <c r="BA394" s="106">
        <f t="shared" si="382"/>
        <v>235.96875</v>
      </c>
      <c r="BB394" s="104">
        <f>('Renewable Diesel'!Q403*'RD Feedstock Breakdown'!BB$3*'Feedstock Conversion Rates'!B$4)/12</f>
        <v>11.156249999999998</v>
      </c>
      <c r="BC394" s="104">
        <f>('Renewable Diesel'!Q403*'RD Feedstock Breakdown'!BC$3*'Feedstock Conversion Rates'!B$3)/12</f>
        <v>1.4017500000000001</v>
      </c>
      <c r="BD394" s="104">
        <f>('Renewable Diesel'!Q403*'RD Feedstock Breakdown'!BD$3*'Feedstock Conversion Rates'!B$6)/12</f>
        <v>0.8207500000000002</v>
      </c>
      <c r="BE394" s="106">
        <f t="shared" si="359"/>
        <v>13.378749999999998</v>
      </c>
      <c r="BF394" s="104">
        <f>('Renewable Diesel'!R403*'RD Feedstock Breakdown'!BF$3*'Feedstock Conversion Rates'!B$4)/12</f>
        <v>62.5</v>
      </c>
      <c r="BG394" s="106">
        <f t="shared" si="344"/>
        <v>62.5</v>
      </c>
      <c r="BH394" s="104">
        <f>('Renewable Diesel'!T403*'RD Feedstock Breakdown'!BH$3*'Feedstock Conversion Rates'!B$7)/12</f>
        <v>27.599999999999998</v>
      </c>
      <c r="BI394" s="106">
        <f t="shared" si="412"/>
        <v>27.599999999999998</v>
      </c>
      <c r="BJ394" s="104">
        <f>('Renewable Diesel'!W403*'RD Feedstock Breakdown'!BJ$3*'Feedstock Conversion Rates'!B$4)/12</f>
        <v>7.5</v>
      </c>
      <c r="BK394" s="104">
        <f>('Renewable Diesel'!W403*'RD Feedstock Breakdown'!BK$3*'Feedstock Conversion Rates'!B$3)/12</f>
        <v>1.335</v>
      </c>
      <c r="BL394" s="104">
        <f>('Renewable Diesel'!W403*'RD Feedstock Breakdown'!BL$3*'Feedstock Conversion Rates'!B$6)/12</f>
        <v>3.1266666666666669</v>
      </c>
      <c r="BM394" s="104">
        <f>('Renewable Diesel'!W403*'RD Feedstock Breakdown'!BM$3*'Feedstock Conversion Rates'!B$7)/12</f>
        <v>1.5333333333333332</v>
      </c>
      <c r="BN394" s="106">
        <f t="shared" si="374"/>
        <v>13.495000000000001</v>
      </c>
      <c r="BO394" s="104">
        <f>('Renewable Diesel'!P403*'Feedstock Conversion Rates'!B$4)/12</f>
        <v>31.25</v>
      </c>
      <c r="BP394" s="106">
        <f t="shared" si="367"/>
        <v>31.25</v>
      </c>
      <c r="BQ394" s="104">
        <f>('Renewable Diesel'!$S403*'RD Feedstock Breakdown'!BQ$3*'Feedstock Conversion Rates'!B$4)/12+10+15-15</f>
        <v>38.125</v>
      </c>
      <c r="BR394" s="104">
        <f>('Renewable Diesel'!$S403*'RD Feedstock Breakdown'!BR$3*'Feedstock Conversion Rates'!B$7)/12-10-15+15</f>
        <v>1.5</v>
      </c>
      <c r="BS394" s="106">
        <f t="shared" si="385"/>
        <v>39.625</v>
      </c>
      <c r="BT394" s="106"/>
      <c r="BU394" s="104">
        <f>('Renewable Diesel'!Y403*'Feedstock Conversion Rates'!B$7)/12</f>
        <v>2.6833333333333331</v>
      </c>
      <c r="BV394" s="106">
        <f t="shared" si="361"/>
        <v>2.6833333333333331</v>
      </c>
      <c r="BW394" s="104">
        <f>('Renewable Diesel'!$Z403*'RD Feedstock Breakdown'!BW$3*'Feedstock Conversion Rates'!$B$4)/12-250+180</f>
        <v>1.875</v>
      </c>
      <c r="BX394" s="104">
        <f>('Renewable Diesel'!$Z403*'RD Feedstock Breakdown'!BX$3*'Feedstock Conversion Rates'!$B$5)/12</f>
        <v>7.2354166666666666</v>
      </c>
      <c r="BY394" s="104">
        <f>('Renewable Diesel'!$Z403*'RD Feedstock Breakdown'!BY$3*'Feedstock Conversion Rates'!$B$7)/12</f>
        <v>61.716666666666661</v>
      </c>
      <c r="BZ394" s="104">
        <f>('Renewable Diesel'!$Z403*'RD Feedstock Breakdown'!BZ$3*'Feedstock Conversion Rates'!$B$3)/12+250-180</f>
        <v>85.35250000000002</v>
      </c>
      <c r="CA394" s="106">
        <f t="shared" si="392"/>
        <v>156.17958333333334</v>
      </c>
      <c r="CB394" s="104">
        <f>('Renewable Diesel'!AA403*'Feedstock Conversion Rates'!B$4)/12</f>
        <v>191.25</v>
      </c>
      <c r="CC394" s="106">
        <f t="shared" si="376"/>
        <v>191.25</v>
      </c>
      <c r="CD394" s="104">
        <f>('Renewable Diesel'!$AB403*'RD Feedstock Breakdown'!CD$3*'Feedstock Conversion Rates'!$B$6)/12-15-5</f>
        <v>12.830000000000005</v>
      </c>
      <c r="CE394" s="104">
        <f>('Renewable Diesel'!$AB403*'RD Feedstock Breakdown'!CE$3*'Feedstock Conversion Rates'!$B$4)/12+15+5</f>
        <v>31.25</v>
      </c>
      <c r="CF394" s="106">
        <f t="shared" si="372"/>
        <v>44.080000000000005</v>
      </c>
      <c r="CG394" s="104">
        <f>('Renewable Diesel'!AD403*'Feedstock Conversion Rates'!B$4)/12</f>
        <v>112.5</v>
      </c>
      <c r="CH394" s="106">
        <f t="shared" si="358"/>
        <v>112.5</v>
      </c>
      <c r="CI394" s="104">
        <f>('Renewable Diesel'!$AE403*'RD Feedstock Breakdown'!CI$3*'Feedstock Conversion Rates'!$B$5)/12</f>
        <v>0.34604166666666664</v>
      </c>
      <c r="CJ394" s="104">
        <f>('Renewable Diesel'!$AE403*'RD Feedstock Breakdown'!CJ$3*'Feedstock Conversion Rates'!$B$4)/12</f>
        <v>0.34375</v>
      </c>
      <c r="CK394" s="106">
        <f t="shared" si="368"/>
        <v>0.68979166666666658</v>
      </c>
      <c r="CL394" s="104">
        <f>(((CL$3*'Renewable Diesel'!$AF403)*'Feedstock Conversion Rates'!$B$3)/12)</f>
        <v>91.78125</v>
      </c>
      <c r="CM394" s="104">
        <f>(((CM$3*'Renewable Diesel'!$AF403)*'Feedstock Conversion Rates'!$B$6)/12)</f>
        <v>53.739583333333336</v>
      </c>
      <c r="CN394" s="104">
        <f>(((CN$3*'Renewable Diesel'!$AF403)*'Feedstock Conversion Rates'!$B$4)/12)</f>
        <v>42.96875</v>
      </c>
      <c r="CO394" s="106">
        <f t="shared" si="360"/>
        <v>188.48958333333334</v>
      </c>
      <c r="CP394" s="104">
        <f>('Renewable Diesel'!$AG403*'RD Feedstock Breakdown'!CP$3*'Feedstock Conversion Rates'!$B$3)/12</f>
        <v>6.0075000000000003</v>
      </c>
      <c r="CQ394" s="104">
        <f>('Renewable Diesel'!$AG403*'RD Feedstock Breakdown'!CQ$3*'Feedstock Conversion Rates'!$B$6)/12</f>
        <v>3.5175000000000001</v>
      </c>
      <c r="CR394" s="104">
        <f>('Renewable Diesel'!$AG403*'RD Feedstock Breakdown'!CR$3*'Feedstock Conversion Rates'!$B$4)/12</f>
        <v>2.8125</v>
      </c>
      <c r="CS394" s="106">
        <f t="shared" si="397"/>
        <v>12.3375</v>
      </c>
      <c r="CT394" s="104">
        <f>('Renewable Diesel'!AI403*'Feedstock Conversion Rates'!$B$4*'RD Feedstock Breakdown'!$CT$3)/12</f>
        <v>29.375</v>
      </c>
      <c r="CU394" s="106">
        <f t="shared" si="364"/>
        <v>29.375</v>
      </c>
      <c r="CV394" s="104">
        <f>('Renewable Diesel'!AN403*'Feedstock Conversion Rates'!$B$3*'RD Feedstock Breakdown'!$CV$3)/12</f>
        <v>0.50062499999999999</v>
      </c>
      <c r="CW394" s="106">
        <f t="shared" si="419"/>
        <v>0.50062499999999999</v>
      </c>
      <c r="CX394" s="104">
        <f>('Renewable Diesel'!AO403*'RD Feedstock Breakdown'!$CX$3*'Feedstock Conversion Rates'!$B$3)/12</f>
        <v>6.3412499999999996</v>
      </c>
      <c r="CY394" s="104">
        <f>('Renewable Diesel'!AO403*'RD Feedstock Breakdown'!$CY$3*'Feedstock Conversion Rates'!$B$6)/12</f>
        <v>7.4258333333333342</v>
      </c>
      <c r="CZ394" s="106">
        <f t="shared" si="398"/>
        <v>13.767083333333334</v>
      </c>
      <c r="DA394" s="104">
        <f>('Renewable Diesel'!$AP403*'RD Feedstock Breakdown'!DA$3*'Feedstock Conversion Rates'!$B$3)/12</f>
        <v>6.3412499999999996</v>
      </c>
      <c r="DB394" s="104">
        <f>('Renewable Diesel'!$AP403*'RD Feedstock Breakdown'!DB$3*'Feedstock Conversion Rates'!$B$8)/12</f>
        <v>7.421875</v>
      </c>
      <c r="DC394" s="106">
        <f t="shared" ref="DC394:DC457" si="422">SUM(DA394:DB394)</f>
        <v>13.763124999999999</v>
      </c>
      <c r="DD394" s="104">
        <f>('Renewable Diesel'!AQ403*$DD$3*'Feedstock Conversion Rates'!$B$14)/12</f>
        <v>3.1041666666666665</v>
      </c>
      <c r="DE394" s="106">
        <f t="shared" ref="DE394:DE457" si="423">DD394</f>
        <v>3.1041666666666665</v>
      </c>
      <c r="DF394" s="104">
        <f>('Renewable Diesel'!AR403*'Feedstock Conversion Rates'!$B$4*$DF$3)/12</f>
        <v>75</v>
      </c>
      <c r="DG394" s="106">
        <f t="shared" si="399"/>
        <v>75</v>
      </c>
      <c r="DH394" s="104">
        <f>('Renewable Diesel'!AS403*'Feedstock Conversion Rates'!$B$4*$DH$3)/12</f>
        <v>75</v>
      </c>
      <c r="DI394" s="106">
        <f t="shared" si="411"/>
        <v>75</v>
      </c>
      <c r="DJ394" s="104">
        <f>('Renewable Diesel'!AT403*'Feedstock Conversion Rates'!$B$4*0.25)/12</f>
        <v>8.59375</v>
      </c>
      <c r="DK394" s="104">
        <f>('Renewable Diesel'!$AT403*'RD Feedstock Breakdown'!DK$3*'Feedstock Conversion Rates'!$B$3)/12*0.5</f>
        <v>9.1781249999999996</v>
      </c>
      <c r="DL394" s="104">
        <f>('Renewable Diesel'!$AT403*'RD Feedstock Breakdown'!$DL$3*'Feedstock Conversion Rates'!$B$6)/12</f>
        <v>10.747916666666669</v>
      </c>
      <c r="DM394" s="104">
        <f>('Renewable Diesel'!$AT403*'RD Feedstock Breakdown'!$DM$3*'Feedstock Conversion Rates'!$B$8)/12</f>
        <v>10.7421875</v>
      </c>
      <c r="DN394" s="106">
        <f t="shared" si="375"/>
        <v>39.26197916666667</v>
      </c>
      <c r="DP394" s="104">
        <f t="shared" si="345"/>
        <v>103.22025000000001</v>
      </c>
      <c r="DQ394" s="104">
        <f t="shared" si="346"/>
        <v>349.11776750000007</v>
      </c>
      <c r="DR394" s="104">
        <f t="shared" si="351"/>
        <v>1891.953125</v>
      </c>
      <c r="DS394" s="104">
        <f t="shared" si="365"/>
        <v>228.90125</v>
      </c>
      <c r="DT394" s="104">
        <f t="shared" si="347"/>
        <v>243.03923333333344</v>
      </c>
      <c r="DU394" s="104">
        <f t="shared" si="348"/>
        <v>402.90610000000009</v>
      </c>
      <c r="DV394" s="104">
        <f t="shared" si="352"/>
        <v>78.75</v>
      </c>
      <c r="DW394" s="104">
        <f t="shared" si="349"/>
        <v>3</v>
      </c>
      <c r="DX394" s="106">
        <f t="shared" si="353"/>
        <v>3300.8877258333337</v>
      </c>
      <c r="DY394" s="109">
        <f t="shared" si="421"/>
        <v>-5.631051180898794E-13</v>
      </c>
      <c r="EA394" s="110">
        <f t="shared" ref="EA394:EG434" si="424">DP394/$DX394</f>
        <v>3.1270451640078516E-2</v>
      </c>
      <c r="EB394" s="110">
        <f t="shared" si="424"/>
        <v>0.10576481131658687</v>
      </c>
      <c r="EC394" s="110">
        <f t="shared" si="424"/>
        <v>0.57316494293133291</v>
      </c>
      <c r="ED394" s="110">
        <f t="shared" si="424"/>
        <v>6.9345360706629972E-2</v>
      </c>
      <c r="EE394" s="110">
        <f t="shared" si="424"/>
        <v>7.3628445896921982E-2</v>
      </c>
      <c r="EF394" s="110">
        <f t="shared" si="424"/>
        <v>0.1220599225010852</v>
      </c>
      <c r="EG394" s="110">
        <f t="shared" si="384"/>
        <v>2.3857218585075921E-2</v>
      </c>
      <c r="EH394" s="111">
        <f t="shared" si="354"/>
        <v>9.0884642228860647E-4</v>
      </c>
      <c r="EI394" s="110">
        <f t="shared" si="409"/>
        <v>0.99909115357771139</v>
      </c>
      <c r="EK394" s="132">
        <f>(EA394*'Renewable Diesel'!BF403*'Feedstock Conversion Rates'!B$2)+FB394</f>
        <v>528.33112139356138</v>
      </c>
      <c r="EL394" s="132">
        <f>(EB394*'Renewable Diesel'!BF403*'Feedstock Conversion Rates'!B$3)+FC394</f>
        <v>1683.9408371100803</v>
      </c>
      <c r="EM394" s="132">
        <f>(EC394*'Renewable Diesel'!BF403*'Feedstock Conversion Rates'!B$4)+FD394</f>
        <v>8544.6444644736912</v>
      </c>
      <c r="EN394" s="132">
        <f>(ED394*'Renewable Diesel'!BF403*'Feedstock Conversion Rates'!B$5)+FE394</f>
        <v>1040.6806444434326</v>
      </c>
      <c r="EO394" s="132">
        <f>(EE394*'Renewable Diesel'!BF403*'Feedstock Conversion Rates'!B$6)+FF394</f>
        <v>1372.7820321038159</v>
      </c>
      <c r="EP394" s="132">
        <f>(EF394*'Renewable Diesel'!BF403*'Feedstock Conversion Rates'!B$7)+FG394</f>
        <v>2232.1019726830491</v>
      </c>
      <c r="EQ394" s="132">
        <f>(EG394*'Renewable Diesel'!BF403*'Feedstock Conversion Rates'!B$8)+FH394</f>
        <v>444.57414317367352</v>
      </c>
      <c r="ER394" s="132">
        <f>(EH394*'Renewable Diesel'!BF403*'Feedstock Conversion Rates'!B$9)+FI394</f>
        <v>16.710342397385059</v>
      </c>
      <c r="ES394" s="132">
        <f t="shared" si="355"/>
        <v>15863.76555777869</v>
      </c>
      <c r="ET394" s="133">
        <f>ES394/'Renewable Diesel'!BF403</f>
        <v>16.845263542832559</v>
      </c>
      <c r="EW394" s="73">
        <f t="shared" si="386"/>
        <v>14629.329156101025</v>
      </c>
      <c r="EX394" s="73">
        <f t="shared" si="387"/>
        <v>9582.2907277216946</v>
      </c>
      <c r="EY394" s="92">
        <f t="shared" si="410"/>
        <v>0.9221851585500539</v>
      </c>
      <c r="EZ394" s="92">
        <f t="shared" si="410"/>
        <v>0.60403633001390922</v>
      </c>
      <c r="FB394" s="102">
        <f>IF('Renewable Diesel'!$BG403&lt;1,0,(((('Renewable Diesel'!$BG403-1)*'Renewable Diesel'!$BF403)*'RD Feedstock Breakdown'!EA394)*'Feedstock Conversion Rates'!$B$2))</f>
        <v>278.01918915438779</v>
      </c>
      <c r="FC394" s="102">
        <f>IF('Renewable Diesel'!$BG403&lt;1,0,(((('Renewable Diesel'!$BG403-1)*'Renewable Diesel'!$BF403)*'RD Feedstock Breakdown'!EB394)*'Feedstock Conversion Rates'!$B$3))</f>
        <v>886.12585395771271</v>
      </c>
      <c r="FD394" s="102">
        <f>IF('Renewable Diesel'!$BG403&lt;1,0,(((('Renewable Diesel'!$BG403-1)*'Renewable Diesel'!$BF403)*'RD Feedstock Breakdown'!EC394)*'Feedstock Conversion Rates'!$B$4))</f>
        <v>4496.3755293451732</v>
      </c>
      <c r="FE394" s="102">
        <f>IF('Renewable Diesel'!$BG403&lt;1,0,(((('Renewable Diesel'!$BG403-1)*'Renewable Diesel'!$BF403)*'RD Feedstock Breakdown'!ED394)*'Feedstock Conversion Rates'!$B$5))</f>
        <v>547.62851783872759</v>
      </c>
      <c r="FF394" s="102">
        <f>IF('Renewable Diesel'!$BG403&lt;1,0,(((('Renewable Diesel'!$BG403-1)*'Renewable Diesel'!$BF403)*'RD Feedstock Breakdown'!EE394)*'Feedstock Conversion Rates'!$B$6))</f>
        <v>722.38740440753224</v>
      </c>
      <c r="FG394" s="102">
        <f>IF('Renewable Diesel'!$BG403&lt;1,0,(((('Renewable Diesel'!$BG403-1)*'Renewable Diesel'!$BF403)*'RD Feedstock Breakdown'!EF394)*'Feedstock Conversion Rates'!$B$7))</f>
        <v>1174.5800226918325</v>
      </c>
      <c r="FH394" s="102">
        <f>IF('Renewable Diesel'!$BG403&lt;1,0,(((('Renewable Diesel'!$BG403-1)*'Renewable Diesel'!$BF403)*'RD Feedstock Breakdown'!EG394)*'Feedstock Conversion Rates'!$B$8))</f>
        <v>233.94446739789896</v>
      </c>
      <c r="FI394" s="102">
        <f>IF('Renewable Diesel'!$BG403&lt;1,0,(((('Renewable Diesel'!$BG403-1)*'Renewable Diesel'!$BF403)*'RD Feedstock Breakdown'!EH394)*'Feedstock Conversion Rates'!$B$9))</f>
        <v>8.7933412507654705</v>
      </c>
      <c r="FJ394" s="102">
        <f t="shared" si="388"/>
        <v>8347.8543260440292</v>
      </c>
      <c r="GD394" s="91">
        <f>'Renewable Diesel'!BB403*0.32</f>
        <v>0</v>
      </c>
      <c r="GE394" s="91">
        <f>'Renewable Diesel'!BC403</f>
        <v>478.9400129773976</v>
      </c>
      <c r="GF394" s="91">
        <f>'Renewable Diesel'!BD403</f>
        <v>0</v>
      </c>
      <c r="GG394" s="91">
        <f t="shared" si="373"/>
        <v>478.9400129773976</v>
      </c>
      <c r="GH394" s="124">
        <v>1</v>
      </c>
      <c r="GI394" s="102">
        <f>$GG394*EA394*'Feedstock Conversion Rates'!$B$2</f>
        <v>127.30169937162046</v>
      </c>
      <c r="GJ394" s="102">
        <f>$GG394*EB394*'Feedstock Conversion Rates'!$B$3</f>
        <v>405.74655083719017</v>
      </c>
      <c r="GK394" s="102">
        <f>$GG394*EC394*'Feedstock Conversion Rates'!$B$4</f>
        <v>2058.8371890429144</v>
      </c>
      <c r="GL394" s="102">
        <f>$GG394*ED394*'Feedstock Conversion Rates'!$B$5</f>
        <v>250.75262307350533</v>
      </c>
      <c r="GM394" s="102">
        <f>$GG394*EE394*'Feedstock Conversion Rates'!$B$6</f>
        <v>330.77265085708035</v>
      </c>
      <c r="GN394" s="102">
        <f>$GG394*EF394*'Feedstock Conversion Rates'!$B$7</f>
        <v>537.82630397354694</v>
      </c>
      <c r="GO394" s="102">
        <f>$GG394*EG394*'Feedstock Conversion Rates'!$B$8</f>
        <v>107.12040542569569</v>
      </c>
      <c r="GP394" s="102">
        <f>$GG394*EH394*'Feedstock Conversion Rates'!B$9</f>
        <v>4.0263669848896404</v>
      </c>
      <c r="GQ394" s="102">
        <f t="shared" si="356"/>
        <v>3822.3837895664428</v>
      </c>
      <c r="GT394" s="103">
        <f t="shared" si="418"/>
        <v>3.3304269372191886E-2</v>
      </c>
      <c r="GU394" s="103">
        <f t="shared" si="416"/>
        <v>0.10615013383656388</v>
      </c>
      <c r="GV394" s="103">
        <f t="shared" si="416"/>
        <v>0.53862649654979822</v>
      </c>
      <c r="GW394" s="103">
        <f t="shared" si="416"/>
        <v>6.5601110950176761E-2</v>
      </c>
      <c r="GX394" s="103">
        <f t="shared" si="416"/>
        <v>8.6535698419388296E-2</v>
      </c>
      <c r="GY394" s="103">
        <f t="shared" si="416"/>
        <v>0.14070442257566979</v>
      </c>
      <c r="GZ394" s="103">
        <f t="shared" si="416"/>
        <v>2.802450285554552E-2</v>
      </c>
      <c r="HA394" s="103">
        <f t="shared" si="416"/>
        <v>1.0533654406655836E-3</v>
      </c>
    </row>
    <row r="395" spans="1:209" x14ac:dyDescent="0.25">
      <c r="A395" s="96">
        <v>52444</v>
      </c>
      <c r="B395" s="104">
        <f t="shared" si="406"/>
        <v>44.25</v>
      </c>
      <c r="C395" s="104">
        <f t="shared" si="396"/>
        <v>49</v>
      </c>
      <c r="D395" s="104">
        <f t="shared" si="407"/>
        <v>2</v>
      </c>
      <c r="E395" s="104">
        <f>('Renewable Diesel'!B404*E$3*'Feedstock Conversion Rates'!$B$2)/12+26+13-100+27.5+39</f>
        <v>95.43</v>
      </c>
      <c r="F395" s="104">
        <f>('Renewable Diesel'!B404*'RD Feedstock Breakdown'!F$3*'Feedstock Conversion Rates'!B$8)/12+77+23-10-12-115.75+24+8</f>
        <v>48.15625</v>
      </c>
      <c r="G395" s="104">
        <f>('Renewable Diesel'!B404*'RD Feedstock Breakdown'!G$3*'Feedstock Conversion Rates'!B$7)/12+116.75-39-57.5-145-31.5+32+70-40+10+60</f>
        <v>151.90700000000004</v>
      </c>
      <c r="H395" s="104">
        <f>('Renewable Diesel'!B404*'RD Feedstock Breakdown'!H$3*'Feedstock Conversion Rates'!B$3)/12+67+10+12+3-235+20+47-20+25</f>
        <v>105.40022499999998</v>
      </c>
      <c r="I395" s="106">
        <f t="shared" si="370"/>
        <v>496.14347500000002</v>
      </c>
      <c r="J395" s="104">
        <f t="shared" si="417"/>
        <v>4</v>
      </c>
      <c r="K395" s="104"/>
      <c r="L395" s="104">
        <v>1</v>
      </c>
      <c r="M395" s="104">
        <f>('Renewable Diesel'!C404*'RD Feedstock Breakdown'!M$3*'Feedstock Conversion Rates'!B$2)/12</f>
        <v>7.7902500000000003</v>
      </c>
      <c r="N395" s="104">
        <f>('Renewable Diesel'!C404*'RD Feedstock Breakdown'!N$3*'Feedstock Conversion Rates'!B$8)/12</f>
        <v>3.671875</v>
      </c>
      <c r="O395" s="104">
        <f>('Renewable Diesel'!C404*'RD Feedstock Breakdown'!O$3*'Feedstock Conversion Rates'!B$7)/12</f>
        <v>11.9991</v>
      </c>
      <c r="P395" s="104">
        <f>('Renewable Diesel'!C404*'RD Feedstock Breakdown'!P$3*'Feedstock Conversion Rates'!B$3)/12</f>
        <v>10.4470425</v>
      </c>
      <c r="Q395" s="106">
        <f t="shared" si="379"/>
        <v>38.908267500000001</v>
      </c>
      <c r="R395" s="104">
        <f>('Renewable Diesel'!D404*'RD Feedstock Breakdown'!R$3*'Feedstock Conversion Rates'!B$7)/12</f>
        <v>2.2999999999999998</v>
      </c>
      <c r="S395" s="106">
        <f t="shared" si="414"/>
        <v>2.2999999999999998</v>
      </c>
      <c r="T395" s="104">
        <f t="shared" si="380"/>
        <v>0.82499999999999929</v>
      </c>
      <c r="U395" s="104"/>
      <c r="V395" s="104">
        <f>('Renewable Diesel'!E404*'RD Feedstock Breakdown'!V$3*'Feedstock Conversion Rates'!B$6)/12-20+25</f>
        <v>49.250150000000012</v>
      </c>
      <c r="W395" s="104">
        <f>('Renewable Diesel'!E404*'RD Feedstock Breakdown'!W$3*'Feedstock Conversion Rates'!B$8)/12-6</f>
        <v>16.1796875</v>
      </c>
      <c r="X395" s="106">
        <f t="shared" si="357"/>
        <v>66.254837500000008</v>
      </c>
      <c r="Y395" s="104">
        <f t="shared" si="381"/>
        <v>98</v>
      </c>
      <c r="Z395" s="104">
        <f>('Renewable Diesel'!F404*'RD Feedstock Breakdown'!Z$3*'Feedstock Conversion Rates'!B$6)/12-142+15+5+20+5+15</f>
        <v>77.460000000000008</v>
      </c>
      <c r="AA395" s="104">
        <f>('Renewable Diesel'!F404*'RD Feedstock Breakdown'!AA$3*'Feedstock Conversion Rates'!B$7)/12+24</f>
        <v>128.26666666666665</v>
      </c>
      <c r="AB395" s="106">
        <f t="shared" si="400"/>
        <v>303.72666666666669</v>
      </c>
      <c r="AC395" s="104">
        <f>('Renewable Diesel'!G404*'RD Feedstock Breakdown'!AC$3*'Feedstock Conversion Rates'!B$5)/12</f>
        <v>11.796875</v>
      </c>
      <c r="AD395" s="104">
        <f>('Renewable Diesel'!G404*'RD Feedstock Breakdown'!AD$3*'Feedstock Conversion Rates'!B$4)/12</f>
        <v>5.859375</v>
      </c>
      <c r="AE395" s="104">
        <f>('Renewable Diesel'!G404*'RD Feedstock Breakdown'!AE$3*'Feedstock Conversion Rates'!B$6)/12</f>
        <v>7.3281250000000009</v>
      </c>
      <c r="AF395" s="106">
        <f t="shared" si="366"/>
        <v>24.984375</v>
      </c>
      <c r="AG395" s="104">
        <f t="shared" si="383"/>
        <v>148</v>
      </c>
      <c r="AH395" s="104"/>
      <c r="AI395" s="104">
        <f>('Renewable Diesel'!H404*'RD Feedstock Breakdown'!AI$3*'Feedstock Conversion Rates'!B$6)/12-130-20+51-49</f>
        <v>0.51666666666667993</v>
      </c>
      <c r="AJ395" s="106">
        <f t="shared" si="413"/>
        <v>148.51666666666668</v>
      </c>
      <c r="AK395" s="104">
        <f>('Renewable Diesel'!J404*'RD Feedstock Breakdown'!AK$3*'Feedstock Conversion Rates'!B$4)/12</f>
        <v>95.8125</v>
      </c>
      <c r="AL395" s="106">
        <f t="shared" si="415"/>
        <v>95.8125</v>
      </c>
      <c r="AM395" s="104">
        <f>('Renewable Diesel'!K404*'RD Feedstock Breakdown'!AM$3*'Feedstock Conversion Rates'!B$4)/12+5+15-10+10</f>
        <v>78.59375</v>
      </c>
      <c r="AN395" s="104">
        <f>('Renewable Diesel'!K404*'RD Feedstock Breakdown'!AN$3*'Feedstock Conversion Rates'!B$6)/12-5-15+10-10</f>
        <v>4.4270833333333321</v>
      </c>
      <c r="AO395" s="106">
        <f t="shared" si="350"/>
        <v>83.020833333333329</v>
      </c>
      <c r="AP395" s="104">
        <f>('Renewable Diesel'!L404*'RD Feedstock Breakdown'!AP$3*'Feedstock Conversion Rates'!B$4)/12+15-10+15</f>
        <v>78.59375</v>
      </c>
      <c r="AQ395" s="104">
        <f>('Renewable Diesel'!L404*'RD Feedstock Breakdown'!AQ$3*'Feedstock Conversion Rates'!B$6)/12-15+10-15</f>
        <v>4.4270833333333321</v>
      </c>
      <c r="AR395" s="106">
        <f t="shared" si="420"/>
        <v>83.020833333333329</v>
      </c>
      <c r="AS395" s="104">
        <f>('Renewable Diesel'!M404*'RD Feedstock Breakdown'!AS$3*'Feedstock Conversion Rates'!B$4)/12</f>
        <v>456.25</v>
      </c>
      <c r="AT395" s="104">
        <f>('Renewable Diesel'!M404*'RD Feedstock Breakdown'!AT$3*'Feedstock Conversion Rates'!B$5)/12</f>
        <v>0</v>
      </c>
      <c r="AU395" s="106">
        <f t="shared" si="369"/>
        <v>456.25</v>
      </c>
      <c r="AV395" s="104">
        <f>'Renewable Diesel'!N404*'RD Feedstock Breakdown'!$AV$3*'Feedstock Conversion Rates'!$B$4/12-15-10+25+25-22+25</f>
        <v>106.74999999999999</v>
      </c>
      <c r="AW395" s="104">
        <f>'Renewable Diesel'!N404*'RD Feedstock Breakdown'!$AW$3*'Feedstock Conversion Rates'!$B$7/12+15+10-25-25+22-25</f>
        <v>13.400000000000006</v>
      </c>
      <c r="AX395" s="106">
        <f t="shared" si="408"/>
        <v>120.14999999999999</v>
      </c>
      <c r="AY395" s="104">
        <f>('Renewable Diesel'!O404*'RD Feedstock Breakdown'!AY$3*'Feedstock Conversion Rates'!B$4)/12</f>
        <v>210.9375</v>
      </c>
      <c r="AZ395" s="104">
        <f>('Renewable Diesel'!O404*'RD Feedstock Breakdown'!AZ$3*'Feedstock Conversion Rates'!B$3)/12</f>
        <v>25.03125</v>
      </c>
      <c r="BA395" s="106">
        <f t="shared" si="382"/>
        <v>235.96875</v>
      </c>
      <c r="BB395" s="104">
        <f>('Renewable Diesel'!Q404*'RD Feedstock Breakdown'!BB$3*'Feedstock Conversion Rates'!B$4)/12</f>
        <v>11.156249999999998</v>
      </c>
      <c r="BC395" s="104">
        <f>('Renewable Diesel'!Q404*'RD Feedstock Breakdown'!BC$3*'Feedstock Conversion Rates'!B$3)/12</f>
        <v>1.4017500000000001</v>
      </c>
      <c r="BD395" s="104">
        <f>('Renewable Diesel'!Q404*'RD Feedstock Breakdown'!BD$3*'Feedstock Conversion Rates'!B$6)/12</f>
        <v>0.8207500000000002</v>
      </c>
      <c r="BE395" s="106">
        <f t="shared" si="359"/>
        <v>13.378749999999998</v>
      </c>
      <c r="BF395" s="104">
        <f>('Renewable Diesel'!R404*'RD Feedstock Breakdown'!BF$3*'Feedstock Conversion Rates'!B$4)/12</f>
        <v>62.5</v>
      </c>
      <c r="BG395" s="106">
        <f t="shared" ref="BG395:BG458" si="425">BF395</f>
        <v>62.5</v>
      </c>
      <c r="BH395" s="104">
        <f>('Renewable Diesel'!T404*'RD Feedstock Breakdown'!BH$3*'Feedstock Conversion Rates'!B$7)/12</f>
        <v>27.599999999999998</v>
      </c>
      <c r="BI395" s="106">
        <f t="shared" si="412"/>
        <v>27.599999999999998</v>
      </c>
      <c r="BJ395" s="104">
        <f>('Renewable Diesel'!W404*'RD Feedstock Breakdown'!BJ$3*'Feedstock Conversion Rates'!B$4)/12</f>
        <v>7.5</v>
      </c>
      <c r="BK395" s="104">
        <f>('Renewable Diesel'!W404*'RD Feedstock Breakdown'!BK$3*'Feedstock Conversion Rates'!B$3)/12</f>
        <v>1.335</v>
      </c>
      <c r="BL395" s="104">
        <f>('Renewable Diesel'!W404*'RD Feedstock Breakdown'!BL$3*'Feedstock Conversion Rates'!B$6)/12</f>
        <v>3.1266666666666669</v>
      </c>
      <c r="BM395" s="104">
        <f>('Renewable Diesel'!W404*'RD Feedstock Breakdown'!BM$3*'Feedstock Conversion Rates'!B$7)/12</f>
        <v>1.5333333333333332</v>
      </c>
      <c r="BN395" s="106">
        <f t="shared" si="374"/>
        <v>13.495000000000001</v>
      </c>
      <c r="BO395" s="104">
        <f>('Renewable Diesel'!P404*'Feedstock Conversion Rates'!B$4)/12</f>
        <v>31.25</v>
      </c>
      <c r="BP395" s="106">
        <f t="shared" si="367"/>
        <v>31.25</v>
      </c>
      <c r="BQ395" s="104">
        <f>('Renewable Diesel'!$S404*'RD Feedstock Breakdown'!BQ$3*'Feedstock Conversion Rates'!B$4)/12+10+15-15</f>
        <v>38.125</v>
      </c>
      <c r="BR395" s="104">
        <f>('Renewable Diesel'!$S404*'RD Feedstock Breakdown'!BR$3*'Feedstock Conversion Rates'!B$7)/12-10-15+15</f>
        <v>1.5</v>
      </c>
      <c r="BS395" s="106">
        <f t="shared" si="385"/>
        <v>39.625</v>
      </c>
      <c r="BT395" s="106"/>
      <c r="BU395" s="104">
        <f>('Renewable Diesel'!Y404*'Feedstock Conversion Rates'!B$7)/12</f>
        <v>2.6833333333333331</v>
      </c>
      <c r="BV395" s="106">
        <f t="shared" si="361"/>
        <v>2.6833333333333331</v>
      </c>
      <c r="BW395" s="104">
        <f>('Renewable Diesel'!$Z404*'RD Feedstock Breakdown'!BW$3*'Feedstock Conversion Rates'!$B$4)/12-250+180</f>
        <v>1.875</v>
      </c>
      <c r="BX395" s="104">
        <f>('Renewable Diesel'!$Z404*'RD Feedstock Breakdown'!BX$3*'Feedstock Conversion Rates'!$B$5)/12</f>
        <v>7.2354166666666666</v>
      </c>
      <c r="BY395" s="104">
        <f>('Renewable Diesel'!$Z404*'RD Feedstock Breakdown'!BY$3*'Feedstock Conversion Rates'!$B$7)/12</f>
        <v>61.716666666666661</v>
      </c>
      <c r="BZ395" s="104">
        <f>('Renewable Diesel'!$Z404*'RD Feedstock Breakdown'!BZ$3*'Feedstock Conversion Rates'!$B$3)/12+250-180</f>
        <v>85.35250000000002</v>
      </c>
      <c r="CA395" s="106">
        <f t="shared" si="392"/>
        <v>156.17958333333334</v>
      </c>
      <c r="CB395" s="104">
        <f>('Renewable Diesel'!AA404*'Feedstock Conversion Rates'!B$4)/12</f>
        <v>191.25</v>
      </c>
      <c r="CC395" s="106">
        <f t="shared" si="376"/>
        <v>191.25</v>
      </c>
      <c r="CD395" s="104">
        <f>('Renewable Diesel'!$AB404*'RD Feedstock Breakdown'!CD$3*'Feedstock Conversion Rates'!$B$6)/12-15-5</f>
        <v>12.830000000000005</v>
      </c>
      <c r="CE395" s="104">
        <f>('Renewable Diesel'!$AB404*'RD Feedstock Breakdown'!CE$3*'Feedstock Conversion Rates'!$B$4)/12+15+5</f>
        <v>31.25</v>
      </c>
      <c r="CF395" s="106">
        <f t="shared" si="372"/>
        <v>44.080000000000005</v>
      </c>
      <c r="CG395" s="104">
        <f>('Renewable Diesel'!AD404*'Feedstock Conversion Rates'!B$4)/12</f>
        <v>112.5</v>
      </c>
      <c r="CH395" s="106">
        <f t="shared" si="358"/>
        <v>112.5</v>
      </c>
      <c r="CI395" s="104">
        <f>('Renewable Diesel'!$AE404*'RD Feedstock Breakdown'!CI$3*'Feedstock Conversion Rates'!$B$5)/12</f>
        <v>0.34604166666666664</v>
      </c>
      <c r="CJ395" s="104">
        <f>('Renewable Diesel'!$AE404*'RD Feedstock Breakdown'!CJ$3*'Feedstock Conversion Rates'!$B$4)/12</f>
        <v>0.34375</v>
      </c>
      <c r="CK395" s="106">
        <f t="shared" si="368"/>
        <v>0.68979166666666658</v>
      </c>
      <c r="CL395" s="104">
        <f>(((CL$3*'Renewable Diesel'!$AF404)*'Feedstock Conversion Rates'!$B$3)/12)</f>
        <v>91.78125</v>
      </c>
      <c r="CM395" s="104">
        <f>(((CM$3*'Renewable Diesel'!$AF404)*'Feedstock Conversion Rates'!$B$6)/12)</f>
        <v>53.739583333333336</v>
      </c>
      <c r="CN395" s="104">
        <f>(((CN$3*'Renewable Diesel'!$AF404)*'Feedstock Conversion Rates'!$B$4)/12)</f>
        <v>42.96875</v>
      </c>
      <c r="CO395" s="106">
        <f t="shared" si="360"/>
        <v>188.48958333333334</v>
      </c>
      <c r="CP395" s="104">
        <f>('Renewable Diesel'!$AG404*'RD Feedstock Breakdown'!CP$3*'Feedstock Conversion Rates'!$B$3)/12</f>
        <v>6.0075000000000003</v>
      </c>
      <c r="CQ395" s="104">
        <f>('Renewable Diesel'!$AG404*'RD Feedstock Breakdown'!CQ$3*'Feedstock Conversion Rates'!$B$6)/12</f>
        <v>3.5175000000000001</v>
      </c>
      <c r="CR395" s="104">
        <f>('Renewable Diesel'!$AG404*'RD Feedstock Breakdown'!CR$3*'Feedstock Conversion Rates'!$B$4)/12</f>
        <v>2.8125</v>
      </c>
      <c r="CS395" s="106">
        <f t="shared" si="397"/>
        <v>12.3375</v>
      </c>
      <c r="CT395" s="104">
        <f>('Renewable Diesel'!AI404*'Feedstock Conversion Rates'!$B$4*'RD Feedstock Breakdown'!$CT$3)/12</f>
        <v>29.375</v>
      </c>
      <c r="CU395" s="106">
        <f t="shared" si="364"/>
        <v>29.375</v>
      </c>
      <c r="CV395" s="104">
        <f>('Renewable Diesel'!AN404*'Feedstock Conversion Rates'!$B$3*'RD Feedstock Breakdown'!$CV$3)/12</f>
        <v>0.50062499999999999</v>
      </c>
      <c r="CW395" s="106">
        <f t="shared" si="419"/>
        <v>0.50062499999999999</v>
      </c>
      <c r="CX395" s="104">
        <f>('Renewable Diesel'!AO404*'RD Feedstock Breakdown'!$CX$3*'Feedstock Conversion Rates'!$B$3)/12</f>
        <v>6.3412499999999996</v>
      </c>
      <c r="CY395" s="104">
        <f>('Renewable Diesel'!AO404*'RD Feedstock Breakdown'!$CY$3*'Feedstock Conversion Rates'!$B$6)/12</f>
        <v>7.4258333333333342</v>
      </c>
      <c r="CZ395" s="106">
        <f t="shared" si="398"/>
        <v>13.767083333333334</v>
      </c>
      <c r="DA395" s="104">
        <f>('Renewable Diesel'!$AP404*'RD Feedstock Breakdown'!DA$3*'Feedstock Conversion Rates'!$B$3)/12</f>
        <v>6.3412499999999996</v>
      </c>
      <c r="DB395" s="104">
        <f>('Renewable Diesel'!$AP404*'RD Feedstock Breakdown'!DB$3*'Feedstock Conversion Rates'!$B$8)/12</f>
        <v>7.421875</v>
      </c>
      <c r="DC395" s="106">
        <f t="shared" si="422"/>
        <v>13.763124999999999</v>
      </c>
      <c r="DD395" s="104">
        <f>('Renewable Diesel'!AQ404*$DD$3*'Feedstock Conversion Rates'!$B$14)/12</f>
        <v>3.1041666666666665</v>
      </c>
      <c r="DE395" s="106">
        <f t="shared" si="423"/>
        <v>3.1041666666666665</v>
      </c>
      <c r="DF395" s="104">
        <f>('Renewable Diesel'!AR404*'Feedstock Conversion Rates'!$B$4*$DF$3)/12</f>
        <v>75</v>
      </c>
      <c r="DG395" s="106">
        <f t="shared" si="399"/>
        <v>75</v>
      </c>
      <c r="DH395" s="104">
        <f>('Renewable Diesel'!AS404*'Feedstock Conversion Rates'!$B$4*$DH$3)/12</f>
        <v>75</v>
      </c>
      <c r="DI395" s="106">
        <f t="shared" si="411"/>
        <v>75</v>
      </c>
      <c r="DJ395" s="104">
        <f>('Renewable Diesel'!AT404*'Feedstock Conversion Rates'!$B$4*0.25)/12</f>
        <v>8.59375</v>
      </c>
      <c r="DK395" s="104">
        <f>('Renewable Diesel'!$AT404*'RD Feedstock Breakdown'!DK$3*'Feedstock Conversion Rates'!$B$3)/12*0.5</f>
        <v>9.1781249999999996</v>
      </c>
      <c r="DL395" s="104">
        <f>('Renewable Diesel'!$AT404*'RD Feedstock Breakdown'!$DL$3*'Feedstock Conversion Rates'!$B$6)/12</f>
        <v>10.747916666666669</v>
      </c>
      <c r="DM395" s="104">
        <f>('Renewable Diesel'!$AT404*'RD Feedstock Breakdown'!$DM$3*'Feedstock Conversion Rates'!$B$8)/12</f>
        <v>10.7421875</v>
      </c>
      <c r="DN395" s="106">
        <f t="shared" si="375"/>
        <v>39.26197916666667</v>
      </c>
      <c r="DP395" s="104">
        <f t="shared" si="345"/>
        <v>103.22025000000001</v>
      </c>
      <c r="DQ395" s="104">
        <f t="shared" si="346"/>
        <v>349.11776750000007</v>
      </c>
      <c r="DR395" s="104">
        <f t="shared" si="351"/>
        <v>1891.953125</v>
      </c>
      <c r="DS395" s="104">
        <f t="shared" si="365"/>
        <v>228.90125</v>
      </c>
      <c r="DT395" s="104">
        <f t="shared" si="347"/>
        <v>243.03923333333344</v>
      </c>
      <c r="DU395" s="104">
        <f t="shared" si="348"/>
        <v>402.90610000000009</v>
      </c>
      <c r="DV395" s="104">
        <f t="shared" si="352"/>
        <v>78.75</v>
      </c>
      <c r="DW395" s="104">
        <f t="shared" si="349"/>
        <v>3</v>
      </c>
      <c r="DX395" s="106">
        <f t="shared" si="353"/>
        <v>3300.8877258333337</v>
      </c>
      <c r="DY395" s="109">
        <f t="shared" si="421"/>
        <v>-5.631051180898794E-13</v>
      </c>
      <c r="EA395" s="110">
        <f t="shared" si="424"/>
        <v>3.1270451640078516E-2</v>
      </c>
      <c r="EB395" s="110">
        <f t="shared" si="424"/>
        <v>0.10576481131658687</v>
      </c>
      <c r="EC395" s="110">
        <f t="shared" si="424"/>
        <v>0.57316494293133291</v>
      </c>
      <c r="ED395" s="110">
        <f t="shared" si="424"/>
        <v>6.9345360706629972E-2</v>
      </c>
      <c r="EE395" s="110">
        <f t="shared" si="424"/>
        <v>7.3628445896921982E-2</v>
      </c>
      <c r="EF395" s="110">
        <f t="shared" si="424"/>
        <v>0.1220599225010852</v>
      </c>
      <c r="EG395" s="110">
        <f t="shared" si="384"/>
        <v>2.3857218585075921E-2</v>
      </c>
      <c r="EH395" s="111">
        <f t="shared" si="354"/>
        <v>9.0884642228860647E-4</v>
      </c>
      <c r="EI395" s="110">
        <f t="shared" si="409"/>
        <v>0.99909115357771139</v>
      </c>
      <c r="EK395" s="132">
        <f>(EA395*'Renewable Diesel'!BF404*'Feedstock Conversion Rates'!B$2)+FB395</f>
        <v>566.07106362463526</v>
      </c>
      <c r="EL395" s="132">
        <f>(EB395*'Renewable Diesel'!BF404*'Feedstock Conversion Rates'!B$3)+FC395</f>
        <v>1804.2287159415453</v>
      </c>
      <c r="EM395" s="132">
        <f>(EC395*'Renewable Diesel'!BF404*'Feedstock Conversion Rates'!B$4)+FD395</f>
        <v>9155.0086384101469</v>
      </c>
      <c r="EN395" s="132">
        <f>(ED395*'Renewable Diesel'!BF404*'Feedstock Conversion Rates'!B$5)+FE395</f>
        <v>1115.0189255174246</v>
      </c>
      <c r="EO395" s="132">
        <f>(EE395*'Renewable Diesel'!BF404*'Feedstock Conversion Rates'!B$6)+FF395</f>
        <v>1470.8431011750456</v>
      </c>
      <c r="EP395" s="132">
        <f>(EF395*'Renewable Diesel'!BF404*'Feedstock Conversion Rates'!B$7)+FG395</f>
        <v>2391.5462985836866</v>
      </c>
      <c r="EQ395" s="132">
        <f>(EG395*'Renewable Diesel'!BF404*'Feedstock Conversion Rates'!B$8)+FH395</f>
        <v>476.33112625002218</v>
      </c>
      <c r="ER395" s="132">
        <f>(EH395*'Renewable Diesel'!BF404*'Feedstock Conversion Rates'!B$9)+FI395</f>
        <v>17.904001697778611</v>
      </c>
      <c r="ES395" s="132">
        <f t="shared" si="355"/>
        <v>16996.951871200283</v>
      </c>
      <c r="ET395" s="133">
        <f>ES395/'Renewable Diesel'!BF404</f>
        <v>17.152995399210752</v>
      </c>
      <c r="EW395" s="73">
        <f t="shared" si="386"/>
        <v>15761.629763190966</v>
      </c>
      <c r="EX395" s="73">
        <f t="shared" si="387"/>
        <v>10323.953827412544</v>
      </c>
      <c r="EY395" s="92">
        <f t="shared" si="410"/>
        <v>0.92732096217190252</v>
      </c>
      <c r="EZ395" s="92">
        <f t="shared" si="410"/>
        <v>0.60740030951699653</v>
      </c>
      <c r="FB395" s="102">
        <f>IF('Renewable Diesel'!$BG404&lt;1,0,(((('Renewable Diesel'!$BG404-1)*'Renewable Diesel'!$BF404)*'RD Feedstock Breakdown'!EA395)*'Feedstock Conversion Rates'!$B$2))</f>
        <v>302.69023900765251</v>
      </c>
      <c r="FC395" s="102">
        <f>IF('Renewable Diesel'!$BG404&lt;1,0,(((('Renewable Diesel'!$BG404-1)*'Renewable Diesel'!$BF404)*'RD Feedstock Breakdown'!EB395)*'Feedstock Conversion Rates'!$B$3))</f>
        <v>964.75947340589209</v>
      </c>
      <c r="FD395" s="102">
        <f>IF('Renewable Diesel'!$BG404&lt;1,0,(((('Renewable Diesel'!$BG404-1)*'Renewable Diesel'!$BF404)*'RD Feedstock Breakdown'!EC395)*'Feedstock Conversion Rates'!$B$4))</f>
        <v>4895.3778614535277</v>
      </c>
      <c r="FE395" s="102">
        <f>IF('Renewable Diesel'!$BG404&lt;1,0,(((('Renewable Diesel'!$BG404-1)*'Renewable Diesel'!$BF404)*'RD Feedstock Breakdown'!ED395)*'Feedstock Conversion Rates'!$B$5))</f>
        <v>596.22433780986682</v>
      </c>
      <c r="FF395" s="102">
        <f>IF('Renewable Diesel'!$BG404&lt;1,0,(((('Renewable Diesel'!$BG404-1)*'Renewable Diesel'!$BF404)*'RD Feedstock Breakdown'!EE395)*'Feedstock Conversion Rates'!$B$6))</f>
        <v>786.49109351516404</v>
      </c>
      <c r="FG395" s="102">
        <f>IF('Renewable Diesel'!$BG404&lt;1,0,(((('Renewable Diesel'!$BG404-1)*'Renewable Diesel'!$BF404)*'RD Feedstock Breakdown'!EF395)*'Feedstock Conversion Rates'!$B$7))</f>
        <v>1278.8106780815478</v>
      </c>
      <c r="FH395" s="102">
        <f>IF('Renewable Diesel'!$BG404&lt;1,0,(((('Renewable Diesel'!$BG404-1)*'Renewable Diesel'!$BF404)*'RD Feedstock Breakdown'!EG395)*'Feedstock Conversion Rates'!$B$8))</f>
        <v>254.70438557341728</v>
      </c>
      <c r="FI395" s="102">
        <f>IF('Renewable Diesel'!$BG404&lt;1,0,(((('Renewable Diesel'!$BG404-1)*'Renewable Diesel'!$BF404)*'RD Feedstock Breakdown'!EH395)*'Feedstock Conversion Rates'!$B$9))</f>
        <v>9.5736505561563821</v>
      </c>
      <c r="FJ395" s="102">
        <f t="shared" si="388"/>
        <v>9088.6317194032235</v>
      </c>
      <c r="GD395" s="91">
        <f>'Renewable Diesel'!BB404*0.32</f>
        <v>0</v>
      </c>
      <c r="GE395" s="91">
        <f>'Renewable Diesel'!BC404</f>
        <v>521.48553456446302</v>
      </c>
      <c r="GF395" s="91">
        <f>'Renewable Diesel'!BD404</f>
        <v>0</v>
      </c>
      <c r="GG395" s="91">
        <f t="shared" si="373"/>
        <v>521.48553456446302</v>
      </c>
      <c r="GH395" s="124">
        <v>1</v>
      </c>
      <c r="GI395" s="102">
        <f>$GG395*EA395*'Feedstock Conversion Rates'!$B$2</f>
        <v>138.61024961158753</v>
      </c>
      <c r="GJ395" s="102">
        <f>$GG395*EB395*'Feedstock Conversion Rates'!$B$3</f>
        <v>441.79010153199437</v>
      </c>
      <c r="GK395" s="102">
        <f>$GG395*EC395*'Feedstock Conversion Rates'!$B$4</f>
        <v>2241.7291999361705</v>
      </c>
      <c r="GL395" s="102">
        <f>$GG395*ED395*'Feedstock Conversion Rates'!$B$5</f>
        <v>273.02764885735144</v>
      </c>
      <c r="GM395" s="102">
        <f>$GG395*EE395*'Feedstock Conversion Rates'!$B$6</f>
        <v>360.15606960709175</v>
      </c>
      <c r="GN395" s="102">
        <f>$GG395*EF395*'Feedstock Conversion Rates'!$B$7</f>
        <v>585.60285219625314</v>
      </c>
      <c r="GO395" s="102">
        <f>$GG395*EG395*'Feedstock Conversion Rates'!$B$8</f>
        <v>116.63619737868336</v>
      </c>
      <c r="GP395" s="102">
        <f>$GG395*EH395*'Feedstock Conversion Rates'!B$9</f>
        <v>4.3840399268686063</v>
      </c>
      <c r="GQ395" s="102">
        <f t="shared" si="356"/>
        <v>4161.9363590460007</v>
      </c>
      <c r="GT395" s="103">
        <f t="shared" si="418"/>
        <v>3.3304269372191893E-2</v>
      </c>
      <c r="GU395" s="103">
        <f t="shared" si="416"/>
        <v>0.1061501338365639</v>
      </c>
      <c r="GV395" s="103">
        <f t="shared" si="416"/>
        <v>0.53862649654979822</v>
      </c>
      <c r="GW395" s="103">
        <f t="shared" si="416"/>
        <v>6.5601110950176775E-2</v>
      </c>
      <c r="GX395" s="103">
        <f t="shared" si="416"/>
        <v>8.653569841938831E-2</v>
      </c>
      <c r="GY395" s="103">
        <f t="shared" si="416"/>
        <v>0.14070442257566981</v>
      </c>
      <c r="GZ395" s="103">
        <f t="shared" si="416"/>
        <v>2.8024502855545527E-2</v>
      </c>
      <c r="HA395" s="103">
        <f t="shared" si="416"/>
        <v>1.0533654406655842E-3</v>
      </c>
    </row>
    <row r="396" spans="1:209" x14ac:dyDescent="0.25">
      <c r="A396" s="96">
        <v>52475</v>
      </c>
      <c r="B396" s="104">
        <f t="shared" si="406"/>
        <v>44.25</v>
      </c>
      <c r="C396" s="104">
        <f t="shared" si="396"/>
        <v>49</v>
      </c>
      <c r="D396" s="104">
        <f t="shared" si="407"/>
        <v>2</v>
      </c>
      <c r="E396" s="104">
        <f>('Renewable Diesel'!B405*E$3*'Feedstock Conversion Rates'!$B$2)/12+26+13-100+27.5+39</f>
        <v>95.43</v>
      </c>
      <c r="F396" s="104">
        <f>('Renewable Diesel'!B405*'RD Feedstock Breakdown'!F$3*'Feedstock Conversion Rates'!B$8)/12+77+23-10-12-115.75+24+8</f>
        <v>48.15625</v>
      </c>
      <c r="G396" s="104">
        <f>('Renewable Diesel'!B405*'RD Feedstock Breakdown'!G$3*'Feedstock Conversion Rates'!B$7)/12+116.75-39-57.5-145-31.5+32+70-40+10+60</f>
        <v>151.90700000000004</v>
      </c>
      <c r="H396" s="104">
        <f>('Renewable Diesel'!B405*'RD Feedstock Breakdown'!H$3*'Feedstock Conversion Rates'!B$3)/12+67+10+12+3-235+20+47-20+25</f>
        <v>105.40022499999998</v>
      </c>
      <c r="I396" s="106">
        <f t="shared" si="370"/>
        <v>496.14347500000002</v>
      </c>
      <c r="J396" s="104">
        <f t="shared" si="417"/>
        <v>4</v>
      </c>
      <c r="K396" s="104"/>
      <c r="L396" s="104">
        <v>1</v>
      </c>
      <c r="M396" s="104">
        <f>('Renewable Diesel'!C405*'RD Feedstock Breakdown'!M$3*'Feedstock Conversion Rates'!B$2)/12</f>
        <v>7.7902500000000003</v>
      </c>
      <c r="N396" s="104">
        <f>('Renewable Diesel'!C405*'RD Feedstock Breakdown'!N$3*'Feedstock Conversion Rates'!B$8)/12</f>
        <v>3.671875</v>
      </c>
      <c r="O396" s="104">
        <f>('Renewable Diesel'!C405*'RD Feedstock Breakdown'!O$3*'Feedstock Conversion Rates'!B$7)/12</f>
        <v>11.9991</v>
      </c>
      <c r="P396" s="104">
        <f>('Renewable Diesel'!C405*'RD Feedstock Breakdown'!P$3*'Feedstock Conversion Rates'!B$3)/12</f>
        <v>10.4470425</v>
      </c>
      <c r="Q396" s="106">
        <f t="shared" si="379"/>
        <v>38.908267500000001</v>
      </c>
      <c r="R396" s="104">
        <f>('Renewable Diesel'!D405*'RD Feedstock Breakdown'!R$3*'Feedstock Conversion Rates'!B$7)/12</f>
        <v>2.2999999999999998</v>
      </c>
      <c r="S396" s="106">
        <f t="shared" si="414"/>
        <v>2.2999999999999998</v>
      </c>
      <c r="T396" s="104">
        <f t="shared" si="380"/>
        <v>0.82499999999999929</v>
      </c>
      <c r="U396" s="104"/>
      <c r="V396" s="104">
        <f>('Renewable Diesel'!E405*'RD Feedstock Breakdown'!V$3*'Feedstock Conversion Rates'!B$6)/12-20+25</f>
        <v>49.250150000000012</v>
      </c>
      <c r="W396" s="104">
        <f>('Renewable Diesel'!E405*'RD Feedstock Breakdown'!W$3*'Feedstock Conversion Rates'!B$8)/12-6</f>
        <v>16.1796875</v>
      </c>
      <c r="X396" s="106">
        <f t="shared" si="357"/>
        <v>66.254837500000008</v>
      </c>
      <c r="Y396" s="104">
        <f t="shared" si="381"/>
        <v>98</v>
      </c>
      <c r="Z396" s="104">
        <f>('Renewable Diesel'!F405*'RD Feedstock Breakdown'!Z$3*'Feedstock Conversion Rates'!B$6)/12-142+15+5+20+5+15</f>
        <v>77.460000000000008</v>
      </c>
      <c r="AA396" s="104">
        <f>('Renewable Diesel'!F405*'RD Feedstock Breakdown'!AA$3*'Feedstock Conversion Rates'!B$7)/12+24</f>
        <v>128.26666666666665</v>
      </c>
      <c r="AB396" s="106">
        <f t="shared" si="400"/>
        <v>303.72666666666669</v>
      </c>
      <c r="AC396" s="104">
        <f>('Renewable Diesel'!G405*'RD Feedstock Breakdown'!AC$3*'Feedstock Conversion Rates'!B$5)/12</f>
        <v>11.796875</v>
      </c>
      <c r="AD396" s="104">
        <f>('Renewable Diesel'!G405*'RD Feedstock Breakdown'!AD$3*'Feedstock Conversion Rates'!B$4)/12</f>
        <v>5.859375</v>
      </c>
      <c r="AE396" s="104">
        <f>('Renewable Diesel'!G405*'RD Feedstock Breakdown'!AE$3*'Feedstock Conversion Rates'!B$6)/12</f>
        <v>7.3281250000000009</v>
      </c>
      <c r="AF396" s="106">
        <f t="shared" si="366"/>
        <v>24.984375</v>
      </c>
      <c r="AG396" s="104">
        <f t="shared" si="383"/>
        <v>148</v>
      </c>
      <c r="AH396" s="104"/>
      <c r="AI396" s="104">
        <f>('Renewable Diesel'!H405*'RD Feedstock Breakdown'!AI$3*'Feedstock Conversion Rates'!B$6)/12-130-20+51-49</f>
        <v>0.51666666666667993</v>
      </c>
      <c r="AJ396" s="106">
        <f t="shared" si="413"/>
        <v>148.51666666666668</v>
      </c>
      <c r="AK396" s="104">
        <f>('Renewable Diesel'!J405*'RD Feedstock Breakdown'!AK$3*'Feedstock Conversion Rates'!B$4)/12</f>
        <v>95.8125</v>
      </c>
      <c r="AL396" s="106">
        <f t="shared" si="415"/>
        <v>95.8125</v>
      </c>
      <c r="AM396" s="104">
        <f>('Renewable Diesel'!K405*'RD Feedstock Breakdown'!AM$3*'Feedstock Conversion Rates'!B$4)/12+5+15-10+10</f>
        <v>78.59375</v>
      </c>
      <c r="AN396" s="104">
        <f>('Renewable Diesel'!K405*'RD Feedstock Breakdown'!AN$3*'Feedstock Conversion Rates'!B$6)/12-5-15+10-10</f>
        <v>4.4270833333333321</v>
      </c>
      <c r="AO396" s="106">
        <f t="shared" si="350"/>
        <v>83.020833333333329</v>
      </c>
      <c r="AP396" s="104">
        <f>('Renewable Diesel'!L405*'RD Feedstock Breakdown'!AP$3*'Feedstock Conversion Rates'!B$4)/12+15-10+15</f>
        <v>78.59375</v>
      </c>
      <c r="AQ396" s="104">
        <f>('Renewable Diesel'!L405*'RD Feedstock Breakdown'!AQ$3*'Feedstock Conversion Rates'!B$6)/12-15+10-15</f>
        <v>4.4270833333333321</v>
      </c>
      <c r="AR396" s="106">
        <f t="shared" si="420"/>
        <v>83.020833333333329</v>
      </c>
      <c r="AS396" s="104">
        <f>('Renewable Diesel'!M405*'RD Feedstock Breakdown'!AS$3*'Feedstock Conversion Rates'!B$4)/12</f>
        <v>456.25</v>
      </c>
      <c r="AT396" s="104">
        <f>('Renewable Diesel'!M405*'RD Feedstock Breakdown'!AT$3*'Feedstock Conversion Rates'!B$5)/12</f>
        <v>0</v>
      </c>
      <c r="AU396" s="106">
        <f t="shared" si="369"/>
        <v>456.25</v>
      </c>
      <c r="AV396" s="104">
        <f>'Renewable Diesel'!N405*'RD Feedstock Breakdown'!$AV$3*'Feedstock Conversion Rates'!$B$4/12-15-10+25+25-22+25</f>
        <v>106.74999999999999</v>
      </c>
      <c r="AW396" s="104">
        <f>'Renewable Diesel'!N405*'RD Feedstock Breakdown'!$AW$3*'Feedstock Conversion Rates'!$B$7/12+15+10-25-25+22-25</f>
        <v>13.400000000000006</v>
      </c>
      <c r="AX396" s="106">
        <f t="shared" si="408"/>
        <v>120.14999999999999</v>
      </c>
      <c r="AY396" s="104">
        <f>('Renewable Diesel'!O405*'RD Feedstock Breakdown'!AY$3*'Feedstock Conversion Rates'!B$4)/12</f>
        <v>210.9375</v>
      </c>
      <c r="AZ396" s="104">
        <f>('Renewable Diesel'!O405*'RD Feedstock Breakdown'!AZ$3*'Feedstock Conversion Rates'!B$3)/12</f>
        <v>25.03125</v>
      </c>
      <c r="BA396" s="106">
        <f t="shared" si="382"/>
        <v>235.96875</v>
      </c>
      <c r="BB396" s="104">
        <f>('Renewable Diesel'!Q405*'RD Feedstock Breakdown'!BB$3*'Feedstock Conversion Rates'!B$4)/12</f>
        <v>11.156249999999998</v>
      </c>
      <c r="BC396" s="104">
        <f>('Renewable Diesel'!Q405*'RD Feedstock Breakdown'!BC$3*'Feedstock Conversion Rates'!B$3)/12</f>
        <v>1.4017500000000001</v>
      </c>
      <c r="BD396" s="104">
        <f>('Renewable Diesel'!Q405*'RD Feedstock Breakdown'!BD$3*'Feedstock Conversion Rates'!B$6)/12</f>
        <v>0.8207500000000002</v>
      </c>
      <c r="BE396" s="106">
        <f t="shared" si="359"/>
        <v>13.378749999999998</v>
      </c>
      <c r="BF396" s="104">
        <f>('Renewable Diesel'!R405*'RD Feedstock Breakdown'!BF$3*'Feedstock Conversion Rates'!B$4)/12</f>
        <v>62.5</v>
      </c>
      <c r="BG396" s="106">
        <f t="shared" si="425"/>
        <v>62.5</v>
      </c>
      <c r="BH396" s="104">
        <f>('Renewable Diesel'!T405*'RD Feedstock Breakdown'!BH$3*'Feedstock Conversion Rates'!B$7)/12</f>
        <v>27.599999999999998</v>
      </c>
      <c r="BI396" s="106">
        <f t="shared" si="412"/>
        <v>27.599999999999998</v>
      </c>
      <c r="BJ396" s="104">
        <f>('Renewable Diesel'!W405*'RD Feedstock Breakdown'!BJ$3*'Feedstock Conversion Rates'!B$4)/12</f>
        <v>7.5</v>
      </c>
      <c r="BK396" s="104">
        <f>('Renewable Diesel'!W405*'RD Feedstock Breakdown'!BK$3*'Feedstock Conversion Rates'!B$3)/12</f>
        <v>1.335</v>
      </c>
      <c r="BL396" s="104">
        <f>('Renewable Diesel'!W405*'RD Feedstock Breakdown'!BL$3*'Feedstock Conversion Rates'!B$6)/12</f>
        <v>3.1266666666666669</v>
      </c>
      <c r="BM396" s="104">
        <f>('Renewable Diesel'!W405*'RD Feedstock Breakdown'!BM$3*'Feedstock Conversion Rates'!B$7)/12</f>
        <v>1.5333333333333332</v>
      </c>
      <c r="BN396" s="106">
        <f t="shared" si="374"/>
        <v>13.495000000000001</v>
      </c>
      <c r="BO396" s="104">
        <f>('Renewable Diesel'!P405*'Feedstock Conversion Rates'!B$4)/12</f>
        <v>31.25</v>
      </c>
      <c r="BP396" s="106">
        <f t="shared" si="367"/>
        <v>31.25</v>
      </c>
      <c r="BQ396" s="104">
        <f>('Renewable Diesel'!$S405*'RD Feedstock Breakdown'!BQ$3*'Feedstock Conversion Rates'!B$4)/12+10+15-15</f>
        <v>38.125</v>
      </c>
      <c r="BR396" s="104">
        <f>('Renewable Diesel'!$S405*'RD Feedstock Breakdown'!BR$3*'Feedstock Conversion Rates'!B$7)/12-10-15+15</f>
        <v>1.5</v>
      </c>
      <c r="BS396" s="106">
        <f t="shared" si="385"/>
        <v>39.625</v>
      </c>
      <c r="BT396" s="106"/>
      <c r="BU396" s="104">
        <f>('Renewable Diesel'!Y405*'Feedstock Conversion Rates'!B$7)/12</f>
        <v>2.6833333333333331</v>
      </c>
      <c r="BV396" s="106">
        <f t="shared" si="361"/>
        <v>2.6833333333333331</v>
      </c>
      <c r="BW396" s="104">
        <f>('Renewable Diesel'!$Z405*'RD Feedstock Breakdown'!BW$3*'Feedstock Conversion Rates'!$B$4)/12-250+180</f>
        <v>1.875</v>
      </c>
      <c r="BX396" s="104">
        <f>('Renewable Diesel'!$Z405*'RD Feedstock Breakdown'!BX$3*'Feedstock Conversion Rates'!$B$5)/12</f>
        <v>7.2354166666666666</v>
      </c>
      <c r="BY396" s="104">
        <f>('Renewable Diesel'!$Z405*'RD Feedstock Breakdown'!BY$3*'Feedstock Conversion Rates'!$B$7)/12</f>
        <v>61.716666666666661</v>
      </c>
      <c r="BZ396" s="104">
        <f>('Renewable Diesel'!$Z405*'RD Feedstock Breakdown'!BZ$3*'Feedstock Conversion Rates'!$B$3)/12+250-180</f>
        <v>85.35250000000002</v>
      </c>
      <c r="CA396" s="106">
        <f t="shared" si="392"/>
        <v>156.17958333333334</v>
      </c>
      <c r="CB396" s="104">
        <f>('Renewable Diesel'!AA405*'Feedstock Conversion Rates'!B$4)/12</f>
        <v>191.25</v>
      </c>
      <c r="CC396" s="106">
        <f t="shared" si="376"/>
        <v>191.25</v>
      </c>
      <c r="CD396" s="104">
        <f>('Renewable Diesel'!$AB405*'RD Feedstock Breakdown'!CD$3*'Feedstock Conversion Rates'!$B$6)/12-15-5</f>
        <v>12.830000000000005</v>
      </c>
      <c r="CE396" s="104">
        <f>('Renewable Diesel'!$AB405*'RD Feedstock Breakdown'!CE$3*'Feedstock Conversion Rates'!$B$4)/12+15+5</f>
        <v>31.25</v>
      </c>
      <c r="CF396" s="106">
        <f t="shared" si="372"/>
        <v>44.080000000000005</v>
      </c>
      <c r="CG396" s="104">
        <f>('Renewable Diesel'!AD405*'Feedstock Conversion Rates'!B$4)/12</f>
        <v>112.5</v>
      </c>
      <c r="CH396" s="106">
        <f t="shared" si="358"/>
        <v>112.5</v>
      </c>
      <c r="CI396" s="104">
        <f>('Renewable Diesel'!$AE405*'RD Feedstock Breakdown'!CI$3*'Feedstock Conversion Rates'!$B$5)/12</f>
        <v>0.34604166666666664</v>
      </c>
      <c r="CJ396" s="104">
        <f>('Renewable Diesel'!$AE405*'RD Feedstock Breakdown'!CJ$3*'Feedstock Conversion Rates'!$B$4)/12</f>
        <v>0.34375</v>
      </c>
      <c r="CK396" s="106">
        <f t="shared" si="368"/>
        <v>0.68979166666666658</v>
      </c>
      <c r="CL396" s="104">
        <f>(((CL$3*'Renewable Diesel'!$AF405)*'Feedstock Conversion Rates'!$B$3)/12)</f>
        <v>91.78125</v>
      </c>
      <c r="CM396" s="104">
        <f>(((CM$3*'Renewable Diesel'!$AF405)*'Feedstock Conversion Rates'!$B$6)/12)</f>
        <v>53.739583333333336</v>
      </c>
      <c r="CN396" s="104">
        <f>(((CN$3*'Renewable Diesel'!$AF405)*'Feedstock Conversion Rates'!$B$4)/12)</f>
        <v>42.96875</v>
      </c>
      <c r="CO396" s="106">
        <f t="shared" si="360"/>
        <v>188.48958333333334</v>
      </c>
      <c r="CP396" s="104">
        <f>('Renewable Diesel'!$AG405*'RD Feedstock Breakdown'!CP$3*'Feedstock Conversion Rates'!$B$3)/12</f>
        <v>6.0075000000000003</v>
      </c>
      <c r="CQ396" s="104">
        <f>('Renewable Diesel'!$AG405*'RD Feedstock Breakdown'!CQ$3*'Feedstock Conversion Rates'!$B$6)/12</f>
        <v>3.5175000000000001</v>
      </c>
      <c r="CR396" s="104">
        <f>('Renewable Diesel'!$AG405*'RD Feedstock Breakdown'!CR$3*'Feedstock Conversion Rates'!$B$4)/12</f>
        <v>2.8125</v>
      </c>
      <c r="CS396" s="106">
        <f t="shared" si="397"/>
        <v>12.3375</v>
      </c>
      <c r="CT396" s="104">
        <f>('Renewable Diesel'!AI405*'Feedstock Conversion Rates'!$B$4*'RD Feedstock Breakdown'!$CT$3)/12</f>
        <v>29.375</v>
      </c>
      <c r="CU396" s="106">
        <f t="shared" si="364"/>
        <v>29.375</v>
      </c>
      <c r="CV396" s="104">
        <f>('Renewable Diesel'!AN405*'Feedstock Conversion Rates'!$B$3*'RD Feedstock Breakdown'!$CV$3)/12</f>
        <v>0.50062499999999999</v>
      </c>
      <c r="CW396" s="106">
        <f t="shared" si="419"/>
        <v>0.50062499999999999</v>
      </c>
      <c r="CX396" s="104">
        <f>('Renewable Diesel'!AO405*'RD Feedstock Breakdown'!$CX$3*'Feedstock Conversion Rates'!$B$3)/12</f>
        <v>6.3412499999999996</v>
      </c>
      <c r="CY396" s="104">
        <f>('Renewable Diesel'!AO405*'RD Feedstock Breakdown'!$CY$3*'Feedstock Conversion Rates'!$B$6)/12</f>
        <v>7.4258333333333342</v>
      </c>
      <c r="CZ396" s="106">
        <f t="shared" si="398"/>
        <v>13.767083333333334</v>
      </c>
      <c r="DA396" s="104">
        <f>('Renewable Diesel'!$AP405*'RD Feedstock Breakdown'!DA$3*'Feedstock Conversion Rates'!$B$3)/12</f>
        <v>6.3412499999999996</v>
      </c>
      <c r="DB396" s="104">
        <f>('Renewable Diesel'!$AP405*'RD Feedstock Breakdown'!DB$3*'Feedstock Conversion Rates'!$B$8)/12</f>
        <v>7.421875</v>
      </c>
      <c r="DC396" s="106">
        <f t="shared" si="422"/>
        <v>13.763124999999999</v>
      </c>
      <c r="DD396" s="104">
        <f>('Renewable Diesel'!AQ405*$DD$3*'Feedstock Conversion Rates'!$B$14)/12</f>
        <v>3.1041666666666665</v>
      </c>
      <c r="DE396" s="106">
        <f t="shared" si="423"/>
        <v>3.1041666666666665</v>
      </c>
      <c r="DF396" s="104">
        <f>('Renewable Diesel'!AR405*'Feedstock Conversion Rates'!$B$4*$DF$3)/12</f>
        <v>75</v>
      </c>
      <c r="DG396" s="106">
        <f t="shared" si="399"/>
        <v>75</v>
      </c>
      <c r="DH396" s="104">
        <f>('Renewable Diesel'!AS405*'Feedstock Conversion Rates'!$B$4*$DH$3)/12</f>
        <v>75</v>
      </c>
      <c r="DI396" s="106">
        <f t="shared" si="411"/>
        <v>75</v>
      </c>
      <c r="DJ396" s="104">
        <f>('Renewable Diesel'!AT405*'Feedstock Conversion Rates'!$B$4*0.25)/12</f>
        <v>8.59375</v>
      </c>
      <c r="DK396" s="104">
        <f>('Renewable Diesel'!$AT405*'RD Feedstock Breakdown'!DK$3*'Feedstock Conversion Rates'!$B$3)/12*0.5</f>
        <v>9.1781249999999996</v>
      </c>
      <c r="DL396" s="104">
        <f>('Renewable Diesel'!$AT405*'RD Feedstock Breakdown'!$DL$3*'Feedstock Conversion Rates'!$B$6)/12</f>
        <v>10.747916666666669</v>
      </c>
      <c r="DM396" s="104">
        <f>('Renewable Diesel'!$AT405*'RD Feedstock Breakdown'!$DM$3*'Feedstock Conversion Rates'!$B$8)/12</f>
        <v>10.7421875</v>
      </c>
      <c r="DN396" s="106">
        <f t="shared" si="375"/>
        <v>39.26197916666667</v>
      </c>
      <c r="DP396" s="104">
        <f t="shared" ref="DP396:DP459" si="426">E396+M396</f>
        <v>103.22025000000001</v>
      </c>
      <c r="DQ396" s="104">
        <f t="shared" ref="DQ396:DQ459" si="427">H396+P396+AZ396+BC396+BK396+BZ396+CL396+CP396+CV396+CX396+DA396+DK396</f>
        <v>349.11776750000007</v>
      </c>
      <c r="DR396" s="104">
        <f t="shared" si="351"/>
        <v>1891.953125</v>
      </c>
      <c r="DS396" s="104">
        <f t="shared" si="365"/>
        <v>228.90125</v>
      </c>
      <c r="DT396" s="104">
        <f t="shared" ref="DT396:DT459" si="428">V396+Z396+AE396+AI396+BD396+BL396+AN396+AQ396+CD396+CM396+CQ396+CY396+DB396+DL396</f>
        <v>243.03923333333344</v>
      </c>
      <c r="DU396" s="104">
        <f t="shared" ref="DU396:DU459" si="429">G396+O396+R396+AA396+AW396+BH396+BM396+BR396+BU396+BY396</f>
        <v>402.90610000000009</v>
      </c>
      <c r="DV396" s="104">
        <f t="shared" si="352"/>
        <v>78.75</v>
      </c>
      <c r="DW396" s="104">
        <f t="shared" ref="DW396:DW459" si="430">D396+L396</f>
        <v>3</v>
      </c>
      <c r="DX396" s="106">
        <f t="shared" si="353"/>
        <v>3300.8877258333337</v>
      </c>
      <c r="DY396" s="109">
        <f t="shared" si="421"/>
        <v>-5.631051180898794E-13</v>
      </c>
      <c r="EA396" s="110">
        <f t="shared" si="424"/>
        <v>3.1270451640078516E-2</v>
      </c>
      <c r="EB396" s="110">
        <f t="shared" si="424"/>
        <v>0.10576481131658687</v>
      </c>
      <c r="EC396" s="110">
        <f t="shared" si="424"/>
        <v>0.57316494293133291</v>
      </c>
      <c r="ED396" s="110">
        <f t="shared" si="424"/>
        <v>6.9345360706629972E-2</v>
      </c>
      <c r="EE396" s="110">
        <f t="shared" si="424"/>
        <v>7.3628445896921982E-2</v>
      </c>
      <c r="EF396" s="110">
        <f t="shared" si="424"/>
        <v>0.1220599225010852</v>
      </c>
      <c r="EG396" s="110">
        <f t="shared" si="384"/>
        <v>2.3857218585075921E-2</v>
      </c>
      <c r="EH396" s="111">
        <f t="shared" si="354"/>
        <v>9.0884642228860647E-4</v>
      </c>
      <c r="EI396" s="110">
        <f t="shared" si="409"/>
        <v>0.99909115357771139</v>
      </c>
      <c r="EK396" s="132">
        <f>(EA396*'Renewable Diesel'!BF405*'Feedstock Conversion Rates'!B$2)+FB396</f>
        <v>713.17564903583025</v>
      </c>
      <c r="EL396" s="132">
        <f>(EB396*'Renewable Diesel'!BF405*'Feedstock Conversion Rates'!B$3)+FC396</f>
        <v>2273.0926701350218</v>
      </c>
      <c r="EM396" s="132">
        <f>(EC396*'Renewable Diesel'!BF405*'Feedstock Conversion Rates'!B$4)+FD396</f>
        <v>11534.115850790582</v>
      </c>
      <c r="EN396" s="132">
        <f>(ED396*'Renewable Diesel'!BF405*'Feedstock Conversion Rates'!B$5)+FE396</f>
        <v>1404.7782990377823</v>
      </c>
      <c r="EO396" s="132">
        <f>(EE396*'Renewable Diesel'!BF405*'Feedstock Conversion Rates'!B$6)+FF396</f>
        <v>1853.0703134579649</v>
      </c>
      <c r="EP396" s="132">
        <f>(EF396*'Renewable Diesel'!BF405*'Feedstock Conversion Rates'!B$7)+FG396</f>
        <v>3013.0361597543979</v>
      </c>
      <c r="EQ396" s="132">
        <f>(EG396*'Renewable Diesel'!BF405*'Feedstock Conversion Rates'!B$8)+FH396</f>
        <v>600.11504199513286</v>
      </c>
      <c r="ER396" s="132">
        <f>(EH396*'Renewable Diesel'!BF405*'Feedstock Conversion Rates'!B$9)+FI396</f>
        <v>22.556705070547217</v>
      </c>
      <c r="ES396" s="132">
        <f t="shared" si="355"/>
        <v>21413.94068927726</v>
      </c>
      <c r="ET396" s="133">
        <f>ES396/'Renewable Diesel'!BF405</f>
        <v>19.253192209906224</v>
      </c>
      <c r="EW396" s="73">
        <f t="shared" si="386"/>
        <v>20514.296975523113</v>
      </c>
      <c r="EX396" s="73">
        <f t="shared" si="387"/>
        <v>13436.97688368062</v>
      </c>
      <c r="EY396" s="92">
        <f t="shared" si="410"/>
        <v>0.95798794220978523</v>
      </c>
      <c r="EZ396" s="92">
        <f t="shared" si="410"/>
        <v>0.62748734941668183</v>
      </c>
      <c r="FB396" s="102">
        <f>IF('Renewable Diesel'!$BG405&lt;1,0,(((('Renewable Diesel'!$BG405-1)*'Renewable Diesel'!$BF405)*'RD Feedstock Breakdown'!EA396)*'Feedstock Conversion Rates'!$B$2))</f>
        <v>417.54672110014781</v>
      </c>
      <c r="FC396" s="102">
        <f>IF('Renewable Diesel'!$BG405&lt;1,0,(((('Renewable Diesel'!$BG405-1)*'Renewable Diesel'!$BF405)*'RD Feedstock Breakdown'!EB396)*'Feedstock Conversion Rates'!$B$3))</f>
        <v>1330.8395939412871</v>
      </c>
      <c r="FD396" s="102">
        <f>IF('Renewable Diesel'!$BG405&lt;1,0,(((('Renewable Diesel'!$BG405-1)*'Renewable Diesel'!$BF405)*'RD Feedstock Breakdown'!EC396)*'Feedstock Conversion Rates'!$B$4))</f>
        <v>6752.9398413950748</v>
      </c>
      <c r="FE396" s="102">
        <f>IF('Renewable Diesel'!$BG405&lt;1,0,(((('Renewable Diesel'!$BG405-1)*'Renewable Diesel'!$BF405)*'RD Feedstock Breakdown'!ED396)*'Feedstock Conversion Rates'!$B$5))</f>
        <v>822.46298429967817</v>
      </c>
      <c r="FF396" s="102">
        <f>IF('Renewable Diesel'!$BG405&lt;1,0,(((('Renewable Diesel'!$BG405-1)*'Renewable Diesel'!$BF405)*'RD Feedstock Breakdown'!EE396)*'Feedstock Conversion Rates'!$B$6))</f>
        <v>1084.9268821761511</v>
      </c>
      <c r="FG396" s="102">
        <f>IF('Renewable Diesel'!$BG405&lt;1,0,(((('Renewable Diesel'!$BG405-1)*'Renewable Diesel'!$BF405)*'RD Feedstock Breakdown'!EF396)*'Feedstock Conversion Rates'!$B$7))</f>
        <v>1764.0582243132969</v>
      </c>
      <c r="FH396" s="102">
        <f>IF('Renewable Diesel'!$BG405&lt;1,0,(((('Renewable Diesel'!$BG405-1)*'Renewable Diesel'!$BF405)*'RD Feedstock Breakdown'!EG396)*'Feedstock Conversion Rates'!$B$8))</f>
        <v>351.35252922153006</v>
      </c>
      <c r="FI396" s="102">
        <f>IF('Renewable Diesel'!$BG405&lt;1,0,(((('Renewable Diesel'!$BG405-1)*'Renewable Diesel'!$BF405)*'RD Feedstock Breakdown'!EH396)*'Feedstock Conversion Rates'!$B$9))</f>
        <v>13.206393479310846</v>
      </c>
      <c r="FJ396" s="102">
        <f t="shared" si="388"/>
        <v>12537.333169926478</v>
      </c>
      <c r="GD396" s="91">
        <f>'Renewable Diesel'!BB405*0.32</f>
        <v>0</v>
      </c>
      <c r="GE396" s="91">
        <f>'Renewable Diesel'!BC405</f>
        <v>634.25525749864266</v>
      </c>
      <c r="GF396" s="91">
        <f>'Renewable Diesel'!BD405</f>
        <v>0</v>
      </c>
      <c r="GG396" s="91">
        <f t="shared" si="373"/>
        <v>634.25525749864266</v>
      </c>
      <c r="GH396" s="124">
        <v>1</v>
      </c>
      <c r="GI396" s="102">
        <f>$GG396*EA396*'Feedstock Conversion Rates'!$B$2</f>
        <v>168.58431103515323</v>
      </c>
      <c r="GJ396" s="102">
        <f>$GG396*EB396*'Feedstock Conversion Rates'!$B$3</f>
        <v>537.32591996353619</v>
      </c>
      <c r="GK396" s="102">
        <f>$GG396*EC396*'Feedstock Conversion Rates'!$B$4</f>
        <v>2726.4965885108049</v>
      </c>
      <c r="GL396" s="102">
        <f>$GG396*ED396*'Feedstock Conversion Rates'!$B$5</f>
        <v>332.06908006546485</v>
      </c>
      <c r="GM396" s="102">
        <f>$GG396*EE396*'Feedstock Conversion Rates'!$B$6</f>
        <v>438.03876719059349</v>
      </c>
      <c r="GN396" s="102">
        <f>$GG396*EF396*'Feedstock Conversion Rates'!$B$7</f>
        <v>712.23775770094937</v>
      </c>
      <c r="GO396" s="102">
        <f>$GG396*EG396*'Feedstock Conversion Rates'!$B$8</f>
        <v>141.8584342207381</v>
      </c>
      <c r="GP396" s="102">
        <f>$GG396*EH396*'Feedstock Conversion Rates'!B$9</f>
        <v>5.3320757497572675</v>
      </c>
      <c r="GQ396" s="102">
        <f t="shared" si="356"/>
        <v>5061.9429344369973</v>
      </c>
      <c r="GT396" s="103">
        <f t="shared" si="418"/>
        <v>3.3304269372191886E-2</v>
      </c>
      <c r="GU396" s="103">
        <f t="shared" si="416"/>
        <v>0.10615013383656387</v>
      </c>
      <c r="GV396" s="103">
        <f t="shared" si="416"/>
        <v>0.53862649654979822</v>
      </c>
      <c r="GW396" s="103">
        <f t="shared" si="416"/>
        <v>6.5601110950176761E-2</v>
      </c>
      <c r="GX396" s="103">
        <f t="shared" si="416"/>
        <v>8.6535698419388296E-2</v>
      </c>
      <c r="GY396" s="103">
        <f t="shared" si="416"/>
        <v>0.14070442257566981</v>
      </c>
      <c r="GZ396" s="103">
        <f t="shared" si="416"/>
        <v>2.8024502855545513E-2</v>
      </c>
      <c r="HA396" s="103">
        <f t="shared" si="416"/>
        <v>1.0533654406655838E-3</v>
      </c>
    </row>
    <row r="397" spans="1:209" x14ac:dyDescent="0.25">
      <c r="A397" s="96">
        <v>52505</v>
      </c>
      <c r="B397" s="104">
        <f t="shared" si="406"/>
        <v>44.25</v>
      </c>
      <c r="C397" s="104">
        <f t="shared" si="396"/>
        <v>49</v>
      </c>
      <c r="D397" s="104">
        <f t="shared" si="407"/>
        <v>2</v>
      </c>
      <c r="E397" s="104">
        <f>('Renewable Diesel'!B406*E$3*'Feedstock Conversion Rates'!$B$2)/12+26+13-100+27.5+39</f>
        <v>95.43</v>
      </c>
      <c r="F397" s="104">
        <f>('Renewable Diesel'!B406*'RD Feedstock Breakdown'!F$3*'Feedstock Conversion Rates'!B$8)/12+77+23-10-12-115.75+24+8</f>
        <v>48.15625</v>
      </c>
      <c r="G397" s="104">
        <f>('Renewable Diesel'!B406*'RD Feedstock Breakdown'!G$3*'Feedstock Conversion Rates'!B$7)/12+116.75-39-57.5-145-31.5+32+70-40+10+60</f>
        <v>151.90700000000004</v>
      </c>
      <c r="H397" s="104">
        <f>('Renewable Diesel'!B406*'RD Feedstock Breakdown'!H$3*'Feedstock Conversion Rates'!B$3)/12+67+10+12+3-235+20+47-20+25</f>
        <v>105.40022499999998</v>
      </c>
      <c r="I397" s="106">
        <f t="shared" si="370"/>
        <v>496.14347500000002</v>
      </c>
      <c r="J397" s="104">
        <f t="shared" si="417"/>
        <v>4</v>
      </c>
      <c r="K397" s="104"/>
      <c r="L397" s="104">
        <v>1</v>
      </c>
      <c r="M397" s="104">
        <f>('Renewable Diesel'!C406*'RD Feedstock Breakdown'!M$3*'Feedstock Conversion Rates'!B$2)/12</f>
        <v>7.7902500000000003</v>
      </c>
      <c r="N397" s="104">
        <f>('Renewable Diesel'!C406*'RD Feedstock Breakdown'!N$3*'Feedstock Conversion Rates'!B$8)/12</f>
        <v>3.671875</v>
      </c>
      <c r="O397" s="104">
        <f>('Renewable Diesel'!C406*'RD Feedstock Breakdown'!O$3*'Feedstock Conversion Rates'!B$7)/12</f>
        <v>11.9991</v>
      </c>
      <c r="P397" s="104">
        <f>('Renewable Diesel'!C406*'RD Feedstock Breakdown'!P$3*'Feedstock Conversion Rates'!B$3)/12</f>
        <v>10.4470425</v>
      </c>
      <c r="Q397" s="106">
        <f t="shared" si="379"/>
        <v>38.908267500000001</v>
      </c>
      <c r="R397" s="104">
        <f>('Renewable Diesel'!D406*'RD Feedstock Breakdown'!R$3*'Feedstock Conversion Rates'!B$7)/12</f>
        <v>2.2999999999999998</v>
      </c>
      <c r="S397" s="106">
        <f t="shared" si="414"/>
        <v>2.2999999999999998</v>
      </c>
      <c r="T397" s="104">
        <f t="shared" si="380"/>
        <v>0.82499999999999929</v>
      </c>
      <c r="U397" s="104"/>
      <c r="V397" s="104">
        <f>('Renewable Diesel'!E406*'RD Feedstock Breakdown'!V$3*'Feedstock Conversion Rates'!B$6)/12-20+25</f>
        <v>49.250150000000012</v>
      </c>
      <c r="W397" s="104">
        <f>('Renewable Diesel'!E406*'RD Feedstock Breakdown'!W$3*'Feedstock Conversion Rates'!B$8)/12-6</f>
        <v>16.1796875</v>
      </c>
      <c r="X397" s="106">
        <f t="shared" si="357"/>
        <v>66.254837500000008</v>
      </c>
      <c r="Y397" s="104">
        <f t="shared" si="381"/>
        <v>98</v>
      </c>
      <c r="Z397" s="104">
        <f>('Renewable Diesel'!F406*'RD Feedstock Breakdown'!Z$3*'Feedstock Conversion Rates'!B$6)/12-142+15+5+20+5+15</f>
        <v>77.460000000000008</v>
      </c>
      <c r="AA397" s="104">
        <f>('Renewable Diesel'!F406*'RD Feedstock Breakdown'!AA$3*'Feedstock Conversion Rates'!B$7)/12+24</f>
        <v>128.26666666666665</v>
      </c>
      <c r="AB397" s="106">
        <f t="shared" si="400"/>
        <v>303.72666666666669</v>
      </c>
      <c r="AC397" s="104">
        <f>('Renewable Diesel'!G406*'RD Feedstock Breakdown'!AC$3*'Feedstock Conversion Rates'!B$5)/12</f>
        <v>11.796875</v>
      </c>
      <c r="AD397" s="104">
        <f>('Renewable Diesel'!G406*'RD Feedstock Breakdown'!AD$3*'Feedstock Conversion Rates'!B$4)/12</f>
        <v>5.859375</v>
      </c>
      <c r="AE397" s="104">
        <f>('Renewable Diesel'!G406*'RD Feedstock Breakdown'!AE$3*'Feedstock Conversion Rates'!B$6)/12</f>
        <v>7.3281250000000009</v>
      </c>
      <c r="AF397" s="106">
        <f t="shared" si="366"/>
        <v>24.984375</v>
      </c>
      <c r="AG397" s="104">
        <f t="shared" si="383"/>
        <v>148</v>
      </c>
      <c r="AH397" s="104"/>
      <c r="AI397" s="104">
        <f>('Renewable Diesel'!H406*'RD Feedstock Breakdown'!AI$3*'Feedstock Conversion Rates'!B$6)/12-130-20+51-49</f>
        <v>0.51666666666667993</v>
      </c>
      <c r="AJ397" s="106">
        <f t="shared" si="413"/>
        <v>148.51666666666668</v>
      </c>
      <c r="AK397" s="104">
        <f>('Renewable Diesel'!J406*'RD Feedstock Breakdown'!AK$3*'Feedstock Conversion Rates'!B$4)/12</f>
        <v>95.8125</v>
      </c>
      <c r="AL397" s="106">
        <f t="shared" si="415"/>
        <v>95.8125</v>
      </c>
      <c r="AM397" s="104">
        <f>('Renewable Diesel'!K406*'RD Feedstock Breakdown'!AM$3*'Feedstock Conversion Rates'!B$4)/12+5+15-10+10</f>
        <v>78.59375</v>
      </c>
      <c r="AN397" s="104">
        <f>('Renewable Diesel'!K406*'RD Feedstock Breakdown'!AN$3*'Feedstock Conversion Rates'!B$6)/12-5-15+10-10</f>
        <v>4.4270833333333321</v>
      </c>
      <c r="AO397" s="106">
        <f t="shared" ref="AO397:AO460" si="431">SUM(AM397:AN397)</f>
        <v>83.020833333333329</v>
      </c>
      <c r="AP397" s="104">
        <f>('Renewable Diesel'!L406*'RD Feedstock Breakdown'!AP$3*'Feedstock Conversion Rates'!B$4)/12+15-10+15</f>
        <v>78.59375</v>
      </c>
      <c r="AQ397" s="104">
        <f>('Renewable Diesel'!L406*'RD Feedstock Breakdown'!AQ$3*'Feedstock Conversion Rates'!B$6)/12-15+10-15</f>
        <v>4.4270833333333321</v>
      </c>
      <c r="AR397" s="106">
        <f t="shared" si="420"/>
        <v>83.020833333333329</v>
      </c>
      <c r="AS397" s="104">
        <f>('Renewable Diesel'!M406*'RD Feedstock Breakdown'!AS$3*'Feedstock Conversion Rates'!B$4)/12</f>
        <v>456.25</v>
      </c>
      <c r="AT397" s="104">
        <f>('Renewable Diesel'!M406*'RD Feedstock Breakdown'!AT$3*'Feedstock Conversion Rates'!B$5)/12</f>
        <v>0</v>
      </c>
      <c r="AU397" s="106">
        <f t="shared" si="369"/>
        <v>456.25</v>
      </c>
      <c r="AV397" s="104">
        <f>'Renewable Diesel'!N406*'RD Feedstock Breakdown'!$AV$3*'Feedstock Conversion Rates'!$B$4/12-15-10+25+25-22+25</f>
        <v>106.74999999999999</v>
      </c>
      <c r="AW397" s="104">
        <f>'Renewable Diesel'!N406*'RD Feedstock Breakdown'!$AW$3*'Feedstock Conversion Rates'!$B$7/12+15+10-25-25+22-25</f>
        <v>13.400000000000006</v>
      </c>
      <c r="AX397" s="106">
        <f t="shared" si="408"/>
        <v>120.14999999999999</v>
      </c>
      <c r="AY397" s="104">
        <f>('Renewable Diesel'!O406*'RD Feedstock Breakdown'!AY$3*'Feedstock Conversion Rates'!B$4)/12</f>
        <v>210.9375</v>
      </c>
      <c r="AZ397" s="104">
        <f>('Renewable Diesel'!O406*'RD Feedstock Breakdown'!AZ$3*'Feedstock Conversion Rates'!B$3)/12</f>
        <v>25.03125</v>
      </c>
      <c r="BA397" s="106">
        <f t="shared" si="382"/>
        <v>235.96875</v>
      </c>
      <c r="BB397" s="104">
        <f>('Renewable Diesel'!Q406*'RD Feedstock Breakdown'!BB$3*'Feedstock Conversion Rates'!B$4)/12</f>
        <v>11.156249999999998</v>
      </c>
      <c r="BC397" s="104">
        <f>('Renewable Diesel'!Q406*'RD Feedstock Breakdown'!BC$3*'Feedstock Conversion Rates'!B$3)/12</f>
        <v>1.4017500000000001</v>
      </c>
      <c r="BD397" s="104">
        <f>('Renewable Diesel'!Q406*'RD Feedstock Breakdown'!BD$3*'Feedstock Conversion Rates'!B$6)/12</f>
        <v>0.8207500000000002</v>
      </c>
      <c r="BE397" s="106">
        <f t="shared" si="359"/>
        <v>13.378749999999998</v>
      </c>
      <c r="BF397" s="104">
        <f>('Renewable Diesel'!R406*'RD Feedstock Breakdown'!BF$3*'Feedstock Conversion Rates'!B$4)/12</f>
        <v>62.5</v>
      </c>
      <c r="BG397" s="106">
        <f t="shared" si="425"/>
        <v>62.5</v>
      </c>
      <c r="BH397" s="104">
        <f>('Renewable Diesel'!T406*'RD Feedstock Breakdown'!BH$3*'Feedstock Conversion Rates'!B$7)/12</f>
        <v>27.599999999999998</v>
      </c>
      <c r="BI397" s="106">
        <f t="shared" si="412"/>
        <v>27.599999999999998</v>
      </c>
      <c r="BJ397" s="104">
        <f>('Renewable Diesel'!W406*'RD Feedstock Breakdown'!BJ$3*'Feedstock Conversion Rates'!B$4)/12</f>
        <v>7.5</v>
      </c>
      <c r="BK397" s="104">
        <f>('Renewable Diesel'!W406*'RD Feedstock Breakdown'!BK$3*'Feedstock Conversion Rates'!B$3)/12</f>
        <v>1.335</v>
      </c>
      <c r="BL397" s="104">
        <f>('Renewable Diesel'!W406*'RD Feedstock Breakdown'!BL$3*'Feedstock Conversion Rates'!B$6)/12</f>
        <v>3.1266666666666669</v>
      </c>
      <c r="BM397" s="104">
        <f>('Renewable Diesel'!W406*'RD Feedstock Breakdown'!BM$3*'Feedstock Conversion Rates'!B$7)/12</f>
        <v>1.5333333333333332</v>
      </c>
      <c r="BN397" s="106">
        <f t="shared" si="374"/>
        <v>13.495000000000001</v>
      </c>
      <c r="BO397" s="104">
        <f>('Renewable Diesel'!P406*'Feedstock Conversion Rates'!B$4)/12</f>
        <v>31.25</v>
      </c>
      <c r="BP397" s="106">
        <f t="shared" si="367"/>
        <v>31.25</v>
      </c>
      <c r="BQ397" s="104">
        <f>('Renewable Diesel'!$S406*'RD Feedstock Breakdown'!BQ$3*'Feedstock Conversion Rates'!B$4)/12+10+15-15</f>
        <v>38.125</v>
      </c>
      <c r="BR397" s="104">
        <f>('Renewable Diesel'!$S406*'RD Feedstock Breakdown'!BR$3*'Feedstock Conversion Rates'!B$7)/12-10-15+15</f>
        <v>1.5</v>
      </c>
      <c r="BS397" s="106">
        <f t="shared" si="385"/>
        <v>39.625</v>
      </c>
      <c r="BT397" s="106"/>
      <c r="BU397" s="104">
        <f>('Renewable Diesel'!Y406*'Feedstock Conversion Rates'!B$7)/12</f>
        <v>2.6833333333333331</v>
      </c>
      <c r="BV397" s="106">
        <f t="shared" si="361"/>
        <v>2.6833333333333331</v>
      </c>
      <c r="BW397" s="104">
        <f>('Renewable Diesel'!$Z406*'RD Feedstock Breakdown'!BW$3*'Feedstock Conversion Rates'!$B$4)/12-250+180</f>
        <v>1.875</v>
      </c>
      <c r="BX397" s="104">
        <f>('Renewable Diesel'!$Z406*'RD Feedstock Breakdown'!BX$3*'Feedstock Conversion Rates'!$B$5)/12</f>
        <v>7.2354166666666666</v>
      </c>
      <c r="BY397" s="104">
        <f>('Renewable Diesel'!$Z406*'RD Feedstock Breakdown'!BY$3*'Feedstock Conversion Rates'!$B$7)/12</f>
        <v>61.716666666666661</v>
      </c>
      <c r="BZ397" s="104">
        <f>('Renewable Diesel'!$Z406*'RD Feedstock Breakdown'!BZ$3*'Feedstock Conversion Rates'!$B$3)/12+250-180</f>
        <v>85.35250000000002</v>
      </c>
      <c r="CA397" s="106">
        <f t="shared" si="392"/>
        <v>156.17958333333334</v>
      </c>
      <c r="CB397" s="104">
        <f>('Renewable Diesel'!AA406*'Feedstock Conversion Rates'!B$4)/12</f>
        <v>191.25</v>
      </c>
      <c r="CC397" s="106">
        <f t="shared" si="376"/>
        <v>191.25</v>
      </c>
      <c r="CD397" s="104">
        <f>('Renewable Diesel'!$AB406*'RD Feedstock Breakdown'!CD$3*'Feedstock Conversion Rates'!$B$6)/12-15-5</f>
        <v>12.830000000000005</v>
      </c>
      <c r="CE397" s="104">
        <f>('Renewable Diesel'!$AB406*'RD Feedstock Breakdown'!CE$3*'Feedstock Conversion Rates'!$B$4)/12+15+5</f>
        <v>31.25</v>
      </c>
      <c r="CF397" s="106">
        <f t="shared" si="372"/>
        <v>44.080000000000005</v>
      </c>
      <c r="CG397" s="104">
        <f>('Renewable Diesel'!AD406*'Feedstock Conversion Rates'!B$4)/12</f>
        <v>112.5</v>
      </c>
      <c r="CH397" s="106">
        <f t="shared" si="358"/>
        <v>112.5</v>
      </c>
      <c r="CI397" s="104">
        <f>('Renewable Diesel'!$AE406*'RD Feedstock Breakdown'!CI$3*'Feedstock Conversion Rates'!$B$5)/12</f>
        <v>0.34604166666666664</v>
      </c>
      <c r="CJ397" s="104">
        <f>('Renewable Diesel'!$AE406*'RD Feedstock Breakdown'!CJ$3*'Feedstock Conversion Rates'!$B$4)/12</f>
        <v>0.34375</v>
      </c>
      <c r="CK397" s="106">
        <f t="shared" si="368"/>
        <v>0.68979166666666658</v>
      </c>
      <c r="CL397" s="104">
        <f>(((CL$3*'Renewable Diesel'!$AF406)*'Feedstock Conversion Rates'!$B$3)/12)</f>
        <v>91.78125</v>
      </c>
      <c r="CM397" s="104">
        <f>(((CM$3*'Renewable Diesel'!$AF406)*'Feedstock Conversion Rates'!$B$6)/12)</f>
        <v>53.739583333333336</v>
      </c>
      <c r="CN397" s="104">
        <f>(((CN$3*'Renewable Diesel'!$AF406)*'Feedstock Conversion Rates'!$B$4)/12)</f>
        <v>42.96875</v>
      </c>
      <c r="CO397" s="106">
        <f t="shared" si="360"/>
        <v>188.48958333333334</v>
      </c>
      <c r="CP397" s="104">
        <f>('Renewable Diesel'!$AG406*'RD Feedstock Breakdown'!CP$3*'Feedstock Conversion Rates'!$B$3)/12</f>
        <v>6.0075000000000003</v>
      </c>
      <c r="CQ397" s="104">
        <f>('Renewable Diesel'!$AG406*'RD Feedstock Breakdown'!CQ$3*'Feedstock Conversion Rates'!$B$6)/12</f>
        <v>3.5175000000000001</v>
      </c>
      <c r="CR397" s="104">
        <f>('Renewable Diesel'!$AG406*'RD Feedstock Breakdown'!CR$3*'Feedstock Conversion Rates'!$B$4)/12</f>
        <v>2.8125</v>
      </c>
      <c r="CS397" s="106">
        <f t="shared" si="397"/>
        <v>12.3375</v>
      </c>
      <c r="CT397" s="104">
        <f>('Renewable Diesel'!AI406*'Feedstock Conversion Rates'!$B$4*'RD Feedstock Breakdown'!$CT$3)/12</f>
        <v>29.375</v>
      </c>
      <c r="CU397" s="106">
        <f t="shared" si="364"/>
        <v>29.375</v>
      </c>
      <c r="CV397" s="104">
        <f>('Renewable Diesel'!AN406*'Feedstock Conversion Rates'!$B$3*'RD Feedstock Breakdown'!$CV$3)/12</f>
        <v>0.50062499999999999</v>
      </c>
      <c r="CW397" s="106">
        <f t="shared" si="419"/>
        <v>0.50062499999999999</v>
      </c>
      <c r="CX397" s="104">
        <f>('Renewable Diesel'!AO406*'RD Feedstock Breakdown'!$CX$3*'Feedstock Conversion Rates'!$B$3)/12</f>
        <v>6.3412499999999996</v>
      </c>
      <c r="CY397" s="104">
        <f>('Renewable Diesel'!AO406*'RD Feedstock Breakdown'!$CY$3*'Feedstock Conversion Rates'!$B$6)/12</f>
        <v>7.4258333333333342</v>
      </c>
      <c r="CZ397" s="106">
        <f t="shared" si="398"/>
        <v>13.767083333333334</v>
      </c>
      <c r="DA397" s="104">
        <f>('Renewable Diesel'!$AP406*'RD Feedstock Breakdown'!DA$3*'Feedstock Conversion Rates'!$B$3)/12</f>
        <v>6.3412499999999996</v>
      </c>
      <c r="DB397" s="104">
        <f>('Renewable Diesel'!$AP406*'RD Feedstock Breakdown'!DB$3*'Feedstock Conversion Rates'!$B$8)/12</f>
        <v>7.421875</v>
      </c>
      <c r="DC397" s="106">
        <f t="shared" si="422"/>
        <v>13.763124999999999</v>
      </c>
      <c r="DD397" s="104">
        <f>('Renewable Diesel'!AQ406*$DD$3*'Feedstock Conversion Rates'!$B$14)/12</f>
        <v>3.1041666666666665</v>
      </c>
      <c r="DE397" s="106">
        <f t="shared" si="423"/>
        <v>3.1041666666666665</v>
      </c>
      <c r="DF397" s="104">
        <f>('Renewable Diesel'!AR406*'Feedstock Conversion Rates'!$B$4*$DF$3)/12</f>
        <v>75</v>
      </c>
      <c r="DG397" s="106">
        <f t="shared" si="399"/>
        <v>75</v>
      </c>
      <c r="DH397" s="104">
        <f>('Renewable Diesel'!AS406*'Feedstock Conversion Rates'!$B$4*$DH$3)/12</f>
        <v>75</v>
      </c>
      <c r="DI397" s="106">
        <f t="shared" si="411"/>
        <v>75</v>
      </c>
      <c r="DJ397" s="104">
        <f>('Renewable Diesel'!AT406*'Feedstock Conversion Rates'!$B$4*0.25)/12</f>
        <v>8.59375</v>
      </c>
      <c r="DK397" s="104">
        <f>('Renewable Diesel'!$AT406*'RD Feedstock Breakdown'!DK$3*'Feedstock Conversion Rates'!$B$3)/12*0.5</f>
        <v>9.1781249999999996</v>
      </c>
      <c r="DL397" s="104">
        <f>('Renewable Diesel'!$AT406*'RD Feedstock Breakdown'!$DL$3*'Feedstock Conversion Rates'!$B$6)/12</f>
        <v>10.747916666666669</v>
      </c>
      <c r="DM397" s="104">
        <f>('Renewable Diesel'!$AT406*'RD Feedstock Breakdown'!$DM$3*'Feedstock Conversion Rates'!$B$8)/12</f>
        <v>10.7421875</v>
      </c>
      <c r="DN397" s="106">
        <f t="shared" si="375"/>
        <v>39.26197916666667</v>
      </c>
      <c r="DP397" s="104">
        <f t="shared" si="426"/>
        <v>103.22025000000001</v>
      </c>
      <c r="DQ397" s="104">
        <f t="shared" si="427"/>
        <v>349.11776750000007</v>
      </c>
      <c r="DR397" s="104">
        <f t="shared" ref="DR397:DR460" si="432">AD397+AK397+AM397+AP397+AV397+AY397+BB397+BF397+BJ397+Y397+B397+BO397+BQ397+BW397+CB397+CE397+CG397+CJ397+BT397+CN397+CR397+CT397+DF397+DH397+AS397+J397+U397+AH397</f>
        <v>1891.953125</v>
      </c>
      <c r="DS397" s="104">
        <f t="shared" si="365"/>
        <v>228.90125</v>
      </c>
      <c r="DT397" s="104">
        <f t="shared" si="428"/>
        <v>243.03923333333344</v>
      </c>
      <c r="DU397" s="104">
        <f t="shared" si="429"/>
        <v>402.90610000000009</v>
      </c>
      <c r="DV397" s="104">
        <f t="shared" ref="DV397:DV460" si="433">F397+N397+W397+DM397</f>
        <v>78.75</v>
      </c>
      <c r="DW397" s="104">
        <f t="shared" si="430"/>
        <v>3</v>
      </c>
      <c r="DX397" s="106">
        <f t="shared" ref="DX397:DX460" si="434">SUM(DP397:DW397)</f>
        <v>3300.8877258333337</v>
      </c>
      <c r="DY397" s="109">
        <f t="shared" si="421"/>
        <v>-5.631051180898794E-13</v>
      </c>
      <c r="EA397" s="110">
        <f t="shared" si="424"/>
        <v>3.1270451640078516E-2</v>
      </c>
      <c r="EB397" s="110">
        <f t="shared" si="424"/>
        <v>0.10576481131658687</v>
      </c>
      <c r="EC397" s="110">
        <f t="shared" si="424"/>
        <v>0.57316494293133291</v>
      </c>
      <c r="ED397" s="110">
        <f t="shared" si="424"/>
        <v>6.9345360706629972E-2</v>
      </c>
      <c r="EE397" s="110">
        <f t="shared" si="424"/>
        <v>7.3628445896921982E-2</v>
      </c>
      <c r="EF397" s="110">
        <f t="shared" si="424"/>
        <v>0.1220599225010852</v>
      </c>
      <c r="EG397" s="110">
        <f t="shared" si="384"/>
        <v>2.3857218585075921E-2</v>
      </c>
      <c r="EH397" s="111">
        <f t="shared" ref="EH397:EH460" si="435">DW397/DX397</f>
        <v>9.0884642228860647E-4</v>
      </c>
      <c r="EI397" s="110">
        <f t="shared" si="409"/>
        <v>0.99909115357771139</v>
      </c>
      <c r="EK397" s="132">
        <f>(EA397*'Renewable Diesel'!BF406*'Feedstock Conversion Rates'!B$2)+FB397</f>
        <v>780.35991233616687</v>
      </c>
      <c r="EL397" s="132">
        <f>(EB397*'Renewable Diesel'!BF406*'Feedstock Conversion Rates'!B$3)+FC397</f>
        <v>2487.2279349367291</v>
      </c>
      <c r="EM397" s="132">
        <f>(EC397*'Renewable Diesel'!BF406*'Feedstock Conversion Rates'!B$4)+FD397</f>
        <v>12620.679977459424</v>
      </c>
      <c r="EN397" s="132">
        <f>(ED397*'Renewable Diesel'!BF406*'Feedstock Conversion Rates'!B$5)+FE397</f>
        <v>1537.1145548378058</v>
      </c>
      <c r="EO397" s="132">
        <f>(EE397*'Renewable Diesel'!BF406*'Feedstock Conversion Rates'!B$6)+FF397</f>
        <v>2027.6376364192997</v>
      </c>
      <c r="EP397" s="132">
        <f>(EF397*'Renewable Diesel'!BF406*'Feedstock Conversion Rates'!B$7)+FG397</f>
        <v>3296.8773354367777</v>
      </c>
      <c r="EQ397" s="132">
        <f>(EG397*'Renewable Diesel'!BF406*'Feedstock Conversion Rates'!B$8)+FH397</f>
        <v>656.64850194486826</v>
      </c>
      <c r="ER397" s="132">
        <f>(EH397*'Renewable Diesel'!BF406*'Feedstock Conversion Rates'!B$9)+FI397</f>
        <v>24.681645279451551</v>
      </c>
      <c r="ES397" s="132">
        <f t="shared" ref="ES397:ES460" si="436">SUM(EK397:ER397)</f>
        <v>23431.227498650522</v>
      </c>
      <c r="ET397" s="133">
        <f>ES397/'Renewable Diesel'!BF406</f>
        <v>20.472561702312735</v>
      </c>
      <c r="EW397" s="73">
        <f t="shared" si="386"/>
        <v>22796.383300318696</v>
      </c>
      <c r="EX397" s="73">
        <f t="shared" si="387"/>
        <v>14931.755926288291</v>
      </c>
      <c r="EY397" s="92">
        <f t="shared" si="410"/>
        <v>0.97290606314294081</v>
      </c>
      <c r="EZ397" s="92">
        <f t="shared" si="410"/>
        <v>0.63725880034019811</v>
      </c>
      <c r="FB397" s="102">
        <f>IF('Renewable Diesel'!$BG406&lt;1,0,(((('Renewable Diesel'!$BG406-1)*'Renewable Diesel'!$BF406)*'RD Feedstock Breakdown'!EA397)*'Feedstock Conversion Rates'!$B$2))</f>
        <v>476.14819937831146</v>
      </c>
      <c r="FC397" s="102">
        <f>IF('Renewable Diesel'!$BG406&lt;1,0,(((('Renewable Diesel'!$BG406-1)*'Renewable Diesel'!$BF406)*'RD Feedstock Breakdown'!EB397)*'Feedstock Conversion Rates'!$B$3))</f>
        <v>1517.6190933721184</v>
      </c>
      <c r="FD397" s="102">
        <f>IF('Renewable Diesel'!$BG406&lt;1,0,(((('Renewable Diesel'!$BG406-1)*'Renewable Diesel'!$BF406)*'RD Feedstock Breakdown'!EC397)*'Feedstock Conversion Rates'!$B$4))</f>
        <v>7700.6954755109127</v>
      </c>
      <c r="FE397" s="102">
        <f>IF('Renewable Diesel'!$BG406&lt;1,0,(((('Renewable Diesel'!$BG406-1)*'Renewable Diesel'!$BF406)*'RD Feedstock Breakdown'!ED397)*'Feedstock Conversion Rates'!$B$5))</f>
        <v>937.8932925105554</v>
      </c>
      <c r="FF397" s="102">
        <f>IF('Renewable Diesel'!$BG406&lt;1,0,(((('Renewable Diesel'!$BG406-1)*'Renewable Diesel'!$BF406)*'RD Feedstock Breakdown'!EE397)*'Feedstock Conversion Rates'!$B$6))</f>
        <v>1237.1932416190564</v>
      </c>
      <c r="FG397" s="102">
        <f>IF('Renewable Diesel'!$BG406&lt;1,0,(((('Renewable Diesel'!$BG406-1)*'Renewable Diesel'!$BF406)*'RD Feedstock Breakdown'!EF397)*'Feedstock Conversion Rates'!$B$7))</f>
        <v>2011.638709297436</v>
      </c>
      <c r="FH397" s="102">
        <f>IF('Renewable Diesel'!$BG406&lt;1,0,(((('Renewable Diesel'!$BG406-1)*'Renewable Diesel'!$BF406)*'RD Feedstock Breakdown'!EG397)*'Feedstock Conversion Rates'!$B$8))</f>
        <v>400.66384354559818</v>
      </c>
      <c r="FI397" s="102">
        <f>IF('Renewable Diesel'!$BG406&lt;1,0,(((('Renewable Diesel'!$BG406-1)*'Renewable Diesel'!$BF406)*'RD Feedstock Breakdown'!EH397)*'Feedstock Conversion Rates'!$B$9))</f>
        <v>15.059872722475815</v>
      </c>
      <c r="FJ397" s="102">
        <f t="shared" si="388"/>
        <v>14296.911727956463</v>
      </c>
      <c r="GD397" s="91">
        <f>'Renewable Diesel'!BB406*0.32</f>
        <v>0</v>
      </c>
      <c r="GE397" s="91">
        <f>'Renewable Diesel'!BC406</f>
        <v>619.28982824733794</v>
      </c>
      <c r="GF397" s="91">
        <f>'Renewable Diesel'!BD406</f>
        <v>0</v>
      </c>
      <c r="GG397" s="91">
        <f t="shared" si="373"/>
        <v>619.28982824733794</v>
      </c>
      <c r="GH397" s="124">
        <v>1</v>
      </c>
      <c r="GI397" s="102">
        <f>$GG397*EA397*'Feedstock Conversion Rates'!$B$2</f>
        <v>164.60651731590775</v>
      </c>
      <c r="GJ397" s="102">
        <f>$GG397*EB397*'Feedstock Conversion Rates'!$B$3</f>
        <v>524.64756539723805</v>
      </c>
      <c r="GK397" s="102">
        <f>$GG397*EC397*'Feedstock Conversion Rates'!$B$4</f>
        <v>2662.1641429900533</v>
      </c>
      <c r="GL397" s="102">
        <f>$GG397*ED397*'Feedstock Conversion Rates'!$B$5</f>
        <v>324.23381773927724</v>
      </c>
      <c r="GM397" s="102">
        <f>$GG397*EE397*'Feedstock Conversion Rates'!$B$6</f>
        <v>427.70312061578591</v>
      </c>
      <c r="GN397" s="102">
        <f>$GG397*EF397*'Feedstock Conversion Rates'!$B$7</f>
        <v>695.43230966253998</v>
      </c>
      <c r="GO397" s="102">
        <f>$GG397*EG397*'Feedstock Conversion Rates'!$B$8</f>
        <v>138.51124500010187</v>
      </c>
      <c r="GP397" s="102">
        <f>$GG397*EH397*'Feedstock Conversion Rates'!B$9</f>
        <v>5.206263939051448</v>
      </c>
      <c r="GQ397" s="102">
        <f t="shared" ref="GQ397:GQ460" si="437">SUM(GI397:GP397)</f>
        <v>4942.5049826599552</v>
      </c>
      <c r="GT397" s="103">
        <f t="shared" si="418"/>
        <v>3.3304269372191886E-2</v>
      </c>
      <c r="GU397" s="103">
        <f t="shared" si="416"/>
        <v>0.10615013383656388</v>
      </c>
      <c r="GV397" s="103">
        <f t="shared" si="416"/>
        <v>0.53862649654979822</v>
      </c>
      <c r="GW397" s="103">
        <f t="shared" si="416"/>
        <v>6.5601110950176761E-2</v>
      </c>
      <c r="GX397" s="103">
        <f t="shared" si="416"/>
        <v>8.6535698419388296E-2</v>
      </c>
      <c r="GY397" s="103">
        <f t="shared" si="416"/>
        <v>0.14070442257566979</v>
      </c>
      <c r="GZ397" s="103">
        <f t="shared" si="416"/>
        <v>2.8024502855545516E-2</v>
      </c>
      <c r="HA397" s="103">
        <f t="shared" si="416"/>
        <v>1.0533654406655838E-3</v>
      </c>
    </row>
    <row r="398" spans="1:209" x14ac:dyDescent="0.25">
      <c r="A398" s="96">
        <v>52536</v>
      </c>
      <c r="B398" s="104">
        <f t="shared" si="406"/>
        <v>44.25</v>
      </c>
      <c r="C398" s="104">
        <f t="shared" si="396"/>
        <v>49</v>
      </c>
      <c r="D398" s="104">
        <f t="shared" si="407"/>
        <v>2</v>
      </c>
      <c r="E398" s="104">
        <f>('Renewable Diesel'!B407*E$3*'Feedstock Conversion Rates'!$B$2)/12+26+13-100+27.5+39</f>
        <v>95.43</v>
      </c>
      <c r="F398" s="104">
        <f>('Renewable Diesel'!B407*'RD Feedstock Breakdown'!F$3*'Feedstock Conversion Rates'!B$8)/12+77+23-10-12-115.75+24+8</f>
        <v>48.15625</v>
      </c>
      <c r="G398" s="104">
        <f>('Renewable Diesel'!B407*'RD Feedstock Breakdown'!G$3*'Feedstock Conversion Rates'!B$7)/12+116.75-39-57.5-145-31.5+32+70-40+10+60</f>
        <v>151.90700000000004</v>
      </c>
      <c r="H398" s="104">
        <f>('Renewable Diesel'!B407*'RD Feedstock Breakdown'!H$3*'Feedstock Conversion Rates'!B$3)/12+67+10+12+3-235+20+47-20+25</f>
        <v>105.40022499999998</v>
      </c>
      <c r="I398" s="106">
        <f t="shared" si="370"/>
        <v>496.14347500000002</v>
      </c>
      <c r="J398" s="104">
        <f t="shared" si="417"/>
        <v>4</v>
      </c>
      <c r="K398" s="104"/>
      <c r="L398" s="104">
        <v>1</v>
      </c>
      <c r="M398" s="104">
        <f>('Renewable Diesel'!C407*'RD Feedstock Breakdown'!M$3*'Feedstock Conversion Rates'!B$2)/12</f>
        <v>7.7902500000000003</v>
      </c>
      <c r="N398" s="104">
        <f>('Renewable Diesel'!C407*'RD Feedstock Breakdown'!N$3*'Feedstock Conversion Rates'!B$8)/12</f>
        <v>3.671875</v>
      </c>
      <c r="O398" s="104">
        <f>('Renewable Diesel'!C407*'RD Feedstock Breakdown'!O$3*'Feedstock Conversion Rates'!B$7)/12</f>
        <v>11.9991</v>
      </c>
      <c r="P398" s="104">
        <f>('Renewable Diesel'!C407*'RD Feedstock Breakdown'!P$3*'Feedstock Conversion Rates'!B$3)/12</f>
        <v>10.4470425</v>
      </c>
      <c r="Q398" s="106">
        <f t="shared" si="379"/>
        <v>38.908267500000001</v>
      </c>
      <c r="R398" s="104">
        <f>('Renewable Diesel'!D407*'RD Feedstock Breakdown'!R$3*'Feedstock Conversion Rates'!B$7)/12</f>
        <v>2.2999999999999998</v>
      </c>
      <c r="S398" s="106">
        <f t="shared" si="414"/>
        <v>2.2999999999999998</v>
      </c>
      <c r="T398" s="104">
        <f t="shared" si="380"/>
        <v>0.82499999999999929</v>
      </c>
      <c r="U398" s="104"/>
      <c r="V398" s="104">
        <f>('Renewable Diesel'!E407*'RD Feedstock Breakdown'!V$3*'Feedstock Conversion Rates'!B$6)/12-20+25</f>
        <v>49.250150000000012</v>
      </c>
      <c r="W398" s="104">
        <f>('Renewable Diesel'!E407*'RD Feedstock Breakdown'!W$3*'Feedstock Conversion Rates'!B$8)/12-6</f>
        <v>16.1796875</v>
      </c>
      <c r="X398" s="106">
        <f t="shared" ref="X398:X461" si="438">SUM(T398:W398)</f>
        <v>66.254837500000008</v>
      </c>
      <c r="Y398" s="104">
        <f t="shared" si="381"/>
        <v>98</v>
      </c>
      <c r="Z398" s="104">
        <f>('Renewable Diesel'!F407*'RD Feedstock Breakdown'!Z$3*'Feedstock Conversion Rates'!B$6)/12-142+15+5+20+5+15</f>
        <v>77.460000000000008</v>
      </c>
      <c r="AA398" s="104">
        <f>('Renewable Diesel'!F407*'RD Feedstock Breakdown'!AA$3*'Feedstock Conversion Rates'!B$7)/12+24</f>
        <v>128.26666666666665</v>
      </c>
      <c r="AB398" s="106">
        <f t="shared" si="400"/>
        <v>303.72666666666669</v>
      </c>
      <c r="AC398" s="104">
        <f>('Renewable Diesel'!G407*'RD Feedstock Breakdown'!AC$3*'Feedstock Conversion Rates'!B$5)/12</f>
        <v>11.796875</v>
      </c>
      <c r="AD398" s="104">
        <f>('Renewable Diesel'!G407*'RD Feedstock Breakdown'!AD$3*'Feedstock Conversion Rates'!B$4)/12</f>
        <v>5.859375</v>
      </c>
      <c r="AE398" s="104">
        <f>('Renewable Diesel'!G407*'RD Feedstock Breakdown'!AE$3*'Feedstock Conversion Rates'!B$6)/12</f>
        <v>7.3281250000000009</v>
      </c>
      <c r="AF398" s="106">
        <f t="shared" si="366"/>
        <v>24.984375</v>
      </c>
      <c r="AG398" s="104">
        <f t="shared" si="383"/>
        <v>148</v>
      </c>
      <c r="AH398" s="104"/>
      <c r="AI398" s="104">
        <f>('Renewable Diesel'!H407*'RD Feedstock Breakdown'!AI$3*'Feedstock Conversion Rates'!B$6)/12-130-20+51-49</f>
        <v>0.51666666666667993</v>
      </c>
      <c r="AJ398" s="106">
        <f t="shared" si="413"/>
        <v>148.51666666666668</v>
      </c>
      <c r="AK398" s="104">
        <f>('Renewable Diesel'!J407*'RD Feedstock Breakdown'!AK$3*'Feedstock Conversion Rates'!B$4)/12</f>
        <v>95.8125</v>
      </c>
      <c r="AL398" s="106">
        <f t="shared" si="415"/>
        <v>95.8125</v>
      </c>
      <c r="AM398" s="104">
        <f>('Renewable Diesel'!K407*'RD Feedstock Breakdown'!AM$3*'Feedstock Conversion Rates'!B$4)/12+5+15-10+10</f>
        <v>78.59375</v>
      </c>
      <c r="AN398" s="104">
        <f>('Renewable Diesel'!K407*'RD Feedstock Breakdown'!AN$3*'Feedstock Conversion Rates'!B$6)/12-5-15+10-10</f>
        <v>4.4270833333333321</v>
      </c>
      <c r="AO398" s="106">
        <f t="shared" si="431"/>
        <v>83.020833333333329</v>
      </c>
      <c r="AP398" s="104">
        <f>('Renewable Diesel'!L407*'RD Feedstock Breakdown'!AP$3*'Feedstock Conversion Rates'!B$4)/12+15-10+15</f>
        <v>78.59375</v>
      </c>
      <c r="AQ398" s="104">
        <f>('Renewable Diesel'!L407*'RD Feedstock Breakdown'!AQ$3*'Feedstock Conversion Rates'!B$6)/12-15+10-15</f>
        <v>4.4270833333333321</v>
      </c>
      <c r="AR398" s="106">
        <f t="shared" si="420"/>
        <v>83.020833333333329</v>
      </c>
      <c r="AS398" s="104">
        <f>('Renewable Diesel'!M407*'RD Feedstock Breakdown'!AS$3*'Feedstock Conversion Rates'!B$4)/12</f>
        <v>456.25</v>
      </c>
      <c r="AT398" s="104">
        <f>('Renewable Diesel'!M407*'RD Feedstock Breakdown'!AT$3*'Feedstock Conversion Rates'!B$5)/12</f>
        <v>0</v>
      </c>
      <c r="AU398" s="106">
        <f t="shared" si="369"/>
        <v>456.25</v>
      </c>
      <c r="AV398" s="104">
        <f>'Renewable Diesel'!N407*'RD Feedstock Breakdown'!$AV$3*'Feedstock Conversion Rates'!$B$4/12-15-10+25+25-22+25</f>
        <v>106.74999999999999</v>
      </c>
      <c r="AW398" s="104">
        <f>'Renewable Diesel'!N407*'RD Feedstock Breakdown'!$AW$3*'Feedstock Conversion Rates'!$B$7/12+15+10-25-25+22-25</f>
        <v>13.400000000000006</v>
      </c>
      <c r="AX398" s="106">
        <f t="shared" si="408"/>
        <v>120.14999999999999</v>
      </c>
      <c r="AY398" s="104">
        <f>('Renewable Diesel'!O407*'RD Feedstock Breakdown'!AY$3*'Feedstock Conversion Rates'!B$4)/12</f>
        <v>210.9375</v>
      </c>
      <c r="AZ398" s="104">
        <f>('Renewable Diesel'!O407*'RD Feedstock Breakdown'!AZ$3*'Feedstock Conversion Rates'!B$3)/12</f>
        <v>25.03125</v>
      </c>
      <c r="BA398" s="106">
        <f t="shared" si="382"/>
        <v>235.96875</v>
      </c>
      <c r="BB398" s="104">
        <f>('Renewable Diesel'!Q407*'RD Feedstock Breakdown'!BB$3*'Feedstock Conversion Rates'!B$4)/12</f>
        <v>11.156249999999998</v>
      </c>
      <c r="BC398" s="104">
        <f>('Renewable Diesel'!Q407*'RD Feedstock Breakdown'!BC$3*'Feedstock Conversion Rates'!B$3)/12</f>
        <v>1.4017500000000001</v>
      </c>
      <c r="BD398" s="104">
        <f>('Renewable Diesel'!Q407*'RD Feedstock Breakdown'!BD$3*'Feedstock Conversion Rates'!B$6)/12</f>
        <v>0.8207500000000002</v>
      </c>
      <c r="BE398" s="106">
        <f t="shared" si="359"/>
        <v>13.378749999999998</v>
      </c>
      <c r="BF398" s="104">
        <f>('Renewable Diesel'!R407*'RD Feedstock Breakdown'!BF$3*'Feedstock Conversion Rates'!B$4)/12</f>
        <v>62.5</v>
      </c>
      <c r="BG398" s="106">
        <f t="shared" si="425"/>
        <v>62.5</v>
      </c>
      <c r="BH398" s="104">
        <f>('Renewable Diesel'!T407*'RD Feedstock Breakdown'!BH$3*'Feedstock Conversion Rates'!B$7)/12</f>
        <v>27.599999999999998</v>
      </c>
      <c r="BI398" s="106">
        <f t="shared" si="412"/>
        <v>27.599999999999998</v>
      </c>
      <c r="BJ398" s="104">
        <f>('Renewable Diesel'!W407*'RD Feedstock Breakdown'!BJ$3*'Feedstock Conversion Rates'!B$4)/12</f>
        <v>7.5</v>
      </c>
      <c r="BK398" s="104">
        <f>('Renewable Diesel'!W407*'RD Feedstock Breakdown'!BK$3*'Feedstock Conversion Rates'!B$3)/12</f>
        <v>1.335</v>
      </c>
      <c r="BL398" s="104">
        <f>('Renewable Diesel'!W407*'RD Feedstock Breakdown'!BL$3*'Feedstock Conversion Rates'!B$6)/12</f>
        <v>3.1266666666666669</v>
      </c>
      <c r="BM398" s="104">
        <f>('Renewable Diesel'!W407*'RD Feedstock Breakdown'!BM$3*'Feedstock Conversion Rates'!B$7)/12</f>
        <v>1.5333333333333332</v>
      </c>
      <c r="BN398" s="106">
        <f t="shared" si="374"/>
        <v>13.495000000000001</v>
      </c>
      <c r="BO398" s="104">
        <f>('Renewable Diesel'!P407*'Feedstock Conversion Rates'!B$4)/12</f>
        <v>31.25</v>
      </c>
      <c r="BP398" s="106">
        <f t="shared" si="367"/>
        <v>31.25</v>
      </c>
      <c r="BQ398" s="104">
        <f>('Renewable Diesel'!$S407*'RD Feedstock Breakdown'!BQ$3*'Feedstock Conversion Rates'!B$4)/12+10+15-15</f>
        <v>38.125</v>
      </c>
      <c r="BR398" s="104">
        <f>('Renewable Diesel'!$S407*'RD Feedstock Breakdown'!BR$3*'Feedstock Conversion Rates'!B$7)/12-10-15+15</f>
        <v>1.5</v>
      </c>
      <c r="BS398" s="106">
        <f t="shared" si="385"/>
        <v>39.625</v>
      </c>
      <c r="BT398" s="106"/>
      <c r="BU398" s="104">
        <f>('Renewable Diesel'!Y407*'Feedstock Conversion Rates'!B$7)/12</f>
        <v>2.6833333333333331</v>
      </c>
      <c r="BV398" s="106">
        <f t="shared" si="361"/>
        <v>2.6833333333333331</v>
      </c>
      <c r="BW398" s="104">
        <f>('Renewable Diesel'!$Z407*'RD Feedstock Breakdown'!BW$3*'Feedstock Conversion Rates'!$B$4)/12-250+180</f>
        <v>1.875</v>
      </c>
      <c r="BX398" s="104">
        <f>('Renewable Diesel'!$Z407*'RD Feedstock Breakdown'!BX$3*'Feedstock Conversion Rates'!$B$5)/12</f>
        <v>7.2354166666666666</v>
      </c>
      <c r="BY398" s="104">
        <f>('Renewable Diesel'!$Z407*'RD Feedstock Breakdown'!BY$3*'Feedstock Conversion Rates'!$B$7)/12</f>
        <v>61.716666666666661</v>
      </c>
      <c r="BZ398" s="104">
        <f>('Renewable Diesel'!$Z407*'RD Feedstock Breakdown'!BZ$3*'Feedstock Conversion Rates'!$B$3)/12+250-180</f>
        <v>85.35250000000002</v>
      </c>
      <c r="CA398" s="106">
        <f t="shared" si="392"/>
        <v>156.17958333333334</v>
      </c>
      <c r="CB398" s="104">
        <f>('Renewable Diesel'!AA407*'Feedstock Conversion Rates'!B$4)/12</f>
        <v>191.25</v>
      </c>
      <c r="CC398" s="106">
        <f t="shared" si="376"/>
        <v>191.25</v>
      </c>
      <c r="CD398" s="104">
        <f>('Renewable Diesel'!$AB407*'RD Feedstock Breakdown'!CD$3*'Feedstock Conversion Rates'!$B$6)/12-15-5</f>
        <v>12.830000000000005</v>
      </c>
      <c r="CE398" s="104">
        <f>('Renewable Diesel'!$AB407*'RD Feedstock Breakdown'!CE$3*'Feedstock Conversion Rates'!$B$4)/12+15+5</f>
        <v>31.25</v>
      </c>
      <c r="CF398" s="106">
        <f t="shared" si="372"/>
        <v>44.080000000000005</v>
      </c>
      <c r="CG398" s="104">
        <f>('Renewable Diesel'!AD407*'Feedstock Conversion Rates'!B$4)/12</f>
        <v>112.5</v>
      </c>
      <c r="CH398" s="106">
        <f t="shared" ref="CH398:CH461" si="439">CG398</f>
        <v>112.5</v>
      </c>
      <c r="CI398" s="104">
        <f>('Renewable Diesel'!$AE407*'RD Feedstock Breakdown'!CI$3*'Feedstock Conversion Rates'!$B$5)/12</f>
        <v>0.34604166666666664</v>
      </c>
      <c r="CJ398" s="104">
        <f>('Renewable Diesel'!$AE407*'RD Feedstock Breakdown'!CJ$3*'Feedstock Conversion Rates'!$B$4)/12</f>
        <v>0.34375</v>
      </c>
      <c r="CK398" s="106">
        <f t="shared" si="368"/>
        <v>0.68979166666666658</v>
      </c>
      <c r="CL398" s="104">
        <f>(((CL$3*'Renewable Diesel'!$AF407)*'Feedstock Conversion Rates'!$B$3)/12)</f>
        <v>91.78125</v>
      </c>
      <c r="CM398" s="104">
        <f>(((CM$3*'Renewable Diesel'!$AF407)*'Feedstock Conversion Rates'!$B$6)/12)</f>
        <v>53.739583333333336</v>
      </c>
      <c r="CN398" s="104">
        <f>(((CN$3*'Renewable Diesel'!$AF407)*'Feedstock Conversion Rates'!$B$4)/12)</f>
        <v>42.96875</v>
      </c>
      <c r="CO398" s="106">
        <f t="shared" si="360"/>
        <v>188.48958333333334</v>
      </c>
      <c r="CP398" s="104">
        <f>('Renewable Diesel'!$AG407*'RD Feedstock Breakdown'!CP$3*'Feedstock Conversion Rates'!$B$3)/12</f>
        <v>6.0075000000000003</v>
      </c>
      <c r="CQ398" s="104">
        <f>('Renewable Diesel'!$AG407*'RD Feedstock Breakdown'!CQ$3*'Feedstock Conversion Rates'!$B$6)/12</f>
        <v>3.5175000000000001</v>
      </c>
      <c r="CR398" s="104">
        <f>('Renewable Diesel'!$AG407*'RD Feedstock Breakdown'!CR$3*'Feedstock Conversion Rates'!$B$4)/12</f>
        <v>2.8125</v>
      </c>
      <c r="CS398" s="106">
        <f t="shared" si="397"/>
        <v>12.3375</v>
      </c>
      <c r="CT398" s="104">
        <f>('Renewable Diesel'!AI407*'Feedstock Conversion Rates'!$B$4*'RD Feedstock Breakdown'!$CT$3)/12</f>
        <v>29.375</v>
      </c>
      <c r="CU398" s="106">
        <f t="shared" si="364"/>
        <v>29.375</v>
      </c>
      <c r="CV398" s="104">
        <f>('Renewable Diesel'!AN407*'Feedstock Conversion Rates'!$B$3*'RD Feedstock Breakdown'!$CV$3)/12</f>
        <v>0.50062499999999999</v>
      </c>
      <c r="CW398" s="106">
        <f t="shared" si="419"/>
        <v>0.50062499999999999</v>
      </c>
      <c r="CX398" s="104">
        <f>('Renewable Diesel'!AO407*'RD Feedstock Breakdown'!$CX$3*'Feedstock Conversion Rates'!$B$3)/12</f>
        <v>6.3412499999999996</v>
      </c>
      <c r="CY398" s="104">
        <f>('Renewable Diesel'!AO407*'RD Feedstock Breakdown'!$CY$3*'Feedstock Conversion Rates'!$B$6)/12</f>
        <v>7.4258333333333342</v>
      </c>
      <c r="CZ398" s="106">
        <f t="shared" si="398"/>
        <v>13.767083333333334</v>
      </c>
      <c r="DA398" s="104">
        <f>('Renewable Diesel'!$AP407*'RD Feedstock Breakdown'!DA$3*'Feedstock Conversion Rates'!$B$3)/12</f>
        <v>6.3412499999999996</v>
      </c>
      <c r="DB398" s="104">
        <f>('Renewable Diesel'!$AP407*'RD Feedstock Breakdown'!DB$3*'Feedstock Conversion Rates'!$B$8)/12</f>
        <v>7.421875</v>
      </c>
      <c r="DC398" s="106">
        <f t="shared" si="422"/>
        <v>13.763124999999999</v>
      </c>
      <c r="DD398" s="104">
        <f>('Renewable Diesel'!AQ407*$DD$3*'Feedstock Conversion Rates'!$B$14)/12</f>
        <v>3.1041666666666665</v>
      </c>
      <c r="DE398" s="106">
        <f t="shared" si="423"/>
        <v>3.1041666666666665</v>
      </c>
      <c r="DF398" s="104">
        <f>('Renewable Diesel'!AR407*'Feedstock Conversion Rates'!$B$4*$DF$3)/12</f>
        <v>75</v>
      </c>
      <c r="DG398" s="106">
        <f t="shared" si="399"/>
        <v>75</v>
      </c>
      <c r="DH398" s="104">
        <f>('Renewable Diesel'!AS407*'Feedstock Conversion Rates'!$B$4*$DH$3)/12</f>
        <v>75</v>
      </c>
      <c r="DI398" s="106">
        <f t="shared" si="411"/>
        <v>75</v>
      </c>
      <c r="DJ398" s="104">
        <f>('Renewable Diesel'!AT407*'Feedstock Conversion Rates'!$B$4*0.25)/12</f>
        <v>8.59375</v>
      </c>
      <c r="DK398" s="104">
        <f>('Renewable Diesel'!$AT407*'RD Feedstock Breakdown'!DK$3*'Feedstock Conversion Rates'!$B$3)/12*0.5</f>
        <v>9.1781249999999996</v>
      </c>
      <c r="DL398" s="104">
        <f>('Renewable Diesel'!$AT407*'RD Feedstock Breakdown'!$DL$3*'Feedstock Conversion Rates'!$B$6)/12</f>
        <v>10.747916666666669</v>
      </c>
      <c r="DM398" s="104">
        <f>('Renewable Diesel'!$AT407*'RD Feedstock Breakdown'!$DM$3*'Feedstock Conversion Rates'!$B$8)/12</f>
        <v>10.7421875</v>
      </c>
      <c r="DN398" s="106">
        <f t="shared" si="375"/>
        <v>39.26197916666667</v>
      </c>
      <c r="DP398" s="104">
        <f t="shared" si="426"/>
        <v>103.22025000000001</v>
      </c>
      <c r="DQ398" s="104">
        <f t="shared" si="427"/>
        <v>349.11776750000007</v>
      </c>
      <c r="DR398" s="104">
        <f t="shared" si="432"/>
        <v>1891.953125</v>
      </c>
      <c r="DS398" s="104">
        <f t="shared" si="365"/>
        <v>228.90125</v>
      </c>
      <c r="DT398" s="104">
        <f t="shared" si="428"/>
        <v>243.03923333333344</v>
      </c>
      <c r="DU398" s="104">
        <f t="shared" si="429"/>
        <v>402.90610000000009</v>
      </c>
      <c r="DV398" s="104">
        <f t="shared" si="433"/>
        <v>78.75</v>
      </c>
      <c r="DW398" s="104">
        <f t="shared" si="430"/>
        <v>3</v>
      </c>
      <c r="DX398" s="106">
        <f t="shared" si="434"/>
        <v>3300.8877258333337</v>
      </c>
      <c r="DY398" s="109">
        <f t="shared" si="421"/>
        <v>-5.631051180898794E-13</v>
      </c>
      <c r="EA398" s="110">
        <f t="shared" si="424"/>
        <v>3.1270451640078516E-2</v>
      </c>
      <c r="EB398" s="110">
        <f t="shared" si="424"/>
        <v>0.10576481131658687</v>
      </c>
      <c r="EC398" s="110">
        <f t="shared" si="424"/>
        <v>0.57316494293133291</v>
      </c>
      <c r="ED398" s="110">
        <f t="shared" si="424"/>
        <v>6.9345360706629972E-2</v>
      </c>
      <c r="EE398" s="110">
        <f t="shared" si="424"/>
        <v>7.3628445896921982E-2</v>
      </c>
      <c r="EF398" s="110">
        <f t="shared" si="424"/>
        <v>0.1220599225010852</v>
      </c>
      <c r="EG398" s="110">
        <f t="shared" si="384"/>
        <v>2.3857218585075921E-2</v>
      </c>
      <c r="EH398" s="111">
        <f t="shared" si="435"/>
        <v>9.0884642228860647E-4</v>
      </c>
      <c r="EI398" s="110">
        <f t="shared" si="409"/>
        <v>0.99909115357771139</v>
      </c>
      <c r="EK398" s="132">
        <f>(EA398*'Renewable Diesel'!BF407*'Feedstock Conversion Rates'!B$2)+FB398</f>
        <v>794.61882303520576</v>
      </c>
      <c r="EL398" s="132">
        <f>(EB398*'Renewable Diesel'!BF407*'Feedstock Conversion Rates'!B$3)+FC398</f>
        <v>2532.6751195649672</v>
      </c>
      <c r="EM398" s="132">
        <f>(EC398*'Renewable Diesel'!BF407*'Feedstock Conversion Rates'!B$4)+FD398</f>
        <v>12851.287862250691</v>
      </c>
      <c r="EN398" s="132">
        <f>(ED398*'Renewable Diesel'!BF407*'Feedstock Conversion Rates'!B$5)+FE398</f>
        <v>1565.2010554705848</v>
      </c>
      <c r="EO398" s="132">
        <f>(EE398*'Renewable Diesel'!BF407*'Feedstock Conversion Rates'!B$6)+FF398</f>
        <v>2064.6870844120331</v>
      </c>
      <c r="EP398" s="132">
        <f>(EF398*'Renewable Diesel'!BF407*'Feedstock Conversion Rates'!B$7)+FG398</f>
        <v>3357.1186148368752</v>
      </c>
      <c r="EQ398" s="132">
        <f>(EG398*'Renewable Diesel'!BF407*'Feedstock Conversion Rates'!B$8)+FH398</f>
        <v>668.64693010843075</v>
      </c>
      <c r="ER398" s="132">
        <f>(EH398*'Renewable Diesel'!BF407*'Feedstock Conversion Rates'!B$9)+FI398</f>
        <v>25.132633817408951</v>
      </c>
      <c r="ES398" s="132">
        <f t="shared" si="436"/>
        <v>23859.368123496195</v>
      </c>
      <c r="ET398" s="133">
        <f>ES398/'Renewable Diesel'!BF407</f>
        <v>20.32281752630449</v>
      </c>
      <c r="EW398" s="73">
        <f t="shared" si="386"/>
        <v>23171.513788550579</v>
      </c>
      <c r="EX398" s="73">
        <f t="shared" si="387"/>
        <v>15177.468450814471</v>
      </c>
      <c r="EY398" s="92">
        <f t="shared" si="410"/>
        <v>0.97117047143137747</v>
      </c>
      <c r="EZ398" s="92">
        <f t="shared" si="410"/>
        <v>0.63612197826261896</v>
      </c>
      <c r="FB398" s="102">
        <f>IF('Renewable Diesel'!$BG407&lt;1,0,(((('Renewable Diesel'!$BG407-1)*'Renewable Diesel'!$BF407)*'RD Feedstock Breakdown'!EA398)*'Feedstock Conversion Rates'!$B$2))</f>
        <v>482.56601161401045</v>
      </c>
      <c r="FC398" s="102">
        <f>IF('Renewable Diesel'!$BG407&lt;1,0,(((('Renewable Diesel'!$BG407-1)*'Renewable Diesel'!$BF407)*'RD Feedstock Breakdown'!EB398)*'Feedstock Conversion Rates'!$B$3))</f>
        <v>1538.0744776396446</v>
      </c>
      <c r="FD398" s="102">
        <f>IF('Renewable Diesel'!$BG407&lt;1,0,(((('Renewable Diesel'!$BG407-1)*'Renewable Diesel'!$BF407)*'RD Feedstock Breakdown'!EC398)*'Feedstock Conversion Rates'!$B$4))</f>
        <v>7804.4900875889452</v>
      </c>
      <c r="FE398" s="102">
        <f>IF('Renewable Diesel'!$BG407&lt;1,0,(((('Renewable Diesel'!$BG407-1)*'Renewable Diesel'!$BF407)*'RD Feedstock Breakdown'!ED398)*'Feedstock Conversion Rates'!$B$5))</f>
        <v>950.53478324036041</v>
      </c>
      <c r="FF398" s="102">
        <f>IF('Renewable Diesel'!$BG407&lt;1,0,(((('Renewable Diesel'!$BG407-1)*'Renewable Diesel'!$BF407)*'RD Feedstock Breakdown'!EE398)*'Feedstock Conversion Rates'!$B$6))</f>
        <v>1253.868877344139</v>
      </c>
      <c r="FG398" s="102">
        <f>IF('Renewable Diesel'!$BG407&lt;1,0,(((('Renewable Diesel'!$BG407-1)*'Renewable Diesel'!$BF407)*'RD Feedstock Breakdown'!EF398)*'Feedstock Conversion Rates'!$B$7))</f>
        <v>2038.7527875176022</v>
      </c>
      <c r="FH398" s="102">
        <f>IF('Renewable Diesel'!$BG407&lt;1,0,(((('Renewable Diesel'!$BG407-1)*'Renewable Diesel'!$BF407)*'RD Feedstock Breakdown'!EG398)*'Feedstock Conversion Rates'!$B$8))</f>
        <v>406.06423216591941</v>
      </c>
      <c r="FI398" s="102">
        <f>IF('Renewable Diesel'!$BG407&lt;1,0,(((('Renewable Diesel'!$BG407-1)*'Renewable Diesel'!$BF407)*'RD Feedstock Breakdown'!EH398)*'Feedstock Conversion Rates'!$B$9))</f>
        <v>15.262858758236462</v>
      </c>
      <c r="FJ398" s="102">
        <f t="shared" si="388"/>
        <v>14489.614115868859</v>
      </c>
      <c r="GD398" s="91">
        <f>'Renewable Diesel'!BB407*0.32</f>
        <v>0</v>
      </c>
      <c r="GE398" s="91">
        <f>'Renewable Diesel'!BC407</f>
        <v>535.87739832850616</v>
      </c>
      <c r="GF398" s="91">
        <f>'Renewable Diesel'!BD407</f>
        <v>0</v>
      </c>
      <c r="GG398" s="91">
        <f t="shared" si="373"/>
        <v>535.87739832850616</v>
      </c>
      <c r="GH398" s="124">
        <v>1</v>
      </c>
      <c r="GI398" s="102">
        <f>$GG398*EA398*'Feedstock Conversion Rates'!$B$2</f>
        <v>142.43559029026247</v>
      </c>
      <c r="GJ398" s="102">
        <f>$GG398*EB398*'Feedstock Conversion Rates'!$B$3</f>
        <v>453.98254510353371</v>
      </c>
      <c r="GK398" s="102">
        <f>$GG398*EC398*'Feedstock Conversion Rates'!$B$4</f>
        <v>2303.5960382336202</v>
      </c>
      <c r="GL398" s="102">
        <f>$GG398*ED398*'Feedstock Conversion Rates'!$B$5</f>
        <v>280.5626166862362</v>
      </c>
      <c r="GM398" s="102">
        <f>$GG398*EE398*'Feedstock Conversion Rates'!$B$6</f>
        <v>370.09559188340484</v>
      </c>
      <c r="GN398" s="102">
        <f>$GG398*EF398*'Feedstock Conversion Rates'!$B$7</f>
        <v>601.76421413255764</v>
      </c>
      <c r="GO398" s="102">
        <f>$GG398*EG398*'Feedstock Conversion Rates'!$B$8</f>
        <v>119.85510212554659</v>
      </c>
      <c r="GP398" s="102">
        <f>$GG398*EH398*'Feedstock Conversion Rates'!B$9</f>
        <v>4.5050298703697509</v>
      </c>
      <c r="GQ398" s="102">
        <f t="shared" si="437"/>
        <v>4276.7967283255311</v>
      </c>
      <c r="GT398" s="103">
        <f t="shared" si="418"/>
        <v>3.3304269372191893E-2</v>
      </c>
      <c r="GU398" s="103">
        <f t="shared" si="416"/>
        <v>0.1061501338365639</v>
      </c>
      <c r="GV398" s="103">
        <f t="shared" si="416"/>
        <v>0.53862649654979822</v>
      </c>
      <c r="GW398" s="103">
        <f t="shared" si="416"/>
        <v>6.5601110950176775E-2</v>
      </c>
      <c r="GX398" s="103">
        <f t="shared" si="416"/>
        <v>8.6535698419388296E-2</v>
      </c>
      <c r="GY398" s="103">
        <f t="shared" si="416"/>
        <v>0.14070442257566984</v>
      </c>
      <c r="GZ398" s="103">
        <f t="shared" si="416"/>
        <v>2.8024502855545516E-2</v>
      </c>
      <c r="HA398" s="103">
        <f t="shared" si="416"/>
        <v>1.0533654406655838E-3</v>
      </c>
    </row>
    <row r="399" spans="1:209" x14ac:dyDescent="0.25">
      <c r="A399" s="96">
        <v>52566</v>
      </c>
      <c r="B399" s="104">
        <f t="shared" si="406"/>
        <v>44.25</v>
      </c>
      <c r="C399" s="104">
        <f t="shared" si="396"/>
        <v>49</v>
      </c>
      <c r="D399" s="104">
        <f t="shared" si="407"/>
        <v>2</v>
      </c>
      <c r="E399" s="104">
        <f>('Renewable Diesel'!B408*E$3*'Feedstock Conversion Rates'!$B$2)/12+26+13-100+27.5+39</f>
        <v>95.43</v>
      </c>
      <c r="F399" s="104">
        <f>('Renewable Diesel'!B408*'RD Feedstock Breakdown'!F$3*'Feedstock Conversion Rates'!B$8)/12+77+23-10-12-115.75+24+8</f>
        <v>48.15625</v>
      </c>
      <c r="G399" s="104">
        <f>('Renewable Diesel'!B408*'RD Feedstock Breakdown'!G$3*'Feedstock Conversion Rates'!B$7)/12+116.75-39-57.5-145-31.5+32+70-40+10+60</f>
        <v>151.90700000000004</v>
      </c>
      <c r="H399" s="104">
        <f>('Renewable Diesel'!B408*'RD Feedstock Breakdown'!H$3*'Feedstock Conversion Rates'!B$3)/12+67+10+12+3-235+20+47-20+25</f>
        <v>105.40022499999998</v>
      </c>
      <c r="I399" s="106">
        <f t="shared" si="370"/>
        <v>496.14347500000002</v>
      </c>
      <c r="J399" s="104">
        <f t="shared" si="417"/>
        <v>4</v>
      </c>
      <c r="K399" s="104"/>
      <c r="L399" s="104">
        <v>1</v>
      </c>
      <c r="M399" s="104">
        <f>('Renewable Diesel'!C408*'RD Feedstock Breakdown'!M$3*'Feedstock Conversion Rates'!B$2)/12</f>
        <v>7.7902500000000003</v>
      </c>
      <c r="N399" s="104">
        <f>('Renewable Diesel'!C408*'RD Feedstock Breakdown'!N$3*'Feedstock Conversion Rates'!B$8)/12</f>
        <v>3.671875</v>
      </c>
      <c r="O399" s="104">
        <f>('Renewable Diesel'!C408*'RD Feedstock Breakdown'!O$3*'Feedstock Conversion Rates'!B$7)/12</f>
        <v>11.9991</v>
      </c>
      <c r="P399" s="104">
        <f>('Renewable Diesel'!C408*'RD Feedstock Breakdown'!P$3*'Feedstock Conversion Rates'!B$3)/12</f>
        <v>10.4470425</v>
      </c>
      <c r="Q399" s="106">
        <f t="shared" si="379"/>
        <v>38.908267500000001</v>
      </c>
      <c r="R399" s="104">
        <f>('Renewable Diesel'!D408*'RD Feedstock Breakdown'!R$3*'Feedstock Conversion Rates'!B$7)/12</f>
        <v>2.2999999999999998</v>
      </c>
      <c r="S399" s="106">
        <f t="shared" si="414"/>
        <v>2.2999999999999998</v>
      </c>
      <c r="T399" s="104">
        <f t="shared" si="380"/>
        <v>0.82499999999999929</v>
      </c>
      <c r="U399" s="104"/>
      <c r="V399" s="104">
        <f>('Renewable Diesel'!E408*'RD Feedstock Breakdown'!V$3*'Feedstock Conversion Rates'!B$6)/12-20+25</f>
        <v>49.250150000000012</v>
      </c>
      <c r="W399" s="104">
        <f>('Renewable Diesel'!E408*'RD Feedstock Breakdown'!W$3*'Feedstock Conversion Rates'!B$8)/12-6</f>
        <v>16.1796875</v>
      </c>
      <c r="X399" s="106">
        <f t="shared" si="438"/>
        <v>66.254837500000008</v>
      </c>
      <c r="Y399" s="104">
        <f t="shared" si="381"/>
        <v>98</v>
      </c>
      <c r="Z399" s="104">
        <f>('Renewable Diesel'!F408*'RD Feedstock Breakdown'!Z$3*'Feedstock Conversion Rates'!B$6)/12-142+15+5+20+5+15</f>
        <v>77.460000000000008</v>
      </c>
      <c r="AA399" s="104">
        <f>('Renewable Diesel'!F408*'RD Feedstock Breakdown'!AA$3*'Feedstock Conversion Rates'!B$7)/12+24</f>
        <v>128.26666666666665</v>
      </c>
      <c r="AB399" s="106">
        <f t="shared" si="400"/>
        <v>303.72666666666669</v>
      </c>
      <c r="AC399" s="104">
        <f>('Renewable Diesel'!G408*'RD Feedstock Breakdown'!AC$3*'Feedstock Conversion Rates'!B$5)/12</f>
        <v>11.796875</v>
      </c>
      <c r="AD399" s="104">
        <f>('Renewable Diesel'!G408*'RD Feedstock Breakdown'!AD$3*'Feedstock Conversion Rates'!B$4)/12</f>
        <v>5.859375</v>
      </c>
      <c r="AE399" s="104">
        <f>('Renewable Diesel'!G408*'RD Feedstock Breakdown'!AE$3*'Feedstock Conversion Rates'!B$6)/12</f>
        <v>7.3281250000000009</v>
      </c>
      <c r="AF399" s="106">
        <f t="shared" si="366"/>
        <v>24.984375</v>
      </c>
      <c r="AG399" s="104">
        <f t="shared" si="383"/>
        <v>148</v>
      </c>
      <c r="AH399" s="104"/>
      <c r="AI399" s="104">
        <f>('Renewable Diesel'!H408*'RD Feedstock Breakdown'!AI$3*'Feedstock Conversion Rates'!B$6)/12-130-20+51-49</f>
        <v>0.51666666666667993</v>
      </c>
      <c r="AJ399" s="106">
        <f t="shared" si="413"/>
        <v>148.51666666666668</v>
      </c>
      <c r="AK399" s="104">
        <f>('Renewable Diesel'!J408*'RD Feedstock Breakdown'!AK$3*'Feedstock Conversion Rates'!B$4)/12</f>
        <v>95.8125</v>
      </c>
      <c r="AL399" s="106">
        <f t="shared" si="415"/>
        <v>95.8125</v>
      </c>
      <c r="AM399" s="104">
        <f>('Renewable Diesel'!K408*'RD Feedstock Breakdown'!AM$3*'Feedstock Conversion Rates'!B$4)/12+5+15-10+10</f>
        <v>78.59375</v>
      </c>
      <c r="AN399" s="104">
        <f>('Renewable Diesel'!K408*'RD Feedstock Breakdown'!AN$3*'Feedstock Conversion Rates'!B$6)/12-5-15+10-10</f>
        <v>4.4270833333333321</v>
      </c>
      <c r="AO399" s="106">
        <f t="shared" si="431"/>
        <v>83.020833333333329</v>
      </c>
      <c r="AP399" s="104">
        <f>('Renewable Diesel'!L408*'RD Feedstock Breakdown'!AP$3*'Feedstock Conversion Rates'!B$4)/12+15-10+15</f>
        <v>78.59375</v>
      </c>
      <c r="AQ399" s="104">
        <f>('Renewable Diesel'!L408*'RD Feedstock Breakdown'!AQ$3*'Feedstock Conversion Rates'!B$6)/12-15+10-15</f>
        <v>4.4270833333333321</v>
      </c>
      <c r="AR399" s="106">
        <f t="shared" si="420"/>
        <v>83.020833333333329</v>
      </c>
      <c r="AS399" s="104">
        <f>('Renewable Diesel'!M408*'RD Feedstock Breakdown'!AS$3*'Feedstock Conversion Rates'!B$4)/12</f>
        <v>456.25</v>
      </c>
      <c r="AT399" s="104">
        <f>('Renewable Diesel'!M408*'RD Feedstock Breakdown'!AT$3*'Feedstock Conversion Rates'!B$5)/12</f>
        <v>0</v>
      </c>
      <c r="AU399" s="106">
        <f t="shared" si="369"/>
        <v>456.25</v>
      </c>
      <c r="AV399" s="104">
        <f>'Renewable Diesel'!N408*'RD Feedstock Breakdown'!$AV$3*'Feedstock Conversion Rates'!$B$4/12-15-10+25+25-22+25</f>
        <v>106.74999999999999</v>
      </c>
      <c r="AW399" s="104">
        <f>'Renewable Diesel'!N408*'RD Feedstock Breakdown'!$AW$3*'Feedstock Conversion Rates'!$B$7/12+15+10-25-25+22-25</f>
        <v>13.400000000000006</v>
      </c>
      <c r="AX399" s="106">
        <f t="shared" si="408"/>
        <v>120.14999999999999</v>
      </c>
      <c r="AY399" s="104">
        <f>('Renewable Diesel'!O408*'RD Feedstock Breakdown'!AY$3*'Feedstock Conversion Rates'!B$4)/12</f>
        <v>210.9375</v>
      </c>
      <c r="AZ399" s="104">
        <f>('Renewable Diesel'!O408*'RD Feedstock Breakdown'!AZ$3*'Feedstock Conversion Rates'!B$3)/12</f>
        <v>25.03125</v>
      </c>
      <c r="BA399" s="106">
        <f t="shared" si="382"/>
        <v>235.96875</v>
      </c>
      <c r="BB399" s="104">
        <f>('Renewable Diesel'!Q408*'RD Feedstock Breakdown'!BB$3*'Feedstock Conversion Rates'!B$4)/12</f>
        <v>11.156249999999998</v>
      </c>
      <c r="BC399" s="104">
        <f>('Renewable Diesel'!Q408*'RD Feedstock Breakdown'!BC$3*'Feedstock Conversion Rates'!B$3)/12</f>
        <v>1.4017500000000001</v>
      </c>
      <c r="BD399" s="104">
        <f>('Renewable Diesel'!Q408*'RD Feedstock Breakdown'!BD$3*'Feedstock Conversion Rates'!B$6)/12</f>
        <v>0.8207500000000002</v>
      </c>
      <c r="BE399" s="106">
        <f t="shared" ref="BE399:BE462" si="440">SUM(BB399:BD399)</f>
        <v>13.378749999999998</v>
      </c>
      <c r="BF399" s="104">
        <f>('Renewable Diesel'!R408*'RD Feedstock Breakdown'!BF$3*'Feedstock Conversion Rates'!B$4)/12</f>
        <v>62.5</v>
      </c>
      <c r="BG399" s="106">
        <f t="shared" si="425"/>
        <v>62.5</v>
      </c>
      <c r="BH399" s="104">
        <f>('Renewable Diesel'!T408*'RD Feedstock Breakdown'!BH$3*'Feedstock Conversion Rates'!B$7)/12</f>
        <v>27.599999999999998</v>
      </c>
      <c r="BI399" s="106">
        <f t="shared" si="412"/>
        <v>27.599999999999998</v>
      </c>
      <c r="BJ399" s="104">
        <f>('Renewable Diesel'!W408*'RD Feedstock Breakdown'!BJ$3*'Feedstock Conversion Rates'!B$4)/12</f>
        <v>7.5</v>
      </c>
      <c r="BK399" s="104">
        <f>('Renewable Diesel'!W408*'RD Feedstock Breakdown'!BK$3*'Feedstock Conversion Rates'!B$3)/12</f>
        <v>1.335</v>
      </c>
      <c r="BL399" s="104">
        <f>('Renewable Diesel'!W408*'RD Feedstock Breakdown'!BL$3*'Feedstock Conversion Rates'!B$6)/12</f>
        <v>3.1266666666666669</v>
      </c>
      <c r="BM399" s="104">
        <f>('Renewable Diesel'!W408*'RD Feedstock Breakdown'!BM$3*'Feedstock Conversion Rates'!B$7)/12</f>
        <v>1.5333333333333332</v>
      </c>
      <c r="BN399" s="106">
        <f t="shared" si="374"/>
        <v>13.495000000000001</v>
      </c>
      <c r="BO399" s="104">
        <f>('Renewable Diesel'!P408*'Feedstock Conversion Rates'!B$4)/12</f>
        <v>31.25</v>
      </c>
      <c r="BP399" s="106">
        <f t="shared" si="367"/>
        <v>31.25</v>
      </c>
      <c r="BQ399" s="104">
        <f>('Renewable Diesel'!$S408*'RD Feedstock Breakdown'!BQ$3*'Feedstock Conversion Rates'!B$4)/12+10+15-15</f>
        <v>38.125</v>
      </c>
      <c r="BR399" s="104">
        <f>('Renewable Diesel'!$S408*'RD Feedstock Breakdown'!BR$3*'Feedstock Conversion Rates'!B$7)/12-10-15+15</f>
        <v>1.5</v>
      </c>
      <c r="BS399" s="106">
        <f t="shared" si="385"/>
        <v>39.625</v>
      </c>
      <c r="BT399" s="106"/>
      <c r="BU399" s="104">
        <f>('Renewable Diesel'!Y408*'Feedstock Conversion Rates'!B$7)/12</f>
        <v>2.6833333333333331</v>
      </c>
      <c r="BV399" s="106">
        <f t="shared" si="361"/>
        <v>2.6833333333333331</v>
      </c>
      <c r="BW399" s="104">
        <f>('Renewable Diesel'!$Z408*'RD Feedstock Breakdown'!BW$3*'Feedstock Conversion Rates'!$B$4)/12-250+180</f>
        <v>1.875</v>
      </c>
      <c r="BX399" s="104">
        <f>('Renewable Diesel'!$Z408*'RD Feedstock Breakdown'!BX$3*'Feedstock Conversion Rates'!$B$5)/12</f>
        <v>7.2354166666666666</v>
      </c>
      <c r="BY399" s="104">
        <f>('Renewable Diesel'!$Z408*'RD Feedstock Breakdown'!BY$3*'Feedstock Conversion Rates'!$B$7)/12</f>
        <v>61.716666666666661</v>
      </c>
      <c r="BZ399" s="104">
        <f>('Renewable Diesel'!$Z408*'RD Feedstock Breakdown'!BZ$3*'Feedstock Conversion Rates'!$B$3)/12+250-180</f>
        <v>85.35250000000002</v>
      </c>
      <c r="CA399" s="106">
        <f t="shared" si="392"/>
        <v>156.17958333333334</v>
      </c>
      <c r="CB399" s="104">
        <f>('Renewable Diesel'!AA408*'Feedstock Conversion Rates'!B$4)/12</f>
        <v>191.25</v>
      </c>
      <c r="CC399" s="106">
        <f t="shared" si="376"/>
        <v>191.25</v>
      </c>
      <c r="CD399" s="104">
        <f>('Renewable Diesel'!$AB408*'RD Feedstock Breakdown'!CD$3*'Feedstock Conversion Rates'!$B$6)/12-15-5</f>
        <v>12.830000000000005</v>
      </c>
      <c r="CE399" s="104">
        <f>('Renewable Diesel'!$AB408*'RD Feedstock Breakdown'!CE$3*'Feedstock Conversion Rates'!$B$4)/12+15+5</f>
        <v>31.25</v>
      </c>
      <c r="CF399" s="106">
        <f t="shared" si="372"/>
        <v>44.080000000000005</v>
      </c>
      <c r="CG399" s="104">
        <f>('Renewable Diesel'!AD408*'Feedstock Conversion Rates'!B$4)/12</f>
        <v>112.5</v>
      </c>
      <c r="CH399" s="106">
        <f t="shared" si="439"/>
        <v>112.5</v>
      </c>
      <c r="CI399" s="104">
        <f>('Renewable Diesel'!$AE408*'RD Feedstock Breakdown'!CI$3*'Feedstock Conversion Rates'!$B$5)/12</f>
        <v>0.34604166666666664</v>
      </c>
      <c r="CJ399" s="104">
        <f>('Renewable Diesel'!$AE408*'RD Feedstock Breakdown'!CJ$3*'Feedstock Conversion Rates'!$B$4)/12</f>
        <v>0.34375</v>
      </c>
      <c r="CK399" s="106">
        <f t="shared" si="368"/>
        <v>0.68979166666666658</v>
      </c>
      <c r="CL399" s="104">
        <f>(((CL$3*'Renewable Diesel'!$AF408)*'Feedstock Conversion Rates'!$B$3)/12)</f>
        <v>91.78125</v>
      </c>
      <c r="CM399" s="104">
        <f>(((CM$3*'Renewable Diesel'!$AF408)*'Feedstock Conversion Rates'!$B$6)/12)</f>
        <v>53.739583333333336</v>
      </c>
      <c r="CN399" s="104">
        <f>(((CN$3*'Renewable Diesel'!$AF408)*'Feedstock Conversion Rates'!$B$4)/12)</f>
        <v>42.96875</v>
      </c>
      <c r="CO399" s="106">
        <f t="shared" ref="CO399:CO462" si="441">SUM(CL399:CN399)</f>
        <v>188.48958333333334</v>
      </c>
      <c r="CP399" s="104">
        <f>('Renewable Diesel'!$AG408*'RD Feedstock Breakdown'!CP$3*'Feedstock Conversion Rates'!$B$3)/12</f>
        <v>6.0075000000000003</v>
      </c>
      <c r="CQ399" s="104">
        <f>('Renewable Diesel'!$AG408*'RD Feedstock Breakdown'!CQ$3*'Feedstock Conversion Rates'!$B$6)/12</f>
        <v>3.5175000000000001</v>
      </c>
      <c r="CR399" s="104">
        <f>('Renewable Diesel'!$AG408*'RD Feedstock Breakdown'!CR$3*'Feedstock Conversion Rates'!$B$4)/12</f>
        <v>2.8125</v>
      </c>
      <c r="CS399" s="106">
        <f t="shared" si="397"/>
        <v>12.3375</v>
      </c>
      <c r="CT399" s="104">
        <f>('Renewable Diesel'!AI408*'Feedstock Conversion Rates'!$B$4*'RD Feedstock Breakdown'!$CT$3)/12</f>
        <v>29.375</v>
      </c>
      <c r="CU399" s="106">
        <f t="shared" si="364"/>
        <v>29.375</v>
      </c>
      <c r="CV399" s="104">
        <f>('Renewable Diesel'!AN408*'Feedstock Conversion Rates'!$B$3*'RD Feedstock Breakdown'!$CV$3)/12</f>
        <v>0.50062499999999999</v>
      </c>
      <c r="CW399" s="106">
        <f t="shared" si="419"/>
        <v>0.50062499999999999</v>
      </c>
      <c r="CX399" s="104">
        <f>('Renewable Diesel'!AO408*'RD Feedstock Breakdown'!$CX$3*'Feedstock Conversion Rates'!$B$3)/12</f>
        <v>6.3412499999999996</v>
      </c>
      <c r="CY399" s="104">
        <f>('Renewable Diesel'!AO408*'RD Feedstock Breakdown'!$CY$3*'Feedstock Conversion Rates'!$B$6)/12</f>
        <v>7.4258333333333342</v>
      </c>
      <c r="CZ399" s="106">
        <f t="shared" si="398"/>
        <v>13.767083333333334</v>
      </c>
      <c r="DA399" s="104">
        <f>('Renewable Diesel'!$AP408*'RD Feedstock Breakdown'!DA$3*'Feedstock Conversion Rates'!$B$3)/12</f>
        <v>6.3412499999999996</v>
      </c>
      <c r="DB399" s="104">
        <f>('Renewable Diesel'!$AP408*'RD Feedstock Breakdown'!DB$3*'Feedstock Conversion Rates'!$B$8)/12</f>
        <v>7.421875</v>
      </c>
      <c r="DC399" s="106">
        <f t="shared" si="422"/>
        <v>13.763124999999999</v>
      </c>
      <c r="DD399" s="104">
        <f>('Renewable Diesel'!AQ408*$DD$3*'Feedstock Conversion Rates'!$B$14)/12</f>
        <v>3.1041666666666665</v>
      </c>
      <c r="DE399" s="106">
        <f t="shared" si="423"/>
        <v>3.1041666666666665</v>
      </c>
      <c r="DF399" s="104">
        <f>('Renewable Diesel'!AR408*'Feedstock Conversion Rates'!$B$4*$DF$3)/12</f>
        <v>75</v>
      </c>
      <c r="DG399" s="106">
        <f t="shared" si="399"/>
        <v>75</v>
      </c>
      <c r="DH399" s="104">
        <f>('Renewable Diesel'!AS408*'Feedstock Conversion Rates'!$B$4*$DH$3)/12</f>
        <v>75</v>
      </c>
      <c r="DI399" s="106">
        <f t="shared" si="411"/>
        <v>75</v>
      </c>
      <c r="DJ399" s="104">
        <f>('Renewable Diesel'!AT408*'Feedstock Conversion Rates'!$B$4*0.25)/12</f>
        <v>8.59375</v>
      </c>
      <c r="DK399" s="104">
        <f>('Renewable Diesel'!$AT408*'RD Feedstock Breakdown'!DK$3*'Feedstock Conversion Rates'!$B$3)/12*0.5</f>
        <v>9.1781249999999996</v>
      </c>
      <c r="DL399" s="104">
        <f>('Renewable Diesel'!$AT408*'RD Feedstock Breakdown'!$DL$3*'Feedstock Conversion Rates'!$B$6)/12</f>
        <v>10.747916666666669</v>
      </c>
      <c r="DM399" s="104">
        <f>('Renewable Diesel'!$AT408*'RD Feedstock Breakdown'!$DM$3*'Feedstock Conversion Rates'!$B$8)/12</f>
        <v>10.7421875</v>
      </c>
      <c r="DN399" s="106">
        <f t="shared" si="375"/>
        <v>39.26197916666667</v>
      </c>
      <c r="DP399" s="104">
        <f t="shared" si="426"/>
        <v>103.22025000000001</v>
      </c>
      <c r="DQ399" s="104">
        <f t="shared" si="427"/>
        <v>349.11776750000007</v>
      </c>
      <c r="DR399" s="104">
        <f t="shared" si="432"/>
        <v>1891.953125</v>
      </c>
      <c r="DS399" s="104">
        <f t="shared" si="365"/>
        <v>228.90125</v>
      </c>
      <c r="DT399" s="104">
        <f t="shared" si="428"/>
        <v>243.03923333333344</v>
      </c>
      <c r="DU399" s="104">
        <f t="shared" si="429"/>
        <v>402.90610000000009</v>
      </c>
      <c r="DV399" s="104">
        <f t="shared" si="433"/>
        <v>78.75</v>
      </c>
      <c r="DW399" s="104">
        <f t="shared" si="430"/>
        <v>3</v>
      </c>
      <c r="DX399" s="106">
        <f t="shared" si="434"/>
        <v>3300.8877258333337</v>
      </c>
      <c r="DY399" s="109">
        <f t="shared" si="421"/>
        <v>-5.631051180898794E-13</v>
      </c>
      <c r="EA399" s="110">
        <f t="shared" si="424"/>
        <v>3.1270451640078516E-2</v>
      </c>
      <c r="EB399" s="110">
        <f t="shared" si="424"/>
        <v>0.10576481131658687</v>
      </c>
      <c r="EC399" s="110">
        <f t="shared" si="424"/>
        <v>0.57316494293133291</v>
      </c>
      <c r="ED399" s="110">
        <f t="shared" si="424"/>
        <v>6.9345360706629972E-2</v>
      </c>
      <c r="EE399" s="110">
        <f t="shared" si="424"/>
        <v>7.3628445896921982E-2</v>
      </c>
      <c r="EF399" s="110">
        <f t="shared" si="424"/>
        <v>0.1220599225010852</v>
      </c>
      <c r="EG399" s="110">
        <f t="shared" si="384"/>
        <v>2.3857218585075921E-2</v>
      </c>
      <c r="EH399" s="111">
        <f t="shared" si="435"/>
        <v>9.0884642228860647E-4</v>
      </c>
      <c r="EI399" s="110">
        <f t="shared" si="409"/>
        <v>0.99909115357771139</v>
      </c>
      <c r="EK399" s="132">
        <f>(EA399*'Renewable Diesel'!BF408*'Feedstock Conversion Rates'!B$2)+FB399</f>
        <v>865.86354924681791</v>
      </c>
      <c r="EL399" s="132">
        <f>(EB399*'Renewable Diesel'!BF408*'Feedstock Conversion Rates'!B$3)+FC399</f>
        <v>2759.7522290489105</v>
      </c>
      <c r="EM399" s="132">
        <f>(EC399*'Renewable Diesel'!BF408*'Feedstock Conversion Rates'!B$4)+FD399</f>
        <v>14003.521434714276</v>
      </c>
      <c r="EN399" s="132">
        <f>(ED399*'Renewable Diesel'!BF408*'Feedstock Conversion Rates'!B$5)+FE399</f>
        <v>1705.5354113032145</v>
      </c>
      <c r="EO399" s="132">
        <f>(EE399*'Renewable Diesel'!BF408*'Feedstock Conversion Rates'!B$6)+FF399</f>
        <v>2249.8048563265174</v>
      </c>
      <c r="EP399" s="132">
        <f>(EF399*'Renewable Diesel'!BF408*'Feedstock Conversion Rates'!B$7)+FG399</f>
        <v>3658.1145007137975</v>
      </c>
      <c r="EQ399" s="132">
        <f>(EG399*'Renewable Diesel'!BF408*'Feedstock Conversion Rates'!B$8)+FH399</f>
        <v>728.59714282280993</v>
      </c>
      <c r="ER399" s="132">
        <f>(EH399*'Renewable Diesel'!BF408*'Feedstock Conversion Rates'!B$9)+FI399</f>
        <v>27.386000542927203</v>
      </c>
      <c r="ES399" s="132">
        <f t="shared" si="436"/>
        <v>25998.575124719271</v>
      </c>
      <c r="ET399" s="133">
        <f>ES399/'Renewable Diesel'!BF408</f>
        <v>21.564998968934486</v>
      </c>
      <c r="EW399" s="73">
        <f t="shared" si="386"/>
        <v>25604.397345902369</v>
      </c>
      <c r="EX399" s="73">
        <f t="shared" si="387"/>
        <v>16771.020506721034</v>
      </c>
      <c r="EY399" s="92">
        <f t="shared" si="410"/>
        <v>0.98483848530444573</v>
      </c>
      <c r="EZ399" s="92">
        <f t="shared" si="410"/>
        <v>0.64507460221445978</v>
      </c>
      <c r="FB399" s="102">
        <f>IF('Renewable Diesel'!$BG408&lt;1,0,(((('Renewable Diesel'!$BG408-1)*'Renewable Diesel'!$BF408)*'RD Feedstock Breakdown'!EA399)*'Feedstock Conversion Rates'!$B$2))</f>
        <v>545.41878167614095</v>
      </c>
      <c r="FC399" s="102">
        <f>IF('Renewable Diesel'!$BG408&lt;1,0,(((('Renewable Diesel'!$BG408-1)*'Renewable Diesel'!$BF408)*'RD Feedstock Breakdown'!EB399)*'Feedstock Conversion Rates'!$B$3))</f>
        <v>1738.4040473873811</v>
      </c>
      <c r="FD399" s="102">
        <f>IF('Renewable Diesel'!$BG408&lt;1,0,(((('Renewable Diesel'!$BG408-1)*'Renewable Diesel'!$BF408)*'RD Feedstock Breakdown'!EC399)*'Feedstock Conversion Rates'!$B$4))</f>
        <v>8821.0014230780434</v>
      </c>
      <c r="FE399" s="102">
        <f>IF('Renewable Diesel'!$BG408&lt;1,0,(((('Renewable Diesel'!$BG408-1)*'Renewable Diesel'!$BF408)*'RD Feedstock Breakdown'!ED399)*'Feedstock Conversion Rates'!$B$5))</f>
        <v>1074.3390768068343</v>
      </c>
      <c r="FF399" s="102">
        <f>IF('Renewable Diesel'!$BG408&lt;1,0,(((('Renewable Diesel'!$BG408-1)*'Renewable Diesel'!$BF408)*'RD Feedstock Breakdown'!EE399)*'Feedstock Conversion Rates'!$B$6))</f>
        <v>1417.1815233636644</v>
      </c>
      <c r="FG399" s="102">
        <f>IF('Renewable Diesel'!$BG408&lt;1,0,(((('Renewable Diesel'!$BG408-1)*'Renewable Diesel'!$BF408)*'RD Feedstock Breakdown'!EF399)*'Feedstock Conversion Rates'!$B$7))</f>
        <v>2304.2941996423078</v>
      </c>
      <c r="FH399" s="102">
        <f>IF('Renewable Diesel'!$BG408&lt;1,0,(((('Renewable Diesel'!$BG408-1)*'Renewable Diesel'!$BF408)*'RD Feedstock Breakdown'!EG399)*'Feedstock Conversion Rates'!$B$8))</f>
        <v>458.95287579296911</v>
      </c>
      <c r="FI399" s="102">
        <f>IF('Renewable Diesel'!$BG408&lt;1,0,(((('Renewable Diesel'!$BG408-1)*'Renewable Diesel'!$BF408)*'RD Feedstock Breakdown'!EH399)*'Feedstock Conversion Rates'!$B$9))</f>
        <v>17.250800156789698</v>
      </c>
      <c r="FJ399" s="102">
        <f t="shared" si="388"/>
        <v>16376.84272790413</v>
      </c>
      <c r="GD399" s="91">
        <f>'Renewable Diesel'!BB408*0.32</f>
        <v>0</v>
      </c>
      <c r="GE399" s="91">
        <f>'Renewable Diesel'!BC408</f>
        <v>481.5110010893402</v>
      </c>
      <c r="GF399" s="91">
        <f>'Renewable Diesel'!BD408</f>
        <v>0</v>
      </c>
      <c r="GG399" s="91">
        <f t="shared" si="373"/>
        <v>481.5110010893402</v>
      </c>
      <c r="GH399" s="124">
        <v>1</v>
      </c>
      <c r="GI399" s="102">
        <f>$GG399*EA399*'Feedstock Conversion Rates'!$B$2</f>
        <v>127.98506502670504</v>
      </c>
      <c r="GJ399" s="102">
        <f>$GG399*EB399*'Feedstock Conversion Rates'!$B$3</f>
        <v>407.92463061837009</v>
      </c>
      <c r="GK399" s="102">
        <f>$GG399*EC399*'Feedstock Conversion Rates'!$B$4</f>
        <v>2069.8891909513545</v>
      </c>
      <c r="GL399" s="102">
        <f>$GG399*ED399*'Feedstock Conversion Rates'!$B$5</f>
        <v>252.09868311336848</v>
      </c>
      <c r="GM399" s="102">
        <f>$GG399*EE399*'Feedstock Conversion Rates'!$B$6</f>
        <v>332.54826477545515</v>
      </c>
      <c r="GN399" s="102">
        <f>$GG399*EF399*'Feedstock Conversion Rates'!$B$7</f>
        <v>540.71339838274025</v>
      </c>
      <c r="GO399" s="102">
        <f>$GG399*EG399*'Feedstock Conversion Rates'!$B$8</f>
        <v>107.69543628850424</v>
      </c>
      <c r="GP399" s="102">
        <f>$GG399*EH399*'Feedstock Conversion Rates'!B$9</f>
        <v>4.0479808433520326</v>
      </c>
      <c r="GQ399" s="102">
        <f t="shared" si="437"/>
        <v>3842.9026499998504</v>
      </c>
      <c r="GT399" s="103">
        <f t="shared" si="418"/>
        <v>3.3304269372191879E-2</v>
      </c>
      <c r="GU399" s="103">
        <f t="shared" si="416"/>
        <v>0.10615013383656387</v>
      </c>
      <c r="GV399" s="103">
        <f t="shared" si="416"/>
        <v>0.53862649654979822</v>
      </c>
      <c r="GW399" s="103">
        <f t="shared" si="416"/>
        <v>6.5601110950176747E-2</v>
      </c>
      <c r="GX399" s="103">
        <f t="shared" si="416"/>
        <v>8.6535698419388296E-2</v>
      </c>
      <c r="GY399" s="103">
        <f t="shared" si="416"/>
        <v>0.14070442257566981</v>
      </c>
      <c r="GZ399" s="103">
        <f t="shared" si="416"/>
        <v>2.8024502855545516E-2</v>
      </c>
      <c r="HA399" s="103">
        <f t="shared" si="416"/>
        <v>1.053365440665584E-3</v>
      </c>
    </row>
    <row r="400" spans="1:209" x14ac:dyDescent="0.25">
      <c r="A400" s="96">
        <v>52597</v>
      </c>
      <c r="B400" s="104">
        <f t="shared" si="406"/>
        <v>44.25</v>
      </c>
      <c r="C400" s="104">
        <f t="shared" si="396"/>
        <v>49</v>
      </c>
      <c r="D400" s="104">
        <f t="shared" si="407"/>
        <v>2</v>
      </c>
      <c r="E400" s="104">
        <f>('Renewable Diesel'!B409*E$3*'Feedstock Conversion Rates'!$B$2)/12+26+13-100+27.5+39</f>
        <v>95.43</v>
      </c>
      <c r="F400" s="104">
        <f>('Renewable Diesel'!B409*'RD Feedstock Breakdown'!F$3*'Feedstock Conversion Rates'!B$8)/12+77+23-10-12-115.75+24+8</f>
        <v>48.15625</v>
      </c>
      <c r="G400" s="104">
        <f>('Renewable Diesel'!B409*'RD Feedstock Breakdown'!G$3*'Feedstock Conversion Rates'!B$7)/12+116.75-39-57.5-145-31.5+32+70-40+10+60</f>
        <v>151.90700000000004</v>
      </c>
      <c r="H400" s="104">
        <f>('Renewable Diesel'!B409*'RD Feedstock Breakdown'!H$3*'Feedstock Conversion Rates'!B$3)/12+67+10+12+3-235+20+47-20+25</f>
        <v>105.40022499999998</v>
      </c>
      <c r="I400" s="106">
        <f t="shared" si="370"/>
        <v>496.14347500000002</v>
      </c>
      <c r="J400" s="104">
        <f t="shared" si="417"/>
        <v>4</v>
      </c>
      <c r="K400" s="104"/>
      <c r="L400" s="104">
        <v>1</v>
      </c>
      <c r="M400" s="104">
        <f>('Renewable Diesel'!C409*'RD Feedstock Breakdown'!M$3*'Feedstock Conversion Rates'!B$2)/12</f>
        <v>7.7902500000000003</v>
      </c>
      <c r="N400" s="104">
        <f>('Renewable Diesel'!C409*'RD Feedstock Breakdown'!N$3*'Feedstock Conversion Rates'!B$8)/12</f>
        <v>3.671875</v>
      </c>
      <c r="O400" s="104">
        <f>('Renewable Diesel'!C409*'RD Feedstock Breakdown'!O$3*'Feedstock Conversion Rates'!B$7)/12</f>
        <v>11.9991</v>
      </c>
      <c r="P400" s="104">
        <f>('Renewable Diesel'!C409*'RD Feedstock Breakdown'!P$3*'Feedstock Conversion Rates'!B$3)/12</f>
        <v>10.4470425</v>
      </c>
      <c r="Q400" s="106">
        <f t="shared" si="379"/>
        <v>38.908267500000001</v>
      </c>
      <c r="R400" s="104">
        <f>('Renewable Diesel'!D409*'RD Feedstock Breakdown'!R$3*'Feedstock Conversion Rates'!B$7)/12</f>
        <v>2.2999999999999998</v>
      </c>
      <c r="S400" s="106">
        <f t="shared" si="414"/>
        <v>2.2999999999999998</v>
      </c>
      <c r="T400" s="104">
        <f t="shared" si="380"/>
        <v>0.82499999999999929</v>
      </c>
      <c r="U400" s="104"/>
      <c r="V400" s="104">
        <f>('Renewable Diesel'!E409*'RD Feedstock Breakdown'!V$3*'Feedstock Conversion Rates'!B$6)/12-20+25</f>
        <v>49.250150000000012</v>
      </c>
      <c r="W400" s="104">
        <f>('Renewable Diesel'!E409*'RD Feedstock Breakdown'!W$3*'Feedstock Conversion Rates'!B$8)/12-6</f>
        <v>16.1796875</v>
      </c>
      <c r="X400" s="106">
        <f t="shared" si="438"/>
        <v>66.254837500000008</v>
      </c>
      <c r="Y400" s="104">
        <f t="shared" si="381"/>
        <v>98</v>
      </c>
      <c r="Z400" s="104">
        <f>('Renewable Diesel'!F409*'RD Feedstock Breakdown'!Z$3*'Feedstock Conversion Rates'!B$6)/12-142+15+5+20+5+15</f>
        <v>77.460000000000008</v>
      </c>
      <c r="AA400" s="104">
        <f>('Renewable Diesel'!F409*'RD Feedstock Breakdown'!AA$3*'Feedstock Conversion Rates'!B$7)/12+24</f>
        <v>128.26666666666665</v>
      </c>
      <c r="AB400" s="106">
        <f t="shared" si="400"/>
        <v>303.72666666666669</v>
      </c>
      <c r="AC400" s="104">
        <f>('Renewable Diesel'!G409*'RD Feedstock Breakdown'!AC$3*'Feedstock Conversion Rates'!B$5)/12</f>
        <v>11.796875</v>
      </c>
      <c r="AD400" s="104">
        <f>('Renewable Diesel'!G409*'RD Feedstock Breakdown'!AD$3*'Feedstock Conversion Rates'!B$4)/12</f>
        <v>5.859375</v>
      </c>
      <c r="AE400" s="104">
        <f>('Renewable Diesel'!G409*'RD Feedstock Breakdown'!AE$3*'Feedstock Conversion Rates'!B$6)/12</f>
        <v>7.3281250000000009</v>
      </c>
      <c r="AF400" s="106">
        <f t="shared" si="366"/>
        <v>24.984375</v>
      </c>
      <c r="AG400" s="104">
        <f t="shared" si="383"/>
        <v>148</v>
      </c>
      <c r="AH400" s="104"/>
      <c r="AI400" s="104">
        <f>('Renewable Diesel'!H409*'RD Feedstock Breakdown'!AI$3*'Feedstock Conversion Rates'!B$6)/12-130-20+51-49</f>
        <v>0.51666666666667993</v>
      </c>
      <c r="AJ400" s="106">
        <f t="shared" si="413"/>
        <v>148.51666666666668</v>
      </c>
      <c r="AK400" s="104">
        <f>('Renewable Diesel'!J409*'RD Feedstock Breakdown'!AK$3*'Feedstock Conversion Rates'!B$4)/12</f>
        <v>95.8125</v>
      </c>
      <c r="AL400" s="106">
        <f t="shared" si="415"/>
        <v>95.8125</v>
      </c>
      <c r="AM400" s="104">
        <f>('Renewable Diesel'!K409*'RD Feedstock Breakdown'!AM$3*'Feedstock Conversion Rates'!B$4)/12+5+15-10+10</f>
        <v>78.59375</v>
      </c>
      <c r="AN400" s="104">
        <f>('Renewable Diesel'!K409*'RD Feedstock Breakdown'!AN$3*'Feedstock Conversion Rates'!B$6)/12-5-15+10-10</f>
        <v>4.4270833333333321</v>
      </c>
      <c r="AO400" s="106">
        <f t="shared" si="431"/>
        <v>83.020833333333329</v>
      </c>
      <c r="AP400" s="104">
        <f>('Renewable Diesel'!L409*'RD Feedstock Breakdown'!AP$3*'Feedstock Conversion Rates'!B$4)/12+15-10+15</f>
        <v>78.59375</v>
      </c>
      <c r="AQ400" s="104">
        <f>('Renewable Diesel'!L409*'RD Feedstock Breakdown'!AQ$3*'Feedstock Conversion Rates'!B$6)/12-15+10-15</f>
        <v>4.4270833333333321</v>
      </c>
      <c r="AR400" s="106">
        <f t="shared" si="420"/>
        <v>83.020833333333329</v>
      </c>
      <c r="AS400" s="104">
        <f>('Renewable Diesel'!M409*'RD Feedstock Breakdown'!AS$3*'Feedstock Conversion Rates'!B$4)/12</f>
        <v>456.25</v>
      </c>
      <c r="AT400" s="104">
        <f>('Renewable Diesel'!M409*'RD Feedstock Breakdown'!AT$3*'Feedstock Conversion Rates'!B$5)/12</f>
        <v>0</v>
      </c>
      <c r="AU400" s="106">
        <f t="shared" si="369"/>
        <v>456.25</v>
      </c>
      <c r="AV400" s="104">
        <f>'Renewable Diesel'!N409*'RD Feedstock Breakdown'!$AV$3*'Feedstock Conversion Rates'!$B$4/12-15-10+25+25-22+25</f>
        <v>106.74999999999999</v>
      </c>
      <c r="AW400" s="104">
        <f>'Renewable Diesel'!N409*'RD Feedstock Breakdown'!$AW$3*'Feedstock Conversion Rates'!$B$7/12+15+10-25-25+22-25</f>
        <v>13.400000000000006</v>
      </c>
      <c r="AX400" s="106">
        <f t="shared" si="408"/>
        <v>120.14999999999999</v>
      </c>
      <c r="AY400" s="104">
        <f>('Renewable Diesel'!O409*'RD Feedstock Breakdown'!AY$3*'Feedstock Conversion Rates'!B$4)/12</f>
        <v>210.9375</v>
      </c>
      <c r="AZ400" s="104">
        <f>('Renewable Diesel'!O409*'RD Feedstock Breakdown'!AZ$3*'Feedstock Conversion Rates'!B$3)/12</f>
        <v>25.03125</v>
      </c>
      <c r="BA400" s="106">
        <f t="shared" si="382"/>
        <v>235.96875</v>
      </c>
      <c r="BB400" s="104">
        <f>('Renewable Diesel'!Q409*'RD Feedstock Breakdown'!BB$3*'Feedstock Conversion Rates'!B$4)/12</f>
        <v>11.156249999999998</v>
      </c>
      <c r="BC400" s="104">
        <f>('Renewable Diesel'!Q409*'RD Feedstock Breakdown'!BC$3*'Feedstock Conversion Rates'!B$3)/12</f>
        <v>1.4017500000000001</v>
      </c>
      <c r="BD400" s="104">
        <f>('Renewable Diesel'!Q409*'RD Feedstock Breakdown'!BD$3*'Feedstock Conversion Rates'!B$6)/12</f>
        <v>0.8207500000000002</v>
      </c>
      <c r="BE400" s="106">
        <f t="shared" si="440"/>
        <v>13.378749999999998</v>
      </c>
      <c r="BF400" s="104">
        <f>('Renewable Diesel'!R409*'RD Feedstock Breakdown'!BF$3*'Feedstock Conversion Rates'!B$4)/12</f>
        <v>62.5</v>
      </c>
      <c r="BG400" s="106">
        <f t="shared" si="425"/>
        <v>62.5</v>
      </c>
      <c r="BH400" s="104">
        <f>('Renewable Diesel'!T409*'RD Feedstock Breakdown'!BH$3*'Feedstock Conversion Rates'!B$7)/12</f>
        <v>27.599999999999998</v>
      </c>
      <c r="BI400" s="106">
        <f t="shared" si="412"/>
        <v>27.599999999999998</v>
      </c>
      <c r="BJ400" s="104">
        <f>('Renewable Diesel'!W409*'RD Feedstock Breakdown'!BJ$3*'Feedstock Conversion Rates'!B$4)/12</f>
        <v>7.5</v>
      </c>
      <c r="BK400" s="104">
        <f>('Renewable Diesel'!W409*'RD Feedstock Breakdown'!BK$3*'Feedstock Conversion Rates'!B$3)/12</f>
        <v>1.335</v>
      </c>
      <c r="BL400" s="104">
        <f>('Renewable Diesel'!W409*'RD Feedstock Breakdown'!BL$3*'Feedstock Conversion Rates'!B$6)/12</f>
        <v>3.1266666666666669</v>
      </c>
      <c r="BM400" s="104">
        <f>('Renewable Diesel'!W409*'RD Feedstock Breakdown'!BM$3*'Feedstock Conversion Rates'!B$7)/12</f>
        <v>1.5333333333333332</v>
      </c>
      <c r="BN400" s="106">
        <f t="shared" si="374"/>
        <v>13.495000000000001</v>
      </c>
      <c r="BO400" s="104">
        <f>('Renewable Diesel'!P409*'Feedstock Conversion Rates'!B$4)/12</f>
        <v>31.25</v>
      </c>
      <c r="BP400" s="106">
        <f t="shared" si="367"/>
        <v>31.25</v>
      </c>
      <c r="BQ400" s="104">
        <f>('Renewable Diesel'!$S409*'RD Feedstock Breakdown'!BQ$3*'Feedstock Conversion Rates'!B$4)/12+10+15-15</f>
        <v>38.125</v>
      </c>
      <c r="BR400" s="104">
        <f>('Renewable Diesel'!$S409*'RD Feedstock Breakdown'!BR$3*'Feedstock Conversion Rates'!B$7)/12-10-15+15</f>
        <v>1.5</v>
      </c>
      <c r="BS400" s="106">
        <f t="shared" si="385"/>
        <v>39.625</v>
      </c>
      <c r="BT400" s="106"/>
      <c r="BU400" s="104">
        <f>('Renewable Diesel'!Y409*'Feedstock Conversion Rates'!B$7)/12</f>
        <v>2.6833333333333331</v>
      </c>
      <c r="BV400" s="106">
        <f t="shared" si="361"/>
        <v>2.6833333333333331</v>
      </c>
      <c r="BW400" s="104">
        <f>('Renewable Diesel'!$Z409*'RD Feedstock Breakdown'!BW$3*'Feedstock Conversion Rates'!$B$4)/12-250+180</f>
        <v>1.875</v>
      </c>
      <c r="BX400" s="104">
        <f>('Renewable Diesel'!$Z409*'RD Feedstock Breakdown'!BX$3*'Feedstock Conversion Rates'!$B$5)/12</f>
        <v>7.2354166666666666</v>
      </c>
      <c r="BY400" s="104">
        <f>('Renewable Diesel'!$Z409*'RD Feedstock Breakdown'!BY$3*'Feedstock Conversion Rates'!$B$7)/12</f>
        <v>61.716666666666661</v>
      </c>
      <c r="BZ400" s="104">
        <f>('Renewable Diesel'!$Z409*'RD Feedstock Breakdown'!BZ$3*'Feedstock Conversion Rates'!$B$3)/12+250-180</f>
        <v>85.35250000000002</v>
      </c>
      <c r="CA400" s="106">
        <f t="shared" si="392"/>
        <v>156.17958333333334</v>
      </c>
      <c r="CB400" s="104">
        <f>('Renewable Diesel'!AA409*'Feedstock Conversion Rates'!B$4)/12</f>
        <v>191.25</v>
      </c>
      <c r="CC400" s="106">
        <f t="shared" si="376"/>
        <v>191.25</v>
      </c>
      <c r="CD400" s="104">
        <f>('Renewable Diesel'!$AB409*'RD Feedstock Breakdown'!CD$3*'Feedstock Conversion Rates'!$B$6)/12-15-5</f>
        <v>12.830000000000005</v>
      </c>
      <c r="CE400" s="104">
        <f>('Renewable Diesel'!$AB409*'RD Feedstock Breakdown'!CE$3*'Feedstock Conversion Rates'!$B$4)/12+15+5</f>
        <v>31.25</v>
      </c>
      <c r="CF400" s="106">
        <f t="shared" si="372"/>
        <v>44.080000000000005</v>
      </c>
      <c r="CG400" s="104">
        <f>('Renewable Diesel'!AD409*'Feedstock Conversion Rates'!B$4)/12</f>
        <v>112.5</v>
      </c>
      <c r="CH400" s="106">
        <f t="shared" si="439"/>
        <v>112.5</v>
      </c>
      <c r="CI400" s="104">
        <f>('Renewable Diesel'!$AE409*'RD Feedstock Breakdown'!CI$3*'Feedstock Conversion Rates'!$B$5)/12</f>
        <v>0.34604166666666664</v>
      </c>
      <c r="CJ400" s="104">
        <f>('Renewable Diesel'!$AE409*'RD Feedstock Breakdown'!CJ$3*'Feedstock Conversion Rates'!$B$4)/12</f>
        <v>0.34375</v>
      </c>
      <c r="CK400" s="106">
        <f t="shared" si="368"/>
        <v>0.68979166666666658</v>
      </c>
      <c r="CL400" s="104">
        <f>(((CL$3*'Renewable Diesel'!$AF409)*'Feedstock Conversion Rates'!$B$3)/12)</f>
        <v>91.78125</v>
      </c>
      <c r="CM400" s="104">
        <f>(((CM$3*'Renewable Diesel'!$AF409)*'Feedstock Conversion Rates'!$B$6)/12)</f>
        <v>53.739583333333336</v>
      </c>
      <c r="CN400" s="104">
        <f>(((CN$3*'Renewable Diesel'!$AF409)*'Feedstock Conversion Rates'!$B$4)/12)</f>
        <v>42.96875</v>
      </c>
      <c r="CO400" s="106">
        <f t="shared" si="441"/>
        <v>188.48958333333334</v>
      </c>
      <c r="CP400" s="104">
        <f>('Renewable Diesel'!$AG409*'RD Feedstock Breakdown'!CP$3*'Feedstock Conversion Rates'!$B$3)/12</f>
        <v>6.0075000000000003</v>
      </c>
      <c r="CQ400" s="104">
        <f>('Renewable Diesel'!$AG409*'RD Feedstock Breakdown'!CQ$3*'Feedstock Conversion Rates'!$B$6)/12</f>
        <v>3.5175000000000001</v>
      </c>
      <c r="CR400" s="104">
        <f>('Renewable Diesel'!$AG409*'RD Feedstock Breakdown'!CR$3*'Feedstock Conversion Rates'!$B$4)/12</f>
        <v>2.8125</v>
      </c>
      <c r="CS400" s="106">
        <f t="shared" si="397"/>
        <v>12.3375</v>
      </c>
      <c r="CT400" s="104">
        <f>('Renewable Diesel'!AI409*'Feedstock Conversion Rates'!$B$4*'RD Feedstock Breakdown'!$CT$3)/12</f>
        <v>29.375</v>
      </c>
      <c r="CU400" s="106">
        <f t="shared" si="364"/>
        <v>29.375</v>
      </c>
      <c r="CV400" s="104">
        <f>('Renewable Diesel'!AN409*'Feedstock Conversion Rates'!$B$3*'RD Feedstock Breakdown'!$CV$3)/12</f>
        <v>0.50062499999999999</v>
      </c>
      <c r="CW400" s="106">
        <f t="shared" si="419"/>
        <v>0.50062499999999999</v>
      </c>
      <c r="CX400" s="104">
        <f>('Renewable Diesel'!AO409*'RD Feedstock Breakdown'!$CX$3*'Feedstock Conversion Rates'!$B$3)/12</f>
        <v>6.3412499999999996</v>
      </c>
      <c r="CY400" s="104">
        <f>('Renewable Diesel'!AO409*'RD Feedstock Breakdown'!$CY$3*'Feedstock Conversion Rates'!$B$6)/12</f>
        <v>7.4258333333333342</v>
      </c>
      <c r="CZ400" s="106">
        <f t="shared" si="398"/>
        <v>13.767083333333334</v>
      </c>
      <c r="DA400" s="104">
        <f>('Renewable Diesel'!$AP409*'RD Feedstock Breakdown'!DA$3*'Feedstock Conversion Rates'!$B$3)/12</f>
        <v>6.3412499999999996</v>
      </c>
      <c r="DB400" s="104">
        <f>('Renewable Diesel'!$AP409*'RD Feedstock Breakdown'!DB$3*'Feedstock Conversion Rates'!$B$8)/12</f>
        <v>7.421875</v>
      </c>
      <c r="DC400" s="106">
        <f t="shared" si="422"/>
        <v>13.763124999999999</v>
      </c>
      <c r="DD400" s="104">
        <f>('Renewable Diesel'!AQ409*$DD$3*'Feedstock Conversion Rates'!$B$14)/12</f>
        <v>3.1041666666666665</v>
      </c>
      <c r="DE400" s="106">
        <f t="shared" si="423"/>
        <v>3.1041666666666665</v>
      </c>
      <c r="DF400" s="104">
        <f>('Renewable Diesel'!AR409*'Feedstock Conversion Rates'!$B$4*$DF$3)/12</f>
        <v>75</v>
      </c>
      <c r="DG400" s="106">
        <f t="shared" si="399"/>
        <v>75</v>
      </c>
      <c r="DH400" s="104">
        <f>('Renewable Diesel'!AS409*'Feedstock Conversion Rates'!$B$4*$DH$3)/12</f>
        <v>75</v>
      </c>
      <c r="DI400" s="106">
        <f t="shared" si="411"/>
        <v>75</v>
      </c>
      <c r="DJ400" s="104">
        <f>('Renewable Diesel'!AT409*'Feedstock Conversion Rates'!$B$4*0.25)/12</f>
        <v>8.59375</v>
      </c>
      <c r="DK400" s="104">
        <f>('Renewable Diesel'!$AT409*'RD Feedstock Breakdown'!DK$3*'Feedstock Conversion Rates'!$B$3)/12*0.5</f>
        <v>9.1781249999999996</v>
      </c>
      <c r="DL400" s="104">
        <f>('Renewable Diesel'!$AT409*'RD Feedstock Breakdown'!$DL$3*'Feedstock Conversion Rates'!$B$6)/12</f>
        <v>10.747916666666669</v>
      </c>
      <c r="DM400" s="104">
        <f>('Renewable Diesel'!$AT409*'RD Feedstock Breakdown'!$DM$3*'Feedstock Conversion Rates'!$B$8)/12</f>
        <v>10.7421875</v>
      </c>
      <c r="DN400" s="106">
        <f t="shared" si="375"/>
        <v>39.26197916666667</v>
      </c>
      <c r="DP400" s="104">
        <f t="shared" si="426"/>
        <v>103.22025000000001</v>
      </c>
      <c r="DQ400" s="104">
        <f t="shared" si="427"/>
        <v>349.11776750000007</v>
      </c>
      <c r="DR400" s="104">
        <f t="shared" si="432"/>
        <v>1891.953125</v>
      </c>
      <c r="DS400" s="104">
        <f t="shared" si="365"/>
        <v>228.90125</v>
      </c>
      <c r="DT400" s="104">
        <f t="shared" si="428"/>
        <v>243.03923333333344</v>
      </c>
      <c r="DU400" s="104">
        <f t="shared" si="429"/>
        <v>402.90610000000009</v>
      </c>
      <c r="DV400" s="104">
        <f t="shared" si="433"/>
        <v>78.75</v>
      </c>
      <c r="DW400" s="104">
        <f t="shared" si="430"/>
        <v>3</v>
      </c>
      <c r="DX400" s="106">
        <f t="shared" si="434"/>
        <v>3300.8877258333337</v>
      </c>
      <c r="DY400" s="109">
        <f t="shared" si="421"/>
        <v>-5.631051180898794E-13</v>
      </c>
      <c r="EA400" s="110">
        <f t="shared" si="424"/>
        <v>3.1270451640078516E-2</v>
      </c>
      <c r="EB400" s="110">
        <f t="shared" si="424"/>
        <v>0.10576481131658687</v>
      </c>
      <c r="EC400" s="110">
        <f t="shared" si="424"/>
        <v>0.57316494293133291</v>
      </c>
      <c r="ED400" s="110">
        <f t="shared" si="424"/>
        <v>6.9345360706629972E-2</v>
      </c>
      <c r="EE400" s="110">
        <f t="shared" si="424"/>
        <v>7.3628445896921982E-2</v>
      </c>
      <c r="EF400" s="110">
        <f t="shared" si="424"/>
        <v>0.1220599225010852</v>
      </c>
      <c r="EG400" s="110">
        <f t="shared" si="384"/>
        <v>2.3857218585075921E-2</v>
      </c>
      <c r="EH400" s="111">
        <f t="shared" si="435"/>
        <v>9.0884642228860647E-4</v>
      </c>
      <c r="EI400" s="110">
        <f t="shared" si="409"/>
        <v>0.99909115357771139</v>
      </c>
      <c r="EK400" s="132">
        <f>(EA400*'Renewable Diesel'!BF409*'Feedstock Conversion Rates'!B$2)+FB400</f>
        <v>264.45428289149459</v>
      </c>
      <c r="EL400" s="132">
        <f>(EB400*'Renewable Diesel'!BF409*'Feedstock Conversion Rates'!B$3)+FC400</f>
        <v>842.89065791738619</v>
      </c>
      <c r="EM400" s="132">
        <f>(EC400*'Renewable Diesel'!BF409*'Feedstock Conversion Rates'!B$4)+FD400</f>
        <v>4276.9917063657331</v>
      </c>
      <c r="EN400" s="132">
        <f>(ED400*'Renewable Diesel'!BF409*'Feedstock Conversion Rates'!B$5)+FE400</f>
        <v>520.90903299322531</v>
      </c>
      <c r="EO400" s="132">
        <f>(EE400*'Renewable Diesel'!BF409*'Feedstock Conversion Rates'!B$6)+FF400</f>
        <v>687.14121346622539</v>
      </c>
      <c r="EP400" s="132">
        <f>(EF400*'Renewable Diesel'!BF409*'Feedstock Conversion Rates'!B$7)+FG400</f>
        <v>1117.2707845973578</v>
      </c>
      <c r="EQ400" s="132">
        <f>(EG400*'Renewable Diesel'!BF409*'Feedstock Conversion Rates'!B$8)+FH400</f>
        <v>222.53002229924527</v>
      </c>
      <c r="ER400" s="132">
        <f>(EH400*'Renewable Diesel'!BF409*'Feedstock Conversion Rates'!B$9)+FI400</f>
        <v>8.3643030603906787</v>
      </c>
      <c r="ES400" s="132">
        <f t="shared" si="436"/>
        <v>7940.5520035910586</v>
      </c>
      <c r="ET400" s="133">
        <f>ES400/'Renewable Diesel'!BF409</f>
        <v>11.724107610027323</v>
      </c>
      <c r="EW400" s="73">
        <f t="shared" si="386"/>
        <v>6329.7379208401717</v>
      </c>
      <c r="EX400" s="73">
        <f t="shared" si="387"/>
        <v>4146.0130085650744</v>
      </c>
      <c r="EY400" s="92">
        <f t="shared" si="410"/>
        <v>0.7971407929798322</v>
      </c>
      <c r="EZ400" s="92">
        <f t="shared" si="410"/>
        <v>0.52213158564921802</v>
      </c>
      <c r="FB400" s="102">
        <f>IF('Renewable Diesel'!$BG409&lt;1,0,(((('Renewable Diesel'!$BG409-1)*'Renewable Diesel'!$BF409)*'RD Feedstock Breakdown'!EA400)*'Feedstock Conversion Rates'!$B$2))</f>
        <v>84.432947937407235</v>
      </c>
      <c r="FC400" s="102">
        <f>IF('Renewable Diesel'!$BG409&lt;1,0,(((('Renewable Diesel'!$BG409-1)*'Renewable Diesel'!$BF409)*'RD Feedstock Breakdown'!EB400)*'Feedstock Conversion Rates'!$B$3))</f>
        <v>269.11170527748902</v>
      </c>
      <c r="FD400" s="102">
        <f>IF('Renewable Diesel'!$BG409&lt;1,0,(((('Renewable Diesel'!$BG409-1)*'Renewable Diesel'!$BF409)*'RD Feedstock Breakdown'!EC400)*'Feedstock Conversion Rates'!$B$4))</f>
        <v>1365.5253154681079</v>
      </c>
      <c r="FE400" s="102">
        <f>IF('Renewable Diesel'!$BG409&lt;1,0,(((('Renewable Diesel'!$BG409-1)*'Renewable Diesel'!$BF409)*'RD Feedstock Breakdown'!ED400)*'Feedstock Conversion Rates'!$B$5))</f>
        <v>166.31186601310549</v>
      </c>
      <c r="FF400" s="102">
        <f>IF('Renewable Diesel'!$BG409&lt;1,0,(((('Renewable Diesel'!$BG409-1)*'Renewable Diesel'!$BF409)*'RD Feedstock Breakdown'!EE400)*'Feedstock Conversion Rates'!$B$6))</f>
        <v>219.38520967741374</v>
      </c>
      <c r="FG400" s="102">
        <f>IF('Renewable Diesel'!$BG409&lt;1,0,(((('Renewable Diesel'!$BG409-1)*'Renewable Diesel'!$BF409)*'RD Feedstock Breakdown'!EF400)*'Feedstock Conversion Rates'!$B$7))</f>
        <v>356.71370097114368</v>
      </c>
      <c r="FH400" s="102">
        <f>IF('Renewable Diesel'!$BG409&lt;1,0,(((('Renewable Diesel'!$BG409-1)*'Renewable Diesel'!$BF409)*'RD Feedstock Breakdown'!EG400)*'Feedstock Conversion Rates'!$B$8))</f>
        <v>71.047689535855639</v>
      </c>
      <c r="FI400" s="102">
        <f>IF('Renewable Diesel'!$BG409&lt;1,0,(((('Renewable Diesel'!$BG409-1)*'Renewable Diesel'!$BF409)*'RD Feedstock Breakdown'!EH400)*'Feedstock Conversion Rates'!$B$9))</f>
        <v>2.6704909336651768</v>
      </c>
      <c r="FJ400" s="102">
        <f t="shared" si="388"/>
        <v>2535.1989258141875</v>
      </c>
      <c r="GD400" s="91">
        <f>'Renewable Diesel'!BB409*0.32</f>
        <v>0</v>
      </c>
      <c r="GE400" s="91">
        <f>'Renewable Diesel'!BC409</f>
        <v>291.64918110102968</v>
      </c>
      <c r="GF400" s="91">
        <f>'Renewable Diesel'!BD409</f>
        <v>0</v>
      </c>
      <c r="GG400" s="91">
        <f t="shared" si="373"/>
        <v>291.64918110102968</v>
      </c>
      <c r="GH400" s="124">
        <v>1</v>
      </c>
      <c r="GI400" s="102">
        <f>$GG400*EA400*'Feedstock Conversion Rates'!$B$2</f>
        <v>77.520013714650119</v>
      </c>
      <c r="GJ400" s="102">
        <f>$GG400*EB400*'Feedstock Conversion Rates'!$B$3</f>
        <v>247.07822708439767</v>
      </c>
      <c r="GK400" s="102">
        <f>$GG400*EC400*'Feedstock Conversion Rates'!$B$4</f>
        <v>1253.7231468130626</v>
      </c>
      <c r="GL400" s="102">
        <f>$GG400*ED400*'Feedstock Conversion Rates'!$B$5</f>
        <v>152.69510835749335</v>
      </c>
      <c r="GM400" s="102">
        <f>$GG400*EE400*'Feedstock Conversion Rates'!$B$6</f>
        <v>201.42308042580885</v>
      </c>
      <c r="GN400" s="102">
        <f>$GG400*EF400*'Feedstock Conversion Rates'!$B$7</f>
        <v>327.50782327280911</v>
      </c>
      <c r="GO400" s="102">
        <f>$GG400*EG400*'Feedstock Conversion Rates'!$B$8</f>
        <v>65.230671222053047</v>
      </c>
      <c r="GP400" s="102">
        <f>$GG400*EH400*'Feedstock Conversion Rates'!B$9</f>
        <v>2.4518449119654226</v>
      </c>
      <c r="GQ400" s="102">
        <f t="shared" si="437"/>
        <v>2327.6299158022402</v>
      </c>
      <c r="GT400" s="103">
        <f t="shared" si="418"/>
        <v>3.3304269372191879E-2</v>
      </c>
      <c r="GU400" s="103">
        <f t="shared" si="416"/>
        <v>0.10615013383656385</v>
      </c>
      <c r="GV400" s="103">
        <f t="shared" si="416"/>
        <v>0.53862649654979822</v>
      </c>
      <c r="GW400" s="103">
        <f t="shared" si="416"/>
        <v>6.5601110950176747E-2</v>
      </c>
      <c r="GX400" s="103">
        <f t="shared" si="416"/>
        <v>8.6535698419388296E-2</v>
      </c>
      <c r="GY400" s="103">
        <f t="shared" si="416"/>
        <v>0.14070442257566979</v>
      </c>
      <c r="GZ400" s="103">
        <f t="shared" si="416"/>
        <v>2.8024502855545509E-2</v>
      </c>
      <c r="HA400" s="103">
        <f t="shared" si="416"/>
        <v>1.0533654406655836E-3</v>
      </c>
    </row>
    <row r="401" spans="1:209" x14ac:dyDescent="0.25">
      <c r="A401" s="96">
        <v>52628</v>
      </c>
      <c r="B401" s="104">
        <f t="shared" si="406"/>
        <v>44.25</v>
      </c>
      <c r="C401" s="104">
        <f t="shared" si="396"/>
        <v>49</v>
      </c>
      <c r="D401" s="104">
        <f t="shared" si="407"/>
        <v>2</v>
      </c>
      <c r="E401" s="104">
        <f>('Renewable Diesel'!B410*E$3*'Feedstock Conversion Rates'!$B$2)/12+26+13-100+27.5+39</f>
        <v>95.43</v>
      </c>
      <c r="F401" s="104">
        <f>('Renewable Diesel'!B410*'RD Feedstock Breakdown'!F$3*'Feedstock Conversion Rates'!B$8)/12+77+23-10-12-115.75+24+8</f>
        <v>48.15625</v>
      </c>
      <c r="G401" s="104">
        <f>('Renewable Diesel'!B410*'RD Feedstock Breakdown'!G$3*'Feedstock Conversion Rates'!B$7)/12+116.75-39-57.5-145-31.5+32+70-40+10+60</f>
        <v>151.90700000000004</v>
      </c>
      <c r="H401" s="104">
        <f>('Renewable Diesel'!B410*'RD Feedstock Breakdown'!H$3*'Feedstock Conversion Rates'!B$3)/12+67+10+12+3-235+20+47-20+25</f>
        <v>105.40022499999998</v>
      </c>
      <c r="I401" s="106">
        <f t="shared" si="370"/>
        <v>496.14347500000002</v>
      </c>
      <c r="J401" s="104">
        <f t="shared" si="417"/>
        <v>4</v>
      </c>
      <c r="K401" s="104"/>
      <c r="L401" s="104">
        <v>1</v>
      </c>
      <c r="M401" s="104">
        <f>('Renewable Diesel'!C410*'RD Feedstock Breakdown'!M$3*'Feedstock Conversion Rates'!B$2)/12</f>
        <v>7.7902500000000003</v>
      </c>
      <c r="N401" s="104">
        <f>('Renewable Diesel'!C410*'RD Feedstock Breakdown'!N$3*'Feedstock Conversion Rates'!B$8)/12</f>
        <v>3.671875</v>
      </c>
      <c r="O401" s="104">
        <f>('Renewable Diesel'!C410*'RD Feedstock Breakdown'!O$3*'Feedstock Conversion Rates'!B$7)/12</f>
        <v>11.9991</v>
      </c>
      <c r="P401" s="104">
        <f>('Renewable Diesel'!C410*'RD Feedstock Breakdown'!P$3*'Feedstock Conversion Rates'!B$3)/12</f>
        <v>10.4470425</v>
      </c>
      <c r="Q401" s="106">
        <f t="shared" si="379"/>
        <v>38.908267500000001</v>
      </c>
      <c r="R401" s="104">
        <f>('Renewable Diesel'!D410*'RD Feedstock Breakdown'!R$3*'Feedstock Conversion Rates'!B$7)/12</f>
        <v>2.2999999999999998</v>
      </c>
      <c r="S401" s="106">
        <f t="shared" si="414"/>
        <v>2.2999999999999998</v>
      </c>
      <c r="T401" s="104">
        <f t="shared" si="380"/>
        <v>0.82499999999999929</v>
      </c>
      <c r="U401" s="104"/>
      <c r="V401" s="104">
        <f>('Renewable Diesel'!E410*'RD Feedstock Breakdown'!V$3*'Feedstock Conversion Rates'!B$6)/12-20+25</f>
        <v>49.250150000000012</v>
      </c>
      <c r="W401" s="104">
        <f>('Renewable Diesel'!E410*'RD Feedstock Breakdown'!W$3*'Feedstock Conversion Rates'!B$8)/12-6</f>
        <v>16.1796875</v>
      </c>
      <c r="X401" s="106">
        <f t="shared" si="438"/>
        <v>66.254837500000008</v>
      </c>
      <c r="Y401" s="104">
        <f t="shared" si="381"/>
        <v>98</v>
      </c>
      <c r="Z401" s="104">
        <f>('Renewable Diesel'!F410*'RD Feedstock Breakdown'!Z$3*'Feedstock Conversion Rates'!B$6)/12-142+15+5+20+5+15</f>
        <v>77.460000000000008</v>
      </c>
      <c r="AA401" s="104">
        <f>('Renewable Diesel'!F410*'RD Feedstock Breakdown'!AA$3*'Feedstock Conversion Rates'!B$7)/12+24</f>
        <v>128.26666666666665</v>
      </c>
      <c r="AB401" s="106">
        <f t="shared" si="400"/>
        <v>303.72666666666669</v>
      </c>
      <c r="AC401" s="104">
        <f>('Renewable Diesel'!G410*'RD Feedstock Breakdown'!AC$3*'Feedstock Conversion Rates'!B$5)/12</f>
        <v>11.796875</v>
      </c>
      <c r="AD401" s="104">
        <f>('Renewable Diesel'!G410*'RD Feedstock Breakdown'!AD$3*'Feedstock Conversion Rates'!B$4)/12</f>
        <v>5.859375</v>
      </c>
      <c r="AE401" s="104">
        <f>('Renewable Diesel'!G410*'RD Feedstock Breakdown'!AE$3*'Feedstock Conversion Rates'!B$6)/12</f>
        <v>7.3281250000000009</v>
      </c>
      <c r="AF401" s="106">
        <f t="shared" si="366"/>
        <v>24.984375</v>
      </c>
      <c r="AG401" s="104">
        <f t="shared" si="383"/>
        <v>148</v>
      </c>
      <c r="AH401" s="104"/>
      <c r="AI401" s="104">
        <f>('Renewable Diesel'!H410*'RD Feedstock Breakdown'!AI$3*'Feedstock Conversion Rates'!B$6)/12-130-20+51-49</f>
        <v>0.51666666666667993</v>
      </c>
      <c r="AJ401" s="106">
        <f t="shared" si="413"/>
        <v>148.51666666666668</v>
      </c>
      <c r="AK401" s="104">
        <f>('Renewable Diesel'!J410*'RD Feedstock Breakdown'!AK$3*'Feedstock Conversion Rates'!B$4)/12</f>
        <v>95.8125</v>
      </c>
      <c r="AL401" s="106">
        <f t="shared" si="415"/>
        <v>95.8125</v>
      </c>
      <c r="AM401" s="104">
        <f>('Renewable Diesel'!K410*'RD Feedstock Breakdown'!AM$3*'Feedstock Conversion Rates'!B$4)/12+5+15-10+10</f>
        <v>78.59375</v>
      </c>
      <c r="AN401" s="104">
        <f>('Renewable Diesel'!K410*'RD Feedstock Breakdown'!AN$3*'Feedstock Conversion Rates'!B$6)/12-5-15+10-10</f>
        <v>4.4270833333333321</v>
      </c>
      <c r="AO401" s="106">
        <f t="shared" si="431"/>
        <v>83.020833333333329</v>
      </c>
      <c r="AP401" s="104">
        <f>('Renewable Diesel'!L410*'RD Feedstock Breakdown'!AP$3*'Feedstock Conversion Rates'!B$4)/12+15-10+15</f>
        <v>78.59375</v>
      </c>
      <c r="AQ401" s="104">
        <f>('Renewable Diesel'!L410*'RD Feedstock Breakdown'!AQ$3*'Feedstock Conversion Rates'!B$6)/12-15+10-15</f>
        <v>4.4270833333333321</v>
      </c>
      <c r="AR401" s="106">
        <f t="shared" si="420"/>
        <v>83.020833333333329</v>
      </c>
      <c r="AS401" s="104">
        <f>('Renewable Diesel'!M410*'RD Feedstock Breakdown'!AS$3*'Feedstock Conversion Rates'!B$4)/12</f>
        <v>456.25</v>
      </c>
      <c r="AT401" s="104">
        <f>('Renewable Diesel'!M410*'RD Feedstock Breakdown'!AT$3*'Feedstock Conversion Rates'!B$5)/12</f>
        <v>0</v>
      </c>
      <c r="AU401" s="106">
        <f t="shared" si="369"/>
        <v>456.25</v>
      </c>
      <c r="AV401" s="104">
        <f>'Renewable Diesel'!N410*'RD Feedstock Breakdown'!$AV$3*'Feedstock Conversion Rates'!$B$4/12-15-10+25+25-22+25</f>
        <v>106.74999999999999</v>
      </c>
      <c r="AW401" s="104">
        <f>'Renewable Diesel'!N410*'RD Feedstock Breakdown'!$AW$3*'Feedstock Conversion Rates'!$B$7/12+15+10-25-25+22-25</f>
        <v>13.400000000000006</v>
      </c>
      <c r="AX401" s="106">
        <f t="shared" si="408"/>
        <v>120.14999999999999</v>
      </c>
      <c r="AY401" s="104">
        <f>('Renewable Diesel'!O410*'RD Feedstock Breakdown'!AY$3*'Feedstock Conversion Rates'!B$4)/12</f>
        <v>210.9375</v>
      </c>
      <c r="AZ401" s="104">
        <f>('Renewable Diesel'!O410*'RD Feedstock Breakdown'!AZ$3*'Feedstock Conversion Rates'!B$3)/12</f>
        <v>25.03125</v>
      </c>
      <c r="BA401" s="106">
        <f t="shared" si="382"/>
        <v>235.96875</v>
      </c>
      <c r="BB401" s="104">
        <f>('Renewable Diesel'!Q410*'RD Feedstock Breakdown'!BB$3*'Feedstock Conversion Rates'!B$4)/12</f>
        <v>11.156249999999998</v>
      </c>
      <c r="BC401" s="104">
        <f>('Renewable Diesel'!Q410*'RD Feedstock Breakdown'!BC$3*'Feedstock Conversion Rates'!B$3)/12</f>
        <v>1.4017500000000001</v>
      </c>
      <c r="BD401" s="104">
        <f>('Renewable Diesel'!Q410*'RD Feedstock Breakdown'!BD$3*'Feedstock Conversion Rates'!B$6)/12</f>
        <v>0.8207500000000002</v>
      </c>
      <c r="BE401" s="106">
        <f t="shared" si="440"/>
        <v>13.378749999999998</v>
      </c>
      <c r="BF401" s="104">
        <f>('Renewable Diesel'!R410*'RD Feedstock Breakdown'!BF$3*'Feedstock Conversion Rates'!B$4)/12</f>
        <v>62.5</v>
      </c>
      <c r="BG401" s="106">
        <f t="shared" si="425"/>
        <v>62.5</v>
      </c>
      <c r="BH401" s="104">
        <f>('Renewable Diesel'!T410*'RD Feedstock Breakdown'!BH$3*'Feedstock Conversion Rates'!B$7)/12</f>
        <v>27.599999999999998</v>
      </c>
      <c r="BI401" s="106">
        <f t="shared" si="412"/>
        <v>27.599999999999998</v>
      </c>
      <c r="BJ401" s="104">
        <f>('Renewable Diesel'!W410*'RD Feedstock Breakdown'!BJ$3*'Feedstock Conversion Rates'!B$4)/12</f>
        <v>7.5</v>
      </c>
      <c r="BK401" s="104">
        <f>('Renewable Diesel'!W410*'RD Feedstock Breakdown'!BK$3*'Feedstock Conversion Rates'!B$3)/12</f>
        <v>1.335</v>
      </c>
      <c r="BL401" s="104">
        <f>('Renewable Diesel'!W410*'RD Feedstock Breakdown'!BL$3*'Feedstock Conversion Rates'!B$6)/12</f>
        <v>3.1266666666666669</v>
      </c>
      <c r="BM401" s="104">
        <f>('Renewable Diesel'!W410*'RD Feedstock Breakdown'!BM$3*'Feedstock Conversion Rates'!B$7)/12</f>
        <v>1.5333333333333332</v>
      </c>
      <c r="BN401" s="106">
        <f t="shared" si="374"/>
        <v>13.495000000000001</v>
      </c>
      <c r="BO401" s="104">
        <f>('Renewable Diesel'!P410*'Feedstock Conversion Rates'!B$4)/12</f>
        <v>31.25</v>
      </c>
      <c r="BP401" s="106">
        <f t="shared" si="367"/>
        <v>31.25</v>
      </c>
      <c r="BQ401" s="104">
        <f>('Renewable Diesel'!$S410*'RD Feedstock Breakdown'!BQ$3*'Feedstock Conversion Rates'!B$4)/12+10+15-15</f>
        <v>38.125</v>
      </c>
      <c r="BR401" s="104">
        <f>('Renewable Diesel'!$S410*'RD Feedstock Breakdown'!BR$3*'Feedstock Conversion Rates'!B$7)/12-10-15+15</f>
        <v>1.5</v>
      </c>
      <c r="BS401" s="106">
        <f t="shared" si="385"/>
        <v>39.625</v>
      </c>
      <c r="BT401" s="106"/>
      <c r="BU401" s="104">
        <f>('Renewable Diesel'!Y410*'Feedstock Conversion Rates'!B$7)/12</f>
        <v>2.6833333333333331</v>
      </c>
      <c r="BV401" s="106">
        <f t="shared" ref="BV401:BV464" si="442">BU401</f>
        <v>2.6833333333333331</v>
      </c>
      <c r="BW401" s="104">
        <f>('Renewable Diesel'!$Z410*'RD Feedstock Breakdown'!BW$3*'Feedstock Conversion Rates'!$B$4)/12-250+180</f>
        <v>1.875</v>
      </c>
      <c r="BX401" s="104">
        <f>('Renewable Diesel'!$Z410*'RD Feedstock Breakdown'!BX$3*'Feedstock Conversion Rates'!$B$5)/12</f>
        <v>7.2354166666666666</v>
      </c>
      <c r="BY401" s="104">
        <f>('Renewable Diesel'!$Z410*'RD Feedstock Breakdown'!BY$3*'Feedstock Conversion Rates'!$B$7)/12</f>
        <v>61.716666666666661</v>
      </c>
      <c r="BZ401" s="104">
        <f>('Renewable Diesel'!$Z410*'RD Feedstock Breakdown'!BZ$3*'Feedstock Conversion Rates'!$B$3)/12+250-180</f>
        <v>85.35250000000002</v>
      </c>
      <c r="CA401" s="106">
        <f t="shared" si="392"/>
        <v>156.17958333333334</v>
      </c>
      <c r="CB401" s="104">
        <f>('Renewable Diesel'!AA410*'Feedstock Conversion Rates'!B$4)/12</f>
        <v>191.25</v>
      </c>
      <c r="CC401" s="106">
        <f t="shared" si="376"/>
        <v>191.25</v>
      </c>
      <c r="CD401" s="104">
        <f>('Renewable Diesel'!$AB410*'RD Feedstock Breakdown'!CD$3*'Feedstock Conversion Rates'!$B$6)/12-15-5</f>
        <v>12.830000000000005</v>
      </c>
      <c r="CE401" s="104">
        <f>('Renewable Diesel'!$AB410*'RD Feedstock Breakdown'!CE$3*'Feedstock Conversion Rates'!$B$4)/12+15+5</f>
        <v>31.25</v>
      </c>
      <c r="CF401" s="106">
        <f t="shared" si="372"/>
        <v>44.080000000000005</v>
      </c>
      <c r="CG401" s="104">
        <f>('Renewable Diesel'!AD410*'Feedstock Conversion Rates'!B$4)/12</f>
        <v>112.5</v>
      </c>
      <c r="CH401" s="106">
        <f t="shared" si="439"/>
        <v>112.5</v>
      </c>
      <c r="CI401" s="104">
        <f>('Renewable Diesel'!$AE410*'RD Feedstock Breakdown'!CI$3*'Feedstock Conversion Rates'!$B$5)/12</f>
        <v>0.34604166666666664</v>
      </c>
      <c r="CJ401" s="104">
        <f>('Renewable Diesel'!$AE410*'RD Feedstock Breakdown'!CJ$3*'Feedstock Conversion Rates'!$B$4)/12</f>
        <v>0.34375</v>
      </c>
      <c r="CK401" s="106">
        <f t="shared" si="368"/>
        <v>0.68979166666666658</v>
      </c>
      <c r="CL401" s="104">
        <f>(((CL$3*'Renewable Diesel'!$AF410)*'Feedstock Conversion Rates'!$B$3)/12)</f>
        <v>91.78125</v>
      </c>
      <c r="CM401" s="104">
        <f>(((CM$3*'Renewable Diesel'!$AF410)*'Feedstock Conversion Rates'!$B$6)/12)</f>
        <v>53.739583333333336</v>
      </c>
      <c r="CN401" s="104">
        <f>(((CN$3*'Renewable Diesel'!$AF410)*'Feedstock Conversion Rates'!$B$4)/12)</f>
        <v>42.96875</v>
      </c>
      <c r="CO401" s="106">
        <f t="shared" si="441"/>
        <v>188.48958333333334</v>
      </c>
      <c r="CP401" s="104">
        <f>('Renewable Diesel'!$AG410*'RD Feedstock Breakdown'!CP$3*'Feedstock Conversion Rates'!$B$3)/12</f>
        <v>6.0075000000000003</v>
      </c>
      <c r="CQ401" s="104">
        <f>('Renewable Diesel'!$AG410*'RD Feedstock Breakdown'!CQ$3*'Feedstock Conversion Rates'!$B$6)/12</f>
        <v>3.5175000000000001</v>
      </c>
      <c r="CR401" s="104">
        <f>('Renewable Diesel'!$AG410*'RD Feedstock Breakdown'!CR$3*'Feedstock Conversion Rates'!$B$4)/12</f>
        <v>2.8125</v>
      </c>
      <c r="CS401" s="106">
        <f t="shared" si="397"/>
        <v>12.3375</v>
      </c>
      <c r="CT401" s="104">
        <f>('Renewable Diesel'!AI410*'Feedstock Conversion Rates'!$B$4*'RD Feedstock Breakdown'!$CT$3)/12</f>
        <v>29.375</v>
      </c>
      <c r="CU401" s="106">
        <f t="shared" si="364"/>
        <v>29.375</v>
      </c>
      <c r="CV401" s="104">
        <f>('Renewable Diesel'!AN410*'Feedstock Conversion Rates'!$B$3*'RD Feedstock Breakdown'!$CV$3)/12</f>
        <v>0.50062499999999999</v>
      </c>
      <c r="CW401" s="106">
        <f t="shared" si="419"/>
        <v>0.50062499999999999</v>
      </c>
      <c r="CX401" s="104">
        <f>('Renewable Diesel'!AO410*'RD Feedstock Breakdown'!$CX$3*'Feedstock Conversion Rates'!$B$3)/12</f>
        <v>6.3412499999999996</v>
      </c>
      <c r="CY401" s="104">
        <f>('Renewable Diesel'!AO410*'RD Feedstock Breakdown'!$CY$3*'Feedstock Conversion Rates'!$B$6)/12</f>
        <v>7.4258333333333342</v>
      </c>
      <c r="CZ401" s="106">
        <f t="shared" si="398"/>
        <v>13.767083333333334</v>
      </c>
      <c r="DA401" s="104">
        <f>('Renewable Diesel'!$AP410*'RD Feedstock Breakdown'!DA$3*'Feedstock Conversion Rates'!$B$3)/12</f>
        <v>6.3412499999999996</v>
      </c>
      <c r="DB401" s="104">
        <f>('Renewable Diesel'!$AP410*'RD Feedstock Breakdown'!DB$3*'Feedstock Conversion Rates'!$B$8)/12</f>
        <v>7.421875</v>
      </c>
      <c r="DC401" s="106">
        <f t="shared" si="422"/>
        <v>13.763124999999999</v>
      </c>
      <c r="DD401" s="104">
        <f>('Renewable Diesel'!AQ410*$DD$3*'Feedstock Conversion Rates'!$B$14)/12</f>
        <v>3.1041666666666665</v>
      </c>
      <c r="DE401" s="106">
        <f t="shared" si="423"/>
        <v>3.1041666666666665</v>
      </c>
      <c r="DF401" s="104">
        <f>('Renewable Diesel'!AR410*'Feedstock Conversion Rates'!$B$4*$DF$3)/12</f>
        <v>75</v>
      </c>
      <c r="DG401" s="106">
        <f t="shared" si="399"/>
        <v>75</v>
      </c>
      <c r="DH401" s="104">
        <f>('Renewable Diesel'!AS410*'Feedstock Conversion Rates'!$B$4*$DH$3)/12</f>
        <v>75</v>
      </c>
      <c r="DI401" s="106">
        <f t="shared" si="411"/>
        <v>75</v>
      </c>
      <c r="DJ401" s="104">
        <f>('Renewable Diesel'!AT410*'Feedstock Conversion Rates'!$B$4*0.25)/12</f>
        <v>8.59375</v>
      </c>
      <c r="DK401" s="104">
        <f>('Renewable Diesel'!$AT410*'RD Feedstock Breakdown'!DK$3*'Feedstock Conversion Rates'!$B$3)/12*0.5</f>
        <v>9.1781249999999996</v>
      </c>
      <c r="DL401" s="104">
        <f>('Renewable Diesel'!$AT410*'RD Feedstock Breakdown'!$DL$3*'Feedstock Conversion Rates'!$B$6)/12</f>
        <v>10.747916666666669</v>
      </c>
      <c r="DM401" s="104">
        <f>('Renewable Diesel'!$AT410*'RD Feedstock Breakdown'!$DM$3*'Feedstock Conversion Rates'!$B$8)/12</f>
        <v>10.7421875</v>
      </c>
      <c r="DN401" s="106">
        <f t="shared" si="375"/>
        <v>39.26197916666667</v>
      </c>
      <c r="DP401" s="104">
        <f t="shared" si="426"/>
        <v>103.22025000000001</v>
      </c>
      <c r="DQ401" s="104">
        <f t="shared" si="427"/>
        <v>349.11776750000007</v>
      </c>
      <c r="DR401" s="104">
        <f t="shared" si="432"/>
        <v>1891.953125</v>
      </c>
      <c r="DS401" s="104">
        <f t="shared" si="365"/>
        <v>228.90125</v>
      </c>
      <c r="DT401" s="104">
        <f t="shared" si="428"/>
        <v>243.03923333333344</v>
      </c>
      <c r="DU401" s="104">
        <f t="shared" si="429"/>
        <v>402.90610000000009</v>
      </c>
      <c r="DV401" s="104">
        <f t="shared" si="433"/>
        <v>78.75</v>
      </c>
      <c r="DW401" s="104">
        <f t="shared" si="430"/>
        <v>3</v>
      </c>
      <c r="DX401" s="106">
        <f t="shared" si="434"/>
        <v>3300.8877258333337</v>
      </c>
      <c r="DY401" s="109">
        <f t="shared" si="421"/>
        <v>-5.631051180898794E-13</v>
      </c>
      <c r="EA401" s="110">
        <f t="shared" si="424"/>
        <v>3.1270451640078516E-2</v>
      </c>
      <c r="EB401" s="110">
        <f t="shared" si="424"/>
        <v>0.10576481131658687</v>
      </c>
      <c r="EC401" s="110">
        <f t="shared" si="424"/>
        <v>0.57316494293133291</v>
      </c>
      <c r="ED401" s="110">
        <f t="shared" si="424"/>
        <v>6.9345360706629972E-2</v>
      </c>
      <c r="EE401" s="110">
        <f t="shared" si="424"/>
        <v>7.3628445896921982E-2</v>
      </c>
      <c r="EF401" s="110">
        <f t="shared" si="424"/>
        <v>0.1220599225010852</v>
      </c>
      <c r="EG401" s="110">
        <f t="shared" si="384"/>
        <v>2.3857218585075921E-2</v>
      </c>
      <c r="EH401" s="111">
        <f t="shared" si="435"/>
        <v>9.0884642228860647E-4</v>
      </c>
      <c r="EI401" s="110">
        <f t="shared" si="409"/>
        <v>0.99909115357771139</v>
      </c>
      <c r="EK401" s="132">
        <f>(EA401*'Renewable Diesel'!BF410*'Feedstock Conversion Rates'!B$2)+FB401</f>
        <v>552.33508942919036</v>
      </c>
      <c r="EL401" s="132">
        <f>(EB401*'Renewable Diesel'!BF410*'Feedstock Conversion Rates'!B$3)+FC401</f>
        <v>1760.4482779764498</v>
      </c>
      <c r="EM401" s="132">
        <f>(EC401*'Renewable Diesel'!BF410*'Feedstock Conversion Rates'!B$4)+FD401</f>
        <v>8932.8581514888356</v>
      </c>
      <c r="EN401" s="132">
        <f>(ED401*'Renewable Diesel'!BF410*'Feedstock Conversion Rates'!B$5)+FE401</f>
        <v>1087.962479476409</v>
      </c>
      <c r="EO401" s="132">
        <f>(EE401*'Renewable Diesel'!BF410*'Feedstock Conversion Rates'!B$6)+FF401</f>
        <v>1435.1524181821314</v>
      </c>
      <c r="EP401" s="132">
        <f>(EF401*'Renewable Diesel'!BF410*'Feedstock Conversion Rates'!B$7)+FG401</f>
        <v>2333.5143298866601</v>
      </c>
      <c r="EQ401" s="132">
        <f>(EG401*'Renewable Diesel'!BF410*'Feedstock Conversion Rates'!B$8)+FH401</f>
        <v>464.77273282718477</v>
      </c>
      <c r="ER401" s="132">
        <f>(EH401*'Renewable Diesel'!BF410*'Feedstock Conversion Rates'!B$9)+FI401</f>
        <v>17.46955287832974</v>
      </c>
      <c r="ES401" s="132">
        <f t="shared" si="436"/>
        <v>16584.513032145191</v>
      </c>
      <c r="ET401" s="133">
        <f>ES401/'Renewable Diesel'!BF410</f>
        <v>16.943604704762304</v>
      </c>
      <c r="EW401" s="73">
        <f t="shared" si="386"/>
        <v>15321.54727217726</v>
      </c>
      <c r="EX401" s="73">
        <f t="shared" si="387"/>
        <v>10035.69738529711</v>
      </c>
      <c r="EY401" s="92">
        <f t="shared" si="410"/>
        <v>0.92384667807128451</v>
      </c>
      <c r="EZ401" s="92">
        <f t="shared" si="410"/>
        <v>0.60512463440109832</v>
      </c>
      <c r="FB401" s="102">
        <f>IF('Renewable Diesel'!$BG410&lt;1,0,(((('Renewable Diesel'!$BG410-1)*'Renewable Diesel'!$BF410)*'RD Feedstock Breakdown'!EA401)*'Feedstock Conversion Rates'!$B$2))</f>
        <v>292.16941717990971</v>
      </c>
      <c r="FC401" s="102">
        <f>IF('Renewable Diesel'!$BG410&lt;1,0,(((('Renewable Diesel'!$BG410-1)*'Renewable Diesel'!$BF410)*'RD Feedstock Breakdown'!EB401)*'Feedstock Conversion Rates'!$B$3))</f>
        <v>931.22663614094881</v>
      </c>
      <c r="FD401" s="102">
        <f>IF('Renewable Diesel'!$BG410&lt;1,0,(((('Renewable Diesel'!$BG410-1)*'Renewable Diesel'!$BF410)*'RD Feedstock Breakdown'!EC401)*'Feedstock Conversion Rates'!$B$4))</f>
        <v>4725.225700522672</v>
      </c>
      <c r="FE401" s="102">
        <f>IF('Renewable Diesel'!$BG410&lt;1,0,(((('Renewable Diesel'!$BG410-1)*'Renewable Diesel'!$BF410)*'RD Feedstock Breakdown'!ED401)*'Feedstock Conversion Rates'!$B$5))</f>
        <v>575.50094068934391</v>
      </c>
      <c r="FF401" s="102">
        <f>IF('Renewable Diesel'!$BG410&lt;1,0,(((('Renewable Diesel'!$BG410-1)*'Renewable Diesel'!$BF410)*'RD Feedstock Breakdown'!EE401)*'Feedstock Conversion Rates'!$B$6))</f>
        <v>759.15445824371602</v>
      </c>
      <c r="FG401" s="102">
        <f>IF('Renewable Diesel'!$BG410&lt;1,0,(((('Renewable Diesel'!$BG410-1)*'Renewable Diesel'!$BF410)*'RD Feedstock Breakdown'!EF401)*'Feedstock Conversion Rates'!$B$7))</f>
        <v>1234.3621377532593</v>
      </c>
      <c r="FH401" s="102">
        <f>IF('Renewable Diesel'!$BG410&lt;1,0,(((('Renewable Diesel'!$BG410-1)*'Renewable Diesel'!$BF410)*'RD Feedstock Breakdown'!EG401)*'Feedstock Conversion Rates'!$B$8))</f>
        <v>245.85144248497204</v>
      </c>
      <c r="FI401" s="102">
        <f>IF('Renewable Diesel'!$BG410&lt;1,0,(((('Renewable Diesel'!$BG410-1)*'Renewable Diesel'!$BF410)*'RD Feedstock Breakdown'!EH401)*'Feedstock Conversion Rates'!$B$9))</f>
        <v>9.240892314355774</v>
      </c>
      <c r="FJ401" s="102">
        <f t="shared" si="388"/>
        <v>8772.7316253291792</v>
      </c>
      <c r="GD401" s="91">
        <f>'Renewable Diesel'!BB410*0.32</f>
        <v>0</v>
      </c>
      <c r="GE401" s="91">
        <f>'Renewable Diesel'!BC410</f>
        <v>553.56640873780202</v>
      </c>
      <c r="GF401" s="91">
        <f>'Renewable Diesel'!BD410</f>
        <v>0</v>
      </c>
      <c r="GG401" s="91">
        <f t="shared" si="373"/>
        <v>553.56640873780202</v>
      </c>
      <c r="GH401" s="124">
        <v>1</v>
      </c>
      <c r="GI401" s="102">
        <f>$GG401*EA401*'Feedstock Conversion Rates'!$B$2</f>
        <v>147.1373087190627</v>
      </c>
      <c r="GJ401" s="102">
        <f>$GG401*EB401*'Feedstock Conversion Rates'!$B$3</f>
        <v>468.96825263854743</v>
      </c>
      <c r="GK401" s="102">
        <f>$GG401*EC401*'Feedstock Conversion Rates'!$B$4</f>
        <v>2379.6364430467888</v>
      </c>
      <c r="GL401" s="102">
        <f>$GG401*ED401*'Feedstock Conversion Rates'!$B$5</f>
        <v>289.82383028192464</v>
      </c>
      <c r="GM401" s="102">
        <f>$GG401*EE401*'Feedstock Conversion Rates'!$B$6</f>
        <v>382.31223844786166</v>
      </c>
      <c r="GN401" s="102">
        <f>$GG401*EF401*'Feedstock Conversion Rates'!$B$7</f>
        <v>621.62811113760949</v>
      </c>
      <c r="GO401" s="102">
        <f>$GG401*EG401*'Feedstock Conversion Rates'!$B$8</f>
        <v>123.81145138699897</v>
      </c>
      <c r="GP401" s="102">
        <f>$GG401*EH401*'Feedstock Conversion Rates'!B$9</f>
        <v>4.6537383632446589</v>
      </c>
      <c r="GQ401" s="102">
        <f t="shared" si="437"/>
        <v>4417.9713740220377</v>
      </c>
      <c r="GT401" s="103">
        <f t="shared" si="418"/>
        <v>3.3304269372191893E-2</v>
      </c>
      <c r="GU401" s="103">
        <f t="shared" si="416"/>
        <v>0.1061501338365639</v>
      </c>
      <c r="GV401" s="103">
        <f t="shared" si="416"/>
        <v>0.53862649654979822</v>
      </c>
      <c r="GW401" s="103">
        <f t="shared" si="416"/>
        <v>6.5601110950176761E-2</v>
      </c>
      <c r="GX401" s="103">
        <f t="shared" si="416"/>
        <v>8.653569841938831E-2</v>
      </c>
      <c r="GY401" s="103">
        <f t="shared" si="416"/>
        <v>0.14070442257566981</v>
      </c>
      <c r="GZ401" s="103">
        <f t="shared" si="416"/>
        <v>2.8024502855545523E-2</v>
      </c>
      <c r="HA401" s="103">
        <f t="shared" si="416"/>
        <v>1.053365440665584E-3</v>
      </c>
    </row>
    <row r="402" spans="1:209" x14ac:dyDescent="0.25">
      <c r="A402" s="96">
        <v>52657</v>
      </c>
      <c r="B402" s="104">
        <f t="shared" si="406"/>
        <v>44.25</v>
      </c>
      <c r="C402" s="104">
        <f t="shared" si="396"/>
        <v>49</v>
      </c>
      <c r="D402" s="104">
        <f t="shared" si="407"/>
        <v>2</v>
      </c>
      <c r="E402" s="104">
        <f>('Renewable Diesel'!B411*E$3*'Feedstock Conversion Rates'!$B$2)/12+26+13-100+27.5+39</f>
        <v>95.43</v>
      </c>
      <c r="F402" s="104">
        <f>('Renewable Diesel'!B411*'RD Feedstock Breakdown'!F$3*'Feedstock Conversion Rates'!B$8)/12+77+23-10-12-115.75+24+8</f>
        <v>48.15625</v>
      </c>
      <c r="G402" s="104">
        <f>('Renewable Diesel'!B411*'RD Feedstock Breakdown'!G$3*'Feedstock Conversion Rates'!B$7)/12+116.75-39-57.5-145-31.5+32+70-40+10+60</f>
        <v>151.90700000000004</v>
      </c>
      <c r="H402" s="104">
        <f>('Renewable Diesel'!B411*'RD Feedstock Breakdown'!H$3*'Feedstock Conversion Rates'!B$3)/12+67+10+12+3-235+20+47-20+25</f>
        <v>105.40022499999998</v>
      </c>
      <c r="I402" s="106">
        <f t="shared" si="370"/>
        <v>496.14347500000002</v>
      </c>
      <c r="J402" s="104">
        <f t="shared" si="417"/>
        <v>4</v>
      </c>
      <c r="K402" s="104"/>
      <c r="L402" s="104">
        <v>1</v>
      </c>
      <c r="M402" s="104">
        <f>('Renewable Diesel'!C411*'RD Feedstock Breakdown'!M$3*'Feedstock Conversion Rates'!B$2)/12</f>
        <v>7.7902500000000003</v>
      </c>
      <c r="N402" s="104">
        <f>('Renewable Diesel'!C411*'RD Feedstock Breakdown'!N$3*'Feedstock Conversion Rates'!B$8)/12</f>
        <v>3.671875</v>
      </c>
      <c r="O402" s="104">
        <f>('Renewable Diesel'!C411*'RD Feedstock Breakdown'!O$3*'Feedstock Conversion Rates'!B$7)/12</f>
        <v>11.9991</v>
      </c>
      <c r="P402" s="104">
        <f>('Renewable Diesel'!C411*'RD Feedstock Breakdown'!P$3*'Feedstock Conversion Rates'!B$3)/12</f>
        <v>10.4470425</v>
      </c>
      <c r="Q402" s="106">
        <f t="shared" si="379"/>
        <v>38.908267500000001</v>
      </c>
      <c r="R402" s="104">
        <f>('Renewable Diesel'!D411*'RD Feedstock Breakdown'!R$3*'Feedstock Conversion Rates'!B$7)/12</f>
        <v>2.2999999999999998</v>
      </c>
      <c r="S402" s="106">
        <f t="shared" si="414"/>
        <v>2.2999999999999998</v>
      </c>
      <c r="T402" s="104">
        <f t="shared" si="380"/>
        <v>0.82499999999999929</v>
      </c>
      <c r="U402" s="104"/>
      <c r="V402" s="104">
        <f>('Renewable Diesel'!E411*'RD Feedstock Breakdown'!V$3*'Feedstock Conversion Rates'!B$6)/12-20+25</f>
        <v>49.250150000000012</v>
      </c>
      <c r="W402" s="104">
        <f>('Renewable Diesel'!E411*'RD Feedstock Breakdown'!W$3*'Feedstock Conversion Rates'!B$8)/12-6</f>
        <v>16.1796875</v>
      </c>
      <c r="X402" s="106">
        <f t="shared" si="438"/>
        <v>66.254837500000008</v>
      </c>
      <c r="Y402" s="104">
        <f t="shared" si="381"/>
        <v>98</v>
      </c>
      <c r="Z402" s="104">
        <f>('Renewable Diesel'!F411*'RD Feedstock Breakdown'!Z$3*'Feedstock Conversion Rates'!B$6)/12-142+15+5+20+5+15</f>
        <v>77.460000000000008</v>
      </c>
      <c r="AA402" s="104">
        <f>('Renewable Diesel'!F411*'RD Feedstock Breakdown'!AA$3*'Feedstock Conversion Rates'!B$7)/12+24</f>
        <v>128.26666666666665</v>
      </c>
      <c r="AB402" s="106">
        <f t="shared" si="400"/>
        <v>303.72666666666669</v>
      </c>
      <c r="AC402" s="104">
        <f>('Renewable Diesel'!G411*'RD Feedstock Breakdown'!AC$3*'Feedstock Conversion Rates'!B$5)/12</f>
        <v>11.796875</v>
      </c>
      <c r="AD402" s="104">
        <f>('Renewable Diesel'!G411*'RD Feedstock Breakdown'!AD$3*'Feedstock Conversion Rates'!B$4)/12</f>
        <v>5.859375</v>
      </c>
      <c r="AE402" s="104">
        <f>('Renewable Diesel'!G411*'RD Feedstock Breakdown'!AE$3*'Feedstock Conversion Rates'!B$6)/12</f>
        <v>7.3281250000000009</v>
      </c>
      <c r="AF402" s="106">
        <f t="shared" si="366"/>
        <v>24.984375</v>
      </c>
      <c r="AG402" s="104">
        <f t="shared" si="383"/>
        <v>148</v>
      </c>
      <c r="AH402" s="104"/>
      <c r="AI402" s="104">
        <f>('Renewable Diesel'!H411*'RD Feedstock Breakdown'!AI$3*'Feedstock Conversion Rates'!B$6)/12-130-20+51-49</f>
        <v>0.51666666666667993</v>
      </c>
      <c r="AJ402" s="106">
        <f t="shared" si="413"/>
        <v>148.51666666666668</v>
      </c>
      <c r="AK402" s="104">
        <f>('Renewable Diesel'!J411*'RD Feedstock Breakdown'!AK$3*'Feedstock Conversion Rates'!B$4)/12</f>
        <v>95.8125</v>
      </c>
      <c r="AL402" s="106">
        <f t="shared" si="415"/>
        <v>95.8125</v>
      </c>
      <c r="AM402" s="104">
        <f>('Renewable Diesel'!K411*'RD Feedstock Breakdown'!AM$3*'Feedstock Conversion Rates'!B$4)/12+5+15-10+10</f>
        <v>78.59375</v>
      </c>
      <c r="AN402" s="104">
        <f>('Renewable Diesel'!K411*'RD Feedstock Breakdown'!AN$3*'Feedstock Conversion Rates'!B$6)/12-5-15+10-10</f>
        <v>4.4270833333333321</v>
      </c>
      <c r="AO402" s="106">
        <f t="shared" si="431"/>
        <v>83.020833333333329</v>
      </c>
      <c r="AP402" s="104">
        <f>('Renewable Diesel'!L411*'RD Feedstock Breakdown'!AP$3*'Feedstock Conversion Rates'!B$4)/12+15-10+15</f>
        <v>78.59375</v>
      </c>
      <c r="AQ402" s="104">
        <f>('Renewable Diesel'!L411*'RD Feedstock Breakdown'!AQ$3*'Feedstock Conversion Rates'!B$6)/12-15+10-15</f>
        <v>4.4270833333333321</v>
      </c>
      <c r="AR402" s="106">
        <f t="shared" si="420"/>
        <v>83.020833333333329</v>
      </c>
      <c r="AS402" s="104">
        <f>('Renewable Diesel'!M411*'RD Feedstock Breakdown'!AS$3*'Feedstock Conversion Rates'!B$4)/12</f>
        <v>456.25</v>
      </c>
      <c r="AT402" s="104">
        <f>('Renewable Diesel'!M411*'RD Feedstock Breakdown'!AT$3*'Feedstock Conversion Rates'!B$5)/12</f>
        <v>0</v>
      </c>
      <c r="AU402" s="106">
        <f t="shared" si="369"/>
        <v>456.25</v>
      </c>
      <c r="AV402" s="104">
        <f>'Renewable Diesel'!N411*'RD Feedstock Breakdown'!$AV$3*'Feedstock Conversion Rates'!$B$4/12-15-10+25+25-22+25</f>
        <v>106.74999999999999</v>
      </c>
      <c r="AW402" s="104">
        <f>'Renewable Diesel'!N411*'RD Feedstock Breakdown'!$AW$3*'Feedstock Conversion Rates'!$B$7/12+15+10-25-25+22-25</f>
        <v>13.400000000000006</v>
      </c>
      <c r="AX402" s="106">
        <f t="shared" si="408"/>
        <v>120.14999999999999</v>
      </c>
      <c r="AY402" s="104">
        <f>('Renewable Diesel'!O411*'RD Feedstock Breakdown'!AY$3*'Feedstock Conversion Rates'!B$4)/12</f>
        <v>210.9375</v>
      </c>
      <c r="AZ402" s="104">
        <f>('Renewable Diesel'!O411*'RD Feedstock Breakdown'!AZ$3*'Feedstock Conversion Rates'!B$3)/12</f>
        <v>25.03125</v>
      </c>
      <c r="BA402" s="106">
        <f t="shared" si="382"/>
        <v>235.96875</v>
      </c>
      <c r="BB402" s="104">
        <f>('Renewable Diesel'!Q411*'RD Feedstock Breakdown'!BB$3*'Feedstock Conversion Rates'!B$4)/12</f>
        <v>11.156249999999998</v>
      </c>
      <c r="BC402" s="104">
        <f>('Renewable Diesel'!Q411*'RD Feedstock Breakdown'!BC$3*'Feedstock Conversion Rates'!B$3)/12</f>
        <v>1.4017500000000001</v>
      </c>
      <c r="BD402" s="104">
        <f>('Renewable Diesel'!Q411*'RD Feedstock Breakdown'!BD$3*'Feedstock Conversion Rates'!B$6)/12</f>
        <v>0.8207500000000002</v>
      </c>
      <c r="BE402" s="106">
        <f t="shared" si="440"/>
        <v>13.378749999999998</v>
      </c>
      <c r="BF402" s="104">
        <f>('Renewable Diesel'!R411*'RD Feedstock Breakdown'!BF$3*'Feedstock Conversion Rates'!B$4)/12</f>
        <v>62.5</v>
      </c>
      <c r="BG402" s="106">
        <f t="shared" si="425"/>
        <v>62.5</v>
      </c>
      <c r="BH402" s="104">
        <f>('Renewable Diesel'!T411*'RD Feedstock Breakdown'!BH$3*'Feedstock Conversion Rates'!B$7)/12</f>
        <v>27.599999999999998</v>
      </c>
      <c r="BI402" s="106">
        <f t="shared" si="412"/>
        <v>27.599999999999998</v>
      </c>
      <c r="BJ402" s="104">
        <f>('Renewable Diesel'!W411*'RD Feedstock Breakdown'!BJ$3*'Feedstock Conversion Rates'!B$4)/12</f>
        <v>7.5</v>
      </c>
      <c r="BK402" s="104">
        <f>('Renewable Diesel'!W411*'RD Feedstock Breakdown'!BK$3*'Feedstock Conversion Rates'!B$3)/12</f>
        <v>1.335</v>
      </c>
      <c r="BL402" s="104">
        <f>('Renewable Diesel'!W411*'RD Feedstock Breakdown'!BL$3*'Feedstock Conversion Rates'!B$6)/12</f>
        <v>3.1266666666666669</v>
      </c>
      <c r="BM402" s="104">
        <f>('Renewable Diesel'!W411*'RD Feedstock Breakdown'!BM$3*'Feedstock Conversion Rates'!B$7)/12</f>
        <v>1.5333333333333332</v>
      </c>
      <c r="BN402" s="106">
        <f t="shared" si="374"/>
        <v>13.495000000000001</v>
      </c>
      <c r="BO402" s="104">
        <f>('Renewable Diesel'!P411*'Feedstock Conversion Rates'!B$4)/12</f>
        <v>31.25</v>
      </c>
      <c r="BP402" s="106">
        <f t="shared" si="367"/>
        <v>31.25</v>
      </c>
      <c r="BQ402" s="104">
        <f>('Renewable Diesel'!$S411*'RD Feedstock Breakdown'!BQ$3*'Feedstock Conversion Rates'!B$4)/12+10+15-15</f>
        <v>38.125</v>
      </c>
      <c r="BR402" s="104">
        <f>('Renewable Diesel'!$S411*'RD Feedstock Breakdown'!BR$3*'Feedstock Conversion Rates'!B$7)/12-10-15+15</f>
        <v>1.5</v>
      </c>
      <c r="BS402" s="106">
        <f t="shared" si="385"/>
        <v>39.625</v>
      </c>
      <c r="BT402" s="106"/>
      <c r="BU402" s="104">
        <f>('Renewable Diesel'!Y411*'Feedstock Conversion Rates'!B$7)/12</f>
        <v>2.6833333333333331</v>
      </c>
      <c r="BV402" s="106">
        <f t="shared" si="442"/>
        <v>2.6833333333333331</v>
      </c>
      <c r="BW402" s="104">
        <f>('Renewable Diesel'!$Z411*'RD Feedstock Breakdown'!BW$3*'Feedstock Conversion Rates'!$B$4)/12-250+180</f>
        <v>1.875</v>
      </c>
      <c r="BX402" s="104">
        <f>('Renewable Diesel'!$Z411*'RD Feedstock Breakdown'!BX$3*'Feedstock Conversion Rates'!$B$5)/12</f>
        <v>7.2354166666666666</v>
      </c>
      <c r="BY402" s="104">
        <f>('Renewable Diesel'!$Z411*'RD Feedstock Breakdown'!BY$3*'Feedstock Conversion Rates'!$B$7)/12</f>
        <v>61.716666666666661</v>
      </c>
      <c r="BZ402" s="104">
        <f>('Renewable Diesel'!$Z411*'RD Feedstock Breakdown'!BZ$3*'Feedstock Conversion Rates'!$B$3)/12+250-180</f>
        <v>85.35250000000002</v>
      </c>
      <c r="CA402" s="106">
        <f t="shared" si="392"/>
        <v>156.17958333333334</v>
      </c>
      <c r="CB402" s="104">
        <f>('Renewable Diesel'!AA411*'Feedstock Conversion Rates'!B$4)/12</f>
        <v>191.25</v>
      </c>
      <c r="CC402" s="106">
        <f t="shared" si="376"/>
        <v>191.25</v>
      </c>
      <c r="CD402" s="104">
        <f>('Renewable Diesel'!$AB411*'RD Feedstock Breakdown'!CD$3*'Feedstock Conversion Rates'!$B$6)/12-15-5</f>
        <v>12.830000000000005</v>
      </c>
      <c r="CE402" s="104">
        <f>('Renewable Diesel'!$AB411*'RD Feedstock Breakdown'!CE$3*'Feedstock Conversion Rates'!$B$4)/12+15+5</f>
        <v>31.25</v>
      </c>
      <c r="CF402" s="106">
        <f t="shared" si="372"/>
        <v>44.080000000000005</v>
      </c>
      <c r="CG402" s="104">
        <f>('Renewable Diesel'!AD411*'Feedstock Conversion Rates'!B$4)/12</f>
        <v>112.5</v>
      </c>
      <c r="CH402" s="106">
        <f t="shared" si="439"/>
        <v>112.5</v>
      </c>
      <c r="CI402" s="104">
        <f>('Renewable Diesel'!$AE411*'RD Feedstock Breakdown'!CI$3*'Feedstock Conversion Rates'!$B$5)/12</f>
        <v>0.34604166666666664</v>
      </c>
      <c r="CJ402" s="104">
        <f>('Renewable Diesel'!$AE411*'RD Feedstock Breakdown'!CJ$3*'Feedstock Conversion Rates'!$B$4)/12</f>
        <v>0.34375</v>
      </c>
      <c r="CK402" s="106">
        <f t="shared" si="368"/>
        <v>0.68979166666666658</v>
      </c>
      <c r="CL402" s="104">
        <f>(((CL$3*'Renewable Diesel'!$AF411)*'Feedstock Conversion Rates'!$B$3)/12)</f>
        <v>91.78125</v>
      </c>
      <c r="CM402" s="104">
        <f>(((CM$3*'Renewable Diesel'!$AF411)*'Feedstock Conversion Rates'!$B$6)/12)</f>
        <v>53.739583333333336</v>
      </c>
      <c r="CN402" s="104">
        <f>(((CN$3*'Renewable Diesel'!$AF411)*'Feedstock Conversion Rates'!$B$4)/12)</f>
        <v>42.96875</v>
      </c>
      <c r="CO402" s="106">
        <f t="shared" si="441"/>
        <v>188.48958333333334</v>
      </c>
      <c r="CP402" s="104">
        <f>('Renewable Diesel'!$AG411*'RD Feedstock Breakdown'!CP$3*'Feedstock Conversion Rates'!$B$3)/12</f>
        <v>6.0075000000000003</v>
      </c>
      <c r="CQ402" s="104">
        <f>('Renewable Diesel'!$AG411*'RD Feedstock Breakdown'!CQ$3*'Feedstock Conversion Rates'!$B$6)/12</f>
        <v>3.5175000000000001</v>
      </c>
      <c r="CR402" s="104">
        <f>('Renewable Diesel'!$AG411*'RD Feedstock Breakdown'!CR$3*'Feedstock Conversion Rates'!$B$4)/12</f>
        <v>2.8125</v>
      </c>
      <c r="CS402" s="106">
        <f t="shared" si="397"/>
        <v>12.3375</v>
      </c>
      <c r="CT402" s="104">
        <f>('Renewable Diesel'!AI411*'Feedstock Conversion Rates'!$B$4*'RD Feedstock Breakdown'!$CT$3)/12</f>
        <v>29.375</v>
      </c>
      <c r="CU402" s="106">
        <f t="shared" si="364"/>
        <v>29.375</v>
      </c>
      <c r="CV402" s="104">
        <f>('Renewable Diesel'!AN411*'Feedstock Conversion Rates'!$B$3*'RD Feedstock Breakdown'!$CV$3)/12</f>
        <v>0.50062499999999999</v>
      </c>
      <c r="CW402" s="106">
        <f t="shared" si="419"/>
        <v>0.50062499999999999</v>
      </c>
      <c r="CX402" s="104">
        <f>('Renewable Diesel'!AO411*'RD Feedstock Breakdown'!$CX$3*'Feedstock Conversion Rates'!$B$3)/12</f>
        <v>6.3412499999999996</v>
      </c>
      <c r="CY402" s="104">
        <f>('Renewable Diesel'!AO411*'RD Feedstock Breakdown'!$CY$3*'Feedstock Conversion Rates'!$B$6)/12</f>
        <v>7.4258333333333342</v>
      </c>
      <c r="CZ402" s="106">
        <f t="shared" si="398"/>
        <v>13.767083333333334</v>
      </c>
      <c r="DA402" s="104">
        <f>('Renewable Diesel'!$AP411*'RD Feedstock Breakdown'!DA$3*'Feedstock Conversion Rates'!$B$3)/12</f>
        <v>6.3412499999999996</v>
      </c>
      <c r="DB402" s="104">
        <f>('Renewable Diesel'!$AP411*'RD Feedstock Breakdown'!DB$3*'Feedstock Conversion Rates'!$B$8)/12</f>
        <v>7.421875</v>
      </c>
      <c r="DC402" s="106">
        <f t="shared" si="422"/>
        <v>13.763124999999999</v>
      </c>
      <c r="DD402" s="104">
        <f>('Renewable Diesel'!AQ411*$DD$3*'Feedstock Conversion Rates'!$B$14)/12</f>
        <v>3.1041666666666665</v>
      </c>
      <c r="DE402" s="106">
        <f t="shared" si="423"/>
        <v>3.1041666666666665</v>
      </c>
      <c r="DF402" s="104">
        <f>('Renewable Diesel'!AR411*'Feedstock Conversion Rates'!$B$4*$DF$3)/12</f>
        <v>75</v>
      </c>
      <c r="DG402" s="106">
        <f t="shared" si="399"/>
        <v>75</v>
      </c>
      <c r="DH402" s="104">
        <f>('Renewable Diesel'!AS411*'Feedstock Conversion Rates'!$B$4*$DH$3)/12</f>
        <v>75</v>
      </c>
      <c r="DI402" s="106">
        <f t="shared" si="411"/>
        <v>75</v>
      </c>
      <c r="DJ402" s="104">
        <f>('Renewable Diesel'!AT411*'Feedstock Conversion Rates'!$B$4*0.25)/12</f>
        <v>8.59375</v>
      </c>
      <c r="DK402" s="104">
        <f>('Renewable Diesel'!$AT411*'RD Feedstock Breakdown'!DK$3*'Feedstock Conversion Rates'!$B$3)/12*0.5</f>
        <v>9.1781249999999996</v>
      </c>
      <c r="DL402" s="104">
        <f>('Renewable Diesel'!$AT411*'RD Feedstock Breakdown'!$DL$3*'Feedstock Conversion Rates'!$B$6)/12</f>
        <v>10.747916666666669</v>
      </c>
      <c r="DM402" s="104">
        <f>('Renewable Diesel'!$AT411*'RD Feedstock Breakdown'!$DM$3*'Feedstock Conversion Rates'!$B$8)/12</f>
        <v>10.7421875</v>
      </c>
      <c r="DN402" s="106">
        <f t="shared" si="375"/>
        <v>39.26197916666667</v>
      </c>
      <c r="DP402" s="104">
        <f t="shared" si="426"/>
        <v>103.22025000000001</v>
      </c>
      <c r="DQ402" s="104">
        <f t="shared" si="427"/>
        <v>349.11776750000007</v>
      </c>
      <c r="DR402" s="104">
        <f t="shared" si="432"/>
        <v>1891.953125</v>
      </c>
      <c r="DS402" s="104">
        <f t="shared" si="365"/>
        <v>228.90125</v>
      </c>
      <c r="DT402" s="104">
        <f t="shared" si="428"/>
        <v>243.03923333333344</v>
      </c>
      <c r="DU402" s="104">
        <f t="shared" si="429"/>
        <v>402.90610000000009</v>
      </c>
      <c r="DV402" s="104">
        <f t="shared" si="433"/>
        <v>78.75</v>
      </c>
      <c r="DW402" s="104">
        <f t="shared" si="430"/>
        <v>3</v>
      </c>
      <c r="DX402" s="106">
        <f t="shared" si="434"/>
        <v>3300.8877258333337</v>
      </c>
      <c r="DY402" s="109">
        <f t="shared" si="421"/>
        <v>-5.631051180898794E-13</v>
      </c>
      <c r="EA402" s="110">
        <f t="shared" si="424"/>
        <v>3.1270451640078516E-2</v>
      </c>
      <c r="EB402" s="110">
        <f t="shared" si="424"/>
        <v>0.10576481131658687</v>
      </c>
      <c r="EC402" s="110">
        <f t="shared" si="424"/>
        <v>0.57316494293133291</v>
      </c>
      <c r="ED402" s="110">
        <f t="shared" si="424"/>
        <v>6.9345360706629972E-2</v>
      </c>
      <c r="EE402" s="110">
        <f t="shared" si="424"/>
        <v>7.3628445896921982E-2</v>
      </c>
      <c r="EF402" s="110">
        <f t="shared" si="424"/>
        <v>0.1220599225010852</v>
      </c>
      <c r="EG402" s="110">
        <f t="shared" si="384"/>
        <v>2.3857218585075921E-2</v>
      </c>
      <c r="EH402" s="111">
        <f t="shared" si="435"/>
        <v>9.0884642228860647E-4</v>
      </c>
      <c r="EI402" s="110">
        <f t="shared" si="409"/>
        <v>0.99909115357771139</v>
      </c>
      <c r="EK402" s="132">
        <f>(EA402*'Renewable Diesel'!BF411*'Feedstock Conversion Rates'!B$2)+FB402</f>
        <v>275.67938413877772</v>
      </c>
      <c r="EL402" s="132">
        <f>(EB402*'Renewable Diesel'!BF411*'Feedstock Conversion Rates'!B$3)+FC402</f>
        <v>878.66823305083108</v>
      </c>
      <c r="EM402" s="132">
        <f>(EC402*'Renewable Diesel'!BF411*'Feedstock Conversion Rates'!B$4)+FD402</f>
        <v>4458.5341053498469</v>
      </c>
      <c r="EN402" s="132">
        <f>(ED402*'Renewable Diesel'!BF411*'Feedstock Conversion Rates'!B$5)+FE402</f>
        <v>543.01968505769742</v>
      </c>
      <c r="EO402" s="132">
        <f>(EE402*'Renewable Diesel'!BF411*'Feedstock Conversion Rates'!B$6)+FF402</f>
        <v>716.3078036533999</v>
      </c>
      <c r="EP402" s="132">
        <f>(EF402*'Renewable Diesel'!BF411*'Feedstock Conversion Rates'!B$7)+FG402</f>
        <v>1164.6947761493591</v>
      </c>
      <c r="EQ402" s="132">
        <f>(EG402*'Renewable Diesel'!BF411*'Feedstock Conversion Rates'!B$8)+FH402</f>
        <v>231.97559453032198</v>
      </c>
      <c r="ER402" s="132">
        <f>(EH402*'Renewable Diesel'!BF411*'Feedstock Conversion Rates'!B$9)+FI402</f>
        <v>8.719336632504799</v>
      </c>
      <c r="ES402" s="132">
        <f t="shared" si="436"/>
        <v>8277.5989185627386</v>
      </c>
      <c r="ET402" s="133">
        <f>ES402/'Renewable Diesel'!BF411</f>
        <v>12.376233269673836</v>
      </c>
      <c r="EW402" s="73">
        <f t="shared" si="386"/>
        <v>6777.8112209651881</v>
      </c>
      <c r="EX402" s="73">
        <f t="shared" si="387"/>
        <v>4439.5034744171617</v>
      </c>
      <c r="EY402" s="92">
        <f t="shared" si="410"/>
        <v>0.81881367865816301</v>
      </c>
      <c r="EZ402" s="92">
        <f t="shared" si="410"/>
        <v>0.53632744447927472</v>
      </c>
      <c r="FB402" s="102">
        <f>IF('Renewable Diesel'!$BG411&lt;1,0,(((('Renewable Diesel'!$BG411-1)*'Renewable Diesel'!$BF411)*'RD Feedstock Breakdown'!EA402)*'Feedstock Conversion Rates'!$B$2))</f>
        <v>97.905086108882571</v>
      </c>
      <c r="FC402" s="102">
        <f>IF('Renewable Diesel'!$BG411&lt;1,0,(((('Renewable Diesel'!$BG411-1)*'Renewable Diesel'!$BF411)*'RD Feedstock Breakdown'!EB402)*'Feedstock Conversion Rates'!$B$3))</f>
        <v>312.05122315085981</v>
      </c>
      <c r="FD402" s="102">
        <f>IF('Renewable Diesel'!$BG411&lt;1,0,(((('Renewable Diesel'!$BG411-1)*'Renewable Diesel'!$BF411)*'RD Feedstock Breakdown'!EC402)*'Feedstock Conversion Rates'!$B$4))</f>
        <v>1583.4088097205145</v>
      </c>
      <c r="FE402" s="102">
        <f>IF('Renewable Diesel'!$BG411&lt;1,0,(((('Renewable Diesel'!$BG411-1)*'Renewable Diesel'!$BF411)*'RD Feedstock Breakdown'!ED402)*'Feedstock Conversion Rates'!$B$5))</f>
        <v>192.84862083712824</v>
      </c>
      <c r="FF402" s="102">
        <f>IF('Renewable Diesel'!$BG411&lt;1,0,(((('Renewable Diesel'!$BG411-1)*'Renewable Diesel'!$BF411)*'RD Feedstock Breakdown'!EE402)*'Feedstock Conversion Rates'!$B$6))</f>
        <v>254.39035790157948</v>
      </c>
      <c r="FG402" s="102">
        <f>IF('Renewable Diesel'!$BG411&lt;1,0,(((('Renewable Diesel'!$BG411-1)*'Renewable Diesel'!$BF411)*'RD Feedstock Breakdown'!EF402)*'Feedstock Conversion Rates'!$B$7))</f>
        <v>413.63101091398971</v>
      </c>
      <c r="FH402" s="102">
        <f>IF('Renewable Diesel'!$BG411&lt;1,0,(((('Renewable Diesel'!$BG411-1)*'Renewable Diesel'!$BF411)*'RD Feedstock Breakdown'!EG402)*'Feedstock Conversion Rates'!$B$8))</f>
        <v>82.384073181973349</v>
      </c>
      <c r="FI402" s="102">
        <f>IF('Renewable Diesel'!$BG411&lt;1,0,(((('Renewable Diesel'!$BG411-1)*'Renewable Diesel'!$BF411)*'RD Feedstock Breakdown'!EH402)*'Feedstock Conversion Rates'!$B$9))</f>
        <v>3.0965950046811566</v>
      </c>
      <c r="FJ402" s="102">
        <f t="shared" si="388"/>
        <v>2939.7157768196089</v>
      </c>
      <c r="GD402" s="91">
        <f>'Renewable Diesel'!BB411*0.32</f>
        <v>0</v>
      </c>
      <c r="GE402" s="91">
        <f>'Renewable Diesel'!BC411</f>
        <v>220.94220227381268</v>
      </c>
      <c r="GF402" s="91">
        <f>'Renewable Diesel'!BD411</f>
        <v>0</v>
      </c>
      <c r="GG402" s="91">
        <f t="shared" si="373"/>
        <v>220.94220227381268</v>
      </c>
      <c r="GH402" s="124">
        <v>1</v>
      </c>
      <c r="GI402" s="102">
        <f>$GG402*EA402*'Feedstock Conversion Rates'!$B$2</f>
        <v>58.726180837373491</v>
      </c>
      <c r="GJ402" s="102">
        <f>$GG402*EB402*'Feedstock Conversion Rates'!$B$3</f>
        <v>187.17696178624135</v>
      </c>
      <c r="GK402" s="102">
        <f>$GG402*EC402*'Feedstock Conversion Rates'!$B$4</f>
        <v>949.77243568044639</v>
      </c>
      <c r="GL402" s="102">
        <f>$GG402*ED402*'Feedstock Conversion Rates'!$B$5</f>
        <v>115.6759411755603</v>
      </c>
      <c r="GM402" s="102">
        <f>$GG402*EE402*'Feedstock Conversion Rates'!$B$6</f>
        <v>152.59037865303429</v>
      </c>
      <c r="GN402" s="102">
        <f>$GG402*EF402*'Feedstock Conversion Rates'!$B$7</f>
        <v>248.10733039819812</v>
      </c>
      <c r="GO402" s="102">
        <f>$GG402*EG402*'Feedstock Conversion Rates'!$B$8</f>
        <v>49.416247634197568</v>
      </c>
      <c r="GP402" s="102">
        <f>$GG402*EH402*'Feedstock Conversion Rates'!B$9</f>
        <v>1.8574234031393626</v>
      </c>
      <c r="GQ402" s="102">
        <f t="shared" si="437"/>
        <v>1763.3228995681909</v>
      </c>
      <c r="GT402" s="103">
        <f t="shared" si="418"/>
        <v>3.3304269372191886E-2</v>
      </c>
      <c r="GU402" s="103">
        <f t="shared" si="416"/>
        <v>0.10615013383656387</v>
      </c>
      <c r="GV402" s="103">
        <f t="shared" si="416"/>
        <v>0.53862649654979833</v>
      </c>
      <c r="GW402" s="103">
        <f t="shared" si="416"/>
        <v>6.5601110950176761E-2</v>
      </c>
      <c r="GX402" s="103">
        <f t="shared" si="416"/>
        <v>8.653569841938831E-2</v>
      </c>
      <c r="GY402" s="103">
        <f t="shared" si="416"/>
        <v>0.14070442257566981</v>
      </c>
      <c r="GZ402" s="103">
        <f t="shared" si="416"/>
        <v>2.802450285554552E-2</v>
      </c>
      <c r="HA402" s="103">
        <f t="shared" si="416"/>
        <v>1.053365440665584E-3</v>
      </c>
    </row>
    <row r="403" spans="1:209" x14ac:dyDescent="0.25">
      <c r="A403" s="96">
        <v>52688</v>
      </c>
      <c r="B403" s="104">
        <f t="shared" si="406"/>
        <v>44.25</v>
      </c>
      <c r="C403" s="104">
        <f t="shared" si="396"/>
        <v>49</v>
      </c>
      <c r="D403" s="104">
        <f t="shared" si="407"/>
        <v>2</v>
      </c>
      <c r="E403" s="104">
        <f>('Renewable Diesel'!B412*E$3*'Feedstock Conversion Rates'!$B$2)/12+26+13-100+27.5+39</f>
        <v>95.43</v>
      </c>
      <c r="F403" s="104">
        <f>('Renewable Diesel'!B412*'RD Feedstock Breakdown'!F$3*'Feedstock Conversion Rates'!B$8)/12+77+23-10-12-115.75+24+8</f>
        <v>48.15625</v>
      </c>
      <c r="G403" s="104">
        <f>('Renewable Diesel'!B412*'RD Feedstock Breakdown'!G$3*'Feedstock Conversion Rates'!B$7)/12+116.75-39-57.5-145-31.5+32+70-40+10+60</f>
        <v>151.90700000000004</v>
      </c>
      <c r="H403" s="104">
        <f>('Renewable Diesel'!B412*'RD Feedstock Breakdown'!H$3*'Feedstock Conversion Rates'!B$3)/12+67+10+12+3-235+20+47-20+25</f>
        <v>105.40022499999998</v>
      </c>
      <c r="I403" s="106">
        <f t="shared" si="370"/>
        <v>496.14347500000002</v>
      </c>
      <c r="J403" s="104">
        <f t="shared" si="417"/>
        <v>4</v>
      </c>
      <c r="K403" s="104"/>
      <c r="L403" s="104">
        <v>1</v>
      </c>
      <c r="M403" s="104">
        <f>('Renewable Diesel'!C412*'RD Feedstock Breakdown'!M$3*'Feedstock Conversion Rates'!B$2)/12</f>
        <v>7.7902500000000003</v>
      </c>
      <c r="N403" s="104">
        <f>('Renewable Diesel'!C412*'RD Feedstock Breakdown'!N$3*'Feedstock Conversion Rates'!B$8)/12</f>
        <v>3.671875</v>
      </c>
      <c r="O403" s="104">
        <f>('Renewable Diesel'!C412*'RD Feedstock Breakdown'!O$3*'Feedstock Conversion Rates'!B$7)/12</f>
        <v>11.9991</v>
      </c>
      <c r="P403" s="104">
        <f>('Renewable Diesel'!C412*'RD Feedstock Breakdown'!P$3*'Feedstock Conversion Rates'!B$3)/12</f>
        <v>10.4470425</v>
      </c>
      <c r="Q403" s="106">
        <f t="shared" si="379"/>
        <v>38.908267500000001</v>
      </c>
      <c r="R403" s="104">
        <f>('Renewable Diesel'!D412*'RD Feedstock Breakdown'!R$3*'Feedstock Conversion Rates'!B$7)/12</f>
        <v>2.2999999999999998</v>
      </c>
      <c r="S403" s="106">
        <f t="shared" si="414"/>
        <v>2.2999999999999998</v>
      </c>
      <c r="T403" s="104">
        <f t="shared" si="380"/>
        <v>0.82499999999999929</v>
      </c>
      <c r="U403" s="104"/>
      <c r="V403" s="104">
        <f>('Renewable Diesel'!E412*'RD Feedstock Breakdown'!V$3*'Feedstock Conversion Rates'!B$6)/12-20+25</f>
        <v>49.250150000000012</v>
      </c>
      <c r="W403" s="104">
        <f>('Renewable Diesel'!E412*'RD Feedstock Breakdown'!W$3*'Feedstock Conversion Rates'!B$8)/12-6</f>
        <v>16.1796875</v>
      </c>
      <c r="X403" s="106">
        <f t="shared" si="438"/>
        <v>66.254837500000008</v>
      </c>
      <c r="Y403" s="104">
        <f t="shared" si="381"/>
        <v>98</v>
      </c>
      <c r="Z403" s="104">
        <f>('Renewable Diesel'!F412*'RD Feedstock Breakdown'!Z$3*'Feedstock Conversion Rates'!B$6)/12-142+15+5+20+5+15</f>
        <v>77.460000000000008</v>
      </c>
      <c r="AA403" s="104">
        <f>('Renewable Diesel'!F412*'RD Feedstock Breakdown'!AA$3*'Feedstock Conversion Rates'!B$7)/12+24</f>
        <v>128.26666666666665</v>
      </c>
      <c r="AB403" s="106">
        <f t="shared" si="400"/>
        <v>303.72666666666669</v>
      </c>
      <c r="AC403" s="104">
        <f>('Renewable Diesel'!G412*'RD Feedstock Breakdown'!AC$3*'Feedstock Conversion Rates'!B$5)/12</f>
        <v>11.796875</v>
      </c>
      <c r="AD403" s="104">
        <f>('Renewable Diesel'!G412*'RD Feedstock Breakdown'!AD$3*'Feedstock Conversion Rates'!B$4)/12</f>
        <v>5.859375</v>
      </c>
      <c r="AE403" s="104">
        <f>('Renewable Diesel'!G412*'RD Feedstock Breakdown'!AE$3*'Feedstock Conversion Rates'!B$6)/12</f>
        <v>7.3281250000000009</v>
      </c>
      <c r="AF403" s="106">
        <f t="shared" si="366"/>
        <v>24.984375</v>
      </c>
      <c r="AG403" s="104">
        <f t="shared" si="383"/>
        <v>148</v>
      </c>
      <c r="AH403" s="104"/>
      <c r="AI403" s="104">
        <f>('Renewable Diesel'!H412*'RD Feedstock Breakdown'!AI$3*'Feedstock Conversion Rates'!B$6)/12-130-20+51-49</f>
        <v>0.51666666666667993</v>
      </c>
      <c r="AJ403" s="106">
        <f t="shared" si="413"/>
        <v>148.51666666666668</v>
      </c>
      <c r="AK403" s="104">
        <f>('Renewable Diesel'!J412*'RD Feedstock Breakdown'!AK$3*'Feedstock Conversion Rates'!B$4)/12</f>
        <v>95.8125</v>
      </c>
      <c r="AL403" s="106">
        <f t="shared" si="415"/>
        <v>95.8125</v>
      </c>
      <c r="AM403" s="104">
        <f>('Renewable Diesel'!K412*'RD Feedstock Breakdown'!AM$3*'Feedstock Conversion Rates'!B$4)/12+5+15-10+10</f>
        <v>78.59375</v>
      </c>
      <c r="AN403" s="104">
        <f>('Renewable Diesel'!K412*'RD Feedstock Breakdown'!AN$3*'Feedstock Conversion Rates'!B$6)/12-5-15+10-10</f>
        <v>4.4270833333333321</v>
      </c>
      <c r="AO403" s="106">
        <f t="shared" si="431"/>
        <v>83.020833333333329</v>
      </c>
      <c r="AP403" s="104">
        <f>('Renewable Diesel'!L412*'RD Feedstock Breakdown'!AP$3*'Feedstock Conversion Rates'!B$4)/12+15-10+15</f>
        <v>78.59375</v>
      </c>
      <c r="AQ403" s="104">
        <f>('Renewable Diesel'!L412*'RD Feedstock Breakdown'!AQ$3*'Feedstock Conversion Rates'!B$6)/12-15+10-15</f>
        <v>4.4270833333333321</v>
      </c>
      <c r="AR403" s="106">
        <f t="shared" si="420"/>
        <v>83.020833333333329</v>
      </c>
      <c r="AS403" s="104">
        <f>('Renewable Diesel'!M412*'RD Feedstock Breakdown'!AS$3*'Feedstock Conversion Rates'!B$4)/12</f>
        <v>456.25</v>
      </c>
      <c r="AT403" s="104">
        <f>('Renewable Diesel'!M412*'RD Feedstock Breakdown'!AT$3*'Feedstock Conversion Rates'!B$5)/12</f>
        <v>0</v>
      </c>
      <c r="AU403" s="106">
        <f t="shared" si="369"/>
        <v>456.25</v>
      </c>
      <c r="AV403" s="104">
        <f>'Renewable Diesel'!N412*'RD Feedstock Breakdown'!$AV$3*'Feedstock Conversion Rates'!$B$4/12-15-10+25+25-22+25</f>
        <v>106.74999999999999</v>
      </c>
      <c r="AW403" s="104">
        <f>'Renewable Diesel'!N412*'RD Feedstock Breakdown'!$AW$3*'Feedstock Conversion Rates'!$B$7/12+15+10-25-25+22-25</f>
        <v>13.400000000000006</v>
      </c>
      <c r="AX403" s="106">
        <f t="shared" si="408"/>
        <v>120.14999999999999</v>
      </c>
      <c r="AY403" s="104">
        <f>('Renewable Diesel'!O412*'RD Feedstock Breakdown'!AY$3*'Feedstock Conversion Rates'!B$4)/12</f>
        <v>210.9375</v>
      </c>
      <c r="AZ403" s="104">
        <f>('Renewable Diesel'!O412*'RD Feedstock Breakdown'!AZ$3*'Feedstock Conversion Rates'!B$3)/12</f>
        <v>25.03125</v>
      </c>
      <c r="BA403" s="106">
        <f t="shared" si="382"/>
        <v>235.96875</v>
      </c>
      <c r="BB403" s="104">
        <f>('Renewable Diesel'!Q412*'RD Feedstock Breakdown'!BB$3*'Feedstock Conversion Rates'!B$4)/12</f>
        <v>11.156249999999998</v>
      </c>
      <c r="BC403" s="104">
        <f>('Renewable Diesel'!Q412*'RD Feedstock Breakdown'!BC$3*'Feedstock Conversion Rates'!B$3)/12</f>
        <v>1.4017500000000001</v>
      </c>
      <c r="BD403" s="104">
        <f>('Renewable Diesel'!Q412*'RD Feedstock Breakdown'!BD$3*'Feedstock Conversion Rates'!B$6)/12</f>
        <v>0.8207500000000002</v>
      </c>
      <c r="BE403" s="106">
        <f t="shared" si="440"/>
        <v>13.378749999999998</v>
      </c>
      <c r="BF403" s="104">
        <f>('Renewable Diesel'!R412*'RD Feedstock Breakdown'!BF$3*'Feedstock Conversion Rates'!B$4)/12</f>
        <v>62.5</v>
      </c>
      <c r="BG403" s="106">
        <f t="shared" si="425"/>
        <v>62.5</v>
      </c>
      <c r="BH403" s="104">
        <f>('Renewable Diesel'!T412*'RD Feedstock Breakdown'!BH$3*'Feedstock Conversion Rates'!B$7)/12</f>
        <v>27.599999999999998</v>
      </c>
      <c r="BI403" s="106">
        <f t="shared" si="412"/>
        <v>27.599999999999998</v>
      </c>
      <c r="BJ403" s="104">
        <f>('Renewable Diesel'!W412*'RD Feedstock Breakdown'!BJ$3*'Feedstock Conversion Rates'!B$4)/12</f>
        <v>7.5</v>
      </c>
      <c r="BK403" s="104">
        <f>('Renewable Diesel'!W412*'RD Feedstock Breakdown'!BK$3*'Feedstock Conversion Rates'!B$3)/12</f>
        <v>1.335</v>
      </c>
      <c r="BL403" s="104">
        <f>('Renewable Diesel'!W412*'RD Feedstock Breakdown'!BL$3*'Feedstock Conversion Rates'!B$6)/12</f>
        <v>3.1266666666666669</v>
      </c>
      <c r="BM403" s="104">
        <f>('Renewable Diesel'!W412*'RD Feedstock Breakdown'!BM$3*'Feedstock Conversion Rates'!B$7)/12</f>
        <v>1.5333333333333332</v>
      </c>
      <c r="BN403" s="106">
        <f t="shared" si="374"/>
        <v>13.495000000000001</v>
      </c>
      <c r="BO403" s="104">
        <f>('Renewable Diesel'!P412*'Feedstock Conversion Rates'!B$4)/12</f>
        <v>31.25</v>
      </c>
      <c r="BP403" s="106">
        <f t="shared" si="367"/>
        <v>31.25</v>
      </c>
      <c r="BQ403" s="104">
        <f>('Renewable Diesel'!$S412*'RD Feedstock Breakdown'!BQ$3*'Feedstock Conversion Rates'!B$4)/12+10+15-15</f>
        <v>38.125</v>
      </c>
      <c r="BR403" s="104">
        <f>('Renewable Diesel'!$S412*'RD Feedstock Breakdown'!BR$3*'Feedstock Conversion Rates'!B$7)/12-10-15+15</f>
        <v>1.5</v>
      </c>
      <c r="BS403" s="106">
        <f t="shared" si="385"/>
        <v>39.625</v>
      </c>
      <c r="BT403" s="106"/>
      <c r="BU403" s="104">
        <f>('Renewable Diesel'!Y412*'Feedstock Conversion Rates'!B$7)/12</f>
        <v>2.6833333333333331</v>
      </c>
      <c r="BV403" s="106">
        <f t="shared" si="442"/>
        <v>2.6833333333333331</v>
      </c>
      <c r="BW403" s="104">
        <f>('Renewable Diesel'!$Z412*'RD Feedstock Breakdown'!BW$3*'Feedstock Conversion Rates'!$B$4)/12-250+180</f>
        <v>1.875</v>
      </c>
      <c r="BX403" s="104">
        <f>('Renewable Diesel'!$Z412*'RD Feedstock Breakdown'!BX$3*'Feedstock Conversion Rates'!$B$5)/12</f>
        <v>7.2354166666666666</v>
      </c>
      <c r="BY403" s="104">
        <f>('Renewable Diesel'!$Z412*'RD Feedstock Breakdown'!BY$3*'Feedstock Conversion Rates'!$B$7)/12</f>
        <v>61.716666666666661</v>
      </c>
      <c r="BZ403" s="104">
        <f>('Renewable Diesel'!$Z412*'RD Feedstock Breakdown'!BZ$3*'Feedstock Conversion Rates'!$B$3)/12+250-180</f>
        <v>85.35250000000002</v>
      </c>
      <c r="CA403" s="106">
        <f t="shared" si="392"/>
        <v>156.17958333333334</v>
      </c>
      <c r="CB403" s="104">
        <f>('Renewable Diesel'!AA412*'Feedstock Conversion Rates'!B$4)/12</f>
        <v>191.25</v>
      </c>
      <c r="CC403" s="106">
        <f t="shared" si="376"/>
        <v>191.25</v>
      </c>
      <c r="CD403" s="104">
        <f>('Renewable Diesel'!$AB412*'RD Feedstock Breakdown'!CD$3*'Feedstock Conversion Rates'!$B$6)/12-15-5</f>
        <v>12.830000000000005</v>
      </c>
      <c r="CE403" s="104">
        <f>('Renewable Diesel'!$AB412*'RD Feedstock Breakdown'!CE$3*'Feedstock Conversion Rates'!$B$4)/12+15+5</f>
        <v>31.25</v>
      </c>
      <c r="CF403" s="106">
        <f t="shared" si="372"/>
        <v>44.080000000000005</v>
      </c>
      <c r="CG403" s="104">
        <f>('Renewable Diesel'!AD412*'Feedstock Conversion Rates'!B$4)/12</f>
        <v>112.5</v>
      </c>
      <c r="CH403" s="106">
        <f t="shared" si="439"/>
        <v>112.5</v>
      </c>
      <c r="CI403" s="104">
        <f>('Renewable Diesel'!$AE412*'RD Feedstock Breakdown'!CI$3*'Feedstock Conversion Rates'!$B$5)/12</f>
        <v>0.34604166666666664</v>
      </c>
      <c r="CJ403" s="104">
        <f>('Renewable Diesel'!$AE412*'RD Feedstock Breakdown'!CJ$3*'Feedstock Conversion Rates'!$B$4)/12</f>
        <v>0.34375</v>
      </c>
      <c r="CK403" s="106">
        <f t="shared" si="368"/>
        <v>0.68979166666666658</v>
      </c>
      <c r="CL403" s="104">
        <f>(((CL$3*'Renewable Diesel'!$AF412)*'Feedstock Conversion Rates'!$B$3)/12)</f>
        <v>91.78125</v>
      </c>
      <c r="CM403" s="104">
        <f>(((CM$3*'Renewable Diesel'!$AF412)*'Feedstock Conversion Rates'!$B$6)/12)</f>
        <v>53.739583333333336</v>
      </c>
      <c r="CN403" s="104">
        <f>(((CN$3*'Renewable Diesel'!$AF412)*'Feedstock Conversion Rates'!$B$4)/12)</f>
        <v>42.96875</v>
      </c>
      <c r="CO403" s="106">
        <f t="shared" si="441"/>
        <v>188.48958333333334</v>
      </c>
      <c r="CP403" s="104">
        <f>('Renewable Diesel'!$AG412*'RD Feedstock Breakdown'!CP$3*'Feedstock Conversion Rates'!$B$3)/12</f>
        <v>6.0075000000000003</v>
      </c>
      <c r="CQ403" s="104">
        <f>('Renewable Diesel'!$AG412*'RD Feedstock Breakdown'!CQ$3*'Feedstock Conversion Rates'!$B$6)/12</f>
        <v>3.5175000000000001</v>
      </c>
      <c r="CR403" s="104">
        <f>('Renewable Diesel'!$AG412*'RD Feedstock Breakdown'!CR$3*'Feedstock Conversion Rates'!$B$4)/12</f>
        <v>2.8125</v>
      </c>
      <c r="CS403" s="106">
        <f t="shared" si="397"/>
        <v>12.3375</v>
      </c>
      <c r="CT403" s="104">
        <f>('Renewable Diesel'!AI412*'Feedstock Conversion Rates'!$B$4*'RD Feedstock Breakdown'!$CT$3)/12</f>
        <v>29.375</v>
      </c>
      <c r="CU403" s="106">
        <f t="shared" ref="CU403:CU466" si="443">CT403</f>
        <v>29.375</v>
      </c>
      <c r="CV403" s="104">
        <f>('Renewable Diesel'!AN412*'Feedstock Conversion Rates'!$B$3*'RD Feedstock Breakdown'!$CV$3)/12</f>
        <v>0.50062499999999999</v>
      </c>
      <c r="CW403" s="106">
        <f t="shared" si="419"/>
        <v>0.50062499999999999</v>
      </c>
      <c r="CX403" s="104">
        <f>('Renewable Diesel'!AO412*'RD Feedstock Breakdown'!$CX$3*'Feedstock Conversion Rates'!$B$3)/12</f>
        <v>6.3412499999999996</v>
      </c>
      <c r="CY403" s="104">
        <f>('Renewable Diesel'!AO412*'RD Feedstock Breakdown'!$CY$3*'Feedstock Conversion Rates'!$B$6)/12</f>
        <v>7.4258333333333342</v>
      </c>
      <c r="CZ403" s="106">
        <f t="shared" si="398"/>
        <v>13.767083333333334</v>
      </c>
      <c r="DA403" s="104">
        <f>('Renewable Diesel'!$AP412*'RD Feedstock Breakdown'!DA$3*'Feedstock Conversion Rates'!$B$3)/12</f>
        <v>6.3412499999999996</v>
      </c>
      <c r="DB403" s="104">
        <f>('Renewable Diesel'!$AP412*'RD Feedstock Breakdown'!DB$3*'Feedstock Conversion Rates'!$B$8)/12</f>
        <v>7.421875</v>
      </c>
      <c r="DC403" s="106">
        <f t="shared" si="422"/>
        <v>13.763124999999999</v>
      </c>
      <c r="DD403" s="104">
        <f>('Renewable Diesel'!AQ412*$DD$3*'Feedstock Conversion Rates'!$B$14)/12</f>
        <v>3.1041666666666665</v>
      </c>
      <c r="DE403" s="106">
        <f t="shared" si="423"/>
        <v>3.1041666666666665</v>
      </c>
      <c r="DF403" s="104">
        <f>('Renewable Diesel'!AR412*'Feedstock Conversion Rates'!$B$4*$DF$3)/12</f>
        <v>75</v>
      </c>
      <c r="DG403" s="106">
        <f t="shared" si="399"/>
        <v>75</v>
      </c>
      <c r="DH403" s="104">
        <f>('Renewable Diesel'!AS412*'Feedstock Conversion Rates'!$B$4*$DH$3)/12</f>
        <v>75</v>
      </c>
      <c r="DI403" s="106">
        <f t="shared" si="411"/>
        <v>75</v>
      </c>
      <c r="DJ403" s="104">
        <f>('Renewable Diesel'!AT412*'Feedstock Conversion Rates'!$B$4*0.25)/12</f>
        <v>8.59375</v>
      </c>
      <c r="DK403" s="104">
        <f>('Renewable Diesel'!$AT412*'RD Feedstock Breakdown'!DK$3*'Feedstock Conversion Rates'!$B$3)/12*0.5</f>
        <v>9.1781249999999996</v>
      </c>
      <c r="DL403" s="104">
        <f>('Renewable Diesel'!$AT412*'RD Feedstock Breakdown'!$DL$3*'Feedstock Conversion Rates'!$B$6)/12</f>
        <v>10.747916666666669</v>
      </c>
      <c r="DM403" s="104">
        <f>('Renewable Diesel'!$AT412*'RD Feedstock Breakdown'!$DM$3*'Feedstock Conversion Rates'!$B$8)/12</f>
        <v>10.7421875</v>
      </c>
      <c r="DN403" s="106">
        <f t="shared" si="375"/>
        <v>39.26197916666667</v>
      </c>
      <c r="DP403" s="104">
        <f t="shared" si="426"/>
        <v>103.22025000000001</v>
      </c>
      <c r="DQ403" s="104">
        <f t="shared" si="427"/>
        <v>349.11776750000007</v>
      </c>
      <c r="DR403" s="104">
        <f t="shared" si="432"/>
        <v>1891.953125</v>
      </c>
      <c r="DS403" s="104">
        <f t="shared" si="365"/>
        <v>228.90125</v>
      </c>
      <c r="DT403" s="104">
        <f t="shared" si="428"/>
        <v>243.03923333333344</v>
      </c>
      <c r="DU403" s="104">
        <f t="shared" si="429"/>
        <v>402.90610000000009</v>
      </c>
      <c r="DV403" s="104">
        <f t="shared" si="433"/>
        <v>78.75</v>
      </c>
      <c r="DW403" s="104">
        <f t="shared" si="430"/>
        <v>3</v>
      </c>
      <c r="DX403" s="106">
        <f t="shared" si="434"/>
        <v>3300.8877258333337</v>
      </c>
      <c r="DY403" s="109">
        <f t="shared" si="421"/>
        <v>-5.631051180898794E-13</v>
      </c>
      <c r="EA403" s="110">
        <f t="shared" si="424"/>
        <v>3.1270451640078516E-2</v>
      </c>
      <c r="EB403" s="110">
        <f t="shared" si="424"/>
        <v>0.10576481131658687</v>
      </c>
      <c r="EC403" s="110">
        <f t="shared" si="424"/>
        <v>0.57316494293133291</v>
      </c>
      <c r="ED403" s="110">
        <f t="shared" si="424"/>
        <v>6.9345360706629972E-2</v>
      </c>
      <c r="EE403" s="110">
        <f t="shared" si="424"/>
        <v>7.3628445896921982E-2</v>
      </c>
      <c r="EF403" s="110">
        <f t="shared" si="424"/>
        <v>0.1220599225010852</v>
      </c>
      <c r="EG403" s="110">
        <f t="shared" si="384"/>
        <v>2.3857218585075921E-2</v>
      </c>
      <c r="EH403" s="111">
        <f t="shared" si="435"/>
        <v>9.0884642228860647E-4</v>
      </c>
      <c r="EI403" s="110">
        <f t="shared" si="409"/>
        <v>0.99909115357771139</v>
      </c>
      <c r="EK403" s="132">
        <f>(EA403*'Renewable Diesel'!BF412*'Feedstock Conversion Rates'!B$2)+FB403</f>
        <v>359.3641654234284</v>
      </c>
      <c r="EL403" s="132">
        <f>(EB403*'Renewable Diesel'!BF412*'Feedstock Conversion Rates'!B$3)+FC403</f>
        <v>1145.3953194245207</v>
      </c>
      <c r="EM403" s="132">
        <f>(EC403*'Renewable Diesel'!BF412*'Feedstock Conversion Rates'!B$4)+FD403</f>
        <v>5811.959399090827</v>
      </c>
      <c r="EN403" s="132">
        <f>(ED403*'Renewable Diesel'!BF412*'Feedstock Conversion Rates'!B$5)+FE403</f>
        <v>707.85784921449726</v>
      </c>
      <c r="EO403" s="132">
        <f>(EE403*'Renewable Diesel'!BF412*'Feedstock Conversion Rates'!B$6)+FF403</f>
        <v>933.74902461552779</v>
      </c>
      <c r="EP403" s="132">
        <f>(EF403*'Renewable Diesel'!BF412*'Feedstock Conversion Rates'!B$7)+FG403</f>
        <v>1518.2476103952781</v>
      </c>
      <c r="EQ403" s="132">
        <f>(EG403*'Renewable Diesel'!BF412*'Feedstock Conversion Rates'!B$8)+FH403</f>
        <v>302.39372518703561</v>
      </c>
      <c r="ER403" s="132">
        <f>(EH403*'Renewable Diesel'!BF412*'Feedstock Conversion Rates'!B$9)+FI403</f>
        <v>11.366164146712705</v>
      </c>
      <c r="ES403" s="132">
        <f t="shared" si="436"/>
        <v>10790.333257497829</v>
      </c>
      <c r="ET403" s="133">
        <f>ES403/'Renewable Diesel'!BF412</f>
        <v>13.666958566705436</v>
      </c>
      <c r="EW403" s="73">
        <f t="shared" si="386"/>
        <v>9232.3378727239233</v>
      </c>
      <c r="EX403" s="73">
        <f t="shared" si="387"/>
        <v>6047.2318757078474</v>
      </c>
      <c r="EY403" s="92">
        <f t="shared" si="410"/>
        <v>0.85561193082787246</v>
      </c>
      <c r="EZ403" s="92">
        <f t="shared" si="410"/>
        <v>0.56043050120864757</v>
      </c>
      <c r="FB403" s="102">
        <f>IF('Renewable Diesel'!$BG412&lt;1,0,(((('Renewable Diesel'!$BG412-1)*'Renewable Diesel'!$BF412)*'RD Feedstock Breakdown'!EA403)*'Feedstock Conversion Rates'!$B$2))</f>
        <v>149.51074136953756</v>
      </c>
      <c r="FC403" s="102">
        <f>IF('Renewable Diesel'!$BG412&lt;1,0,(((('Renewable Diesel'!$BG412-1)*'Renewable Diesel'!$BF412)*'RD Feedstock Breakdown'!EB403)*'Feedstock Conversion Rates'!$B$3))</f>
        <v>476.53305433662462</v>
      </c>
      <c r="FD403" s="102">
        <f>IF('Renewable Diesel'!$BG412&lt;1,0,(((('Renewable Diesel'!$BG412-1)*'Renewable Diesel'!$BF412)*'RD Feedstock Breakdown'!EC403)*'Feedstock Conversion Rates'!$B$4))</f>
        <v>2418.0217232952605</v>
      </c>
      <c r="FE403" s="102">
        <f>IF('Renewable Diesel'!$BG412&lt;1,0,(((('Renewable Diesel'!$BG412-1)*'Renewable Diesel'!$BF412)*'RD Feedstock Breakdown'!ED403)*'Feedstock Conversion Rates'!$B$5))</f>
        <v>294.49890112333992</v>
      </c>
      <c r="FF403" s="102">
        <f>IF('Renewable Diesel'!$BG412&lt;1,0,(((('Renewable Diesel'!$BG412-1)*'Renewable Diesel'!$BF412)*'RD Feedstock Breakdown'!EE403)*'Feedstock Conversion Rates'!$B$6))</f>
        <v>388.47921511277286</v>
      </c>
      <c r="FG403" s="102">
        <f>IF('Renewable Diesel'!$BG412&lt;1,0,(((('Renewable Diesel'!$BG412-1)*'Renewable Diesel'!$BF412)*'RD Feedstock Breakdown'!EF403)*'Feedstock Conversion Rates'!$B$7))</f>
        <v>631.65542826248679</v>
      </c>
      <c r="FH403" s="102">
        <f>IF('Renewable Diesel'!$BG412&lt;1,0,(((('Renewable Diesel'!$BG412-1)*'Renewable Diesel'!$BF412)*'RD Feedstock Breakdown'!EG403)*'Feedstock Conversion Rates'!$B$8))</f>
        <v>125.80862085939746</v>
      </c>
      <c r="FI403" s="102">
        <f>IF('Renewable Diesel'!$BG412&lt;1,0,(((('Renewable Diesel'!$BG412-1)*'Renewable Diesel'!$BF412)*'RD Feedstock Breakdown'!EH403)*'Feedstock Conversion Rates'!$B$9))</f>
        <v>4.7288065745246541</v>
      </c>
      <c r="FJ403" s="102">
        <f t="shared" si="388"/>
        <v>4489.236490933944</v>
      </c>
      <c r="GD403" s="91">
        <f>'Renewable Diesel'!BB412*0.32</f>
        <v>0</v>
      </c>
      <c r="GE403" s="91">
        <f>'Renewable Diesel'!BC412</f>
        <v>354.6425056569517</v>
      </c>
      <c r="GF403" s="91">
        <f>'Renewable Diesel'!BD412</f>
        <v>0</v>
      </c>
      <c r="GG403" s="91">
        <f t="shared" si="373"/>
        <v>354.6425056569517</v>
      </c>
      <c r="GH403" s="124">
        <v>1</v>
      </c>
      <c r="GI403" s="102">
        <f>$GG403*EA403*'Feedstock Conversion Rates'!$B$2</f>
        <v>94.263566242626823</v>
      </c>
      <c r="GJ403" s="102">
        <f>$GG403*EB403*'Feedstock Conversion Rates'!$B$3</f>
        <v>300.4446685421492</v>
      </c>
      <c r="GK403" s="102">
        <f>$GG403*EC403*'Feedstock Conversion Rates'!$B$4</f>
        <v>1524.5148863691873</v>
      </c>
      <c r="GL403" s="102">
        <f>$GG403*ED403*'Feedstock Conversion Rates'!$B$5</f>
        <v>185.67573419896704</v>
      </c>
      <c r="GM403" s="102">
        <f>$GG403*EE403*'Feedstock Conversion Rates'!$B$6</f>
        <v>244.92846394999992</v>
      </c>
      <c r="GN403" s="102">
        <f>$GG403*EF403*'Feedstock Conversion Rates'!$B$7</f>
        <v>398.24625815591935</v>
      </c>
      <c r="GO403" s="102">
        <f>$GG403*EG403*'Feedstock Conversion Rates'!$B$8</f>
        <v>79.319847909533635</v>
      </c>
      <c r="GP403" s="102">
        <f>$GG403*EH403*'Feedstock Conversion Rates'!B$9</f>
        <v>2.9814190452345337</v>
      </c>
      <c r="GQ403" s="102">
        <f t="shared" si="437"/>
        <v>2830.3748444136172</v>
      </c>
      <c r="GT403" s="103">
        <f t="shared" si="418"/>
        <v>3.3304269372191886E-2</v>
      </c>
      <c r="GU403" s="103">
        <f t="shared" si="416"/>
        <v>0.10615013383656388</v>
      </c>
      <c r="GV403" s="103">
        <f t="shared" si="416"/>
        <v>0.53862649654979833</v>
      </c>
      <c r="GW403" s="103">
        <f t="shared" si="416"/>
        <v>6.5601110950176761E-2</v>
      </c>
      <c r="GX403" s="103">
        <f t="shared" si="416"/>
        <v>8.653569841938831E-2</v>
      </c>
      <c r="GY403" s="103">
        <f t="shared" si="416"/>
        <v>0.14070442257566981</v>
      </c>
      <c r="GZ403" s="103">
        <f t="shared" si="416"/>
        <v>2.8024502855545516E-2</v>
      </c>
      <c r="HA403" s="103">
        <f t="shared" si="416"/>
        <v>1.0533654406655838E-3</v>
      </c>
    </row>
    <row r="404" spans="1:209" x14ac:dyDescent="0.25">
      <c r="A404" s="96">
        <v>52718</v>
      </c>
      <c r="B404" s="104">
        <f t="shared" si="406"/>
        <v>44.25</v>
      </c>
      <c r="C404" s="104">
        <f t="shared" si="396"/>
        <v>49</v>
      </c>
      <c r="D404" s="104">
        <f t="shared" si="407"/>
        <v>2</v>
      </c>
      <c r="E404" s="104">
        <f>('Renewable Diesel'!B413*E$3*'Feedstock Conversion Rates'!$B$2)/12+26+13-100+27.5+39</f>
        <v>95.43</v>
      </c>
      <c r="F404" s="104">
        <f>('Renewable Diesel'!B413*'RD Feedstock Breakdown'!F$3*'Feedstock Conversion Rates'!B$8)/12+77+23-10-12-115.75+24+8</f>
        <v>48.15625</v>
      </c>
      <c r="G404" s="104">
        <f>('Renewable Diesel'!B413*'RD Feedstock Breakdown'!G$3*'Feedstock Conversion Rates'!B$7)/12+116.75-39-57.5-145-31.5+32+70-40+10+60</f>
        <v>151.90700000000004</v>
      </c>
      <c r="H404" s="104">
        <f>('Renewable Diesel'!B413*'RD Feedstock Breakdown'!H$3*'Feedstock Conversion Rates'!B$3)/12+67+10+12+3-235+20+47-20+25</f>
        <v>105.40022499999998</v>
      </c>
      <c r="I404" s="106">
        <f t="shared" si="370"/>
        <v>496.14347500000002</v>
      </c>
      <c r="J404" s="104">
        <f t="shared" si="417"/>
        <v>4</v>
      </c>
      <c r="K404" s="104"/>
      <c r="L404" s="104">
        <v>1</v>
      </c>
      <c r="M404" s="104">
        <f>('Renewable Diesel'!C413*'RD Feedstock Breakdown'!M$3*'Feedstock Conversion Rates'!B$2)/12</f>
        <v>7.7902500000000003</v>
      </c>
      <c r="N404" s="104">
        <f>('Renewable Diesel'!C413*'RD Feedstock Breakdown'!N$3*'Feedstock Conversion Rates'!B$8)/12</f>
        <v>3.671875</v>
      </c>
      <c r="O404" s="104">
        <f>('Renewable Diesel'!C413*'RD Feedstock Breakdown'!O$3*'Feedstock Conversion Rates'!B$7)/12</f>
        <v>11.9991</v>
      </c>
      <c r="P404" s="104">
        <f>('Renewable Diesel'!C413*'RD Feedstock Breakdown'!P$3*'Feedstock Conversion Rates'!B$3)/12</f>
        <v>10.4470425</v>
      </c>
      <c r="Q404" s="106">
        <f t="shared" si="379"/>
        <v>38.908267500000001</v>
      </c>
      <c r="R404" s="104">
        <f>('Renewable Diesel'!D413*'RD Feedstock Breakdown'!R$3*'Feedstock Conversion Rates'!B$7)/12</f>
        <v>2.2999999999999998</v>
      </c>
      <c r="S404" s="106">
        <f t="shared" si="414"/>
        <v>2.2999999999999998</v>
      </c>
      <c r="T404" s="104">
        <f t="shared" si="380"/>
        <v>0.82499999999999929</v>
      </c>
      <c r="U404" s="104"/>
      <c r="V404" s="104">
        <f>('Renewable Diesel'!E413*'RD Feedstock Breakdown'!V$3*'Feedstock Conversion Rates'!B$6)/12-20+25</f>
        <v>49.250150000000012</v>
      </c>
      <c r="W404" s="104">
        <f>('Renewable Diesel'!E413*'RD Feedstock Breakdown'!W$3*'Feedstock Conversion Rates'!B$8)/12-6</f>
        <v>16.1796875</v>
      </c>
      <c r="X404" s="106">
        <f t="shared" si="438"/>
        <v>66.254837500000008</v>
      </c>
      <c r="Y404" s="104">
        <f t="shared" si="381"/>
        <v>98</v>
      </c>
      <c r="Z404" s="104">
        <f>('Renewable Diesel'!F413*'RD Feedstock Breakdown'!Z$3*'Feedstock Conversion Rates'!B$6)/12-142+15+5+20+5+15</f>
        <v>77.460000000000008</v>
      </c>
      <c r="AA404" s="104">
        <f>('Renewable Diesel'!F413*'RD Feedstock Breakdown'!AA$3*'Feedstock Conversion Rates'!B$7)/12+24</f>
        <v>128.26666666666665</v>
      </c>
      <c r="AB404" s="106">
        <f t="shared" si="400"/>
        <v>303.72666666666669</v>
      </c>
      <c r="AC404" s="104">
        <f>('Renewable Diesel'!G413*'RD Feedstock Breakdown'!AC$3*'Feedstock Conversion Rates'!B$5)/12</f>
        <v>11.796875</v>
      </c>
      <c r="AD404" s="104">
        <f>('Renewable Diesel'!G413*'RD Feedstock Breakdown'!AD$3*'Feedstock Conversion Rates'!B$4)/12</f>
        <v>5.859375</v>
      </c>
      <c r="AE404" s="104">
        <f>('Renewable Diesel'!G413*'RD Feedstock Breakdown'!AE$3*'Feedstock Conversion Rates'!B$6)/12</f>
        <v>7.3281250000000009</v>
      </c>
      <c r="AF404" s="106">
        <f t="shared" si="366"/>
        <v>24.984375</v>
      </c>
      <c r="AG404" s="104">
        <f t="shared" si="383"/>
        <v>148</v>
      </c>
      <c r="AH404" s="104"/>
      <c r="AI404" s="104">
        <f>('Renewable Diesel'!H413*'RD Feedstock Breakdown'!AI$3*'Feedstock Conversion Rates'!B$6)/12-130-20+51-49</f>
        <v>0.51666666666667993</v>
      </c>
      <c r="AJ404" s="106">
        <f t="shared" si="413"/>
        <v>148.51666666666668</v>
      </c>
      <c r="AK404" s="104">
        <f>('Renewable Diesel'!J413*'RD Feedstock Breakdown'!AK$3*'Feedstock Conversion Rates'!B$4)/12</f>
        <v>95.8125</v>
      </c>
      <c r="AL404" s="106">
        <f t="shared" si="415"/>
        <v>95.8125</v>
      </c>
      <c r="AM404" s="104">
        <f>('Renewable Diesel'!K413*'RD Feedstock Breakdown'!AM$3*'Feedstock Conversion Rates'!B$4)/12+5+15-10+10</f>
        <v>78.59375</v>
      </c>
      <c r="AN404" s="104">
        <f>('Renewable Diesel'!K413*'RD Feedstock Breakdown'!AN$3*'Feedstock Conversion Rates'!B$6)/12-5-15+10-10</f>
        <v>4.4270833333333321</v>
      </c>
      <c r="AO404" s="106">
        <f t="shared" si="431"/>
        <v>83.020833333333329</v>
      </c>
      <c r="AP404" s="104">
        <f>('Renewable Diesel'!L413*'RD Feedstock Breakdown'!AP$3*'Feedstock Conversion Rates'!B$4)/12+15-10+15</f>
        <v>78.59375</v>
      </c>
      <c r="AQ404" s="104">
        <f>('Renewable Diesel'!L413*'RD Feedstock Breakdown'!AQ$3*'Feedstock Conversion Rates'!B$6)/12-15+10-15</f>
        <v>4.4270833333333321</v>
      </c>
      <c r="AR404" s="106">
        <f t="shared" si="420"/>
        <v>83.020833333333329</v>
      </c>
      <c r="AS404" s="104">
        <f>('Renewable Diesel'!M413*'RD Feedstock Breakdown'!AS$3*'Feedstock Conversion Rates'!B$4)/12</f>
        <v>456.25</v>
      </c>
      <c r="AT404" s="104">
        <f>('Renewable Diesel'!M413*'RD Feedstock Breakdown'!AT$3*'Feedstock Conversion Rates'!B$5)/12</f>
        <v>0</v>
      </c>
      <c r="AU404" s="106">
        <f t="shared" si="369"/>
        <v>456.25</v>
      </c>
      <c r="AV404" s="104">
        <f>'Renewable Diesel'!N413*'RD Feedstock Breakdown'!$AV$3*'Feedstock Conversion Rates'!$B$4/12-15-10+25+25-22+25</f>
        <v>106.74999999999999</v>
      </c>
      <c r="AW404" s="104">
        <f>'Renewable Diesel'!N413*'RD Feedstock Breakdown'!$AW$3*'Feedstock Conversion Rates'!$B$7/12+15+10-25-25+22-25</f>
        <v>13.400000000000006</v>
      </c>
      <c r="AX404" s="106">
        <f t="shared" si="408"/>
        <v>120.14999999999999</v>
      </c>
      <c r="AY404" s="104">
        <f>('Renewable Diesel'!O413*'RD Feedstock Breakdown'!AY$3*'Feedstock Conversion Rates'!B$4)/12</f>
        <v>210.9375</v>
      </c>
      <c r="AZ404" s="104">
        <f>('Renewable Diesel'!O413*'RD Feedstock Breakdown'!AZ$3*'Feedstock Conversion Rates'!B$3)/12</f>
        <v>25.03125</v>
      </c>
      <c r="BA404" s="106">
        <f t="shared" si="382"/>
        <v>235.96875</v>
      </c>
      <c r="BB404" s="104">
        <f>('Renewable Diesel'!Q413*'RD Feedstock Breakdown'!BB$3*'Feedstock Conversion Rates'!B$4)/12</f>
        <v>11.156249999999998</v>
      </c>
      <c r="BC404" s="104">
        <f>('Renewable Diesel'!Q413*'RD Feedstock Breakdown'!BC$3*'Feedstock Conversion Rates'!B$3)/12</f>
        <v>1.4017500000000001</v>
      </c>
      <c r="BD404" s="104">
        <f>('Renewable Diesel'!Q413*'RD Feedstock Breakdown'!BD$3*'Feedstock Conversion Rates'!B$6)/12</f>
        <v>0.8207500000000002</v>
      </c>
      <c r="BE404" s="106">
        <f t="shared" si="440"/>
        <v>13.378749999999998</v>
      </c>
      <c r="BF404" s="104">
        <f>('Renewable Diesel'!R413*'RD Feedstock Breakdown'!BF$3*'Feedstock Conversion Rates'!B$4)/12</f>
        <v>62.5</v>
      </c>
      <c r="BG404" s="106">
        <f t="shared" si="425"/>
        <v>62.5</v>
      </c>
      <c r="BH404" s="104">
        <f>('Renewable Diesel'!T413*'RD Feedstock Breakdown'!BH$3*'Feedstock Conversion Rates'!B$7)/12</f>
        <v>27.599999999999998</v>
      </c>
      <c r="BI404" s="106">
        <f t="shared" si="412"/>
        <v>27.599999999999998</v>
      </c>
      <c r="BJ404" s="104">
        <f>('Renewable Diesel'!W413*'RD Feedstock Breakdown'!BJ$3*'Feedstock Conversion Rates'!B$4)/12</f>
        <v>7.5</v>
      </c>
      <c r="BK404" s="104">
        <f>('Renewable Diesel'!W413*'RD Feedstock Breakdown'!BK$3*'Feedstock Conversion Rates'!B$3)/12</f>
        <v>1.335</v>
      </c>
      <c r="BL404" s="104">
        <f>('Renewable Diesel'!W413*'RD Feedstock Breakdown'!BL$3*'Feedstock Conversion Rates'!B$6)/12</f>
        <v>3.1266666666666669</v>
      </c>
      <c r="BM404" s="104">
        <f>('Renewable Diesel'!W413*'RD Feedstock Breakdown'!BM$3*'Feedstock Conversion Rates'!B$7)/12</f>
        <v>1.5333333333333332</v>
      </c>
      <c r="BN404" s="106">
        <f t="shared" si="374"/>
        <v>13.495000000000001</v>
      </c>
      <c r="BO404" s="104">
        <f>('Renewable Diesel'!P413*'Feedstock Conversion Rates'!B$4)/12</f>
        <v>31.25</v>
      </c>
      <c r="BP404" s="106">
        <f t="shared" si="367"/>
        <v>31.25</v>
      </c>
      <c r="BQ404" s="104">
        <f>('Renewable Diesel'!$S413*'RD Feedstock Breakdown'!BQ$3*'Feedstock Conversion Rates'!B$4)/12+10+15-15</f>
        <v>38.125</v>
      </c>
      <c r="BR404" s="104">
        <f>('Renewable Diesel'!$S413*'RD Feedstock Breakdown'!BR$3*'Feedstock Conversion Rates'!B$7)/12-10-15+15</f>
        <v>1.5</v>
      </c>
      <c r="BS404" s="106">
        <f t="shared" si="385"/>
        <v>39.625</v>
      </c>
      <c r="BT404" s="106"/>
      <c r="BU404" s="104">
        <f>('Renewable Diesel'!Y413*'Feedstock Conversion Rates'!B$7)/12</f>
        <v>2.6833333333333331</v>
      </c>
      <c r="BV404" s="106">
        <f t="shared" si="442"/>
        <v>2.6833333333333331</v>
      </c>
      <c r="BW404" s="104">
        <f>('Renewable Diesel'!$Z413*'RD Feedstock Breakdown'!BW$3*'Feedstock Conversion Rates'!$B$4)/12-250+180</f>
        <v>1.875</v>
      </c>
      <c r="BX404" s="104">
        <f>('Renewable Diesel'!$Z413*'RD Feedstock Breakdown'!BX$3*'Feedstock Conversion Rates'!$B$5)/12</f>
        <v>7.2354166666666666</v>
      </c>
      <c r="BY404" s="104">
        <f>('Renewable Diesel'!$Z413*'RD Feedstock Breakdown'!BY$3*'Feedstock Conversion Rates'!$B$7)/12</f>
        <v>61.716666666666661</v>
      </c>
      <c r="BZ404" s="104">
        <f>('Renewable Diesel'!$Z413*'RD Feedstock Breakdown'!BZ$3*'Feedstock Conversion Rates'!$B$3)/12+250-180</f>
        <v>85.35250000000002</v>
      </c>
      <c r="CA404" s="106">
        <f t="shared" si="392"/>
        <v>156.17958333333334</v>
      </c>
      <c r="CB404" s="104">
        <f>('Renewable Diesel'!AA413*'Feedstock Conversion Rates'!B$4)/12</f>
        <v>191.25</v>
      </c>
      <c r="CC404" s="106">
        <f t="shared" si="376"/>
        <v>191.25</v>
      </c>
      <c r="CD404" s="104">
        <f>('Renewable Diesel'!$AB413*'RD Feedstock Breakdown'!CD$3*'Feedstock Conversion Rates'!$B$6)/12-15-5</f>
        <v>12.830000000000005</v>
      </c>
      <c r="CE404" s="104">
        <f>('Renewable Diesel'!$AB413*'RD Feedstock Breakdown'!CE$3*'Feedstock Conversion Rates'!$B$4)/12+15+5</f>
        <v>31.25</v>
      </c>
      <c r="CF404" s="106">
        <f t="shared" si="372"/>
        <v>44.080000000000005</v>
      </c>
      <c r="CG404" s="104">
        <f>('Renewable Diesel'!AD413*'Feedstock Conversion Rates'!B$4)/12</f>
        <v>112.5</v>
      </c>
      <c r="CH404" s="106">
        <f t="shared" si="439"/>
        <v>112.5</v>
      </c>
      <c r="CI404" s="104">
        <f>('Renewable Diesel'!$AE413*'RD Feedstock Breakdown'!CI$3*'Feedstock Conversion Rates'!$B$5)/12</f>
        <v>0.34604166666666664</v>
      </c>
      <c r="CJ404" s="104">
        <f>('Renewable Diesel'!$AE413*'RD Feedstock Breakdown'!CJ$3*'Feedstock Conversion Rates'!$B$4)/12</f>
        <v>0.34375</v>
      </c>
      <c r="CK404" s="106">
        <f t="shared" si="368"/>
        <v>0.68979166666666658</v>
      </c>
      <c r="CL404" s="104">
        <f>(((CL$3*'Renewable Diesel'!$AF413)*'Feedstock Conversion Rates'!$B$3)/12)</f>
        <v>91.78125</v>
      </c>
      <c r="CM404" s="104">
        <f>(((CM$3*'Renewable Diesel'!$AF413)*'Feedstock Conversion Rates'!$B$6)/12)</f>
        <v>53.739583333333336</v>
      </c>
      <c r="CN404" s="104">
        <f>(((CN$3*'Renewable Diesel'!$AF413)*'Feedstock Conversion Rates'!$B$4)/12)</f>
        <v>42.96875</v>
      </c>
      <c r="CO404" s="106">
        <f t="shared" si="441"/>
        <v>188.48958333333334</v>
      </c>
      <c r="CP404" s="104">
        <f>('Renewable Diesel'!$AG413*'RD Feedstock Breakdown'!CP$3*'Feedstock Conversion Rates'!$B$3)/12</f>
        <v>6.0075000000000003</v>
      </c>
      <c r="CQ404" s="104">
        <f>('Renewable Diesel'!$AG413*'RD Feedstock Breakdown'!CQ$3*'Feedstock Conversion Rates'!$B$6)/12</f>
        <v>3.5175000000000001</v>
      </c>
      <c r="CR404" s="104">
        <f>('Renewable Diesel'!$AG413*'RD Feedstock Breakdown'!CR$3*'Feedstock Conversion Rates'!$B$4)/12</f>
        <v>2.8125</v>
      </c>
      <c r="CS404" s="106">
        <f t="shared" si="397"/>
        <v>12.3375</v>
      </c>
      <c r="CT404" s="104">
        <f>('Renewable Diesel'!AI413*'Feedstock Conversion Rates'!$B$4*'RD Feedstock Breakdown'!$CT$3)/12</f>
        <v>29.375</v>
      </c>
      <c r="CU404" s="106">
        <f t="shared" si="443"/>
        <v>29.375</v>
      </c>
      <c r="CV404" s="104">
        <f>('Renewable Diesel'!AN413*'Feedstock Conversion Rates'!$B$3*'RD Feedstock Breakdown'!$CV$3)/12</f>
        <v>0.50062499999999999</v>
      </c>
      <c r="CW404" s="106">
        <f t="shared" si="419"/>
        <v>0.50062499999999999</v>
      </c>
      <c r="CX404" s="104">
        <f>('Renewable Diesel'!AO413*'RD Feedstock Breakdown'!$CX$3*'Feedstock Conversion Rates'!$B$3)/12</f>
        <v>6.3412499999999996</v>
      </c>
      <c r="CY404" s="104">
        <f>('Renewable Diesel'!AO413*'RD Feedstock Breakdown'!$CY$3*'Feedstock Conversion Rates'!$B$6)/12</f>
        <v>7.4258333333333342</v>
      </c>
      <c r="CZ404" s="106">
        <f t="shared" si="398"/>
        <v>13.767083333333334</v>
      </c>
      <c r="DA404" s="104">
        <f>('Renewable Diesel'!$AP413*'RD Feedstock Breakdown'!DA$3*'Feedstock Conversion Rates'!$B$3)/12</f>
        <v>6.3412499999999996</v>
      </c>
      <c r="DB404" s="104">
        <f>('Renewable Diesel'!$AP413*'RD Feedstock Breakdown'!DB$3*'Feedstock Conversion Rates'!$B$8)/12</f>
        <v>7.421875</v>
      </c>
      <c r="DC404" s="106">
        <f t="shared" si="422"/>
        <v>13.763124999999999</v>
      </c>
      <c r="DD404" s="104">
        <f>('Renewable Diesel'!AQ413*$DD$3*'Feedstock Conversion Rates'!$B$14)/12</f>
        <v>3.1041666666666665</v>
      </c>
      <c r="DE404" s="106">
        <f t="shared" si="423"/>
        <v>3.1041666666666665</v>
      </c>
      <c r="DF404" s="104">
        <f>('Renewable Diesel'!AR413*'Feedstock Conversion Rates'!$B$4*$DF$3)/12</f>
        <v>75</v>
      </c>
      <c r="DG404" s="106">
        <f t="shared" si="399"/>
        <v>75</v>
      </c>
      <c r="DH404" s="104">
        <f>('Renewable Diesel'!AS413*'Feedstock Conversion Rates'!$B$4*$DH$3)/12</f>
        <v>75</v>
      </c>
      <c r="DI404" s="106">
        <f t="shared" si="411"/>
        <v>75</v>
      </c>
      <c r="DJ404" s="104">
        <f>('Renewable Diesel'!AT413*'Feedstock Conversion Rates'!$B$4*0.25)/12</f>
        <v>8.59375</v>
      </c>
      <c r="DK404" s="104">
        <f>('Renewable Diesel'!$AT413*'RD Feedstock Breakdown'!DK$3*'Feedstock Conversion Rates'!$B$3)/12*0.5</f>
        <v>9.1781249999999996</v>
      </c>
      <c r="DL404" s="104">
        <f>('Renewable Diesel'!$AT413*'RD Feedstock Breakdown'!$DL$3*'Feedstock Conversion Rates'!$B$6)/12</f>
        <v>10.747916666666669</v>
      </c>
      <c r="DM404" s="104">
        <f>('Renewable Diesel'!$AT413*'RD Feedstock Breakdown'!$DM$3*'Feedstock Conversion Rates'!$B$8)/12</f>
        <v>10.7421875</v>
      </c>
      <c r="DN404" s="106">
        <f t="shared" si="375"/>
        <v>39.26197916666667</v>
      </c>
      <c r="DP404" s="104">
        <f t="shared" si="426"/>
        <v>103.22025000000001</v>
      </c>
      <c r="DQ404" s="104">
        <f t="shared" si="427"/>
        <v>349.11776750000007</v>
      </c>
      <c r="DR404" s="104">
        <f t="shared" si="432"/>
        <v>1891.953125</v>
      </c>
      <c r="DS404" s="104">
        <f t="shared" ref="DS404:DS467" si="444">AC404+C404+BX404+CI404+DD404+AG404+T404+DJ404+AT404+K404</f>
        <v>228.90125</v>
      </c>
      <c r="DT404" s="104">
        <f t="shared" si="428"/>
        <v>243.03923333333344</v>
      </c>
      <c r="DU404" s="104">
        <f t="shared" si="429"/>
        <v>402.90610000000009</v>
      </c>
      <c r="DV404" s="104">
        <f t="shared" si="433"/>
        <v>78.75</v>
      </c>
      <c r="DW404" s="104">
        <f t="shared" si="430"/>
        <v>3</v>
      </c>
      <c r="DX404" s="106">
        <f t="shared" si="434"/>
        <v>3300.8877258333337</v>
      </c>
      <c r="DY404" s="109">
        <f t="shared" si="421"/>
        <v>-5.631051180898794E-13</v>
      </c>
      <c r="EA404" s="110">
        <f t="shared" si="424"/>
        <v>3.1270451640078516E-2</v>
      </c>
      <c r="EB404" s="110">
        <f t="shared" si="424"/>
        <v>0.10576481131658687</v>
      </c>
      <c r="EC404" s="110">
        <f t="shared" si="424"/>
        <v>0.57316494293133291</v>
      </c>
      <c r="ED404" s="110">
        <f t="shared" si="424"/>
        <v>6.9345360706629972E-2</v>
      </c>
      <c r="EE404" s="110">
        <f t="shared" si="424"/>
        <v>7.3628445896921982E-2</v>
      </c>
      <c r="EF404" s="110">
        <f t="shared" si="424"/>
        <v>0.1220599225010852</v>
      </c>
      <c r="EG404" s="110">
        <f t="shared" si="384"/>
        <v>2.3857218585075921E-2</v>
      </c>
      <c r="EH404" s="111">
        <f t="shared" si="435"/>
        <v>9.0884642228860647E-4</v>
      </c>
      <c r="EI404" s="110">
        <f t="shared" si="409"/>
        <v>0.99909115357771139</v>
      </c>
      <c r="EK404" s="132">
        <f>(EA404*'Renewable Diesel'!BF413*'Feedstock Conversion Rates'!B$2)+FB404</f>
        <v>540.62049043533307</v>
      </c>
      <c r="EL404" s="132">
        <f>(EB404*'Renewable Diesel'!BF413*'Feedstock Conversion Rates'!B$3)+FC404</f>
        <v>1723.1105349639006</v>
      </c>
      <c r="EM404" s="132">
        <f>(EC404*'Renewable Diesel'!BF413*'Feedstock Conversion Rates'!B$4)+FD404</f>
        <v>8743.3991561861021</v>
      </c>
      <c r="EN404" s="132">
        <f>(ED404*'Renewable Diesel'!BF413*'Feedstock Conversion Rates'!B$5)+FE404</f>
        <v>1064.8876388382739</v>
      </c>
      <c r="EO404" s="132">
        <f>(EE404*'Renewable Diesel'!BF413*'Feedstock Conversion Rates'!B$6)+FF404</f>
        <v>1404.7139481377194</v>
      </c>
      <c r="EP404" s="132">
        <f>(EF404*'Renewable Diesel'!BF413*'Feedstock Conversion Rates'!B$7)+FG404</f>
        <v>2284.0223002397802</v>
      </c>
      <c r="EQ404" s="132">
        <f>(EG404*'Renewable Diesel'!BF413*'Feedstock Conversion Rates'!B$8)+FH404</f>
        <v>454.91526352539495</v>
      </c>
      <c r="ER404" s="132">
        <f>(EH404*'Renewable Diesel'!BF413*'Feedstock Conversion Rates'!B$9)+FI404</f>
        <v>17.099037206795796</v>
      </c>
      <c r="ES404" s="132">
        <f t="shared" si="436"/>
        <v>16232.768369533302</v>
      </c>
      <c r="ET404" s="133">
        <f>ES404/'Renewable Diesel'!BF413</f>
        <v>17.040053899868266</v>
      </c>
      <c r="EW404" s="73">
        <f t="shared" si="386"/>
        <v>15022.738921224758</v>
      </c>
      <c r="EX404" s="73">
        <f t="shared" si="387"/>
        <v>9839.9762787346881</v>
      </c>
      <c r="EY404" s="92">
        <f t="shared" si="410"/>
        <v>0.92545760397963883</v>
      </c>
      <c r="EZ404" s="92">
        <f t="shared" si="410"/>
        <v>0.60617979969473257</v>
      </c>
      <c r="FB404" s="102">
        <f>IF('Renewable Diesel'!$BG413&lt;1,0,(((('Renewable Diesel'!$BG413-1)*'Renewable Diesel'!$BF413)*'RD Feedstock Breakdown'!EA404)*'Feedstock Conversion Rates'!$B$2))</f>
        <v>287.41407390820598</v>
      </c>
      <c r="FC404" s="102">
        <f>IF('Renewable Diesel'!$BG413&lt;1,0,(((('Renewable Diesel'!$BG413-1)*'Renewable Diesel'!$BF413)*'RD Feedstock Breakdown'!EB404)*'Feedstock Conversion Rates'!$B$3))</f>
        <v>916.07001105216568</v>
      </c>
      <c r="FD404" s="102">
        <f>IF('Renewable Diesel'!$BG413&lt;1,0,(((('Renewable Diesel'!$BG413-1)*'Renewable Diesel'!$BF413)*'RD Feedstock Breakdown'!EC404)*'Feedstock Conversion Rates'!$B$4))</f>
        <v>4648.3180266834706</v>
      </c>
      <c r="FE404" s="102">
        <f>IF('Renewable Diesel'!$BG413&lt;1,0,(((('Renewable Diesel'!$BG413-1)*'Renewable Diesel'!$BF413)*'RD Feedstock Breakdown'!ED404)*'Feedstock Conversion Rates'!$B$5))</f>
        <v>566.13409951691187</v>
      </c>
      <c r="FF404" s="102">
        <f>IF('Renewable Diesel'!$BG413&lt;1,0,(((('Renewable Diesel'!$BG413-1)*'Renewable Diesel'!$BF413)*'RD Feedstock Breakdown'!EE404)*'Feedstock Conversion Rates'!$B$6))</f>
        <v>746.79847629311291</v>
      </c>
      <c r="FG404" s="102">
        <f>IF('Renewable Diesel'!$BG413&lt;1,0,(((('Renewable Diesel'!$BG413-1)*'Renewable Diesel'!$BF413)*'RD Feedstock Breakdown'!EF404)*'Feedstock Conversion Rates'!$B$7))</f>
        <v>1214.2716856338429</v>
      </c>
      <c r="FH404" s="102">
        <f>IF('Renewable Diesel'!$BG413&lt;1,0,(((('Renewable Diesel'!$BG413-1)*'Renewable Diesel'!$BF413)*'RD Feedstock Breakdown'!EG404)*'Feedstock Conversion Rates'!$B$8))</f>
        <v>241.84996959248352</v>
      </c>
      <c r="FI404" s="102">
        <f>IF('Renewable Diesel'!$BG413&lt;1,0,(((('Renewable Diesel'!$BG413-1)*'Renewable Diesel'!$BF413)*'RD Feedstock Breakdown'!EH404)*'Feedstock Conversion Rates'!$B$9))</f>
        <v>9.0904877459523963</v>
      </c>
      <c r="FJ404" s="102">
        <f t="shared" si="388"/>
        <v>8629.9468304261463</v>
      </c>
      <c r="GD404" s="91">
        <f>'Renewable Diesel'!BB413*0.32</f>
        <v>0</v>
      </c>
      <c r="GE404" s="91">
        <f>'Renewable Diesel'!BC413</f>
        <v>466.82514441902299</v>
      </c>
      <c r="GF404" s="91">
        <f>'Renewable Diesel'!BD413</f>
        <v>0</v>
      </c>
      <c r="GG404" s="91">
        <f t="shared" si="373"/>
        <v>466.82514441902299</v>
      </c>
      <c r="GH404" s="124">
        <v>1</v>
      </c>
      <c r="GI404" s="102">
        <f>$GG404*EA404*'Feedstock Conversion Rates'!$B$2</f>
        <v>124.08158137488569</v>
      </c>
      <c r="GJ404" s="102">
        <f>$GG404*EB404*'Feedstock Conversion Rates'!$B$3</f>
        <v>395.48312327170419</v>
      </c>
      <c r="GK404" s="102">
        <f>$GG404*EC404*'Feedstock Conversion Rates'!$B$4</f>
        <v>2006.758554448804</v>
      </c>
      <c r="GL404" s="102">
        <f>$GG404*ED404*'Feedstock Conversion Rates'!$B$5</f>
        <v>244.40979310129643</v>
      </c>
      <c r="GM404" s="102">
        <f>$GG404*EE404*'Feedstock Conversion Rates'!$B$6</f>
        <v>322.40570076049744</v>
      </c>
      <c r="GN404" s="102">
        <f>$GG404*EF404*'Feedstock Conversion Rates'!$B$7</f>
        <v>524.22189673396338</v>
      </c>
      <c r="GO404" s="102">
        <f>$GG404*EG404*'Feedstock Conversion Rates'!$B$8</f>
        <v>104.41077666950875</v>
      </c>
      <c r="GP404" s="102">
        <f>$GG404*EH404*'Feedstock Conversion Rates'!B$9</f>
        <v>3.9245193516412176</v>
      </c>
      <c r="GQ404" s="102">
        <f t="shared" si="437"/>
        <v>3725.6959457123016</v>
      </c>
      <c r="GT404" s="103">
        <f t="shared" si="418"/>
        <v>3.3304269372191879E-2</v>
      </c>
      <c r="GU404" s="103">
        <f t="shared" si="416"/>
        <v>0.10615013383656387</v>
      </c>
      <c r="GV404" s="103">
        <f t="shared" si="416"/>
        <v>0.53862649654979811</v>
      </c>
      <c r="GW404" s="103">
        <f t="shared" si="416"/>
        <v>6.5601110950176747E-2</v>
      </c>
      <c r="GX404" s="103">
        <f t="shared" si="416"/>
        <v>8.6535698419388296E-2</v>
      </c>
      <c r="GY404" s="103">
        <f t="shared" si="416"/>
        <v>0.14070442257566981</v>
      </c>
      <c r="GZ404" s="103">
        <f t="shared" si="416"/>
        <v>2.8024502855545516E-2</v>
      </c>
      <c r="HA404" s="103">
        <f t="shared" si="416"/>
        <v>1.0533654406655838E-3</v>
      </c>
    </row>
    <row r="405" spans="1:209" x14ac:dyDescent="0.25">
      <c r="A405" s="96">
        <v>52749</v>
      </c>
      <c r="B405" s="104">
        <f t="shared" si="406"/>
        <v>44.25</v>
      </c>
      <c r="C405" s="104">
        <f t="shared" si="396"/>
        <v>49</v>
      </c>
      <c r="D405" s="104">
        <f t="shared" si="407"/>
        <v>2</v>
      </c>
      <c r="E405" s="104">
        <f>('Renewable Diesel'!B414*E$3*'Feedstock Conversion Rates'!$B$2)/12+26+13-100+27.5+39</f>
        <v>95.43</v>
      </c>
      <c r="F405" s="104">
        <f>('Renewable Diesel'!B414*'RD Feedstock Breakdown'!F$3*'Feedstock Conversion Rates'!B$8)/12+77+23-10-12-115.75+24+8</f>
        <v>48.15625</v>
      </c>
      <c r="G405" s="104">
        <f>('Renewable Diesel'!B414*'RD Feedstock Breakdown'!G$3*'Feedstock Conversion Rates'!B$7)/12+116.75-39-57.5-145-31.5+32+70-40+10+60</f>
        <v>151.90700000000004</v>
      </c>
      <c r="H405" s="104">
        <f>('Renewable Diesel'!B414*'RD Feedstock Breakdown'!H$3*'Feedstock Conversion Rates'!B$3)/12+67+10+12+3-235+20+47-20+25</f>
        <v>105.40022499999998</v>
      </c>
      <c r="I405" s="106">
        <f t="shared" si="370"/>
        <v>496.14347500000002</v>
      </c>
      <c r="J405" s="104">
        <f t="shared" si="417"/>
        <v>4</v>
      </c>
      <c r="K405" s="104"/>
      <c r="L405" s="104">
        <v>1</v>
      </c>
      <c r="M405" s="104">
        <f>('Renewable Diesel'!C414*'RD Feedstock Breakdown'!M$3*'Feedstock Conversion Rates'!B$2)/12</f>
        <v>7.7902500000000003</v>
      </c>
      <c r="N405" s="104">
        <f>('Renewable Diesel'!C414*'RD Feedstock Breakdown'!N$3*'Feedstock Conversion Rates'!B$8)/12</f>
        <v>3.671875</v>
      </c>
      <c r="O405" s="104">
        <f>('Renewable Diesel'!C414*'RD Feedstock Breakdown'!O$3*'Feedstock Conversion Rates'!B$7)/12</f>
        <v>11.9991</v>
      </c>
      <c r="P405" s="104">
        <f>('Renewable Diesel'!C414*'RD Feedstock Breakdown'!P$3*'Feedstock Conversion Rates'!B$3)/12</f>
        <v>10.4470425</v>
      </c>
      <c r="Q405" s="106">
        <f t="shared" si="379"/>
        <v>38.908267500000001</v>
      </c>
      <c r="R405" s="104">
        <f>('Renewable Diesel'!D414*'RD Feedstock Breakdown'!R$3*'Feedstock Conversion Rates'!B$7)/12</f>
        <v>2.2999999999999998</v>
      </c>
      <c r="S405" s="106">
        <f t="shared" si="414"/>
        <v>2.2999999999999998</v>
      </c>
      <c r="T405" s="104">
        <f t="shared" si="380"/>
        <v>0.82499999999999929</v>
      </c>
      <c r="U405" s="104"/>
      <c r="V405" s="104">
        <f>('Renewable Diesel'!E414*'RD Feedstock Breakdown'!V$3*'Feedstock Conversion Rates'!B$6)/12-20+25</f>
        <v>49.250150000000012</v>
      </c>
      <c r="W405" s="104">
        <f>('Renewable Diesel'!E414*'RD Feedstock Breakdown'!W$3*'Feedstock Conversion Rates'!B$8)/12-6</f>
        <v>16.1796875</v>
      </c>
      <c r="X405" s="106">
        <f t="shared" si="438"/>
        <v>66.254837500000008</v>
      </c>
      <c r="Y405" s="104">
        <f t="shared" si="381"/>
        <v>98</v>
      </c>
      <c r="Z405" s="104">
        <f>('Renewable Diesel'!F414*'RD Feedstock Breakdown'!Z$3*'Feedstock Conversion Rates'!B$6)/12-142+15+5+20+5+15</f>
        <v>77.460000000000008</v>
      </c>
      <c r="AA405" s="104">
        <f>('Renewable Diesel'!F414*'RD Feedstock Breakdown'!AA$3*'Feedstock Conversion Rates'!B$7)/12+24</f>
        <v>128.26666666666665</v>
      </c>
      <c r="AB405" s="106">
        <f t="shared" si="400"/>
        <v>303.72666666666669</v>
      </c>
      <c r="AC405" s="104">
        <f>('Renewable Diesel'!G414*'RD Feedstock Breakdown'!AC$3*'Feedstock Conversion Rates'!B$5)/12</f>
        <v>11.796875</v>
      </c>
      <c r="AD405" s="104">
        <f>('Renewable Diesel'!G414*'RD Feedstock Breakdown'!AD$3*'Feedstock Conversion Rates'!B$4)/12</f>
        <v>5.859375</v>
      </c>
      <c r="AE405" s="104">
        <f>('Renewable Diesel'!G414*'RD Feedstock Breakdown'!AE$3*'Feedstock Conversion Rates'!B$6)/12</f>
        <v>7.3281250000000009</v>
      </c>
      <c r="AF405" s="106">
        <f t="shared" ref="AF405:AF468" si="445">SUM(AC405:AE405)</f>
        <v>24.984375</v>
      </c>
      <c r="AG405" s="104">
        <f t="shared" si="383"/>
        <v>148</v>
      </c>
      <c r="AH405" s="104"/>
      <c r="AI405" s="104">
        <f>('Renewable Diesel'!H414*'RD Feedstock Breakdown'!AI$3*'Feedstock Conversion Rates'!B$6)/12-130-20+51-49</f>
        <v>0.51666666666667993</v>
      </c>
      <c r="AJ405" s="106">
        <f t="shared" si="413"/>
        <v>148.51666666666668</v>
      </c>
      <c r="AK405" s="104">
        <f>('Renewable Diesel'!J414*'RD Feedstock Breakdown'!AK$3*'Feedstock Conversion Rates'!B$4)/12</f>
        <v>95.8125</v>
      </c>
      <c r="AL405" s="106">
        <f t="shared" si="415"/>
        <v>95.8125</v>
      </c>
      <c r="AM405" s="104">
        <f>('Renewable Diesel'!K414*'RD Feedstock Breakdown'!AM$3*'Feedstock Conversion Rates'!B$4)/12+5+15-10+10</f>
        <v>78.59375</v>
      </c>
      <c r="AN405" s="104">
        <f>('Renewable Diesel'!K414*'RD Feedstock Breakdown'!AN$3*'Feedstock Conversion Rates'!B$6)/12-5-15+10-10</f>
        <v>4.4270833333333321</v>
      </c>
      <c r="AO405" s="106">
        <f t="shared" si="431"/>
        <v>83.020833333333329</v>
      </c>
      <c r="AP405" s="104">
        <f>('Renewable Diesel'!L414*'RD Feedstock Breakdown'!AP$3*'Feedstock Conversion Rates'!B$4)/12+15-10+15</f>
        <v>78.59375</v>
      </c>
      <c r="AQ405" s="104">
        <f>('Renewable Diesel'!L414*'RD Feedstock Breakdown'!AQ$3*'Feedstock Conversion Rates'!B$6)/12-15+10-15</f>
        <v>4.4270833333333321</v>
      </c>
      <c r="AR405" s="106">
        <f t="shared" si="420"/>
        <v>83.020833333333329</v>
      </c>
      <c r="AS405" s="104">
        <f>('Renewable Diesel'!M414*'RD Feedstock Breakdown'!AS$3*'Feedstock Conversion Rates'!B$4)/12</f>
        <v>456.25</v>
      </c>
      <c r="AT405" s="104">
        <f>('Renewable Diesel'!M414*'RD Feedstock Breakdown'!AT$3*'Feedstock Conversion Rates'!B$5)/12</f>
        <v>0</v>
      </c>
      <c r="AU405" s="106">
        <f t="shared" si="369"/>
        <v>456.25</v>
      </c>
      <c r="AV405" s="104">
        <f>'Renewable Diesel'!N414*'RD Feedstock Breakdown'!$AV$3*'Feedstock Conversion Rates'!$B$4/12-15-10+25+25-22+25</f>
        <v>106.74999999999999</v>
      </c>
      <c r="AW405" s="104">
        <f>'Renewable Diesel'!N414*'RD Feedstock Breakdown'!$AW$3*'Feedstock Conversion Rates'!$B$7/12+15+10-25-25+22-25</f>
        <v>13.400000000000006</v>
      </c>
      <c r="AX405" s="106">
        <f t="shared" si="408"/>
        <v>120.14999999999999</v>
      </c>
      <c r="AY405" s="104">
        <f>('Renewable Diesel'!O414*'RD Feedstock Breakdown'!AY$3*'Feedstock Conversion Rates'!B$4)/12</f>
        <v>210.9375</v>
      </c>
      <c r="AZ405" s="104">
        <f>('Renewable Diesel'!O414*'RD Feedstock Breakdown'!AZ$3*'Feedstock Conversion Rates'!B$3)/12</f>
        <v>25.03125</v>
      </c>
      <c r="BA405" s="106">
        <f t="shared" si="382"/>
        <v>235.96875</v>
      </c>
      <c r="BB405" s="104">
        <f>('Renewable Diesel'!Q414*'RD Feedstock Breakdown'!BB$3*'Feedstock Conversion Rates'!B$4)/12</f>
        <v>11.156249999999998</v>
      </c>
      <c r="BC405" s="104">
        <f>('Renewable Diesel'!Q414*'RD Feedstock Breakdown'!BC$3*'Feedstock Conversion Rates'!B$3)/12</f>
        <v>1.4017500000000001</v>
      </c>
      <c r="BD405" s="104">
        <f>('Renewable Diesel'!Q414*'RD Feedstock Breakdown'!BD$3*'Feedstock Conversion Rates'!B$6)/12</f>
        <v>0.8207500000000002</v>
      </c>
      <c r="BE405" s="106">
        <f t="shared" si="440"/>
        <v>13.378749999999998</v>
      </c>
      <c r="BF405" s="104">
        <f>('Renewable Diesel'!R414*'RD Feedstock Breakdown'!BF$3*'Feedstock Conversion Rates'!B$4)/12</f>
        <v>62.5</v>
      </c>
      <c r="BG405" s="106">
        <f t="shared" si="425"/>
        <v>62.5</v>
      </c>
      <c r="BH405" s="104">
        <f>('Renewable Diesel'!T414*'RD Feedstock Breakdown'!BH$3*'Feedstock Conversion Rates'!B$7)/12</f>
        <v>27.599999999999998</v>
      </c>
      <c r="BI405" s="106">
        <f t="shared" si="412"/>
        <v>27.599999999999998</v>
      </c>
      <c r="BJ405" s="104">
        <f>('Renewable Diesel'!W414*'RD Feedstock Breakdown'!BJ$3*'Feedstock Conversion Rates'!B$4)/12</f>
        <v>7.5</v>
      </c>
      <c r="BK405" s="104">
        <f>('Renewable Diesel'!W414*'RD Feedstock Breakdown'!BK$3*'Feedstock Conversion Rates'!B$3)/12</f>
        <v>1.335</v>
      </c>
      <c r="BL405" s="104">
        <f>('Renewable Diesel'!W414*'RD Feedstock Breakdown'!BL$3*'Feedstock Conversion Rates'!B$6)/12</f>
        <v>3.1266666666666669</v>
      </c>
      <c r="BM405" s="104">
        <f>('Renewable Diesel'!W414*'RD Feedstock Breakdown'!BM$3*'Feedstock Conversion Rates'!B$7)/12</f>
        <v>1.5333333333333332</v>
      </c>
      <c r="BN405" s="106">
        <f t="shared" si="374"/>
        <v>13.495000000000001</v>
      </c>
      <c r="BO405" s="104">
        <f>('Renewable Diesel'!P414*'Feedstock Conversion Rates'!B$4)/12</f>
        <v>31.25</v>
      </c>
      <c r="BP405" s="106">
        <f t="shared" ref="BP405:BP468" si="446">BO405</f>
        <v>31.25</v>
      </c>
      <c r="BQ405" s="104">
        <f>('Renewable Diesel'!$S414*'RD Feedstock Breakdown'!BQ$3*'Feedstock Conversion Rates'!B$4)/12+10+15-15</f>
        <v>38.125</v>
      </c>
      <c r="BR405" s="104">
        <f>('Renewable Diesel'!$S414*'RD Feedstock Breakdown'!BR$3*'Feedstock Conversion Rates'!B$7)/12-10-15+15</f>
        <v>1.5</v>
      </c>
      <c r="BS405" s="106">
        <f t="shared" si="385"/>
        <v>39.625</v>
      </c>
      <c r="BT405" s="106"/>
      <c r="BU405" s="104">
        <f>('Renewable Diesel'!Y414*'Feedstock Conversion Rates'!B$7)/12</f>
        <v>2.6833333333333331</v>
      </c>
      <c r="BV405" s="106">
        <f t="shared" si="442"/>
        <v>2.6833333333333331</v>
      </c>
      <c r="BW405" s="104">
        <f>('Renewable Diesel'!$Z414*'RD Feedstock Breakdown'!BW$3*'Feedstock Conversion Rates'!$B$4)/12-250+180</f>
        <v>1.875</v>
      </c>
      <c r="BX405" s="104">
        <f>('Renewable Diesel'!$Z414*'RD Feedstock Breakdown'!BX$3*'Feedstock Conversion Rates'!$B$5)/12</f>
        <v>7.2354166666666666</v>
      </c>
      <c r="BY405" s="104">
        <f>('Renewable Diesel'!$Z414*'RD Feedstock Breakdown'!BY$3*'Feedstock Conversion Rates'!$B$7)/12</f>
        <v>61.716666666666661</v>
      </c>
      <c r="BZ405" s="104">
        <f>('Renewable Diesel'!$Z414*'RD Feedstock Breakdown'!BZ$3*'Feedstock Conversion Rates'!$B$3)/12+250-180</f>
        <v>85.35250000000002</v>
      </c>
      <c r="CA405" s="106">
        <f t="shared" si="392"/>
        <v>156.17958333333334</v>
      </c>
      <c r="CB405" s="104">
        <f>('Renewable Diesel'!AA414*'Feedstock Conversion Rates'!B$4)/12</f>
        <v>191.25</v>
      </c>
      <c r="CC405" s="106">
        <f t="shared" si="376"/>
        <v>191.25</v>
      </c>
      <c r="CD405" s="104">
        <f>('Renewable Diesel'!$AB414*'RD Feedstock Breakdown'!CD$3*'Feedstock Conversion Rates'!$B$6)/12-15-5</f>
        <v>12.830000000000005</v>
      </c>
      <c r="CE405" s="104">
        <f>('Renewable Diesel'!$AB414*'RD Feedstock Breakdown'!CE$3*'Feedstock Conversion Rates'!$B$4)/12+15+5</f>
        <v>31.25</v>
      </c>
      <c r="CF405" s="106">
        <f t="shared" si="372"/>
        <v>44.080000000000005</v>
      </c>
      <c r="CG405" s="104">
        <f>('Renewable Diesel'!AD414*'Feedstock Conversion Rates'!B$4)/12</f>
        <v>112.5</v>
      </c>
      <c r="CH405" s="106">
        <f t="shared" si="439"/>
        <v>112.5</v>
      </c>
      <c r="CI405" s="104">
        <f>('Renewable Diesel'!$AE414*'RD Feedstock Breakdown'!CI$3*'Feedstock Conversion Rates'!$B$5)/12</f>
        <v>0.34604166666666664</v>
      </c>
      <c r="CJ405" s="104">
        <f>('Renewable Diesel'!$AE414*'RD Feedstock Breakdown'!CJ$3*'Feedstock Conversion Rates'!$B$4)/12</f>
        <v>0.34375</v>
      </c>
      <c r="CK405" s="106">
        <f t="shared" ref="CK405:CK468" si="447">SUM(CI405:CJ405)</f>
        <v>0.68979166666666658</v>
      </c>
      <c r="CL405" s="104">
        <f>(((CL$3*'Renewable Diesel'!$AF414)*'Feedstock Conversion Rates'!$B$3)/12)</f>
        <v>91.78125</v>
      </c>
      <c r="CM405" s="104">
        <f>(((CM$3*'Renewable Diesel'!$AF414)*'Feedstock Conversion Rates'!$B$6)/12)</f>
        <v>53.739583333333336</v>
      </c>
      <c r="CN405" s="104">
        <f>(((CN$3*'Renewable Diesel'!$AF414)*'Feedstock Conversion Rates'!$B$4)/12)</f>
        <v>42.96875</v>
      </c>
      <c r="CO405" s="106">
        <f t="shared" si="441"/>
        <v>188.48958333333334</v>
      </c>
      <c r="CP405" s="104">
        <f>('Renewable Diesel'!$AG414*'RD Feedstock Breakdown'!CP$3*'Feedstock Conversion Rates'!$B$3)/12</f>
        <v>6.0075000000000003</v>
      </c>
      <c r="CQ405" s="104">
        <f>('Renewable Diesel'!$AG414*'RD Feedstock Breakdown'!CQ$3*'Feedstock Conversion Rates'!$B$6)/12</f>
        <v>3.5175000000000001</v>
      </c>
      <c r="CR405" s="104">
        <f>('Renewable Diesel'!$AG414*'RD Feedstock Breakdown'!CR$3*'Feedstock Conversion Rates'!$B$4)/12</f>
        <v>2.8125</v>
      </c>
      <c r="CS405" s="106">
        <f t="shared" si="397"/>
        <v>12.3375</v>
      </c>
      <c r="CT405" s="104">
        <f>('Renewable Diesel'!AI414*'Feedstock Conversion Rates'!$B$4*'RD Feedstock Breakdown'!$CT$3)/12</f>
        <v>29.375</v>
      </c>
      <c r="CU405" s="106">
        <f t="shared" si="443"/>
        <v>29.375</v>
      </c>
      <c r="CV405" s="104">
        <f>('Renewable Diesel'!AN414*'Feedstock Conversion Rates'!$B$3*'RD Feedstock Breakdown'!$CV$3)/12</f>
        <v>0.50062499999999999</v>
      </c>
      <c r="CW405" s="106">
        <f t="shared" si="419"/>
        <v>0.50062499999999999</v>
      </c>
      <c r="CX405" s="104">
        <f>('Renewable Diesel'!AO414*'RD Feedstock Breakdown'!$CX$3*'Feedstock Conversion Rates'!$B$3)/12</f>
        <v>6.3412499999999996</v>
      </c>
      <c r="CY405" s="104">
        <f>('Renewable Diesel'!AO414*'RD Feedstock Breakdown'!$CY$3*'Feedstock Conversion Rates'!$B$6)/12</f>
        <v>7.4258333333333342</v>
      </c>
      <c r="CZ405" s="106">
        <f t="shared" si="398"/>
        <v>13.767083333333334</v>
      </c>
      <c r="DA405" s="104">
        <f>('Renewable Diesel'!$AP414*'RD Feedstock Breakdown'!DA$3*'Feedstock Conversion Rates'!$B$3)/12</f>
        <v>6.3412499999999996</v>
      </c>
      <c r="DB405" s="104">
        <f>('Renewable Diesel'!$AP414*'RD Feedstock Breakdown'!DB$3*'Feedstock Conversion Rates'!$B$8)/12</f>
        <v>7.421875</v>
      </c>
      <c r="DC405" s="106">
        <f t="shared" si="422"/>
        <v>13.763124999999999</v>
      </c>
      <c r="DD405" s="104">
        <f>('Renewable Diesel'!AQ414*$DD$3*'Feedstock Conversion Rates'!$B$14)/12</f>
        <v>3.1041666666666665</v>
      </c>
      <c r="DE405" s="106">
        <f t="shared" si="423"/>
        <v>3.1041666666666665</v>
      </c>
      <c r="DF405" s="104">
        <f>('Renewable Diesel'!AR414*'Feedstock Conversion Rates'!$B$4*$DF$3)/12</f>
        <v>75</v>
      </c>
      <c r="DG405" s="106">
        <f t="shared" si="399"/>
        <v>75</v>
      </c>
      <c r="DH405" s="104">
        <f>('Renewable Diesel'!AS414*'Feedstock Conversion Rates'!$B$4*$DH$3)/12</f>
        <v>75</v>
      </c>
      <c r="DI405" s="106">
        <f t="shared" si="411"/>
        <v>75</v>
      </c>
      <c r="DJ405" s="104">
        <f>('Renewable Diesel'!AT414*'Feedstock Conversion Rates'!$B$4*0.25)/12</f>
        <v>8.59375</v>
      </c>
      <c r="DK405" s="104">
        <f>('Renewable Diesel'!$AT414*'RD Feedstock Breakdown'!DK$3*'Feedstock Conversion Rates'!$B$3)/12*0.5</f>
        <v>9.1781249999999996</v>
      </c>
      <c r="DL405" s="104">
        <f>('Renewable Diesel'!$AT414*'RD Feedstock Breakdown'!$DL$3*'Feedstock Conversion Rates'!$B$6)/12</f>
        <v>10.747916666666669</v>
      </c>
      <c r="DM405" s="104">
        <f>('Renewable Diesel'!$AT414*'RD Feedstock Breakdown'!$DM$3*'Feedstock Conversion Rates'!$B$8)/12</f>
        <v>10.7421875</v>
      </c>
      <c r="DN405" s="106">
        <f t="shared" si="375"/>
        <v>39.26197916666667</v>
      </c>
      <c r="DP405" s="104">
        <f t="shared" si="426"/>
        <v>103.22025000000001</v>
      </c>
      <c r="DQ405" s="104">
        <f t="shared" si="427"/>
        <v>349.11776750000007</v>
      </c>
      <c r="DR405" s="104">
        <f t="shared" si="432"/>
        <v>1891.953125</v>
      </c>
      <c r="DS405" s="104">
        <f t="shared" si="444"/>
        <v>228.90125</v>
      </c>
      <c r="DT405" s="104">
        <f t="shared" si="428"/>
        <v>243.03923333333344</v>
      </c>
      <c r="DU405" s="104">
        <f t="shared" si="429"/>
        <v>402.90610000000009</v>
      </c>
      <c r="DV405" s="104">
        <f t="shared" si="433"/>
        <v>78.75</v>
      </c>
      <c r="DW405" s="104">
        <f t="shared" si="430"/>
        <v>3</v>
      </c>
      <c r="DX405" s="106">
        <f t="shared" si="434"/>
        <v>3300.8877258333337</v>
      </c>
      <c r="DY405" s="109">
        <f t="shared" si="421"/>
        <v>-5.631051180898794E-13</v>
      </c>
      <c r="EA405" s="110">
        <f t="shared" si="424"/>
        <v>3.1270451640078516E-2</v>
      </c>
      <c r="EB405" s="110">
        <f t="shared" si="424"/>
        <v>0.10576481131658687</v>
      </c>
      <c r="EC405" s="110">
        <f t="shared" si="424"/>
        <v>0.57316494293133291</v>
      </c>
      <c r="ED405" s="110">
        <f t="shared" si="424"/>
        <v>6.9345360706629972E-2</v>
      </c>
      <c r="EE405" s="110">
        <f t="shared" si="424"/>
        <v>7.3628445896921982E-2</v>
      </c>
      <c r="EF405" s="110">
        <f t="shared" si="424"/>
        <v>0.1220599225010852</v>
      </c>
      <c r="EG405" s="110">
        <f t="shared" si="384"/>
        <v>2.3857218585075921E-2</v>
      </c>
      <c r="EH405" s="111">
        <f t="shared" si="435"/>
        <v>9.0884642228860647E-4</v>
      </c>
      <c r="EI405" s="110">
        <f t="shared" si="409"/>
        <v>0.99909115357771139</v>
      </c>
      <c r="EK405" s="132">
        <f>(EA405*'Renewable Diesel'!BF414*'Feedstock Conversion Rates'!B$2)+FB405</f>
        <v>495.58156845200369</v>
      </c>
      <c r="EL405" s="132">
        <f>(EB405*'Renewable Diesel'!BF414*'Feedstock Conversion Rates'!B$3)+FC405</f>
        <v>1579.5587415599932</v>
      </c>
      <c r="EM405" s="132">
        <f>(EC405*'Renewable Diesel'!BF414*'Feedstock Conversion Rates'!B$4)+FD405</f>
        <v>8014.9893392598642</v>
      </c>
      <c r="EN405" s="132">
        <f>(ED405*'Renewable Diesel'!BF414*'Feedstock Conversion Rates'!B$5)+FE405</f>
        <v>976.17218662145535</v>
      </c>
      <c r="EO405" s="132">
        <f>(EE405*'Renewable Diesel'!BF414*'Feedstock Conversion Rates'!B$6)+FF405</f>
        <v>1287.6876736283607</v>
      </c>
      <c r="EP405" s="132">
        <f>(EF405*'Renewable Diesel'!BF414*'Feedstock Conversion Rates'!B$7)+FG405</f>
        <v>2093.7411251665817</v>
      </c>
      <c r="EQ405" s="132">
        <f>(EG405*'Renewable Diesel'!BF414*'Feedstock Conversion Rates'!B$8)+FH405</f>
        <v>417.01641687522931</v>
      </c>
      <c r="ER405" s="132">
        <f>(EH405*'Renewable Diesel'!BF414*'Feedstock Conversion Rates'!B$9)+FI405</f>
        <v>15.674521827945128</v>
      </c>
      <c r="ES405" s="132">
        <f t="shared" si="436"/>
        <v>14880.421573391433</v>
      </c>
      <c r="ET405" s="133">
        <f>ES405/'Renewable Diesel'!BF414</f>
        <v>16.049520670095788</v>
      </c>
      <c r="EW405" s="73">
        <f t="shared" si="386"/>
        <v>13511.300068557242</v>
      </c>
      <c r="EX405" s="73">
        <f t="shared" si="387"/>
        <v>8849.9755515041943</v>
      </c>
      <c r="EY405" s="92">
        <f t="shared" si="410"/>
        <v>0.90799175291630185</v>
      </c>
      <c r="EZ405" s="92">
        <f t="shared" si="410"/>
        <v>0.59473957158104729</v>
      </c>
      <c r="FB405" s="102">
        <f>IF('Renewable Diesel'!$BG414&lt;1,0,(((('Renewable Diesel'!$BG414-1)*'Renewable Diesel'!$BF414)*'RD Feedstock Breakdown'!EA405)*'Feedstock Conversion Rates'!$B$2))</f>
        <v>249.14437830434954</v>
      </c>
      <c r="FC405" s="102">
        <f>IF('Renewable Diesel'!$BG414&lt;1,0,(((('Renewable Diesel'!$BG414-1)*'Renewable Diesel'!$BF414)*'RD Feedstock Breakdown'!EB405)*'Feedstock Conversion Rates'!$B$3))</f>
        <v>794.09365826582143</v>
      </c>
      <c r="FD405" s="102">
        <f>IF('Renewable Diesel'!$BG414&lt;1,0,(((('Renewable Diesel'!$BG414-1)*'Renewable Diesel'!$BF414)*'RD Feedstock Breakdown'!EC405)*'Feedstock Conversion Rates'!$B$4))</f>
        <v>4029.3862063582451</v>
      </c>
      <c r="FE405" s="102">
        <f>IF('Renewable Diesel'!$BG414&lt;1,0,(((('Renewable Diesel'!$BG414-1)*'Renewable Diesel'!$BF414)*'RD Feedstock Breakdown'!ED405)*'Feedstock Conversion Rates'!$B$5))</f>
        <v>490.75233631767776</v>
      </c>
      <c r="FF405" s="102">
        <f>IF('Renewable Diesel'!$BG414&lt;1,0,(((('Renewable Diesel'!$BG414-1)*'Renewable Diesel'!$BF414)*'RD Feedstock Breakdown'!EE405)*'Feedstock Conversion Rates'!$B$6))</f>
        <v>647.36092970209609</v>
      </c>
      <c r="FG405" s="102">
        <f>IF('Renewable Diesel'!$BG414&lt;1,0,(((('Renewable Diesel'!$BG414-1)*'Renewable Diesel'!$BF414)*'RD Feedstock Breakdown'!EF405)*'Feedstock Conversion Rates'!$B$7))</f>
        <v>1052.5892490095657</v>
      </c>
      <c r="FH405" s="102">
        <f>IF('Renewable Diesel'!$BG414&lt;1,0,(((('Renewable Diesel'!$BG414-1)*'Renewable Diesel'!$BF414)*'RD Feedstock Breakdown'!EG405)*'Feedstock Conversion Rates'!$B$8))</f>
        <v>209.64721559282276</v>
      </c>
      <c r="FI405" s="102">
        <f>IF('Renewable Diesel'!$BG414&lt;1,0,(((('Renewable Diesel'!$BG414-1)*'Renewable Diesel'!$BF414)*'RD Feedstock Breakdown'!EH405)*'Feedstock Conversion Rates'!$B$9))</f>
        <v>7.8800731194254654</v>
      </c>
      <c r="FJ405" s="102">
        <f t="shared" si="388"/>
        <v>7480.8540466700033</v>
      </c>
      <c r="GD405" s="91">
        <f>'Renewable Diesel'!BB414*0.32</f>
        <v>0</v>
      </c>
      <c r="GE405" s="91">
        <f>'Renewable Diesel'!BC414</f>
        <v>445.32014093675434</v>
      </c>
      <c r="GF405" s="91">
        <f>'Renewable Diesel'!BD414</f>
        <v>0</v>
      </c>
      <c r="GG405" s="91">
        <f t="shared" si="373"/>
        <v>445.32014093675434</v>
      </c>
      <c r="GH405" s="124">
        <v>1</v>
      </c>
      <c r="GI405" s="102">
        <f>$GG405*EA405*'Feedstock Conversion Rates'!$B$2</f>
        <v>118.36557641788367</v>
      </c>
      <c r="GJ405" s="102">
        <f>$GG405*EB405*'Feedstock Conversion Rates'!$B$3</f>
        <v>377.26459746003007</v>
      </c>
      <c r="GK405" s="102">
        <f>$GG405*EC405*'Feedstock Conversion Rates'!$B$4</f>
        <v>1914.3141987464096</v>
      </c>
      <c r="GL405" s="102">
        <f>$GG405*ED405*'Feedstock Conversion Rates'!$B$5</f>
        <v>233.15068781405827</v>
      </c>
      <c r="GM405" s="102">
        <f>$GG405*EE405*'Feedstock Conversion Rates'!$B$6</f>
        <v>307.55359649737659</v>
      </c>
      <c r="GN405" s="102">
        <f>$GG405*EF405*'Feedstock Conversion Rates'!$B$7</f>
        <v>500.07282539639567</v>
      </c>
      <c r="GO405" s="102">
        <f>$GG405*EG405*'Feedstock Conversion Rates'!$B$8</f>
        <v>99.600936962484042</v>
      </c>
      <c r="GP405" s="102">
        <f>$GG405*EH405*'Feedstock Conversion Rates'!B$9</f>
        <v>3.7437304559867015</v>
      </c>
      <c r="GQ405" s="102">
        <f t="shared" si="437"/>
        <v>3554.0661497506244</v>
      </c>
      <c r="GT405" s="103">
        <f t="shared" si="418"/>
        <v>3.3304269372191886E-2</v>
      </c>
      <c r="GU405" s="103">
        <f t="shared" si="416"/>
        <v>0.10615013383656388</v>
      </c>
      <c r="GV405" s="103">
        <f t="shared" si="416"/>
        <v>0.53862649654979833</v>
      </c>
      <c r="GW405" s="103">
        <f t="shared" si="416"/>
        <v>6.5601110950176775E-2</v>
      </c>
      <c r="GX405" s="103">
        <f t="shared" si="416"/>
        <v>8.653569841938831E-2</v>
      </c>
      <c r="GY405" s="103">
        <f t="shared" si="416"/>
        <v>0.14070442257566981</v>
      </c>
      <c r="GZ405" s="103">
        <f t="shared" si="416"/>
        <v>2.8024502855545516E-2</v>
      </c>
      <c r="HA405" s="103">
        <f t="shared" si="416"/>
        <v>1.053365440665584E-3</v>
      </c>
    </row>
    <row r="406" spans="1:209" x14ac:dyDescent="0.25">
      <c r="A406" s="96">
        <v>52779</v>
      </c>
      <c r="B406" s="104">
        <f t="shared" si="406"/>
        <v>44.25</v>
      </c>
      <c r="C406" s="104">
        <f t="shared" si="396"/>
        <v>49</v>
      </c>
      <c r="D406" s="104">
        <f t="shared" si="407"/>
        <v>2</v>
      </c>
      <c r="E406" s="104">
        <f>('Renewable Diesel'!B415*E$3*'Feedstock Conversion Rates'!$B$2)/12+26+13-100+27.5+39</f>
        <v>95.43</v>
      </c>
      <c r="F406" s="104">
        <f>('Renewable Diesel'!B415*'RD Feedstock Breakdown'!F$3*'Feedstock Conversion Rates'!B$8)/12+77+23-10-12-115.75+24+8</f>
        <v>48.15625</v>
      </c>
      <c r="G406" s="104">
        <f>('Renewable Diesel'!B415*'RD Feedstock Breakdown'!G$3*'Feedstock Conversion Rates'!B$7)/12+116.75-39-57.5-145-31.5+32+70-40+10+60</f>
        <v>151.90700000000004</v>
      </c>
      <c r="H406" s="104">
        <f>('Renewable Diesel'!B415*'RD Feedstock Breakdown'!H$3*'Feedstock Conversion Rates'!B$3)/12+67+10+12+3-235+20+47-20+25</f>
        <v>105.40022499999998</v>
      </c>
      <c r="I406" s="106">
        <f t="shared" si="370"/>
        <v>496.14347500000002</v>
      </c>
      <c r="J406" s="104">
        <f t="shared" si="417"/>
        <v>4</v>
      </c>
      <c r="K406" s="104"/>
      <c r="L406" s="104">
        <v>1</v>
      </c>
      <c r="M406" s="104">
        <f>('Renewable Diesel'!C415*'RD Feedstock Breakdown'!M$3*'Feedstock Conversion Rates'!B$2)/12</f>
        <v>7.7902500000000003</v>
      </c>
      <c r="N406" s="104">
        <f>('Renewable Diesel'!C415*'RD Feedstock Breakdown'!N$3*'Feedstock Conversion Rates'!B$8)/12</f>
        <v>3.671875</v>
      </c>
      <c r="O406" s="104">
        <f>('Renewable Diesel'!C415*'RD Feedstock Breakdown'!O$3*'Feedstock Conversion Rates'!B$7)/12</f>
        <v>11.9991</v>
      </c>
      <c r="P406" s="104">
        <f>('Renewable Diesel'!C415*'RD Feedstock Breakdown'!P$3*'Feedstock Conversion Rates'!B$3)/12</f>
        <v>10.4470425</v>
      </c>
      <c r="Q406" s="106">
        <f t="shared" si="379"/>
        <v>38.908267500000001</v>
      </c>
      <c r="R406" s="104">
        <f>('Renewable Diesel'!D415*'RD Feedstock Breakdown'!R$3*'Feedstock Conversion Rates'!B$7)/12</f>
        <v>2.2999999999999998</v>
      </c>
      <c r="S406" s="106">
        <f t="shared" si="414"/>
        <v>2.2999999999999998</v>
      </c>
      <c r="T406" s="104">
        <f t="shared" si="380"/>
        <v>0.82499999999999929</v>
      </c>
      <c r="U406" s="104"/>
      <c r="V406" s="104">
        <f>('Renewable Diesel'!E415*'RD Feedstock Breakdown'!V$3*'Feedstock Conversion Rates'!B$6)/12-20+25</f>
        <v>49.250150000000012</v>
      </c>
      <c r="W406" s="104">
        <f>('Renewable Diesel'!E415*'RD Feedstock Breakdown'!W$3*'Feedstock Conversion Rates'!B$8)/12-6</f>
        <v>16.1796875</v>
      </c>
      <c r="X406" s="106">
        <f t="shared" si="438"/>
        <v>66.254837500000008</v>
      </c>
      <c r="Y406" s="104">
        <f t="shared" si="381"/>
        <v>98</v>
      </c>
      <c r="Z406" s="104">
        <f>('Renewable Diesel'!F415*'RD Feedstock Breakdown'!Z$3*'Feedstock Conversion Rates'!B$6)/12-142+15+5+20+5+15</f>
        <v>77.460000000000008</v>
      </c>
      <c r="AA406" s="104">
        <f>('Renewable Diesel'!F415*'RD Feedstock Breakdown'!AA$3*'Feedstock Conversion Rates'!B$7)/12+24</f>
        <v>128.26666666666665</v>
      </c>
      <c r="AB406" s="106">
        <f t="shared" si="400"/>
        <v>303.72666666666669</v>
      </c>
      <c r="AC406" s="104">
        <f>('Renewable Diesel'!G415*'RD Feedstock Breakdown'!AC$3*'Feedstock Conversion Rates'!B$5)/12</f>
        <v>11.796875</v>
      </c>
      <c r="AD406" s="104">
        <f>('Renewable Diesel'!G415*'RD Feedstock Breakdown'!AD$3*'Feedstock Conversion Rates'!B$4)/12</f>
        <v>5.859375</v>
      </c>
      <c r="AE406" s="104">
        <f>('Renewable Diesel'!G415*'RD Feedstock Breakdown'!AE$3*'Feedstock Conversion Rates'!B$6)/12</f>
        <v>7.3281250000000009</v>
      </c>
      <c r="AF406" s="106">
        <f t="shared" si="445"/>
        <v>24.984375</v>
      </c>
      <c r="AG406" s="104">
        <f t="shared" si="383"/>
        <v>148</v>
      </c>
      <c r="AH406" s="104"/>
      <c r="AI406" s="104">
        <f>('Renewable Diesel'!H415*'RD Feedstock Breakdown'!AI$3*'Feedstock Conversion Rates'!B$6)/12-130-20+51-49</f>
        <v>0.51666666666667993</v>
      </c>
      <c r="AJ406" s="106">
        <f t="shared" si="413"/>
        <v>148.51666666666668</v>
      </c>
      <c r="AK406" s="104">
        <f>('Renewable Diesel'!J415*'RD Feedstock Breakdown'!AK$3*'Feedstock Conversion Rates'!B$4)/12</f>
        <v>95.8125</v>
      </c>
      <c r="AL406" s="106">
        <f t="shared" si="415"/>
        <v>95.8125</v>
      </c>
      <c r="AM406" s="104">
        <f>('Renewable Diesel'!K415*'RD Feedstock Breakdown'!AM$3*'Feedstock Conversion Rates'!B$4)/12+5+15-10+10</f>
        <v>78.59375</v>
      </c>
      <c r="AN406" s="104">
        <f>('Renewable Diesel'!K415*'RD Feedstock Breakdown'!AN$3*'Feedstock Conversion Rates'!B$6)/12-5-15+10-10</f>
        <v>4.4270833333333321</v>
      </c>
      <c r="AO406" s="106">
        <f t="shared" si="431"/>
        <v>83.020833333333329</v>
      </c>
      <c r="AP406" s="104">
        <f>('Renewable Diesel'!L415*'RD Feedstock Breakdown'!AP$3*'Feedstock Conversion Rates'!B$4)/12+15-10+15</f>
        <v>78.59375</v>
      </c>
      <c r="AQ406" s="104">
        <f>('Renewable Diesel'!L415*'RD Feedstock Breakdown'!AQ$3*'Feedstock Conversion Rates'!B$6)/12-15+10-15</f>
        <v>4.4270833333333321</v>
      </c>
      <c r="AR406" s="106">
        <f t="shared" si="420"/>
        <v>83.020833333333329</v>
      </c>
      <c r="AS406" s="104">
        <f>('Renewable Diesel'!M415*'RD Feedstock Breakdown'!AS$3*'Feedstock Conversion Rates'!B$4)/12</f>
        <v>456.25</v>
      </c>
      <c r="AT406" s="104">
        <f>('Renewable Diesel'!M415*'RD Feedstock Breakdown'!AT$3*'Feedstock Conversion Rates'!B$5)/12</f>
        <v>0</v>
      </c>
      <c r="AU406" s="106">
        <f t="shared" ref="AU406:AU469" si="448">SUM(AS406:AT406)</f>
        <v>456.25</v>
      </c>
      <c r="AV406" s="104">
        <f>'Renewable Diesel'!N415*'RD Feedstock Breakdown'!$AV$3*'Feedstock Conversion Rates'!$B$4/12-15-10+25+25-22+25</f>
        <v>106.74999999999999</v>
      </c>
      <c r="AW406" s="104">
        <f>'Renewable Diesel'!N415*'RD Feedstock Breakdown'!$AW$3*'Feedstock Conversion Rates'!$B$7/12+15+10-25-25+22-25</f>
        <v>13.400000000000006</v>
      </c>
      <c r="AX406" s="106">
        <f t="shared" si="408"/>
        <v>120.14999999999999</v>
      </c>
      <c r="AY406" s="104">
        <f>('Renewable Diesel'!O415*'RD Feedstock Breakdown'!AY$3*'Feedstock Conversion Rates'!B$4)/12</f>
        <v>210.9375</v>
      </c>
      <c r="AZ406" s="104">
        <f>('Renewable Diesel'!O415*'RD Feedstock Breakdown'!AZ$3*'Feedstock Conversion Rates'!B$3)/12</f>
        <v>25.03125</v>
      </c>
      <c r="BA406" s="106">
        <f t="shared" si="382"/>
        <v>235.96875</v>
      </c>
      <c r="BB406" s="104">
        <f>('Renewable Diesel'!Q415*'RD Feedstock Breakdown'!BB$3*'Feedstock Conversion Rates'!B$4)/12</f>
        <v>11.156249999999998</v>
      </c>
      <c r="BC406" s="104">
        <f>('Renewable Diesel'!Q415*'RD Feedstock Breakdown'!BC$3*'Feedstock Conversion Rates'!B$3)/12</f>
        <v>1.4017500000000001</v>
      </c>
      <c r="BD406" s="104">
        <f>('Renewable Diesel'!Q415*'RD Feedstock Breakdown'!BD$3*'Feedstock Conversion Rates'!B$6)/12</f>
        <v>0.8207500000000002</v>
      </c>
      <c r="BE406" s="106">
        <f t="shared" si="440"/>
        <v>13.378749999999998</v>
      </c>
      <c r="BF406" s="104">
        <f>('Renewable Diesel'!R415*'RD Feedstock Breakdown'!BF$3*'Feedstock Conversion Rates'!B$4)/12</f>
        <v>62.5</v>
      </c>
      <c r="BG406" s="106">
        <f t="shared" si="425"/>
        <v>62.5</v>
      </c>
      <c r="BH406" s="104">
        <f>('Renewable Diesel'!T415*'RD Feedstock Breakdown'!BH$3*'Feedstock Conversion Rates'!B$7)/12</f>
        <v>27.599999999999998</v>
      </c>
      <c r="BI406" s="106">
        <f t="shared" si="412"/>
        <v>27.599999999999998</v>
      </c>
      <c r="BJ406" s="104">
        <f>('Renewable Diesel'!W415*'RD Feedstock Breakdown'!BJ$3*'Feedstock Conversion Rates'!B$4)/12</f>
        <v>7.5</v>
      </c>
      <c r="BK406" s="104">
        <f>('Renewable Diesel'!W415*'RD Feedstock Breakdown'!BK$3*'Feedstock Conversion Rates'!B$3)/12</f>
        <v>1.335</v>
      </c>
      <c r="BL406" s="104">
        <f>('Renewable Diesel'!W415*'RD Feedstock Breakdown'!BL$3*'Feedstock Conversion Rates'!B$6)/12</f>
        <v>3.1266666666666669</v>
      </c>
      <c r="BM406" s="104">
        <f>('Renewable Diesel'!W415*'RD Feedstock Breakdown'!BM$3*'Feedstock Conversion Rates'!B$7)/12</f>
        <v>1.5333333333333332</v>
      </c>
      <c r="BN406" s="106">
        <f t="shared" si="374"/>
        <v>13.495000000000001</v>
      </c>
      <c r="BO406" s="104">
        <f>('Renewable Diesel'!P415*'Feedstock Conversion Rates'!B$4)/12</f>
        <v>31.25</v>
      </c>
      <c r="BP406" s="106">
        <f t="shared" si="446"/>
        <v>31.25</v>
      </c>
      <c r="BQ406" s="104">
        <f>('Renewable Diesel'!$S415*'RD Feedstock Breakdown'!BQ$3*'Feedstock Conversion Rates'!B$4)/12+10+15-15</f>
        <v>38.125</v>
      </c>
      <c r="BR406" s="104">
        <f>('Renewable Diesel'!$S415*'RD Feedstock Breakdown'!BR$3*'Feedstock Conversion Rates'!B$7)/12-10-15+15</f>
        <v>1.5</v>
      </c>
      <c r="BS406" s="106">
        <f t="shared" si="385"/>
        <v>39.625</v>
      </c>
      <c r="BT406" s="106"/>
      <c r="BU406" s="104">
        <f>('Renewable Diesel'!Y415*'Feedstock Conversion Rates'!B$7)/12</f>
        <v>2.6833333333333331</v>
      </c>
      <c r="BV406" s="106">
        <f t="shared" si="442"/>
        <v>2.6833333333333331</v>
      </c>
      <c r="BW406" s="104">
        <f>('Renewable Diesel'!$Z415*'RD Feedstock Breakdown'!BW$3*'Feedstock Conversion Rates'!$B$4)/12-250+180</f>
        <v>1.875</v>
      </c>
      <c r="BX406" s="104">
        <f>('Renewable Diesel'!$Z415*'RD Feedstock Breakdown'!BX$3*'Feedstock Conversion Rates'!$B$5)/12</f>
        <v>7.2354166666666666</v>
      </c>
      <c r="BY406" s="104">
        <f>('Renewable Diesel'!$Z415*'RD Feedstock Breakdown'!BY$3*'Feedstock Conversion Rates'!$B$7)/12</f>
        <v>61.716666666666661</v>
      </c>
      <c r="BZ406" s="104">
        <f>('Renewable Diesel'!$Z415*'RD Feedstock Breakdown'!BZ$3*'Feedstock Conversion Rates'!$B$3)/12+250-180</f>
        <v>85.35250000000002</v>
      </c>
      <c r="CA406" s="106">
        <f t="shared" si="392"/>
        <v>156.17958333333334</v>
      </c>
      <c r="CB406" s="104">
        <f>('Renewable Diesel'!AA415*'Feedstock Conversion Rates'!B$4)/12</f>
        <v>191.25</v>
      </c>
      <c r="CC406" s="106">
        <f t="shared" si="376"/>
        <v>191.25</v>
      </c>
      <c r="CD406" s="104">
        <f>('Renewable Diesel'!$AB415*'RD Feedstock Breakdown'!CD$3*'Feedstock Conversion Rates'!$B$6)/12-15-5</f>
        <v>12.830000000000005</v>
      </c>
      <c r="CE406" s="104">
        <f>('Renewable Diesel'!$AB415*'RD Feedstock Breakdown'!CE$3*'Feedstock Conversion Rates'!$B$4)/12+15+5</f>
        <v>31.25</v>
      </c>
      <c r="CF406" s="106">
        <f t="shared" si="372"/>
        <v>44.080000000000005</v>
      </c>
      <c r="CG406" s="104">
        <f>('Renewable Diesel'!AD415*'Feedstock Conversion Rates'!B$4)/12</f>
        <v>112.5</v>
      </c>
      <c r="CH406" s="106">
        <f t="shared" si="439"/>
        <v>112.5</v>
      </c>
      <c r="CI406" s="104">
        <f>('Renewable Diesel'!$AE415*'RD Feedstock Breakdown'!CI$3*'Feedstock Conversion Rates'!$B$5)/12</f>
        <v>0.34604166666666664</v>
      </c>
      <c r="CJ406" s="104">
        <f>('Renewable Diesel'!$AE415*'RD Feedstock Breakdown'!CJ$3*'Feedstock Conversion Rates'!$B$4)/12</f>
        <v>0.34375</v>
      </c>
      <c r="CK406" s="106">
        <f t="shared" si="447"/>
        <v>0.68979166666666658</v>
      </c>
      <c r="CL406" s="104">
        <f>(((CL$3*'Renewable Diesel'!$AF415)*'Feedstock Conversion Rates'!$B$3)/12)</f>
        <v>91.78125</v>
      </c>
      <c r="CM406" s="104">
        <f>(((CM$3*'Renewable Diesel'!$AF415)*'Feedstock Conversion Rates'!$B$6)/12)</f>
        <v>53.739583333333336</v>
      </c>
      <c r="CN406" s="104">
        <f>(((CN$3*'Renewable Diesel'!$AF415)*'Feedstock Conversion Rates'!$B$4)/12)</f>
        <v>42.96875</v>
      </c>
      <c r="CO406" s="106">
        <f t="shared" si="441"/>
        <v>188.48958333333334</v>
      </c>
      <c r="CP406" s="104">
        <f>('Renewable Diesel'!$AG415*'RD Feedstock Breakdown'!CP$3*'Feedstock Conversion Rates'!$B$3)/12</f>
        <v>6.0075000000000003</v>
      </c>
      <c r="CQ406" s="104">
        <f>('Renewable Diesel'!$AG415*'RD Feedstock Breakdown'!CQ$3*'Feedstock Conversion Rates'!$B$6)/12</f>
        <v>3.5175000000000001</v>
      </c>
      <c r="CR406" s="104">
        <f>('Renewable Diesel'!$AG415*'RD Feedstock Breakdown'!CR$3*'Feedstock Conversion Rates'!$B$4)/12</f>
        <v>2.8125</v>
      </c>
      <c r="CS406" s="106">
        <f t="shared" si="397"/>
        <v>12.3375</v>
      </c>
      <c r="CT406" s="104">
        <f>('Renewable Diesel'!AI415*'Feedstock Conversion Rates'!$B$4*'RD Feedstock Breakdown'!$CT$3)/12</f>
        <v>29.375</v>
      </c>
      <c r="CU406" s="106">
        <f t="shared" si="443"/>
        <v>29.375</v>
      </c>
      <c r="CV406" s="104">
        <f>('Renewable Diesel'!AN415*'Feedstock Conversion Rates'!$B$3*'RD Feedstock Breakdown'!$CV$3)/12</f>
        <v>0.50062499999999999</v>
      </c>
      <c r="CW406" s="106">
        <f t="shared" si="419"/>
        <v>0.50062499999999999</v>
      </c>
      <c r="CX406" s="104">
        <f>('Renewable Diesel'!AO415*'RD Feedstock Breakdown'!$CX$3*'Feedstock Conversion Rates'!$B$3)/12</f>
        <v>6.3412499999999996</v>
      </c>
      <c r="CY406" s="104">
        <f>('Renewable Diesel'!AO415*'RD Feedstock Breakdown'!$CY$3*'Feedstock Conversion Rates'!$B$6)/12</f>
        <v>7.4258333333333342</v>
      </c>
      <c r="CZ406" s="106">
        <f t="shared" si="398"/>
        <v>13.767083333333334</v>
      </c>
      <c r="DA406" s="104">
        <f>('Renewable Diesel'!$AP415*'RD Feedstock Breakdown'!DA$3*'Feedstock Conversion Rates'!$B$3)/12</f>
        <v>6.3412499999999996</v>
      </c>
      <c r="DB406" s="104">
        <f>('Renewable Diesel'!$AP415*'RD Feedstock Breakdown'!DB$3*'Feedstock Conversion Rates'!$B$8)/12</f>
        <v>7.421875</v>
      </c>
      <c r="DC406" s="106">
        <f t="shared" si="422"/>
        <v>13.763124999999999</v>
      </c>
      <c r="DD406" s="104">
        <f>('Renewable Diesel'!AQ415*$DD$3*'Feedstock Conversion Rates'!$B$14)/12</f>
        <v>3.1041666666666665</v>
      </c>
      <c r="DE406" s="106">
        <f t="shared" si="423"/>
        <v>3.1041666666666665</v>
      </c>
      <c r="DF406" s="104">
        <f>('Renewable Diesel'!AR415*'Feedstock Conversion Rates'!$B$4*$DF$3)/12</f>
        <v>75</v>
      </c>
      <c r="DG406" s="106">
        <f t="shared" si="399"/>
        <v>75</v>
      </c>
      <c r="DH406" s="104">
        <f>('Renewable Diesel'!AS415*'Feedstock Conversion Rates'!$B$4*$DH$3)/12</f>
        <v>75</v>
      </c>
      <c r="DI406" s="106">
        <f t="shared" si="411"/>
        <v>75</v>
      </c>
      <c r="DJ406" s="104">
        <f>('Renewable Diesel'!AT415*'Feedstock Conversion Rates'!$B$4*0.25)/12</f>
        <v>8.59375</v>
      </c>
      <c r="DK406" s="104">
        <f>('Renewable Diesel'!$AT415*'RD Feedstock Breakdown'!DK$3*'Feedstock Conversion Rates'!$B$3)/12*0.5</f>
        <v>9.1781249999999996</v>
      </c>
      <c r="DL406" s="104">
        <f>('Renewable Diesel'!$AT415*'RD Feedstock Breakdown'!$DL$3*'Feedstock Conversion Rates'!$B$6)/12</f>
        <v>10.747916666666669</v>
      </c>
      <c r="DM406" s="104">
        <f>('Renewable Diesel'!$AT415*'RD Feedstock Breakdown'!$DM$3*'Feedstock Conversion Rates'!$B$8)/12</f>
        <v>10.7421875</v>
      </c>
      <c r="DN406" s="106">
        <f t="shared" si="375"/>
        <v>39.26197916666667</v>
      </c>
      <c r="DP406" s="104">
        <f t="shared" si="426"/>
        <v>103.22025000000001</v>
      </c>
      <c r="DQ406" s="104">
        <f t="shared" si="427"/>
        <v>349.11776750000007</v>
      </c>
      <c r="DR406" s="104">
        <f t="shared" si="432"/>
        <v>1891.953125</v>
      </c>
      <c r="DS406" s="104">
        <f t="shared" si="444"/>
        <v>228.90125</v>
      </c>
      <c r="DT406" s="104">
        <f t="shared" si="428"/>
        <v>243.03923333333344</v>
      </c>
      <c r="DU406" s="104">
        <f t="shared" si="429"/>
        <v>402.90610000000009</v>
      </c>
      <c r="DV406" s="104">
        <f t="shared" si="433"/>
        <v>78.75</v>
      </c>
      <c r="DW406" s="104">
        <f t="shared" si="430"/>
        <v>3</v>
      </c>
      <c r="DX406" s="106">
        <f t="shared" si="434"/>
        <v>3300.8877258333337</v>
      </c>
      <c r="DY406" s="109">
        <f t="shared" si="421"/>
        <v>-5.631051180898794E-13</v>
      </c>
      <c r="EA406" s="110">
        <f t="shared" si="424"/>
        <v>3.1270451640078516E-2</v>
      </c>
      <c r="EB406" s="110">
        <f t="shared" si="424"/>
        <v>0.10576481131658687</v>
      </c>
      <c r="EC406" s="110">
        <f t="shared" si="424"/>
        <v>0.57316494293133291</v>
      </c>
      <c r="ED406" s="110">
        <f t="shared" si="424"/>
        <v>6.9345360706629972E-2</v>
      </c>
      <c r="EE406" s="110">
        <f t="shared" si="424"/>
        <v>7.3628445896921982E-2</v>
      </c>
      <c r="EF406" s="110">
        <f t="shared" si="424"/>
        <v>0.1220599225010852</v>
      </c>
      <c r="EG406" s="110">
        <f t="shared" si="384"/>
        <v>2.3857218585075921E-2</v>
      </c>
      <c r="EH406" s="111">
        <f t="shared" si="435"/>
        <v>9.0884642228860647E-4</v>
      </c>
      <c r="EI406" s="110">
        <f t="shared" si="409"/>
        <v>0.99909115357771139</v>
      </c>
      <c r="EK406" s="132">
        <f>(EA406*'Renewable Diesel'!BF415*'Feedstock Conversion Rates'!B$2)+FB406</f>
        <v>544.8509240497259</v>
      </c>
      <c r="EL406" s="132">
        <f>(EB406*'Renewable Diesel'!BF415*'Feedstock Conversion Rates'!B$3)+FC406</f>
        <v>1736.5941243901095</v>
      </c>
      <c r="EM406" s="132">
        <f>(EC406*'Renewable Diesel'!BF415*'Feedstock Conversion Rates'!B$4)+FD406</f>
        <v>8811.8175205448024</v>
      </c>
      <c r="EN406" s="132">
        <f>(ED406*'Renewable Diesel'!BF415*'Feedstock Conversion Rates'!B$5)+FE406</f>
        <v>1073.220538797847</v>
      </c>
      <c r="EO406" s="132">
        <f>(EE406*'Renewable Diesel'!BF415*'Feedstock Conversion Rates'!B$6)+FF406</f>
        <v>1415.7060381711974</v>
      </c>
      <c r="EP406" s="132">
        <f>(EF406*'Renewable Diesel'!BF415*'Feedstock Conversion Rates'!B$7)+FG406</f>
        <v>2301.895105443994</v>
      </c>
      <c r="EQ406" s="132">
        <f>(EG406*'Renewable Diesel'!BF415*'Feedstock Conversion Rates'!B$8)+FH406</f>
        <v>458.47504132991082</v>
      </c>
      <c r="ER406" s="132">
        <f>(EH406*'Renewable Diesel'!BF415*'Feedstock Conversion Rates'!B$9)+FI406</f>
        <v>17.232839648717917</v>
      </c>
      <c r="ES406" s="132">
        <f t="shared" si="436"/>
        <v>16359.792132376304</v>
      </c>
      <c r="ET406" s="133">
        <f>ES406/'Renewable Diesel'!BF415</f>
        <v>17.10659442572134</v>
      </c>
      <c r="EW406" s="73">
        <f t="shared" si="386"/>
        <v>15158.302763966185</v>
      </c>
      <c r="EX406" s="73">
        <f t="shared" si="387"/>
        <v>9928.7713382657494</v>
      </c>
      <c r="EY406" s="92">
        <f t="shared" si="410"/>
        <v>0.92655839642165438</v>
      </c>
      <c r="EZ406" s="92">
        <f t="shared" si="410"/>
        <v>0.60690082477371721</v>
      </c>
      <c r="FB406" s="102">
        <f>IF('Renewable Diesel'!$BG415&lt;1,0,(((('Renewable Diesel'!$BG415-1)*'Renewable Diesel'!$BF415)*'RD Feedstock Breakdown'!EA406)*'Feedstock Conversion Rates'!$B$2))</f>
        <v>290.65574961114532</v>
      </c>
      <c r="FC406" s="102">
        <f>IF('Renewable Diesel'!$BG415&lt;1,0,(((('Renewable Diesel'!$BG415-1)*'Renewable Diesel'!$BF415)*'RD Feedstock Breakdown'!EB406)*'Feedstock Conversion Rates'!$B$3))</f>
        <v>926.40214912960607</v>
      </c>
      <c r="FD406" s="102">
        <f>IF('Renewable Diesel'!$BG415&lt;1,0,(((('Renewable Diesel'!$BG415-1)*'Renewable Diesel'!$BF415)*'RD Feedstock Breakdown'!EC406)*'Feedstock Conversion Rates'!$B$4))</f>
        <v>4700.7453118255598</v>
      </c>
      <c r="FE406" s="102">
        <f>IF('Renewable Diesel'!$BG415&lt;1,0,(((('Renewable Diesel'!$BG415-1)*'Renewable Diesel'!$BF415)*'RD Feedstock Breakdown'!ED406)*'Feedstock Conversion Rates'!$B$5))</f>
        <v>572.51939279797648</v>
      </c>
      <c r="FF406" s="102">
        <f>IF('Renewable Diesel'!$BG415&lt;1,0,(((('Renewable Diesel'!$BG415-1)*'Renewable Diesel'!$BF415)*'RD Feedstock Breakdown'!EE406)*'Feedstock Conversion Rates'!$B$6))</f>
        <v>755.22144056439197</v>
      </c>
      <c r="FG406" s="102">
        <f>IF('Renewable Diesel'!$BG415&lt;1,0,(((('Renewable Diesel'!$BG415-1)*'Renewable Diesel'!$BF415)*'RD Feedstock Breakdown'!EF406)*'Feedstock Conversion Rates'!$B$7))</f>
        <v>1227.9671702235908</v>
      </c>
      <c r="FH406" s="102">
        <f>IF('Renewable Diesel'!$BG415&lt;1,0,(((('Renewable Diesel'!$BG415-1)*'Renewable Diesel'!$BF415)*'RD Feedstock Breakdown'!EG406)*'Feedstock Conversion Rates'!$B$8))</f>
        <v>244.57773848537005</v>
      </c>
      <c r="FI406" s="102">
        <f>IF('Renewable Diesel'!$BG415&lt;1,0,(((('Renewable Diesel'!$BG415-1)*'Renewable Diesel'!$BF415)*'RD Feedstock Breakdown'!EH406)*'Feedstock Conversion Rates'!$B$9))</f>
        <v>9.1930172179897802</v>
      </c>
      <c r="FJ406" s="102">
        <f t="shared" si="388"/>
        <v>8727.2819698556286</v>
      </c>
      <c r="GD406" s="91">
        <f>'Renewable Diesel'!BB415*0.32</f>
        <v>0</v>
      </c>
      <c r="GE406" s="91">
        <f>'Renewable Diesel'!BC415</f>
        <v>484.4108719821719</v>
      </c>
      <c r="GF406" s="91">
        <f>'Renewable Diesel'!BD415</f>
        <v>0</v>
      </c>
      <c r="GG406" s="91">
        <f t="shared" si="373"/>
        <v>484.4108719821719</v>
      </c>
      <c r="GH406" s="124">
        <v>1</v>
      </c>
      <c r="GI406" s="102">
        <f>$GG406*EA406*'Feedstock Conversion Rates'!$B$2</f>
        <v>128.75584734309754</v>
      </c>
      <c r="GJ406" s="102">
        <f>$GG406*EB406*'Feedstock Conversion Rates'!$B$3</f>
        <v>410.38133204393074</v>
      </c>
      <c r="GK406" s="102">
        <f>$GG406*EC406*'Feedstock Conversion Rates'!$B$4</f>
        <v>2082.3549734623407</v>
      </c>
      <c r="GL406" s="102">
        <f>$GG406*ED406*'Feedstock Conversion Rates'!$B$5</f>
        <v>253.61693219101733</v>
      </c>
      <c r="GM406" s="102">
        <f>$GG406*EE406*'Feedstock Conversion Rates'!$B$6</f>
        <v>334.55101659483694</v>
      </c>
      <c r="GN406" s="102">
        <f>$GG406*EF406*'Feedstock Conversion Rates'!$B$7</f>
        <v>543.96981213400841</v>
      </c>
      <c r="GO406" s="102">
        <f>$GG406*EG406*'Feedstock Conversion Rates'!$B$8</f>
        <v>108.34402554249286</v>
      </c>
      <c r="GP406" s="102">
        <f>$GG406*EH406*'Feedstock Conversion Rates'!B$9</f>
        <v>4.0723595632479856</v>
      </c>
      <c r="GQ406" s="102">
        <f t="shared" si="437"/>
        <v>3866.0462988749728</v>
      </c>
      <c r="GT406" s="103">
        <f t="shared" si="418"/>
        <v>3.3304269372191886E-2</v>
      </c>
      <c r="GU406" s="103">
        <f t="shared" si="416"/>
        <v>0.10615013383656388</v>
      </c>
      <c r="GV406" s="103">
        <f t="shared" si="416"/>
        <v>0.53862649654979833</v>
      </c>
      <c r="GW406" s="103">
        <f t="shared" si="416"/>
        <v>6.5601110950176775E-2</v>
      </c>
      <c r="GX406" s="103">
        <f t="shared" si="416"/>
        <v>8.6535698419388296E-2</v>
      </c>
      <c r="GY406" s="103">
        <f t="shared" si="416"/>
        <v>0.14070442257566981</v>
      </c>
      <c r="GZ406" s="103">
        <f t="shared" si="416"/>
        <v>2.802450285554552E-2</v>
      </c>
      <c r="HA406" s="103">
        <f t="shared" si="416"/>
        <v>1.0533654406655838E-3</v>
      </c>
    </row>
    <row r="407" spans="1:209" x14ac:dyDescent="0.25">
      <c r="A407" s="96">
        <v>52810</v>
      </c>
      <c r="B407" s="104">
        <f t="shared" si="406"/>
        <v>44.25</v>
      </c>
      <c r="C407" s="104">
        <f t="shared" si="396"/>
        <v>49</v>
      </c>
      <c r="D407" s="104">
        <f t="shared" si="407"/>
        <v>2</v>
      </c>
      <c r="E407" s="104">
        <f>('Renewable Diesel'!B416*E$3*'Feedstock Conversion Rates'!$B$2)/12+26+13-100+27.5+39</f>
        <v>95.43</v>
      </c>
      <c r="F407" s="104">
        <f>('Renewable Diesel'!B416*'RD Feedstock Breakdown'!F$3*'Feedstock Conversion Rates'!B$8)/12+77+23-10-12-115.75+24+8</f>
        <v>48.15625</v>
      </c>
      <c r="G407" s="104">
        <f>('Renewable Diesel'!B416*'RD Feedstock Breakdown'!G$3*'Feedstock Conversion Rates'!B$7)/12+116.75-39-57.5-145-31.5+32+70-40+10+60</f>
        <v>151.90700000000004</v>
      </c>
      <c r="H407" s="104">
        <f>('Renewable Diesel'!B416*'RD Feedstock Breakdown'!H$3*'Feedstock Conversion Rates'!B$3)/12+67+10+12+3-235+20+47-20+25</f>
        <v>105.40022499999998</v>
      </c>
      <c r="I407" s="106">
        <f t="shared" ref="I407:I470" si="449">SUM(B407:H407)</f>
        <v>496.14347500000002</v>
      </c>
      <c r="J407" s="104">
        <f t="shared" si="417"/>
        <v>4</v>
      </c>
      <c r="K407" s="104"/>
      <c r="L407" s="104">
        <v>1</v>
      </c>
      <c r="M407" s="104">
        <f>('Renewable Diesel'!C416*'RD Feedstock Breakdown'!M$3*'Feedstock Conversion Rates'!B$2)/12</f>
        <v>7.7902500000000003</v>
      </c>
      <c r="N407" s="104">
        <f>('Renewable Diesel'!C416*'RD Feedstock Breakdown'!N$3*'Feedstock Conversion Rates'!B$8)/12</f>
        <v>3.671875</v>
      </c>
      <c r="O407" s="104">
        <f>('Renewable Diesel'!C416*'RD Feedstock Breakdown'!O$3*'Feedstock Conversion Rates'!B$7)/12</f>
        <v>11.9991</v>
      </c>
      <c r="P407" s="104">
        <f>('Renewable Diesel'!C416*'RD Feedstock Breakdown'!P$3*'Feedstock Conversion Rates'!B$3)/12</f>
        <v>10.4470425</v>
      </c>
      <c r="Q407" s="106">
        <f t="shared" si="379"/>
        <v>38.908267500000001</v>
      </c>
      <c r="R407" s="104">
        <f>('Renewable Diesel'!D416*'RD Feedstock Breakdown'!R$3*'Feedstock Conversion Rates'!B$7)/12</f>
        <v>2.2999999999999998</v>
      </c>
      <c r="S407" s="106">
        <f t="shared" si="414"/>
        <v>2.2999999999999998</v>
      </c>
      <c r="T407" s="104">
        <f t="shared" si="380"/>
        <v>0.82499999999999929</v>
      </c>
      <c r="U407" s="104"/>
      <c r="V407" s="104">
        <f>('Renewable Diesel'!E416*'RD Feedstock Breakdown'!V$3*'Feedstock Conversion Rates'!B$6)/12-20+25</f>
        <v>49.250150000000012</v>
      </c>
      <c r="W407" s="104">
        <f>('Renewable Diesel'!E416*'RD Feedstock Breakdown'!W$3*'Feedstock Conversion Rates'!B$8)/12-6</f>
        <v>16.1796875</v>
      </c>
      <c r="X407" s="106">
        <f t="shared" si="438"/>
        <v>66.254837500000008</v>
      </c>
      <c r="Y407" s="104">
        <f t="shared" si="381"/>
        <v>98</v>
      </c>
      <c r="Z407" s="104">
        <f>('Renewable Diesel'!F416*'RD Feedstock Breakdown'!Z$3*'Feedstock Conversion Rates'!B$6)/12-142+15+5+20+5+15</f>
        <v>77.460000000000008</v>
      </c>
      <c r="AA407" s="104">
        <f>('Renewable Diesel'!F416*'RD Feedstock Breakdown'!AA$3*'Feedstock Conversion Rates'!B$7)/12+24</f>
        <v>128.26666666666665</v>
      </c>
      <c r="AB407" s="106">
        <f t="shared" si="400"/>
        <v>303.72666666666669</v>
      </c>
      <c r="AC407" s="104">
        <f>('Renewable Diesel'!G416*'RD Feedstock Breakdown'!AC$3*'Feedstock Conversion Rates'!B$5)/12</f>
        <v>11.796875</v>
      </c>
      <c r="AD407" s="104">
        <f>('Renewable Diesel'!G416*'RD Feedstock Breakdown'!AD$3*'Feedstock Conversion Rates'!B$4)/12</f>
        <v>5.859375</v>
      </c>
      <c r="AE407" s="104">
        <f>('Renewable Diesel'!G416*'RD Feedstock Breakdown'!AE$3*'Feedstock Conversion Rates'!B$6)/12</f>
        <v>7.3281250000000009</v>
      </c>
      <c r="AF407" s="106">
        <f t="shared" si="445"/>
        <v>24.984375</v>
      </c>
      <c r="AG407" s="104">
        <f t="shared" si="383"/>
        <v>148</v>
      </c>
      <c r="AH407" s="104"/>
      <c r="AI407" s="104">
        <f>('Renewable Diesel'!H416*'RD Feedstock Breakdown'!AI$3*'Feedstock Conversion Rates'!B$6)/12-130-20+51-49</f>
        <v>0.51666666666667993</v>
      </c>
      <c r="AJ407" s="106">
        <f t="shared" si="413"/>
        <v>148.51666666666668</v>
      </c>
      <c r="AK407" s="104">
        <f>('Renewable Diesel'!J416*'RD Feedstock Breakdown'!AK$3*'Feedstock Conversion Rates'!B$4)/12</f>
        <v>95.8125</v>
      </c>
      <c r="AL407" s="106">
        <f t="shared" si="415"/>
        <v>95.8125</v>
      </c>
      <c r="AM407" s="104">
        <f>('Renewable Diesel'!K416*'RD Feedstock Breakdown'!AM$3*'Feedstock Conversion Rates'!B$4)/12+5+15-10+10</f>
        <v>78.59375</v>
      </c>
      <c r="AN407" s="104">
        <f>('Renewable Diesel'!K416*'RD Feedstock Breakdown'!AN$3*'Feedstock Conversion Rates'!B$6)/12-5-15+10-10</f>
        <v>4.4270833333333321</v>
      </c>
      <c r="AO407" s="106">
        <f t="shared" si="431"/>
        <v>83.020833333333329</v>
      </c>
      <c r="AP407" s="104">
        <f>('Renewable Diesel'!L416*'RD Feedstock Breakdown'!AP$3*'Feedstock Conversion Rates'!B$4)/12+15-10+15</f>
        <v>78.59375</v>
      </c>
      <c r="AQ407" s="104">
        <f>('Renewable Diesel'!L416*'RD Feedstock Breakdown'!AQ$3*'Feedstock Conversion Rates'!B$6)/12-15+10-15</f>
        <v>4.4270833333333321</v>
      </c>
      <c r="AR407" s="106">
        <f t="shared" si="420"/>
        <v>83.020833333333329</v>
      </c>
      <c r="AS407" s="104">
        <f>('Renewable Diesel'!M416*'RD Feedstock Breakdown'!AS$3*'Feedstock Conversion Rates'!B$4)/12</f>
        <v>456.25</v>
      </c>
      <c r="AT407" s="104">
        <f>('Renewable Diesel'!M416*'RD Feedstock Breakdown'!AT$3*'Feedstock Conversion Rates'!B$5)/12</f>
        <v>0</v>
      </c>
      <c r="AU407" s="106">
        <f t="shared" si="448"/>
        <v>456.25</v>
      </c>
      <c r="AV407" s="104">
        <f>'Renewable Diesel'!N416*'RD Feedstock Breakdown'!$AV$3*'Feedstock Conversion Rates'!$B$4/12-15-10+25+25-22+25</f>
        <v>106.74999999999999</v>
      </c>
      <c r="AW407" s="104">
        <f>'Renewable Diesel'!N416*'RD Feedstock Breakdown'!$AW$3*'Feedstock Conversion Rates'!$B$7/12+15+10-25-25+22-25</f>
        <v>13.400000000000006</v>
      </c>
      <c r="AX407" s="106">
        <f t="shared" si="408"/>
        <v>120.14999999999999</v>
      </c>
      <c r="AY407" s="104">
        <f>('Renewable Diesel'!O416*'RD Feedstock Breakdown'!AY$3*'Feedstock Conversion Rates'!B$4)/12</f>
        <v>210.9375</v>
      </c>
      <c r="AZ407" s="104">
        <f>('Renewable Diesel'!O416*'RD Feedstock Breakdown'!AZ$3*'Feedstock Conversion Rates'!B$3)/12</f>
        <v>25.03125</v>
      </c>
      <c r="BA407" s="106">
        <f t="shared" si="382"/>
        <v>235.96875</v>
      </c>
      <c r="BB407" s="104">
        <f>('Renewable Diesel'!Q416*'RD Feedstock Breakdown'!BB$3*'Feedstock Conversion Rates'!B$4)/12</f>
        <v>11.156249999999998</v>
      </c>
      <c r="BC407" s="104">
        <f>('Renewable Diesel'!Q416*'RD Feedstock Breakdown'!BC$3*'Feedstock Conversion Rates'!B$3)/12</f>
        <v>1.4017500000000001</v>
      </c>
      <c r="BD407" s="104">
        <f>('Renewable Diesel'!Q416*'RD Feedstock Breakdown'!BD$3*'Feedstock Conversion Rates'!B$6)/12</f>
        <v>0.8207500000000002</v>
      </c>
      <c r="BE407" s="106">
        <f t="shared" si="440"/>
        <v>13.378749999999998</v>
      </c>
      <c r="BF407" s="104">
        <f>('Renewable Diesel'!R416*'RD Feedstock Breakdown'!BF$3*'Feedstock Conversion Rates'!B$4)/12</f>
        <v>62.5</v>
      </c>
      <c r="BG407" s="106">
        <f t="shared" si="425"/>
        <v>62.5</v>
      </c>
      <c r="BH407" s="104">
        <f>('Renewable Diesel'!T416*'RD Feedstock Breakdown'!BH$3*'Feedstock Conversion Rates'!B$7)/12</f>
        <v>27.599999999999998</v>
      </c>
      <c r="BI407" s="106">
        <f t="shared" si="412"/>
        <v>27.599999999999998</v>
      </c>
      <c r="BJ407" s="104">
        <f>('Renewable Diesel'!W416*'RD Feedstock Breakdown'!BJ$3*'Feedstock Conversion Rates'!B$4)/12</f>
        <v>7.5</v>
      </c>
      <c r="BK407" s="104">
        <f>('Renewable Diesel'!W416*'RD Feedstock Breakdown'!BK$3*'Feedstock Conversion Rates'!B$3)/12</f>
        <v>1.335</v>
      </c>
      <c r="BL407" s="104">
        <f>('Renewable Diesel'!W416*'RD Feedstock Breakdown'!BL$3*'Feedstock Conversion Rates'!B$6)/12</f>
        <v>3.1266666666666669</v>
      </c>
      <c r="BM407" s="104">
        <f>('Renewable Diesel'!W416*'RD Feedstock Breakdown'!BM$3*'Feedstock Conversion Rates'!B$7)/12</f>
        <v>1.5333333333333332</v>
      </c>
      <c r="BN407" s="106">
        <f t="shared" si="374"/>
        <v>13.495000000000001</v>
      </c>
      <c r="BO407" s="104">
        <f>('Renewable Diesel'!P416*'Feedstock Conversion Rates'!B$4)/12</f>
        <v>31.25</v>
      </c>
      <c r="BP407" s="106">
        <f t="shared" si="446"/>
        <v>31.25</v>
      </c>
      <c r="BQ407" s="104">
        <f>('Renewable Diesel'!$S416*'RD Feedstock Breakdown'!BQ$3*'Feedstock Conversion Rates'!B$4)/12+10+15-15</f>
        <v>38.125</v>
      </c>
      <c r="BR407" s="104">
        <f>('Renewable Diesel'!$S416*'RD Feedstock Breakdown'!BR$3*'Feedstock Conversion Rates'!B$7)/12-10-15+15</f>
        <v>1.5</v>
      </c>
      <c r="BS407" s="106">
        <f t="shared" si="385"/>
        <v>39.625</v>
      </c>
      <c r="BT407" s="106"/>
      <c r="BU407" s="104">
        <f>('Renewable Diesel'!Y416*'Feedstock Conversion Rates'!B$7)/12</f>
        <v>2.6833333333333331</v>
      </c>
      <c r="BV407" s="106">
        <f t="shared" si="442"/>
        <v>2.6833333333333331</v>
      </c>
      <c r="BW407" s="104">
        <f>('Renewable Diesel'!$Z416*'RD Feedstock Breakdown'!BW$3*'Feedstock Conversion Rates'!$B$4)/12-250+180</f>
        <v>1.875</v>
      </c>
      <c r="BX407" s="104">
        <f>('Renewable Diesel'!$Z416*'RD Feedstock Breakdown'!BX$3*'Feedstock Conversion Rates'!$B$5)/12</f>
        <v>7.2354166666666666</v>
      </c>
      <c r="BY407" s="104">
        <f>('Renewable Diesel'!$Z416*'RD Feedstock Breakdown'!BY$3*'Feedstock Conversion Rates'!$B$7)/12</f>
        <v>61.716666666666661</v>
      </c>
      <c r="BZ407" s="104">
        <f>('Renewable Diesel'!$Z416*'RD Feedstock Breakdown'!BZ$3*'Feedstock Conversion Rates'!$B$3)/12+250-180</f>
        <v>85.35250000000002</v>
      </c>
      <c r="CA407" s="106">
        <f t="shared" si="392"/>
        <v>156.17958333333334</v>
      </c>
      <c r="CB407" s="104">
        <f>('Renewable Diesel'!AA416*'Feedstock Conversion Rates'!B$4)/12</f>
        <v>191.25</v>
      </c>
      <c r="CC407" s="106">
        <f t="shared" si="376"/>
        <v>191.25</v>
      </c>
      <c r="CD407" s="104">
        <f>('Renewable Diesel'!$AB416*'RD Feedstock Breakdown'!CD$3*'Feedstock Conversion Rates'!$B$6)/12-15-5</f>
        <v>12.830000000000005</v>
      </c>
      <c r="CE407" s="104">
        <f>('Renewable Diesel'!$AB416*'RD Feedstock Breakdown'!CE$3*'Feedstock Conversion Rates'!$B$4)/12+15+5</f>
        <v>31.25</v>
      </c>
      <c r="CF407" s="106">
        <f t="shared" si="372"/>
        <v>44.080000000000005</v>
      </c>
      <c r="CG407" s="104">
        <f>('Renewable Diesel'!AD416*'Feedstock Conversion Rates'!B$4)/12</f>
        <v>112.5</v>
      </c>
      <c r="CH407" s="106">
        <f t="shared" si="439"/>
        <v>112.5</v>
      </c>
      <c r="CI407" s="104">
        <f>('Renewable Diesel'!$AE416*'RD Feedstock Breakdown'!CI$3*'Feedstock Conversion Rates'!$B$5)/12</f>
        <v>0.34604166666666664</v>
      </c>
      <c r="CJ407" s="104">
        <f>('Renewable Diesel'!$AE416*'RD Feedstock Breakdown'!CJ$3*'Feedstock Conversion Rates'!$B$4)/12</f>
        <v>0.34375</v>
      </c>
      <c r="CK407" s="106">
        <f t="shared" si="447"/>
        <v>0.68979166666666658</v>
      </c>
      <c r="CL407" s="104">
        <f>(((CL$3*'Renewable Diesel'!$AF416)*'Feedstock Conversion Rates'!$B$3)/12)</f>
        <v>91.78125</v>
      </c>
      <c r="CM407" s="104">
        <f>(((CM$3*'Renewable Diesel'!$AF416)*'Feedstock Conversion Rates'!$B$6)/12)</f>
        <v>53.739583333333336</v>
      </c>
      <c r="CN407" s="104">
        <f>(((CN$3*'Renewable Diesel'!$AF416)*'Feedstock Conversion Rates'!$B$4)/12)</f>
        <v>42.96875</v>
      </c>
      <c r="CO407" s="106">
        <f t="shared" si="441"/>
        <v>188.48958333333334</v>
      </c>
      <c r="CP407" s="104">
        <f>('Renewable Diesel'!$AG416*'RD Feedstock Breakdown'!CP$3*'Feedstock Conversion Rates'!$B$3)/12</f>
        <v>6.0075000000000003</v>
      </c>
      <c r="CQ407" s="104">
        <f>('Renewable Diesel'!$AG416*'RD Feedstock Breakdown'!CQ$3*'Feedstock Conversion Rates'!$B$6)/12</f>
        <v>3.5175000000000001</v>
      </c>
      <c r="CR407" s="104">
        <f>('Renewable Diesel'!$AG416*'RD Feedstock Breakdown'!CR$3*'Feedstock Conversion Rates'!$B$4)/12</f>
        <v>2.8125</v>
      </c>
      <c r="CS407" s="106">
        <f t="shared" si="397"/>
        <v>12.3375</v>
      </c>
      <c r="CT407" s="104">
        <f>('Renewable Diesel'!AI416*'Feedstock Conversion Rates'!$B$4*'RD Feedstock Breakdown'!$CT$3)/12</f>
        <v>29.375</v>
      </c>
      <c r="CU407" s="106">
        <f t="shared" si="443"/>
        <v>29.375</v>
      </c>
      <c r="CV407" s="104">
        <f>('Renewable Diesel'!AN416*'Feedstock Conversion Rates'!$B$3*'RD Feedstock Breakdown'!$CV$3)/12</f>
        <v>0.50062499999999999</v>
      </c>
      <c r="CW407" s="106">
        <f t="shared" si="419"/>
        <v>0.50062499999999999</v>
      </c>
      <c r="CX407" s="104">
        <f>('Renewable Diesel'!AO416*'RD Feedstock Breakdown'!$CX$3*'Feedstock Conversion Rates'!$B$3)/12</f>
        <v>6.3412499999999996</v>
      </c>
      <c r="CY407" s="104">
        <f>('Renewable Diesel'!AO416*'RD Feedstock Breakdown'!$CY$3*'Feedstock Conversion Rates'!$B$6)/12</f>
        <v>7.4258333333333342</v>
      </c>
      <c r="CZ407" s="106">
        <f t="shared" si="398"/>
        <v>13.767083333333334</v>
      </c>
      <c r="DA407" s="104">
        <f>('Renewable Diesel'!$AP416*'RD Feedstock Breakdown'!DA$3*'Feedstock Conversion Rates'!$B$3)/12</f>
        <v>6.3412499999999996</v>
      </c>
      <c r="DB407" s="104">
        <f>('Renewable Diesel'!$AP416*'RD Feedstock Breakdown'!DB$3*'Feedstock Conversion Rates'!$B$8)/12</f>
        <v>7.421875</v>
      </c>
      <c r="DC407" s="106">
        <f t="shared" si="422"/>
        <v>13.763124999999999</v>
      </c>
      <c r="DD407" s="104">
        <f>('Renewable Diesel'!AQ416*$DD$3*'Feedstock Conversion Rates'!$B$14)/12</f>
        <v>3.1041666666666665</v>
      </c>
      <c r="DE407" s="106">
        <f t="shared" si="423"/>
        <v>3.1041666666666665</v>
      </c>
      <c r="DF407" s="104">
        <f>('Renewable Diesel'!AR416*'Feedstock Conversion Rates'!$B$4*$DF$3)/12</f>
        <v>75</v>
      </c>
      <c r="DG407" s="106">
        <f t="shared" si="399"/>
        <v>75</v>
      </c>
      <c r="DH407" s="104">
        <f>('Renewable Diesel'!AS416*'Feedstock Conversion Rates'!$B$4*$DH$3)/12</f>
        <v>75</v>
      </c>
      <c r="DI407" s="106">
        <f t="shared" si="411"/>
        <v>75</v>
      </c>
      <c r="DJ407" s="104">
        <f>('Renewable Diesel'!AT416*'Feedstock Conversion Rates'!$B$4*0.25)/12</f>
        <v>8.59375</v>
      </c>
      <c r="DK407" s="104">
        <f>('Renewable Diesel'!$AT416*'RD Feedstock Breakdown'!DK$3*'Feedstock Conversion Rates'!$B$3)/12*0.5</f>
        <v>9.1781249999999996</v>
      </c>
      <c r="DL407" s="104">
        <f>('Renewable Diesel'!$AT416*'RD Feedstock Breakdown'!$DL$3*'Feedstock Conversion Rates'!$B$6)/12</f>
        <v>10.747916666666669</v>
      </c>
      <c r="DM407" s="104">
        <f>('Renewable Diesel'!$AT416*'RD Feedstock Breakdown'!$DM$3*'Feedstock Conversion Rates'!$B$8)/12</f>
        <v>10.7421875</v>
      </c>
      <c r="DN407" s="106">
        <f t="shared" si="375"/>
        <v>39.26197916666667</v>
      </c>
      <c r="DP407" s="104">
        <f t="shared" si="426"/>
        <v>103.22025000000001</v>
      </c>
      <c r="DQ407" s="104">
        <f t="shared" si="427"/>
        <v>349.11776750000007</v>
      </c>
      <c r="DR407" s="104">
        <f t="shared" si="432"/>
        <v>1891.953125</v>
      </c>
      <c r="DS407" s="104">
        <f t="shared" si="444"/>
        <v>228.90125</v>
      </c>
      <c r="DT407" s="104">
        <f t="shared" si="428"/>
        <v>243.03923333333344</v>
      </c>
      <c r="DU407" s="104">
        <f t="shared" si="429"/>
        <v>402.90610000000009</v>
      </c>
      <c r="DV407" s="104">
        <f t="shared" si="433"/>
        <v>78.75</v>
      </c>
      <c r="DW407" s="104">
        <f t="shared" si="430"/>
        <v>3</v>
      </c>
      <c r="DX407" s="106">
        <f t="shared" si="434"/>
        <v>3300.8877258333337</v>
      </c>
      <c r="DY407" s="109">
        <f t="shared" si="421"/>
        <v>-5.631051180898794E-13</v>
      </c>
      <c r="EA407" s="110">
        <f t="shared" si="424"/>
        <v>3.1270451640078516E-2</v>
      </c>
      <c r="EB407" s="110">
        <f t="shared" si="424"/>
        <v>0.10576481131658687</v>
      </c>
      <c r="EC407" s="110">
        <f t="shared" si="424"/>
        <v>0.57316494293133291</v>
      </c>
      <c r="ED407" s="110">
        <f t="shared" si="424"/>
        <v>6.9345360706629972E-2</v>
      </c>
      <c r="EE407" s="110">
        <f t="shared" si="424"/>
        <v>7.3628445896921982E-2</v>
      </c>
      <c r="EF407" s="110">
        <f t="shared" si="424"/>
        <v>0.1220599225010852</v>
      </c>
      <c r="EG407" s="110">
        <f t="shared" si="384"/>
        <v>2.3857218585075921E-2</v>
      </c>
      <c r="EH407" s="111">
        <f t="shared" si="435"/>
        <v>9.0884642228860647E-4</v>
      </c>
      <c r="EI407" s="110">
        <f t="shared" si="409"/>
        <v>0.99909115357771139</v>
      </c>
      <c r="EK407" s="132">
        <f>(EA407*'Renewable Diesel'!BF416*'Feedstock Conversion Rates'!B$2)+FB407</f>
        <v>583.60113615185708</v>
      </c>
      <c r="EL407" s="132">
        <f>(EB407*'Renewable Diesel'!BF416*'Feedstock Conversion Rates'!B$3)+FC407</f>
        <v>1860.1020192749311</v>
      </c>
      <c r="EM407" s="132">
        <f>(EC407*'Renewable Diesel'!BF416*'Feedstock Conversion Rates'!B$4)+FD407</f>
        <v>9438.5206843908127</v>
      </c>
      <c r="EN407" s="132">
        <f>(ED407*'Renewable Diesel'!BF416*'Feedstock Conversion Rates'!B$5)+FE407</f>
        <v>1149.5487997497994</v>
      </c>
      <c r="EO407" s="132">
        <f>(EE407*'Renewable Diesel'!BF416*'Feedstock Conversion Rates'!B$6)+FF407</f>
        <v>1516.3921283142599</v>
      </c>
      <c r="EP407" s="132">
        <f>(EF407*'Renewable Diesel'!BF416*'Feedstock Conversion Rates'!B$7)+FG407</f>
        <v>2465.6076360382731</v>
      </c>
      <c r="EQ407" s="132">
        <f>(EG407*'Renewable Diesel'!BF416*'Feedstock Conversion Rates'!B$8)+FH407</f>
        <v>491.08213496025212</v>
      </c>
      <c r="ER407" s="132">
        <f>(EH407*'Renewable Diesel'!BF416*'Feedstock Conversion Rates'!B$9)+FI407</f>
        <v>18.458452310886933</v>
      </c>
      <c r="ES407" s="132">
        <f t="shared" si="436"/>
        <v>17523.312991191069</v>
      </c>
      <c r="ET407" s="133">
        <f>ES407/'Renewable Diesel'!BF416</f>
        <v>17.416567122662862</v>
      </c>
      <c r="EW407" s="73">
        <f t="shared" si="386"/>
        <v>16324.288654828815</v>
      </c>
      <c r="EX407" s="73">
        <f t="shared" si="387"/>
        <v>10692.498483334997</v>
      </c>
      <c r="EY407" s="92">
        <f t="shared" si="410"/>
        <v>0.93157547679682484</v>
      </c>
      <c r="EZ407" s="92">
        <f t="shared" si="410"/>
        <v>0.6101870398999375</v>
      </c>
      <c r="FB407" s="102">
        <f>IF('Renewable Diesel'!$BG416&lt;1,0,(((('Renewable Diesel'!$BG416-1)*'Renewable Diesel'!$BF416)*'RD Feedstock Breakdown'!EA407)*'Feedstock Conversion Rates'!$B$2))</f>
        <v>316.17322026871972</v>
      </c>
      <c r="FC407" s="102">
        <f>IF('Renewable Diesel'!$BG416&lt;1,0,(((('Renewable Diesel'!$BG416-1)*'Renewable Diesel'!$BF416)*'RD Feedstock Breakdown'!EB407)*'Feedstock Conversion Rates'!$B$3))</f>
        <v>1007.7335512751154</v>
      </c>
      <c r="FD407" s="102">
        <f>IF('Renewable Diesel'!$BG416&lt;1,0,(((('Renewable Diesel'!$BG416-1)*'Renewable Diesel'!$BF416)*'RD Feedstock Breakdown'!EC407)*'Feedstock Conversion Rates'!$B$4))</f>
        <v>5113.4367198700111</v>
      </c>
      <c r="FE407" s="102">
        <f>IF('Renewable Diesel'!$BG416&lt;1,0,(((('Renewable Diesel'!$BG416-1)*'Renewable Diesel'!$BF416)*'RD Feedstock Breakdown'!ED407)*'Feedstock Conversion Rates'!$B$5))</f>
        <v>622.78245081819341</v>
      </c>
      <c r="FF407" s="102">
        <f>IF('Renewable Diesel'!$BG416&lt;1,0,(((('Renewable Diesel'!$BG416-1)*'Renewable Diesel'!$BF416)*'RD Feedstock Breakdown'!EE407)*'Feedstock Conversion Rates'!$B$6))</f>
        <v>821.52441573469252</v>
      </c>
      <c r="FG407" s="102">
        <f>IF('Renewable Diesel'!$BG416&lt;1,0,(((('Renewable Diesel'!$BG416-1)*'Renewable Diesel'!$BF416)*'RD Feedstock Breakdown'!EF407)*'Feedstock Conversion Rates'!$B$7))</f>
        <v>1335.7737980868487</v>
      </c>
      <c r="FH407" s="102">
        <f>IF('Renewable Diesel'!$BG416&lt;1,0,(((('Renewable Diesel'!$BG416-1)*'Renewable Diesel'!$BF416)*'RD Feedstock Breakdown'!EG407)*'Feedstock Conversion Rates'!$B$8))</f>
        <v>266.04989334088509</v>
      </c>
      <c r="FI407" s="102">
        <f>IF('Renewable Diesel'!$BG416&lt;1,0,(((('Renewable Diesel'!$BG416-1)*'Renewable Diesel'!$BF416)*'RD Feedstock Breakdown'!EH407)*'Feedstock Conversion Rates'!$B$9))</f>
        <v>10.000097578273268</v>
      </c>
      <c r="FJ407" s="102">
        <f t="shared" si="388"/>
        <v>9493.4741469727396</v>
      </c>
      <c r="GD407" s="91">
        <f>'Renewable Diesel'!BB416*0.32</f>
        <v>0</v>
      </c>
      <c r="GE407" s="91">
        <f>'Renewable Diesel'!BC416</f>
        <v>527.44205193918287</v>
      </c>
      <c r="GF407" s="91">
        <f>'Renewable Diesel'!BD416</f>
        <v>0</v>
      </c>
      <c r="GG407" s="91">
        <f t="shared" si="373"/>
        <v>527.44205193918287</v>
      </c>
      <c r="GH407" s="124">
        <v>1</v>
      </c>
      <c r="GI407" s="102">
        <f>$GG407*EA407*'Feedstock Conversion Rates'!$B$2</f>
        <v>140.19348501391801</v>
      </c>
      <c r="GJ407" s="102">
        <f>$GG407*EB407*'Feedstock Conversion Rates'!$B$3</f>
        <v>446.83632092128647</v>
      </c>
      <c r="GK407" s="102">
        <f>$GG407*EC407*'Feedstock Conversion Rates'!$B$4</f>
        <v>2267.3347019948019</v>
      </c>
      <c r="GL407" s="102">
        <f>$GG407*ED407*'Feedstock Conversion Rates'!$B$5</f>
        <v>276.14622804393611</v>
      </c>
      <c r="GM407" s="102">
        <f>$GG407*EE407*'Feedstock Conversion Rates'!$B$6</f>
        <v>364.26984792697777</v>
      </c>
      <c r="GN407" s="102">
        <f>$GG407*EF407*'Feedstock Conversion Rates'!$B$7</f>
        <v>592.29173104829215</v>
      </c>
      <c r="GO407" s="102">
        <f>$GG407*EG407*'Feedstock Conversion Rates'!$B$8</f>
        <v>117.96844053819424</v>
      </c>
      <c r="GP407" s="102">
        <f>$GG407*EH407*'Feedstock Conversion Rates'!B$9</f>
        <v>4.4341153522927614</v>
      </c>
      <c r="GQ407" s="102">
        <f t="shared" si="437"/>
        <v>4209.4748708396992</v>
      </c>
      <c r="GT407" s="103">
        <f t="shared" si="418"/>
        <v>3.3304269372191893E-2</v>
      </c>
      <c r="GU407" s="103">
        <f t="shared" si="416"/>
        <v>0.1061501338365639</v>
      </c>
      <c r="GV407" s="103">
        <f t="shared" si="416"/>
        <v>0.53862649654979833</v>
      </c>
      <c r="GW407" s="103">
        <f t="shared" si="416"/>
        <v>6.5601110950176761E-2</v>
      </c>
      <c r="GX407" s="103">
        <f t="shared" si="416"/>
        <v>8.653569841938831E-2</v>
      </c>
      <c r="GY407" s="103">
        <f t="shared" si="416"/>
        <v>0.14070442257566981</v>
      </c>
      <c r="GZ407" s="103">
        <f t="shared" si="416"/>
        <v>2.8024502855545523E-2</v>
      </c>
      <c r="HA407" s="103">
        <f t="shared" si="416"/>
        <v>1.0533654406655838E-3</v>
      </c>
    </row>
    <row r="408" spans="1:209" x14ac:dyDescent="0.25">
      <c r="A408" s="96">
        <v>52841</v>
      </c>
      <c r="B408" s="104">
        <f t="shared" si="406"/>
        <v>44.25</v>
      </c>
      <c r="C408" s="104">
        <f t="shared" si="396"/>
        <v>49</v>
      </c>
      <c r="D408" s="104">
        <f t="shared" si="407"/>
        <v>2</v>
      </c>
      <c r="E408" s="104">
        <f>('Renewable Diesel'!B417*E$3*'Feedstock Conversion Rates'!$B$2)/12+26+13-100+27.5+39</f>
        <v>95.43</v>
      </c>
      <c r="F408" s="104">
        <f>('Renewable Diesel'!B417*'RD Feedstock Breakdown'!F$3*'Feedstock Conversion Rates'!B$8)/12+77+23-10-12-115.75+24+8</f>
        <v>48.15625</v>
      </c>
      <c r="G408" s="104">
        <f>('Renewable Diesel'!B417*'RD Feedstock Breakdown'!G$3*'Feedstock Conversion Rates'!B$7)/12+116.75-39-57.5-145-31.5+32+70-40+10+60</f>
        <v>151.90700000000004</v>
      </c>
      <c r="H408" s="104">
        <f>('Renewable Diesel'!B417*'RD Feedstock Breakdown'!H$3*'Feedstock Conversion Rates'!B$3)/12+67+10+12+3-235+20+47-20+25</f>
        <v>105.40022499999998</v>
      </c>
      <c r="I408" s="106">
        <f t="shared" si="449"/>
        <v>496.14347500000002</v>
      </c>
      <c r="J408" s="104">
        <f t="shared" si="417"/>
        <v>4</v>
      </c>
      <c r="K408" s="104"/>
      <c r="L408" s="104">
        <v>1</v>
      </c>
      <c r="M408" s="104">
        <f>('Renewable Diesel'!C417*'RD Feedstock Breakdown'!M$3*'Feedstock Conversion Rates'!B$2)/12</f>
        <v>7.7902500000000003</v>
      </c>
      <c r="N408" s="104">
        <f>('Renewable Diesel'!C417*'RD Feedstock Breakdown'!N$3*'Feedstock Conversion Rates'!B$8)/12</f>
        <v>3.671875</v>
      </c>
      <c r="O408" s="104">
        <f>('Renewable Diesel'!C417*'RD Feedstock Breakdown'!O$3*'Feedstock Conversion Rates'!B$7)/12</f>
        <v>11.9991</v>
      </c>
      <c r="P408" s="104">
        <f>('Renewable Diesel'!C417*'RD Feedstock Breakdown'!P$3*'Feedstock Conversion Rates'!B$3)/12</f>
        <v>10.4470425</v>
      </c>
      <c r="Q408" s="106">
        <f t="shared" si="379"/>
        <v>38.908267500000001</v>
      </c>
      <c r="R408" s="104">
        <f>('Renewable Diesel'!D417*'RD Feedstock Breakdown'!R$3*'Feedstock Conversion Rates'!B$7)/12</f>
        <v>2.2999999999999998</v>
      </c>
      <c r="S408" s="106">
        <f t="shared" si="414"/>
        <v>2.2999999999999998</v>
      </c>
      <c r="T408" s="104">
        <f t="shared" si="380"/>
        <v>0.82499999999999929</v>
      </c>
      <c r="U408" s="104"/>
      <c r="V408" s="104">
        <f>('Renewable Diesel'!E417*'RD Feedstock Breakdown'!V$3*'Feedstock Conversion Rates'!B$6)/12-20+25</f>
        <v>49.250150000000012</v>
      </c>
      <c r="W408" s="104">
        <f>('Renewable Diesel'!E417*'RD Feedstock Breakdown'!W$3*'Feedstock Conversion Rates'!B$8)/12-6</f>
        <v>16.1796875</v>
      </c>
      <c r="X408" s="106">
        <f t="shared" si="438"/>
        <v>66.254837500000008</v>
      </c>
      <c r="Y408" s="104">
        <f t="shared" si="381"/>
        <v>98</v>
      </c>
      <c r="Z408" s="104">
        <f>('Renewable Diesel'!F417*'RD Feedstock Breakdown'!Z$3*'Feedstock Conversion Rates'!B$6)/12-142+15+5+20+5+15</f>
        <v>77.460000000000008</v>
      </c>
      <c r="AA408" s="104">
        <f>('Renewable Diesel'!F417*'RD Feedstock Breakdown'!AA$3*'Feedstock Conversion Rates'!B$7)/12+24</f>
        <v>128.26666666666665</v>
      </c>
      <c r="AB408" s="106">
        <f t="shared" si="400"/>
        <v>303.72666666666669</v>
      </c>
      <c r="AC408" s="104">
        <f>('Renewable Diesel'!G417*'RD Feedstock Breakdown'!AC$3*'Feedstock Conversion Rates'!B$5)/12</f>
        <v>11.796875</v>
      </c>
      <c r="AD408" s="104">
        <f>('Renewable Diesel'!G417*'RD Feedstock Breakdown'!AD$3*'Feedstock Conversion Rates'!B$4)/12</f>
        <v>5.859375</v>
      </c>
      <c r="AE408" s="104">
        <f>('Renewable Diesel'!G417*'RD Feedstock Breakdown'!AE$3*'Feedstock Conversion Rates'!B$6)/12</f>
        <v>7.3281250000000009</v>
      </c>
      <c r="AF408" s="106">
        <f t="shared" si="445"/>
        <v>24.984375</v>
      </c>
      <c r="AG408" s="104">
        <f t="shared" si="383"/>
        <v>148</v>
      </c>
      <c r="AH408" s="104"/>
      <c r="AI408" s="104">
        <f>('Renewable Diesel'!H417*'RD Feedstock Breakdown'!AI$3*'Feedstock Conversion Rates'!B$6)/12-130-20+51-49</f>
        <v>0.51666666666667993</v>
      </c>
      <c r="AJ408" s="106">
        <f t="shared" si="413"/>
        <v>148.51666666666668</v>
      </c>
      <c r="AK408" s="104">
        <f>('Renewable Diesel'!J417*'RD Feedstock Breakdown'!AK$3*'Feedstock Conversion Rates'!B$4)/12</f>
        <v>95.8125</v>
      </c>
      <c r="AL408" s="106">
        <f t="shared" si="415"/>
        <v>95.8125</v>
      </c>
      <c r="AM408" s="104">
        <f>('Renewable Diesel'!K417*'RD Feedstock Breakdown'!AM$3*'Feedstock Conversion Rates'!B$4)/12+5+15-10+10</f>
        <v>78.59375</v>
      </c>
      <c r="AN408" s="104">
        <f>('Renewable Diesel'!K417*'RD Feedstock Breakdown'!AN$3*'Feedstock Conversion Rates'!B$6)/12-5-15+10-10</f>
        <v>4.4270833333333321</v>
      </c>
      <c r="AO408" s="106">
        <f t="shared" si="431"/>
        <v>83.020833333333329</v>
      </c>
      <c r="AP408" s="104">
        <f>('Renewable Diesel'!L417*'RD Feedstock Breakdown'!AP$3*'Feedstock Conversion Rates'!B$4)/12+15-10+15</f>
        <v>78.59375</v>
      </c>
      <c r="AQ408" s="104">
        <f>('Renewable Diesel'!L417*'RD Feedstock Breakdown'!AQ$3*'Feedstock Conversion Rates'!B$6)/12-15+10-15</f>
        <v>4.4270833333333321</v>
      </c>
      <c r="AR408" s="106">
        <f t="shared" si="420"/>
        <v>83.020833333333329</v>
      </c>
      <c r="AS408" s="104">
        <f>('Renewable Diesel'!M417*'RD Feedstock Breakdown'!AS$3*'Feedstock Conversion Rates'!B$4)/12</f>
        <v>456.25</v>
      </c>
      <c r="AT408" s="104">
        <f>('Renewable Diesel'!M417*'RD Feedstock Breakdown'!AT$3*'Feedstock Conversion Rates'!B$5)/12</f>
        <v>0</v>
      </c>
      <c r="AU408" s="106">
        <f t="shared" si="448"/>
        <v>456.25</v>
      </c>
      <c r="AV408" s="104">
        <f>'Renewable Diesel'!N417*'RD Feedstock Breakdown'!$AV$3*'Feedstock Conversion Rates'!$B$4/12-15-10+25+25-22+25</f>
        <v>106.74999999999999</v>
      </c>
      <c r="AW408" s="104">
        <f>'Renewable Diesel'!N417*'RD Feedstock Breakdown'!$AW$3*'Feedstock Conversion Rates'!$B$7/12+15+10-25-25+22-25</f>
        <v>13.400000000000006</v>
      </c>
      <c r="AX408" s="106">
        <f t="shared" si="408"/>
        <v>120.14999999999999</v>
      </c>
      <c r="AY408" s="104">
        <f>('Renewable Diesel'!O417*'RD Feedstock Breakdown'!AY$3*'Feedstock Conversion Rates'!B$4)/12</f>
        <v>210.9375</v>
      </c>
      <c r="AZ408" s="104">
        <f>('Renewable Diesel'!O417*'RD Feedstock Breakdown'!AZ$3*'Feedstock Conversion Rates'!B$3)/12</f>
        <v>25.03125</v>
      </c>
      <c r="BA408" s="106">
        <f t="shared" si="382"/>
        <v>235.96875</v>
      </c>
      <c r="BB408" s="104">
        <f>('Renewable Diesel'!Q417*'RD Feedstock Breakdown'!BB$3*'Feedstock Conversion Rates'!B$4)/12</f>
        <v>11.156249999999998</v>
      </c>
      <c r="BC408" s="104">
        <f>('Renewable Diesel'!Q417*'RD Feedstock Breakdown'!BC$3*'Feedstock Conversion Rates'!B$3)/12</f>
        <v>1.4017500000000001</v>
      </c>
      <c r="BD408" s="104">
        <f>('Renewable Diesel'!Q417*'RD Feedstock Breakdown'!BD$3*'Feedstock Conversion Rates'!B$6)/12</f>
        <v>0.8207500000000002</v>
      </c>
      <c r="BE408" s="106">
        <f t="shared" si="440"/>
        <v>13.378749999999998</v>
      </c>
      <c r="BF408" s="104">
        <f>('Renewable Diesel'!R417*'RD Feedstock Breakdown'!BF$3*'Feedstock Conversion Rates'!B$4)/12</f>
        <v>62.5</v>
      </c>
      <c r="BG408" s="106">
        <f t="shared" si="425"/>
        <v>62.5</v>
      </c>
      <c r="BH408" s="104">
        <f>('Renewable Diesel'!T417*'RD Feedstock Breakdown'!BH$3*'Feedstock Conversion Rates'!B$7)/12</f>
        <v>27.599999999999998</v>
      </c>
      <c r="BI408" s="106">
        <f t="shared" si="412"/>
        <v>27.599999999999998</v>
      </c>
      <c r="BJ408" s="104">
        <f>('Renewable Diesel'!W417*'RD Feedstock Breakdown'!BJ$3*'Feedstock Conversion Rates'!B$4)/12</f>
        <v>7.5</v>
      </c>
      <c r="BK408" s="104">
        <f>('Renewable Diesel'!W417*'RD Feedstock Breakdown'!BK$3*'Feedstock Conversion Rates'!B$3)/12</f>
        <v>1.335</v>
      </c>
      <c r="BL408" s="104">
        <f>('Renewable Diesel'!W417*'RD Feedstock Breakdown'!BL$3*'Feedstock Conversion Rates'!B$6)/12</f>
        <v>3.1266666666666669</v>
      </c>
      <c r="BM408" s="104">
        <f>('Renewable Diesel'!W417*'RD Feedstock Breakdown'!BM$3*'Feedstock Conversion Rates'!B$7)/12</f>
        <v>1.5333333333333332</v>
      </c>
      <c r="BN408" s="106">
        <f t="shared" si="374"/>
        <v>13.495000000000001</v>
      </c>
      <c r="BO408" s="104">
        <f>('Renewable Diesel'!P417*'Feedstock Conversion Rates'!B$4)/12</f>
        <v>31.25</v>
      </c>
      <c r="BP408" s="106">
        <f t="shared" si="446"/>
        <v>31.25</v>
      </c>
      <c r="BQ408" s="104">
        <f>('Renewable Diesel'!$S417*'RD Feedstock Breakdown'!BQ$3*'Feedstock Conversion Rates'!B$4)/12+10+15-15</f>
        <v>38.125</v>
      </c>
      <c r="BR408" s="104">
        <f>('Renewable Diesel'!$S417*'RD Feedstock Breakdown'!BR$3*'Feedstock Conversion Rates'!B$7)/12-10-15+15</f>
        <v>1.5</v>
      </c>
      <c r="BS408" s="106">
        <f t="shared" si="385"/>
        <v>39.625</v>
      </c>
      <c r="BT408" s="106"/>
      <c r="BU408" s="104">
        <f>('Renewable Diesel'!Y417*'Feedstock Conversion Rates'!B$7)/12</f>
        <v>2.6833333333333331</v>
      </c>
      <c r="BV408" s="106">
        <f t="shared" si="442"/>
        <v>2.6833333333333331</v>
      </c>
      <c r="BW408" s="104">
        <f>('Renewable Diesel'!$Z417*'RD Feedstock Breakdown'!BW$3*'Feedstock Conversion Rates'!$B$4)/12-250+180</f>
        <v>1.875</v>
      </c>
      <c r="BX408" s="104">
        <f>('Renewable Diesel'!$Z417*'RD Feedstock Breakdown'!BX$3*'Feedstock Conversion Rates'!$B$5)/12</f>
        <v>7.2354166666666666</v>
      </c>
      <c r="BY408" s="104">
        <f>('Renewable Diesel'!$Z417*'RD Feedstock Breakdown'!BY$3*'Feedstock Conversion Rates'!$B$7)/12</f>
        <v>61.716666666666661</v>
      </c>
      <c r="BZ408" s="104">
        <f>('Renewable Diesel'!$Z417*'RD Feedstock Breakdown'!BZ$3*'Feedstock Conversion Rates'!$B$3)/12+250-180</f>
        <v>85.35250000000002</v>
      </c>
      <c r="CA408" s="106">
        <f t="shared" si="392"/>
        <v>156.17958333333334</v>
      </c>
      <c r="CB408" s="104">
        <f>('Renewable Diesel'!AA417*'Feedstock Conversion Rates'!B$4)/12</f>
        <v>191.25</v>
      </c>
      <c r="CC408" s="106">
        <f t="shared" si="376"/>
        <v>191.25</v>
      </c>
      <c r="CD408" s="104">
        <f>('Renewable Diesel'!$AB417*'RD Feedstock Breakdown'!CD$3*'Feedstock Conversion Rates'!$B$6)/12-15-5</f>
        <v>12.830000000000005</v>
      </c>
      <c r="CE408" s="104">
        <f>('Renewable Diesel'!$AB417*'RD Feedstock Breakdown'!CE$3*'Feedstock Conversion Rates'!$B$4)/12+15+5</f>
        <v>31.25</v>
      </c>
      <c r="CF408" s="106">
        <f t="shared" ref="CF408:CF471" si="450">SUM(CD408:CE408)</f>
        <v>44.080000000000005</v>
      </c>
      <c r="CG408" s="104">
        <f>('Renewable Diesel'!AD417*'Feedstock Conversion Rates'!B$4)/12</f>
        <v>112.5</v>
      </c>
      <c r="CH408" s="106">
        <f t="shared" si="439"/>
        <v>112.5</v>
      </c>
      <c r="CI408" s="104">
        <f>('Renewable Diesel'!$AE417*'RD Feedstock Breakdown'!CI$3*'Feedstock Conversion Rates'!$B$5)/12</f>
        <v>0.34604166666666664</v>
      </c>
      <c r="CJ408" s="104">
        <f>('Renewable Diesel'!$AE417*'RD Feedstock Breakdown'!CJ$3*'Feedstock Conversion Rates'!$B$4)/12</f>
        <v>0.34375</v>
      </c>
      <c r="CK408" s="106">
        <f t="shared" si="447"/>
        <v>0.68979166666666658</v>
      </c>
      <c r="CL408" s="104">
        <f>(((CL$3*'Renewable Diesel'!$AF417)*'Feedstock Conversion Rates'!$B$3)/12)</f>
        <v>91.78125</v>
      </c>
      <c r="CM408" s="104">
        <f>(((CM$3*'Renewable Diesel'!$AF417)*'Feedstock Conversion Rates'!$B$6)/12)</f>
        <v>53.739583333333336</v>
      </c>
      <c r="CN408" s="104">
        <f>(((CN$3*'Renewable Diesel'!$AF417)*'Feedstock Conversion Rates'!$B$4)/12)</f>
        <v>42.96875</v>
      </c>
      <c r="CO408" s="106">
        <f t="shared" si="441"/>
        <v>188.48958333333334</v>
      </c>
      <c r="CP408" s="104">
        <f>('Renewable Diesel'!$AG417*'RD Feedstock Breakdown'!CP$3*'Feedstock Conversion Rates'!$B$3)/12</f>
        <v>6.0075000000000003</v>
      </c>
      <c r="CQ408" s="104">
        <f>('Renewable Diesel'!$AG417*'RD Feedstock Breakdown'!CQ$3*'Feedstock Conversion Rates'!$B$6)/12</f>
        <v>3.5175000000000001</v>
      </c>
      <c r="CR408" s="104">
        <f>('Renewable Diesel'!$AG417*'RD Feedstock Breakdown'!CR$3*'Feedstock Conversion Rates'!$B$4)/12</f>
        <v>2.8125</v>
      </c>
      <c r="CS408" s="106">
        <f t="shared" si="397"/>
        <v>12.3375</v>
      </c>
      <c r="CT408" s="104">
        <f>('Renewable Diesel'!AI417*'Feedstock Conversion Rates'!$B$4*'RD Feedstock Breakdown'!$CT$3)/12</f>
        <v>29.375</v>
      </c>
      <c r="CU408" s="106">
        <f t="shared" si="443"/>
        <v>29.375</v>
      </c>
      <c r="CV408" s="104">
        <f>('Renewable Diesel'!AN417*'Feedstock Conversion Rates'!$B$3*'RD Feedstock Breakdown'!$CV$3)/12</f>
        <v>0.50062499999999999</v>
      </c>
      <c r="CW408" s="106">
        <f t="shared" si="419"/>
        <v>0.50062499999999999</v>
      </c>
      <c r="CX408" s="104">
        <f>('Renewable Diesel'!AO417*'RD Feedstock Breakdown'!$CX$3*'Feedstock Conversion Rates'!$B$3)/12</f>
        <v>6.3412499999999996</v>
      </c>
      <c r="CY408" s="104">
        <f>('Renewable Diesel'!AO417*'RD Feedstock Breakdown'!$CY$3*'Feedstock Conversion Rates'!$B$6)/12</f>
        <v>7.4258333333333342</v>
      </c>
      <c r="CZ408" s="106">
        <f t="shared" si="398"/>
        <v>13.767083333333334</v>
      </c>
      <c r="DA408" s="104">
        <f>('Renewable Diesel'!$AP417*'RD Feedstock Breakdown'!DA$3*'Feedstock Conversion Rates'!$B$3)/12</f>
        <v>6.3412499999999996</v>
      </c>
      <c r="DB408" s="104">
        <f>('Renewable Diesel'!$AP417*'RD Feedstock Breakdown'!DB$3*'Feedstock Conversion Rates'!$B$8)/12</f>
        <v>7.421875</v>
      </c>
      <c r="DC408" s="106">
        <f t="shared" si="422"/>
        <v>13.763124999999999</v>
      </c>
      <c r="DD408" s="104">
        <f>('Renewable Diesel'!AQ417*$DD$3*'Feedstock Conversion Rates'!$B$14)/12</f>
        <v>3.1041666666666665</v>
      </c>
      <c r="DE408" s="106">
        <f t="shared" si="423"/>
        <v>3.1041666666666665</v>
      </c>
      <c r="DF408" s="104">
        <f>('Renewable Diesel'!AR417*'Feedstock Conversion Rates'!$B$4*$DF$3)/12</f>
        <v>75</v>
      </c>
      <c r="DG408" s="106">
        <f t="shared" si="399"/>
        <v>75</v>
      </c>
      <c r="DH408" s="104">
        <f>('Renewable Diesel'!AS417*'Feedstock Conversion Rates'!$B$4*$DH$3)/12</f>
        <v>75</v>
      </c>
      <c r="DI408" s="106">
        <f t="shared" si="411"/>
        <v>75</v>
      </c>
      <c r="DJ408" s="104">
        <f>('Renewable Diesel'!AT417*'Feedstock Conversion Rates'!$B$4*0.25)/12</f>
        <v>8.59375</v>
      </c>
      <c r="DK408" s="104">
        <f>('Renewable Diesel'!$AT417*'RD Feedstock Breakdown'!DK$3*'Feedstock Conversion Rates'!$B$3)/12*0.5</f>
        <v>9.1781249999999996</v>
      </c>
      <c r="DL408" s="104">
        <f>('Renewable Diesel'!$AT417*'RD Feedstock Breakdown'!$DL$3*'Feedstock Conversion Rates'!$B$6)/12</f>
        <v>10.747916666666669</v>
      </c>
      <c r="DM408" s="104">
        <f>('Renewable Diesel'!$AT417*'RD Feedstock Breakdown'!$DM$3*'Feedstock Conversion Rates'!$B$8)/12</f>
        <v>10.7421875</v>
      </c>
      <c r="DN408" s="106">
        <f t="shared" si="375"/>
        <v>39.26197916666667</v>
      </c>
      <c r="DP408" s="104">
        <f t="shared" si="426"/>
        <v>103.22025000000001</v>
      </c>
      <c r="DQ408" s="104">
        <f t="shared" si="427"/>
        <v>349.11776750000007</v>
      </c>
      <c r="DR408" s="104">
        <f t="shared" si="432"/>
        <v>1891.953125</v>
      </c>
      <c r="DS408" s="104">
        <f t="shared" si="444"/>
        <v>228.90125</v>
      </c>
      <c r="DT408" s="104">
        <f t="shared" si="428"/>
        <v>243.03923333333344</v>
      </c>
      <c r="DU408" s="104">
        <f t="shared" si="429"/>
        <v>402.90610000000009</v>
      </c>
      <c r="DV408" s="104">
        <f t="shared" si="433"/>
        <v>78.75</v>
      </c>
      <c r="DW408" s="104">
        <f t="shared" si="430"/>
        <v>3</v>
      </c>
      <c r="DX408" s="106">
        <f t="shared" si="434"/>
        <v>3300.8877258333337</v>
      </c>
      <c r="DY408" s="109">
        <f t="shared" si="421"/>
        <v>-5.631051180898794E-13</v>
      </c>
      <c r="EA408" s="110">
        <f t="shared" si="424"/>
        <v>3.1270451640078516E-2</v>
      </c>
      <c r="EB408" s="110">
        <f t="shared" si="424"/>
        <v>0.10576481131658687</v>
      </c>
      <c r="EC408" s="110">
        <f t="shared" si="424"/>
        <v>0.57316494293133291</v>
      </c>
      <c r="ED408" s="110">
        <f t="shared" si="424"/>
        <v>6.9345360706629972E-2</v>
      </c>
      <c r="EE408" s="110">
        <f t="shared" si="424"/>
        <v>7.3628445896921982E-2</v>
      </c>
      <c r="EF408" s="110">
        <f t="shared" si="424"/>
        <v>0.1220599225010852</v>
      </c>
      <c r="EG408" s="110">
        <f t="shared" si="384"/>
        <v>2.3857218585075921E-2</v>
      </c>
      <c r="EH408" s="111">
        <f t="shared" si="435"/>
        <v>9.0884642228860647E-4</v>
      </c>
      <c r="EI408" s="110">
        <f t="shared" si="409"/>
        <v>0.99909115357771139</v>
      </c>
      <c r="EK408" s="132">
        <f>(EA408*'Renewable Diesel'!BF417*'Feedstock Conversion Rates'!B$2)+FB408</f>
        <v>734.7259721479827</v>
      </c>
      <c r="EL408" s="132">
        <f>(EB408*'Renewable Diesel'!BF417*'Feedstock Conversion Rates'!B$3)+FC408</f>
        <v>2341.7796500837921</v>
      </c>
      <c r="EM408" s="132">
        <f>(EC408*'Renewable Diesel'!BF417*'Feedstock Conversion Rates'!B$4)+FD408</f>
        <v>11882.646992780048</v>
      </c>
      <c r="EN408" s="132">
        <f>(ED408*'Renewable Diesel'!BF417*'Feedstock Conversion Rates'!B$5)+FE408</f>
        <v>1447.2270650411251</v>
      </c>
      <c r="EO408" s="132">
        <f>(EE408*'Renewable Diesel'!BF417*'Feedstock Conversion Rates'!B$6)+FF408</f>
        <v>1909.0653043953948</v>
      </c>
      <c r="EP408" s="132">
        <f>(EF408*'Renewable Diesel'!BF417*'Feedstock Conversion Rates'!B$7)+FG408</f>
        <v>3104.0823177087395</v>
      </c>
      <c r="EQ408" s="132">
        <f>(EG408*'Renewable Diesel'!BF417*'Feedstock Conversion Rates'!B$8)+FH408</f>
        <v>618.24896605289098</v>
      </c>
      <c r="ER408" s="132">
        <f>(EH408*'Renewable Diesel'!BF417*'Feedstock Conversion Rates'!B$9)+FI408</f>
        <v>23.23831034306739</v>
      </c>
      <c r="ES408" s="132">
        <f t="shared" si="436"/>
        <v>22061.01457855304</v>
      </c>
      <c r="ET408" s="133">
        <f>ES408/'Renewable Diesel'!BF417</f>
        <v>19.54191813508514</v>
      </c>
      <c r="EW408" s="73">
        <f t="shared" si="386"/>
        <v>21215.824467462608</v>
      </c>
      <c r="EX408" s="73">
        <f t="shared" si="387"/>
        <v>13896.481233437504</v>
      </c>
      <c r="EY408" s="92">
        <f t="shared" si="410"/>
        <v>0.96168852034973507</v>
      </c>
      <c r="EZ408" s="92">
        <f t="shared" si="410"/>
        <v>0.62991124836784185</v>
      </c>
      <c r="FB408" s="102">
        <f>IF('Renewable Diesel'!$BG417&lt;1,0,(((('Renewable Diesel'!$BG417-1)*'Renewable Diesel'!$BF417)*'RD Feedstock Breakdown'!EA408)*'Feedstock Conversion Rates'!$B$2))</f>
        <v>434.6637151935434</v>
      </c>
      <c r="FC408" s="102">
        <f>IF('Renewable Diesel'!$BG417&lt;1,0,(((('Renewable Diesel'!$BG417-1)*'Renewable Diesel'!$BF417)*'RD Feedstock Breakdown'!EB408)*'Feedstock Conversion Rates'!$B$3))</f>
        <v>1385.3962993770995</v>
      </c>
      <c r="FD408" s="102">
        <f>IF('Renewable Diesel'!$BG417&lt;1,0,(((('Renewable Diesel'!$BG417-1)*'Renewable Diesel'!$BF417)*'RD Feedstock Breakdown'!EC408)*'Feedstock Conversion Rates'!$B$4))</f>
        <v>7029.7712126812867</v>
      </c>
      <c r="FE408" s="102">
        <f>IF('Renewable Diesel'!$BG417&lt;1,0,(((('Renewable Diesel'!$BG417-1)*'Renewable Diesel'!$BF417)*'RD Feedstock Breakdown'!ED408)*'Feedstock Conversion Rates'!$B$5))</f>
        <v>856.17919696014712</v>
      </c>
      <c r="FF408" s="102">
        <f>IF('Renewable Diesel'!$BG417&lt;1,0,(((('Renewable Diesel'!$BG417-1)*'Renewable Diesel'!$BF417)*'RD Feedstock Breakdown'!EE408)*'Feedstock Conversion Rates'!$B$6))</f>
        <v>1129.402592547066</v>
      </c>
      <c r="FG408" s="102">
        <f>IF('Renewable Diesel'!$BG417&lt;1,0,(((('Renewable Diesel'!$BG417-1)*'Renewable Diesel'!$BF417)*'RD Feedstock Breakdown'!EF408)*'Feedstock Conversion Rates'!$B$7))</f>
        <v>1836.3743812368102</v>
      </c>
      <c r="FH408" s="102">
        <f>IF('Renewable Diesel'!$BG417&lt;1,0,(((('Renewable Diesel'!$BG417-1)*'Renewable Diesel'!$BF417)*'RD Feedstock Breakdown'!EG408)*'Feedstock Conversion Rates'!$B$8))</f>
        <v>365.75594532677133</v>
      </c>
      <c r="FI408" s="102">
        <f>IF('Renewable Diesel'!$BG417&lt;1,0,(((('Renewable Diesel'!$BG417-1)*'Renewable Diesel'!$BF417)*'RD Feedstock Breakdown'!EH408)*'Feedstock Conversion Rates'!$B$9))</f>
        <v>13.747779024345943</v>
      </c>
      <c r="FJ408" s="102">
        <f t="shared" si="388"/>
        <v>13051.291122347071</v>
      </c>
      <c r="GD408" s="91">
        <f>'Renewable Diesel'!BB417*0.32</f>
        <v>0</v>
      </c>
      <c r="GE408" s="91">
        <f>'Renewable Diesel'!BC417</f>
        <v>641.49594918487639</v>
      </c>
      <c r="GF408" s="91">
        <f>'Renewable Diesel'!BD417</f>
        <v>0</v>
      </c>
      <c r="GG408" s="91">
        <f t="shared" si="373"/>
        <v>641.49594918487639</v>
      </c>
      <c r="GH408" s="124">
        <v>1</v>
      </c>
      <c r="GI408" s="102">
        <f>$GG408*EA408*'Feedstock Conversion Rates'!$B$2</f>
        <v>170.50887847848151</v>
      </c>
      <c r="GJ408" s="102">
        <f>$GG408*EB408*'Feedstock Conversion Rates'!$B$3</f>
        <v>543.4600611874049</v>
      </c>
      <c r="GK408" s="102">
        <f>$GG408*EC408*'Feedstock Conversion Rates'!$B$4</f>
        <v>2757.6224182892315</v>
      </c>
      <c r="GL408" s="102">
        <f>$GG408*ED408*'Feedstock Conversion Rates'!$B$5</f>
        <v>335.85999830990755</v>
      </c>
      <c r="GM408" s="102">
        <f>$GG408*EE408*'Feedstock Conversion Rates'!$B$6</f>
        <v>443.03944100818785</v>
      </c>
      <c r="GN408" s="102">
        <f>$GG408*EF408*'Feedstock Conversion Rates'!$B$7</f>
        <v>720.36870174884814</v>
      </c>
      <c r="GO408" s="102">
        <f>$GG408*EG408*'Feedstock Conversion Rates'!$B$8</f>
        <v>143.47789763572828</v>
      </c>
      <c r="GP408" s="102">
        <f>$GG408*EH408*'Feedstock Conversion Rates'!B$9</f>
        <v>5.3929470095461047</v>
      </c>
      <c r="GQ408" s="102">
        <f t="shared" si="437"/>
        <v>5119.7303436673365</v>
      </c>
      <c r="GT408" s="103">
        <f t="shared" si="418"/>
        <v>3.3304269372191886E-2</v>
      </c>
      <c r="GU408" s="103">
        <f t="shared" si="416"/>
        <v>0.10615013383656388</v>
      </c>
      <c r="GV408" s="103">
        <f t="shared" si="416"/>
        <v>0.53862649654979822</v>
      </c>
      <c r="GW408" s="103">
        <f t="shared" si="416"/>
        <v>6.5601110950176761E-2</v>
      </c>
      <c r="GX408" s="103">
        <f t="shared" si="416"/>
        <v>8.6535698419388296E-2</v>
      </c>
      <c r="GY408" s="103">
        <f t="shared" si="416"/>
        <v>0.14070442257566981</v>
      </c>
      <c r="GZ408" s="103">
        <f t="shared" si="416"/>
        <v>2.8024502855545513E-2</v>
      </c>
      <c r="HA408" s="103">
        <f t="shared" si="416"/>
        <v>1.0533654406655836E-3</v>
      </c>
    </row>
    <row r="409" spans="1:209" x14ac:dyDescent="0.25">
      <c r="A409" s="96">
        <v>52871</v>
      </c>
      <c r="B409" s="104">
        <f t="shared" si="406"/>
        <v>44.25</v>
      </c>
      <c r="C409" s="104">
        <f t="shared" si="396"/>
        <v>49</v>
      </c>
      <c r="D409" s="104">
        <f t="shared" si="407"/>
        <v>2</v>
      </c>
      <c r="E409" s="104">
        <f>('Renewable Diesel'!B418*E$3*'Feedstock Conversion Rates'!$B$2)/12+26+13-100+27.5+39</f>
        <v>95.43</v>
      </c>
      <c r="F409" s="104">
        <f>('Renewable Diesel'!B418*'RD Feedstock Breakdown'!F$3*'Feedstock Conversion Rates'!B$8)/12+77+23-10-12-115.75+24+8</f>
        <v>48.15625</v>
      </c>
      <c r="G409" s="104">
        <f>('Renewable Diesel'!B418*'RD Feedstock Breakdown'!G$3*'Feedstock Conversion Rates'!B$7)/12+116.75-39-57.5-145-31.5+32+70-40+10+60</f>
        <v>151.90700000000004</v>
      </c>
      <c r="H409" s="104">
        <f>('Renewable Diesel'!B418*'RD Feedstock Breakdown'!H$3*'Feedstock Conversion Rates'!B$3)/12+67+10+12+3-235+20+47-20+25</f>
        <v>105.40022499999998</v>
      </c>
      <c r="I409" s="106">
        <f t="shared" si="449"/>
        <v>496.14347500000002</v>
      </c>
      <c r="J409" s="104">
        <f t="shared" si="417"/>
        <v>4</v>
      </c>
      <c r="K409" s="104"/>
      <c r="L409" s="104">
        <v>1</v>
      </c>
      <c r="M409" s="104">
        <f>('Renewable Diesel'!C418*'RD Feedstock Breakdown'!M$3*'Feedstock Conversion Rates'!B$2)/12</f>
        <v>7.7902500000000003</v>
      </c>
      <c r="N409" s="104">
        <f>('Renewable Diesel'!C418*'RD Feedstock Breakdown'!N$3*'Feedstock Conversion Rates'!B$8)/12</f>
        <v>3.671875</v>
      </c>
      <c r="O409" s="104">
        <f>('Renewable Diesel'!C418*'RD Feedstock Breakdown'!O$3*'Feedstock Conversion Rates'!B$7)/12</f>
        <v>11.9991</v>
      </c>
      <c r="P409" s="104">
        <f>('Renewable Diesel'!C418*'RD Feedstock Breakdown'!P$3*'Feedstock Conversion Rates'!B$3)/12</f>
        <v>10.4470425</v>
      </c>
      <c r="Q409" s="106">
        <f t="shared" si="379"/>
        <v>38.908267500000001</v>
      </c>
      <c r="R409" s="104">
        <f>('Renewable Diesel'!D418*'RD Feedstock Breakdown'!R$3*'Feedstock Conversion Rates'!B$7)/12</f>
        <v>2.2999999999999998</v>
      </c>
      <c r="S409" s="106">
        <f t="shared" si="414"/>
        <v>2.2999999999999998</v>
      </c>
      <c r="T409" s="104">
        <f t="shared" si="380"/>
        <v>0.82499999999999929</v>
      </c>
      <c r="U409" s="104"/>
      <c r="V409" s="104">
        <f>('Renewable Diesel'!E418*'RD Feedstock Breakdown'!V$3*'Feedstock Conversion Rates'!B$6)/12-20+25</f>
        <v>49.250150000000012</v>
      </c>
      <c r="W409" s="104">
        <f>('Renewable Diesel'!E418*'RD Feedstock Breakdown'!W$3*'Feedstock Conversion Rates'!B$8)/12-6</f>
        <v>16.1796875</v>
      </c>
      <c r="X409" s="106">
        <f t="shared" si="438"/>
        <v>66.254837500000008</v>
      </c>
      <c r="Y409" s="104">
        <f t="shared" si="381"/>
        <v>98</v>
      </c>
      <c r="Z409" s="104">
        <f>('Renewable Diesel'!F418*'RD Feedstock Breakdown'!Z$3*'Feedstock Conversion Rates'!B$6)/12-142+15+5+20+5+15</f>
        <v>77.460000000000008</v>
      </c>
      <c r="AA409" s="104">
        <f>('Renewable Diesel'!F418*'RD Feedstock Breakdown'!AA$3*'Feedstock Conversion Rates'!B$7)/12+24</f>
        <v>128.26666666666665</v>
      </c>
      <c r="AB409" s="106">
        <f t="shared" si="400"/>
        <v>303.72666666666669</v>
      </c>
      <c r="AC409" s="104">
        <f>('Renewable Diesel'!G418*'RD Feedstock Breakdown'!AC$3*'Feedstock Conversion Rates'!B$5)/12</f>
        <v>11.796875</v>
      </c>
      <c r="AD409" s="104">
        <f>('Renewable Diesel'!G418*'RD Feedstock Breakdown'!AD$3*'Feedstock Conversion Rates'!B$4)/12</f>
        <v>5.859375</v>
      </c>
      <c r="AE409" s="104">
        <f>('Renewable Diesel'!G418*'RD Feedstock Breakdown'!AE$3*'Feedstock Conversion Rates'!B$6)/12</f>
        <v>7.3281250000000009</v>
      </c>
      <c r="AF409" s="106">
        <f t="shared" si="445"/>
        <v>24.984375</v>
      </c>
      <c r="AG409" s="104">
        <f t="shared" si="383"/>
        <v>148</v>
      </c>
      <c r="AH409" s="104"/>
      <c r="AI409" s="104">
        <f>('Renewable Diesel'!H418*'RD Feedstock Breakdown'!AI$3*'Feedstock Conversion Rates'!B$6)/12-130-20+51-49</f>
        <v>0.51666666666667993</v>
      </c>
      <c r="AJ409" s="106">
        <f t="shared" si="413"/>
        <v>148.51666666666668</v>
      </c>
      <c r="AK409" s="104">
        <f>('Renewable Diesel'!J418*'RD Feedstock Breakdown'!AK$3*'Feedstock Conversion Rates'!B$4)/12</f>
        <v>95.8125</v>
      </c>
      <c r="AL409" s="106">
        <f t="shared" si="415"/>
        <v>95.8125</v>
      </c>
      <c r="AM409" s="104">
        <f>('Renewable Diesel'!K418*'RD Feedstock Breakdown'!AM$3*'Feedstock Conversion Rates'!B$4)/12+5+15-10+10</f>
        <v>78.59375</v>
      </c>
      <c r="AN409" s="104">
        <f>('Renewable Diesel'!K418*'RD Feedstock Breakdown'!AN$3*'Feedstock Conversion Rates'!B$6)/12-5-15+10-10</f>
        <v>4.4270833333333321</v>
      </c>
      <c r="AO409" s="106">
        <f t="shared" si="431"/>
        <v>83.020833333333329</v>
      </c>
      <c r="AP409" s="104">
        <f>('Renewable Diesel'!L418*'RD Feedstock Breakdown'!AP$3*'Feedstock Conversion Rates'!B$4)/12+15-10+15</f>
        <v>78.59375</v>
      </c>
      <c r="AQ409" s="104">
        <f>('Renewable Diesel'!L418*'RD Feedstock Breakdown'!AQ$3*'Feedstock Conversion Rates'!B$6)/12-15+10-15</f>
        <v>4.4270833333333321</v>
      </c>
      <c r="AR409" s="106">
        <f t="shared" si="420"/>
        <v>83.020833333333329</v>
      </c>
      <c r="AS409" s="104">
        <f>('Renewable Diesel'!M418*'RD Feedstock Breakdown'!AS$3*'Feedstock Conversion Rates'!B$4)/12</f>
        <v>456.25</v>
      </c>
      <c r="AT409" s="104">
        <f>('Renewable Diesel'!M418*'RD Feedstock Breakdown'!AT$3*'Feedstock Conversion Rates'!B$5)/12</f>
        <v>0</v>
      </c>
      <c r="AU409" s="106">
        <f t="shared" si="448"/>
        <v>456.25</v>
      </c>
      <c r="AV409" s="104">
        <f>'Renewable Diesel'!N418*'RD Feedstock Breakdown'!$AV$3*'Feedstock Conversion Rates'!$B$4/12-15-10+25+25-22+25</f>
        <v>106.74999999999999</v>
      </c>
      <c r="AW409" s="104">
        <f>'Renewable Diesel'!N418*'RD Feedstock Breakdown'!$AW$3*'Feedstock Conversion Rates'!$B$7/12+15+10-25-25+22-25</f>
        <v>13.400000000000006</v>
      </c>
      <c r="AX409" s="106">
        <f t="shared" si="408"/>
        <v>120.14999999999999</v>
      </c>
      <c r="AY409" s="104">
        <f>('Renewable Diesel'!O418*'RD Feedstock Breakdown'!AY$3*'Feedstock Conversion Rates'!B$4)/12</f>
        <v>210.9375</v>
      </c>
      <c r="AZ409" s="104">
        <f>('Renewable Diesel'!O418*'RD Feedstock Breakdown'!AZ$3*'Feedstock Conversion Rates'!B$3)/12</f>
        <v>25.03125</v>
      </c>
      <c r="BA409" s="106">
        <f t="shared" si="382"/>
        <v>235.96875</v>
      </c>
      <c r="BB409" s="104">
        <f>('Renewable Diesel'!Q418*'RD Feedstock Breakdown'!BB$3*'Feedstock Conversion Rates'!B$4)/12</f>
        <v>11.156249999999998</v>
      </c>
      <c r="BC409" s="104">
        <f>('Renewable Diesel'!Q418*'RD Feedstock Breakdown'!BC$3*'Feedstock Conversion Rates'!B$3)/12</f>
        <v>1.4017500000000001</v>
      </c>
      <c r="BD409" s="104">
        <f>('Renewable Diesel'!Q418*'RD Feedstock Breakdown'!BD$3*'Feedstock Conversion Rates'!B$6)/12</f>
        <v>0.8207500000000002</v>
      </c>
      <c r="BE409" s="106">
        <f t="shared" si="440"/>
        <v>13.378749999999998</v>
      </c>
      <c r="BF409" s="104">
        <f>('Renewable Diesel'!R418*'RD Feedstock Breakdown'!BF$3*'Feedstock Conversion Rates'!B$4)/12</f>
        <v>62.5</v>
      </c>
      <c r="BG409" s="106">
        <f t="shared" si="425"/>
        <v>62.5</v>
      </c>
      <c r="BH409" s="104">
        <f>('Renewable Diesel'!T418*'RD Feedstock Breakdown'!BH$3*'Feedstock Conversion Rates'!B$7)/12</f>
        <v>27.599999999999998</v>
      </c>
      <c r="BI409" s="106">
        <f t="shared" si="412"/>
        <v>27.599999999999998</v>
      </c>
      <c r="BJ409" s="104">
        <f>('Renewable Diesel'!W418*'RD Feedstock Breakdown'!BJ$3*'Feedstock Conversion Rates'!B$4)/12</f>
        <v>7.5</v>
      </c>
      <c r="BK409" s="104">
        <f>('Renewable Diesel'!W418*'RD Feedstock Breakdown'!BK$3*'Feedstock Conversion Rates'!B$3)/12</f>
        <v>1.335</v>
      </c>
      <c r="BL409" s="104">
        <f>('Renewable Diesel'!W418*'RD Feedstock Breakdown'!BL$3*'Feedstock Conversion Rates'!B$6)/12</f>
        <v>3.1266666666666669</v>
      </c>
      <c r="BM409" s="104">
        <f>('Renewable Diesel'!W418*'RD Feedstock Breakdown'!BM$3*'Feedstock Conversion Rates'!B$7)/12</f>
        <v>1.5333333333333332</v>
      </c>
      <c r="BN409" s="106">
        <f t="shared" si="374"/>
        <v>13.495000000000001</v>
      </c>
      <c r="BO409" s="104">
        <f>('Renewable Diesel'!P418*'Feedstock Conversion Rates'!B$4)/12</f>
        <v>31.25</v>
      </c>
      <c r="BP409" s="106">
        <f t="shared" si="446"/>
        <v>31.25</v>
      </c>
      <c r="BQ409" s="104">
        <f>('Renewable Diesel'!$S418*'RD Feedstock Breakdown'!BQ$3*'Feedstock Conversion Rates'!B$4)/12+10+15-15</f>
        <v>38.125</v>
      </c>
      <c r="BR409" s="104">
        <f>('Renewable Diesel'!$S418*'RD Feedstock Breakdown'!BR$3*'Feedstock Conversion Rates'!B$7)/12-10-15+15</f>
        <v>1.5</v>
      </c>
      <c r="BS409" s="106">
        <f t="shared" si="385"/>
        <v>39.625</v>
      </c>
      <c r="BT409" s="106"/>
      <c r="BU409" s="104">
        <f>('Renewable Diesel'!Y418*'Feedstock Conversion Rates'!B$7)/12</f>
        <v>2.6833333333333331</v>
      </c>
      <c r="BV409" s="106">
        <f t="shared" si="442"/>
        <v>2.6833333333333331</v>
      </c>
      <c r="BW409" s="104">
        <f>('Renewable Diesel'!$Z418*'RD Feedstock Breakdown'!BW$3*'Feedstock Conversion Rates'!$B$4)/12-250+180</f>
        <v>1.875</v>
      </c>
      <c r="BX409" s="104">
        <f>('Renewable Diesel'!$Z418*'RD Feedstock Breakdown'!BX$3*'Feedstock Conversion Rates'!$B$5)/12</f>
        <v>7.2354166666666666</v>
      </c>
      <c r="BY409" s="104">
        <f>('Renewable Diesel'!$Z418*'RD Feedstock Breakdown'!BY$3*'Feedstock Conversion Rates'!$B$7)/12</f>
        <v>61.716666666666661</v>
      </c>
      <c r="BZ409" s="104">
        <f>('Renewable Diesel'!$Z418*'RD Feedstock Breakdown'!BZ$3*'Feedstock Conversion Rates'!$B$3)/12+250-180</f>
        <v>85.35250000000002</v>
      </c>
      <c r="CA409" s="106">
        <f t="shared" si="392"/>
        <v>156.17958333333334</v>
      </c>
      <c r="CB409" s="104">
        <f>('Renewable Diesel'!AA418*'Feedstock Conversion Rates'!B$4)/12</f>
        <v>191.25</v>
      </c>
      <c r="CC409" s="106">
        <f t="shared" si="376"/>
        <v>191.25</v>
      </c>
      <c r="CD409" s="104">
        <f>('Renewable Diesel'!$AB418*'RD Feedstock Breakdown'!CD$3*'Feedstock Conversion Rates'!$B$6)/12-15-5</f>
        <v>12.830000000000005</v>
      </c>
      <c r="CE409" s="104">
        <f>('Renewable Diesel'!$AB418*'RD Feedstock Breakdown'!CE$3*'Feedstock Conversion Rates'!$B$4)/12+15+5</f>
        <v>31.25</v>
      </c>
      <c r="CF409" s="106">
        <f t="shared" si="450"/>
        <v>44.080000000000005</v>
      </c>
      <c r="CG409" s="104">
        <f>('Renewable Diesel'!AD418*'Feedstock Conversion Rates'!B$4)/12</f>
        <v>112.5</v>
      </c>
      <c r="CH409" s="106">
        <f t="shared" si="439"/>
        <v>112.5</v>
      </c>
      <c r="CI409" s="104">
        <f>('Renewable Diesel'!$AE418*'RD Feedstock Breakdown'!CI$3*'Feedstock Conversion Rates'!$B$5)/12</f>
        <v>0.34604166666666664</v>
      </c>
      <c r="CJ409" s="104">
        <f>('Renewable Diesel'!$AE418*'RD Feedstock Breakdown'!CJ$3*'Feedstock Conversion Rates'!$B$4)/12</f>
        <v>0.34375</v>
      </c>
      <c r="CK409" s="106">
        <f t="shared" si="447"/>
        <v>0.68979166666666658</v>
      </c>
      <c r="CL409" s="104">
        <f>(((CL$3*'Renewable Diesel'!$AF418)*'Feedstock Conversion Rates'!$B$3)/12)</f>
        <v>91.78125</v>
      </c>
      <c r="CM409" s="104">
        <f>(((CM$3*'Renewable Diesel'!$AF418)*'Feedstock Conversion Rates'!$B$6)/12)</f>
        <v>53.739583333333336</v>
      </c>
      <c r="CN409" s="104">
        <f>(((CN$3*'Renewable Diesel'!$AF418)*'Feedstock Conversion Rates'!$B$4)/12)</f>
        <v>42.96875</v>
      </c>
      <c r="CO409" s="106">
        <f t="shared" si="441"/>
        <v>188.48958333333334</v>
      </c>
      <c r="CP409" s="104">
        <f>('Renewable Diesel'!$AG418*'RD Feedstock Breakdown'!CP$3*'Feedstock Conversion Rates'!$B$3)/12</f>
        <v>6.0075000000000003</v>
      </c>
      <c r="CQ409" s="104">
        <f>('Renewable Diesel'!$AG418*'RD Feedstock Breakdown'!CQ$3*'Feedstock Conversion Rates'!$B$6)/12</f>
        <v>3.5175000000000001</v>
      </c>
      <c r="CR409" s="104">
        <f>('Renewable Diesel'!$AG418*'RD Feedstock Breakdown'!CR$3*'Feedstock Conversion Rates'!$B$4)/12</f>
        <v>2.8125</v>
      </c>
      <c r="CS409" s="106">
        <f t="shared" si="397"/>
        <v>12.3375</v>
      </c>
      <c r="CT409" s="104">
        <f>('Renewable Diesel'!AI418*'Feedstock Conversion Rates'!$B$4*'RD Feedstock Breakdown'!$CT$3)/12</f>
        <v>29.375</v>
      </c>
      <c r="CU409" s="106">
        <f t="shared" si="443"/>
        <v>29.375</v>
      </c>
      <c r="CV409" s="104">
        <f>('Renewable Diesel'!AN418*'Feedstock Conversion Rates'!$B$3*'RD Feedstock Breakdown'!$CV$3)/12</f>
        <v>0.50062499999999999</v>
      </c>
      <c r="CW409" s="106">
        <f t="shared" si="419"/>
        <v>0.50062499999999999</v>
      </c>
      <c r="CX409" s="104">
        <f>('Renewable Diesel'!AO418*'RD Feedstock Breakdown'!$CX$3*'Feedstock Conversion Rates'!$B$3)/12</f>
        <v>6.3412499999999996</v>
      </c>
      <c r="CY409" s="104">
        <f>('Renewable Diesel'!AO418*'RD Feedstock Breakdown'!$CY$3*'Feedstock Conversion Rates'!$B$6)/12</f>
        <v>7.4258333333333342</v>
      </c>
      <c r="CZ409" s="106">
        <f t="shared" si="398"/>
        <v>13.767083333333334</v>
      </c>
      <c r="DA409" s="104">
        <f>('Renewable Diesel'!$AP418*'RD Feedstock Breakdown'!DA$3*'Feedstock Conversion Rates'!$B$3)/12</f>
        <v>6.3412499999999996</v>
      </c>
      <c r="DB409" s="104">
        <f>('Renewable Diesel'!$AP418*'RD Feedstock Breakdown'!DB$3*'Feedstock Conversion Rates'!$B$8)/12</f>
        <v>7.421875</v>
      </c>
      <c r="DC409" s="106">
        <f t="shared" si="422"/>
        <v>13.763124999999999</v>
      </c>
      <c r="DD409" s="104">
        <f>('Renewable Diesel'!AQ418*$DD$3*'Feedstock Conversion Rates'!$B$14)/12</f>
        <v>3.1041666666666665</v>
      </c>
      <c r="DE409" s="106">
        <f t="shared" si="423"/>
        <v>3.1041666666666665</v>
      </c>
      <c r="DF409" s="104">
        <f>('Renewable Diesel'!AR418*'Feedstock Conversion Rates'!$B$4*$DF$3)/12</f>
        <v>75</v>
      </c>
      <c r="DG409" s="106">
        <f t="shared" si="399"/>
        <v>75</v>
      </c>
      <c r="DH409" s="104">
        <f>('Renewable Diesel'!AS418*'Feedstock Conversion Rates'!$B$4*$DH$3)/12</f>
        <v>75</v>
      </c>
      <c r="DI409" s="106">
        <f t="shared" si="411"/>
        <v>75</v>
      </c>
      <c r="DJ409" s="104">
        <f>('Renewable Diesel'!AT418*'Feedstock Conversion Rates'!$B$4*0.25)/12</f>
        <v>8.59375</v>
      </c>
      <c r="DK409" s="104">
        <f>('Renewable Diesel'!$AT418*'RD Feedstock Breakdown'!DK$3*'Feedstock Conversion Rates'!$B$3)/12*0.5</f>
        <v>9.1781249999999996</v>
      </c>
      <c r="DL409" s="104">
        <f>('Renewable Diesel'!$AT418*'RD Feedstock Breakdown'!$DL$3*'Feedstock Conversion Rates'!$B$6)/12</f>
        <v>10.747916666666669</v>
      </c>
      <c r="DM409" s="104">
        <f>('Renewable Diesel'!$AT418*'RD Feedstock Breakdown'!$DM$3*'Feedstock Conversion Rates'!$B$8)/12</f>
        <v>10.7421875</v>
      </c>
      <c r="DN409" s="106">
        <f t="shared" si="375"/>
        <v>39.26197916666667</v>
      </c>
      <c r="DP409" s="104">
        <f t="shared" si="426"/>
        <v>103.22025000000001</v>
      </c>
      <c r="DQ409" s="104">
        <f t="shared" si="427"/>
        <v>349.11776750000007</v>
      </c>
      <c r="DR409" s="104">
        <f t="shared" si="432"/>
        <v>1891.953125</v>
      </c>
      <c r="DS409" s="104">
        <f t="shared" si="444"/>
        <v>228.90125</v>
      </c>
      <c r="DT409" s="104">
        <f t="shared" si="428"/>
        <v>243.03923333333344</v>
      </c>
      <c r="DU409" s="104">
        <f t="shared" si="429"/>
        <v>402.90610000000009</v>
      </c>
      <c r="DV409" s="104">
        <f t="shared" si="433"/>
        <v>78.75</v>
      </c>
      <c r="DW409" s="104">
        <f t="shared" si="430"/>
        <v>3</v>
      </c>
      <c r="DX409" s="106">
        <f t="shared" si="434"/>
        <v>3300.8877258333337</v>
      </c>
      <c r="DY409" s="109">
        <f t="shared" si="421"/>
        <v>-5.631051180898794E-13</v>
      </c>
      <c r="EA409" s="110">
        <f t="shared" si="424"/>
        <v>3.1270451640078516E-2</v>
      </c>
      <c r="EB409" s="110">
        <f t="shared" si="424"/>
        <v>0.10576481131658687</v>
      </c>
      <c r="EC409" s="110">
        <f t="shared" si="424"/>
        <v>0.57316494293133291</v>
      </c>
      <c r="ED409" s="110">
        <f t="shared" si="424"/>
        <v>6.9345360706629972E-2</v>
      </c>
      <c r="EE409" s="110">
        <f t="shared" si="424"/>
        <v>7.3628445896921982E-2</v>
      </c>
      <c r="EF409" s="110">
        <f t="shared" si="424"/>
        <v>0.1220599225010852</v>
      </c>
      <c r="EG409" s="110">
        <f t="shared" si="384"/>
        <v>2.3857218585075921E-2</v>
      </c>
      <c r="EH409" s="111">
        <f t="shared" si="435"/>
        <v>9.0884642228860647E-4</v>
      </c>
      <c r="EI409" s="110">
        <f t="shared" si="409"/>
        <v>0.99909115357771139</v>
      </c>
      <c r="EK409" s="132">
        <f>(EA409*'Renewable Diesel'!BF418*'Feedstock Conversion Rates'!B$2)+FB409</f>
        <v>804.32988991548154</v>
      </c>
      <c r="EL409" s="132">
        <f>(EB409*'Renewable Diesel'!BF418*'Feedstock Conversion Rates'!B$3)+FC409</f>
        <v>2563.6270385972398</v>
      </c>
      <c r="EM409" s="132">
        <f>(EC409*'Renewable Diesel'!BF418*'Feedstock Conversion Rates'!B$4)+FD409</f>
        <v>13008.343940347726</v>
      </c>
      <c r="EN409" s="132">
        <f>(ED409*'Renewable Diesel'!BF418*'Feedstock Conversion Rates'!B$5)+FE409</f>
        <v>1584.3294371425595</v>
      </c>
      <c r="EO409" s="132">
        <f>(EE409*'Renewable Diesel'!BF418*'Feedstock Conversion Rates'!B$6)+FF409</f>
        <v>2089.9197038546245</v>
      </c>
      <c r="EP409" s="132">
        <f>(EF409*'Renewable Diesel'!BF418*'Feedstock Conversion Rates'!B$7)+FG409</f>
        <v>3398.146089203984</v>
      </c>
      <c r="EQ409" s="132">
        <f>(EG409*'Renewable Diesel'!BF418*'Feedstock Conversion Rates'!B$8)+FH409</f>
        <v>676.81848969063617</v>
      </c>
      <c r="ER409" s="132">
        <f>(EH409*'Renewable Diesel'!BF418*'Feedstock Conversion Rates'!B$9)+FI409</f>
        <v>25.439780691863909</v>
      </c>
      <c r="ES409" s="132">
        <f t="shared" si="436"/>
        <v>24150.954369444113</v>
      </c>
      <c r="ET409" s="133">
        <f>ES409/'Renewable Diesel'!BF418</f>
        <v>20.784606993279738</v>
      </c>
      <c r="EW409" s="73">
        <f t="shared" si="386"/>
        <v>23582.016580986918</v>
      </c>
      <c r="EX409" s="73">
        <f t="shared" si="387"/>
        <v>15446.350028342322</v>
      </c>
      <c r="EY409" s="92">
        <f t="shared" si="410"/>
        <v>0.97644243040030676</v>
      </c>
      <c r="EZ409" s="92">
        <f t="shared" si="410"/>
        <v>0.63957514026381945</v>
      </c>
      <c r="FB409" s="102">
        <f>IF('Renewable Diesel'!$BG418&lt;1,0,(((('Renewable Diesel'!$BG418-1)*'Renewable Diesel'!$BF418)*'RD Feedstock Breakdown'!EA409)*'Feedstock Conversion Rates'!$B$2))</f>
        <v>495.48134479827883</v>
      </c>
      <c r="FC409" s="102">
        <f>IF('Renewable Diesel'!$BG418&lt;1,0,(((('Renewable Diesel'!$BG418-1)*'Renewable Diesel'!$BF418)*'RD Feedstock Breakdown'!EB409)*'Feedstock Conversion Rates'!$B$3))</f>
        <v>1579.2393004055393</v>
      </c>
      <c r="FD409" s="102">
        <f>IF('Renewable Diesel'!$BG418&lt;1,0,(((('Renewable Diesel'!$BG418-1)*'Renewable Diesel'!$BF418)*'RD Feedstock Breakdown'!EC409)*'Feedstock Conversion Rates'!$B$4))</f>
        <v>8013.3684324964106</v>
      </c>
      <c r="FE409" s="102">
        <f>IF('Renewable Diesel'!$BG418&lt;1,0,(((('Renewable Diesel'!$BG418-1)*'Renewable Diesel'!$BF418)*'RD Feedstock Breakdown'!ED409)*'Feedstock Conversion Rates'!$B$5))</f>
        <v>975.97477100022172</v>
      </c>
      <c r="FF409" s="102">
        <f>IF('Renewable Diesel'!$BG418&lt;1,0,(((('Renewable Diesel'!$BG418-1)*'Renewable Diesel'!$BF418)*'RD Feedstock Breakdown'!EE409)*'Feedstock Conversion Rates'!$B$6))</f>
        <v>1287.4272588516153</v>
      </c>
      <c r="FG409" s="102">
        <f>IF('Renewable Diesel'!$BG418&lt;1,0,(((('Renewable Diesel'!$BG418-1)*'Renewable Diesel'!$BF418)*'RD Feedstock Breakdown'!EF409)*'Feedstock Conversion Rates'!$B$7))</f>
        <v>2093.3176986332387</v>
      </c>
      <c r="FH409" s="102">
        <f>IF('Renewable Diesel'!$BG418&lt;1,0,(((('Renewable Diesel'!$BG418-1)*'Renewable Diesel'!$BF418)*'RD Feedstock Breakdown'!EG409)*'Feedstock Conversion Rates'!$B$8))</f>
        <v>416.93208179978848</v>
      </c>
      <c r="FI409" s="102">
        <f>IF('Renewable Diesel'!$BG418&lt;1,0,(((('Renewable Diesel'!$BG418-1)*'Renewable Diesel'!$BF418)*'RD Feedstock Breakdown'!EH409)*'Feedstock Conversion Rates'!$B$9))</f>
        <v>15.671351900030144</v>
      </c>
      <c r="FJ409" s="102">
        <f t="shared" si="388"/>
        <v>14877.412239885121</v>
      </c>
      <c r="GD409" s="91">
        <f>'Renewable Diesel'!BB418*0.32</f>
        <v>0</v>
      </c>
      <c r="GE409" s="91">
        <f>'Renewable Diesel'!BC418</f>
        <v>626.36298064901257</v>
      </c>
      <c r="GF409" s="91">
        <f>'Renewable Diesel'!BD418</f>
        <v>0</v>
      </c>
      <c r="GG409" s="91">
        <f t="shared" ref="GG409:GG472" si="451">GF409+GE409</f>
        <v>626.36298064901257</v>
      </c>
      <c r="GH409" s="124">
        <v>1</v>
      </c>
      <c r="GI409" s="102">
        <f>$GG409*EA409*'Feedstock Conversion Rates'!$B$2</f>
        <v>166.48655301192323</v>
      </c>
      <c r="GJ409" s="102">
        <f>$GG409*EB409*'Feedstock Conversion Rates'!$B$3</f>
        <v>530.63977133694254</v>
      </c>
      <c r="GK409" s="102">
        <f>$GG409*EC409*'Feedstock Conversion Rates'!$B$4</f>
        <v>2692.5697654349315</v>
      </c>
      <c r="GL409" s="102">
        <f>$GG409*ED409*'Feedstock Conversion Rates'!$B$5</f>
        <v>327.9370195392118</v>
      </c>
      <c r="GM409" s="102">
        <f>$GG409*EE409*'Feedstock Conversion Rates'!$B$6</f>
        <v>432.58808596932482</v>
      </c>
      <c r="GN409" s="102">
        <f>$GG409*EF409*'Feedstock Conversion Rates'!$B$7</f>
        <v>703.37511525521813</v>
      </c>
      <c r="GO409" s="102">
        <f>$GG409*EG409*'Feedstock Conversion Rates'!$B$8</f>
        <v>140.09323634009223</v>
      </c>
      <c r="GP409" s="102">
        <f>$GG409*EH409*'Feedstock Conversion Rates'!B$9</f>
        <v>5.2657267246561652</v>
      </c>
      <c r="GQ409" s="102">
        <f t="shared" si="437"/>
        <v>4998.9552736122996</v>
      </c>
      <c r="GT409" s="103">
        <f t="shared" si="418"/>
        <v>3.3304269372191893E-2</v>
      </c>
      <c r="GU409" s="103">
        <f t="shared" si="416"/>
        <v>0.1061501338365639</v>
      </c>
      <c r="GV409" s="103">
        <f t="shared" si="416"/>
        <v>0.53862649654979833</v>
      </c>
      <c r="GW409" s="103">
        <f t="shared" si="416"/>
        <v>6.5601110950176775E-2</v>
      </c>
      <c r="GX409" s="103">
        <f t="shared" si="416"/>
        <v>8.6535698419388324E-2</v>
      </c>
      <c r="GY409" s="103">
        <f t="shared" si="416"/>
        <v>0.14070442257566981</v>
      </c>
      <c r="GZ409" s="103">
        <f t="shared" si="416"/>
        <v>2.8024502855545523E-2</v>
      </c>
      <c r="HA409" s="103">
        <f t="shared" si="416"/>
        <v>1.053365440665584E-3</v>
      </c>
    </row>
    <row r="410" spans="1:209" x14ac:dyDescent="0.25">
      <c r="A410" s="96">
        <v>52902</v>
      </c>
      <c r="B410" s="104">
        <f t="shared" si="406"/>
        <v>44.25</v>
      </c>
      <c r="C410" s="104">
        <f t="shared" si="396"/>
        <v>49</v>
      </c>
      <c r="D410" s="104">
        <f t="shared" si="407"/>
        <v>2</v>
      </c>
      <c r="E410" s="104">
        <f>('Renewable Diesel'!B419*E$3*'Feedstock Conversion Rates'!$B$2)/12+26+13-100+27.5+39</f>
        <v>95.43</v>
      </c>
      <c r="F410" s="104">
        <f>('Renewable Diesel'!B419*'RD Feedstock Breakdown'!F$3*'Feedstock Conversion Rates'!B$8)/12+77+23-10-12-115.75+24+8</f>
        <v>48.15625</v>
      </c>
      <c r="G410" s="104">
        <f>('Renewable Diesel'!B419*'RD Feedstock Breakdown'!G$3*'Feedstock Conversion Rates'!B$7)/12+116.75-39-57.5-145-31.5+32+70-40+10+60</f>
        <v>151.90700000000004</v>
      </c>
      <c r="H410" s="104">
        <f>('Renewable Diesel'!B419*'RD Feedstock Breakdown'!H$3*'Feedstock Conversion Rates'!B$3)/12+67+10+12+3-235+20+47-20+25</f>
        <v>105.40022499999998</v>
      </c>
      <c r="I410" s="106">
        <f t="shared" si="449"/>
        <v>496.14347500000002</v>
      </c>
      <c r="J410" s="104">
        <f t="shared" si="417"/>
        <v>4</v>
      </c>
      <c r="K410" s="104"/>
      <c r="L410" s="104">
        <v>1</v>
      </c>
      <c r="M410" s="104">
        <f>('Renewable Diesel'!C419*'RD Feedstock Breakdown'!M$3*'Feedstock Conversion Rates'!B$2)/12</f>
        <v>7.7902500000000003</v>
      </c>
      <c r="N410" s="104">
        <f>('Renewable Diesel'!C419*'RD Feedstock Breakdown'!N$3*'Feedstock Conversion Rates'!B$8)/12</f>
        <v>3.671875</v>
      </c>
      <c r="O410" s="104">
        <f>('Renewable Diesel'!C419*'RD Feedstock Breakdown'!O$3*'Feedstock Conversion Rates'!B$7)/12</f>
        <v>11.9991</v>
      </c>
      <c r="P410" s="104">
        <f>('Renewable Diesel'!C419*'RD Feedstock Breakdown'!P$3*'Feedstock Conversion Rates'!B$3)/12</f>
        <v>10.4470425</v>
      </c>
      <c r="Q410" s="106">
        <f t="shared" si="379"/>
        <v>38.908267500000001</v>
      </c>
      <c r="R410" s="104">
        <f>('Renewable Diesel'!D419*'RD Feedstock Breakdown'!R$3*'Feedstock Conversion Rates'!B$7)/12</f>
        <v>2.2999999999999998</v>
      </c>
      <c r="S410" s="106">
        <f t="shared" si="414"/>
        <v>2.2999999999999998</v>
      </c>
      <c r="T410" s="104">
        <f t="shared" si="380"/>
        <v>0.82499999999999929</v>
      </c>
      <c r="U410" s="104"/>
      <c r="V410" s="104">
        <f>('Renewable Diesel'!E419*'RD Feedstock Breakdown'!V$3*'Feedstock Conversion Rates'!B$6)/12-20+25</f>
        <v>49.250150000000012</v>
      </c>
      <c r="W410" s="104">
        <f>('Renewable Diesel'!E419*'RD Feedstock Breakdown'!W$3*'Feedstock Conversion Rates'!B$8)/12-6</f>
        <v>16.1796875</v>
      </c>
      <c r="X410" s="106">
        <f t="shared" si="438"/>
        <v>66.254837500000008</v>
      </c>
      <c r="Y410" s="104">
        <f t="shared" si="381"/>
        <v>98</v>
      </c>
      <c r="Z410" s="104">
        <f>('Renewable Diesel'!F419*'RD Feedstock Breakdown'!Z$3*'Feedstock Conversion Rates'!B$6)/12-142+15+5+20+5+15</f>
        <v>77.460000000000008</v>
      </c>
      <c r="AA410" s="104">
        <f>('Renewable Diesel'!F419*'RD Feedstock Breakdown'!AA$3*'Feedstock Conversion Rates'!B$7)/12+24</f>
        <v>128.26666666666665</v>
      </c>
      <c r="AB410" s="106">
        <f t="shared" si="400"/>
        <v>303.72666666666669</v>
      </c>
      <c r="AC410" s="104">
        <f>('Renewable Diesel'!G419*'RD Feedstock Breakdown'!AC$3*'Feedstock Conversion Rates'!B$5)/12</f>
        <v>11.796875</v>
      </c>
      <c r="AD410" s="104">
        <f>('Renewable Diesel'!G419*'RD Feedstock Breakdown'!AD$3*'Feedstock Conversion Rates'!B$4)/12</f>
        <v>5.859375</v>
      </c>
      <c r="AE410" s="104">
        <f>('Renewable Diesel'!G419*'RD Feedstock Breakdown'!AE$3*'Feedstock Conversion Rates'!B$6)/12</f>
        <v>7.3281250000000009</v>
      </c>
      <c r="AF410" s="106">
        <f t="shared" si="445"/>
        <v>24.984375</v>
      </c>
      <c r="AG410" s="104">
        <f t="shared" si="383"/>
        <v>148</v>
      </c>
      <c r="AH410" s="104"/>
      <c r="AI410" s="104">
        <f>('Renewable Diesel'!H419*'RD Feedstock Breakdown'!AI$3*'Feedstock Conversion Rates'!B$6)/12-130-20+51-49</f>
        <v>0.51666666666667993</v>
      </c>
      <c r="AJ410" s="106">
        <f t="shared" si="413"/>
        <v>148.51666666666668</v>
      </c>
      <c r="AK410" s="104">
        <f>('Renewable Diesel'!J419*'RD Feedstock Breakdown'!AK$3*'Feedstock Conversion Rates'!B$4)/12</f>
        <v>95.8125</v>
      </c>
      <c r="AL410" s="106">
        <f t="shared" si="415"/>
        <v>95.8125</v>
      </c>
      <c r="AM410" s="104">
        <f>('Renewable Diesel'!K419*'RD Feedstock Breakdown'!AM$3*'Feedstock Conversion Rates'!B$4)/12+5+15-10+10</f>
        <v>78.59375</v>
      </c>
      <c r="AN410" s="104">
        <f>('Renewable Diesel'!K419*'RD Feedstock Breakdown'!AN$3*'Feedstock Conversion Rates'!B$6)/12-5-15+10-10</f>
        <v>4.4270833333333321</v>
      </c>
      <c r="AO410" s="106">
        <f t="shared" si="431"/>
        <v>83.020833333333329</v>
      </c>
      <c r="AP410" s="104">
        <f>('Renewable Diesel'!L419*'RD Feedstock Breakdown'!AP$3*'Feedstock Conversion Rates'!B$4)/12+15-10+15</f>
        <v>78.59375</v>
      </c>
      <c r="AQ410" s="104">
        <f>('Renewable Diesel'!L419*'RD Feedstock Breakdown'!AQ$3*'Feedstock Conversion Rates'!B$6)/12-15+10-15</f>
        <v>4.4270833333333321</v>
      </c>
      <c r="AR410" s="106">
        <f t="shared" si="420"/>
        <v>83.020833333333329</v>
      </c>
      <c r="AS410" s="104">
        <f>('Renewable Diesel'!M419*'RD Feedstock Breakdown'!AS$3*'Feedstock Conversion Rates'!B$4)/12</f>
        <v>456.25</v>
      </c>
      <c r="AT410" s="104">
        <f>('Renewable Diesel'!M419*'RD Feedstock Breakdown'!AT$3*'Feedstock Conversion Rates'!B$5)/12</f>
        <v>0</v>
      </c>
      <c r="AU410" s="106">
        <f t="shared" si="448"/>
        <v>456.25</v>
      </c>
      <c r="AV410" s="104">
        <f>'Renewable Diesel'!N419*'RD Feedstock Breakdown'!$AV$3*'Feedstock Conversion Rates'!$B$4/12-15-10+25+25-22+25</f>
        <v>106.74999999999999</v>
      </c>
      <c r="AW410" s="104">
        <f>'Renewable Diesel'!N419*'RD Feedstock Breakdown'!$AW$3*'Feedstock Conversion Rates'!$B$7/12+15+10-25-25+22-25</f>
        <v>13.400000000000006</v>
      </c>
      <c r="AX410" s="106">
        <f t="shared" si="408"/>
        <v>120.14999999999999</v>
      </c>
      <c r="AY410" s="104">
        <f>('Renewable Diesel'!O419*'RD Feedstock Breakdown'!AY$3*'Feedstock Conversion Rates'!B$4)/12</f>
        <v>210.9375</v>
      </c>
      <c r="AZ410" s="104">
        <f>('Renewable Diesel'!O419*'RD Feedstock Breakdown'!AZ$3*'Feedstock Conversion Rates'!B$3)/12</f>
        <v>25.03125</v>
      </c>
      <c r="BA410" s="106">
        <f t="shared" si="382"/>
        <v>235.96875</v>
      </c>
      <c r="BB410" s="104">
        <f>('Renewable Diesel'!Q419*'RD Feedstock Breakdown'!BB$3*'Feedstock Conversion Rates'!B$4)/12</f>
        <v>11.156249999999998</v>
      </c>
      <c r="BC410" s="104">
        <f>('Renewable Diesel'!Q419*'RD Feedstock Breakdown'!BC$3*'Feedstock Conversion Rates'!B$3)/12</f>
        <v>1.4017500000000001</v>
      </c>
      <c r="BD410" s="104">
        <f>('Renewable Diesel'!Q419*'RD Feedstock Breakdown'!BD$3*'Feedstock Conversion Rates'!B$6)/12</f>
        <v>0.8207500000000002</v>
      </c>
      <c r="BE410" s="106">
        <f t="shared" si="440"/>
        <v>13.378749999999998</v>
      </c>
      <c r="BF410" s="104">
        <f>('Renewable Diesel'!R419*'RD Feedstock Breakdown'!BF$3*'Feedstock Conversion Rates'!B$4)/12</f>
        <v>62.5</v>
      </c>
      <c r="BG410" s="106">
        <f t="shared" si="425"/>
        <v>62.5</v>
      </c>
      <c r="BH410" s="104">
        <f>('Renewable Diesel'!T419*'RD Feedstock Breakdown'!BH$3*'Feedstock Conversion Rates'!B$7)/12</f>
        <v>27.599999999999998</v>
      </c>
      <c r="BI410" s="106">
        <f t="shared" si="412"/>
        <v>27.599999999999998</v>
      </c>
      <c r="BJ410" s="104">
        <f>('Renewable Diesel'!W419*'RD Feedstock Breakdown'!BJ$3*'Feedstock Conversion Rates'!B$4)/12</f>
        <v>7.5</v>
      </c>
      <c r="BK410" s="104">
        <f>('Renewable Diesel'!W419*'RD Feedstock Breakdown'!BK$3*'Feedstock Conversion Rates'!B$3)/12</f>
        <v>1.335</v>
      </c>
      <c r="BL410" s="104">
        <f>('Renewable Diesel'!W419*'RD Feedstock Breakdown'!BL$3*'Feedstock Conversion Rates'!B$6)/12</f>
        <v>3.1266666666666669</v>
      </c>
      <c r="BM410" s="104">
        <f>('Renewable Diesel'!W419*'RD Feedstock Breakdown'!BM$3*'Feedstock Conversion Rates'!B$7)/12</f>
        <v>1.5333333333333332</v>
      </c>
      <c r="BN410" s="106">
        <f t="shared" ref="BN410:BN473" si="452">SUM(BJ410:BM410)</f>
        <v>13.495000000000001</v>
      </c>
      <c r="BO410" s="104">
        <f>('Renewable Diesel'!P419*'Feedstock Conversion Rates'!B$4)/12</f>
        <v>31.25</v>
      </c>
      <c r="BP410" s="106">
        <f t="shared" si="446"/>
        <v>31.25</v>
      </c>
      <c r="BQ410" s="104">
        <f>('Renewable Diesel'!$S419*'RD Feedstock Breakdown'!BQ$3*'Feedstock Conversion Rates'!B$4)/12+10+15-15</f>
        <v>38.125</v>
      </c>
      <c r="BR410" s="104">
        <f>('Renewable Diesel'!$S419*'RD Feedstock Breakdown'!BR$3*'Feedstock Conversion Rates'!B$7)/12-10-15+15</f>
        <v>1.5</v>
      </c>
      <c r="BS410" s="106">
        <f t="shared" si="385"/>
        <v>39.625</v>
      </c>
      <c r="BT410" s="106"/>
      <c r="BU410" s="104">
        <f>('Renewable Diesel'!Y419*'Feedstock Conversion Rates'!B$7)/12</f>
        <v>2.6833333333333331</v>
      </c>
      <c r="BV410" s="106">
        <f t="shared" si="442"/>
        <v>2.6833333333333331</v>
      </c>
      <c r="BW410" s="104">
        <f>('Renewable Diesel'!$Z419*'RD Feedstock Breakdown'!BW$3*'Feedstock Conversion Rates'!$B$4)/12-250+180</f>
        <v>1.875</v>
      </c>
      <c r="BX410" s="104">
        <f>('Renewable Diesel'!$Z419*'RD Feedstock Breakdown'!BX$3*'Feedstock Conversion Rates'!$B$5)/12</f>
        <v>7.2354166666666666</v>
      </c>
      <c r="BY410" s="104">
        <f>('Renewable Diesel'!$Z419*'RD Feedstock Breakdown'!BY$3*'Feedstock Conversion Rates'!$B$7)/12</f>
        <v>61.716666666666661</v>
      </c>
      <c r="BZ410" s="104">
        <f>('Renewable Diesel'!$Z419*'RD Feedstock Breakdown'!BZ$3*'Feedstock Conversion Rates'!$B$3)/12+250-180</f>
        <v>85.35250000000002</v>
      </c>
      <c r="CA410" s="106">
        <f t="shared" si="392"/>
        <v>156.17958333333334</v>
      </c>
      <c r="CB410" s="104">
        <f>('Renewable Diesel'!AA419*'Feedstock Conversion Rates'!B$4)/12</f>
        <v>191.25</v>
      </c>
      <c r="CC410" s="106">
        <f t="shared" si="376"/>
        <v>191.25</v>
      </c>
      <c r="CD410" s="104">
        <f>('Renewable Diesel'!$AB419*'RD Feedstock Breakdown'!CD$3*'Feedstock Conversion Rates'!$B$6)/12-15-5</f>
        <v>12.830000000000005</v>
      </c>
      <c r="CE410" s="104">
        <f>('Renewable Diesel'!$AB419*'RD Feedstock Breakdown'!CE$3*'Feedstock Conversion Rates'!$B$4)/12+15+5</f>
        <v>31.25</v>
      </c>
      <c r="CF410" s="106">
        <f t="shared" si="450"/>
        <v>44.080000000000005</v>
      </c>
      <c r="CG410" s="104">
        <f>('Renewable Diesel'!AD419*'Feedstock Conversion Rates'!B$4)/12</f>
        <v>112.5</v>
      </c>
      <c r="CH410" s="106">
        <f t="shared" si="439"/>
        <v>112.5</v>
      </c>
      <c r="CI410" s="104">
        <f>('Renewable Diesel'!$AE419*'RD Feedstock Breakdown'!CI$3*'Feedstock Conversion Rates'!$B$5)/12</f>
        <v>0.34604166666666664</v>
      </c>
      <c r="CJ410" s="104">
        <f>('Renewable Diesel'!$AE419*'RD Feedstock Breakdown'!CJ$3*'Feedstock Conversion Rates'!$B$4)/12</f>
        <v>0.34375</v>
      </c>
      <c r="CK410" s="106">
        <f t="shared" si="447"/>
        <v>0.68979166666666658</v>
      </c>
      <c r="CL410" s="104">
        <f>(((CL$3*'Renewable Diesel'!$AF419)*'Feedstock Conversion Rates'!$B$3)/12)</f>
        <v>91.78125</v>
      </c>
      <c r="CM410" s="104">
        <f>(((CM$3*'Renewable Diesel'!$AF419)*'Feedstock Conversion Rates'!$B$6)/12)</f>
        <v>53.739583333333336</v>
      </c>
      <c r="CN410" s="104">
        <f>(((CN$3*'Renewable Diesel'!$AF419)*'Feedstock Conversion Rates'!$B$4)/12)</f>
        <v>42.96875</v>
      </c>
      <c r="CO410" s="106">
        <f t="shared" si="441"/>
        <v>188.48958333333334</v>
      </c>
      <c r="CP410" s="104">
        <f>('Renewable Diesel'!$AG419*'RD Feedstock Breakdown'!CP$3*'Feedstock Conversion Rates'!$B$3)/12</f>
        <v>6.0075000000000003</v>
      </c>
      <c r="CQ410" s="104">
        <f>('Renewable Diesel'!$AG419*'RD Feedstock Breakdown'!CQ$3*'Feedstock Conversion Rates'!$B$6)/12</f>
        <v>3.5175000000000001</v>
      </c>
      <c r="CR410" s="104">
        <f>('Renewable Diesel'!$AG419*'RD Feedstock Breakdown'!CR$3*'Feedstock Conversion Rates'!$B$4)/12</f>
        <v>2.8125</v>
      </c>
      <c r="CS410" s="106">
        <f t="shared" si="397"/>
        <v>12.3375</v>
      </c>
      <c r="CT410" s="104">
        <f>('Renewable Diesel'!AI419*'Feedstock Conversion Rates'!$B$4*'RD Feedstock Breakdown'!$CT$3)/12</f>
        <v>29.375</v>
      </c>
      <c r="CU410" s="106">
        <f t="shared" si="443"/>
        <v>29.375</v>
      </c>
      <c r="CV410" s="104">
        <f>('Renewable Diesel'!AN419*'Feedstock Conversion Rates'!$B$3*'RD Feedstock Breakdown'!$CV$3)/12</f>
        <v>0.50062499999999999</v>
      </c>
      <c r="CW410" s="106">
        <f t="shared" si="419"/>
        <v>0.50062499999999999</v>
      </c>
      <c r="CX410" s="104">
        <f>('Renewable Diesel'!AO419*'RD Feedstock Breakdown'!$CX$3*'Feedstock Conversion Rates'!$B$3)/12</f>
        <v>6.3412499999999996</v>
      </c>
      <c r="CY410" s="104">
        <f>('Renewable Diesel'!AO419*'RD Feedstock Breakdown'!$CY$3*'Feedstock Conversion Rates'!$B$6)/12</f>
        <v>7.4258333333333342</v>
      </c>
      <c r="CZ410" s="106">
        <f t="shared" si="398"/>
        <v>13.767083333333334</v>
      </c>
      <c r="DA410" s="104">
        <f>('Renewable Diesel'!$AP419*'RD Feedstock Breakdown'!DA$3*'Feedstock Conversion Rates'!$B$3)/12</f>
        <v>6.3412499999999996</v>
      </c>
      <c r="DB410" s="104">
        <f>('Renewable Diesel'!$AP419*'RD Feedstock Breakdown'!DB$3*'Feedstock Conversion Rates'!$B$8)/12</f>
        <v>7.421875</v>
      </c>
      <c r="DC410" s="106">
        <f t="shared" si="422"/>
        <v>13.763124999999999</v>
      </c>
      <c r="DD410" s="104">
        <f>('Renewable Diesel'!AQ419*$DD$3*'Feedstock Conversion Rates'!$B$14)/12</f>
        <v>3.1041666666666665</v>
      </c>
      <c r="DE410" s="106">
        <f t="shared" si="423"/>
        <v>3.1041666666666665</v>
      </c>
      <c r="DF410" s="104">
        <f>('Renewable Diesel'!AR419*'Feedstock Conversion Rates'!$B$4*$DF$3)/12</f>
        <v>75</v>
      </c>
      <c r="DG410" s="106">
        <f t="shared" si="399"/>
        <v>75</v>
      </c>
      <c r="DH410" s="104">
        <f>('Renewable Diesel'!AS419*'Feedstock Conversion Rates'!$B$4*$DH$3)/12</f>
        <v>75</v>
      </c>
      <c r="DI410" s="106">
        <f t="shared" si="411"/>
        <v>75</v>
      </c>
      <c r="DJ410" s="104">
        <f>('Renewable Diesel'!AT419*'Feedstock Conversion Rates'!$B$4*0.25)/12</f>
        <v>8.59375</v>
      </c>
      <c r="DK410" s="104">
        <f>('Renewable Diesel'!$AT419*'RD Feedstock Breakdown'!DK$3*'Feedstock Conversion Rates'!$B$3)/12*0.5</f>
        <v>9.1781249999999996</v>
      </c>
      <c r="DL410" s="104">
        <f>('Renewable Diesel'!$AT419*'RD Feedstock Breakdown'!$DL$3*'Feedstock Conversion Rates'!$B$6)/12</f>
        <v>10.747916666666669</v>
      </c>
      <c r="DM410" s="104">
        <f>('Renewable Diesel'!$AT419*'RD Feedstock Breakdown'!$DM$3*'Feedstock Conversion Rates'!$B$8)/12</f>
        <v>10.7421875</v>
      </c>
      <c r="DN410" s="106">
        <f t="shared" ref="DN410:DN473" si="453">SUM(DJ410:DM410)</f>
        <v>39.26197916666667</v>
      </c>
      <c r="DP410" s="104">
        <f t="shared" si="426"/>
        <v>103.22025000000001</v>
      </c>
      <c r="DQ410" s="104">
        <f t="shared" si="427"/>
        <v>349.11776750000007</v>
      </c>
      <c r="DR410" s="104">
        <f t="shared" si="432"/>
        <v>1891.953125</v>
      </c>
      <c r="DS410" s="104">
        <f t="shared" si="444"/>
        <v>228.90125</v>
      </c>
      <c r="DT410" s="104">
        <f t="shared" si="428"/>
        <v>243.03923333333344</v>
      </c>
      <c r="DU410" s="104">
        <f t="shared" si="429"/>
        <v>402.90610000000009</v>
      </c>
      <c r="DV410" s="104">
        <f t="shared" si="433"/>
        <v>78.75</v>
      </c>
      <c r="DW410" s="104">
        <f t="shared" si="430"/>
        <v>3</v>
      </c>
      <c r="DX410" s="106">
        <f t="shared" si="434"/>
        <v>3300.8877258333337</v>
      </c>
      <c r="DY410" s="109">
        <f t="shared" si="421"/>
        <v>-5.631051180898794E-13</v>
      </c>
      <c r="EA410" s="110">
        <f t="shared" si="424"/>
        <v>3.1270451640078516E-2</v>
      </c>
      <c r="EB410" s="110">
        <f t="shared" si="424"/>
        <v>0.10576481131658687</v>
      </c>
      <c r="EC410" s="110">
        <f t="shared" si="424"/>
        <v>0.57316494293133291</v>
      </c>
      <c r="ED410" s="110">
        <f t="shared" si="424"/>
        <v>6.9345360706629972E-2</v>
      </c>
      <c r="EE410" s="110">
        <f t="shared" si="424"/>
        <v>7.3628445896921982E-2</v>
      </c>
      <c r="EF410" s="110">
        <f t="shared" si="424"/>
        <v>0.1220599225010852</v>
      </c>
      <c r="EG410" s="110">
        <f t="shared" si="384"/>
        <v>2.3857218585075921E-2</v>
      </c>
      <c r="EH410" s="111">
        <f t="shared" si="435"/>
        <v>9.0884642228860647E-4</v>
      </c>
      <c r="EI410" s="110">
        <f t="shared" si="409"/>
        <v>0.99909115357771139</v>
      </c>
      <c r="EK410" s="132">
        <f>(EA410*'Renewable Diesel'!BF419*'Feedstock Conversion Rates'!B$2)+FB410</f>
        <v>820.16262750448709</v>
      </c>
      <c r="EL410" s="132">
        <f>(EB410*'Renewable Diesel'!BF419*'Feedstock Conversion Rates'!B$3)+FC410</f>
        <v>2614.090455022626</v>
      </c>
      <c r="EM410" s="132">
        <f>(EC410*'Renewable Diesel'!BF419*'Feedstock Conversion Rates'!B$4)+FD410</f>
        <v>13264.405164302363</v>
      </c>
      <c r="EN410" s="132">
        <f>(ED410*'Renewable Diesel'!BF419*'Feedstock Conversion Rates'!B$5)+FE410</f>
        <v>1615.51598453725</v>
      </c>
      <c r="EO410" s="132">
        <f>(EE410*'Renewable Diesel'!BF419*'Feedstock Conversion Rates'!B$6)+FF410</f>
        <v>2131.0584836862422</v>
      </c>
      <c r="EP410" s="132">
        <f>(EF410*'Renewable Diesel'!BF419*'Feedstock Conversion Rates'!B$7)+FG410</f>
        <v>3465.036498219029</v>
      </c>
      <c r="EQ410" s="132">
        <f>(EG410*'Renewable Diesel'!BF419*'Feedstock Conversion Rates'!B$8)+FH410</f>
        <v>690.14124404430686</v>
      </c>
      <c r="ER410" s="132">
        <f>(EH410*'Renewable Diesel'!BF419*'Feedstock Conversion Rates'!B$9)+FI410</f>
        <v>25.940547077728866</v>
      </c>
      <c r="ES410" s="132">
        <f t="shared" si="436"/>
        <v>24626.351004394033</v>
      </c>
      <c r="ET410" s="133">
        <f>ES410/'Renewable Diesel'!BF419</f>
        <v>20.646882271127719</v>
      </c>
      <c r="EW410" s="73">
        <f t="shared" si="386"/>
        <v>24008.101353929465</v>
      </c>
      <c r="EX410" s="73">
        <f t="shared" si="387"/>
        <v>15725.437888450253</v>
      </c>
      <c r="EY410" s="92">
        <f t="shared" si="410"/>
        <v>0.9748947925596344</v>
      </c>
      <c r="EZ410" s="92">
        <f t="shared" si="410"/>
        <v>0.63856142900117008</v>
      </c>
      <c r="FB410" s="102">
        <f>IF('Renewable Diesel'!$BG419&lt;1,0,(((('Renewable Diesel'!$BG419-1)*'Renewable Diesel'!$BF419)*'RD Feedstock Breakdown'!EA410)*'Feedstock Conversion Rates'!$B$2))</f>
        <v>503.13386653428404</v>
      </c>
      <c r="FC410" s="102">
        <f>IF('Renewable Diesel'!$BG419&lt;1,0,(((('Renewable Diesel'!$BG419-1)*'Renewable Diesel'!$BF419)*'RD Feedstock Breakdown'!EB410)*'Feedstock Conversion Rates'!$B$3))</f>
        <v>1603.6300533563438</v>
      </c>
      <c r="FD410" s="102">
        <f>IF('Renewable Diesel'!$BG419&lt;1,0,(((('Renewable Diesel'!$BG419-1)*'Renewable Diesel'!$BF419)*'RD Feedstock Breakdown'!EC410)*'Feedstock Conversion Rates'!$B$4))</f>
        <v>8137.1318733445487</v>
      </c>
      <c r="FE410" s="102">
        <f>IF('Renewable Diesel'!$BG419&lt;1,0,(((('Renewable Diesel'!$BG419-1)*'Renewable Diesel'!$BF419)*'RD Feedstock Breakdown'!ED410)*'Feedstock Conversion Rates'!$B$5))</f>
        <v>991.04833174530415</v>
      </c>
      <c r="FF410" s="102">
        <f>IF('Renewable Diesel'!$BG419&lt;1,0,(((('Renewable Diesel'!$BG419-1)*'Renewable Diesel'!$BF419)*'RD Feedstock Breakdown'!EE410)*'Feedstock Conversion Rates'!$B$6))</f>
        <v>1307.3110853272592</v>
      </c>
      <c r="FG410" s="102">
        <f>IF('Renewable Diesel'!$BG419&lt;1,0,(((('Renewable Diesel'!$BG419-1)*'Renewable Diesel'!$BF419)*'RD Feedstock Breakdown'!EF410)*'Feedstock Conversion Rates'!$B$7))</f>
        <v>2125.6481977677263</v>
      </c>
      <c r="FH410" s="102">
        <f>IF('Renewable Diesel'!$BG419&lt;1,0,(((('Renewable Diesel'!$BG419-1)*'Renewable Diesel'!$BF419)*'RD Feedstock Breakdown'!EG410)*'Feedstock Conversion Rates'!$B$8))</f>
        <v>423.37143991469344</v>
      </c>
      <c r="FI410" s="102">
        <f>IF('Renewable Diesel'!$BG419&lt;1,0,(((('Renewable Diesel'!$BG419-1)*'Renewable Diesel'!$BF419)*'RD Feedstock Breakdown'!EH410)*'Feedstock Conversion Rates'!$B$9))</f>
        <v>15.913389995523714</v>
      </c>
      <c r="FJ410" s="102">
        <f t="shared" si="388"/>
        <v>15107.188237985683</v>
      </c>
      <c r="GD410" s="91">
        <f>'Renewable Diesel'!BB419*0.32</f>
        <v>0</v>
      </c>
      <c r="GE410" s="91">
        <f>'Renewable Diesel'!BC419</f>
        <v>541.99669855620823</v>
      </c>
      <c r="GF410" s="91">
        <f>'Renewable Diesel'!BD419</f>
        <v>0</v>
      </c>
      <c r="GG410" s="91">
        <f t="shared" si="451"/>
        <v>541.99669855620823</v>
      </c>
      <c r="GH410" s="124">
        <v>1</v>
      </c>
      <c r="GI410" s="102">
        <f>$GG410*EA410*'Feedstock Conversion Rates'!$B$2</f>
        <v>144.06209318591505</v>
      </c>
      <c r="GJ410" s="102">
        <f>$GG410*EB410*'Feedstock Conversion Rates'!$B$3</f>
        <v>459.16667024165304</v>
      </c>
      <c r="GK410" s="102">
        <f>$GG410*EC410*'Feedstock Conversion Rates'!$B$4</f>
        <v>2329.9013009770497</v>
      </c>
      <c r="GL410" s="102">
        <f>$GG410*ED410*'Feedstock Conversion Rates'!$B$5</f>
        <v>283.76642205203052</v>
      </c>
      <c r="GM410" s="102">
        <f>$GG410*EE410*'Feedstock Conversion Rates'!$B$6</f>
        <v>374.32179371006833</v>
      </c>
      <c r="GN410" s="102">
        <f>$GG410*EF410*'Feedstock Conversion Rates'!$B$7</f>
        <v>608.63589019885626</v>
      </c>
      <c r="GO410" s="102">
        <f>$GG410*EG410*'Feedstock Conversion Rates'!$B$8</f>
        <v>121.22375352979653</v>
      </c>
      <c r="GP410" s="102">
        <f>$GG410*EH410*'Feedstock Conversion Rates'!B$9</f>
        <v>4.5564737834691771</v>
      </c>
      <c r="GQ410" s="102">
        <f t="shared" si="437"/>
        <v>4325.6343976788385</v>
      </c>
      <c r="GT410" s="103">
        <f t="shared" si="418"/>
        <v>3.3304269372191886E-2</v>
      </c>
      <c r="GU410" s="103">
        <f t="shared" si="416"/>
        <v>0.10615013383656387</v>
      </c>
      <c r="GV410" s="103">
        <f t="shared" si="416"/>
        <v>0.53862649654979822</v>
      </c>
      <c r="GW410" s="103">
        <f t="shared" si="416"/>
        <v>6.5601110950176761E-2</v>
      </c>
      <c r="GX410" s="103">
        <f t="shared" si="416"/>
        <v>8.6535698419388296E-2</v>
      </c>
      <c r="GY410" s="103">
        <f t="shared" si="416"/>
        <v>0.14070442257566981</v>
      </c>
      <c r="GZ410" s="103">
        <f t="shared" si="416"/>
        <v>2.8024502855545516E-2</v>
      </c>
      <c r="HA410" s="103">
        <f t="shared" si="416"/>
        <v>1.0533654406655838E-3</v>
      </c>
    </row>
    <row r="411" spans="1:209" x14ac:dyDescent="0.25">
      <c r="A411" s="96">
        <v>52932</v>
      </c>
      <c r="B411" s="104">
        <f t="shared" si="406"/>
        <v>44.25</v>
      </c>
      <c r="C411" s="104">
        <f t="shared" si="396"/>
        <v>49</v>
      </c>
      <c r="D411" s="104">
        <f t="shared" si="407"/>
        <v>2</v>
      </c>
      <c r="E411" s="104">
        <f>('Renewable Diesel'!B420*E$3*'Feedstock Conversion Rates'!$B$2)/12+26+13-100+27.5+39</f>
        <v>95.43</v>
      </c>
      <c r="F411" s="104">
        <f>('Renewable Diesel'!B420*'RD Feedstock Breakdown'!F$3*'Feedstock Conversion Rates'!B$8)/12+77+23-10-12-115.75+24+8</f>
        <v>48.15625</v>
      </c>
      <c r="G411" s="104">
        <f>('Renewable Diesel'!B420*'RD Feedstock Breakdown'!G$3*'Feedstock Conversion Rates'!B$7)/12+116.75-39-57.5-145-31.5+32+70-40+10+60</f>
        <v>151.90700000000004</v>
      </c>
      <c r="H411" s="104">
        <f>('Renewable Diesel'!B420*'RD Feedstock Breakdown'!H$3*'Feedstock Conversion Rates'!B$3)/12+67+10+12+3-235+20+47-20+25</f>
        <v>105.40022499999998</v>
      </c>
      <c r="I411" s="106">
        <f t="shared" si="449"/>
        <v>496.14347500000002</v>
      </c>
      <c r="J411" s="104">
        <f t="shared" si="417"/>
        <v>4</v>
      </c>
      <c r="K411" s="104"/>
      <c r="L411" s="104">
        <v>1</v>
      </c>
      <c r="M411" s="104">
        <f>('Renewable Diesel'!C420*'RD Feedstock Breakdown'!M$3*'Feedstock Conversion Rates'!B$2)/12</f>
        <v>7.7902500000000003</v>
      </c>
      <c r="N411" s="104">
        <f>('Renewable Diesel'!C420*'RD Feedstock Breakdown'!N$3*'Feedstock Conversion Rates'!B$8)/12</f>
        <v>3.671875</v>
      </c>
      <c r="O411" s="104">
        <f>('Renewable Diesel'!C420*'RD Feedstock Breakdown'!O$3*'Feedstock Conversion Rates'!B$7)/12</f>
        <v>11.9991</v>
      </c>
      <c r="P411" s="104">
        <f>('Renewable Diesel'!C420*'RD Feedstock Breakdown'!P$3*'Feedstock Conversion Rates'!B$3)/12</f>
        <v>10.4470425</v>
      </c>
      <c r="Q411" s="106">
        <f t="shared" si="379"/>
        <v>38.908267500000001</v>
      </c>
      <c r="R411" s="104">
        <f>('Renewable Diesel'!D420*'RD Feedstock Breakdown'!R$3*'Feedstock Conversion Rates'!B$7)/12</f>
        <v>2.2999999999999998</v>
      </c>
      <c r="S411" s="106">
        <f t="shared" si="414"/>
        <v>2.2999999999999998</v>
      </c>
      <c r="T411" s="104">
        <f t="shared" si="380"/>
        <v>0.82499999999999929</v>
      </c>
      <c r="U411" s="104"/>
      <c r="V411" s="104">
        <f>('Renewable Diesel'!E420*'RD Feedstock Breakdown'!V$3*'Feedstock Conversion Rates'!B$6)/12-20+25</f>
        <v>49.250150000000012</v>
      </c>
      <c r="W411" s="104">
        <f>('Renewable Diesel'!E420*'RD Feedstock Breakdown'!W$3*'Feedstock Conversion Rates'!B$8)/12-6</f>
        <v>16.1796875</v>
      </c>
      <c r="X411" s="106">
        <f t="shared" si="438"/>
        <v>66.254837500000008</v>
      </c>
      <c r="Y411" s="104">
        <f t="shared" si="381"/>
        <v>98</v>
      </c>
      <c r="Z411" s="104">
        <f>('Renewable Diesel'!F420*'RD Feedstock Breakdown'!Z$3*'Feedstock Conversion Rates'!B$6)/12-142+15+5+20+5+15</f>
        <v>77.460000000000008</v>
      </c>
      <c r="AA411" s="104">
        <f>('Renewable Diesel'!F420*'RD Feedstock Breakdown'!AA$3*'Feedstock Conversion Rates'!B$7)/12+24</f>
        <v>128.26666666666665</v>
      </c>
      <c r="AB411" s="106">
        <f t="shared" si="400"/>
        <v>303.72666666666669</v>
      </c>
      <c r="AC411" s="104">
        <f>('Renewable Diesel'!G420*'RD Feedstock Breakdown'!AC$3*'Feedstock Conversion Rates'!B$5)/12</f>
        <v>11.796875</v>
      </c>
      <c r="AD411" s="104">
        <f>('Renewable Diesel'!G420*'RD Feedstock Breakdown'!AD$3*'Feedstock Conversion Rates'!B$4)/12</f>
        <v>5.859375</v>
      </c>
      <c r="AE411" s="104">
        <f>('Renewable Diesel'!G420*'RD Feedstock Breakdown'!AE$3*'Feedstock Conversion Rates'!B$6)/12</f>
        <v>7.3281250000000009</v>
      </c>
      <c r="AF411" s="106">
        <f t="shared" si="445"/>
        <v>24.984375</v>
      </c>
      <c r="AG411" s="104">
        <f t="shared" si="383"/>
        <v>148</v>
      </c>
      <c r="AH411" s="104"/>
      <c r="AI411" s="104">
        <f>('Renewable Diesel'!H420*'RD Feedstock Breakdown'!AI$3*'Feedstock Conversion Rates'!B$6)/12-130-20+51-49</f>
        <v>0.51666666666667993</v>
      </c>
      <c r="AJ411" s="106">
        <f t="shared" si="413"/>
        <v>148.51666666666668</v>
      </c>
      <c r="AK411" s="104">
        <f>('Renewable Diesel'!J420*'RD Feedstock Breakdown'!AK$3*'Feedstock Conversion Rates'!B$4)/12</f>
        <v>95.8125</v>
      </c>
      <c r="AL411" s="106">
        <f t="shared" si="415"/>
        <v>95.8125</v>
      </c>
      <c r="AM411" s="104">
        <f>('Renewable Diesel'!K420*'RD Feedstock Breakdown'!AM$3*'Feedstock Conversion Rates'!B$4)/12+5+15-10+10</f>
        <v>78.59375</v>
      </c>
      <c r="AN411" s="104">
        <f>('Renewable Diesel'!K420*'RD Feedstock Breakdown'!AN$3*'Feedstock Conversion Rates'!B$6)/12-5-15+10-10</f>
        <v>4.4270833333333321</v>
      </c>
      <c r="AO411" s="106">
        <f t="shared" si="431"/>
        <v>83.020833333333329</v>
      </c>
      <c r="AP411" s="104">
        <f>('Renewable Diesel'!L420*'RD Feedstock Breakdown'!AP$3*'Feedstock Conversion Rates'!B$4)/12+15-10+15</f>
        <v>78.59375</v>
      </c>
      <c r="AQ411" s="104">
        <f>('Renewable Diesel'!L420*'RD Feedstock Breakdown'!AQ$3*'Feedstock Conversion Rates'!B$6)/12-15+10-15</f>
        <v>4.4270833333333321</v>
      </c>
      <c r="AR411" s="106">
        <f t="shared" si="420"/>
        <v>83.020833333333329</v>
      </c>
      <c r="AS411" s="104">
        <f>('Renewable Diesel'!M420*'RD Feedstock Breakdown'!AS$3*'Feedstock Conversion Rates'!B$4)/12</f>
        <v>456.25</v>
      </c>
      <c r="AT411" s="104">
        <f>('Renewable Diesel'!M420*'RD Feedstock Breakdown'!AT$3*'Feedstock Conversion Rates'!B$5)/12</f>
        <v>0</v>
      </c>
      <c r="AU411" s="106">
        <f t="shared" si="448"/>
        <v>456.25</v>
      </c>
      <c r="AV411" s="104">
        <f>'Renewable Diesel'!N420*'RD Feedstock Breakdown'!$AV$3*'Feedstock Conversion Rates'!$B$4/12-15-10+25+25-22+25</f>
        <v>106.74999999999999</v>
      </c>
      <c r="AW411" s="104">
        <f>'Renewable Diesel'!N420*'RD Feedstock Breakdown'!$AW$3*'Feedstock Conversion Rates'!$B$7/12+15+10-25-25+22-25</f>
        <v>13.400000000000006</v>
      </c>
      <c r="AX411" s="106">
        <f t="shared" si="408"/>
        <v>120.14999999999999</v>
      </c>
      <c r="AY411" s="104">
        <f>('Renewable Diesel'!O420*'RD Feedstock Breakdown'!AY$3*'Feedstock Conversion Rates'!B$4)/12</f>
        <v>210.9375</v>
      </c>
      <c r="AZ411" s="104">
        <f>('Renewable Diesel'!O420*'RD Feedstock Breakdown'!AZ$3*'Feedstock Conversion Rates'!B$3)/12</f>
        <v>25.03125</v>
      </c>
      <c r="BA411" s="106">
        <f t="shared" si="382"/>
        <v>235.96875</v>
      </c>
      <c r="BB411" s="104">
        <f>('Renewable Diesel'!Q420*'RD Feedstock Breakdown'!BB$3*'Feedstock Conversion Rates'!B$4)/12</f>
        <v>11.156249999999998</v>
      </c>
      <c r="BC411" s="104">
        <f>('Renewable Diesel'!Q420*'RD Feedstock Breakdown'!BC$3*'Feedstock Conversion Rates'!B$3)/12</f>
        <v>1.4017500000000001</v>
      </c>
      <c r="BD411" s="104">
        <f>('Renewable Diesel'!Q420*'RD Feedstock Breakdown'!BD$3*'Feedstock Conversion Rates'!B$6)/12</f>
        <v>0.8207500000000002</v>
      </c>
      <c r="BE411" s="106">
        <f t="shared" si="440"/>
        <v>13.378749999999998</v>
      </c>
      <c r="BF411" s="104">
        <f>('Renewable Diesel'!R420*'RD Feedstock Breakdown'!BF$3*'Feedstock Conversion Rates'!B$4)/12</f>
        <v>62.5</v>
      </c>
      <c r="BG411" s="106">
        <f t="shared" si="425"/>
        <v>62.5</v>
      </c>
      <c r="BH411" s="104">
        <f>('Renewable Diesel'!T420*'RD Feedstock Breakdown'!BH$3*'Feedstock Conversion Rates'!B$7)/12</f>
        <v>27.599999999999998</v>
      </c>
      <c r="BI411" s="106">
        <f t="shared" si="412"/>
        <v>27.599999999999998</v>
      </c>
      <c r="BJ411" s="104">
        <f>('Renewable Diesel'!W420*'RD Feedstock Breakdown'!BJ$3*'Feedstock Conversion Rates'!B$4)/12</f>
        <v>7.5</v>
      </c>
      <c r="BK411" s="104">
        <f>('Renewable Diesel'!W420*'RD Feedstock Breakdown'!BK$3*'Feedstock Conversion Rates'!B$3)/12</f>
        <v>1.335</v>
      </c>
      <c r="BL411" s="104">
        <f>('Renewable Diesel'!W420*'RD Feedstock Breakdown'!BL$3*'Feedstock Conversion Rates'!B$6)/12</f>
        <v>3.1266666666666669</v>
      </c>
      <c r="BM411" s="104">
        <f>('Renewable Diesel'!W420*'RD Feedstock Breakdown'!BM$3*'Feedstock Conversion Rates'!B$7)/12</f>
        <v>1.5333333333333332</v>
      </c>
      <c r="BN411" s="106">
        <f t="shared" si="452"/>
        <v>13.495000000000001</v>
      </c>
      <c r="BO411" s="104">
        <f>('Renewable Diesel'!P420*'Feedstock Conversion Rates'!B$4)/12</f>
        <v>31.25</v>
      </c>
      <c r="BP411" s="106">
        <f t="shared" si="446"/>
        <v>31.25</v>
      </c>
      <c r="BQ411" s="104">
        <f>('Renewable Diesel'!$S420*'RD Feedstock Breakdown'!BQ$3*'Feedstock Conversion Rates'!B$4)/12+10+15-15</f>
        <v>38.125</v>
      </c>
      <c r="BR411" s="104">
        <f>('Renewable Diesel'!$S420*'RD Feedstock Breakdown'!BR$3*'Feedstock Conversion Rates'!B$7)/12-10-15+15</f>
        <v>1.5</v>
      </c>
      <c r="BS411" s="106">
        <f t="shared" si="385"/>
        <v>39.625</v>
      </c>
      <c r="BT411" s="106"/>
      <c r="BU411" s="104">
        <f>('Renewable Diesel'!Y420*'Feedstock Conversion Rates'!B$7)/12</f>
        <v>2.6833333333333331</v>
      </c>
      <c r="BV411" s="106">
        <f t="shared" si="442"/>
        <v>2.6833333333333331</v>
      </c>
      <c r="BW411" s="104">
        <f>('Renewable Diesel'!$Z420*'RD Feedstock Breakdown'!BW$3*'Feedstock Conversion Rates'!$B$4)/12-250+180</f>
        <v>1.875</v>
      </c>
      <c r="BX411" s="104">
        <f>('Renewable Diesel'!$Z420*'RD Feedstock Breakdown'!BX$3*'Feedstock Conversion Rates'!$B$5)/12</f>
        <v>7.2354166666666666</v>
      </c>
      <c r="BY411" s="104">
        <f>('Renewable Diesel'!$Z420*'RD Feedstock Breakdown'!BY$3*'Feedstock Conversion Rates'!$B$7)/12</f>
        <v>61.716666666666661</v>
      </c>
      <c r="BZ411" s="104">
        <f>('Renewable Diesel'!$Z420*'RD Feedstock Breakdown'!BZ$3*'Feedstock Conversion Rates'!$B$3)/12+250-180</f>
        <v>85.35250000000002</v>
      </c>
      <c r="CA411" s="106">
        <f t="shared" si="392"/>
        <v>156.17958333333334</v>
      </c>
      <c r="CB411" s="104">
        <f>('Renewable Diesel'!AA420*'Feedstock Conversion Rates'!B$4)/12</f>
        <v>191.25</v>
      </c>
      <c r="CC411" s="106">
        <f t="shared" si="376"/>
        <v>191.25</v>
      </c>
      <c r="CD411" s="104">
        <f>('Renewable Diesel'!$AB420*'RD Feedstock Breakdown'!CD$3*'Feedstock Conversion Rates'!$B$6)/12-15-5</f>
        <v>12.830000000000005</v>
      </c>
      <c r="CE411" s="104">
        <f>('Renewable Diesel'!$AB420*'RD Feedstock Breakdown'!CE$3*'Feedstock Conversion Rates'!$B$4)/12+15+5</f>
        <v>31.25</v>
      </c>
      <c r="CF411" s="106">
        <f t="shared" si="450"/>
        <v>44.080000000000005</v>
      </c>
      <c r="CG411" s="104">
        <f>('Renewable Diesel'!AD420*'Feedstock Conversion Rates'!B$4)/12</f>
        <v>112.5</v>
      </c>
      <c r="CH411" s="106">
        <f t="shared" si="439"/>
        <v>112.5</v>
      </c>
      <c r="CI411" s="104">
        <f>('Renewable Diesel'!$AE420*'RD Feedstock Breakdown'!CI$3*'Feedstock Conversion Rates'!$B$5)/12</f>
        <v>0.34604166666666664</v>
      </c>
      <c r="CJ411" s="104">
        <f>('Renewable Diesel'!$AE420*'RD Feedstock Breakdown'!CJ$3*'Feedstock Conversion Rates'!$B$4)/12</f>
        <v>0.34375</v>
      </c>
      <c r="CK411" s="106">
        <f t="shared" si="447"/>
        <v>0.68979166666666658</v>
      </c>
      <c r="CL411" s="104">
        <f>(((CL$3*'Renewable Diesel'!$AF420)*'Feedstock Conversion Rates'!$B$3)/12)</f>
        <v>91.78125</v>
      </c>
      <c r="CM411" s="104">
        <f>(((CM$3*'Renewable Diesel'!$AF420)*'Feedstock Conversion Rates'!$B$6)/12)</f>
        <v>53.739583333333336</v>
      </c>
      <c r="CN411" s="104">
        <f>(((CN$3*'Renewable Diesel'!$AF420)*'Feedstock Conversion Rates'!$B$4)/12)</f>
        <v>42.96875</v>
      </c>
      <c r="CO411" s="106">
        <f t="shared" si="441"/>
        <v>188.48958333333334</v>
      </c>
      <c r="CP411" s="104">
        <f>('Renewable Diesel'!$AG420*'RD Feedstock Breakdown'!CP$3*'Feedstock Conversion Rates'!$B$3)/12</f>
        <v>6.0075000000000003</v>
      </c>
      <c r="CQ411" s="104">
        <f>('Renewable Diesel'!$AG420*'RD Feedstock Breakdown'!CQ$3*'Feedstock Conversion Rates'!$B$6)/12</f>
        <v>3.5175000000000001</v>
      </c>
      <c r="CR411" s="104">
        <f>('Renewable Diesel'!$AG420*'RD Feedstock Breakdown'!CR$3*'Feedstock Conversion Rates'!$B$4)/12</f>
        <v>2.8125</v>
      </c>
      <c r="CS411" s="106">
        <f t="shared" si="397"/>
        <v>12.3375</v>
      </c>
      <c r="CT411" s="104">
        <f>('Renewable Diesel'!AI420*'Feedstock Conversion Rates'!$B$4*'RD Feedstock Breakdown'!$CT$3)/12</f>
        <v>29.375</v>
      </c>
      <c r="CU411" s="106">
        <f t="shared" si="443"/>
        <v>29.375</v>
      </c>
      <c r="CV411" s="104">
        <f>('Renewable Diesel'!AN420*'Feedstock Conversion Rates'!$B$3*'RD Feedstock Breakdown'!$CV$3)/12</f>
        <v>0.50062499999999999</v>
      </c>
      <c r="CW411" s="106">
        <f t="shared" si="419"/>
        <v>0.50062499999999999</v>
      </c>
      <c r="CX411" s="104">
        <f>('Renewable Diesel'!AO420*'RD Feedstock Breakdown'!$CX$3*'Feedstock Conversion Rates'!$B$3)/12</f>
        <v>6.3412499999999996</v>
      </c>
      <c r="CY411" s="104">
        <f>('Renewable Diesel'!AO420*'RD Feedstock Breakdown'!$CY$3*'Feedstock Conversion Rates'!$B$6)/12</f>
        <v>7.4258333333333342</v>
      </c>
      <c r="CZ411" s="106">
        <f t="shared" si="398"/>
        <v>13.767083333333334</v>
      </c>
      <c r="DA411" s="104">
        <f>('Renewable Diesel'!$AP420*'RD Feedstock Breakdown'!DA$3*'Feedstock Conversion Rates'!$B$3)/12</f>
        <v>6.3412499999999996</v>
      </c>
      <c r="DB411" s="104">
        <f>('Renewable Diesel'!$AP420*'RD Feedstock Breakdown'!DB$3*'Feedstock Conversion Rates'!$B$8)/12</f>
        <v>7.421875</v>
      </c>
      <c r="DC411" s="106">
        <f t="shared" si="422"/>
        <v>13.763124999999999</v>
      </c>
      <c r="DD411" s="104">
        <f>('Renewable Diesel'!AQ420*$DD$3*'Feedstock Conversion Rates'!$B$14)/12</f>
        <v>3.1041666666666665</v>
      </c>
      <c r="DE411" s="106">
        <f t="shared" si="423"/>
        <v>3.1041666666666665</v>
      </c>
      <c r="DF411" s="104">
        <f>('Renewable Diesel'!AR420*'Feedstock Conversion Rates'!$B$4*$DF$3)/12</f>
        <v>75</v>
      </c>
      <c r="DG411" s="106">
        <f t="shared" si="399"/>
        <v>75</v>
      </c>
      <c r="DH411" s="104">
        <f>('Renewable Diesel'!AS420*'Feedstock Conversion Rates'!$B$4*$DH$3)/12</f>
        <v>75</v>
      </c>
      <c r="DI411" s="106">
        <f t="shared" si="411"/>
        <v>75</v>
      </c>
      <c r="DJ411" s="104">
        <f>('Renewable Diesel'!AT420*'Feedstock Conversion Rates'!$B$4*0.25)/12</f>
        <v>8.59375</v>
      </c>
      <c r="DK411" s="104">
        <f>('Renewable Diesel'!$AT420*'RD Feedstock Breakdown'!DK$3*'Feedstock Conversion Rates'!$B$3)/12*0.5</f>
        <v>9.1781249999999996</v>
      </c>
      <c r="DL411" s="104">
        <f>('Renewable Diesel'!$AT420*'RD Feedstock Breakdown'!$DL$3*'Feedstock Conversion Rates'!$B$6)/12</f>
        <v>10.747916666666669</v>
      </c>
      <c r="DM411" s="104">
        <f>('Renewable Diesel'!$AT420*'RD Feedstock Breakdown'!$DM$3*'Feedstock Conversion Rates'!$B$8)/12</f>
        <v>10.7421875</v>
      </c>
      <c r="DN411" s="106">
        <f t="shared" si="453"/>
        <v>39.26197916666667</v>
      </c>
      <c r="DP411" s="104">
        <f t="shared" si="426"/>
        <v>103.22025000000001</v>
      </c>
      <c r="DQ411" s="104">
        <f t="shared" si="427"/>
        <v>349.11776750000007</v>
      </c>
      <c r="DR411" s="104">
        <f t="shared" si="432"/>
        <v>1891.953125</v>
      </c>
      <c r="DS411" s="104">
        <f t="shared" si="444"/>
        <v>228.90125</v>
      </c>
      <c r="DT411" s="104">
        <f t="shared" si="428"/>
        <v>243.03923333333344</v>
      </c>
      <c r="DU411" s="104">
        <f t="shared" si="429"/>
        <v>402.90610000000009</v>
      </c>
      <c r="DV411" s="104">
        <f t="shared" si="433"/>
        <v>78.75</v>
      </c>
      <c r="DW411" s="104">
        <f t="shared" si="430"/>
        <v>3</v>
      </c>
      <c r="DX411" s="106">
        <f t="shared" si="434"/>
        <v>3300.8877258333337</v>
      </c>
      <c r="DY411" s="109">
        <f t="shared" si="421"/>
        <v>-5.631051180898794E-13</v>
      </c>
      <c r="EA411" s="110">
        <f t="shared" si="424"/>
        <v>3.1270451640078516E-2</v>
      </c>
      <c r="EB411" s="110">
        <f t="shared" si="424"/>
        <v>0.10576481131658687</v>
      </c>
      <c r="EC411" s="110">
        <f t="shared" si="424"/>
        <v>0.57316494293133291</v>
      </c>
      <c r="ED411" s="110">
        <f t="shared" si="424"/>
        <v>6.9345360706629972E-2</v>
      </c>
      <c r="EE411" s="110">
        <f t="shared" si="424"/>
        <v>7.3628445896921982E-2</v>
      </c>
      <c r="EF411" s="110">
        <f t="shared" si="424"/>
        <v>0.1220599225010852</v>
      </c>
      <c r="EG411" s="110">
        <f t="shared" si="384"/>
        <v>2.3857218585075921E-2</v>
      </c>
      <c r="EH411" s="111">
        <f t="shared" si="435"/>
        <v>9.0884642228860647E-4</v>
      </c>
      <c r="EI411" s="110">
        <f t="shared" si="409"/>
        <v>0.99909115357771139</v>
      </c>
      <c r="EK411" s="132">
        <f>(EA411*'Renewable Diesel'!BF420*'Feedstock Conversion Rates'!B$2)+FB411</f>
        <v>894.5311545997464</v>
      </c>
      <c r="EL411" s="132">
        <f>(EB411*'Renewable Diesel'!BF420*'Feedstock Conversion Rates'!B$3)+FC411</f>
        <v>2851.1240021684271</v>
      </c>
      <c r="EM411" s="132">
        <f>(EC411*'Renewable Diesel'!BF420*'Feedstock Conversion Rates'!B$4)+FD411</f>
        <v>14467.159644673418</v>
      </c>
      <c r="EN411" s="132">
        <f>(ED411*'Renewable Diesel'!BF420*'Feedstock Conversion Rates'!B$5)+FE411</f>
        <v>1762.0034496323669</v>
      </c>
      <c r="EO411" s="132">
        <f>(EE411*'Renewable Diesel'!BF420*'Feedstock Conversion Rates'!B$6)+FF411</f>
        <v>2324.2929414276559</v>
      </c>
      <c r="EP411" s="132">
        <f>(EF411*'Renewable Diesel'!BF420*'Feedstock Conversion Rates'!B$7)+FG411</f>
        <v>3779.2298692190434</v>
      </c>
      <c r="EQ411" s="132">
        <f>(EG411*'Renewable Diesel'!BF420*'Feedstock Conversion Rates'!B$8)+FH411</f>
        <v>752.72003767140882</v>
      </c>
      <c r="ER411" s="132">
        <f>(EH411*'Renewable Diesel'!BF420*'Feedstock Conversion Rates'!B$9)+FI411</f>
        <v>28.292715066760252</v>
      </c>
      <c r="ES411" s="132">
        <f t="shared" si="436"/>
        <v>26859.353814458831</v>
      </c>
      <c r="ET411" s="133">
        <f>ES411/'Renewable Diesel'!BF420</f>
        <v>21.919086394061647</v>
      </c>
      <c r="EW411" s="73">
        <f t="shared" si="386"/>
        <v>26549.151277682031</v>
      </c>
      <c r="EX411" s="73">
        <f t="shared" si="387"/>
        <v>17389.839506818211</v>
      </c>
      <c r="EY411" s="92">
        <f t="shared" si="410"/>
        <v>0.98845085630430118</v>
      </c>
      <c r="EZ411" s="92">
        <f t="shared" si="410"/>
        <v>0.64744072500571381</v>
      </c>
      <c r="FB411" s="102">
        <f>IF('Renewable Diesel'!$BG420&lt;1,0,(((('Renewable Diesel'!$BG420-1)*'Renewable Diesel'!$BF420)*'RD Feedstock Breakdown'!EA411)*'Feedstock Conversion Rates'!$B$2))</f>
        <v>568.82483042950628</v>
      </c>
      <c r="FC411" s="102">
        <f>IF('Renewable Diesel'!$BG420&lt;1,0,(((('Renewable Diesel'!$BG420-1)*'Renewable Diesel'!$BF420)*'RD Feedstock Breakdown'!EB411)*'Feedstock Conversion Rates'!$B$3))</f>
        <v>1813.0057502498196</v>
      </c>
      <c r="FD411" s="102">
        <f>IF('Renewable Diesel'!$BG420&lt;1,0,(((('Renewable Diesel'!$BG420-1)*'Renewable Diesel'!$BF420)*'RD Feedstock Breakdown'!EC411)*'Feedstock Conversion Rates'!$B$4))</f>
        <v>9199.545023515815</v>
      </c>
      <c r="FE411" s="102">
        <f>IF('Renewable Diesel'!$BG420&lt;1,0,(((('Renewable Diesel'!$BG420-1)*'Renewable Diesel'!$BF420)*'RD Feedstock Breakdown'!ED411)*'Feedstock Conversion Rates'!$B$5))</f>
        <v>1120.4431598604272</v>
      </c>
      <c r="FF411" s="102">
        <f>IF('Renewable Diesel'!$BG420&lt;1,0,(((('Renewable Diesel'!$BG420-1)*'Renewable Diesel'!$BF420)*'RD Feedstock Breakdown'!EE411)*'Feedstock Conversion Rates'!$B$6))</f>
        <v>1477.9983139521382</v>
      </c>
      <c r="FG411" s="102">
        <f>IF('Renewable Diesel'!$BG420&lt;1,0,(((('Renewable Diesel'!$BG420-1)*'Renewable Diesel'!$BF420)*'RD Feedstock Breakdown'!EF411)*'Feedstock Conversion Rates'!$B$7))</f>
        <v>2403.1804576717386</v>
      </c>
      <c r="FH411" s="102">
        <f>IF('Renewable Diesel'!$BG420&lt;1,0,(((('Renewable Diesel'!$BG420-1)*'Renewable Diesel'!$BF420)*'RD Feedstock Breakdown'!EG411)*'Feedstock Conversion Rates'!$B$8))</f>
        <v>478.64833503860621</v>
      </c>
      <c r="FI411" s="102">
        <f>IF('Renewable Diesel'!$BG420&lt;1,0,(((('Renewable Diesel'!$BG420-1)*'Renewable Diesel'!$BF420)*'RD Feedstock Breakdown'!EH411)*'Feedstock Conversion Rates'!$B$9))</f>
        <v>17.991099323355865</v>
      </c>
      <c r="FJ411" s="102">
        <f t="shared" si="388"/>
        <v>17079.636970041411</v>
      </c>
      <c r="GD411" s="91">
        <f>'Renewable Diesel'!BB420*0.32</f>
        <v>0</v>
      </c>
      <c r="GE411" s="91">
        <f>'Renewable Diesel'!BC420</f>
        <v>487.00777977843001</v>
      </c>
      <c r="GF411" s="91">
        <f>'Renewable Diesel'!BD420</f>
        <v>0</v>
      </c>
      <c r="GG411" s="91">
        <f t="shared" si="451"/>
        <v>487.00777977843001</v>
      </c>
      <c r="GH411" s="124">
        <v>1</v>
      </c>
      <c r="GI411" s="102">
        <f>$GG411*EA411*'Feedstock Conversion Rates'!$B$2</f>
        <v>129.44610242017893</v>
      </c>
      <c r="GJ411" s="102">
        <f>$GG411*EB411*'Feedstock Conversion Rates'!$B$3</f>
        <v>412.58137036318402</v>
      </c>
      <c r="GK411" s="102">
        <f>$GG411*EC411*'Feedstock Conversion Rates'!$B$4</f>
        <v>2093.5183972786422</v>
      </c>
      <c r="GL411" s="102">
        <f>$GG411*ED411*'Feedstock Conversion Rates'!$B$5</f>
        <v>254.9765626753103</v>
      </c>
      <c r="GM411" s="102">
        <f>$GG411*EE411*'Feedstock Conversion Rates'!$B$6</f>
        <v>336.34453154978866</v>
      </c>
      <c r="GN411" s="102">
        <f>$GG411*EF411*'Feedstock Conversion Rates'!$B$7</f>
        <v>546.88601308606269</v>
      </c>
      <c r="GO411" s="102">
        <f>$GG411*EG411*'Feedstock Conversion Rates'!$B$8</f>
        <v>108.92485363881114</v>
      </c>
      <c r="GP411" s="102">
        <f>$GG411*EH411*'Feedstock Conversion Rates'!B$9</f>
        <v>4.0941913240746795</v>
      </c>
      <c r="GQ411" s="102">
        <f t="shared" si="437"/>
        <v>3886.7720223360525</v>
      </c>
      <c r="GT411" s="103">
        <f t="shared" si="418"/>
        <v>3.3304269372191879E-2</v>
      </c>
      <c r="GU411" s="103">
        <f t="shared" si="416"/>
        <v>0.10615013383656387</v>
      </c>
      <c r="GV411" s="103">
        <f t="shared" si="416"/>
        <v>0.53862649654979811</v>
      </c>
      <c r="GW411" s="103">
        <f t="shared" si="416"/>
        <v>6.5601110950176747E-2</v>
      </c>
      <c r="GX411" s="103">
        <f t="shared" si="416"/>
        <v>8.6535698419388282E-2</v>
      </c>
      <c r="GY411" s="103">
        <f t="shared" si="416"/>
        <v>0.14070442257566979</v>
      </c>
      <c r="GZ411" s="103">
        <f t="shared" si="416"/>
        <v>2.8024502855545509E-2</v>
      </c>
      <c r="HA411" s="103">
        <f t="shared" si="416"/>
        <v>1.0533654406655836E-3</v>
      </c>
    </row>
    <row r="412" spans="1:209" x14ac:dyDescent="0.25">
      <c r="A412" s="96">
        <v>52963</v>
      </c>
      <c r="B412" s="104">
        <f t="shared" si="406"/>
        <v>44.25</v>
      </c>
      <c r="C412" s="104">
        <f t="shared" si="396"/>
        <v>49</v>
      </c>
      <c r="D412" s="104">
        <f t="shared" si="407"/>
        <v>2</v>
      </c>
      <c r="E412" s="104">
        <f>('Renewable Diesel'!B421*E$3*'Feedstock Conversion Rates'!$B$2)/12+26+13-100+27.5+39</f>
        <v>95.43</v>
      </c>
      <c r="F412" s="104">
        <f>('Renewable Diesel'!B421*'RD Feedstock Breakdown'!F$3*'Feedstock Conversion Rates'!B$8)/12+77+23-10-12-115.75+24+8</f>
        <v>48.15625</v>
      </c>
      <c r="G412" s="104">
        <f>('Renewable Diesel'!B421*'RD Feedstock Breakdown'!G$3*'Feedstock Conversion Rates'!B$7)/12+116.75-39-57.5-145-31.5+32+70-40+10+60</f>
        <v>151.90700000000004</v>
      </c>
      <c r="H412" s="104">
        <f>('Renewable Diesel'!B421*'RD Feedstock Breakdown'!H$3*'Feedstock Conversion Rates'!B$3)/12+67+10+12+3-235+20+47-20+25</f>
        <v>105.40022499999998</v>
      </c>
      <c r="I412" s="106">
        <f t="shared" si="449"/>
        <v>496.14347500000002</v>
      </c>
      <c r="J412" s="104">
        <f t="shared" si="417"/>
        <v>4</v>
      </c>
      <c r="K412" s="104"/>
      <c r="L412" s="104">
        <v>1</v>
      </c>
      <c r="M412" s="104">
        <f>('Renewable Diesel'!C421*'RD Feedstock Breakdown'!M$3*'Feedstock Conversion Rates'!B$2)/12</f>
        <v>7.7902500000000003</v>
      </c>
      <c r="N412" s="104">
        <f>('Renewable Diesel'!C421*'RD Feedstock Breakdown'!N$3*'Feedstock Conversion Rates'!B$8)/12</f>
        <v>3.671875</v>
      </c>
      <c r="O412" s="104">
        <f>('Renewable Diesel'!C421*'RD Feedstock Breakdown'!O$3*'Feedstock Conversion Rates'!B$7)/12</f>
        <v>11.9991</v>
      </c>
      <c r="P412" s="104">
        <f>('Renewable Diesel'!C421*'RD Feedstock Breakdown'!P$3*'Feedstock Conversion Rates'!B$3)/12</f>
        <v>10.4470425</v>
      </c>
      <c r="Q412" s="106">
        <f t="shared" si="379"/>
        <v>38.908267500000001</v>
      </c>
      <c r="R412" s="104">
        <f>('Renewable Diesel'!D421*'RD Feedstock Breakdown'!R$3*'Feedstock Conversion Rates'!B$7)/12</f>
        <v>2.2999999999999998</v>
      </c>
      <c r="S412" s="106">
        <f t="shared" si="414"/>
        <v>2.2999999999999998</v>
      </c>
      <c r="T412" s="104">
        <f t="shared" si="380"/>
        <v>0.82499999999999929</v>
      </c>
      <c r="U412" s="104"/>
      <c r="V412" s="104">
        <f>('Renewable Diesel'!E421*'RD Feedstock Breakdown'!V$3*'Feedstock Conversion Rates'!B$6)/12-20+25</f>
        <v>49.250150000000012</v>
      </c>
      <c r="W412" s="104">
        <f>('Renewable Diesel'!E421*'RD Feedstock Breakdown'!W$3*'Feedstock Conversion Rates'!B$8)/12-6</f>
        <v>16.1796875</v>
      </c>
      <c r="X412" s="106">
        <f t="shared" si="438"/>
        <v>66.254837500000008</v>
      </c>
      <c r="Y412" s="104">
        <f t="shared" si="381"/>
        <v>98</v>
      </c>
      <c r="Z412" s="104">
        <f>('Renewable Diesel'!F421*'RD Feedstock Breakdown'!Z$3*'Feedstock Conversion Rates'!B$6)/12-142+15+5+20+5+15</f>
        <v>77.460000000000008</v>
      </c>
      <c r="AA412" s="104">
        <f>('Renewable Diesel'!F421*'RD Feedstock Breakdown'!AA$3*'Feedstock Conversion Rates'!B$7)/12+24</f>
        <v>128.26666666666665</v>
      </c>
      <c r="AB412" s="106">
        <f t="shared" si="400"/>
        <v>303.72666666666669</v>
      </c>
      <c r="AC412" s="104">
        <f>('Renewable Diesel'!G421*'RD Feedstock Breakdown'!AC$3*'Feedstock Conversion Rates'!B$5)/12</f>
        <v>11.796875</v>
      </c>
      <c r="AD412" s="104">
        <f>('Renewable Diesel'!G421*'RD Feedstock Breakdown'!AD$3*'Feedstock Conversion Rates'!B$4)/12</f>
        <v>5.859375</v>
      </c>
      <c r="AE412" s="104">
        <f>('Renewable Diesel'!G421*'RD Feedstock Breakdown'!AE$3*'Feedstock Conversion Rates'!B$6)/12</f>
        <v>7.3281250000000009</v>
      </c>
      <c r="AF412" s="106">
        <f t="shared" si="445"/>
        <v>24.984375</v>
      </c>
      <c r="AG412" s="104">
        <f t="shared" si="383"/>
        <v>148</v>
      </c>
      <c r="AH412" s="104"/>
      <c r="AI412" s="104">
        <f>('Renewable Diesel'!H421*'RD Feedstock Breakdown'!AI$3*'Feedstock Conversion Rates'!B$6)/12-130-20+51-49</f>
        <v>0.51666666666667993</v>
      </c>
      <c r="AJ412" s="106">
        <f t="shared" si="413"/>
        <v>148.51666666666668</v>
      </c>
      <c r="AK412" s="104">
        <f>('Renewable Diesel'!J421*'RD Feedstock Breakdown'!AK$3*'Feedstock Conversion Rates'!B$4)/12</f>
        <v>95.8125</v>
      </c>
      <c r="AL412" s="106">
        <f t="shared" si="415"/>
        <v>95.8125</v>
      </c>
      <c r="AM412" s="104">
        <f>('Renewable Diesel'!K421*'RD Feedstock Breakdown'!AM$3*'Feedstock Conversion Rates'!B$4)/12+5+15-10+10</f>
        <v>78.59375</v>
      </c>
      <c r="AN412" s="104">
        <f>('Renewable Diesel'!K421*'RD Feedstock Breakdown'!AN$3*'Feedstock Conversion Rates'!B$6)/12-5-15+10-10</f>
        <v>4.4270833333333321</v>
      </c>
      <c r="AO412" s="106">
        <f t="shared" si="431"/>
        <v>83.020833333333329</v>
      </c>
      <c r="AP412" s="104">
        <f>('Renewable Diesel'!L421*'RD Feedstock Breakdown'!AP$3*'Feedstock Conversion Rates'!B$4)/12+15-10+15</f>
        <v>78.59375</v>
      </c>
      <c r="AQ412" s="104">
        <f>('Renewable Diesel'!L421*'RD Feedstock Breakdown'!AQ$3*'Feedstock Conversion Rates'!B$6)/12-15+10-15</f>
        <v>4.4270833333333321</v>
      </c>
      <c r="AR412" s="106">
        <f t="shared" si="420"/>
        <v>83.020833333333329</v>
      </c>
      <c r="AS412" s="104">
        <f>('Renewable Diesel'!M421*'RD Feedstock Breakdown'!AS$3*'Feedstock Conversion Rates'!B$4)/12</f>
        <v>456.25</v>
      </c>
      <c r="AT412" s="104">
        <f>('Renewable Diesel'!M421*'RD Feedstock Breakdown'!AT$3*'Feedstock Conversion Rates'!B$5)/12</f>
        <v>0</v>
      </c>
      <c r="AU412" s="106">
        <f t="shared" si="448"/>
        <v>456.25</v>
      </c>
      <c r="AV412" s="104">
        <f>'Renewable Diesel'!N421*'RD Feedstock Breakdown'!$AV$3*'Feedstock Conversion Rates'!$B$4/12-15-10+25+25-22+25</f>
        <v>106.74999999999999</v>
      </c>
      <c r="AW412" s="104">
        <f>'Renewable Diesel'!N421*'RD Feedstock Breakdown'!$AW$3*'Feedstock Conversion Rates'!$B$7/12+15+10-25-25+22-25</f>
        <v>13.400000000000006</v>
      </c>
      <c r="AX412" s="106">
        <f t="shared" si="408"/>
        <v>120.14999999999999</v>
      </c>
      <c r="AY412" s="104">
        <f>('Renewable Diesel'!O421*'RD Feedstock Breakdown'!AY$3*'Feedstock Conversion Rates'!B$4)/12</f>
        <v>210.9375</v>
      </c>
      <c r="AZ412" s="104">
        <f>('Renewable Diesel'!O421*'RD Feedstock Breakdown'!AZ$3*'Feedstock Conversion Rates'!B$3)/12</f>
        <v>25.03125</v>
      </c>
      <c r="BA412" s="106">
        <f t="shared" si="382"/>
        <v>235.96875</v>
      </c>
      <c r="BB412" s="104">
        <f>('Renewable Diesel'!Q421*'RD Feedstock Breakdown'!BB$3*'Feedstock Conversion Rates'!B$4)/12</f>
        <v>11.156249999999998</v>
      </c>
      <c r="BC412" s="104">
        <f>('Renewable Diesel'!Q421*'RD Feedstock Breakdown'!BC$3*'Feedstock Conversion Rates'!B$3)/12</f>
        <v>1.4017500000000001</v>
      </c>
      <c r="BD412" s="104">
        <f>('Renewable Diesel'!Q421*'RD Feedstock Breakdown'!BD$3*'Feedstock Conversion Rates'!B$6)/12</f>
        <v>0.8207500000000002</v>
      </c>
      <c r="BE412" s="106">
        <f t="shared" si="440"/>
        <v>13.378749999999998</v>
      </c>
      <c r="BF412" s="104">
        <f>('Renewable Diesel'!R421*'RD Feedstock Breakdown'!BF$3*'Feedstock Conversion Rates'!B$4)/12</f>
        <v>62.5</v>
      </c>
      <c r="BG412" s="106">
        <f t="shared" si="425"/>
        <v>62.5</v>
      </c>
      <c r="BH412" s="104">
        <f>('Renewable Diesel'!T421*'RD Feedstock Breakdown'!BH$3*'Feedstock Conversion Rates'!B$7)/12</f>
        <v>27.599999999999998</v>
      </c>
      <c r="BI412" s="106">
        <f t="shared" si="412"/>
        <v>27.599999999999998</v>
      </c>
      <c r="BJ412" s="104">
        <f>('Renewable Diesel'!W421*'RD Feedstock Breakdown'!BJ$3*'Feedstock Conversion Rates'!B$4)/12</f>
        <v>7.5</v>
      </c>
      <c r="BK412" s="104">
        <f>('Renewable Diesel'!W421*'RD Feedstock Breakdown'!BK$3*'Feedstock Conversion Rates'!B$3)/12</f>
        <v>1.335</v>
      </c>
      <c r="BL412" s="104">
        <f>('Renewable Diesel'!W421*'RD Feedstock Breakdown'!BL$3*'Feedstock Conversion Rates'!B$6)/12</f>
        <v>3.1266666666666669</v>
      </c>
      <c r="BM412" s="104">
        <f>('Renewable Diesel'!W421*'RD Feedstock Breakdown'!BM$3*'Feedstock Conversion Rates'!B$7)/12</f>
        <v>1.5333333333333332</v>
      </c>
      <c r="BN412" s="106">
        <f t="shared" si="452"/>
        <v>13.495000000000001</v>
      </c>
      <c r="BO412" s="104">
        <f>('Renewable Diesel'!P421*'Feedstock Conversion Rates'!B$4)/12</f>
        <v>31.25</v>
      </c>
      <c r="BP412" s="106">
        <f t="shared" si="446"/>
        <v>31.25</v>
      </c>
      <c r="BQ412" s="104">
        <f>('Renewable Diesel'!$S421*'RD Feedstock Breakdown'!BQ$3*'Feedstock Conversion Rates'!B$4)/12+10+15-15</f>
        <v>38.125</v>
      </c>
      <c r="BR412" s="104">
        <f>('Renewable Diesel'!$S421*'RD Feedstock Breakdown'!BR$3*'Feedstock Conversion Rates'!B$7)/12-10-15+15</f>
        <v>1.5</v>
      </c>
      <c r="BS412" s="106">
        <f t="shared" si="385"/>
        <v>39.625</v>
      </c>
      <c r="BT412" s="106"/>
      <c r="BU412" s="104">
        <f>('Renewable Diesel'!Y421*'Feedstock Conversion Rates'!B$7)/12</f>
        <v>2.6833333333333331</v>
      </c>
      <c r="BV412" s="106">
        <f t="shared" si="442"/>
        <v>2.6833333333333331</v>
      </c>
      <c r="BW412" s="104">
        <f>('Renewable Diesel'!$Z421*'RD Feedstock Breakdown'!BW$3*'Feedstock Conversion Rates'!$B$4)/12-250+180</f>
        <v>1.875</v>
      </c>
      <c r="BX412" s="104">
        <f>('Renewable Diesel'!$Z421*'RD Feedstock Breakdown'!BX$3*'Feedstock Conversion Rates'!$B$5)/12</f>
        <v>7.2354166666666666</v>
      </c>
      <c r="BY412" s="104">
        <f>('Renewable Diesel'!$Z421*'RD Feedstock Breakdown'!BY$3*'Feedstock Conversion Rates'!$B$7)/12</f>
        <v>61.716666666666661</v>
      </c>
      <c r="BZ412" s="104">
        <f>('Renewable Diesel'!$Z421*'RD Feedstock Breakdown'!BZ$3*'Feedstock Conversion Rates'!$B$3)/12+250-180</f>
        <v>85.35250000000002</v>
      </c>
      <c r="CA412" s="106">
        <f t="shared" si="392"/>
        <v>156.17958333333334</v>
      </c>
      <c r="CB412" s="104">
        <f>('Renewable Diesel'!AA421*'Feedstock Conversion Rates'!B$4)/12</f>
        <v>191.25</v>
      </c>
      <c r="CC412" s="106">
        <f t="shared" ref="CC412:CC475" si="454">CB412</f>
        <v>191.25</v>
      </c>
      <c r="CD412" s="104">
        <f>('Renewable Diesel'!$AB421*'RD Feedstock Breakdown'!CD$3*'Feedstock Conversion Rates'!$B$6)/12-15-5</f>
        <v>12.830000000000005</v>
      </c>
      <c r="CE412" s="104">
        <f>('Renewable Diesel'!$AB421*'RD Feedstock Breakdown'!CE$3*'Feedstock Conversion Rates'!$B$4)/12+15+5</f>
        <v>31.25</v>
      </c>
      <c r="CF412" s="106">
        <f t="shared" si="450"/>
        <v>44.080000000000005</v>
      </c>
      <c r="CG412" s="104">
        <f>('Renewable Diesel'!AD421*'Feedstock Conversion Rates'!B$4)/12</f>
        <v>112.5</v>
      </c>
      <c r="CH412" s="106">
        <f t="shared" si="439"/>
        <v>112.5</v>
      </c>
      <c r="CI412" s="104">
        <f>('Renewable Diesel'!$AE421*'RD Feedstock Breakdown'!CI$3*'Feedstock Conversion Rates'!$B$5)/12</f>
        <v>0.34604166666666664</v>
      </c>
      <c r="CJ412" s="104">
        <f>('Renewable Diesel'!$AE421*'RD Feedstock Breakdown'!CJ$3*'Feedstock Conversion Rates'!$B$4)/12</f>
        <v>0.34375</v>
      </c>
      <c r="CK412" s="106">
        <f t="shared" si="447"/>
        <v>0.68979166666666658</v>
      </c>
      <c r="CL412" s="104">
        <f>(((CL$3*'Renewable Diesel'!$AF421)*'Feedstock Conversion Rates'!$B$3)/12)</f>
        <v>91.78125</v>
      </c>
      <c r="CM412" s="104">
        <f>(((CM$3*'Renewable Diesel'!$AF421)*'Feedstock Conversion Rates'!$B$6)/12)</f>
        <v>53.739583333333336</v>
      </c>
      <c r="CN412" s="104">
        <f>(((CN$3*'Renewable Diesel'!$AF421)*'Feedstock Conversion Rates'!$B$4)/12)</f>
        <v>42.96875</v>
      </c>
      <c r="CO412" s="106">
        <f t="shared" si="441"/>
        <v>188.48958333333334</v>
      </c>
      <c r="CP412" s="104">
        <f>('Renewable Diesel'!$AG421*'RD Feedstock Breakdown'!CP$3*'Feedstock Conversion Rates'!$B$3)/12</f>
        <v>6.0075000000000003</v>
      </c>
      <c r="CQ412" s="104">
        <f>('Renewable Diesel'!$AG421*'RD Feedstock Breakdown'!CQ$3*'Feedstock Conversion Rates'!$B$6)/12</f>
        <v>3.5175000000000001</v>
      </c>
      <c r="CR412" s="104">
        <f>('Renewable Diesel'!$AG421*'RD Feedstock Breakdown'!CR$3*'Feedstock Conversion Rates'!$B$4)/12</f>
        <v>2.8125</v>
      </c>
      <c r="CS412" s="106">
        <f t="shared" si="397"/>
        <v>12.3375</v>
      </c>
      <c r="CT412" s="104">
        <f>('Renewable Diesel'!AI421*'Feedstock Conversion Rates'!$B$4*'RD Feedstock Breakdown'!$CT$3)/12</f>
        <v>29.375</v>
      </c>
      <c r="CU412" s="106">
        <f t="shared" si="443"/>
        <v>29.375</v>
      </c>
      <c r="CV412" s="104">
        <f>('Renewable Diesel'!AN421*'Feedstock Conversion Rates'!$B$3*'RD Feedstock Breakdown'!$CV$3)/12</f>
        <v>0.50062499999999999</v>
      </c>
      <c r="CW412" s="106">
        <f t="shared" si="419"/>
        <v>0.50062499999999999</v>
      </c>
      <c r="CX412" s="104">
        <f>('Renewable Diesel'!AO421*'RD Feedstock Breakdown'!$CX$3*'Feedstock Conversion Rates'!$B$3)/12</f>
        <v>6.3412499999999996</v>
      </c>
      <c r="CY412" s="104">
        <f>('Renewable Diesel'!AO421*'RD Feedstock Breakdown'!$CY$3*'Feedstock Conversion Rates'!$B$6)/12</f>
        <v>7.4258333333333342</v>
      </c>
      <c r="CZ412" s="106">
        <f t="shared" si="398"/>
        <v>13.767083333333334</v>
      </c>
      <c r="DA412" s="104">
        <f>('Renewable Diesel'!$AP421*'RD Feedstock Breakdown'!DA$3*'Feedstock Conversion Rates'!$B$3)/12</f>
        <v>6.3412499999999996</v>
      </c>
      <c r="DB412" s="104">
        <f>('Renewable Diesel'!$AP421*'RD Feedstock Breakdown'!DB$3*'Feedstock Conversion Rates'!$B$8)/12</f>
        <v>7.421875</v>
      </c>
      <c r="DC412" s="106">
        <f t="shared" si="422"/>
        <v>13.763124999999999</v>
      </c>
      <c r="DD412" s="104">
        <f>('Renewable Diesel'!AQ421*$DD$3*'Feedstock Conversion Rates'!$B$14)/12</f>
        <v>3.1041666666666665</v>
      </c>
      <c r="DE412" s="106">
        <f t="shared" si="423"/>
        <v>3.1041666666666665</v>
      </c>
      <c r="DF412" s="104">
        <f>('Renewable Diesel'!AR421*'Feedstock Conversion Rates'!$B$4*$DF$3)/12</f>
        <v>75</v>
      </c>
      <c r="DG412" s="106">
        <f t="shared" si="399"/>
        <v>75</v>
      </c>
      <c r="DH412" s="104">
        <f>('Renewable Diesel'!AS421*'Feedstock Conversion Rates'!$B$4*$DH$3)/12</f>
        <v>75</v>
      </c>
      <c r="DI412" s="106">
        <f t="shared" si="411"/>
        <v>75</v>
      </c>
      <c r="DJ412" s="104">
        <f>('Renewable Diesel'!AT421*'Feedstock Conversion Rates'!$B$4*0.25)/12</f>
        <v>8.59375</v>
      </c>
      <c r="DK412" s="104">
        <f>('Renewable Diesel'!$AT421*'RD Feedstock Breakdown'!DK$3*'Feedstock Conversion Rates'!$B$3)/12*0.5</f>
        <v>9.1781249999999996</v>
      </c>
      <c r="DL412" s="104">
        <f>('Renewable Diesel'!$AT421*'RD Feedstock Breakdown'!$DL$3*'Feedstock Conversion Rates'!$B$6)/12</f>
        <v>10.747916666666669</v>
      </c>
      <c r="DM412" s="104">
        <f>('Renewable Diesel'!$AT421*'RD Feedstock Breakdown'!$DM$3*'Feedstock Conversion Rates'!$B$8)/12</f>
        <v>10.7421875</v>
      </c>
      <c r="DN412" s="106">
        <f t="shared" si="453"/>
        <v>39.26197916666667</v>
      </c>
      <c r="DP412" s="104">
        <f t="shared" si="426"/>
        <v>103.22025000000001</v>
      </c>
      <c r="DQ412" s="104">
        <f t="shared" si="427"/>
        <v>349.11776750000007</v>
      </c>
      <c r="DR412" s="104">
        <f t="shared" si="432"/>
        <v>1891.953125</v>
      </c>
      <c r="DS412" s="104">
        <f t="shared" si="444"/>
        <v>228.90125</v>
      </c>
      <c r="DT412" s="104">
        <f t="shared" si="428"/>
        <v>243.03923333333344</v>
      </c>
      <c r="DU412" s="104">
        <f t="shared" si="429"/>
        <v>402.90610000000009</v>
      </c>
      <c r="DV412" s="104">
        <f t="shared" si="433"/>
        <v>78.75</v>
      </c>
      <c r="DW412" s="104">
        <f t="shared" si="430"/>
        <v>3</v>
      </c>
      <c r="DX412" s="106">
        <f t="shared" si="434"/>
        <v>3300.8877258333337</v>
      </c>
      <c r="DY412" s="109">
        <f t="shared" si="421"/>
        <v>-5.631051180898794E-13</v>
      </c>
      <c r="EA412" s="110">
        <f t="shared" si="424"/>
        <v>3.1270451640078516E-2</v>
      </c>
      <c r="EB412" s="110">
        <f t="shared" si="424"/>
        <v>0.10576481131658687</v>
      </c>
      <c r="EC412" s="110">
        <f t="shared" si="424"/>
        <v>0.57316494293133291</v>
      </c>
      <c r="ED412" s="110">
        <f t="shared" si="424"/>
        <v>6.9345360706629972E-2</v>
      </c>
      <c r="EE412" s="110">
        <f t="shared" si="424"/>
        <v>7.3628445896921982E-2</v>
      </c>
      <c r="EF412" s="110">
        <f t="shared" si="424"/>
        <v>0.1220599225010852</v>
      </c>
      <c r="EG412" s="110">
        <f t="shared" si="384"/>
        <v>2.3857218585075921E-2</v>
      </c>
      <c r="EH412" s="111">
        <f t="shared" si="435"/>
        <v>9.0884642228860647E-4</v>
      </c>
      <c r="EI412" s="110">
        <f t="shared" si="409"/>
        <v>0.99909115357771139</v>
      </c>
      <c r="EK412" s="132">
        <f>(EA412*'Renewable Diesel'!BF421*'Feedstock Conversion Rates'!B$2)+FB412</f>
        <v>269.49083527590517</v>
      </c>
      <c r="EL412" s="132">
        <f>(EB412*'Renewable Diesel'!BF421*'Feedstock Conversion Rates'!B$3)+FC412</f>
        <v>858.94357604945162</v>
      </c>
      <c r="EM412" s="132">
        <f>(EC412*'Renewable Diesel'!BF421*'Feedstock Conversion Rates'!B$4)+FD412</f>
        <v>4358.4473460372556</v>
      </c>
      <c r="EN412" s="132">
        <f>(ED412*'Renewable Diesel'!BF421*'Feedstock Conversion Rates'!B$5)+FE412</f>
        <v>530.82978603793788</v>
      </c>
      <c r="EO412" s="132">
        <f>(EE412*'Renewable Diesel'!BF421*'Feedstock Conversion Rates'!B$6)+FF412</f>
        <v>700.22787131600614</v>
      </c>
      <c r="EP412" s="132">
        <f>(EF412*'Renewable Diesel'!BF421*'Feedstock Conversion Rates'!B$7)+FG412</f>
        <v>1138.5492935807233</v>
      </c>
      <c r="EQ412" s="132">
        <f>(EG412*'Renewable Diesel'!BF421*'Feedstock Conversion Rates'!B$8)+FH412</f>
        <v>226.76812388020574</v>
      </c>
      <c r="ER412" s="132">
        <f>(EH412*'Renewable Diesel'!BF421*'Feedstock Conversion Rates'!B$9)+FI412</f>
        <v>8.5236018626718604</v>
      </c>
      <c r="ES412" s="132">
        <f t="shared" si="436"/>
        <v>8091.7804340401581</v>
      </c>
      <c r="ET412" s="133">
        <f>ES412/'Renewable Diesel'!BF421</f>
        <v>11.835224319321805</v>
      </c>
      <c r="EW412" s="73">
        <f t="shared" si="386"/>
        <v>6481.5361767707464</v>
      </c>
      <c r="EX412" s="73">
        <f t="shared" si="387"/>
        <v>4245.4416976571692</v>
      </c>
      <c r="EY412" s="92">
        <f t="shared" si="410"/>
        <v>0.80100247771238275</v>
      </c>
      <c r="EZ412" s="92">
        <f t="shared" si="410"/>
        <v>0.52466101030097478</v>
      </c>
      <c r="FB412" s="102">
        <f>IF('Renewable Diesel'!$BG421&lt;1,0,(((('Renewable Diesel'!$BG421-1)*'Renewable Diesel'!$BF421)*'RD Feedstock Breakdown'!EA412)*'Feedstock Conversion Rates'!$B$2))</f>
        <v>87.763325403584446</v>
      </c>
      <c r="FC412" s="102">
        <f>IF('Renewable Diesel'!$BG421&lt;1,0,(((('Renewable Diesel'!$BG421-1)*'Renewable Diesel'!$BF421)*'RD Feedstock Breakdown'!EB412)*'Feedstock Conversion Rates'!$B$3))</f>
        <v>279.72656098293106</v>
      </c>
      <c r="FD412" s="102">
        <f>IF('Renewable Diesel'!$BG421&lt;1,0,(((('Renewable Diesel'!$BG421-1)*'Renewable Diesel'!$BF421)*'RD Feedstock Breakdown'!EC412)*'Feedstock Conversion Rates'!$B$4))</f>
        <v>1419.3871650330539</v>
      </c>
      <c r="FE412" s="102">
        <f>IF('Renewable Diesel'!$BG421&lt;1,0,(((('Renewable Diesel'!$BG421-1)*'Renewable Diesel'!$BF421)*'RD Feedstock Breakdown'!ED412)*'Feedstock Conversion Rates'!$B$5))</f>
        <v>172.87187966249911</v>
      </c>
      <c r="FF412" s="102">
        <f>IF('Renewable Diesel'!$BG421&lt;1,0,(((('Renewable Diesel'!$BG421-1)*'Renewable Diesel'!$BF421)*'RD Feedstock Breakdown'!EE412)*'Feedstock Conversion Rates'!$B$6))</f>
        <v>228.03865097693901</v>
      </c>
      <c r="FG412" s="102">
        <f>IF('Renewable Diesel'!$BG421&lt;1,0,(((('Renewable Diesel'!$BG421-1)*'Renewable Diesel'!$BF421)*'RD Feedstock Breakdown'!EF412)*'Feedstock Conversion Rates'!$B$7))</f>
        <v>370.78393422264253</v>
      </c>
      <c r="FH412" s="102">
        <f>IF('Renewable Diesel'!$BG421&lt;1,0,(((('Renewable Diesel'!$BG421-1)*'Renewable Diesel'!$BF421)*'RD Feedstock Breakdown'!EG412)*'Feedstock Conversion Rates'!$B$8))</f>
        <v>73.850098193072952</v>
      </c>
      <c r="FI412" s="102">
        <f>IF('Renewable Diesel'!$BG421&lt;1,0,(((('Renewable Diesel'!$BG421-1)*'Renewable Diesel'!$BF421)*'RD Feedstock Breakdown'!EH412)*'Feedstock Conversion Rates'!$B$9))</f>
        <v>2.7758259130348693</v>
      </c>
      <c r="FJ412" s="102">
        <f t="shared" si="388"/>
        <v>2635.197440387758</v>
      </c>
      <c r="GD412" s="91">
        <f>'Renewable Diesel'!BB421*0.32</f>
        <v>0</v>
      </c>
      <c r="GE412" s="91">
        <f>'Renewable Diesel'!BC421</f>
        <v>300.31280489545679</v>
      </c>
      <c r="GF412" s="91">
        <f>'Renewable Diesel'!BD421</f>
        <v>0</v>
      </c>
      <c r="GG412" s="91">
        <f t="shared" si="451"/>
        <v>300.31280489545679</v>
      </c>
      <c r="GH412" s="124">
        <v>1</v>
      </c>
      <c r="GI412" s="102">
        <f>$GG412*EA412*'Feedstock Conversion Rates'!$B$2</f>
        <v>79.822794860227589</v>
      </c>
      <c r="GJ412" s="102">
        <f>$GG412*EB412*'Feedstock Conversion Rates'!$B$3</f>
        <v>254.41784243724084</v>
      </c>
      <c r="GK412" s="102">
        <f>$GG412*EC412*'Feedstock Conversion Rates'!$B$4</f>
        <v>1290.9657875958974</v>
      </c>
      <c r="GL412" s="102">
        <f>$GG412*ED412*'Feedstock Conversion Rates'!$B$5</f>
        <v>157.23101334122907</v>
      </c>
      <c r="GM412" s="102">
        <f>$GG412*EE412*'Feedstock Conversion Rates'!$B$6</f>
        <v>207.40648070739354</v>
      </c>
      <c r="GN412" s="102">
        <f>$GG412*EF412*'Feedstock Conversion Rates'!$B$7</f>
        <v>337.23665076293139</v>
      </c>
      <c r="GO412" s="102">
        <f>$GG412*EG412*'Feedstock Conversion Rates'!$B$8</f>
        <v>67.168389658951611</v>
      </c>
      <c r="GP412" s="102">
        <f>$GG412*EH412*'Feedstock Conversion Rates'!B$9</f>
        <v>2.5246785192444032</v>
      </c>
      <c r="GQ412" s="102">
        <f t="shared" si="437"/>
        <v>2396.7736378831155</v>
      </c>
      <c r="GT412" s="103">
        <f t="shared" si="418"/>
        <v>3.3304269372191886E-2</v>
      </c>
      <c r="GU412" s="103">
        <f t="shared" si="416"/>
        <v>0.10615013383656387</v>
      </c>
      <c r="GV412" s="103">
        <f t="shared" si="416"/>
        <v>0.53862649654979822</v>
      </c>
      <c r="GW412" s="103">
        <f t="shared" si="416"/>
        <v>6.5601110950176761E-2</v>
      </c>
      <c r="GX412" s="103">
        <f t="shared" si="416"/>
        <v>8.653569841938831E-2</v>
      </c>
      <c r="GY412" s="103">
        <f t="shared" si="416"/>
        <v>0.14070442257566981</v>
      </c>
      <c r="GZ412" s="103">
        <f t="shared" si="416"/>
        <v>2.802450285554552E-2</v>
      </c>
      <c r="HA412" s="103">
        <f t="shared" si="416"/>
        <v>1.0533654406655838E-3</v>
      </c>
    </row>
    <row r="413" spans="1:209" x14ac:dyDescent="0.25">
      <c r="A413" s="96">
        <v>52994</v>
      </c>
      <c r="B413" s="104">
        <f t="shared" si="406"/>
        <v>44.25</v>
      </c>
      <c r="C413" s="104">
        <f t="shared" si="396"/>
        <v>49</v>
      </c>
      <c r="D413" s="104">
        <f t="shared" si="407"/>
        <v>2</v>
      </c>
      <c r="E413" s="104">
        <f>('Renewable Diesel'!B422*E$3*'Feedstock Conversion Rates'!$B$2)/12+26+13-100+27.5+39</f>
        <v>95.43</v>
      </c>
      <c r="F413" s="104">
        <f>('Renewable Diesel'!B422*'RD Feedstock Breakdown'!F$3*'Feedstock Conversion Rates'!B$8)/12+77+23-10-12-115.75+24+8</f>
        <v>48.15625</v>
      </c>
      <c r="G413" s="104">
        <f>('Renewable Diesel'!B422*'RD Feedstock Breakdown'!G$3*'Feedstock Conversion Rates'!B$7)/12+116.75-39-57.5-145-31.5+32+70-40+10+60</f>
        <v>151.90700000000004</v>
      </c>
      <c r="H413" s="104">
        <f>('Renewable Diesel'!B422*'RD Feedstock Breakdown'!H$3*'Feedstock Conversion Rates'!B$3)/12+67+10+12+3-235+20+47-20+25</f>
        <v>105.40022499999998</v>
      </c>
      <c r="I413" s="106">
        <f t="shared" si="449"/>
        <v>496.14347500000002</v>
      </c>
      <c r="J413" s="104">
        <f t="shared" si="417"/>
        <v>4</v>
      </c>
      <c r="K413" s="104"/>
      <c r="L413" s="104">
        <v>1</v>
      </c>
      <c r="M413" s="104">
        <f>('Renewable Diesel'!C422*'RD Feedstock Breakdown'!M$3*'Feedstock Conversion Rates'!B$2)/12</f>
        <v>7.7902500000000003</v>
      </c>
      <c r="N413" s="104">
        <f>('Renewable Diesel'!C422*'RD Feedstock Breakdown'!N$3*'Feedstock Conversion Rates'!B$8)/12</f>
        <v>3.671875</v>
      </c>
      <c r="O413" s="104">
        <f>('Renewable Diesel'!C422*'RD Feedstock Breakdown'!O$3*'Feedstock Conversion Rates'!B$7)/12</f>
        <v>11.9991</v>
      </c>
      <c r="P413" s="104">
        <f>('Renewable Diesel'!C422*'RD Feedstock Breakdown'!P$3*'Feedstock Conversion Rates'!B$3)/12</f>
        <v>10.4470425</v>
      </c>
      <c r="Q413" s="106">
        <f t="shared" si="379"/>
        <v>38.908267500000001</v>
      </c>
      <c r="R413" s="104">
        <f>('Renewable Diesel'!D422*'RD Feedstock Breakdown'!R$3*'Feedstock Conversion Rates'!B$7)/12</f>
        <v>2.2999999999999998</v>
      </c>
      <c r="S413" s="106">
        <f t="shared" si="414"/>
        <v>2.2999999999999998</v>
      </c>
      <c r="T413" s="104">
        <f t="shared" si="380"/>
        <v>0.82499999999999929</v>
      </c>
      <c r="U413" s="104"/>
      <c r="V413" s="104">
        <f>('Renewable Diesel'!E422*'RD Feedstock Breakdown'!V$3*'Feedstock Conversion Rates'!B$6)/12-20+25</f>
        <v>49.250150000000012</v>
      </c>
      <c r="W413" s="104">
        <f>('Renewable Diesel'!E422*'RD Feedstock Breakdown'!W$3*'Feedstock Conversion Rates'!B$8)/12-6</f>
        <v>16.1796875</v>
      </c>
      <c r="X413" s="106">
        <f t="shared" si="438"/>
        <v>66.254837500000008</v>
      </c>
      <c r="Y413" s="104">
        <f t="shared" si="381"/>
        <v>98</v>
      </c>
      <c r="Z413" s="104">
        <f>('Renewable Diesel'!F422*'RD Feedstock Breakdown'!Z$3*'Feedstock Conversion Rates'!B$6)/12-142+15+5+20+5+15</f>
        <v>77.460000000000008</v>
      </c>
      <c r="AA413" s="104">
        <f>('Renewable Diesel'!F422*'RD Feedstock Breakdown'!AA$3*'Feedstock Conversion Rates'!B$7)/12+24</f>
        <v>128.26666666666665</v>
      </c>
      <c r="AB413" s="106">
        <f t="shared" si="400"/>
        <v>303.72666666666669</v>
      </c>
      <c r="AC413" s="104">
        <f>('Renewable Diesel'!G422*'RD Feedstock Breakdown'!AC$3*'Feedstock Conversion Rates'!B$5)/12</f>
        <v>11.796875</v>
      </c>
      <c r="AD413" s="104">
        <f>('Renewable Diesel'!G422*'RD Feedstock Breakdown'!AD$3*'Feedstock Conversion Rates'!B$4)/12</f>
        <v>5.859375</v>
      </c>
      <c r="AE413" s="104">
        <f>('Renewable Diesel'!G422*'RD Feedstock Breakdown'!AE$3*'Feedstock Conversion Rates'!B$6)/12</f>
        <v>7.3281250000000009</v>
      </c>
      <c r="AF413" s="106">
        <f t="shared" si="445"/>
        <v>24.984375</v>
      </c>
      <c r="AG413" s="104">
        <f t="shared" si="383"/>
        <v>148</v>
      </c>
      <c r="AH413" s="104"/>
      <c r="AI413" s="104">
        <f>('Renewable Diesel'!H422*'RD Feedstock Breakdown'!AI$3*'Feedstock Conversion Rates'!B$6)/12-130-20+51-49</f>
        <v>0.51666666666667993</v>
      </c>
      <c r="AJ413" s="106">
        <f t="shared" si="413"/>
        <v>148.51666666666668</v>
      </c>
      <c r="AK413" s="104">
        <f>('Renewable Diesel'!J422*'RD Feedstock Breakdown'!AK$3*'Feedstock Conversion Rates'!B$4)/12</f>
        <v>95.8125</v>
      </c>
      <c r="AL413" s="106">
        <f t="shared" si="415"/>
        <v>95.8125</v>
      </c>
      <c r="AM413" s="104">
        <f>('Renewable Diesel'!K422*'RD Feedstock Breakdown'!AM$3*'Feedstock Conversion Rates'!B$4)/12+5+15-10+10</f>
        <v>78.59375</v>
      </c>
      <c r="AN413" s="104">
        <f>('Renewable Diesel'!K422*'RD Feedstock Breakdown'!AN$3*'Feedstock Conversion Rates'!B$6)/12-5-15+10-10</f>
        <v>4.4270833333333321</v>
      </c>
      <c r="AO413" s="106">
        <f t="shared" si="431"/>
        <v>83.020833333333329</v>
      </c>
      <c r="AP413" s="104">
        <f>('Renewable Diesel'!L422*'RD Feedstock Breakdown'!AP$3*'Feedstock Conversion Rates'!B$4)/12+15-10+15</f>
        <v>78.59375</v>
      </c>
      <c r="AQ413" s="104">
        <f>('Renewable Diesel'!L422*'RD Feedstock Breakdown'!AQ$3*'Feedstock Conversion Rates'!B$6)/12-15+10-15</f>
        <v>4.4270833333333321</v>
      </c>
      <c r="AR413" s="106">
        <f t="shared" si="420"/>
        <v>83.020833333333329</v>
      </c>
      <c r="AS413" s="104">
        <f>('Renewable Diesel'!M422*'RD Feedstock Breakdown'!AS$3*'Feedstock Conversion Rates'!B$4)/12</f>
        <v>456.25</v>
      </c>
      <c r="AT413" s="104">
        <f>('Renewable Diesel'!M422*'RD Feedstock Breakdown'!AT$3*'Feedstock Conversion Rates'!B$5)/12</f>
        <v>0</v>
      </c>
      <c r="AU413" s="106">
        <f t="shared" si="448"/>
        <v>456.25</v>
      </c>
      <c r="AV413" s="104">
        <f>'Renewable Diesel'!N422*'RD Feedstock Breakdown'!$AV$3*'Feedstock Conversion Rates'!$B$4/12-15-10+25+25-22+25</f>
        <v>106.74999999999999</v>
      </c>
      <c r="AW413" s="104">
        <f>'Renewable Diesel'!N422*'RD Feedstock Breakdown'!$AW$3*'Feedstock Conversion Rates'!$B$7/12+15+10-25-25+22-25</f>
        <v>13.400000000000006</v>
      </c>
      <c r="AX413" s="106">
        <f t="shared" si="408"/>
        <v>120.14999999999999</v>
      </c>
      <c r="AY413" s="104">
        <f>('Renewable Diesel'!O422*'RD Feedstock Breakdown'!AY$3*'Feedstock Conversion Rates'!B$4)/12</f>
        <v>210.9375</v>
      </c>
      <c r="AZ413" s="104">
        <f>('Renewable Diesel'!O422*'RD Feedstock Breakdown'!AZ$3*'Feedstock Conversion Rates'!B$3)/12</f>
        <v>25.03125</v>
      </c>
      <c r="BA413" s="106">
        <f t="shared" si="382"/>
        <v>235.96875</v>
      </c>
      <c r="BB413" s="104">
        <f>('Renewable Diesel'!Q422*'RD Feedstock Breakdown'!BB$3*'Feedstock Conversion Rates'!B$4)/12</f>
        <v>11.156249999999998</v>
      </c>
      <c r="BC413" s="104">
        <f>('Renewable Diesel'!Q422*'RD Feedstock Breakdown'!BC$3*'Feedstock Conversion Rates'!B$3)/12</f>
        <v>1.4017500000000001</v>
      </c>
      <c r="BD413" s="104">
        <f>('Renewable Diesel'!Q422*'RD Feedstock Breakdown'!BD$3*'Feedstock Conversion Rates'!B$6)/12</f>
        <v>0.8207500000000002</v>
      </c>
      <c r="BE413" s="106">
        <f t="shared" si="440"/>
        <v>13.378749999999998</v>
      </c>
      <c r="BF413" s="104">
        <f>('Renewable Diesel'!R422*'RD Feedstock Breakdown'!BF$3*'Feedstock Conversion Rates'!B$4)/12</f>
        <v>62.5</v>
      </c>
      <c r="BG413" s="106">
        <f t="shared" si="425"/>
        <v>62.5</v>
      </c>
      <c r="BH413" s="104">
        <f>('Renewable Diesel'!T422*'RD Feedstock Breakdown'!BH$3*'Feedstock Conversion Rates'!B$7)/12</f>
        <v>27.599999999999998</v>
      </c>
      <c r="BI413" s="106">
        <f t="shared" si="412"/>
        <v>27.599999999999998</v>
      </c>
      <c r="BJ413" s="104">
        <f>('Renewable Diesel'!W422*'RD Feedstock Breakdown'!BJ$3*'Feedstock Conversion Rates'!B$4)/12</f>
        <v>7.5</v>
      </c>
      <c r="BK413" s="104">
        <f>('Renewable Diesel'!W422*'RD Feedstock Breakdown'!BK$3*'Feedstock Conversion Rates'!B$3)/12</f>
        <v>1.335</v>
      </c>
      <c r="BL413" s="104">
        <f>('Renewable Diesel'!W422*'RD Feedstock Breakdown'!BL$3*'Feedstock Conversion Rates'!B$6)/12</f>
        <v>3.1266666666666669</v>
      </c>
      <c r="BM413" s="104">
        <f>('Renewable Diesel'!W422*'RD Feedstock Breakdown'!BM$3*'Feedstock Conversion Rates'!B$7)/12</f>
        <v>1.5333333333333332</v>
      </c>
      <c r="BN413" s="106">
        <f t="shared" si="452"/>
        <v>13.495000000000001</v>
      </c>
      <c r="BO413" s="104">
        <f>('Renewable Diesel'!P422*'Feedstock Conversion Rates'!B$4)/12</f>
        <v>31.25</v>
      </c>
      <c r="BP413" s="106">
        <f t="shared" si="446"/>
        <v>31.25</v>
      </c>
      <c r="BQ413" s="104">
        <f>('Renewable Diesel'!$S422*'RD Feedstock Breakdown'!BQ$3*'Feedstock Conversion Rates'!B$4)/12+10+15-15</f>
        <v>38.125</v>
      </c>
      <c r="BR413" s="104">
        <f>('Renewable Diesel'!$S422*'RD Feedstock Breakdown'!BR$3*'Feedstock Conversion Rates'!B$7)/12-10-15+15</f>
        <v>1.5</v>
      </c>
      <c r="BS413" s="106">
        <f t="shared" si="385"/>
        <v>39.625</v>
      </c>
      <c r="BT413" s="106"/>
      <c r="BU413" s="104">
        <f>('Renewable Diesel'!Y422*'Feedstock Conversion Rates'!B$7)/12</f>
        <v>2.6833333333333331</v>
      </c>
      <c r="BV413" s="106">
        <f t="shared" si="442"/>
        <v>2.6833333333333331</v>
      </c>
      <c r="BW413" s="104">
        <f>('Renewable Diesel'!$Z422*'RD Feedstock Breakdown'!BW$3*'Feedstock Conversion Rates'!$B$4)/12-250+180</f>
        <v>1.875</v>
      </c>
      <c r="BX413" s="104">
        <f>('Renewable Diesel'!$Z422*'RD Feedstock Breakdown'!BX$3*'Feedstock Conversion Rates'!$B$5)/12</f>
        <v>7.2354166666666666</v>
      </c>
      <c r="BY413" s="104">
        <f>('Renewable Diesel'!$Z422*'RD Feedstock Breakdown'!BY$3*'Feedstock Conversion Rates'!$B$7)/12</f>
        <v>61.716666666666661</v>
      </c>
      <c r="BZ413" s="104">
        <f>('Renewable Diesel'!$Z422*'RD Feedstock Breakdown'!BZ$3*'Feedstock Conversion Rates'!$B$3)/12+250-180</f>
        <v>85.35250000000002</v>
      </c>
      <c r="CA413" s="106">
        <f t="shared" si="392"/>
        <v>156.17958333333334</v>
      </c>
      <c r="CB413" s="104">
        <f>('Renewable Diesel'!AA422*'Feedstock Conversion Rates'!B$4)/12</f>
        <v>191.25</v>
      </c>
      <c r="CC413" s="106">
        <f t="shared" si="454"/>
        <v>191.25</v>
      </c>
      <c r="CD413" s="104">
        <f>('Renewable Diesel'!$AB422*'RD Feedstock Breakdown'!CD$3*'Feedstock Conversion Rates'!$B$6)/12-15-5</f>
        <v>12.830000000000005</v>
      </c>
      <c r="CE413" s="104">
        <f>('Renewable Diesel'!$AB422*'RD Feedstock Breakdown'!CE$3*'Feedstock Conversion Rates'!$B$4)/12+15+5</f>
        <v>31.25</v>
      </c>
      <c r="CF413" s="106">
        <f t="shared" si="450"/>
        <v>44.080000000000005</v>
      </c>
      <c r="CG413" s="104">
        <f>('Renewable Diesel'!AD422*'Feedstock Conversion Rates'!B$4)/12</f>
        <v>112.5</v>
      </c>
      <c r="CH413" s="106">
        <f t="shared" si="439"/>
        <v>112.5</v>
      </c>
      <c r="CI413" s="104">
        <f>('Renewable Diesel'!$AE422*'RD Feedstock Breakdown'!CI$3*'Feedstock Conversion Rates'!$B$5)/12</f>
        <v>0.34604166666666664</v>
      </c>
      <c r="CJ413" s="104">
        <f>('Renewable Diesel'!$AE422*'RD Feedstock Breakdown'!CJ$3*'Feedstock Conversion Rates'!$B$4)/12</f>
        <v>0.34375</v>
      </c>
      <c r="CK413" s="106">
        <f t="shared" si="447"/>
        <v>0.68979166666666658</v>
      </c>
      <c r="CL413" s="104">
        <f>(((CL$3*'Renewable Diesel'!$AF422)*'Feedstock Conversion Rates'!$B$3)/12)</f>
        <v>91.78125</v>
      </c>
      <c r="CM413" s="104">
        <f>(((CM$3*'Renewable Diesel'!$AF422)*'Feedstock Conversion Rates'!$B$6)/12)</f>
        <v>53.739583333333336</v>
      </c>
      <c r="CN413" s="104">
        <f>(((CN$3*'Renewable Diesel'!$AF422)*'Feedstock Conversion Rates'!$B$4)/12)</f>
        <v>42.96875</v>
      </c>
      <c r="CO413" s="106">
        <f t="shared" si="441"/>
        <v>188.48958333333334</v>
      </c>
      <c r="CP413" s="104">
        <f>('Renewable Diesel'!$AG422*'RD Feedstock Breakdown'!CP$3*'Feedstock Conversion Rates'!$B$3)/12</f>
        <v>6.0075000000000003</v>
      </c>
      <c r="CQ413" s="104">
        <f>('Renewable Diesel'!$AG422*'RD Feedstock Breakdown'!CQ$3*'Feedstock Conversion Rates'!$B$6)/12</f>
        <v>3.5175000000000001</v>
      </c>
      <c r="CR413" s="104">
        <f>('Renewable Diesel'!$AG422*'RD Feedstock Breakdown'!CR$3*'Feedstock Conversion Rates'!$B$4)/12</f>
        <v>2.8125</v>
      </c>
      <c r="CS413" s="106">
        <f t="shared" si="397"/>
        <v>12.3375</v>
      </c>
      <c r="CT413" s="104">
        <f>('Renewable Diesel'!AI422*'Feedstock Conversion Rates'!$B$4*'RD Feedstock Breakdown'!$CT$3)/12</f>
        <v>29.375</v>
      </c>
      <c r="CU413" s="106">
        <f t="shared" si="443"/>
        <v>29.375</v>
      </c>
      <c r="CV413" s="104">
        <f>('Renewable Diesel'!AN422*'Feedstock Conversion Rates'!$B$3*'RD Feedstock Breakdown'!$CV$3)/12</f>
        <v>0.50062499999999999</v>
      </c>
      <c r="CW413" s="106">
        <f t="shared" si="419"/>
        <v>0.50062499999999999</v>
      </c>
      <c r="CX413" s="104">
        <f>('Renewable Diesel'!AO422*'RD Feedstock Breakdown'!$CX$3*'Feedstock Conversion Rates'!$B$3)/12</f>
        <v>6.3412499999999996</v>
      </c>
      <c r="CY413" s="104">
        <f>('Renewable Diesel'!AO422*'RD Feedstock Breakdown'!$CY$3*'Feedstock Conversion Rates'!$B$6)/12</f>
        <v>7.4258333333333342</v>
      </c>
      <c r="CZ413" s="106">
        <f t="shared" si="398"/>
        <v>13.767083333333334</v>
      </c>
      <c r="DA413" s="104">
        <f>('Renewable Diesel'!$AP422*'RD Feedstock Breakdown'!DA$3*'Feedstock Conversion Rates'!$B$3)/12</f>
        <v>6.3412499999999996</v>
      </c>
      <c r="DB413" s="104">
        <f>('Renewable Diesel'!$AP422*'RD Feedstock Breakdown'!DB$3*'Feedstock Conversion Rates'!$B$8)/12</f>
        <v>7.421875</v>
      </c>
      <c r="DC413" s="106">
        <f t="shared" si="422"/>
        <v>13.763124999999999</v>
      </c>
      <c r="DD413" s="104">
        <f>('Renewable Diesel'!AQ422*$DD$3*'Feedstock Conversion Rates'!$B$14)/12</f>
        <v>3.1041666666666665</v>
      </c>
      <c r="DE413" s="106">
        <f t="shared" si="423"/>
        <v>3.1041666666666665</v>
      </c>
      <c r="DF413" s="104">
        <f>('Renewable Diesel'!AR422*'Feedstock Conversion Rates'!$B$4*$DF$3)/12</f>
        <v>75</v>
      </c>
      <c r="DG413" s="106">
        <f t="shared" si="399"/>
        <v>75</v>
      </c>
      <c r="DH413" s="104">
        <f>('Renewable Diesel'!AS422*'Feedstock Conversion Rates'!$B$4*$DH$3)/12</f>
        <v>75</v>
      </c>
      <c r="DI413" s="106">
        <f t="shared" si="411"/>
        <v>75</v>
      </c>
      <c r="DJ413" s="104">
        <f>('Renewable Diesel'!AT422*'Feedstock Conversion Rates'!$B$4*0.25)/12</f>
        <v>8.59375</v>
      </c>
      <c r="DK413" s="104">
        <f>('Renewable Diesel'!$AT422*'RD Feedstock Breakdown'!DK$3*'Feedstock Conversion Rates'!$B$3)/12*0.5</f>
        <v>9.1781249999999996</v>
      </c>
      <c r="DL413" s="104">
        <f>('Renewable Diesel'!$AT422*'RD Feedstock Breakdown'!$DL$3*'Feedstock Conversion Rates'!$B$6)/12</f>
        <v>10.747916666666669</v>
      </c>
      <c r="DM413" s="104">
        <f>('Renewable Diesel'!$AT422*'RD Feedstock Breakdown'!$DM$3*'Feedstock Conversion Rates'!$B$8)/12</f>
        <v>10.7421875</v>
      </c>
      <c r="DN413" s="106">
        <f t="shared" si="453"/>
        <v>39.26197916666667</v>
      </c>
      <c r="DP413" s="104">
        <f t="shared" si="426"/>
        <v>103.22025000000001</v>
      </c>
      <c r="DQ413" s="104">
        <f t="shared" si="427"/>
        <v>349.11776750000007</v>
      </c>
      <c r="DR413" s="104">
        <f t="shared" si="432"/>
        <v>1891.953125</v>
      </c>
      <c r="DS413" s="104">
        <f t="shared" si="444"/>
        <v>228.90125</v>
      </c>
      <c r="DT413" s="104">
        <f t="shared" si="428"/>
        <v>243.03923333333344</v>
      </c>
      <c r="DU413" s="104">
        <f t="shared" si="429"/>
        <v>402.90610000000009</v>
      </c>
      <c r="DV413" s="104">
        <f t="shared" si="433"/>
        <v>78.75</v>
      </c>
      <c r="DW413" s="104">
        <f t="shared" si="430"/>
        <v>3</v>
      </c>
      <c r="DX413" s="106">
        <f t="shared" si="434"/>
        <v>3300.8877258333337</v>
      </c>
      <c r="DY413" s="109">
        <f t="shared" si="421"/>
        <v>-5.631051180898794E-13</v>
      </c>
      <c r="EA413" s="110">
        <f t="shared" si="424"/>
        <v>3.1270451640078516E-2</v>
      </c>
      <c r="EB413" s="110">
        <f t="shared" si="424"/>
        <v>0.10576481131658687</v>
      </c>
      <c r="EC413" s="110">
        <f t="shared" si="424"/>
        <v>0.57316494293133291</v>
      </c>
      <c r="ED413" s="110">
        <f t="shared" si="424"/>
        <v>6.9345360706629972E-2</v>
      </c>
      <c r="EE413" s="110">
        <f t="shared" si="424"/>
        <v>7.3628445896921982E-2</v>
      </c>
      <c r="EF413" s="110">
        <f t="shared" si="424"/>
        <v>0.1220599225010852</v>
      </c>
      <c r="EG413" s="110">
        <f t="shared" si="384"/>
        <v>2.3857218585075921E-2</v>
      </c>
      <c r="EH413" s="111">
        <f t="shared" si="435"/>
        <v>9.0884642228860647E-4</v>
      </c>
      <c r="EI413" s="110">
        <f t="shared" si="409"/>
        <v>0.99909115357771139</v>
      </c>
      <c r="EK413" s="132">
        <f>(EA413*'Renewable Diesel'!BF422*'Feedstock Conversion Rates'!B$2)+FB413</f>
        <v>568.21494781335275</v>
      </c>
      <c r="EL413" s="132">
        <f>(EB413*'Renewable Diesel'!BF422*'Feedstock Conversion Rates'!B$3)+FC413</f>
        <v>1811.0618817143536</v>
      </c>
      <c r="EM413" s="132">
        <f>(EC413*'Renewable Diesel'!BF422*'Feedstock Conversion Rates'!B$4)+FD413</f>
        <v>9189.681455179445</v>
      </c>
      <c r="EN413" s="132">
        <f>(ED413*'Renewable Diesel'!BF422*'Feedstock Conversion Rates'!B$5)+FE413</f>
        <v>1119.2418430946468</v>
      </c>
      <c r="EO413" s="132">
        <f>(EE413*'Renewable Diesel'!BF422*'Feedstock Conversion Rates'!B$6)+FF413</f>
        <v>1476.4136336952952</v>
      </c>
      <c r="EP413" s="132">
        <f>(EF413*'Renewable Diesel'!BF422*'Feedstock Conversion Rates'!B$7)+FG413</f>
        <v>2400.6038156086502</v>
      </c>
      <c r="EQ413" s="132">
        <f>(EG413*'Renewable Diesel'!BF422*'Feedstock Conversion Rates'!B$8)+FH413</f>
        <v>478.13513785878115</v>
      </c>
      <c r="ER413" s="132">
        <f>(EH413*'Renewable Diesel'!BF422*'Feedstock Conversion Rates'!B$9)+FI413</f>
        <v>17.971809626184026</v>
      </c>
      <c r="ES413" s="132">
        <f t="shared" si="436"/>
        <v>17061.324524590709</v>
      </c>
      <c r="ET413" s="133">
        <f>ES413/'Renewable Diesel'!BF422</f>
        <v>17.18544652163693</v>
      </c>
      <c r="EW413" s="73">
        <f t="shared" si="386"/>
        <v>15830.381104320039</v>
      </c>
      <c r="EX413" s="73">
        <f t="shared" si="387"/>
        <v>10368.986332429688</v>
      </c>
      <c r="EY413" s="92">
        <f t="shared" si="410"/>
        <v>0.92785182542559952</v>
      </c>
      <c r="EZ413" s="92">
        <f t="shared" si="410"/>
        <v>0.60774802785591076</v>
      </c>
      <c r="FB413" s="102">
        <f>IF('Renewable Diesel'!$BG422&lt;1,0,(((('Renewable Diesel'!$BG422-1)*'Renewable Diesel'!$BF422)*'RD Feedstock Breakdown'!EA413)*'Feedstock Conversion Rates'!$B$2))</f>
        <v>304.33584268119273</v>
      </c>
      <c r="FC413" s="102">
        <f>IF('Renewable Diesel'!$BG422&lt;1,0,(((('Renewable Diesel'!$BG422-1)*'Renewable Diesel'!$BF422)*'RD Feedstock Breakdown'!EB413)*'Feedstock Conversion Rates'!$B$3))</f>
        <v>970.00447812994355</v>
      </c>
      <c r="FD413" s="102">
        <f>IF('Renewable Diesel'!$BG422&lt;1,0,(((('Renewable Diesel'!$BG422-1)*'Renewable Diesel'!$BF422)*'RD Feedstock Breakdown'!EC413)*'Feedstock Conversion Rates'!$B$4))</f>
        <v>4921.9920390979269</v>
      </c>
      <c r="FE413" s="102">
        <f>IF('Renewable Diesel'!$BG422&lt;1,0,(((('Renewable Diesel'!$BG422-1)*'Renewable Diesel'!$BF422)*'RD Feedstock Breakdown'!ED413)*'Feedstock Conversion Rates'!$B$5))</f>
        <v>599.46576694802002</v>
      </c>
      <c r="FF413" s="102">
        <f>IF('Renewable Diesel'!$BG422&lt;1,0,(((('Renewable Diesel'!$BG422-1)*'Renewable Diesel'!$BF422)*'RD Feedstock Breakdown'!EE413)*'Feedstock Conversion Rates'!$B$6))</f>
        <v>790.76692559002151</v>
      </c>
      <c r="FG413" s="102">
        <f>IF('Renewable Diesel'!$BG422&lt;1,0,(((('Renewable Diesel'!$BG422-1)*'Renewable Diesel'!$BF422)*'RD Feedstock Breakdown'!EF413)*'Feedstock Conversion Rates'!$B$7))</f>
        <v>1285.7630514270268</v>
      </c>
      <c r="FH413" s="102">
        <f>IF('Renewable Diesel'!$BG422&lt;1,0,(((('Renewable Diesel'!$BG422-1)*'Renewable Diesel'!$BF422)*'RD Feedstock Breakdown'!EG413)*'Feedstock Conversion Rates'!$B$8))</f>
        <v>256.08910968589788</v>
      </c>
      <c r="FI413" s="102">
        <f>IF('Renewable Diesel'!$BG422&lt;1,0,(((('Renewable Diesel'!$BG422-1)*'Renewable Diesel'!$BF422)*'RD Feedstock Breakdown'!EH413)*'Feedstock Conversion Rates'!$B$9))</f>
        <v>9.6256985989873982</v>
      </c>
      <c r="FJ413" s="102">
        <f t="shared" si="388"/>
        <v>9138.0429121590187</v>
      </c>
      <c r="GD413" s="91">
        <f>'Renewable Diesel'!BB422*0.32</f>
        <v>0</v>
      </c>
      <c r="GE413" s="91">
        <f>'Renewable Diesel'!BC422</f>
        <v>570.01234769929874</v>
      </c>
      <c r="GF413" s="91">
        <f>'Renewable Diesel'!BD422</f>
        <v>0</v>
      </c>
      <c r="GG413" s="91">
        <f t="shared" si="451"/>
        <v>570.01234769929874</v>
      </c>
      <c r="GH413" s="124">
        <v>1</v>
      </c>
      <c r="GI413" s="102">
        <f>$GG413*EA413*'Feedstock Conversion Rates'!$B$2</f>
        <v>151.50862020031761</v>
      </c>
      <c r="GJ413" s="102">
        <f>$GG413*EB413*'Feedstock Conversion Rates'!$B$3</f>
        <v>482.90085970435371</v>
      </c>
      <c r="GK413" s="102">
        <f>$GG413*EC413*'Feedstock Conversion Rates'!$B$4</f>
        <v>2450.3332105441773</v>
      </c>
      <c r="GL413" s="102">
        <f>$GG413*ED413*'Feedstock Conversion Rates'!$B$5</f>
        <v>298.43422453122844</v>
      </c>
      <c r="GM413" s="102">
        <f>$GG413*EE413*'Feedstock Conversion Rates'!$B$6</f>
        <v>393.67037658359675</v>
      </c>
      <c r="GN413" s="102">
        <f>$GG413*EF413*'Feedstock Conversion Rates'!$B$7</f>
        <v>640.09609946050989</v>
      </c>
      <c r="GO413" s="102">
        <f>$GG413*EG413*'Feedstock Conversion Rates'!$B$8</f>
        <v>127.48977351801064</v>
      </c>
      <c r="GP413" s="102">
        <f>$GG413*EH413*'Feedstock Conversion Rates'!B$9</f>
        <v>4.7919965665182405</v>
      </c>
      <c r="GQ413" s="102">
        <f t="shared" si="437"/>
        <v>4549.2251611087113</v>
      </c>
      <c r="GT413" s="103">
        <f t="shared" si="418"/>
        <v>3.3304269372191886E-2</v>
      </c>
      <c r="GU413" s="103">
        <f t="shared" si="416"/>
        <v>0.10615013383656388</v>
      </c>
      <c r="GV413" s="103">
        <f t="shared" si="416"/>
        <v>0.53862649654979822</v>
      </c>
      <c r="GW413" s="103">
        <f t="shared" si="416"/>
        <v>6.5601110950176747E-2</v>
      </c>
      <c r="GX413" s="103">
        <f t="shared" si="416"/>
        <v>8.6535698419388296E-2</v>
      </c>
      <c r="GY413" s="103">
        <f t="shared" si="416"/>
        <v>0.14070442257566981</v>
      </c>
      <c r="GZ413" s="103">
        <f t="shared" si="416"/>
        <v>2.8024502855545516E-2</v>
      </c>
      <c r="HA413" s="103">
        <f t="shared" si="416"/>
        <v>1.0533654406655836E-3</v>
      </c>
    </row>
    <row r="414" spans="1:209" x14ac:dyDescent="0.25">
      <c r="A414" s="96">
        <v>53022</v>
      </c>
      <c r="B414" s="104">
        <f t="shared" si="406"/>
        <v>44.25</v>
      </c>
      <c r="C414" s="104">
        <f t="shared" si="396"/>
        <v>49</v>
      </c>
      <c r="D414" s="104">
        <f t="shared" si="407"/>
        <v>2</v>
      </c>
      <c r="E414" s="104">
        <f>('Renewable Diesel'!B423*E$3*'Feedstock Conversion Rates'!$B$2)/12+26+13-100+27.5+39</f>
        <v>95.43</v>
      </c>
      <c r="F414" s="104">
        <f>('Renewable Diesel'!B423*'RD Feedstock Breakdown'!F$3*'Feedstock Conversion Rates'!B$8)/12+77+23-10-12-115.75+24+8</f>
        <v>48.15625</v>
      </c>
      <c r="G414" s="104">
        <f>('Renewable Diesel'!B423*'RD Feedstock Breakdown'!G$3*'Feedstock Conversion Rates'!B$7)/12+116.75-39-57.5-145-31.5+32+70-40+10+60</f>
        <v>151.90700000000004</v>
      </c>
      <c r="H414" s="104">
        <f>('Renewable Diesel'!B423*'RD Feedstock Breakdown'!H$3*'Feedstock Conversion Rates'!B$3)/12+67+10+12+3-235+20+47-20+25</f>
        <v>105.40022499999998</v>
      </c>
      <c r="I414" s="106">
        <f t="shared" si="449"/>
        <v>496.14347500000002</v>
      </c>
      <c r="J414" s="104">
        <f t="shared" si="417"/>
        <v>4</v>
      </c>
      <c r="K414" s="104"/>
      <c r="L414" s="104">
        <v>1</v>
      </c>
      <c r="M414" s="104">
        <f>('Renewable Diesel'!C423*'RD Feedstock Breakdown'!M$3*'Feedstock Conversion Rates'!B$2)/12</f>
        <v>7.7902500000000003</v>
      </c>
      <c r="N414" s="104">
        <f>('Renewable Diesel'!C423*'RD Feedstock Breakdown'!N$3*'Feedstock Conversion Rates'!B$8)/12</f>
        <v>3.671875</v>
      </c>
      <c r="O414" s="104">
        <f>('Renewable Diesel'!C423*'RD Feedstock Breakdown'!O$3*'Feedstock Conversion Rates'!B$7)/12</f>
        <v>11.9991</v>
      </c>
      <c r="P414" s="104">
        <f>('Renewable Diesel'!C423*'RD Feedstock Breakdown'!P$3*'Feedstock Conversion Rates'!B$3)/12</f>
        <v>10.4470425</v>
      </c>
      <c r="Q414" s="106">
        <f t="shared" si="379"/>
        <v>38.908267500000001</v>
      </c>
      <c r="R414" s="104">
        <f>('Renewable Diesel'!D423*'RD Feedstock Breakdown'!R$3*'Feedstock Conversion Rates'!B$7)/12</f>
        <v>2.2999999999999998</v>
      </c>
      <c r="S414" s="106">
        <f t="shared" si="414"/>
        <v>2.2999999999999998</v>
      </c>
      <c r="T414" s="104">
        <f t="shared" si="380"/>
        <v>0.82499999999999929</v>
      </c>
      <c r="U414" s="104"/>
      <c r="V414" s="104">
        <f>('Renewable Diesel'!E423*'RD Feedstock Breakdown'!V$3*'Feedstock Conversion Rates'!B$6)/12-20+25</f>
        <v>49.250150000000012</v>
      </c>
      <c r="W414" s="104">
        <f>('Renewable Diesel'!E423*'RD Feedstock Breakdown'!W$3*'Feedstock Conversion Rates'!B$8)/12-6</f>
        <v>16.1796875</v>
      </c>
      <c r="X414" s="106">
        <f t="shared" si="438"/>
        <v>66.254837500000008</v>
      </c>
      <c r="Y414" s="104">
        <f t="shared" si="381"/>
        <v>98</v>
      </c>
      <c r="Z414" s="104">
        <f>('Renewable Diesel'!F423*'RD Feedstock Breakdown'!Z$3*'Feedstock Conversion Rates'!B$6)/12-142+15+5+20+5+15</f>
        <v>77.460000000000008</v>
      </c>
      <c r="AA414" s="104">
        <f>('Renewable Diesel'!F423*'RD Feedstock Breakdown'!AA$3*'Feedstock Conversion Rates'!B$7)/12+24</f>
        <v>128.26666666666665</v>
      </c>
      <c r="AB414" s="106">
        <f t="shared" si="400"/>
        <v>303.72666666666669</v>
      </c>
      <c r="AC414" s="104">
        <f>('Renewable Diesel'!G423*'RD Feedstock Breakdown'!AC$3*'Feedstock Conversion Rates'!B$5)/12</f>
        <v>11.796875</v>
      </c>
      <c r="AD414" s="104">
        <f>('Renewable Diesel'!G423*'RD Feedstock Breakdown'!AD$3*'Feedstock Conversion Rates'!B$4)/12</f>
        <v>5.859375</v>
      </c>
      <c r="AE414" s="104">
        <f>('Renewable Diesel'!G423*'RD Feedstock Breakdown'!AE$3*'Feedstock Conversion Rates'!B$6)/12</f>
        <v>7.3281250000000009</v>
      </c>
      <c r="AF414" s="106">
        <f t="shared" si="445"/>
        <v>24.984375</v>
      </c>
      <c r="AG414" s="104">
        <f t="shared" si="383"/>
        <v>148</v>
      </c>
      <c r="AH414" s="104"/>
      <c r="AI414" s="104">
        <f>('Renewable Diesel'!H423*'RD Feedstock Breakdown'!AI$3*'Feedstock Conversion Rates'!B$6)/12-130-20+51-49</f>
        <v>0.51666666666667993</v>
      </c>
      <c r="AJ414" s="106">
        <f t="shared" si="413"/>
        <v>148.51666666666668</v>
      </c>
      <c r="AK414" s="104">
        <f>('Renewable Diesel'!J423*'RD Feedstock Breakdown'!AK$3*'Feedstock Conversion Rates'!B$4)/12</f>
        <v>95.8125</v>
      </c>
      <c r="AL414" s="106">
        <f t="shared" si="415"/>
        <v>95.8125</v>
      </c>
      <c r="AM414" s="104">
        <f>('Renewable Diesel'!K423*'RD Feedstock Breakdown'!AM$3*'Feedstock Conversion Rates'!B$4)/12+5+15-10+10</f>
        <v>78.59375</v>
      </c>
      <c r="AN414" s="104">
        <f>('Renewable Diesel'!K423*'RD Feedstock Breakdown'!AN$3*'Feedstock Conversion Rates'!B$6)/12-5-15+10-10</f>
        <v>4.4270833333333321</v>
      </c>
      <c r="AO414" s="106">
        <f t="shared" si="431"/>
        <v>83.020833333333329</v>
      </c>
      <c r="AP414" s="104">
        <f>('Renewable Diesel'!L423*'RD Feedstock Breakdown'!AP$3*'Feedstock Conversion Rates'!B$4)/12+15-10+15</f>
        <v>78.59375</v>
      </c>
      <c r="AQ414" s="104">
        <f>('Renewable Diesel'!L423*'RD Feedstock Breakdown'!AQ$3*'Feedstock Conversion Rates'!B$6)/12-15+10-15</f>
        <v>4.4270833333333321</v>
      </c>
      <c r="AR414" s="106">
        <f t="shared" si="420"/>
        <v>83.020833333333329</v>
      </c>
      <c r="AS414" s="104">
        <f>('Renewable Diesel'!M423*'RD Feedstock Breakdown'!AS$3*'Feedstock Conversion Rates'!B$4)/12</f>
        <v>456.25</v>
      </c>
      <c r="AT414" s="104">
        <f>('Renewable Diesel'!M423*'RD Feedstock Breakdown'!AT$3*'Feedstock Conversion Rates'!B$5)/12</f>
        <v>0</v>
      </c>
      <c r="AU414" s="106">
        <f t="shared" si="448"/>
        <v>456.25</v>
      </c>
      <c r="AV414" s="104">
        <f>'Renewable Diesel'!N423*'RD Feedstock Breakdown'!$AV$3*'Feedstock Conversion Rates'!$B$4/12-15-10+25+25-22+25</f>
        <v>106.74999999999999</v>
      </c>
      <c r="AW414" s="104">
        <f>'Renewable Diesel'!N423*'RD Feedstock Breakdown'!$AW$3*'Feedstock Conversion Rates'!$B$7/12+15+10-25-25+22-25</f>
        <v>13.400000000000006</v>
      </c>
      <c r="AX414" s="106">
        <f t="shared" si="408"/>
        <v>120.14999999999999</v>
      </c>
      <c r="AY414" s="104">
        <f>('Renewable Diesel'!O423*'RD Feedstock Breakdown'!AY$3*'Feedstock Conversion Rates'!B$4)/12</f>
        <v>210.9375</v>
      </c>
      <c r="AZ414" s="104">
        <f>('Renewable Diesel'!O423*'RD Feedstock Breakdown'!AZ$3*'Feedstock Conversion Rates'!B$3)/12</f>
        <v>25.03125</v>
      </c>
      <c r="BA414" s="106">
        <f t="shared" si="382"/>
        <v>235.96875</v>
      </c>
      <c r="BB414" s="104">
        <f>('Renewable Diesel'!Q423*'RD Feedstock Breakdown'!BB$3*'Feedstock Conversion Rates'!B$4)/12</f>
        <v>11.156249999999998</v>
      </c>
      <c r="BC414" s="104">
        <f>('Renewable Diesel'!Q423*'RD Feedstock Breakdown'!BC$3*'Feedstock Conversion Rates'!B$3)/12</f>
        <v>1.4017500000000001</v>
      </c>
      <c r="BD414" s="104">
        <f>('Renewable Diesel'!Q423*'RD Feedstock Breakdown'!BD$3*'Feedstock Conversion Rates'!B$6)/12</f>
        <v>0.8207500000000002</v>
      </c>
      <c r="BE414" s="106">
        <f t="shared" si="440"/>
        <v>13.378749999999998</v>
      </c>
      <c r="BF414" s="104">
        <f>('Renewable Diesel'!R423*'RD Feedstock Breakdown'!BF$3*'Feedstock Conversion Rates'!B$4)/12</f>
        <v>62.5</v>
      </c>
      <c r="BG414" s="106">
        <f t="shared" si="425"/>
        <v>62.5</v>
      </c>
      <c r="BH414" s="104">
        <f>('Renewable Diesel'!T423*'RD Feedstock Breakdown'!BH$3*'Feedstock Conversion Rates'!B$7)/12</f>
        <v>27.599999999999998</v>
      </c>
      <c r="BI414" s="106">
        <f t="shared" si="412"/>
        <v>27.599999999999998</v>
      </c>
      <c r="BJ414" s="104">
        <f>('Renewable Diesel'!W423*'RD Feedstock Breakdown'!BJ$3*'Feedstock Conversion Rates'!B$4)/12</f>
        <v>7.5</v>
      </c>
      <c r="BK414" s="104">
        <f>('Renewable Diesel'!W423*'RD Feedstock Breakdown'!BK$3*'Feedstock Conversion Rates'!B$3)/12</f>
        <v>1.335</v>
      </c>
      <c r="BL414" s="104">
        <f>('Renewable Diesel'!W423*'RD Feedstock Breakdown'!BL$3*'Feedstock Conversion Rates'!B$6)/12</f>
        <v>3.1266666666666669</v>
      </c>
      <c r="BM414" s="104">
        <f>('Renewable Diesel'!W423*'RD Feedstock Breakdown'!BM$3*'Feedstock Conversion Rates'!B$7)/12</f>
        <v>1.5333333333333332</v>
      </c>
      <c r="BN414" s="106">
        <f t="shared" si="452"/>
        <v>13.495000000000001</v>
      </c>
      <c r="BO414" s="104">
        <f>('Renewable Diesel'!P423*'Feedstock Conversion Rates'!B$4)/12</f>
        <v>31.25</v>
      </c>
      <c r="BP414" s="106">
        <f t="shared" si="446"/>
        <v>31.25</v>
      </c>
      <c r="BQ414" s="104">
        <f>('Renewable Diesel'!$S423*'RD Feedstock Breakdown'!BQ$3*'Feedstock Conversion Rates'!B$4)/12+10+15-15</f>
        <v>38.125</v>
      </c>
      <c r="BR414" s="104">
        <f>('Renewable Diesel'!$S423*'RD Feedstock Breakdown'!BR$3*'Feedstock Conversion Rates'!B$7)/12-10-15+15</f>
        <v>1.5</v>
      </c>
      <c r="BS414" s="106">
        <f t="shared" si="385"/>
        <v>39.625</v>
      </c>
      <c r="BT414" s="106"/>
      <c r="BU414" s="104">
        <f>('Renewable Diesel'!Y423*'Feedstock Conversion Rates'!B$7)/12</f>
        <v>2.6833333333333331</v>
      </c>
      <c r="BV414" s="106">
        <f t="shared" si="442"/>
        <v>2.6833333333333331</v>
      </c>
      <c r="BW414" s="104">
        <f>('Renewable Diesel'!$Z423*'RD Feedstock Breakdown'!BW$3*'Feedstock Conversion Rates'!$B$4)/12-250+180</f>
        <v>1.875</v>
      </c>
      <c r="BX414" s="104">
        <f>('Renewable Diesel'!$Z423*'RD Feedstock Breakdown'!BX$3*'Feedstock Conversion Rates'!$B$5)/12</f>
        <v>7.2354166666666666</v>
      </c>
      <c r="BY414" s="104">
        <f>('Renewable Diesel'!$Z423*'RD Feedstock Breakdown'!BY$3*'Feedstock Conversion Rates'!$B$7)/12</f>
        <v>61.716666666666661</v>
      </c>
      <c r="BZ414" s="104">
        <f>('Renewable Diesel'!$Z423*'RD Feedstock Breakdown'!BZ$3*'Feedstock Conversion Rates'!$B$3)/12+250-180</f>
        <v>85.35250000000002</v>
      </c>
      <c r="CA414" s="106">
        <f t="shared" si="392"/>
        <v>156.17958333333334</v>
      </c>
      <c r="CB414" s="104">
        <f>('Renewable Diesel'!AA423*'Feedstock Conversion Rates'!B$4)/12</f>
        <v>191.25</v>
      </c>
      <c r="CC414" s="106">
        <f t="shared" si="454"/>
        <v>191.25</v>
      </c>
      <c r="CD414" s="104">
        <f>('Renewable Diesel'!$AB423*'RD Feedstock Breakdown'!CD$3*'Feedstock Conversion Rates'!$B$6)/12-15-5</f>
        <v>12.830000000000005</v>
      </c>
      <c r="CE414" s="104">
        <f>('Renewable Diesel'!$AB423*'RD Feedstock Breakdown'!CE$3*'Feedstock Conversion Rates'!$B$4)/12+15+5</f>
        <v>31.25</v>
      </c>
      <c r="CF414" s="106">
        <f t="shared" si="450"/>
        <v>44.080000000000005</v>
      </c>
      <c r="CG414" s="104">
        <f>('Renewable Diesel'!AD423*'Feedstock Conversion Rates'!B$4)/12</f>
        <v>112.5</v>
      </c>
      <c r="CH414" s="106">
        <f t="shared" si="439"/>
        <v>112.5</v>
      </c>
      <c r="CI414" s="104">
        <f>('Renewable Diesel'!$AE423*'RD Feedstock Breakdown'!CI$3*'Feedstock Conversion Rates'!$B$5)/12</f>
        <v>0.34604166666666664</v>
      </c>
      <c r="CJ414" s="104">
        <f>('Renewable Diesel'!$AE423*'RD Feedstock Breakdown'!CJ$3*'Feedstock Conversion Rates'!$B$4)/12</f>
        <v>0.34375</v>
      </c>
      <c r="CK414" s="106">
        <f t="shared" si="447"/>
        <v>0.68979166666666658</v>
      </c>
      <c r="CL414" s="104">
        <f>(((CL$3*'Renewable Diesel'!$AF423)*'Feedstock Conversion Rates'!$B$3)/12)</f>
        <v>91.78125</v>
      </c>
      <c r="CM414" s="104">
        <f>(((CM$3*'Renewable Diesel'!$AF423)*'Feedstock Conversion Rates'!$B$6)/12)</f>
        <v>53.739583333333336</v>
      </c>
      <c r="CN414" s="104">
        <f>(((CN$3*'Renewable Diesel'!$AF423)*'Feedstock Conversion Rates'!$B$4)/12)</f>
        <v>42.96875</v>
      </c>
      <c r="CO414" s="106">
        <f t="shared" si="441"/>
        <v>188.48958333333334</v>
      </c>
      <c r="CP414" s="104">
        <f>('Renewable Diesel'!$AG423*'RD Feedstock Breakdown'!CP$3*'Feedstock Conversion Rates'!$B$3)/12</f>
        <v>6.0075000000000003</v>
      </c>
      <c r="CQ414" s="104">
        <f>('Renewable Diesel'!$AG423*'RD Feedstock Breakdown'!CQ$3*'Feedstock Conversion Rates'!$B$6)/12</f>
        <v>3.5175000000000001</v>
      </c>
      <c r="CR414" s="104">
        <f>('Renewable Diesel'!$AG423*'RD Feedstock Breakdown'!CR$3*'Feedstock Conversion Rates'!$B$4)/12</f>
        <v>2.8125</v>
      </c>
      <c r="CS414" s="106">
        <f t="shared" si="397"/>
        <v>12.3375</v>
      </c>
      <c r="CT414" s="104">
        <f>('Renewable Diesel'!AI423*'Feedstock Conversion Rates'!$B$4*'RD Feedstock Breakdown'!$CT$3)/12</f>
        <v>29.375</v>
      </c>
      <c r="CU414" s="106">
        <f t="shared" si="443"/>
        <v>29.375</v>
      </c>
      <c r="CV414" s="104">
        <f>('Renewable Diesel'!AN423*'Feedstock Conversion Rates'!$B$3*'RD Feedstock Breakdown'!$CV$3)/12</f>
        <v>0.50062499999999999</v>
      </c>
      <c r="CW414" s="106">
        <f t="shared" si="419"/>
        <v>0.50062499999999999</v>
      </c>
      <c r="CX414" s="104">
        <f>('Renewable Diesel'!AO423*'RD Feedstock Breakdown'!$CX$3*'Feedstock Conversion Rates'!$B$3)/12</f>
        <v>6.3412499999999996</v>
      </c>
      <c r="CY414" s="104">
        <f>('Renewable Diesel'!AO423*'RD Feedstock Breakdown'!$CY$3*'Feedstock Conversion Rates'!$B$6)/12</f>
        <v>7.4258333333333342</v>
      </c>
      <c r="CZ414" s="106">
        <f t="shared" si="398"/>
        <v>13.767083333333334</v>
      </c>
      <c r="DA414" s="104">
        <f>('Renewable Diesel'!$AP423*'RD Feedstock Breakdown'!DA$3*'Feedstock Conversion Rates'!$B$3)/12</f>
        <v>6.3412499999999996</v>
      </c>
      <c r="DB414" s="104">
        <f>('Renewable Diesel'!$AP423*'RD Feedstock Breakdown'!DB$3*'Feedstock Conversion Rates'!$B$8)/12</f>
        <v>7.421875</v>
      </c>
      <c r="DC414" s="106">
        <f t="shared" si="422"/>
        <v>13.763124999999999</v>
      </c>
      <c r="DD414" s="104">
        <f>('Renewable Diesel'!AQ423*$DD$3*'Feedstock Conversion Rates'!$B$14)/12</f>
        <v>3.1041666666666665</v>
      </c>
      <c r="DE414" s="106">
        <f t="shared" si="423"/>
        <v>3.1041666666666665</v>
      </c>
      <c r="DF414" s="104">
        <f>('Renewable Diesel'!AR423*'Feedstock Conversion Rates'!$B$4*$DF$3)/12</f>
        <v>75</v>
      </c>
      <c r="DG414" s="106">
        <f t="shared" si="399"/>
        <v>75</v>
      </c>
      <c r="DH414" s="104">
        <f>('Renewable Diesel'!AS423*'Feedstock Conversion Rates'!$B$4*$DH$3)/12</f>
        <v>75</v>
      </c>
      <c r="DI414" s="106">
        <f t="shared" si="411"/>
        <v>75</v>
      </c>
      <c r="DJ414" s="104">
        <f>('Renewable Diesel'!AT423*'Feedstock Conversion Rates'!$B$4*0.25)/12</f>
        <v>8.59375</v>
      </c>
      <c r="DK414" s="104">
        <f>('Renewable Diesel'!$AT423*'RD Feedstock Breakdown'!DK$3*'Feedstock Conversion Rates'!$B$3)/12*0.5</f>
        <v>9.1781249999999996</v>
      </c>
      <c r="DL414" s="104">
        <f>('Renewable Diesel'!$AT423*'RD Feedstock Breakdown'!$DL$3*'Feedstock Conversion Rates'!$B$6)/12</f>
        <v>10.747916666666669</v>
      </c>
      <c r="DM414" s="104">
        <f>('Renewable Diesel'!$AT423*'RD Feedstock Breakdown'!$DM$3*'Feedstock Conversion Rates'!$B$8)/12</f>
        <v>10.7421875</v>
      </c>
      <c r="DN414" s="106">
        <f t="shared" si="453"/>
        <v>39.26197916666667</v>
      </c>
      <c r="DP414" s="104">
        <f t="shared" si="426"/>
        <v>103.22025000000001</v>
      </c>
      <c r="DQ414" s="104">
        <f t="shared" si="427"/>
        <v>349.11776750000007</v>
      </c>
      <c r="DR414" s="104">
        <f t="shared" si="432"/>
        <v>1891.953125</v>
      </c>
      <c r="DS414" s="104">
        <f t="shared" si="444"/>
        <v>228.90125</v>
      </c>
      <c r="DT414" s="104">
        <f t="shared" si="428"/>
        <v>243.03923333333344</v>
      </c>
      <c r="DU414" s="104">
        <f t="shared" si="429"/>
        <v>402.90610000000009</v>
      </c>
      <c r="DV414" s="104">
        <f t="shared" si="433"/>
        <v>78.75</v>
      </c>
      <c r="DW414" s="104">
        <f t="shared" si="430"/>
        <v>3</v>
      </c>
      <c r="DX414" s="106">
        <f t="shared" si="434"/>
        <v>3300.8877258333337</v>
      </c>
      <c r="DY414" s="109">
        <f t="shared" si="421"/>
        <v>-5.631051180898794E-13</v>
      </c>
      <c r="EA414" s="110">
        <f t="shared" si="424"/>
        <v>3.1270451640078516E-2</v>
      </c>
      <c r="EB414" s="110">
        <f t="shared" si="424"/>
        <v>0.10576481131658687</v>
      </c>
      <c r="EC414" s="110">
        <f t="shared" si="424"/>
        <v>0.57316494293133291</v>
      </c>
      <c r="ED414" s="110">
        <f t="shared" si="424"/>
        <v>6.9345360706629972E-2</v>
      </c>
      <c r="EE414" s="110">
        <f t="shared" si="424"/>
        <v>7.3628445896921982E-2</v>
      </c>
      <c r="EF414" s="110">
        <f t="shared" si="424"/>
        <v>0.1220599225010852</v>
      </c>
      <c r="EG414" s="110">
        <f t="shared" si="384"/>
        <v>2.3857218585075921E-2</v>
      </c>
      <c r="EH414" s="111">
        <f t="shared" si="435"/>
        <v>9.0884642228860647E-4</v>
      </c>
      <c r="EI414" s="110">
        <f t="shared" si="409"/>
        <v>0.99909115357771139</v>
      </c>
      <c r="EK414" s="132">
        <f>(EA414*'Renewable Diesel'!BF423*'Feedstock Conversion Rates'!B$2)+FB414</f>
        <v>288.91543859455044</v>
      </c>
      <c r="EL414" s="132">
        <f>(EB414*'Renewable Diesel'!BF423*'Feedstock Conversion Rates'!B$3)+FC414</f>
        <v>920.85528529469343</v>
      </c>
      <c r="EM414" s="132">
        <f>(EC414*'Renewable Diesel'!BF423*'Feedstock Conversion Rates'!B$4)+FD414</f>
        <v>4672.5994421384075</v>
      </c>
      <c r="EN414" s="132">
        <f>(ED414*'Renewable Diesel'!BF423*'Feedstock Conversion Rates'!B$5)+FE414</f>
        <v>569.09141379589744</v>
      </c>
      <c r="EO414" s="132">
        <f>(EE414*'Renewable Diesel'!BF423*'Feedstock Conversion Rates'!B$6)+FF414</f>
        <v>750.69952694409972</v>
      </c>
      <c r="EP414" s="132">
        <f>(EF414*'Renewable Diesel'!BF423*'Feedstock Conversion Rates'!B$7)+FG414</f>
        <v>1220.6146757444137</v>
      </c>
      <c r="EQ414" s="132">
        <f>(EG414*'Renewable Diesel'!BF423*'Feedstock Conversion Rates'!B$8)+FH414</f>
        <v>243.11332110064808</v>
      </c>
      <c r="ER414" s="132">
        <f>(EH414*'Renewable Diesel'!BF423*'Feedstock Conversion Rates'!B$9)+FI414</f>
        <v>9.1379737201005486</v>
      </c>
      <c r="ES414" s="132">
        <f t="shared" si="436"/>
        <v>8675.0270773328084</v>
      </c>
      <c r="ET414" s="133">
        <f>ES414/'Renewable Diesel'!BF423</f>
        <v>12.894119758711811</v>
      </c>
      <c r="EW414" s="73">
        <f t="shared" si="386"/>
        <v>7238.9930650777915</v>
      </c>
      <c r="EX414" s="73">
        <f t="shared" si="387"/>
        <v>4741.5801083816677</v>
      </c>
      <c r="EY414" s="92">
        <f t="shared" si="410"/>
        <v>0.83446345475885997</v>
      </c>
      <c r="EZ414" s="92">
        <f t="shared" si="410"/>
        <v>0.54657813354508822</v>
      </c>
      <c r="FB414" s="102">
        <f>IF('Renewable Diesel'!$BG423&lt;1,0,(((('Renewable Diesel'!$BG423-1)*'Renewable Diesel'!$BF423)*'RD Feedstock Breakdown'!EA414)*'Feedstock Conversion Rates'!$B$2))</f>
        <v>110.08879760759919</v>
      </c>
      <c r="FC414" s="102">
        <f>IF('Renewable Diesel'!$BG423&lt;1,0,(((('Renewable Diesel'!$BG423-1)*'Renewable Diesel'!$BF423)*'RD Feedstock Breakdown'!EB414)*'Feedstock Conversion Rates'!$B$3))</f>
        <v>350.88416050677495</v>
      </c>
      <c r="FD414" s="102">
        <f>IF('Renewable Diesel'!$BG423&lt;1,0,(((('Renewable Diesel'!$BG423-1)*'Renewable Diesel'!$BF423)*'RD Feedstock Breakdown'!EC414)*'Feedstock Conversion Rates'!$B$4))</f>
        <v>1780.4547129405591</v>
      </c>
      <c r="FE414" s="102">
        <f>IF('Renewable Diesel'!$BG423&lt;1,0,(((('Renewable Diesel'!$BG423-1)*'Renewable Diesel'!$BF423)*'RD Feedstock Breakdown'!ED414)*'Feedstock Conversion Rates'!$B$5))</f>
        <v>216.84749620292789</v>
      </c>
      <c r="FF414" s="102">
        <f>IF('Renewable Diesel'!$BG423&lt;1,0,(((('Renewable Diesel'!$BG423-1)*'Renewable Diesel'!$BF423)*'RD Feedstock Breakdown'!EE414)*'Feedstock Conversion Rates'!$B$6))</f>
        <v>286.04774008580193</v>
      </c>
      <c r="FG414" s="102">
        <f>IF('Renewable Diesel'!$BG423&lt;1,0,(((('Renewable Diesel'!$BG423-1)*'Renewable Diesel'!$BF423)*'RD Feedstock Breakdown'!EF414)*'Feedstock Conversion Rates'!$B$7))</f>
        <v>465.10495475275957</v>
      </c>
      <c r="FH414" s="102">
        <f>IF('Renewable Diesel'!$BG423&lt;1,0,(((('Renewable Diesel'!$BG423-1)*'Renewable Diesel'!$BF423)*'RD Feedstock Breakdown'!EG414)*'Feedstock Conversion Rates'!$B$8))</f>
        <v>92.636286010038589</v>
      </c>
      <c r="FI414" s="102">
        <f>IF('Renewable Diesel'!$BG423&lt;1,0,(((('Renewable Diesel'!$BG423-1)*'Renewable Diesel'!$BF423)*'RD Feedstock Breakdown'!EH414)*'Feedstock Conversion Rates'!$B$9))</f>
        <v>3.4819480201868469</v>
      </c>
      <c r="FJ414" s="102">
        <f t="shared" si="388"/>
        <v>3305.5460961266481</v>
      </c>
      <c r="GD414" s="91">
        <f>'Renewable Diesel'!BB423*0.32</f>
        <v>0</v>
      </c>
      <c r="GE414" s="91">
        <f>'Renewable Diesel'!BC423</f>
        <v>227.5082933043544</v>
      </c>
      <c r="GF414" s="91">
        <f>'Renewable Diesel'!BD423</f>
        <v>0</v>
      </c>
      <c r="GG414" s="91">
        <f t="shared" si="451"/>
        <v>227.5082933043544</v>
      </c>
      <c r="GH414" s="124">
        <v>1</v>
      </c>
      <c r="GI414" s="102">
        <f>$GG414*EA414*'Feedstock Conversion Rates'!$B$2</f>
        <v>60.471440209670206</v>
      </c>
      <c r="GJ414" s="102">
        <f>$GG414*EB414*'Feedstock Conversion Rates'!$B$3</f>
        <v>192.73959743149291</v>
      </c>
      <c r="GK414" s="102">
        <f>$GG414*EC414*'Feedstock Conversion Rates'!$B$4</f>
        <v>977.99833461146432</v>
      </c>
      <c r="GL414" s="102">
        <f>$GG414*ED414*'Feedstock Conversion Rates'!$B$5</f>
        <v>119.11366720519869</v>
      </c>
      <c r="GM414" s="102">
        <f>$GG414*EE414*'Feedstock Conversion Rates'!$B$6</f>
        <v>157.12514976651752</v>
      </c>
      <c r="GN414" s="102">
        <f>$GG414*EF414*'Feedstock Conversion Rates'!$B$7</f>
        <v>255.48073077156965</v>
      </c>
      <c r="GO414" s="102">
        <f>$GG414*EG414*'Feedstock Conversion Rates'!$B$8</f>
        <v>50.884828905745763</v>
      </c>
      <c r="GP414" s="102">
        <f>$GG414*EH414*'Feedstock Conversion Rates'!B$9</f>
        <v>1.9126234102985071</v>
      </c>
      <c r="GQ414" s="102">
        <f t="shared" si="437"/>
        <v>1815.7263723119574</v>
      </c>
      <c r="GT414" s="103">
        <f t="shared" si="418"/>
        <v>3.3304269372191893E-2</v>
      </c>
      <c r="GU414" s="103">
        <f t="shared" si="416"/>
        <v>0.10615013383656391</v>
      </c>
      <c r="GV414" s="103">
        <f t="shared" si="416"/>
        <v>0.53862649654979833</v>
      </c>
      <c r="GW414" s="103">
        <f t="shared" si="416"/>
        <v>6.5601110950176789E-2</v>
      </c>
      <c r="GX414" s="103">
        <f t="shared" si="416"/>
        <v>8.6535698419388324E-2</v>
      </c>
      <c r="GY414" s="103">
        <f t="shared" si="416"/>
        <v>0.14070442257566984</v>
      </c>
      <c r="GZ414" s="103">
        <f t="shared" si="416"/>
        <v>2.802450285554553E-2</v>
      </c>
      <c r="HA414" s="103">
        <f t="shared" si="416"/>
        <v>1.0533654406655842E-3</v>
      </c>
    </row>
    <row r="415" spans="1:209" x14ac:dyDescent="0.25">
      <c r="A415" s="96">
        <v>53053</v>
      </c>
      <c r="B415" s="104">
        <f t="shared" si="406"/>
        <v>44.25</v>
      </c>
      <c r="C415" s="104">
        <f t="shared" si="396"/>
        <v>49</v>
      </c>
      <c r="D415" s="104">
        <f t="shared" si="407"/>
        <v>2</v>
      </c>
      <c r="E415" s="104">
        <f>('Renewable Diesel'!B424*E$3*'Feedstock Conversion Rates'!$B$2)/12+26+13-100+27.5+39</f>
        <v>95.43</v>
      </c>
      <c r="F415" s="104">
        <f>('Renewable Diesel'!B424*'RD Feedstock Breakdown'!F$3*'Feedstock Conversion Rates'!B$8)/12+77+23-10-12-115.75+24+8</f>
        <v>48.15625</v>
      </c>
      <c r="G415" s="104">
        <f>('Renewable Diesel'!B424*'RD Feedstock Breakdown'!G$3*'Feedstock Conversion Rates'!B$7)/12+116.75-39-57.5-145-31.5+32+70-40+10+60</f>
        <v>151.90700000000004</v>
      </c>
      <c r="H415" s="104">
        <f>('Renewable Diesel'!B424*'RD Feedstock Breakdown'!H$3*'Feedstock Conversion Rates'!B$3)/12+67+10+12+3-235+20+47-20+25</f>
        <v>105.40022499999998</v>
      </c>
      <c r="I415" s="106">
        <f t="shared" si="449"/>
        <v>496.14347500000002</v>
      </c>
      <c r="J415" s="104">
        <f t="shared" si="417"/>
        <v>4</v>
      </c>
      <c r="K415" s="104"/>
      <c r="L415" s="104">
        <v>1</v>
      </c>
      <c r="M415" s="104">
        <f>('Renewable Diesel'!C424*'RD Feedstock Breakdown'!M$3*'Feedstock Conversion Rates'!B$2)/12</f>
        <v>7.7902500000000003</v>
      </c>
      <c r="N415" s="104">
        <f>('Renewable Diesel'!C424*'RD Feedstock Breakdown'!N$3*'Feedstock Conversion Rates'!B$8)/12</f>
        <v>3.671875</v>
      </c>
      <c r="O415" s="104">
        <f>('Renewable Diesel'!C424*'RD Feedstock Breakdown'!O$3*'Feedstock Conversion Rates'!B$7)/12</f>
        <v>11.9991</v>
      </c>
      <c r="P415" s="104">
        <f>('Renewable Diesel'!C424*'RD Feedstock Breakdown'!P$3*'Feedstock Conversion Rates'!B$3)/12</f>
        <v>10.4470425</v>
      </c>
      <c r="Q415" s="106">
        <f t="shared" si="379"/>
        <v>38.908267500000001</v>
      </c>
      <c r="R415" s="104">
        <f>('Renewable Diesel'!D424*'RD Feedstock Breakdown'!R$3*'Feedstock Conversion Rates'!B$7)/12</f>
        <v>2.2999999999999998</v>
      </c>
      <c r="S415" s="106">
        <f t="shared" si="414"/>
        <v>2.2999999999999998</v>
      </c>
      <c r="T415" s="104">
        <f t="shared" si="380"/>
        <v>0.82499999999999929</v>
      </c>
      <c r="U415" s="104"/>
      <c r="V415" s="104">
        <f>('Renewable Diesel'!E424*'RD Feedstock Breakdown'!V$3*'Feedstock Conversion Rates'!B$6)/12-20+25</f>
        <v>49.250150000000012</v>
      </c>
      <c r="W415" s="104">
        <f>('Renewable Diesel'!E424*'RD Feedstock Breakdown'!W$3*'Feedstock Conversion Rates'!B$8)/12-6</f>
        <v>16.1796875</v>
      </c>
      <c r="X415" s="106">
        <f t="shared" si="438"/>
        <v>66.254837500000008</v>
      </c>
      <c r="Y415" s="104">
        <f t="shared" si="381"/>
        <v>98</v>
      </c>
      <c r="Z415" s="104">
        <f>('Renewable Diesel'!F424*'RD Feedstock Breakdown'!Z$3*'Feedstock Conversion Rates'!B$6)/12-142+15+5+20+5+15</f>
        <v>77.460000000000008</v>
      </c>
      <c r="AA415" s="104">
        <f>('Renewable Diesel'!F424*'RD Feedstock Breakdown'!AA$3*'Feedstock Conversion Rates'!B$7)/12+24</f>
        <v>128.26666666666665</v>
      </c>
      <c r="AB415" s="106">
        <f t="shared" si="400"/>
        <v>303.72666666666669</v>
      </c>
      <c r="AC415" s="104">
        <f>('Renewable Diesel'!G424*'RD Feedstock Breakdown'!AC$3*'Feedstock Conversion Rates'!B$5)/12</f>
        <v>11.796875</v>
      </c>
      <c r="AD415" s="104">
        <f>('Renewable Diesel'!G424*'RD Feedstock Breakdown'!AD$3*'Feedstock Conversion Rates'!B$4)/12</f>
        <v>5.859375</v>
      </c>
      <c r="AE415" s="104">
        <f>('Renewable Diesel'!G424*'RD Feedstock Breakdown'!AE$3*'Feedstock Conversion Rates'!B$6)/12</f>
        <v>7.3281250000000009</v>
      </c>
      <c r="AF415" s="106">
        <f t="shared" si="445"/>
        <v>24.984375</v>
      </c>
      <c r="AG415" s="104">
        <f t="shared" si="383"/>
        <v>148</v>
      </c>
      <c r="AH415" s="104"/>
      <c r="AI415" s="104">
        <f>('Renewable Diesel'!H424*'RD Feedstock Breakdown'!AI$3*'Feedstock Conversion Rates'!B$6)/12-130-20+51-49</f>
        <v>0.51666666666667993</v>
      </c>
      <c r="AJ415" s="106">
        <f t="shared" si="413"/>
        <v>148.51666666666668</v>
      </c>
      <c r="AK415" s="104">
        <f>('Renewable Diesel'!J424*'RD Feedstock Breakdown'!AK$3*'Feedstock Conversion Rates'!B$4)/12</f>
        <v>95.8125</v>
      </c>
      <c r="AL415" s="106">
        <f t="shared" si="415"/>
        <v>95.8125</v>
      </c>
      <c r="AM415" s="104">
        <f>('Renewable Diesel'!K424*'RD Feedstock Breakdown'!AM$3*'Feedstock Conversion Rates'!B$4)/12+5+15-10+10</f>
        <v>78.59375</v>
      </c>
      <c r="AN415" s="104">
        <f>('Renewable Diesel'!K424*'RD Feedstock Breakdown'!AN$3*'Feedstock Conversion Rates'!B$6)/12-5-15+10-10</f>
        <v>4.4270833333333321</v>
      </c>
      <c r="AO415" s="106">
        <f t="shared" si="431"/>
        <v>83.020833333333329</v>
      </c>
      <c r="AP415" s="104">
        <f>('Renewable Diesel'!L424*'RD Feedstock Breakdown'!AP$3*'Feedstock Conversion Rates'!B$4)/12+15-10+15</f>
        <v>78.59375</v>
      </c>
      <c r="AQ415" s="104">
        <f>('Renewable Diesel'!L424*'RD Feedstock Breakdown'!AQ$3*'Feedstock Conversion Rates'!B$6)/12-15+10-15</f>
        <v>4.4270833333333321</v>
      </c>
      <c r="AR415" s="106">
        <f t="shared" si="420"/>
        <v>83.020833333333329</v>
      </c>
      <c r="AS415" s="104">
        <f>('Renewable Diesel'!M424*'RD Feedstock Breakdown'!AS$3*'Feedstock Conversion Rates'!B$4)/12</f>
        <v>456.25</v>
      </c>
      <c r="AT415" s="104">
        <f>('Renewable Diesel'!M424*'RD Feedstock Breakdown'!AT$3*'Feedstock Conversion Rates'!B$5)/12</f>
        <v>0</v>
      </c>
      <c r="AU415" s="106">
        <f t="shared" si="448"/>
        <v>456.25</v>
      </c>
      <c r="AV415" s="104">
        <f>'Renewable Diesel'!N424*'RD Feedstock Breakdown'!$AV$3*'Feedstock Conversion Rates'!$B$4/12-15-10+25+25-22+25</f>
        <v>106.74999999999999</v>
      </c>
      <c r="AW415" s="104">
        <f>'Renewable Diesel'!N424*'RD Feedstock Breakdown'!$AW$3*'Feedstock Conversion Rates'!$B$7/12+15+10-25-25+22-25</f>
        <v>13.400000000000006</v>
      </c>
      <c r="AX415" s="106">
        <f t="shared" si="408"/>
        <v>120.14999999999999</v>
      </c>
      <c r="AY415" s="104">
        <f>('Renewable Diesel'!O424*'RD Feedstock Breakdown'!AY$3*'Feedstock Conversion Rates'!B$4)/12</f>
        <v>210.9375</v>
      </c>
      <c r="AZ415" s="104">
        <f>('Renewable Diesel'!O424*'RD Feedstock Breakdown'!AZ$3*'Feedstock Conversion Rates'!B$3)/12</f>
        <v>25.03125</v>
      </c>
      <c r="BA415" s="106">
        <f t="shared" si="382"/>
        <v>235.96875</v>
      </c>
      <c r="BB415" s="104">
        <f>('Renewable Diesel'!Q424*'RD Feedstock Breakdown'!BB$3*'Feedstock Conversion Rates'!B$4)/12</f>
        <v>11.156249999999998</v>
      </c>
      <c r="BC415" s="104">
        <f>('Renewable Diesel'!Q424*'RD Feedstock Breakdown'!BC$3*'Feedstock Conversion Rates'!B$3)/12</f>
        <v>1.4017500000000001</v>
      </c>
      <c r="BD415" s="104">
        <f>('Renewable Diesel'!Q424*'RD Feedstock Breakdown'!BD$3*'Feedstock Conversion Rates'!B$6)/12</f>
        <v>0.8207500000000002</v>
      </c>
      <c r="BE415" s="106">
        <f t="shared" si="440"/>
        <v>13.378749999999998</v>
      </c>
      <c r="BF415" s="104">
        <f>('Renewable Diesel'!R424*'RD Feedstock Breakdown'!BF$3*'Feedstock Conversion Rates'!B$4)/12</f>
        <v>62.5</v>
      </c>
      <c r="BG415" s="106">
        <f t="shared" si="425"/>
        <v>62.5</v>
      </c>
      <c r="BH415" s="104">
        <f>('Renewable Diesel'!T424*'RD Feedstock Breakdown'!BH$3*'Feedstock Conversion Rates'!B$7)/12</f>
        <v>27.599999999999998</v>
      </c>
      <c r="BI415" s="106">
        <f t="shared" si="412"/>
        <v>27.599999999999998</v>
      </c>
      <c r="BJ415" s="104">
        <f>('Renewable Diesel'!W424*'RD Feedstock Breakdown'!BJ$3*'Feedstock Conversion Rates'!B$4)/12</f>
        <v>7.5</v>
      </c>
      <c r="BK415" s="104">
        <f>('Renewable Diesel'!W424*'RD Feedstock Breakdown'!BK$3*'Feedstock Conversion Rates'!B$3)/12</f>
        <v>1.335</v>
      </c>
      <c r="BL415" s="104">
        <f>('Renewable Diesel'!W424*'RD Feedstock Breakdown'!BL$3*'Feedstock Conversion Rates'!B$6)/12</f>
        <v>3.1266666666666669</v>
      </c>
      <c r="BM415" s="104">
        <f>('Renewable Diesel'!W424*'RD Feedstock Breakdown'!BM$3*'Feedstock Conversion Rates'!B$7)/12</f>
        <v>1.5333333333333332</v>
      </c>
      <c r="BN415" s="106">
        <f t="shared" si="452"/>
        <v>13.495000000000001</v>
      </c>
      <c r="BO415" s="104">
        <f>('Renewable Diesel'!P424*'Feedstock Conversion Rates'!B$4)/12</f>
        <v>31.25</v>
      </c>
      <c r="BP415" s="106">
        <f t="shared" si="446"/>
        <v>31.25</v>
      </c>
      <c r="BQ415" s="104">
        <f>('Renewable Diesel'!$S424*'RD Feedstock Breakdown'!BQ$3*'Feedstock Conversion Rates'!B$4)/12+10+15-15</f>
        <v>38.125</v>
      </c>
      <c r="BR415" s="104">
        <f>('Renewable Diesel'!$S424*'RD Feedstock Breakdown'!BR$3*'Feedstock Conversion Rates'!B$7)/12-10-15+15</f>
        <v>1.5</v>
      </c>
      <c r="BS415" s="106">
        <f t="shared" si="385"/>
        <v>39.625</v>
      </c>
      <c r="BT415" s="106"/>
      <c r="BU415" s="104">
        <f>('Renewable Diesel'!Y424*'Feedstock Conversion Rates'!B$7)/12</f>
        <v>2.6833333333333331</v>
      </c>
      <c r="BV415" s="106">
        <f t="shared" si="442"/>
        <v>2.6833333333333331</v>
      </c>
      <c r="BW415" s="104">
        <f>('Renewable Diesel'!$Z424*'RD Feedstock Breakdown'!BW$3*'Feedstock Conversion Rates'!$B$4)/12-250+180</f>
        <v>1.875</v>
      </c>
      <c r="BX415" s="104">
        <f>('Renewable Diesel'!$Z424*'RD Feedstock Breakdown'!BX$3*'Feedstock Conversion Rates'!$B$5)/12</f>
        <v>7.2354166666666666</v>
      </c>
      <c r="BY415" s="104">
        <f>('Renewable Diesel'!$Z424*'RD Feedstock Breakdown'!BY$3*'Feedstock Conversion Rates'!$B$7)/12</f>
        <v>61.716666666666661</v>
      </c>
      <c r="BZ415" s="104">
        <f>('Renewable Diesel'!$Z424*'RD Feedstock Breakdown'!BZ$3*'Feedstock Conversion Rates'!$B$3)/12+250-180</f>
        <v>85.35250000000002</v>
      </c>
      <c r="CA415" s="106">
        <f t="shared" si="392"/>
        <v>156.17958333333334</v>
      </c>
      <c r="CB415" s="104">
        <f>('Renewable Diesel'!AA424*'Feedstock Conversion Rates'!B$4)/12</f>
        <v>191.25</v>
      </c>
      <c r="CC415" s="106">
        <f t="shared" si="454"/>
        <v>191.25</v>
      </c>
      <c r="CD415" s="104">
        <f>('Renewable Diesel'!$AB424*'RD Feedstock Breakdown'!CD$3*'Feedstock Conversion Rates'!$B$6)/12-15-5</f>
        <v>12.830000000000005</v>
      </c>
      <c r="CE415" s="104">
        <f>('Renewable Diesel'!$AB424*'RD Feedstock Breakdown'!CE$3*'Feedstock Conversion Rates'!$B$4)/12+15+5</f>
        <v>31.25</v>
      </c>
      <c r="CF415" s="106">
        <f t="shared" si="450"/>
        <v>44.080000000000005</v>
      </c>
      <c r="CG415" s="104">
        <f>('Renewable Diesel'!AD424*'Feedstock Conversion Rates'!B$4)/12</f>
        <v>112.5</v>
      </c>
      <c r="CH415" s="106">
        <f t="shared" si="439"/>
        <v>112.5</v>
      </c>
      <c r="CI415" s="104">
        <f>('Renewable Diesel'!$AE424*'RD Feedstock Breakdown'!CI$3*'Feedstock Conversion Rates'!$B$5)/12</f>
        <v>0.34604166666666664</v>
      </c>
      <c r="CJ415" s="104">
        <f>('Renewable Diesel'!$AE424*'RD Feedstock Breakdown'!CJ$3*'Feedstock Conversion Rates'!$B$4)/12</f>
        <v>0.34375</v>
      </c>
      <c r="CK415" s="106">
        <f t="shared" si="447"/>
        <v>0.68979166666666658</v>
      </c>
      <c r="CL415" s="104">
        <f>(((CL$3*'Renewable Diesel'!$AF424)*'Feedstock Conversion Rates'!$B$3)/12)</f>
        <v>91.78125</v>
      </c>
      <c r="CM415" s="104">
        <f>(((CM$3*'Renewable Diesel'!$AF424)*'Feedstock Conversion Rates'!$B$6)/12)</f>
        <v>53.739583333333336</v>
      </c>
      <c r="CN415" s="104">
        <f>(((CN$3*'Renewable Diesel'!$AF424)*'Feedstock Conversion Rates'!$B$4)/12)</f>
        <v>42.96875</v>
      </c>
      <c r="CO415" s="106">
        <f t="shared" si="441"/>
        <v>188.48958333333334</v>
      </c>
      <c r="CP415" s="104">
        <f>('Renewable Diesel'!$AG424*'RD Feedstock Breakdown'!CP$3*'Feedstock Conversion Rates'!$B$3)/12</f>
        <v>6.0075000000000003</v>
      </c>
      <c r="CQ415" s="104">
        <f>('Renewable Diesel'!$AG424*'RD Feedstock Breakdown'!CQ$3*'Feedstock Conversion Rates'!$B$6)/12</f>
        <v>3.5175000000000001</v>
      </c>
      <c r="CR415" s="104">
        <f>('Renewable Diesel'!$AG424*'RD Feedstock Breakdown'!CR$3*'Feedstock Conversion Rates'!$B$4)/12</f>
        <v>2.8125</v>
      </c>
      <c r="CS415" s="106">
        <f t="shared" si="397"/>
        <v>12.3375</v>
      </c>
      <c r="CT415" s="104">
        <f>('Renewable Diesel'!AI424*'Feedstock Conversion Rates'!$B$4*'RD Feedstock Breakdown'!$CT$3)/12</f>
        <v>29.375</v>
      </c>
      <c r="CU415" s="106">
        <f t="shared" si="443"/>
        <v>29.375</v>
      </c>
      <c r="CV415" s="104">
        <f>('Renewable Diesel'!AN424*'Feedstock Conversion Rates'!$B$3*'RD Feedstock Breakdown'!$CV$3)/12</f>
        <v>0.50062499999999999</v>
      </c>
      <c r="CW415" s="106">
        <f t="shared" si="419"/>
        <v>0.50062499999999999</v>
      </c>
      <c r="CX415" s="104">
        <f>('Renewable Diesel'!AO424*'RD Feedstock Breakdown'!$CX$3*'Feedstock Conversion Rates'!$B$3)/12</f>
        <v>6.3412499999999996</v>
      </c>
      <c r="CY415" s="104">
        <f>('Renewable Diesel'!AO424*'RD Feedstock Breakdown'!$CY$3*'Feedstock Conversion Rates'!$B$6)/12</f>
        <v>7.4258333333333342</v>
      </c>
      <c r="CZ415" s="106">
        <f t="shared" si="398"/>
        <v>13.767083333333334</v>
      </c>
      <c r="DA415" s="104">
        <f>('Renewable Diesel'!$AP424*'RD Feedstock Breakdown'!DA$3*'Feedstock Conversion Rates'!$B$3)/12</f>
        <v>6.3412499999999996</v>
      </c>
      <c r="DB415" s="104">
        <f>('Renewable Diesel'!$AP424*'RD Feedstock Breakdown'!DB$3*'Feedstock Conversion Rates'!$B$8)/12</f>
        <v>7.421875</v>
      </c>
      <c r="DC415" s="106">
        <f t="shared" si="422"/>
        <v>13.763124999999999</v>
      </c>
      <c r="DD415" s="104">
        <f>('Renewable Diesel'!AQ424*$DD$3*'Feedstock Conversion Rates'!$B$14)/12</f>
        <v>3.1041666666666665</v>
      </c>
      <c r="DE415" s="106">
        <f t="shared" si="423"/>
        <v>3.1041666666666665</v>
      </c>
      <c r="DF415" s="104">
        <f>('Renewable Diesel'!AR424*'Feedstock Conversion Rates'!$B$4*$DF$3)/12</f>
        <v>75</v>
      </c>
      <c r="DG415" s="106">
        <f t="shared" si="399"/>
        <v>75</v>
      </c>
      <c r="DH415" s="104">
        <f>('Renewable Diesel'!AS424*'Feedstock Conversion Rates'!$B$4*$DH$3)/12</f>
        <v>75</v>
      </c>
      <c r="DI415" s="106">
        <f t="shared" si="411"/>
        <v>75</v>
      </c>
      <c r="DJ415" s="104">
        <f>('Renewable Diesel'!AT424*'Feedstock Conversion Rates'!$B$4*0.25)/12</f>
        <v>8.59375</v>
      </c>
      <c r="DK415" s="104">
        <f>('Renewable Diesel'!$AT424*'RD Feedstock Breakdown'!DK$3*'Feedstock Conversion Rates'!$B$3)/12*0.5</f>
        <v>9.1781249999999996</v>
      </c>
      <c r="DL415" s="104">
        <f>('Renewable Diesel'!$AT424*'RD Feedstock Breakdown'!$DL$3*'Feedstock Conversion Rates'!$B$6)/12</f>
        <v>10.747916666666669</v>
      </c>
      <c r="DM415" s="104">
        <f>('Renewable Diesel'!$AT424*'RD Feedstock Breakdown'!$DM$3*'Feedstock Conversion Rates'!$B$8)/12</f>
        <v>10.7421875</v>
      </c>
      <c r="DN415" s="106">
        <f t="shared" si="453"/>
        <v>39.26197916666667</v>
      </c>
      <c r="DP415" s="104">
        <f t="shared" si="426"/>
        <v>103.22025000000001</v>
      </c>
      <c r="DQ415" s="104">
        <f t="shared" si="427"/>
        <v>349.11776750000007</v>
      </c>
      <c r="DR415" s="104">
        <f t="shared" si="432"/>
        <v>1891.953125</v>
      </c>
      <c r="DS415" s="104">
        <f t="shared" si="444"/>
        <v>228.90125</v>
      </c>
      <c r="DT415" s="104">
        <f t="shared" si="428"/>
        <v>243.03923333333344</v>
      </c>
      <c r="DU415" s="104">
        <f t="shared" si="429"/>
        <v>402.90610000000009</v>
      </c>
      <c r="DV415" s="104">
        <f t="shared" si="433"/>
        <v>78.75</v>
      </c>
      <c r="DW415" s="104">
        <f t="shared" si="430"/>
        <v>3</v>
      </c>
      <c r="DX415" s="106">
        <f t="shared" si="434"/>
        <v>3300.8877258333337</v>
      </c>
      <c r="DY415" s="109">
        <f t="shared" si="421"/>
        <v>-5.631051180898794E-13</v>
      </c>
      <c r="EA415" s="110">
        <f t="shared" si="424"/>
        <v>3.1270451640078516E-2</v>
      </c>
      <c r="EB415" s="110">
        <f t="shared" si="424"/>
        <v>0.10576481131658687</v>
      </c>
      <c r="EC415" s="110">
        <f t="shared" si="424"/>
        <v>0.57316494293133291</v>
      </c>
      <c r="ED415" s="110">
        <f t="shared" si="424"/>
        <v>6.9345360706629972E-2</v>
      </c>
      <c r="EE415" s="110">
        <f t="shared" si="424"/>
        <v>7.3628445896921982E-2</v>
      </c>
      <c r="EF415" s="110">
        <f t="shared" si="424"/>
        <v>0.1220599225010852</v>
      </c>
      <c r="EG415" s="110">
        <f t="shared" si="384"/>
        <v>2.3857218585075921E-2</v>
      </c>
      <c r="EH415" s="111">
        <f t="shared" si="435"/>
        <v>9.0884642228860647E-4</v>
      </c>
      <c r="EI415" s="110">
        <f t="shared" si="409"/>
        <v>0.99909115357771139</v>
      </c>
      <c r="EK415" s="132">
        <f>(EA415*'Renewable Diesel'!BF424*'Feedstock Conversion Rates'!B$2)+FB415</f>
        <v>366.68928977359974</v>
      </c>
      <c r="EL415" s="132">
        <f>(EB415*'Renewable Diesel'!BF424*'Feedstock Conversion Rates'!B$3)+FC415</f>
        <v>1168.7425642312</v>
      </c>
      <c r="EM415" s="132">
        <f>(EC415*'Renewable Diesel'!BF424*'Feedstock Conversion Rates'!B$4)+FD415</f>
        <v>5930.4278759527988</v>
      </c>
      <c r="EN415" s="132">
        <f>(ED415*'Renewable Diesel'!BF424*'Feedstock Conversion Rates'!B$5)+FE415</f>
        <v>722.28651869975749</v>
      </c>
      <c r="EO415" s="132">
        <f>(EE415*'Renewable Diesel'!BF424*'Feedstock Conversion Rates'!B$6)+FF415</f>
        <v>952.78216251646666</v>
      </c>
      <c r="EP415" s="132">
        <f>(EF415*'Renewable Diesel'!BF424*'Feedstock Conversion Rates'!B$7)+FG415</f>
        <v>1549.1949156932114</v>
      </c>
      <c r="EQ415" s="132">
        <f>(EG415*'Renewable Diesel'!BF424*'Feedstock Conversion Rates'!B$8)+FH415</f>
        <v>308.5575886237159</v>
      </c>
      <c r="ER415" s="132">
        <f>(EH415*'Renewable Diesel'!BF424*'Feedstock Conversion Rates'!B$9)+FI415</f>
        <v>11.597847140650146</v>
      </c>
      <c r="ES415" s="132">
        <f t="shared" si="436"/>
        <v>11010.278762631402</v>
      </c>
      <c r="ET415" s="133">
        <f>ES415/'Renewable Diesel'!BF424</f>
        <v>13.805546597833606</v>
      </c>
      <c r="EW415" s="73">
        <f t="shared" si="386"/>
        <v>9459.5247649166558</v>
      </c>
      <c r="EX415" s="73">
        <f t="shared" si="387"/>
        <v>6196.0405344842775</v>
      </c>
      <c r="EY415" s="92">
        <f t="shared" si="410"/>
        <v>0.85915397501306101</v>
      </c>
      <c r="EZ415" s="92">
        <f t="shared" si="410"/>
        <v>0.56275055955108755</v>
      </c>
      <c r="FB415" s="102">
        <f>IF('Renewable Diesel'!$BG424&lt;1,0,(((('Renewable Diesel'!$BG424-1)*'Renewable Diesel'!$BF424)*'RD Feedstock Breakdown'!EA415)*'Feedstock Conversion Rates'!$B$2))</f>
        <v>154.70787413158891</v>
      </c>
      <c r="FC415" s="102">
        <f>IF('Renewable Diesel'!$BG424&lt;1,0,(((('Renewable Diesel'!$BG424-1)*'Renewable Diesel'!$BF424)*'RD Feedstock Breakdown'!EB415)*'Feedstock Conversion Rates'!$B$3))</f>
        <v>493.09778758727424</v>
      </c>
      <c r="FD415" s="102">
        <f>IF('Renewable Diesel'!$BG424&lt;1,0,(((('Renewable Diesel'!$BG424-1)*'Renewable Diesel'!$BF424)*'RD Feedstock Breakdown'!EC415)*'Feedstock Conversion Rates'!$B$4))</f>
        <v>2502.0744127701196</v>
      </c>
      <c r="FE415" s="102">
        <f>IF('Renewable Diesel'!$BG424&lt;1,0,(((('Renewable Diesel'!$BG424-1)*'Renewable Diesel'!$BF424)*'RD Feedstock Breakdown'!ED415)*'Feedstock Conversion Rates'!$B$5))</f>
        <v>304.73595749398055</v>
      </c>
      <c r="FF415" s="102">
        <f>IF('Renewable Diesel'!$BG424&lt;1,0,(((('Renewable Diesel'!$BG424-1)*'Renewable Diesel'!$BF424)*'RD Feedstock Breakdown'!EE415)*'Feedstock Conversion Rates'!$B$6))</f>
        <v>401.98311481753308</v>
      </c>
      <c r="FG415" s="102">
        <f>IF('Renewable Diesel'!$BG424&lt;1,0,(((('Renewable Diesel'!$BG424-1)*'Renewable Diesel'!$BF424)*'RD Feedstock Breakdown'!EF415)*'Feedstock Conversion Rates'!$B$7))</f>
        <v>653.61235985469011</v>
      </c>
      <c r="FH415" s="102">
        <f>IF('Renewable Diesel'!$BG424&lt;1,0,(((('Renewable Diesel'!$BG424-1)*'Renewable Diesel'!$BF424)*'RD Feedstock Breakdown'!EG415)*'Feedstock Conversion Rates'!$B$8))</f>
        <v>130.18184581452493</v>
      </c>
      <c r="FI415" s="102">
        <f>IF('Renewable Diesel'!$BG424&lt;1,0,(((('Renewable Diesel'!$BG424-1)*'Renewable Diesel'!$BF424)*'RD Feedstock Breakdown'!EH415)*'Feedstock Conversion Rates'!$B$9))</f>
        <v>4.8931842998221429</v>
      </c>
      <c r="FJ415" s="102">
        <f t="shared" si="388"/>
        <v>4645.286536769534</v>
      </c>
      <c r="GD415" s="91">
        <f>'Renewable Diesel'!BB424*0.32</f>
        <v>0</v>
      </c>
      <c r="GE415" s="91">
        <f>'Renewable Diesel'!BC424</f>
        <v>365.17971984240518</v>
      </c>
      <c r="GF415" s="91">
        <f>'Renewable Diesel'!BD424</f>
        <v>0</v>
      </c>
      <c r="GG415" s="91">
        <f t="shared" si="451"/>
        <v>365.17971984240518</v>
      </c>
      <c r="GH415" s="124">
        <v>1</v>
      </c>
      <c r="GI415" s="102">
        <f>$GG415*EA415*'Feedstock Conversion Rates'!$B$2</f>
        <v>97.064345538789482</v>
      </c>
      <c r="GJ415" s="102">
        <f>$GG415*EB415*'Feedstock Conversion Rates'!$B$3</f>
        <v>309.37154496786604</v>
      </c>
      <c r="GK415" s="102">
        <f>$GG415*EC415*'Feedstock Conversion Rates'!$B$4</f>
        <v>1569.8115996236422</v>
      </c>
      <c r="GL415" s="102">
        <f>$GG415*ED415*'Feedstock Conversion Rates'!$B$5</f>
        <v>191.19257143389336</v>
      </c>
      <c r="GM415" s="102">
        <f>$GG415*EE415*'Feedstock Conversion Rates'!$B$6</f>
        <v>252.20583099875341</v>
      </c>
      <c r="GN415" s="102">
        <f>$GG415*EF415*'Feedstock Conversion Rates'!$B$7</f>
        <v>410.07903638697417</v>
      </c>
      <c r="GO415" s="102">
        <f>$GG415*EG415*'Feedstock Conversion Rates'!$B$8</f>
        <v>81.676616241722328</v>
      </c>
      <c r="GP415" s="102">
        <f>$GG415*EH415*'Feedstock Conversion Rates'!B$9</f>
        <v>3.0700036073079113</v>
      </c>
      <c r="GQ415" s="102">
        <f t="shared" si="437"/>
        <v>2914.4715487989492</v>
      </c>
      <c r="GT415" s="103">
        <f t="shared" si="418"/>
        <v>3.3304269372191886E-2</v>
      </c>
      <c r="GU415" s="103">
        <f t="shared" si="416"/>
        <v>0.10615013383656385</v>
      </c>
      <c r="GV415" s="103">
        <f t="shared" si="416"/>
        <v>0.53862649654979822</v>
      </c>
      <c r="GW415" s="103">
        <f t="shared" si="416"/>
        <v>6.5601110950176761E-2</v>
      </c>
      <c r="GX415" s="103">
        <f t="shared" si="416"/>
        <v>8.6535698419388296E-2</v>
      </c>
      <c r="GY415" s="103">
        <f t="shared" si="416"/>
        <v>0.14070442257566979</v>
      </c>
      <c r="GZ415" s="103">
        <f t="shared" si="416"/>
        <v>2.802450285554552E-2</v>
      </c>
      <c r="HA415" s="103">
        <f t="shared" si="416"/>
        <v>1.0533654406655838E-3</v>
      </c>
    </row>
    <row r="416" spans="1:209" x14ac:dyDescent="0.25">
      <c r="A416" s="96">
        <v>53083</v>
      </c>
      <c r="B416" s="104">
        <f t="shared" si="406"/>
        <v>44.25</v>
      </c>
      <c r="C416" s="104">
        <f t="shared" si="396"/>
        <v>49</v>
      </c>
      <c r="D416" s="104">
        <f t="shared" si="407"/>
        <v>2</v>
      </c>
      <c r="E416" s="104">
        <f>('Renewable Diesel'!B425*E$3*'Feedstock Conversion Rates'!$B$2)/12+26+13-100+27.5+39</f>
        <v>95.43</v>
      </c>
      <c r="F416" s="104">
        <f>('Renewable Diesel'!B425*'RD Feedstock Breakdown'!F$3*'Feedstock Conversion Rates'!B$8)/12+77+23-10-12-115.75+24+8</f>
        <v>48.15625</v>
      </c>
      <c r="G416" s="104">
        <f>('Renewable Diesel'!B425*'RD Feedstock Breakdown'!G$3*'Feedstock Conversion Rates'!B$7)/12+116.75-39-57.5-145-31.5+32+70-40+10+60</f>
        <v>151.90700000000004</v>
      </c>
      <c r="H416" s="104">
        <f>('Renewable Diesel'!B425*'RD Feedstock Breakdown'!H$3*'Feedstock Conversion Rates'!B$3)/12+67+10+12+3-235+20+47-20+25</f>
        <v>105.40022499999998</v>
      </c>
      <c r="I416" s="106">
        <f t="shared" si="449"/>
        <v>496.14347500000002</v>
      </c>
      <c r="J416" s="104">
        <f t="shared" si="417"/>
        <v>4</v>
      </c>
      <c r="K416" s="104"/>
      <c r="L416" s="104">
        <v>1</v>
      </c>
      <c r="M416" s="104">
        <f>('Renewable Diesel'!C425*'RD Feedstock Breakdown'!M$3*'Feedstock Conversion Rates'!B$2)/12</f>
        <v>7.7902500000000003</v>
      </c>
      <c r="N416" s="104">
        <f>('Renewable Diesel'!C425*'RD Feedstock Breakdown'!N$3*'Feedstock Conversion Rates'!B$8)/12</f>
        <v>3.671875</v>
      </c>
      <c r="O416" s="104">
        <f>('Renewable Diesel'!C425*'RD Feedstock Breakdown'!O$3*'Feedstock Conversion Rates'!B$7)/12</f>
        <v>11.9991</v>
      </c>
      <c r="P416" s="104">
        <f>('Renewable Diesel'!C425*'RD Feedstock Breakdown'!P$3*'Feedstock Conversion Rates'!B$3)/12</f>
        <v>10.4470425</v>
      </c>
      <c r="Q416" s="106">
        <f t="shared" si="379"/>
        <v>38.908267500000001</v>
      </c>
      <c r="R416" s="104">
        <f>('Renewable Diesel'!D425*'RD Feedstock Breakdown'!R$3*'Feedstock Conversion Rates'!B$7)/12</f>
        <v>2.2999999999999998</v>
      </c>
      <c r="S416" s="106">
        <f t="shared" si="414"/>
        <v>2.2999999999999998</v>
      </c>
      <c r="T416" s="104">
        <f t="shared" si="380"/>
        <v>0.82499999999999929</v>
      </c>
      <c r="U416" s="104"/>
      <c r="V416" s="104">
        <f>('Renewable Diesel'!E425*'RD Feedstock Breakdown'!V$3*'Feedstock Conversion Rates'!B$6)/12-20+25</f>
        <v>49.250150000000012</v>
      </c>
      <c r="W416" s="104">
        <f>('Renewable Diesel'!E425*'RD Feedstock Breakdown'!W$3*'Feedstock Conversion Rates'!B$8)/12-6</f>
        <v>16.1796875</v>
      </c>
      <c r="X416" s="106">
        <f t="shared" si="438"/>
        <v>66.254837500000008</v>
      </c>
      <c r="Y416" s="104">
        <f t="shared" si="381"/>
        <v>98</v>
      </c>
      <c r="Z416" s="104">
        <f>('Renewable Diesel'!F425*'RD Feedstock Breakdown'!Z$3*'Feedstock Conversion Rates'!B$6)/12-142+15+5+20+5+15</f>
        <v>77.460000000000008</v>
      </c>
      <c r="AA416" s="104">
        <f>('Renewable Diesel'!F425*'RD Feedstock Breakdown'!AA$3*'Feedstock Conversion Rates'!B$7)/12+24</f>
        <v>128.26666666666665</v>
      </c>
      <c r="AB416" s="106">
        <f t="shared" si="400"/>
        <v>303.72666666666669</v>
      </c>
      <c r="AC416" s="104">
        <f>('Renewable Diesel'!G425*'RD Feedstock Breakdown'!AC$3*'Feedstock Conversion Rates'!B$5)/12</f>
        <v>11.796875</v>
      </c>
      <c r="AD416" s="104">
        <f>('Renewable Diesel'!G425*'RD Feedstock Breakdown'!AD$3*'Feedstock Conversion Rates'!B$4)/12</f>
        <v>5.859375</v>
      </c>
      <c r="AE416" s="104">
        <f>('Renewable Diesel'!G425*'RD Feedstock Breakdown'!AE$3*'Feedstock Conversion Rates'!B$6)/12</f>
        <v>7.3281250000000009</v>
      </c>
      <c r="AF416" s="106">
        <f t="shared" si="445"/>
        <v>24.984375</v>
      </c>
      <c r="AG416" s="104">
        <f t="shared" si="383"/>
        <v>148</v>
      </c>
      <c r="AH416" s="104"/>
      <c r="AI416" s="104">
        <f>('Renewable Diesel'!H425*'RD Feedstock Breakdown'!AI$3*'Feedstock Conversion Rates'!B$6)/12-130-20+51-49</f>
        <v>0.51666666666667993</v>
      </c>
      <c r="AJ416" s="106">
        <f t="shared" si="413"/>
        <v>148.51666666666668</v>
      </c>
      <c r="AK416" s="104">
        <f>('Renewable Diesel'!J425*'RD Feedstock Breakdown'!AK$3*'Feedstock Conversion Rates'!B$4)/12</f>
        <v>95.8125</v>
      </c>
      <c r="AL416" s="106">
        <f t="shared" si="415"/>
        <v>95.8125</v>
      </c>
      <c r="AM416" s="104">
        <f>('Renewable Diesel'!K425*'RD Feedstock Breakdown'!AM$3*'Feedstock Conversion Rates'!B$4)/12+5+15-10+10</f>
        <v>78.59375</v>
      </c>
      <c r="AN416" s="104">
        <f>('Renewable Diesel'!K425*'RD Feedstock Breakdown'!AN$3*'Feedstock Conversion Rates'!B$6)/12-5-15+10-10</f>
        <v>4.4270833333333321</v>
      </c>
      <c r="AO416" s="106">
        <f t="shared" si="431"/>
        <v>83.020833333333329</v>
      </c>
      <c r="AP416" s="104">
        <f>('Renewable Diesel'!L425*'RD Feedstock Breakdown'!AP$3*'Feedstock Conversion Rates'!B$4)/12+15-10+15</f>
        <v>78.59375</v>
      </c>
      <c r="AQ416" s="104">
        <f>('Renewable Diesel'!L425*'RD Feedstock Breakdown'!AQ$3*'Feedstock Conversion Rates'!B$6)/12-15+10-15</f>
        <v>4.4270833333333321</v>
      </c>
      <c r="AR416" s="106">
        <f t="shared" si="420"/>
        <v>83.020833333333329</v>
      </c>
      <c r="AS416" s="104">
        <f>('Renewable Diesel'!M425*'RD Feedstock Breakdown'!AS$3*'Feedstock Conversion Rates'!B$4)/12</f>
        <v>456.25</v>
      </c>
      <c r="AT416" s="104">
        <f>('Renewable Diesel'!M425*'RD Feedstock Breakdown'!AT$3*'Feedstock Conversion Rates'!B$5)/12</f>
        <v>0</v>
      </c>
      <c r="AU416" s="106">
        <f t="shared" si="448"/>
        <v>456.25</v>
      </c>
      <c r="AV416" s="104">
        <f>'Renewable Diesel'!N425*'RD Feedstock Breakdown'!$AV$3*'Feedstock Conversion Rates'!$B$4/12-15-10+25+25-22+25</f>
        <v>106.74999999999999</v>
      </c>
      <c r="AW416" s="104">
        <f>'Renewable Diesel'!N425*'RD Feedstock Breakdown'!$AW$3*'Feedstock Conversion Rates'!$B$7/12+15+10-25-25+22-25</f>
        <v>13.400000000000006</v>
      </c>
      <c r="AX416" s="106">
        <f t="shared" si="408"/>
        <v>120.14999999999999</v>
      </c>
      <c r="AY416" s="104">
        <f>('Renewable Diesel'!O425*'RD Feedstock Breakdown'!AY$3*'Feedstock Conversion Rates'!B$4)/12</f>
        <v>210.9375</v>
      </c>
      <c r="AZ416" s="104">
        <f>('Renewable Diesel'!O425*'RD Feedstock Breakdown'!AZ$3*'Feedstock Conversion Rates'!B$3)/12</f>
        <v>25.03125</v>
      </c>
      <c r="BA416" s="106">
        <f t="shared" si="382"/>
        <v>235.96875</v>
      </c>
      <c r="BB416" s="104">
        <f>('Renewable Diesel'!Q425*'RD Feedstock Breakdown'!BB$3*'Feedstock Conversion Rates'!B$4)/12</f>
        <v>11.156249999999998</v>
      </c>
      <c r="BC416" s="104">
        <f>('Renewable Diesel'!Q425*'RD Feedstock Breakdown'!BC$3*'Feedstock Conversion Rates'!B$3)/12</f>
        <v>1.4017500000000001</v>
      </c>
      <c r="BD416" s="104">
        <f>('Renewable Diesel'!Q425*'RD Feedstock Breakdown'!BD$3*'Feedstock Conversion Rates'!B$6)/12</f>
        <v>0.8207500000000002</v>
      </c>
      <c r="BE416" s="106">
        <f t="shared" si="440"/>
        <v>13.378749999999998</v>
      </c>
      <c r="BF416" s="104">
        <f>('Renewable Diesel'!R425*'RD Feedstock Breakdown'!BF$3*'Feedstock Conversion Rates'!B$4)/12</f>
        <v>62.5</v>
      </c>
      <c r="BG416" s="106">
        <f t="shared" si="425"/>
        <v>62.5</v>
      </c>
      <c r="BH416" s="104">
        <f>('Renewable Diesel'!T425*'RD Feedstock Breakdown'!BH$3*'Feedstock Conversion Rates'!B$7)/12</f>
        <v>27.599999999999998</v>
      </c>
      <c r="BI416" s="106">
        <f t="shared" si="412"/>
        <v>27.599999999999998</v>
      </c>
      <c r="BJ416" s="104">
        <f>('Renewable Diesel'!W425*'RD Feedstock Breakdown'!BJ$3*'Feedstock Conversion Rates'!B$4)/12</f>
        <v>7.5</v>
      </c>
      <c r="BK416" s="104">
        <f>('Renewable Diesel'!W425*'RD Feedstock Breakdown'!BK$3*'Feedstock Conversion Rates'!B$3)/12</f>
        <v>1.335</v>
      </c>
      <c r="BL416" s="104">
        <f>('Renewable Diesel'!W425*'RD Feedstock Breakdown'!BL$3*'Feedstock Conversion Rates'!B$6)/12</f>
        <v>3.1266666666666669</v>
      </c>
      <c r="BM416" s="104">
        <f>('Renewable Diesel'!W425*'RD Feedstock Breakdown'!BM$3*'Feedstock Conversion Rates'!B$7)/12</f>
        <v>1.5333333333333332</v>
      </c>
      <c r="BN416" s="106">
        <f t="shared" si="452"/>
        <v>13.495000000000001</v>
      </c>
      <c r="BO416" s="104">
        <f>('Renewable Diesel'!P425*'Feedstock Conversion Rates'!B$4)/12</f>
        <v>31.25</v>
      </c>
      <c r="BP416" s="106">
        <f t="shared" si="446"/>
        <v>31.25</v>
      </c>
      <c r="BQ416" s="104">
        <f>('Renewable Diesel'!$S425*'RD Feedstock Breakdown'!BQ$3*'Feedstock Conversion Rates'!B$4)/12+10+15-15</f>
        <v>38.125</v>
      </c>
      <c r="BR416" s="104">
        <f>('Renewable Diesel'!$S425*'RD Feedstock Breakdown'!BR$3*'Feedstock Conversion Rates'!B$7)/12-10-15+15</f>
        <v>1.5</v>
      </c>
      <c r="BS416" s="106">
        <f t="shared" si="385"/>
        <v>39.625</v>
      </c>
      <c r="BT416" s="106"/>
      <c r="BU416" s="104">
        <f>('Renewable Diesel'!Y425*'Feedstock Conversion Rates'!B$7)/12</f>
        <v>2.6833333333333331</v>
      </c>
      <c r="BV416" s="106">
        <f t="shared" si="442"/>
        <v>2.6833333333333331</v>
      </c>
      <c r="BW416" s="104">
        <f>('Renewable Diesel'!$Z425*'RD Feedstock Breakdown'!BW$3*'Feedstock Conversion Rates'!$B$4)/12-250+180</f>
        <v>1.875</v>
      </c>
      <c r="BX416" s="104">
        <f>('Renewable Diesel'!$Z425*'RD Feedstock Breakdown'!BX$3*'Feedstock Conversion Rates'!$B$5)/12</f>
        <v>7.2354166666666666</v>
      </c>
      <c r="BY416" s="104">
        <f>('Renewable Diesel'!$Z425*'RD Feedstock Breakdown'!BY$3*'Feedstock Conversion Rates'!$B$7)/12</f>
        <v>61.716666666666661</v>
      </c>
      <c r="BZ416" s="104">
        <f>('Renewable Diesel'!$Z425*'RD Feedstock Breakdown'!BZ$3*'Feedstock Conversion Rates'!$B$3)/12+250-180</f>
        <v>85.35250000000002</v>
      </c>
      <c r="CA416" s="106">
        <f t="shared" si="392"/>
        <v>156.17958333333334</v>
      </c>
      <c r="CB416" s="104">
        <f>('Renewable Diesel'!AA425*'Feedstock Conversion Rates'!B$4)/12</f>
        <v>191.25</v>
      </c>
      <c r="CC416" s="106">
        <f t="shared" si="454"/>
        <v>191.25</v>
      </c>
      <c r="CD416" s="104">
        <f>('Renewable Diesel'!$AB425*'RD Feedstock Breakdown'!CD$3*'Feedstock Conversion Rates'!$B$6)/12-15-5</f>
        <v>12.830000000000005</v>
      </c>
      <c r="CE416" s="104">
        <f>('Renewable Diesel'!$AB425*'RD Feedstock Breakdown'!CE$3*'Feedstock Conversion Rates'!$B$4)/12+15+5</f>
        <v>31.25</v>
      </c>
      <c r="CF416" s="106">
        <f t="shared" si="450"/>
        <v>44.080000000000005</v>
      </c>
      <c r="CG416" s="104">
        <f>('Renewable Diesel'!AD425*'Feedstock Conversion Rates'!B$4)/12</f>
        <v>112.5</v>
      </c>
      <c r="CH416" s="106">
        <f t="shared" si="439"/>
        <v>112.5</v>
      </c>
      <c r="CI416" s="104">
        <f>('Renewable Diesel'!$AE425*'RD Feedstock Breakdown'!CI$3*'Feedstock Conversion Rates'!$B$5)/12</f>
        <v>0.34604166666666664</v>
      </c>
      <c r="CJ416" s="104">
        <f>('Renewable Diesel'!$AE425*'RD Feedstock Breakdown'!CJ$3*'Feedstock Conversion Rates'!$B$4)/12</f>
        <v>0.34375</v>
      </c>
      <c r="CK416" s="106">
        <f t="shared" si="447"/>
        <v>0.68979166666666658</v>
      </c>
      <c r="CL416" s="104">
        <f>(((CL$3*'Renewable Diesel'!$AF425)*'Feedstock Conversion Rates'!$B$3)/12)</f>
        <v>91.78125</v>
      </c>
      <c r="CM416" s="104">
        <f>(((CM$3*'Renewable Diesel'!$AF425)*'Feedstock Conversion Rates'!$B$6)/12)</f>
        <v>53.739583333333336</v>
      </c>
      <c r="CN416" s="104">
        <f>(((CN$3*'Renewable Diesel'!$AF425)*'Feedstock Conversion Rates'!$B$4)/12)</f>
        <v>42.96875</v>
      </c>
      <c r="CO416" s="106">
        <f t="shared" si="441"/>
        <v>188.48958333333334</v>
      </c>
      <c r="CP416" s="104">
        <f>('Renewable Diesel'!$AG425*'RD Feedstock Breakdown'!CP$3*'Feedstock Conversion Rates'!$B$3)/12</f>
        <v>6.0075000000000003</v>
      </c>
      <c r="CQ416" s="104">
        <f>('Renewable Diesel'!$AG425*'RD Feedstock Breakdown'!CQ$3*'Feedstock Conversion Rates'!$B$6)/12</f>
        <v>3.5175000000000001</v>
      </c>
      <c r="CR416" s="104">
        <f>('Renewable Diesel'!$AG425*'RD Feedstock Breakdown'!CR$3*'Feedstock Conversion Rates'!$B$4)/12</f>
        <v>2.8125</v>
      </c>
      <c r="CS416" s="106">
        <f t="shared" si="397"/>
        <v>12.3375</v>
      </c>
      <c r="CT416" s="104">
        <f>('Renewable Diesel'!AI425*'Feedstock Conversion Rates'!$B$4*'RD Feedstock Breakdown'!$CT$3)/12</f>
        <v>29.375</v>
      </c>
      <c r="CU416" s="106">
        <f t="shared" si="443"/>
        <v>29.375</v>
      </c>
      <c r="CV416" s="104">
        <f>('Renewable Diesel'!AN425*'Feedstock Conversion Rates'!$B$3*'RD Feedstock Breakdown'!$CV$3)/12</f>
        <v>0.50062499999999999</v>
      </c>
      <c r="CW416" s="106">
        <f t="shared" si="419"/>
        <v>0.50062499999999999</v>
      </c>
      <c r="CX416" s="104">
        <f>('Renewable Diesel'!AO425*'RD Feedstock Breakdown'!$CX$3*'Feedstock Conversion Rates'!$B$3)/12</f>
        <v>6.3412499999999996</v>
      </c>
      <c r="CY416" s="104">
        <f>('Renewable Diesel'!AO425*'RD Feedstock Breakdown'!$CY$3*'Feedstock Conversion Rates'!$B$6)/12</f>
        <v>7.4258333333333342</v>
      </c>
      <c r="CZ416" s="106">
        <f t="shared" si="398"/>
        <v>13.767083333333334</v>
      </c>
      <c r="DA416" s="104">
        <f>('Renewable Diesel'!$AP425*'RD Feedstock Breakdown'!DA$3*'Feedstock Conversion Rates'!$B$3)/12</f>
        <v>6.3412499999999996</v>
      </c>
      <c r="DB416" s="104">
        <f>('Renewable Diesel'!$AP425*'RD Feedstock Breakdown'!DB$3*'Feedstock Conversion Rates'!$B$8)/12</f>
        <v>7.421875</v>
      </c>
      <c r="DC416" s="106">
        <f t="shared" si="422"/>
        <v>13.763124999999999</v>
      </c>
      <c r="DD416" s="104">
        <f>('Renewable Diesel'!AQ425*$DD$3*'Feedstock Conversion Rates'!$B$14)/12</f>
        <v>3.1041666666666665</v>
      </c>
      <c r="DE416" s="106">
        <f t="shared" si="423"/>
        <v>3.1041666666666665</v>
      </c>
      <c r="DF416" s="104">
        <f>('Renewable Diesel'!AR425*'Feedstock Conversion Rates'!$B$4*$DF$3)/12</f>
        <v>75</v>
      </c>
      <c r="DG416" s="106">
        <f t="shared" si="399"/>
        <v>75</v>
      </c>
      <c r="DH416" s="104">
        <f>('Renewable Diesel'!AS425*'Feedstock Conversion Rates'!$B$4*$DH$3)/12</f>
        <v>75</v>
      </c>
      <c r="DI416" s="106">
        <f t="shared" si="411"/>
        <v>75</v>
      </c>
      <c r="DJ416" s="104">
        <f>('Renewable Diesel'!AT425*'Feedstock Conversion Rates'!$B$4*0.25)/12</f>
        <v>8.59375</v>
      </c>
      <c r="DK416" s="104">
        <f>('Renewable Diesel'!$AT425*'RD Feedstock Breakdown'!DK$3*'Feedstock Conversion Rates'!$B$3)/12*0.5</f>
        <v>9.1781249999999996</v>
      </c>
      <c r="DL416" s="104">
        <f>('Renewable Diesel'!$AT425*'RD Feedstock Breakdown'!$DL$3*'Feedstock Conversion Rates'!$B$6)/12</f>
        <v>10.747916666666669</v>
      </c>
      <c r="DM416" s="104">
        <f>('Renewable Diesel'!$AT425*'RD Feedstock Breakdown'!$DM$3*'Feedstock Conversion Rates'!$B$8)/12</f>
        <v>10.7421875</v>
      </c>
      <c r="DN416" s="106">
        <f t="shared" si="453"/>
        <v>39.26197916666667</v>
      </c>
      <c r="DP416" s="104">
        <f t="shared" si="426"/>
        <v>103.22025000000001</v>
      </c>
      <c r="DQ416" s="104">
        <f t="shared" si="427"/>
        <v>349.11776750000007</v>
      </c>
      <c r="DR416" s="104">
        <f t="shared" si="432"/>
        <v>1891.953125</v>
      </c>
      <c r="DS416" s="104">
        <f t="shared" si="444"/>
        <v>228.90125</v>
      </c>
      <c r="DT416" s="104">
        <f t="shared" si="428"/>
        <v>243.03923333333344</v>
      </c>
      <c r="DU416" s="104">
        <f t="shared" si="429"/>
        <v>402.90610000000009</v>
      </c>
      <c r="DV416" s="104">
        <f t="shared" si="433"/>
        <v>78.75</v>
      </c>
      <c r="DW416" s="104">
        <f t="shared" si="430"/>
        <v>3</v>
      </c>
      <c r="DX416" s="106">
        <f t="shared" si="434"/>
        <v>3300.8877258333337</v>
      </c>
      <c r="DY416" s="109">
        <f t="shared" si="421"/>
        <v>-5.631051180898794E-13</v>
      </c>
      <c r="EA416" s="110">
        <f t="shared" si="424"/>
        <v>3.1270451640078516E-2</v>
      </c>
      <c r="EB416" s="110">
        <f t="shared" si="424"/>
        <v>0.10576481131658687</v>
      </c>
      <c r="EC416" s="110">
        <f t="shared" si="424"/>
        <v>0.57316494293133291</v>
      </c>
      <c r="ED416" s="110">
        <f t="shared" si="424"/>
        <v>6.9345360706629972E-2</v>
      </c>
      <c r="EE416" s="110">
        <f t="shared" si="424"/>
        <v>7.3628445896921982E-2</v>
      </c>
      <c r="EF416" s="110">
        <f t="shared" si="424"/>
        <v>0.1220599225010852</v>
      </c>
      <c r="EG416" s="110">
        <f t="shared" si="384"/>
        <v>2.3857218585075921E-2</v>
      </c>
      <c r="EH416" s="111">
        <f t="shared" si="435"/>
        <v>9.0884642228860647E-4</v>
      </c>
      <c r="EI416" s="110">
        <f t="shared" si="409"/>
        <v>0.99909115357771139</v>
      </c>
      <c r="EK416" s="132">
        <f>(EA416*'Renewable Diesel'!BF425*'Feedstock Conversion Rates'!B$2)+FB416</f>
        <v>553.22761904141521</v>
      </c>
      <c r="EL416" s="132">
        <f>(EB416*'Renewable Diesel'!BF425*'Feedstock Conversion Rates'!B$3)+FC416</f>
        <v>1763.2930224964987</v>
      </c>
      <c r="EM416" s="132">
        <f>(EC416*'Renewable Diesel'!BF425*'Feedstock Conversion Rates'!B$4)+FD416</f>
        <v>8947.2929403961425</v>
      </c>
      <c r="EN416" s="132">
        <f>(ED416*'Renewable Diesel'!BF425*'Feedstock Conversion Rates'!B$5)+FE416</f>
        <v>1089.720540386365</v>
      </c>
      <c r="EO416" s="132">
        <f>(EE416*'Renewable Diesel'!BF425*'Feedstock Conversion Rates'!B$6)+FF416</f>
        <v>1437.4715104429681</v>
      </c>
      <c r="EP416" s="132">
        <f>(EF416*'Renewable Diesel'!BF425*'Feedstock Conversion Rates'!B$7)+FG416</f>
        <v>2337.2851036068805</v>
      </c>
      <c r="EQ416" s="132">
        <f>(EG416*'Renewable Diesel'!BF425*'Feedstock Conversion Rates'!B$8)+FH416</f>
        <v>465.5237686294397</v>
      </c>
      <c r="ER416" s="132">
        <f>(EH416*'Renewable Diesel'!BF425*'Feedstock Conversion Rates'!B$9)+FI416</f>
        <v>17.497782287531955</v>
      </c>
      <c r="ES416" s="132">
        <f t="shared" si="436"/>
        <v>16611.312287287245</v>
      </c>
      <c r="ET416" s="133">
        <f>ES416/'Renewable Diesel'!BF425</f>
        <v>17.237593695323795</v>
      </c>
      <c r="EW416" s="73">
        <f t="shared" si="386"/>
        <v>15426.937463491744</v>
      </c>
      <c r="EX416" s="73">
        <f t="shared" si="387"/>
        <v>10104.7285378708</v>
      </c>
      <c r="EY416" s="92">
        <f t="shared" si="410"/>
        <v>0.9287007068850357</v>
      </c>
      <c r="EZ416" s="92">
        <f t="shared" si="410"/>
        <v>0.60830404986149234</v>
      </c>
      <c r="FB416" s="102">
        <f>IF('Renewable Diesel'!$BG425&lt;1,0,(((('Renewable Diesel'!$BG425-1)*'Renewable Diesel'!$BF425)*'RD Feedstock Breakdown'!EA416)*'Feedstock Conversion Rates'!$B$2))</f>
        <v>297.08586298879624</v>
      </c>
      <c r="FC416" s="102">
        <f>IF('Renewable Diesel'!$BG425&lt;1,0,(((('Renewable Diesel'!$BG425-1)*'Renewable Diesel'!$BF425)*'RD Feedstock Breakdown'!EB416)*'Feedstock Conversion Rates'!$B$3))</f>
        <v>946.89674061858284</v>
      </c>
      <c r="FD416" s="102">
        <f>IF('Renewable Diesel'!$BG425&lt;1,0,(((('Renewable Diesel'!$BG425-1)*'Renewable Diesel'!$BF425)*'RD Feedstock Breakdown'!EC416)*'Feedstock Conversion Rates'!$B$4))</f>
        <v>4804.7388689973604</v>
      </c>
      <c r="FE416" s="102">
        <f>IF('Renewable Diesel'!$BG425&lt;1,0,(((('Renewable Diesel'!$BG425-1)*'Renewable Diesel'!$BF425)*'RD Feedstock Breakdown'!ED416)*'Feedstock Conversion Rates'!$B$5))</f>
        <v>585.18511371187526</v>
      </c>
      <c r="FF416" s="102">
        <f>IF('Renewable Diesel'!$BG425&lt;1,0,(((('Renewable Diesel'!$BG425-1)*'Renewable Diesel'!$BF425)*'RD Feedstock Breakdown'!EE416)*'Feedstock Conversion Rates'!$B$6))</f>
        <v>771.92903879549067</v>
      </c>
      <c r="FG416" s="102">
        <f>IF('Renewable Diesel'!$BG425&lt;1,0,(((('Renewable Diesel'!$BG425-1)*'Renewable Diesel'!$BF425)*'RD Feedstock Breakdown'!EF416)*'Feedstock Conversion Rates'!$B$7))</f>
        <v>1255.1332185096969</v>
      </c>
      <c r="FH416" s="102">
        <f>IF('Renewable Diesel'!$BG425&lt;1,0,(((('Renewable Diesel'!$BG425-1)*'Renewable Diesel'!$BF425)*'RD Feedstock Breakdown'!EG416)*'Feedstock Conversion Rates'!$B$8))</f>
        <v>249.98847813257936</v>
      </c>
      <c r="FI416" s="102">
        <f>IF('Renewable Diesel'!$BG425&lt;1,0,(((('Renewable Diesel'!$BG425-1)*'Renewable Diesel'!$BF425)*'RD Feedstock Breakdown'!EH416)*'Feedstock Conversion Rates'!$B$9))</f>
        <v>9.3963923209198086</v>
      </c>
      <c r="FJ416" s="102">
        <f t="shared" si="388"/>
        <v>8920.3537140753015</v>
      </c>
      <c r="GD416" s="91">
        <f>'Renewable Diesel'!BB425*0.32</f>
        <v>0</v>
      </c>
      <c r="GE416" s="91">
        <f>'Renewable Diesel'!BC425</f>
        <v>480.69618774489999</v>
      </c>
      <c r="GF416" s="91">
        <f>'Renewable Diesel'!BD425</f>
        <v>0</v>
      </c>
      <c r="GG416" s="91">
        <f t="shared" si="451"/>
        <v>480.69618774489999</v>
      </c>
      <c r="GH416" s="124">
        <v>1</v>
      </c>
      <c r="GI416" s="102">
        <f>$GG416*EA416*'Feedstock Conversion Rates'!$B$2</f>
        <v>127.76848858579947</v>
      </c>
      <c r="GJ416" s="102">
        <f>$GG416*EB416*'Feedstock Conversion Rates'!$B$3</f>
        <v>407.23434019551013</v>
      </c>
      <c r="GK416" s="102">
        <f>$GG416*EC416*'Feedstock Conversion Rates'!$B$4</f>
        <v>2066.3865226208618</v>
      </c>
      <c r="GL416" s="102">
        <f>$GG416*ED416*'Feedstock Conversion Rates'!$B$5</f>
        <v>251.67208149751366</v>
      </c>
      <c r="GM416" s="102">
        <f>$GG416*EE416*'Feedstock Conversion Rates'!$B$6</f>
        <v>331.98552630593639</v>
      </c>
      <c r="GN416" s="102">
        <f>$GG416*EF416*'Feedstock Conversion Rates'!$B$7</f>
        <v>539.79840268892826</v>
      </c>
      <c r="GO416" s="102">
        <f>$GG416*EG416*'Feedstock Conversion Rates'!$B$8</f>
        <v>107.51319397540099</v>
      </c>
      <c r="GP416" s="102">
        <f>$GG416*EH416*'Feedstock Conversion Rates'!B$9</f>
        <v>4.0411308465674534</v>
      </c>
      <c r="GQ416" s="102">
        <f t="shared" si="437"/>
        <v>3836.3996867165179</v>
      </c>
      <c r="GT416" s="103">
        <f t="shared" si="418"/>
        <v>3.3304269372191886E-2</v>
      </c>
      <c r="GU416" s="103">
        <f t="shared" si="416"/>
        <v>0.10615013383656387</v>
      </c>
      <c r="GV416" s="103">
        <f t="shared" si="416"/>
        <v>0.53862649654979822</v>
      </c>
      <c r="GW416" s="103">
        <f t="shared" si="416"/>
        <v>6.5601110950176761E-2</v>
      </c>
      <c r="GX416" s="103">
        <f t="shared" si="416"/>
        <v>8.653569841938831E-2</v>
      </c>
      <c r="GY416" s="103">
        <f t="shared" si="416"/>
        <v>0.14070442257566981</v>
      </c>
      <c r="GZ416" s="103">
        <f t="shared" si="416"/>
        <v>2.8024502855545516E-2</v>
      </c>
      <c r="HA416" s="103">
        <f t="shared" si="416"/>
        <v>1.053365440665584E-3</v>
      </c>
    </row>
    <row r="417" spans="1:209" x14ac:dyDescent="0.25">
      <c r="A417" s="96">
        <v>53114</v>
      </c>
      <c r="B417" s="104">
        <f t="shared" si="406"/>
        <v>44.25</v>
      </c>
      <c r="C417" s="104">
        <f t="shared" si="396"/>
        <v>49</v>
      </c>
      <c r="D417" s="104">
        <f t="shared" si="407"/>
        <v>2</v>
      </c>
      <c r="E417" s="104">
        <f>('Renewable Diesel'!B426*E$3*'Feedstock Conversion Rates'!$B$2)/12+26+13-100+27.5+39</f>
        <v>95.43</v>
      </c>
      <c r="F417" s="104">
        <f>('Renewable Diesel'!B426*'RD Feedstock Breakdown'!F$3*'Feedstock Conversion Rates'!B$8)/12+77+23-10-12-115.75+24+8</f>
        <v>48.15625</v>
      </c>
      <c r="G417" s="104">
        <f>('Renewable Diesel'!B426*'RD Feedstock Breakdown'!G$3*'Feedstock Conversion Rates'!B$7)/12+116.75-39-57.5-145-31.5+32+70-40+10+60</f>
        <v>151.90700000000004</v>
      </c>
      <c r="H417" s="104">
        <f>('Renewable Diesel'!B426*'RD Feedstock Breakdown'!H$3*'Feedstock Conversion Rates'!B$3)/12+67+10+12+3-235+20+47-20+25</f>
        <v>105.40022499999998</v>
      </c>
      <c r="I417" s="106">
        <f t="shared" si="449"/>
        <v>496.14347500000002</v>
      </c>
      <c r="J417" s="104">
        <f t="shared" si="417"/>
        <v>4</v>
      </c>
      <c r="K417" s="104"/>
      <c r="L417" s="104">
        <v>1</v>
      </c>
      <c r="M417" s="104">
        <f>('Renewable Diesel'!C426*'RD Feedstock Breakdown'!M$3*'Feedstock Conversion Rates'!B$2)/12</f>
        <v>7.7902500000000003</v>
      </c>
      <c r="N417" s="104">
        <f>('Renewable Diesel'!C426*'RD Feedstock Breakdown'!N$3*'Feedstock Conversion Rates'!B$8)/12</f>
        <v>3.671875</v>
      </c>
      <c r="O417" s="104">
        <f>('Renewable Diesel'!C426*'RD Feedstock Breakdown'!O$3*'Feedstock Conversion Rates'!B$7)/12</f>
        <v>11.9991</v>
      </c>
      <c r="P417" s="104">
        <f>('Renewable Diesel'!C426*'RD Feedstock Breakdown'!P$3*'Feedstock Conversion Rates'!B$3)/12</f>
        <v>10.4470425</v>
      </c>
      <c r="Q417" s="106">
        <f t="shared" ref="Q417:Q480" si="455">SUM(J417:P417)</f>
        <v>38.908267500000001</v>
      </c>
      <c r="R417" s="104">
        <f>('Renewable Diesel'!D426*'RD Feedstock Breakdown'!R$3*'Feedstock Conversion Rates'!B$7)/12</f>
        <v>2.2999999999999998</v>
      </c>
      <c r="S417" s="106">
        <f t="shared" si="414"/>
        <v>2.2999999999999998</v>
      </c>
      <c r="T417" s="104">
        <f t="shared" ref="T417:T480" si="456">5.825+20-25</f>
        <v>0.82499999999999929</v>
      </c>
      <c r="U417" s="104"/>
      <c r="V417" s="104">
        <f>('Renewable Diesel'!E426*'RD Feedstock Breakdown'!V$3*'Feedstock Conversion Rates'!B$6)/12-20+25</f>
        <v>49.250150000000012</v>
      </c>
      <c r="W417" s="104">
        <f>('Renewable Diesel'!E426*'RD Feedstock Breakdown'!W$3*'Feedstock Conversion Rates'!B$8)/12-6</f>
        <v>16.1796875</v>
      </c>
      <c r="X417" s="106">
        <f t="shared" si="438"/>
        <v>66.254837500000008</v>
      </c>
      <c r="Y417" s="104">
        <f t="shared" ref="Y417:Y480" si="457">142-15-5-24</f>
        <v>98</v>
      </c>
      <c r="Z417" s="104">
        <f>('Renewable Diesel'!F426*'RD Feedstock Breakdown'!Z$3*'Feedstock Conversion Rates'!B$6)/12-142+15+5+20+5+15</f>
        <v>77.460000000000008</v>
      </c>
      <c r="AA417" s="104">
        <f>('Renewable Diesel'!F426*'RD Feedstock Breakdown'!AA$3*'Feedstock Conversion Rates'!B$7)/12+24</f>
        <v>128.26666666666665</v>
      </c>
      <c r="AB417" s="106">
        <f t="shared" si="400"/>
        <v>303.72666666666669</v>
      </c>
      <c r="AC417" s="104">
        <f>('Renewable Diesel'!G426*'RD Feedstock Breakdown'!AC$3*'Feedstock Conversion Rates'!B$5)/12</f>
        <v>11.796875</v>
      </c>
      <c r="AD417" s="104">
        <f>('Renewable Diesel'!G426*'RD Feedstock Breakdown'!AD$3*'Feedstock Conversion Rates'!B$4)/12</f>
        <v>5.859375</v>
      </c>
      <c r="AE417" s="104">
        <f>('Renewable Diesel'!G426*'RD Feedstock Breakdown'!AE$3*'Feedstock Conversion Rates'!B$6)/12</f>
        <v>7.3281250000000009</v>
      </c>
      <c r="AF417" s="106">
        <f t="shared" si="445"/>
        <v>24.984375</v>
      </c>
      <c r="AG417" s="104">
        <f t="shared" si="383"/>
        <v>148</v>
      </c>
      <c r="AH417" s="104"/>
      <c r="AI417" s="104">
        <f>('Renewable Diesel'!H426*'RD Feedstock Breakdown'!AI$3*'Feedstock Conversion Rates'!B$6)/12-130-20+51-49</f>
        <v>0.51666666666667993</v>
      </c>
      <c r="AJ417" s="106">
        <f t="shared" si="413"/>
        <v>148.51666666666668</v>
      </c>
      <c r="AK417" s="104">
        <f>('Renewable Diesel'!J426*'RD Feedstock Breakdown'!AK$3*'Feedstock Conversion Rates'!B$4)/12</f>
        <v>95.8125</v>
      </c>
      <c r="AL417" s="106">
        <f t="shared" si="415"/>
        <v>95.8125</v>
      </c>
      <c r="AM417" s="104">
        <f>('Renewable Diesel'!K426*'RD Feedstock Breakdown'!AM$3*'Feedstock Conversion Rates'!B$4)/12+5+15-10+10</f>
        <v>78.59375</v>
      </c>
      <c r="AN417" s="104">
        <f>('Renewable Diesel'!K426*'RD Feedstock Breakdown'!AN$3*'Feedstock Conversion Rates'!B$6)/12-5-15+10-10</f>
        <v>4.4270833333333321</v>
      </c>
      <c r="AO417" s="106">
        <f t="shared" si="431"/>
        <v>83.020833333333329</v>
      </c>
      <c r="AP417" s="104">
        <f>('Renewable Diesel'!L426*'RD Feedstock Breakdown'!AP$3*'Feedstock Conversion Rates'!B$4)/12+15-10+15</f>
        <v>78.59375</v>
      </c>
      <c r="AQ417" s="104">
        <f>('Renewable Diesel'!L426*'RD Feedstock Breakdown'!AQ$3*'Feedstock Conversion Rates'!B$6)/12-15+10-15</f>
        <v>4.4270833333333321</v>
      </c>
      <c r="AR417" s="106">
        <f t="shared" si="420"/>
        <v>83.020833333333329</v>
      </c>
      <c r="AS417" s="104">
        <f>('Renewable Diesel'!M426*'RD Feedstock Breakdown'!AS$3*'Feedstock Conversion Rates'!B$4)/12</f>
        <v>456.25</v>
      </c>
      <c r="AT417" s="104">
        <f>('Renewable Diesel'!M426*'RD Feedstock Breakdown'!AT$3*'Feedstock Conversion Rates'!B$5)/12</f>
        <v>0</v>
      </c>
      <c r="AU417" s="106">
        <f t="shared" si="448"/>
        <v>456.25</v>
      </c>
      <c r="AV417" s="104">
        <f>'Renewable Diesel'!N426*'RD Feedstock Breakdown'!$AV$3*'Feedstock Conversion Rates'!$B$4/12-15-10+25+25-22+25</f>
        <v>106.74999999999999</v>
      </c>
      <c r="AW417" s="104">
        <f>'Renewable Diesel'!N426*'RD Feedstock Breakdown'!$AW$3*'Feedstock Conversion Rates'!$B$7/12+15+10-25-25+22-25</f>
        <v>13.400000000000006</v>
      </c>
      <c r="AX417" s="106">
        <f t="shared" si="408"/>
        <v>120.14999999999999</v>
      </c>
      <c r="AY417" s="104">
        <f>('Renewable Diesel'!O426*'RD Feedstock Breakdown'!AY$3*'Feedstock Conversion Rates'!B$4)/12</f>
        <v>210.9375</v>
      </c>
      <c r="AZ417" s="104">
        <f>('Renewable Diesel'!O426*'RD Feedstock Breakdown'!AZ$3*'Feedstock Conversion Rates'!B$3)/12</f>
        <v>25.03125</v>
      </c>
      <c r="BA417" s="106">
        <f t="shared" ref="BA417:BA480" si="458">SUM(AY417:AZ417)</f>
        <v>235.96875</v>
      </c>
      <c r="BB417" s="104">
        <f>('Renewable Diesel'!Q426*'RD Feedstock Breakdown'!BB$3*'Feedstock Conversion Rates'!B$4)/12</f>
        <v>11.156249999999998</v>
      </c>
      <c r="BC417" s="104">
        <f>('Renewable Diesel'!Q426*'RD Feedstock Breakdown'!BC$3*'Feedstock Conversion Rates'!B$3)/12</f>
        <v>1.4017500000000001</v>
      </c>
      <c r="BD417" s="104">
        <f>('Renewable Diesel'!Q426*'RD Feedstock Breakdown'!BD$3*'Feedstock Conversion Rates'!B$6)/12</f>
        <v>0.8207500000000002</v>
      </c>
      <c r="BE417" s="106">
        <f t="shared" si="440"/>
        <v>13.378749999999998</v>
      </c>
      <c r="BF417" s="104">
        <f>('Renewable Diesel'!R426*'RD Feedstock Breakdown'!BF$3*'Feedstock Conversion Rates'!B$4)/12</f>
        <v>62.5</v>
      </c>
      <c r="BG417" s="106">
        <f t="shared" si="425"/>
        <v>62.5</v>
      </c>
      <c r="BH417" s="104">
        <f>('Renewable Diesel'!T426*'RD Feedstock Breakdown'!BH$3*'Feedstock Conversion Rates'!B$7)/12</f>
        <v>27.599999999999998</v>
      </c>
      <c r="BI417" s="106">
        <f t="shared" si="412"/>
        <v>27.599999999999998</v>
      </c>
      <c r="BJ417" s="104">
        <f>('Renewable Diesel'!W426*'RD Feedstock Breakdown'!BJ$3*'Feedstock Conversion Rates'!B$4)/12</f>
        <v>7.5</v>
      </c>
      <c r="BK417" s="104">
        <f>('Renewable Diesel'!W426*'RD Feedstock Breakdown'!BK$3*'Feedstock Conversion Rates'!B$3)/12</f>
        <v>1.335</v>
      </c>
      <c r="BL417" s="104">
        <f>('Renewable Diesel'!W426*'RD Feedstock Breakdown'!BL$3*'Feedstock Conversion Rates'!B$6)/12</f>
        <v>3.1266666666666669</v>
      </c>
      <c r="BM417" s="104">
        <f>('Renewable Diesel'!W426*'RD Feedstock Breakdown'!BM$3*'Feedstock Conversion Rates'!B$7)/12</f>
        <v>1.5333333333333332</v>
      </c>
      <c r="BN417" s="106">
        <f t="shared" si="452"/>
        <v>13.495000000000001</v>
      </c>
      <c r="BO417" s="104">
        <f>('Renewable Diesel'!P426*'Feedstock Conversion Rates'!B$4)/12</f>
        <v>31.25</v>
      </c>
      <c r="BP417" s="106">
        <f t="shared" si="446"/>
        <v>31.25</v>
      </c>
      <c r="BQ417" s="104">
        <f>('Renewable Diesel'!$S426*'RD Feedstock Breakdown'!BQ$3*'Feedstock Conversion Rates'!B$4)/12+10+15-15</f>
        <v>38.125</v>
      </c>
      <c r="BR417" s="104">
        <f>('Renewable Diesel'!$S426*'RD Feedstock Breakdown'!BR$3*'Feedstock Conversion Rates'!B$7)/12-10-15+15</f>
        <v>1.5</v>
      </c>
      <c r="BS417" s="106">
        <f t="shared" si="385"/>
        <v>39.625</v>
      </c>
      <c r="BT417" s="106"/>
      <c r="BU417" s="104">
        <f>('Renewable Diesel'!Y426*'Feedstock Conversion Rates'!B$7)/12</f>
        <v>2.6833333333333331</v>
      </c>
      <c r="BV417" s="106">
        <f t="shared" si="442"/>
        <v>2.6833333333333331</v>
      </c>
      <c r="BW417" s="104">
        <f>('Renewable Diesel'!$Z426*'RD Feedstock Breakdown'!BW$3*'Feedstock Conversion Rates'!$B$4)/12-250+180</f>
        <v>1.875</v>
      </c>
      <c r="BX417" s="104">
        <f>('Renewable Diesel'!$Z426*'RD Feedstock Breakdown'!BX$3*'Feedstock Conversion Rates'!$B$5)/12</f>
        <v>7.2354166666666666</v>
      </c>
      <c r="BY417" s="104">
        <f>('Renewable Diesel'!$Z426*'RD Feedstock Breakdown'!BY$3*'Feedstock Conversion Rates'!$B$7)/12</f>
        <v>61.716666666666661</v>
      </c>
      <c r="BZ417" s="104">
        <f>('Renewable Diesel'!$Z426*'RD Feedstock Breakdown'!BZ$3*'Feedstock Conversion Rates'!$B$3)/12+250-180</f>
        <v>85.35250000000002</v>
      </c>
      <c r="CA417" s="106">
        <f t="shared" si="392"/>
        <v>156.17958333333334</v>
      </c>
      <c r="CB417" s="104">
        <f>('Renewable Diesel'!AA426*'Feedstock Conversion Rates'!B$4)/12</f>
        <v>191.25</v>
      </c>
      <c r="CC417" s="106">
        <f t="shared" si="454"/>
        <v>191.25</v>
      </c>
      <c r="CD417" s="104">
        <f>('Renewable Diesel'!$AB426*'RD Feedstock Breakdown'!CD$3*'Feedstock Conversion Rates'!$B$6)/12-15-5</f>
        <v>12.830000000000005</v>
      </c>
      <c r="CE417" s="104">
        <f>('Renewable Diesel'!$AB426*'RD Feedstock Breakdown'!CE$3*'Feedstock Conversion Rates'!$B$4)/12+15+5</f>
        <v>31.25</v>
      </c>
      <c r="CF417" s="106">
        <f t="shared" si="450"/>
        <v>44.080000000000005</v>
      </c>
      <c r="CG417" s="104">
        <f>('Renewable Diesel'!AD426*'Feedstock Conversion Rates'!B$4)/12</f>
        <v>112.5</v>
      </c>
      <c r="CH417" s="106">
        <f t="shared" si="439"/>
        <v>112.5</v>
      </c>
      <c r="CI417" s="104">
        <f>('Renewable Diesel'!$AE426*'RD Feedstock Breakdown'!CI$3*'Feedstock Conversion Rates'!$B$5)/12</f>
        <v>0.34604166666666664</v>
      </c>
      <c r="CJ417" s="104">
        <f>('Renewable Diesel'!$AE426*'RD Feedstock Breakdown'!CJ$3*'Feedstock Conversion Rates'!$B$4)/12</f>
        <v>0.34375</v>
      </c>
      <c r="CK417" s="106">
        <f t="shared" si="447"/>
        <v>0.68979166666666658</v>
      </c>
      <c r="CL417" s="104">
        <f>(((CL$3*'Renewable Diesel'!$AF426)*'Feedstock Conversion Rates'!$B$3)/12)</f>
        <v>91.78125</v>
      </c>
      <c r="CM417" s="104">
        <f>(((CM$3*'Renewable Diesel'!$AF426)*'Feedstock Conversion Rates'!$B$6)/12)</f>
        <v>53.739583333333336</v>
      </c>
      <c r="CN417" s="104">
        <f>(((CN$3*'Renewable Diesel'!$AF426)*'Feedstock Conversion Rates'!$B$4)/12)</f>
        <v>42.96875</v>
      </c>
      <c r="CO417" s="106">
        <f t="shared" si="441"/>
        <v>188.48958333333334</v>
      </c>
      <c r="CP417" s="104">
        <f>('Renewable Diesel'!$AG426*'RD Feedstock Breakdown'!CP$3*'Feedstock Conversion Rates'!$B$3)/12</f>
        <v>6.0075000000000003</v>
      </c>
      <c r="CQ417" s="104">
        <f>('Renewable Diesel'!$AG426*'RD Feedstock Breakdown'!CQ$3*'Feedstock Conversion Rates'!$B$6)/12</f>
        <v>3.5175000000000001</v>
      </c>
      <c r="CR417" s="104">
        <f>('Renewable Diesel'!$AG426*'RD Feedstock Breakdown'!CR$3*'Feedstock Conversion Rates'!$B$4)/12</f>
        <v>2.8125</v>
      </c>
      <c r="CS417" s="106">
        <f t="shared" si="397"/>
        <v>12.3375</v>
      </c>
      <c r="CT417" s="104">
        <f>('Renewable Diesel'!AI426*'Feedstock Conversion Rates'!$B$4*'RD Feedstock Breakdown'!$CT$3)/12</f>
        <v>29.375</v>
      </c>
      <c r="CU417" s="106">
        <f t="shared" si="443"/>
        <v>29.375</v>
      </c>
      <c r="CV417" s="104">
        <f>('Renewable Diesel'!AN426*'Feedstock Conversion Rates'!$B$3*'RD Feedstock Breakdown'!$CV$3)/12</f>
        <v>0.50062499999999999</v>
      </c>
      <c r="CW417" s="106">
        <f t="shared" si="419"/>
        <v>0.50062499999999999</v>
      </c>
      <c r="CX417" s="104">
        <f>('Renewable Diesel'!AO426*'RD Feedstock Breakdown'!$CX$3*'Feedstock Conversion Rates'!$B$3)/12</f>
        <v>6.3412499999999996</v>
      </c>
      <c r="CY417" s="104">
        <f>('Renewable Diesel'!AO426*'RD Feedstock Breakdown'!$CY$3*'Feedstock Conversion Rates'!$B$6)/12</f>
        <v>7.4258333333333342</v>
      </c>
      <c r="CZ417" s="106">
        <f t="shared" si="398"/>
        <v>13.767083333333334</v>
      </c>
      <c r="DA417" s="104">
        <f>('Renewable Diesel'!$AP426*'RD Feedstock Breakdown'!DA$3*'Feedstock Conversion Rates'!$B$3)/12</f>
        <v>6.3412499999999996</v>
      </c>
      <c r="DB417" s="104">
        <f>('Renewable Diesel'!$AP426*'RD Feedstock Breakdown'!DB$3*'Feedstock Conversion Rates'!$B$8)/12</f>
        <v>7.421875</v>
      </c>
      <c r="DC417" s="106">
        <f t="shared" si="422"/>
        <v>13.763124999999999</v>
      </c>
      <c r="DD417" s="104">
        <f>('Renewable Diesel'!AQ426*$DD$3*'Feedstock Conversion Rates'!$B$14)/12</f>
        <v>3.1041666666666665</v>
      </c>
      <c r="DE417" s="106">
        <f t="shared" si="423"/>
        <v>3.1041666666666665</v>
      </c>
      <c r="DF417" s="104">
        <f>('Renewable Diesel'!AR426*'Feedstock Conversion Rates'!$B$4*$DF$3)/12</f>
        <v>75</v>
      </c>
      <c r="DG417" s="106">
        <f t="shared" si="399"/>
        <v>75</v>
      </c>
      <c r="DH417" s="104">
        <f>('Renewable Diesel'!AS426*'Feedstock Conversion Rates'!$B$4*$DH$3)/12</f>
        <v>75</v>
      </c>
      <c r="DI417" s="106">
        <f t="shared" si="411"/>
        <v>75</v>
      </c>
      <c r="DJ417" s="104">
        <f>('Renewable Diesel'!AT426*'Feedstock Conversion Rates'!$B$4*0.25)/12</f>
        <v>8.59375</v>
      </c>
      <c r="DK417" s="104">
        <f>('Renewable Diesel'!$AT426*'RD Feedstock Breakdown'!DK$3*'Feedstock Conversion Rates'!$B$3)/12*0.5</f>
        <v>9.1781249999999996</v>
      </c>
      <c r="DL417" s="104">
        <f>('Renewable Diesel'!$AT426*'RD Feedstock Breakdown'!$DL$3*'Feedstock Conversion Rates'!$B$6)/12</f>
        <v>10.747916666666669</v>
      </c>
      <c r="DM417" s="104">
        <f>('Renewable Diesel'!$AT426*'RD Feedstock Breakdown'!$DM$3*'Feedstock Conversion Rates'!$B$8)/12</f>
        <v>10.7421875</v>
      </c>
      <c r="DN417" s="106">
        <f t="shared" si="453"/>
        <v>39.26197916666667</v>
      </c>
      <c r="DP417" s="104">
        <f t="shared" si="426"/>
        <v>103.22025000000001</v>
      </c>
      <c r="DQ417" s="104">
        <f t="shared" si="427"/>
        <v>349.11776750000007</v>
      </c>
      <c r="DR417" s="104">
        <f t="shared" si="432"/>
        <v>1891.953125</v>
      </c>
      <c r="DS417" s="104">
        <f t="shared" si="444"/>
        <v>228.90125</v>
      </c>
      <c r="DT417" s="104">
        <f t="shared" si="428"/>
        <v>243.03923333333344</v>
      </c>
      <c r="DU417" s="104">
        <f t="shared" si="429"/>
        <v>402.90610000000009</v>
      </c>
      <c r="DV417" s="104">
        <f t="shared" si="433"/>
        <v>78.75</v>
      </c>
      <c r="DW417" s="104">
        <f t="shared" si="430"/>
        <v>3</v>
      </c>
      <c r="DX417" s="106">
        <f t="shared" si="434"/>
        <v>3300.8877258333337</v>
      </c>
      <c r="DY417" s="109">
        <f t="shared" si="421"/>
        <v>-5.631051180898794E-13</v>
      </c>
      <c r="EA417" s="110">
        <f t="shared" si="424"/>
        <v>3.1270451640078516E-2</v>
      </c>
      <c r="EB417" s="110">
        <f t="shared" si="424"/>
        <v>0.10576481131658687</v>
      </c>
      <c r="EC417" s="110">
        <f t="shared" si="424"/>
        <v>0.57316494293133291</v>
      </c>
      <c r="ED417" s="110">
        <f t="shared" si="424"/>
        <v>6.9345360706629972E-2</v>
      </c>
      <c r="EE417" s="110">
        <f t="shared" si="424"/>
        <v>7.3628445896921982E-2</v>
      </c>
      <c r="EF417" s="110">
        <f t="shared" si="424"/>
        <v>0.1220599225010852</v>
      </c>
      <c r="EG417" s="110">
        <f t="shared" si="384"/>
        <v>2.3857218585075921E-2</v>
      </c>
      <c r="EH417" s="111">
        <f t="shared" si="435"/>
        <v>9.0884642228860647E-4</v>
      </c>
      <c r="EI417" s="110">
        <f t="shared" si="409"/>
        <v>0.99909115357771139</v>
      </c>
      <c r="EK417" s="132">
        <f>(EA417*'Renewable Diesel'!BF426*'Feedstock Conversion Rates'!B$2)+FB417</f>
        <v>506.79072976704254</v>
      </c>
      <c r="EL417" s="132">
        <f>(EB417*'Renewable Diesel'!BF426*'Feedstock Conversion Rates'!B$3)+FC417</f>
        <v>1615.2855116173027</v>
      </c>
      <c r="EM417" s="132">
        <f>(EC417*'Renewable Diesel'!BF426*'Feedstock Conversion Rates'!B$4)+FD417</f>
        <v>8196.2739433719744</v>
      </c>
      <c r="EN417" s="132">
        <f>(ED417*'Renewable Diesel'!BF426*'Feedstock Conversion Rates'!B$5)+FE417</f>
        <v>998.25144099177555</v>
      </c>
      <c r="EO417" s="132">
        <f>(EE417*'Renewable Diesel'!BF426*'Feedstock Conversion Rates'!B$6)+FF417</f>
        <v>1316.8128465079189</v>
      </c>
      <c r="EP417" s="132">
        <f>(EF417*'Renewable Diesel'!BF426*'Feedstock Conversion Rates'!B$7)+FG417</f>
        <v>2141.097773431833</v>
      </c>
      <c r="EQ417" s="132">
        <f>(EG417*'Renewable Diesel'!BF426*'Feedstock Conversion Rates'!B$8)+FH417</f>
        <v>426.4485761509967</v>
      </c>
      <c r="ER417" s="132">
        <f>(EH417*'Renewable Diesel'!BF426*'Feedstock Conversion Rates'!B$9)+FI417</f>
        <v>16.02905124326286</v>
      </c>
      <c r="ES417" s="132">
        <f t="shared" si="436"/>
        <v>15216.989873082106</v>
      </c>
      <c r="ET417" s="133">
        <f>ES417/'Renewable Diesel'!BF426</f>
        <v>16.230011389510175</v>
      </c>
      <c r="EW417" s="73">
        <f t="shared" si="386"/>
        <v>13867.747271147577</v>
      </c>
      <c r="EX417" s="73">
        <f t="shared" si="387"/>
        <v>9083.4504215996039</v>
      </c>
      <c r="EY417" s="92">
        <f t="shared" si="410"/>
        <v>0.91133314714750158</v>
      </c>
      <c r="EZ417" s="92">
        <f t="shared" si="410"/>
        <v>0.59692820310458738</v>
      </c>
      <c r="FB417" s="102">
        <f>IF('Renewable Diesel'!$BG426&lt;1,0,(((('Renewable Diesel'!$BG426-1)*'Renewable Diesel'!$BF426)*'RD Feedstock Breakdown'!EA417)*'Feedstock Conversion Rates'!$B$2))</f>
        <v>257.58214060663863</v>
      </c>
      <c r="FC417" s="102">
        <f>IF('Renewable Diesel'!$BG426&lt;1,0,(((('Renewable Diesel'!$BG426-1)*'Renewable Diesel'!$BF426)*'RD Feedstock Breakdown'!EB417)*'Feedstock Conversion Rates'!$B$3))</f>
        <v>820.9871951772468</v>
      </c>
      <c r="FD417" s="102">
        <f>IF('Renewable Diesel'!$BG426&lt;1,0,(((('Renewable Diesel'!$BG426-1)*'Renewable Diesel'!$BF426)*'RD Feedstock Breakdown'!EC417)*'Feedstock Conversion Rates'!$B$4))</f>
        <v>4165.8492614942543</v>
      </c>
      <c r="FE417" s="102">
        <f>IF('Renewable Diesel'!$BG426&lt;1,0,(((('Renewable Diesel'!$BG426-1)*'Renewable Diesel'!$BF426)*'RD Feedstock Breakdown'!ED417)*'Feedstock Conversion Rates'!$B$5))</f>
        <v>507.37262528957336</v>
      </c>
      <c r="FF417" s="102">
        <f>IF('Renewable Diesel'!$BG426&lt;1,0,(((('Renewable Diesel'!$BG426-1)*'Renewable Diesel'!$BF426)*'RD Feedstock Breakdown'!EE417)*'Feedstock Conversion Rates'!$B$6))</f>
        <v>669.28507539541181</v>
      </c>
      <c r="FG417" s="102">
        <f>IF('Renewable Diesel'!$BG426&lt;1,0,(((('Renewable Diesel'!$BG426-1)*'Renewable Diesel'!$BF426)*'RD Feedstock Breakdown'!EF417)*'Feedstock Conversion Rates'!$B$7))</f>
        <v>1088.2372453462046</v>
      </c>
      <c r="FH417" s="102">
        <f>IF('Renewable Diesel'!$BG426&lt;1,0,(((('Renewable Diesel'!$BG426-1)*'Renewable Diesel'!$BF426)*'RD Feedstock Breakdown'!EG417)*'Feedstock Conversion Rates'!$B$8))</f>
        <v>216.7473291275864</v>
      </c>
      <c r="FI417" s="102">
        <f>IF('Renewable Diesel'!$BG426&lt;1,0,(((('Renewable Diesel'!$BG426-1)*'Renewable Diesel'!$BF426)*'RD Feedstock Breakdown'!EH417)*'Feedstock Conversion Rates'!$B$9))</f>
        <v>8.1469472281607072</v>
      </c>
      <c r="FJ417" s="102">
        <f t="shared" si="388"/>
        <v>7734.2078196650764</v>
      </c>
      <c r="GD417" s="91">
        <f>'Renewable Diesel'!BB426*0.32</f>
        <v>0</v>
      </c>
      <c r="GE417" s="91">
        <f>'Renewable Diesel'!BC426</f>
        <v>458.55133662133386</v>
      </c>
      <c r="GF417" s="91">
        <f>'Renewable Diesel'!BD426</f>
        <v>0</v>
      </c>
      <c r="GG417" s="91">
        <f t="shared" si="451"/>
        <v>458.55133662133386</v>
      </c>
      <c r="GH417" s="124">
        <v>1</v>
      </c>
      <c r="GI417" s="102">
        <f>$GG417*EA417*'Feedstock Conversion Rates'!$B$2</f>
        <v>121.88241286864168</v>
      </c>
      <c r="GJ417" s="102">
        <f>$GG417*EB417*'Feedstock Conversion Rates'!$B$3</f>
        <v>388.4737507297599</v>
      </c>
      <c r="GK417" s="102">
        <f>$GG417*EC417*'Feedstock Conversion Rates'!$B$4</f>
        <v>1971.1916301423994</v>
      </c>
      <c r="GL417" s="102">
        <f>$GG417*ED417*'Feedstock Conversion Rates'!$B$5</f>
        <v>240.07797919587841</v>
      </c>
      <c r="GM417" s="102">
        <f>$GG417*EE417*'Feedstock Conversion Rates'!$B$6</f>
        <v>316.69152098063267</v>
      </c>
      <c r="GN417" s="102">
        <f>$GG417*EF417*'Feedstock Conversion Rates'!$B$7</f>
        <v>514.93081361907514</v>
      </c>
      <c r="GO417" s="102">
        <f>$GG417*EG417*'Feedstock Conversion Rates'!$B$8</f>
        <v>102.56024503363024</v>
      </c>
      <c r="GP417" s="102">
        <f>$GG417*EH417*'Feedstock Conversion Rates'!B$9</f>
        <v>3.8549628609466087</v>
      </c>
      <c r="GQ417" s="102">
        <f t="shared" si="437"/>
        <v>3659.6633154309638</v>
      </c>
      <c r="GT417" s="103">
        <f t="shared" si="418"/>
        <v>3.3304269372191886E-2</v>
      </c>
      <c r="GU417" s="103">
        <f t="shared" si="416"/>
        <v>0.10615013383656387</v>
      </c>
      <c r="GV417" s="103">
        <f t="shared" si="416"/>
        <v>0.53862649654979822</v>
      </c>
      <c r="GW417" s="103">
        <f t="shared" si="416"/>
        <v>6.5601110950176761E-2</v>
      </c>
      <c r="GX417" s="103">
        <f t="shared" si="416"/>
        <v>8.653569841938831E-2</v>
      </c>
      <c r="GY417" s="103">
        <f t="shared" si="416"/>
        <v>0.14070442257566981</v>
      </c>
      <c r="GZ417" s="103">
        <f t="shared" si="416"/>
        <v>2.8024502855545516E-2</v>
      </c>
      <c r="HA417" s="103">
        <f t="shared" si="416"/>
        <v>1.0533654406655838E-3</v>
      </c>
    </row>
    <row r="418" spans="1:209" x14ac:dyDescent="0.25">
      <c r="A418" s="96">
        <v>53144</v>
      </c>
      <c r="B418" s="104">
        <f t="shared" si="406"/>
        <v>44.25</v>
      </c>
      <c r="C418" s="104">
        <f t="shared" si="396"/>
        <v>49</v>
      </c>
      <c r="D418" s="104">
        <f t="shared" si="407"/>
        <v>2</v>
      </c>
      <c r="E418" s="104">
        <f>('Renewable Diesel'!B427*E$3*'Feedstock Conversion Rates'!$B$2)/12+26+13-100+27.5+39</f>
        <v>95.43</v>
      </c>
      <c r="F418" s="104">
        <f>('Renewable Diesel'!B427*'RD Feedstock Breakdown'!F$3*'Feedstock Conversion Rates'!B$8)/12+77+23-10-12-115.75+24+8</f>
        <v>48.15625</v>
      </c>
      <c r="G418" s="104">
        <f>('Renewable Diesel'!B427*'RD Feedstock Breakdown'!G$3*'Feedstock Conversion Rates'!B$7)/12+116.75-39-57.5-145-31.5+32+70-40+10+60</f>
        <v>151.90700000000004</v>
      </c>
      <c r="H418" s="104">
        <f>('Renewable Diesel'!B427*'RD Feedstock Breakdown'!H$3*'Feedstock Conversion Rates'!B$3)/12+67+10+12+3-235+20+47-20+25</f>
        <v>105.40022499999998</v>
      </c>
      <c r="I418" s="106">
        <f t="shared" si="449"/>
        <v>496.14347500000002</v>
      </c>
      <c r="J418" s="104">
        <f t="shared" si="417"/>
        <v>4</v>
      </c>
      <c r="K418" s="104"/>
      <c r="L418" s="104">
        <v>1</v>
      </c>
      <c r="M418" s="104">
        <f>('Renewable Diesel'!C427*'RD Feedstock Breakdown'!M$3*'Feedstock Conversion Rates'!B$2)/12</f>
        <v>7.7902500000000003</v>
      </c>
      <c r="N418" s="104">
        <f>('Renewable Diesel'!C427*'RD Feedstock Breakdown'!N$3*'Feedstock Conversion Rates'!B$8)/12</f>
        <v>3.671875</v>
      </c>
      <c r="O418" s="104">
        <f>('Renewable Diesel'!C427*'RD Feedstock Breakdown'!O$3*'Feedstock Conversion Rates'!B$7)/12</f>
        <v>11.9991</v>
      </c>
      <c r="P418" s="104">
        <f>('Renewable Diesel'!C427*'RD Feedstock Breakdown'!P$3*'Feedstock Conversion Rates'!B$3)/12</f>
        <v>10.4470425</v>
      </c>
      <c r="Q418" s="106">
        <f t="shared" si="455"/>
        <v>38.908267500000001</v>
      </c>
      <c r="R418" s="104">
        <f>('Renewable Diesel'!D427*'RD Feedstock Breakdown'!R$3*'Feedstock Conversion Rates'!B$7)/12</f>
        <v>2.2999999999999998</v>
      </c>
      <c r="S418" s="106">
        <f t="shared" si="414"/>
        <v>2.2999999999999998</v>
      </c>
      <c r="T418" s="104">
        <f t="shared" si="456"/>
        <v>0.82499999999999929</v>
      </c>
      <c r="U418" s="104"/>
      <c r="V418" s="104">
        <f>('Renewable Diesel'!E427*'RD Feedstock Breakdown'!V$3*'Feedstock Conversion Rates'!B$6)/12-20+25</f>
        <v>49.250150000000012</v>
      </c>
      <c r="W418" s="104">
        <f>('Renewable Diesel'!E427*'RD Feedstock Breakdown'!W$3*'Feedstock Conversion Rates'!B$8)/12-6</f>
        <v>16.1796875</v>
      </c>
      <c r="X418" s="106">
        <f t="shared" si="438"/>
        <v>66.254837500000008</v>
      </c>
      <c r="Y418" s="104">
        <f t="shared" si="457"/>
        <v>98</v>
      </c>
      <c r="Z418" s="104">
        <f>('Renewable Diesel'!F427*'RD Feedstock Breakdown'!Z$3*'Feedstock Conversion Rates'!B$6)/12-142+15+5+20+5+15</f>
        <v>77.460000000000008</v>
      </c>
      <c r="AA418" s="104">
        <f>('Renewable Diesel'!F427*'RD Feedstock Breakdown'!AA$3*'Feedstock Conversion Rates'!B$7)/12+24</f>
        <v>128.26666666666665</v>
      </c>
      <c r="AB418" s="106">
        <f t="shared" si="400"/>
        <v>303.72666666666669</v>
      </c>
      <c r="AC418" s="104">
        <f>('Renewable Diesel'!G427*'RD Feedstock Breakdown'!AC$3*'Feedstock Conversion Rates'!B$5)/12</f>
        <v>11.796875</v>
      </c>
      <c r="AD418" s="104">
        <f>('Renewable Diesel'!G427*'RD Feedstock Breakdown'!AD$3*'Feedstock Conversion Rates'!B$4)/12</f>
        <v>5.859375</v>
      </c>
      <c r="AE418" s="104">
        <f>('Renewable Diesel'!G427*'RD Feedstock Breakdown'!AE$3*'Feedstock Conversion Rates'!B$6)/12</f>
        <v>7.3281250000000009</v>
      </c>
      <c r="AF418" s="106">
        <f t="shared" si="445"/>
        <v>24.984375</v>
      </c>
      <c r="AG418" s="104">
        <f t="shared" ref="AG418:AG481" si="459">130+20-51+49</f>
        <v>148</v>
      </c>
      <c r="AH418" s="104"/>
      <c r="AI418" s="104">
        <f>('Renewable Diesel'!H427*'RD Feedstock Breakdown'!AI$3*'Feedstock Conversion Rates'!B$6)/12-130-20+51-49</f>
        <v>0.51666666666667993</v>
      </c>
      <c r="AJ418" s="106">
        <f t="shared" si="413"/>
        <v>148.51666666666668</v>
      </c>
      <c r="AK418" s="104">
        <f>('Renewable Diesel'!J427*'RD Feedstock Breakdown'!AK$3*'Feedstock Conversion Rates'!B$4)/12</f>
        <v>95.8125</v>
      </c>
      <c r="AL418" s="106">
        <f t="shared" si="415"/>
        <v>95.8125</v>
      </c>
      <c r="AM418" s="104">
        <f>('Renewable Diesel'!K427*'RD Feedstock Breakdown'!AM$3*'Feedstock Conversion Rates'!B$4)/12+5+15-10+10</f>
        <v>78.59375</v>
      </c>
      <c r="AN418" s="104">
        <f>('Renewable Diesel'!K427*'RD Feedstock Breakdown'!AN$3*'Feedstock Conversion Rates'!B$6)/12-5-15+10-10</f>
        <v>4.4270833333333321</v>
      </c>
      <c r="AO418" s="106">
        <f t="shared" si="431"/>
        <v>83.020833333333329</v>
      </c>
      <c r="AP418" s="104">
        <f>('Renewable Diesel'!L427*'RD Feedstock Breakdown'!AP$3*'Feedstock Conversion Rates'!B$4)/12+15-10+15</f>
        <v>78.59375</v>
      </c>
      <c r="AQ418" s="104">
        <f>('Renewable Diesel'!L427*'RD Feedstock Breakdown'!AQ$3*'Feedstock Conversion Rates'!B$6)/12-15+10-15</f>
        <v>4.4270833333333321</v>
      </c>
      <c r="AR418" s="106">
        <f t="shared" si="420"/>
        <v>83.020833333333329</v>
      </c>
      <c r="AS418" s="104">
        <f>('Renewable Diesel'!M427*'RD Feedstock Breakdown'!AS$3*'Feedstock Conversion Rates'!B$4)/12</f>
        <v>456.25</v>
      </c>
      <c r="AT418" s="104">
        <f>('Renewable Diesel'!M427*'RD Feedstock Breakdown'!AT$3*'Feedstock Conversion Rates'!B$5)/12</f>
        <v>0</v>
      </c>
      <c r="AU418" s="106">
        <f t="shared" si="448"/>
        <v>456.25</v>
      </c>
      <c r="AV418" s="104">
        <f>'Renewable Diesel'!N427*'RD Feedstock Breakdown'!$AV$3*'Feedstock Conversion Rates'!$B$4/12-15-10+25+25-22+25</f>
        <v>106.74999999999999</v>
      </c>
      <c r="AW418" s="104">
        <f>'Renewable Diesel'!N427*'RD Feedstock Breakdown'!$AW$3*'Feedstock Conversion Rates'!$B$7/12+15+10-25-25+22-25</f>
        <v>13.400000000000006</v>
      </c>
      <c r="AX418" s="106">
        <f t="shared" si="408"/>
        <v>120.14999999999999</v>
      </c>
      <c r="AY418" s="104">
        <f>('Renewable Diesel'!O427*'RD Feedstock Breakdown'!AY$3*'Feedstock Conversion Rates'!B$4)/12</f>
        <v>210.9375</v>
      </c>
      <c r="AZ418" s="104">
        <f>('Renewable Diesel'!O427*'RD Feedstock Breakdown'!AZ$3*'Feedstock Conversion Rates'!B$3)/12</f>
        <v>25.03125</v>
      </c>
      <c r="BA418" s="106">
        <f t="shared" si="458"/>
        <v>235.96875</v>
      </c>
      <c r="BB418" s="104">
        <f>('Renewable Diesel'!Q427*'RD Feedstock Breakdown'!BB$3*'Feedstock Conversion Rates'!B$4)/12</f>
        <v>11.156249999999998</v>
      </c>
      <c r="BC418" s="104">
        <f>('Renewable Diesel'!Q427*'RD Feedstock Breakdown'!BC$3*'Feedstock Conversion Rates'!B$3)/12</f>
        <v>1.4017500000000001</v>
      </c>
      <c r="BD418" s="104">
        <f>('Renewable Diesel'!Q427*'RD Feedstock Breakdown'!BD$3*'Feedstock Conversion Rates'!B$6)/12</f>
        <v>0.8207500000000002</v>
      </c>
      <c r="BE418" s="106">
        <f t="shared" si="440"/>
        <v>13.378749999999998</v>
      </c>
      <c r="BF418" s="104">
        <f>('Renewable Diesel'!R427*'RD Feedstock Breakdown'!BF$3*'Feedstock Conversion Rates'!B$4)/12</f>
        <v>62.5</v>
      </c>
      <c r="BG418" s="106">
        <f t="shared" si="425"/>
        <v>62.5</v>
      </c>
      <c r="BH418" s="104">
        <f>('Renewable Diesel'!T427*'RD Feedstock Breakdown'!BH$3*'Feedstock Conversion Rates'!B$7)/12</f>
        <v>27.599999999999998</v>
      </c>
      <c r="BI418" s="106">
        <f t="shared" si="412"/>
        <v>27.599999999999998</v>
      </c>
      <c r="BJ418" s="104">
        <f>('Renewable Diesel'!W427*'RD Feedstock Breakdown'!BJ$3*'Feedstock Conversion Rates'!B$4)/12</f>
        <v>7.5</v>
      </c>
      <c r="BK418" s="104">
        <f>('Renewable Diesel'!W427*'RD Feedstock Breakdown'!BK$3*'Feedstock Conversion Rates'!B$3)/12</f>
        <v>1.335</v>
      </c>
      <c r="BL418" s="104">
        <f>('Renewable Diesel'!W427*'RD Feedstock Breakdown'!BL$3*'Feedstock Conversion Rates'!B$6)/12</f>
        <v>3.1266666666666669</v>
      </c>
      <c r="BM418" s="104">
        <f>('Renewable Diesel'!W427*'RD Feedstock Breakdown'!BM$3*'Feedstock Conversion Rates'!B$7)/12</f>
        <v>1.5333333333333332</v>
      </c>
      <c r="BN418" s="106">
        <f t="shared" si="452"/>
        <v>13.495000000000001</v>
      </c>
      <c r="BO418" s="104">
        <f>('Renewable Diesel'!P427*'Feedstock Conversion Rates'!B$4)/12</f>
        <v>31.25</v>
      </c>
      <c r="BP418" s="106">
        <f t="shared" si="446"/>
        <v>31.25</v>
      </c>
      <c r="BQ418" s="104">
        <f>('Renewable Diesel'!$S427*'RD Feedstock Breakdown'!BQ$3*'Feedstock Conversion Rates'!B$4)/12+10+15-15</f>
        <v>38.125</v>
      </c>
      <c r="BR418" s="104">
        <f>('Renewable Diesel'!$S427*'RD Feedstock Breakdown'!BR$3*'Feedstock Conversion Rates'!B$7)/12-10-15+15</f>
        <v>1.5</v>
      </c>
      <c r="BS418" s="106">
        <f t="shared" si="385"/>
        <v>39.625</v>
      </c>
      <c r="BT418" s="106"/>
      <c r="BU418" s="104">
        <f>('Renewable Diesel'!Y427*'Feedstock Conversion Rates'!B$7)/12</f>
        <v>2.6833333333333331</v>
      </c>
      <c r="BV418" s="106">
        <f t="shared" si="442"/>
        <v>2.6833333333333331</v>
      </c>
      <c r="BW418" s="104">
        <f>('Renewable Diesel'!$Z427*'RD Feedstock Breakdown'!BW$3*'Feedstock Conversion Rates'!$B$4)/12-250+180</f>
        <v>1.875</v>
      </c>
      <c r="BX418" s="104">
        <f>('Renewable Diesel'!$Z427*'RD Feedstock Breakdown'!BX$3*'Feedstock Conversion Rates'!$B$5)/12</f>
        <v>7.2354166666666666</v>
      </c>
      <c r="BY418" s="104">
        <f>('Renewable Diesel'!$Z427*'RD Feedstock Breakdown'!BY$3*'Feedstock Conversion Rates'!$B$7)/12</f>
        <v>61.716666666666661</v>
      </c>
      <c r="BZ418" s="104">
        <f>('Renewable Diesel'!$Z427*'RD Feedstock Breakdown'!BZ$3*'Feedstock Conversion Rates'!$B$3)/12+250-180</f>
        <v>85.35250000000002</v>
      </c>
      <c r="CA418" s="106">
        <f t="shared" si="392"/>
        <v>156.17958333333334</v>
      </c>
      <c r="CB418" s="104">
        <f>('Renewable Diesel'!AA427*'Feedstock Conversion Rates'!B$4)/12</f>
        <v>191.25</v>
      </c>
      <c r="CC418" s="106">
        <f t="shared" si="454"/>
        <v>191.25</v>
      </c>
      <c r="CD418" s="104">
        <f>('Renewable Diesel'!$AB427*'RD Feedstock Breakdown'!CD$3*'Feedstock Conversion Rates'!$B$6)/12-15-5</f>
        <v>12.830000000000005</v>
      </c>
      <c r="CE418" s="104">
        <f>('Renewable Diesel'!$AB427*'RD Feedstock Breakdown'!CE$3*'Feedstock Conversion Rates'!$B$4)/12+15+5</f>
        <v>31.25</v>
      </c>
      <c r="CF418" s="106">
        <f t="shared" si="450"/>
        <v>44.080000000000005</v>
      </c>
      <c r="CG418" s="104">
        <f>('Renewable Diesel'!AD427*'Feedstock Conversion Rates'!B$4)/12</f>
        <v>112.5</v>
      </c>
      <c r="CH418" s="106">
        <f t="shared" si="439"/>
        <v>112.5</v>
      </c>
      <c r="CI418" s="104">
        <f>('Renewable Diesel'!$AE427*'RD Feedstock Breakdown'!CI$3*'Feedstock Conversion Rates'!$B$5)/12</f>
        <v>0.34604166666666664</v>
      </c>
      <c r="CJ418" s="104">
        <f>('Renewable Diesel'!$AE427*'RD Feedstock Breakdown'!CJ$3*'Feedstock Conversion Rates'!$B$4)/12</f>
        <v>0.34375</v>
      </c>
      <c r="CK418" s="106">
        <f t="shared" si="447"/>
        <v>0.68979166666666658</v>
      </c>
      <c r="CL418" s="104">
        <f>(((CL$3*'Renewable Diesel'!$AF427)*'Feedstock Conversion Rates'!$B$3)/12)</f>
        <v>91.78125</v>
      </c>
      <c r="CM418" s="104">
        <f>(((CM$3*'Renewable Diesel'!$AF427)*'Feedstock Conversion Rates'!$B$6)/12)</f>
        <v>53.739583333333336</v>
      </c>
      <c r="CN418" s="104">
        <f>(((CN$3*'Renewable Diesel'!$AF427)*'Feedstock Conversion Rates'!$B$4)/12)</f>
        <v>42.96875</v>
      </c>
      <c r="CO418" s="106">
        <f t="shared" si="441"/>
        <v>188.48958333333334</v>
      </c>
      <c r="CP418" s="104">
        <f>('Renewable Diesel'!$AG427*'RD Feedstock Breakdown'!CP$3*'Feedstock Conversion Rates'!$B$3)/12</f>
        <v>6.0075000000000003</v>
      </c>
      <c r="CQ418" s="104">
        <f>('Renewable Diesel'!$AG427*'RD Feedstock Breakdown'!CQ$3*'Feedstock Conversion Rates'!$B$6)/12</f>
        <v>3.5175000000000001</v>
      </c>
      <c r="CR418" s="104">
        <f>('Renewable Diesel'!$AG427*'RD Feedstock Breakdown'!CR$3*'Feedstock Conversion Rates'!$B$4)/12</f>
        <v>2.8125</v>
      </c>
      <c r="CS418" s="106">
        <f t="shared" si="397"/>
        <v>12.3375</v>
      </c>
      <c r="CT418" s="104">
        <f>('Renewable Diesel'!AI427*'Feedstock Conversion Rates'!$B$4*'RD Feedstock Breakdown'!$CT$3)/12</f>
        <v>29.375</v>
      </c>
      <c r="CU418" s="106">
        <f t="shared" si="443"/>
        <v>29.375</v>
      </c>
      <c r="CV418" s="104">
        <f>('Renewable Diesel'!AN427*'Feedstock Conversion Rates'!$B$3*'RD Feedstock Breakdown'!$CV$3)/12</f>
        <v>0.50062499999999999</v>
      </c>
      <c r="CW418" s="106">
        <f t="shared" si="419"/>
        <v>0.50062499999999999</v>
      </c>
      <c r="CX418" s="104">
        <f>('Renewable Diesel'!AO427*'RD Feedstock Breakdown'!$CX$3*'Feedstock Conversion Rates'!$B$3)/12</f>
        <v>6.3412499999999996</v>
      </c>
      <c r="CY418" s="104">
        <f>('Renewable Diesel'!AO427*'RD Feedstock Breakdown'!$CY$3*'Feedstock Conversion Rates'!$B$6)/12</f>
        <v>7.4258333333333342</v>
      </c>
      <c r="CZ418" s="106">
        <f t="shared" si="398"/>
        <v>13.767083333333334</v>
      </c>
      <c r="DA418" s="104">
        <f>('Renewable Diesel'!$AP427*'RD Feedstock Breakdown'!DA$3*'Feedstock Conversion Rates'!$B$3)/12</f>
        <v>6.3412499999999996</v>
      </c>
      <c r="DB418" s="104">
        <f>('Renewable Diesel'!$AP427*'RD Feedstock Breakdown'!DB$3*'Feedstock Conversion Rates'!$B$8)/12</f>
        <v>7.421875</v>
      </c>
      <c r="DC418" s="106">
        <f t="shared" si="422"/>
        <v>13.763124999999999</v>
      </c>
      <c r="DD418" s="104">
        <f>('Renewable Diesel'!AQ427*$DD$3*'Feedstock Conversion Rates'!$B$14)/12</f>
        <v>3.1041666666666665</v>
      </c>
      <c r="DE418" s="106">
        <f t="shared" si="423"/>
        <v>3.1041666666666665</v>
      </c>
      <c r="DF418" s="104">
        <f>('Renewable Diesel'!AR427*'Feedstock Conversion Rates'!$B$4*$DF$3)/12</f>
        <v>75</v>
      </c>
      <c r="DG418" s="106">
        <f t="shared" si="399"/>
        <v>75</v>
      </c>
      <c r="DH418" s="104">
        <f>('Renewable Diesel'!AS427*'Feedstock Conversion Rates'!$B$4*$DH$3)/12</f>
        <v>75</v>
      </c>
      <c r="DI418" s="106">
        <f t="shared" si="411"/>
        <v>75</v>
      </c>
      <c r="DJ418" s="104">
        <f>('Renewable Diesel'!AT427*'Feedstock Conversion Rates'!$B$4*0.25)/12</f>
        <v>8.59375</v>
      </c>
      <c r="DK418" s="104">
        <f>('Renewable Diesel'!$AT427*'RD Feedstock Breakdown'!DK$3*'Feedstock Conversion Rates'!$B$3)/12*0.5</f>
        <v>9.1781249999999996</v>
      </c>
      <c r="DL418" s="104">
        <f>('Renewable Diesel'!$AT427*'RD Feedstock Breakdown'!$DL$3*'Feedstock Conversion Rates'!$B$6)/12</f>
        <v>10.747916666666669</v>
      </c>
      <c r="DM418" s="104">
        <f>('Renewable Diesel'!$AT427*'RD Feedstock Breakdown'!$DM$3*'Feedstock Conversion Rates'!$B$8)/12</f>
        <v>10.7421875</v>
      </c>
      <c r="DN418" s="106">
        <f t="shared" si="453"/>
        <v>39.26197916666667</v>
      </c>
      <c r="DP418" s="104">
        <f t="shared" si="426"/>
        <v>103.22025000000001</v>
      </c>
      <c r="DQ418" s="104">
        <f t="shared" si="427"/>
        <v>349.11776750000007</v>
      </c>
      <c r="DR418" s="104">
        <f t="shared" si="432"/>
        <v>1891.953125</v>
      </c>
      <c r="DS418" s="104">
        <f t="shared" si="444"/>
        <v>228.90125</v>
      </c>
      <c r="DT418" s="104">
        <f t="shared" si="428"/>
        <v>243.03923333333344</v>
      </c>
      <c r="DU418" s="104">
        <f t="shared" si="429"/>
        <v>402.90610000000009</v>
      </c>
      <c r="DV418" s="104">
        <f t="shared" si="433"/>
        <v>78.75</v>
      </c>
      <c r="DW418" s="104">
        <f t="shared" si="430"/>
        <v>3</v>
      </c>
      <c r="DX418" s="106">
        <f t="shared" si="434"/>
        <v>3300.8877258333337</v>
      </c>
      <c r="DY418" s="109">
        <f t="shared" si="421"/>
        <v>-5.631051180898794E-13</v>
      </c>
      <c r="EA418" s="110">
        <f t="shared" si="424"/>
        <v>3.1270451640078516E-2</v>
      </c>
      <c r="EB418" s="110">
        <f t="shared" si="424"/>
        <v>0.10576481131658687</v>
      </c>
      <c r="EC418" s="110">
        <f t="shared" si="424"/>
        <v>0.57316494293133291</v>
      </c>
      <c r="ED418" s="110">
        <f t="shared" si="424"/>
        <v>6.9345360706629972E-2</v>
      </c>
      <c r="EE418" s="110">
        <f t="shared" si="424"/>
        <v>7.3628445896921982E-2</v>
      </c>
      <c r="EF418" s="110">
        <f t="shared" si="424"/>
        <v>0.1220599225010852</v>
      </c>
      <c r="EG418" s="110">
        <f t="shared" si="384"/>
        <v>2.3857218585075921E-2</v>
      </c>
      <c r="EH418" s="111">
        <f t="shared" si="435"/>
        <v>9.0884642228860647E-4</v>
      </c>
      <c r="EI418" s="110">
        <f t="shared" si="409"/>
        <v>0.99909115357771139</v>
      </c>
      <c r="EK418" s="132">
        <f>(EA418*'Renewable Diesel'!BF427*'Feedstock Conversion Rates'!B$2)+FB418</f>
        <v>558.20273320875367</v>
      </c>
      <c r="EL418" s="132">
        <f>(EB418*'Renewable Diesel'!BF427*'Feedstock Conversion Rates'!B$3)+FC418</f>
        <v>1779.1501196396093</v>
      </c>
      <c r="EM418" s="132">
        <f>(EC418*'Renewable Diesel'!BF427*'Feedstock Conversion Rates'!B$4)+FD418</f>
        <v>9027.7549461510644</v>
      </c>
      <c r="EN418" s="132">
        <f>(ED418*'Renewable Diesel'!BF427*'Feedstock Conversion Rates'!B$5)+FE418</f>
        <v>1099.5202754543825</v>
      </c>
      <c r="EO418" s="132">
        <f>(EE418*'Renewable Diesel'!BF427*'Feedstock Conversion Rates'!B$6)+FF418</f>
        <v>1450.3985311313818</v>
      </c>
      <c r="EP418" s="132">
        <f>(EF418*'Renewable Diesel'!BF427*'Feedstock Conversion Rates'!B$7)+FG418</f>
        <v>2358.3040474047557</v>
      </c>
      <c r="EQ418" s="132">
        <f>(EG418*'Renewable Diesel'!BF427*'Feedstock Conversion Rates'!B$8)+FH418</f>
        <v>469.7101718689492</v>
      </c>
      <c r="ER418" s="132">
        <f>(EH418*'Renewable Diesel'!BF427*'Feedstock Conversion Rates'!B$9)+FI418</f>
        <v>17.655137888661457</v>
      </c>
      <c r="ES418" s="132">
        <f t="shared" si="436"/>
        <v>16760.695962747555</v>
      </c>
      <c r="ET418" s="133">
        <f>ES418/'Renewable Diesel'!BF427</f>
        <v>17.314928096650227</v>
      </c>
      <c r="EW418" s="73">
        <f t="shared" si="386"/>
        <v>15586.612334212226</v>
      </c>
      <c r="EX418" s="73">
        <f t="shared" si="387"/>
        <v>10209.316452793539</v>
      </c>
      <c r="EY418" s="92">
        <f t="shared" si="410"/>
        <v>0.92995018636786586</v>
      </c>
      <c r="EZ418" s="92">
        <f t="shared" si="410"/>
        <v>0.60912246576662687</v>
      </c>
      <c r="FB418" s="102">
        <f>IF('Renewable Diesel'!$BG427&lt;1,0,(((('Renewable Diesel'!$BG427-1)*'Renewable Diesel'!$BF427)*'RD Feedstock Breakdown'!EA418)*'Feedstock Conversion Rates'!$B$2))</f>
        <v>300.91182781956542</v>
      </c>
      <c r="FC418" s="102">
        <f>IF('Renewable Diesel'!$BG427&lt;1,0,(((('Renewable Diesel'!$BG427-1)*'Renewable Diesel'!$BF427)*'RD Feedstock Breakdown'!EB418)*'Feedstock Conversion Rates'!$B$3))</f>
        <v>959.09117353952388</v>
      </c>
      <c r="FD418" s="102">
        <f>IF('Renewable Diesel'!$BG427&lt;1,0,(((('Renewable Diesel'!$BG427-1)*'Renewable Diesel'!$BF427)*'RD Feedstock Breakdown'!EC418)*'Feedstock Conversion Rates'!$B$4))</f>
        <v>4866.6158016419377</v>
      </c>
      <c r="FE418" s="102">
        <f>IF('Renewable Diesel'!$BG427&lt;1,0,(((('Renewable Diesel'!$BG427-1)*'Renewable Diesel'!$BF427)*'RD Feedstock Breakdown'!ED418)*'Feedstock Conversion Rates'!$B$5))</f>
        <v>592.72131096484168</v>
      </c>
      <c r="FF418" s="102">
        <f>IF('Renewable Diesel'!$BG427&lt;1,0,(((('Renewable Diesel'!$BG427-1)*'Renewable Diesel'!$BF427)*'RD Feedstock Breakdown'!EE418)*'Feedstock Conversion Rates'!$B$6))</f>
        <v>781.87018282896634</v>
      </c>
      <c r="FG418" s="102">
        <f>IF('Renewable Diesel'!$BG427&lt;1,0,(((('Renewable Diesel'!$BG427-1)*'Renewable Diesel'!$BF427)*'RD Feedstock Breakdown'!EF418)*'Feedstock Conversion Rates'!$B$7))</f>
        <v>1271.2972173739897</v>
      </c>
      <c r="FH418" s="102">
        <f>IF('Renewable Diesel'!$BG427&lt;1,0,(((('Renewable Diesel'!$BG427-1)*'Renewable Diesel'!$BF427)*'RD Feedstock Breakdown'!EG418)*'Feedstock Conversion Rates'!$B$8))</f>
        <v>253.20790808394275</v>
      </c>
      <c r="FI418" s="102">
        <f>IF('Renewable Diesel'!$BG427&lt;1,0,(((('Renewable Diesel'!$BG427-1)*'Renewable Diesel'!$BF427)*'RD Feedstock Breakdown'!EH418)*'Feedstock Conversion Rates'!$B$9))</f>
        <v>9.5174020054408963</v>
      </c>
      <c r="FJ418" s="102">
        <f t="shared" si="388"/>
        <v>9035.232824258208</v>
      </c>
      <c r="GD418" s="91">
        <f>'Renewable Diesel'!BB427*0.32</f>
        <v>0</v>
      </c>
      <c r="GE418" s="91">
        <f>'Renewable Diesel'!BC427</f>
        <v>498.80464153052043</v>
      </c>
      <c r="GF418" s="91">
        <f>'Renewable Diesel'!BD427</f>
        <v>0</v>
      </c>
      <c r="GG418" s="91">
        <f t="shared" si="451"/>
        <v>498.80464153052043</v>
      </c>
      <c r="GH418" s="124">
        <v>1</v>
      </c>
      <c r="GI418" s="102">
        <f>$GG418*EA418*'Feedstock Conversion Rates'!$B$2</f>
        <v>132.58169457702812</v>
      </c>
      <c r="GJ418" s="102">
        <f>$GG418*EB418*'Feedstock Conversion Rates'!$B$3</f>
        <v>422.57539015045904</v>
      </c>
      <c r="GK418" s="102">
        <f>$GG418*EC418*'Feedstock Conversion Rates'!$B$4</f>
        <v>2144.2300042254356</v>
      </c>
      <c r="GL418" s="102">
        <f>$GG418*ED418*'Feedstock Conversion Rates'!$B$5</f>
        <v>261.15289780751777</v>
      </c>
      <c r="GM418" s="102">
        <f>$GG418*EE418*'Feedstock Conversion Rates'!$B$6</f>
        <v>344.49185507215554</v>
      </c>
      <c r="GN418" s="102">
        <f>$GG418*EF418*'Feedstock Conversion Rates'!$B$7</f>
        <v>560.13331417325151</v>
      </c>
      <c r="GO418" s="102">
        <f>$GG418*EG418*'Feedstock Conversion Rates'!$B$8</f>
        <v>111.5633565397881</v>
      </c>
      <c r="GP418" s="102">
        <f>$GG418*EH418*'Feedstock Conversion Rates'!B$9</f>
        <v>4.1933655283526701</v>
      </c>
      <c r="GQ418" s="102">
        <f t="shared" si="437"/>
        <v>3980.921878073988</v>
      </c>
      <c r="GT418" s="103">
        <f t="shared" si="418"/>
        <v>3.3304269372191893E-2</v>
      </c>
      <c r="GU418" s="103">
        <f t="shared" si="416"/>
        <v>0.1061501338365639</v>
      </c>
      <c r="GV418" s="103">
        <f t="shared" si="416"/>
        <v>0.53862649654979833</v>
      </c>
      <c r="GW418" s="103">
        <f t="shared" si="416"/>
        <v>6.5601110950176775E-2</v>
      </c>
      <c r="GX418" s="103">
        <f t="shared" si="416"/>
        <v>8.653569841938831E-2</v>
      </c>
      <c r="GY418" s="103">
        <f t="shared" si="416"/>
        <v>0.14070442257566984</v>
      </c>
      <c r="GZ418" s="103">
        <f t="shared" si="416"/>
        <v>2.8024502855545527E-2</v>
      </c>
      <c r="HA418" s="103">
        <f t="shared" si="416"/>
        <v>1.053365440665584E-3</v>
      </c>
    </row>
    <row r="419" spans="1:209" x14ac:dyDescent="0.25">
      <c r="A419" s="96">
        <v>53175</v>
      </c>
      <c r="B419" s="104">
        <f t="shared" si="406"/>
        <v>44.25</v>
      </c>
      <c r="C419" s="104">
        <f t="shared" si="396"/>
        <v>49</v>
      </c>
      <c r="D419" s="104">
        <f t="shared" si="407"/>
        <v>2</v>
      </c>
      <c r="E419" s="104">
        <f>('Renewable Diesel'!B428*E$3*'Feedstock Conversion Rates'!$B$2)/12+26+13-100+27.5+39</f>
        <v>95.43</v>
      </c>
      <c r="F419" s="104">
        <f>('Renewable Diesel'!B428*'RD Feedstock Breakdown'!F$3*'Feedstock Conversion Rates'!B$8)/12+77+23-10-12-115.75+24+8</f>
        <v>48.15625</v>
      </c>
      <c r="G419" s="104">
        <f>('Renewable Diesel'!B428*'RD Feedstock Breakdown'!G$3*'Feedstock Conversion Rates'!B$7)/12+116.75-39-57.5-145-31.5+32+70-40+10+60</f>
        <v>151.90700000000004</v>
      </c>
      <c r="H419" s="104">
        <f>('Renewable Diesel'!B428*'RD Feedstock Breakdown'!H$3*'Feedstock Conversion Rates'!B$3)/12+67+10+12+3-235+20+47-20+25</f>
        <v>105.40022499999998</v>
      </c>
      <c r="I419" s="106">
        <f t="shared" si="449"/>
        <v>496.14347500000002</v>
      </c>
      <c r="J419" s="104">
        <f t="shared" si="417"/>
        <v>4</v>
      </c>
      <c r="K419" s="104"/>
      <c r="L419" s="104">
        <v>1</v>
      </c>
      <c r="M419" s="104">
        <f>('Renewable Diesel'!C428*'RD Feedstock Breakdown'!M$3*'Feedstock Conversion Rates'!B$2)/12</f>
        <v>7.7902500000000003</v>
      </c>
      <c r="N419" s="104">
        <f>('Renewable Diesel'!C428*'RD Feedstock Breakdown'!N$3*'Feedstock Conversion Rates'!B$8)/12</f>
        <v>3.671875</v>
      </c>
      <c r="O419" s="104">
        <f>('Renewable Diesel'!C428*'RD Feedstock Breakdown'!O$3*'Feedstock Conversion Rates'!B$7)/12</f>
        <v>11.9991</v>
      </c>
      <c r="P419" s="104">
        <f>('Renewable Diesel'!C428*'RD Feedstock Breakdown'!P$3*'Feedstock Conversion Rates'!B$3)/12</f>
        <v>10.4470425</v>
      </c>
      <c r="Q419" s="106">
        <f t="shared" si="455"/>
        <v>38.908267500000001</v>
      </c>
      <c r="R419" s="104">
        <f>('Renewable Diesel'!D428*'RD Feedstock Breakdown'!R$3*'Feedstock Conversion Rates'!B$7)/12</f>
        <v>2.2999999999999998</v>
      </c>
      <c r="S419" s="106">
        <f t="shared" si="414"/>
        <v>2.2999999999999998</v>
      </c>
      <c r="T419" s="104">
        <f t="shared" si="456"/>
        <v>0.82499999999999929</v>
      </c>
      <c r="U419" s="104"/>
      <c r="V419" s="104">
        <f>('Renewable Diesel'!E428*'RD Feedstock Breakdown'!V$3*'Feedstock Conversion Rates'!B$6)/12-20+25</f>
        <v>49.250150000000012</v>
      </c>
      <c r="W419" s="104">
        <f>('Renewable Diesel'!E428*'RD Feedstock Breakdown'!W$3*'Feedstock Conversion Rates'!B$8)/12-6</f>
        <v>16.1796875</v>
      </c>
      <c r="X419" s="106">
        <f t="shared" si="438"/>
        <v>66.254837500000008</v>
      </c>
      <c r="Y419" s="104">
        <f t="shared" si="457"/>
        <v>98</v>
      </c>
      <c r="Z419" s="104">
        <f>('Renewable Diesel'!F428*'RD Feedstock Breakdown'!Z$3*'Feedstock Conversion Rates'!B$6)/12-142+15+5+20+5+15</f>
        <v>77.460000000000008</v>
      </c>
      <c r="AA419" s="104">
        <f>('Renewable Diesel'!F428*'RD Feedstock Breakdown'!AA$3*'Feedstock Conversion Rates'!B$7)/12+24</f>
        <v>128.26666666666665</v>
      </c>
      <c r="AB419" s="106">
        <f t="shared" si="400"/>
        <v>303.72666666666669</v>
      </c>
      <c r="AC419" s="104">
        <f>('Renewable Diesel'!G428*'RD Feedstock Breakdown'!AC$3*'Feedstock Conversion Rates'!B$5)/12</f>
        <v>11.796875</v>
      </c>
      <c r="AD419" s="104">
        <f>('Renewable Diesel'!G428*'RD Feedstock Breakdown'!AD$3*'Feedstock Conversion Rates'!B$4)/12</f>
        <v>5.859375</v>
      </c>
      <c r="AE419" s="104">
        <f>('Renewable Diesel'!G428*'RD Feedstock Breakdown'!AE$3*'Feedstock Conversion Rates'!B$6)/12</f>
        <v>7.3281250000000009</v>
      </c>
      <c r="AF419" s="106">
        <f t="shared" si="445"/>
        <v>24.984375</v>
      </c>
      <c r="AG419" s="104">
        <f t="shared" si="459"/>
        <v>148</v>
      </c>
      <c r="AH419" s="104"/>
      <c r="AI419" s="104">
        <f>('Renewable Diesel'!H428*'RD Feedstock Breakdown'!AI$3*'Feedstock Conversion Rates'!B$6)/12-130-20+51-49</f>
        <v>0.51666666666667993</v>
      </c>
      <c r="AJ419" s="106">
        <f t="shared" si="413"/>
        <v>148.51666666666668</v>
      </c>
      <c r="AK419" s="104">
        <f>('Renewable Diesel'!J428*'RD Feedstock Breakdown'!AK$3*'Feedstock Conversion Rates'!B$4)/12</f>
        <v>95.8125</v>
      </c>
      <c r="AL419" s="106">
        <f t="shared" si="415"/>
        <v>95.8125</v>
      </c>
      <c r="AM419" s="104">
        <f>('Renewable Diesel'!K428*'RD Feedstock Breakdown'!AM$3*'Feedstock Conversion Rates'!B$4)/12+5+15-10+10</f>
        <v>78.59375</v>
      </c>
      <c r="AN419" s="104">
        <f>('Renewable Diesel'!K428*'RD Feedstock Breakdown'!AN$3*'Feedstock Conversion Rates'!B$6)/12-5-15+10-10</f>
        <v>4.4270833333333321</v>
      </c>
      <c r="AO419" s="106">
        <f t="shared" si="431"/>
        <v>83.020833333333329</v>
      </c>
      <c r="AP419" s="104">
        <f>('Renewable Diesel'!L428*'RD Feedstock Breakdown'!AP$3*'Feedstock Conversion Rates'!B$4)/12+15-10+15</f>
        <v>78.59375</v>
      </c>
      <c r="AQ419" s="104">
        <f>('Renewable Diesel'!L428*'RD Feedstock Breakdown'!AQ$3*'Feedstock Conversion Rates'!B$6)/12-15+10-15</f>
        <v>4.4270833333333321</v>
      </c>
      <c r="AR419" s="106">
        <f t="shared" si="420"/>
        <v>83.020833333333329</v>
      </c>
      <c r="AS419" s="104">
        <f>('Renewable Diesel'!M428*'RD Feedstock Breakdown'!AS$3*'Feedstock Conversion Rates'!B$4)/12</f>
        <v>456.25</v>
      </c>
      <c r="AT419" s="104">
        <f>('Renewable Diesel'!M428*'RD Feedstock Breakdown'!AT$3*'Feedstock Conversion Rates'!B$5)/12</f>
        <v>0</v>
      </c>
      <c r="AU419" s="106">
        <f t="shared" si="448"/>
        <v>456.25</v>
      </c>
      <c r="AV419" s="104">
        <f>'Renewable Diesel'!N428*'RD Feedstock Breakdown'!$AV$3*'Feedstock Conversion Rates'!$B$4/12-15-10+25+25-22+25</f>
        <v>106.74999999999999</v>
      </c>
      <c r="AW419" s="104">
        <f>'Renewable Diesel'!N428*'RD Feedstock Breakdown'!$AW$3*'Feedstock Conversion Rates'!$B$7/12+15+10-25-25+22-25</f>
        <v>13.400000000000006</v>
      </c>
      <c r="AX419" s="106">
        <f t="shared" si="408"/>
        <v>120.14999999999999</v>
      </c>
      <c r="AY419" s="104">
        <f>('Renewable Diesel'!O428*'RD Feedstock Breakdown'!AY$3*'Feedstock Conversion Rates'!B$4)/12</f>
        <v>210.9375</v>
      </c>
      <c r="AZ419" s="104">
        <f>('Renewable Diesel'!O428*'RD Feedstock Breakdown'!AZ$3*'Feedstock Conversion Rates'!B$3)/12</f>
        <v>25.03125</v>
      </c>
      <c r="BA419" s="106">
        <f t="shared" si="458"/>
        <v>235.96875</v>
      </c>
      <c r="BB419" s="104">
        <f>('Renewable Diesel'!Q428*'RD Feedstock Breakdown'!BB$3*'Feedstock Conversion Rates'!B$4)/12</f>
        <v>11.156249999999998</v>
      </c>
      <c r="BC419" s="104">
        <f>('Renewable Diesel'!Q428*'RD Feedstock Breakdown'!BC$3*'Feedstock Conversion Rates'!B$3)/12</f>
        <v>1.4017500000000001</v>
      </c>
      <c r="BD419" s="104">
        <f>('Renewable Diesel'!Q428*'RD Feedstock Breakdown'!BD$3*'Feedstock Conversion Rates'!B$6)/12</f>
        <v>0.8207500000000002</v>
      </c>
      <c r="BE419" s="106">
        <f t="shared" si="440"/>
        <v>13.378749999999998</v>
      </c>
      <c r="BF419" s="104">
        <f>('Renewable Diesel'!R428*'RD Feedstock Breakdown'!BF$3*'Feedstock Conversion Rates'!B$4)/12</f>
        <v>62.5</v>
      </c>
      <c r="BG419" s="106">
        <f t="shared" si="425"/>
        <v>62.5</v>
      </c>
      <c r="BH419" s="104">
        <f>('Renewable Diesel'!T428*'RD Feedstock Breakdown'!BH$3*'Feedstock Conversion Rates'!B$7)/12</f>
        <v>27.599999999999998</v>
      </c>
      <c r="BI419" s="106">
        <f t="shared" si="412"/>
        <v>27.599999999999998</v>
      </c>
      <c r="BJ419" s="104">
        <f>('Renewable Diesel'!W428*'RD Feedstock Breakdown'!BJ$3*'Feedstock Conversion Rates'!B$4)/12</f>
        <v>7.5</v>
      </c>
      <c r="BK419" s="104">
        <f>('Renewable Diesel'!W428*'RD Feedstock Breakdown'!BK$3*'Feedstock Conversion Rates'!B$3)/12</f>
        <v>1.335</v>
      </c>
      <c r="BL419" s="104">
        <f>('Renewable Diesel'!W428*'RD Feedstock Breakdown'!BL$3*'Feedstock Conversion Rates'!B$6)/12</f>
        <v>3.1266666666666669</v>
      </c>
      <c r="BM419" s="104">
        <f>('Renewable Diesel'!W428*'RD Feedstock Breakdown'!BM$3*'Feedstock Conversion Rates'!B$7)/12</f>
        <v>1.5333333333333332</v>
      </c>
      <c r="BN419" s="106">
        <f t="shared" si="452"/>
        <v>13.495000000000001</v>
      </c>
      <c r="BO419" s="104">
        <f>('Renewable Diesel'!P428*'Feedstock Conversion Rates'!B$4)/12</f>
        <v>31.25</v>
      </c>
      <c r="BP419" s="106">
        <f t="shared" si="446"/>
        <v>31.25</v>
      </c>
      <c r="BQ419" s="104">
        <f>('Renewable Diesel'!$S428*'RD Feedstock Breakdown'!BQ$3*'Feedstock Conversion Rates'!B$4)/12+10+15-15</f>
        <v>38.125</v>
      </c>
      <c r="BR419" s="104">
        <f>('Renewable Diesel'!$S428*'RD Feedstock Breakdown'!BR$3*'Feedstock Conversion Rates'!B$7)/12-10-15+15</f>
        <v>1.5</v>
      </c>
      <c r="BS419" s="106">
        <f t="shared" si="385"/>
        <v>39.625</v>
      </c>
      <c r="BT419" s="106"/>
      <c r="BU419" s="104">
        <f>('Renewable Diesel'!Y428*'Feedstock Conversion Rates'!B$7)/12</f>
        <v>2.6833333333333331</v>
      </c>
      <c r="BV419" s="106">
        <f t="shared" si="442"/>
        <v>2.6833333333333331</v>
      </c>
      <c r="BW419" s="104">
        <f>('Renewable Diesel'!$Z428*'RD Feedstock Breakdown'!BW$3*'Feedstock Conversion Rates'!$B$4)/12-250+180</f>
        <v>1.875</v>
      </c>
      <c r="BX419" s="104">
        <f>('Renewable Diesel'!$Z428*'RD Feedstock Breakdown'!BX$3*'Feedstock Conversion Rates'!$B$5)/12</f>
        <v>7.2354166666666666</v>
      </c>
      <c r="BY419" s="104">
        <f>('Renewable Diesel'!$Z428*'RD Feedstock Breakdown'!BY$3*'Feedstock Conversion Rates'!$B$7)/12</f>
        <v>61.716666666666661</v>
      </c>
      <c r="BZ419" s="104">
        <f>('Renewable Diesel'!$Z428*'RD Feedstock Breakdown'!BZ$3*'Feedstock Conversion Rates'!$B$3)/12+250-180</f>
        <v>85.35250000000002</v>
      </c>
      <c r="CA419" s="106">
        <f t="shared" si="392"/>
        <v>156.17958333333334</v>
      </c>
      <c r="CB419" s="104">
        <f>('Renewable Diesel'!AA428*'Feedstock Conversion Rates'!B$4)/12</f>
        <v>191.25</v>
      </c>
      <c r="CC419" s="106">
        <f t="shared" si="454"/>
        <v>191.25</v>
      </c>
      <c r="CD419" s="104">
        <f>('Renewable Diesel'!$AB428*'RD Feedstock Breakdown'!CD$3*'Feedstock Conversion Rates'!$B$6)/12-15-5</f>
        <v>12.830000000000005</v>
      </c>
      <c r="CE419" s="104">
        <f>('Renewable Diesel'!$AB428*'RD Feedstock Breakdown'!CE$3*'Feedstock Conversion Rates'!$B$4)/12+15+5</f>
        <v>31.25</v>
      </c>
      <c r="CF419" s="106">
        <f t="shared" si="450"/>
        <v>44.080000000000005</v>
      </c>
      <c r="CG419" s="104">
        <f>('Renewable Diesel'!AD428*'Feedstock Conversion Rates'!B$4)/12</f>
        <v>112.5</v>
      </c>
      <c r="CH419" s="106">
        <f t="shared" si="439"/>
        <v>112.5</v>
      </c>
      <c r="CI419" s="104">
        <f>('Renewable Diesel'!$AE428*'RD Feedstock Breakdown'!CI$3*'Feedstock Conversion Rates'!$B$5)/12</f>
        <v>0.34604166666666664</v>
      </c>
      <c r="CJ419" s="104">
        <f>('Renewable Diesel'!$AE428*'RD Feedstock Breakdown'!CJ$3*'Feedstock Conversion Rates'!$B$4)/12</f>
        <v>0.34375</v>
      </c>
      <c r="CK419" s="106">
        <f t="shared" si="447"/>
        <v>0.68979166666666658</v>
      </c>
      <c r="CL419" s="104">
        <f>(((CL$3*'Renewable Diesel'!$AF428)*'Feedstock Conversion Rates'!$B$3)/12)</f>
        <v>91.78125</v>
      </c>
      <c r="CM419" s="104">
        <f>(((CM$3*'Renewable Diesel'!$AF428)*'Feedstock Conversion Rates'!$B$6)/12)</f>
        <v>53.739583333333336</v>
      </c>
      <c r="CN419" s="104">
        <f>(((CN$3*'Renewable Diesel'!$AF428)*'Feedstock Conversion Rates'!$B$4)/12)</f>
        <v>42.96875</v>
      </c>
      <c r="CO419" s="106">
        <f t="shared" si="441"/>
        <v>188.48958333333334</v>
      </c>
      <c r="CP419" s="104">
        <f>('Renewable Diesel'!$AG428*'RD Feedstock Breakdown'!CP$3*'Feedstock Conversion Rates'!$B$3)/12</f>
        <v>6.0075000000000003</v>
      </c>
      <c r="CQ419" s="104">
        <f>('Renewable Diesel'!$AG428*'RD Feedstock Breakdown'!CQ$3*'Feedstock Conversion Rates'!$B$6)/12</f>
        <v>3.5175000000000001</v>
      </c>
      <c r="CR419" s="104">
        <f>('Renewable Diesel'!$AG428*'RD Feedstock Breakdown'!CR$3*'Feedstock Conversion Rates'!$B$4)/12</f>
        <v>2.8125</v>
      </c>
      <c r="CS419" s="106">
        <f t="shared" si="397"/>
        <v>12.3375</v>
      </c>
      <c r="CT419" s="104">
        <f>('Renewable Diesel'!AI428*'Feedstock Conversion Rates'!$B$4*'RD Feedstock Breakdown'!$CT$3)/12</f>
        <v>29.375</v>
      </c>
      <c r="CU419" s="106">
        <f t="shared" si="443"/>
        <v>29.375</v>
      </c>
      <c r="CV419" s="104">
        <f>('Renewable Diesel'!AN428*'Feedstock Conversion Rates'!$B$3*'RD Feedstock Breakdown'!$CV$3)/12</f>
        <v>0.50062499999999999</v>
      </c>
      <c r="CW419" s="106">
        <f t="shared" si="419"/>
        <v>0.50062499999999999</v>
      </c>
      <c r="CX419" s="104">
        <f>('Renewable Diesel'!AO428*'RD Feedstock Breakdown'!$CX$3*'Feedstock Conversion Rates'!$B$3)/12</f>
        <v>6.3412499999999996</v>
      </c>
      <c r="CY419" s="104">
        <f>('Renewable Diesel'!AO428*'RD Feedstock Breakdown'!$CY$3*'Feedstock Conversion Rates'!$B$6)/12</f>
        <v>7.4258333333333342</v>
      </c>
      <c r="CZ419" s="106">
        <f t="shared" si="398"/>
        <v>13.767083333333334</v>
      </c>
      <c r="DA419" s="104">
        <f>('Renewable Diesel'!$AP428*'RD Feedstock Breakdown'!DA$3*'Feedstock Conversion Rates'!$B$3)/12</f>
        <v>6.3412499999999996</v>
      </c>
      <c r="DB419" s="104">
        <f>('Renewable Diesel'!$AP428*'RD Feedstock Breakdown'!DB$3*'Feedstock Conversion Rates'!$B$8)/12</f>
        <v>7.421875</v>
      </c>
      <c r="DC419" s="106">
        <f t="shared" si="422"/>
        <v>13.763124999999999</v>
      </c>
      <c r="DD419" s="104">
        <f>('Renewable Diesel'!AQ428*$DD$3*'Feedstock Conversion Rates'!$B$14)/12</f>
        <v>3.1041666666666665</v>
      </c>
      <c r="DE419" s="106">
        <f t="shared" si="423"/>
        <v>3.1041666666666665</v>
      </c>
      <c r="DF419" s="104">
        <f>('Renewable Diesel'!AR428*'Feedstock Conversion Rates'!$B$4*$DF$3)/12</f>
        <v>75</v>
      </c>
      <c r="DG419" s="106">
        <f t="shared" si="399"/>
        <v>75</v>
      </c>
      <c r="DH419" s="104">
        <f>('Renewable Diesel'!AS428*'Feedstock Conversion Rates'!$B$4*$DH$3)/12</f>
        <v>75</v>
      </c>
      <c r="DI419" s="106">
        <f t="shared" si="411"/>
        <v>75</v>
      </c>
      <c r="DJ419" s="104">
        <f>('Renewable Diesel'!AT428*'Feedstock Conversion Rates'!$B$4*0.25)/12</f>
        <v>8.59375</v>
      </c>
      <c r="DK419" s="104">
        <f>('Renewable Diesel'!$AT428*'RD Feedstock Breakdown'!DK$3*'Feedstock Conversion Rates'!$B$3)/12*0.5</f>
        <v>9.1781249999999996</v>
      </c>
      <c r="DL419" s="104">
        <f>('Renewable Diesel'!$AT428*'RD Feedstock Breakdown'!$DL$3*'Feedstock Conversion Rates'!$B$6)/12</f>
        <v>10.747916666666669</v>
      </c>
      <c r="DM419" s="104">
        <f>('Renewable Diesel'!$AT428*'RD Feedstock Breakdown'!$DM$3*'Feedstock Conversion Rates'!$B$8)/12</f>
        <v>10.7421875</v>
      </c>
      <c r="DN419" s="106">
        <f t="shared" si="453"/>
        <v>39.26197916666667</v>
      </c>
      <c r="DP419" s="104">
        <f t="shared" si="426"/>
        <v>103.22025000000001</v>
      </c>
      <c r="DQ419" s="104">
        <f t="shared" si="427"/>
        <v>349.11776750000007</v>
      </c>
      <c r="DR419" s="104">
        <f t="shared" si="432"/>
        <v>1891.953125</v>
      </c>
      <c r="DS419" s="104">
        <f t="shared" si="444"/>
        <v>228.90125</v>
      </c>
      <c r="DT419" s="104">
        <f t="shared" si="428"/>
        <v>243.03923333333344</v>
      </c>
      <c r="DU419" s="104">
        <f t="shared" si="429"/>
        <v>402.90610000000009</v>
      </c>
      <c r="DV419" s="104">
        <f t="shared" si="433"/>
        <v>78.75</v>
      </c>
      <c r="DW419" s="104">
        <f t="shared" si="430"/>
        <v>3</v>
      </c>
      <c r="DX419" s="106">
        <f t="shared" si="434"/>
        <v>3300.8877258333337</v>
      </c>
      <c r="DY419" s="109">
        <f t="shared" si="421"/>
        <v>-5.631051180898794E-13</v>
      </c>
      <c r="EA419" s="110">
        <f t="shared" si="424"/>
        <v>3.1270451640078516E-2</v>
      </c>
      <c r="EB419" s="110">
        <f t="shared" si="424"/>
        <v>0.10576481131658687</v>
      </c>
      <c r="EC419" s="110">
        <f t="shared" si="424"/>
        <v>0.57316494293133291</v>
      </c>
      <c r="ED419" s="110">
        <f t="shared" si="424"/>
        <v>6.9345360706629972E-2</v>
      </c>
      <c r="EE419" s="110">
        <f t="shared" si="424"/>
        <v>7.3628445896921982E-2</v>
      </c>
      <c r="EF419" s="110">
        <f t="shared" si="424"/>
        <v>0.1220599225010852</v>
      </c>
      <c r="EG419" s="110">
        <f t="shared" si="384"/>
        <v>2.3857218585075921E-2</v>
      </c>
      <c r="EH419" s="111">
        <f t="shared" si="435"/>
        <v>9.0884642228860647E-4</v>
      </c>
      <c r="EI419" s="110">
        <f t="shared" si="409"/>
        <v>0.99909115357771139</v>
      </c>
      <c r="EK419" s="132">
        <f>(EA419*'Renewable Diesel'!BF428*'Feedstock Conversion Rates'!B$2)+FB419</f>
        <v>598.64683418559753</v>
      </c>
      <c r="EL419" s="132">
        <f>(EB419*'Renewable Diesel'!BF428*'Feedstock Conversion Rates'!B$3)+FC419</f>
        <v>1908.0569178525775</v>
      </c>
      <c r="EM419" s="132">
        <f>(EC419*'Renewable Diesel'!BF428*'Feedstock Conversion Rates'!B$4)+FD419</f>
        <v>9681.8531991952514</v>
      </c>
      <c r="EN419" s="132">
        <f>(ED419*'Renewable Diesel'!BF428*'Feedstock Conversion Rates'!B$5)+FE419</f>
        <v>1179.1850753577069</v>
      </c>
      <c r="EO419" s="132">
        <f>(EE419*'Renewable Diesel'!BF428*'Feedstock Conversion Rates'!B$6)+FF419</f>
        <v>1555.4859145494888</v>
      </c>
      <c r="EP419" s="132">
        <f>(EF419*'Renewable Diesel'!BF428*'Feedstock Conversion Rates'!B$7)+FG419</f>
        <v>2529.1729474530612</v>
      </c>
      <c r="EQ419" s="132">
        <f>(EG419*'Renewable Diesel'!BF428*'Feedstock Conversion Rates'!B$8)+FH419</f>
        <v>503.74262010100404</v>
      </c>
      <c r="ER419" s="132">
        <f>(EH419*'Renewable Diesel'!BF428*'Feedstock Conversion Rates'!B$9)+FI419</f>
        <v>18.934325784113931</v>
      </c>
      <c r="ES419" s="132">
        <f t="shared" si="436"/>
        <v>17975.077834478801</v>
      </c>
      <c r="ET419" s="133">
        <f>ES419/'Renewable Diesel'!BF428</f>
        <v>17.639644916729239</v>
      </c>
      <c r="EW419" s="73">
        <f t="shared" si="386"/>
        <v>16808.08195329049</v>
      </c>
      <c r="EX419" s="73">
        <f t="shared" si="387"/>
        <v>11009.38574374979</v>
      </c>
      <c r="EY419" s="92">
        <f t="shared" si="410"/>
        <v>0.93507700539967376</v>
      </c>
      <c r="EZ419" s="92">
        <f t="shared" si="410"/>
        <v>0.61248056031402509</v>
      </c>
      <c r="FB419" s="102">
        <f>IF('Renewable Diesel'!$BG428&lt;1,0,(((('Renewable Diesel'!$BG428-1)*'Renewable Diesel'!$BF428)*'RD Feedstock Breakdown'!EA419)*'Feedstock Conversion Rates'!$B$2))</f>
        <v>327.7936032488783</v>
      </c>
      <c r="FC419" s="102">
        <f>IF('Renewable Diesel'!$BG428&lt;1,0,(((('Renewable Diesel'!$BG428-1)*'Renewable Diesel'!$BF428)*'RD Feedstock Breakdown'!EB419)*'Feedstock Conversion Rates'!$B$3))</f>
        <v>1044.7710011825409</v>
      </c>
      <c r="FD419" s="102">
        <f>IF('Renewable Diesel'!$BG428&lt;1,0,(((('Renewable Diesel'!$BG428-1)*'Renewable Diesel'!$BF428)*'RD Feedstock Breakdown'!EC419)*'Feedstock Conversion Rates'!$B$4))</f>
        <v>5301.3719693487419</v>
      </c>
      <c r="FE419" s="102">
        <f>IF('Renewable Diesel'!$BG428&lt;1,0,(((('Renewable Diesel'!$BG428-1)*'Renewable Diesel'!$BF428)*'RD Feedstock Breakdown'!ED419)*'Feedstock Conversion Rates'!$B$5))</f>
        <v>645.67170938879076</v>
      </c>
      <c r="FF419" s="102">
        <f>IF('Renewable Diesel'!$BG428&lt;1,0,(((('Renewable Diesel'!$BG428-1)*'Renewable Diesel'!$BF428)*'RD Feedstock Breakdown'!EE419)*'Feedstock Conversion Rates'!$B$6))</f>
        <v>851.71808087266515</v>
      </c>
      <c r="FG419" s="102">
        <f>IF('Renewable Diesel'!$BG428&lt;1,0,(((('Renewable Diesel'!$BG428-1)*'Renewable Diesel'!$BF428)*'RD Feedstock Breakdown'!EF419)*'Feedstock Conversion Rates'!$B$7))</f>
        <v>1384.8677823763396</v>
      </c>
      <c r="FH419" s="102">
        <f>IF('Renewable Diesel'!$BG428&lt;1,0,(((('Renewable Diesel'!$BG428-1)*'Renewable Diesel'!$BF428)*'RD Feedstock Breakdown'!EG419)*'Feedstock Conversion Rates'!$B$8))</f>
        <v>275.8280828087465</v>
      </c>
      <c r="FI419" s="102">
        <f>IF('Renewable Diesel'!$BG428&lt;1,0,(((('Renewable Diesel'!$BG428-1)*'Renewable Diesel'!$BF428)*'RD Feedstock Breakdown'!EH419)*'Feedstock Conversion Rates'!$B$9))</f>
        <v>10.367633334779551</v>
      </c>
      <c r="FJ419" s="102">
        <f t="shared" si="388"/>
        <v>9842.389862561482</v>
      </c>
      <c r="GD419" s="91">
        <f>'Renewable Diesel'!BB428*0.32</f>
        <v>0</v>
      </c>
      <c r="GE419" s="91">
        <f>'Renewable Diesel'!BC428</f>
        <v>543.11510644728867</v>
      </c>
      <c r="GF419" s="91">
        <f>'Renewable Diesel'!BD428</f>
        <v>0</v>
      </c>
      <c r="GG419" s="91">
        <f t="shared" si="451"/>
        <v>543.11510644728867</v>
      </c>
      <c r="GH419" s="124">
        <v>1</v>
      </c>
      <c r="GI419" s="102">
        <f>$GG419*EA419*'Feedstock Conversion Rates'!$B$2</f>
        <v>144.35936470482631</v>
      </c>
      <c r="GJ419" s="102">
        <f>$GG419*EB419*'Feedstock Conversion Rates'!$B$3</f>
        <v>460.11415872024963</v>
      </c>
      <c r="GK419" s="102">
        <f>$GG419*EC419*'Feedstock Conversion Rates'!$B$4</f>
        <v>2334.7090424400376</v>
      </c>
      <c r="GL419" s="102">
        <f>$GG419*ED419*'Feedstock Conversion Rates'!$B$5</f>
        <v>284.35197286164259</v>
      </c>
      <c r="GM419" s="102">
        <f>$GG419*EE419*'Feedstock Conversion Rates'!$B$6</f>
        <v>375.09420514542199</v>
      </c>
      <c r="GN419" s="102">
        <f>$GG419*EF419*'Feedstock Conversion Rates'!$B$7</f>
        <v>609.89180777954721</v>
      </c>
      <c r="GO419" s="102">
        <f>$GG419*EG419*'Feedstock Conversion Rates'!$B$8</f>
        <v>121.47389823159133</v>
      </c>
      <c r="GP419" s="102">
        <f>$GG419*EH419*'Feedstock Conversion Rates'!B$9</f>
        <v>4.5658760478160039</v>
      </c>
      <c r="GQ419" s="102">
        <f t="shared" si="437"/>
        <v>4334.5603259311329</v>
      </c>
      <c r="GT419" s="103">
        <f t="shared" si="418"/>
        <v>3.3304269372191886E-2</v>
      </c>
      <c r="GU419" s="103">
        <f t="shared" si="416"/>
        <v>0.10615013383656387</v>
      </c>
      <c r="GV419" s="103">
        <f t="shared" si="416"/>
        <v>0.53862649654979822</v>
      </c>
      <c r="GW419" s="103">
        <f t="shared" si="416"/>
        <v>6.5601110950176761E-2</v>
      </c>
      <c r="GX419" s="103">
        <f t="shared" si="416"/>
        <v>8.6535698419388296E-2</v>
      </c>
      <c r="GY419" s="103">
        <f t="shared" si="416"/>
        <v>0.14070442257566984</v>
      </c>
      <c r="GZ419" s="103">
        <f t="shared" si="416"/>
        <v>2.8024502855545516E-2</v>
      </c>
      <c r="HA419" s="103">
        <f t="shared" si="416"/>
        <v>1.0533654406655838E-3</v>
      </c>
    </row>
    <row r="420" spans="1:209" x14ac:dyDescent="0.25">
      <c r="A420" s="96">
        <v>53206</v>
      </c>
      <c r="B420" s="104">
        <f t="shared" si="406"/>
        <v>44.25</v>
      </c>
      <c r="C420" s="104">
        <f t="shared" si="396"/>
        <v>49</v>
      </c>
      <c r="D420" s="104">
        <f t="shared" si="407"/>
        <v>2</v>
      </c>
      <c r="E420" s="104">
        <f>('Renewable Diesel'!B429*E$3*'Feedstock Conversion Rates'!$B$2)/12+26+13-100+27.5+39</f>
        <v>95.43</v>
      </c>
      <c r="F420" s="104">
        <f>('Renewable Diesel'!B429*'RD Feedstock Breakdown'!F$3*'Feedstock Conversion Rates'!B$8)/12+77+23-10-12-115.75+24+8</f>
        <v>48.15625</v>
      </c>
      <c r="G420" s="104">
        <f>('Renewable Diesel'!B429*'RD Feedstock Breakdown'!G$3*'Feedstock Conversion Rates'!B$7)/12+116.75-39-57.5-145-31.5+32+70-40+10+60</f>
        <v>151.90700000000004</v>
      </c>
      <c r="H420" s="104">
        <f>('Renewable Diesel'!B429*'RD Feedstock Breakdown'!H$3*'Feedstock Conversion Rates'!B$3)/12+67+10+12+3-235+20+47-20+25</f>
        <v>105.40022499999998</v>
      </c>
      <c r="I420" s="106">
        <f t="shared" si="449"/>
        <v>496.14347500000002</v>
      </c>
      <c r="J420" s="104">
        <f t="shared" si="417"/>
        <v>4</v>
      </c>
      <c r="K420" s="104"/>
      <c r="L420" s="104">
        <v>1</v>
      </c>
      <c r="M420" s="104">
        <f>('Renewable Diesel'!C429*'RD Feedstock Breakdown'!M$3*'Feedstock Conversion Rates'!B$2)/12</f>
        <v>7.7902500000000003</v>
      </c>
      <c r="N420" s="104">
        <f>('Renewable Diesel'!C429*'RD Feedstock Breakdown'!N$3*'Feedstock Conversion Rates'!B$8)/12</f>
        <v>3.671875</v>
      </c>
      <c r="O420" s="104">
        <f>('Renewable Diesel'!C429*'RD Feedstock Breakdown'!O$3*'Feedstock Conversion Rates'!B$7)/12</f>
        <v>11.9991</v>
      </c>
      <c r="P420" s="104">
        <f>('Renewable Diesel'!C429*'RD Feedstock Breakdown'!P$3*'Feedstock Conversion Rates'!B$3)/12</f>
        <v>10.4470425</v>
      </c>
      <c r="Q420" s="106">
        <f t="shared" si="455"/>
        <v>38.908267500000001</v>
      </c>
      <c r="R420" s="104">
        <f>('Renewable Diesel'!D429*'RD Feedstock Breakdown'!R$3*'Feedstock Conversion Rates'!B$7)/12</f>
        <v>2.2999999999999998</v>
      </c>
      <c r="S420" s="106">
        <f t="shared" si="414"/>
        <v>2.2999999999999998</v>
      </c>
      <c r="T420" s="104">
        <f t="shared" si="456"/>
        <v>0.82499999999999929</v>
      </c>
      <c r="U420" s="104"/>
      <c r="V420" s="104">
        <f>('Renewable Diesel'!E429*'RD Feedstock Breakdown'!V$3*'Feedstock Conversion Rates'!B$6)/12-20+25</f>
        <v>49.250150000000012</v>
      </c>
      <c r="W420" s="104">
        <f>('Renewable Diesel'!E429*'RD Feedstock Breakdown'!W$3*'Feedstock Conversion Rates'!B$8)/12-6</f>
        <v>16.1796875</v>
      </c>
      <c r="X420" s="106">
        <f t="shared" si="438"/>
        <v>66.254837500000008</v>
      </c>
      <c r="Y420" s="104">
        <f t="shared" si="457"/>
        <v>98</v>
      </c>
      <c r="Z420" s="104">
        <f>('Renewable Diesel'!F429*'RD Feedstock Breakdown'!Z$3*'Feedstock Conversion Rates'!B$6)/12-142+15+5+20+5+15</f>
        <v>77.460000000000008</v>
      </c>
      <c r="AA420" s="104">
        <f>('Renewable Diesel'!F429*'RD Feedstock Breakdown'!AA$3*'Feedstock Conversion Rates'!B$7)/12+24</f>
        <v>128.26666666666665</v>
      </c>
      <c r="AB420" s="106">
        <f t="shared" si="400"/>
        <v>303.72666666666669</v>
      </c>
      <c r="AC420" s="104">
        <f>('Renewable Diesel'!G429*'RD Feedstock Breakdown'!AC$3*'Feedstock Conversion Rates'!B$5)/12</f>
        <v>11.796875</v>
      </c>
      <c r="AD420" s="104">
        <f>('Renewable Diesel'!G429*'RD Feedstock Breakdown'!AD$3*'Feedstock Conversion Rates'!B$4)/12</f>
        <v>5.859375</v>
      </c>
      <c r="AE420" s="104">
        <f>('Renewable Diesel'!G429*'RD Feedstock Breakdown'!AE$3*'Feedstock Conversion Rates'!B$6)/12</f>
        <v>7.3281250000000009</v>
      </c>
      <c r="AF420" s="106">
        <f t="shared" si="445"/>
        <v>24.984375</v>
      </c>
      <c r="AG420" s="104">
        <f t="shared" si="459"/>
        <v>148</v>
      </c>
      <c r="AH420" s="104"/>
      <c r="AI420" s="104">
        <f>('Renewable Diesel'!H429*'RD Feedstock Breakdown'!AI$3*'Feedstock Conversion Rates'!B$6)/12-130-20+51-49</f>
        <v>0.51666666666667993</v>
      </c>
      <c r="AJ420" s="106">
        <f t="shared" si="413"/>
        <v>148.51666666666668</v>
      </c>
      <c r="AK420" s="104">
        <f>('Renewable Diesel'!J429*'RD Feedstock Breakdown'!AK$3*'Feedstock Conversion Rates'!B$4)/12</f>
        <v>95.8125</v>
      </c>
      <c r="AL420" s="106">
        <f t="shared" si="415"/>
        <v>95.8125</v>
      </c>
      <c r="AM420" s="104">
        <f>('Renewable Diesel'!K429*'RD Feedstock Breakdown'!AM$3*'Feedstock Conversion Rates'!B$4)/12+5+15-10+10</f>
        <v>78.59375</v>
      </c>
      <c r="AN420" s="104">
        <f>('Renewable Diesel'!K429*'RD Feedstock Breakdown'!AN$3*'Feedstock Conversion Rates'!B$6)/12-5-15+10-10</f>
        <v>4.4270833333333321</v>
      </c>
      <c r="AO420" s="106">
        <f t="shared" si="431"/>
        <v>83.020833333333329</v>
      </c>
      <c r="AP420" s="104">
        <f>('Renewable Diesel'!L429*'RD Feedstock Breakdown'!AP$3*'Feedstock Conversion Rates'!B$4)/12+15-10+15</f>
        <v>78.59375</v>
      </c>
      <c r="AQ420" s="104">
        <f>('Renewable Diesel'!L429*'RD Feedstock Breakdown'!AQ$3*'Feedstock Conversion Rates'!B$6)/12-15+10-15</f>
        <v>4.4270833333333321</v>
      </c>
      <c r="AR420" s="106">
        <f t="shared" si="420"/>
        <v>83.020833333333329</v>
      </c>
      <c r="AS420" s="104">
        <f>('Renewable Diesel'!M429*'RD Feedstock Breakdown'!AS$3*'Feedstock Conversion Rates'!B$4)/12</f>
        <v>456.25</v>
      </c>
      <c r="AT420" s="104">
        <f>('Renewable Diesel'!M429*'RD Feedstock Breakdown'!AT$3*'Feedstock Conversion Rates'!B$5)/12</f>
        <v>0</v>
      </c>
      <c r="AU420" s="106">
        <f t="shared" si="448"/>
        <v>456.25</v>
      </c>
      <c r="AV420" s="104">
        <f>'Renewable Diesel'!N429*'RD Feedstock Breakdown'!$AV$3*'Feedstock Conversion Rates'!$B$4/12-15-10+25+25-22+25</f>
        <v>106.74999999999999</v>
      </c>
      <c r="AW420" s="104">
        <f>'Renewable Diesel'!N429*'RD Feedstock Breakdown'!$AW$3*'Feedstock Conversion Rates'!$B$7/12+15+10-25-25+22-25</f>
        <v>13.400000000000006</v>
      </c>
      <c r="AX420" s="106">
        <f t="shared" si="408"/>
        <v>120.14999999999999</v>
      </c>
      <c r="AY420" s="104">
        <f>('Renewable Diesel'!O429*'RD Feedstock Breakdown'!AY$3*'Feedstock Conversion Rates'!B$4)/12</f>
        <v>210.9375</v>
      </c>
      <c r="AZ420" s="104">
        <f>('Renewable Diesel'!O429*'RD Feedstock Breakdown'!AZ$3*'Feedstock Conversion Rates'!B$3)/12</f>
        <v>25.03125</v>
      </c>
      <c r="BA420" s="106">
        <f t="shared" si="458"/>
        <v>235.96875</v>
      </c>
      <c r="BB420" s="104">
        <f>('Renewable Diesel'!Q429*'RD Feedstock Breakdown'!BB$3*'Feedstock Conversion Rates'!B$4)/12</f>
        <v>11.156249999999998</v>
      </c>
      <c r="BC420" s="104">
        <f>('Renewable Diesel'!Q429*'RD Feedstock Breakdown'!BC$3*'Feedstock Conversion Rates'!B$3)/12</f>
        <v>1.4017500000000001</v>
      </c>
      <c r="BD420" s="104">
        <f>('Renewable Diesel'!Q429*'RD Feedstock Breakdown'!BD$3*'Feedstock Conversion Rates'!B$6)/12</f>
        <v>0.8207500000000002</v>
      </c>
      <c r="BE420" s="106">
        <f t="shared" si="440"/>
        <v>13.378749999999998</v>
      </c>
      <c r="BF420" s="104">
        <f>('Renewable Diesel'!R429*'RD Feedstock Breakdown'!BF$3*'Feedstock Conversion Rates'!B$4)/12</f>
        <v>62.5</v>
      </c>
      <c r="BG420" s="106">
        <f t="shared" si="425"/>
        <v>62.5</v>
      </c>
      <c r="BH420" s="104">
        <f>('Renewable Diesel'!T429*'RD Feedstock Breakdown'!BH$3*'Feedstock Conversion Rates'!B$7)/12</f>
        <v>27.599999999999998</v>
      </c>
      <c r="BI420" s="106">
        <f t="shared" si="412"/>
        <v>27.599999999999998</v>
      </c>
      <c r="BJ420" s="104">
        <f>('Renewable Diesel'!W429*'RD Feedstock Breakdown'!BJ$3*'Feedstock Conversion Rates'!B$4)/12</f>
        <v>7.5</v>
      </c>
      <c r="BK420" s="104">
        <f>('Renewable Diesel'!W429*'RD Feedstock Breakdown'!BK$3*'Feedstock Conversion Rates'!B$3)/12</f>
        <v>1.335</v>
      </c>
      <c r="BL420" s="104">
        <f>('Renewable Diesel'!W429*'RD Feedstock Breakdown'!BL$3*'Feedstock Conversion Rates'!B$6)/12</f>
        <v>3.1266666666666669</v>
      </c>
      <c r="BM420" s="104">
        <f>('Renewable Diesel'!W429*'RD Feedstock Breakdown'!BM$3*'Feedstock Conversion Rates'!B$7)/12</f>
        <v>1.5333333333333332</v>
      </c>
      <c r="BN420" s="106">
        <f t="shared" si="452"/>
        <v>13.495000000000001</v>
      </c>
      <c r="BO420" s="104">
        <f>('Renewable Diesel'!P429*'Feedstock Conversion Rates'!B$4)/12</f>
        <v>31.25</v>
      </c>
      <c r="BP420" s="106">
        <f t="shared" si="446"/>
        <v>31.25</v>
      </c>
      <c r="BQ420" s="104">
        <f>('Renewable Diesel'!$S429*'RD Feedstock Breakdown'!BQ$3*'Feedstock Conversion Rates'!B$4)/12+10+15-15</f>
        <v>38.125</v>
      </c>
      <c r="BR420" s="104">
        <f>('Renewable Diesel'!$S429*'RD Feedstock Breakdown'!BR$3*'Feedstock Conversion Rates'!B$7)/12-10-15+15</f>
        <v>1.5</v>
      </c>
      <c r="BS420" s="106">
        <f t="shared" si="385"/>
        <v>39.625</v>
      </c>
      <c r="BT420" s="106"/>
      <c r="BU420" s="104">
        <f>('Renewable Diesel'!Y429*'Feedstock Conversion Rates'!B$7)/12</f>
        <v>2.6833333333333331</v>
      </c>
      <c r="BV420" s="106">
        <f t="shared" si="442"/>
        <v>2.6833333333333331</v>
      </c>
      <c r="BW420" s="104">
        <f>('Renewable Diesel'!$Z429*'RD Feedstock Breakdown'!BW$3*'Feedstock Conversion Rates'!$B$4)/12-250+180</f>
        <v>1.875</v>
      </c>
      <c r="BX420" s="104">
        <f>('Renewable Diesel'!$Z429*'RD Feedstock Breakdown'!BX$3*'Feedstock Conversion Rates'!$B$5)/12</f>
        <v>7.2354166666666666</v>
      </c>
      <c r="BY420" s="104">
        <f>('Renewable Diesel'!$Z429*'RD Feedstock Breakdown'!BY$3*'Feedstock Conversion Rates'!$B$7)/12</f>
        <v>61.716666666666661</v>
      </c>
      <c r="BZ420" s="104">
        <f>('Renewable Diesel'!$Z429*'RD Feedstock Breakdown'!BZ$3*'Feedstock Conversion Rates'!$B$3)/12+250-180</f>
        <v>85.35250000000002</v>
      </c>
      <c r="CA420" s="106">
        <f t="shared" si="392"/>
        <v>156.17958333333334</v>
      </c>
      <c r="CB420" s="104">
        <f>('Renewable Diesel'!AA429*'Feedstock Conversion Rates'!B$4)/12</f>
        <v>191.25</v>
      </c>
      <c r="CC420" s="106">
        <f t="shared" si="454"/>
        <v>191.25</v>
      </c>
      <c r="CD420" s="104">
        <f>('Renewable Diesel'!$AB429*'RD Feedstock Breakdown'!CD$3*'Feedstock Conversion Rates'!$B$6)/12-15-5</f>
        <v>12.830000000000005</v>
      </c>
      <c r="CE420" s="104">
        <f>('Renewable Diesel'!$AB429*'RD Feedstock Breakdown'!CE$3*'Feedstock Conversion Rates'!$B$4)/12+15+5</f>
        <v>31.25</v>
      </c>
      <c r="CF420" s="106">
        <f t="shared" si="450"/>
        <v>44.080000000000005</v>
      </c>
      <c r="CG420" s="104">
        <f>('Renewable Diesel'!AD429*'Feedstock Conversion Rates'!B$4)/12</f>
        <v>112.5</v>
      </c>
      <c r="CH420" s="106">
        <f t="shared" si="439"/>
        <v>112.5</v>
      </c>
      <c r="CI420" s="104">
        <f>('Renewable Diesel'!$AE429*'RD Feedstock Breakdown'!CI$3*'Feedstock Conversion Rates'!$B$5)/12</f>
        <v>0.34604166666666664</v>
      </c>
      <c r="CJ420" s="104">
        <f>('Renewable Diesel'!$AE429*'RD Feedstock Breakdown'!CJ$3*'Feedstock Conversion Rates'!$B$4)/12</f>
        <v>0.34375</v>
      </c>
      <c r="CK420" s="106">
        <f t="shared" si="447"/>
        <v>0.68979166666666658</v>
      </c>
      <c r="CL420" s="104">
        <f>(((CL$3*'Renewable Diesel'!$AF429)*'Feedstock Conversion Rates'!$B$3)/12)</f>
        <v>91.78125</v>
      </c>
      <c r="CM420" s="104">
        <f>(((CM$3*'Renewable Diesel'!$AF429)*'Feedstock Conversion Rates'!$B$6)/12)</f>
        <v>53.739583333333336</v>
      </c>
      <c r="CN420" s="104">
        <f>(((CN$3*'Renewable Diesel'!$AF429)*'Feedstock Conversion Rates'!$B$4)/12)</f>
        <v>42.96875</v>
      </c>
      <c r="CO420" s="106">
        <f t="shared" si="441"/>
        <v>188.48958333333334</v>
      </c>
      <c r="CP420" s="104">
        <f>('Renewable Diesel'!$AG429*'RD Feedstock Breakdown'!CP$3*'Feedstock Conversion Rates'!$B$3)/12</f>
        <v>6.0075000000000003</v>
      </c>
      <c r="CQ420" s="104">
        <f>('Renewable Diesel'!$AG429*'RD Feedstock Breakdown'!CQ$3*'Feedstock Conversion Rates'!$B$6)/12</f>
        <v>3.5175000000000001</v>
      </c>
      <c r="CR420" s="104">
        <f>('Renewable Diesel'!$AG429*'RD Feedstock Breakdown'!CR$3*'Feedstock Conversion Rates'!$B$4)/12</f>
        <v>2.8125</v>
      </c>
      <c r="CS420" s="106">
        <f t="shared" si="397"/>
        <v>12.3375</v>
      </c>
      <c r="CT420" s="104">
        <f>('Renewable Diesel'!AI429*'Feedstock Conversion Rates'!$B$4*'RD Feedstock Breakdown'!$CT$3)/12</f>
        <v>29.375</v>
      </c>
      <c r="CU420" s="106">
        <f t="shared" si="443"/>
        <v>29.375</v>
      </c>
      <c r="CV420" s="104">
        <f>('Renewable Diesel'!AN429*'Feedstock Conversion Rates'!$B$3*'RD Feedstock Breakdown'!$CV$3)/12</f>
        <v>0.50062499999999999</v>
      </c>
      <c r="CW420" s="106">
        <f t="shared" si="419"/>
        <v>0.50062499999999999</v>
      </c>
      <c r="CX420" s="104">
        <f>('Renewable Diesel'!AO429*'RD Feedstock Breakdown'!$CX$3*'Feedstock Conversion Rates'!$B$3)/12</f>
        <v>6.3412499999999996</v>
      </c>
      <c r="CY420" s="104">
        <f>('Renewable Diesel'!AO429*'RD Feedstock Breakdown'!$CY$3*'Feedstock Conversion Rates'!$B$6)/12</f>
        <v>7.4258333333333342</v>
      </c>
      <c r="CZ420" s="106">
        <f t="shared" si="398"/>
        <v>13.767083333333334</v>
      </c>
      <c r="DA420" s="104">
        <f>('Renewable Diesel'!$AP429*'RD Feedstock Breakdown'!DA$3*'Feedstock Conversion Rates'!$B$3)/12</f>
        <v>6.3412499999999996</v>
      </c>
      <c r="DB420" s="104">
        <f>('Renewable Diesel'!$AP429*'RD Feedstock Breakdown'!DB$3*'Feedstock Conversion Rates'!$B$8)/12</f>
        <v>7.421875</v>
      </c>
      <c r="DC420" s="106">
        <f t="shared" si="422"/>
        <v>13.763124999999999</v>
      </c>
      <c r="DD420" s="104">
        <f>('Renewable Diesel'!AQ429*$DD$3*'Feedstock Conversion Rates'!$B$14)/12</f>
        <v>3.1041666666666665</v>
      </c>
      <c r="DE420" s="106">
        <f t="shared" si="423"/>
        <v>3.1041666666666665</v>
      </c>
      <c r="DF420" s="104">
        <f>('Renewable Diesel'!AR429*'Feedstock Conversion Rates'!$B$4*$DF$3)/12</f>
        <v>75</v>
      </c>
      <c r="DG420" s="106">
        <f t="shared" si="399"/>
        <v>75</v>
      </c>
      <c r="DH420" s="104">
        <f>('Renewable Diesel'!AS429*'Feedstock Conversion Rates'!$B$4*$DH$3)/12</f>
        <v>75</v>
      </c>
      <c r="DI420" s="106">
        <f t="shared" si="411"/>
        <v>75</v>
      </c>
      <c r="DJ420" s="104">
        <f>('Renewable Diesel'!AT429*'Feedstock Conversion Rates'!$B$4*0.25)/12</f>
        <v>8.59375</v>
      </c>
      <c r="DK420" s="104">
        <f>('Renewable Diesel'!$AT429*'RD Feedstock Breakdown'!DK$3*'Feedstock Conversion Rates'!$B$3)/12*0.5</f>
        <v>9.1781249999999996</v>
      </c>
      <c r="DL420" s="104">
        <f>('Renewable Diesel'!$AT429*'RD Feedstock Breakdown'!$DL$3*'Feedstock Conversion Rates'!$B$6)/12</f>
        <v>10.747916666666669</v>
      </c>
      <c r="DM420" s="104">
        <f>('Renewable Diesel'!$AT429*'RD Feedstock Breakdown'!$DM$3*'Feedstock Conversion Rates'!$B$8)/12</f>
        <v>10.7421875</v>
      </c>
      <c r="DN420" s="106">
        <f t="shared" si="453"/>
        <v>39.26197916666667</v>
      </c>
      <c r="DP420" s="104">
        <f t="shared" si="426"/>
        <v>103.22025000000001</v>
      </c>
      <c r="DQ420" s="104">
        <f t="shared" si="427"/>
        <v>349.11776750000007</v>
      </c>
      <c r="DR420" s="104">
        <f t="shared" si="432"/>
        <v>1891.953125</v>
      </c>
      <c r="DS420" s="104">
        <f t="shared" si="444"/>
        <v>228.90125</v>
      </c>
      <c r="DT420" s="104">
        <f t="shared" si="428"/>
        <v>243.03923333333344</v>
      </c>
      <c r="DU420" s="104">
        <f t="shared" si="429"/>
        <v>402.90610000000009</v>
      </c>
      <c r="DV420" s="104">
        <f t="shared" si="433"/>
        <v>78.75</v>
      </c>
      <c r="DW420" s="104">
        <f t="shared" si="430"/>
        <v>3</v>
      </c>
      <c r="DX420" s="106">
        <f t="shared" si="434"/>
        <v>3300.8877258333337</v>
      </c>
      <c r="DY420" s="109">
        <f t="shared" si="421"/>
        <v>-5.631051180898794E-13</v>
      </c>
      <c r="EA420" s="110">
        <f t="shared" si="424"/>
        <v>3.1270451640078516E-2</v>
      </c>
      <c r="EB420" s="110">
        <f t="shared" si="424"/>
        <v>0.10576481131658687</v>
      </c>
      <c r="EC420" s="110">
        <f t="shared" si="424"/>
        <v>0.57316494293133291</v>
      </c>
      <c r="ED420" s="110">
        <f t="shared" si="424"/>
        <v>6.9345360706629972E-2</v>
      </c>
      <c r="EE420" s="110">
        <f t="shared" si="424"/>
        <v>7.3628445896921982E-2</v>
      </c>
      <c r="EF420" s="110">
        <f t="shared" si="424"/>
        <v>0.1220599225010852</v>
      </c>
      <c r="EG420" s="110">
        <f t="shared" si="424"/>
        <v>2.3857218585075921E-2</v>
      </c>
      <c r="EH420" s="111">
        <f t="shared" si="435"/>
        <v>9.0884642228860647E-4</v>
      </c>
      <c r="EI420" s="110">
        <f t="shared" si="409"/>
        <v>0.99909115357771139</v>
      </c>
      <c r="EK420" s="132">
        <f>(EA420*'Renewable Diesel'!BF429*'Feedstock Conversion Rates'!B$2)+FB420</f>
        <v>755.99618371289114</v>
      </c>
      <c r="EL420" s="132">
        <f>(EB420*'Renewable Diesel'!BF429*'Feedstock Conversion Rates'!B$3)+FC420</f>
        <v>2409.5738352410945</v>
      </c>
      <c r="EM420" s="132">
        <f>(EC420*'Renewable Diesel'!BF429*'Feedstock Conversion Rates'!B$4)+FD420</f>
        <v>12226.647919749659</v>
      </c>
      <c r="EN420" s="132">
        <f>(ED420*'Renewable Diesel'!BF429*'Feedstock Conversion Rates'!B$5)+FE420</f>
        <v>1489.1240811026264</v>
      </c>
      <c r="EO420" s="132">
        <f>(EE420*'Renewable Diesel'!BF429*'Feedstock Conversion Rates'!B$6)+FF420</f>
        <v>1964.33247127804</v>
      </c>
      <c r="EP420" s="132">
        <f>(EF420*'Renewable Diesel'!BF429*'Feedstock Conversion Rates'!B$7)+FG420</f>
        <v>3193.945055811671</v>
      </c>
      <c r="EQ420" s="132">
        <f>(EG420*'Renewable Diesel'!BF429*'Feedstock Conversion Rates'!B$8)+FH420</f>
        <v>636.14718498924594</v>
      </c>
      <c r="ER420" s="132">
        <f>(EH420*'Renewable Diesel'!BF429*'Feedstock Conversion Rates'!B$9)+FI420</f>
        <v>23.911056096103721</v>
      </c>
      <c r="ES420" s="132">
        <f t="shared" si="436"/>
        <v>22699.677787981331</v>
      </c>
      <c r="ET420" s="133">
        <f>ES420/'Renewable Diesel'!BF429</f>
        <v>19.822767861508257</v>
      </c>
      <c r="EW420" s="73">
        <f t="shared" si="386"/>
        <v>21909.382155171381</v>
      </c>
      <c r="EX420" s="73">
        <f t="shared" si="387"/>
        <v>14350.765317769577</v>
      </c>
      <c r="EY420" s="92">
        <f t="shared" si="410"/>
        <v>0.96518472023297253</v>
      </c>
      <c r="EZ420" s="92">
        <f t="shared" si="410"/>
        <v>0.63220127844139684</v>
      </c>
      <c r="FB420" s="102">
        <f>IF('Renewable Diesel'!$BG429&lt;1,0,(((('Renewable Diesel'!$BG429-1)*'Renewable Diesel'!$BF429)*'RD Feedstock Breakdown'!EA420)*'Feedstock Conversion Rates'!$B$2))</f>
        <v>451.62153520133768</v>
      </c>
      <c r="FC420" s="102">
        <f>IF('Renewable Diesel'!$BG429&lt;1,0,(((('Renewable Diesel'!$BG429-1)*'Renewable Diesel'!$BF429)*'RD Feedstock Breakdown'!EB420)*'Feedstock Conversion Rates'!$B$3))</f>
        <v>1439.4456719451321</v>
      </c>
      <c r="FD420" s="102">
        <f>IF('Renewable Diesel'!$BG429&lt;1,0,(((('Renewable Diesel'!$BG429-1)*'Renewable Diesel'!$BF429)*'RD Feedstock Breakdown'!EC420)*'Feedstock Conversion Rates'!$B$4))</f>
        <v>7304.0282779795534</v>
      </c>
      <c r="FE420" s="102">
        <f>IF('Renewable Diesel'!$BG429&lt;1,0,(((('Renewable Diesel'!$BG429-1)*'Renewable Diesel'!$BF429)*'RD Feedstock Breakdown'!ED420)*'Feedstock Conversion Rates'!$B$5))</f>
        <v>889.58187633954537</v>
      </c>
      <c r="FF420" s="102">
        <f>IF('Renewable Diesel'!$BG429&lt;1,0,(((('Renewable Diesel'!$BG429-1)*'Renewable Diesel'!$BF429)*'RD Feedstock Breakdown'!EE420)*'Feedstock Conversion Rates'!$B$6))</f>
        <v>1173.4647150829244</v>
      </c>
      <c r="FG420" s="102">
        <f>IF('Renewable Diesel'!$BG429&lt;1,0,(((('Renewable Diesel'!$BG429-1)*'Renewable Diesel'!$BF429)*'RD Feedstock Breakdown'!EF420)*'Feedstock Conversion Rates'!$B$7))</f>
        <v>1908.0180568771202</v>
      </c>
      <c r="FH420" s="102">
        <f>IF('Renewable Diesel'!$BG429&lt;1,0,(((('Renewable Diesel'!$BG429-1)*'Renewable Diesel'!$BF429)*'RD Feedstock Breakdown'!EG420)*'Feedstock Conversion Rates'!$B$8))</f>
        <v>380.02542140868968</v>
      </c>
      <c r="FI420" s="102">
        <f>IF('Renewable Diesel'!$BG429&lt;1,0,(((('Renewable Diesel'!$BG429-1)*'Renewable Diesel'!$BF429)*'RD Feedstock Breakdown'!EH420)*'Feedstock Conversion Rates'!$B$9))</f>
        <v>14.284130125329796</v>
      </c>
      <c r="FJ420" s="102">
        <f t="shared" si="388"/>
        <v>13560.469684959631</v>
      </c>
      <c r="GD420" s="91">
        <f>'Renewable Diesel'!BB429*0.32</f>
        <v>0</v>
      </c>
      <c r="GE420" s="91">
        <f>'Renewable Diesel'!BC429</f>
        <v>660.55718206234701</v>
      </c>
      <c r="GF420" s="91">
        <f>'Renewable Diesel'!BD429</f>
        <v>0</v>
      </c>
      <c r="GG420" s="91">
        <f t="shared" si="451"/>
        <v>660.55718206234701</v>
      </c>
      <c r="GH420" s="124">
        <v>1</v>
      </c>
      <c r="GI420" s="102">
        <f>$GG420*EA420*'Feedstock Conversion Rates'!$B$2</f>
        <v>175.57533204609089</v>
      </c>
      <c r="GJ420" s="102">
        <f>$GG420*EB420*'Feedstock Conversion Rates'!$B$3</f>
        <v>559.60828285437003</v>
      </c>
      <c r="GK420" s="102">
        <f>$GG420*EC420*'Feedstock Conversion Rates'!$B$4</f>
        <v>2839.5616466973538</v>
      </c>
      <c r="GL420" s="102">
        <f>$GG420*ED420*'Feedstock Conversion Rates'!$B$5</f>
        <v>345.83964923388714</v>
      </c>
      <c r="GM420" s="102">
        <f>$GG420*EE420*'Feedstock Conversion Rates'!$B$6</f>
        <v>456.20379219340117</v>
      </c>
      <c r="GN420" s="102">
        <f>$GG420*EF420*'Feedstock Conversion Rates'!$B$7</f>
        <v>741.77353774060077</v>
      </c>
      <c r="GO420" s="102">
        <f>$GG420*EG420*'Feedstock Conversion Rates'!$B$8</f>
        <v>147.74116012878005</v>
      </c>
      <c r="GP420" s="102">
        <f>$GG420*EH420*'Feedstock Conversion Rates'!B$9</f>
        <v>5.5531915426182721</v>
      </c>
      <c r="GQ420" s="102">
        <f t="shared" si="437"/>
        <v>5271.8565924371023</v>
      </c>
      <c r="GT420" s="103">
        <f t="shared" si="418"/>
        <v>3.33042693721919E-2</v>
      </c>
      <c r="GU420" s="103">
        <f t="shared" si="416"/>
        <v>0.1061501338365639</v>
      </c>
      <c r="GV420" s="103">
        <f t="shared" si="416"/>
        <v>0.53862649654979833</v>
      </c>
      <c r="GW420" s="103">
        <f t="shared" si="416"/>
        <v>6.5601110950176775E-2</v>
      </c>
      <c r="GX420" s="103">
        <f t="shared" si="416"/>
        <v>8.653569841938831E-2</v>
      </c>
      <c r="GY420" s="103">
        <f t="shared" si="416"/>
        <v>0.14070442257566981</v>
      </c>
      <c r="GZ420" s="103">
        <f t="shared" si="416"/>
        <v>2.8024502855545527E-2</v>
      </c>
      <c r="HA420" s="103">
        <f t="shared" si="416"/>
        <v>1.053365440665584E-3</v>
      </c>
    </row>
    <row r="421" spans="1:209" x14ac:dyDescent="0.25">
      <c r="A421" s="96">
        <v>53236</v>
      </c>
      <c r="B421" s="104">
        <f t="shared" si="406"/>
        <v>44.25</v>
      </c>
      <c r="C421" s="104">
        <f t="shared" si="396"/>
        <v>49</v>
      </c>
      <c r="D421" s="104">
        <f t="shared" si="407"/>
        <v>2</v>
      </c>
      <c r="E421" s="104">
        <f>('Renewable Diesel'!B430*E$3*'Feedstock Conversion Rates'!$B$2)/12+26+13-100+27.5+39</f>
        <v>95.43</v>
      </c>
      <c r="F421" s="104">
        <f>('Renewable Diesel'!B430*'RD Feedstock Breakdown'!F$3*'Feedstock Conversion Rates'!B$8)/12+77+23-10-12-115.75+24+8</f>
        <v>48.15625</v>
      </c>
      <c r="G421" s="104">
        <f>('Renewable Diesel'!B430*'RD Feedstock Breakdown'!G$3*'Feedstock Conversion Rates'!B$7)/12+116.75-39-57.5-145-31.5+32+70-40+10+60</f>
        <v>151.90700000000004</v>
      </c>
      <c r="H421" s="104">
        <f>('Renewable Diesel'!B430*'RD Feedstock Breakdown'!H$3*'Feedstock Conversion Rates'!B$3)/12+67+10+12+3-235+20+47-20+25</f>
        <v>105.40022499999998</v>
      </c>
      <c r="I421" s="106">
        <f t="shared" si="449"/>
        <v>496.14347500000002</v>
      </c>
      <c r="J421" s="104">
        <f t="shared" si="417"/>
        <v>4</v>
      </c>
      <c r="K421" s="104"/>
      <c r="L421" s="104">
        <v>1</v>
      </c>
      <c r="M421" s="104">
        <f>('Renewable Diesel'!C430*'RD Feedstock Breakdown'!M$3*'Feedstock Conversion Rates'!B$2)/12</f>
        <v>7.7902500000000003</v>
      </c>
      <c r="N421" s="104">
        <f>('Renewable Diesel'!C430*'RD Feedstock Breakdown'!N$3*'Feedstock Conversion Rates'!B$8)/12</f>
        <v>3.671875</v>
      </c>
      <c r="O421" s="104">
        <f>('Renewable Diesel'!C430*'RD Feedstock Breakdown'!O$3*'Feedstock Conversion Rates'!B$7)/12</f>
        <v>11.9991</v>
      </c>
      <c r="P421" s="104">
        <f>('Renewable Diesel'!C430*'RD Feedstock Breakdown'!P$3*'Feedstock Conversion Rates'!B$3)/12</f>
        <v>10.4470425</v>
      </c>
      <c r="Q421" s="106">
        <f t="shared" si="455"/>
        <v>38.908267500000001</v>
      </c>
      <c r="R421" s="104">
        <f>('Renewable Diesel'!D430*'RD Feedstock Breakdown'!R$3*'Feedstock Conversion Rates'!B$7)/12</f>
        <v>2.2999999999999998</v>
      </c>
      <c r="S421" s="106">
        <f t="shared" si="414"/>
        <v>2.2999999999999998</v>
      </c>
      <c r="T421" s="104">
        <f t="shared" si="456"/>
        <v>0.82499999999999929</v>
      </c>
      <c r="U421" s="104"/>
      <c r="V421" s="104">
        <f>('Renewable Diesel'!E430*'RD Feedstock Breakdown'!V$3*'Feedstock Conversion Rates'!B$6)/12-20+25</f>
        <v>49.250150000000012</v>
      </c>
      <c r="W421" s="104">
        <f>('Renewable Diesel'!E430*'RD Feedstock Breakdown'!W$3*'Feedstock Conversion Rates'!B$8)/12-6</f>
        <v>16.1796875</v>
      </c>
      <c r="X421" s="106">
        <f t="shared" si="438"/>
        <v>66.254837500000008</v>
      </c>
      <c r="Y421" s="104">
        <f t="shared" si="457"/>
        <v>98</v>
      </c>
      <c r="Z421" s="104">
        <f>('Renewable Diesel'!F430*'RD Feedstock Breakdown'!Z$3*'Feedstock Conversion Rates'!B$6)/12-142+15+5+20+5+15</f>
        <v>77.460000000000008</v>
      </c>
      <c r="AA421" s="104">
        <f>('Renewable Diesel'!F430*'RD Feedstock Breakdown'!AA$3*'Feedstock Conversion Rates'!B$7)/12+24</f>
        <v>128.26666666666665</v>
      </c>
      <c r="AB421" s="106">
        <f t="shared" si="400"/>
        <v>303.72666666666669</v>
      </c>
      <c r="AC421" s="104">
        <f>('Renewable Diesel'!G430*'RD Feedstock Breakdown'!AC$3*'Feedstock Conversion Rates'!B$5)/12</f>
        <v>11.796875</v>
      </c>
      <c r="AD421" s="104">
        <f>('Renewable Diesel'!G430*'RD Feedstock Breakdown'!AD$3*'Feedstock Conversion Rates'!B$4)/12</f>
        <v>5.859375</v>
      </c>
      <c r="AE421" s="104">
        <f>('Renewable Diesel'!G430*'RD Feedstock Breakdown'!AE$3*'Feedstock Conversion Rates'!B$6)/12</f>
        <v>7.3281250000000009</v>
      </c>
      <c r="AF421" s="106">
        <f t="shared" si="445"/>
        <v>24.984375</v>
      </c>
      <c r="AG421" s="104">
        <f t="shared" si="459"/>
        <v>148</v>
      </c>
      <c r="AH421" s="104"/>
      <c r="AI421" s="104">
        <f>('Renewable Diesel'!H430*'RD Feedstock Breakdown'!AI$3*'Feedstock Conversion Rates'!B$6)/12-130-20+51-49</f>
        <v>0.51666666666667993</v>
      </c>
      <c r="AJ421" s="106">
        <f t="shared" si="413"/>
        <v>148.51666666666668</v>
      </c>
      <c r="AK421" s="104">
        <f>('Renewable Diesel'!J430*'RD Feedstock Breakdown'!AK$3*'Feedstock Conversion Rates'!B$4)/12</f>
        <v>95.8125</v>
      </c>
      <c r="AL421" s="106">
        <f t="shared" si="415"/>
        <v>95.8125</v>
      </c>
      <c r="AM421" s="104">
        <f>('Renewable Diesel'!K430*'RD Feedstock Breakdown'!AM$3*'Feedstock Conversion Rates'!B$4)/12+5+15-10+10</f>
        <v>78.59375</v>
      </c>
      <c r="AN421" s="104">
        <f>('Renewable Diesel'!K430*'RD Feedstock Breakdown'!AN$3*'Feedstock Conversion Rates'!B$6)/12-5-15+10-10</f>
        <v>4.4270833333333321</v>
      </c>
      <c r="AO421" s="106">
        <f t="shared" si="431"/>
        <v>83.020833333333329</v>
      </c>
      <c r="AP421" s="104">
        <f>('Renewable Diesel'!L430*'RD Feedstock Breakdown'!AP$3*'Feedstock Conversion Rates'!B$4)/12+15-10+15</f>
        <v>78.59375</v>
      </c>
      <c r="AQ421" s="104">
        <f>('Renewable Diesel'!L430*'RD Feedstock Breakdown'!AQ$3*'Feedstock Conversion Rates'!B$6)/12-15+10-15</f>
        <v>4.4270833333333321</v>
      </c>
      <c r="AR421" s="106">
        <f t="shared" si="420"/>
        <v>83.020833333333329</v>
      </c>
      <c r="AS421" s="104">
        <f>('Renewable Diesel'!M430*'RD Feedstock Breakdown'!AS$3*'Feedstock Conversion Rates'!B$4)/12</f>
        <v>456.25</v>
      </c>
      <c r="AT421" s="104">
        <f>('Renewable Diesel'!M430*'RD Feedstock Breakdown'!AT$3*'Feedstock Conversion Rates'!B$5)/12</f>
        <v>0</v>
      </c>
      <c r="AU421" s="106">
        <f t="shared" si="448"/>
        <v>456.25</v>
      </c>
      <c r="AV421" s="104">
        <f>'Renewable Diesel'!N430*'RD Feedstock Breakdown'!$AV$3*'Feedstock Conversion Rates'!$B$4/12-15-10+25+25-22+25</f>
        <v>106.74999999999999</v>
      </c>
      <c r="AW421" s="104">
        <f>'Renewable Diesel'!N430*'RD Feedstock Breakdown'!$AW$3*'Feedstock Conversion Rates'!$B$7/12+15+10-25-25+22-25</f>
        <v>13.400000000000006</v>
      </c>
      <c r="AX421" s="106">
        <f t="shared" si="408"/>
        <v>120.14999999999999</v>
      </c>
      <c r="AY421" s="104">
        <f>('Renewable Diesel'!O430*'RD Feedstock Breakdown'!AY$3*'Feedstock Conversion Rates'!B$4)/12</f>
        <v>210.9375</v>
      </c>
      <c r="AZ421" s="104">
        <f>('Renewable Diesel'!O430*'RD Feedstock Breakdown'!AZ$3*'Feedstock Conversion Rates'!B$3)/12</f>
        <v>25.03125</v>
      </c>
      <c r="BA421" s="106">
        <f t="shared" si="458"/>
        <v>235.96875</v>
      </c>
      <c r="BB421" s="104">
        <f>('Renewable Diesel'!Q430*'RD Feedstock Breakdown'!BB$3*'Feedstock Conversion Rates'!B$4)/12</f>
        <v>11.156249999999998</v>
      </c>
      <c r="BC421" s="104">
        <f>('Renewable Diesel'!Q430*'RD Feedstock Breakdown'!BC$3*'Feedstock Conversion Rates'!B$3)/12</f>
        <v>1.4017500000000001</v>
      </c>
      <c r="BD421" s="104">
        <f>('Renewable Diesel'!Q430*'RD Feedstock Breakdown'!BD$3*'Feedstock Conversion Rates'!B$6)/12</f>
        <v>0.8207500000000002</v>
      </c>
      <c r="BE421" s="106">
        <f t="shared" si="440"/>
        <v>13.378749999999998</v>
      </c>
      <c r="BF421" s="104">
        <f>('Renewable Diesel'!R430*'RD Feedstock Breakdown'!BF$3*'Feedstock Conversion Rates'!B$4)/12</f>
        <v>62.5</v>
      </c>
      <c r="BG421" s="106">
        <f t="shared" si="425"/>
        <v>62.5</v>
      </c>
      <c r="BH421" s="104">
        <f>('Renewable Diesel'!T430*'RD Feedstock Breakdown'!BH$3*'Feedstock Conversion Rates'!B$7)/12</f>
        <v>27.599999999999998</v>
      </c>
      <c r="BI421" s="106">
        <f t="shared" si="412"/>
        <v>27.599999999999998</v>
      </c>
      <c r="BJ421" s="104">
        <f>('Renewable Diesel'!W430*'RD Feedstock Breakdown'!BJ$3*'Feedstock Conversion Rates'!B$4)/12</f>
        <v>7.5</v>
      </c>
      <c r="BK421" s="104">
        <f>('Renewable Diesel'!W430*'RD Feedstock Breakdown'!BK$3*'Feedstock Conversion Rates'!B$3)/12</f>
        <v>1.335</v>
      </c>
      <c r="BL421" s="104">
        <f>('Renewable Diesel'!W430*'RD Feedstock Breakdown'!BL$3*'Feedstock Conversion Rates'!B$6)/12</f>
        <v>3.1266666666666669</v>
      </c>
      <c r="BM421" s="104">
        <f>('Renewable Diesel'!W430*'RD Feedstock Breakdown'!BM$3*'Feedstock Conversion Rates'!B$7)/12</f>
        <v>1.5333333333333332</v>
      </c>
      <c r="BN421" s="106">
        <f t="shared" si="452"/>
        <v>13.495000000000001</v>
      </c>
      <c r="BO421" s="104">
        <f>('Renewable Diesel'!P430*'Feedstock Conversion Rates'!B$4)/12</f>
        <v>31.25</v>
      </c>
      <c r="BP421" s="106">
        <f t="shared" si="446"/>
        <v>31.25</v>
      </c>
      <c r="BQ421" s="104">
        <f>('Renewable Diesel'!$S430*'RD Feedstock Breakdown'!BQ$3*'Feedstock Conversion Rates'!B$4)/12+10+15-15</f>
        <v>38.125</v>
      </c>
      <c r="BR421" s="104">
        <f>('Renewable Diesel'!$S430*'RD Feedstock Breakdown'!BR$3*'Feedstock Conversion Rates'!B$7)/12-10-15+15</f>
        <v>1.5</v>
      </c>
      <c r="BS421" s="106">
        <f t="shared" ref="BS421:BS484" si="460">SUM(BQ421:BR421)</f>
        <v>39.625</v>
      </c>
      <c r="BT421" s="106"/>
      <c r="BU421" s="104">
        <f>('Renewable Diesel'!Y430*'Feedstock Conversion Rates'!B$7)/12</f>
        <v>2.6833333333333331</v>
      </c>
      <c r="BV421" s="106">
        <f t="shared" si="442"/>
        <v>2.6833333333333331</v>
      </c>
      <c r="BW421" s="104">
        <f>('Renewable Diesel'!$Z430*'RD Feedstock Breakdown'!BW$3*'Feedstock Conversion Rates'!$B$4)/12-250+180</f>
        <v>1.875</v>
      </c>
      <c r="BX421" s="104">
        <f>('Renewable Diesel'!$Z430*'RD Feedstock Breakdown'!BX$3*'Feedstock Conversion Rates'!$B$5)/12</f>
        <v>7.2354166666666666</v>
      </c>
      <c r="BY421" s="104">
        <f>('Renewable Diesel'!$Z430*'RD Feedstock Breakdown'!BY$3*'Feedstock Conversion Rates'!$B$7)/12</f>
        <v>61.716666666666661</v>
      </c>
      <c r="BZ421" s="104">
        <f>('Renewable Diesel'!$Z430*'RD Feedstock Breakdown'!BZ$3*'Feedstock Conversion Rates'!$B$3)/12+250-180</f>
        <v>85.35250000000002</v>
      </c>
      <c r="CA421" s="106">
        <f t="shared" si="392"/>
        <v>156.17958333333334</v>
      </c>
      <c r="CB421" s="104">
        <f>('Renewable Diesel'!AA430*'Feedstock Conversion Rates'!B$4)/12</f>
        <v>191.25</v>
      </c>
      <c r="CC421" s="106">
        <f t="shared" si="454"/>
        <v>191.25</v>
      </c>
      <c r="CD421" s="104">
        <f>('Renewable Diesel'!$AB430*'RD Feedstock Breakdown'!CD$3*'Feedstock Conversion Rates'!$B$6)/12-15-5</f>
        <v>12.830000000000005</v>
      </c>
      <c r="CE421" s="104">
        <f>('Renewable Diesel'!$AB430*'RD Feedstock Breakdown'!CE$3*'Feedstock Conversion Rates'!$B$4)/12+15+5</f>
        <v>31.25</v>
      </c>
      <c r="CF421" s="106">
        <f t="shared" si="450"/>
        <v>44.080000000000005</v>
      </c>
      <c r="CG421" s="104">
        <f>('Renewable Diesel'!AD430*'Feedstock Conversion Rates'!B$4)/12</f>
        <v>112.5</v>
      </c>
      <c r="CH421" s="106">
        <f t="shared" si="439"/>
        <v>112.5</v>
      </c>
      <c r="CI421" s="104">
        <f>('Renewable Diesel'!$AE430*'RD Feedstock Breakdown'!CI$3*'Feedstock Conversion Rates'!$B$5)/12</f>
        <v>0.34604166666666664</v>
      </c>
      <c r="CJ421" s="104">
        <f>('Renewable Diesel'!$AE430*'RD Feedstock Breakdown'!CJ$3*'Feedstock Conversion Rates'!$B$4)/12</f>
        <v>0.34375</v>
      </c>
      <c r="CK421" s="106">
        <f t="shared" si="447"/>
        <v>0.68979166666666658</v>
      </c>
      <c r="CL421" s="104">
        <f>(((CL$3*'Renewable Diesel'!$AF430)*'Feedstock Conversion Rates'!$B$3)/12)</f>
        <v>91.78125</v>
      </c>
      <c r="CM421" s="104">
        <f>(((CM$3*'Renewable Diesel'!$AF430)*'Feedstock Conversion Rates'!$B$6)/12)</f>
        <v>53.739583333333336</v>
      </c>
      <c r="CN421" s="104">
        <f>(((CN$3*'Renewable Diesel'!$AF430)*'Feedstock Conversion Rates'!$B$4)/12)</f>
        <v>42.96875</v>
      </c>
      <c r="CO421" s="106">
        <f t="shared" si="441"/>
        <v>188.48958333333334</v>
      </c>
      <c r="CP421" s="104">
        <f>('Renewable Diesel'!$AG430*'RD Feedstock Breakdown'!CP$3*'Feedstock Conversion Rates'!$B$3)/12</f>
        <v>6.0075000000000003</v>
      </c>
      <c r="CQ421" s="104">
        <f>('Renewable Diesel'!$AG430*'RD Feedstock Breakdown'!CQ$3*'Feedstock Conversion Rates'!$B$6)/12</f>
        <v>3.5175000000000001</v>
      </c>
      <c r="CR421" s="104">
        <f>('Renewable Diesel'!$AG430*'RD Feedstock Breakdown'!CR$3*'Feedstock Conversion Rates'!$B$4)/12</f>
        <v>2.8125</v>
      </c>
      <c r="CS421" s="106">
        <f t="shared" si="397"/>
        <v>12.3375</v>
      </c>
      <c r="CT421" s="104">
        <f>('Renewable Diesel'!AI430*'Feedstock Conversion Rates'!$B$4*'RD Feedstock Breakdown'!$CT$3)/12</f>
        <v>29.375</v>
      </c>
      <c r="CU421" s="106">
        <f t="shared" si="443"/>
        <v>29.375</v>
      </c>
      <c r="CV421" s="104">
        <f>('Renewable Diesel'!AN430*'Feedstock Conversion Rates'!$B$3*'RD Feedstock Breakdown'!$CV$3)/12</f>
        <v>0.50062499999999999</v>
      </c>
      <c r="CW421" s="106">
        <f t="shared" si="419"/>
        <v>0.50062499999999999</v>
      </c>
      <c r="CX421" s="104">
        <f>('Renewable Diesel'!AO430*'RD Feedstock Breakdown'!$CX$3*'Feedstock Conversion Rates'!$B$3)/12</f>
        <v>6.3412499999999996</v>
      </c>
      <c r="CY421" s="104">
        <f>('Renewable Diesel'!AO430*'RD Feedstock Breakdown'!$CY$3*'Feedstock Conversion Rates'!$B$6)/12</f>
        <v>7.4258333333333342</v>
      </c>
      <c r="CZ421" s="106">
        <f t="shared" si="398"/>
        <v>13.767083333333334</v>
      </c>
      <c r="DA421" s="104">
        <f>('Renewable Diesel'!$AP430*'RD Feedstock Breakdown'!DA$3*'Feedstock Conversion Rates'!$B$3)/12</f>
        <v>6.3412499999999996</v>
      </c>
      <c r="DB421" s="104">
        <f>('Renewable Diesel'!$AP430*'RD Feedstock Breakdown'!DB$3*'Feedstock Conversion Rates'!$B$8)/12</f>
        <v>7.421875</v>
      </c>
      <c r="DC421" s="106">
        <f t="shared" si="422"/>
        <v>13.763124999999999</v>
      </c>
      <c r="DD421" s="104">
        <f>('Renewable Diesel'!AQ430*$DD$3*'Feedstock Conversion Rates'!$B$14)/12</f>
        <v>3.1041666666666665</v>
      </c>
      <c r="DE421" s="106">
        <f t="shared" si="423"/>
        <v>3.1041666666666665</v>
      </c>
      <c r="DF421" s="104">
        <f>('Renewable Diesel'!AR430*'Feedstock Conversion Rates'!$B$4*$DF$3)/12</f>
        <v>75</v>
      </c>
      <c r="DG421" s="106">
        <f t="shared" si="399"/>
        <v>75</v>
      </c>
      <c r="DH421" s="104">
        <f>('Renewable Diesel'!AS430*'Feedstock Conversion Rates'!$B$4*$DH$3)/12</f>
        <v>75</v>
      </c>
      <c r="DI421" s="106">
        <f t="shared" si="411"/>
        <v>75</v>
      </c>
      <c r="DJ421" s="104">
        <f>('Renewable Diesel'!AT430*'Feedstock Conversion Rates'!$B$4*0.25)/12</f>
        <v>8.59375</v>
      </c>
      <c r="DK421" s="104">
        <f>('Renewable Diesel'!$AT430*'RD Feedstock Breakdown'!DK$3*'Feedstock Conversion Rates'!$B$3)/12*0.5</f>
        <v>9.1781249999999996</v>
      </c>
      <c r="DL421" s="104">
        <f>('Renewable Diesel'!$AT430*'RD Feedstock Breakdown'!$DL$3*'Feedstock Conversion Rates'!$B$6)/12</f>
        <v>10.747916666666669</v>
      </c>
      <c r="DM421" s="104">
        <f>('Renewable Diesel'!$AT430*'RD Feedstock Breakdown'!$DM$3*'Feedstock Conversion Rates'!$B$8)/12</f>
        <v>10.7421875</v>
      </c>
      <c r="DN421" s="106">
        <f t="shared" si="453"/>
        <v>39.26197916666667</v>
      </c>
      <c r="DP421" s="104">
        <f t="shared" si="426"/>
        <v>103.22025000000001</v>
      </c>
      <c r="DQ421" s="104">
        <f t="shared" si="427"/>
        <v>349.11776750000007</v>
      </c>
      <c r="DR421" s="104">
        <f t="shared" si="432"/>
        <v>1891.953125</v>
      </c>
      <c r="DS421" s="104">
        <f t="shared" si="444"/>
        <v>228.90125</v>
      </c>
      <c r="DT421" s="104">
        <f t="shared" si="428"/>
        <v>243.03923333333344</v>
      </c>
      <c r="DU421" s="104">
        <f t="shared" si="429"/>
        <v>402.90610000000009</v>
      </c>
      <c r="DV421" s="104">
        <f t="shared" si="433"/>
        <v>78.75</v>
      </c>
      <c r="DW421" s="104">
        <f t="shared" si="430"/>
        <v>3</v>
      </c>
      <c r="DX421" s="106">
        <f t="shared" si="434"/>
        <v>3300.8877258333337</v>
      </c>
      <c r="DY421" s="109">
        <f t="shared" si="421"/>
        <v>-5.631051180898794E-13</v>
      </c>
      <c r="EA421" s="110">
        <f t="shared" si="424"/>
        <v>3.1270451640078516E-2</v>
      </c>
      <c r="EB421" s="110">
        <f t="shared" si="424"/>
        <v>0.10576481131658687</v>
      </c>
      <c r="EC421" s="110">
        <f t="shared" si="424"/>
        <v>0.57316494293133291</v>
      </c>
      <c r="ED421" s="110">
        <f t="shared" si="424"/>
        <v>6.9345360706629972E-2</v>
      </c>
      <c r="EE421" s="110">
        <f t="shared" si="424"/>
        <v>7.3628445896921982E-2</v>
      </c>
      <c r="EF421" s="110">
        <f t="shared" si="424"/>
        <v>0.1220599225010852</v>
      </c>
      <c r="EG421" s="110">
        <f t="shared" si="424"/>
        <v>2.3857218585075921E-2</v>
      </c>
      <c r="EH421" s="111">
        <f t="shared" si="435"/>
        <v>9.0884642228860647E-4</v>
      </c>
      <c r="EI421" s="110">
        <f t="shared" si="409"/>
        <v>0.99909115357771139</v>
      </c>
      <c r="EK421" s="132">
        <f>(EA421*'Renewable Diesel'!BF430*'Feedstock Conversion Rates'!B$2)+FB421</f>
        <v>825.92127066119963</v>
      </c>
      <c r="EL421" s="132">
        <f>(EB421*'Renewable Diesel'!BF430*'Feedstock Conversion Rates'!B$3)+FC421</f>
        <v>2632.4448808462544</v>
      </c>
      <c r="EM421" s="132">
        <f>(EC421*'Renewable Diesel'!BF430*'Feedstock Conversion Rates'!B$4)+FD421</f>
        <v>13357.539103189201</v>
      </c>
      <c r="EN421" s="132">
        <f>(ED421*'Renewable Diesel'!BF430*'Feedstock Conversion Rates'!B$5)+FE421</f>
        <v>1626.8590764521082</v>
      </c>
      <c r="EO421" s="132">
        <f>(EE421*'Renewable Diesel'!BF430*'Feedstock Conversion Rates'!B$6)+FF421</f>
        <v>2146.0213763395859</v>
      </c>
      <c r="EP421" s="132">
        <f>(EF421*'Renewable Diesel'!BF430*'Feedstock Conversion Rates'!B$7)+FG421</f>
        <v>3489.3657081209012</v>
      </c>
      <c r="EQ421" s="132">
        <f>(EG421*'Renewable Diesel'!BF430*'Feedstock Conversion Rates'!B$8)+FH421</f>
        <v>694.98696246514407</v>
      </c>
      <c r="ER421" s="132">
        <f>(EH421*'Renewable Diesel'!BF430*'Feedstock Conversion Rates'!B$9)+FI421</f>
        <v>26.122684557420015</v>
      </c>
      <c r="ES421" s="132">
        <f t="shared" si="436"/>
        <v>24799.261062631816</v>
      </c>
      <c r="ET421" s="133">
        <f>ES421/'Renewable Diesel'!BF430</f>
        <v>21.061729880527992</v>
      </c>
      <c r="EW421" s="73">
        <f t="shared" ref="EW421:EW484" si="461">EN421+EM421+FD421+FE421</f>
        <v>24290.756519788705</v>
      </c>
      <c r="EX421" s="73">
        <f t="shared" ref="EX421:EX484" si="462">EQ421+EO421+EL421+EK421+ER421+EP421+FB421+FC421+FF421+FG421+FH421+FI421</f>
        <v>15910.57857029936</v>
      </c>
      <c r="EY421" s="92">
        <f t="shared" si="410"/>
        <v>0.97949517360380789</v>
      </c>
      <c r="EZ421" s="92">
        <f t="shared" si="410"/>
        <v>0.64157470378316395</v>
      </c>
      <c r="FB421" s="102">
        <f>IF('Renewable Diesel'!$BG430&lt;1,0,(((('Renewable Diesel'!$BG430-1)*'Renewable Diesel'!$BF430)*'RD Feedstock Breakdown'!EA421)*'Feedstock Conversion Rates'!$B$2))</f>
        <v>512.95482230084326</v>
      </c>
      <c r="FC421" s="102">
        <f>IF('Renewable Diesel'!$BG430&lt;1,0,(((('Renewable Diesel'!$BG430-1)*'Renewable Diesel'!$BF430)*'RD Feedstock Breakdown'!EB421)*'Feedstock Conversion Rates'!$B$3))</f>
        <v>1634.932219375145</v>
      </c>
      <c r="FD421" s="102">
        <f>IF('Renewable Diesel'!$BG430&lt;1,0,(((('Renewable Diesel'!$BG430-1)*'Renewable Diesel'!$BF430)*'RD Feedstock Breakdown'!EC421)*'Feedstock Conversion Rates'!$B$4))</f>
        <v>8295.9651730093992</v>
      </c>
      <c r="FE421" s="102">
        <f>IF('Renewable Diesel'!$BG430&lt;1,0,(((('Renewable Diesel'!$BG430-1)*'Renewable Diesel'!$BF430)*'RD Feedstock Breakdown'!ED421)*'Feedstock Conversion Rates'!$B$5))</f>
        <v>1010.3931671379931</v>
      </c>
      <c r="FF421" s="102">
        <f>IF('Renewable Diesel'!$BG430&lt;1,0,(((('Renewable Diesel'!$BG430-1)*'Renewable Diesel'!$BF430)*'RD Feedstock Breakdown'!EE421)*'Feedstock Conversion Rates'!$B$6))</f>
        <v>1332.8292330730471</v>
      </c>
      <c r="FG421" s="102">
        <f>IF('Renewable Diesel'!$BG430&lt;1,0,(((('Renewable Diesel'!$BG430-1)*'Renewable Diesel'!$BF430)*'RD Feedstock Breakdown'!EF421)*'Feedstock Conversion Rates'!$B$7))</f>
        <v>2167.1399325009525</v>
      </c>
      <c r="FH421" s="102">
        <f>IF('Renewable Diesel'!$BG430&lt;1,0,(((('Renewable Diesel'!$BG430-1)*'Renewable Diesel'!$BF430)*'RD Feedstock Breakdown'!EG421)*'Feedstock Conversion Rates'!$B$8))</f>
        <v>431.63546756377104</v>
      </c>
      <c r="FI421" s="102">
        <f>IF('Renewable Diesel'!$BG430&lt;1,0,(((('Renewable Diesel'!$BG430-1)*'Renewable Diesel'!$BF430)*'RD Feedstock Breakdown'!EH421)*'Feedstock Conversion Rates'!$B$9))</f>
        <v>16.224012495095394</v>
      </c>
      <c r="FJ421" s="102">
        <f t="shared" ref="FJ421:FJ484" si="463">SUM(FB421:FI421)</f>
        <v>15402.074027456245</v>
      </c>
      <c r="GD421" s="91">
        <f>'Renewable Diesel'!BB430*0.32</f>
        <v>0</v>
      </c>
      <c r="GE421" s="91">
        <f>'Renewable Diesel'!BC430</f>
        <v>644.97298462789979</v>
      </c>
      <c r="GF421" s="91">
        <f>'Renewable Diesel'!BD430</f>
        <v>0</v>
      </c>
      <c r="GG421" s="91">
        <f t="shared" si="451"/>
        <v>644.97298462789979</v>
      </c>
      <c r="GH421" s="124">
        <v>1</v>
      </c>
      <c r="GI421" s="102">
        <f>$GG421*EA421*'Feedstock Conversion Rates'!$B$2</f>
        <v>171.43307046219269</v>
      </c>
      <c r="GJ421" s="102">
        <f>$GG421*EB421*'Feedstock Conversion Rates'!$B$3</f>
        <v>546.40572264796026</v>
      </c>
      <c r="GK421" s="102">
        <f>$GG421*EC421*'Feedstock Conversion Rates'!$B$4</f>
        <v>2772.5692794487622</v>
      </c>
      <c r="GL421" s="102">
        <f>$GG421*ED421*'Feedstock Conversion Rates'!$B$5</f>
        <v>337.6804262011533</v>
      </c>
      <c r="GM421" s="102">
        <f>$GG421*EE421*'Feedstock Conversion Rates'!$B$6</f>
        <v>445.44080276425217</v>
      </c>
      <c r="GN421" s="102">
        <f>$GG421*EF421*'Feedstock Conversion Rates'!$B$7</f>
        <v>724.27324317457055</v>
      </c>
      <c r="GO421" s="102">
        <f>$GG421*EG421*'Feedstock Conversion Rates'!$B$8</f>
        <v>144.25557633503078</v>
      </c>
      <c r="GP421" s="102">
        <f>$GG421*EH421*'Feedstock Conversion Rates'!B$9</f>
        <v>5.4221778533548086</v>
      </c>
      <c r="GQ421" s="102">
        <f t="shared" si="437"/>
        <v>5147.4802988872771</v>
      </c>
      <c r="GT421" s="103">
        <f t="shared" si="418"/>
        <v>3.3304269372191886E-2</v>
      </c>
      <c r="GU421" s="103">
        <f t="shared" si="416"/>
        <v>0.10615013383656388</v>
      </c>
      <c r="GV421" s="103">
        <f t="shared" si="416"/>
        <v>0.53862649654979822</v>
      </c>
      <c r="GW421" s="103">
        <f t="shared" si="416"/>
        <v>6.5601110950176775E-2</v>
      </c>
      <c r="GX421" s="103">
        <f t="shared" si="416"/>
        <v>8.653569841938831E-2</v>
      </c>
      <c r="GY421" s="103">
        <f t="shared" si="416"/>
        <v>0.14070442257566981</v>
      </c>
      <c r="GZ421" s="103">
        <f t="shared" si="416"/>
        <v>2.8024502855545523E-2</v>
      </c>
      <c r="HA421" s="103">
        <f t="shared" si="416"/>
        <v>1.053365440665584E-3</v>
      </c>
    </row>
    <row r="422" spans="1:209" x14ac:dyDescent="0.25">
      <c r="A422" s="96">
        <v>53267</v>
      </c>
      <c r="B422" s="104">
        <f t="shared" si="406"/>
        <v>44.25</v>
      </c>
      <c r="C422" s="104">
        <f t="shared" si="396"/>
        <v>49</v>
      </c>
      <c r="D422" s="104">
        <f t="shared" si="407"/>
        <v>2</v>
      </c>
      <c r="E422" s="104">
        <f>('Renewable Diesel'!B431*E$3*'Feedstock Conversion Rates'!$B$2)/12+26+13-100+27.5+39</f>
        <v>95.43</v>
      </c>
      <c r="F422" s="104">
        <f>('Renewable Diesel'!B431*'RD Feedstock Breakdown'!F$3*'Feedstock Conversion Rates'!B$8)/12+77+23-10-12-115.75+24+8</f>
        <v>48.15625</v>
      </c>
      <c r="G422" s="104">
        <f>('Renewable Diesel'!B431*'RD Feedstock Breakdown'!G$3*'Feedstock Conversion Rates'!B$7)/12+116.75-39-57.5-145-31.5+32+70-40+10+60</f>
        <v>151.90700000000004</v>
      </c>
      <c r="H422" s="104">
        <f>('Renewable Diesel'!B431*'RD Feedstock Breakdown'!H$3*'Feedstock Conversion Rates'!B$3)/12+67+10+12+3-235+20+47-20+25</f>
        <v>105.40022499999998</v>
      </c>
      <c r="I422" s="106">
        <f t="shared" si="449"/>
        <v>496.14347500000002</v>
      </c>
      <c r="J422" s="104">
        <f t="shared" si="417"/>
        <v>4</v>
      </c>
      <c r="K422" s="104"/>
      <c r="L422" s="104">
        <v>1</v>
      </c>
      <c r="M422" s="104">
        <f>('Renewable Diesel'!C431*'RD Feedstock Breakdown'!M$3*'Feedstock Conversion Rates'!B$2)/12</f>
        <v>7.7902500000000003</v>
      </c>
      <c r="N422" s="104">
        <f>('Renewable Diesel'!C431*'RD Feedstock Breakdown'!N$3*'Feedstock Conversion Rates'!B$8)/12</f>
        <v>3.671875</v>
      </c>
      <c r="O422" s="104">
        <f>('Renewable Diesel'!C431*'RD Feedstock Breakdown'!O$3*'Feedstock Conversion Rates'!B$7)/12</f>
        <v>11.9991</v>
      </c>
      <c r="P422" s="104">
        <f>('Renewable Diesel'!C431*'RD Feedstock Breakdown'!P$3*'Feedstock Conversion Rates'!B$3)/12</f>
        <v>10.4470425</v>
      </c>
      <c r="Q422" s="106">
        <f t="shared" si="455"/>
        <v>38.908267500000001</v>
      </c>
      <c r="R422" s="104">
        <f>('Renewable Diesel'!D431*'RD Feedstock Breakdown'!R$3*'Feedstock Conversion Rates'!B$7)/12</f>
        <v>2.2999999999999998</v>
      </c>
      <c r="S422" s="106">
        <f t="shared" si="414"/>
        <v>2.2999999999999998</v>
      </c>
      <c r="T422" s="104">
        <f t="shared" si="456"/>
        <v>0.82499999999999929</v>
      </c>
      <c r="U422" s="104"/>
      <c r="V422" s="104">
        <f>('Renewable Diesel'!E431*'RD Feedstock Breakdown'!V$3*'Feedstock Conversion Rates'!B$6)/12-20+25</f>
        <v>49.250150000000012</v>
      </c>
      <c r="W422" s="104">
        <f>('Renewable Diesel'!E431*'RD Feedstock Breakdown'!W$3*'Feedstock Conversion Rates'!B$8)/12-6</f>
        <v>16.1796875</v>
      </c>
      <c r="X422" s="106">
        <f t="shared" si="438"/>
        <v>66.254837500000008</v>
      </c>
      <c r="Y422" s="104">
        <f t="shared" si="457"/>
        <v>98</v>
      </c>
      <c r="Z422" s="104">
        <f>('Renewable Diesel'!F431*'RD Feedstock Breakdown'!Z$3*'Feedstock Conversion Rates'!B$6)/12-142+15+5+20+5+15</f>
        <v>77.460000000000008</v>
      </c>
      <c r="AA422" s="104">
        <f>('Renewable Diesel'!F431*'RD Feedstock Breakdown'!AA$3*'Feedstock Conversion Rates'!B$7)/12+24</f>
        <v>128.26666666666665</v>
      </c>
      <c r="AB422" s="106">
        <f t="shared" si="400"/>
        <v>303.72666666666669</v>
      </c>
      <c r="AC422" s="104">
        <f>('Renewable Diesel'!G431*'RD Feedstock Breakdown'!AC$3*'Feedstock Conversion Rates'!B$5)/12</f>
        <v>11.796875</v>
      </c>
      <c r="AD422" s="104">
        <f>('Renewable Diesel'!G431*'RD Feedstock Breakdown'!AD$3*'Feedstock Conversion Rates'!B$4)/12</f>
        <v>5.859375</v>
      </c>
      <c r="AE422" s="104">
        <f>('Renewable Diesel'!G431*'RD Feedstock Breakdown'!AE$3*'Feedstock Conversion Rates'!B$6)/12</f>
        <v>7.3281250000000009</v>
      </c>
      <c r="AF422" s="106">
        <f t="shared" si="445"/>
        <v>24.984375</v>
      </c>
      <c r="AG422" s="104">
        <f t="shared" si="459"/>
        <v>148</v>
      </c>
      <c r="AH422" s="104"/>
      <c r="AI422" s="104">
        <f>('Renewable Diesel'!H431*'RD Feedstock Breakdown'!AI$3*'Feedstock Conversion Rates'!B$6)/12-130-20+51-49</f>
        <v>0.51666666666667993</v>
      </c>
      <c r="AJ422" s="106">
        <f t="shared" si="413"/>
        <v>148.51666666666668</v>
      </c>
      <c r="AK422" s="104">
        <f>('Renewable Diesel'!J431*'RD Feedstock Breakdown'!AK$3*'Feedstock Conversion Rates'!B$4)/12</f>
        <v>95.8125</v>
      </c>
      <c r="AL422" s="106">
        <f t="shared" si="415"/>
        <v>95.8125</v>
      </c>
      <c r="AM422" s="104">
        <f>('Renewable Diesel'!K431*'RD Feedstock Breakdown'!AM$3*'Feedstock Conversion Rates'!B$4)/12+5+15-10+10</f>
        <v>78.59375</v>
      </c>
      <c r="AN422" s="104">
        <f>('Renewable Diesel'!K431*'RD Feedstock Breakdown'!AN$3*'Feedstock Conversion Rates'!B$6)/12-5-15+10-10</f>
        <v>4.4270833333333321</v>
      </c>
      <c r="AO422" s="106">
        <f t="shared" si="431"/>
        <v>83.020833333333329</v>
      </c>
      <c r="AP422" s="104">
        <f>('Renewable Diesel'!L431*'RD Feedstock Breakdown'!AP$3*'Feedstock Conversion Rates'!B$4)/12+15-10+15</f>
        <v>78.59375</v>
      </c>
      <c r="AQ422" s="104">
        <f>('Renewable Diesel'!L431*'RD Feedstock Breakdown'!AQ$3*'Feedstock Conversion Rates'!B$6)/12-15+10-15</f>
        <v>4.4270833333333321</v>
      </c>
      <c r="AR422" s="106">
        <f t="shared" si="420"/>
        <v>83.020833333333329</v>
      </c>
      <c r="AS422" s="104">
        <f>('Renewable Diesel'!M431*'RD Feedstock Breakdown'!AS$3*'Feedstock Conversion Rates'!B$4)/12</f>
        <v>456.25</v>
      </c>
      <c r="AT422" s="104">
        <f>('Renewable Diesel'!M431*'RD Feedstock Breakdown'!AT$3*'Feedstock Conversion Rates'!B$5)/12</f>
        <v>0</v>
      </c>
      <c r="AU422" s="106">
        <f t="shared" si="448"/>
        <v>456.25</v>
      </c>
      <c r="AV422" s="104">
        <f>'Renewable Diesel'!N431*'RD Feedstock Breakdown'!$AV$3*'Feedstock Conversion Rates'!$B$4/12-15-10+25+25-22+25</f>
        <v>106.74999999999999</v>
      </c>
      <c r="AW422" s="104">
        <f>'Renewable Diesel'!N431*'RD Feedstock Breakdown'!$AW$3*'Feedstock Conversion Rates'!$B$7/12+15+10-25-25+22-25</f>
        <v>13.400000000000006</v>
      </c>
      <c r="AX422" s="106">
        <f t="shared" si="408"/>
        <v>120.14999999999999</v>
      </c>
      <c r="AY422" s="104">
        <f>('Renewable Diesel'!O431*'RD Feedstock Breakdown'!AY$3*'Feedstock Conversion Rates'!B$4)/12</f>
        <v>210.9375</v>
      </c>
      <c r="AZ422" s="104">
        <f>('Renewable Diesel'!O431*'RD Feedstock Breakdown'!AZ$3*'Feedstock Conversion Rates'!B$3)/12</f>
        <v>25.03125</v>
      </c>
      <c r="BA422" s="106">
        <f t="shared" si="458"/>
        <v>235.96875</v>
      </c>
      <c r="BB422" s="104">
        <f>('Renewable Diesel'!Q431*'RD Feedstock Breakdown'!BB$3*'Feedstock Conversion Rates'!B$4)/12</f>
        <v>11.156249999999998</v>
      </c>
      <c r="BC422" s="104">
        <f>('Renewable Diesel'!Q431*'RD Feedstock Breakdown'!BC$3*'Feedstock Conversion Rates'!B$3)/12</f>
        <v>1.4017500000000001</v>
      </c>
      <c r="BD422" s="104">
        <f>('Renewable Diesel'!Q431*'RD Feedstock Breakdown'!BD$3*'Feedstock Conversion Rates'!B$6)/12</f>
        <v>0.8207500000000002</v>
      </c>
      <c r="BE422" s="106">
        <f t="shared" si="440"/>
        <v>13.378749999999998</v>
      </c>
      <c r="BF422" s="104">
        <f>('Renewable Diesel'!R431*'RD Feedstock Breakdown'!BF$3*'Feedstock Conversion Rates'!B$4)/12</f>
        <v>62.5</v>
      </c>
      <c r="BG422" s="106">
        <f t="shared" si="425"/>
        <v>62.5</v>
      </c>
      <c r="BH422" s="104">
        <f>('Renewable Diesel'!T431*'RD Feedstock Breakdown'!BH$3*'Feedstock Conversion Rates'!B$7)/12</f>
        <v>27.599999999999998</v>
      </c>
      <c r="BI422" s="106">
        <f t="shared" si="412"/>
        <v>27.599999999999998</v>
      </c>
      <c r="BJ422" s="104">
        <f>('Renewable Diesel'!W431*'RD Feedstock Breakdown'!BJ$3*'Feedstock Conversion Rates'!B$4)/12</f>
        <v>7.5</v>
      </c>
      <c r="BK422" s="104">
        <f>('Renewable Diesel'!W431*'RD Feedstock Breakdown'!BK$3*'Feedstock Conversion Rates'!B$3)/12</f>
        <v>1.335</v>
      </c>
      <c r="BL422" s="104">
        <f>('Renewable Diesel'!W431*'RD Feedstock Breakdown'!BL$3*'Feedstock Conversion Rates'!B$6)/12</f>
        <v>3.1266666666666669</v>
      </c>
      <c r="BM422" s="104">
        <f>('Renewable Diesel'!W431*'RD Feedstock Breakdown'!BM$3*'Feedstock Conversion Rates'!B$7)/12</f>
        <v>1.5333333333333332</v>
      </c>
      <c r="BN422" s="106">
        <f t="shared" si="452"/>
        <v>13.495000000000001</v>
      </c>
      <c r="BO422" s="104">
        <f>('Renewable Diesel'!P431*'Feedstock Conversion Rates'!B$4)/12</f>
        <v>31.25</v>
      </c>
      <c r="BP422" s="106">
        <f t="shared" si="446"/>
        <v>31.25</v>
      </c>
      <c r="BQ422" s="104">
        <f>('Renewable Diesel'!$S431*'RD Feedstock Breakdown'!BQ$3*'Feedstock Conversion Rates'!B$4)/12+10+15-15</f>
        <v>38.125</v>
      </c>
      <c r="BR422" s="104">
        <f>('Renewable Diesel'!$S431*'RD Feedstock Breakdown'!BR$3*'Feedstock Conversion Rates'!B$7)/12-10-15+15</f>
        <v>1.5</v>
      </c>
      <c r="BS422" s="106">
        <f t="shared" si="460"/>
        <v>39.625</v>
      </c>
      <c r="BT422" s="106"/>
      <c r="BU422" s="104">
        <f>('Renewable Diesel'!Y431*'Feedstock Conversion Rates'!B$7)/12</f>
        <v>2.6833333333333331</v>
      </c>
      <c r="BV422" s="106">
        <f t="shared" si="442"/>
        <v>2.6833333333333331</v>
      </c>
      <c r="BW422" s="104">
        <f>('Renewable Diesel'!$Z431*'RD Feedstock Breakdown'!BW$3*'Feedstock Conversion Rates'!$B$4)/12-250+180</f>
        <v>1.875</v>
      </c>
      <c r="BX422" s="104">
        <f>('Renewable Diesel'!$Z431*'RD Feedstock Breakdown'!BX$3*'Feedstock Conversion Rates'!$B$5)/12</f>
        <v>7.2354166666666666</v>
      </c>
      <c r="BY422" s="104">
        <f>('Renewable Diesel'!$Z431*'RD Feedstock Breakdown'!BY$3*'Feedstock Conversion Rates'!$B$7)/12</f>
        <v>61.716666666666661</v>
      </c>
      <c r="BZ422" s="104">
        <f>('Renewable Diesel'!$Z431*'RD Feedstock Breakdown'!BZ$3*'Feedstock Conversion Rates'!$B$3)/12+250-180</f>
        <v>85.35250000000002</v>
      </c>
      <c r="CA422" s="106">
        <f t="shared" ref="CA422:CA485" si="464">SUM(BW422:BZ422)</f>
        <v>156.17958333333334</v>
      </c>
      <c r="CB422" s="104">
        <f>('Renewable Diesel'!AA431*'Feedstock Conversion Rates'!B$4)/12</f>
        <v>191.25</v>
      </c>
      <c r="CC422" s="106">
        <f t="shared" si="454"/>
        <v>191.25</v>
      </c>
      <c r="CD422" s="104">
        <f>('Renewable Diesel'!$AB431*'RD Feedstock Breakdown'!CD$3*'Feedstock Conversion Rates'!$B$6)/12-15-5</f>
        <v>12.830000000000005</v>
      </c>
      <c r="CE422" s="104">
        <f>('Renewable Diesel'!$AB431*'RD Feedstock Breakdown'!CE$3*'Feedstock Conversion Rates'!$B$4)/12+15+5</f>
        <v>31.25</v>
      </c>
      <c r="CF422" s="106">
        <f t="shared" si="450"/>
        <v>44.080000000000005</v>
      </c>
      <c r="CG422" s="104">
        <f>('Renewable Diesel'!AD431*'Feedstock Conversion Rates'!B$4)/12</f>
        <v>112.5</v>
      </c>
      <c r="CH422" s="106">
        <f t="shared" si="439"/>
        <v>112.5</v>
      </c>
      <c r="CI422" s="104">
        <f>('Renewable Diesel'!$AE431*'RD Feedstock Breakdown'!CI$3*'Feedstock Conversion Rates'!$B$5)/12</f>
        <v>0.34604166666666664</v>
      </c>
      <c r="CJ422" s="104">
        <f>('Renewable Diesel'!$AE431*'RD Feedstock Breakdown'!CJ$3*'Feedstock Conversion Rates'!$B$4)/12</f>
        <v>0.34375</v>
      </c>
      <c r="CK422" s="106">
        <f t="shared" si="447"/>
        <v>0.68979166666666658</v>
      </c>
      <c r="CL422" s="104">
        <f>(((CL$3*'Renewable Diesel'!$AF431)*'Feedstock Conversion Rates'!$B$3)/12)</f>
        <v>91.78125</v>
      </c>
      <c r="CM422" s="104">
        <f>(((CM$3*'Renewable Diesel'!$AF431)*'Feedstock Conversion Rates'!$B$6)/12)</f>
        <v>53.739583333333336</v>
      </c>
      <c r="CN422" s="104">
        <f>(((CN$3*'Renewable Diesel'!$AF431)*'Feedstock Conversion Rates'!$B$4)/12)</f>
        <v>42.96875</v>
      </c>
      <c r="CO422" s="106">
        <f t="shared" si="441"/>
        <v>188.48958333333334</v>
      </c>
      <c r="CP422" s="104">
        <f>('Renewable Diesel'!$AG431*'RD Feedstock Breakdown'!CP$3*'Feedstock Conversion Rates'!$B$3)/12</f>
        <v>6.0075000000000003</v>
      </c>
      <c r="CQ422" s="104">
        <f>('Renewable Diesel'!$AG431*'RD Feedstock Breakdown'!CQ$3*'Feedstock Conversion Rates'!$B$6)/12</f>
        <v>3.5175000000000001</v>
      </c>
      <c r="CR422" s="104">
        <f>('Renewable Diesel'!$AG431*'RD Feedstock Breakdown'!CR$3*'Feedstock Conversion Rates'!$B$4)/12</f>
        <v>2.8125</v>
      </c>
      <c r="CS422" s="106">
        <f t="shared" si="397"/>
        <v>12.3375</v>
      </c>
      <c r="CT422" s="104">
        <f>('Renewable Diesel'!AI431*'Feedstock Conversion Rates'!$B$4*'RD Feedstock Breakdown'!$CT$3)/12</f>
        <v>29.375</v>
      </c>
      <c r="CU422" s="106">
        <f t="shared" si="443"/>
        <v>29.375</v>
      </c>
      <c r="CV422" s="104">
        <f>('Renewable Diesel'!AN431*'Feedstock Conversion Rates'!$B$3*'RD Feedstock Breakdown'!$CV$3)/12</f>
        <v>0.50062499999999999</v>
      </c>
      <c r="CW422" s="106">
        <f t="shared" si="419"/>
        <v>0.50062499999999999</v>
      </c>
      <c r="CX422" s="104">
        <f>('Renewable Diesel'!AO431*'RD Feedstock Breakdown'!$CX$3*'Feedstock Conversion Rates'!$B$3)/12</f>
        <v>6.3412499999999996</v>
      </c>
      <c r="CY422" s="104">
        <f>('Renewable Diesel'!AO431*'RD Feedstock Breakdown'!$CY$3*'Feedstock Conversion Rates'!$B$6)/12</f>
        <v>7.4258333333333342</v>
      </c>
      <c r="CZ422" s="106">
        <f t="shared" si="398"/>
        <v>13.767083333333334</v>
      </c>
      <c r="DA422" s="104">
        <f>('Renewable Diesel'!$AP431*'RD Feedstock Breakdown'!DA$3*'Feedstock Conversion Rates'!$B$3)/12</f>
        <v>6.3412499999999996</v>
      </c>
      <c r="DB422" s="104">
        <f>('Renewable Diesel'!$AP431*'RD Feedstock Breakdown'!DB$3*'Feedstock Conversion Rates'!$B$8)/12</f>
        <v>7.421875</v>
      </c>
      <c r="DC422" s="106">
        <f t="shared" si="422"/>
        <v>13.763124999999999</v>
      </c>
      <c r="DD422" s="104">
        <f>('Renewable Diesel'!AQ431*$DD$3*'Feedstock Conversion Rates'!$B$14)/12</f>
        <v>3.1041666666666665</v>
      </c>
      <c r="DE422" s="106">
        <f t="shared" si="423"/>
        <v>3.1041666666666665</v>
      </c>
      <c r="DF422" s="104">
        <f>('Renewable Diesel'!AR431*'Feedstock Conversion Rates'!$B$4*$DF$3)/12</f>
        <v>75</v>
      </c>
      <c r="DG422" s="106">
        <f t="shared" si="399"/>
        <v>75</v>
      </c>
      <c r="DH422" s="104">
        <f>('Renewable Diesel'!AS431*'Feedstock Conversion Rates'!$B$4*$DH$3)/12</f>
        <v>75</v>
      </c>
      <c r="DI422" s="106">
        <f t="shared" si="411"/>
        <v>75</v>
      </c>
      <c r="DJ422" s="104">
        <f>('Renewable Diesel'!AT431*'Feedstock Conversion Rates'!$B$4*0.25)/12</f>
        <v>8.59375</v>
      </c>
      <c r="DK422" s="104">
        <f>('Renewable Diesel'!$AT431*'RD Feedstock Breakdown'!DK$3*'Feedstock Conversion Rates'!$B$3)/12*0.5</f>
        <v>9.1781249999999996</v>
      </c>
      <c r="DL422" s="104">
        <f>('Renewable Diesel'!$AT431*'RD Feedstock Breakdown'!$DL$3*'Feedstock Conversion Rates'!$B$6)/12</f>
        <v>10.747916666666669</v>
      </c>
      <c r="DM422" s="104">
        <f>('Renewable Diesel'!$AT431*'RD Feedstock Breakdown'!$DM$3*'Feedstock Conversion Rates'!$B$8)/12</f>
        <v>10.7421875</v>
      </c>
      <c r="DN422" s="106">
        <f t="shared" si="453"/>
        <v>39.26197916666667</v>
      </c>
      <c r="DP422" s="104">
        <f t="shared" si="426"/>
        <v>103.22025000000001</v>
      </c>
      <c r="DQ422" s="104">
        <f t="shared" si="427"/>
        <v>349.11776750000007</v>
      </c>
      <c r="DR422" s="104">
        <f t="shared" si="432"/>
        <v>1891.953125</v>
      </c>
      <c r="DS422" s="104">
        <f t="shared" si="444"/>
        <v>228.90125</v>
      </c>
      <c r="DT422" s="104">
        <f t="shared" si="428"/>
        <v>243.03923333333344</v>
      </c>
      <c r="DU422" s="104">
        <f t="shared" si="429"/>
        <v>402.90610000000009</v>
      </c>
      <c r="DV422" s="104">
        <f t="shared" si="433"/>
        <v>78.75</v>
      </c>
      <c r="DW422" s="104">
        <f t="shared" si="430"/>
        <v>3</v>
      </c>
      <c r="DX422" s="106">
        <f t="shared" si="434"/>
        <v>3300.8877258333337</v>
      </c>
      <c r="DY422" s="109">
        <f t="shared" si="421"/>
        <v>-5.631051180898794E-13</v>
      </c>
      <c r="EA422" s="110">
        <f t="shared" si="424"/>
        <v>3.1270451640078516E-2</v>
      </c>
      <c r="EB422" s="110">
        <f t="shared" si="424"/>
        <v>0.10576481131658687</v>
      </c>
      <c r="EC422" s="110">
        <f t="shared" si="424"/>
        <v>0.57316494293133291</v>
      </c>
      <c r="ED422" s="110">
        <f t="shared" si="424"/>
        <v>6.9345360706629972E-2</v>
      </c>
      <c r="EE422" s="110">
        <f t="shared" si="424"/>
        <v>7.3628445896921982E-2</v>
      </c>
      <c r="EF422" s="110">
        <f t="shared" si="424"/>
        <v>0.1220599225010852</v>
      </c>
      <c r="EG422" s="110">
        <f t="shared" si="424"/>
        <v>2.3857218585075921E-2</v>
      </c>
      <c r="EH422" s="111">
        <f t="shared" si="435"/>
        <v>9.0884642228860647E-4</v>
      </c>
      <c r="EI422" s="110">
        <f t="shared" si="409"/>
        <v>0.99909115357771139</v>
      </c>
      <c r="EK422" s="132">
        <f>(EA422*'Renewable Diesel'!BF431*'Feedstock Conversion Rates'!B$2)+FB422</f>
        <v>837.18227316988975</v>
      </c>
      <c r="EL422" s="132">
        <f>(EB422*'Renewable Diesel'!BF431*'Feedstock Conversion Rates'!B$3)+FC422</f>
        <v>2668.3368834622743</v>
      </c>
      <c r="EM422" s="132">
        <f>(EC422*'Renewable Diesel'!BF431*'Feedstock Conversion Rates'!B$4)+FD422</f>
        <v>13539.662129552864</v>
      </c>
      <c r="EN422" s="132">
        <f>(ED422*'Renewable Diesel'!BF431*'Feedstock Conversion Rates'!B$5)+FE422</f>
        <v>1649.0404450546462</v>
      </c>
      <c r="EO422" s="132">
        <f>(EE422*'Renewable Diesel'!BF431*'Feedstock Conversion Rates'!B$6)+FF422</f>
        <v>2175.2812500843511</v>
      </c>
      <c r="EP422" s="132">
        <f>(EF422*'Renewable Diesel'!BF431*'Feedstock Conversion Rates'!B$7)+FG422</f>
        <v>3536.9413759099507</v>
      </c>
      <c r="EQ422" s="132">
        <f>(EG422*'Renewable Diesel'!BF431*'Feedstock Conversion Rates'!B$8)+FH422</f>
        <v>704.46274448679071</v>
      </c>
      <c r="ER422" s="132">
        <f>(EH422*'Renewable Diesel'!BF431*'Feedstock Conversion Rates'!B$9)+FI422</f>
        <v>26.478853634043176</v>
      </c>
      <c r="ES422" s="132">
        <f t="shared" si="436"/>
        <v>25137.385955354806</v>
      </c>
      <c r="ET422" s="133">
        <f>ES422/'Renewable Diesel'!BF431</f>
        <v>20.86000967109781</v>
      </c>
      <c r="EW422" s="73">
        <f t="shared" si="461"/>
        <v>24566.291871349847</v>
      </c>
      <c r="EX422" s="73">
        <f t="shared" si="462"/>
        <v>16091.05573478525</v>
      </c>
      <c r="EY422" s="92">
        <f t="shared" si="410"/>
        <v>0.97728108702236383</v>
      </c>
      <c r="EZ422" s="92">
        <f t="shared" si="410"/>
        <v>0.64012446494491237</v>
      </c>
      <c r="FB422" s="102">
        <f>IF('Renewable Diesel'!$BG431&lt;1,0,(((('Renewable Diesel'!$BG431-1)*'Renewable Diesel'!$BF431)*'RD Feedstock Breakdown'!EA422)*'Feedstock Conversion Rates'!$B$2))</f>
        <v>516.88098346367474</v>
      </c>
      <c r="FC422" s="102">
        <f>IF('Renewable Diesel'!$BG431&lt;1,0,(((('Renewable Diesel'!$BG431-1)*'Renewable Diesel'!$BF431)*'RD Feedstock Breakdown'!EB422)*'Feedstock Conversion Rates'!$B$3))</f>
        <v>1647.446006368667</v>
      </c>
      <c r="FD422" s="102">
        <f>IF('Renewable Diesel'!$BG431&lt;1,0,(((('Renewable Diesel'!$BG431-1)*'Renewable Diesel'!$BF431)*'RD Feedstock Breakdown'!EC422)*'Feedstock Conversion Rates'!$B$4))</f>
        <v>8359.4625705470116</v>
      </c>
      <c r="FE422" s="102">
        <f>IF('Renewable Diesel'!$BG431&lt;1,0,(((('Renewable Diesel'!$BG431-1)*'Renewable Diesel'!$BF431)*'RD Feedstock Breakdown'!ED422)*'Feedstock Conversion Rates'!$B$5))</f>
        <v>1018.1267261953266</v>
      </c>
      <c r="FF422" s="102">
        <f>IF('Renewable Diesel'!$BG431&lt;1,0,(((('Renewable Diesel'!$BG431-1)*'Renewable Diesel'!$BF431)*'RD Feedstock Breakdown'!EE422)*'Feedstock Conversion Rates'!$B$6))</f>
        <v>1343.030720892395</v>
      </c>
      <c r="FG422" s="102">
        <f>IF('Renewable Diesel'!$BG431&lt;1,0,(((('Renewable Diesel'!$BG431-1)*'Renewable Diesel'!$BF431)*'RD Feedstock Breakdown'!EF422)*'Feedstock Conversion Rates'!$B$7))</f>
        <v>2183.7272424695802</v>
      </c>
      <c r="FH422" s="102">
        <f>IF('Renewable Diesel'!$BG431&lt;1,0,(((('Renewable Diesel'!$BG431-1)*'Renewable Diesel'!$BF431)*'RD Feedstock Breakdown'!EG422)*'Feedstock Conversion Rates'!$B$8))</f>
        <v>434.93920960024923</v>
      </c>
      <c r="FI422" s="102">
        <f>IF('Renewable Diesel'!$BG431&lt;1,0,(((('Renewable Diesel'!$BG431-1)*'Renewable Diesel'!$BF431)*'RD Feedstock Breakdown'!EH422)*'Feedstock Conversion Rates'!$B$9))</f>
        <v>16.348191243387145</v>
      </c>
      <c r="FJ422" s="102">
        <f t="shared" si="463"/>
        <v>15519.961650780291</v>
      </c>
      <c r="GD422" s="91">
        <f>'Renewable Diesel'!BB431*0.32</f>
        <v>0</v>
      </c>
      <c r="GE422" s="91">
        <f>'Renewable Diesel'!BC431</f>
        <v>558.09638004823455</v>
      </c>
      <c r="GF422" s="91">
        <f>'Renewable Diesel'!BD431</f>
        <v>0</v>
      </c>
      <c r="GG422" s="91">
        <f t="shared" si="451"/>
        <v>558.09638004823455</v>
      </c>
      <c r="GH422" s="124">
        <v>1</v>
      </c>
      <c r="GI422" s="102">
        <f>$GG422*EA422*'Feedstock Conversion Rates'!$B$2</f>
        <v>148.34136983381021</v>
      </c>
      <c r="GJ422" s="102">
        <f>$GG422*EB422*'Feedstock Conversion Rates'!$B$3</f>
        <v>472.80593624149617</v>
      </c>
      <c r="GK422" s="102">
        <f>$GG422*EC422*'Feedstock Conversion Rates'!$B$4</f>
        <v>2399.1095986539735</v>
      </c>
      <c r="GL422" s="102">
        <f>$GG422*ED422*'Feedstock Conversion Rates'!$B$5</f>
        <v>292.19553061549499</v>
      </c>
      <c r="GM422" s="102">
        <f>$GG422*EE422*'Feedstock Conversion Rates'!$B$6</f>
        <v>385.44079437983186</v>
      </c>
      <c r="GN422" s="102">
        <f>$GG422*EF422*'Feedstock Conversion Rates'!$B$7</f>
        <v>626.71504825077807</v>
      </c>
      <c r="GO422" s="102">
        <f>$GG422*EG422*'Feedstock Conversion Rates'!$B$8</f>
        <v>124.8246312220344</v>
      </c>
      <c r="GP422" s="102">
        <f>$GG422*EH422*'Feedstock Conversion Rates'!B$9</f>
        <v>4.6918210592663083</v>
      </c>
      <c r="GQ422" s="102">
        <f t="shared" si="437"/>
        <v>4454.1247302566862</v>
      </c>
      <c r="GT422" s="103">
        <f t="shared" si="418"/>
        <v>3.33042693721919E-2</v>
      </c>
      <c r="GU422" s="103">
        <f t="shared" si="416"/>
        <v>0.10615013383656388</v>
      </c>
      <c r="GV422" s="103">
        <f t="shared" si="416"/>
        <v>0.53862649654979833</v>
      </c>
      <c r="GW422" s="103">
        <f t="shared" si="416"/>
        <v>6.5601110950176789E-2</v>
      </c>
      <c r="GX422" s="103">
        <f t="shared" si="416"/>
        <v>8.6535698419388324E-2</v>
      </c>
      <c r="GY422" s="103">
        <f t="shared" si="416"/>
        <v>0.14070442257566984</v>
      </c>
      <c r="GZ422" s="103">
        <f t="shared" si="416"/>
        <v>2.8024502855545523E-2</v>
      </c>
      <c r="HA422" s="103">
        <f t="shared" si="416"/>
        <v>1.053365440665584E-3</v>
      </c>
    </row>
    <row r="423" spans="1:209" x14ac:dyDescent="0.25">
      <c r="A423" s="96">
        <v>53297</v>
      </c>
      <c r="B423" s="104">
        <f t="shared" si="406"/>
        <v>44.25</v>
      </c>
      <c r="C423" s="104">
        <f t="shared" si="396"/>
        <v>49</v>
      </c>
      <c r="D423" s="104">
        <f t="shared" si="407"/>
        <v>2</v>
      </c>
      <c r="E423" s="104">
        <f>('Renewable Diesel'!B432*E$3*'Feedstock Conversion Rates'!$B$2)/12+26+13-100+27.5+39</f>
        <v>95.43</v>
      </c>
      <c r="F423" s="104">
        <f>('Renewable Diesel'!B432*'RD Feedstock Breakdown'!F$3*'Feedstock Conversion Rates'!B$8)/12+77+23-10-12-115.75+24+8</f>
        <v>48.15625</v>
      </c>
      <c r="G423" s="104">
        <f>('Renewable Diesel'!B432*'RD Feedstock Breakdown'!G$3*'Feedstock Conversion Rates'!B$7)/12+116.75-39-57.5-145-31.5+32+70-40+10+60</f>
        <v>151.90700000000004</v>
      </c>
      <c r="H423" s="104">
        <f>('Renewable Diesel'!B432*'RD Feedstock Breakdown'!H$3*'Feedstock Conversion Rates'!B$3)/12+67+10+12+3-235+20+47-20+25</f>
        <v>105.40022499999998</v>
      </c>
      <c r="I423" s="106">
        <f t="shared" si="449"/>
        <v>496.14347500000002</v>
      </c>
      <c r="J423" s="104">
        <f t="shared" si="417"/>
        <v>4</v>
      </c>
      <c r="K423" s="104"/>
      <c r="L423" s="104">
        <v>1</v>
      </c>
      <c r="M423" s="104">
        <f>('Renewable Diesel'!C432*'RD Feedstock Breakdown'!M$3*'Feedstock Conversion Rates'!B$2)/12</f>
        <v>7.7902500000000003</v>
      </c>
      <c r="N423" s="104">
        <f>('Renewable Diesel'!C432*'RD Feedstock Breakdown'!N$3*'Feedstock Conversion Rates'!B$8)/12</f>
        <v>3.671875</v>
      </c>
      <c r="O423" s="104">
        <f>('Renewable Diesel'!C432*'RD Feedstock Breakdown'!O$3*'Feedstock Conversion Rates'!B$7)/12</f>
        <v>11.9991</v>
      </c>
      <c r="P423" s="104">
        <f>('Renewable Diesel'!C432*'RD Feedstock Breakdown'!P$3*'Feedstock Conversion Rates'!B$3)/12</f>
        <v>10.4470425</v>
      </c>
      <c r="Q423" s="106">
        <f t="shared" si="455"/>
        <v>38.908267500000001</v>
      </c>
      <c r="R423" s="104">
        <f>('Renewable Diesel'!D432*'RD Feedstock Breakdown'!R$3*'Feedstock Conversion Rates'!B$7)/12</f>
        <v>2.2999999999999998</v>
      </c>
      <c r="S423" s="106">
        <f t="shared" si="414"/>
        <v>2.2999999999999998</v>
      </c>
      <c r="T423" s="104">
        <f t="shared" si="456"/>
        <v>0.82499999999999929</v>
      </c>
      <c r="U423" s="104"/>
      <c r="V423" s="104">
        <f>('Renewable Diesel'!E432*'RD Feedstock Breakdown'!V$3*'Feedstock Conversion Rates'!B$6)/12-20+25</f>
        <v>49.250150000000012</v>
      </c>
      <c r="W423" s="104">
        <f>('Renewable Diesel'!E432*'RD Feedstock Breakdown'!W$3*'Feedstock Conversion Rates'!B$8)/12-6</f>
        <v>16.1796875</v>
      </c>
      <c r="X423" s="106">
        <f t="shared" si="438"/>
        <v>66.254837500000008</v>
      </c>
      <c r="Y423" s="104">
        <f t="shared" si="457"/>
        <v>98</v>
      </c>
      <c r="Z423" s="104">
        <f>('Renewable Diesel'!F432*'RD Feedstock Breakdown'!Z$3*'Feedstock Conversion Rates'!B$6)/12-142+15+5+20+5+15</f>
        <v>77.460000000000008</v>
      </c>
      <c r="AA423" s="104">
        <f>('Renewable Diesel'!F432*'RD Feedstock Breakdown'!AA$3*'Feedstock Conversion Rates'!B$7)/12+24</f>
        <v>128.26666666666665</v>
      </c>
      <c r="AB423" s="106">
        <f t="shared" si="400"/>
        <v>303.72666666666669</v>
      </c>
      <c r="AC423" s="104">
        <f>('Renewable Diesel'!G432*'RD Feedstock Breakdown'!AC$3*'Feedstock Conversion Rates'!B$5)/12</f>
        <v>11.796875</v>
      </c>
      <c r="AD423" s="104">
        <f>('Renewable Diesel'!G432*'RD Feedstock Breakdown'!AD$3*'Feedstock Conversion Rates'!B$4)/12</f>
        <v>5.859375</v>
      </c>
      <c r="AE423" s="104">
        <f>('Renewable Diesel'!G432*'RD Feedstock Breakdown'!AE$3*'Feedstock Conversion Rates'!B$6)/12</f>
        <v>7.3281250000000009</v>
      </c>
      <c r="AF423" s="106">
        <f t="shared" si="445"/>
        <v>24.984375</v>
      </c>
      <c r="AG423" s="104">
        <f t="shared" si="459"/>
        <v>148</v>
      </c>
      <c r="AH423" s="104"/>
      <c r="AI423" s="104">
        <f>('Renewable Diesel'!H432*'RD Feedstock Breakdown'!AI$3*'Feedstock Conversion Rates'!B$6)/12-130-20+51-49</f>
        <v>0.51666666666667993</v>
      </c>
      <c r="AJ423" s="106">
        <f t="shared" si="413"/>
        <v>148.51666666666668</v>
      </c>
      <c r="AK423" s="104">
        <f>('Renewable Diesel'!J432*'RD Feedstock Breakdown'!AK$3*'Feedstock Conversion Rates'!B$4)/12</f>
        <v>95.8125</v>
      </c>
      <c r="AL423" s="106">
        <f t="shared" si="415"/>
        <v>95.8125</v>
      </c>
      <c r="AM423" s="104">
        <f>('Renewable Diesel'!K432*'RD Feedstock Breakdown'!AM$3*'Feedstock Conversion Rates'!B$4)/12+5+15-10+10</f>
        <v>78.59375</v>
      </c>
      <c r="AN423" s="104">
        <f>('Renewable Diesel'!K432*'RD Feedstock Breakdown'!AN$3*'Feedstock Conversion Rates'!B$6)/12-5-15+10-10</f>
        <v>4.4270833333333321</v>
      </c>
      <c r="AO423" s="106">
        <f t="shared" si="431"/>
        <v>83.020833333333329</v>
      </c>
      <c r="AP423" s="104">
        <f>('Renewable Diesel'!L432*'RD Feedstock Breakdown'!AP$3*'Feedstock Conversion Rates'!B$4)/12+15-10+15</f>
        <v>78.59375</v>
      </c>
      <c r="AQ423" s="104">
        <f>('Renewable Diesel'!L432*'RD Feedstock Breakdown'!AQ$3*'Feedstock Conversion Rates'!B$6)/12-15+10-15</f>
        <v>4.4270833333333321</v>
      </c>
      <c r="AR423" s="106">
        <f t="shared" si="420"/>
        <v>83.020833333333329</v>
      </c>
      <c r="AS423" s="104">
        <f>('Renewable Diesel'!M432*'RD Feedstock Breakdown'!AS$3*'Feedstock Conversion Rates'!B$4)/12</f>
        <v>456.25</v>
      </c>
      <c r="AT423" s="104">
        <f>('Renewable Diesel'!M432*'RD Feedstock Breakdown'!AT$3*'Feedstock Conversion Rates'!B$5)/12</f>
        <v>0</v>
      </c>
      <c r="AU423" s="106">
        <f t="shared" si="448"/>
        <v>456.25</v>
      </c>
      <c r="AV423" s="104">
        <f>'Renewable Diesel'!N432*'RD Feedstock Breakdown'!$AV$3*'Feedstock Conversion Rates'!$B$4/12-15-10+25+25-22+25</f>
        <v>106.74999999999999</v>
      </c>
      <c r="AW423" s="104">
        <f>'Renewable Diesel'!N432*'RD Feedstock Breakdown'!$AW$3*'Feedstock Conversion Rates'!$B$7/12+15+10-25-25+22-25</f>
        <v>13.400000000000006</v>
      </c>
      <c r="AX423" s="106">
        <f t="shared" si="408"/>
        <v>120.14999999999999</v>
      </c>
      <c r="AY423" s="104">
        <f>('Renewable Diesel'!O432*'RD Feedstock Breakdown'!AY$3*'Feedstock Conversion Rates'!B$4)/12</f>
        <v>210.9375</v>
      </c>
      <c r="AZ423" s="104">
        <f>('Renewable Diesel'!O432*'RD Feedstock Breakdown'!AZ$3*'Feedstock Conversion Rates'!B$3)/12</f>
        <v>25.03125</v>
      </c>
      <c r="BA423" s="106">
        <f t="shared" si="458"/>
        <v>235.96875</v>
      </c>
      <c r="BB423" s="104">
        <f>('Renewable Diesel'!Q432*'RD Feedstock Breakdown'!BB$3*'Feedstock Conversion Rates'!B$4)/12</f>
        <v>11.156249999999998</v>
      </c>
      <c r="BC423" s="104">
        <f>('Renewable Diesel'!Q432*'RD Feedstock Breakdown'!BC$3*'Feedstock Conversion Rates'!B$3)/12</f>
        <v>1.4017500000000001</v>
      </c>
      <c r="BD423" s="104">
        <f>('Renewable Diesel'!Q432*'RD Feedstock Breakdown'!BD$3*'Feedstock Conversion Rates'!B$6)/12</f>
        <v>0.8207500000000002</v>
      </c>
      <c r="BE423" s="106">
        <f t="shared" si="440"/>
        <v>13.378749999999998</v>
      </c>
      <c r="BF423" s="104">
        <f>('Renewable Diesel'!R432*'RD Feedstock Breakdown'!BF$3*'Feedstock Conversion Rates'!B$4)/12</f>
        <v>62.5</v>
      </c>
      <c r="BG423" s="106">
        <f t="shared" si="425"/>
        <v>62.5</v>
      </c>
      <c r="BH423" s="104">
        <f>('Renewable Diesel'!T432*'RD Feedstock Breakdown'!BH$3*'Feedstock Conversion Rates'!B$7)/12</f>
        <v>27.599999999999998</v>
      </c>
      <c r="BI423" s="106">
        <f t="shared" si="412"/>
        <v>27.599999999999998</v>
      </c>
      <c r="BJ423" s="104">
        <f>('Renewable Diesel'!W432*'RD Feedstock Breakdown'!BJ$3*'Feedstock Conversion Rates'!B$4)/12</f>
        <v>7.5</v>
      </c>
      <c r="BK423" s="104">
        <f>('Renewable Diesel'!W432*'RD Feedstock Breakdown'!BK$3*'Feedstock Conversion Rates'!B$3)/12</f>
        <v>1.335</v>
      </c>
      <c r="BL423" s="104">
        <f>('Renewable Diesel'!W432*'RD Feedstock Breakdown'!BL$3*'Feedstock Conversion Rates'!B$6)/12</f>
        <v>3.1266666666666669</v>
      </c>
      <c r="BM423" s="104">
        <f>('Renewable Diesel'!W432*'RD Feedstock Breakdown'!BM$3*'Feedstock Conversion Rates'!B$7)/12</f>
        <v>1.5333333333333332</v>
      </c>
      <c r="BN423" s="106">
        <f t="shared" si="452"/>
        <v>13.495000000000001</v>
      </c>
      <c r="BO423" s="104">
        <f>('Renewable Diesel'!P432*'Feedstock Conversion Rates'!B$4)/12</f>
        <v>31.25</v>
      </c>
      <c r="BP423" s="106">
        <f t="shared" si="446"/>
        <v>31.25</v>
      </c>
      <c r="BQ423" s="104">
        <f>('Renewable Diesel'!$S432*'RD Feedstock Breakdown'!BQ$3*'Feedstock Conversion Rates'!B$4)/12+10+15-15</f>
        <v>38.125</v>
      </c>
      <c r="BR423" s="104">
        <f>('Renewable Diesel'!$S432*'RD Feedstock Breakdown'!BR$3*'Feedstock Conversion Rates'!B$7)/12-10-15+15</f>
        <v>1.5</v>
      </c>
      <c r="BS423" s="106">
        <f t="shared" si="460"/>
        <v>39.625</v>
      </c>
      <c r="BT423" s="106"/>
      <c r="BU423" s="104">
        <f>('Renewable Diesel'!Y432*'Feedstock Conversion Rates'!B$7)/12</f>
        <v>2.6833333333333331</v>
      </c>
      <c r="BV423" s="106">
        <f t="shared" si="442"/>
        <v>2.6833333333333331</v>
      </c>
      <c r="BW423" s="104">
        <f>('Renewable Diesel'!$Z432*'RD Feedstock Breakdown'!BW$3*'Feedstock Conversion Rates'!$B$4)/12-250+180</f>
        <v>1.875</v>
      </c>
      <c r="BX423" s="104">
        <f>('Renewable Diesel'!$Z432*'RD Feedstock Breakdown'!BX$3*'Feedstock Conversion Rates'!$B$5)/12</f>
        <v>7.2354166666666666</v>
      </c>
      <c r="BY423" s="104">
        <f>('Renewable Diesel'!$Z432*'RD Feedstock Breakdown'!BY$3*'Feedstock Conversion Rates'!$B$7)/12</f>
        <v>61.716666666666661</v>
      </c>
      <c r="BZ423" s="104">
        <f>('Renewable Diesel'!$Z432*'RD Feedstock Breakdown'!BZ$3*'Feedstock Conversion Rates'!$B$3)/12+250-180</f>
        <v>85.35250000000002</v>
      </c>
      <c r="CA423" s="106">
        <f t="shared" si="464"/>
        <v>156.17958333333334</v>
      </c>
      <c r="CB423" s="104">
        <f>('Renewable Diesel'!AA432*'Feedstock Conversion Rates'!B$4)/12</f>
        <v>191.25</v>
      </c>
      <c r="CC423" s="106">
        <f t="shared" si="454"/>
        <v>191.25</v>
      </c>
      <c r="CD423" s="104">
        <f>('Renewable Diesel'!$AB432*'RD Feedstock Breakdown'!CD$3*'Feedstock Conversion Rates'!$B$6)/12-15-5</f>
        <v>12.830000000000005</v>
      </c>
      <c r="CE423" s="104">
        <f>('Renewable Diesel'!$AB432*'RD Feedstock Breakdown'!CE$3*'Feedstock Conversion Rates'!$B$4)/12+15+5</f>
        <v>31.25</v>
      </c>
      <c r="CF423" s="106">
        <f t="shared" si="450"/>
        <v>44.080000000000005</v>
      </c>
      <c r="CG423" s="104">
        <f>('Renewable Diesel'!AD432*'Feedstock Conversion Rates'!B$4)/12</f>
        <v>112.5</v>
      </c>
      <c r="CH423" s="106">
        <f t="shared" si="439"/>
        <v>112.5</v>
      </c>
      <c r="CI423" s="104">
        <f>('Renewable Diesel'!$AE432*'RD Feedstock Breakdown'!CI$3*'Feedstock Conversion Rates'!$B$5)/12</f>
        <v>0.34604166666666664</v>
      </c>
      <c r="CJ423" s="104">
        <f>('Renewable Diesel'!$AE432*'RD Feedstock Breakdown'!CJ$3*'Feedstock Conversion Rates'!$B$4)/12</f>
        <v>0.34375</v>
      </c>
      <c r="CK423" s="106">
        <f t="shared" si="447"/>
        <v>0.68979166666666658</v>
      </c>
      <c r="CL423" s="104">
        <f>(((CL$3*'Renewable Diesel'!$AF432)*'Feedstock Conversion Rates'!$B$3)/12)</f>
        <v>91.78125</v>
      </c>
      <c r="CM423" s="104">
        <f>(((CM$3*'Renewable Diesel'!$AF432)*'Feedstock Conversion Rates'!$B$6)/12)</f>
        <v>53.739583333333336</v>
      </c>
      <c r="CN423" s="104">
        <f>(((CN$3*'Renewable Diesel'!$AF432)*'Feedstock Conversion Rates'!$B$4)/12)</f>
        <v>42.96875</v>
      </c>
      <c r="CO423" s="106">
        <f t="shared" si="441"/>
        <v>188.48958333333334</v>
      </c>
      <c r="CP423" s="104">
        <f>('Renewable Diesel'!$AG432*'RD Feedstock Breakdown'!CP$3*'Feedstock Conversion Rates'!$B$3)/12</f>
        <v>6.0075000000000003</v>
      </c>
      <c r="CQ423" s="104">
        <f>('Renewable Diesel'!$AG432*'RD Feedstock Breakdown'!CQ$3*'Feedstock Conversion Rates'!$B$6)/12</f>
        <v>3.5175000000000001</v>
      </c>
      <c r="CR423" s="104">
        <f>('Renewable Diesel'!$AG432*'RD Feedstock Breakdown'!CR$3*'Feedstock Conversion Rates'!$B$4)/12</f>
        <v>2.8125</v>
      </c>
      <c r="CS423" s="106">
        <f t="shared" si="397"/>
        <v>12.3375</v>
      </c>
      <c r="CT423" s="104">
        <f>('Renewable Diesel'!AI432*'Feedstock Conversion Rates'!$B$4*'RD Feedstock Breakdown'!$CT$3)/12</f>
        <v>29.375</v>
      </c>
      <c r="CU423" s="106">
        <f t="shared" si="443"/>
        <v>29.375</v>
      </c>
      <c r="CV423" s="104">
        <f>('Renewable Diesel'!AN432*'Feedstock Conversion Rates'!$B$3*'RD Feedstock Breakdown'!$CV$3)/12</f>
        <v>0.50062499999999999</v>
      </c>
      <c r="CW423" s="106">
        <f t="shared" si="419"/>
        <v>0.50062499999999999</v>
      </c>
      <c r="CX423" s="104">
        <f>('Renewable Diesel'!AO432*'RD Feedstock Breakdown'!$CX$3*'Feedstock Conversion Rates'!$B$3)/12</f>
        <v>6.3412499999999996</v>
      </c>
      <c r="CY423" s="104">
        <f>('Renewable Diesel'!AO432*'RD Feedstock Breakdown'!$CY$3*'Feedstock Conversion Rates'!$B$6)/12</f>
        <v>7.4258333333333342</v>
      </c>
      <c r="CZ423" s="106">
        <f t="shared" si="398"/>
        <v>13.767083333333334</v>
      </c>
      <c r="DA423" s="104">
        <f>('Renewable Diesel'!$AP432*'RD Feedstock Breakdown'!DA$3*'Feedstock Conversion Rates'!$B$3)/12</f>
        <v>6.3412499999999996</v>
      </c>
      <c r="DB423" s="104">
        <f>('Renewable Diesel'!$AP432*'RD Feedstock Breakdown'!DB$3*'Feedstock Conversion Rates'!$B$8)/12</f>
        <v>7.421875</v>
      </c>
      <c r="DC423" s="106">
        <f t="shared" si="422"/>
        <v>13.763124999999999</v>
      </c>
      <c r="DD423" s="104">
        <f>('Renewable Diesel'!AQ432*$DD$3*'Feedstock Conversion Rates'!$B$14)/12</f>
        <v>3.1041666666666665</v>
      </c>
      <c r="DE423" s="106">
        <f t="shared" si="423"/>
        <v>3.1041666666666665</v>
      </c>
      <c r="DF423" s="104">
        <f>('Renewable Diesel'!AR432*'Feedstock Conversion Rates'!$B$4*$DF$3)/12</f>
        <v>75</v>
      </c>
      <c r="DG423" s="106">
        <f t="shared" si="399"/>
        <v>75</v>
      </c>
      <c r="DH423" s="104">
        <f>('Renewable Diesel'!AS432*'Feedstock Conversion Rates'!$B$4*$DH$3)/12</f>
        <v>75</v>
      </c>
      <c r="DI423" s="106">
        <f t="shared" si="411"/>
        <v>75</v>
      </c>
      <c r="DJ423" s="104">
        <f>('Renewable Diesel'!AT432*'Feedstock Conversion Rates'!$B$4*0.25)/12</f>
        <v>8.59375</v>
      </c>
      <c r="DK423" s="104">
        <f>('Renewable Diesel'!$AT432*'RD Feedstock Breakdown'!DK$3*'Feedstock Conversion Rates'!$B$3)/12*0.5</f>
        <v>9.1781249999999996</v>
      </c>
      <c r="DL423" s="104">
        <f>('Renewable Diesel'!$AT432*'RD Feedstock Breakdown'!$DL$3*'Feedstock Conversion Rates'!$B$6)/12</f>
        <v>10.747916666666669</v>
      </c>
      <c r="DM423" s="104">
        <f>('Renewable Diesel'!$AT432*'RD Feedstock Breakdown'!$DM$3*'Feedstock Conversion Rates'!$B$8)/12</f>
        <v>10.7421875</v>
      </c>
      <c r="DN423" s="106">
        <f t="shared" si="453"/>
        <v>39.26197916666667</v>
      </c>
      <c r="DP423" s="104">
        <f t="shared" si="426"/>
        <v>103.22025000000001</v>
      </c>
      <c r="DQ423" s="104">
        <f t="shared" si="427"/>
        <v>349.11776750000007</v>
      </c>
      <c r="DR423" s="104">
        <f t="shared" si="432"/>
        <v>1891.953125</v>
      </c>
      <c r="DS423" s="104">
        <f t="shared" si="444"/>
        <v>228.90125</v>
      </c>
      <c r="DT423" s="104">
        <f t="shared" si="428"/>
        <v>243.03923333333344</v>
      </c>
      <c r="DU423" s="104">
        <f t="shared" si="429"/>
        <v>402.90610000000009</v>
      </c>
      <c r="DV423" s="104">
        <f t="shared" si="433"/>
        <v>78.75</v>
      </c>
      <c r="DW423" s="104">
        <f t="shared" si="430"/>
        <v>3</v>
      </c>
      <c r="DX423" s="106">
        <f t="shared" si="434"/>
        <v>3300.8877258333337</v>
      </c>
      <c r="DY423" s="109">
        <f t="shared" si="421"/>
        <v>-5.631051180898794E-13</v>
      </c>
      <c r="EA423" s="110">
        <f t="shared" si="424"/>
        <v>3.1270451640078516E-2</v>
      </c>
      <c r="EB423" s="110">
        <f t="shared" si="424"/>
        <v>0.10576481131658687</v>
      </c>
      <c r="EC423" s="110">
        <f t="shared" si="424"/>
        <v>0.57316494293133291</v>
      </c>
      <c r="ED423" s="110">
        <f t="shared" si="424"/>
        <v>6.9345360706629972E-2</v>
      </c>
      <c r="EE423" s="110">
        <f t="shared" si="424"/>
        <v>7.3628445896921982E-2</v>
      </c>
      <c r="EF423" s="110">
        <f t="shared" si="424"/>
        <v>0.1220599225010852</v>
      </c>
      <c r="EG423" s="110">
        <f t="shared" si="424"/>
        <v>2.3857218585075921E-2</v>
      </c>
      <c r="EH423" s="111">
        <f t="shared" si="435"/>
        <v>9.0884642228860647E-4</v>
      </c>
      <c r="EI423" s="110">
        <f t="shared" si="409"/>
        <v>0.99909115357771139</v>
      </c>
      <c r="EK423" s="132">
        <f>(EA423*'Renewable Diesel'!BF432*'Feedstock Conversion Rates'!B$2)+FB423</f>
        <v>909.43807967595922</v>
      </c>
      <c r="EL423" s="132">
        <f>(EB423*'Renewable Diesel'!BF432*'Feedstock Conversion Rates'!B$3)+FC423</f>
        <v>2898.6365920483549</v>
      </c>
      <c r="EM423" s="132">
        <f>(EC423*'Renewable Diesel'!BF432*'Feedstock Conversion Rates'!B$4)+FD423</f>
        <v>14708.247798819655</v>
      </c>
      <c r="EN423" s="132">
        <f>(ED423*'Renewable Diesel'!BF432*'Feedstock Conversion Rates'!B$5)+FE423</f>
        <v>1791.3663770973701</v>
      </c>
      <c r="EO423" s="132">
        <f>(EE423*'Renewable Diesel'!BF432*'Feedstock Conversion Rates'!B$6)+FF423</f>
        <v>2363.0261488233618</v>
      </c>
      <c r="EP423" s="132">
        <f>(EF423*'Renewable Diesel'!BF432*'Feedstock Conversion Rates'!B$7)+FG423</f>
        <v>3842.2088903705662</v>
      </c>
      <c r="EQ423" s="132">
        <f>(EG423*'Renewable Diesel'!BF432*'Feedstock Conversion Rates'!B$8)+FH423</f>
        <v>765.26374970115057</v>
      </c>
      <c r="ER423" s="132">
        <f>(EH423*'Renewable Diesel'!BF432*'Feedstock Conversion Rates'!B$9)+FI423</f>
        <v>28.764199353846422</v>
      </c>
      <c r="ES423" s="132">
        <f t="shared" si="436"/>
        <v>27306.951835890261</v>
      </c>
      <c r="ET423" s="133">
        <f>ES423/'Renewable Diesel'!BF432</f>
        <v>22.100967224143584</v>
      </c>
      <c r="EW423" s="73">
        <f t="shared" si="461"/>
        <v>27041.020118138353</v>
      </c>
      <c r="EX423" s="73">
        <f t="shared" si="462"/>
        <v>17712.016291472362</v>
      </c>
      <c r="EY423" s="92">
        <f t="shared" si="410"/>
        <v>0.99026139133543323</v>
      </c>
      <c r="EZ423" s="92">
        <f t="shared" si="410"/>
        <v>0.64862663536810372</v>
      </c>
      <c r="FB423" s="102">
        <f>IF('Renewable Diesel'!$BG432&lt;1,0,(((('Renewable Diesel'!$BG432-1)*'Renewable Diesel'!$BF432)*'RD Feedstock Breakdown'!EA423)*'Feedstock Conversion Rates'!$B$2))</f>
        <v>581.0291001332273</v>
      </c>
      <c r="FC423" s="102">
        <f>IF('Renewable Diesel'!$BG432&lt;1,0,(((('Renewable Diesel'!$BG432-1)*'Renewable Diesel'!$BF432)*'RD Feedstock Breakdown'!EB423)*'Feedstock Conversion Rates'!$B$3))</f>
        <v>1851.9042124244379</v>
      </c>
      <c r="FD423" s="102">
        <f>IF('Renewable Diesel'!$BG432&lt;1,0,(((('Renewable Diesel'!$BG432-1)*'Renewable Diesel'!$BF432)*'RD Feedstock Breakdown'!EC423)*'Feedstock Conversion Rates'!$B$4))</f>
        <v>9396.9234124545255</v>
      </c>
      <c r="FE423" s="102">
        <f>IF('Renewable Diesel'!$BG432&lt;1,0,(((('Renewable Diesel'!$BG432-1)*'Renewable Diesel'!$BF432)*'RD Feedstock Breakdown'!ED423)*'Feedstock Conversion Rates'!$B$5))</f>
        <v>1144.4825297668024</v>
      </c>
      <c r="FF423" s="102">
        <f>IF('Renewable Diesel'!$BG432&lt;1,0,(((('Renewable Diesel'!$BG432-1)*'Renewable Diesel'!$BF432)*'RD Feedstock Breakdown'!EE423)*'Feedstock Conversion Rates'!$B$6))</f>
        <v>1509.7091132706153</v>
      </c>
      <c r="FG423" s="102">
        <f>IF('Renewable Diesel'!$BG432&lt;1,0,(((('Renewable Diesel'!$BG432-1)*'Renewable Diesel'!$BF432)*'RD Feedstock Breakdown'!EF423)*'Feedstock Conversion Rates'!$B$7))</f>
        <v>2454.7412561516362</v>
      </c>
      <c r="FH423" s="102">
        <f>IF('Renewable Diesel'!$BG432&lt;1,0,(((('Renewable Diesel'!$BG432-1)*'Renewable Diesel'!$BF432)*'RD Feedstock Breakdown'!EG423)*'Feedstock Conversion Rates'!$B$8))</f>
        <v>488.91784695431733</v>
      </c>
      <c r="FI423" s="102">
        <f>IF('Renewable Diesel'!$BG432&lt;1,0,(((('Renewable Diesel'!$BG432-1)*'Renewable Diesel'!$BF432)*'RD Feedstock Breakdown'!EH423)*'Feedstock Conversion Rates'!$B$9))</f>
        <v>18.377102564886084</v>
      </c>
      <c r="FJ423" s="102">
        <f t="shared" si="463"/>
        <v>17446.084573720451</v>
      </c>
      <c r="GD423" s="91">
        <f>'Renewable Diesel'!BB432*0.32</f>
        <v>0</v>
      </c>
      <c r="GE423" s="91">
        <f>'Renewable Diesel'!BC432</f>
        <v>501.47354198431492</v>
      </c>
      <c r="GF423" s="91">
        <f>'Renewable Diesel'!BD432</f>
        <v>0</v>
      </c>
      <c r="GG423" s="91">
        <f t="shared" si="451"/>
        <v>501.47354198431492</v>
      </c>
      <c r="GH423" s="124">
        <v>1</v>
      </c>
      <c r="GI423" s="102">
        <f>$GG423*EA423*'Feedstock Conversion Rates'!$B$2</f>
        <v>133.29108521889492</v>
      </c>
      <c r="GJ423" s="102">
        <f>$GG423*EB423*'Feedstock Conversion Rates'!$B$3</f>
        <v>424.83641893133489</v>
      </c>
      <c r="GK423" s="102">
        <f>$GG423*EC423*'Feedstock Conversion Rates'!$B$4</f>
        <v>2155.7029055475996</v>
      </c>
      <c r="GL423" s="102">
        <f>$GG423*ED423*'Feedstock Conversion Rates'!$B$5</f>
        <v>262.5502205856892</v>
      </c>
      <c r="GM423" s="102">
        <f>$GG423*EE423*'Feedstock Conversion Rates'!$B$6</f>
        <v>346.33509066336711</v>
      </c>
      <c r="GN423" s="102">
        <f>$GG423*EF423*'Feedstock Conversion Rates'!$B$7</f>
        <v>563.13035937274162</v>
      </c>
      <c r="GO423" s="102">
        <f>$GG423*EG423*'Feedstock Conversion Rates'!$B$8</f>
        <v>112.16028661642545</v>
      </c>
      <c r="GP423" s="102">
        <f>$GG423*EH423*'Feedstock Conversion Rates'!B$9</f>
        <v>4.2158025191697686</v>
      </c>
      <c r="GQ423" s="102">
        <f t="shared" si="437"/>
        <v>4002.2221694552227</v>
      </c>
      <c r="GT423" s="103">
        <f t="shared" si="418"/>
        <v>3.3304269372191893E-2</v>
      </c>
      <c r="GU423" s="103">
        <f t="shared" si="416"/>
        <v>0.10615013383656388</v>
      </c>
      <c r="GV423" s="103">
        <f t="shared" si="416"/>
        <v>0.53862649654979833</v>
      </c>
      <c r="GW423" s="103">
        <f t="shared" si="416"/>
        <v>6.5601110950176761E-2</v>
      </c>
      <c r="GX423" s="103">
        <f t="shared" si="416"/>
        <v>8.653569841938831E-2</v>
      </c>
      <c r="GY423" s="103">
        <f t="shared" si="416"/>
        <v>0.14070442257566984</v>
      </c>
      <c r="GZ423" s="103">
        <f t="shared" si="416"/>
        <v>2.8024502855545523E-2</v>
      </c>
      <c r="HA423" s="103">
        <f t="shared" si="416"/>
        <v>1.053365440665584E-3</v>
      </c>
    </row>
    <row r="424" spans="1:209" x14ac:dyDescent="0.25">
      <c r="A424" s="96">
        <v>53328</v>
      </c>
      <c r="B424" s="104">
        <f t="shared" si="406"/>
        <v>44.25</v>
      </c>
      <c r="C424" s="104">
        <f t="shared" si="396"/>
        <v>49</v>
      </c>
      <c r="D424" s="104">
        <f t="shared" si="407"/>
        <v>2</v>
      </c>
      <c r="E424" s="104">
        <f>('Renewable Diesel'!B433*E$3*'Feedstock Conversion Rates'!$B$2)/12+26+13-100+27.5+39</f>
        <v>95.43</v>
      </c>
      <c r="F424" s="104">
        <f>('Renewable Diesel'!B433*'RD Feedstock Breakdown'!F$3*'Feedstock Conversion Rates'!B$8)/12+77+23-10-12-115.75+24+8</f>
        <v>48.15625</v>
      </c>
      <c r="G424" s="104">
        <f>('Renewable Diesel'!B433*'RD Feedstock Breakdown'!G$3*'Feedstock Conversion Rates'!B$7)/12+116.75-39-57.5-145-31.5+32+70-40+10+60</f>
        <v>151.90700000000004</v>
      </c>
      <c r="H424" s="104">
        <f>('Renewable Diesel'!B433*'RD Feedstock Breakdown'!H$3*'Feedstock Conversion Rates'!B$3)/12+67+10+12+3-235+20+47-20+25</f>
        <v>105.40022499999998</v>
      </c>
      <c r="I424" s="106">
        <f t="shared" si="449"/>
        <v>496.14347500000002</v>
      </c>
      <c r="J424" s="104">
        <f t="shared" si="417"/>
        <v>4</v>
      </c>
      <c r="K424" s="104"/>
      <c r="L424" s="104">
        <v>1</v>
      </c>
      <c r="M424" s="104">
        <f>('Renewable Diesel'!C433*'RD Feedstock Breakdown'!M$3*'Feedstock Conversion Rates'!B$2)/12</f>
        <v>7.7902500000000003</v>
      </c>
      <c r="N424" s="104">
        <f>('Renewable Diesel'!C433*'RD Feedstock Breakdown'!N$3*'Feedstock Conversion Rates'!B$8)/12</f>
        <v>3.671875</v>
      </c>
      <c r="O424" s="104">
        <f>('Renewable Diesel'!C433*'RD Feedstock Breakdown'!O$3*'Feedstock Conversion Rates'!B$7)/12</f>
        <v>11.9991</v>
      </c>
      <c r="P424" s="104">
        <f>('Renewable Diesel'!C433*'RD Feedstock Breakdown'!P$3*'Feedstock Conversion Rates'!B$3)/12</f>
        <v>10.4470425</v>
      </c>
      <c r="Q424" s="106">
        <f t="shared" si="455"/>
        <v>38.908267500000001</v>
      </c>
      <c r="R424" s="104">
        <f>('Renewable Diesel'!D433*'RD Feedstock Breakdown'!R$3*'Feedstock Conversion Rates'!B$7)/12</f>
        <v>2.2999999999999998</v>
      </c>
      <c r="S424" s="106">
        <f t="shared" si="414"/>
        <v>2.2999999999999998</v>
      </c>
      <c r="T424" s="104">
        <f t="shared" si="456"/>
        <v>0.82499999999999929</v>
      </c>
      <c r="U424" s="104"/>
      <c r="V424" s="104">
        <f>('Renewable Diesel'!E433*'RD Feedstock Breakdown'!V$3*'Feedstock Conversion Rates'!B$6)/12-20+25</f>
        <v>49.250150000000012</v>
      </c>
      <c r="W424" s="104">
        <f>('Renewable Diesel'!E433*'RD Feedstock Breakdown'!W$3*'Feedstock Conversion Rates'!B$8)/12-6</f>
        <v>16.1796875</v>
      </c>
      <c r="X424" s="106">
        <f t="shared" si="438"/>
        <v>66.254837500000008</v>
      </c>
      <c r="Y424" s="104">
        <f t="shared" si="457"/>
        <v>98</v>
      </c>
      <c r="Z424" s="104">
        <f>('Renewable Diesel'!F433*'RD Feedstock Breakdown'!Z$3*'Feedstock Conversion Rates'!B$6)/12-142+15+5+20+5+15</f>
        <v>77.460000000000008</v>
      </c>
      <c r="AA424" s="104">
        <f>('Renewable Diesel'!F433*'RD Feedstock Breakdown'!AA$3*'Feedstock Conversion Rates'!B$7)/12+24</f>
        <v>128.26666666666665</v>
      </c>
      <c r="AB424" s="106">
        <f t="shared" si="400"/>
        <v>303.72666666666669</v>
      </c>
      <c r="AC424" s="104">
        <f>('Renewable Diesel'!G433*'RD Feedstock Breakdown'!AC$3*'Feedstock Conversion Rates'!B$5)/12</f>
        <v>11.796875</v>
      </c>
      <c r="AD424" s="104">
        <f>('Renewable Diesel'!G433*'RD Feedstock Breakdown'!AD$3*'Feedstock Conversion Rates'!B$4)/12</f>
        <v>5.859375</v>
      </c>
      <c r="AE424" s="104">
        <f>('Renewable Diesel'!G433*'RD Feedstock Breakdown'!AE$3*'Feedstock Conversion Rates'!B$6)/12</f>
        <v>7.3281250000000009</v>
      </c>
      <c r="AF424" s="106">
        <f t="shared" si="445"/>
        <v>24.984375</v>
      </c>
      <c r="AG424" s="104">
        <f t="shared" si="459"/>
        <v>148</v>
      </c>
      <c r="AH424" s="104"/>
      <c r="AI424" s="104">
        <f>('Renewable Diesel'!H433*'RD Feedstock Breakdown'!AI$3*'Feedstock Conversion Rates'!B$6)/12-130-20+51-49</f>
        <v>0.51666666666667993</v>
      </c>
      <c r="AJ424" s="106">
        <f t="shared" si="413"/>
        <v>148.51666666666668</v>
      </c>
      <c r="AK424" s="104">
        <f>('Renewable Diesel'!J433*'RD Feedstock Breakdown'!AK$3*'Feedstock Conversion Rates'!B$4)/12</f>
        <v>95.8125</v>
      </c>
      <c r="AL424" s="106">
        <f t="shared" si="415"/>
        <v>95.8125</v>
      </c>
      <c r="AM424" s="104">
        <f>('Renewable Diesel'!K433*'RD Feedstock Breakdown'!AM$3*'Feedstock Conversion Rates'!B$4)/12+5+15-10+10</f>
        <v>78.59375</v>
      </c>
      <c r="AN424" s="104">
        <f>('Renewable Diesel'!K433*'RD Feedstock Breakdown'!AN$3*'Feedstock Conversion Rates'!B$6)/12-5-15+10-10</f>
        <v>4.4270833333333321</v>
      </c>
      <c r="AO424" s="106">
        <f t="shared" si="431"/>
        <v>83.020833333333329</v>
      </c>
      <c r="AP424" s="104">
        <f>('Renewable Diesel'!L433*'RD Feedstock Breakdown'!AP$3*'Feedstock Conversion Rates'!B$4)/12+15-10+15</f>
        <v>78.59375</v>
      </c>
      <c r="AQ424" s="104">
        <f>('Renewable Diesel'!L433*'RD Feedstock Breakdown'!AQ$3*'Feedstock Conversion Rates'!B$6)/12-15+10-15</f>
        <v>4.4270833333333321</v>
      </c>
      <c r="AR424" s="106">
        <f t="shared" si="420"/>
        <v>83.020833333333329</v>
      </c>
      <c r="AS424" s="104">
        <f>('Renewable Diesel'!M433*'RD Feedstock Breakdown'!AS$3*'Feedstock Conversion Rates'!B$4)/12</f>
        <v>456.25</v>
      </c>
      <c r="AT424" s="104">
        <f>('Renewable Diesel'!M433*'RD Feedstock Breakdown'!AT$3*'Feedstock Conversion Rates'!B$5)/12</f>
        <v>0</v>
      </c>
      <c r="AU424" s="106">
        <f t="shared" si="448"/>
        <v>456.25</v>
      </c>
      <c r="AV424" s="104">
        <f>'Renewable Diesel'!N433*'RD Feedstock Breakdown'!$AV$3*'Feedstock Conversion Rates'!$B$4/12-15-10+25+25-22+25</f>
        <v>106.74999999999999</v>
      </c>
      <c r="AW424" s="104">
        <f>'Renewable Diesel'!N433*'RD Feedstock Breakdown'!$AW$3*'Feedstock Conversion Rates'!$B$7/12+15+10-25-25+22-25</f>
        <v>13.400000000000006</v>
      </c>
      <c r="AX424" s="106">
        <f t="shared" si="408"/>
        <v>120.14999999999999</v>
      </c>
      <c r="AY424" s="104">
        <f>('Renewable Diesel'!O433*'RD Feedstock Breakdown'!AY$3*'Feedstock Conversion Rates'!B$4)/12</f>
        <v>210.9375</v>
      </c>
      <c r="AZ424" s="104">
        <f>('Renewable Diesel'!O433*'RD Feedstock Breakdown'!AZ$3*'Feedstock Conversion Rates'!B$3)/12</f>
        <v>25.03125</v>
      </c>
      <c r="BA424" s="106">
        <f t="shared" si="458"/>
        <v>235.96875</v>
      </c>
      <c r="BB424" s="104">
        <f>('Renewable Diesel'!Q433*'RD Feedstock Breakdown'!BB$3*'Feedstock Conversion Rates'!B$4)/12</f>
        <v>11.156249999999998</v>
      </c>
      <c r="BC424" s="104">
        <f>('Renewable Diesel'!Q433*'RD Feedstock Breakdown'!BC$3*'Feedstock Conversion Rates'!B$3)/12</f>
        <v>1.4017500000000001</v>
      </c>
      <c r="BD424" s="104">
        <f>('Renewable Diesel'!Q433*'RD Feedstock Breakdown'!BD$3*'Feedstock Conversion Rates'!B$6)/12</f>
        <v>0.8207500000000002</v>
      </c>
      <c r="BE424" s="106">
        <f t="shared" si="440"/>
        <v>13.378749999999998</v>
      </c>
      <c r="BF424" s="104">
        <f>('Renewable Diesel'!R433*'RD Feedstock Breakdown'!BF$3*'Feedstock Conversion Rates'!B$4)/12</f>
        <v>62.5</v>
      </c>
      <c r="BG424" s="106">
        <f t="shared" si="425"/>
        <v>62.5</v>
      </c>
      <c r="BH424" s="104">
        <f>('Renewable Diesel'!T433*'RD Feedstock Breakdown'!BH$3*'Feedstock Conversion Rates'!B$7)/12</f>
        <v>27.599999999999998</v>
      </c>
      <c r="BI424" s="106">
        <f t="shared" si="412"/>
        <v>27.599999999999998</v>
      </c>
      <c r="BJ424" s="104">
        <f>('Renewable Diesel'!W433*'RD Feedstock Breakdown'!BJ$3*'Feedstock Conversion Rates'!B$4)/12</f>
        <v>7.5</v>
      </c>
      <c r="BK424" s="104">
        <f>('Renewable Diesel'!W433*'RD Feedstock Breakdown'!BK$3*'Feedstock Conversion Rates'!B$3)/12</f>
        <v>1.335</v>
      </c>
      <c r="BL424" s="104">
        <f>('Renewable Diesel'!W433*'RD Feedstock Breakdown'!BL$3*'Feedstock Conversion Rates'!B$6)/12</f>
        <v>3.1266666666666669</v>
      </c>
      <c r="BM424" s="104">
        <f>('Renewable Diesel'!W433*'RD Feedstock Breakdown'!BM$3*'Feedstock Conversion Rates'!B$7)/12</f>
        <v>1.5333333333333332</v>
      </c>
      <c r="BN424" s="106">
        <f t="shared" si="452"/>
        <v>13.495000000000001</v>
      </c>
      <c r="BO424" s="104">
        <f>('Renewable Diesel'!P433*'Feedstock Conversion Rates'!B$4)/12</f>
        <v>31.25</v>
      </c>
      <c r="BP424" s="106">
        <f t="shared" si="446"/>
        <v>31.25</v>
      </c>
      <c r="BQ424" s="104">
        <f>('Renewable Diesel'!$S433*'RD Feedstock Breakdown'!BQ$3*'Feedstock Conversion Rates'!B$4)/12+10+15-15</f>
        <v>38.125</v>
      </c>
      <c r="BR424" s="104">
        <f>('Renewable Diesel'!$S433*'RD Feedstock Breakdown'!BR$3*'Feedstock Conversion Rates'!B$7)/12-10-15+15</f>
        <v>1.5</v>
      </c>
      <c r="BS424" s="106">
        <f t="shared" si="460"/>
        <v>39.625</v>
      </c>
      <c r="BT424" s="106"/>
      <c r="BU424" s="104">
        <f>('Renewable Diesel'!Y433*'Feedstock Conversion Rates'!B$7)/12</f>
        <v>2.6833333333333331</v>
      </c>
      <c r="BV424" s="106">
        <f t="shared" si="442"/>
        <v>2.6833333333333331</v>
      </c>
      <c r="BW424" s="104">
        <f>('Renewable Diesel'!$Z433*'RD Feedstock Breakdown'!BW$3*'Feedstock Conversion Rates'!$B$4)/12-250+180</f>
        <v>1.875</v>
      </c>
      <c r="BX424" s="104">
        <f>('Renewable Diesel'!$Z433*'RD Feedstock Breakdown'!BX$3*'Feedstock Conversion Rates'!$B$5)/12</f>
        <v>7.2354166666666666</v>
      </c>
      <c r="BY424" s="104">
        <f>('Renewable Diesel'!$Z433*'RD Feedstock Breakdown'!BY$3*'Feedstock Conversion Rates'!$B$7)/12</f>
        <v>61.716666666666661</v>
      </c>
      <c r="BZ424" s="104">
        <f>('Renewable Diesel'!$Z433*'RD Feedstock Breakdown'!BZ$3*'Feedstock Conversion Rates'!$B$3)/12+250-180</f>
        <v>85.35250000000002</v>
      </c>
      <c r="CA424" s="106">
        <f t="shared" si="464"/>
        <v>156.17958333333334</v>
      </c>
      <c r="CB424" s="104">
        <f>('Renewable Diesel'!AA433*'Feedstock Conversion Rates'!B$4)/12</f>
        <v>191.25</v>
      </c>
      <c r="CC424" s="106">
        <f t="shared" si="454"/>
        <v>191.25</v>
      </c>
      <c r="CD424" s="104">
        <f>('Renewable Diesel'!$AB433*'RD Feedstock Breakdown'!CD$3*'Feedstock Conversion Rates'!$B$6)/12-15-5</f>
        <v>12.830000000000005</v>
      </c>
      <c r="CE424" s="104">
        <f>('Renewable Diesel'!$AB433*'RD Feedstock Breakdown'!CE$3*'Feedstock Conversion Rates'!$B$4)/12+15+5</f>
        <v>31.25</v>
      </c>
      <c r="CF424" s="106">
        <f t="shared" si="450"/>
        <v>44.080000000000005</v>
      </c>
      <c r="CG424" s="104">
        <f>('Renewable Diesel'!AD433*'Feedstock Conversion Rates'!B$4)/12</f>
        <v>112.5</v>
      </c>
      <c r="CH424" s="106">
        <f t="shared" si="439"/>
        <v>112.5</v>
      </c>
      <c r="CI424" s="104">
        <f>('Renewable Diesel'!$AE433*'RD Feedstock Breakdown'!CI$3*'Feedstock Conversion Rates'!$B$5)/12</f>
        <v>0.34604166666666664</v>
      </c>
      <c r="CJ424" s="104">
        <f>('Renewable Diesel'!$AE433*'RD Feedstock Breakdown'!CJ$3*'Feedstock Conversion Rates'!$B$4)/12</f>
        <v>0.34375</v>
      </c>
      <c r="CK424" s="106">
        <f t="shared" si="447"/>
        <v>0.68979166666666658</v>
      </c>
      <c r="CL424" s="104">
        <f>(((CL$3*'Renewable Diesel'!$AF433)*'Feedstock Conversion Rates'!$B$3)/12)</f>
        <v>91.78125</v>
      </c>
      <c r="CM424" s="104">
        <f>(((CM$3*'Renewable Diesel'!$AF433)*'Feedstock Conversion Rates'!$B$6)/12)</f>
        <v>53.739583333333336</v>
      </c>
      <c r="CN424" s="104">
        <f>(((CN$3*'Renewable Diesel'!$AF433)*'Feedstock Conversion Rates'!$B$4)/12)</f>
        <v>42.96875</v>
      </c>
      <c r="CO424" s="106">
        <f t="shared" si="441"/>
        <v>188.48958333333334</v>
      </c>
      <c r="CP424" s="104">
        <f>('Renewable Diesel'!$AG433*'RD Feedstock Breakdown'!CP$3*'Feedstock Conversion Rates'!$B$3)/12</f>
        <v>6.0075000000000003</v>
      </c>
      <c r="CQ424" s="104">
        <f>('Renewable Diesel'!$AG433*'RD Feedstock Breakdown'!CQ$3*'Feedstock Conversion Rates'!$B$6)/12</f>
        <v>3.5175000000000001</v>
      </c>
      <c r="CR424" s="104">
        <f>('Renewable Diesel'!$AG433*'RD Feedstock Breakdown'!CR$3*'Feedstock Conversion Rates'!$B$4)/12</f>
        <v>2.8125</v>
      </c>
      <c r="CS424" s="106">
        <f t="shared" si="397"/>
        <v>12.3375</v>
      </c>
      <c r="CT424" s="104">
        <f>('Renewable Diesel'!AI433*'Feedstock Conversion Rates'!$B$4*'RD Feedstock Breakdown'!$CT$3)/12</f>
        <v>29.375</v>
      </c>
      <c r="CU424" s="106">
        <f t="shared" si="443"/>
        <v>29.375</v>
      </c>
      <c r="CV424" s="104">
        <f>('Renewable Diesel'!AN433*'Feedstock Conversion Rates'!$B$3*'RD Feedstock Breakdown'!$CV$3)/12</f>
        <v>0.50062499999999999</v>
      </c>
      <c r="CW424" s="106">
        <f t="shared" si="419"/>
        <v>0.50062499999999999</v>
      </c>
      <c r="CX424" s="104">
        <f>('Renewable Diesel'!AO433*'RD Feedstock Breakdown'!$CX$3*'Feedstock Conversion Rates'!$B$3)/12</f>
        <v>6.3412499999999996</v>
      </c>
      <c r="CY424" s="104">
        <f>('Renewable Diesel'!AO433*'RD Feedstock Breakdown'!$CY$3*'Feedstock Conversion Rates'!$B$6)/12</f>
        <v>7.4258333333333342</v>
      </c>
      <c r="CZ424" s="106">
        <f t="shared" si="398"/>
        <v>13.767083333333334</v>
      </c>
      <c r="DA424" s="104">
        <f>('Renewable Diesel'!$AP433*'RD Feedstock Breakdown'!DA$3*'Feedstock Conversion Rates'!$B$3)/12</f>
        <v>6.3412499999999996</v>
      </c>
      <c r="DB424" s="104">
        <f>('Renewable Diesel'!$AP433*'RD Feedstock Breakdown'!DB$3*'Feedstock Conversion Rates'!$B$8)/12</f>
        <v>7.421875</v>
      </c>
      <c r="DC424" s="106">
        <f t="shared" si="422"/>
        <v>13.763124999999999</v>
      </c>
      <c r="DD424" s="104">
        <f>('Renewable Diesel'!AQ433*$DD$3*'Feedstock Conversion Rates'!$B$14)/12</f>
        <v>3.1041666666666665</v>
      </c>
      <c r="DE424" s="106">
        <f t="shared" si="423"/>
        <v>3.1041666666666665</v>
      </c>
      <c r="DF424" s="104">
        <f>('Renewable Diesel'!AR433*'Feedstock Conversion Rates'!$B$4*$DF$3)/12</f>
        <v>75</v>
      </c>
      <c r="DG424" s="106">
        <f t="shared" si="399"/>
        <v>75</v>
      </c>
      <c r="DH424" s="104">
        <f>('Renewable Diesel'!AS433*'Feedstock Conversion Rates'!$B$4*$DH$3)/12</f>
        <v>75</v>
      </c>
      <c r="DI424" s="106">
        <f t="shared" si="411"/>
        <v>75</v>
      </c>
      <c r="DJ424" s="104">
        <f>('Renewable Diesel'!AT433*'Feedstock Conversion Rates'!$B$4*0.25)/12</f>
        <v>8.59375</v>
      </c>
      <c r="DK424" s="104">
        <f>('Renewable Diesel'!$AT433*'RD Feedstock Breakdown'!DK$3*'Feedstock Conversion Rates'!$B$3)/12*0.5</f>
        <v>9.1781249999999996</v>
      </c>
      <c r="DL424" s="104">
        <f>('Renewable Diesel'!$AT433*'RD Feedstock Breakdown'!$DL$3*'Feedstock Conversion Rates'!$B$6)/12</f>
        <v>10.747916666666669</v>
      </c>
      <c r="DM424" s="104">
        <f>('Renewable Diesel'!$AT433*'RD Feedstock Breakdown'!$DM$3*'Feedstock Conversion Rates'!$B$8)/12</f>
        <v>10.7421875</v>
      </c>
      <c r="DN424" s="106">
        <f t="shared" si="453"/>
        <v>39.26197916666667</v>
      </c>
      <c r="DP424" s="104">
        <f t="shared" si="426"/>
        <v>103.22025000000001</v>
      </c>
      <c r="DQ424" s="104">
        <f t="shared" si="427"/>
        <v>349.11776750000007</v>
      </c>
      <c r="DR424" s="104">
        <f t="shared" si="432"/>
        <v>1891.953125</v>
      </c>
      <c r="DS424" s="104">
        <f t="shared" si="444"/>
        <v>228.90125</v>
      </c>
      <c r="DT424" s="104">
        <f t="shared" si="428"/>
        <v>243.03923333333344</v>
      </c>
      <c r="DU424" s="104">
        <f t="shared" si="429"/>
        <v>402.90610000000009</v>
      </c>
      <c r="DV424" s="104">
        <f t="shared" si="433"/>
        <v>78.75</v>
      </c>
      <c r="DW424" s="104">
        <f t="shared" si="430"/>
        <v>3</v>
      </c>
      <c r="DX424" s="106">
        <f t="shared" si="434"/>
        <v>3300.8877258333337</v>
      </c>
      <c r="DY424" s="109">
        <f t="shared" si="421"/>
        <v>-5.631051180898794E-13</v>
      </c>
      <c r="EA424" s="110">
        <f t="shared" si="424"/>
        <v>3.1270451640078516E-2</v>
      </c>
      <c r="EB424" s="110">
        <f t="shared" si="424"/>
        <v>0.10576481131658687</v>
      </c>
      <c r="EC424" s="110">
        <f t="shared" si="424"/>
        <v>0.57316494293133291</v>
      </c>
      <c r="ED424" s="110">
        <f t="shared" si="424"/>
        <v>6.9345360706629972E-2</v>
      </c>
      <c r="EE424" s="110">
        <f t="shared" si="424"/>
        <v>7.3628445896921982E-2</v>
      </c>
      <c r="EF424" s="110">
        <f t="shared" si="424"/>
        <v>0.1220599225010852</v>
      </c>
      <c r="EG424" s="110">
        <f t="shared" si="424"/>
        <v>2.3857218585075921E-2</v>
      </c>
      <c r="EH424" s="111">
        <f t="shared" si="435"/>
        <v>9.0884642228860647E-4</v>
      </c>
      <c r="EI424" s="110">
        <f t="shared" si="409"/>
        <v>0.99909115357771139</v>
      </c>
      <c r="EK424" s="132">
        <f>(EA424*'Renewable Diesel'!BF433*'Feedstock Conversion Rates'!B$2)+FB424</f>
        <v>267.78477166002523</v>
      </c>
      <c r="EL424" s="132">
        <f>(EB424*'Renewable Diesel'!BF433*'Feedstock Conversion Rates'!B$3)+FC424</f>
        <v>853.50586837493461</v>
      </c>
      <c r="EM424" s="132">
        <f>(EC424*'Renewable Diesel'!BF433*'Feedstock Conversion Rates'!B$4)+FD424</f>
        <v>4330.8553560121036</v>
      </c>
      <c r="EN424" s="132">
        <f>(ED424*'Renewable Diesel'!BF433*'Feedstock Conversion Rates'!B$5)+FE424</f>
        <v>527.4692658805177</v>
      </c>
      <c r="EO424" s="132">
        <f>(EE424*'Renewable Diesel'!BF433*'Feedstock Conversion Rates'!B$6)+FF424</f>
        <v>695.79494396671691</v>
      </c>
      <c r="EP424" s="132">
        <f>(EF424*'Renewable Diesel'!BF433*'Feedstock Conversion Rates'!B$7)+FG424</f>
        <v>1131.3414880808618</v>
      </c>
      <c r="EQ424" s="132">
        <f>(EG424*'Renewable Diesel'!BF433*'Feedstock Conversion Rates'!B$8)+FH424</f>
        <v>225.33252461391794</v>
      </c>
      <c r="ER424" s="132">
        <f>(EH424*'Renewable Diesel'!BF433*'Feedstock Conversion Rates'!B$9)+FI424</f>
        <v>8.4696415600913912</v>
      </c>
      <c r="ES424" s="132">
        <f t="shared" si="436"/>
        <v>8040.5538601491689</v>
      </c>
      <c r="ET424" s="133">
        <f>ES424/'Renewable Diesel'!BF433</f>
        <v>11.797702256822916</v>
      </c>
      <c r="EW424" s="73">
        <f t="shared" si="461"/>
        <v>6430.083929872063</v>
      </c>
      <c r="EX424" s="73">
        <f t="shared" si="462"/>
        <v>4211.7401941147382</v>
      </c>
      <c r="EY424" s="92">
        <f t="shared" si="410"/>
        <v>0.79970659256957843</v>
      </c>
      <c r="EZ424" s="92">
        <f t="shared" si="410"/>
        <v>0.52381219843437521</v>
      </c>
      <c r="FB424" s="102">
        <f>IF('Renewable Diesel'!$BG433&lt;1,0,(((('Renewable Diesel'!$BG433-1)*'Renewable Diesel'!$BF433)*'RD Feedstock Breakdown'!EA424)*'Feedstock Conversion Rates'!$B$2))</f>
        <v>86.633405576721174</v>
      </c>
      <c r="FC424" s="102">
        <f>IF('Renewable Diesel'!$BG433&lt;1,0,(((('Renewable Diesel'!$BG433-1)*'Renewable Diesel'!$BF433)*'RD Feedstock Breakdown'!EB424)*'Feedstock Conversion Rates'!$B$3))</f>
        <v>276.12518665143853</v>
      </c>
      <c r="FD424" s="102">
        <f>IF('Renewable Diesel'!$BG433&lt;1,0,(((('Renewable Diesel'!$BG433-1)*'Renewable Diesel'!$BF433)*'RD Feedstock Breakdown'!EC424)*'Feedstock Conversion Rates'!$B$4))</f>
        <v>1401.1130887900333</v>
      </c>
      <c r="FE424" s="102">
        <f>IF('Renewable Diesel'!$BG433&lt;1,0,(((('Renewable Diesel'!$BG433-1)*'Renewable Diesel'!$BF433)*'RD Feedstock Breakdown'!ED424)*'Feedstock Conversion Rates'!$B$5))</f>
        <v>170.6462191894081</v>
      </c>
      <c r="FF424" s="102">
        <f>IF('Renewable Diesel'!$BG433&lt;1,0,(((('Renewable Diesel'!$BG433-1)*'Renewable Diesel'!$BF433)*'RD Feedstock Breakdown'!EE424)*'Feedstock Conversion Rates'!$B$6))</f>
        <v>225.102739058776</v>
      </c>
      <c r="FG424" s="102">
        <f>IF('Renewable Diesel'!$BG433&lt;1,0,(((('Renewable Diesel'!$BG433-1)*'Renewable Diesel'!$BF433)*'RD Feedstock Breakdown'!EF424)*'Feedstock Conversion Rates'!$B$7))</f>
        <v>366.01023043653436</v>
      </c>
      <c r="FH424" s="102">
        <f>IF('Renewable Diesel'!$BG433&lt;1,0,(((('Renewable Diesel'!$BG433-1)*'Renewable Diesel'!$BF433)*'RD Feedstock Breakdown'!EG424)*'Feedstock Conversion Rates'!$B$8))</f>
        <v>72.899305936963373</v>
      </c>
      <c r="FI424" s="102">
        <f>IF('Renewable Diesel'!$BG433&lt;1,0,(((('Renewable Diesel'!$BG433-1)*'Renewable Diesel'!$BF433)*'RD Feedstock Breakdown'!EH424)*'Feedstock Conversion Rates'!$B$9))</f>
        <v>2.7400881977576073</v>
      </c>
      <c r="FJ424" s="102">
        <f t="shared" si="463"/>
        <v>2601.2702638376327</v>
      </c>
      <c r="GD424" s="91">
        <f>'Renewable Diesel'!BB433*0.32</f>
        <v>0</v>
      </c>
      <c r="GE424" s="91">
        <f>'Renewable Diesel'!BC433</f>
        <v>316.75472474837255</v>
      </c>
      <c r="GF424" s="91">
        <f>'Renewable Diesel'!BD433</f>
        <v>0</v>
      </c>
      <c r="GG424" s="91">
        <f t="shared" si="451"/>
        <v>316.75472474837255</v>
      </c>
      <c r="GH424" s="124">
        <v>1</v>
      </c>
      <c r="GI424" s="102">
        <f>$GG424*EA424*'Feedstock Conversion Rates'!$B$2</f>
        <v>84.193038067088111</v>
      </c>
      <c r="GJ424" s="102">
        <f>$GG424*EB424*'Feedstock Conversion Rates'!$B$3</f>
        <v>268.34704461015872</v>
      </c>
      <c r="GK424" s="102">
        <f>$GG424*EC424*'Feedstock Conversion Rates'!$B$4</f>
        <v>1361.6452780022325</v>
      </c>
      <c r="GL424" s="102">
        <f>$GG424*ED424*'Feedstock Conversion Rates'!$B$5</f>
        <v>165.83930335619917</v>
      </c>
      <c r="GM424" s="102">
        <f>$GG424*EE424*'Feedstock Conversion Rates'!$B$6</f>
        <v>218.76184310678707</v>
      </c>
      <c r="GN424" s="102">
        <f>$GG424*EF424*'Feedstock Conversion Rates'!$B$7</f>
        <v>355.7001258226781</v>
      </c>
      <c r="GO424" s="102">
        <f>$GG424*EG424*'Feedstock Conversion Rates'!$B$8</f>
        <v>70.845812870413894</v>
      </c>
      <c r="GP424" s="102">
        <f>$GG424*EH424*'Feedstock Conversion Rates'!B$9</f>
        <v>2.662902934557779</v>
      </c>
      <c r="GQ424" s="102">
        <f t="shared" si="437"/>
        <v>2527.9953487701155</v>
      </c>
      <c r="GT424" s="103">
        <f t="shared" si="418"/>
        <v>3.3304269372191886E-2</v>
      </c>
      <c r="GU424" s="103">
        <f t="shared" si="416"/>
        <v>0.10615013383656388</v>
      </c>
      <c r="GV424" s="103">
        <f t="shared" si="416"/>
        <v>0.53862649654979833</v>
      </c>
      <c r="GW424" s="103">
        <f t="shared" si="416"/>
        <v>6.5601110950176761E-2</v>
      </c>
      <c r="GX424" s="103">
        <f t="shared" ref="GX424:HA487" si="465">(GM424+FF424+EO424)/SUM($ES424,$FJ424,$GQ424)</f>
        <v>8.6535698419388296E-2</v>
      </c>
      <c r="GY424" s="103">
        <f t="shared" si="465"/>
        <v>0.14070442257566981</v>
      </c>
      <c r="GZ424" s="103">
        <f t="shared" si="465"/>
        <v>2.802450285554552E-2</v>
      </c>
      <c r="HA424" s="103">
        <f t="shared" si="465"/>
        <v>1.053365440665584E-3</v>
      </c>
    </row>
    <row r="425" spans="1:209" x14ac:dyDescent="0.25">
      <c r="A425" s="96">
        <v>53359</v>
      </c>
      <c r="B425" s="104">
        <f t="shared" si="406"/>
        <v>44.25</v>
      </c>
      <c r="C425" s="104">
        <f t="shared" si="396"/>
        <v>49</v>
      </c>
      <c r="D425" s="104">
        <f t="shared" si="407"/>
        <v>2</v>
      </c>
      <c r="E425" s="104">
        <f>('Renewable Diesel'!B434*E$3*'Feedstock Conversion Rates'!$B$2)/12+26+13-100+27.5+39</f>
        <v>95.43</v>
      </c>
      <c r="F425" s="104">
        <f>('Renewable Diesel'!B434*'RD Feedstock Breakdown'!F$3*'Feedstock Conversion Rates'!B$8)/12+77+23-10-12-115.75+24+8</f>
        <v>48.15625</v>
      </c>
      <c r="G425" s="104">
        <f>('Renewable Diesel'!B434*'RD Feedstock Breakdown'!G$3*'Feedstock Conversion Rates'!B$7)/12+116.75-39-57.5-145-31.5+32+70-40+10+60</f>
        <v>151.90700000000004</v>
      </c>
      <c r="H425" s="104">
        <f>('Renewable Diesel'!B434*'RD Feedstock Breakdown'!H$3*'Feedstock Conversion Rates'!B$3)/12+67+10+12+3-235+20+47-20+25</f>
        <v>105.40022499999998</v>
      </c>
      <c r="I425" s="106">
        <f t="shared" si="449"/>
        <v>496.14347500000002</v>
      </c>
      <c r="J425" s="104">
        <f t="shared" si="417"/>
        <v>4</v>
      </c>
      <c r="K425" s="104"/>
      <c r="L425" s="104">
        <v>1</v>
      </c>
      <c r="M425" s="104">
        <f>('Renewable Diesel'!C434*'RD Feedstock Breakdown'!M$3*'Feedstock Conversion Rates'!B$2)/12</f>
        <v>7.7902500000000003</v>
      </c>
      <c r="N425" s="104">
        <f>('Renewable Diesel'!C434*'RD Feedstock Breakdown'!N$3*'Feedstock Conversion Rates'!B$8)/12</f>
        <v>3.671875</v>
      </c>
      <c r="O425" s="104">
        <f>('Renewable Diesel'!C434*'RD Feedstock Breakdown'!O$3*'Feedstock Conversion Rates'!B$7)/12</f>
        <v>11.9991</v>
      </c>
      <c r="P425" s="104">
        <f>('Renewable Diesel'!C434*'RD Feedstock Breakdown'!P$3*'Feedstock Conversion Rates'!B$3)/12</f>
        <v>10.4470425</v>
      </c>
      <c r="Q425" s="106">
        <f t="shared" si="455"/>
        <v>38.908267500000001</v>
      </c>
      <c r="R425" s="104">
        <f>('Renewable Diesel'!D434*'RD Feedstock Breakdown'!R$3*'Feedstock Conversion Rates'!B$7)/12</f>
        <v>2.2999999999999998</v>
      </c>
      <c r="S425" s="106">
        <f t="shared" si="414"/>
        <v>2.2999999999999998</v>
      </c>
      <c r="T425" s="104">
        <f t="shared" si="456"/>
        <v>0.82499999999999929</v>
      </c>
      <c r="U425" s="104"/>
      <c r="V425" s="104">
        <f>('Renewable Diesel'!E434*'RD Feedstock Breakdown'!V$3*'Feedstock Conversion Rates'!B$6)/12-20+25</f>
        <v>49.250150000000012</v>
      </c>
      <c r="W425" s="104">
        <f>('Renewable Diesel'!E434*'RD Feedstock Breakdown'!W$3*'Feedstock Conversion Rates'!B$8)/12-6</f>
        <v>16.1796875</v>
      </c>
      <c r="X425" s="106">
        <f t="shared" si="438"/>
        <v>66.254837500000008</v>
      </c>
      <c r="Y425" s="104">
        <f t="shared" si="457"/>
        <v>98</v>
      </c>
      <c r="Z425" s="104">
        <f>('Renewable Diesel'!F434*'RD Feedstock Breakdown'!Z$3*'Feedstock Conversion Rates'!B$6)/12-142+15+5+20+5+15</f>
        <v>77.460000000000008</v>
      </c>
      <c r="AA425" s="104">
        <f>('Renewable Diesel'!F434*'RD Feedstock Breakdown'!AA$3*'Feedstock Conversion Rates'!B$7)/12+24</f>
        <v>128.26666666666665</v>
      </c>
      <c r="AB425" s="106">
        <f t="shared" si="400"/>
        <v>303.72666666666669</v>
      </c>
      <c r="AC425" s="104">
        <f>('Renewable Diesel'!G434*'RD Feedstock Breakdown'!AC$3*'Feedstock Conversion Rates'!B$5)/12</f>
        <v>11.796875</v>
      </c>
      <c r="AD425" s="104">
        <f>('Renewable Diesel'!G434*'RD Feedstock Breakdown'!AD$3*'Feedstock Conversion Rates'!B$4)/12</f>
        <v>5.859375</v>
      </c>
      <c r="AE425" s="104">
        <f>('Renewable Diesel'!G434*'RD Feedstock Breakdown'!AE$3*'Feedstock Conversion Rates'!B$6)/12</f>
        <v>7.3281250000000009</v>
      </c>
      <c r="AF425" s="106">
        <f t="shared" si="445"/>
        <v>24.984375</v>
      </c>
      <c r="AG425" s="104">
        <f t="shared" si="459"/>
        <v>148</v>
      </c>
      <c r="AH425" s="104"/>
      <c r="AI425" s="104">
        <f>('Renewable Diesel'!H434*'RD Feedstock Breakdown'!AI$3*'Feedstock Conversion Rates'!B$6)/12-130-20+51-49</f>
        <v>0.51666666666667993</v>
      </c>
      <c r="AJ425" s="106">
        <f t="shared" si="413"/>
        <v>148.51666666666668</v>
      </c>
      <c r="AK425" s="104">
        <f>('Renewable Diesel'!J434*'RD Feedstock Breakdown'!AK$3*'Feedstock Conversion Rates'!B$4)/12</f>
        <v>95.8125</v>
      </c>
      <c r="AL425" s="106">
        <f t="shared" si="415"/>
        <v>95.8125</v>
      </c>
      <c r="AM425" s="104">
        <f>('Renewable Diesel'!K434*'RD Feedstock Breakdown'!AM$3*'Feedstock Conversion Rates'!B$4)/12+5+15-10+10</f>
        <v>78.59375</v>
      </c>
      <c r="AN425" s="104">
        <f>('Renewable Diesel'!K434*'RD Feedstock Breakdown'!AN$3*'Feedstock Conversion Rates'!B$6)/12-5-15+10-10</f>
        <v>4.4270833333333321</v>
      </c>
      <c r="AO425" s="106">
        <f t="shared" si="431"/>
        <v>83.020833333333329</v>
      </c>
      <c r="AP425" s="104">
        <f>('Renewable Diesel'!L434*'RD Feedstock Breakdown'!AP$3*'Feedstock Conversion Rates'!B$4)/12+15-10+15</f>
        <v>78.59375</v>
      </c>
      <c r="AQ425" s="104">
        <f>('Renewable Diesel'!L434*'RD Feedstock Breakdown'!AQ$3*'Feedstock Conversion Rates'!B$6)/12-15+10-15</f>
        <v>4.4270833333333321</v>
      </c>
      <c r="AR425" s="106">
        <f t="shared" si="420"/>
        <v>83.020833333333329</v>
      </c>
      <c r="AS425" s="104">
        <f>('Renewable Diesel'!M434*'RD Feedstock Breakdown'!AS$3*'Feedstock Conversion Rates'!B$4)/12</f>
        <v>456.25</v>
      </c>
      <c r="AT425" s="104">
        <f>('Renewable Diesel'!M434*'RD Feedstock Breakdown'!AT$3*'Feedstock Conversion Rates'!B$5)/12</f>
        <v>0</v>
      </c>
      <c r="AU425" s="106">
        <f t="shared" si="448"/>
        <v>456.25</v>
      </c>
      <c r="AV425" s="104">
        <f>'Renewable Diesel'!N434*'RD Feedstock Breakdown'!$AV$3*'Feedstock Conversion Rates'!$B$4/12-15-10+25+25-22+25</f>
        <v>106.74999999999999</v>
      </c>
      <c r="AW425" s="104">
        <f>'Renewable Diesel'!N434*'RD Feedstock Breakdown'!$AW$3*'Feedstock Conversion Rates'!$B$7/12+15+10-25-25+22-25</f>
        <v>13.400000000000006</v>
      </c>
      <c r="AX425" s="106">
        <f t="shared" si="408"/>
        <v>120.14999999999999</v>
      </c>
      <c r="AY425" s="104">
        <f>('Renewable Diesel'!O434*'RD Feedstock Breakdown'!AY$3*'Feedstock Conversion Rates'!B$4)/12</f>
        <v>210.9375</v>
      </c>
      <c r="AZ425" s="104">
        <f>('Renewable Diesel'!O434*'RD Feedstock Breakdown'!AZ$3*'Feedstock Conversion Rates'!B$3)/12</f>
        <v>25.03125</v>
      </c>
      <c r="BA425" s="106">
        <f t="shared" si="458"/>
        <v>235.96875</v>
      </c>
      <c r="BB425" s="104">
        <f>('Renewable Diesel'!Q434*'RD Feedstock Breakdown'!BB$3*'Feedstock Conversion Rates'!B$4)/12</f>
        <v>11.156249999999998</v>
      </c>
      <c r="BC425" s="104">
        <f>('Renewable Diesel'!Q434*'RD Feedstock Breakdown'!BC$3*'Feedstock Conversion Rates'!B$3)/12</f>
        <v>1.4017500000000001</v>
      </c>
      <c r="BD425" s="104">
        <f>('Renewable Diesel'!Q434*'RD Feedstock Breakdown'!BD$3*'Feedstock Conversion Rates'!B$6)/12</f>
        <v>0.8207500000000002</v>
      </c>
      <c r="BE425" s="106">
        <f t="shared" si="440"/>
        <v>13.378749999999998</v>
      </c>
      <c r="BF425" s="104">
        <f>('Renewable Diesel'!R434*'RD Feedstock Breakdown'!BF$3*'Feedstock Conversion Rates'!B$4)/12</f>
        <v>62.5</v>
      </c>
      <c r="BG425" s="106">
        <f t="shared" si="425"/>
        <v>62.5</v>
      </c>
      <c r="BH425" s="104">
        <f>('Renewable Diesel'!T434*'RD Feedstock Breakdown'!BH$3*'Feedstock Conversion Rates'!B$7)/12</f>
        <v>27.599999999999998</v>
      </c>
      <c r="BI425" s="106">
        <f t="shared" si="412"/>
        <v>27.599999999999998</v>
      </c>
      <c r="BJ425" s="104">
        <f>('Renewable Diesel'!W434*'RD Feedstock Breakdown'!BJ$3*'Feedstock Conversion Rates'!B$4)/12</f>
        <v>7.5</v>
      </c>
      <c r="BK425" s="104">
        <f>('Renewable Diesel'!W434*'RD Feedstock Breakdown'!BK$3*'Feedstock Conversion Rates'!B$3)/12</f>
        <v>1.335</v>
      </c>
      <c r="BL425" s="104">
        <f>('Renewable Diesel'!W434*'RD Feedstock Breakdown'!BL$3*'Feedstock Conversion Rates'!B$6)/12</f>
        <v>3.1266666666666669</v>
      </c>
      <c r="BM425" s="104">
        <f>('Renewable Diesel'!W434*'RD Feedstock Breakdown'!BM$3*'Feedstock Conversion Rates'!B$7)/12</f>
        <v>1.5333333333333332</v>
      </c>
      <c r="BN425" s="106">
        <f t="shared" si="452"/>
        <v>13.495000000000001</v>
      </c>
      <c r="BO425" s="104">
        <f>('Renewable Diesel'!P434*'Feedstock Conversion Rates'!B$4)/12</f>
        <v>31.25</v>
      </c>
      <c r="BP425" s="106">
        <f t="shared" si="446"/>
        <v>31.25</v>
      </c>
      <c r="BQ425" s="104">
        <f>('Renewable Diesel'!$S434*'RD Feedstock Breakdown'!BQ$3*'Feedstock Conversion Rates'!B$4)/12+10+15-15</f>
        <v>38.125</v>
      </c>
      <c r="BR425" s="104">
        <f>('Renewable Diesel'!$S434*'RD Feedstock Breakdown'!BR$3*'Feedstock Conversion Rates'!B$7)/12-10-15+15</f>
        <v>1.5</v>
      </c>
      <c r="BS425" s="106">
        <f t="shared" si="460"/>
        <v>39.625</v>
      </c>
      <c r="BT425" s="106"/>
      <c r="BU425" s="104">
        <f>('Renewable Diesel'!Y434*'Feedstock Conversion Rates'!B$7)/12</f>
        <v>2.6833333333333331</v>
      </c>
      <c r="BV425" s="106">
        <f t="shared" si="442"/>
        <v>2.6833333333333331</v>
      </c>
      <c r="BW425" s="104">
        <f>('Renewable Diesel'!$Z434*'RD Feedstock Breakdown'!BW$3*'Feedstock Conversion Rates'!$B$4)/12-250+180</f>
        <v>1.875</v>
      </c>
      <c r="BX425" s="104">
        <f>('Renewable Diesel'!$Z434*'RD Feedstock Breakdown'!BX$3*'Feedstock Conversion Rates'!$B$5)/12</f>
        <v>7.2354166666666666</v>
      </c>
      <c r="BY425" s="104">
        <f>('Renewable Diesel'!$Z434*'RD Feedstock Breakdown'!BY$3*'Feedstock Conversion Rates'!$B$7)/12</f>
        <v>61.716666666666661</v>
      </c>
      <c r="BZ425" s="104">
        <f>('Renewable Diesel'!$Z434*'RD Feedstock Breakdown'!BZ$3*'Feedstock Conversion Rates'!$B$3)/12+250-180</f>
        <v>85.35250000000002</v>
      </c>
      <c r="CA425" s="106">
        <f t="shared" si="464"/>
        <v>156.17958333333334</v>
      </c>
      <c r="CB425" s="104">
        <f>('Renewable Diesel'!AA434*'Feedstock Conversion Rates'!B$4)/12</f>
        <v>191.25</v>
      </c>
      <c r="CC425" s="106">
        <f t="shared" si="454"/>
        <v>191.25</v>
      </c>
      <c r="CD425" s="104">
        <f>('Renewable Diesel'!$AB434*'RD Feedstock Breakdown'!CD$3*'Feedstock Conversion Rates'!$B$6)/12-15-5</f>
        <v>12.830000000000005</v>
      </c>
      <c r="CE425" s="104">
        <f>('Renewable Diesel'!$AB434*'RD Feedstock Breakdown'!CE$3*'Feedstock Conversion Rates'!$B$4)/12+15+5</f>
        <v>31.25</v>
      </c>
      <c r="CF425" s="106">
        <f t="shared" si="450"/>
        <v>44.080000000000005</v>
      </c>
      <c r="CG425" s="104">
        <f>('Renewable Diesel'!AD434*'Feedstock Conversion Rates'!B$4)/12</f>
        <v>112.5</v>
      </c>
      <c r="CH425" s="106">
        <f t="shared" si="439"/>
        <v>112.5</v>
      </c>
      <c r="CI425" s="104">
        <f>('Renewable Diesel'!$AE434*'RD Feedstock Breakdown'!CI$3*'Feedstock Conversion Rates'!$B$5)/12</f>
        <v>0.34604166666666664</v>
      </c>
      <c r="CJ425" s="104">
        <f>('Renewable Diesel'!$AE434*'RD Feedstock Breakdown'!CJ$3*'Feedstock Conversion Rates'!$B$4)/12</f>
        <v>0.34375</v>
      </c>
      <c r="CK425" s="106">
        <f t="shared" si="447"/>
        <v>0.68979166666666658</v>
      </c>
      <c r="CL425" s="104">
        <f>(((CL$3*'Renewable Diesel'!$AF434)*'Feedstock Conversion Rates'!$B$3)/12)</f>
        <v>91.78125</v>
      </c>
      <c r="CM425" s="104">
        <f>(((CM$3*'Renewable Diesel'!$AF434)*'Feedstock Conversion Rates'!$B$6)/12)</f>
        <v>53.739583333333336</v>
      </c>
      <c r="CN425" s="104">
        <f>(((CN$3*'Renewable Diesel'!$AF434)*'Feedstock Conversion Rates'!$B$4)/12)</f>
        <v>42.96875</v>
      </c>
      <c r="CO425" s="106">
        <f t="shared" si="441"/>
        <v>188.48958333333334</v>
      </c>
      <c r="CP425" s="104">
        <f>('Renewable Diesel'!$AG434*'RD Feedstock Breakdown'!CP$3*'Feedstock Conversion Rates'!$B$3)/12</f>
        <v>6.0075000000000003</v>
      </c>
      <c r="CQ425" s="104">
        <f>('Renewable Diesel'!$AG434*'RD Feedstock Breakdown'!CQ$3*'Feedstock Conversion Rates'!$B$6)/12</f>
        <v>3.5175000000000001</v>
      </c>
      <c r="CR425" s="104">
        <f>('Renewable Diesel'!$AG434*'RD Feedstock Breakdown'!CR$3*'Feedstock Conversion Rates'!$B$4)/12</f>
        <v>2.8125</v>
      </c>
      <c r="CS425" s="106">
        <f t="shared" si="397"/>
        <v>12.3375</v>
      </c>
      <c r="CT425" s="104">
        <f>('Renewable Diesel'!AI434*'Feedstock Conversion Rates'!$B$4*'RD Feedstock Breakdown'!$CT$3)/12</f>
        <v>29.375</v>
      </c>
      <c r="CU425" s="106">
        <f t="shared" si="443"/>
        <v>29.375</v>
      </c>
      <c r="CV425" s="104">
        <f>('Renewable Diesel'!AN434*'Feedstock Conversion Rates'!$B$3*'RD Feedstock Breakdown'!$CV$3)/12</f>
        <v>0.50062499999999999</v>
      </c>
      <c r="CW425" s="106">
        <f t="shared" si="419"/>
        <v>0.50062499999999999</v>
      </c>
      <c r="CX425" s="104">
        <f>('Renewable Diesel'!AO434*'RD Feedstock Breakdown'!$CX$3*'Feedstock Conversion Rates'!$B$3)/12</f>
        <v>6.3412499999999996</v>
      </c>
      <c r="CY425" s="104">
        <f>('Renewable Diesel'!AO434*'RD Feedstock Breakdown'!$CY$3*'Feedstock Conversion Rates'!$B$6)/12</f>
        <v>7.4258333333333342</v>
      </c>
      <c r="CZ425" s="106">
        <f t="shared" si="398"/>
        <v>13.767083333333334</v>
      </c>
      <c r="DA425" s="104">
        <f>('Renewable Diesel'!$AP434*'RD Feedstock Breakdown'!DA$3*'Feedstock Conversion Rates'!$B$3)/12</f>
        <v>6.3412499999999996</v>
      </c>
      <c r="DB425" s="104">
        <f>('Renewable Diesel'!$AP434*'RD Feedstock Breakdown'!DB$3*'Feedstock Conversion Rates'!$B$8)/12</f>
        <v>7.421875</v>
      </c>
      <c r="DC425" s="106">
        <f t="shared" si="422"/>
        <v>13.763124999999999</v>
      </c>
      <c r="DD425" s="104">
        <f>('Renewable Diesel'!AQ434*$DD$3*'Feedstock Conversion Rates'!$B$14)/12</f>
        <v>3.1041666666666665</v>
      </c>
      <c r="DE425" s="106">
        <f t="shared" si="423"/>
        <v>3.1041666666666665</v>
      </c>
      <c r="DF425" s="104">
        <f>('Renewable Diesel'!AR434*'Feedstock Conversion Rates'!$B$4*$DF$3)/12</f>
        <v>75</v>
      </c>
      <c r="DG425" s="106">
        <f t="shared" si="399"/>
        <v>75</v>
      </c>
      <c r="DH425" s="104">
        <f>('Renewable Diesel'!AS434*'Feedstock Conversion Rates'!$B$4*$DH$3)/12</f>
        <v>75</v>
      </c>
      <c r="DI425" s="106">
        <f t="shared" si="411"/>
        <v>75</v>
      </c>
      <c r="DJ425" s="104">
        <f>('Renewable Diesel'!AT434*'Feedstock Conversion Rates'!$B$4*0.25)/12</f>
        <v>8.59375</v>
      </c>
      <c r="DK425" s="104">
        <f>('Renewable Diesel'!$AT434*'RD Feedstock Breakdown'!DK$3*'Feedstock Conversion Rates'!$B$3)/12*0.5</f>
        <v>9.1781249999999996</v>
      </c>
      <c r="DL425" s="104">
        <f>('Renewable Diesel'!$AT434*'RD Feedstock Breakdown'!$DL$3*'Feedstock Conversion Rates'!$B$6)/12</f>
        <v>10.747916666666669</v>
      </c>
      <c r="DM425" s="104">
        <f>('Renewable Diesel'!$AT434*'RD Feedstock Breakdown'!$DM$3*'Feedstock Conversion Rates'!$B$8)/12</f>
        <v>10.7421875</v>
      </c>
      <c r="DN425" s="106">
        <f t="shared" si="453"/>
        <v>39.26197916666667</v>
      </c>
      <c r="DP425" s="104">
        <f t="shared" si="426"/>
        <v>103.22025000000001</v>
      </c>
      <c r="DQ425" s="104">
        <f t="shared" si="427"/>
        <v>349.11776750000007</v>
      </c>
      <c r="DR425" s="104">
        <f t="shared" si="432"/>
        <v>1891.953125</v>
      </c>
      <c r="DS425" s="104">
        <f t="shared" si="444"/>
        <v>228.90125</v>
      </c>
      <c r="DT425" s="104">
        <f t="shared" si="428"/>
        <v>243.03923333333344</v>
      </c>
      <c r="DU425" s="104">
        <f t="shared" si="429"/>
        <v>402.90610000000009</v>
      </c>
      <c r="DV425" s="104">
        <f t="shared" si="433"/>
        <v>78.75</v>
      </c>
      <c r="DW425" s="104">
        <f t="shared" si="430"/>
        <v>3</v>
      </c>
      <c r="DX425" s="106">
        <f t="shared" si="434"/>
        <v>3300.8877258333337</v>
      </c>
      <c r="DY425" s="109">
        <f t="shared" si="421"/>
        <v>-5.631051180898794E-13</v>
      </c>
      <c r="EA425" s="110">
        <f t="shared" si="424"/>
        <v>3.1270451640078516E-2</v>
      </c>
      <c r="EB425" s="110">
        <f t="shared" si="424"/>
        <v>0.10576481131658687</v>
      </c>
      <c r="EC425" s="110">
        <f t="shared" si="424"/>
        <v>0.57316494293133291</v>
      </c>
      <c r="ED425" s="110">
        <f t="shared" si="424"/>
        <v>6.9345360706629972E-2</v>
      </c>
      <c r="EE425" s="110">
        <f t="shared" si="424"/>
        <v>7.3628445896921982E-2</v>
      </c>
      <c r="EF425" s="110">
        <f t="shared" si="424"/>
        <v>0.1220599225010852</v>
      </c>
      <c r="EG425" s="110">
        <f t="shared" si="424"/>
        <v>2.3857218585075921E-2</v>
      </c>
      <c r="EH425" s="111">
        <f t="shared" si="435"/>
        <v>9.0884642228860647E-4</v>
      </c>
      <c r="EI425" s="110">
        <f t="shared" si="409"/>
        <v>0.99909115357771139</v>
      </c>
      <c r="EK425" s="132">
        <f>(EA425*'Renewable Diesel'!BF434*'Feedstock Conversion Rates'!B$2)+FB425</f>
        <v>580.51435136037355</v>
      </c>
      <c r="EL425" s="132">
        <f>(EB425*'Renewable Diesel'!BF434*'Feedstock Conversion Rates'!B$3)+FC425</f>
        <v>1850.2635623768422</v>
      </c>
      <c r="EM425" s="132">
        <f>(EC425*'Renewable Diesel'!BF434*'Feedstock Conversion Rates'!B$4)+FD425</f>
        <v>9388.5984339051683</v>
      </c>
      <c r="EN425" s="132">
        <f>(ED425*'Renewable Diesel'!BF434*'Feedstock Conversion Rates'!B$5)+FE425</f>
        <v>1143.4686029641434</v>
      </c>
      <c r="EO425" s="132">
        <f>(EE425*'Renewable Diesel'!BF434*'Feedstock Conversion Rates'!B$6)+FF425</f>
        <v>1508.3716227503573</v>
      </c>
      <c r="EP425" s="132">
        <f>(EF425*'Renewable Diesel'!BF434*'Feedstock Conversion Rates'!B$7)+FG425</f>
        <v>2452.5665371074647</v>
      </c>
      <c r="EQ425" s="132">
        <f>(EG425*'Renewable Diesel'!BF434*'Feedstock Conversion Rates'!B$8)+FH425</f>
        <v>488.4847019333738</v>
      </c>
      <c r="ER425" s="132">
        <f>(EH425*'Renewable Diesel'!BF434*'Feedstock Conversion Rates'!B$9)+FI425</f>
        <v>18.360821812352839</v>
      </c>
      <c r="ES425" s="132">
        <f t="shared" si="436"/>
        <v>17430.628634210076</v>
      </c>
      <c r="ET425" s="133">
        <f>ES425/'Renewable Diesel'!BF434</f>
        <v>17.370446177834619</v>
      </c>
      <c r="EW425" s="73">
        <f t="shared" si="461"/>
        <v>16225.131982271963</v>
      </c>
      <c r="EX425" s="73">
        <f t="shared" si="462"/>
        <v>10627.550319690932</v>
      </c>
      <c r="EY425" s="92">
        <f t="shared" si="410"/>
        <v>0.9308403226736095</v>
      </c>
      <c r="EZ425" s="92">
        <f t="shared" si="410"/>
        <v>0.60970550992250849</v>
      </c>
      <c r="FB425" s="102">
        <f>IF('Renewable Diesel'!$BG434&lt;1,0,(((('Renewable Diesel'!$BG434-1)*'Renewable Diesel'!$BF434)*'RD Feedstock Breakdown'!EA425)*'Feedstock Conversion Rates'!$B$2))</f>
        <v>313.7946133900885</v>
      </c>
      <c r="FC425" s="102">
        <f>IF('Renewable Diesel'!$BG434&lt;1,0,(((('Renewable Diesel'!$BG434-1)*'Renewable Diesel'!$BF434)*'RD Feedstock Breakdown'!EB425)*'Feedstock Conversion Rates'!$B$3))</f>
        <v>1000.1522578472494</v>
      </c>
      <c r="FD425" s="102">
        <f>IF('Renewable Diesel'!$BG434&lt;1,0,(((('Renewable Diesel'!$BG434-1)*'Renewable Diesel'!$BF434)*'RD Feedstock Breakdown'!EC425)*'Feedstock Conversion Rates'!$B$4))</f>
        <v>5074.9677573658782</v>
      </c>
      <c r="FE425" s="102">
        <f>IF('Renewable Diesel'!$BG434&lt;1,0,(((('Renewable Diesel'!$BG434-1)*'Renewable Diesel'!$BF434)*'RD Feedstock Breakdown'!ED425)*'Feedstock Conversion Rates'!$B$5))</f>
        <v>618.09718803677276</v>
      </c>
      <c r="FF425" s="102">
        <f>IF('Renewable Diesel'!$BG434&lt;1,0,(((('Renewable Diesel'!$BG434-1)*'Renewable Diesel'!$BF434)*'RD Feedstock Breakdown'!EE425)*'Feedstock Conversion Rates'!$B$6))</f>
        <v>815.34399468394952</v>
      </c>
      <c r="FG425" s="102">
        <f>IF('Renewable Diesel'!$BG434&lt;1,0,(((('Renewable Diesel'!$BG434-1)*'Renewable Diesel'!$BF434)*'RD Feedstock Breakdown'!EF425)*'Feedstock Conversion Rates'!$B$7))</f>
        <v>1325.7246207981325</v>
      </c>
      <c r="FH425" s="102">
        <f>IF('Renewable Diesel'!$BG434&lt;1,0,(((('Renewable Diesel'!$BG434-1)*'Renewable Diesel'!$BF434)*'RD Feedstock Breakdown'!EG425)*'Feedstock Conversion Rates'!$B$8))</f>
        <v>264.04836991704207</v>
      </c>
      <c r="FI425" s="102">
        <f>IF('Renewable Diesel'!$BG434&lt;1,0,(((('Renewable Diesel'!$BG434-1)*'Renewable Diesel'!$BF434)*'RD Feedstock Breakdown'!EH425)*'Feedstock Conversion Rates'!$B$9))</f>
        <v>9.9248657137072307</v>
      </c>
      <c r="FJ425" s="102">
        <f t="shared" si="463"/>
        <v>9422.0536677528198</v>
      </c>
      <c r="GD425" s="91">
        <f>'Renewable Diesel'!BB434*0.32</f>
        <v>0</v>
      </c>
      <c r="GE425" s="91">
        <f>'Renewable Diesel'!BC434</f>
        <v>601.22023923310144</v>
      </c>
      <c r="GF425" s="91">
        <f>'Renewable Diesel'!BD434</f>
        <v>0</v>
      </c>
      <c r="GG425" s="91">
        <f t="shared" si="451"/>
        <v>601.22023923310144</v>
      </c>
      <c r="GH425" s="124">
        <v>1</v>
      </c>
      <c r="GI425" s="102">
        <f>$GG425*EA425*'Feedstock Conversion Rates'!$B$2</f>
        <v>159.80364153578864</v>
      </c>
      <c r="GJ425" s="102">
        <f>$GG425*EB425*'Feedstock Conversion Rates'!$B$3</f>
        <v>509.33944074923954</v>
      </c>
      <c r="GK425" s="102">
        <f>$GG425*EC425*'Feedstock Conversion Rates'!$B$4</f>
        <v>2584.4877308190221</v>
      </c>
      <c r="GL425" s="102">
        <f>$GG425*ED425*'Feedstock Conversion Rates'!$B$5</f>
        <v>314.77334937078064</v>
      </c>
      <c r="GM425" s="102">
        <f>$GG425*EE425*'Feedstock Conversion Rates'!$B$6</f>
        <v>415.22363321405351</v>
      </c>
      <c r="GN425" s="102">
        <f>$GG425*EF425*'Feedstock Conversion Rates'!$B$7</f>
        <v>675.14104142326164</v>
      </c>
      <c r="GO425" s="102">
        <f>$GG425*EG425*'Feedstock Conversion Rates'!$B$8</f>
        <v>134.46977498583507</v>
      </c>
      <c r="GP425" s="102">
        <f>$GG425*EH425*'Feedstock Conversion Rates'!B$9</f>
        <v>5.0543559867691652</v>
      </c>
      <c r="GQ425" s="102">
        <f t="shared" si="437"/>
        <v>4798.2929680847501</v>
      </c>
      <c r="GT425" s="103">
        <f t="shared" si="418"/>
        <v>3.3304269372191886E-2</v>
      </c>
      <c r="GU425" s="103">
        <f t="shared" si="418"/>
        <v>0.10615013383656388</v>
      </c>
      <c r="GV425" s="103">
        <f t="shared" si="418"/>
        <v>0.53862649654979822</v>
      </c>
      <c r="GW425" s="103">
        <f t="shared" si="418"/>
        <v>6.5601110950176775E-2</v>
      </c>
      <c r="GX425" s="103">
        <f t="shared" si="465"/>
        <v>8.653569841938831E-2</v>
      </c>
      <c r="GY425" s="103">
        <f t="shared" si="465"/>
        <v>0.14070442257566981</v>
      </c>
      <c r="GZ425" s="103">
        <f t="shared" si="465"/>
        <v>2.802450285554552E-2</v>
      </c>
      <c r="HA425" s="103">
        <f t="shared" si="465"/>
        <v>1.0533654406655838E-3</v>
      </c>
    </row>
    <row r="426" spans="1:209" x14ac:dyDescent="0.25">
      <c r="A426" s="96">
        <v>53387</v>
      </c>
      <c r="B426" s="104">
        <f t="shared" si="406"/>
        <v>44.25</v>
      </c>
      <c r="C426" s="104">
        <f t="shared" si="396"/>
        <v>49</v>
      </c>
      <c r="D426" s="104">
        <f t="shared" si="407"/>
        <v>2</v>
      </c>
      <c r="E426" s="104">
        <f>('Renewable Diesel'!B435*E$3*'Feedstock Conversion Rates'!$B$2)/12+26+13-100+27.5+39</f>
        <v>95.43</v>
      </c>
      <c r="F426" s="104">
        <f>('Renewable Diesel'!B435*'RD Feedstock Breakdown'!F$3*'Feedstock Conversion Rates'!B$8)/12+77+23-10-12-115.75+24+8</f>
        <v>48.15625</v>
      </c>
      <c r="G426" s="104">
        <f>('Renewable Diesel'!B435*'RD Feedstock Breakdown'!G$3*'Feedstock Conversion Rates'!B$7)/12+116.75-39-57.5-145-31.5+32+70-40+10+60</f>
        <v>151.90700000000004</v>
      </c>
      <c r="H426" s="104">
        <f>('Renewable Diesel'!B435*'RD Feedstock Breakdown'!H$3*'Feedstock Conversion Rates'!B$3)/12+67+10+12+3-235+20+47-20+25</f>
        <v>105.40022499999998</v>
      </c>
      <c r="I426" s="106">
        <f t="shared" si="449"/>
        <v>496.14347500000002</v>
      </c>
      <c r="J426" s="104">
        <f t="shared" si="417"/>
        <v>4</v>
      </c>
      <c r="K426" s="104"/>
      <c r="L426" s="104">
        <v>1</v>
      </c>
      <c r="M426" s="104">
        <f>('Renewable Diesel'!C435*'RD Feedstock Breakdown'!M$3*'Feedstock Conversion Rates'!B$2)/12</f>
        <v>7.7902500000000003</v>
      </c>
      <c r="N426" s="104">
        <f>('Renewable Diesel'!C435*'RD Feedstock Breakdown'!N$3*'Feedstock Conversion Rates'!B$8)/12</f>
        <v>3.671875</v>
      </c>
      <c r="O426" s="104">
        <f>('Renewable Diesel'!C435*'RD Feedstock Breakdown'!O$3*'Feedstock Conversion Rates'!B$7)/12</f>
        <v>11.9991</v>
      </c>
      <c r="P426" s="104">
        <f>('Renewable Diesel'!C435*'RD Feedstock Breakdown'!P$3*'Feedstock Conversion Rates'!B$3)/12</f>
        <v>10.4470425</v>
      </c>
      <c r="Q426" s="106">
        <f t="shared" si="455"/>
        <v>38.908267500000001</v>
      </c>
      <c r="R426" s="104">
        <f>('Renewable Diesel'!D435*'RD Feedstock Breakdown'!R$3*'Feedstock Conversion Rates'!B$7)/12</f>
        <v>2.2999999999999998</v>
      </c>
      <c r="S426" s="106">
        <f t="shared" si="414"/>
        <v>2.2999999999999998</v>
      </c>
      <c r="T426" s="104">
        <f t="shared" si="456"/>
        <v>0.82499999999999929</v>
      </c>
      <c r="U426" s="104"/>
      <c r="V426" s="104">
        <f>('Renewable Diesel'!E435*'RD Feedstock Breakdown'!V$3*'Feedstock Conversion Rates'!B$6)/12-20+25</f>
        <v>49.250150000000012</v>
      </c>
      <c r="W426" s="104">
        <f>('Renewable Diesel'!E435*'RD Feedstock Breakdown'!W$3*'Feedstock Conversion Rates'!B$8)/12-6</f>
        <v>16.1796875</v>
      </c>
      <c r="X426" s="106">
        <f t="shared" si="438"/>
        <v>66.254837500000008</v>
      </c>
      <c r="Y426" s="104">
        <f t="shared" si="457"/>
        <v>98</v>
      </c>
      <c r="Z426" s="104">
        <f>('Renewable Diesel'!F435*'RD Feedstock Breakdown'!Z$3*'Feedstock Conversion Rates'!B$6)/12-142+15+5+20+5+15</f>
        <v>77.460000000000008</v>
      </c>
      <c r="AA426" s="104">
        <f>('Renewable Diesel'!F435*'RD Feedstock Breakdown'!AA$3*'Feedstock Conversion Rates'!B$7)/12+24</f>
        <v>128.26666666666665</v>
      </c>
      <c r="AB426" s="106">
        <f t="shared" si="400"/>
        <v>303.72666666666669</v>
      </c>
      <c r="AC426" s="104">
        <f>('Renewable Diesel'!G435*'RD Feedstock Breakdown'!AC$3*'Feedstock Conversion Rates'!B$5)/12</f>
        <v>11.796875</v>
      </c>
      <c r="AD426" s="104">
        <f>('Renewable Diesel'!G435*'RD Feedstock Breakdown'!AD$3*'Feedstock Conversion Rates'!B$4)/12</f>
        <v>5.859375</v>
      </c>
      <c r="AE426" s="104">
        <f>('Renewable Diesel'!G435*'RD Feedstock Breakdown'!AE$3*'Feedstock Conversion Rates'!B$6)/12</f>
        <v>7.3281250000000009</v>
      </c>
      <c r="AF426" s="106">
        <f t="shared" si="445"/>
        <v>24.984375</v>
      </c>
      <c r="AG426" s="104">
        <f t="shared" si="459"/>
        <v>148</v>
      </c>
      <c r="AH426" s="104"/>
      <c r="AI426" s="104">
        <f>('Renewable Diesel'!H435*'RD Feedstock Breakdown'!AI$3*'Feedstock Conversion Rates'!B$6)/12-130-20+51-49</f>
        <v>0.51666666666667993</v>
      </c>
      <c r="AJ426" s="106">
        <f t="shared" si="413"/>
        <v>148.51666666666668</v>
      </c>
      <c r="AK426" s="104">
        <f>('Renewable Diesel'!J435*'RD Feedstock Breakdown'!AK$3*'Feedstock Conversion Rates'!B$4)/12</f>
        <v>95.8125</v>
      </c>
      <c r="AL426" s="106">
        <f t="shared" si="415"/>
        <v>95.8125</v>
      </c>
      <c r="AM426" s="104">
        <f>('Renewable Diesel'!K435*'RD Feedstock Breakdown'!AM$3*'Feedstock Conversion Rates'!B$4)/12+5+15-10+10</f>
        <v>78.59375</v>
      </c>
      <c r="AN426" s="104">
        <f>('Renewable Diesel'!K435*'RD Feedstock Breakdown'!AN$3*'Feedstock Conversion Rates'!B$6)/12-5-15+10-10</f>
        <v>4.4270833333333321</v>
      </c>
      <c r="AO426" s="106">
        <f t="shared" si="431"/>
        <v>83.020833333333329</v>
      </c>
      <c r="AP426" s="104">
        <f>('Renewable Diesel'!L435*'RD Feedstock Breakdown'!AP$3*'Feedstock Conversion Rates'!B$4)/12+15-10+15</f>
        <v>78.59375</v>
      </c>
      <c r="AQ426" s="104">
        <f>('Renewable Diesel'!L435*'RD Feedstock Breakdown'!AQ$3*'Feedstock Conversion Rates'!B$6)/12-15+10-15</f>
        <v>4.4270833333333321</v>
      </c>
      <c r="AR426" s="106">
        <f t="shared" si="420"/>
        <v>83.020833333333329</v>
      </c>
      <c r="AS426" s="104">
        <f>('Renewable Diesel'!M435*'RD Feedstock Breakdown'!AS$3*'Feedstock Conversion Rates'!B$4)/12</f>
        <v>456.25</v>
      </c>
      <c r="AT426" s="104">
        <f>('Renewable Diesel'!M435*'RD Feedstock Breakdown'!AT$3*'Feedstock Conversion Rates'!B$5)/12</f>
        <v>0</v>
      </c>
      <c r="AU426" s="106">
        <f t="shared" si="448"/>
        <v>456.25</v>
      </c>
      <c r="AV426" s="104">
        <f>'Renewable Diesel'!N435*'RD Feedstock Breakdown'!$AV$3*'Feedstock Conversion Rates'!$B$4/12-15-10+25+25-22+25</f>
        <v>106.74999999999999</v>
      </c>
      <c r="AW426" s="104">
        <f>'Renewable Diesel'!N435*'RD Feedstock Breakdown'!$AW$3*'Feedstock Conversion Rates'!$B$7/12+15+10-25-25+22-25</f>
        <v>13.400000000000006</v>
      </c>
      <c r="AX426" s="106">
        <f t="shared" si="408"/>
        <v>120.14999999999999</v>
      </c>
      <c r="AY426" s="104">
        <f>('Renewable Diesel'!O435*'RD Feedstock Breakdown'!AY$3*'Feedstock Conversion Rates'!B$4)/12</f>
        <v>210.9375</v>
      </c>
      <c r="AZ426" s="104">
        <f>('Renewable Diesel'!O435*'RD Feedstock Breakdown'!AZ$3*'Feedstock Conversion Rates'!B$3)/12</f>
        <v>25.03125</v>
      </c>
      <c r="BA426" s="106">
        <f t="shared" si="458"/>
        <v>235.96875</v>
      </c>
      <c r="BB426" s="104">
        <f>('Renewable Diesel'!Q435*'RD Feedstock Breakdown'!BB$3*'Feedstock Conversion Rates'!B$4)/12</f>
        <v>11.156249999999998</v>
      </c>
      <c r="BC426" s="104">
        <f>('Renewable Diesel'!Q435*'RD Feedstock Breakdown'!BC$3*'Feedstock Conversion Rates'!B$3)/12</f>
        <v>1.4017500000000001</v>
      </c>
      <c r="BD426" s="104">
        <f>('Renewable Diesel'!Q435*'RD Feedstock Breakdown'!BD$3*'Feedstock Conversion Rates'!B$6)/12</f>
        <v>0.8207500000000002</v>
      </c>
      <c r="BE426" s="106">
        <f t="shared" si="440"/>
        <v>13.378749999999998</v>
      </c>
      <c r="BF426" s="104">
        <f>('Renewable Diesel'!R435*'RD Feedstock Breakdown'!BF$3*'Feedstock Conversion Rates'!B$4)/12</f>
        <v>62.5</v>
      </c>
      <c r="BG426" s="106">
        <f t="shared" si="425"/>
        <v>62.5</v>
      </c>
      <c r="BH426" s="104">
        <f>('Renewable Diesel'!T435*'RD Feedstock Breakdown'!BH$3*'Feedstock Conversion Rates'!B$7)/12</f>
        <v>27.599999999999998</v>
      </c>
      <c r="BI426" s="106">
        <f t="shared" si="412"/>
        <v>27.599999999999998</v>
      </c>
      <c r="BJ426" s="104">
        <f>('Renewable Diesel'!W435*'RD Feedstock Breakdown'!BJ$3*'Feedstock Conversion Rates'!B$4)/12</f>
        <v>7.5</v>
      </c>
      <c r="BK426" s="104">
        <f>('Renewable Diesel'!W435*'RD Feedstock Breakdown'!BK$3*'Feedstock Conversion Rates'!B$3)/12</f>
        <v>1.335</v>
      </c>
      <c r="BL426" s="104">
        <f>('Renewable Diesel'!W435*'RD Feedstock Breakdown'!BL$3*'Feedstock Conversion Rates'!B$6)/12</f>
        <v>3.1266666666666669</v>
      </c>
      <c r="BM426" s="104">
        <f>('Renewable Diesel'!W435*'RD Feedstock Breakdown'!BM$3*'Feedstock Conversion Rates'!B$7)/12</f>
        <v>1.5333333333333332</v>
      </c>
      <c r="BN426" s="106">
        <f t="shared" si="452"/>
        <v>13.495000000000001</v>
      </c>
      <c r="BO426" s="104">
        <f>('Renewable Diesel'!P435*'Feedstock Conversion Rates'!B$4)/12</f>
        <v>31.25</v>
      </c>
      <c r="BP426" s="106">
        <f t="shared" si="446"/>
        <v>31.25</v>
      </c>
      <c r="BQ426" s="104">
        <f>('Renewable Diesel'!$S435*'RD Feedstock Breakdown'!BQ$3*'Feedstock Conversion Rates'!B$4)/12+10+15-15</f>
        <v>38.125</v>
      </c>
      <c r="BR426" s="104">
        <f>('Renewable Diesel'!$S435*'RD Feedstock Breakdown'!BR$3*'Feedstock Conversion Rates'!B$7)/12-10-15+15</f>
        <v>1.5</v>
      </c>
      <c r="BS426" s="106">
        <f t="shared" si="460"/>
        <v>39.625</v>
      </c>
      <c r="BT426" s="106"/>
      <c r="BU426" s="104">
        <f>('Renewable Diesel'!Y435*'Feedstock Conversion Rates'!B$7)/12</f>
        <v>2.6833333333333331</v>
      </c>
      <c r="BV426" s="106">
        <f t="shared" si="442"/>
        <v>2.6833333333333331</v>
      </c>
      <c r="BW426" s="104">
        <f>('Renewable Diesel'!$Z435*'RD Feedstock Breakdown'!BW$3*'Feedstock Conversion Rates'!$B$4)/12-250+180</f>
        <v>1.875</v>
      </c>
      <c r="BX426" s="104">
        <f>('Renewable Diesel'!$Z435*'RD Feedstock Breakdown'!BX$3*'Feedstock Conversion Rates'!$B$5)/12</f>
        <v>7.2354166666666666</v>
      </c>
      <c r="BY426" s="104">
        <f>('Renewable Diesel'!$Z435*'RD Feedstock Breakdown'!BY$3*'Feedstock Conversion Rates'!$B$7)/12</f>
        <v>61.716666666666661</v>
      </c>
      <c r="BZ426" s="104">
        <f>('Renewable Diesel'!$Z435*'RD Feedstock Breakdown'!BZ$3*'Feedstock Conversion Rates'!$B$3)/12+250-180</f>
        <v>85.35250000000002</v>
      </c>
      <c r="CA426" s="106">
        <f t="shared" si="464"/>
        <v>156.17958333333334</v>
      </c>
      <c r="CB426" s="104">
        <f>('Renewable Diesel'!AA435*'Feedstock Conversion Rates'!B$4)/12</f>
        <v>191.25</v>
      </c>
      <c r="CC426" s="106">
        <f t="shared" si="454"/>
        <v>191.25</v>
      </c>
      <c r="CD426" s="104">
        <f>('Renewable Diesel'!$AB435*'RD Feedstock Breakdown'!CD$3*'Feedstock Conversion Rates'!$B$6)/12-15-5</f>
        <v>12.830000000000005</v>
      </c>
      <c r="CE426" s="104">
        <f>('Renewable Diesel'!$AB435*'RD Feedstock Breakdown'!CE$3*'Feedstock Conversion Rates'!$B$4)/12+15+5</f>
        <v>31.25</v>
      </c>
      <c r="CF426" s="106">
        <f t="shared" si="450"/>
        <v>44.080000000000005</v>
      </c>
      <c r="CG426" s="104">
        <f>('Renewable Diesel'!AD435*'Feedstock Conversion Rates'!B$4)/12</f>
        <v>112.5</v>
      </c>
      <c r="CH426" s="106">
        <f t="shared" si="439"/>
        <v>112.5</v>
      </c>
      <c r="CI426" s="104">
        <f>('Renewable Diesel'!$AE435*'RD Feedstock Breakdown'!CI$3*'Feedstock Conversion Rates'!$B$5)/12</f>
        <v>0.34604166666666664</v>
      </c>
      <c r="CJ426" s="104">
        <f>('Renewable Diesel'!$AE435*'RD Feedstock Breakdown'!CJ$3*'Feedstock Conversion Rates'!$B$4)/12</f>
        <v>0.34375</v>
      </c>
      <c r="CK426" s="106">
        <f t="shared" si="447"/>
        <v>0.68979166666666658</v>
      </c>
      <c r="CL426" s="104">
        <f>(((CL$3*'Renewable Diesel'!$AF435)*'Feedstock Conversion Rates'!$B$3)/12)</f>
        <v>91.78125</v>
      </c>
      <c r="CM426" s="104">
        <f>(((CM$3*'Renewable Diesel'!$AF435)*'Feedstock Conversion Rates'!$B$6)/12)</f>
        <v>53.739583333333336</v>
      </c>
      <c r="CN426" s="104">
        <f>(((CN$3*'Renewable Diesel'!$AF435)*'Feedstock Conversion Rates'!$B$4)/12)</f>
        <v>42.96875</v>
      </c>
      <c r="CO426" s="106">
        <f t="shared" si="441"/>
        <v>188.48958333333334</v>
      </c>
      <c r="CP426" s="104">
        <f>('Renewable Diesel'!$AG435*'RD Feedstock Breakdown'!CP$3*'Feedstock Conversion Rates'!$B$3)/12</f>
        <v>6.0075000000000003</v>
      </c>
      <c r="CQ426" s="104">
        <f>('Renewable Diesel'!$AG435*'RD Feedstock Breakdown'!CQ$3*'Feedstock Conversion Rates'!$B$6)/12</f>
        <v>3.5175000000000001</v>
      </c>
      <c r="CR426" s="104">
        <f>('Renewable Diesel'!$AG435*'RD Feedstock Breakdown'!CR$3*'Feedstock Conversion Rates'!$B$4)/12</f>
        <v>2.8125</v>
      </c>
      <c r="CS426" s="106">
        <f t="shared" si="397"/>
        <v>12.3375</v>
      </c>
      <c r="CT426" s="104">
        <f>('Renewable Diesel'!AI435*'Feedstock Conversion Rates'!$B$4*'RD Feedstock Breakdown'!$CT$3)/12</f>
        <v>29.375</v>
      </c>
      <c r="CU426" s="106">
        <f t="shared" si="443"/>
        <v>29.375</v>
      </c>
      <c r="CV426" s="104">
        <f>('Renewable Diesel'!AN435*'Feedstock Conversion Rates'!$B$3*'RD Feedstock Breakdown'!$CV$3)/12</f>
        <v>0.50062499999999999</v>
      </c>
      <c r="CW426" s="106">
        <f t="shared" si="419"/>
        <v>0.50062499999999999</v>
      </c>
      <c r="CX426" s="104">
        <f>('Renewable Diesel'!AO435*'RD Feedstock Breakdown'!$CX$3*'Feedstock Conversion Rates'!$B$3)/12</f>
        <v>6.3412499999999996</v>
      </c>
      <c r="CY426" s="104">
        <f>('Renewable Diesel'!AO435*'RD Feedstock Breakdown'!$CY$3*'Feedstock Conversion Rates'!$B$6)/12</f>
        <v>7.4258333333333342</v>
      </c>
      <c r="CZ426" s="106">
        <f t="shared" si="398"/>
        <v>13.767083333333334</v>
      </c>
      <c r="DA426" s="104">
        <f>('Renewable Diesel'!$AP435*'RD Feedstock Breakdown'!DA$3*'Feedstock Conversion Rates'!$B$3)/12</f>
        <v>6.3412499999999996</v>
      </c>
      <c r="DB426" s="104">
        <f>('Renewable Diesel'!$AP435*'RD Feedstock Breakdown'!DB$3*'Feedstock Conversion Rates'!$B$8)/12</f>
        <v>7.421875</v>
      </c>
      <c r="DC426" s="106">
        <f t="shared" si="422"/>
        <v>13.763124999999999</v>
      </c>
      <c r="DD426" s="104">
        <f>('Renewable Diesel'!AQ435*$DD$3*'Feedstock Conversion Rates'!$B$14)/12</f>
        <v>3.1041666666666665</v>
      </c>
      <c r="DE426" s="106">
        <f t="shared" si="423"/>
        <v>3.1041666666666665</v>
      </c>
      <c r="DF426" s="104">
        <f>('Renewable Diesel'!AR435*'Feedstock Conversion Rates'!$B$4*$DF$3)/12</f>
        <v>75</v>
      </c>
      <c r="DG426" s="106">
        <f t="shared" si="399"/>
        <v>75</v>
      </c>
      <c r="DH426" s="104">
        <f>('Renewable Diesel'!AS435*'Feedstock Conversion Rates'!$B$4*$DH$3)/12</f>
        <v>75</v>
      </c>
      <c r="DI426" s="106">
        <f t="shared" si="411"/>
        <v>75</v>
      </c>
      <c r="DJ426" s="104">
        <f>('Renewable Diesel'!AT435*'Feedstock Conversion Rates'!$B$4*0.25)/12</f>
        <v>8.59375</v>
      </c>
      <c r="DK426" s="104">
        <f>('Renewable Diesel'!$AT435*'RD Feedstock Breakdown'!DK$3*'Feedstock Conversion Rates'!$B$3)/12*0.5</f>
        <v>9.1781249999999996</v>
      </c>
      <c r="DL426" s="104">
        <f>('Renewable Diesel'!$AT435*'RD Feedstock Breakdown'!$DL$3*'Feedstock Conversion Rates'!$B$6)/12</f>
        <v>10.747916666666669</v>
      </c>
      <c r="DM426" s="104">
        <f>('Renewable Diesel'!$AT435*'RD Feedstock Breakdown'!$DM$3*'Feedstock Conversion Rates'!$B$8)/12</f>
        <v>10.7421875</v>
      </c>
      <c r="DN426" s="106">
        <f t="shared" si="453"/>
        <v>39.26197916666667</v>
      </c>
      <c r="DP426" s="104">
        <f t="shared" si="426"/>
        <v>103.22025000000001</v>
      </c>
      <c r="DQ426" s="104">
        <f t="shared" si="427"/>
        <v>349.11776750000007</v>
      </c>
      <c r="DR426" s="104">
        <f t="shared" si="432"/>
        <v>1891.953125</v>
      </c>
      <c r="DS426" s="104">
        <f t="shared" si="444"/>
        <v>228.90125</v>
      </c>
      <c r="DT426" s="104">
        <f t="shared" si="428"/>
        <v>243.03923333333344</v>
      </c>
      <c r="DU426" s="104">
        <f t="shared" si="429"/>
        <v>402.90610000000009</v>
      </c>
      <c r="DV426" s="104">
        <f t="shared" si="433"/>
        <v>78.75</v>
      </c>
      <c r="DW426" s="104">
        <f t="shared" si="430"/>
        <v>3</v>
      </c>
      <c r="DX426" s="106">
        <f t="shared" si="434"/>
        <v>3300.8877258333337</v>
      </c>
      <c r="DY426" s="109">
        <f t="shared" si="421"/>
        <v>-5.631051180898794E-13</v>
      </c>
      <c r="EA426" s="110">
        <f t="shared" si="424"/>
        <v>3.1270451640078516E-2</v>
      </c>
      <c r="EB426" s="110">
        <f t="shared" si="424"/>
        <v>0.10576481131658687</v>
      </c>
      <c r="EC426" s="110">
        <f t="shared" si="424"/>
        <v>0.57316494293133291</v>
      </c>
      <c r="ED426" s="110">
        <f t="shared" si="424"/>
        <v>6.9345360706629972E-2</v>
      </c>
      <c r="EE426" s="110">
        <f t="shared" si="424"/>
        <v>7.3628445896921982E-2</v>
      </c>
      <c r="EF426" s="110">
        <f t="shared" si="424"/>
        <v>0.1220599225010852</v>
      </c>
      <c r="EG426" s="110">
        <f t="shared" si="424"/>
        <v>2.3857218585075921E-2</v>
      </c>
      <c r="EH426" s="111">
        <f t="shared" si="435"/>
        <v>9.0884642228860647E-4</v>
      </c>
      <c r="EI426" s="110">
        <f t="shared" si="409"/>
        <v>0.99909115357771139</v>
      </c>
      <c r="EK426" s="132">
        <f>(EA426*'Renewable Diesel'!BF435*'Feedstock Conversion Rates'!B$2)+FB426</f>
        <v>281.10492328394719</v>
      </c>
      <c r="EL426" s="132">
        <f>(EB426*'Renewable Diesel'!BF435*'Feedstock Conversion Rates'!B$3)+FC426</f>
        <v>895.96096209884126</v>
      </c>
      <c r="EM426" s="132">
        <f>(EC426*'Renewable Diesel'!BF435*'Feedstock Conversion Rates'!B$4)+FD426</f>
        <v>4546.2807875844219</v>
      </c>
      <c r="EN426" s="132">
        <f>(ED426*'Renewable Diesel'!BF435*'Feedstock Conversion Rates'!B$5)+FE426</f>
        <v>553.70664508222728</v>
      </c>
      <c r="EO426" s="132">
        <f>(EE426*'Renewable Diesel'!BF435*'Feedstock Conversion Rates'!B$6)+FF426</f>
        <v>730.40517999821736</v>
      </c>
      <c r="EP426" s="132">
        <f>(EF426*'Renewable Diesel'!BF435*'Feedstock Conversion Rates'!B$7)+FG426</f>
        <v>1187.6166827689403</v>
      </c>
      <c r="EQ426" s="132">
        <f>(EG426*'Renewable Diesel'!BF435*'Feedstock Conversion Rates'!B$8)+FH426</f>
        <v>236.54101632557177</v>
      </c>
      <c r="ER426" s="132">
        <f>(EH426*'Renewable Diesel'!BF435*'Feedstock Conversion Rates'!B$9)+FI426</f>
        <v>8.8909385183960943</v>
      </c>
      <c r="ES426" s="132">
        <f t="shared" si="436"/>
        <v>8440.5071356605622</v>
      </c>
      <c r="ET426" s="133">
        <f>ES426/'Renewable Diesel'!BF435</f>
        <v>12.7186363655912</v>
      </c>
      <c r="EW426" s="73">
        <f t="shared" si="461"/>
        <v>6999.7409448049057</v>
      </c>
      <c r="EX426" s="73">
        <f t="shared" si="462"/>
        <v>4584.8686591268297</v>
      </c>
      <c r="EY426" s="92">
        <f t="shared" si="410"/>
        <v>0.82930336202566335</v>
      </c>
      <c r="EZ426" s="92">
        <f t="shared" si="410"/>
        <v>0.54319824454102705</v>
      </c>
      <c r="FB426" s="102">
        <f>IF('Renewable Diesel'!$BG435&lt;1,0,(((('Renewable Diesel'!$BG435-1)*'Renewable Diesel'!$BF435)*'RD Feedstock Breakdown'!EA426)*'Feedstock Conversion Rates'!$B$2))</f>
        <v>104.7120355370765</v>
      </c>
      <c r="FC426" s="102">
        <f>IF('Renewable Diesel'!$BG435&lt;1,0,(((('Renewable Diesel'!$BG435-1)*'Renewable Diesel'!$BF435)*'RD Feedstock Breakdown'!EB426)*'Feedstock Conversion Rates'!$B$3))</f>
        <v>333.7468978028557</v>
      </c>
      <c r="FD426" s="102">
        <f>IF('Renewable Diesel'!$BG435&lt;1,0,(((('Renewable Diesel'!$BG435-1)*'Renewable Diesel'!$BF435)*'RD Feedstock Breakdown'!EC426)*'Feedstock Conversion Rates'!$B$4))</f>
        <v>1693.4968972784743</v>
      </c>
      <c r="FE426" s="102">
        <f>IF('Renewable Diesel'!$BG435&lt;1,0,(((('Renewable Diesel'!$BG435-1)*'Renewable Diesel'!$BF435)*'RD Feedstock Breakdown'!ED426)*'Feedstock Conversion Rates'!$B$5))</f>
        <v>206.25661485978176</v>
      </c>
      <c r="FF426" s="102">
        <f>IF('Renewable Diesel'!$BG435&lt;1,0,(((('Renewable Diesel'!$BG435-1)*'Renewable Diesel'!$BF435)*'RD Feedstock Breakdown'!EE426)*'Feedstock Conversion Rates'!$B$6))</f>
        <v>272.07710299396848</v>
      </c>
      <c r="FG426" s="102">
        <f>IF('Renewable Diesel'!$BG435&lt;1,0,(((('Renewable Diesel'!$BG435-1)*'Renewable Diesel'!$BF435)*'RD Feedstock Breakdown'!EF426)*'Feedstock Conversion Rates'!$B$7))</f>
        <v>442.38912231683349</v>
      </c>
      <c r="FH426" s="102">
        <f>IF('Renewable Diesel'!$BG435&lt;1,0,(((('Renewable Diesel'!$BG435-1)*'Renewable Diesel'!$BF435)*'RD Feedstock Breakdown'!EG426)*'Feedstock Conversion Rates'!$B$8))</f>
        <v>88.111908600193161</v>
      </c>
      <c r="FI426" s="102">
        <f>IF('Renewable Diesel'!$BG435&lt;1,0,(((('Renewable Diesel'!$BG435-1)*'Renewable Diesel'!$BF435)*'RD Feedstock Breakdown'!EH426)*'Feedstock Conversion Rates'!$B$9))</f>
        <v>3.3118888819882129</v>
      </c>
      <c r="FJ426" s="102">
        <f t="shared" si="463"/>
        <v>3144.1024682711709</v>
      </c>
      <c r="GD426" s="91">
        <f>'Renewable Diesel'!BB435*0.32</f>
        <v>0</v>
      </c>
      <c r="GE426" s="91">
        <f>'Renewable Diesel'!BC435</f>
        <v>239.96556885772125</v>
      </c>
      <c r="GF426" s="91">
        <f>'Renewable Diesel'!BD435</f>
        <v>0</v>
      </c>
      <c r="GG426" s="91">
        <f t="shared" si="451"/>
        <v>239.96556885772125</v>
      </c>
      <c r="GH426" s="124">
        <v>1</v>
      </c>
      <c r="GI426" s="102">
        <f>$GG426*EA426*'Feedstock Conversion Rates'!$B$2</f>
        <v>63.782569588119081</v>
      </c>
      <c r="GJ426" s="102">
        <f>$GG426*EB426*'Feedstock Conversion Rates'!$B$3</f>
        <v>203.29310403284171</v>
      </c>
      <c r="GK426" s="102">
        <f>$GG426*EC426*'Feedstock Conversion Rates'!$B$4</f>
        <v>1031.5488868486548</v>
      </c>
      <c r="GL426" s="102">
        <f>$GG426*ED426*'Feedstock Conversion Rates'!$B$5</f>
        <v>125.63576691855799</v>
      </c>
      <c r="GM426" s="102">
        <f>$GG426*EE426*'Feedstock Conversion Rates'!$B$6</f>
        <v>165.72857805731417</v>
      </c>
      <c r="GN426" s="102">
        <f>$GG426*EF426*'Feedstock Conversion Rates'!$B$7</f>
        <v>269.46964438686098</v>
      </c>
      <c r="GO426" s="102">
        <f>$GG426*EG426*'Feedstock Conversion Rates'!$B$8</f>
        <v>53.671040898100713</v>
      </c>
      <c r="GP426" s="102">
        <f>$GG426*EH426*'Feedstock Conversion Rates'!B$9</f>
        <v>2.0173496007413094</v>
      </c>
      <c r="GQ426" s="102">
        <f t="shared" si="437"/>
        <v>1915.1469403311905</v>
      </c>
      <c r="GT426" s="103">
        <f t="shared" si="418"/>
        <v>3.3304269372191893E-2</v>
      </c>
      <c r="GU426" s="103">
        <f t="shared" si="418"/>
        <v>0.1061501338365639</v>
      </c>
      <c r="GV426" s="103">
        <f t="shared" si="418"/>
        <v>0.53862649654979833</v>
      </c>
      <c r="GW426" s="103">
        <f t="shared" si="418"/>
        <v>6.5601110950176775E-2</v>
      </c>
      <c r="GX426" s="103">
        <f t="shared" si="465"/>
        <v>8.6535698419388296E-2</v>
      </c>
      <c r="GY426" s="103">
        <f t="shared" si="465"/>
        <v>0.14070442257566984</v>
      </c>
      <c r="GZ426" s="103">
        <f t="shared" si="465"/>
        <v>2.8024502855545523E-2</v>
      </c>
      <c r="HA426" s="103">
        <f t="shared" si="465"/>
        <v>1.053365440665584E-3</v>
      </c>
    </row>
    <row r="427" spans="1:209" x14ac:dyDescent="0.25">
      <c r="A427" s="96">
        <v>53418</v>
      </c>
      <c r="B427" s="104">
        <f t="shared" si="406"/>
        <v>44.25</v>
      </c>
      <c r="C427" s="104">
        <f t="shared" si="396"/>
        <v>49</v>
      </c>
      <c r="D427" s="104">
        <f t="shared" si="407"/>
        <v>2</v>
      </c>
      <c r="E427" s="104">
        <f>('Renewable Diesel'!B436*E$3*'Feedstock Conversion Rates'!$B$2)/12+26+13-100+27.5+39</f>
        <v>95.43</v>
      </c>
      <c r="F427" s="104">
        <f>('Renewable Diesel'!B436*'RD Feedstock Breakdown'!F$3*'Feedstock Conversion Rates'!B$8)/12+77+23-10-12-115.75+24+8</f>
        <v>48.15625</v>
      </c>
      <c r="G427" s="104">
        <f>('Renewable Diesel'!B436*'RD Feedstock Breakdown'!G$3*'Feedstock Conversion Rates'!B$7)/12+116.75-39-57.5-145-31.5+32+70-40+10+60</f>
        <v>151.90700000000004</v>
      </c>
      <c r="H427" s="104">
        <f>('Renewable Diesel'!B436*'RD Feedstock Breakdown'!H$3*'Feedstock Conversion Rates'!B$3)/12+67+10+12+3-235+20+47-20+25</f>
        <v>105.40022499999998</v>
      </c>
      <c r="I427" s="106">
        <f t="shared" si="449"/>
        <v>496.14347500000002</v>
      </c>
      <c r="J427" s="104">
        <f t="shared" si="417"/>
        <v>4</v>
      </c>
      <c r="K427" s="104"/>
      <c r="L427" s="104">
        <v>1</v>
      </c>
      <c r="M427" s="104">
        <f>('Renewable Diesel'!C436*'RD Feedstock Breakdown'!M$3*'Feedstock Conversion Rates'!B$2)/12</f>
        <v>7.7902500000000003</v>
      </c>
      <c r="N427" s="104">
        <f>('Renewable Diesel'!C436*'RD Feedstock Breakdown'!N$3*'Feedstock Conversion Rates'!B$8)/12</f>
        <v>3.671875</v>
      </c>
      <c r="O427" s="104">
        <f>('Renewable Diesel'!C436*'RD Feedstock Breakdown'!O$3*'Feedstock Conversion Rates'!B$7)/12</f>
        <v>11.9991</v>
      </c>
      <c r="P427" s="104">
        <f>('Renewable Diesel'!C436*'RD Feedstock Breakdown'!P$3*'Feedstock Conversion Rates'!B$3)/12</f>
        <v>10.4470425</v>
      </c>
      <c r="Q427" s="106">
        <f t="shared" si="455"/>
        <v>38.908267500000001</v>
      </c>
      <c r="R427" s="104">
        <f>('Renewable Diesel'!D436*'RD Feedstock Breakdown'!R$3*'Feedstock Conversion Rates'!B$7)/12</f>
        <v>2.2999999999999998</v>
      </c>
      <c r="S427" s="106">
        <f t="shared" si="414"/>
        <v>2.2999999999999998</v>
      </c>
      <c r="T427" s="104">
        <f t="shared" si="456"/>
        <v>0.82499999999999929</v>
      </c>
      <c r="U427" s="104"/>
      <c r="V427" s="104">
        <f>('Renewable Diesel'!E436*'RD Feedstock Breakdown'!V$3*'Feedstock Conversion Rates'!B$6)/12-20+25</f>
        <v>49.250150000000012</v>
      </c>
      <c r="W427" s="104">
        <f>('Renewable Diesel'!E436*'RD Feedstock Breakdown'!W$3*'Feedstock Conversion Rates'!B$8)/12-6</f>
        <v>16.1796875</v>
      </c>
      <c r="X427" s="106">
        <f t="shared" si="438"/>
        <v>66.254837500000008</v>
      </c>
      <c r="Y427" s="104">
        <f t="shared" si="457"/>
        <v>98</v>
      </c>
      <c r="Z427" s="104">
        <f>('Renewable Diesel'!F436*'RD Feedstock Breakdown'!Z$3*'Feedstock Conversion Rates'!B$6)/12-142+15+5+20+5+15</f>
        <v>77.460000000000008</v>
      </c>
      <c r="AA427" s="104">
        <f>('Renewable Diesel'!F436*'RD Feedstock Breakdown'!AA$3*'Feedstock Conversion Rates'!B$7)/12+24</f>
        <v>128.26666666666665</v>
      </c>
      <c r="AB427" s="106">
        <f t="shared" si="400"/>
        <v>303.72666666666669</v>
      </c>
      <c r="AC427" s="104">
        <f>('Renewable Diesel'!G436*'RD Feedstock Breakdown'!AC$3*'Feedstock Conversion Rates'!B$5)/12</f>
        <v>11.796875</v>
      </c>
      <c r="AD427" s="104">
        <f>('Renewable Diesel'!G436*'RD Feedstock Breakdown'!AD$3*'Feedstock Conversion Rates'!B$4)/12</f>
        <v>5.859375</v>
      </c>
      <c r="AE427" s="104">
        <f>('Renewable Diesel'!G436*'RD Feedstock Breakdown'!AE$3*'Feedstock Conversion Rates'!B$6)/12</f>
        <v>7.3281250000000009</v>
      </c>
      <c r="AF427" s="106">
        <f t="shared" si="445"/>
        <v>24.984375</v>
      </c>
      <c r="AG427" s="104">
        <f t="shared" si="459"/>
        <v>148</v>
      </c>
      <c r="AH427" s="104"/>
      <c r="AI427" s="104">
        <f>('Renewable Diesel'!H436*'RD Feedstock Breakdown'!AI$3*'Feedstock Conversion Rates'!B$6)/12-130-20+51-49</f>
        <v>0.51666666666667993</v>
      </c>
      <c r="AJ427" s="106">
        <f t="shared" si="413"/>
        <v>148.51666666666668</v>
      </c>
      <c r="AK427" s="104">
        <f>('Renewable Diesel'!J436*'RD Feedstock Breakdown'!AK$3*'Feedstock Conversion Rates'!B$4)/12</f>
        <v>95.8125</v>
      </c>
      <c r="AL427" s="106">
        <f t="shared" si="415"/>
        <v>95.8125</v>
      </c>
      <c r="AM427" s="104">
        <f>('Renewable Diesel'!K436*'RD Feedstock Breakdown'!AM$3*'Feedstock Conversion Rates'!B$4)/12+5+15-10+10</f>
        <v>78.59375</v>
      </c>
      <c r="AN427" s="104">
        <f>('Renewable Diesel'!K436*'RD Feedstock Breakdown'!AN$3*'Feedstock Conversion Rates'!B$6)/12-5-15+10-10</f>
        <v>4.4270833333333321</v>
      </c>
      <c r="AO427" s="106">
        <f t="shared" si="431"/>
        <v>83.020833333333329</v>
      </c>
      <c r="AP427" s="104">
        <f>('Renewable Diesel'!L436*'RD Feedstock Breakdown'!AP$3*'Feedstock Conversion Rates'!B$4)/12+15-10+15</f>
        <v>78.59375</v>
      </c>
      <c r="AQ427" s="104">
        <f>('Renewable Diesel'!L436*'RD Feedstock Breakdown'!AQ$3*'Feedstock Conversion Rates'!B$6)/12-15+10-15</f>
        <v>4.4270833333333321</v>
      </c>
      <c r="AR427" s="106">
        <f t="shared" si="420"/>
        <v>83.020833333333329</v>
      </c>
      <c r="AS427" s="104">
        <f>('Renewable Diesel'!M436*'RD Feedstock Breakdown'!AS$3*'Feedstock Conversion Rates'!B$4)/12</f>
        <v>456.25</v>
      </c>
      <c r="AT427" s="104">
        <f>('Renewable Diesel'!M436*'RD Feedstock Breakdown'!AT$3*'Feedstock Conversion Rates'!B$5)/12</f>
        <v>0</v>
      </c>
      <c r="AU427" s="106">
        <f t="shared" si="448"/>
        <v>456.25</v>
      </c>
      <c r="AV427" s="104">
        <f>'Renewable Diesel'!N436*'RD Feedstock Breakdown'!$AV$3*'Feedstock Conversion Rates'!$B$4/12-15-10+25+25-22+25</f>
        <v>106.74999999999999</v>
      </c>
      <c r="AW427" s="104">
        <f>'Renewable Diesel'!N436*'RD Feedstock Breakdown'!$AW$3*'Feedstock Conversion Rates'!$B$7/12+15+10-25-25+22-25</f>
        <v>13.400000000000006</v>
      </c>
      <c r="AX427" s="106">
        <f t="shared" si="408"/>
        <v>120.14999999999999</v>
      </c>
      <c r="AY427" s="104">
        <f>('Renewable Diesel'!O436*'RD Feedstock Breakdown'!AY$3*'Feedstock Conversion Rates'!B$4)/12</f>
        <v>210.9375</v>
      </c>
      <c r="AZ427" s="104">
        <f>('Renewable Diesel'!O436*'RD Feedstock Breakdown'!AZ$3*'Feedstock Conversion Rates'!B$3)/12</f>
        <v>25.03125</v>
      </c>
      <c r="BA427" s="106">
        <f t="shared" si="458"/>
        <v>235.96875</v>
      </c>
      <c r="BB427" s="104">
        <f>('Renewable Diesel'!Q436*'RD Feedstock Breakdown'!BB$3*'Feedstock Conversion Rates'!B$4)/12</f>
        <v>11.156249999999998</v>
      </c>
      <c r="BC427" s="104">
        <f>('Renewable Diesel'!Q436*'RD Feedstock Breakdown'!BC$3*'Feedstock Conversion Rates'!B$3)/12</f>
        <v>1.4017500000000001</v>
      </c>
      <c r="BD427" s="104">
        <f>('Renewable Diesel'!Q436*'RD Feedstock Breakdown'!BD$3*'Feedstock Conversion Rates'!B$6)/12</f>
        <v>0.8207500000000002</v>
      </c>
      <c r="BE427" s="106">
        <f t="shared" si="440"/>
        <v>13.378749999999998</v>
      </c>
      <c r="BF427" s="104">
        <f>('Renewable Diesel'!R436*'RD Feedstock Breakdown'!BF$3*'Feedstock Conversion Rates'!B$4)/12</f>
        <v>62.5</v>
      </c>
      <c r="BG427" s="106">
        <f t="shared" si="425"/>
        <v>62.5</v>
      </c>
      <c r="BH427" s="104">
        <f>('Renewable Diesel'!T436*'RD Feedstock Breakdown'!BH$3*'Feedstock Conversion Rates'!B$7)/12</f>
        <v>27.599999999999998</v>
      </c>
      <c r="BI427" s="106">
        <f t="shared" si="412"/>
        <v>27.599999999999998</v>
      </c>
      <c r="BJ427" s="104">
        <f>('Renewable Diesel'!W436*'RD Feedstock Breakdown'!BJ$3*'Feedstock Conversion Rates'!B$4)/12</f>
        <v>7.5</v>
      </c>
      <c r="BK427" s="104">
        <f>('Renewable Diesel'!W436*'RD Feedstock Breakdown'!BK$3*'Feedstock Conversion Rates'!B$3)/12</f>
        <v>1.335</v>
      </c>
      <c r="BL427" s="104">
        <f>('Renewable Diesel'!W436*'RD Feedstock Breakdown'!BL$3*'Feedstock Conversion Rates'!B$6)/12</f>
        <v>3.1266666666666669</v>
      </c>
      <c r="BM427" s="104">
        <f>('Renewable Diesel'!W436*'RD Feedstock Breakdown'!BM$3*'Feedstock Conversion Rates'!B$7)/12</f>
        <v>1.5333333333333332</v>
      </c>
      <c r="BN427" s="106">
        <f t="shared" si="452"/>
        <v>13.495000000000001</v>
      </c>
      <c r="BO427" s="104">
        <f>('Renewable Diesel'!P436*'Feedstock Conversion Rates'!B$4)/12</f>
        <v>31.25</v>
      </c>
      <c r="BP427" s="106">
        <f t="shared" si="446"/>
        <v>31.25</v>
      </c>
      <c r="BQ427" s="104">
        <f>('Renewable Diesel'!$S436*'RD Feedstock Breakdown'!BQ$3*'Feedstock Conversion Rates'!B$4)/12+10+15-15</f>
        <v>38.125</v>
      </c>
      <c r="BR427" s="104">
        <f>('Renewable Diesel'!$S436*'RD Feedstock Breakdown'!BR$3*'Feedstock Conversion Rates'!B$7)/12-10-15+15</f>
        <v>1.5</v>
      </c>
      <c r="BS427" s="106">
        <f t="shared" si="460"/>
        <v>39.625</v>
      </c>
      <c r="BT427" s="106"/>
      <c r="BU427" s="104">
        <f>('Renewable Diesel'!Y436*'Feedstock Conversion Rates'!B$7)/12</f>
        <v>2.6833333333333331</v>
      </c>
      <c r="BV427" s="106">
        <f t="shared" si="442"/>
        <v>2.6833333333333331</v>
      </c>
      <c r="BW427" s="104">
        <f>('Renewable Diesel'!$Z436*'RD Feedstock Breakdown'!BW$3*'Feedstock Conversion Rates'!$B$4)/12-250+180</f>
        <v>1.875</v>
      </c>
      <c r="BX427" s="104">
        <f>('Renewable Diesel'!$Z436*'RD Feedstock Breakdown'!BX$3*'Feedstock Conversion Rates'!$B$5)/12</f>
        <v>7.2354166666666666</v>
      </c>
      <c r="BY427" s="104">
        <f>('Renewable Diesel'!$Z436*'RD Feedstock Breakdown'!BY$3*'Feedstock Conversion Rates'!$B$7)/12</f>
        <v>61.716666666666661</v>
      </c>
      <c r="BZ427" s="104">
        <f>('Renewable Diesel'!$Z436*'RD Feedstock Breakdown'!BZ$3*'Feedstock Conversion Rates'!$B$3)/12+250-180</f>
        <v>85.35250000000002</v>
      </c>
      <c r="CA427" s="106">
        <f t="shared" si="464"/>
        <v>156.17958333333334</v>
      </c>
      <c r="CB427" s="104">
        <f>('Renewable Diesel'!AA436*'Feedstock Conversion Rates'!B$4)/12</f>
        <v>191.25</v>
      </c>
      <c r="CC427" s="106">
        <f t="shared" si="454"/>
        <v>191.25</v>
      </c>
      <c r="CD427" s="104">
        <f>('Renewable Diesel'!$AB436*'RD Feedstock Breakdown'!CD$3*'Feedstock Conversion Rates'!$B$6)/12-15-5</f>
        <v>12.830000000000005</v>
      </c>
      <c r="CE427" s="104">
        <f>('Renewable Diesel'!$AB436*'RD Feedstock Breakdown'!CE$3*'Feedstock Conversion Rates'!$B$4)/12+15+5</f>
        <v>31.25</v>
      </c>
      <c r="CF427" s="106">
        <f t="shared" si="450"/>
        <v>44.080000000000005</v>
      </c>
      <c r="CG427" s="104">
        <f>('Renewable Diesel'!AD436*'Feedstock Conversion Rates'!B$4)/12</f>
        <v>112.5</v>
      </c>
      <c r="CH427" s="106">
        <f t="shared" si="439"/>
        <v>112.5</v>
      </c>
      <c r="CI427" s="104">
        <f>('Renewable Diesel'!$AE436*'RD Feedstock Breakdown'!CI$3*'Feedstock Conversion Rates'!$B$5)/12</f>
        <v>0.34604166666666664</v>
      </c>
      <c r="CJ427" s="104">
        <f>('Renewable Diesel'!$AE436*'RD Feedstock Breakdown'!CJ$3*'Feedstock Conversion Rates'!$B$4)/12</f>
        <v>0.34375</v>
      </c>
      <c r="CK427" s="106">
        <f t="shared" si="447"/>
        <v>0.68979166666666658</v>
      </c>
      <c r="CL427" s="104">
        <f>(((CL$3*'Renewable Diesel'!$AF436)*'Feedstock Conversion Rates'!$B$3)/12)</f>
        <v>91.78125</v>
      </c>
      <c r="CM427" s="104">
        <f>(((CM$3*'Renewable Diesel'!$AF436)*'Feedstock Conversion Rates'!$B$6)/12)</f>
        <v>53.739583333333336</v>
      </c>
      <c r="CN427" s="104">
        <f>(((CN$3*'Renewable Diesel'!$AF436)*'Feedstock Conversion Rates'!$B$4)/12)</f>
        <v>42.96875</v>
      </c>
      <c r="CO427" s="106">
        <f t="shared" si="441"/>
        <v>188.48958333333334</v>
      </c>
      <c r="CP427" s="104">
        <f>('Renewable Diesel'!$AG436*'RD Feedstock Breakdown'!CP$3*'Feedstock Conversion Rates'!$B$3)/12</f>
        <v>6.0075000000000003</v>
      </c>
      <c r="CQ427" s="104">
        <f>('Renewable Diesel'!$AG436*'RD Feedstock Breakdown'!CQ$3*'Feedstock Conversion Rates'!$B$6)/12</f>
        <v>3.5175000000000001</v>
      </c>
      <c r="CR427" s="104">
        <f>('Renewable Diesel'!$AG436*'RD Feedstock Breakdown'!CR$3*'Feedstock Conversion Rates'!$B$4)/12</f>
        <v>2.8125</v>
      </c>
      <c r="CS427" s="106">
        <f t="shared" si="397"/>
        <v>12.3375</v>
      </c>
      <c r="CT427" s="104">
        <f>('Renewable Diesel'!AI436*'Feedstock Conversion Rates'!$B$4*'RD Feedstock Breakdown'!$CT$3)/12</f>
        <v>29.375</v>
      </c>
      <c r="CU427" s="106">
        <f t="shared" si="443"/>
        <v>29.375</v>
      </c>
      <c r="CV427" s="104">
        <f>('Renewable Diesel'!AN436*'Feedstock Conversion Rates'!$B$3*'RD Feedstock Breakdown'!$CV$3)/12</f>
        <v>0.50062499999999999</v>
      </c>
      <c r="CW427" s="106">
        <f t="shared" si="419"/>
        <v>0.50062499999999999</v>
      </c>
      <c r="CX427" s="104">
        <f>('Renewable Diesel'!AO436*'RD Feedstock Breakdown'!$CX$3*'Feedstock Conversion Rates'!$B$3)/12</f>
        <v>6.3412499999999996</v>
      </c>
      <c r="CY427" s="104">
        <f>('Renewable Diesel'!AO436*'RD Feedstock Breakdown'!$CY$3*'Feedstock Conversion Rates'!$B$6)/12</f>
        <v>7.4258333333333342</v>
      </c>
      <c r="CZ427" s="106">
        <f t="shared" si="398"/>
        <v>13.767083333333334</v>
      </c>
      <c r="DA427" s="104">
        <f>('Renewable Diesel'!$AP436*'RD Feedstock Breakdown'!DA$3*'Feedstock Conversion Rates'!$B$3)/12</f>
        <v>6.3412499999999996</v>
      </c>
      <c r="DB427" s="104">
        <f>('Renewable Diesel'!$AP436*'RD Feedstock Breakdown'!DB$3*'Feedstock Conversion Rates'!$B$8)/12</f>
        <v>7.421875</v>
      </c>
      <c r="DC427" s="106">
        <f t="shared" si="422"/>
        <v>13.763124999999999</v>
      </c>
      <c r="DD427" s="104">
        <f>('Renewable Diesel'!AQ436*$DD$3*'Feedstock Conversion Rates'!$B$14)/12</f>
        <v>3.1041666666666665</v>
      </c>
      <c r="DE427" s="106">
        <f t="shared" si="423"/>
        <v>3.1041666666666665</v>
      </c>
      <c r="DF427" s="104">
        <f>('Renewable Diesel'!AR436*'Feedstock Conversion Rates'!$B$4*$DF$3)/12</f>
        <v>75</v>
      </c>
      <c r="DG427" s="106">
        <f t="shared" si="399"/>
        <v>75</v>
      </c>
      <c r="DH427" s="104">
        <f>('Renewable Diesel'!AS436*'Feedstock Conversion Rates'!$B$4*$DH$3)/12</f>
        <v>75</v>
      </c>
      <c r="DI427" s="106">
        <f t="shared" si="411"/>
        <v>75</v>
      </c>
      <c r="DJ427" s="104">
        <f>('Renewable Diesel'!AT436*'Feedstock Conversion Rates'!$B$4*0.25)/12</f>
        <v>8.59375</v>
      </c>
      <c r="DK427" s="104">
        <f>('Renewable Diesel'!$AT436*'RD Feedstock Breakdown'!DK$3*'Feedstock Conversion Rates'!$B$3)/12*0.5</f>
        <v>9.1781249999999996</v>
      </c>
      <c r="DL427" s="104">
        <f>('Renewable Diesel'!$AT436*'RD Feedstock Breakdown'!$DL$3*'Feedstock Conversion Rates'!$B$6)/12</f>
        <v>10.747916666666669</v>
      </c>
      <c r="DM427" s="104">
        <f>('Renewable Diesel'!$AT436*'RD Feedstock Breakdown'!$DM$3*'Feedstock Conversion Rates'!$B$8)/12</f>
        <v>10.7421875</v>
      </c>
      <c r="DN427" s="106">
        <f t="shared" si="453"/>
        <v>39.26197916666667</v>
      </c>
      <c r="DP427" s="104">
        <f t="shared" si="426"/>
        <v>103.22025000000001</v>
      </c>
      <c r="DQ427" s="104">
        <f t="shared" si="427"/>
        <v>349.11776750000007</v>
      </c>
      <c r="DR427" s="104">
        <f t="shared" si="432"/>
        <v>1891.953125</v>
      </c>
      <c r="DS427" s="104">
        <f t="shared" si="444"/>
        <v>228.90125</v>
      </c>
      <c r="DT427" s="104">
        <f t="shared" si="428"/>
        <v>243.03923333333344</v>
      </c>
      <c r="DU427" s="104">
        <f t="shared" si="429"/>
        <v>402.90610000000009</v>
      </c>
      <c r="DV427" s="104">
        <f t="shared" si="433"/>
        <v>78.75</v>
      </c>
      <c r="DW427" s="104">
        <f t="shared" si="430"/>
        <v>3</v>
      </c>
      <c r="DX427" s="106">
        <f t="shared" si="434"/>
        <v>3300.8877258333337</v>
      </c>
      <c r="DY427" s="109">
        <f t="shared" si="421"/>
        <v>-5.631051180898794E-13</v>
      </c>
      <c r="EA427" s="110">
        <f t="shared" si="424"/>
        <v>3.1270451640078516E-2</v>
      </c>
      <c r="EB427" s="110">
        <f t="shared" si="424"/>
        <v>0.10576481131658687</v>
      </c>
      <c r="EC427" s="110">
        <f t="shared" si="424"/>
        <v>0.57316494293133291</v>
      </c>
      <c r="ED427" s="110">
        <f t="shared" si="424"/>
        <v>6.9345360706629972E-2</v>
      </c>
      <c r="EE427" s="110">
        <f t="shared" si="424"/>
        <v>7.3628445896921982E-2</v>
      </c>
      <c r="EF427" s="110">
        <f t="shared" si="424"/>
        <v>0.1220599225010852</v>
      </c>
      <c r="EG427" s="110">
        <f t="shared" si="424"/>
        <v>2.3857218585075921E-2</v>
      </c>
      <c r="EH427" s="111">
        <f t="shared" si="435"/>
        <v>9.0884642228860647E-4</v>
      </c>
      <c r="EI427" s="110">
        <f t="shared" si="409"/>
        <v>0.99909115357771139</v>
      </c>
      <c r="EK427" s="132">
        <f>(EA427*'Renewable Diesel'!BF436*'Feedstock Conversion Rates'!B$2)+FB427</f>
        <v>365.77909293961665</v>
      </c>
      <c r="EL427" s="132">
        <f>(EB427*'Renewable Diesel'!BF436*'Feedstock Conversion Rates'!B$3)+FC427</f>
        <v>1165.8415092743962</v>
      </c>
      <c r="EM427" s="132">
        <f>(EC427*'Renewable Diesel'!BF436*'Feedstock Conversion Rates'!B$4)+FD427</f>
        <v>5915.7073568992155</v>
      </c>
      <c r="EN427" s="132">
        <f>(ED427*'Renewable Diesel'!BF436*'Feedstock Conversion Rates'!B$5)+FE427</f>
        <v>720.49365776576315</v>
      </c>
      <c r="EO427" s="132">
        <f>(EE427*'Renewable Diesel'!BF436*'Feedstock Conversion Rates'!B$6)+FF427</f>
        <v>950.41716486863925</v>
      </c>
      <c r="EP427" s="132">
        <f>(EF427*'Renewable Diesel'!BF436*'Feedstock Conversion Rates'!B$7)+FG427</f>
        <v>1545.3495012052199</v>
      </c>
      <c r="EQ427" s="132">
        <f>(EG427*'Renewable Diesel'!BF436*'Feedstock Conversion Rates'!B$8)+FH427</f>
        <v>307.79168640595492</v>
      </c>
      <c r="ER427" s="132">
        <f>(EH427*'Renewable Diesel'!BF436*'Feedstock Conversion Rates'!B$9)+FI427</f>
        <v>11.569058943004782</v>
      </c>
      <c r="ES427" s="132">
        <f t="shared" si="436"/>
        <v>10982.949028301809</v>
      </c>
      <c r="ET427" s="133">
        <f>ES427/'Renewable Diesel'!BF436</f>
        <v>13.788401875395097</v>
      </c>
      <c r="EW427" s="73">
        <f t="shared" si="461"/>
        <v>9431.2741256518257</v>
      </c>
      <c r="EX427" s="73">
        <f t="shared" si="462"/>
        <v>6177.5362110261694</v>
      </c>
      <c r="EY427" s="92">
        <f t="shared" si="410"/>
        <v>0.85871964818816016</v>
      </c>
      <c r="EZ427" s="92">
        <f t="shared" si="410"/>
        <v>0.56246607310180186</v>
      </c>
      <c r="FB427" s="102">
        <f>IF('Renewable Diesel'!$BG436&lt;1,0,(((('Renewable Diesel'!$BG436-1)*'Renewable Diesel'!$BF436)*'RD Feedstock Breakdown'!EA427)*'Feedstock Conversion Rates'!$B$2))</f>
        <v>154.06093109256048</v>
      </c>
      <c r="FC427" s="102">
        <f>IF('Renewable Diesel'!$BG436&lt;1,0,(((('Renewable Diesel'!$BG436-1)*'Renewable Diesel'!$BF436)*'RD Feedstock Breakdown'!EB427)*'Feedstock Conversion Rates'!$B$3))</f>
        <v>491.03579699351451</v>
      </c>
      <c r="FD427" s="102">
        <f>IF('Renewable Diesel'!$BG436&lt;1,0,(((('Renewable Diesel'!$BG436-1)*'Renewable Diesel'!$BF436)*'RD Feedstock Breakdown'!EC427)*'Feedstock Conversion Rates'!$B$4))</f>
        <v>2491.6114700559306</v>
      </c>
      <c r="FE427" s="102">
        <f>IF('Renewable Diesel'!$BG436&lt;1,0,(((('Renewable Diesel'!$BG436-1)*'Renewable Diesel'!$BF436)*'RD Feedstock Breakdown'!ED427)*'Feedstock Conversion Rates'!$B$5))</f>
        <v>303.46164093091596</v>
      </c>
      <c r="FF427" s="102">
        <f>IF('Renewable Diesel'!$BG436&lt;1,0,(((('Renewable Diesel'!$BG436-1)*'Renewable Diesel'!$BF436)*'RD Feedstock Breakdown'!EE427)*'Feedstock Conversion Rates'!$B$6))</f>
        <v>400.30213911155846</v>
      </c>
      <c r="FG427" s="102">
        <f>IF('Renewable Diesel'!$BG436&lt;1,0,(((('Renewable Diesel'!$BG436-1)*'Renewable Diesel'!$BF436)*'RD Feedstock Breakdown'!EF427)*'Feedstock Conversion Rates'!$B$7))</f>
        <v>650.87914431020351</v>
      </c>
      <c r="FH427" s="102">
        <f>IF('Renewable Diesel'!$BG436&lt;1,0,(((('Renewable Diesel'!$BG436-1)*'Renewable Diesel'!$BF436)*'RD Feedstock Breakdown'!EG427)*'Feedstock Conversion Rates'!$B$8))</f>
        <v>129.63746344594591</v>
      </c>
      <c r="FI427" s="102">
        <f>IF('Renewable Diesel'!$BG436&lt;1,0,(((('Renewable Diesel'!$BG436-1)*'Renewable Diesel'!$BF436)*'RD Feedstock Breakdown'!EH427)*'Feedstock Conversion Rates'!$B$9))</f>
        <v>4.8727224355555538</v>
      </c>
      <c r="FJ427" s="102">
        <f t="shared" si="463"/>
        <v>4625.8613083761848</v>
      </c>
      <c r="GD427" s="91">
        <f>'Renewable Diesel'!BB436*0.32</f>
        <v>0</v>
      </c>
      <c r="GE427" s="91">
        <f>'Renewable Diesel'!BC436</f>
        <v>385.17508277066054</v>
      </c>
      <c r="GF427" s="91">
        <f>'Renewable Diesel'!BD436</f>
        <v>0</v>
      </c>
      <c r="GG427" s="91">
        <f t="shared" si="451"/>
        <v>385.17508277066054</v>
      </c>
      <c r="GH427" s="124">
        <v>1</v>
      </c>
      <c r="GI427" s="102">
        <f>$GG427*EA427*'Feedstock Conversion Rates'!$B$2</f>
        <v>102.37908978931704</v>
      </c>
      <c r="GJ427" s="102">
        <f>$GG427*EB427*'Feedstock Conversion Rates'!$B$3</f>
        <v>326.31113932424802</v>
      </c>
      <c r="GK427" s="102">
        <f>$GG427*EC427*'Feedstock Conversion Rates'!$B$4</f>
        <v>1655.7664075111279</v>
      </c>
      <c r="GL427" s="102">
        <f>$GG427*ED427*'Feedstock Conversion Rates'!$B$5</f>
        <v>201.66129312702819</v>
      </c>
      <c r="GM427" s="102">
        <f>$GG427*EE427*'Feedstock Conversion Rates'!$B$6</f>
        <v>266.01532492579463</v>
      </c>
      <c r="GN427" s="102">
        <f>$GG427*EF427*'Feedstock Conversion Rates'!$B$7</f>
        <v>432.53285492149024</v>
      </c>
      <c r="GO427" s="102">
        <f>$GG427*EG427*'Feedstock Conversion Rates'!$B$8</f>
        <v>86.148807592353364</v>
      </c>
      <c r="GP427" s="102">
        <f>$GG427*EH427*'Feedstock Conversion Rates'!B$9</f>
        <v>3.2381012123602022</v>
      </c>
      <c r="GQ427" s="102">
        <f t="shared" si="437"/>
        <v>3074.0530184037198</v>
      </c>
      <c r="GT427" s="103">
        <f t="shared" si="418"/>
        <v>3.3304269372191893E-2</v>
      </c>
      <c r="GU427" s="103">
        <f t="shared" si="418"/>
        <v>0.10615013383656388</v>
      </c>
      <c r="GV427" s="103">
        <f t="shared" si="418"/>
        <v>0.53862649654979833</v>
      </c>
      <c r="GW427" s="103">
        <f t="shared" si="418"/>
        <v>6.5601110950176761E-2</v>
      </c>
      <c r="GX427" s="103">
        <f t="shared" si="465"/>
        <v>8.653569841938831E-2</v>
      </c>
      <c r="GY427" s="103">
        <f t="shared" si="465"/>
        <v>0.14070442257566981</v>
      </c>
      <c r="GZ427" s="103">
        <f t="shared" si="465"/>
        <v>2.802450285554552E-2</v>
      </c>
      <c r="HA427" s="103">
        <f t="shared" si="465"/>
        <v>1.0533654406655838E-3</v>
      </c>
    </row>
    <row r="428" spans="1:209" x14ac:dyDescent="0.25">
      <c r="A428" s="96">
        <v>53448</v>
      </c>
      <c r="B428" s="104">
        <f t="shared" si="406"/>
        <v>44.25</v>
      </c>
      <c r="C428" s="104">
        <f t="shared" si="396"/>
        <v>49</v>
      </c>
      <c r="D428" s="104">
        <f t="shared" si="407"/>
        <v>2</v>
      </c>
      <c r="E428" s="104">
        <f>('Renewable Diesel'!B437*E$3*'Feedstock Conversion Rates'!$B$2)/12+26+13-100+27.5+39</f>
        <v>95.43</v>
      </c>
      <c r="F428" s="104">
        <f>('Renewable Diesel'!B437*'RD Feedstock Breakdown'!F$3*'Feedstock Conversion Rates'!B$8)/12+77+23-10-12-115.75+24+8</f>
        <v>48.15625</v>
      </c>
      <c r="G428" s="104">
        <f>('Renewable Diesel'!B437*'RD Feedstock Breakdown'!G$3*'Feedstock Conversion Rates'!B$7)/12+116.75-39-57.5-145-31.5+32+70-40+10+60</f>
        <v>151.90700000000004</v>
      </c>
      <c r="H428" s="104">
        <f>('Renewable Diesel'!B437*'RD Feedstock Breakdown'!H$3*'Feedstock Conversion Rates'!B$3)/12+67+10+12+3-235+20+47-20+25</f>
        <v>105.40022499999998</v>
      </c>
      <c r="I428" s="106">
        <f t="shared" si="449"/>
        <v>496.14347500000002</v>
      </c>
      <c r="J428" s="104">
        <f t="shared" si="417"/>
        <v>4</v>
      </c>
      <c r="K428" s="104"/>
      <c r="L428" s="104">
        <v>1</v>
      </c>
      <c r="M428" s="104">
        <f>('Renewable Diesel'!C437*'RD Feedstock Breakdown'!M$3*'Feedstock Conversion Rates'!B$2)/12</f>
        <v>7.7902500000000003</v>
      </c>
      <c r="N428" s="104">
        <f>('Renewable Diesel'!C437*'RD Feedstock Breakdown'!N$3*'Feedstock Conversion Rates'!B$8)/12</f>
        <v>3.671875</v>
      </c>
      <c r="O428" s="104">
        <f>('Renewable Diesel'!C437*'RD Feedstock Breakdown'!O$3*'Feedstock Conversion Rates'!B$7)/12</f>
        <v>11.9991</v>
      </c>
      <c r="P428" s="104">
        <f>('Renewable Diesel'!C437*'RD Feedstock Breakdown'!P$3*'Feedstock Conversion Rates'!B$3)/12</f>
        <v>10.4470425</v>
      </c>
      <c r="Q428" s="106">
        <f t="shared" si="455"/>
        <v>38.908267500000001</v>
      </c>
      <c r="R428" s="104">
        <f>('Renewable Diesel'!D437*'RD Feedstock Breakdown'!R$3*'Feedstock Conversion Rates'!B$7)/12</f>
        <v>2.2999999999999998</v>
      </c>
      <c r="S428" s="106">
        <f t="shared" si="414"/>
        <v>2.2999999999999998</v>
      </c>
      <c r="T428" s="104">
        <f t="shared" si="456"/>
        <v>0.82499999999999929</v>
      </c>
      <c r="U428" s="104"/>
      <c r="V428" s="104">
        <f>('Renewable Diesel'!E437*'RD Feedstock Breakdown'!V$3*'Feedstock Conversion Rates'!B$6)/12-20+25</f>
        <v>49.250150000000012</v>
      </c>
      <c r="W428" s="104">
        <f>('Renewable Diesel'!E437*'RD Feedstock Breakdown'!W$3*'Feedstock Conversion Rates'!B$8)/12-6</f>
        <v>16.1796875</v>
      </c>
      <c r="X428" s="106">
        <f t="shared" si="438"/>
        <v>66.254837500000008</v>
      </c>
      <c r="Y428" s="104">
        <f t="shared" si="457"/>
        <v>98</v>
      </c>
      <c r="Z428" s="104">
        <f>('Renewable Diesel'!F437*'RD Feedstock Breakdown'!Z$3*'Feedstock Conversion Rates'!B$6)/12-142+15+5+20+5+15</f>
        <v>77.460000000000008</v>
      </c>
      <c r="AA428" s="104">
        <f>('Renewable Diesel'!F437*'RD Feedstock Breakdown'!AA$3*'Feedstock Conversion Rates'!B$7)/12+24</f>
        <v>128.26666666666665</v>
      </c>
      <c r="AB428" s="106">
        <f t="shared" si="400"/>
        <v>303.72666666666669</v>
      </c>
      <c r="AC428" s="104">
        <f>('Renewable Diesel'!G437*'RD Feedstock Breakdown'!AC$3*'Feedstock Conversion Rates'!B$5)/12</f>
        <v>11.796875</v>
      </c>
      <c r="AD428" s="104">
        <f>('Renewable Diesel'!G437*'RD Feedstock Breakdown'!AD$3*'Feedstock Conversion Rates'!B$4)/12</f>
        <v>5.859375</v>
      </c>
      <c r="AE428" s="104">
        <f>('Renewable Diesel'!G437*'RD Feedstock Breakdown'!AE$3*'Feedstock Conversion Rates'!B$6)/12</f>
        <v>7.3281250000000009</v>
      </c>
      <c r="AF428" s="106">
        <f t="shared" si="445"/>
        <v>24.984375</v>
      </c>
      <c r="AG428" s="104">
        <f t="shared" si="459"/>
        <v>148</v>
      </c>
      <c r="AH428" s="104"/>
      <c r="AI428" s="104">
        <f>('Renewable Diesel'!H437*'RD Feedstock Breakdown'!AI$3*'Feedstock Conversion Rates'!B$6)/12-130-20+51-49</f>
        <v>0.51666666666667993</v>
      </c>
      <c r="AJ428" s="106">
        <f t="shared" si="413"/>
        <v>148.51666666666668</v>
      </c>
      <c r="AK428" s="104">
        <f>('Renewable Diesel'!J437*'RD Feedstock Breakdown'!AK$3*'Feedstock Conversion Rates'!B$4)/12</f>
        <v>95.8125</v>
      </c>
      <c r="AL428" s="106">
        <f t="shared" si="415"/>
        <v>95.8125</v>
      </c>
      <c r="AM428" s="104">
        <f>('Renewable Diesel'!K437*'RD Feedstock Breakdown'!AM$3*'Feedstock Conversion Rates'!B$4)/12+5+15-10+10</f>
        <v>78.59375</v>
      </c>
      <c r="AN428" s="104">
        <f>('Renewable Diesel'!K437*'RD Feedstock Breakdown'!AN$3*'Feedstock Conversion Rates'!B$6)/12-5-15+10-10</f>
        <v>4.4270833333333321</v>
      </c>
      <c r="AO428" s="106">
        <f t="shared" si="431"/>
        <v>83.020833333333329</v>
      </c>
      <c r="AP428" s="104">
        <f>('Renewable Diesel'!L437*'RD Feedstock Breakdown'!AP$3*'Feedstock Conversion Rates'!B$4)/12+15-10+15</f>
        <v>78.59375</v>
      </c>
      <c r="AQ428" s="104">
        <f>('Renewable Diesel'!L437*'RD Feedstock Breakdown'!AQ$3*'Feedstock Conversion Rates'!B$6)/12-15+10-15</f>
        <v>4.4270833333333321</v>
      </c>
      <c r="AR428" s="106">
        <f t="shared" si="420"/>
        <v>83.020833333333329</v>
      </c>
      <c r="AS428" s="104">
        <f>('Renewable Diesel'!M437*'RD Feedstock Breakdown'!AS$3*'Feedstock Conversion Rates'!B$4)/12</f>
        <v>456.25</v>
      </c>
      <c r="AT428" s="104">
        <f>('Renewable Diesel'!M437*'RD Feedstock Breakdown'!AT$3*'Feedstock Conversion Rates'!B$5)/12</f>
        <v>0</v>
      </c>
      <c r="AU428" s="106">
        <f t="shared" si="448"/>
        <v>456.25</v>
      </c>
      <c r="AV428" s="104">
        <f>'Renewable Diesel'!N437*'RD Feedstock Breakdown'!$AV$3*'Feedstock Conversion Rates'!$B$4/12-15-10+25+25-22+25</f>
        <v>106.74999999999999</v>
      </c>
      <c r="AW428" s="104">
        <f>'Renewable Diesel'!N437*'RD Feedstock Breakdown'!$AW$3*'Feedstock Conversion Rates'!$B$7/12+15+10-25-25+22-25</f>
        <v>13.400000000000006</v>
      </c>
      <c r="AX428" s="106">
        <f t="shared" si="408"/>
        <v>120.14999999999999</v>
      </c>
      <c r="AY428" s="104">
        <f>('Renewable Diesel'!O437*'RD Feedstock Breakdown'!AY$3*'Feedstock Conversion Rates'!B$4)/12</f>
        <v>210.9375</v>
      </c>
      <c r="AZ428" s="104">
        <f>('Renewable Diesel'!O437*'RD Feedstock Breakdown'!AZ$3*'Feedstock Conversion Rates'!B$3)/12</f>
        <v>25.03125</v>
      </c>
      <c r="BA428" s="106">
        <f t="shared" si="458"/>
        <v>235.96875</v>
      </c>
      <c r="BB428" s="104">
        <f>('Renewable Diesel'!Q437*'RD Feedstock Breakdown'!BB$3*'Feedstock Conversion Rates'!B$4)/12</f>
        <v>11.156249999999998</v>
      </c>
      <c r="BC428" s="104">
        <f>('Renewable Diesel'!Q437*'RD Feedstock Breakdown'!BC$3*'Feedstock Conversion Rates'!B$3)/12</f>
        <v>1.4017500000000001</v>
      </c>
      <c r="BD428" s="104">
        <f>('Renewable Diesel'!Q437*'RD Feedstock Breakdown'!BD$3*'Feedstock Conversion Rates'!B$6)/12</f>
        <v>0.8207500000000002</v>
      </c>
      <c r="BE428" s="106">
        <f t="shared" si="440"/>
        <v>13.378749999999998</v>
      </c>
      <c r="BF428" s="104">
        <f>('Renewable Diesel'!R437*'RD Feedstock Breakdown'!BF$3*'Feedstock Conversion Rates'!B$4)/12</f>
        <v>62.5</v>
      </c>
      <c r="BG428" s="106">
        <f t="shared" si="425"/>
        <v>62.5</v>
      </c>
      <c r="BH428" s="104">
        <f>('Renewable Diesel'!T437*'RD Feedstock Breakdown'!BH$3*'Feedstock Conversion Rates'!B$7)/12</f>
        <v>27.599999999999998</v>
      </c>
      <c r="BI428" s="106">
        <f t="shared" si="412"/>
        <v>27.599999999999998</v>
      </c>
      <c r="BJ428" s="104">
        <f>('Renewable Diesel'!W437*'RD Feedstock Breakdown'!BJ$3*'Feedstock Conversion Rates'!B$4)/12</f>
        <v>7.5</v>
      </c>
      <c r="BK428" s="104">
        <f>('Renewable Diesel'!W437*'RD Feedstock Breakdown'!BK$3*'Feedstock Conversion Rates'!B$3)/12</f>
        <v>1.335</v>
      </c>
      <c r="BL428" s="104">
        <f>('Renewable Diesel'!W437*'RD Feedstock Breakdown'!BL$3*'Feedstock Conversion Rates'!B$6)/12</f>
        <v>3.1266666666666669</v>
      </c>
      <c r="BM428" s="104">
        <f>('Renewable Diesel'!W437*'RD Feedstock Breakdown'!BM$3*'Feedstock Conversion Rates'!B$7)/12</f>
        <v>1.5333333333333332</v>
      </c>
      <c r="BN428" s="106">
        <f t="shared" si="452"/>
        <v>13.495000000000001</v>
      </c>
      <c r="BO428" s="104">
        <f>('Renewable Diesel'!P437*'Feedstock Conversion Rates'!B$4)/12</f>
        <v>31.25</v>
      </c>
      <c r="BP428" s="106">
        <f t="shared" si="446"/>
        <v>31.25</v>
      </c>
      <c r="BQ428" s="104">
        <f>('Renewable Diesel'!$S437*'RD Feedstock Breakdown'!BQ$3*'Feedstock Conversion Rates'!B$4)/12+10+15-15</f>
        <v>38.125</v>
      </c>
      <c r="BR428" s="104">
        <f>('Renewable Diesel'!$S437*'RD Feedstock Breakdown'!BR$3*'Feedstock Conversion Rates'!B$7)/12-10-15+15</f>
        <v>1.5</v>
      </c>
      <c r="BS428" s="106">
        <f t="shared" si="460"/>
        <v>39.625</v>
      </c>
      <c r="BT428" s="106"/>
      <c r="BU428" s="104">
        <f>('Renewable Diesel'!Y437*'Feedstock Conversion Rates'!B$7)/12</f>
        <v>2.6833333333333331</v>
      </c>
      <c r="BV428" s="106">
        <f t="shared" si="442"/>
        <v>2.6833333333333331</v>
      </c>
      <c r="BW428" s="104">
        <f>('Renewable Diesel'!$Z437*'RD Feedstock Breakdown'!BW$3*'Feedstock Conversion Rates'!$B$4)/12-250+180</f>
        <v>1.875</v>
      </c>
      <c r="BX428" s="104">
        <f>('Renewable Diesel'!$Z437*'RD Feedstock Breakdown'!BX$3*'Feedstock Conversion Rates'!$B$5)/12</f>
        <v>7.2354166666666666</v>
      </c>
      <c r="BY428" s="104">
        <f>('Renewable Diesel'!$Z437*'RD Feedstock Breakdown'!BY$3*'Feedstock Conversion Rates'!$B$7)/12</f>
        <v>61.716666666666661</v>
      </c>
      <c r="BZ428" s="104">
        <f>('Renewable Diesel'!$Z437*'RD Feedstock Breakdown'!BZ$3*'Feedstock Conversion Rates'!$B$3)/12+250-180</f>
        <v>85.35250000000002</v>
      </c>
      <c r="CA428" s="106">
        <f t="shared" si="464"/>
        <v>156.17958333333334</v>
      </c>
      <c r="CB428" s="104">
        <f>('Renewable Diesel'!AA437*'Feedstock Conversion Rates'!B$4)/12</f>
        <v>191.25</v>
      </c>
      <c r="CC428" s="106">
        <f t="shared" si="454"/>
        <v>191.25</v>
      </c>
      <c r="CD428" s="104">
        <f>('Renewable Diesel'!$AB437*'RD Feedstock Breakdown'!CD$3*'Feedstock Conversion Rates'!$B$6)/12-15-5</f>
        <v>12.830000000000005</v>
      </c>
      <c r="CE428" s="104">
        <f>('Renewable Diesel'!$AB437*'RD Feedstock Breakdown'!CE$3*'Feedstock Conversion Rates'!$B$4)/12+15+5</f>
        <v>31.25</v>
      </c>
      <c r="CF428" s="106">
        <f t="shared" si="450"/>
        <v>44.080000000000005</v>
      </c>
      <c r="CG428" s="104">
        <f>('Renewable Diesel'!AD437*'Feedstock Conversion Rates'!B$4)/12</f>
        <v>112.5</v>
      </c>
      <c r="CH428" s="106">
        <f t="shared" si="439"/>
        <v>112.5</v>
      </c>
      <c r="CI428" s="104">
        <f>('Renewable Diesel'!$AE437*'RD Feedstock Breakdown'!CI$3*'Feedstock Conversion Rates'!$B$5)/12</f>
        <v>0.34604166666666664</v>
      </c>
      <c r="CJ428" s="104">
        <f>('Renewable Diesel'!$AE437*'RD Feedstock Breakdown'!CJ$3*'Feedstock Conversion Rates'!$B$4)/12</f>
        <v>0.34375</v>
      </c>
      <c r="CK428" s="106">
        <f t="shared" si="447"/>
        <v>0.68979166666666658</v>
      </c>
      <c r="CL428" s="104">
        <f>(((CL$3*'Renewable Diesel'!$AF437)*'Feedstock Conversion Rates'!$B$3)/12)</f>
        <v>91.78125</v>
      </c>
      <c r="CM428" s="104">
        <f>(((CM$3*'Renewable Diesel'!$AF437)*'Feedstock Conversion Rates'!$B$6)/12)</f>
        <v>53.739583333333336</v>
      </c>
      <c r="CN428" s="104">
        <f>(((CN$3*'Renewable Diesel'!$AF437)*'Feedstock Conversion Rates'!$B$4)/12)</f>
        <v>42.96875</v>
      </c>
      <c r="CO428" s="106">
        <f t="shared" si="441"/>
        <v>188.48958333333334</v>
      </c>
      <c r="CP428" s="104">
        <f>('Renewable Diesel'!$AG437*'RD Feedstock Breakdown'!CP$3*'Feedstock Conversion Rates'!$B$3)/12</f>
        <v>6.0075000000000003</v>
      </c>
      <c r="CQ428" s="104">
        <f>('Renewable Diesel'!$AG437*'RD Feedstock Breakdown'!CQ$3*'Feedstock Conversion Rates'!$B$6)/12</f>
        <v>3.5175000000000001</v>
      </c>
      <c r="CR428" s="104">
        <f>('Renewable Diesel'!$AG437*'RD Feedstock Breakdown'!CR$3*'Feedstock Conversion Rates'!$B$4)/12</f>
        <v>2.8125</v>
      </c>
      <c r="CS428" s="106">
        <f t="shared" si="397"/>
        <v>12.3375</v>
      </c>
      <c r="CT428" s="104">
        <f>('Renewable Diesel'!AI437*'Feedstock Conversion Rates'!$B$4*'RD Feedstock Breakdown'!$CT$3)/12</f>
        <v>29.375</v>
      </c>
      <c r="CU428" s="106">
        <f t="shared" si="443"/>
        <v>29.375</v>
      </c>
      <c r="CV428" s="104">
        <f>('Renewable Diesel'!AN437*'Feedstock Conversion Rates'!$B$3*'RD Feedstock Breakdown'!$CV$3)/12</f>
        <v>0.50062499999999999</v>
      </c>
      <c r="CW428" s="106">
        <f t="shared" si="419"/>
        <v>0.50062499999999999</v>
      </c>
      <c r="CX428" s="104">
        <f>('Renewable Diesel'!AO437*'RD Feedstock Breakdown'!$CX$3*'Feedstock Conversion Rates'!$B$3)/12</f>
        <v>6.3412499999999996</v>
      </c>
      <c r="CY428" s="104">
        <f>('Renewable Diesel'!AO437*'RD Feedstock Breakdown'!$CY$3*'Feedstock Conversion Rates'!$B$6)/12</f>
        <v>7.4258333333333342</v>
      </c>
      <c r="CZ428" s="106">
        <f t="shared" si="398"/>
        <v>13.767083333333334</v>
      </c>
      <c r="DA428" s="104">
        <f>('Renewable Diesel'!$AP437*'RD Feedstock Breakdown'!DA$3*'Feedstock Conversion Rates'!$B$3)/12</f>
        <v>6.3412499999999996</v>
      </c>
      <c r="DB428" s="104">
        <f>('Renewable Diesel'!$AP437*'RD Feedstock Breakdown'!DB$3*'Feedstock Conversion Rates'!$B$8)/12</f>
        <v>7.421875</v>
      </c>
      <c r="DC428" s="106">
        <f t="shared" si="422"/>
        <v>13.763124999999999</v>
      </c>
      <c r="DD428" s="104">
        <f>('Renewable Diesel'!AQ437*$DD$3*'Feedstock Conversion Rates'!$B$14)/12</f>
        <v>3.1041666666666665</v>
      </c>
      <c r="DE428" s="106">
        <f t="shared" si="423"/>
        <v>3.1041666666666665</v>
      </c>
      <c r="DF428" s="104">
        <f>('Renewable Diesel'!AR437*'Feedstock Conversion Rates'!$B$4*$DF$3)/12</f>
        <v>75</v>
      </c>
      <c r="DG428" s="106">
        <f t="shared" si="399"/>
        <v>75</v>
      </c>
      <c r="DH428" s="104">
        <f>('Renewable Diesel'!AS437*'Feedstock Conversion Rates'!$B$4*$DH$3)/12</f>
        <v>75</v>
      </c>
      <c r="DI428" s="106">
        <f t="shared" si="411"/>
        <v>75</v>
      </c>
      <c r="DJ428" s="104">
        <f>('Renewable Diesel'!AT437*'Feedstock Conversion Rates'!$B$4*0.25)/12</f>
        <v>8.59375</v>
      </c>
      <c r="DK428" s="104">
        <f>('Renewable Diesel'!$AT437*'RD Feedstock Breakdown'!DK$3*'Feedstock Conversion Rates'!$B$3)/12*0.5</f>
        <v>9.1781249999999996</v>
      </c>
      <c r="DL428" s="104">
        <f>('Renewable Diesel'!$AT437*'RD Feedstock Breakdown'!$DL$3*'Feedstock Conversion Rates'!$B$6)/12</f>
        <v>10.747916666666669</v>
      </c>
      <c r="DM428" s="104">
        <f>('Renewable Diesel'!$AT437*'RD Feedstock Breakdown'!$DM$3*'Feedstock Conversion Rates'!$B$8)/12</f>
        <v>10.7421875</v>
      </c>
      <c r="DN428" s="106">
        <f t="shared" si="453"/>
        <v>39.26197916666667</v>
      </c>
      <c r="DP428" s="104">
        <f t="shared" si="426"/>
        <v>103.22025000000001</v>
      </c>
      <c r="DQ428" s="104">
        <f t="shared" si="427"/>
        <v>349.11776750000007</v>
      </c>
      <c r="DR428" s="104">
        <f t="shared" si="432"/>
        <v>1891.953125</v>
      </c>
      <c r="DS428" s="104">
        <f t="shared" si="444"/>
        <v>228.90125</v>
      </c>
      <c r="DT428" s="104">
        <f t="shared" si="428"/>
        <v>243.03923333333344</v>
      </c>
      <c r="DU428" s="104">
        <f t="shared" si="429"/>
        <v>402.90610000000009</v>
      </c>
      <c r="DV428" s="104">
        <f t="shared" si="433"/>
        <v>78.75</v>
      </c>
      <c r="DW428" s="104">
        <f t="shared" si="430"/>
        <v>3</v>
      </c>
      <c r="DX428" s="106">
        <f t="shared" si="434"/>
        <v>3300.8877258333337</v>
      </c>
      <c r="DY428" s="109">
        <f t="shared" si="421"/>
        <v>-5.631051180898794E-13</v>
      </c>
      <c r="EA428" s="110">
        <f t="shared" si="424"/>
        <v>3.1270451640078516E-2</v>
      </c>
      <c r="EB428" s="110">
        <f t="shared" si="424"/>
        <v>0.10576481131658687</v>
      </c>
      <c r="EC428" s="110">
        <f t="shared" si="424"/>
        <v>0.57316494293133291</v>
      </c>
      <c r="ED428" s="110">
        <f t="shared" si="424"/>
        <v>6.9345360706629972E-2</v>
      </c>
      <c r="EE428" s="110">
        <f t="shared" si="424"/>
        <v>7.3628445896921982E-2</v>
      </c>
      <c r="EF428" s="110">
        <f t="shared" si="424"/>
        <v>0.1220599225010852</v>
      </c>
      <c r="EG428" s="110">
        <f t="shared" si="424"/>
        <v>2.3857218585075921E-2</v>
      </c>
      <c r="EH428" s="111">
        <f t="shared" si="435"/>
        <v>9.0884642228860647E-4</v>
      </c>
      <c r="EI428" s="110">
        <f t="shared" si="409"/>
        <v>0.99909115357771139</v>
      </c>
      <c r="EK428" s="132">
        <f>(EA428*'Renewable Diesel'!BF437*'Feedstock Conversion Rates'!B$2)+FB428</f>
        <v>556.535884951193</v>
      </c>
      <c r="EL428" s="132">
        <f>(EB428*'Renewable Diesel'!BF437*'Feedstock Conversion Rates'!B$3)+FC428</f>
        <v>1773.8374024126383</v>
      </c>
      <c r="EM428" s="132">
        <f>(EC428*'Renewable Diesel'!BF437*'Feedstock Conversion Rates'!B$4)+FD428</f>
        <v>9000.7971820513158</v>
      </c>
      <c r="EN428" s="132">
        <f>(ED428*'Renewable Diesel'!BF437*'Feedstock Conversion Rates'!B$5)+FE428</f>
        <v>1096.2369997800433</v>
      </c>
      <c r="EO428" s="132">
        <f>(EE428*'Renewable Diesel'!BF437*'Feedstock Conversion Rates'!B$6)+FF428</f>
        <v>1446.0674984786256</v>
      </c>
      <c r="EP428" s="132">
        <f>(EF428*'Renewable Diesel'!BF437*'Feedstock Conversion Rates'!B$7)+FG428</f>
        <v>2351.2619195928428</v>
      </c>
      <c r="EQ428" s="132">
        <f>(EG428*'Renewable Diesel'!BF437*'Feedstock Conversion Rates'!B$8)+FH428</f>
        <v>468.3075711023107</v>
      </c>
      <c r="ER428" s="132">
        <f>(EH428*'Renewable Diesel'!BF437*'Feedstock Conversion Rates'!B$9)+FI428</f>
        <v>17.602417910639232</v>
      </c>
      <c r="ES428" s="132">
        <f t="shared" si="436"/>
        <v>16710.64687627961</v>
      </c>
      <c r="ET428" s="133">
        <f>ES428/'Renewable Diesel'!BF437</f>
        <v>17.289056729536206</v>
      </c>
      <c r="EW428" s="73">
        <f t="shared" si="461"/>
        <v>15533.104926450695</v>
      </c>
      <c r="EX428" s="73">
        <f t="shared" si="462"/>
        <v>10174.268807629032</v>
      </c>
      <c r="EY428" s="92">
        <f t="shared" si="410"/>
        <v>0.92953343107857722</v>
      </c>
      <c r="EZ428" s="92">
        <f t="shared" si="410"/>
        <v>0.60884948876941325</v>
      </c>
      <c r="FB428" s="102">
        <f>IF('Renewable Diesel'!$BG437&lt;1,0,(((('Renewable Diesel'!$BG437-1)*'Renewable Diesel'!$BF437)*'RD Feedstock Breakdown'!EA428)*'Feedstock Conversion Rates'!$B$2))</f>
        <v>299.62941474020869</v>
      </c>
      <c r="FC428" s="102">
        <f>IF('Renewable Diesel'!$BG437&lt;1,0,(((('Renewable Diesel'!$BG437-1)*'Renewable Diesel'!$BF437)*'RD Feedstock Breakdown'!EB428)*'Feedstock Conversion Rates'!$B$3))</f>
        <v>955.00376004649149</v>
      </c>
      <c r="FD428" s="102">
        <f>IF('Renewable Diesel'!$BG437&lt;1,0,(((('Renewable Diesel'!$BG437-1)*'Renewable Diesel'!$BF437)*'RD Feedstock Breakdown'!EC428)*'Feedstock Conversion Rates'!$B$4))</f>
        <v>4845.8754678323539</v>
      </c>
      <c r="FE428" s="102">
        <f>IF('Renewable Diesel'!$BG437&lt;1,0,(((('Renewable Diesel'!$BG437-1)*'Renewable Diesel'!$BF437)*'RD Feedstock Breakdown'!ED428)*'Feedstock Conversion Rates'!$B$5))</f>
        <v>590.19527678698091</v>
      </c>
      <c r="FF428" s="102">
        <f>IF('Renewable Diesel'!$BG437&lt;1,0,(((('Renewable Diesel'!$BG437-1)*'Renewable Diesel'!$BF437)*'RD Feedstock Breakdown'!EE428)*'Feedstock Conversion Rates'!$B$6))</f>
        <v>778.53804212820216</v>
      </c>
      <c r="FG428" s="102">
        <f>IF('Renewable Diesel'!$BG437&lt;1,0,(((('Renewable Diesel'!$BG437-1)*'Renewable Diesel'!$BF437)*'RD Feedstock Breakdown'!EF428)*'Feedstock Conversion Rates'!$B$7))</f>
        <v>1265.8792575977861</v>
      </c>
      <c r="FH428" s="102">
        <f>IF('Renewable Diesel'!$BG437&lt;1,0,(((('Renewable Diesel'!$BG437-1)*'Renewable Diesel'!$BF437)*'RD Feedstock Breakdown'!EG428)*'Feedstock Conversion Rates'!$B$8))</f>
        <v>252.12879751698253</v>
      </c>
      <c r="FI428" s="102">
        <f>IF('Renewable Diesel'!$BG437&lt;1,0,(((('Renewable Diesel'!$BG437-1)*'Renewable Diesel'!$BF437)*'RD Feedstock Breakdown'!EH428)*'Feedstock Conversion Rates'!$B$9))</f>
        <v>9.4768411511145167</v>
      </c>
      <c r="FJ428" s="102">
        <f t="shared" si="463"/>
        <v>8996.7268578001185</v>
      </c>
      <c r="GD428" s="91">
        <f>'Renewable Diesel'!BB437*0.32</f>
        <v>0</v>
      </c>
      <c r="GE428" s="91">
        <f>'Renewable Diesel'!BC437</f>
        <v>507.0163443326083</v>
      </c>
      <c r="GF428" s="91">
        <f>'Renewable Diesel'!BD437</f>
        <v>0</v>
      </c>
      <c r="GG428" s="91">
        <f t="shared" si="451"/>
        <v>507.0163443326083</v>
      </c>
      <c r="GH428" s="124">
        <v>1</v>
      </c>
      <c r="GI428" s="102">
        <f>$GG428*EA428*'Feedstock Conversion Rates'!$B$2</f>
        <v>134.76435564754891</v>
      </c>
      <c r="GJ428" s="102">
        <f>$GG428*EB428*'Feedstock Conversion Rates'!$B$3</f>
        <v>429.53214882203923</v>
      </c>
      <c r="GK428" s="102">
        <f>$GG428*EC428*'Feedstock Conversion Rates'!$B$4</f>
        <v>2179.5299554848934</v>
      </c>
      <c r="GL428" s="102">
        <f>$GG428*ED428*'Feedstock Conversion Rates'!$B$5</f>
        <v>265.45219617835727</v>
      </c>
      <c r="GM428" s="102">
        <f>$GG428*EE428*'Feedstock Conversion Rates'!$B$6</f>
        <v>350.16314297940602</v>
      </c>
      <c r="GN428" s="102">
        <f>$GG428*EF428*'Feedstock Conversion Rates'!$B$7</f>
        <v>569.35465640339964</v>
      </c>
      <c r="GO428" s="102">
        <f>$GG428*EG428*'Feedstock Conversion Rates'!$B$8</f>
        <v>113.39999768389833</v>
      </c>
      <c r="GP428" s="102">
        <f>$GG428*EH428*'Feedstock Conversion Rates'!B$9</f>
        <v>4.2623999129439873</v>
      </c>
      <c r="GQ428" s="102">
        <f t="shared" si="437"/>
        <v>4046.4588531124868</v>
      </c>
      <c r="GT428" s="103">
        <f t="shared" si="418"/>
        <v>3.3304269372191886E-2</v>
      </c>
      <c r="GU428" s="103">
        <f t="shared" si="418"/>
        <v>0.10615013383656385</v>
      </c>
      <c r="GV428" s="103">
        <f t="shared" si="418"/>
        <v>0.53862649654979822</v>
      </c>
      <c r="GW428" s="103">
        <f t="shared" si="418"/>
        <v>6.5601110950176761E-2</v>
      </c>
      <c r="GX428" s="103">
        <f t="shared" si="465"/>
        <v>8.6535698419388296E-2</v>
      </c>
      <c r="GY428" s="103">
        <f t="shared" si="465"/>
        <v>0.14070442257566979</v>
      </c>
      <c r="GZ428" s="103">
        <f t="shared" si="465"/>
        <v>2.8024502855545516E-2</v>
      </c>
      <c r="HA428" s="103">
        <f t="shared" si="465"/>
        <v>1.0533654406655838E-3</v>
      </c>
    </row>
    <row r="429" spans="1:209" x14ac:dyDescent="0.25">
      <c r="A429" s="96">
        <v>53479</v>
      </c>
      <c r="B429" s="104">
        <f t="shared" si="406"/>
        <v>44.25</v>
      </c>
      <c r="C429" s="104">
        <f t="shared" ref="C429:C493" si="466">50-1</f>
        <v>49</v>
      </c>
      <c r="D429" s="104">
        <f t="shared" si="407"/>
        <v>2</v>
      </c>
      <c r="E429" s="104">
        <f>('Renewable Diesel'!B438*E$3*'Feedstock Conversion Rates'!$B$2)/12+26+13-100+27.5+39</f>
        <v>95.43</v>
      </c>
      <c r="F429" s="104">
        <f>('Renewable Diesel'!B438*'RD Feedstock Breakdown'!F$3*'Feedstock Conversion Rates'!B$8)/12+77+23-10-12-115.75+24+8</f>
        <v>48.15625</v>
      </c>
      <c r="G429" s="104">
        <f>('Renewable Diesel'!B438*'RD Feedstock Breakdown'!G$3*'Feedstock Conversion Rates'!B$7)/12+116.75-39-57.5-145-31.5+32+70-40+10+60</f>
        <v>151.90700000000004</v>
      </c>
      <c r="H429" s="104">
        <f>('Renewable Diesel'!B438*'RD Feedstock Breakdown'!H$3*'Feedstock Conversion Rates'!B$3)/12+67+10+12+3-235+20+47-20+25</f>
        <v>105.40022499999998</v>
      </c>
      <c r="I429" s="106">
        <f t="shared" si="449"/>
        <v>496.14347500000002</v>
      </c>
      <c r="J429" s="104">
        <f t="shared" si="417"/>
        <v>4</v>
      </c>
      <c r="K429" s="104"/>
      <c r="L429" s="104">
        <v>1</v>
      </c>
      <c r="M429" s="104">
        <f>('Renewable Diesel'!C438*'RD Feedstock Breakdown'!M$3*'Feedstock Conversion Rates'!B$2)/12</f>
        <v>7.7902500000000003</v>
      </c>
      <c r="N429" s="104">
        <f>('Renewable Diesel'!C438*'RD Feedstock Breakdown'!N$3*'Feedstock Conversion Rates'!B$8)/12</f>
        <v>3.671875</v>
      </c>
      <c r="O429" s="104">
        <f>('Renewable Diesel'!C438*'RD Feedstock Breakdown'!O$3*'Feedstock Conversion Rates'!B$7)/12</f>
        <v>11.9991</v>
      </c>
      <c r="P429" s="104">
        <f>('Renewable Diesel'!C438*'RD Feedstock Breakdown'!P$3*'Feedstock Conversion Rates'!B$3)/12</f>
        <v>10.4470425</v>
      </c>
      <c r="Q429" s="106">
        <f t="shared" si="455"/>
        <v>38.908267500000001</v>
      </c>
      <c r="R429" s="104">
        <f>('Renewable Diesel'!D438*'RD Feedstock Breakdown'!R$3*'Feedstock Conversion Rates'!B$7)/12</f>
        <v>2.2999999999999998</v>
      </c>
      <c r="S429" s="106">
        <f t="shared" si="414"/>
        <v>2.2999999999999998</v>
      </c>
      <c r="T429" s="104">
        <f t="shared" si="456"/>
        <v>0.82499999999999929</v>
      </c>
      <c r="U429" s="104"/>
      <c r="V429" s="104">
        <f>('Renewable Diesel'!E438*'RD Feedstock Breakdown'!V$3*'Feedstock Conversion Rates'!B$6)/12-20+25</f>
        <v>49.250150000000012</v>
      </c>
      <c r="W429" s="104">
        <f>('Renewable Diesel'!E438*'RD Feedstock Breakdown'!W$3*'Feedstock Conversion Rates'!B$8)/12-6</f>
        <v>16.1796875</v>
      </c>
      <c r="X429" s="106">
        <f t="shared" si="438"/>
        <v>66.254837500000008</v>
      </c>
      <c r="Y429" s="104">
        <f t="shared" si="457"/>
        <v>98</v>
      </c>
      <c r="Z429" s="104">
        <f>('Renewable Diesel'!F438*'RD Feedstock Breakdown'!Z$3*'Feedstock Conversion Rates'!B$6)/12-142+15+5+20+5+15</f>
        <v>77.460000000000008</v>
      </c>
      <c r="AA429" s="104">
        <f>('Renewable Diesel'!F438*'RD Feedstock Breakdown'!AA$3*'Feedstock Conversion Rates'!B$7)/12+24</f>
        <v>128.26666666666665</v>
      </c>
      <c r="AB429" s="106">
        <f t="shared" si="400"/>
        <v>303.72666666666669</v>
      </c>
      <c r="AC429" s="104">
        <f>('Renewable Diesel'!G438*'RD Feedstock Breakdown'!AC$3*'Feedstock Conversion Rates'!B$5)/12</f>
        <v>11.796875</v>
      </c>
      <c r="AD429" s="104">
        <f>('Renewable Diesel'!G438*'RD Feedstock Breakdown'!AD$3*'Feedstock Conversion Rates'!B$4)/12</f>
        <v>5.859375</v>
      </c>
      <c r="AE429" s="104">
        <f>('Renewable Diesel'!G438*'RD Feedstock Breakdown'!AE$3*'Feedstock Conversion Rates'!B$6)/12</f>
        <v>7.3281250000000009</v>
      </c>
      <c r="AF429" s="106">
        <f t="shared" si="445"/>
        <v>24.984375</v>
      </c>
      <c r="AG429" s="104">
        <f t="shared" si="459"/>
        <v>148</v>
      </c>
      <c r="AH429" s="104"/>
      <c r="AI429" s="104">
        <f>('Renewable Diesel'!H438*'RD Feedstock Breakdown'!AI$3*'Feedstock Conversion Rates'!B$6)/12-130-20+51-49</f>
        <v>0.51666666666667993</v>
      </c>
      <c r="AJ429" s="106">
        <f t="shared" si="413"/>
        <v>148.51666666666668</v>
      </c>
      <c r="AK429" s="104">
        <f>('Renewable Diesel'!J438*'RD Feedstock Breakdown'!AK$3*'Feedstock Conversion Rates'!B$4)/12</f>
        <v>95.8125</v>
      </c>
      <c r="AL429" s="106">
        <f t="shared" si="415"/>
        <v>95.8125</v>
      </c>
      <c r="AM429" s="104">
        <f>('Renewable Diesel'!K438*'RD Feedstock Breakdown'!AM$3*'Feedstock Conversion Rates'!B$4)/12+5+15-10+10</f>
        <v>78.59375</v>
      </c>
      <c r="AN429" s="104">
        <f>('Renewable Diesel'!K438*'RD Feedstock Breakdown'!AN$3*'Feedstock Conversion Rates'!B$6)/12-5-15+10-10</f>
        <v>4.4270833333333321</v>
      </c>
      <c r="AO429" s="106">
        <f t="shared" si="431"/>
        <v>83.020833333333329</v>
      </c>
      <c r="AP429" s="104">
        <f>('Renewable Diesel'!L438*'RD Feedstock Breakdown'!AP$3*'Feedstock Conversion Rates'!B$4)/12+15-10+15</f>
        <v>78.59375</v>
      </c>
      <c r="AQ429" s="104">
        <f>('Renewable Diesel'!L438*'RD Feedstock Breakdown'!AQ$3*'Feedstock Conversion Rates'!B$6)/12-15+10-15</f>
        <v>4.4270833333333321</v>
      </c>
      <c r="AR429" s="106">
        <f t="shared" si="420"/>
        <v>83.020833333333329</v>
      </c>
      <c r="AS429" s="104">
        <f>('Renewable Diesel'!M438*'RD Feedstock Breakdown'!AS$3*'Feedstock Conversion Rates'!B$4)/12</f>
        <v>456.25</v>
      </c>
      <c r="AT429" s="104">
        <f>('Renewable Diesel'!M438*'RD Feedstock Breakdown'!AT$3*'Feedstock Conversion Rates'!B$5)/12</f>
        <v>0</v>
      </c>
      <c r="AU429" s="106">
        <f t="shared" si="448"/>
        <v>456.25</v>
      </c>
      <c r="AV429" s="104">
        <f>'Renewable Diesel'!N438*'RD Feedstock Breakdown'!$AV$3*'Feedstock Conversion Rates'!$B$4/12-15-10+25+25-22+25</f>
        <v>106.74999999999999</v>
      </c>
      <c r="AW429" s="104">
        <f>'Renewable Diesel'!N438*'RD Feedstock Breakdown'!$AW$3*'Feedstock Conversion Rates'!$B$7/12+15+10-25-25+22-25</f>
        <v>13.400000000000006</v>
      </c>
      <c r="AX429" s="106">
        <f t="shared" si="408"/>
        <v>120.14999999999999</v>
      </c>
      <c r="AY429" s="104">
        <f>('Renewable Diesel'!O438*'RD Feedstock Breakdown'!AY$3*'Feedstock Conversion Rates'!B$4)/12</f>
        <v>210.9375</v>
      </c>
      <c r="AZ429" s="104">
        <f>('Renewable Diesel'!O438*'RD Feedstock Breakdown'!AZ$3*'Feedstock Conversion Rates'!B$3)/12</f>
        <v>25.03125</v>
      </c>
      <c r="BA429" s="106">
        <f t="shared" si="458"/>
        <v>235.96875</v>
      </c>
      <c r="BB429" s="104">
        <f>('Renewable Diesel'!Q438*'RD Feedstock Breakdown'!BB$3*'Feedstock Conversion Rates'!B$4)/12</f>
        <v>11.156249999999998</v>
      </c>
      <c r="BC429" s="104">
        <f>('Renewable Diesel'!Q438*'RD Feedstock Breakdown'!BC$3*'Feedstock Conversion Rates'!B$3)/12</f>
        <v>1.4017500000000001</v>
      </c>
      <c r="BD429" s="104">
        <f>('Renewable Diesel'!Q438*'RD Feedstock Breakdown'!BD$3*'Feedstock Conversion Rates'!B$6)/12</f>
        <v>0.8207500000000002</v>
      </c>
      <c r="BE429" s="106">
        <f t="shared" si="440"/>
        <v>13.378749999999998</v>
      </c>
      <c r="BF429" s="104">
        <f>('Renewable Diesel'!R438*'RD Feedstock Breakdown'!BF$3*'Feedstock Conversion Rates'!B$4)/12</f>
        <v>62.5</v>
      </c>
      <c r="BG429" s="106">
        <f t="shared" si="425"/>
        <v>62.5</v>
      </c>
      <c r="BH429" s="104">
        <f>('Renewable Diesel'!T438*'RD Feedstock Breakdown'!BH$3*'Feedstock Conversion Rates'!B$7)/12</f>
        <v>27.599999999999998</v>
      </c>
      <c r="BI429" s="106">
        <f t="shared" si="412"/>
        <v>27.599999999999998</v>
      </c>
      <c r="BJ429" s="104">
        <f>('Renewable Diesel'!W438*'RD Feedstock Breakdown'!BJ$3*'Feedstock Conversion Rates'!B$4)/12</f>
        <v>7.5</v>
      </c>
      <c r="BK429" s="104">
        <f>('Renewable Diesel'!W438*'RD Feedstock Breakdown'!BK$3*'Feedstock Conversion Rates'!B$3)/12</f>
        <v>1.335</v>
      </c>
      <c r="BL429" s="104">
        <f>('Renewable Diesel'!W438*'RD Feedstock Breakdown'!BL$3*'Feedstock Conversion Rates'!B$6)/12</f>
        <v>3.1266666666666669</v>
      </c>
      <c r="BM429" s="104">
        <f>('Renewable Diesel'!W438*'RD Feedstock Breakdown'!BM$3*'Feedstock Conversion Rates'!B$7)/12</f>
        <v>1.5333333333333332</v>
      </c>
      <c r="BN429" s="106">
        <f t="shared" si="452"/>
        <v>13.495000000000001</v>
      </c>
      <c r="BO429" s="104">
        <f>('Renewable Diesel'!P438*'Feedstock Conversion Rates'!B$4)/12</f>
        <v>31.25</v>
      </c>
      <c r="BP429" s="106">
        <f t="shared" si="446"/>
        <v>31.25</v>
      </c>
      <c r="BQ429" s="104">
        <f>('Renewable Diesel'!$S438*'RD Feedstock Breakdown'!BQ$3*'Feedstock Conversion Rates'!B$4)/12+10+15-15</f>
        <v>38.125</v>
      </c>
      <c r="BR429" s="104">
        <f>('Renewable Diesel'!$S438*'RD Feedstock Breakdown'!BR$3*'Feedstock Conversion Rates'!B$7)/12-10-15+15</f>
        <v>1.5</v>
      </c>
      <c r="BS429" s="106">
        <f t="shared" si="460"/>
        <v>39.625</v>
      </c>
      <c r="BT429" s="106"/>
      <c r="BU429" s="104">
        <f>('Renewable Diesel'!Y438*'Feedstock Conversion Rates'!B$7)/12</f>
        <v>2.6833333333333331</v>
      </c>
      <c r="BV429" s="106">
        <f t="shared" si="442"/>
        <v>2.6833333333333331</v>
      </c>
      <c r="BW429" s="104">
        <f>('Renewable Diesel'!$Z438*'RD Feedstock Breakdown'!BW$3*'Feedstock Conversion Rates'!$B$4)/12-250+180</f>
        <v>1.875</v>
      </c>
      <c r="BX429" s="104">
        <f>('Renewable Diesel'!$Z438*'RD Feedstock Breakdown'!BX$3*'Feedstock Conversion Rates'!$B$5)/12</f>
        <v>7.2354166666666666</v>
      </c>
      <c r="BY429" s="104">
        <f>('Renewable Diesel'!$Z438*'RD Feedstock Breakdown'!BY$3*'Feedstock Conversion Rates'!$B$7)/12</f>
        <v>61.716666666666661</v>
      </c>
      <c r="BZ429" s="104">
        <f>('Renewable Diesel'!$Z438*'RD Feedstock Breakdown'!BZ$3*'Feedstock Conversion Rates'!$B$3)/12+250-180</f>
        <v>85.35250000000002</v>
      </c>
      <c r="CA429" s="106">
        <f t="shared" si="464"/>
        <v>156.17958333333334</v>
      </c>
      <c r="CB429" s="104">
        <f>('Renewable Diesel'!AA438*'Feedstock Conversion Rates'!B$4)/12</f>
        <v>191.25</v>
      </c>
      <c r="CC429" s="106">
        <f t="shared" si="454"/>
        <v>191.25</v>
      </c>
      <c r="CD429" s="104">
        <f>('Renewable Diesel'!$AB438*'RD Feedstock Breakdown'!CD$3*'Feedstock Conversion Rates'!$B$6)/12-15-5</f>
        <v>12.830000000000005</v>
      </c>
      <c r="CE429" s="104">
        <f>('Renewable Diesel'!$AB438*'RD Feedstock Breakdown'!CE$3*'Feedstock Conversion Rates'!$B$4)/12+15+5</f>
        <v>31.25</v>
      </c>
      <c r="CF429" s="106">
        <f t="shared" si="450"/>
        <v>44.080000000000005</v>
      </c>
      <c r="CG429" s="104">
        <f>('Renewable Diesel'!AD438*'Feedstock Conversion Rates'!B$4)/12</f>
        <v>112.5</v>
      </c>
      <c r="CH429" s="106">
        <f t="shared" si="439"/>
        <v>112.5</v>
      </c>
      <c r="CI429" s="104">
        <f>('Renewable Diesel'!$AE438*'RD Feedstock Breakdown'!CI$3*'Feedstock Conversion Rates'!$B$5)/12</f>
        <v>0.34604166666666664</v>
      </c>
      <c r="CJ429" s="104">
        <f>('Renewable Diesel'!$AE438*'RD Feedstock Breakdown'!CJ$3*'Feedstock Conversion Rates'!$B$4)/12</f>
        <v>0.34375</v>
      </c>
      <c r="CK429" s="106">
        <f t="shared" si="447"/>
        <v>0.68979166666666658</v>
      </c>
      <c r="CL429" s="104">
        <f>(((CL$3*'Renewable Diesel'!$AF438)*'Feedstock Conversion Rates'!$B$3)/12)</f>
        <v>91.78125</v>
      </c>
      <c r="CM429" s="104">
        <f>(((CM$3*'Renewable Diesel'!$AF438)*'Feedstock Conversion Rates'!$B$6)/12)</f>
        <v>53.739583333333336</v>
      </c>
      <c r="CN429" s="104">
        <f>(((CN$3*'Renewable Diesel'!$AF438)*'Feedstock Conversion Rates'!$B$4)/12)</f>
        <v>42.96875</v>
      </c>
      <c r="CO429" s="106">
        <f t="shared" si="441"/>
        <v>188.48958333333334</v>
      </c>
      <c r="CP429" s="104">
        <f>('Renewable Diesel'!$AG438*'RD Feedstock Breakdown'!CP$3*'Feedstock Conversion Rates'!$B$3)/12</f>
        <v>6.0075000000000003</v>
      </c>
      <c r="CQ429" s="104">
        <f>('Renewable Diesel'!$AG438*'RD Feedstock Breakdown'!CQ$3*'Feedstock Conversion Rates'!$B$6)/12</f>
        <v>3.5175000000000001</v>
      </c>
      <c r="CR429" s="104">
        <f>('Renewable Diesel'!$AG438*'RD Feedstock Breakdown'!CR$3*'Feedstock Conversion Rates'!$B$4)/12</f>
        <v>2.8125</v>
      </c>
      <c r="CS429" s="106">
        <f t="shared" si="397"/>
        <v>12.3375</v>
      </c>
      <c r="CT429" s="104">
        <f>('Renewable Diesel'!AI438*'Feedstock Conversion Rates'!$B$4*'RD Feedstock Breakdown'!$CT$3)/12</f>
        <v>29.375</v>
      </c>
      <c r="CU429" s="106">
        <f t="shared" si="443"/>
        <v>29.375</v>
      </c>
      <c r="CV429" s="104">
        <f>('Renewable Diesel'!AN438*'Feedstock Conversion Rates'!$B$3*'RD Feedstock Breakdown'!$CV$3)/12</f>
        <v>0.50062499999999999</v>
      </c>
      <c r="CW429" s="106">
        <f t="shared" si="419"/>
        <v>0.50062499999999999</v>
      </c>
      <c r="CX429" s="104">
        <f>('Renewable Diesel'!AO438*'RD Feedstock Breakdown'!$CX$3*'Feedstock Conversion Rates'!$B$3)/12</f>
        <v>6.3412499999999996</v>
      </c>
      <c r="CY429" s="104">
        <f>('Renewable Diesel'!AO438*'RD Feedstock Breakdown'!$CY$3*'Feedstock Conversion Rates'!$B$6)/12</f>
        <v>7.4258333333333342</v>
      </c>
      <c r="CZ429" s="106">
        <f t="shared" si="398"/>
        <v>13.767083333333334</v>
      </c>
      <c r="DA429" s="104">
        <f>('Renewable Diesel'!$AP438*'RD Feedstock Breakdown'!DA$3*'Feedstock Conversion Rates'!$B$3)/12</f>
        <v>6.3412499999999996</v>
      </c>
      <c r="DB429" s="104">
        <f>('Renewable Diesel'!$AP438*'RD Feedstock Breakdown'!DB$3*'Feedstock Conversion Rates'!$B$8)/12</f>
        <v>7.421875</v>
      </c>
      <c r="DC429" s="106">
        <f t="shared" si="422"/>
        <v>13.763124999999999</v>
      </c>
      <c r="DD429" s="104">
        <f>('Renewable Diesel'!AQ438*$DD$3*'Feedstock Conversion Rates'!$B$14)/12</f>
        <v>3.1041666666666665</v>
      </c>
      <c r="DE429" s="106">
        <f t="shared" si="423"/>
        <v>3.1041666666666665</v>
      </c>
      <c r="DF429" s="104">
        <f>('Renewable Diesel'!AR438*'Feedstock Conversion Rates'!$B$4*$DF$3)/12</f>
        <v>75</v>
      </c>
      <c r="DG429" s="106">
        <f t="shared" si="399"/>
        <v>75</v>
      </c>
      <c r="DH429" s="104">
        <f>('Renewable Diesel'!AS438*'Feedstock Conversion Rates'!$B$4*$DH$3)/12</f>
        <v>75</v>
      </c>
      <c r="DI429" s="106">
        <f t="shared" si="411"/>
        <v>75</v>
      </c>
      <c r="DJ429" s="104">
        <f>('Renewable Diesel'!AT438*'Feedstock Conversion Rates'!$B$4*0.25)/12</f>
        <v>8.59375</v>
      </c>
      <c r="DK429" s="104">
        <f>('Renewable Diesel'!$AT438*'RD Feedstock Breakdown'!DK$3*'Feedstock Conversion Rates'!$B$3)/12*0.5</f>
        <v>9.1781249999999996</v>
      </c>
      <c r="DL429" s="104">
        <f>('Renewable Diesel'!$AT438*'RD Feedstock Breakdown'!$DL$3*'Feedstock Conversion Rates'!$B$6)/12</f>
        <v>10.747916666666669</v>
      </c>
      <c r="DM429" s="104">
        <f>('Renewable Diesel'!$AT438*'RD Feedstock Breakdown'!$DM$3*'Feedstock Conversion Rates'!$B$8)/12</f>
        <v>10.7421875</v>
      </c>
      <c r="DN429" s="106">
        <f t="shared" si="453"/>
        <v>39.26197916666667</v>
      </c>
      <c r="DP429" s="104">
        <f t="shared" si="426"/>
        <v>103.22025000000001</v>
      </c>
      <c r="DQ429" s="104">
        <f t="shared" si="427"/>
        <v>349.11776750000007</v>
      </c>
      <c r="DR429" s="104">
        <f t="shared" si="432"/>
        <v>1891.953125</v>
      </c>
      <c r="DS429" s="104">
        <f t="shared" si="444"/>
        <v>228.90125</v>
      </c>
      <c r="DT429" s="104">
        <f t="shared" si="428"/>
        <v>243.03923333333344</v>
      </c>
      <c r="DU429" s="104">
        <f t="shared" si="429"/>
        <v>402.90610000000009</v>
      </c>
      <c r="DV429" s="104">
        <f t="shared" si="433"/>
        <v>78.75</v>
      </c>
      <c r="DW429" s="104">
        <f t="shared" si="430"/>
        <v>3</v>
      </c>
      <c r="DX429" s="106">
        <f t="shared" si="434"/>
        <v>3300.8877258333337</v>
      </c>
      <c r="DY429" s="109">
        <f t="shared" si="421"/>
        <v>-5.631051180898794E-13</v>
      </c>
      <c r="EA429" s="110">
        <f t="shared" si="424"/>
        <v>3.1270451640078516E-2</v>
      </c>
      <c r="EB429" s="110">
        <f t="shared" si="424"/>
        <v>0.10576481131658687</v>
      </c>
      <c r="EC429" s="110">
        <f t="shared" si="424"/>
        <v>0.57316494293133291</v>
      </c>
      <c r="ED429" s="110">
        <f t="shared" si="424"/>
        <v>6.9345360706629972E-2</v>
      </c>
      <c r="EE429" s="110">
        <f t="shared" si="424"/>
        <v>7.3628445896921982E-2</v>
      </c>
      <c r="EF429" s="110">
        <f t="shared" si="424"/>
        <v>0.1220599225010852</v>
      </c>
      <c r="EG429" s="110">
        <f t="shared" si="424"/>
        <v>2.3857218585075921E-2</v>
      </c>
      <c r="EH429" s="111">
        <f t="shared" si="435"/>
        <v>9.0884642228860647E-4</v>
      </c>
      <c r="EI429" s="110">
        <f t="shared" si="409"/>
        <v>0.99909115357771139</v>
      </c>
      <c r="EK429" s="132">
        <f>(EA429*'Renewable Diesel'!BF438*'Feedstock Conversion Rates'!B$2)+FB429</f>
        <v>508.79858365789039</v>
      </c>
      <c r="EL429" s="132">
        <f>(EB429*'Renewable Diesel'!BF438*'Feedstock Conversion Rates'!B$3)+FC429</f>
        <v>1621.6851103250806</v>
      </c>
      <c r="EM429" s="132">
        <f>(EC429*'Renewable Diesel'!BF438*'Feedstock Conversion Rates'!B$4)+FD429</f>
        <v>8228.7467562334477</v>
      </c>
      <c r="EN429" s="132">
        <f>(ED429*'Renewable Diesel'!BF438*'Feedstock Conversion Rates'!B$5)+FE429</f>
        <v>1002.2064127821261</v>
      </c>
      <c r="EO429" s="132">
        <f>(EE429*'Renewable Diesel'!BF438*'Feedstock Conversion Rates'!B$6)+FF429</f>
        <v>1322.0299265413182</v>
      </c>
      <c r="EP429" s="132">
        <f>(EF429*'Renewable Diesel'!BF438*'Feedstock Conversion Rates'!B$7)+FG429</f>
        <v>2149.5805874269645</v>
      </c>
      <c r="EQ429" s="132">
        <f>(EG429*'Renewable Diesel'!BF438*'Feedstock Conversion Rates'!B$8)+FH429</f>
        <v>428.13812251121703</v>
      </c>
      <c r="ER429" s="132">
        <f>(EH429*'Renewable Diesel'!BF438*'Feedstock Conversion Rates'!B$9)+FI429</f>
        <v>16.092556731850188</v>
      </c>
      <c r="ES429" s="132">
        <f t="shared" si="436"/>
        <v>15277.278056209894</v>
      </c>
      <c r="ET429" s="133">
        <f>ES429/'Renewable Diesel'!BF438</f>
        <v>16.262130444077815</v>
      </c>
      <c r="EW429" s="73">
        <f t="shared" si="461"/>
        <v>13931.65521926536</v>
      </c>
      <c r="EX429" s="73">
        <f t="shared" si="462"/>
        <v>9125.3104776652217</v>
      </c>
      <c r="EY429" s="92">
        <f t="shared" si="410"/>
        <v>0.911919987841187</v>
      </c>
      <c r="EZ429" s="92">
        <f t="shared" si="410"/>
        <v>0.59731258697330403</v>
      </c>
      <c r="FB429" s="102">
        <f>IF('Renewable Diesel'!$BG438&lt;1,0,(((('Renewable Diesel'!$BG438-1)*'Renewable Diesel'!$BF438)*'RD Feedstock Breakdown'!EA429)*'Feedstock Conversion Rates'!$B$2))</f>
        <v>259.09681281807366</v>
      </c>
      <c r="FC429" s="102">
        <f>IF('Renewable Diesel'!$BG438&lt;1,0,(((('Renewable Diesel'!$BG438-1)*'Renewable Diesel'!$BF438)*'RD Feedstock Breakdown'!EB429)*'Feedstock Conversion Rates'!$B$3))</f>
        <v>825.81488426916258</v>
      </c>
      <c r="FD429" s="102">
        <f>IF('Renewable Diesel'!$BG438&lt;1,0,(((('Renewable Diesel'!$BG438-1)*'Renewable Diesel'!$BF438)*'RD Feedstock Breakdown'!EC429)*'Feedstock Conversion Rates'!$B$4))</f>
        <v>4190.3458981731483</v>
      </c>
      <c r="FE429" s="102">
        <f>IF('Renewable Diesel'!$BG438&lt;1,0,(((('Renewable Diesel'!$BG438-1)*'Renewable Diesel'!$BF438)*'RD Feedstock Breakdown'!ED429)*'Feedstock Conversion Rates'!$B$5))</f>
        <v>510.35615207663653</v>
      </c>
      <c r="FF429" s="102">
        <f>IF('Renewable Diesel'!$BG438&lt;1,0,(((('Renewable Diesel'!$BG438-1)*'Renewable Diesel'!$BF438)*'RD Feedstock Breakdown'!EE429)*'Feedstock Conversion Rates'!$B$6))</f>
        <v>673.22070347444765</v>
      </c>
      <c r="FG429" s="102">
        <f>IF('Renewable Diesel'!$BG438&lt;1,0,(((('Renewable Diesel'!$BG438-1)*'Renewable Diesel'!$BF438)*'RD Feedstock Breakdown'!EF429)*'Feedstock Conversion Rates'!$B$7))</f>
        <v>1094.6364573066789</v>
      </c>
      <c r="FH429" s="102">
        <f>IF('Renewable Diesel'!$BG438&lt;1,0,(((('Renewable Diesel'!$BG438-1)*'Renewable Diesel'!$BF438)*'RD Feedstock Breakdown'!EG429)*'Feedstock Conversion Rates'!$B$8))</f>
        <v>218.02187850262902</v>
      </c>
      <c r="FI429" s="102">
        <f>IF('Renewable Diesel'!$BG438&lt;1,0,(((('Renewable Diesel'!$BG438-1)*'Renewable Diesel'!$BF438)*'RD Feedstock Breakdown'!EH429)*'Feedstock Conversion Rates'!$B$9))</f>
        <v>8.1948540999083406</v>
      </c>
      <c r="FJ429" s="102">
        <f t="shared" si="463"/>
        <v>7779.6876407206855</v>
      </c>
      <c r="GD429" s="91">
        <f>'Renewable Diesel'!BB438*0.32</f>
        <v>0</v>
      </c>
      <c r="GE429" s="91">
        <f>'Renewable Diesel'!BC438</f>
        <v>483.65870541625719</v>
      </c>
      <c r="GF429" s="91">
        <f>'Renewable Diesel'!BD438</f>
        <v>0</v>
      </c>
      <c r="GG429" s="91">
        <f t="shared" si="451"/>
        <v>483.65870541625719</v>
      </c>
      <c r="GH429" s="124">
        <v>1</v>
      </c>
      <c r="GI429" s="102">
        <f>$GG429*EA429*'Feedstock Conversion Rates'!$B$2</f>
        <v>128.55592234318743</v>
      </c>
      <c r="GJ429" s="102">
        <f>$GG429*EB429*'Feedstock Conversion Rates'!$B$3</f>
        <v>409.74411447700066</v>
      </c>
      <c r="GK429" s="102">
        <f>$GG429*EC429*'Feedstock Conversion Rates'!$B$4</f>
        <v>2079.1216071611357</v>
      </c>
      <c r="GL429" s="102">
        <f>$GG429*ED429*'Feedstock Conversion Rates'!$B$5</f>
        <v>253.2231297642399</v>
      </c>
      <c r="GM429" s="102">
        <f>$GG429*EE429*'Feedstock Conversion Rates'!$B$6</f>
        <v>334.03154417208617</v>
      </c>
      <c r="GN429" s="102">
        <f>$GG429*EF429*'Feedstock Conversion Rates'!$B$7</f>
        <v>543.12516572076856</v>
      </c>
      <c r="GO429" s="102">
        <f>$GG429*EG429*'Feedstock Conversion Rates'!$B$8</f>
        <v>108.17579489709836</v>
      </c>
      <c r="GP429" s="102">
        <f>$GG429*EH429*'Feedstock Conversion Rates'!B$9</f>
        <v>4.0660362272433161</v>
      </c>
      <c r="GQ429" s="102">
        <f t="shared" si="437"/>
        <v>3860.04331476276</v>
      </c>
      <c r="GT429" s="103">
        <f t="shared" si="418"/>
        <v>3.3304269372191886E-2</v>
      </c>
      <c r="GU429" s="103">
        <f t="shared" si="418"/>
        <v>0.10615013383656387</v>
      </c>
      <c r="GV429" s="103">
        <f t="shared" si="418"/>
        <v>0.53862649654979833</v>
      </c>
      <c r="GW429" s="103">
        <f t="shared" si="418"/>
        <v>6.5601110950176775E-2</v>
      </c>
      <c r="GX429" s="103">
        <f t="shared" si="465"/>
        <v>8.653569841938831E-2</v>
      </c>
      <c r="GY429" s="103">
        <f t="shared" si="465"/>
        <v>0.14070442257566981</v>
      </c>
      <c r="GZ429" s="103">
        <f t="shared" si="465"/>
        <v>2.8024502855545516E-2</v>
      </c>
      <c r="HA429" s="103">
        <f t="shared" si="465"/>
        <v>1.0533654406655838E-3</v>
      </c>
    </row>
    <row r="430" spans="1:209" x14ac:dyDescent="0.25">
      <c r="A430" s="96">
        <v>53509</v>
      </c>
      <c r="B430" s="104">
        <f t="shared" si="406"/>
        <v>44.25</v>
      </c>
      <c r="C430" s="104">
        <f t="shared" si="466"/>
        <v>49</v>
      </c>
      <c r="D430" s="104">
        <f t="shared" si="407"/>
        <v>2</v>
      </c>
      <c r="E430" s="104">
        <f>('Renewable Diesel'!B439*E$3*'Feedstock Conversion Rates'!$B$2)/12+26+13-100+27.5+39</f>
        <v>95.43</v>
      </c>
      <c r="F430" s="104">
        <f>('Renewable Diesel'!B439*'RD Feedstock Breakdown'!F$3*'Feedstock Conversion Rates'!B$8)/12+77+23-10-12-115.75+24+8</f>
        <v>48.15625</v>
      </c>
      <c r="G430" s="104">
        <f>('Renewable Diesel'!B439*'RD Feedstock Breakdown'!G$3*'Feedstock Conversion Rates'!B$7)/12+116.75-39-57.5-145-31.5+32+70-40+10+60</f>
        <v>151.90700000000004</v>
      </c>
      <c r="H430" s="104">
        <f>('Renewable Diesel'!B439*'RD Feedstock Breakdown'!H$3*'Feedstock Conversion Rates'!B$3)/12+67+10+12+3-235+20+47-20+25</f>
        <v>105.40022499999998</v>
      </c>
      <c r="I430" s="106">
        <f t="shared" si="449"/>
        <v>496.14347500000002</v>
      </c>
      <c r="J430" s="104">
        <f t="shared" si="417"/>
        <v>4</v>
      </c>
      <c r="K430" s="104"/>
      <c r="L430" s="104">
        <v>1</v>
      </c>
      <c r="M430" s="104">
        <f>('Renewable Diesel'!C439*'RD Feedstock Breakdown'!M$3*'Feedstock Conversion Rates'!B$2)/12</f>
        <v>7.7902500000000003</v>
      </c>
      <c r="N430" s="104">
        <f>('Renewable Diesel'!C439*'RD Feedstock Breakdown'!N$3*'Feedstock Conversion Rates'!B$8)/12</f>
        <v>3.671875</v>
      </c>
      <c r="O430" s="104">
        <f>('Renewable Diesel'!C439*'RD Feedstock Breakdown'!O$3*'Feedstock Conversion Rates'!B$7)/12</f>
        <v>11.9991</v>
      </c>
      <c r="P430" s="104">
        <f>('Renewable Diesel'!C439*'RD Feedstock Breakdown'!P$3*'Feedstock Conversion Rates'!B$3)/12</f>
        <v>10.4470425</v>
      </c>
      <c r="Q430" s="106">
        <f t="shared" si="455"/>
        <v>38.908267500000001</v>
      </c>
      <c r="R430" s="104">
        <f>('Renewable Diesel'!D439*'RD Feedstock Breakdown'!R$3*'Feedstock Conversion Rates'!B$7)/12</f>
        <v>2.2999999999999998</v>
      </c>
      <c r="S430" s="106">
        <f t="shared" si="414"/>
        <v>2.2999999999999998</v>
      </c>
      <c r="T430" s="104">
        <f t="shared" si="456"/>
        <v>0.82499999999999929</v>
      </c>
      <c r="U430" s="104"/>
      <c r="V430" s="104">
        <f>('Renewable Diesel'!E439*'RD Feedstock Breakdown'!V$3*'Feedstock Conversion Rates'!B$6)/12-20+25</f>
        <v>49.250150000000012</v>
      </c>
      <c r="W430" s="104">
        <f>('Renewable Diesel'!E439*'RD Feedstock Breakdown'!W$3*'Feedstock Conversion Rates'!B$8)/12-6</f>
        <v>16.1796875</v>
      </c>
      <c r="X430" s="106">
        <f t="shared" si="438"/>
        <v>66.254837500000008</v>
      </c>
      <c r="Y430" s="104">
        <f t="shared" si="457"/>
        <v>98</v>
      </c>
      <c r="Z430" s="104">
        <f>('Renewable Diesel'!F439*'RD Feedstock Breakdown'!Z$3*'Feedstock Conversion Rates'!B$6)/12-142+15+5+20+5+15</f>
        <v>77.460000000000008</v>
      </c>
      <c r="AA430" s="104">
        <f>('Renewable Diesel'!F439*'RD Feedstock Breakdown'!AA$3*'Feedstock Conversion Rates'!B$7)/12+24</f>
        <v>128.26666666666665</v>
      </c>
      <c r="AB430" s="106">
        <f t="shared" si="400"/>
        <v>303.72666666666669</v>
      </c>
      <c r="AC430" s="104">
        <f>('Renewable Diesel'!G439*'RD Feedstock Breakdown'!AC$3*'Feedstock Conversion Rates'!B$5)/12</f>
        <v>11.796875</v>
      </c>
      <c r="AD430" s="104">
        <f>('Renewable Diesel'!G439*'RD Feedstock Breakdown'!AD$3*'Feedstock Conversion Rates'!B$4)/12</f>
        <v>5.859375</v>
      </c>
      <c r="AE430" s="104">
        <f>('Renewable Diesel'!G439*'RD Feedstock Breakdown'!AE$3*'Feedstock Conversion Rates'!B$6)/12</f>
        <v>7.3281250000000009</v>
      </c>
      <c r="AF430" s="106">
        <f t="shared" si="445"/>
        <v>24.984375</v>
      </c>
      <c r="AG430" s="104">
        <f t="shared" si="459"/>
        <v>148</v>
      </c>
      <c r="AH430" s="104"/>
      <c r="AI430" s="104">
        <f>('Renewable Diesel'!H439*'RD Feedstock Breakdown'!AI$3*'Feedstock Conversion Rates'!B$6)/12-130-20+51-49</f>
        <v>0.51666666666667993</v>
      </c>
      <c r="AJ430" s="106">
        <f t="shared" si="413"/>
        <v>148.51666666666668</v>
      </c>
      <c r="AK430" s="104">
        <f>('Renewable Diesel'!J439*'RD Feedstock Breakdown'!AK$3*'Feedstock Conversion Rates'!B$4)/12</f>
        <v>95.8125</v>
      </c>
      <c r="AL430" s="106">
        <f t="shared" si="415"/>
        <v>95.8125</v>
      </c>
      <c r="AM430" s="104">
        <f>('Renewable Diesel'!K439*'RD Feedstock Breakdown'!AM$3*'Feedstock Conversion Rates'!B$4)/12+5+15-10+10</f>
        <v>78.59375</v>
      </c>
      <c r="AN430" s="104">
        <f>('Renewable Diesel'!K439*'RD Feedstock Breakdown'!AN$3*'Feedstock Conversion Rates'!B$6)/12-5-15+10-10</f>
        <v>4.4270833333333321</v>
      </c>
      <c r="AO430" s="106">
        <f t="shared" si="431"/>
        <v>83.020833333333329</v>
      </c>
      <c r="AP430" s="104">
        <f>('Renewable Diesel'!L439*'RD Feedstock Breakdown'!AP$3*'Feedstock Conversion Rates'!B$4)/12+15-10+15</f>
        <v>78.59375</v>
      </c>
      <c r="AQ430" s="104">
        <f>('Renewable Diesel'!L439*'RD Feedstock Breakdown'!AQ$3*'Feedstock Conversion Rates'!B$6)/12-15+10-15</f>
        <v>4.4270833333333321</v>
      </c>
      <c r="AR430" s="106">
        <f t="shared" si="420"/>
        <v>83.020833333333329</v>
      </c>
      <c r="AS430" s="104">
        <f>('Renewable Diesel'!M439*'RD Feedstock Breakdown'!AS$3*'Feedstock Conversion Rates'!B$4)/12</f>
        <v>456.25</v>
      </c>
      <c r="AT430" s="104">
        <f>('Renewable Diesel'!M439*'RD Feedstock Breakdown'!AT$3*'Feedstock Conversion Rates'!B$5)/12</f>
        <v>0</v>
      </c>
      <c r="AU430" s="106">
        <f t="shared" si="448"/>
        <v>456.25</v>
      </c>
      <c r="AV430" s="104">
        <f>'Renewable Diesel'!N439*'RD Feedstock Breakdown'!$AV$3*'Feedstock Conversion Rates'!$B$4/12-15-10+25+25-22+25</f>
        <v>106.74999999999999</v>
      </c>
      <c r="AW430" s="104">
        <f>'Renewable Diesel'!N439*'RD Feedstock Breakdown'!$AW$3*'Feedstock Conversion Rates'!$B$7/12+15+10-25-25+22-25</f>
        <v>13.400000000000006</v>
      </c>
      <c r="AX430" s="106">
        <f t="shared" si="408"/>
        <v>120.14999999999999</v>
      </c>
      <c r="AY430" s="104">
        <f>('Renewable Diesel'!O439*'RD Feedstock Breakdown'!AY$3*'Feedstock Conversion Rates'!B$4)/12</f>
        <v>210.9375</v>
      </c>
      <c r="AZ430" s="104">
        <f>('Renewable Diesel'!O439*'RD Feedstock Breakdown'!AZ$3*'Feedstock Conversion Rates'!B$3)/12</f>
        <v>25.03125</v>
      </c>
      <c r="BA430" s="106">
        <f t="shared" si="458"/>
        <v>235.96875</v>
      </c>
      <c r="BB430" s="104">
        <f>('Renewable Diesel'!Q439*'RD Feedstock Breakdown'!BB$3*'Feedstock Conversion Rates'!B$4)/12</f>
        <v>11.156249999999998</v>
      </c>
      <c r="BC430" s="104">
        <f>('Renewable Diesel'!Q439*'RD Feedstock Breakdown'!BC$3*'Feedstock Conversion Rates'!B$3)/12</f>
        <v>1.4017500000000001</v>
      </c>
      <c r="BD430" s="104">
        <f>('Renewable Diesel'!Q439*'RD Feedstock Breakdown'!BD$3*'Feedstock Conversion Rates'!B$6)/12</f>
        <v>0.8207500000000002</v>
      </c>
      <c r="BE430" s="106">
        <f t="shared" si="440"/>
        <v>13.378749999999998</v>
      </c>
      <c r="BF430" s="104">
        <f>('Renewable Diesel'!R439*'RD Feedstock Breakdown'!BF$3*'Feedstock Conversion Rates'!B$4)/12</f>
        <v>62.5</v>
      </c>
      <c r="BG430" s="106">
        <f t="shared" si="425"/>
        <v>62.5</v>
      </c>
      <c r="BH430" s="104">
        <f>('Renewable Diesel'!T439*'RD Feedstock Breakdown'!BH$3*'Feedstock Conversion Rates'!B$7)/12</f>
        <v>27.599999999999998</v>
      </c>
      <c r="BI430" s="106">
        <f t="shared" si="412"/>
        <v>27.599999999999998</v>
      </c>
      <c r="BJ430" s="104">
        <f>('Renewable Diesel'!W439*'RD Feedstock Breakdown'!BJ$3*'Feedstock Conversion Rates'!B$4)/12</f>
        <v>7.5</v>
      </c>
      <c r="BK430" s="104">
        <f>('Renewable Diesel'!W439*'RD Feedstock Breakdown'!BK$3*'Feedstock Conversion Rates'!B$3)/12</f>
        <v>1.335</v>
      </c>
      <c r="BL430" s="104">
        <f>('Renewable Diesel'!W439*'RD Feedstock Breakdown'!BL$3*'Feedstock Conversion Rates'!B$6)/12</f>
        <v>3.1266666666666669</v>
      </c>
      <c r="BM430" s="104">
        <f>('Renewable Diesel'!W439*'RD Feedstock Breakdown'!BM$3*'Feedstock Conversion Rates'!B$7)/12</f>
        <v>1.5333333333333332</v>
      </c>
      <c r="BN430" s="106">
        <f t="shared" si="452"/>
        <v>13.495000000000001</v>
      </c>
      <c r="BO430" s="104">
        <f>('Renewable Diesel'!P439*'Feedstock Conversion Rates'!B$4)/12</f>
        <v>31.25</v>
      </c>
      <c r="BP430" s="106">
        <f t="shared" si="446"/>
        <v>31.25</v>
      </c>
      <c r="BQ430" s="104">
        <f>('Renewable Diesel'!$S439*'RD Feedstock Breakdown'!BQ$3*'Feedstock Conversion Rates'!B$4)/12+10+15-15</f>
        <v>38.125</v>
      </c>
      <c r="BR430" s="104">
        <f>('Renewable Diesel'!$S439*'RD Feedstock Breakdown'!BR$3*'Feedstock Conversion Rates'!B$7)/12-10-15+15</f>
        <v>1.5</v>
      </c>
      <c r="BS430" s="106">
        <f t="shared" si="460"/>
        <v>39.625</v>
      </c>
      <c r="BT430" s="106"/>
      <c r="BU430" s="104">
        <f>('Renewable Diesel'!Y439*'Feedstock Conversion Rates'!B$7)/12</f>
        <v>2.6833333333333331</v>
      </c>
      <c r="BV430" s="106">
        <f t="shared" si="442"/>
        <v>2.6833333333333331</v>
      </c>
      <c r="BW430" s="104">
        <f>('Renewable Diesel'!$Z439*'RD Feedstock Breakdown'!BW$3*'Feedstock Conversion Rates'!$B$4)/12-250+180</f>
        <v>1.875</v>
      </c>
      <c r="BX430" s="104">
        <f>('Renewable Diesel'!$Z439*'RD Feedstock Breakdown'!BX$3*'Feedstock Conversion Rates'!$B$5)/12</f>
        <v>7.2354166666666666</v>
      </c>
      <c r="BY430" s="104">
        <f>('Renewable Diesel'!$Z439*'RD Feedstock Breakdown'!BY$3*'Feedstock Conversion Rates'!$B$7)/12</f>
        <v>61.716666666666661</v>
      </c>
      <c r="BZ430" s="104">
        <f>('Renewable Diesel'!$Z439*'RD Feedstock Breakdown'!BZ$3*'Feedstock Conversion Rates'!$B$3)/12+250-180</f>
        <v>85.35250000000002</v>
      </c>
      <c r="CA430" s="106">
        <f t="shared" si="464"/>
        <v>156.17958333333334</v>
      </c>
      <c r="CB430" s="104">
        <f>('Renewable Diesel'!AA439*'Feedstock Conversion Rates'!B$4)/12</f>
        <v>191.25</v>
      </c>
      <c r="CC430" s="106">
        <f t="shared" si="454"/>
        <v>191.25</v>
      </c>
      <c r="CD430" s="104">
        <f>('Renewable Diesel'!$AB439*'RD Feedstock Breakdown'!CD$3*'Feedstock Conversion Rates'!$B$6)/12-15-5</f>
        <v>12.830000000000005</v>
      </c>
      <c r="CE430" s="104">
        <f>('Renewable Diesel'!$AB439*'RD Feedstock Breakdown'!CE$3*'Feedstock Conversion Rates'!$B$4)/12+15+5</f>
        <v>31.25</v>
      </c>
      <c r="CF430" s="106">
        <f t="shared" si="450"/>
        <v>44.080000000000005</v>
      </c>
      <c r="CG430" s="104">
        <f>('Renewable Diesel'!AD439*'Feedstock Conversion Rates'!B$4)/12</f>
        <v>112.5</v>
      </c>
      <c r="CH430" s="106">
        <f t="shared" si="439"/>
        <v>112.5</v>
      </c>
      <c r="CI430" s="104">
        <f>('Renewable Diesel'!$AE439*'RD Feedstock Breakdown'!CI$3*'Feedstock Conversion Rates'!$B$5)/12</f>
        <v>0.34604166666666664</v>
      </c>
      <c r="CJ430" s="104">
        <f>('Renewable Diesel'!$AE439*'RD Feedstock Breakdown'!CJ$3*'Feedstock Conversion Rates'!$B$4)/12</f>
        <v>0.34375</v>
      </c>
      <c r="CK430" s="106">
        <f t="shared" si="447"/>
        <v>0.68979166666666658</v>
      </c>
      <c r="CL430" s="104">
        <f>(((CL$3*'Renewable Diesel'!$AF439)*'Feedstock Conversion Rates'!$B$3)/12)</f>
        <v>91.78125</v>
      </c>
      <c r="CM430" s="104">
        <f>(((CM$3*'Renewable Diesel'!$AF439)*'Feedstock Conversion Rates'!$B$6)/12)</f>
        <v>53.739583333333336</v>
      </c>
      <c r="CN430" s="104">
        <f>(((CN$3*'Renewable Diesel'!$AF439)*'Feedstock Conversion Rates'!$B$4)/12)</f>
        <v>42.96875</v>
      </c>
      <c r="CO430" s="106">
        <f t="shared" si="441"/>
        <v>188.48958333333334</v>
      </c>
      <c r="CP430" s="104">
        <f>('Renewable Diesel'!$AG439*'RD Feedstock Breakdown'!CP$3*'Feedstock Conversion Rates'!$B$3)/12</f>
        <v>6.0075000000000003</v>
      </c>
      <c r="CQ430" s="104">
        <f>('Renewable Diesel'!$AG439*'RD Feedstock Breakdown'!CQ$3*'Feedstock Conversion Rates'!$B$6)/12</f>
        <v>3.5175000000000001</v>
      </c>
      <c r="CR430" s="104">
        <f>('Renewable Diesel'!$AG439*'RD Feedstock Breakdown'!CR$3*'Feedstock Conversion Rates'!$B$4)/12</f>
        <v>2.8125</v>
      </c>
      <c r="CS430" s="106">
        <f t="shared" si="397"/>
        <v>12.3375</v>
      </c>
      <c r="CT430" s="104">
        <f>('Renewable Diesel'!AI439*'Feedstock Conversion Rates'!$B$4*'RD Feedstock Breakdown'!$CT$3)/12</f>
        <v>29.375</v>
      </c>
      <c r="CU430" s="106">
        <f t="shared" si="443"/>
        <v>29.375</v>
      </c>
      <c r="CV430" s="104">
        <f>('Renewable Diesel'!AN439*'Feedstock Conversion Rates'!$B$3*'RD Feedstock Breakdown'!$CV$3)/12</f>
        <v>0.50062499999999999</v>
      </c>
      <c r="CW430" s="106">
        <f t="shared" si="419"/>
        <v>0.50062499999999999</v>
      </c>
      <c r="CX430" s="104">
        <f>('Renewable Diesel'!AO439*'RD Feedstock Breakdown'!$CX$3*'Feedstock Conversion Rates'!$B$3)/12</f>
        <v>6.3412499999999996</v>
      </c>
      <c r="CY430" s="104">
        <f>('Renewable Diesel'!AO439*'RD Feedstock Breakdown'!$CY$3*'Feedstock Conversion Rates'!$B$6)/12</f>
        <v>7.4258333333333342</v>
      </c>
      <c r="CZ430" s="106">
        <f t="shared" si="398"/>
        <v>13.767083333333334</v>
      </c>
      <c r="DA430" s="104">
        <f>('Renewable Diesel'!$AP439*'RD Feedstock Breakdown'!DA$3*'Feedstock Conversion Rates'!$B$3)/12</f>
        <v>6.3412499999999996</v>
      </c>
      <c r="DB430" s="104">
        <f>('Renewable Diesel'!$AP439*'RD Feedstock Breakdown'!DB$3*'Feedstock Conversion Rates'!$B$8)/12</f>
        <v>7.421875</v>
      </c>
      <c r="DC430" s="106">
        <f t="shared" si="422"/>
        <v>13.763124999999999</v>
      </c>
      <c r="DD430" s="104">
        <f>('Renewable Diesel'!AQ439*$DD$3*'Feedstock Conversion Rates'!$B$14)/12</f>
        <v>3.1041666666666665</v>
      </c>
      <c r="DE430" s="106">
        <f t="shared" si="423"/>
        <v>3.1041666666666665</v>
      </c>
      <c r="DF430" s="104">
        <f>('Renewable Diesel'!AR439*'Feedstock Conversion Rates'!$B$4*$DF$3)/12</f>
        <v>75</v>
      </c>
      <c r="DG430" s="106">
        <f t="shared" si="399"/>
        <v>75</v>
      </c>
      <c r="DH430" s="104">
        <f>('Renewable Diesel'!AS439*'Feedstock Conversion Rates'!$B$4*$DH$3)/12</f>
        <v>75</v>
      </c>
      <c r="DI430" s="106">
        <f t="shared" si="411"/>
        <v>75</v>
      </c>
      <c r="DJ430" s="104">
        <f>('Renewable Diesel'!AT439*'Feedstock Conversion Rates'!$B$4*0.25)/12</f>
        <v>8.59375</v>
      </c>
      <c r="DK430" s="104">
        <f>('Renewable Diesel'!$AT439*'RD Feedstock Breakdown'!DK$3*'Feedstock Conversion Rates'!$B$3)/12*0.5</f>
        <v>9.1781249999999996</v>
      </c>
      <c r="DL430" s="104">
        <f>('Renewable Diesel'!$AT439*'RD Feedstock Breakdown'!$DL$3*'Feedstock Conversion Rates'!$B$6)/12</f>
        <v>10.747916666666669</v>
      </c>
      <c r="DM430" s="104">
        <f>('Renewable Diesel'!$AT439*'RD Feedstock Breakdown'!$DM$3*'Feedstock Conversion Rates'!$B$8)/12</f>
        <v>10.7421875</v>
      </c>
      <c r="DN430" s="106">
        <f t="shared" si="453"/>
        <v>39.26197916666667</v>
      </c>
      <c r="DP430" s="104">
        <f t="shared" si="426"/>
        <v>103.22025000000001</v>
      </c>
      <c r="DQ430" s="104">
        <f t="shared" si="427"/>
        <v>349.11776750000007</v>
      </c>
      <c r="DR430" s="104">
        <f t="shared" si="432"/>
        <v>1891.953125</v>
      </c>
      <c r="DS430" s="104">
        <f t="shared" si="444"/>
        <v>228.90125</v>
      </c>
      <c r="DT430" s="104">
        <f t="shared" si="428"/>
        <v>243.03923333333344</v>
      </c>
      <c r="DU430" s="104">
        <f t="shared" si="429"/>
        <v>402.90610000000009</v>
      </c>
      <c r="DV430" s="104">
        <f t="shared" si="433"/>
        <v>78.75</v>
      </c>
      <c r="DW430" s="104">
        <f t="shared" si="430"/>
        <v>3</v>
      </c>
      <c r="DX430" s="106">
        <f t="shared" si="434"/>
        <v>3300.8877258333337</v>
      </c>
      <c r="DY430" s="109">
        <f t="shared" si="421"/>
        <v>-5.631051180898794E-13</v>
      </c>
      <c r="EA430" s="110">
        <f t="shared" si="424"/>
        <v>3.1270451640078516E-2</v>
      </c>
      <c r="EB430" s="110">
        <f t="shared" si="424"/>
        <v>0.10576481131658687</v>
      </c>
      <c r="EC430" s="110">
        <f t="shared" si="424"/>
        <v>0.57316494293133291</v>
      </c>
      <c r="ED430" s="110">
        <f t="shared" si="424"/>
        <v>6.9345360706629972E-2</v>
      </c>
      <c r="EE430" s="110">
        <f t="shared" si="424"/>
        <v>7.3628445896921982E-2</v>
      </c>
      <c r="EF430" s="110">
        <f t="shared" si="424"/>
        <v>0.1220599225010852</v>
      </c>
      <c r="EG430" s="110">
        <f t="shared" si="424"/>
        <v>2.3857218585075921E-2</v>
      </c>
      <c r="EH430" s="111">
        <f t="shared" si="435"/>
        <v>9.0884642228860647E-4</v>
      </c>
      <c r="EI430" s="110">
        <f t="shared" si="409"/>
        <v>0.99909115357771139</v>
      </c>
      <c r="EK430" s="132">
        <f>(EA430*'Renewable Diesel'!BF439*'Feedstock Conversion Rates'!B$2)+FB430</f>
        <v>563.44794051687586</v>
      </c>
      <c r="EL430" s="132">
        <f>(EB430*'Renewable Diesel'!BF439*'Feedstock Conversion Rates'!B$3)+FC430</f>
        <v>1795.868080076915</v>
      </c>
      <c r="EM430" s="132">
        <f>(EC430*'Renewable Diesel'!BF439*'Feedstock Conversion Rates'!B$4)+FD430</f>
        <v>9112.5851402765711</v>
      </c>
      <c r="EN430" s="132">
        <f>(ED430*'Renewable Diesel'!BF439*'Feedstock Conversion Rates'!B$5)+FE430</f>
        <v>1109.8520267001882</v>
      </c>
      <c r="EO430" s="132">
        <f>(EE430*'Renewable Diesel'!BF439*'Feedstock Conversion Rates'!B$6)+FF430</f>
        <v>1464.0273446834908</v>
      </c>
      <c r="EP430" s="132">
        <f>(EF430*'Renewable Diesel'!BF439*'Feedstock Conversion Rates'!B$7)+FG430</f>
        <v>2380.4640851263825</v>
      </c>
      <c r="EQ430" s="132">
        <f>(EG430*'Renewable Diesel'!BF439*'Feedstock Conversion Rates'!B$8)+FH430</f>
        <v>474.12385005361853</v>
      </c>
      <c r="ER430" s="132">
        <f>(EH430*'Renewable Diesel'!BF439*'Feedstock Conversion Rates'!B$9)+FI430</f>
        <v>17.821036141697917</v>
      </c>
      <c r="ES430" s="132">
        <f t="shared" si="436"/>
        <v>16918.189503575741</v>
      </c>
      <c r="ET430" s="133">
        <f>ES430/'Renewable Diesel'!BF439</f>
        <v>17.396088603259919</v>
      </c>
      <c r="EW430" s="73">
        <f t="shared" si="461"/>
        <v>15755.056132838134</v>
      </c>
      <c r="EX430" s="73">
        <f t="shared" si="462"/>
        <v>10319.64806352513</v>
      </c>
      <c r="EY430" s="92">
        <f t="shared" si="410"/>
        <v>0.93124953645354469</v>
      </c>
      <c r="EZ430" s="92">
        <f t="shared" si="410"/>
        <v>0.6099735471897878</v>
      </c>
      <c r="FB430" s="102">
        <f>IF('Renewable Diesel'!$BG439&lt;1,0,(((('Renewable Diesel'!$BG439-1)*'Renewable Diesel'!$BF439)*'RD Feedstock Breakdown'!EA430)*'Feedstock Conversion Rates'!$B$2))</f>
        <v>304.95103183902864</v>
      </c>
      <c r="FC430" s="102">
        <f>IF('Renewable Diesel'!$BG439&lt;1,0,(((('Renewable Diesel'!$BG439-1)*'Renewable Diesel'!$BF439)*'RD Feedstock Breakdown'!EB430)*'Feedstock Conversion Rates'!$B$3))</f>
        <v>971.96526011585945</v>
      </c>
      <c r="FD430" s="102">
        <f>IF('Renewable Diesel'!$BG439&lt;1,0,(((('Renewable Diesel'!$BG439-1)*'Renewable Diesel'!$BF439)*'RD Feedstock Breakdown'!EC430)*'Feedstock Conversion Rates'!$B$4))</f>
        <v>4931.9414295828974</v>
      </c>
      <c r="FE430" s="102">
        <f>IF('Renewable Diesel'!$BG439&lt;1,0,(((('Renewable Diesel'!$BG439-1)*'Renewable Diesel'!$BF439)*'RD Feedstock Breakdown'!ED430)*'Feedstock Conversion Rates'!$B$5))</f>
        <v>600.67753627847821</v>
      </c>
      <c r="FF430" s="102">
        <f>IF('Renewable Diesel'!$BG439&lt;1,0,(((('Renewable Diesel'!$BG439-1)*'Renewable Diesel'!$BF439)*'RD Feedstock Breakdown'!EE430)*'Feedstock Conversion Rates'!$B$6))</f>
        <v>792.36539402775929</v>
      </c>
      <c r="FG430" s="102">
        <f>IF('Renewable Diesel'!$BG439&lt;1,0,(((('Renewable Diesel'!$BG439-1)*'Renewable Diesel'!$BF439)*'RD Feedstock Breakdown'!EF430)*'Feedstock Conversion Rates'!$B$7))</f>
        <v>1288.3621126543055</v>
      </c>
      <c r="FH430" s="102">
        <f>IF('Renewable Diesel'!$BG439&lt;1,0,(((('Renewable Diesel'!$BG439-1)*'Renewable Diesel'!$BF439)*'RD Feedstock Breakdown'!EG430)*'Feedstock Conversion Rates'!$B$8))</f>
        <v>256.60677215486851</v>
      </c>
      <c r="FI430" s="102">
        <f>IF('Renewable Diesel'!$BG439&lt;1,0,(((('Renewable Diesel'!$BG439-1)*'Renewable Diesel'!$BF439)*'RD Feedstock Breakdown'!EH430)*'Feedstock Conversion Rates'!$B$9))</f>
        <v>9.6451561343290262</v>
      </c>
      <c r="FJ430" s="102">
        <f t="shared" si="463"/>
        <v>9156.5146927875248</v>
      </c>
      <c r="GD430" s="91">
        <f>'Renewable Diesel'!BB439*0.32</f>
        <v>0</v>
      </c>
      <c r="GE430" s="91">
        <f>'Renewable Diesel'!BC439</f>
        <v>526.11591704737737</v>
      </c>
      <c r="GF430" s="91">
        <f>'Renewable Diesel'!BD439</f>
        <v>0</v>
      </c>
      <c r="GG430" s="91">
        <f t="shared" si="451"/>
        <v>526.11591704737737</v>
      </c>
      <c r="GH430" s="124">
        <v>1</v>
      </c>
      <c r="GI430" s="102">
        <f>$GG430*EA430*'Feedstock Conversion Rates'!$B$2</f>
        <v>139.84099989939739</v>
      </c>
      <c r="GJ430" s="102">
        <f>$GG430*EB430*'Feedstock Conversion Rates'!$B$3</f>
        <v>445.71285108432318</v>
      </c>
      <c r="GK430" s="102">
        <f>$GG430*EC430*'Feedstock Conversion Rates'!$B$4</f>
        <v>2261.6339967729446</v>
      </c>
      <c r="GL430" s="102">
        <f>$GG430*ED430*'Feedstock Conversion Rates'!$B$5</f>
        <v>275.45192021068095</v>
      </c>
      <c r="GM430" s="102">
        <f>$GG430*EE430*'Feedstock Conversion Rates'!$B$6</f>
        <v>363.35397299134718</v>
      </c>
      <c r="GN430" s="102">
        <f>$GG430*EF430*'Feedstock Conversion Rates'!$B$7</f>
        <v>590.80254616479033</v>
      </c>
      <c r="GO430" s="102">
        <f>$GG430*EG430*'Feedstock Conversion Rates'!$B$8</f>
        <v>117.67183531956519</v>
      </c>
      <c r="GP430" s="102">
        <f>$GG430*EH430*'Feedstock Conversion Rates'!B$9</f>
        <v>4.4229667624877829</v>
      </c>
      <c r="GQ430" s="102">
        <f t="shared" si="437"/>
        <v>4198.8910892055364</v>
      </c>
      <c r="GT430" s="103">
        <f t="shared" si="418"/>
        <v>3.3304269372191893E-2</v>
      </c>
      <c r="GU430" s="103">
        <f t="shared" si="418"/>
        <v>0.1061501338365639</v>
      </c>
      <c r="GV430" s="103">
        <f t="shared" si="418"/>
        <v>0.53862649654979833</v>
      </c>
      <c r="GW430" s="103">
        <f t="shared" si="418"/>
        <v>6.5601110950176775E-2</v>
      </c>
      <c r="GX430" s="103">
        <f t="shared" si="465"/>
        <v>8.6535698419388296E-2</v>
      </c>
      <c r="GY430" s="103">
        <f t="shared" si="465"/>
        <v>0.14070442257566981</v>
      </c>
      <c r="GZ430" s="103">
        <f t="shared" si="465"/>
        <v>2.802450285554552E-2</v>
      </c>
      <c r="HA430" s="103">
        <f t="shared" si="465"/>
        <v>1.053365440665584E-3</v>
      </c>
    </row>
    <row r="431" spans="1:209" x14ac:dyDescent="0.25">
      <c r="A431" s="96">
        <v>53540</v>
      </c>
      <c r="B431" s="104">
        <f t="shared" si="406"/>
        <v>44.25</v>
      </c>
      <c r="C431" s="104">
        <f t="shared" si="466"/>
        <v>49</v>
      </c>
      <c r="D431" s="104">
        <f t="shared" si="407"/>
        <v>2</v>
      </c>
      <c r="E431" s="104">
        <f>('Renewable Diesel'!B440*E$3*'Feedstock Conversion Rates'!$B$2)/12+26+13-100+27.5+39</f>
        <v>95.43</v>
      </c>
      <c r="F431" s="104">
        <f>('Renewable Diesel'!B440*'RD Feedstock Breakdown'!F$3*'Feedstock Conversion Rates'!B$8)/12+77+23-10-12-115.75+24+8</f>
        <v>48.15625</v>
      </c>
      <c r="G431" s="104">
        <f>('Renewable Diesel'!B440*'RD Feedstock Breakdown'!G$3*'Feedstock Conversion Rates'!B$7)/12+116.75-39-57.5-145-31.5+32+70-40+10+60</f>
        <v>151.90700000000004</v>
      </c>
      <c r="H431" s="104">
        <f>('Renewable Diesel'!B440*'RD Feedstock Breakdown'!H$3*'Feedstock Conversion Rates'!B$3)/12+67+10+12+3-235+20+47-20+25</f>
        <v>105.40022499999998</v>
      </c>
      <c r="I431" s="106">
        <f t="shared" si="449"/>
        <v>496.14347500000002</v>
      </c>
      <c r="J431" s="104">
        <f t="shared" si="417"/>
        <v>4</v>
      </c>
      <c r="K431" s="104"/>
      <c r="L431" s="104">
        <v>1</v>
      </c>
      <c r="M431" s="104">
        <f>('Renewable Diesel'!C440*'RD Feedstock Breakdown'!M$3*'Feedstock Conversion Rates'!B$2)/12</f>
        <v>7.7902500000000003</v>
      </c>
      <c r="N431" s="104">
        <f>('Renewable Diesel'!C440*'RD Feedstock Breakdown'!N$3*'Feedstock Conversion Rates'!B$8)/12</f>
        <v>3.671875</v>
      </c>
      <c r="O431" s="104">
        <f>('Renewable Diesel'!C440*'RD Feedstock Breakdown'!O$3*'Feedstock Conversion Rates'!B$7)/12</f>
        <v>11.9991</v>
      </c>
      <c r="P431" s="104">
        <f>('Renewable Diesel'!C440*'RD Feedstock Breakdown'!P$3*'Feedstock Conversion Rates'!B$3)/12</f>
        <v>10.4470425</v>
      </c>
      <c r="Q431" s="106">
        <f t="shared" si="455"/>
        <v>38.908267500000001</v>
      </c>
      <c r="R431" s="104">
        <f>('Renewable Diesel'!D440*'RD Feedstock Breakdown'!R$3*'Feedstock Conversion Rates'!B$7)/12</f>
        <v>2.2999999999999998</v>
      </c>
      <c r="S431" s="106">
        <f t="shared" si="414"/>
        <v>2.2999999999999998</v>
      </c>
      <c r="T431" s="104">
        <f t="shared" si="456"/>
        <v>0.82499999999999929</v>
      </c>
      <c r="U431" s="104"/>
      <c r="V431" s="104">
        <f>('Renewable Diesel'!E440*'RD Feedstock Breakdown'!V$3*'Feedstock Conversion Rates'!B$6)/12-20+25</f>
        <v>49.250150000000012</v>
      </c>
      <c r="W431" s="104">
        <f>('Renewable Diesel'!E440*'RD Feedstock Breakdown'!W$3*'Feedstock Conversion Rates'!B$8)/12-6</f>
        <v>16.1796875</v>
      </c>
      <c r="X431" s="106">
        <f t="shared" si="438"/>
        <v>66.254837500000008</v>
      </c>
      <c r="Y431" s="104">
        <f t="shared" si="457"/>
        <v>98</v>
      </c>
      <c r="Z431" s="104">
        <f>('Renewable Diesel'!F440*'RD Feedstock Breakdown'!Z$3*'Feedstock Conversion Rates'!B$6)/12-142+15+5+20+5+15</f>
        <v>77.460000000000008</v>
      </c>
      <c r="AA431" s="104">
        <f>('Renewable Diesel'!F440*'RD Feedstock Breakdown'!AA$3*'Feedstock Conversion Rates'!B$7)/12+24</f>
        <v>128.26666666666665</v>
      </c>
      <c r="AB431" s="106">
        <f t="shared" si="400"/>
        <v>303.72666666666669</v>
      </c>
      <c r="AC431" s="104">
        <f>('Renewable Diesel'!G440*'RD Feedstock Breakdown'!AC$3*'Feedstock Conversion Rates'!B$5)/12</f>
        <v>11.796875</v>
      </c>
      <c r="AD431" s="104">
        <f>('Renewable Diesel'!G440*'RD Feedstock Breakdown'!AD$3*'Feedstock Conversion Rates'!B$4)/12</f>
        <v>5.859375</v>
      </c>
      <c r="AE431" s="104">
        <f>('Renewable Diesel'!G440*'RD Feedstock Breakdown'!AE$3*'Feedstock Conversion Rates'!B$6)/12</f>
        <v>7.3281250000000009</v>
      </c>
      <c r="AF431" s="106">
        <f t="shared" si="445"/>
        <v>24.984375</v>
      </c>
      <c r="AG431" s="104">
        <f t="shared" si="459"/>
        <v>148</v>
      </c>
      <c r="AH431" s="104"/>
      <c r="AI431" s="104">
        <f>('Renewable Diesel'!H440*'RD Feedstock Breakdown'!AI$3*'Feedstock Conversion Rates'!B$6)/12-130-20+51-49</f>
        <v>0.51666666666667993</v>
      </c>
      <c r="AJ431" s="106">
        <f t="shared" si="413"/>
        <v>148.51666666666668</v>
      </c>
      <c r="AK431" s="104">
        <f>('Renewable Diesel'!J440*'RD Feedstock Breakdown'!AK$3*'Feedstock Conversion Rates'!B$4)/12</f>
        <v>95.8125</v>
      </c>
      <c r="AL431" s="106">
        <f t="shared" si="415"/>
        <v>95.8125</v>
      </c>
      <c r="AM431" s="104">
        <f>('Renewable Diesel'!K440*'RD Feedstock Breakdown'!AM$3*'Feedstock Conversion Rates'!B$4)/12+5+15-10+10</f>
        <v>78.59375</v>
      </c>
      <c r="AN431" s="104">
        <f>('Renewable Diesel'!K440*'RD Feedstock Breakdown'!AN$3*'Feedstock Conversion Rates'!B$6)/12-5-15+10-10</f>
        <v>4.4270833333333321</v>
      </c>
      <c r="AO431" s="106">
        <f t="shared" si="431"/>
        <v>83.020833333333329</v>
      </c>
      <c r="AP431" s="104">
        <f>('Renewable Diesel'!L440*'RD Feedstock Breakdown'!AP$3*'Feedstock Conversion Rates'!B$4)/12+15-10+15</f>
        <v>78.59375</v>
      </c>
      <c r="AQ431" s="104">
        <f>('Renewable Diesel'!L440*'RD Feedstock Breakdown'!AQ$3*'Feedstock Conversion Rates'!B$6)/12-15+10-15</f>
        <v>4.4270833333333321</v>
      </c>
      <c r="AR431" s="106">
        <f t="shared" si="420"/>
        <v>83.020833333333329</v>
      </c>
      <c r="AS431" s="104">
        <f>('Renewable Diesel'!M440*'RD Feedstock Breakdown'!AS$3*'Feedstock Conversion Rates'!B$4)/12</f>
        <v>456.25</v>
      </c>
      <c r="AT431" s="104">
        <f>('Renewable Diesel'!M440*'RD Feedstock Breakdown'!AT$3*'Feedstock Conversion Rates'!B$5)/12</f>
        <v>0</v>
      </c>
      <c r="AU431" s="106">
        <f t="shared" si="448"/>
        <v>456.25</v>
      </c>
      <c r="AV431" s="104">
        <f>'Renewable Diesel'!N440*'RD Feedstock Breakdown'!$AV$3*'Feedstock Conversion Rates'!$B$4/12-15-10+25+25-22+25</f>
        <v>106.74999999999999</v>
      </c>
      <c r="AW431" s="104">
        <f>'Renewable Diesel'!N440*'RD Feedstock Breakdown'!$AW$3*'Feedstock Conversion Rates'!$B$7/12+15+10-25-25+22-25</f>
        <v>13.400000000000006</v>
      </c>
      <c r="AX431" s="106">
        <f t="shared" si="408"/>
        <v>120.14999999999999</v>
      </c>
      <c r="AY431" s="104">
        <f>('Renewable Diesel'!O440*'RD Feedstock Breakdown'!AY$3*'Feedstock Conversion Rates'!B$4)/12</f>
        <v>210.9375</v>
      </c>
      <c r="AZ431" s="104">
        <f>('Renewable Diesel'!O440*'RD Feedstock Breakdown'!AZ$3*'Feedstock Conversion Rates'!B$3)/12</f>
        <v>25.03125</v>
      </c>
      <c r="BA431" s="106">
        <f t="shared" si="458"/>
        <v>235.96875</v>
      </c>
      <c r="BB431" s="104">
        <f>('Renewable Diesel'!Q440*'RD Feedstock Breakdown'!BB$3*'Feedstock Conversion Rates'!B$4)/12</f>
        <v>11.156249999999998</v>
      </c>
      <c r="BC431" s="104">
        <f>('Renewable Diesel'!Q440*'RD Feedstock Breakdown'!BC$3*'Feedstock Conversion Rates'!B$3)/12</f>
        <v>1.4017500000000001</v>
      </c>
      <c r="BD431" s="104">
        <f>('Renewable Diesel'!Q440*'RD Feedstock Breakdown'!BD$3*'Feedstock Conversion Rates'!B$6)/12</f>
        <v>0.8207500000000002</v>
      </c>
      <c r="BE431" s="106">
        <f t="shared" si="440"/>
        <v>13.378749999999998</v>
      </c>
      <c r="BF431" s="104">
        <f>('Renewable Diesel'!R440*'RD Feedstock Breakdown'!BF$3*'Feedstock Conversion Rates'!B$4)/12</f>
        <v>62.5</v>
      </c>
      <c r="BG431" s="106">
        <f t="shared" si="425"/>
        <v>62.5</v>
      </c>
      <c r="BH431" s="104">
        <f>('Renewable Diesel'!T440*'RD Feedstock Breakdown'!BH$3*'Feedstock Conversion Rates'!B$7)/12</f>
        <v>27.599999999999998</v>
      </c>
      <c r="BI431" s="106">
        <f t="shared" si="412"/>
        <v>27.599999999999998</v>
      </c>
      <c r="BJ431" s="104">
        <f>('Renewable Diesel'!W440*'RD Feedstock Breakdown'!BJ$3*'Feedstock Conversion Rates'!B$4)/12</f>
        <v>7.5</v>
      </c>
      <c r="BK431" s="104">
        <f>('Renewable Diesel'!W440*'RD Feedstock Breakdown'!BK$3*'Feedstock Conversion Rates'!B$3)/12</f>
        <v>1.335</v>
      </c>
      <c r="BL431" s="104">
        <f>('Renewable Diesel'!W440*'RD Feedstock Breakdown'!BL$3*'Feedstock Conversion Rates'!B$6)/12</f>
        <v>3.1266666666666669</v>
      </c>
      <c r="BM431" s="104">
        <f>('Renewable Diesel'!W440*'RD Feedstock Breakdown'!BM$3*'Feedstock Conversion Rates'!B$7)/12</f>
        <v>1.5333333333333332</v>
      </c>
      <c r="BN431" s="106">
        <f t="shared" si="452"/>
        <v>13.495000000000001</v>
      </c>
      <c r="BO431" s="104">
        <f>('Renewable Diesel'!P440*'Feedstock Conversion Rates'!B$4)/12</f>
        <v>31.25</v>
      </c>
      <c r="BP431" s="106">
        <f t="shared" si="446"/>
        <v>31.25</v>
      </c>
      <c r="BQ431" s="104">
        <f>('Renewable Diesel'!$S440*'RD Feedstock Breakdown'!BQ$3*'Feedstock Conversion Rates'!B$4)/12+10+15-15</f>
        <v>38.125</v>
      </c>
      <c r="BR431" s="104">
        <f>('Renewable Diesel'!$S440*'RD Feedstock Breakdown'!BR$3*'Feedstock Conversion Rates'!B$7)/12-10-15+15</f>
        <v>1.5</v>
      </c>
      <c r="BS431" s="106">
        <f t="shared" si="460"/>
        <v>39.625</v>
      </c>
      <c r="BT431" s="106"/>
      <c r="BU431" s="104">
        <f>('Renewable Diesel'!Y440*'Feedstock Conversion Rates'!B$7)/12</f>
        <v>2.6833333333333331</v>
      </c>
      <c r="BV431" s="106">
        <f t="shared" si="442"/>
        <v>2.6833333333333331</v>
      </c>
      <c r="BW431" s="104">
        <f>('Renewable Diesel'!$Z440*'RD Feedstock Breakdown'!BW$3*'Feedstock Conversion Rates'!$B$4)/12-250+180</f>
        <v>1.875</v>
      </c>
      <c r="BX431" s="104">
        <f>('Renewable Diesel'!$Z440*'RD Feedstock Breakdown'!BX$3*'Feedstock Conversion Rates'!$B$5)/12</f>
        <v>7.2354166666666666</v>
      </c>
      <c r="BY431" s="104">
        <f>('Renewable Diesel'!$Z440*'RD Feedstock Breakdown'!BY$3*'Feedstock Conversion Rates'!$B$7)/12</f>
        <v>61.716666666666661</v>
      </c>
      <c r="BZ431" s="104">
        <f>('Renewable Diesel'!$Z440*'RD Feedstock Breakdown'!BZ$3*'Feedstock Conversion Rates'!$B$3)/12+250-180</f>
        <v>85.35250000000002</v>
      </c>
      <c r="CA431" s="106">
        <f t="shared" si="464"/>
        <v>156.17958333333334</v>
      </c>
      <c r="CB431" s="104">
        <f>('Renewable Diesel'!AA440*'Feedstock Conversion Rates'!B$4)/12</f>
        <v>191.25</v>
      </c>
      <c r="CC431" s="106">
        <f t="shared" si="454"/>
        <v>191.25</v>
      </c>
      <c r="CD431" s="104">
        <f>('Renewable Diesel'!$AB440*'RD Feedstock Breakdown'!CD$3*'Feedstock Conversion Rates'!$B$6)/12-15-5</f>
        <v>12.830000000000005</v>
      </c>
      <c r="CE431" s="104">
        <f>('Renewable Diesel'!$AB440*'RD Feedstock Breakdown'!CE$3*'Feedstock Conversion Rates'!$B$4)/12+15+5</f>
        <v>31.25</v>
      </c>
      <c r="CF431" s="106">
        <f t="shared" si="450"/>
        <v>44.080000000000005</v>
      </c>
      <c r="CG431" s="104">
        <f>('Renewable Diesel'!AD440*'Feedstock Conversion Rates'!B$4)/12</f>
        <v>112.5</v>
      </c>
      <c r="CH431" s="106">
        <f t="shared" si="439"/>
        <v>112.5</v>
      </c>
      <c r="CI431" s="104">
        <f>('Renewable Diesel'!$AE440*'RD Feedstock Breakdown'!CI$3*'Feedstock Conversion Rates'!$B$5)/12</f>
        <v>0.34604166666666664</v>
      </c>
      <c r="CJ431" s="104">
        <f>('Renewable Diesel'!$AE440*'RD Feedstock Breakdown'!CJ$3*'Feedstock Conversion Rates'!$B$4)/12</f>
        <v>0.34375</v>
      </c>
      <c r="CK431" s="106">
        <f t="shared" si="447"/>
        <v>0.68979166666666658</v>
      </c>
      <c r="CL431" s="104">
        <f>(((CL$3*'Renewable Diesel'!$AF440)*'Feedstock Conversion Rates'!$B$3)/12)</f>
        <v>91.78125</v>
      </c>
      <c r="CM431" s="104">
        <f>(((CM$3*'Renewable Diesel'!$AF440)*'Feedstock Conversion Rates'!$B$6)/12)</f>
        <v>53.739583333333336</v>
      </c>
      <c r="CN431" s="104">
        <f>(((CN$3*'Renewable Diesel'!$AF440)*'Feedstock Conversion Rates'!$B$4)/12)</f>
        <v>42.96875</v>
      </c>
      <c r="CO431" s="106">
        <f t="shared" si="441"/>
        <v>188.48958333333334</v>
      </c>
      <c r="CP431" s="104">
        <f>('Renewable Diesel'!$AG440*'RD Feedstock Breakdown'!CP$3*'Feedstock Conversion Rates'!$B$3)/12</f>
        <v>6.0075000000000003</v>
      </c>
      <c r="CQ431" s="104">
        <f>('Renewable Diesel'!$AG440*'RD Feedstock Breakdown'!CQ$3*'Feedstock Conversion Rates'!$B$6)/12</f>
        <v>3.5175000000000001</v>
      </c>
      <c r="CR431" s="104">
        <f>('Renewable Diesel'!$AG440*'RD Feedstock Breakdown'!CR$3*'Feedstock Conversion Rates'!$B$4)/12</f>
        <v>2.8125</v>
      </c>
      <c r="CS431" s="106">
        <f t="shared" si="397"/>
        <v>12.3375</v>
      </c>
      <c r="CT431" s="104">
        <f>('Renewable Diesel'!AI440*'Feedstock Conversion Rates'!$B$4*'RD Feedstock Breakdown'!$CT$3)/12</f>
        <v>29.375</v>
      </c>
      <c r="CU431" s="106">
        <f t="shared" si="443"/>
        <v>29.375</v>
      </c>
      <c r="CV431" s="104">
        <f>('Renewable Diesel'!AN440*'Feedstock Conversion Rates'!$B$3*'RD Feedstock Breakdown'!$CV$3)/12</f>
        <v>0.50062499999999999</v>
      </c>
      <c r="CW431" s="106">
        <f t="shared" si="419"/>
        <v>0.50062499999999999</v>
      </c>
      <c r="CX431" s="104">
        <f>('Renewable Diesel'!AO440*'RD Feedstock Breakdown'!$CX$3*'Feedstock Conversion Rates'!$B$3)/12</f>
        <v>6.3412499999999996</v>
      </c>
      <c r="CY431" s="104">
        <f>('Renewable Diesel'!AO440*'RD Feedstock Breakdown'!$CY$3*'Feedstock Conversion Rates'!$B$6)/12</f>
        <v>7.4258333333333342</v>
      </c>
      <c r="CZ431" s="106">
        <f t="shared" si="398"/>
        <v>13.767083333333334</v>
      </c>
      <c r="DA431" s="104">
        <f>('Renewable Diesel'!$AP440*'RD Feedstock Breakdown'!DA$3*'Feedstock Conversion Rates'!$B$3)/12</f>
        <v>6.3412499999999996</v>
      </c>
      <c r="DB431" s="104">
        <f>('Renewable Diesel'!$AP440*'RD Feedstock Breakdown'!DB$3*'Feedstock Conversion Rates'!$B$8)/12</f>
        <v>7.421875</v>
      </c>
      <c r="DC431" s="106">
        <f t="shared" si="422"/>
        <v>13.763124999999999</v>
      </c>
      <c r="DD431" s="104">
        <f>('Renewable Diesel'!AQ440*$DD$3*'Feedstock Conversion Rates'!$B$14)/12</f>
        <v>3.1041666666666665</v>
      </c>
      <c r="DE431" s="106">
        <f t="shared" si="423"/>
        <v>3.1041666666666665</v>
      </c>
      <c r="DF431" s="104">
        <f>('Renewable Diesel'!AR440*'Feedstock Conversion Rates'!$B$4*$DF$3)/12</f>
        <v>75</v>
      </c>
      <c r="DG431" s="106">
        <f t="shared" si="399"/>
        <v>75</v>
      </c>
      <c r="DH431" s="104">
        <f>('Renewable Diesel'!AS440*'Feedstock Conversion Rates'!$B$4*$DH$3)/12</f>
        <v>75</v>
      </c>
      <c r="DI431" s="106">
        <f t="shared" si="411"/>
        <v>75</v>
      </c>
      <c r="DJ431" s="104">
        <f>('Renewable Diesel'!AT440*'Feedstock Conversion Rates'!$B$4*0.25)/12</f>
        <v>8.59375</v>
      </c>
      <c r="DK431" s="104">
        <f>('Renewable Diesel'!$AT440*'RD Feedstock Breakdown'!DK$3*'Feedstock Conversion Rates'!$B$3)/12*0.5</f>
        <v>9.1781249999999996</v>
      </c>
      <c r="DL431" s="104">
        <f>('Renewable Diesel'!$AT440*'RD Feedstock Breakdown'!$DL$3*'Feedstock Conversion Rates'!$B$6)/12</f>
        <v>10.747916666666669</v>
      </c>
      <c r="DM431" s="104">
        <f>('Renewable Diesel'!$AT440*'RD Feedstock Breakdown'!$DM$3*'Feedstock Conversion Rates'!$B$8)/12</f>
        <v>10.7421875</v>
      </c>
      <c r="DN431" s="106">
        <f t="shared" si="453"/>
        <v>39.26197916666667</v>
      </c>
      <c r="DP431" s="104">
        <f t="shared" si="426"/>
        <v>103.22025000000001</v>
      </c>
      <c r="DQ431" s="104">
        <f t="shared" si="427"/>
        <v>349.11776750000007</v>
      </c>
      <c r="DR431" s="104">
        <f t="shared" si="432"/>
        <v>1891.953125</v>
      </c>
      <c r="DS431" s="104">
        <f t="shared" si="444"/>
        <v>228.90125</v>
      </c>
      <c r="DT431" s="104">
        <f t="shared" si="428"/>
        <v>243.03923333333344</v>
      </c>
      <c r="DU431" s="104">
        <f t="shared" si="429"/>
        <v>402.90610000000009</v>
      </c>
      <c r="DV431" s="104">
        <f t="shared" si="433"/>
        <v>78.75</v>
      </c>
      <c r="DW431" s="104">
        <f t="shared" si="430"/>
        <v>3</v>
      </c>
      <c r="DX431" s="106">
        <f t="shared" si="434"/>
        <v>3300.8877258333337</v>
      </c>
      <c r="DY431" s="109">
        <f t="shared" si="421"/>
        <v>-5.631051180898794E-13</v>
      </c>
      <c r="EA431" s="110">
        <f t="shared" si="424"/>
        <v>3.1270451640078516E-2</v>
      </c>
      <c r="EB431" s="110">
        <f t="shared" si="424"/>
        <v>0.10576481131658687</v>
      </c>
      <c r="EC431" s="110">
        <f t="shared" si="424"/>
        <v>0.57316494293133291</v>
      </c>
      <c r="ED431" s="110">
        <f t="shared" si="424"/>
        <v>6.9345360706629972E-2</v>
      </c>
      <c r="EE431" s="110">
        <f t="shared" si="424"/>
        <v>7.3628445896921982E-2</v>
      </c>
      <c r="EF431" s="110">
        <f t="shared" si="424"/>
        <v>0.1220599225010852</v>
      </c>
      <c r="EG431" s="110">
        <f t="shared" si="424"/>
        <v>2.3857218585075921E-2</v>
      </c>
      <c r="EH431" s="111">
        <f t="shared" si="435"/>
        <v>9.0884642228860647E-4</v>
      </c>
      <c r="EI431" s="110">
        <f t="shared" si="409"/>
        <v>0.99909115357771139</v>
      </c>
      <c r="EK431" s="132">
        <f>(EA431*'Renewable Diesel'!BF440*'Feedstock Conversion Rates'!B$2)+FB431</f>
        <v>606.47189270041918</v>
      </c>
      <c r="EL431" s="132">
        <f>(EB431*'Renewable Diesel'!BF440*'Feedstock Conversion Rates'!B$3)+FC431</f>
        <v>1932.9975943569784</v>
      </c>
      <c r="EM431" s="132">
        <f>(EC431*'Renewable Diesel'!BF440*'Feedstock Conversion Rates'!B$4)+FD431</f>
        <v>9808.4070594836485</v>
      </c>
      <c r="EN431" s="132">
        <f>(ED431*'Renewable Diesel'!BF440*'Feedstock Conversion Rates'!B$5)+FE431</f>
        <v>1194.5984905593943</v>
      </c>
      <c r="EO431" s="132">
        <f>(EE431*'Renewable Diesel'!BF440*'Feedstock Conversion Rates'!B$6)+FF431</f>
        <v>1575.8180496335892</v>
      </c>
      <c r="EP431" s="132">
        <f>(EF431*'Renewable Diesel'!BF440*'Feedstock Conversion Rates'!B$7)+FG431</f>
        <v>2562.2323827958498</v>
      </c>
      <c r="EQ431" s="132">
        <f>(EG431*'Renewable Diesel'!BF440*'Feedstock Conversion Rates'!B$8)+FH431</f>
        <v>510.32716252836428</v>
      </c>
      <c r="ER431" s="132">
        <f>(EH431*'Renewable Diesel'!BF440*'Feedstock Conversion Rates'!B$9)+FI431</f>
        <v>19.181820966145501</v>
      </c>
      <c r="ES431" s="132">
        <f t="shared" si="436"/>
        <v>18210.034453024389</v>
      </c>
      <c r="ET431" s="133">
        <f>ES431/'Renewable Diesel'!BF440</f>
        <v>17.754556672592329</v>
      </c>
      <c r="EW431" s="73">
        <f t="shared" si="461"/>
        <v>17060.004763106226</v>
      </c>
      <c r="EX431" s="73">
        <f t="shared" si="462"/>
        <v>11174.396564057448</v>
      </c>
      <c r="EY431" s="92">
        <f t="shared" si="410"/>
        <v>0.93684637484432864</v>
      </c>
      <c r="EZ431" s="92">
        <f t="shared" si="410"/>
        <v>0.61363950699179282</v>
      </c>
      <c r="FB431" s="102">
        <f>IF('Renewable Diesel'!$BG440&lt;1,0,(((('Renewable Diesel'!$BG440-1)*'Renewable Diesel'!$BF440)*'RD Feedstock Breakdown'!EA431)*'Feedstock Conversion Rates'!$B$2))</f>
        <v>333.85421466201183</v>
      </c>
      <c r="FC431" s="102">
        <f>IF('Renewable Diesel'!$BG440&lt;1,0,(((('Renewable Diesel'!$BG440-1)*'Renewable Diesel'!$BF440)*'RD Feedstock Breakdown'!EB431)*'Feedstock Conversion Rates'!$B$3))</f>
        <v>1064.0878853167023</v>
      </c>
      <c r="FD431" s="102">
        <f>IF('Renewable Diesel'!$BG440&lt;1,0,(((('Renewable Diesel'!$BG440-1)*'Renewable Diesel'!$BF440)*'RD Feedstock Breakdown'!EC431)*'Feedstock Conversion Rates'!$B$4))</f>
        <v>5399.3896095474938</v>
      </c>
      <c r="FE431" s="102">
        <f>IF('Renewable Diesel'!$BG440&lt;1,0,(((('Renewable Diesel'!$BG440-1)*'Renewable Diesel'!$BF440)*'RD Feedstock Breakdown'!ED431)*'Feedstock Conversion Rates'!$B$5))</f>
        <v>657.6096035156877</v>
      </c>
      <c r="FF431" s="102">
        <f>IF('Renewable Diesel'!$BG440&lt;1,0,(((('Renewable Diesel'!$BG440-1)*'Renewable Diesel'!$BF440)*'RD Feedstock Breakdown'!EE431)*'Feedstock Conversion Rates'!$B$6))</f>
        <v>867.46558866582313</v>
      </c>
      <c r="FG431" s="102">
        <f>IF('Renewable Diesel'!$BG440&lt;1,0,(((('Renewable Diesel'!$BG440-1)*'Renewable Diesel'!$BF440)*'RD Feedstock Breakdown'!EF431)*'Feedstock Conversion Rates'!$B$7))</f>
        <v>1410.4727527124398</v>
      </c>
      <c r="FH431" s="102">
        <f>IF('Renewable Diesel'!$BG440&lt;1,0,(((('Renewable Diesel'!$BG440-1)*'Renewable Diesel'!$BF440)*'RD Feedstock Breakdown'!EG431)*'Feedstock Conversion Rates'!$B$8))</f>
        <v>280.92789808935225</v>
      </c>
      <c r="FI431" s="102">
        <f>IF('Renewable Diesel'!$BG440&lt;1,0,(((('Renewable Diesel'!$BG440-1)*'Renewable Diesel'!$BF440)*'RD Feedstock Breakdown'!EH431)*'Feedstock Conversion Rates'!$B$9))</f>
        <v>10.559321629771206</v>
      </c>
      <c r="FJ431" s="102">
        <f t="shared" si="463"/>
        <v>10024.366874139283</v>
      </c>
      <c r="GD431" s="91">
        <f>'Renewable Diesel'!BB440*0.32</f>
        <v>0</v>
      </c>
      <c r="GE431" s="91">
        <f>'Renewable Diesel'!BC440</f>
        <v>572.85329173189973</v>
      </c>
      <c r="GF431" s="91">
        <f>'Renewable Diesel'!BD440</f>
        <v>0</v>
      </c>
      <c r="GG431" s="91">
        <f t="shared" si="451"/>
        <v>572.85329173189973</v>
      </c>
      <c r="GH431" s="124">
        <v>1</v>
      </c>
      <c r="GI431" s="102">
        <f>$GG431*EA431*'Feedstock Conversion Rates'!$B$2</f>
        <v>152.26373982567836</v>
      </c>
      <c r="GJ431" s="102">
        <f>$GG431*EB431*'Feedstock Conversion Rates'!$B$3</f>
        <v>485.30763970000163</v>
      </c>
      <c r="GK431" s="102">
        <f>$GG431*EC431*'Feedstock Conversion Rates'!$B$4</f>
        <v>2462.5456819765541</v>
      </c>
      <c r="GL431" s="102">
        <f>$GG431*ED431*'Feedstock Conversion Rates'!$B$5</f>
        <v>299.92162201082334</v>
      </c>
      <c r="GM431" s="102">
        <f>$GG431*EE431*'Feedstock Conversion Rates'!$B$6</f>
        <v>395.63243146132186</v>
      </c>
      <c r="GN431" s="102">
        <f>$GG431*EF431*'Feedstock Conversion Rates'!$B$7</f>
        <v>643.28634121824246</v>
      </c>
      <c r="GO431" s="102">
        <f>$GG431*EG431*'Feedstock Conversion Rates'!$B$8</f>
        <v>128.12518310651436</v>
      </c>
      <c r="GP431" s="102">
        <f>$GG431*EH431*'Feedstock Conversion Rates'!B$9</f>
        <v>4.8158798983527928</v>
      </c>
      <c r="GQ431" s="102">
        <f t="shared" si="437"/>
        <v>4571.8985191974889</v>
      </c>
      <c r="GT431" s="103">
        <f t="shared" si="418"/>
        <v>3.3304269372191886E-2</v>
      </c>
      <c r="GU431" s="103">
        <f t="shared" si="418"/>
        <v>0.1061501338365639</v>
      </c>
      <c r="GV431" s="103">
        <f t="shared" si="418"/>
        <v>0.53862649654979833</v>
      </c>
      <c r="GW431" s="103">
        <f t="shared" si="418"/>
        <v>6.5601110950176761E-2</v>
      </c>
      <c r="GX431" s="103">
        <f t="shared" si="465"/>
        <v>8.6535698419388296E-2</v>
      </c>
      <c r="GY431" s="103">
        <f t="shared" si="465"/>
        <v>0.14070442257566984</v>
      </c>
      <c r="GZ431" s="103">
        <f t="shared" si="465"/>
        <v>2.8024502855545523E-2</v>
      </c>
      <c r="HA431" s="103">
        <f t="shared" si="465"/>
        <v>1.053365440665584E-3</v>
      </c>
    </row>
    <row r="432" spans="1:209" x14ac:dyDescent="0.25">
      <c r="A432" s="96">
        <v>53571</v>
      </c>
      <c r="B432" s="104">
        <f t="shared" si="406"/>
        <v>44.25</v>
      </c>
      <c r="C432" s="104">
        <f t="shared" si="466"/>
        <v>49</v>
      </c>
      <c r="D432" s="104">
        <f t="shared" si="407"/>
        <v>2</v>
      </c>
      <c r="E432" s="104">
        <f>('Renewable Diesel'!B441*E$3*'Feedstock Conversion Rates'!$B$2)/12+26+13-100+27.5+39</f>
        <v>95.43</v>
      </c>
      <c r="F432" s="104">
        <f>('Renewable Diesel'!B441*'RD Feedstock Breakdown'!F$3*'Feedstock Conversion Rates'!B$8)/12+77+23-10-12-115.75+24+8</f>
        <v>48.15625</v>
      </c>
      <c r="G432" s="104">
        <f>('Renewable Diesel'!B441*'RD Feedstock Breakdown'!G$3*'Feedstock Conversion Rates'!B$7)/12+116.75-39-57.5-145-31.5+32+70-40+10+60</f>
        <v>151.90700000000004</v>
      </c>
      <c r="H432" s="104">
        <f>('Renewable Diesel'!B441*'RD Feedstock Breakdown'!H$3*'Feedstock Conversion Rates'!B$3)/12+67+10+12+3-235+20+47-20+25</f>
        <v>105.40022499999998</v>
      </c>
      <c r="I432" s="106">
        <f t="shared" si="449"/>
        <v>496.14347500000002</v>
      </c>
      <c r="J432" s="104">
        <f t="shared" si="417"/>
        <v>4</v>
      </c>
      <c r="K432" s="104"/>
      <c r="L432" s="104">
        <v>1</v>
      </c>
      <c r="M432" s="104">
        <f>('Renewable Diesel'!C441*'RD Feedstock Breakdown'!M$3*'Feedstock Conversion Rates'!B$2)/12</f>
        <v>7.7902500000000003</v>
      </c>
      <c r="N432" s="104">
        <f>('Renewable Diesel'!C441*'RD Feedstock Breakdown'!N$3*'Feedstock Conversion Rates'!B$8)/12</f>
        <v>3.671875</v>
      </c>
      <c r="O432" s="104">
        <f>('Renewable Diesel'!C441*'RD Feedstock Breakdown'!O$3*'Feedstock Conversion Rates'!B$7)/12</f>
        <v>11.9991</v>
      </c>
      <c r="P432" s="104">
        <f>('Renewable Diesel'!C441*'RD Feedstock Breakdown'!P$3*'Feedstock Conversion Rates'!B$3)/12</f>
        <v>10.4470425</v>
      </c>
      <c r="Q432" s="106">
        <f t="shared" si="455"/>
        <v>38.908267500000001</v>
      </c>
      <c r="R432" s="104">
        <f>('Renewable Diesel'!D441*'RD Feedstock Breakdown'!R$3*'Feedstock Conversion Rates'!B$7)/12</f>
        <v>2.2999999999999998</v>
      </c>
      <c r="S432" s="106">
        <f t="shared" si="414"/>
        <v>2.2999999999999998</v>
      </c>
      <c r="T432" s="104">
        <f t="shared" si="456"/>
        <v>0.82499999999999929</v>
      </c>
      <c r="U432" s="104"/>
      <c r="V432" s="104">
        <f>('Renewable Diesel'!E441*'RD Feedstock Breakdown'!V$3*'Feedstock Conversion Rates'!B$6)/12-20+25</f>
        <v>49.250150000000012</v>
      </c>
      <c r="W432" s="104">
        <f>('Renewable Diesel'!E441*'RD Feedstock Breakdown'!W$3*'Feedstock Conversion Rates'!B$8)/12-6</f>
        <v>16.1796875</v>
      </c>
      <c r="X432" s="106">
        <f t="shared" si="438"/>
        <v>66.254837500000008</v>
      </c>
      <c r="Y432" s="104">
        <f t="shared" si="457"/>
        <v>98</v>
      </c>
      <c r="Z432" s="104">
        <f>('Renewable Diesel'!F441*'RD Feedstock Breakdown'!Z$3*'Feedstock Conversion Rates'!B$6)/12-142+15+5+20+5+15</f>
        <v>77.460000000000008</v>
      </c>
      <c r="AA432" s="104">
        <f>('Renewable Diesel'!F441*'RD Feedstock Breakdown'!AA$3*'Feedstock Conversion Rates'!B$7)/12+24</f>
        <v>128.26666666666665</v>
      </c>
      <c r="AB432" s="106">
        <f t="shared" si="400"/>
        <v>303.72666666666669</v>
      </c>
      <c r="AC432" s="104">
        <f>('Renewable Diesel'!G441*'RD Feedstock Breakdown'!AC$3*'Feedstock Conversion Rates'!B$5)/12</f>
        <v>11.796875</v>
      </c>
      <c r="AD432" s="104">
        <f>('Renewable Diesel'!G441*'RD Feedstock Breakdown'!AD$3*'Feedstock Conversion Rates'!B$4)/12</f>
        <v>5.859375</v>
      </c>
      <c r="AE432" s="104">
        <f>('Renewable Diesel'!G441*'RD Feedstock Breakdown'!AE$3*'Feedstock Conversion Rates'!B$6)/12</f>
        <v>7.3281250000000009</v>
      </c>
      <c r="AF432" s="106">
        <f t="shared" si="445"/>
        <v>24.984375</v>
      </c>
      <c r="AG432" s="104">
        <f t="shared" si="459"/>
        <v>148</v>
      </c>
      <c r="AH432" s="104"/>
      <c r="AI432" s="104">
        <f>('Renewable Diesel'!H441*'RD Feedstock Breakdown'!AI$3*'Feedstock Conversion Rates'!B$6)/12-130-20+51-49</f>
        <v>0.51666666666667993</v>
      </c>
      <c r="AJ432" s="106">
        <f t="shared" si="413"/>
        <v>148.51666666666668</v>
      </c>
      <c r="AK432" s="104">
        <f>('Renewable Diesel'!J441*'RD Feedstock Breakdown'!AK$3*'Feedstock Conversion Rates'!B$4)/12</f>
        <v>95.8125</v>
      </c>
      <c r="AL432" s="106">
        <f t="shared" si="415"/>
        <v>95.8125</v>
      </c>
      <c r="AM432" s="104">
        <f>('Renewable Diesel'!K441*'RD Feedstock Breakdown'!AM$3*'Feedstock Conversion Rates'!B$4)/12+5+15-10+10</f>
        <v>78.59375</v>
      </c>
      <c r="AN432" s="104">
        <f>('Renewable Diesel'!K441*'RD Feedstock Breakdown'!AN$3*'Feedstock Conversion Rates'!B$6)/12-5-15+10-10</f>
        <v>4.4270833333333321</v>
      </c>
      <c r="AO432" s="106">
        <f t="shared" si="431"/>
        <v>83.020833333333329</v>
      </c>
      <c r="AP432" s="104">
        <f>('Renewable Diesel'!L441*'RD Feedstock Breakdown'!AP$3*'Feedstock Conversion Rates'!B$4)/12+15-10+15</f>
        <v>78.59375</v>
      </c>
      <c r="AQ432" s="104">
        <f>('Renewable Diesel'!L441*'RD Feedstock Breakdown'!AQ$3*'Feedstock Conversion Rates'!B$6)/12-15+10-15</f>
        <v>4.4270833333333321</v>
      </c>
      <c r="AR432" s="106">
        <f t="shared" si="420"/>
        <v>83.020833333333329</v>
      </c>
      <c r="AS432" s="104">
        <f>('Renewable Diesel'!M441*'RD Feedstock Breakdown'!AS$3*'Feedstock Conversion Rates'!B$4)/12</f>
        <v>456.25</v>
      </c>
      <c r="AT432" s="104">
        <f>('Renewable Diesel'!M441*'RD Feedstock Breakdown'!AT$3*'Feedstock Conversion Rates'!B$5)/12</f>
        <v>0</v>
      </c>
      <c r="AU432" s="106">
        <f t="shared" si="448"/>
        <v>456.25</v>
      </c>
      <c r="AV432" s="104">
        <f>'Renewable Diesel'!N441*'RD Feedstock Breakdown'!$AV$3*'Feedstock Conversion Rates'!$B$4/12-15-10+25+25-22+25</f>
        <v>106.74999999999999</v>
      </c>
      <c r="AW432" s="104">
        <f>'Renewable Diesel'!N441*'RD Feedstock Breakdown'!$AW$3*'Feedstock Conversion Rates'!$B$7/12+15+10-25-25+22-25</f>
        <v>13.400000000000006</v>
      </c>
      <c r="AX432" s="106">
        <f t="shared" si="408"/>
        <v>120.14999999999999</v>
      </c>
      <c r="AY432" s="104">
        <f>('Renewable Diesel'!O441*'RD Feedstock Breakdown'!AY$3*'Feedstock Conversion Rates'!B$4)/12</f>
        <v>210.9375</v>
      </c>
      <c r="AZ432" s="104">
        <f>('Renewable Diesel'!O441*'RD Feedstock Breakdown'!AZ$3*'Feedstock Conversion Rates'!B$3)/12</f>
        <v>25.03125</v>
      </c>
      <c r="BA432" s="106">
        <f t="shared" si="458"/>
        <v>235.96875</v>
      </c>
      <c r="BB432" s="104">
        <f>('Renewable Diesel'!Q441*'RD Feedstock Breakdown'!BB$3*'Feedstock Conversion Rates'!B$4)/12</f>
        <v>11.156249999999998</v>
      </c>
      <c r="BC432" s="104">
        <f>('Renewable Diesel'!Q441*'RD Feedstock Breakdown'!BC$3*'Feedstock Conversion Rates'!B$3)/12</f>
        <v>1.4017500000000001</v>
      </c>
      <c r="BD432" s="104">
        <f>('Renewable Diesel'!Q441*'RD Feedstock Breakdown'!BD$3*'Feedstock Conversion Rates'!B$6)/12</f>
        <v>0.8207500000000002</v>
      </c>
      <c r="BE432" s="106">
        <f t="shared" si="440"/>
        <v>13.378749999999998</v>
      </c>
      <c r="BF432" s="104">
        <f>('Renewable Diesel'!R441*'RD Feedstock Breakdown'!BF$3*'Feedstock Conversion Rates'!B$4)/12</f>
        <v>62.5</v>
      </c>
      <c r="BG432" s="106">
        <f t="shared" si="425"/>
        <v>62.5</v>
      </c>
      <c r="BH432" s="104">
        <f>('Renewable Diesel'!T441*'RD Feedstock Breakdown'!BH$3*'Feedstock Conversion Rates'!B$7)/12</f>
        <v>27.599999999999998</v>
      </c>
      <c r="BI432" s="106">
        <f t="shared" si="412"/>
        <v>27.599999999999998</v>
      </c>
      <c r="BJ432" s="104">
        <f>('Renewable Diesel'!W441*'RD Feedstock Breakdown'!BJ$3*'Feedstock Conversion Rates'!B$4)/12</f>
        <v>7.5</v>
      </c>
      <c r="BK432" s="104">
        <f>('Renewable Diesel'!W441*'RD Feedstock Breakdown'!BK$3*'Feedstock Conversion Rates'!B$3)/12</f>
        <v>1.335</v>
      </c>
      <c r="BL432" s="104">
        <f>('Renewable Diesel'!W441*'RD Feedstock Breakdown'!BL$3*'Feedstock Conversion Rates'!B$6)/12</f>
        <v>3.1266666666666669</v>
      </c>
      <c r="BM432" s="104">
        <f>('Renewable Diesel'!W441*'RD Feedstock Breakdown'!BM$3*'Feedstock Conversion Rates'!B$7)/12</f>
        <v>1.5333333333333332</v>
      </c>
      <c r="BN432" s="106">
        <f t="shared" si="452"/>
        <v>13.495000000000001</v>
      </c>
      <c r="BO432" s="104">
        <f>('Renewable Diesel'!P441*'Feedstock Conversion Rates'!B$4)/12</f>
        <v>31.25</v>
      </c>
      <c r="BP432" s="106">
        <f t="shared" si="446"/>
        <v>31.25</v>
      </c>
      <c r="BQ432" s="104">
        <f>('Renewable Diesel'!$S441*'RD Feedstock Breakdown'!BQ$3*'Feedstock Conversion Rates'!B$4)/12+10+15-15</f>
        <v>38.125</v>
      </c>
      <c r="BR432" s="104">
        <f>('Renewable Diesel'!$S441*'RD Feedstock Breakdown'!BR$3*'Feedstock Conversion Rates'!B$7)/12-10-15+15</f>
        <v>1.5</v>
      </c>
      <c r="BS432" s="106">
        <f t="shared" si="460"/>
        <v>39.625</v>
      </c>
      <c r="BT432" s="106"/>
      <c r="BU432" s="104">
        <f>('Renewable Diesel'!Y441*'Feedstock Conversion Rates'!B$7)/12</f>
        <v>2.6833333333333331</v>
      </c>
      <c r="BV432" s="106">
        <f t="shared" si="442"/>
        <v>2.6833333333333331</v>
      </c>
      <c r="BW432" s="104">
        <f>('Renewable Diesel'!$Z441*'RD Feedstock Breakdown'!BW$3*'Feedstock Conversion Rates'!$B$4)/12-250+180</f>
        <v>1.875</v>
      </c>
      <c r="BX432" s="104">
        <f>('Renewable Diesel'!$Z441*'RD Feedstock Breakdown'!BX$3*'Feedstock Conversion Rates'!$B$5)/12</f>
        <v>7.2354166666666666</v>
      </c>
      <c r="BY432" s="104">
        <f>('Renewable Diesel'!$Z441*'RD Feedstock Breakdown'!BY$3*'Feedstock Conversion Rates'!$B$7)/12</f>
        <v>61.716666666666661</v>
      </c>
      <c r="BZ432" s="104">
        <f>('Renewable Diesel'!$Z441*'RD Feedstock Breakdown'!BZ$3*'Feedstock Conversion Rates'!$B$3)/12+250-180</f>
        <v>85.35250000000002</v>
      </c>
      <c r="CA432" s="106">
        <f t="shared" si="464"/>
        <v>156.17958333333334</v>
      </c>
      <c r="CB432" s="104">
        <f>('Renewable Diesel'!AA441*'Feedstock Conversion Rates'!B$4)/12</f>
        <v>191.25</v>
      </c>
      <c r="CC432" s="106">
        <f t="shared" si="454"/>
        <v>191.25</v>
      </c>
      <c r="CD432" s="104">
        <f>('Renewable Diesel'!$AB441*'RD Feedstock Breakdown'!CD$3*'Feedstock Conversion Rates'!$B$6)/12-15-5</f>
        <v>12.830000000000005</v>
      </c>
      <c r="CE432" s="104">
        <f>('Renewable Diesel'!$AB441*'RD Feedstock Breakdown'!CE$3*'Feedstock Conversion Rates'!$B$4)/12+15+5</f>
        <v>31.25</v>
      </c>
      <c r="CF432" s="106">
        <f t="shared" si="450"/>
        <v>44.080000000000005</v>
      </c>
      <c r="CG432" s="104">
        <f>('Renewable Diesel'!AD441*'Feedstock Conversion Rates'!B$4)/12</f>
        <v>112.5</v>
      </c>
      <c r="CH432" s="106">
        <f t="shared" si="439"/>
        <v>112.5</v>
      </c>
      <c r="CI432" s="104">
        <f>('Renewable Diesel'!$AE441*'RD Feedstock Breakdown'!CI$3*'Feedstock Conversion Rates'!$B$5)/12</f>
        <v>0.34604166666666664</v>
      </c>
      <c r="CJ432" s="104">
        <f>('Renewable Diesel'!$AE441*'RD Feedstock Breakdown'!CJ$3*'Feedstock Conversion Rates'!$B$4)/12</f>
        <v>0.34375</v>
      </c>
      <c r="CK432" s="106">
        <f t="shared" si="447"/>
        <v>0.68979166666666658</v>
      </c>
      <c r="CL432" s="104">
        <f>(((CL$3*'Renewable Diesel'!$AF441)*'Feedstock Conversion Rates'!$B$3)/12)</f>
        <v>91.78125</v>
      </c>
      <c r="CM432" s="104">
        <f>(((CM$3*'Renewable Diesel'!$AF441)*'Feedstock Conversion Rates'!$B$6)/12)</f>
        <v>53.739583333333336</v>
      </c>
      <c r="CN432" s="104">
        <f>(((CN$3*'Renewable Diesel'!$AF441)*'Feedstock Conversion Rates'!$B$4)/12)</f>
        <v>42.96875</v>
      </c>
      <c r="CO432" s="106">
        <f t="shared" si="441"/>
        <v>188.48958333333334</v>
      </c>
      <c r="CP432" s="104">
        <f>('Renewable Diesel'!$AG441*'RD Feedstock Breakdown'!CP$3*'Feedstock Conversion Rates'!$B$3)/12</f>
        <v>6.0075000000000003</v>
      </c>
      <c r="CQ432" s="104">
        <f>('Renewable Diesel'!$AG441*'RD Feedstock Breakdown'!CQ$3*'Feedstock Conversion Rates'!$B$6)/12</f>
        <v>3.5175000000000001</v>
      </c>
      <c r="CR432" s="104">
        <f>('Renewable Diesel'!$AG441*'RD Feedstock Breakdown'!CR$3*'Feedstock Conversion Rates'!$B$4)/12</f>
        <v>2.8125</v>
      </c>
      <c r="CS432" s="106">
        <f t="shared" si="397"/>
        <v>12.3375</v>
      </c>
      <c r="CT432" s="104">
        <f>('Renewable Diesel'!AI441*'Feedstock Conversion Rates'!$B$4*'RD Feedstock Breakdown'!$CT$3)/12</f>
        <v>29.375</v>
      </c>
      <c r="CU432" s="106">
        <f t="shared" si="443"/>
        <v>29.375</v>
      </c>
      <c r="CV432" s="104">
        <f>('Renewable Diesel'!AN441*'Feedstock Conversion Rates'!$B$3*'RD Feedstock Breakdown'!$CV$3)/12</f>
        <v>0.50062499999999999</v>
      </c>
      <c r="CW432" s="106">
        <f t="shared" si="419"/>
        <v>0.50062499999999999</v>
      </c>
      <c r="CX432" s="104">
        <f>('Renewable Diesel'!AO441*'RD Feedstock Breakdown'!$CX$3*'Feedstock Conversion Rates'!$B$3)/12</f>
        <v>6.3412499999999996</v>
      </c>
      <c r="CY432" s="104">
        <f>('Renewable Diesel'!AO441*'RD Feedstock Breakdown'!$CY$3*'Feedstock Conversion Rates'!$B$6)/12</f>
        <v>7.4258333333333342</v>
      </c>
      <c r="CZ432" s="106">
        <f t="shared" si="398"/>
        <v>13.767083333333334</v>
      </c>
      <c r="DA432" s="104">
        <f>('Renewable Diesel'!$AP441*'RD Feedstock Breakdown'!DA$3*'Feedstock Conversion Rates'!$B$3)/12</f>
        <v>6.3412499999999996</v>
      </c>
      <c r="DB432" s="104">
        <f>('Renewable Diesel'!$AP441*'RD Feedstock Breakdown'!DB$3*'Feedstock Conversion Rates'!$B$8)/12</f>
        <v>7.421875</v>
      </c>
      <c r="DC432" s="106">
        <f t="shared" si="422"/>
        <v>13.763124999999999</v>
      </c>
      <c r="DD432" s="104">
        <f>('Renewable Diesel'!AQ441*$DD$3*'Feedstock Conversion Rates'!$B$14)/12</f>
        <v>3.1041666666666665</v>
      </c>
      <c r="DE432" s="106">
        <f t="shared" si="423"/>
        <v>3.1041666666666665</v>
      </c>
      <c r="DF432" s="104">
        <f>('Renewable Diesel'!AR441*'Feedstock Conversion Rates'!$B$4*$DF$3)/12</f>
        <v>75</v>
      </c>
      <c r="DG432" s="106">
        <f t="shared" si="399"/>
        <v>75</v>
      </c>
      <c r="DH432" s="104">
        <f>('Renewable Diesel'!AS441*'Feedstock Conversion Rates'!$B$4*$DH$3)/12</f>
        <v>75</v>
      </c>
      <c r="DI432" s="106">
        <f t="shared" si="411"/>
        <v>75</v>
      </c>
      <c r="DJ432" s="104">
        <f>('Renewable Diesel'!AT441*'Feedstock Conversion Rates'!$B$4*0.25)/12</f>
        <v>8.59375</v>
      </c>
      <c r="DK432" s="104">
        <f>('Renewable Diesel'!$AT441*'RD Feedstock Breakdown'!DK$3*'Feedstock Conversion Rates'!$B$3)/12*0.5</f>
        <v>9.1781249999999996</v>
      </c>
      <c r="DL432" s="104">
        <f>('Renewable Diesel'!$AT441*'RD Feedstock Breakdown'!$DL$3*'Feedstock Conversion Rates'!$B$6)/12</f>
        <v>10.747916666666669</v>
      </c>
      <c r="DM432" s="104">
        <f>('Renewable Diesel'!$AT441*'RD Feedstock Breakdown'!$DM$3*'Feedstock Conversion Rates'!$B$8)/12</f>
        <v>10.7421875</v>
      </c>
      <c r="DN432" s="106">
        <f t="shared" si="453"/>
        <v>39.26197916666667</v>
      </c>
      <c r="DP432" s="104">
        <f t="shared" si="426"/>
        <v>103.22025000000001</v>
      </c>
      <c r="DQ432" s="104">
        <f t="shared" si="427"/>
        <v>349.11776750000007</v>
      </c>
      <c r="DR432" s="104">
        <f t="shared" si="432"/>
        <v>1891.953125</v>
      </c>
      <c r="DS432" s="104">
        <f t="shared" si="444"/>
        <v>228.90125</v>
      </c>
      <c r="DT432" s="104">
        <f t="shared" si="428"/>
        <v>243.03923333333344</v>
      </c>
      <c r="DU432" s="104">
        <f t="shared" si="429"/>
        <v>402.90610000000009</v>
      </c>
      <c r="DV432" s="104">
        <f t="shared" si="433"/>
        <v>78.75</v>
      </c>
      <c r="DW432" s="104">
        <f t="shared" si="430"/>
        <v>3</v>
      </c>
      <c r="DX432" s="106">
        <f t="shared" si="434"/>
        <v>3300.8877258333337</v>
      </c>
      <c r="DY432" s="109">
        <f t="shared" si="421"/>
        <v>-5.631051180898794E-13</v>
      </c>
      <c r="EA432" s="110">
        <f t="shared" si="424"/>
        <v>3.1270451640078516E-2</v>
      </c>
      <c r="EB432" s="110">
        <f t="shared" si="424"/>
        <v>0.10576481131658687</v>
      </c>
      <c r="EC432" s="110">
        <f t="shared" si="424"/>
        <v>0.57316494293133291</v>
      </c>
      <c r="ED432" s="110">
        <f t="shared" si="424"/>
        <v>6.9345360706629972E-2</v>
      </c>
      <c r="EE432" s="110">
        <f t="shared" si="424"/>
        <v>7.3628445896921982E-2</v>
      </c>
      <c r="EF432" s="110">
        <f t="shared" si="424"/>
        <v>0.1220599225010852</v>
      </c>
      <c r="EG432" s="110">
        <f t="shared" si="424"/>
        <v>2.3857218585075921E-2</v>
      </c>
      <c r="EH432" s="111">
        <f t="shared" si="435"/>
        <v>9.0884642228860647E-4</v>
      </c>
      <c r="EI432" s="110">
        <f t="shared" si="409"/>
        <v>0.99909115357771139</v>
      </c>
      <c r="EK432" s="132">
        <f>(EA432*'Renewable Diesel'!BF441*'Feedstock Conversion Rates'!B$2)+FB432</f>
        <v>772.79384305758288</v>
      </c>
      <c r="EL432" s="132">
        <f>(EB432*'Renewable Diesel'!BF441*'Feedstock Conversion Rates'!B$3)+FC432</f>
        <v>2463.1127304395841</v>
      </c>
      <c r="EM432" s="132">
        <f>(EC432*'Renewable Diesel'!BF441*'Feedstock Conversion Rates'!B$4)+FD432</f>
        <v>12498.314723244312</v>
      </c>
      <c r="EN432" s="132">
        <f>(ED432*'Renewable Diesel'!BF441*'Feedstock Conversion Rates'!B$5)+FE432</f>
        <v>1522.2112838891403</v>
      </c>
      <c r="EO432" s="132">
        <f>(EE432*'Renewable Diesel'!BF441*'Feedstock Conversion Rates'!B$6)+FF432</f>
        <v>2007.9784425185189</v>
      </c>
      <c r="EP432" s="132">
        <f>(EF432*'Renewable Diesel'!BF441*'Feedstock Conversion Rates'!B$7)+FG432</f>
        <v>3264.9120820599969</v>
      </c>
      <c r="EQ432" s="132">
        <f>(EG432*'Renewable Diesel'!BF441*'Feedstock Conversion Rates'!B$8)+FH432</f>
        <v>650.28189087367696</v>
      </c>
      <c r="ER432" s="132">
        <f>(EH432*'Renewable Diesel'!BF441*'Feedstock Conversion Rates'!B$9)+FI432</f>
        <v>24.442341549029635</v>
      </c>
      <c r="ES432" s="132">
        <f t="shared" si="436"/>
        <v>23204.04733763184</v>
      </c>
      <c r="ET432" s="133">
        <f>ES432/'Renewable Diesel'!BF441</f>
        <v>20.041781368237462</v>
      </c>
      <c r="EW432" s="73">
        <f t="shared" si="461"/>
        <v>22457.878101246075</v>
      </c>
      <c r="EX432" s="73">
        <f t="shared" si="462"/>
        <v>14710.033166772251</v>
      </c>
      <c r="EY432" s="92">
        <f t="shared" si="410"/>
        <v>0.96784314281346751</v>
      </c>
      <c r="EZ432" s="92">
        <f t="shared" si="410"/>
        <v>0.63394255979282654</v>
      </c>
      <c r="FB432" s="102">
        <f>IF('Renewable Diesel'!$BG441&lt;1,0,(((('Renewable Diesel'!$BG441-1)*'Renewable Diesel'!$BF441)*'RD Feedstock Breakdown'!EA432)*'Feedstock Conversion Rates'!$B$2))</f>
        <v>465.05628581422559</v>
      </c>
      <c r="FC432" s="102">
        <f>IF('Renewable Diesel'!$BG441&lt;1,0,(((('Renewable Diesel'!$BG441-1)*'Renewable Diesel'!$BF441)*'RD Feedstock Breakdown'!EB432)*'Feedstock Conversion Rates'!$B$3))</f>
        <v>1482.2660250860922</v>
      </c>
      <c r="FD432" s="102">
        <f>IF('Renewable Diesel'!$BG441&lt;1,0,(((('Renewable Diesel'!$BG441-1)*'Renewable Diesel'!$BF441)*'RD Feedstock Breakdown'!EC432)*'Feedstock Conversion Rates'!$B$4))</f>
        <v>7521.3071071221675</v>
      </c>
      <c r="FE432" s="102">
        <f>IF('Renewable Diesel'!$BG441&lt;1,0,(((('Renewable Diesel'!$BG441-1)*'Renewable Diesel'!$BF441)*'RD Feedstock Breakdown'!ED432)*'Feedstock Conversion Rates'!$B$5))</f>
        <v>916.04498699045519</v>
      </c>
      <c r="FF432" s="102">
        <f>IF('Renewable Diesel'!$BG441&lt;1,0,(((('Renewable Diesel'!$BG441-1)*'Renewable Diesel'!$BF441)*'RD Feedstock Breakdown'!EE432)*'Feedstock Conversion Rates'!$B$6))</f>
        <v>1208.3727178492989</v>
      </c>
      <c r="FG432" s="102">
        <f>IF('Renewable Diesel'!$BG441&lt;1,0,(((('Renewable Diesel'!$BG441-1)*'Renewable Diesel'!$BF441)*'RD Feedstock Breakdown'!EF432)*'Feedstock Conversion Rates'!$B$7))</f>
        <v>1964.7774112502534</v>
      </c>
      <c r="FH432" s="102">
        <f>IF('Renewable Diesel'!$BG441&lt;1,0,(((('Renewable Diesel'!$BG441-1)*'Renewable Diesel'!$BF441)*'RD Feedstock Breakdown'!EG432)*'Feedstock Conversion Rates'!$B$8))</f>
        <v>391.33034459156511</v>
      </c>
      <c r="FI432" s="102">
        <f>IF('Renewable Diesel'!$BG441&lt;1,0,(((('Renewable Diesel'!$BG441-1)*'Renewable Diesel'!$BF441)*'RD Feedstock Breakdown'!EH432)*'Feedstock Conversion Rates'!$B$9))</f>
        <v>14.709051682425811</v>
      </c>
      <c r="FJ432" s="102">
        <f t="shared" si="463"/>
        <v>13963.863930386484</v>
      </c>
      <c r="GD432" s="91">
        <f>'Renewable Diesel'!BB441*0.32</f>
        <v>0</v>
      </c>
      <c r="GE432" s="91">
        <f>'Renewable Diesel'!BC441</f>
        <v>696.73018344995</v>
      </c>
      <c r="GF432" s="91">
        <f>'Renewable Diesel'!BD441</f>
        <v>0</v>
      </c>
      <c r="GG432" s="91">
        <f t="shared" si="451"/>
        <v>696.73018344995</v>
      </c>
      <c r="GH432" s="124">
        <v>1</v>
      </c>
      <c r="GI432" s="102">
        <f>$GG432*EA432*'Feedstock Conversion Rates'!$B$2</f>
        <v>185.1900738159149</v>
      </c>
      <c r="GJ432" s="102">
        <f>$GG432*EB432*'Feedstock Conversion Rates'!$B$3</f>
        <v>590.25318649315091</v>
      </c>
      <c r="GK432" s="102">
        <f>$GG432*EC432*'Feedstock Conversion Rates'!$B$4</f>
        <v>2995.0598687672077</v>
      </c>
      <c r="GL432" s="102">
        <f>$GG432*ED432*'Feedstock Conversion Rates'!$B$5</f>
        <v>364.7782944433261</v>
      </c>
      <c r="GM432" s="102">
        <f>$GG432*EE432*'Feedstock Conversion Rates'!$B$6</f>
        <v>481.1861265864955</v>
      </c>
      <c r="GN432" s="102">
        <f>$GG432*EF432*'Feedstock Conversion Rates'!$B$7</f>
        <v>782.39405620382354</v>
      </c>
      <c r="GO432" s="102">
        <f>$GG432*EG432*'Feedstock Conversion Rates'!$B$8</f>
        <v>155.83166513798909</v>
      </c>
      <c r="GP432" s="102">
        <f>$GG432*EH432*'Feedstock Conversion Rates'!B$9</f>
        <v>5.857291794392987</v>
      </c>
      <c r="GQ432" s="102">
        <f t="shared" si="437"/>
        <v>5560.550563242301</v>
      </c>
      <c r="GT432" s="103">
        <f t="shared" si="418"/>
        <v>3.3304269372191886E-2</v>
      </c>
      <c r="GU432" s="103">
        <f t="shared" si="418"/>
        <v>0.1061501338365639</v>
      </c>
      <c r="GV432" s="103">
        <f t="shared" si="418"/>
        <v>0.53862649654979833</v>
      </c>
      <c r="GW432" s="103">
        <f t="shared" si="418"/>
        <v>6.5601110950176775E-2</v>
      </c>
      <c r="GX432" s="103">
        <f t="shared" si="465"/>
        <v>8.6535698419388296E-2</v>
      </c>
      <c r="GY432" s="103">
        <f t="shared" si="465"/>
        <v>0.14070442257566984</v>
      </c>
      <c r="GZ432" s="103">
        <f t="shared" si="465"/>
        <v>2.8024502855545523E-2</v>
      </c>
      <c r="HA432" s="103">
        <f t="shared" si="465"/>
        <v>1.053365440665584E-3</v>
      </c>
    </row>
    <row r="433" spans="1:209" x14ac:dyDescent="0.25">
      <c r="A433" s="96">
        <v>53601</v>
      </c>
      <c r="B433" s="104">
        <f t="shared" si="406"/>
        <v>44.25</v>
      </c>
      <c r="C433" s="104">
        <f t="shared" si="466"/>
        <v>49</v>
      </c>
      <c r="D433" s="104">
        <f t="shared" si="407"/>
        <v>2</v>
      </c>
      <c r="E433" s="104">
        <f>('Renewable Diesel'!B442*E$3*'Feedstock Conversion Rates'!$B$2)/12+26+13-100+27.5+39</f>
        <v>95.43</v>
      </c>
      <c r="F433" s="104">
        <f>('Renewable Diesel'!B442*'RD Feedstock Breakdown'!F$3*'Feedstock Conversion Rates'!B$8)/12+77+23-10-12-115.75+24+8</f>
        <v>48.15625</v>
      </c>
      <c r="G433" s="104">
        <f>('Renewable Diesel'!B442*'RD Feedstock Breakdown'!G$3*'Feedstock Conversion Rates'!B$7)/12+116.75-39-57.5-145-31.5+32+70-40+10+60</f>
        <v>151.90700000000004</v>
      </c>
      <c r="H433" s="104">
        <f>('Renewable Diesel'!B442*'RD Feedstock Breakdown'!H$3*'Feedstock Conversion Rates'!B$3)/12+67+10+12+3-235+20+47-20+25</f>
        <v>105.40022499999998</v>
      </c>
      <c r="I433" s="106">
        <f t="shared" si="449"/>
        <v>496.14347500000002</v>
      </c>
      <c r="J433" s="104">
        <f t="shared" si="417"/>
        <v>4</v>
      </c>
      <c r="K433" s="104"/>
      <c r="L433" s="104">
        <v>1</v>
      </c>
      <c r="M433" s="104">
        <f>('Renewable Diesel'!C442*'RD Feedstock Breakdown'!M$3*'Feedstock Conversion Rates'!B$2)/12</f>
        <v>7.7902500000000003</v>
      </c>
      <c r="N433" s="104">
        <f>('Renewable Diesel'!C442*'RD Feedstock Breakdown'!N$3*'Feedstock Conversion Rates'!B$8)/12</f>
        <v>3.671875</v>
      </c>
      <c r="O433" s="104">
        <f>('Renewable Diesel'!C442*'RD Feedstock Breakdown'!O$3*'Feedstock Conversion Rates'!B$7)/12</f>
        <v>11.9991</v>
      </c>
      <c r="P433" s="104">
        <f>('Renewable Diesel'!C442*'RD Feedstock Breakdown'!P$3*'Feedstock Conversion Rates'!B$3)/12</f>
        <v>10.4470425</v>
      </c>
      <c r="Q433" s="106">
        <f t="shared" si="455"/>
        <v>38.908267500000001</v>
      </c>
      <c r="R433" s="104">
        <f>('Renewable Diesel'!D442*'RD Feedstock Breakdown'!R$3*'Feedstock Conversion Rates'!B$7)/12</f>
        <v>2.2999999999999998</v>
      </c>
      <c r="S433" s="106">
        <f t="shared" si="414"/>
        <v>2.2999999999999998</v>
      </c>
      <c r="T433" s="104">
        <f t="shared" si="456"/>
        <v>0.82499999999999929</v>
      </c>
      <c r="U433" s="104"/>
      <c r="V433" s="104">
        <f>('Renewable Diesel'!E442*'RD Feedstock Breakdown'!V$3*'Feedstock Conversion Rates'!B$6)/12-20+25</f>
        <v>49.250150000000012</v>
      </c>
      <c r="W433" s="104">
        <f>('Renewable Diesel'!E442*'RD Feedstock Breakdown'!W$3*'Feedstock Conversion Rates'!B$8)/12-6</f>
        <v>16.1796875</v>
      </c>
      <c r="X433" s="106">
        <f t="shared" si="438"/>
        <v>66.254837500000008</v>
      </c>
      <c r="Y433" s="104">
        <f t="shared" si="457"/>
        <v>98</v>
      </c>
      <c r="Z433" s="104">
        <f>('Renewable Diesel'!F442*'RD Feedstock Breakdown'!Z$3*'Feedstock Conversion Rates'!B$6)/12-142+15+5+20+5+15</f>
        <v>77.460000000000008</v>
      </c>
      <c r="AA433" s="104">
        <f>('Renewable Diesel'!F442*'RD Feedstock Breakdown'!AA$3*'Feedstock Conversion Rates'!B$7)/12+24</f>
        <v>128.26666666666665</v>
      </c>
      <c r="AB433" s="106">
        <f t="shared" si="400"/>
        <v>303.72666666666669</v>
      </c>
      <c r="AC433" s="104">
        <f>('Renewable Diesel'!G442*'RD Feedstock Breakdown'!AC$3*'Feedstock Conversion Rates'!B$5)/12</f>
        <v>11.796875</v>
      </c>
      <c r="AD433" s="104">
        <f>('Renewable Diesel'!G442*'RD Feedstock Breakdown'!AD$3*'Feedstock Conversion Rates'!B$4)/12</f>
        <v>5.859375</v>
      </c>
      <c r="AE433" s="104">
        <f>('Renewable Diesel'!G442*'RD Feedstock Breakdown'!AE$3*'Feedstock Conversion Rates'!B$6)/12</f>
        <v>7.3281250000000009</v>
      </c>
      <c r="AF433" s="106">
        <f t="shared" si="445"/>
        <v>24.984375</v>
      </c>
      <c r="AG433" s="104">
        <f t="shared" si="459"/>
        <v>148</v>
      </c>
      <c r="AH433" s="104"/>
      <c r="AI433" s="104">
        <f>('Renewable Diesel'!H442*'RD Feedstock Breakdown'!AI$3*'Feedstock Conversion Rates'!B$6)/12-130-20+51-49</f>
        <v>0.51666666666667993</v>
      </c>
      <c r="AJ433" s="106">
        <f t="shared" si="413"/>
        <v>148.51666666666668</v>
      </c>
      <c r="AK433" s="104">
        <f>('Renewable Diesel'!J442*'RD Feedstock Breakdown'!AK$3*'Feedstock Conversion Rates'!B$4)/12</f>
        <v>95.8125</v>
      </c>
      <c r="AL433" s="106">
        <f t="shared" si="415"/>
        <v>95.8125</v>
      </c>
      <c r="AM433" s="104">
        <f>('Renewable Diesel'!K442*'RD Feedstock Breakdown'!AM$3*'Feedstock Conversion Rates'!B$4)/12+5+15-10+10</f>
        <v>78.59375</v>
      </c>
      <c r="AN433" s="104">
        <f>('Renewable Diesel'!K442*'RD Feedstock Breakdown'!AN$3*'Feedstock Conversion Rates'!B$6)/12-5-15+10-10</f>
        <v>4.4270833333333321</v>
      </c>
      <c r="AO433" s="106">
        <f t="shared" si="431"/>
        <v>83.020833333333329</v>
      </c>
      <c r="AP433" s="104">
        <f>('Renewable Diesel'!L442*'RD Feedstock Breakdown'!AP$3*'Feedstock Conversion Rates'!B$4)/12+15-10+15</f>
        <v>78.59375</v>
      </c>
      <c r="AQ433" s="104">
        <f>('Renewable Diesel'!L442*'RD Feedstock Breakdown'!AQ$3*'Feedstock Conversion Rates'!B$6)/12-15+10-15</f>
        <v>4.4270833333333321</v>
      </c>
      <c r="AR433" s="106">
        <f t="shared" si="420"/>
        <v>83.020833333333329</v>
      </c>
      <c r="AS433" s="104">
        <f>('Renewable Diesel'!M442*'RD Feedstock Breakdown'!AS$3*'Feedstock Conversion Rates'!B$4)/12</f>
        <v>456.25</v>
      </c>
      <c r="AT433" s="104">
        <f>('Renewable Diesel'!M442*'RD Feedstock Breakdown'!AT$3*'Feedstock Conversion Rates'!B$5)/12</f>
        <v>0</v>
      </c>
      <c r="AU433" s="106">
        <f t="shared" si="448"/>
        <v>456.25</v>
      </c>
      <c r="AV433" s="104">
        <f>'Renewable Diesel'!N442*'RD Feedstock Breakdown'!$AV$3*'Feedstock Conversion Rates'!$B$4/12-15-10+25+25-22+25</f>
        <v>106.74999999999999</v>
      </c>
      <c r="AW433" s="104">
        <f>'Renewable Diesel'!N442*'RD Feedstock Breakdown'!$AW$3*'Feedstock Conversion Rates'!$B$7/12+15+10-25-25+22-25</f>
        <v>13.400000000000006</v>
      </c>
      <c r="AX433" s="106">
        <f t="shared" si="408"/>
        <v>120.14999999999999</v>
      </c>
      <c r="AY433" s="104">
        <f>('Renewable Diesel'!O442*'RD Feedstock Breakdown'!AY$3*'Feedstock Conversion Rates'!B$4)/12</f>
        <v>210.9375</v>
      </c>
      <c r="AZ433" s="104">
        <f>('Renewable Diesel'!O442*'RD Feedstock Breakdown'!AZ$3*'Feedstock Conversion Rates'!B$3)/12</f>
        <v>25.03125</v>
      </c>
      <c r="BA433" s="106">
        <f t="shared" si="458"/>
        <v>235.96875</v>
      </c>
      <c r="BB433" s="104">
        <f>('Renewable Diesel'!Q442*'RD Feedstock Breakdown'!BB$3*'Feedstock Conversion Rates'!B$4)/12</f>
        <v>11.156249999999998</v>
      </c>
      <c r="BC433" s="104">
        <f>('Renewable Diesel'!Q442*'RD Feedstock Breakdown'!BC$3*'Feedstock Conversion Rates'!B$3)/12</f>
        <v>1.4017500000000001</v>
      </c>
      <c r="BD433" s="104">
        <f>('Renewable Diesel'!Q442*'RD Feedstock Breakdown'!BD$3*'Feedstock Conversion Rates'!B$6)/12</f>
        <v>0.8207500000000002</v>
      </c>
      <c r="BE433" s="106">
        <f t="shared" si="440"/>
        <v>13.378749999999998</v>
      </c>
      <c r="BF433" s="104">
        <f>('Renewable Diesel'!R442*'RD Feedstock Breakdown'!BF$3*'Feedstock Conversion Rates'!B$4)/12</f>
        <v>62.5</v>
      </c>
      <c r="BG433" s="106">
        <f t="shared" si="425"/>
        <v>62.5</v>
      </c>
      <c r="BH433" s="104">
        <f>('Renewable Diesel'!T442*'RD Feedstock Breakdown'!BH$3*'Feedstock Conversion Rates'!B$7)/12</f>
        <v>27.599999999999998</v>
      </c>
      <c r="BI433" s="106">
        <f t="shared" si="412"/>
        <v>27.599999999999998</v>
      </c>
      <c r="BJ433" s="104">
        <f>('Renewable Diesel'!W442*'RD Feedstock Breakdown'!BJ$3*'Feedstock Conversion Rates'!B$4)/12</f>
        <v>7.5</v>
      </c>
      <c r="BK433" s="104">
        <f>('Renewable Diesel'!W442*'RD Feedstock Breakdown'!BK$3*'Feedstock Conversion Rates'!B$3)/12</f>
        <v>1.335</v>
      </c>
      <c r="BL433" s="104">
        <f>('Renewable Diesel'!W442*'RD Feedstock Breakdown'!BL$3*'Feedstock Conversion Rates'!B$6)/12</f>
        <v>3.1266666666666669</v>
      </c>
      <c r="BM433" s="104">
        <f>('Renewable Diesel'!W442*'RD Feedstock Breakdown'!BM$3*'Feedstock Conversion Rates'!B$7)/12</f>
        <v>1.5333333333333332</v>
      </c>
      <c r="BN433" s="106">
        <f t="shared" si="452"/>
        <v>13.495000000000001</v>
      </c>
      <c r="BO433" s="104">
        <f>('Renewable Diesel'!P442*'Feedstock Conversion Rates'!B$4)/12</f>
        <v>31.25</v>
      </c>
      <c r="BP433" s="106">
        <f t="shared" si="446"/>
        <v>31.25</v>
      </c>
      <c r="BQ433" s="104">
        <f>('Renewable Diesel'!$S442*'RD Feedstock Breakdown'!BQ$3*'Feedstock Conversion Rates'!B$4)/12+10+15-15</f>
        <v>38.125</v>
      </c>
      <c r="BR433" s="104">
        <f>('Renewable Diesel'!$S442*'RD Feedstock Breakdown'!BR$3*'Feedstock Conversion Rates'!B$7)/12-10-15+15</f>
        <v>1.5</v>
      </c>
      <c r="BS433" s="106">
        <f t="shared" si="460"/>
        <v>39.625</v>
      </c>
      <c r="BT433" s="106"/>
      <c r="BU433" s="104">
        <f>('Renewable Diesel'!Y442*'Feedstock Conversion Rates'!B$7)/12</f>
        <v>2.6833333333333331</v>
      </c>
      <c r="BV433" s="106">
        <f t="shared" si="442"/>
        <v>2.6833333333333331</v>
      </c>
      <c r="BW433" s="104">
        <f>('Renewable Diesel'!$Z442*'RD Feedstock Breakdown'!BW$3*'Feedstock Conversion Rates'!$B$4)/12-250+180</f>
        <v>1.875</v>
      </c>
      <c r="BX433" s="104">
        <f>('Renewable Diesel'!$Z442*'RD Feedstock Breakdown'!BX$3*'Feedstock Conversion Rates'!$B$5)/12</f>
        <v>7.2354166666666666</v>
      </c>
      <c r="BY433" s="104">
        <f>('Renewable Diesel'!$Z442*'RD Feedstock Breakdown'!BY$3*'Feedstock Conversion Rates'!$B$7)/12</f>
        <v>61.716666666666661</v>
      </c>
      <c r="BZ433" s="104">
        <f>('Renewable Diesel'!$Z442*'RD Feedstock Breakdown'!BZ$3*'Feedstock Conversion Rates'!$B$3)/12+250-180</f>
        <v>85.35250000000002</v>
      </c>
      <c r="CA433" s="106">
        <f t="shared" si="464"/>
        <v>156.17958333333334</v>
      </c>
      <c r="CB433" s="104">
        <f>('Renewable Diesel'!AA442*'Feedstock Conversion Rates'!B$4)/12</f>
        <v>191.25</v>
      </c>
      <c r="CC433" s="106">
        <f t="shared" si="454"/>
        <v>191.25</v>
      </c>
      <c r="CD433" s="104">
        <f>('Renewable Diesel'!$AB442*'RD Feedstock Breakdown'!CD$3*'Feedstock Conversion Rates'!$B$6)/12-15-5</f>
        <v>12.830000000000005</v>
      </c>
      <c r="CE433" s="104">
        <f>('Renewable Diesel'!$AB442*'RD Feedstock Breakdown'!CE$3*'Feedstock Conversion Rates'!$B$4)/12+15+5</f>
        <v>31.25</v>
      </c>
      <c r="CF433" s="106">
        <f t="shared" si="450"/>
        <v>44.080000000000005</v>
      </c>
      <c r="CG433" s="104">
        <f>('Renewable Diesel'!AD442*'Feedstock Conversion Rates'!B$4)/12</f>
        <v>112.5</v>
      </c>
      <c r="CH433" s="106">
        <f t="shared" si="439"/>
        <v>112.5</v>
      </c>
      <c r="CI433" s="104">
        <f>('Renewable Diesel'!$AE442*'RD Feedstock Breakdown'!CI$3*'Feedstock Conversion Rates'!$B$5)/12</f>
        <v>0.34604166666666664</v>
      </c>
      <c r="CJ433" s="104">
        <f>('Renewable Diesel'!$AE442*'RD Feedstock Breakdown'!CJ$3*'Feedstock Conversion Rates'!$B$4)/12</f>
        <v>0.34375</v>
      </c>
      <c r="CK433" s="106">
        <f t="shared" si="447"/>
        <v>0.68979166666666658</v>
      </c>
      <c r="CL433" s="104">
        <f>(((CL$3*'Renewable Diesel'!$AF442)*'Feedstock Conversion Rates'!$B$3)/12)</f>
        <v>91.78125</v>
      </c>
      <c r="CM433" s="104">
        <f>(((CM$3*'Renewable Diesel'!$AF442)*'Feedstock Conversion Rates'!$B$6)/12)</f>
        <v>53.739583333333336</v>
      </c>
      <c r="CN433" s="104">
        <f>(((CN$3*'Renewable Diesel'!$AF442)*'Feedstock Conversion Rates'!$B$4)/12)</f>
        <v>42.96875</v>
      </c>
      <c r="CO433" s="106">
        <f t="shared" si="441"/>
        <v>188.48958333333334</v>
      </c>
      <c r="CP433" s="104">
        <f>('Renewable Diesel'!$AG442*'RD Feedstock Breakdown'!CP$3*'Feedstock Conversion Rates'!$B$3)/12</f>
        <v>6.0075000000000003</v>
      </c>
      <c r="CQ433" s="104">
        <f>('Renewable Diesel'!$AG442*'RD Feedstock Breakdown'!CQ$3*'Feedstock Conversion Rates'!$B$6)/12</f>
        <v>3.5175000000000001</v>
      </c>
      <c r="CR433" s="104">
        <f>('Renewable Diesel'!$AG442*'RD Feedstock Breakdown'!CR$3*'Feedstock Conversion Rates'!$B$4)/12</f>
        <v>2.8125</v>
      </c>
      <c r="CS433" s="106">
        <f t="shared" ref="CS433:CS495" si="467">SUM(CP433:CR433)</f>
        <v>12.3375</v>
      </c>
      <c r="CT433" s="104">
        <f>('Renewable Diesel'!AI442*'Feedstock Conversion Rates'!$B$4*'RD Feedstock Breakdown'!$CT$3)/12</f>
        <v>29.375</v>
      </c>
      <c r="CU433" s="106">
        <f t="shared" si="443"/>
        <v>29.375</v>
      </c>
      <c r="CV433" s="104">
        <f>('Renewable Diesel'!AN442*'Feedstock Conversion Rates'!$B$3*'RD Feedstock Breakdown'!$CV$3)/12</f>
        <v>0.50062499999999999</v>
      </c>
      <c r="CW433" s="106">
        <f t="shared" si="419"/>
        <v>0.50062499999999999</v>
      </c>
      <c r="CX433" s="104">
        <f>('Renewable Diesel'!AO442*'RD Feedstock Breakdown'!$CX$3*'Feedstock Conversion Rates'!$B$3)/12</f>
        <v>6.3412499999999996</v>
      </c>
      <c r="CY433" s="104">
        <f>('Renewable Diesel'!AO442*'RD Feedstock Breakdown'!$CY$3*'Feedstock Conversion Rates'!$B$6)/12</f>
        <v>7.4258333333333342</v>
      </c>
      <c r="CZ433" s="106">
        <f t="shared" si="398"/>
        <v>13.767083333333334</v>
      </c>
      <c r="DA433" s="104">
        <f>('Renewable Diesel'!$AP442*'RD Feedstock Breakdown'!DA$3*'Feedstock Conversion Rates'!$B$3)/12</f>
        <v>6.3412499999999996</v>
      </c>
      <c r="DB433" s="104">
        <f>('Renewable Diesel'!$AP442*'RD Feedstock Breakdown'!DB$3*'Feedstock Conversion Rates'!$B$8)/12</f>
        <v>7.421875</v>
      </c>
      <c r="DC433" s="106">
        <f t="shared" si="422"/>
        <v>13.763124999999999</v>
      </c>
      <c r="DD433" s="104">
        <f>('Renewable Diesel'!AQ442*$DD$3*'Feedstock Conversion Rates'!$B$14)/12</f>
        <v>3.1041666666666665</v>
      </c>
      <c r="DE433" s="106">
        <f t="shared" si="423"/>
        <v>3.1041666666666665</v>
      </c>
      <c r="DF433" s="104">
        <f>('Renewable Diesel'!AR442*'Feedstock Conversion Rates'!$B$4*$DF$3)/12</f>
        <v>75</v>
      </c>
      <c r="DG433" s="106">
        <f t="shared" si="399"/>
        <v>75</v>
      </c>
      <c r="DH433" s="104">
        <f>('Renewable Diesel'!AS442*'Feedstock Conversion Rates'!$B$4*$DH$3)/12</f>
        <v>75</v>
      </c>
      <c r="DI433" s="106">
        <f t="shared" si="411"/>
        <v>75</v>
      </c>
      <c r="DJ433" s="104">
        <f>('Renewable Diesel'!AT442*'Feedstock Conversion Rates'!$B$4*0.25)/12</f>
        <v>8.59375</v>
      </c>
      <c r="DK433" s="104">
        <f>('Renewable Diesel'!$AT442*'RD Feedstock Breakdown'!DK$3*'Feedstock Conversion Rates'!$B$3)/12*0.5</f>
        <v>9.1781249999999996</v>
      </c>
      <c r="DL433" s="104">
        <f>('Renewable Diesel'!$AT442*'RD Feedstock Breakdown'!$DL$3*'Feedstock Conversion Rates'!$B$6)/12</f>
        <v>10.747916666666669</v>
      </c>
      <c r="DM433" s="104">
        <f>('Renewable Diesel'!$AT442*'RD Feedstock Breakdown'!$DM$3*'Feedstock Conversion Rates'!$B$8)/12</f>
        <v>10.7421875</v>
      </c>
      <c r="DN433" s="106">
        <f t="shared" si="453"/>
        <v>39.26197916666667</v>
      </c>
      <c r="DP433" s="104">
        <f t="shared" si="426"/>
        <v>103.22025000000001</v>
      </c>
      <c r="DQ433" s="104">
        <f t="shared" si="427"/>
        <v>349.11776750000007</v>
      </c>
      <c r="DR433" s="104">
        <f t="shared" si="432"/>
        <v>1891.953125</v>
      </c>
      <c r="DS433" s="104">
        <f t="shared" si="444"/>
        <v>228.90125</v>
      </c>
      <c r="DT433" s="104">
        <f t="shared" si="428"/>
        <v>243.03923333333344</v>
      </c>
      <c r="DU433" s="104">
        <f t="shared" si="429"/>
        <v>402.90610000000009</v>
      </c>
      <c r="DV433" s="104">
        <f t="shared" si="433"/>
        <v>78.75</v>
      </c>
      <c r="DW433" s="104">
        <f t="shared" si="430"/>
        <v>3</v>
      </c>
      <c r="DX433" s="106">
        <f t="shared" si="434"/>
        <v>3300.8877258333337</v>
      </c>
      <c r="DY433" s="109">
        <f t="shared" si="421"/>
        <v>-5.631051180898794E-13</v>
      </c>
      <c r="EA433" s="110">
        <f t="shared" si="424"/>
        <v>3.1270451640078516E-2</v>
      </c>
      <c r="EB433" s="110">
        <f t="shared" si="424"/>
        <v>0.10576481131658687</v>
      </c>
      <c r="EC433" s="110">
        <f t="shared" si="424"/>
        <v>0.57316494293133291</v>
      </c>
      <c r="ED433" s="110">
        <f t="shared" si="424"/>
        <v>6.9345360706629972E-2</v>
      </c>
      <c r="EE433" s="110">
        <f t="shared" si="424"/>
        <v>7.3628445896921982E-2</v>
      </c>
      <c r="EF433" s="110">
        <f t="shared" si="424"/>
        <v>0.1220599225010852</v>
      </c>
      <c r="EG433" s="110">
        <f t="shared" si="424"/>
        <v>2.3857218585075921E-2</v>
      </c>
      <c r="EH433" s="111">
        <f t="shared" si="435"/>
        <v>9.0884642228860647E-4</v>
      </c>
      <c r="EI433" s="110">
        <f t="shared" si="409"/>
        <v>0.99909115357771139</v>
      </c>
      <c r="EK433" s="132">
        <f>(EA433*'Renewable Diesel'!BF442*'Feedstock Conversion Rates'!B$2)+FB433</f>
        <v>839.25751915281148</v>
      </c>
      <c r="EL433" s="132">
        <f>(EB433*'Renewable Diesel'!BF442*'Feedstock Conversion Rates'!B$3)+FC433</f>
        <v>2674.9512798439846</v>
      </c>
      <c r="EM433" s="132">
        <f>(EC433*'Renewable Diesel'!BF442*'Feedstock Conversion Rates'!B$4)+FD433</f>
        <v>13573.22486773422</v>
      </c>
      <c r="EN433" s="132">
        <f>(ED433*'Renewable Diesel'!BF442*'Feedstock Conversion Rates'!B$5)+FE433</f>
        <v>1653.1281624716876</v>
      </c>
      <c r="EO433" s="132">
        <f>(EE433*'Renewable Diesel'!BF442*'Feedstock Conversion Rates'!B$6)+FF433</f>
        <v>2180.6734374497973</v>
      </c>
      <c r="EP433" s="132">
        <f>(EF433*'Renewable Diesel'!BF442*'Feedstock Conversion Rates'!B$7)+FG433</f>
        <v>3545.7089091191701</v>
      </c>
      <c r="EQ433" s="132">
        <f>(EG433*'Renewable Diesel'!BF442*'Feedstock Conversion Rates'!B$8)+FH433</f>
        <v>706.20899918838472</v>
      </c>
      <c r="ER433" s="132">
        <f>(EH433*'Renewable Diesel'!BF442*'Feedstock Conversion Rates'!B$9)+FI433</f>
        <v>26.544490636160241</v>
      </c>
      <c r="ES433" s="132">
        <f t="shared" si="436"/>
        <v>25199.697665596213</v>
      </c>
      <c r="ET433" s="133">
        <f>ES433/'Renewable Diesel'!BF442</f>
        <v>21.231092062870889</v>
      </c>
      <c r="EW433" s="73">
        <f t="shared" si="461"/>
        <v>24729.007805198893</v>
      </c>
      <c r="EX433" s="73">
        <f t="shared" si="462"/>
        <v>16197.635562714271</v>
      </c>
      <c r="EY433" s="92">
        <f t="shared" si="410"/>
        <v>0.98132160684451675</v>
      </c>
      <c r="EZ433" s="92">
        <f t="shared" si="410"/>
        <v>0.64277102755990712</v>
      </c>
      <c r="FB433" s="102">
        <f>IF('Renewable Diesel'!$BG442&lt;1,0,(((('Renewable Diesel'!$BG442-1)*'Renewable Diesel'!$BF442)*'RD Feedstock Breakdown'!EA433)*'Feedstock Conversion Rates'!$B$2))</f>
        <v>523.77443607179907</v>
      </c>
      <c r="FC433" s="102">
        <f>IF('Renewable Diesel'!$BG442&lt;1,0,(((('Renewable Diesel'!$BG442-1)*'Renewable Diesel'!$BF442)*'RD Feedstock Breakdown'!EB433)*'Feedstock Conversion Rates'!$B$3))</f>
        <v>1669.4173911413168</v>
      </c>
      <c r="FD433" s="102">
        <f>IF('Renewable Diesel'!$BG442&lt;1,0,(((('Renewable Diesel'!$BG442-1)*'Renewable Diesel'!$BF442)*'RD Feedstock Breakdown'!EC433)*'Feedstock Conversion Rates'!$B$4))</f>
        <v>8470.949665067883</v>
      </c>
      <c r="FE433" s="102">
        <f>IF('Renewable Diesel'!$BG442&lt;1,0,(((('Renewable Diesel'!$BG442-1)*'Renewable Diesel'!$BF442)*'RD Feedstock Breakdown'!ED433)*'Feedstock Conversion Rates'!$B$5))</f>
        <v>1031.7051099250994</v>
      </c>
      <c r="FF433" s="102">
        <f>IF('Renewable Diesel'!$BG442&lt;1,0,(((('Renewable Diesel'!$BG442-1)*'Renewable Diesel'!$BF442)*'RD Feedstock Breakdown'!EE433)*'Feedstock Conversion Rates'!$B$6))</f>
        <v>1360.942230353794</v>
      </c>
      <c r="FG433" s="102">
        <f>IF('Renewable Diesel'!$BG442&lt;1,0,(((('Renewable Diesel'!$BG442-1)*'Renewable Diesel'!$BF442)*'RD Feedstock Breakdown'!EF433)*'Feedstock Conversion Rates'!$B$7))</f>
        <v>2212.8508139234177</v>
      </c>
      <c r="FH433" s="102">
        <f>IF('Renewable Diesel'!$BG442&lt;1,0,(((('Renewable Diesel'!$BG442-1)*'Renewable Diesel'!$BF442)*'RD Feedstock Breakdown'!EG433)*'Feedstock Conversion Rates'!$B$8))</f>
        <v>440.73983474359045</v>
      </c>
      <c r="FI433" s="102">
        <f>IF('Renewable Diesel'!$BG442&lt;1,0,(((('Renewable Diesel'!$BG442-1)*'Renewable Diesel'!$BF442)*'RD Feedstock Breakdown'!EH433)*'Feedstock Conversion Rates'!$B$9))</f>
        <v>16.566221090044795</v>
      </c>
      <c r="FJ433" s="102">
        <f t="shared" si="463"/>
        <v>15726.945702316947</v>
      </c>
      <c r="GD433" s="91">
        <f>'Renewable Diesel'!BB442*0.32</f>
        <v>0</v>
      </c>
      <c r="GE433" s="91">
        <f>'Renewable Diesel'!BC442</f>
        <v>680.28755054873238</v>
      </c>
      <c r="GF433" s="91">
        <f>'Renewable Diesel'!BD442</f>
        <v>0</v>
      </c>
      <c r="GG433" s="91">
        <f t="shared" si="451"/>
        <v>680.28755054873238</v>
      </c>
      <c r="GH433" s="124">
        <v>1</v>
      </c>
      <c r="GI433" s="102">
        <f>$GG433*EA433*'Feedstock Conversion Rates'!$B$2</f>
        <v>180.81964108164365</v>
      </c>
      <c r="GJ433" s="102">
        <f>$GG433*EB433*'Feedstock Conversion Rates'!$B$3</f>
        <v>576.32338024272588</v>
      </c>
      <c r="GK433" s="102">
        <f>$GG433*EC433*'Feedstock Conversion Rates'!$B$4</f>
        <v>2924.3773131537032</v>
      </c>
      <c r="GL433" s="102">
        <f>$GG433*ED433*'Feedstock Conversion Rates'!$B$5</f>
        <v>356.16963110658872</v>
      </c>
      <c r="GM433" s="102">
        <f>$GG433*EE433*'Feedstock Conversion Rates'!$B$6</f>
        <v>469.83027173111458</v>
      </c>
      <c r="GN433" s="102">
        <f>$GG433*EF433*'Feedstock Conversion Rates'!$B$7</f>
        <v>763.92978042556842</v>
      </c>
      <c r="GO433" s="102">
        <f>$GG433*EG433*'Feedstock Conversion Rates'!$B$8</f>
        <v>152.15408244512804</v>
      </c>
      <c r="GP433" s="102">
        <f>$GG433*EH433*'Feedstock Conversion Rates'!B$9</f>
        <v>5.7190613846041778</v>
      </c>
      <c r="GQ433" s="102">
        <f t="shared" si="437"/>
        <v>5429.3231615710765</v>
      </c>
      <c r="GT433" s="103">
        <f t="shared" si="418"/>
        <v>3.3304269372191886E-2</v>
      </c>
      <c r="GU433" s="103">
        <f t="shared" si="418"/>
        <v>0.10615013383656387</v>
      </c>
      <c r="GV433" s="103">
        <f t="shared" si="418"/>
        <v>0.53862649654979833</v>
      </c>
      <c r="GW433" s="103">
        <f t="shared" si="418"/>
        <v>6.5601110950176761E-2</v>
      </c>
      <c r="GX433" s="103">
        <f t="shared" si="465"/>
        <v>8.6535698419388296E-2</v>
      </c>
      <c r="GY433" s="103">
        <f t="shared" si="465"/>
        <v>0.14070442257566981</v>
      </c>
      <c r="GZ433" s="103">
        <f t="shared" si="465"/>
        <v>2.8024502855545513E-2</v>
      </c>
      <c r="HA433" s="103">
        <f t="shared" si="465"/>
        <v>1.0533654406655838E-3</v>
      </c>
    </row>
    <row r="434" spans="1:209" x14ac:dyDescent="0.25">
      <c r="A434" s="96">
        <v>53632</v>
      </c>
      <c r="B434" s="104">
        <f t="shared" si="406"/>
        <v>44.25</v>
      </c>
      <c r="C434" s="104">
        <f t="shared" si="466"/>
        <v>49</v>
      </c>
      <c r="D434" s="104">
        <f t="shared" si="407"/>
        <v>2</v>
      </c>
      <c r="E434" s="104">
        <f>('Renewable Diesel'!B443*E$3*'Feedstock Conversion Rates'!$B$2)/12+26+13-100+27.5+39</f>
        <v>95.43</v>
      </c>
      <c r="F434" s="104">
        <f>('Renewable Diesel'!B443*'RD Feedstock Breakdown'!F$3*'Feedstock Conversion Rates'!B$8)/12+77+23-10-12-115.75+24+8</f>
        <v>48.15625</v>
      </c>
      <c r="G434" s="104">
        <f>('Renewable Diesel'!B443*'RD Feedstock Breakdown'!G$3*'Feedstock Conversion Rates'!B$7)/12+116.75-39-57.5-145-31.5+32+70-40+10+60</f>
        <v>151.90700000000004</v>
      </c>
      <c r="H434" s="104">
        <f>('Renewable Diesel'!B443*'RD Feedstock Breakdown'!H$3*'Feedstock Conversion Rates'!B$3)/12+67+10+12+3-235+20+47-20+25</f>
        <v>105.40022499999998</v>
      </c>
      <c r="I434" s="106">
        <f t="shared" si="449"/>
        <v>496.14347500000002</v>
      </c>
      <c r="J434" s="104">
        <f t="shared" si="417"/>
        <v>4</v>
      </c>
      <c r="K434" s="104"/>
      <c r="L434" s="104">
        <v>1</v>
      </c>
      <c r="M434" s="104">
        <f>('Renewable Diesel'!C443*'RD Feedstock Breakdown'!M$3*'Feedstock Conversion Rates'!B$2)/12</f>
        <v>7.7902500000000003</v>
      </c>
      <c r="N434" s="104">
        <f>('Renewable Diesel'!C443*'RD Feedstock Breakdown'!N$3*'Feedstock Conversion Rates'!B$8)/12</f>
        <v>3.671875</v>
      </c>
      <c r="O434" s="104">
        <f>('Renewable Diesel'!C443*'RD Feedstock Breakdown'!O$3*'Feedstock Conversion Rates'!B$7)/12</f>
        <v>11.9991</v>
      </c>
      <c r="P434" s="104">
        <f>('Renewable Diesel'!C443*'RD Feedstock Breakdown'!P$3*'Feedstock Conversion Rates'!B$3)/12</f>
        <v>10.4470425</v>
      </c>
      <c r="Q434" s="106">
        <f t="shared" si="455"/>
        <v>38.908267500000001</v>
      </c>
      <c r="R434" s="104">
        <f>('Renewable Diesel'!D443*'RD Feedstock Breakdown'!R$3*'Feedstock Conversion Rates'!B$7)/12</f>
        <v>2.2999999999999998</v>
      </c>
      <c r="S434" s="106">
        <f t="shared" si="414"/>
        <v>2.2999999999999998</v>
      </c>
      <c r="T434" s="104">
        <f t="shared" si="456"/>
        <v>0.82499999999999929</v>
      </c>
      <c r="U434" s="104"/>
      <c r="V434" s="104">
        <f>('Renewable Diesel'!E443*'RD Feedstock Breakdown'!V$3*'Feedstock Conversion Rates'!B$6)/12-20+25</f>
        <v>49.250150000000012</v>
      </c>
      <c r="W434" s="104">
        <f>('Renewable Diesel'!E443*'RD Feedstock Breakdown'!W$3*'Feedstock Conversion Rates'!B$8)/12-6</f>
        <v>16.1796875</v>
      </c>
      <c r="X434" s="106">
        <f t="shared" si="438"/>
        <v>66.254837500000008</v>
      </c>
      <c r="Y434" s="104">
        <f t="shared" si="457"/>
        <v>98</v>
      </c>
      <c r="Z434" s="104">
        <f>('Renewable Diesel'!F443*'RD Feedstock Breakdown'!Z$3*'Feedstock Conversion Rates'!B$6)/12-142+15+5+20+5+15</f>
        <v>77.460000000000008</v>
      </c>
      <c r="AA434" s="104">
        <f>('Renewable Diesel'!F443*'RD Feedstock Breakdown'!AA$3*'Feedstock Conversion Rates'!B$7)/12+24</f>
        <v>128.26666666666665</v>
      </c>
      <c r="AB434" s="106">
        <f t="shared" si="400"/>
        <v>303.72666666666669</v>
      </c>
      <c r="AC434" s="104">
        <f>('Renewable Diesel'!G443*'RD Feedstock Breakdown'!AC$3*'Feedstock Conversion Rates'!B$5)/12</f>
        <v>11.796875</v>
      </c>
      <c r="AD434" s="104">
        <f>('Renewable Diesel'!G443*'RD Feedstock Breakdown'!AD$3*'Feedstock Conversion Rates'!B$4)/12</f>
        <v>5.859375</v>
      </c>
      <c r="AE434" s="104">
        <f>('Renewable Diesel'!G443*'RD Feedstock Breakdown'!AE$3*'Feedstock Conversion Rates'!B$6)/12</f>
        <v>7.3281250000000009</v>
      </c>
      <c r="AF434" s="106">
        <f t="shared" si="445"/>
        <v>24.984375</v>
      </c>
      <c r="AG434" s="104">
        <f t="shared" si="459"/>
        <v>148</v>
      </c>
      <c r="AH434" s="104"/>
      <c r="AI434" s="104">
        <f>('Renewable Diesel'!H443*'RD Feedstock Breakdown'!AI$3*'Feedstock Conversion Rates'!B$6)/12-130-20+51-49</f>
        <v>0.51666666666667993</v>
      </c>
      <c r="AJ434" s="106">
        <f t="shared" si="413"/>
        <v>148.51666666666668</v>
      </c>
      <c r="AK434" s="104">
        <f>('Renewable Diesel'!J443*'RD Feedstock Breakdown'!AK$3*'Feedstock Conversion Rates'!B$4)/12</f>
        <v>95.8125</v>
      </c>
      <c r="AL434" s="106">
        <f t="shared" si="415"/>
        <v>95.8125</v>
      </c>
      <c r="AM434" s="104">
        <f>('Renewable Diesel'!K443*'RD Feedstock Breakdown'!AM$3*'Feedstock Conversion Rates'!B$4)/12+5+15-10+10</f>
        <v>78.59375</v>
      </c>
      <c r="AN434" s="104">
        <f>('Renewable Diesel'!K443*'RD Feedstock Breakdown'!AN$3*'Feedstock Conversion Rates'!B$6)/12-5-15+10-10</f>
        <v>4.4270833333333321</v>
      </c>
      <c r="AO434" s="106">
        <f t="shared" si="431"/>
        <v>83.020833333333329</v>
      </c>
      <c r="AP434" s="104">
        <f>('Renewable Diesel'!L443*'RD Feedstock Breakdown'!AP$3*'Feedstock Conversion Rates'!B$4)/12+15-10+15</f>
        <v>78.59375</v>
      </c>
      <c r="AQ434" s="104">
        <f>('Renewable Diesel'!L443*'RD Feedstock Breakdown'!AQ$3*'Feedstock Conversion Rates'!B$6)/12-15+10-15</f>
        <v>4.4270833333333321</v>
      </c>
      <c r="AR434" s="106">
        <f t="shared" si="420"/>
        <v>83.020833333333329</v>
      </c>
      <c r="AS434" s="104">
        <f>('Renewable Diesel'!M443*'RD Feedstock Breakdown'!AS$3*'Feedstock Conversion Rates'!B$4)/12</f>
        <v>456.25</v>
      </c>
      <c r="AT434" s="104">
        <f>('Renewable Diesel'!M443*'RD Feedstock Breakdown'!AT$3*'Feedstock Conversion Rates'!B$5)/12</f>
        <v>0</v>
      </c>
      <c r="AU434" s="106">
        <f t="shared" si="448"/>
        <v>456.25</v>
      </c>
      <c r="AV434" s="104">
        <f>'Renewable Diesel'!N443*'RD Feedstock Breakdown'!$AV$3*'Feedstock Conversion Rates'!$B$4/12-15-10+25+25-22+25</f>
        <v>106.74999999999999</v>
      </c>
      <c r="AW434" s="104">
        <f>'Renewable Diesel'!N443*'RD Feedstock Breakdown'!$AW$3*'Feedstock Conversion Rates'!$B$7/12+15+10-25-25+22-25</f>
        <v>13.400000000000006</v>
      </c>
      <c r="AX434" s="106">
        <f t="shared" si="408"/>
        <v>120.14999999999999</v>
      </c>
      <c r="AY434" s="104">
        <f>('Renewable Diesel'!O443*'RD Feedstock Breakdown'!AY$3*'Feedstock Conversion Rates'!B$4)/12</f>
        <v>210.9375</v>
      </c>
      <c r="AZ434" s="104">
        <f>('Renewable Diesel'!O443*'RD Feedstock Breakdown'!AZ$3*'Feedstock Conversion Rates'!B$3)/12</f>
        <v>25.03125</v>
      </c>
      <c r="BA434" s="106">
        <f t="shared" si="458"/>
        <v>235.96875</v>
      </c>
      <c r="BB434" s="104">
        <f>('Renewable Diesel'!Q443*'RD Feedstock Breakdown'!BB$3*'Feedstock Conversion Rates'!B$4)/12</f>
        <v>11.156249999999998</v>
      </c>
      <c r="BC434" s="104">
        <f>('Renewable Diesel'!Q443*'RD Feedstock Breakdown'!BC$3*'Feedstock Conversion Rates'!B$3)/12</f>
        <v>1.4017500000000001</v>
      </c>
      <c r="BD434" s="104">
        <f>('Renewable Diesel'!Q443*'RD Feedstock Breakdown'!BD$3*'Feedstock Conversion Rates'!B$6)/12</f>
        <v>0.8207500000000002</v>
      </c>
      <c r="BE434" s="106">
        <f t="shared" si="440"/>
        <v>13.378749999999998</v>
      </c>
      <c r="BF434" s="104">
        <f>('Renewable Diesel'!R443*'RD Feedstock Breakdown'!BF$3*'Feedstock Conversion Rates'!B$4)/12</f>
        <v>62.5</v>
      </c>
      <c r="BG434" s="106">
        <f t="shared" si="425"/>
        <v>62.5</v>
      </c>
      <c r="BH434" s="104">
        <f>('Renewable Diesel'!T443*'RD Feedstock Breakdown'!BH$3*'Feedstock Conversion Rates'!B$7)/12</f>
        <v>27.599999999999998</v>
      </c>
      <c r="BI434" s="106">
        <f t="shared" si="412"/>
        <v>27.599999999999998</v>
      </c>
      <c r="BJ434" s="104">
        <f>('Renewable Diesel'!W443*'RD Feedstock Breakdown'!BJ$3*'Feedstock Conversion Rates'!B$4)/12</f>
        <v>7.5</v>
      </c>
      <c r="BK434" s="104">
        <f>('Renewable Diesel'!W443*'RD Feedstock Breakdown'!BK$3*'Feedstock Conversion Rates'!B$3)/12</f>
        <v>1.335</v>
      </c>
      <c r="BL434" s="104">
        <f>('Renewable Diesel'!W443*'RD Feedstock Breakdown'!BL$3*'Feedstock Conversion Rates'!B$6)/12</f>
        <v>3.1266666666666669</v>
      </c>
      <c r="BM434" s="104">
        <f>('Renewable Diesel'!W443*'RD Feedstock Breakdown'!BM$3*'Feedstock Conversion Rates'!B$7)/12</f>
        <v>1.5333333333333332</v>
      </c>
      <c r="BN434" s="106">
        <f t="shared" si="452"/>
        <v>13.495000000000001</v>
      </c>
      <c r="BO434" s="104">
        <f>('Renewable Diesel'!P443*'Feedstock Conversion Rates'!B$4)/12</f>
        <v>31.25</v>
      </c>
      <c r="BP434" s="106">
        <f t="shared" si="446"/>
        <v>31.25</v>
      </c>
      <c r="BQ434" s="104">
        <f>('Renewable Diesel'!$S443*'RD Feedstock Breakdown'!BQ$3*'Feedstock Conversion Rates'!B$4)/12+10+15-15</f>
        <v>38.125</v>
      </c>
      <c r="BR434" s="104">
        <f>('Renewable Diesel'!$S443*'RD Feedstock Breakdown'!BR$3*'Feedstock Conversion Rates'!B$7)/12-10-15+15</f>
        <v>1.5</v>
      </c>
      <c r="BS434" s="106">
        <f t="shared" si="460"/>
        <v>39.625</v>
      </c>
      <c r="BT434" s="106"/>
      <c r="BU434" s="104">
        <f>('Renewable Diesel'!Y443*'Feedstock Conversion Rates'!B$7)/12</f>
        <v>2.6833333333333331</v>
      </c>
      <c r="BV434" s="106">
        <f t="shared" si="442"/>
        <v>2.6833333333333331</v>
      </c>
      <c r="BW434" s="104">
        <f>('Renewable Diesel'!$Z443*'RD Feedstock Breakdown'!BW$3*'Feedstock Conversion Rates'!$B$4)/12-250+180</f>
        <v>1.875</v>
      </c>
      <c r="BX434" s="104">
        <f>('Renewable Diesel'!$Z443*'RD Feedstock Breakdown'!BX$3*'Feedstock Conversion Rates'!$B$5)/12</f>
        <v>7.2354166666666666</v>
      </c>
      <c r="BY434" s="104">
        <f>('Renewable Diesel'!$Z443*'RD Feedstock Breakdown'!BY$3*'Feedstock Conversion Rates'!$B$7)/12</f>
        <v>61.716666666666661</v>
      </c>
      <c r="BZ434" s="104">
        <f>('Renewable Diesel'!$Z443*'RD Feedstock Breakdown'!BZ$3*'Feedstock Conversion Rates'!$B$3)/12+250-180</f>
        <v>85.35250000000002</v>
      </c>
      <c r="CA434" s="106">
        <f t="shared" si="464"/>
        <v>156.17958333333334</v>
      </c>
      <c r="CB434" s="104">
        <f>('Renewable Diesel'!AA443*'Feedstock Conversion Rates'!B$4)/12</f>
        <v>191.25</v>
      </c>
      <c r="CC434" s="106">
        <f t="shared" si="454"/>
        <v>191.25</v>
      </c>
      <c r="CD434" s="104">
        <f>('Renewable Diesel'!$AB443*'RD Feedstock Breakdown'!CD$3*'Feedstock Conversion Rates'!$B$6)/12-15-5</f>
        <v>12.830000000000005</v>
      </c>
      <c r="CE434" s="104">
        <f>('Renewable Diesel'!$AB443*'RD Feedstock Breakdown'!CE$3*'Feedstock Conversion Rates'!$B$4)/12+15+5</f>
        <v>31.25</v>
      </c>
      <c r="CF434" s="106">
        <f t="shared" si="450"/>
        <v>44.080000000000005</v>
      </c>
      <c r="CG434" s="104">
        <f>('Renewable Diesel'!AD443*'Feedstock Conversion Rates'!B$4)/12</f>
        <v>112.5</v>
      </c>
      <c r="CH434" s="106">
        <f t="shared" si="439"/>
        <v>112.5</v>
      </c>
      <c r="CI434" s="104">
        <f>('Renewable Diesel'!$AE443*'RD Feedstock Breakdown'!CI$3*'Feedstock Conversion Rates'!$B$5)/12</f>
        <v>0.34604166666666664</v>
      </c>
      <c r="CJ434" s="104">
        <f>('Renewable Diesel'!$AE443*'RD Feedstock Breakdown'!CJ$3*'Feedstock Conversion Rates'!$B$4)/12</f>
        <v>0.34375</v>
      </c>
      <c r="CK434" s="106">
        <f t="shared" si="447"/>
        <v>0.68979166666666658</v>
      </c>
      <c r="CL434" s="104">
        <f>(((CL$3*'Renewable Diesel'!$AF443)*'Feedstock Conversion Rates'!$B$3)/12)</f>
        <v>91.78125</v>
      </c>
      <c r="CM434" s="104">
        <f>(((CM$3*'Renewable Diesel'!$AF443)*'Feedstock Conversion Rates'!$B$6)/12)</f>
        <v>53.739583333333336</v>
      </c>
      <c r="CN434" s="104">
        <f>(((CN$3*'Renewable Diesel'!$AF443)*'Feedstock Conversion Rates'!$B$4)/12)</f>
        <v>42.96875</v>
      </c>
      <c r="CO434" s="106">
        <f t="shared" si="441"/>
        <v>188.48958333333334</v>
      </c>
      <c r="CP434" s="104">
        <f>('Renewable Diesel'!$AG443*'RD Feedstock Breakdown'!CP$3*'Feedstock Conversion Rates'!$B$3)/12</f>
        <v>6.0075000000000003</v>
      </c>
      <c r="CQ434" s="104">
        <f>('Renewable Diesel'!$AG443*'RD Feedstock Breakdown'!CQ$3*'Feedstock Conversion Rates'!$B$6)/12</f>
        <v>3.5175000000000001</v>
      </c>
      <c r="CR434" s="104">
        <f>('Renewable Diesel'!$AG443*'RD Feedstock Breakdown'!CR$3*'Feedstock Conversion Rates'!$B$4)/12</f>
        <v>2.8125</v>
      </c>
      <c r="CS434" s="106">
        <f t="shared" si="467"/>
        <v>12.3375</v>
      </c>
      <c r="CT434" s="104">
        <f>('Renewable Diesel'!AI443*'Feedstock Conversion Rates'!$B$4*'RD Feedstock Breakdown'!$CT$3)/12</f>
        <v>29.375</v>
      </c>
      <c r="CU434" s="106">
        <f t="shared" si="443"/>
        <v>29.375</v>
      </c>
      <c r="CV434" s="104">
        <f>('Renewable Diesel'!AN443*'Feedstock Conversion Rates'!$B$3*'RD Feedstock Breakdown'!$CV$3)/12</f>
        <v>0.50062499999999999</v>
      </c>
      <c r="CW434" s="106">
        <f t="shared" si="419"/>
        <v>0.50062499999999999</v>
      </c>
      <c r="CX434" s="104">
        <f>('Renewable Diesel'!AO443*'RD Feedstock Breakdown'!$CX$3*'Feedstock Conversion Rates'!$B$3)/12</f>
        <v>6.3412499999999996</v>
      </c>
      <c r="CY434" s="104">
        <f>('Renewable Diesel'!AO443*'RD Feedstock Breakdown'!$CY$3*'Feedstock Conversion Rates'!$B$6)/12</f>
        <v>7.4258333333333342</v>
      </c>
      <c r="CZ434" s="106">
        <f t="shared" ref="CZ434:CZ495" si="468">CY434+CX434</f>
        <v>13.767083333333334</v>
      </c>
      <c r="DA434" s="104">
        <f>('Renewable Diesel'!$AP443*'RD Feedstock Breakdown'!DA$3*'Feedstock Conversion Rates'!$B$3)/12</f>
        <v>6.3412499999999996</v>
      </c>
      <c r="DB434" s="104">
        <f>('Renewable Diesel'!$AP443*'RD Feedstock Breakdown'!DB$3*'Feedstock Conversion Rates'!$B$8)/12</f>
        <v>7.421875</v>
      </c>
      <c r="DC434" s="106">
        <f t="shared" si="422"/>
        <v>13.763124999999999</v>
      </c>
      <c r="DD434" s="104">
        <f>('Renewable Diesel'!AQ443*$DD$3*'Feedstock Conversion Rates'!$B$14)/12</f>
        <v>3.1041666666666665</v>
      </c>
      <c r="DE434" s="106">
        <f t="shared" si="423"/>
        <v>3.1041666666666665</v>
      </c>
      <c r="DF434" s="104">
        <f>('Renewable Diesel'!AR443*'Feedstock Conversion Rates'!$B$4*$DF$3)/12</f>
        <v>75</v>
      </c>
      <c r="DG434" s="106">
        <f t="shared" ref="DG434:DG495" si="469">DF434</f>
        <v>75</v>
      </c>
      <c r="DH434" s="104">
        <f>('Renewable Diesel'!AS443*'Feedstock Conversion Rates'!$B$4*$DH$3)/12</f>
        <v>75</v>
      </c>
      <c r="DI434" s="106">
        <f t="shared" si="411"/>
        <v>75</v>
      </c>
      <c r="DJ434" s="104">
        <f>('Renewable Diesel'!AT443*'Feedstock Conversion Rates'!$B$4*0.25)/12</f>
        <v>8.59375</v>
      </c>
      <c r="DK434" s="104">
        <f>('Renewable Diesel'!$AT443*'RD Feedstock Breakdown'!DK$3*'Feedstock Conversion Rates'!$B$3)/12*0.5</f>
        <v>9.1781249999999996</v>
      </c>
      <c r="DL434" s="104">
        <f>('Renewable Diesel'!$AT443*'RD Feedstock Breakdown'!$DL$3*'Feedstock Conversion Rates'!$B$6)/12</f>
        <v>10.747916666666669</v>
      </c>
      <c r="DM434" s="104">
        <f>('Renewable Diesel'!$AT443*'RD Feedstock Breakdown'!$DM$3*'Feedstock Conversion Rates'!$B$8)/12</f>
        <v>10.7421875</v>
      </c>
      <c r="DN434" s="106">
        <f t="shared" si="453"/>
        <v>39.26197916666667</v>
      </c>
      <c r="DP434" s="104">
        <f t="shared" si="426"/>
        <v>103.22025000000001</v>
      </c>
      <c r="DQ434" s="104">
        <f t="shared" si="427"/>
        <v>349.11776750000007</v>
      </c>
      <c r="DR434" s="104">
        <f t="shared" si="432"/>
        <v>1891.953125</v>
      </c>
      <c r="DS434" s="104">
        <f t="shared" si="444"/>
        <v>228.90125</v>
      </c>
      <c r="DT434" s="104">
        <f t="shared" si="428"/>
        <v>243.03923333333344</v>
      </c>
      <c r="DU434" s="104">
        <f t="shared" si="429"/>
        <v>402.90610000000009</v>
      </c>
      <c r="DV434" s="104">
        <f t="shared" si="433"/>
        <v>78.75</v>
      </c>
      <c r="DW434" s="104">
        <f t="shared" si="430"/>
        <v>3</v>
      </c>
      <c r="DX434" s="106">
        <f t="shared" si="434"/>
        <v>3300.8877258333337</v>
      </c>
      <c r="DY434" s="109">
        <f t="shared" si="421"/>
        <v>-5.631051180898794E-13</v>
      </c>
      <c r="EA434" s="110">
        <f t="shared" si="424"/>
        <v>3.1270451640078516E-2</v>
      </c>
      <c r="EB434" s="110">
        <f t="shared" ref="EB434:EG476" si="470">DQ434/$DX434</f>
        <v>0.10576481131658687</v>
      </c>
      <c r="EC434" s="110">
        <f t="shared" si="470"/>
        <v>0.57316494293133291</v>
      </c>
      <c r="ED434" s="110">
        <f t="shared" si="470"/>
        <v>6.9345360706629972E-2</v>
      </c>
      <c r="EE434" s="110">
        <f t="shared" si="470"/>
        <v>7.3628445896921982E-2</v>
      </c>
      <c r="EF434" s="110">
        <f t="shared" si="470"/>
        <v>0.1220599225010852</v>
      </c>
      <c r="EG434" s="110">
        <f t="shared" si="470"/>
        <v>2.3857218585075921E-2</v>
      </c>
      <c r="EH434" s="111">
        <f t="shared" si="435"/>
        <v>9.0884642228860647E-4</v>
      </c>
      <c r="EI434" s="110">
        <f t="shared" si="409"/>
        <v>0.99909115357771139</v>
      </c>
      <c r="EK434" s="132">
        <f>(EA434*'Renewable Diesel'!BF443*'Feedstock Conversion Rates'!B$2)+FB434</f>
        <v>836.00721824546372</v>
      </c>
      <c r="EL434" s="132">
        <f>(EB434*'Renewable Diesel'!BF443*'Feedstock Conversion Rates'!B$3)+FC434</f>
        <v>2664.5916507985821</v>
      </c>
      <c r="EM434" s="132">
        <f>(EC434*'Renewable Diesel'!BF443*'Feedstock Conversion Rates'!B$4)+FD434</f>
        <v>13520.658088055243</v>
      </c>
      <c r="EN434" s="132">
        <f>(ED434*'Renewable Diesel'!BF443*'Feedstock Conversion Rates'!B$5)+FE434</f>
        <v>1646.7258796874146</v>
      </c>
      <c r="EO434" s="132">
        <f>(EE434*'Renewable Diesel'!BF443*'Feedstock Conversion Rates'!B$6)+FF434</f>
        <v>2172.2280619951612</v>
      </c>
      <c r="EP434" s="132">
        <f>(EF434*'Renewable Diesel'!BF443*'Feedstock Conversion Rates'!B$7)+FG434</f>
        <v>3531.9769846246063</v>
      </c>
      <c r="EQ434" s="132">
        <f>(EG434*'Renewable Diesel'!BF443*'Feedstock Conversion Rates'!B$8)+FH434</f>
        <v>703.47397245528373</v>
      </c>
      <c r="ER434" s="132">
        <f>(EH434*'Renewable Diesel'!BF443*'Feedstock Conversion Rates'!B$9)+FI434</f>
        <v>26.441688361493838</v>
      </c>
      <c r="ES434" s="132">
        <f t="shared" si="436"/>
        <v>25102.10354422325</v>
      </c>
      <c r="ET434" s="133">
        <f>ES434/'Renewable Diesel'!BF443</f>
        <v>20.845365151647261</v>
      </c>
      <c r="EW434" s="73">
        <f t="shared" si="461"/>
        <v>24527.734279958237</v>
      </c>
      <c r="EX434" s="73">
        <f t="shared" si="462"/>
        <v>16065.800301228952</v>
      </c>
      <c r="EY434" s="92">
        <f t="shared" si="410"/>
        <v>0.97711867998420421</v>
      </c>
      <c r="EZ434" s="92">
        <f t="shared" si="410"/>
        <v>0.64001808744535182</v>
      </c>
      <c r="FB434" s="102">
        <f>IF('Renewable Diesel'!$BG443&lt;1,0,(((('Renewable Diesel'!$BG443-1)*'Renewable Diesel'!$BF443)*'RD Feedstock Breakdown'!EA434)*'Feedstock Conversion Rates'!$B$2))</f>
        <v>515.93079221578091</v>
      </c>
      <c r="FC434" s="102">
        <f>IF('Renewable Diesel'!$BG443&lt;1,0,(((('Renewable Diesel'!$BG443-1)*'Renewable Diesel'!$BF443)*'RD Feedstock Breakdown'!EB434)*'Feedstock Conversion Rates'!$B$3))</f>
        <v>1644.4174778936219</v>
      </c>
      <c r="FD434" s="102">
        <f>IF('Renewable Diesel'!$BG443&lt;1,0,(((('Renewable Diesel'!$BG443-1)*'Renewable Diesel'!$BF443)*'RD Feedstock Breakdown'!EC434)*'Feedstock Conversion Rates'!$B$4))</f>
        <v>8344.0952259826954</v>
      </c>
      <c r="FE434" s="102">
        <f>IF('Renewable Diesel'!$BG443&lt;1,0,(((('Renewable Diesel'!$BG443-1)*'Renewable Diesel'!$BF443)*'RD Feedstock Breakdown'!ED434)*'Feedstock Conversion Rates'!$B$5))</f>
        <v>1016.2550862328832</v>
      </c>
      <c r="FF434" s="102">
        <f>IF('Renewable Diesel'!$BG443&lt;1,0,(((('Renewable Diesel'!$BG443-1)*'Renewable Diesel'!$BF443)*'RD Feedstock Breakdown'!EE434)*'Feedstock Conversion Rates'!$B$6))</f>
        <v>1340.5618042994633</v>
      </c>
      <c r="FG434" s="102">
        <f>IF('Renewable Diesel'!$BG443&lt;1,0,(((('Renewable Diesel'!$BG443-1)*'Renewable Diesel'!$BF443)*'RD Feedstock Breakdown'!EF434)*'Feedstock Conversion Rates'!$B$7))</f>
        <v>2179.7128589268209</v>
      </c>
      <c r="FH434" s="102">
        <f>IF('Renewable Diesel'!$BG443&lt;1,0,(((('Renewable Diesel'!$BG443-1)*'Renewable Diesel'!$BF443)*'RD Feedstock Breakdown'!EG434)*'Feedstock Conversion Rates'!$B$8))</f>
        <v>434.13965333188241</v>
      </c>
      <c r="FI434" s="102">
        <f>IF('Renewable Diesel'!$BG443&lt;1,0,(((('Renewable Diesel'!$BG443-1)*'Renewable Diesel'!$BF443)*'RD Feedstock Breakdown'!EH434)*'Feedstock Conversion Rates'!$B$9))</f>
        <v>16.318138080792025</v>
      </c>
      <c r="FJ434" s="102">
        <f t="shared" si="463"/>
        <v>15491.431036963941</v>
      </c>
      <c r="GD434" s="91">
        <f>'Renewable Diesel'!BB443*0.32</f>
        <v>0</v>
      </c>
      <c r="GE434" s="91">
        <f>'Renewable Diesel'!BC443</f>
        <v>588.65315876595787</v>
      </c>
      <c r="GF434" s="91">
        <f>'Renewable Diesel'!BD443</f>
        <v>0</v>
      </c>
      <c r="GG434" s="91">
        <f t="shared" si="451"/>
        <v>588.65315876595787</v>
      </c>
      <c r="GH434" s="124">
        <v>1</v>
      </c>
      <c r="GI434" s="102">
        <f>$GG434*EA434*'Feedstock Conversion Rates'!$B$2</f>
        <v>156.46332613874796</v>
      </c>
      <c r="GJ434" s="102">
        <f>$GG434*EB434*'Feedstock Conversion Rates'!$B$3</f>
        <v>498.69291004503305</v>
      </c>
      <c r="GK434" s="102">
        <f>$GG434*EC434*'Feedstock Conversion Rates'!$B$4</f>
        <v>2530.4651561282935</v>
      </c>
      <c r="GL434" s="102">
        <f>$GG434*ED434*'Feedstock Conversion Rates'!$B$5</f>
        <v>308.19376047420462</v>
      </c>
      <c r="GM434" s="102">
        <f>$GG434*EE434*'Feedstock Conversion Rates'!$B$6</f>
        <v>406.54436982611958</v>
      </c>
      <c r="GN434" s="102">
        <f>$GG434*EF434*'Feedstock Conversion Rates'!$B$7</f>
        <v>661.02882223872473</v>
      </c>
      <c r="GO434" s="102">
        <f>$GG434*EG434*'Feedstock Conversion Rates'!$B$8</f>
        <v>131.65900387007679</v>
      </c>
      <c r="GP434" s="102">
        <f>$GG434*EH434*'Feedstock Conversion Rates'!B$9</f>
        <v>4.9487066851482826</v>
      </c>
      <c r="GQ434" s="102">
        <f t="shared" si="437"/>
        <v>4697.9960554063482</v>
      </c>
      <c r="GT434" s="103">
        <f t="shared" si="418"/>
        <v>3.3304269372191886E-2</v>
      </c>
      <c r="GU434" s="103">
        <f t="shared" si="418"/>
        <v>0.10615013383656388</v>
      </c>
      <c r="GV434" s="103">
        <f t="shared" si="418"/>
        <v>0.53862649654979833</v>
      </c>
      <c r="GW434" s="103">
        <f t="shared" si="418"/>
        <v>6.5601110950176761E-2</v>
      </c>
      <c r="GX434" s="103">
        <f t="shared" si="465"/>
        <v>8.6535698419388296E-2</v>
      </c>
      <c r="GY434" s="103">
        <f t="shared" si="465"/>
        <v>0.14070442257566979</v>
      </c>
      <c r="GZ434" s="103">
        <f t="shared" si="465"/>
        <v>2.802450285554552E-2</v>
      </c>
      <c r="HA434" s="103">
        <f t="shared" si="465"/>
        <v>1.0533654406655838E-3</v>
      </c>
    </row>
    <row r="435" spans="1:209" x14ac:dyDescent="0.25">
      <c r="A435" s="96">
        <v>53662</v>
      </c>
      <c r="B435" s="104">
        <f t="shared" si="406"/>
        <v>44.25</v>
      </c>
      <c r="C435" s="104">
        <f t="shared" si="466"/>
        <v>49</v>
      </c>
      <c r="D435" s="104">
        <f t="shared" si="407"/>
        <v>2</v>
      </c>
      <c r="E435" s="104">
        <f>('Renewable Diesel'!B444*E$3*'Feedstock Conversion Rates'!$B$2)/12+26+13-100+27.5+39</f>
        <v>95.43</v>
      </c>
      <c r="F435" s="104">
        <f>('Renewable Diesel'!B444*'RD Feedstock Breakdown'!F$3*'Feedstock Conversion Rates'!B$8)/12+77+23-10-12-115.75+24+8</f>
        <v>48.15625</v>
      </c>
      <c r="G435" s="104">
        <f>('Renewable Diesel'!B444*'RD Feedstock Breakdown'!G$3*'Feedstock Conversion Rates'!B$7)/12+116.75-39-57.5-145-31.5+32+70-40+10+60</f>
        <v>151.90700000000004</v>
      </c>
      <c r="H435" s="104">
        <f>('Renewable Diesel'!B444*'RD Feedstock Breakdown'!H$3*'Feedstock Conversion Rates'!B$3)/12+67+10+12+3-235+20+47-20+25</f>
        <v>105.40022499999998</v>
      </c>
      <c r="I435" s="106">
        <f t="shared" si="449"/>
        <v>496.14347500000002</v>
      </c>
      <c r="J435" s="104">
        <f t="shared" si="417"/>
        <v>4</v>
      </c>
      <c r="K435" s="104"/>
      <c r="L435" s="104">
        <v>1</v>
      </c>
      <c r="M435" s="104">
        <f>('Renewable Diesel'!C444*'RD Feedstock Breakdown'!M$3*'Feedstock Conversion Rates'!B$2)/12</f>
        <v>7.7902500000000003</v>
      </c>
      <c r="N435" s="104">
        <f>('Renewable Diesel'!C444*'RD Feedstock Breakdown'!N$3*'Feedstock Conversion Rates'!B$8)/12</f>
        <v>3.671875</v>
      </c>
      <c r="O435" s="104">
        <f>('Renewable Diesel'!C444*'RD Feedstock Breakdown'!O$3*'Feedstock Conversion Rates'!B$7)/12</f>
        <v>11.9991</v>
      </c>
      <c r="P435" s="104">
        <f>('Renewable Diesel'!C444*'RD Feedstock Breakdown'!P$3*'Feedstock Conversion Rates'!B$3)/12</f>
        <v>10.4470425</v>
      </c>
      <c r="Q435" s="106">
        <f t="shared" si="455"/>
        <v>38.908267500000001</v>
      </c>
      <c r="R435" s="104">
        <f>('Renewable Diesel'!D444*'RD Feedstock Breakdown'!R$3*'Feedstock Conversion Rates'!B$7)/12</f>
        <v>2.2999999999999998</v>
      </c>
      <c r="S435" s="106">
        <f t="shared" si="414"/>
        <v>2.2999999999999998</v>
      </c>
      <c r="T435" s="104">
        <f t="shared" si="456"/>
        <v>0.82499999999999929</v>
      </c>
      <c r="U435" s="104"/>
      <c r="V435" s="104">
        <f>('Renewable Diesel'!E444*'RD Feedstock Breakdown'!V$3*'Feedstock Conversion Rates'!B$6)/12-20+25</f>
        <v>49.250150000000012</v>
      </c>
      <c r="W435" s="104">
        <f>('Renewable Diesel'!E444*'RD Feedstock Breakdown'!W$3*'Feedstock Conversion Rates'!B$8)/12-6</f>
        <v>16.1796875</v>
      </c>
      <c r="X435" s="106">
        <f t="shared" si="438"/>
        <v>66.254837500000008</v>
      </c>
      <c r="Y435" s="104">
        <f t="shared" si="457"/>
        <v>98</v>
      </c>
      <c r="Z435" s="104">
        <f>('Renewable Diesel'!F444*'RD Feedstock Breakdown'!Z$3*'Feedstock Conversion Rates'!B$6)/12-142+15+5+20+5+15</f>
        <v>77.460000000000008</v>
      </c>
      <c r="AA435" s="104">
        <f>('Renewable Diesel'!F444*'RD Feedstock Breakdown'!AA$3*'Feedstock Conversion Rates'!B$7)/12+24</f>
        <v>128.26666666666665</v>
      </c>
      <c r="AB435" s="106">
        <f t="shared" ref="AB435:AB495" si="471">SUM(Y435:AA435)</f>
        <v>303.72666666666669</v>
      </c>
      <c r="AC435" s="104">
        <f>('Renewable Diesel'!G444*'RD Feedstock Breakdown'!AC$3*'Feedstock Conversion Rates'!B$5)/12</f>
        <v>11.796875</v>
      </c>
      <c r="AD435" s="104">
        <f>('Renewable Diesel'!G444*'RD Feedstock Breakdown'!AD$3*'Feedstock Conversion Rates'!B$4)/12</f>
        <v>5.859375</v>
      </c>
      <c r="AE435" s="104">
        <f>('Renewable Diesel'!G444*'RD Feedstock Breakdown'!AE$3*'Feedstock Conversion Rates'!B$6)/12</f>
        <v>7.3281250000000009</v>
      </c>
      <c r="AF435" s="106">
        <f t="shared" si="445"/>
        <v>24.984375</v>
      </c>
      <c r="AG435" s="104">
        <f t="shared" si="459"/>
        <v>148</v>
      </c>
      <c r="AH435" s="104"/>
      <c r="AI435" s="104">
        <f>('Renewable Diesel'!H444*'RD Feedstock Breakdown'!AI$3*'Feedstock Conversion Rates'!B$6)/12-130-20+51-49</f>
        <v>0.51666666666667993</v>
      </c>
      <c r="AJ435" s="106">
        <f t="shared" si="413"/>
        <v>148.51666666666668</v>
      </c>
      <c r="AK435" s="104">
        <f>('Renewable Diesel'!J444*'RD Feedstock Breakdown'!AK$3*'Feedstock Conversion Rates'!B$4)/12</f>
        <v>95.8125</v>
      </c>
      <c r="AL435" s="106">
        <f t="shared" si="415"/>
        <v>95.8125</v>
      </c>
      <c r="AM435" s="104">
        <f>('Renewable Diesel'!K444*'RD Feedstock Breakdown'!AM$3*'Feedstock Conversion Rates'!B$4)/12+5+15-10+10</f>
        <v>78.59375</v>
      </c>
      <c r="AN435" s="104">
        <f>('Renewable Diesel'!K444*'RD Feedstock Breakdown'!AN$3*'Feedstock Conversion Rates'!B$6)/12-5-15+10-10</f>
        <v>4.4270833333333321</v>
      </c>
      <c r="AO435" s="106">
        <f t="shared" si="431"/>
        <v>83.020833333333329</v>
      </c>
      <c r="AP435" s="104">
        <f>('Renewable Diesel'!L444*'RD Feedstock Breakdown'!AP$3*'Feedstock Conversion Rates'!B$4)/12+15-10+15</f>
        <v>78.59375</v>
      </c>
      <c r="AQ435" s="104">
        <f>('Renewable Diesel'!L444*'RD Feedstock Breakdown'!AQ$3*'Feedstock Conversion Rates'!B$6)/12-15+10-15</f>
        <v>4.4270833333333321</v>
      </c>
      <c r="AR435" s="106">
        <f t="shared" si="420"/>
        <v>83.020833333333329</v>
      </c>
      <c r="AS435" s="104">
        <f>('Renewable Diesel'!M444*'RD Feedstock Breakdown'!AS$3*'Feedstock Conversion Rates'!B$4)/12</f>
        <v>456.25</v>
      </c>
      <c r="AT435" s="104">
        <f>('Renewable Diesel'!M444*'RD Feedstock Breakdown'!AT$3*'Feedstock Conversion Rates'!B$5)/12</f>
        <v>0</v>
      </c>
      <c r="AU435" s="106">
        <f t="shared" si="448"/>
        <v>456.25</v>
      </c>
      <c r="AV435" s="104">
        <f>'Renewable Diesel'!N444*'RD Feedstock Breakdown'!$AV$3*'Feedstock Conversion Rates'!$B$4/12-15-10+25+25-22+25</f>
        <v>106.74999999999999</v>
      </c>
      <c r="AW435" s="104">
        <f>'Renewable Diesel'!N444*'RD Feedstock Breakdown'!$AW$3*'Feedstock Conversion Rates'!$B$7/12+15+10-25-25+22-25</f>
        <v>13.400000000000006</v>
      </c>
      <c r="AX435" s="106">
        <f t="shared" si="408"/>
        <v>120.14999999999999</v>
      </c>
      <c r="AY435" s="104">
        <f>('Renewable Diesel'!O444*'RD Feedstock Breakdown'!AY$3*'Feedstock Conversion Rates'!B$4)/12</f>
        <v>210.9375</v>
      </c>
      <c r="AZ435" s="104">
        <f>('Renewable Diesel'!O444*'RD Feedstock Breakdown'!AZ$3*'Feedstock Conversion Rates'!B$3)/12</f>
        <v>25.03125</v>
      </c>
      <c r="BA435" s="106">
        <f t="shared" si="458"/>
        <v>235.96875</v>
      </c>
      <c r="BB435" s="104">
        <f>('Renewable Diesel'!Q444*'RD Feedstock Breakdown'!BB$3*'Feedstock Conversion Rates'!B$4)/12</f>
        <v>11.156249999999998</v>
      </c>
      <c r="BC435" s="104">
        <f>('Renewable Diesel'!Q444*'RD Feedstock Breakdown'!BC$3*'Feedstock Conversion Rates'!B$3)/12</f>
        <v>1.4017500000000001</v>
      </c>
      <c r="BD435" s="104">
        <f>('Renewable Diesel'!Q444*'RD Feedstock Breakdown'!BD$3*'Feedstock Conversion Rates'!B$6)/12</f>
        <v>0.8207500000000002</v>
      </c>
      <c r="BE435" s="106">
        <f t="shared" si="440"/>
        <v>13.378749999999998</v>
      </c>
      <c r="BF435" s="104">
        <f>('Renewable Diesel'!R444*'RD Feedstock Breakdown'!BF$3*'Feedstock Conversion Rates'!B$4)/12</f>
        <v>62.5</v>
      </c>
      <c r="BG435" s="106">
        <f t="shared" si="425"/>
        <v>62.5</v>
      </c>
      <c r="BH435" s="104">
        <f>('Renewable Diesel'!T444*'RD Feedstock Breakdown'!BH$3*'Feedstock Conversion Rates'!B$7)/12</f>
        <v>27.599999999999998</v>
      </c>
      <c r="BI435" s="106">
        <f t="shared" si="412"/>
        <v>27.599999999999998</v>
      </c>
      <c r="BJ435" s="104">
        <f>('Renewable Diesel'!W444*'RD Feedstock Breakdown'!BJ$3*'Feedstock Conversion Rates'!B$4)/12</f>
        <v>7.5</v>
      </c>
      <c r="BK435" s="104">
        <f>('Renewable Diesel'!W444*'RD Feedstock Breakdown'!BK$3*'Feedstock Conversion Rates'!B$3)/12</f>
        <v>1.335</v>
      </c>
      <c r="BL435" s="104">
        <f>('Renewable Diesel'!W444*'RD Feedstock Breakdown'!BL$3*'Feedstock Conversion Rates'!B$6)/12</f>
        <v>3.1266666666666669</v>
      </c>
      <c r="BM435" s="104">
        <f>('Renewable Diesel'!W444*'RD Feedstock Breakdown'!BM$3*'Feedstock Conversion Rates'!B$7)/12</f>
        <v>1.5333333333333332</v>
      </c>
      <c r="BN435" s="106">
        <f t="shared" si="452"/>
        <v>13.495000000000001</v>
      </c>
      <c r="BO435" s="104">
        <f>('Renewable Diesel'!P444*'Feedstock Conversion Rates'!B$4)/12</f>
        <v>31.25</v>
      </c>
      <c r="BP435" s="106">
        <f t="shared" si="446"/>
        <v>31.25</v>
      </c>
      <c r="BQ435" s="104">
        <f>('Renewable Diesel'!$S444*'RD Feedstock Breakdown'!BQ$3*'Feedstock Conversion Rates'!B$4)/12+10+15-15</f>
        <v>38.125</v>
      </c>
      <c r="BR435" s="104">
        <f>('Renewable Diesel'!$S444*'RD Feedstock Breakdown'!BR$3*'Feedstock Conversion Rates'!B$7)/12-10-15+15</f>
        <v>1.5</v>
      </c>
      <c r="BS435" s="106">
        <f t="shared" si="460"/>
        <v>39.625</v>
      </c>
      <c r="BT435" s="106"/>
      <c r="BU435" s="104">
        <f>('Renewable Diesel'!Y444*'Feedstock Conversion Rates'!B$7)/12</f>
        <v>2.6833333333333331</v>
      </c>
      <c r="BV435" s="106">
        <f t="shared" si="442"/>
        <v>2.6833333333333331</v>
      </c>
      <c r="BW435" s="104">
        <f>('Renewable Diesel'!$Z444*'RD Feedstock Breakdown'!BW$3*'Feedstock Conversion Rates'!$B$4)/12-250+180</f>
        <v>1.875</v>
      </c>
      <c r="BX435" s="104">
        <f>('Renewable Diesel'!$Z444*'RD Feedstock Breakdown'!BX$3*'Feedstock Conversion Rates'!$B$5)/12</f>
        <v>7.2354166666666666</v>
      </c>
      <c r="BY435" s="104">
        <f>('Renewable Diesel'!$Z444*'RD Feedstock Breakdown'!BY$3*'Feedstock Conversion Rates'!$B$7)/12</f>
        <v>61.716666666666661</v>
      </c>
      <c r="BZ435" s="104">
        <f>('Renewable Diesel'!$Z444*'RD Feedstock Breakdown'!BZ$3*'Feedstock Conversion Rates'!$B$3)/12+250-180</f>
        <v>85.35250000000002</v>
      </c>
      <c r="CA435" s="106">
        <f t="shared" si="464"/>
        <v>156.17958333333334</v>
      </c>
      <c r="CB435" s="104">
        <f>('Renewable Diesel'!AA444*'Feedstock Conversion Rates'!B$4)/12</f>
        <v>191.25</v>
      </c>
      <c r="CC435" s="106">
        <f t="shared" si="454"/>
        <v>191.25</v>
      </c>
      <c r="CD435" s="104">
        <f>('Renewable Diesel'!$AB444*'RD Feedstock Breakdown'!CD$3*'Feedstock Conversion Rates'!$B$6)/12-15-5</f>
        <v>12.830000000000005</v>
      </c>
      <c r="CE435" s="104">
        <f>('Renewable Diesel'!$AB444*'RD Feedstock Breakdown'!CE$3*'Feedstock Conversion Rates'!$B$4)/12+15+5</f>
        <v>31.25</v>
      </c>
      <c r="CF435" s="106">
        <f t="shared" si="450"/>
        <v>44.080000000000005</v>
      </c>
      <c r="CG435" s="104">
        <f>('Renewable Diesel'!AD444*'Feedstock Conversion Rates'!B$4)/12</f>
        <v>112.5</v>
      </c>
      <c r="CH435" s="106">
        <f t="shared" si="439"/>
        <v>112.5</v>
      </c>
      <c r="CI435" s="104">
        <f>('Renewable Diesel'!$AE444*'RD Feedstock Breakdown'!CI$3*'Feedstock Conversion Rates'!$B$5)/12</f>
        <v>0.34604166666666664</v>
      </c>
      <c r="CJ435" s="104">
        <f>('Renewable Diesel'!$AE444*'RD Feedstock Breakdown'!CJ$3*'Feedstock Conversion Rates'!$B$4)/12</f>
        <v>0.34375</v>
      </c>
      <c r="CK435" s="106">
        <f t="shared" si="447"/>
        <v>0.68979166666666658</v>
      </c>
      <c r="CL435" s="104">
        <f>(((CL$3*'Renewable Diesel'!$AF444)*'Feedstock Conversion Rates'!$B$3)/12)</f>
        <v>91.78125</v>
      </c>
      <c r="CM435" s="104">
        <f>(((CM$3*'Renewable Diesel'!$AF444)*'Feedstock Conversion Rates'!$B$6)/12)</f>
        <v>53.739583333333336</v>
      </c>
      <c r="CN435" s="104">
        <f>(((CN$3*'Renewable Diesel'!$AF444)*'Feedstock Conversion Rates'!$B$4)/12)</f>
        <v>42.96875</v>
      </c>
      <c r="CO435" s="106">
        <f t="shared" si="441"/>
        <v>188.48958333333334</v>
      </c>
      <c r="CP435" s="104">
        <f>('Renewable Diesel'!$AG444*'RD Feedstock Breakdown'!CP$3*'Feedstock Conversion Rates'!$B$3)/12</f>
        <v>6.0075000000000003</v>
      </c>
      <c r="CQ435" s="104">
        <f>('Renewable Diesel'!$AG444*'RD Feedstock Breakdown'!CQ$3*'Feedstock Conversion Rates'!$B$6)/12</f>
        <v>3.5175000000000001</v>
      </c>
      <c r="CR435" s="104">
        <f>('Renewable Diesel'!$AG444*'RD Feedstock Breakdown'!CR$3*'Feedstock Conversion Rates'!$B$4)/12</f>
        <v>2.8125</v>
      </c>
      <c r="CS435" s="106">
        <f t="shared" si="467"/>
        <v>12.3375</v>
      </c>
      <c r="CT435" s="104">
        <f>('Renewable Diesel'!AI444*'Feedstock Conversion Rates'!$B$4*'RD Feedstock Breakdown'!$CT$3)/12</f>
        <v>29.375</v>
      </c>
      <c r="CU435" s="106">
        <f t="shared" si="443"/>
        <v>29.375</v>
      </c>
      <c r="CV435" s="104">
        <f>('Renewable Diesel'!AN444*'Feedstock Conversion Rates'!$B$3*'RD Feedstock Breakdown'!$CV$3)/12</f>
        <v>0.50062499999999999</v>
      </c>
      <c r="CW435" s="106">
        <f t="shared" si="419"/>
        <v>0.50062499999999999</v>
      </c>
      <c r="CX435" s="104">
        <f>('Renewable Diesel'!AO444*'RD Feedstock Breakdown'!$CX$3*'Feedstock Conversion Rates'!$B$3)/12</f>
        <v>6.3412499999999996</v>
      </c>
      <c r="CY435" s="104">
        <f>('Renewable Diesel'!AO444*'RD Feedstock Breakdown'!$CY$3*'Feedstock Conversion Rates'!$B$6)/12</f>
        <v>7.4258333333333342</v>
      </c>
      <c r="CZ435" s="106">
        <f t="shared" si="468"/>
        <v>13.767083333333334</v>
      </c>
      <c r="DA435" s="104">
        <f>('Renewable Diesel'!$AP444*'RD Feedstock Breakdown'!DA$3*'Feedstock Conversion Rates'!$B$3)/12</f>
        <v>6.3412499999999996</v>
      </c>
      <c r="DB435" s="104">
        <f>('Renewable Diesel'!$AP444*'RD Feedstock Breakdown'!DB$3*'Feedstock Conversion Rates'!$B$8)/12</f>
        <v>7.421875</v>
      </c>
      <c r="DC435" s="106">
        <f t="shared" si="422"/>
        <v>13.763124999999999</v>
      </c>
      <c r="DD435" s="104">
        <f>('Renewable Diesel'!AQ444*$DD$3*'Feedstock Conversion Rates'!$B$14)/12</f>
        <v>3.1041666666666665</v>
      </c>
      <c r="DE435" s="106">
        <f t="shared" si="423"/>
        <v>3.1041666666666665</v>
      </c>
      <c r="DF435" s="104">
        <f>('Renewable Diesel'!AR444*'Feedstock Conversion Rates'!$B$4*$DF$3)/12</f>
        <v>75</v>
      </c>
      <c r="DG435" s="106">
        <f t="shared" si="469"/>
        <v>75</v>
      </c>
      <c r="DH435" s="104">
        <f>('Renewable Diesel'!AS444*'Feedstock Conversion Rates'!$B$4*$DH$3)/12</f>
        <v>75</v>
      </c>
      <c r="DI435" s="106">
        <f t="shared" si="411"/>
        <v>75</v>
      </c>
      <c r="DJ435" s="104">
        <f>('Renewable Diesel'!AT444*'Feedstock Conversion Rates'!$B$4*0.25)/12</f>
        <v>8.59375</v>
      </c>
      <c r="DK435" s="104">
        <f>('Renewable Diesel'!$AT444*'RD Feedstock Breakdown'!DK$3*'Feedstock Conversion Rates'!$B$3)/12*0.5</f>
        <v>9.1781249999999996</v>
      </c>
      <c r="DL435" s="104">
        <f>('Renewable Diesel'!$AT444*'RD Feedstock Breakdown'!$DL$3*'Feedstock Conversion Rates'!$B$6)/12</f>
        <v>10.747916666666669</v>
      </c>
      <c r="DM435" s="104">
        <f>('Renewable Diesel'!$AT444*'RD Feedstock Breakdown'!$DM$3*'Feedstock Conversion Rates'!$B$8)/12</f>
        <v>10.7421875</v>
      </c>
      <c r="DN435" s="106">
        <f t="shared" si="453"/>
        <v>39.26197916666667</v>
      </c>
      <c r="DP435" s="104">
        <f t="shared" si="426"/>
        <v>103.22025000000001</v>
      </c>
      <c r="DQ435" s="104">
        <f t="shared" si="427"/>
        <v>349.11776750000007</v>
      </c>
      <c r="DR435" s="104">
        <f t="shared" si="432"/>
        <v>1891.953125</v>
      </c>
      <c r="DS435" s="104">
        <f t="shared" si="444"/>
        <v>228.90125</v>
      </c>
      <c r="DT435" s="104">
        <f t="shared" si="428"/>
        <v>243.03923333333344</v>
      </c>
      <c r="DU435" s="104">
        <f t="shared" si="429"/>
        <v>402.90610000000009</v>
      </c>
      <c r="DV435" s="104">
        <f t="shared" si="433"/>
        <v>78.75</v>
      </c>
      <c r="DW435" s="104">
        <f t="shared" si="430"/>
        <v>3</v>
      </c>
      <c r="DX435" s="106">
        <f t="shared" si="434"/>
        <v>3300.8877258333337</v>
      </c>
      <c r="DY435" s="109">
        <f t="shared" si="421"/>
        <v>-5.631051180898794E-13</v>
      </c>
      <c r="EA435" s="110">
        <f t="shared" ref="EA435:EA466" si="472">DP435/$DX435</f>
        <v>3.1270451640078516E-2</v>
      </c>
      <c r="EB435" s="110">
        <f t="shared" si="470"/>
        <v>0.10576481131658687</v>
      </c>
      <c r="EC435" s="110">
        <f t="shared" si="470"/>
        <v>0.57316494293133291</v>
      </c>
      <c r="ED435" s="110">
        <f t="shared" si="470"/>
        <v>6.9345360706629972E-2</v>
      </c>
      <c r="EE435" s="110">
        <f t="shared" si="470"/>
        <v>7.3628445896921982E-2</v>
      </c>
      <c r="EF435" s="110">
        <f t="shared" si="470"/>
        <v>0.1220599225010852</v>
      </c>
      <c r="EG435" s="110">
        <f t="shared" si="470"/>
        <v>2.3857218585075921E-2</v>
      </c>
      <c r="EH435" s="111">
        <f t="shared" si="435"/>
        <v>9.0884642228860647E-4</v>
      </c>
      <c r="EI435" s="110">
        <f t="shared" si="409"/>
        <v>0.99909115357771139</v>
      </c>
      <c r="EK435" s="132">
        <f>(EA435*'Renewable Diesel'!BF444*'Feedstock Conversion Rates'!B$2)+FB435</f>
        <v>897.44329990768551</v>
      </c>
      <c r="EL435" s="132">
        <f>(EB435*'Renewable Diesel'!BF444*'Feedstock Conversion Rates'!B$3)+FC435</f>
        <v>2860.4058335977443</v>
      </c>
      <c r="EM435" s="132">
        <f>(EC435*'Renewable Diesel'!BF444*'Feedstock Conversion Rates'!B$4)+FD435</f>
        <v>14514.257468893185</v>
      </c>
      <c r="EN435" s="132">
        <f>(ED435*'Renewable Diesel'!BF444*'Feedstock Conversion Rates'!B$5)+FE435</f>
        <v>1767.7396501571161</v>
      </c>
      <c r="EO435" s="132">
        <f>(EE435*'Renewable Diesel'!BF444*'Feedstock Conversion Rates'!B$6)+FF435</f>
        <v>2331.8596748486771</v>
      </c>
      <c r="EP435" s="132">
        <f>(EF435*'Renewable Diesel'!BF444*'Feedstock Conversion Rates'!B$7)+FG435</f>
        <v>3791.5331484001858</v>
      </c>
      <c r="EQ435" s="132">
        <f>(EG435*'Renewable Diesel'!BF444*'Feedstock Conversion Rates'!B$8)+FH435</f>
        <v>755.17051702545371</v>
      </c>
      <c r="ER435" s="132">
        <f>(EH435*'Renewable Diesel'!BF444*'Feedstock Conversion Rates'!B$9)+FI435</f>
        <v>28.384821973274192</v>
      </c>
      <c r="ES435" s="132">
        <f t="shared" si="436"/>
        <v>26946.794414803324</v>
      </c>
      <c r="ET435" s="133">
        <f>ES435/'Renewable Diesel'!BF444</f>
        <v>21.954736185441753</v>
      </c>
      <c r="EW435" s="73">
        <f t="shared" si="461"/>
        <v>26645.208486234718</v>
      </c>
      <c r="EX435" s="73">
        <f t="shared" si="462"/>
        <v>17452.757504562578</v>
      </c>
      <c r="EY435" s="92">
        <f t="shared" si="410"/>
        <v>0.98880809628313604</v>
      </c>
      <c r="EZ435" s="92">
        <f t="shared" si="410"/>
        <v>0.64767471914859154</v>
      </c>
      <c r="FB435" s="102">
        <f>IF('Renewable Diesel'!$BG444&lt;1,0,(((('Renewable Diesel'!$BG444-1)*'Renewable Diesel'!$BF444)*'RD Feedstock Breakdown'!EA435)*'Feedstock Conversion Rates'!$B$2))</f>
        <v>571.20723821558431</v>
      </c>
      <c r="FC435" s="102">
        <f>IF('Renewable Diesel'!$BG444&lt;1,0,(((('Renewable Diesel'!$BG444-1)*'Renewable Diesel'!$BF444)*'RD Feedstock Breakdown'!EB435)*'Feedstock Conversion Rates'!$B$3))</f>
        <v>1820.5991582456313</v>
      </c>
      <c r="FD435" s="102">
        <f>IF('Renewable Diesel'!$BG444&lt;1,0,(((('Renewable Diesel'!$BG444-1)*'Renewable Diesel'!$BF444)*'RD Feedstock Breakdown'!EC435)*'Feedstock Conversion Rates'!$B$4))</f>
        <v>9238.0754577021198</v>
      </c>
      <c r="FE435" s="102">
        <f>IF('Renewable Diesel'!$BG444&lt;1,0,(((('Renewable Diesel'!$BG444-1)*'Renewable Diesel'!$BF444)*'RD Feedstock Breakdown'!ED435)*'Feedstock Conversion Rates'!$B$5))</f>
        <v>1125.135909482299</v>
      </c>
      <c r="FF435" s="102">
        <f>IF('Renewable Diesel'!$BG444&lt;1,0,(((('Renewable Diesel'!$BG444-1)*'Renewable Diesel'!$BF444)*'RD Feedstock Breakdown'!EE435)*'Feedstock Conversion Rates'!$B$6))</f>
        <v>1484.1886110393998</v>
      </c>
      <c r="FG435" s="102">
        <f>IF('Renewable Diesel'!$BG444&lt;1,0,(((('Renewable Diesel'!$BG444-1)*'Renewable Diesel'!$BF444)*'RD Feedstock Breakdown'!EF435)*'Feedstock Conversion Rates'!$B$7))</f>
        <v>2413.245693096474</v>
      </c>
      <c r="FH435" s="102">
        <f>IF('Renewable Diesel'!$BG444&lt;1,0,(((('Renewable Diesel'!$BG444-1)*'Renewable Diesel'!$BF444)*'RD Feedstock Breakdown'!EG435)*'Feedstock Conversion Rates'!$B$8))</f>
        <v>480.65305680739442</v>
      </c>
      <c r="FI435" s="102">
        <f>IF('Renewable Diesel'!$BG444&lt;1,0,(((('Renewable Diesel'!$BG444-1)*'Renewable Diesel'!$BF444)*'RD Feedstock Breakdown'!EH435)*'Feedstock Conversion Rates'!$B$9))</f>
        <v>18.066451405077935</v>
      </c>
      <c r="FJ435" s="102">
        <f t="shared" si="463"/>
        <v>17151.171575993976</v>
      </c>
      <c r="GD435" s="91">
        <f>'Renewable Diesel'!BB444*0.32</f>
        <v>0</v>
      </c>
      <c r="GE435" s="91">
        <f>'Renewable Diesel'!BC444</f>
        <v>528.93030144974705</v>
      </c>
      <c r="GF435" s="91">
        <f>'Renewable Diesel'!BD444</f>
        <v>0</v>
      </c>
      <c r="GG435" s="91">
        <f t="shared" si="451"/>
        <v>528.93030144974705</v>
      </c>
      <c r="GH435" s="124">
        <v>1</v>
      </c>
      <c r="GI435" s="102">
        <f>$GG435*EA435*'Feedstock Conversion Rates'!$B$2</f>
        <v>140.58906000587999</v>
      </c>
      <c r="GJ435" s="102">
        <f>$GG435*EB435*'Feedstock Conversion Rates'!$B$3</f>
        <v>448.09713039498786</v>
      </c>
      <c r="GK435" s="102">
        <f>$GG435*EC435*'Feedstock Conversion Rates'!$B$4</f>
        <v>2273.7322953382272</v>
      </c>
      <c r="GL435" s="102">
        <f>$GG435*ED435*'Feedstock Conversion Rates'!$B$5</f>
        <v>276.92541219737922</v>
      </c>
      <c r="GM435" s="102">
        <f>$GG435*EE435*'Feedstock Conversion Rates'!$B$6</f>
        <v>365.29768486356147</v>
      </c>
      <c r="GN435" s="102">
        <f>$GG435*EF435*'Feedstock Conversion Rates'!$B$7</f>
        <v>593.96296275157215</v>
      </c>
      <c r="GO435" s="102">
        <f>$GG435*EG435*'Feedstock Conversion Rates'!$B$8</f>
        <v>118.30130454334419</v>
      </c>
      <c r="GP435" s="102">
        <f>$GG435*EH435*'Feedstock Conversion Rates'!B$9</f>
        <v>4.4466268120418899</v>
      </c>
      <c r="GQ435" s="102">
        <f t="shared" si="437"/>
        <v>4221.3524769069945</v>
      </c>
      <c r="GT435" s="103">
        <f t="shared" si="418"/>
        <v>3.3304269372191886E-2</v>
      </c>
      <c r="GU435" s="103">
        <f t="shared" si="418"/>
        <v>0.1061501338365639</v>
      </c>
      <c r="GV435" s="103">
        <f t="shared" si="418"/>
        <v>0.53862649654979833</v>
      </c>
      <c r="GW435" s="103">
        <f t="shared" si="418"/>
        <v>6.5601110950176775E-2</v>
      </c>
      <c r="GX435" s="103">
        <f t="shared" si="465"/>
        <v>8.653569841938831E-2</v>
      </c>
      <c r="GY435" s="103">
        <f t="shared" si="465"/>
        <v>0.14070442257566984</v>
      </c>
      <c r="GZ435" s="103">
        <f t="shared" si="465"/>
        <v>2.8024502855545523E-2</v>
      </c>
      <c r="HA435" s="103">
        <f t="shared" si="465"/>
        <v>1.053365440665584E-3</v>
      </c>
    </row>
    <row r="436" spans="1:209" x14ac:dyDescent="0.25">
      <c r="A436" s="96">
        <v>53693</v>
      </c>
      <c r="B436" s="104">
        <f t="shared" si="406"/>
        <v>44.25</v>
      </c>
      <c r="C436" s="104">
        <f t="shared" si="466"/>
        <v>49</v>
      </c>
      <c r="D436" s="104">
        <f t="shared" si="407"/>
        <v>2</v>
      </c>
      <c r="E436" s="104">
        <f>('Renewable Diesel'!B445*E$3*'Feedstock Conversion Rates'!$B$2)/12+26+13-100+27.5+39</f>
        <v>95.43</v>
      </c>
      <c r="F436" s="104">
        <f>('Renewable Diesel'!B445*'RD Feedstock Breakdown'!F$3*'Feedstock Conversion Rates'!B$8)/12+77+23-10-12-115.75+24+8</f>
        <v>48.15625</v>
      </c>
      <c r="G436" s="104">
        <f>('Renewable Diesel'!B445*'RD Feedstock Breakdown'!G$3*'Feedstock Conversion Rates'!B$7)/12+116.75-39-57.5-145-31.5+32+70-40+10+60</f>
        <v>151.90700000000004</v>
      </c>
      <c r="H436" s="104">
        <f>('Renewable Diesel'!B445*'RD Feedstock Breakdown'!H$3*'Feedstock Conversion Rates'!B$3)/12+67+10+12+3-235+20+47-20+25</f>
        <v>105.40022499999998</v>
      </c>
      <c r="I436" s="106">
        <f t="shared" si="449"/>
        <v>496.14347500000002</v>
      </c>
      <c r="J436" s="104">
        <f t="shared" si="417"/>
        <v>4</v>
      </c>
      <c r="K436" s="104"/>
      <c r="L436" s="104">
        <v>1</v>
      </c>
      <c r="M436" s="104">
        <f>('Renewable Diesel'!C445*'RD Feedstock Breakdown'!M$3*'Feedstock Conversion Rates'!B$2)/12</f>
        <v>7.7902500000000003</v>
      </c>
      <c r="N436" s="104">
        <f>('Renewable Diesel'!C445*'RD Feedstock Breakdown'!N$3*'Feedstock Conversion Rates'!B$8)/12</f>
        <v>3.671875</v>
      </c>
      <c r="O436" s="104">
        <f>('Renewable Diesel'!C445*'RD Feedstock Breakdown'!O$3*'Feedstock Conversion Rates'!B$7)/12</f>
        <v>11.9991</v>
      </c>
      <c r="P436" s="104">
        <f>('Renewable Diesel'!C445*'RD Feedstock Breakdown'!P$3*'Feedstock Conversion Rates'!B$3)/12</f>
        <v>10.4470425</v>
      </c>
      <c r="Q436" s="106">
        <f t="shared" si="455"/>
        <v>38.908267500000001</v>
      </c>
      <c r="R436" s="104">
        <f>('Renewable Diesel'!D445*'RD Feedstock Breakdown'!R$3*'Feedstock Conversion Rates'!B$7)/12</f>
        <v>2.2999999999999998</v>
      </c>
      <c r="S436" s="106">
        <f t="shared" si="414"/>
        <v>2.2999999999999998</v>
      </c>
      <c r="T436" s="104">
        <f t="shared" si="456"/>
        <v>0.82499999999999929</v>
      </c>
      <c r="U436" s="104"/>
      <c r="V436" s="104">
        <f>('Renewable Diesel'!E445*'RD Feedstock Breakdown'!V$3*'Feedstock Conversion Rates'!B$6)/12-20+25</f>
        <v>49.250150000000012</v>
      </c>
      <c r="W436" s="104">
        <f>('Renewable Diesel'!E445*'RD Feedstock Breakdown'!W$3*'Feedstock Conversion Rates'!B$8)/12-6</f>
        <v>16.1796875</v>
      </c>
      <c r="X436" s="106">
        <f t="shared" si="438"/>
        <v>66.254837500000008</v>
      </c>
      <c r="Y436" s="104">
        <f t="shared" si="457"/>
        <v>98</v>
      </c>
      <c r="Z436" s="104">
        <f>('Renewable Diesel'!F445*'RD Feedstock Breakdown'!Z$3*'Feedstock Conversion Rates'!B$6)/12-142+15+5+20+5+15</f>
        <v>77.460000000000008</v>
      </c>
      <c r="AA436" s="104">
        <f>('Renewable Diesel'!F445*'RD Feedstock Breakdown'!AA$3*'Feedstock Conversion Rates'!B$7)/12+24</f>
        <v>128.26666666666665</v>
      </c>
      <c r="AB436" s="106">
        <f t="shared" si="471"/>
        <v>303.72666666666669</v>
      </c>
      <c r="AC436" s="104">
        <f>('Renewable Diesel'!G445*'RD Feedstock Breakdown'!AC$3*'Feedstock Conversion Rates'!B$5)/12</f>
        <v>11.796875</v>
      </c>
      <c r="AD436" s="104">
        <f>('Renewable Diesel'!G445*'RD Feedstock Breakdown'!AD$3*'Feedstock Conversion Rates'!B$4)/12</f>
        <v>5.859375</v>
      </c>
      <c r="AE436" s="104">
        <f>('Renewable Diesel'!G445*'RD Feedstock Breakdown'!AE$3*'Feedstock Conversion Rates'!B$6)/12</f>
        <v>7.3281250000000009</v>
      </c>
      <c r="AF436" s="106">
        <f t="shared" si="445"/>
        <v>24.984375</v>
      </c>
      <c r="AG436" s="104">
        <f t="shared" si="459"/>
        <v>148</v>
      </c>
      <c r="AH436" s="104"/>
      <c r="AI436" s="104">
        <f>('Renewable Diesel'!H445*'RD Feedstock Breakdown'!AI$3*'Feedstock Conversion Rates'!B$6)/12-130-20+51-49</f>
        <v>0.51666666666667993</v>
      </c>
      <c r="AJ436" s="106">
        <f t="shared" si="413"/>
        <v>148.51666666666668</v>
      </c>
      <c r="AK436" s="104">
        <f>('Renewable Diesel'!J445*'RD Feedstock Breakdown'!AK$3*'Feedstock Conversion Rates'!B$4)/12</f>
        <v>95.8125</v>
      </c>
      <c r="AL436" s="106">
        <f t="shared" si="415"/>
        <v>95.8125</v>
      </c>
      <c r="AM436" s="104">
        <f>('Renewable Diesel'!K445*'RD Feedstock Breakdown'!AM$3*'Feedstock Conversion Rates'!B$4)/12+5+15-10+10</f>
        <v>78.59375</v>
      </c>
      <c r="AN436" s="104">
        <f>('Renewable Diesel'!K445*'RD Feedstock Breakdown'!AN$3*'Feedstock Conversion Rates'!B$6)/12-5-15+10-10</f>
        <v>4.4270833333333321</v>
      </c>
      <c r="AO436" s="106">
        <f t="shared" si="431"/>
        <v>83.020833333333329</v>
      </c>
      <c r="AP436" s="104">
        <f>('Renewable Diesel'!L445*'RD Feedstock Breakdown'!AP$3*'Feedstock Conversion Rates'!B$4)/12+15-10+15</f>
        <v>78.59375</v>
      </c>
      <c r="AQ436" s="104">
        <f>('Renewable Diesel'!L445*'RD Feedstock Breakdown'!AQ$3*'Feedstock Conversion Rates'!B$6)/12-15+10-15</f>
        <v>4.4270833333333321</v>
      </c>
      <c r="AR436" s="106">
        <f t="shared" si="420"/>
        <v>83.020833333333329</v>
      </c>
      <c r="AS436" s="104">
        <f>('Renewable Diesel'!M445*'RD Feedstock Breakdown'!AS$3*'Feedstock Conversion Rates'!B$4)/12</f>
        <v>456.25</v>
      </c>
      <c r="AT436" s="104">
        <f>('Renewable Diesel'!M445*'RD Feedstock Breakdown'!AT$3*'Feedstock Conversion Rates'!B$5)/12</f>
        <v>0</v>
      </c>
      <c r="AU436" s="106">
        <f t="shared" si="448"/>
        <v>456.25</v>
      </c>
      <c r="AV436" s="104">
        <f>'Renewable Diesel'!N445*'RD Feedstock Breakdown'!$AV$3*'Feedstock Conversion Rates'!$B$4/12-15-10+25+25-22+25</f>
        <v>106.74999999999999</v>
      </c>
      <c r="AW436" s="104">
        <f>'Renewable Diesel'!N445*'RD Feedstock Breakdown'!$AW$3*'Feedstock Conversion Rates'!$B$7/12+15+10-25-25+22-25</f>
        <v>13.400000000000006</v>
      </c>
      <c r="AX436" s="106">
        <f t="shared" si="408"/>
        <v>120.14999999999999</v>
      </c>
      <c r="AY436" s="104">
        <f>('Renewable Diesel'!O445*'RD Feedstock Breakdown'!AY$3*'Feedstock Conversion Rates'!B$4)/12</f>
        <v>210.9375</v>
      </c>
      <c r="AZ436" s="104">
        <f>('Renewable Diesel'!O445*'RD Feedstock Breakdown'!AZ$3*'Feedstock Conversion Rates'!B$3)/12</f>
        <v>25.03125</v>
      </c>
      <c r="BA436" s="106">
        <f t="shared" si="458"/>
        <v>235.96875</v>
      </c>
      <c r="BB436" s="104">
        <f>('Renewable Diesel'!Q445*'RD Feedstock Breakdown'!BB$3*'Feedstock Conversion Rates'!B$4)/12</f>
        <v>11.156249999999998</v>
      </c>
      <c r="BC436" s="104">
        <f>('Renewable Diesel'!Q445*'RD Feedstock Breakdown'!BC$3*'Feedstock Conversion Rates'!B$3)/12</f>
        <v>1.4017500000000001</v>
      </c>
      <c r="BD436" s="104">
        <f>('Renewable Diesel'!Q445*'RD Feedstock Breakdown'!BD$3*'Feedstock Conversion Rates'!B$6)/12</f>
        <v>0.8207500000000002</v>
      </c>
      <c r="BE436" s="106">
        <f t="shared" si="440"/>
        <v>13.378749999999998</v>
      </c>
      <c r="BF436" s="104">
        <f>('Renewable Diesel'!R445*'RD Feedstock Breakdown'!BF$3*'Feedstock Conversion Rates'!B$4)/12</f>
        <v>62.5</v>
      </c>
      <c r="BG436" s="106">
        <f t="shared" si="425"/>
        <v>62.5</v>
      </c>
      <c r="BH436" s="104">
        <f>('Renewable Diesel'!T445*'RD Feedstock Breakdown'!BH$3*'Feedstock Conversion Rates'!B$7)/12</f>
        <v>27.599999999999998</v>
      </c>
      <c r="BI436" s="106">
        <f t="shared" si="412"/>
        <v>27.599999999999998</v>
      </c>
      <c r="BJ436" s="104">
        <f>('Renewable Diesel'!W445*'RD Feedstock Breakdown'!BJ$3*'Feedstock Conversion Rates'!B$4)/12</f>
        <v>7.5</v>
      </c>
      <c r="BK436" s="104">
        <f>('Renewable Diesel'!W445*'RD Feedstock Breakdown'!BK$3*'Feedstock Conversion Rates'!B$3)/12</f>
        <v>1.335</v>
      </c>
      <c r="BL436" s="104">
        <f>('Renewable Diesel'!W445*'RD Feedstock Breakdown'!BL$3*'Feedstock Conversion Rates'!B$6)/12</f>
        <v>3.1266666666666669</v>
      </c>
      <c r="BM436" s="104">
        <f>('Renewable Diesel'!W445*'RD Feedstock Breakdown'!BM$3*'Feedstock Conversion Rates'!B$7)/12</f>
        <v>1.5333333333333332</v>
      </c>
      <c r="BN436" s="106">
        <f t="shared" si="452"/>
        <v>13.495000000000001</v>
      </c>
      <c r="BO436" s="104">
        <f>('Renewable Diesel'!P445*'Feedstock Conversion Rates'!B$4)/12</f>
        <v>31.25</v>
      </c>
      <c r="BP436" s="106">
        <f t="shared" si="446"/>
        <v>31.25</v>
      </c>
      <c r="BQ436" s="104">
        <f>('Renewable Diesel'!$S445*'RD Feedstock Breakdown'!BQ$3*'Feedstock Conversion Rates'!B$4)/12+10+15-15</f>
        <v>38.125</v>
      </c>
      <c r="BR436" s="104">
        <f>('Renewable Diesel'!$S445*'RD Feedstock Breakdown'!BR$3*'Feedstock Conversion Rates'!B$7)/12-10-15+15</f>
        <v>1.5</v>
      </c>
      <c r="BS436" s="106">
        <f t="shared" si="460"/>
        <v>39.625</v>
      </c>
      <c r="BT436" s="106"/>
      <c r="BU436" s="104">
        <f>('Renewable Diesel'!Y445*'Feedstock Conversion Rates'!B$7)/12</f>
        <v>2.6833333333333331</v>
      </c>
      <c r="BV436" s="106">
        <f t="shared" si="442"/>
        <v>2.6833333333333331</v>
      </c>
      <c r="BW436" s="104">
        <f>('Renewable Diesel'!$Z445*'RD Feedstock Breakdown'!BW$3*'Feedstock Conversion Rates'!$B$4)/12-250+180</f>
        <v>1.875</v>
      </c>
      <c r="BX436" s="104">
        <f>('Renewable Diesel'!$Z445*'RD Feedstock Breakdown'!BX$3*'Feedstock Conversion Rates'!$B$5)/12</f>
        <v>7.2354166666666666</v>
      </c>
      <c r="BY436" s="104">
        <f>('Renewable Diesel'!$Z445*'RD Feedstock Breakdown'!BY$3*'Feedstock Conversion Rates'!$B$7)/12</f>
        <v>61.716666666666661</v>
      </c>
      <c r="BZ436" s="104">
        <f>('Renewable Diesel'!$Z445*'RD Feedstock Breakdown'!BZ$3*'Feedstock Conversion Rates'!$B$3)/12+250-180</f>
        <v>85.35250000000002</v>
      </c>
      <c r="CA436" s="106">
        <f t="shared" si="464"/>
        <v>156.17958333333334</v>
      </c>
      <c r="CB436" s="104">
        <f>('Renewable Diesel'!AA445*'Feedstock Conversion Rates'!B$4)/12</f>
        <v>191.25</v>
      </c>
      <c r="CC436" s="106">
        <f t="shared" si="454"/>
        <v>191.25</v>
      </c>
      <c r="CD436" s="104">
        <f>('Renewable Diesel'!$AB445*'RD Feedstock Breakdown'!CD$3*'Feedstock Conversion Rates'!$B$6)/12-15-5</f>
        <v>12.830000000000005</v>
      </c>
      <c r="CE436" s="104">
        <f>('Renewable Diesel'!$AB445*'RD Feedstock Breakdown'!CE$3*'Feedstock Conversion Rates'!$B$4)/12+15+5</f>
        <v>31.25</v>
      </c>
      <c r="CF436" s="106">
        <f t="shared" si="450"/>
        <v>44.080000000000005</v>
      </c>
      <c r="CG436" s="104">
        <f>('Renewable Diesel'!AD445*'Feedstock Conversion Rates'!B$4)/12</f>
        <v>112.5</v>
      </c>
      <c r="CH436" s="106">
        <f t="shared" si="439"/>
        <v>112.5</v>
      </c>
      <c r="CI436" s="104">
        <f>('Renewable Diesel'!$AE445*'RD Feedstock Breakdown'!CI$3*'Feedstock Conversion Rates'!$B$5)/12</f>
        <v>0.34604166666666664</v>
      </c>
      <c r="CJ436" s="104">
        <f>('Renewable Diesel'!$AE445*'RD Feedstock Breakdown'!CJ$3*'Feedstock Conversion Rates'!$B$4)/12</f>
        <v>0.34375</v>
      </c>
      <c r="CK436" s="106">
        <f t="shared" si="447"/>
        <v>0.68979166666666658</v>
      </c>
      <c r="CL436" s="104">
        <f>(((CL$3*'Renewable Diesel'!$AF445)*'Feedstock Conversion Rates'!$B$3)/12)</f>
        <v>91.78125</v>
      </c>
      <c r="CM436" s="104">
        <f>(((CM$3*'Renewable Diesel'!$AF445)*'Feedstock Conversion Rates'!$B$6)/12)</f>
        <v>53.739583333333336</v>
      </c>
      <c r="CN436" s="104">
        <f>(((CN$3*'Renewable Diesel'!$AF445)*'Feedstock Conversion Rates'!$B$4)/12)</f>
        <v>42.96875</v>
      </c>
      <c r="CO436" s="106">
        <f t="shared" si="441"/>
        <v>188.48958333333334</v>
      </c>
      <c r="CP436" s="104">
        <f>('Renewable Diesel'!$AG445*'RD Feedstock Breakdown'!CP$3*'Feedstock Conversion Rates'!$B$3)/12</f>
        <v>6.0075000000000003</v>
      </c>
      <c r="CQ436" s="104">
        <f>('Renewable Diesel'!$AG445*'RD Feedstock Breakdown'!CQ$3*'Feedstock Conversion Rates'!$B$6)/12</f>
        <v>3.5175000000000001</v>
      </c>
      <c r="CR436" s="104">
        <f>('Renewable Diesel'!$AG445*'RD Feedstock Breakdown'!CR$3*'Feedstock Conversion Rates'!$B$4)/12</f>
        <v>2.8125</v>
      </c>
      <c r="CS436" s="106">
        <f t="shared" si="467"/>
        <v>12.3375</v>
      </c>
      <c r="CT436" s="104">
        <f>('Renewable Diesel'!AI445*'Feedstock Conversion Rates'!$B$4*'RD Feedstock Breakdown'!$CT$3)/12</f>
        <v>29.375</v>
      </c>
      <c r="CU436" s="106">
        <f t="shared" si="443"/>
        <v>29.375</v>
      </c>
      <c r="CV436" s="104">
        <f>('Renewable Diesel'!AN445*'Feedstock Conversion Rates'!$B$3*'RD Feedstock Breakdown'!$CV$3)/12</f>
        <v>0.50062499999999999</v>
      </c>
      <c r="CW436" s="106">
        <f t="shared" si="419"/>
        <v>0.50062499999999999</v>
      </c>
      <c r="CX436" s="104">
        <f>('Renewable Diesel'!AO445*'RD Feedstock Breakdown'!$CX$3*'Feedstock Conversion Rates'!$B$3)/12</f>
        <v>6.3412499999999996</v>
      </c>
      <c r="CY436" s="104">
        <f>('Renewable Diesel'!AO445*'RD Feedstock Breakdown'!$CY$3*'Feedstock Conversion Rates'!$B$6)/12</f>
        <v>7.4258333333333342</v>
      </c>
      <c r="CZ436" s="106">
        <f t="shared" si="468"/>
        <v>13.767083333333334</v>
      </c>
      <c r="DA436" s="104">
        <f>('Renewable Diesel'!$AP445*'RD Feedstock Breakdown'!DA$3*'Feedstock Conversion Rates'!$B$3)/12</f>
        <v>6.3412499999999996</v>
      </c>
      <c r="DB436" s="104">
        <f>('Renewable Diesel'!$AP445*'RD Feedstock Breakdown'!DB$3*'Feedstock Conversion Rates'!$B$8)/12</f>
        <v>7.421875</v>
      </c>
      <c r="DC436" s="106">
        <f t="shared" si="422"/>
        <v>13.763124999999999</v>
      </c>
      <c r="DD436" s="104">
        <f>('Renewable Diesel'!AQ445*$DD$3*'Feedstock Conversion Rates'!$B$14)/12</f>
        <v>3.1041666666666665</v>
      </c>
      <c r="DE436" s="106">
        <f t="shared" si="423"/>
        <v>3.1041666666666665</v>
      </c>
      <c r="DF436" s="104">
        <f>('Renewable Diesel'!AR445*'Feedstock Conversion Rates'!$B$4*$DF$3)/12</f>
        <v>75</v>
      </c>
      <c r="DG436" s="106">
        <f t="shared" si="469"/>
        <v>75</v>
      </c>
      <c r="DH436" s="104">
        <f>('Renewable Diesel'!AS445*'Feedstock Conversion Rates'!$B$4*$DH$3)/12</f>
        <v>75</v>
      </c>
      <c r="DI436" s="106">
        <f t="shared" si="411"/>
        <v>75</v>
      </c>
      <c r="DJ436" s="104">
        <f>('Renewable Diesel'!AT445*'Feedstock Conversion Rates'!$B$4*0.25)/12</f>
        <v>8.59375</v>
      </c>
      <c r="DK436" s="104">
        <f>('Renewable Diesel'!$AT445*'RD Feedstock Breakdown'!DK$3*'Feedstock Conversion Rates'!$B$3)/12*0.5</f>
        <v>9.1781249999999996</v>
      </c>
      <c r="DL436" s="104">
        <f>('Renewable Diesel'!$AT445*'RD Feedstock Breakdown'!$DL$3*'Feedstock Conversion Rates'!$B$6)/12</f>
        <v>10.747916666666669</v>
      </c>
      <c r="DM436" s="104">
        <f>('Renewable Diesel'!$AT445*'RD Feedstock Breakdown'!$DM$3*'Feedstock Conversion Rates'!$B$8)/12</f>
        <v>10.7421875</v>
      </c>
      <c r="DN436" s="106">
        <f t="shared" si="453"/>
        <v>39.26197916666667</v>
      </c>
      <c r="DP436" s="104">
        <f t="shared" si="426"/>
        <v>103.22025000000001</v>
      </c>
      <c r="DQ436" s="104">
        <f t="shared" si="427"/>
        <v>349.11776750000007</v>
      </c>
      <c r="DR436" s="104">
        <f t="shared" si="432"/>
        <v>1891.953125</v>
      </c>
      <c r="DS436" s="104">
        <f t="shared" si="444"/>
        <v>228.90125</v>
      </c>
      <c r="DT436" s="104">
        <f t="shared" si="428"/>
        <v>243.03923333333344</v>
      </c>
      <c r="DU436" s="104">
        <f t="shared" si="429"/>
        <v>402.90610000000009</v>
      </c>
      <c r="DV436" s="104">
        <f t="shared" si="433"/>
        <v>78.75</v>
      </c>
      <c r="DW436" s="104">
        <f t="shared" si="430"/>
        <v>3</v>
      </c>
      <c r="DX436" s="106">
        <f t="shared" si="434"/>
        <v>3300.8877258333337</v>
      </c>
      <c r="DY436" s="109">
        <f t="shared" si="421"/>
        <v>-5.631051180898794E-13</v>
      </c>
      <c r="EA436" s="110">
        <f t="shared" si="472"/>
        <v>3.1270451640078516E-2</v>
      </c>
      <c r="EB436" s="110">
        <f t="shared" si="470"/>
        <v>0.10576481131658687</v>
      </c>
      <c r="EC436" s="110">
        <f t="shared" si="470"/>
        <v>0.57316494293133291</v>
      </c>
      <c r="ED436" s="110">
        <f t="shared" si="470"/>
        <v>6.9345360706629972E-2</v>
      </c>
      <c r="EE436" s="110">
        <f t="shared" si="470"/>
        <v>7.3628445896921982E-2</v>
      </c>
      <c r="EF436" s="110">
        <f t="shared" si="470"/>
        <v>0.1220599225010852</v>
      </c>
      <c r="EG436" s="110">
        <f t="shared" si="470"/>
        <v>2.3857218585075921E-2</v>
      </c>
      <c r="EH436" s="111">
        <f t="shared" si="435"/>
        <v>9.0884642228860647E-4</v>
      </c>
      <c r="EI436" s="110">
        <f t="shared" si="409"/>
        <v>0.99909115357771139</v>
      </c>
      <c r="EK436" s="132">
        <f>(EA436*'Renewable Diesel'!BF445*'Feedstock Conversion Rates'!B$2)+FB436</f>
        <v>289.58153404693581</v>
      </c>
      <c r="EL436" s="132">
        <f>(EB436*'Renewable Diesel'!BF445*'Feedstock Conversion Rates'!B$3)+FC436</f>
        <v>922.97832005124246</v>
      </c>
      <c r="EM436" s="132">
        <f>(EC436*'Renewable Diesel'!BF445*'Feedstock Conversion Rates'!B$4)+FD436</f>
        <v>4683.3721348486597</v>
      </c>
      <c r="EN436" s="132">
        <f>(ED436*'Renewable Diesel'!BF445*'Feedstock Conversion Rates'!B$5)+FE436</f>
        <v>570.40345584032752</v>
      </c>
      <c r="EO436" s="132">
        <f>(EE436*'Renewable Diesel'!BF445*'Feedstock Conversion Rates'!B$6)+FF436</f>
        <v>752.43026706459227</v>
      </c>
      <c r="EP436" s="132">
        <f>(EF436*'Renewable Diesel'!BF445*'Feedstock Conversion Rates'!B$7)+FG436</f>
        <v>1223.4288067184568</v>
      </c>
      <c r="EQ436" s="132">
        <f>(EG436*'Renewable Diesel'!BF445*'Feedstock Conversion Rates'!B$8)+FH436</f>
        <v>243.673819627093</v>
      </c>
      <c r="ER436" s="132">
        <f>(EH436*'Renewable Diesel'!BF445*'Feedstock Conversion Rates'!B$9)+FI436</f>
        <v>9.1590413472532735</v>
      </c>
      <c r="ES436" s="132">
        <f t="shared" si="436"/>
        <v>8695.0273795445592</v>
      </c>
      <c r="ET436" s="133">
        <f>ES436/'Renewable Diesel'!BF445</f>
        <v>12.268456453597109</v>
      </c>
      <c r="EW436" s="73">
        <f t="shared" si="461"/>
        <v>7089.8447027856828</v>
      </c>
      <c r="EX436" s="73">
        <f t="shared" si="462"/>
        <v>4643.8871141372583</v>
      </c>
      <c r="EY436" s="92">
        <f t="shared" si="410"/>
        <v>0.81539072774685672</v>
      </c>
      <c r="EZ436" s="92">
        <f t="shared" si="410"/>
        <v>0.53408539288354751</v>
      </c>
      <c r="FB436" s="102">
        <f>IF('Renewable Diesel'!$BG445&lt;1,0,(((('Renewable Diesel'!$BG445-1)*'Renewable Diesel'!$BF445)*'RD Feedstock Breakdown'!EA436)*'Feedstock Conversion Rates'!$B$2))</f>
        <v>101.20183112492437</v>
      </c>
      <c r="FC436" s="102">
        <f>IF('Renewable Diesel'!$BG445&lt;1,0,(((('Renewable Diesel'!$BG445-1)*'Renewable Diesel'!$BF445)*'RD Feedstock Breakdown'!EB436)*'Feedstock Conversion Rates'!$B$3))</f>
        <v>322.55888271747557</v>
      </c>
      <c r="FD436" s="102">
        <f>IF('Renewable Diesel'!$BG445&lt;1,0,(((('Renewable Diesel'!$BG445-1)*'Renewable Diesel'!$BF445)*'RD Feedstock Breakdown'!EC436)*'Feedstock Conversion Rates'!$B$4))</f>
        <v>1636.7267251554426</v>
      </c>
      <c r="FE436" s="102">
        <f>IF('Renewable Diesel'!$BG445&lt;1,0,(((('Renewable Diesel'!$BG445-1)*'Renewable Diesel'!$BF445)*'RD Feedstock Breakdown'!ED436)*'Feedstock Conversion Rates'!$B$5))</f>
        <v>199.34238694125358</v>
      </c>
      <c r="FF436" s="102">
        <f>IF('Renewable Diesel'!$BG445&lt;1,0,(((('Renewable Diesel'!$BG445-1)*'Renewable Diesel'!$BF445)*'RD Feedstock Breakdown'!EE436)*'Feedstock Conversion Rates'!$B$6))</f>
        <v>262.95641077863252</v>
      </c>
      <c r="FG436" s="102">
        <f>IF('Renewable Diesel'!$BG445&lt;1,0,(((('Renewable Diesel'!$BG445-1)*'Renewable Diesel'!$BF445)*'RD Feedstock Breakdown'!EF436)*'Feedstock Conversion Rates'!$B$7))</f>
        <v>427.55915323945061</v>
      </c>
      <c r="FH436" s="102">
        <f>IF('Renewable Diesel'!$BG445&lt;1,0,(((('Renewable Diesel'!$BG445-1)*'Renewable Diesel'!$BF445)*'RD Feedstock Breakdown'!EG436)*'Feedstock Conversion Rates'!$B$8))</f>
        <v>85.158181182469249</v>
      </c>
      <c r="FI436" s="102">
        <f>IF('Renewable Diesel'!$BG445&lt;1,0,(((('Renewable Diesel'!$BG445-1)*'Renewable Diesel'!$BF445)*'RD Feedstock Breakdown'!EH436)*'Feedstock Conversion Rates'!$B$9))</f>
        <v>3.2008662387315425</v>
      </c>
      <c r="FJ436" s="102">
        <f t="shared" si="463"/>
        <v>3038.7044373783801</v>
      </c>
      <c r="GD436" s="91">
        <f>'Renewable Diesel'!BB445*0.32</f>
        <v>0</v>
      </c>
      <c r="GE436" s="91">
        <f>'Renewable Diesel'!BC445</f>
        <v>328.19330339483992</v>
      </c>
      <c r="GF436" s="91">
        <f>'Renewable Diesel'!BD445</f>
        <v>0</v>
      </c>
      <c r="GG436" s="91">
        <f t="shared" si="451"/>
        <v>328.19330339483992</v>
      </c>
      <c r="GH436" s="124">
        <v>1</v>
      </c>
      <c r="GI436" s="102">
        <f>$GG436*EA436*'Feedstock Conversion Rates'!$B$2</f>
        <v>87.233398990450638</v>
      </c>
      <c r="GJ436" s="102">
        <f>$GG436*EB436*'Feedstock Conversion Rates'!$B$3</f>
        <v>278.03753549946993</v>
      </c>
      <c r="GK436" s="102">
        <f>$GG436*EC436*'Feedstock Conversion Rates'!$B$4</f>
        <v>1410.8167200806179</v>
      </c>
      <c r="GL436" s="102">
        <f>$GG436*ED436*'Feedstock Conversion Rates'!$B$5</f>
        <v>171.82805669088793</v>
      </c>
      <c r="GM436" s="102">
        <f>$GG436*EE436*'Feedstock Conversion Rates'!$B$6</f>
        <v>226.66172384009252</v>
      </c>
      <c r="GN436" s="102">
        <f>$GG436*EF436*'Feedstock Conversion Rates'!$B$7</f>
        <v>368.54509243529355</v>
      </c>
      <c r="GO436" s="102">
        <f>$GG436*EG436*'Feedstock Conversion Rates'!$B$8</f>
        <v>73.404181661707824</v>
      </c>
      <c r="GP436" s="102">
        <f>$GG436*EH436*'Feedstock Conversion Rates'!B$9</f>
        <v>2.7590651138876843</v>
      </c>
      <c r="GQ436" s="102">
        <f t="shared" si="437"/>
        <v>2619.2857743124077</v>
      </c>
      <c r="GT436" s="103">
        <f t="shared" si="418"/>
        <v>3.3304269372191893E-2</v>
      </c>
      <c r="GU436" s="103">
        <f t="shared" si="418"/>
        <v>0.10615013383656388</v>
      </c>
      <c r="GV436" s="103">
        <f t="shared" si="418"/>
        <v>0.53862649654979833</v>
      </c>
      <c r="GW436" s="103">
        <f t="shared" si="418"/>
        <v>6.5601110950176775E-2</v>
      </c>
      <c r="GX436" s="103">
        <f t="shared" si="465"/>
        <v>8.653569841938831E-2</v>
      </c>
      <c r="GY436" s="103">
        <f t="shared" si="465"/>
        <v>0.14070442257566981</v>
      </c>
      <c r="GZ436" s="103">
        <f t="shared" si="465"/>
        <v>2.802450285554552E-2</v>
      </c>
      <c r="HA436" s="103">
        <f t="shared" si="465"/>
        <v>1.053365440665584E-3</v>
      </c>
    </row>
    <row r="437" spans="1:209" x14ac:dyDescent="0.25">
      <c r="A437" s="96">
        <v>53724</v>
      </c>
      <c r="B437" s="104">
        <f t="shared" si="406"/>
        <v>44.25</v>
      </c>
      <c r="C437" s="104">
        <f t="shared" si="466"/>
        <v>49</v>
      </c>
      <c r="D437" s="104">
        <f t="shared" si="407"/>
        <v>2</v>
      </c>
      <c r="E437" s="104">
        <f>('Renewable Diesel'!B446*E$3*'Feedstock Conversion Rates'!$B$2)/12+26+13-100+27.5+39</f>
        <v>95.43</v>
      </c>
      <c r="F437" s="104">
        <f>('Renewable Diesel'!B446*'RD Feedstock Breakdown'!F$3*'Feedstock Conversion Rates'!B$8)/12+77+23-10-12-115.75+24+8</f>
        <v>48.15625</v>
      </c>
      <c r="G437" s="104">
        <f>('Renewable Diesel'!B446*'RD Feedstock Breakdown'!G$3*'Feedstock Conversion Rates'!B$7)/12+116.75-39-57.5-145-31.5+32+70-40+10+60</f>
        <v>151.90700000000004</v>
      </c>
      <c r="H437" s="104">
        <f>('Renewable Diesel'!B446*'RD Feedstock Breakdown'!H$3*'Feedstock Conversion Rates'!B$3)/12+67+10+12+3-235+20+47-20+25</f>
        <v>105.40022499999998</v>
      </c>
      <c r="I437" s="106">
        <f t="shared" si="449"/>
        <v>496.14347500000002</v>
      </c>
      <c r="J437" s="104">
        <f t="shared" si="417"/>
        <v>4</v>
      </c>
      <c r="K437" s="104"/>
      <c r="L437" s="104">
        <v>1</v>
      </c>
      <c r="M437" s="104">
        <f>('Renewable Diesel'!C446*'RD Feedstock Breakdown'!M$3*'Feedstock Conversion Rates'!B$2)/12</f>
        <v>7.7902500000000003</v>
      </c>
      <c r="N437" s="104">
        <f>('Renewable Diesel'!C446*'RD Feedstock Breakdown'!N$3*'Feedstock Conversion Rates'!B$8)/12</f>
        <v>3.671875</v>
      </c>
      <c r="O437" s="104">
        <f>('Renewable Diesel'!C446*'RD Feedstock Breakdown'!O$3*'Feedstock Conversion Rates'!B$7)/12</f>
        <v>11.9991</v>
      </c>
      <c r="P437" s="104">
        <f>('Renewable Diesel'!C446*'RD Feedstock Breakdown'!P$3*'Feedstock Conversion Rates'!B$3)/12</f>
        <v>10.4470425</v>
      </c>
      <c r="Q437" s="106">
        <f t="shared" si="455"/>
        <v>38.908267500000001</v>
      </c>
      <c r="R437" s="104">
        <f>('Renewable Diesel'!D446*'RD Feedstock Breakdown'!R$3*'Feedstock Conversion Rates'!B$7)/12</f>
        <v>2.2999999999999998</v>
      </c>
      <c r="S437" s="106">
        <f t="shared" si="414"/>
        <v>2.2999999999999998</v>
      </c>
      <c r="T437" s="104">
        <f t="shared" si="456"/>
        <v>0.82499999999999929</v>
      </c>
      <c r="U437" s="104"/>
      <c r="V437" s="104">
        <f>('Renewable Diesel'!E446*'RD Feedstock Breakdown'!V$3*'Feedstock Conversion Rates'!B$6)/12-20+25</f>
        <v>49.250150000000012</v>
      </c>
      <c r="W437" s="104">
        <f>('Renewable Diesel'!E446*'RD Feedstock Breakdown'!W$3*'Feedstock Conversion Rates'!B$8)/12-6</f>
        <v>16.1796875</v>
      </c>
      <c r="X437" s="106">
        <f t="shared" si="438"/>
        <v>66.254837500000008</v>
      </c>
      <c r="Y437" s="104">
        <f t="shared" si="457"/>
        <v>98</v>
      </c>
      <c r="Z437" s="104">
        <f>('Renewable Diesel'!F446*'RD Feedstock Breakdown'!Z$3*'Feedstock Conversion Rates'!B$6)/12-142+15+5+20+5+15</f>
        <v>77.460000000000008</v>
      </c>
      <c r="AA437" s="104">
        <f>('Renewable Diesel'!F446*'RD Feedstock Breakdown'!AA$3*'Feedstock Conversion Rates'!B$7)/12+24</f>
        <v>128.26666666666665</v>
      </c>
      <c r="AB437" s="106">
        <f t="shared" si="471"/>
        <v>303.72666666666669</v>
      </c>
      <c r="AC437" s="104">
        <f>('Renewable Diesel'!G446*'RD Feedstock Breakdown'!AC$3*'Feedstock Conversion Rates'!B$5)/12</f>
        <v>11.796875</v>
      </c>
      <c r="AD437" s="104">
        <f>('Renewable Diesel'!G446*'RD Feedstock Breakdown'!AD$3*'Feedstock Conversion Rates'!B$4)/12</f>
        <v>5.859375</v>
      </c>
      <c r="AE437" s="104">
        <f>('Renewable Diesel'!G446*'RD Feedstock Breakdown'!AE$3*'Feedstock Conversion Rates'!B$6)/12</f>
        <v>7.3281250000000009</v>
      </c>
      <c r="AF437" s="106">
        <f t="shared" si="445"/>
        <v>24.984375</v>
      </c>
      <c r="AG437" s="104">
        <f t="shared" si="459"/>
        <v>148</v>
      </c>
      <c r="AH437" s="104"/>
      <c r="AI437" s="104">
        <f>('Renewable Diesel'!H446*'RD Feedstock Breakdown'!AI$3*'Feedstock Conversion Rates'!B$6)/12-130-20+51-49</f>
        <v>0.51666666666667993</v>
      </c>
      <c r="AJ437" s="106">
        <f t="shared" si="413"/>
        <v>148.51666666666668</v>
      </c>
      <c r="AK437" s="104">
        <f>('Renewable Diesel'!J446*'RD Feedstock Breakdown'!AK$3*'Feedstock Conversion Rates'!B$4)/12</f>
        <v>95.8125</v>
      </c>
      <c r="AL437" s="106">
        <f t="shared" si="415"/>
        <v>95.8125</v>
      </c>
      <c r="AM437" s="104">
        <f>('Renewable Diesel'!K446*'RD Feedstock Breakdown'!AM$3*'Feedstock Conversion Rates'!B$4)/12+5+15-10+10</f>
        <v>78.59375</v>
      </c>
      <c r="AN437" s="104">
        <f>('Renewable Diesel'!K446*'RD Feedstock Breakdown'!AN$3*'Feedstock Conversion Rates'!B$6)/12-5-15+10-10</f>
        <v>4.4270833333333321</v>
      </c>
      <c r="AO437" s="106">
        <f t="shared" si="431"/>
        <v>83.020833333333329</v>
      </c>
      <c r="AP437" s="104">
        <f>('Renewable Diesel'!L446*'RD Feedstock Breakdown'!AP$3*'Feedstock Conversion Rates'!B$4)/12+15-10+15</f>
        <v>78.59375</v>
      </c>
      <c r="AQ437" s="104">
        <f>('Renewable Diesel'!L446*'RD Feedstock Breakdown'!AQ$3*'Feedstock Conversion Rates'!B$6)/12-15+10-15</f>
        <v>4.4270833333333321</v>
      </c>
      <c r="AR437" s="106">
        <f t="shared" si="420"/>
        <v>83.020833333333329</v>
      </c>
      <c r="AS437" s="104">
        <f>('Renewable Diesel'!M446*'RD Feedstock Breakdown'!AS$3*'Feedstock Conversion Rates'!B$4)/12</f>
        <v>456.25</v>
      </c>
      <c r="AT437" s="104">
        <f>('Renewable Diesel'!M446*'RD Feedstock Breakdown'!AT$3*'Feedstock Conversion Rates'!B$5)/12</f>
        <v>0</v>
      </c>
      <c r="AU437" s="106">
        <f t="shared" si="448"/>
        <v>456.25</v>
      </c>
      <c r="AV437" s="104">
        <f>'Renewable Diesel'!N446*'RD Feedstock Breakdown'!$AV$3*'Feedstock Conversion Rates'!$B$4/12-15-10+25+25-22+25</f>
        <v>106.74999999999999</v>
      </c>
      <c r="AW437" s="104">
        <f>'Renewable Diesel'!N446*'RD Feedstock Breakdown'!$AW$3*'Feedstock Conversion Rates'!$B$7/12+15+10-25-25+22-25</f>
        <v>13.400000000000006</v>
      </c>
      <c r="AX437" s="106">
        <f t="shared" si="408"/>
        <v>120.14999999999999</v>
      </c>
      <c r="AY437" s="104">
        <f>('Renewable Diesel'!O446*'RD Feedstock Breakdown'!AY$3*'Feedstock Conversion Rates'!B$4)/12</f>
        <v>210.9375</v>
      </c>
      <c r="AZ437" s="104">
        <f>('Renewable Diesel'!O446*'RD Feedstock Breakdown'!AZ$3*'Feedstock Conversion Rates'!B$3)/12</f>
        <v>25.03125</v>
      </c>
      <c r="BA437" s="106">
        <f t="shared" si="458"/>
        <v>235.96875</v>
      </c>
      <c r="BB437" s="104">
        <f>('Renewable Diesel'!Q446*'RD Feedstock Breakdown'!BB$3*'Feedstock Conversion Rates'!B$4)/12</f>
        <v>11.156249999999998</v>
      </c>
      <c r="BC437" s="104">
        <f>('Renewable Diesel'!Q446*'RD Feedstock Breakdown'!BC$3*'Feedstock Conversion Rates'!B$3)/12</f>
        <v>1.4017500000000001</v>
      </c>
      <c r="BD437" s="104">
        <f>('Renewable Diesel'!Q446*'RD Feedstock Breakdown'!BD$3*'Feedstock Conversion Rates'!B$6)/12</f>
        <v>0.8207500000000002</v>
      </c>
      <c r="BE437" s="106">
        <f t="shared" si="440"/>
        <v>13.378749999999998</v>
      </c>
      <c r="BF437" s="104">
        <f>('Renewable Diesel'!R446*'RD Feedstock Breakdown'!BF$3*'Feedstock Conversion Rates'!B$4)/12</f>
        <v>62.5</v>
      </c>
      <c r="BG437" s="106">
        <f t="shared" si="425"/>
        <v>62.5</v>
      </c>
      <c r="BH437" s="104">
        <f>('Renewable Diesel'!T446*'RD Feedstock Breakdown'!BH$3*'Feedstock Conversion Rates'!B$7)/12</f>
        <v>27.599999999999998</v>
      </c>
      <c r="BI437" s="106">
        <f t="shared" si="412"/>
        <v>27.599999999999998</v>
      </c>
      <c r="BJ437" s="104">
        <f>('Renewable Diesel'!W446*'RD Feedstock Breakdown'!BJ$3*'Feedstock Conversion Rates'!B$4)/12</f>
        <v>7.5</v>
      </c>
      <c r="BK437" s="104">
        <f>('Renewable Diesel'!W446*'RD Feedstock Breakdown'!BK$3*'Feedstock Conversion Rates'!B$3)/12</f>
        <v>1.335</v>
      </c>
      <c r="BL437" s="104">
        <f>('Renewable Diesel'!W446*'RD Feedstock Breakdown'!BL$3*'Feedstock Conversion Rates'!B$6)/12</f>
        <v>3.1266666666666669</v>
      </c>
      <c r="BM437" s="104">
        <f>('Renewable Diesel'!W446*'RD Feedstock Breakdown'!BM$3*'Feedstock Conversion Rates'!B$7)/12</f>
        <v>1.5333333333333332</v>
      </c>
      <c r="BN437" s="106">
        <f t="shared" si="452"/>
        <v>13.495000000000001</v>
      </c>
      <c r="BO437" s="104">
        <f>('Renewable Diesel'!P446*'Feedstock Conversion Rates'!B$4)/12</f>
        <v>31.25</v>
      </c>
      <c r="BP437" s="106">
        <f t="shared" si="446"/>
        <v>31.25</v>
      </c>
      <c r="BQ437" s="104">
        <f>('Renewable Diesel'!$S446*'RD Feedstock Breakdown'!BQ$3*'Feedstock Conversion Rates'!B$4)/12+10+15-15</f>
        <v>38.125</v>
      </c>
      <c r="BR437" s="104">
        <f>('Renewable Diesel'!$S446*'RD Feedstock Breakdown'!BR$3*'Feedstock Conversion Rates'!B$7)/12-10-15+15</f>
        <v>1.5</v>
      </c>
      <c r="BS437" s="106">
        <f t="shared" si="460"/>
        <v>39.625</v>
      </c>
      <c r="BT437" s="106"/>
      <c r="BU437" s="104">
        <f>('Renewable Diesel'!Y446*'Feedstock Conversion Rates'!B$7)/12</f>
        <v>2.6833333333333331</v>
      </c>
      <c r="BV437" s="106">
        <f t="shared" si="442"/>
        <v>2.6833333333333331</v>
      </c>
      <c r="BW437" s="104">
        <f>('Renewable Diesel'!$Z446*'RD Feedstock Breakdown'!BW$3*'Feedstock Conversion Rates'!$B$4)/12-250+180</f>
        <v>1.875</v>
      </c>
      <c r="BX437" s="104">
        <f>('Renewable Diesel'!$Z446*'RD Feedstock Breakdown'!BX$3*'Feedstock Conversion Rates'!$B$5)/12</f>
        <v>7.2354166666666666</v>
      </c>
      <c r="BY437" s="104">
        <f>('Renewable Diesel'!$Z446*'RD Feedstock Breakdown'!BY$3*'Feedstock Conversion Rates'!$B$7)/12</f>
        <v>61.716666666666661</v>
      </c>
      <c r="BZ437" s="104">
        <f>('Renewable Diesel'!$Z446*'RD Feedstock Breakdown'!BZ$3*'Feedstock Conversion Rates'!$B$3)/12+250-180</f>
        <v>85.35250000000002</v>
      </c>
      <c r="CA437" s="106">
        <f t="shared" si="464"/>
        <v>156.17958333333334</v>
      </c>
      <c r="CB437" s="104">
        <f>('Renewable Diesel'!AA446*'Feedstock Conversion Rates'!B$4)/12</f>
        <v>191.25</v>
      </c>
      <c r="CC437" s="106">
        <f t="shared" si="454"/>
        <v>191.25</v>
      </c>
      <c r="CD437" s="104">
        <f>('Renewable Diesel'!$AB446*'RD Feedstock Breakdown'!CD$3*'Feedstock Conversion Rates'!$B$6)/12-15-5</f>
        <v>12.830000000000005</v>
      </c>
      <c r="CE437" s="104">
        <f>('Renewable Diesel'!$AB446*'RD Feedstock Breakdown'!CE$3*'Feedstock Conversion Rates'!$B$4)/12+15+5</f>
        <v>31.25</v>
      </c>
      <c r="CF437" s="106">
        <f t="shared" si="450"/>
        <v>44.080000000000005</v>
      </c>
      <c r="CG437" s="104">
        <f>('Renewable Diesel'!AD446*'Feedstock Conversion Rates'!B$4)/12</f>
        <v>112.5</v>
      </c>
      <c r="CH437" s="106">
        <f t="shared" si="439"/>
        <v>112.5</v>
      </c>
      <c r="CI437" s="104">
        <f>('Renewable Diesel'!$AE446*'RD Feedstock Breakdown'!CI$3*'Feedstock Conversion Rates'!$B$5)/12</f>
        <v>0.34604166666666664</v>
      </c>
      <c r="CJ437" s="104">
        <f>('Renewable Diesel'!$AE446*'RD Feedstock Breakdown'!CJ$3*'Feedstock Conversion Rates'!$B$4)/12</f>
        <v>0.34375</v>
      </c>
      <c r="CK437" s="106">
        <f t="shared" si="447"/>
        <v>0.68979166666666658</v>
      </c>
      <c r="CL437" s="104">
        <f>(((CL$3*'Renewable Diesel'!$AF446)*'Feedstock Conversion Rates'!$B$3)/12)</f>
        <v>91.78125</v>
      </c>
      <c r="CM437" s="104">
        <f>(((CM$3*'Renewable Diesel'!$AF446)*'Feedstock Conversion Rates'!$B$6)/12)</f>
        <v>53.739583333333336</v>
      </c>
      <c r="CN437" s="104">
        <f>(((CN$3*'Renewable Diesel'!$AF446)*'Feedstock Conversion Rates'!$B$4)/12)</f>
        <v>42.96875</v>
      </c>
      <c r="CO437" s="106">
        <f t="shared" si="441"/>
        <v>188.48958333333334</v>
      </c>
      <c r="CP437" s="104">
        <f>('Renewable Diesel'!$AG446*'RD Feedstock Breakdown'!CP$3*'Feedstock Conversion Rates'!$B$3)/12</f>
        <v>6.0075000000000003</v>
      </c>
      <c r="CQ437" s="104">
        <f>('Renewable Diesel'!$AG446*'RD Feedstock Breakdown'!CQ$3*'Feedstock Conversion Rates'!$B$6)/12</f>
        <v>3.5175000000000001</v>
      </c>
      <c r="CR437" s="104">
        <f>('Renewable Diesel'!$AG446*'RD Feedstock Breakdown'!CR$3*'Feedstock Conversion Rates'!$B$4)/12</f>
        <v>2.8125</v>
      </c>
      <c r="CS437" s="106">
        <f t="shared" si="467"/>
        <v>12.3375</v>
      </c>
      <c r="CT437" s="104">
        <f>('Renewable Diesel'!AI446*'Feedstock Conversion Rates'!$B$4*'RD Feedstock Breakdown'!$CT$3)/12</f>
        <v>29.375</v>
      </c>
      <c r="CU437" s="106">
        <f t="shared" si="443"/>
        <v>29.375</v>
      </c>
      <c r="CV437" s="104">
        <f>('Renewable Diesel'!AN446*'Feedstock Conversion Rates'!$B$3*'RD Feedstock Breakdown'!$CV$3)/12</f>
        <v>0.50062499999999999</v>
      </c>
      <c r="CW437" s="106">
        <f t="shared" si="419"/>
        <v>0.50062499999999999</v>
      </c>
      <c r="CX437" s="104">
        <f>('Renewable Diesel'!AO446*'RD Feedstock Breakdown'!$CX$3*'Feedstock Conversion Rates'!$B$3)/12</f>
        <v>6.3412499999999996</v>
      </c>
      <c r="CY437" s="104">
        <f>('Renewable Diesel'!AO446*'RD Feedstock Breakdown'!$CY$3*'Feedstock Conversion Rates'!$B$6)/12</f>
        <v>7.4258333333333342</v>
      </c>
      <c r="CZ437" s="106">
        <f t="shared" si="468"/>
        <v>13.767083333333334</v>
      </c>
      <c r="DA437" s="104">
        <f>('Renewable Diesel'!$AP446*'RD Feedstock Breakdown'!DA$3*'Feedstock Conversion Rates'!$B$3)/12</f>
        <v>6.3412499999999996</v>
      </c>
      <c r="DB437" s="104">
        <f>('Renewable Diesel'!$AP446*'RD Feedstock Breakdown'!DB$3*'Feedstock Conversion Rates'!$B$8)/12</f>
        <v>7.421875</v>
      </c>
      <c r="DC437" s="106">
        <f t="shared" si="422"/>
        <v>13.763124999999999</v>
      </c>
      <c r="DD437" s="104">
        <f>('Renewable Diesel'!AQ446*$DD$3*'Feedstock Conversion Rates'!$B$14)/12</f>
        <v>3.1041666666666665</v>
      </c>
      <c r="DE437" s="106">
        <f t="shared" si="423"/>
        <v>3.1041666666666665</v>
      </c>
      <c r="DF437" s="104">
        <f>('Renewable Diesel'!AR446*'Feedstock Conversion Rates'!$B$4*$DF$3)/12</f>
        <v>75</v>
      </c>
      <c r="DG437" s="106">
        <f t="shared" si="469"/>
        <v>75</v>
      </c>
      <c r="DH437" s="104">
        <f>('Renewable Diesel'!AS446*'Feedstock Conversion Rates'!$B$4*$DH$3)/12</f>
        <v>75</v>
      </c>
      <c r="DI437" s="106">
        <f t="shared" si="411"/>
        <v>75</v>
      </c>
      <c r="DJ437" s="104">
        <f>('Renewable Diesel'!AT446*'Feedstock Conversion Rates'!$B$4*0.25)/12</f>
        <v>8.59375</v>
      </c>
      <c r="DK437" s="104">
        <f>('Renewable Diesel'!$AT446*'RD Feedstock Breakdown'!DK$3*'Feedstock Conversion Rates'!$B$3)/12*0.5</f>
        <v>9.1781249999999996</v>
      </c>
      <c r="DL437" s="104">
        <f>('Renewable Diesel'!$AT446*'RD Feedstock Breakdown'!$DL$3*'Feedstock Conversion Rates'!$B$6)/12</f>
        <v>10.747916666666669</v>
      </c>
      <c r="DM437" s="104">
        <f>('Renewable Diesel'!$AT446*'RD Feedstock Breakdown'!$DM$3*'Feedstock Conversion Rates'!$B$8)/12</f>
        <v>10.7421875</v>
      </c>
      <c r="DN437" s="106">
        <f t="shared" si="453"/>
        <v>39.26197916666667</v>
      </c>
      <c r="DP437" s="104">
        <f t="shared" si="426"/>
        <v>103.22025000000001</v>
      </c>
      <c r="DQ437" s="104">
        <f t="shared" si="427"/>
        <v>349.11776750000007</v>
      </c>
      <c r="DR437" s="104">
        <f t="shared" si="432"/>
        <v>1891.953125</v>
      </c>
      <c r="DS437" s="104">
        <f t="shared" si="444"/>
        <v>228.90125</v>
      </c>
      <c r="DT437" s="104">
        <f t="shared" si="428"/>
        <v>243.03923333333344</v>
      </c>
      <c r="DU437" s="104">
        <f t="shared" si="429"/>
        <v>402.90610000000009</v>
      </c>
      <c r="DV437" s="104">
        <f t="shared" si="433"/>
        <v>78.75</v>
      </c>
      <c r="DW437" s="104">
        <f t="shared" si="430"/>
        <v>3</v>
      </c>
      <c r="DX437" s="106">
        <f t="shared" si="434"/>
        <v>3300.8877258333337</v>
      </c>
      <c r="DY437" s="109">
        <f t="shared" si="421"/>
        <v>-5.631051180898794E-13</v>
      </c>
      <c r="EA437" s="110">
        <f t="shared" si="472"/>
        <v>3.1270451640078516E-2</v>
      </c>
      <c r="EB437" s="110">
        <f t="shared" si="470"/>
        <v>0.10576481131658687</v>
      </c>
      <c r="EC437" s="110">
        <f t="shared" si="470"/>
        <v>0.57316494293133291</v>
      </c>
      <c r="ED437" s="110">
        <f t="shared" si="470"/>
        <v>6.9345360706629972E-2</v>
      </c>
      <c r="EE437" s="110">
        <f t="shared" si="470"/>
        <v>7.3628445896921982E-2</v>
      </c>
      <c r="EF437" s="110">
        <f t="shared" si="470"/>
        <v>0.1220599225010852</v>
      </c>
      <c r="EG437" s="110">
        <f t="shared" si="470"/>
        <v>2.3857218585075921E-2</v>
      </c>
      <c r="EH437" s="111">
        <f t="shared" si="435"/>
        <v>9.0884642228860647E-4</v>
      </c>
      <c r="EI437" s="110">
        <f t="shared" si="409"/>
        <v>0.99909115357771139</v>
      </c>
      <c r="EK437" s="132">
        <f>(EA437*'Renewable Diesel'!BF446*'Feedstock Conversion Rates'!B$2)+FB437</f>
        <v>626.61717859791474</v>
      </c>
      <c r="EL437" s="132">
        <f>(EB437*'Renewable Diesel'!BF446*'Feedstock Conversion Rates'!B$3)+FC437</f>
        <v>1997.2063229826394</v>
      </c>
      <c r="EM437" s="132">
        <f>(EC437*'Renewable Diesel'!BF446*'Feedstock Conversion Rates'!B$4)+FD437</f>
        <v>10134.214680233383</v>
      </c>
      <c r="EN437" s="132">
        <f>(ED437*'Renewable Diesel'!BF446*'Feedstock Conversion Rates'!B$5)+FE437</f>
        <v>1234.2796833973341</v>
      </c>
      <c r="EO437" s="132">
        <f>(EE437*'Renewable Diesel'!BF446*'Feedstock Conversion Rates'!B$6)+FF437</f>
        <v>1628.1622811048137</v>
      </c>
      <c r="EP437" s="132">
        <f>(EF437*'Renewable Diesel'!BF446*'Feedstock Conversion Rates'!B$7)+FG437</f>
        <v>2647.3425165192948</v>
      </c>
      <c r="EQ437" s="132">
        <f>(EG437*'Renewable Diesel'!BF446*'Feedstock Conversion Rates'!B$8)+FH437</f>
        <v>527.27879163786031</v>
      </c>
      <c r="ER437" s="132">
        <f>(EH437*'Renewable Diesel'!BF446*'Feedstock Conversion Rates'!B$9)+FI437</f>
        <v>19.818986961880206</v>
      </c>
      <c r="ES437" s="132">
        <f t="shared" si="436"/>
        <v>18814.920441435122</v>
      </c>
      <c r="ET437" s="133">
        <f>ES437/'Renewable Diesel'!BF446</f>
        <v>18.047025913179521</v>
      </c>
      <c r="EW437" s="73">
        <f t="shared" si="461"/>
        <v>17709.507265670381</v>
      </c>
      <c r="EX437" s="73">
        <f t="shared" si="462"/>
        <v>11599.824260812564</v>
      </c>
      <c r="EY437" s="92">
        <f t="shared" si="410"/>
        <v>0.94124805474434281</v>
      </c>
      <c r="EZ437" s="92">
        <f t="shared" si="410"/>
        <v>0.61652263143599972</v>
      </c>
      <c r="FB437" s="102">
        <f>IF('Renewable Diesel'!$BG446&lt;1,0,(((('Renewable Diesel'!$BG446-1)*'Renewable Diesel'!$BF446)*'RD Feedstock Breakdown'!EA437)*'Feedstock Conversion Rates'!$B$2))</f>
        <v>349.50869367894933</v>
      </c>
      <c r="FC437" s="102">
        <f>IF('Renewable Diesel'!$BG446&lt;1,0,(((('Renewable Diesel'!$BG446-1)*'Renewable Diesel'!$BF446)*'RD Feedstock Breakdown'!EB437)*'Feedstock Conversion Rates'!$B$3))</f>
        <v>1113.9831412137462</v>
      </c>
      <c r="FD437" s="102">
        <f>IF('Renewable Diesel'!$BG446&lt;1,0,(((('Renewable Diesel'!$BG446-1)*'Renewable Diesel'!$BF446)*'RD Feedstock Breakdown'!EC437)*'Feedstock Conversion Rates'!$B$4))</f>
        <v>5652.5678760926776</v>
      </c>
      <c r="FE437" s="102">
        <f>IF('Renewable Diesel'!$BG446&lt;1,0,(((('Renewable Diesel'!$BG446-1)*'Renewable Diesel'!$BF446)*'RD Feedstock Breakdown'!ED437)*'Feedstock Conversion Rates'!$B$5))</f>
        <v>688.44502594698736</v>
      </c>
      <c r="FF437" s="102">
        <f>IF('Renewable Diesel'!$BG446&lt;1,0,(((('Renewable Diesel'!$BG446-1)*'Renewable Diesel'!$BF446)*'RD Feedstock Breakdown'!EE437)*'Feedstock Conversion Rates'!$B$6))</f>
        <v>908.14119274478423</v>
      </c>
      <c r="FG437" s="102">
        <f>IF('Renewable Diesel'!$BG446&lt;1,0,(((('Renewable Diesel'!$BG446-1)*'Renewable Diesel'!$BF446)*'RD Feedstock Breakdown'!EF437)*'Feedstock Conversion Rates'!$B$7))</f>
        <v>1476.6100519933627</v>
      </c>
      <c r="FH437" s="102">
        <f>IF('Renewable Diesel'!$BG446&lt;1,0,(((('Renewable Diesel'!$BG446-1)*'Renewable Diesel'!$BF446)*'RD Feedstock Breakdown'!EG437)*'Feedstock Conversion Rates'!$B$8))</f>
        <v>294.10065342019135</v>
      </c>
      <c r="FI437" s="102">
        <f>IF('Renewable Diesel'!$BG446&lt;1,0,(((('Renewable Diesel'!$BG446-1)*'Renewable Diesel'!$BF446)*'RD Feedstock Breakdown'!EH437)*'Feedstock Conversion Rates'!$B$9))</f>
        <v>11.05444995712719</v>
      </c>
      <c r="FJ437" s="102">
        <f t="shared" si="463"/>
        <v>10494.411085047826</v>
      </c>
      <c r="GD437" s="91">
        <f>'Renewable Diesel'!BB446*0.32</f>
        <v>0</v>
      </c>
      <c r="GE437" s="91">
        <f>'Renewable Diesel'!BC446</f>
        <v>622.93086645601022</v>
      </c>
      <c r="GF437" s="91">
        <f>'Renewable Diesel'!BD446</f>
        <v>0</v>
      </c>
      <c r="GG437" s="91">
        <f t="shared" si="451"/>
        <v>622.93086645601022</v>
      </c>
      <c r="GH437" s="124">
        <v>1</v>
      </c>
      <c r="GI437" s="102">
        <f>$GG437*EA437*'Feedstock Conversion Rates'!$B$2</f>
        <v>165.57430104431143</v>
      </c>
      <c r="GJ437" s="102">
        <f>$GG437*EB437*'Feedstock Conversion Rates'!$B$3</f>
        <v>527.73216608752307</v>
      </c>
      <c r="GK437" s="102">
        <f>$GG437*EC437*'Feedstock Conversion Rates'!$B$4</f>
        <v>2677.8160089181865</v>
      </c>
      <c r="GL437" s="102">
        <f>$GG437*ED437*'Feedstock Conversion Rates'!$B$5</f>
        <v>326.14011050412603</v>
      </c>
      <c r="GM437" s="102">
        <f>$GG437*EE437*'Feedstock Conversion Rates'!$B$6</f>
        <v>430.21774839279584</v>
      </c>
      <c r="GN437" s="102">
        <f>$GG437*EF437*'Feedstock Conversion Rates'!$B$7</f>
        <v>699.52101820502094</v>
      </c>
      <c r="GO437" s="102">
        <f>$GG437*EG437*'Feedstock Conversion Rates'!$B$8</f>
        <v>139.32560479154787</v>
      </c>
      <c r="GP437" s="102">
        <f>$GG437*EH437*'Feedstock Conversion Rates'!B$9</f>
        <v>5.2368735261331008</v>
      </c>
      <c r="GQ437" s="102">
        <f t="shared" si="437"/>
        <v>4971.5638314696444</v>
      </c>
      <c r="GT437" s="103">
        <f t="shared" si="418"/>
        <v>3.3304269372191879E-2</v>
      </c>
      <c r="GU437" s="103">
        <f t="shared" si="418"/>
        <v>0.10615013383656384</v>
      </c>
      <c r="GV437" s="103">
        <f t="shared" si="418"/>
        <v>0.53862649654979811</v>
      </c>
      <c r="GW437" s="103">
        <f t="shared" si="418"/>
        <v>6.5601110950176747E-2</v>
      </c>
      <c r="GX437" s="103">
        <f t="shared" si="465"/>
        <v>8.6535698419388282E-2</v>
      </c>
      <c r="GY437" s="103">
        <f t="shared" si="465"/>
        <v>0.14070442257566979</v>
      </c>
      <c r="GZ437" s="103">
        <f t="shared" si="465"/>
        <v>2.8024502855545513E-2</v>
      </c>
      <c r="HA437" s="103">
        <f t="shared" si="465"/>
        <v>1.0533654406655836E-3</v>
      </c>
    </row>
    <row r="438" spans="1:209" x14ac:dyDescent="0.25">
      <c r="A438" s="96">
        <v>53752</v>
      </c>
      <c r="B438" s="104">
        <f t="shared" si="406"/>
        <v>44.25</v>
      </c>
      <c r="C438" s="104">
        <f t="shared" si="466"/>
        <v>49</v>
      </c>
      <c r="D438" s="104">
        <f t="shared" si="407"/>
        <v>2</v>
      </c>
      <c r="E438" s="104">
        <f>('Renewable Diesel'!B447*E$3*'Feedstock Conversion Rates'!$B$2)/12+26+13-100+27.5+39</f>
        <v>95.43</v>
      </c>
      <c r="F438" s="104">
        <f>('Renewable Diesel'!B447*'RD Feedstock Breakdown'!F$3*'Feedstock Conversion Rates'!B$8)/12+77+23-10-12-115.75+24+8</f>
        <v>48.15625</v>
      </c>
      <c r="G438" s="104">
        <f>('Renewable Diesel'!B447*'RD Feedstock Breakdown'!G$3*'Feedstock Conversion Rates'!B$7)/12+116.75-39-57.5-145-31.5+32+70-40+10+60</f>
        <v>151.90700000000004</v>
      </c>
      <c r="H438" s="104">
        <f>('Renewable Diesel'!B447*'RD Feedstock Breakdown'!H$3*'Feedstock Conversion Rates'!B$3)/12+67+10+12+3-235+20+47-20+25</f>
        <v>105.40022499999998</v>
      </c>
      <c r="I438" s="106">
        <f t="shared" si="449"/>
        <v>496.14347500000002</v>
      </c>
      <c r="J438" s="104">
        <f t="shared" si="417"/>
        <v>4</v>
      </c>
      <c r="K438" s="104"/>
      <c r="L438" s="104">
        <v>1</v>
      </c>
      <c r="M438" s="104">
        <f>('Renewable Diesel'!C447*'RD Feedstock Breakdown'!M$3*'Feedstock Conversion Rates'!B$2)/12</f>
        <v>7.7902500000000003</v>
      </c>
      <c r="N438" s="104">
        <f>('Renewable Diesel'!C447*'RD Feedstock Breakdown'!N$3*'Feedstock Conversion Rates'!B$8)/12</f>
        <v>3.671875</v>
      </c>
      <c r="O438" s="104">
        <f>('Renewable Diesel'!C447*'RD Feedstock Breakdown'!O$3*'Feedstock Conversion Rates'!B$7)/12</f>
        <v>11.9991</v>
      </c>
      <c r="P438" s="104">
        <f>('Renewable Diesel'!C447*'RD Feedstock Breakdown'!P$3*'Feedstock Conversion Rates'!B$3)/12</f>
        <v>10.4470425</v>
      </c>
      <c r="Q438" s="106">
        <f t="shared" si="455"/>
        <v>38.908267500000001</v>
      </c>
      <c r="R438" s="104">
        <f>('Renewable Diesel'!D447*'RD Feedstock Breakdown'!R$3*'Feedstock Conversion Rates'!B$7)/12</f>
        <v>2.2999999999999998</v>
      </c>
      <c r="S438" s="106">
        <f t="shared" si="414"/>
        <v>2.2999999999999998</v>
      </c>
      <c r="T438" s="104">
        <f t="shared" si="456"/>
        <v>0.82499999999999929</v>
      </c>
      <c r="U438" s="104"/>
      <c r="V438" s="104">
        <f>('Renewable Diesel'!E447*'RD Feedstock Breakdown'!V$3*'Feedstock Conversion Rates'!B$6)/12-20+25</f>
        <v>49.250150000000012</v>
      </c>
      <c r="W438" s="104">
        <f>('Renewable Diesel'!E447*'RD Feedstock Breakdown'!W$3*'Feedstock Conversion Rates'!B$8)/12-6</f>
        <v>16.1796875</v>
      </c>
      <c r="X438" s="106">
        <f t="shared" si="438"/>
        <v>66.254837500000008</v>
      </c>
      <c r="Y438" s="104">
        <f t="shared" si="457"/>
        <v>98</v>
      </c>
      <c r="Z438" s="104">
        <f>('Renewable Diesel'!F447*'RD Feedstock Breakdown'!Z$3*'Feedstock Conversion Rates'!B$6)/12-142+15+5+20+5+15</f>
        <v>77.460000000000008</v>
      </c>
      <c r="AA438" s="104">
        <f>('Renewable Diesel'!F447*'RD Feedstock Breakdown'!AA$3*'Feedstock Conversion Rates'!B$7)/12+24</f>
        <v>128.26666666666665</v>
      </c>
      <c r="AB438" s="106">
        <f t="shared" si="471"/>
        <v>303.72666666666669</v>
      </c>
      <c r="AC438" s="104">
        <f>('Renewable Diesel'!G447*'RD Feedstock Breakdown'!AC$3*'Feedstock Conversion Rates'!B$5)/12</f>
        <v>11.796875</v>
      </c>
      <c r="AD438" s="104">
        <f>('Renewable Diesel'!G447*'RD Feedstock Breakdown'!AD$3*'Feedstock Conversion Rates'!B$4)/12</f>
        <v>5.859375</v>
      </c>
      <c r="AE438" s="104">
        <f>('Renewable Diesel'!G447*'RD Feedstock Breakdown'!AE$3*'Feedstock Conversion Rates'!B$6)/12</f>
        <v>7.3281250000000009</v>
      </c>
      <c r="AF438" s="106">
        <f t="shared" si="445"/>
        <v>24.984375</v>
      </c>
      <c r="AG438" s="104">
        <f t="shared" si="459"/>
        <v>148</v>
      </c>
      <c r="AH438" s="104"/>
      <c r="AI438" s="104">
        <f>('Renewable Diesel'!H447*'RD Feedstock Breakdown'!AI$3*'Feedstock Conversion Rates'!B$6)/12-130-20+51-49</f>
        <v>0.51666666666667993</v>
      </c>
      <c r="AJ438" s="106">
        <f t="shared" si="413"/>
        <v>148.51666666666668</v>
      </c>
      <c r="AK438" s="104">
        <f>('Renewable Diesel'!J447*'RD Feedstock Breakdown'!AK$3*'Feedstock Conversion Rates'!B$4)/12</f>
        <v>95.8125</v>
      </c>
      <c r="AL438" s="106">
        <f t="shared" si="415"/>
        <v>95.8125</v>
      </c>
      <c r="AM438" s="104">
        <f>('Renewable Diesel'!K447*'RD Feedstock Breakdown'!AM$3*'Feedstock Conversion Rates'!B$4)/12+5+15-10+10</f>
        <v>78.59375</v>
      </c>
      <c r="AN438" s="104">
        <f>('Renewable Diesel'!K447*'RD Feedstock Breakdown'!AN$3*'Feedstock Conversion Rates'!B$6)/12-5-15+10-10</f>
        <v>4.4270833333333321</v>
      </c>
      <c r="AO438" s="106">
        <f t="shared" si="431"/>
        <v>83.020833333333329</v>
      </c>
      <c r="AP438" s="104">
        <f>('Renewable Diesel'!L447*'RD Feedstock Breakdown'!AP$3*'Feedstock Conversion Rates'!B$4)/12+15-10+15</f>
        <v>78.59375</v>
      </c>
      <c r="AQ438" s="104">
        <f>('Renewable Diesel'!L447*'RD Feedstock Breakdown'!AQ$3*'Feedstock Conversion Rates'!B$6)/12-15+10-15</f>
        <v>4.4270833333333321</v>
      </c>
      <c r="AR438" s="106">
        <f t="shared" si="420"/>
        <v>83.020833333333329</v>
      </c>
      <c r="AS438" s="104">
        <f>('Renewable Diesel'!M447*'RD Feedstock Breakdown'!AS$3*'Feedstock Conversion Rates'!B$4)/12</f>
        <v>456.25</v>
      </c>
      <c r="AT438" s="104">
        <f>('Renewable Diesel'!M447*'RD Feedstock Breakdown'!AT$3*'Feedstock Conversion Rates'!B$5)/12</f>
        <v>0</v>
      </c>
      <c r="AU438" s="106">
        <f t="shared" si="448"/>
        <v>456.25</v>
      </c>
      <c r="AV438" s="104">
        <f>'Renewable Diesel'!N447*'RD Feedstock Breakdown'!$AV$3*'Feedstock Conversion Rates'!$B$4/12-15-10+25+25-22+25</f>
        <v>106.74999999999999</v>
      </c>
      <c r="AW438" s="104">
        <f>'Renewable Diesel'!N447*'RD Feedstock Breakdown'!$AW$3*'Feedstock Conversion Rates'!$B$7/12+15+10-25-25+22-25</f>
        <v>13.400000000000006</v>
      </c>
      <c r="AX438" s="106">
        <f t="shared" si="408"/>
        <v>120.14999999999999</v>
      </c>
      <c r="AY438" s="104">
        <f>('Renewable Diesel'!O447*'RD Feedstock Breakdown'!AY$3*'Feedstock Conversion Rates'!B$4)/12</f>
        <v>210.9375</v>
      </c>
      <c r="AZ438" s="104">
        <f>('Renewable Diesel'!O447*'RD Feedstock Breakdown'!AZ$3*'Feedstock Conversion Rates'!B$3)/12</f>
        <v>25.03125</v>
      </c>
      <c r="BA438" s="106">
        <f t="shared" si="458"/>
        <v>235.96875</v>
      </c>
      <c r="BB438" s="104">
        <f>('Renewable Diesel'!Q447*'RD Feedstock Breakdown'!BB$3*'Feedstock Conversion Rates'!B$4)/12</f>
        <v>11.156249999999998</v>
      </c>
      <c r="BC438" s="104">
        <f>('Renewable Diesel'!Q447*'RD Feedstock Breakdown'!BC$3*'Feedstock Conversion Rates'!B$3)/12</f>
        <v>1.4017500000000001</v>
      </c>
      <c r="BD438" s="104">
        <f>('Renewable Diesel'!Q447*'RD Feedstock Breakdown'!BD$3*'Feedstock Conversion Rates'!B$6)/12</f>
        <v>0.8207500000000002</v>
      </c>
      <c r="BE438" s="106">
        <f t="shared" si="440"/>
        <v>13.378749999999998</v>
      </c>
      <c r="BF438" s="104">
        <f>('Renewable Diesel'!R447*'RD Feedstock Breakdown'!BF$3*'Feedstock Conversion Rates'!B$4)/12</f>
        <v>62.5</v>
      </c>
      <c r="BG438" s="106">
        <f t="shared" si="425"/>
        <v>62.5</v>
      </c>
      <c r="BH438" s="104">
        <f>('Renewable Diesel'!T447*'RD Feedstock Breakdown'!BH$3*'Feedstock Conversion Rates'!B$7)/12</f>
        <v>27.599999999999998</v>
      </c>
      <c r="BI438" s="106">
        <f t="shared" si="412"/>
        <v>27.599999999999998</v>
      </c>
      <c r="BJ438" s="104">
        <f>('Renewable Diesel'!W447*'RD Feedstock Breakdown'!BJ$3*'Feedstock Conversion Rates'!B$4)/12</f>
        <v>7.5</v>
      </c>
      <c r="BK438" s="104">
        <f>('Renewable Diesel'!W447*'RD Feedstock Breakdown'!BK$3*'Feedstock Conversion Rates'!B$3)/12</f>
        <v>1.335</v>
      </c>
      <c r="BL438" s="104">
        <f>('Renewable Diesel'!W447*'RD Feedstock Breakdown'!BL$3*'Feedstock Conversion Rates'!B$6)/12</f>
        <v>3.1266666666666669</v>
      </c>
      <c r="BM438" s="104">
        <f>('Renewable Diesel'!W447*'RD Feedstock Breakdown'!BM$3*'Feedstock Conversion Rates'!B$7)/12</f>
        <v>1.5333333333333332</v>
      </c>
      <c r="BN438" s="106">
        <f t="shared" si="452"/>
        <v>13.495000000000001</v>
      </c>
      <c r="BO438" s="104">
        <f>('Renewable Diesel'!P447*'Feedstock Conversion Rates'!B$4)/12</f>
        <v>31.25</v>
      </c>
      <c r="BP438" s="106">
        <f t="shared" si="446"/>
        <v>31.25</v>
      </c>
      <c r="BQ438" s="104">
        <f>('Renewable Diesel'!$S447*'RD Feedstock Breakdown'!BQ$3*'Feedstock Conversion Rates'!B$4)/12+10+15-15</f>
        <v>38.125</v>
      </c>
      <c r="BR438" s="104">
        <f>('Renewable Diesel'!$S447*'RD Feedstock Breakdown'!BR$3*'Feedstock Conversion Rates'!B$7)/12-10-15+15</f>
        <v>1.5</v>
      </c>
      <c r="BS438" s="106">
        <f t="shared" si="460"/>
        <v>39.625</v>
      </c>
      <c r="BT438" s="106"/>
      <c r="BU438" s="104">
        <f>('Renewable Diesel'!Y447*'Feedstock Conversion Rates'!B$7)/12</f>
        <v>2.6833333333333331</v>
      </c>
      <c r="BV438" s="106">
        <f t="shared" si="442"/>
        <v>2.6833333333333331</v>
      </c>
      <c r="BW438" s="104">
        <f>('Renewable Diesel'!$Z447*'RD Feedstock Breakdown'!BW$3*'Feedstock Conversion Rates'!$B$4)/12-250+180</f>
        <v>1.875</v>
      </c>
      <c r="BX438" s="104">
        <f>('Renewable Diesel'!$Z447*'RD Feedstock Breakdown'!BX$3*'Feedstock Conversion Rates'!$B$5)/12</f>
        <v>7.2354166666666666</v>
      </c>
      <c r="BY438" s="104">
        <f>('Renewable Diesel'!$Z447*'RD Feedstock Breakdown'!BY$3*'Feedstock Conversion Rates'!$B$7)/12</f>
        <v>61.716666666666661</v>
      </c>
      <c r="BZ438" s="104">
        <f>('Renewable Diesel'!$Z447*'RD Feedstock Breakdown'!BZ$3*'Feedstock Conversion Rates'!$B$3)/12+250-180</f>
        <v>85.35250000000002</v>
      </c>
      <c r="CA438" s="106">
        <f t="shared" si="464"/>
        <v>156.17958333333334</v>
      </c>
      <c r="CB438" s="104">
        <f>('Renewable Diesel'!AA447*'Feedstock Conversion Rates'!B$4)/12</f>
        <v>191.25</v>
      </c>
      <c r="CC438" s="106">
        <f t="shared" si="454"/>
        <v>191.25</v>
      </c>
      <c r="CD438" s="104">
        <f>('Renewable Diesel'!$AB447*'RD Feedstock Breakdown'!CD$3*'Feedstock Conversion Rates'!$B$6)/12-15-5</f>
        <v>12.830000000000005</v>
      </c>
      <c r="CE438" s="104">
        <f>('Renewable Diesel'!$AB447*'RD Feedstock Breakdown'!CE$3*'Feedstock Conversion Rates'!$B$4)/12+15+5</f>
        <v>31.25</v>
      </c>
      <c r="CF438" s="106">
        <f t="shared" si="450"/>
        <v>44.080000000000005</v>
      </c>
      <c r="CG438" s="104">
        <f>('Renewable Diesel'!AD447*'Feedstock Conversion Rates'!B$4)/12</f>
        <v>112.5</v>
      </c>
      <c r="CH438" s="106">
        <f t="shared" si="439"/>
        <v>112.5</v>
      </c>
      <c r="CI438" s="104">
        <f>('Renewable Diesel'!$AE447*'RD Feedstock Breakdown'!CI$3*'Feedstock Conversion Rates'!$B$5)/12</f>
        <v>0.34604166666666664</v>
      </c>
      <c r="CJ438" s="104">
        <f>('Renewable Diesel'!$AE447*'RD Feedstock Breakdown'!CJ$3*'Feedstock Conversion Rates'!$B$4)/12</f>
        <v>0.34375</v>
      </c>
      <c r="CK438" s="106">
        <f t="shared" si="447"/>
        <v>0.68979166666666658</v>
      </c>
      <c r="CL438" s="104">
        <f>(((CL$3*'Renewable Diesel'!$AF447)*'Feedstock Conversion Rates'!$B$3)/12)</f>
        <v>91.78125</v>
      </c>
      <c r="CM438" s="104">
        <f>(((CM$3*'Renewable Diesel'!$AF447)*'Feedstock Conversion Rates'!$B$6)/12)</f>
        <v>53.739583333333336</v>
      </c>
      <c r="CN438" s="104">
        <f>(((CN$3*'Renewable Diesel'!$AF447)*'Feedstock Conversion Rates'!$B$4)/12)</f>
        <v>42.96875</v>
      </c>
      <c r="CO438" s="106">
        <f t="shared" si="441"/>
        <v>188.48958333333334</v>
      </c>
      <c r="CP438" s="104">
        <f>('Renewable Diesel'!$AG447*'RD Feedstock Breakdown'!CP$3*'Feedstock Conversion Rates'!$B$3)/12</f>
        <v>6.0075000000000003</v>
      </c>
      <c r="CQ438" s="104">
        <f>('Renewable Diesel'!$AG447*'RD Feedstock Breakdown'!CQ$3*'Feedstock Conversion Rates'!$B$6)/12</f>
        <v>3.5175000000000001</v>
      </c>
      <c r="CR438" s="104">
        <f>('Renewable Diesel'!$AG447*'RD Feedstock Breakdown'!CR$3*'Feedstock Conversion Rates'!$B$4)/12</f>
        <v>2.8125</v>
      </c>
      <c r="CS438" s="106">
        <f t="shared" si="467"/>
        <v>12.3375</v>
      </c>
      <c r="CT438" s="104">
        <f>('Renewable Diesel'!AI447*'Feedstock Conversion Rates'!$B$4*'RD Feedstock Breakdown'!$CT$3)/12</f>
        <v>29.375</v>
      </c>
      <c r="CU438" s="106">
        <f t="shared" si="443"/>
        <v>29.375</v>
      </c>
      <c r="CV438" s="104">
        <f>('Renewable Diesel'!AN447*'Feedstock Conversion Rates'!$B$3*'RD Feedstock Breakdown'!$CV$3)/12</f>
        <v>0.50062499999999999</v>
      </c>
      <c r="CW438" s="106">
        <f t="shared" si="419"/>
        <v>0.50062499999999999</v>
      </c>
      <c r="CX438" s="104">
        <f>('Renewable Diesel'!AO447*'RD Feedstock Breakdown'!$CX$3*'Feedstock Conversion Rates'!$B$3)/12</f>
        <v>6.3412499999999996</v>
      </c>
      <c r="CY438" s="104">
        <f>('Renewable Diesel'!AO447*'RD Feedstock Breakdown'!$CY$3*'Feedstock Conversion Rates'!$B$6)/12</f>
        <v>7.4258333333333342</v>
      </c>
      <c r="CZ438" s="106">
        <f t="shared" si="468"/>
        <v>13.767083333333334</v>
      </c>
      <c r="DA438" s="104">
        <f>('Renewable Diesel'!$AP447*'RD Feedstock Breakdown'!DA$3*'Feedstock Conversion Rates'!$B$3)/12</f>
        <v>6.3412499999999996</v>
      </c>
      <c r="DB438" s="104">
        <f>('Renewable Diesel'!$AP447*'RD Feedstock Breakdown'!DB$3*'Feedstock Conversion Rates'!$B$8)/12</f>
        <v>7.421875</v>
      </c>
      <c r="DC438" s="106">
        <f t="shared" si="422"/>
        <v>13.763124999999999</v>
      </c>
      <c r="DD438" s="104">
        <f>('Renewable Diesel'!AQ447*$DD$3*'Feedstock Conversion Rates'!$B$14)/12</f>
        <v>3.1041666666666665</v>
      </c>
      <c r="DE438" s="106">
        <f t="shared" si="423"/>
        <v>3.1041666666666665</v>
      </c>
      <c r="DF438" s="104">
        <f>('Renewable Diesel'!AR447*'Feedstock Conversion Rates'!$B$4*$DF$3)/12</f>
        <v>75</v>
      </c>
      <c r="DG438" s="106">
        <f t="shared" si="469"/>
        <v>75</v>
      </c>
      <c r="DH438" s="104">
        <f>('Renewable Diesel'!AS447*'Feedstock Conversion Rates'!$B$4*$DH$3)/12</f>
        <v>75</v>
      </c>
      <c r="DI438" s="106">
        <f t="shared" si="411"/>
        <v>75</v>
      </c>
      <c r="DJ438" s="104">
        <f>('Renewable Diesel'!AT447*'Feedstock Conversion Rates'!$B$4*0.25)/12</f>
        <v>8.59375</v>
      </c>
      <c r="DK438" s="104">
        <f>('Renewable Diesel'!$AT447*'RD Feedstock Breakdown'!DK$3*'Feedstock Conversion Rates'!$B$3)/12*0.5</f>
        <v>9.1781249999999996</v>
      </c>
      <c r="DL438" s="104">
        <f>('Renewable Diesel'!$AT447*'RD Feedstock Breakdown'!$DL$3*'Feedstock Conversion Rates'!$B$6)/12</f>
        <v>10.747916666666669</v>
      </c>
      <c r="DM438" s="104">
        <f>('Renewable Diesel'!$AT447*'RD Feedstock Breakdown'!$DM$3*'Feedstock Conversion Rates'!$B$8)/12</f>
        <v>10.7421875</v>
      </c>
      <c r="DN438" s="106">
        <f t="shared" si="453"/>
        <v>39.26197916666667</v>
      </c>
      <c r="DP438" s="104">
        <f t="shared" si="426"/>
        <v>103.22025000000001</v>
      </c>
      <c r="DQ438" s="104">
        <f t="shared" si="427"/>
        <v>349.11776750000007</v>
      </c>
      <c r="DR438" s="104">
        <f t="shared" si="432"/>
        <v>1891.953125</v>
      </c>
      <c r="DS438" s="104">
        <f t="shared" si="444"/>
        <v>228.90125</v>
      </c>
      <c r="DT438" s="104">
        <f t="shared" si="428"/>
        <v>243.03923333333344</v>
      </c>
      <c r="DU438" s="104">
        <f t="shared" si="429"/>
        <v>402.90610000000009</v>
      </c>
      <c r="DV438" s="104">
        <f t="shared" si="433"/>
        <v>78.75</v>
      </c>
      <c r="DW438" s="104">
        <f t="shared" si="430"/>
        <v>3</v>
      </c>
      <c r="DX438" s="106">
        <f t="shared" si="434"/>
        <v>3300.8877258333337</v>
      </c>
      <c r="DY438" s="109">
        <f t="shared" si="421"/>
        <v>-5.631051180898794E-13</v>
      </c>
      <c r="EA438" s="110">
        <f t="shared" si="472"/>
        <v>3.1270451640078516E-2</v>
      </c>
      <c r="EB438" s="110">
        <f t="shared" si="470"/>
        <v>0.10576481131658687</v>
      </c>
      <c r="EC438" s="110">
        <f t="shared" si="470"/>
        <v>0.57316494293133291</v>
      </c>
      <c r="ED438" s="110">
        <f t="shared" si="470"/>
        <v>6.9345360706629972E-2</v>
      </c>
      <c r="EE438" s="110">
        <f t="shared" si="470"/>
        <v>7.3628445896921982E-2</v>
      </c>
      <c r="EF438" s="110">
        <f t="shared" si="470"/>
        <v>0.1220599225010852</v>
      </c>
      <c r="EG438" s="110">
        <f t="shared" si="470"/>
        <v>2.3857218585075921E-2</v>
      </c>
      <c r="EH438" s="111">
        <f t="shared" si="435"/>
        <v>9.0884642228860647E-4</v>
      </c>
      <c r="EI438" s="110">
        <f t="shared" si="409"/>
        <v>0.99909115357771139</v>
      </c>
      <c r="EK438" s="132">
        <f>(EA438*'Renewable Diesel'!BF447*'Feedstock Conversion Rates'!B$2)+FB438</f>
        <v>304.41134567050858</v>
      </c>
      <c r="EL438" s="132">
        <f>(EB438*'Renewable Diesel'!BF447*'Feedstock Conversion Rates'!B$3)+FC438</f>
        <v>970.2451275293156</v>
      </c>
      <c r="EM438" s="132">
        <f>(EC438*'Renewable Diesel'!BF447*'Feedstock Conversion Rates'!B$4)+FD438</f>
        <v>4923.2131411182045</v>
      </c>
      <c r="EN438" s="132">
        <f>(ED438*'Renewable Diesel'!BF447*'Feedstock Conversion Rates'!B$5)+FE438</f>
        <v>599.61448902097197</v>
      </c>
      <c r="EO438" s="132">
        <f>(EE438*'Renewable Diesel'!BF447*'Feedstock Conversion Rates'!B$6)+FF438</f>
        <v>790.9631077623485</v>
      </c>
      <c r="EP438" s="132">
        <f>(EF438*'Renewable Diesel'!BF447*'Feedstock Conversion Rates'!B$7)+FG438</f>
        <v>1286.0820376925924</v>
      </c>
      <c r="EQ438" s="132">
        <f>(EG438*'Renewable Diesel'!BF447*'Feedstock Conversion Rates'!B$8)+FH438</f>
        <v>256.15264309406359</v>
      </c>
      <c r="ER438" s="132">
        <f>(EH438*'Renewable Diesel'!BF447*'Feedstock Conversion Rates'!B$9)+FI438</f>
        <v>9.628086648360993</v>
      </c>
      <c r="ES438" s="132">
        <f t="shared" si="436"/>
        <v>9140.3099785363665</v>
      </c>
      <c r="ET438" s="133">
        <f>ES438/'Renewable Diesel'!BF447</f>
        <v>13.235389978142463</v>
      </c>
      <c r="EW438" s="73">
        <f t="shared" si="461"/>
        <v>7715.3969887184203</v>
      </c>
      <c r="EX438" s="73">
        <f t="shared" si="462"/>
        <v>5053.6272878142254</v>
      </c>
      <c r="EY438" s="92">
        <f t="shared" si="410"/>
        <v>0.84410671047656127</v>
      </c>
      <c r="EZ438" s="92">
        <f t="shared" si="410"/>
        <v>0.5528945188600114</v>
      </c>
      <c r="FB438" s="102">
        <f>IF('Renewable Diesel'!$BG447&lt;1,0,(((('Renewable Diesel'!$BG447-1)*'Renewable Diesel'!$BF447)*'RD Feedstock Breakdown'!EA438)*'Feedstock Conversion Rates'!$B$2))</f>
        <v>120.85167845519231</v>
      </c>
      <c r="FC438" s="102">
        <f>IF('Renewable Diesel'!$BG447&lt;1,0,(((('Renewable Diesel'!$BG447-1)*'Renewable Diesel'!$BF447)*'RD Feedstock Breakdown'!EB438)*'Feedstock Conversion Rates'!$B$3))</f>
        <v>385.18850838695818</v>
      </c>
      <c r="FD438" s="102">
        <f>IF('Renewable Diesel'!$BG447&lt;1,0,(((('Renewable Diesel'!$BG447-1)*'Renewable Diesel'!$BF447)*'RD Feedstock Breakdown'!EC438)*'Feedstock Conversion Rates'!$B$4))</f>
        <v>1954.5216693098973</v>
      </c>
      <c r="FE438" s="102">
        <f>IF('Renewable Diesel'!$BG447&lt;1,0,(((('Renewable Diesel'!$BG447-1)*'Renewable Diesel'!$BF447)*'RD Feedstock Breakdown'!ED438)*'Feedstock Conversion Rates'!$B$5))</f>
        <v>238.04768926934682</v>
      </c>
      <c r="FF438" s="102">
        <f>IF('Renewable Diesel'!$BG447&lt;1,0,(((('Renewable Diesel'!$BG447-1)*'Renewable Diesel'!$BF447)*'RD Feedstock Breakdown'!EE438)*'Feedstock Conversion Rates'!$B$6))</f>
        <v>314.01332614152847</v>
      </c>
      <c r="FG438" s="102">
        <f>IF('Renewable Diesel'!$BG447&lt;1,0,(((('Renewable Diesel'!$BG447-1)*'Renewable Diesel'!$BF447)*'RD Feedstock Breakdown'!EF438)*'Feedstock Conversion Rates'!$B$7))</f>
        <v>510.57614999164372</v>
      </c>
      <c r="FH438" s="102">
        <f>IF('Renewable Diesel'!$BG447&lt;1,0,(((('Renewable Diesel'!$BG447-1)*'Renewable Diesel'!$BF447)*'RD Feedstock Breakdown'!EG438)*'Feedstock Conversion Rates'!$B$8))</f>
        <v>101.69291420615562</v>
      </c>
      <c r="FI438" s="102">
        <f>IF('Renewable Diesel'!$BG447&lt;1,0,(((('Renewable Diesel'!$BG447-1)*'Renewable Diesel'!$BF447)*'RD Feedstock Breakdown'!EH438)*'Feedstock Conversion Rates'!$B$9))</f>
        <v>3.8223622355583569</v>
      </c>
      <c r="FJ438" s="102">
        <f t="shared" si="463"/>
        <v>3628.7142979962814</v>
      </c>
      <c r="GD438" s="91">
        <f>'Renewable Diesel'!BB447*0.32</f>
        <v>0</v>
      </c>
      <c r="GE438" s="91">
        <f>'Renewable Diesel'!BC447</f>
        <v>248.62903141110516</v>
      </c>
      <c r="GF438" s="91">
        <f>'Renewable Diesel'!BD447</f>
        <v>0</v>
      </c>
      <c r="GG438" s="91">
        <f t="shared" si="451"/>
        <v>248.62903141110516</v>
      </c>
      <c r="GH438" s="124">
        <v>1</v>
      </c>
      <c r="GI438" s="102">
        <f>$GG438*EA438*'Feedstock Conversion Rates'!$B$2</f>
        <v>66.085307876014468</v>
      </c>
      <c r="GJ438" s="102">
        <f>$GG438*EB438*'Feedstock Conversion Rates'!$B$3</f>
        <v>210.63258278612051</v>
      </c>
      <c r="GK438" s="102">
        <f>$GG438*EC438*'Feedstock Conversion Rates'!$B$4</f>
        <v>1068.7908344986402</v>
      </c>
      <c r="GL438" s="102">
        <f>$GG438*ED438*'Feedstock Conversion Rates'!$B$5</f>
        <v>130.17158748334055</v>
      </c>
      <c r="GM438" s="102">
        <f>$GG438*EE438*'Feedstock Conversion Rates'!$B$6</f>
        <v>171.71186698021958</v>
      </c>
      <c r="GN438" s="102">
        <f>$GG438*EF438*'Feedstock Conversion Rates'!$B$7</f>
        <v>279.19829081114619</v>
      </c>
      <c r="GO438" s="102">
        <f>$GG438*EG438*'Feedstock Conversion Rates'!$B$8</f>
        <v>55.608723271597903</v>
      </c>
      <c r="GP438" s="102">
        <f>$GG438*EH438*'Feedstock Conversion Rates'!B$9</f>
        <v>2.0901818524943465</v>
      </c>
      <c r="GQ438" s="102">
        <f t="shared" si="437"/>
        <v>1984.289375559574</v>
      </c>
      <c r="GT438" s="103">
        <f t="shared" si="418"/>
        <v>3.3304269372191879E-2</v>
      </c>
      <c r="GU438" s="103">
        <f t="shared" si="418"/>
        <v>0.10615013383656387</v>
      </c>
      <c r="GV438" s="103">
        <f t="shared" si="418"/>
        <v>0.53862649654979822</v>
      </c>
      <c r="GW438" s="103">
        <f t="shared" si="418"/>
        <v>6.5601110950176761E-2</v>
      </c>
      <c r="GX438" s="103">
        <f t="shared" si="465"/>
        <v>8.6535698419388282E-2</v>
      </c>
      <c r="GY438" s="103">
        <f t="shared" si="465"/>
        <v>0.14070442257566981</v>
      </c>
      <c r="GZ438" s="103">
        <f t="shared" si="465"/>
        <v>2.8024502855545516E-2</v>
      </c>
      <c r="HA438" s="103">
        <f t="shared" si="465"/>
        <v>1.0533654406655838E-3</v>
      </c>
    </row>
    <row r="439" spans="1:209" x14ac:dyDescent="0.25">
      <c r="A439" s="96">
        <v>53783</v>
      </c>
      <c r="B439" s="104">
        <f t="shared" si="406"/>
        <v>44.25</v>
      </c>
      <c r="C439" s="104">
        <f t="shared" si="466"/>
        <v>49</v>
      </c>
      <c r="D439" s="104">
        <f t="shared" si="407"/>
        <v>2</v>
      </c>
      <c r="E439" s="104">
        <f>('Renewable Diesel'!B448*E$3*'Feedstock Conversion Rates'!$B$2)/12+26+13-100+27.5+39</f>
        <v>95.43</v>
      </c>
      <c r="F439" s="104">
        <f>('Renewable Diesel'!B448*'RD Feedstock Breakdown'!F$3*'Feedstock Conversion Rates'!B$8)/12+77+23-10-12-115.75+24+8</f>
        <v>48.15625</v>
      </c>
      <c r="G439" s="104">
        <f>('Renewable Diesel'!B448*'RD Feedstock Breakdown'!G$3*'Feedstock Conversion Rates'!B$7)/12+116.75-39-57.5-145-31.5+32+70-40+10+60</f>
        <v>151.90700000000004</v>
      </c>
      <c r="H439" s="104">
        <f>('Renewable Diesel'!B448*'RD Feedstock Breakdown'!H$3*'Feedstock Conversion Rates'!B$3)/12+67+10+12+3-235+20+47-20+25</f>
        <v>105.40022499999998</v>
      </c>
      <c r="I439" s="106">
        <f t="shared" si="449"/>
        <v>496.14347500000002</v>
      </c>
      <c r="J439" s="104">
        <f t="shared" si="417"/>
        <v>4</v>
      </c>
      <c r="K439" s="104"/>
      <c r="L439" s="104">
        <v>1</v>
      </c>
      <c r="M439" s="104">
        <f>('Renewable Diesel'!C448*'RD Feedstock Breakdown'!M$3*'Feedstock Conversion Rates'!B$2)/12</f>
        <v>7.7902500000000003</v>
      </c>
      <c r="N439" s="104">
        <f>('Renewable Diesel'!C448*'RD Feedstock Breakdown'!N$3*'Feedstock Conversion Rates'!B$8)/12</f>
        <v>3.671875</v>
      </c>
      <c r="O439" s="104">
        <f>('Renewable Diesel'!C448*'RD Feedstock Breakdown'!O$3*'Feedstock Conversion Rates'!B$7)/12</f>
        <v>11.9991</v>
      </c>
      <c r="P439" s="104">
        <f>('Renewable Diesel'!C448*'RD Feedstock Breakdown'!P$3*'Feedstock Conversion Rates'!B$3)/12</f>
        <v>10.4470425</v>
      </c>
      <c r="Q439" s="106">
        <f t="shared" si="455"/>
        <v>38.908267500000001</v>
      </c>
      <c r="R439" s="104">
        <f>('Renewable Diesel'!D448*'RD Feedstock Breakdown'!R$3*'Feedstock Conversion Rates'!B$7)/12</f>
        <v>2.2999999999999998</v>
      </c>
      <c r="S439" s="106">
        <f t="shared" si="414"/>
        <v>2.2999999999999998</v>
      </c>
      <c r="T439" s="104">
        <f t="shared" si="456"/>
        <v>0.82499999999999929</v>
      </c>
      <c r="U439" s="104"/>
      <c r="V439" s="104">
        <f>('Renewable Diesel'!E448*'RD Feedstock Breakdown'!V$3*'Feedstock Conversion Rates'!B$6)/12-20+25</f>
        <v>49.250150000000012</v>
      </c>
      <c r="W439" s="104">
        <f>('Renewable Diesel'!E448*'RD Feedstock Breakdown'!W$3*'Feedstock Conversion Rates'!B$8)/12-6</f>
        <v>16.1796875</v>
      </c>
      <c r="X439" s="106">
        <f t="shared" si="438"/>
        <v>66.254837500000008</v>
      </c>
      <c r="Y439" s="104">
        <f t="shared" si="457"/>
        <v>98</v>
      </c>
      <c r="Z439" s="104">
        <f>('Renewable Diesel'!F448*'RD Feedstock Breakdown'!Z$3*'Feedstock Conversion Rates'!B$6)/12-142+15+5+20+5+15</f>
        <v>77.460000000000008</v>
      </c>
      <c r="AA439" s="104">
        <f>('Renewable Diesel'!F448*'RD Feedstock Breakdown'!AA$3*'Feedstock Conversion Rates'!B$7)/12+24</f>
        <v>128.26666666666665</v>
      </c>
      <c r="AB439" s="106">
        <f t="shared" si="471"/>
        <v>303.72666666666669</v>
      </c>
      <c r="AC439" s="104">
        <f>('Renewable Diesel'!G448*'RD Feedstock Breakdown'!AC$3*'Feedstock Conversion Rates'!B$5)/12</f>
        <v>11.796875</v>
      </c>
      <c r="AD439" s="104">
        <f>('Renewable Diesel'!G448*'RD Feedstock Breakdown'!AD$3*'Feedstock Conversion Rates'!B$4)/12</f>
        <v>5.859375</v>
      </c>
      <c r="AE439" s="104">
        <f>('Renewable Diesel'!G448*'RD Feedstock Breakdown'!AE$3*'Feedstock Conversion Rates'!B$6)/12</f>
        <v>7.3281250000000009</v>
      </c>
      <c r="AF439" s="106">
        <f t="shared" si="445"/>
        <v>24.984375</v>
      </c>
      <c r="AG439" s="104">
        <f t="shared" si="459"/>
        <v>148</v>
      </c>
      <c r="AH439" s="104"/>
      <c r="AI439" s="104">
        <f>('Renewable Diesel'!H448*'RD Feedstock Breakdown'!AI$3*'Feedstock Conversion Rates'!B$6)/12-130-20+51-49</f>
        <v>0.51666666666667993</v>
      </c>
      <c r="AJ439" s="106">
        <f t="shared" si="413"/>
        <v>148.51666666666668</v>
      </c>
      <c r="AK439" s="104">
        <f>('Renewable Diesel'!J448*'RD Feedstock Breakdown'!AK$3*'Feedstock Conversion Rates'!B$4)/12</f>
        <v>95.8125</v>
      </c>
      <c r="AL439" s="106">
        <f t="shared" si="415"/>
        <v>95.8125</v>
      </c>
      <c r="AM439" s="104">
        <f>('Renewable Diesel'!K448*'RD Feedstock Breakdown'!AM$3*'Feedstock Conversion Rates'!B$4)/12+5+15-10+10</f>
        <v>78.59375</v>
      </c>
      <c r="AN439" s="104">
        <f>('Renewable Diesel'!K448*'RD Feedstock Breakdown'!AN$3*'Feedstock Conversion Rates'!B$6)/12-5-15+10-10</f>
        <v>4.4270833333333321</v>
      </c>
      <c r="AO439" s="106">
        <f t="shared" si="431"/>
        <v>83.020833333333329</v>
      </c>
      <c r="AP439" s="104">
        <f>('Renewable Diesel'!L448*'RD Feedstock Breakdown'!AP$3*'Feedstock Conversion Rates'!B$4)/12+15-10+15</f>
        <v>78.59375</v>
      </c>
      <c r="AQ439" s="104">
        <f>('Renewable Diesel'!L448*'RD Feedstock Breakdown'!AQ$3*'Feedstock Conversion Rates'!B$6)/12-15+10-15</f>
        <v>4.4270833333333321</v>
      </c>
      <c r="AR439" s="106">
        <f t="shared" si="420"/>
        <v>83.020833333333329</v>
      </c>
      <c r="AS439" s="104">
        <f>('Renewable Diesel'!M448*'RD Feedstock Breakdown'!AS$3*'Feedstock Conversion Rates'!B$4)/12</f>
        <v>456.25</v>
      </c>
      <c r="AT439" s="104">
        <f>('Renewable Diesel'!M448*'RD Feedstock Breakdown'!AT$3*'Feedstock Conversion Rates'!B$5)/12</f>
        <v>0</v>
      </c>
      <c r="AU439" s="106">
        <f t="shared" si="448"/>
        <v>456.25</v>
      </c>
      <c r="AV439" s="104">
        <f>'Renewable Diesel'!N448*'RD Feedstock Breakdown'!$AV$3*'Feedstock Conversion Rates'!$B$4/12-15-10+25+25-22+25</f>
        <v>106.74999999999999</v>
      </c>
      <c r="AW439" s="104">
        <f>'Renewable Diesel'!N448*'RD Feedstock Breakdown'!$AW$3*'Feedstock Conversion Rates'!$B$7/12+15+10-25-25+22-25</f>
        <v>13.400000000000006</v>
      </c>
      <c r="AX439" s="106">
        <f t="shared" si="408"/>
        <v>120.14999999999999</v>
      </c>
      <c r="AY439" s="104">
        <f>('Renewable Diesel'!O448*'RD Feedstock Breakdown'!AY$3*'Feedstock Conversion Rates'!B$4)/12</f>
        <v>210.9375</v>
      </c>
      <c r="AZ439" s="104">
        <f>('Renewable Diesel'!O448*'RD Feedstock Breakdown'!AZ$3*'Feedstock Conversion Rates'!B$3)/12</f>
        <v>25.03125</v>
      </c>
      <c r="BA439" s="106">
        <f t="shared" si="458"/>
        <v>235.96875</v>
      </c>
      <c r="BB439" s="104">
        <f>('Renewable Diesel'!Q448*'RD Feedstock Breakdown'!BB$3*'Feedstock Conversion Rates'!B$4)/12</f>
        <v>11.156249999999998</v>
      </c>
      <c r="BC439" s="104">
        <f>('Renewable Diesel'!Q448*'RD Feedstock Breakdown'!BC$3*'Feedstock Conversion Rates'!B$3)/12</f>
        <v>1.4017500000000001</v>
      </c>
      <c r="BD439" s="104">
        <f>('Renewable Diesel'!Q448*'RD Feedstock Breakdown'!BD$3*'Feedstock Conversion Rates'!B$6)/12</f>
        <v>0.8207500000000002</v>
      </c>
      <c r="BE439" s="106">
        <f t="shared" si="440"/>
        <v>13.378749999999998</v>
      </c>
      <c r="BF439" s="104">
        <f>('Renewable Diesel'!R448*'RD Feedstock Breakdown'!BF$3*'Feedstock Conversion Rates'!B$4)/12</f>
        <v>62.5</v>
      </c>
      <c r="BG439" s="106">
        <f t="shared" si="425"/>
        <v>62.5</v>
      </c>
      <c r="BH439" s="104">
        <f>('Renewable Diesel'!T448*'RD Feedstock Breakdown'!BH$3*'Feedstock Conversion Rates'!B$7)/12</f>
        <v>27.599999999999998</v>
      </c>
      <c r="BI439" s="106">
        <f t="shared" si="412"/>
        <v>27.599999999999998</v>
      </c>
      <c r="BJ439" s="104">
        <f>('Renewable Diesel'!W448*'RD Feedstock Breakdown'!BJ$3*'Feedstock Conversion Rates'!B$4)/12</f>
        <v>7.5</v>
      </c>
      <c r="BK439" s="104">
        <f>('Renewable Diesel'!W448*'RD Feedstock Breakdown'!BK$3*'Feedstock Conversion Rates'!B$3)/12</f>
        <v>1.335</v>
      </c>
      <c r="BL439" s="104">
        <f>('Renewable Diesel'!W448*'RD Feedstock Breakdown'!BL$3*'Feedstock Conversion Rates'!B$6)/12</f>
        <v>3.1266666666666669</v>
      </c>
      <c r="BM439" s="104">
        <f>('Renewable Diesel'!W448*'RD Feedstock Breakdown'!BM$3*'Feedstock Conversion Rates'!B$7)/12</f>
        <v>1.5333333333333332</v>
      </c>
      <c r="BN439" s="106">
        <f t="shared" si="452"/>
        <v>13.495000000000001</v>
      </c>
      <c r="BO439" s="104">
        <f>('Renewable Diesel'!P448*'Feedstock Conversion Rates'!B$4)/12</f>
        <v>31.25</v>
      </c>
      <c r="BP439" s="106">
        <f t="shared" si="446"/>
        <v>31.25</v>
      </c>
      <c r="BQ439" s="104">
        <f>('Renewable Diesel'!$S448*'RD Feedstock Breakdown'!BQ$3*'Feedstock Conversion Rates'!B$4)/12+10+15-15</f>
        <v>38.125</v>
      </c>
      <c r="BR439" s="104">
        <f>('Renewable Diesel'!$S448*'RD Feedstock Breakdown'!BR$3*'Feedstock Conversion Rates'!B$7)/12-10-15+15</f>
        <v>1.5</v>
      </c>
      <c r="BS439" s="106">
        <f t="shared" si="460"/>
        <v>39.625</v>
      </c>
      <c r="BT439" s="106"/>
      <c r="BU439" s="104">
        <f>('Renewable Diesel'!Y448*'Feedstock Conversion Rates'!B$7)/12</f>
        <v>2.6833333333333331</v>
      </c>
      <c r="BV439" s="106">
        <f t="shared" si="442"/>
        <v>2.6833333333333331</v>
      </c>
      <c r="BW439" s="104">
        <f>('Renewable Diesel'!$Z448*'RD Feedstock Breakdown'!BW$3*'Feedstock Conversion Rates'!$B$4)/12-250+180</f>
        <v>1.875</v>
      </c>
      <c r="BX439" s="104">
        <f>('Renewable Diesel'!$Z448*'RD Feedstock Breakdown'!BX$3*'Feedstock Conversion Rates'!$B$5)/12</f>
        <v>7.2354166666666666</v>
      </c>
      <c r="BY439" s="104">
        <f>('Renewable Diesel'!$Z448*'RD Feedstock Breakdown'!BY$3*'Feedstock Conversion Rates'!$B$7)/12</f>
        <v>61.716666666666661</v>
      </c>
      <c r="BZ439" s="104">
        <f>('Renewable Diesel'!$Z448*'RD Feedstock Breakdown'!BZ$3*'Feedstock Conversion Rates'!$B$3)/12+250-180</f>
        <v>85.35250000000002</v>
      </c>
      <c r="CA439" s="106">
        <f t="shared" si="464"/>
        <v>156.17958333333334</v>
      </c>
      <c r="CB439" s="104">
        <f>('Renewable Diesel'!AA448*'Feedstock Conversion Rates'!B$4)/12</f>
        <v>191.25</v>
      </c>
      <c r="CC439" s="106">
        <f t="shared" si="454"/>
        <v>191.25</v>
      </c>
      <c r="CD439" s="104">
        <f>('Renewable Diesel'!$AB448*'RD Feedstock Breakdown'!CD$3*'Feedstock Conversion Rates'!$B$6)/12-15-5</f>
        <v>12.830000000000005</v>
      </c>
      <c r="CE439" s="104">
        <f>('Renewable Diesel'!$AB448*'RD Feedstock Breakdown'!CE$3*'Feedstock Conversion Rates'!$B$4)/12+15+5</f>
        <v>31.25</v>
      </c>
      <c r="CF439" s="106">
        <f t="shared" si="450"/>
        <v>44.080000000000005</v>
      </c>
      <c r="CG439" s="104">
        <f>('Renewable Diesel'!AD448*'Feedstock Conversion Rates'!B$4)/12</f>
        <v>112.5</v>
      </c>
      <c r="CH439" s="106">
        <f t="shared" si="439"/>
        <v>112.5</v>
      </c>
      <c r="CI439" s="104">
        <f>('Renewable Diesel'!$AE448*'RD Feedstock Breakdown'!CI$3*'Feedstock Conversion Rates'!$B$5)/12</f>
        <v>0.34604166666666664</v>
      </c>
      <c r="CJ439" s="104">
        <f>('Renewable Diesel'!$AE448*'RD Feedstock Breakdown'!CJ$3*'Feedstock Conversion Rates'!$B$4)/12</f>
        <v>0.34375</v>
      </c>
      <c r="CK439" s="106">
        <f t="shared" si="447"/>
        <v>0.68979166666666658</v>
      </c>
      <c r="CL439" s="104">
        <f>(((CL$3*'Renewable Diesel'!$AF448)*'Feedstock Conversion Rates'!$B$3)/12)</f>
        <v>91.78125</v>
      </c>
      <c r="CM439" s="104">
        <f>(((CM$3*'Renewable Diesel'!$AF448)*'Feedstock Conversion Rates'!$B$6)/12)</f>
        <v>53.739583333333336</v>
      </c>
      <c r="CN439" s="104">
        <f>(((CN$3*'Renewable Diesel'!$AF448)*'Feedstock Conversion Rates'!$B$4)/12)</f>
        <v>42.96875</v>
      </c>
      <c r="CO439" s="106">
        <f t="shared" si="441"/>
        <v>188.48958333333334</v>
      </c>
      <c r="CP439" s="104">
        <f>('Renewable Diesel'!$AG448*'RD Feedstock Breakdown'!CP$3*'Feedstock Conversion Rates'!$B$3)/12</f>
        <v>6.0075000000000003</v>
      </c>
      <c r="CQ439" s="104">
        <f>('Renewable Diesel'!$AG448*'RD Feedstock Breakdown'!CQ$3*'Feedstock Conversion Rates'!$B$6)/12</f>
        <v>3.5175000000000001</v>
      </c>
      <c r="CR439" s="104">
        <f>('Renewable Diesel'!$AG448*'RD Feedstock Breakdown'!CR$3*'Feedstock Conversion Rates'!$B$4)/12</f>
        <v>2.8125</v>
      </c>
      <c r="CS439" s="106">
        <f t="shared" si="467"/>
        <v>12.3375</v>
      </c>
      <c r="CT439" s="104">
        <f>('Renewable Diesel'!AI448*'Feedstock Conversion Rates'!$B$4*'RD Feedstock Breakdown'!$CT$3)/12</f>
        <v>29.375</v>
      </c>
      <c r="CU439" s="106">
        <f t="shared" si="443"/>
        <v>29.375</v>
      </c>
      <c r="CV439" s="104">
        <f>('Renewable Diesel'!AN448*'Feedstock Conversion Rates'!$B$3*'RD Feedstock Breakdown'!$CV$3)/12</f>
        <v>0.50062499999999999</v>
      </c>
      <c r="CW439" s="106">
        <f t="shared" si="419"/>
        <v>0.50062499999999999</v>
      </c>
      <c r="CX439" s="104">
        <f>('Renewable Diesel'!AO448*'RD Feedstock Breakdown'!$CX$3*'Feedstock Conversion Rates'!$B$3)/12</f>
        <v>6.3412499999999996</v>
      </c>
      <c r="CY439" s="104">
        <f>('Renewable Diesel'!AO448*'RD Feedstock Breakdown'!$CY$3*'Feedstock Conversion Rates'!$B$6)/12</f>
        <v>7.4258333333333342</v>
      </c>
      <c r="CZ439" s="106">
        <f t="shared" si="468"/>
        <v>13.767083333333334</v>
      </c>
      <c r="DA439" s="104">
        <f>('Renewable Diesel'!$AP448*'RD Feedstock Breakdown'!DA$3*'Feedstock Conversion Rates'!$B$3)/12</f>
        <v>6.3412499999999996</v>
      </c>
      <c r="DB439" s="104">
        <f>('Renewable Diesel'!$AP448*'RD Feedstock Breakdown'!DB$3*'Feedstock Conversion Rates'!$B$8)/12</f>
        <v>7.421875</v>
      </c>
      <c r="DC439" s="106">
        <f t="shared" si="422"/>
        <v>13.763124999999999</v>
      </c>
      <c r="DD439" s="104">
        <f>('Renewable Diesel'!AQ448*$DD$3*'Feedstock Conversion Rates'!$B$14)/12</f>
        <v>3.1041666666666665</v>
      </c>
      <c r="DE439" s="106">
        <f t="shared" si="423"/>
        <v>3.1041666666666665</v>
      </c>
      <c r="DF439" s="104">
        <f>('Renewable Diesel'!AR448*'Feedstock Conversion Rates'!$B$4*$DF$3)/12</f>
        <v>75</v>
      </c>
      <c r="DG439" s="106">
        <f t="shared" si="469"/>
        <v>75</v>
      </c>
      <c r="DH439" s="104">
        <f>('Renewable Diesel'!AS448*'Feedstock Conversion Rates'!$B$4*$DH$3)/12</f>
        <v>75</v>
      </c>
      <c r="DI439" s="106">
        <f t="shared" si="411"/>
        <v>75</v>
      </c>
      <c r="DJ439" s="104">
        <f>('Renewable Diesel'!AT448*'Feedstock Conversion Rates'!$B$4*0.25)/12</f>
        <v>8.59375</v>
      </c>
      <c r="DK439" s="104">
        <f>('Renewable Diesel'!$AT448*'RD Feedstock Breakdown'!DK$3*'Feedstock Conversion Rates'!$B$3)/12*0.5</f>
        <v>9.1781249999999996</v>
      </c>
      <c r="DL439" s="104">
        <f>('Renewable Diesel'!$AT448*'RD Feedstock Breakdown'!$DL$3*'Feedstock Conversion Rates'!$B$6)/12</f>
        <v>10.747916666666669</v>
      </c>
      <c r="DM439" s="104">
        <f>('Renewable Diesel'!$AT448*'RD Feedstock Breakdown'!$DM$3*'Feedstock Conversion Rates'!$B$8)/12</f>
        <v>10.7421875</v>
      </c>
      <c r="DN439" s="106">
        <f t="shared" si="453"/>
        <v>39.26197916666667</v>
      </c>
      <c r="DP439" s="104">
        <f t="shared" si="426"/>
        <v>103.22025000000001</v>
      </c>
      <c r="DQ439" s="104">
        <f t="shared" si="427"/>
        <v>349.11776750000007</v>
      </c>
      <c r="DR439" s="104">
        <f t="shared" si="432"/>
        <v>1891.953125</v>
      </c>
      <c r="DS439" s="104">
        <f t="shared" si="444"/>
        <v>228.90125</v>
      </c>
      <c r="DT439" s="104">
        <f t="shared" si="428"/>
        <v>243.03923333333344</v>
      </c>
      <c r="DU439" s="104">
        <f t="shared" si="429"/>
        <v>402.90610000000009</v>
      </c>
      <c r="DV439" s="104">
        <f t="shared" si="433"/>
        <v>78.75</v>
      </c>
      <c r="DW439" s="104">
        <f t="shared" si="430"/>
        <v>3</v>
      </c>
      <c r="DX439" s="106">
        <f t="shared" si="434"/>
        <v>3300.8877258333337</v>
      </c>
      <c r="DY439" s="109">
        <f t="shared" si="421"/>
        <v>-5.631051180898794E-13</v>
      </c>
      <c r="EA439" s="110">
        <f t="shared" si="472"/>
        <v>3.1270451640078516E-2</v>
      </c>
      <c r="EB439" s="110">
        <f t="shared" si="470"/>
        <v>0.10576481131658687</v>
      </c>
      <c r="EC439" s="110">
        <f t="shared" si="470"/>
        <v>0.57316494293133291</v>
      </c>
      <c r="ED439" s="110">
        <f t="shared" si="470"/>
        <v>6.9345360706629972E-2</v>
      </c>
      <c r="EE439" s="110">
        <f t="shared" si="470"/>
        <v>7.3628445896921982E-2</v>
      </c>
      <c r="EF439" s="110">
        <f t="shared" si="470"/>
        <v>0.1220599225010852</v>
      </c>
      <c r="EG439" s="110">
        <f t="shared" si="470"/>
        <v>2.3857218585075921E-2</v>
      </c>
      <c r="EH439" s="111">
        <f t="shared" si="435"/>
        <v>9.0884642228860647E-4</v>
      </c>
      <c r="EI439" s="110">
        <f t="shared" si="409"/>
        <v>0.99909115357771139</v>
      </c>
      <c r="EK439" s="132">
        <f>(EA439*'Renewable Diesel'!BF448*'Feedstock Conversion Rates'!B$2)+FB439</f>
        <v>395.44961955364033</v>
      </c>
      <c r="EL439" s="132">
        <f>(EB439*'Renewable Diesel'!BF448*'Feedstock Conversion Rates'!B$3)+FC439</f>
        <v>1260.4098763471691</v>
      </c>
      <c r="EM439" s="132">
        <f>(EC439*'Renewable Diesel'!BF448*'Feedstock Conversion Rates'!B$4)+FD439</f>
        <v>6395.5657084606846</v>
      </c>
      <c r="EN439" s="132">
        <f>(ED439*'Renewable Diesel'!BF448*'Feedstock Conversion Rates'!B$5)+FE439</f>
        <v>778.9372010425883</v>
      </c>
      <c r="EO439" s="132">
        <f>(EE439*'Renewable Diesel'!BF448*'Feedstock Conversion Rates'!B$6)+FF439</f>
        <v>1027.5111768801871</v>
      </c>
      <c r="EP439" s="132">
        <f>(EF439*'Renewable Diesel'!BF448*'Feedstock Conversion Rates'!B$7)+FG439</f>
        <v>1670.7020278764121</v>
      </c>
      <c r="EQ439" s="132">
        <f>(EG439*'Renewable Diesel'!BF448*'Feedstock Conversion Rates'!B$8)+FH439</f>
        <v>332.75850818270067</v>
      </c>
      <c r="ER439" s="132">
        <f>(EH439*'Renewable Diesel'!BF448*'Feedstock Conversion Rates'!B$9)+FI439</f>
        <v>12.507494402803733</v>
      </c>
      <c r="ES439" s="132">
        <f t="shared" si="436"/>
        <v>11873.841612746186</v>
      </c>
      <c r="ET439" s="133">
        <f>ES439/'Renewable Diesel'!BF448</f>
        <v>14.336728949837196</v>
      </c>
      <c r="EW439" s="73">
        <f t="shared" si="461"/>
        <v>10355.126752067054</v>
      </c>
      <c r="EX439" s="73">
        <f t="shared" si="462"/>
        <v>6782.6647416251326</v>
      </c>
      <c r="EY439" s="92">
        <f t="shared" si="410"/>
        <v>0.87209574540316914</v>
      </c>
      <c r="EZ439" s="92">
        <f t="shared" si="410"/>
        <v>0.5712274900436739</v>
      </c>
      <c r="FB439" s="102">
        <f>IF('Renewable Diesel'!$BG448&lt;1,0,(((('Renewable Diesel'!$BG448-1)*'Renewable Diesel'!$BF448)*'RD Feedstock Breakdown'!EA439)*'Feedstock Conversion Rates'!$B$2))</f>
        <v>175.31200479674303</v>
      </c>
      <c r="FC439" s="102">
        <f>IF('Renewable Diesel'!$BG448&lt;1,0,(((('Renewable Diesel'!$BG448-1)*'Renewable Diesel'!$BF448)*'RD Feedstock Breakdown'!EB439)*'Feedstock Conversion Rates'!$B$3))</f>
        <v>558.76898437138243</v>
      </c>
      <c r="FD439" s="102">
        <f>IF('Renewable Diesel'!$BG448&lt;1,0,(((('Renewable Diesel'!$BG448-1)*'Renewable Diesel'!$BF448)*'RD Feedstock Breakdown'!EC439)*'Feedstock Conversion Rates'!$B$4))</f>
        <v>2835.3028823876721</v>
      </c>
      <c r="FE439" s="102">
        <f>IF('Renewable Diesel'!$BG448&lt;1,0,(((('Renewable Diesel'!$BG448-1)*'Renewable Diesel'!$BF448)*'RD Feedstock Breakdown'!ED439)*'Feedstock Conversion Rates'!$B$5))</f>
        <v>345.32096017610831</v>
      </c>
      <c r="FF439" s="102">
        <f>IF('Renewable Diesel'!$BG448&lt;1,0,(((('Renewable Diesel'!$BG448-1)*'Renewable Diesel'!$BF448)*'RD Feedstock Breakdown'!EE439)*'Feedstock Conversion Rates'!$B$6))</f>
        <v>455.51957939231801</v>
      </c>
      <c r="FG439" s="102">
        <f>IF('Renewable Diesel'!$BG448&lt;1,0,(((('Renewable Diesel'!$BG448-1)*'Renewable Diesel'!$BF448)*'RD Feedstock Breakdown'!EF439)*'Feedstock Conversion Rates'!$B$7))</f>
        <v>740.6610284657728</v>
      </c>
      <c r="FH439" s="102">
        <f>IF('Renewable Diesel'!$BG448&lt;1,0,(((('Renewable Diesel'!$BG448-1)*'Renewable Diesel'!$BF448)*'RD Feedstock Breakdown'!EG439)*'Feedstock Conversion Rates'!$B$8))</f>
        <v>147.51957847001967</v>
      </c>
      <c r="FI439" s="102">
        <f>IF('Renewable Diesel'!$BG448&lt;1,0,(((('Renewable Diesel'!$BG448-1)*'Renewable Diesel'!$BF448)*'RD Feedstock Breakdown'!EH439)*'Feedstock Conversion Rates'!$B$9))</f>
        <v>5.544862885984231</v>
      </c>
      <c r="FJ439" s="102">
        <f t="shared" si="463"/>
        <v>5263.9498809460001</v>
      </c>
      <c r="GD439" s="91">
        <f>'Renewable Diesel'!BB448*0.32</f>
        <v>0</v>
      </c>
      <c r="GE439" s="91">
        <f>'Renewable Diesel'!BC448</f>
        <v>399.08300098258508</v>
      </c>
      <c r="GF439" s="91">
        <f>'Renewable Diesel'!BD448</f>
        <v>0</v>
      </c>
      <c r="GG439" s="91">
        <f t="shared" si="451"/>
        <v>399.08300098258508</v>
      </c>
      <c r="GH439" s="124">
        <v>1</v>
      </c>
      <c r="GI439" s="102">
        <f>$GG439*EA439*'Feedstock Conversion Rates'!$B$2</f>
        <v>106.07579830212833</v>
      </c>
      <c r="GJ439" s="102">
        <f>$GG439*EB439*'Feedstock Conversion Rates'!$B$3</f>
        <v>338.09359577162871</v>
      </c>
      <c r="GK439" s="102">
        <f>$GG439*EC439*'Feedstock Conversion Rates'!$B$4</f>
        <v>1715.5528911228632</v>
      </c>
      <c r="GL439" s="102">
        <f>$GG439*ED439*'Feedstock Conversion Rates'!$B$5</f>
        <v>208.94288764541403</v>
      </c>
      <c r="GM439" s="102">
        <f>$GG439*EE439*'Feedstock Conversion Rates'!$B$6</f>
        <v>275.6206175516142</v>
      </c>
      <c r="GN439" s="102">
        <f>$GG439*EF439*'Feedstock Conversion Rates'!$B$7</f>
        <v>448.15076957720055</v>
      </c>
      <c r="GO439" s="102">
        <f>$GG439*EG439*'Feedstock Conversion Rates'!$B$8</f>
        <v>89.259472387777507</v>
      </c>
      <c r="GP439" s="102">
        <f>$GG439*EH439*'Feedstock Conversion Rates'!B$9</f>
        <v>3.3550227081628115</v>
      </c>
      <c r="GQ439" s="102">
        <f t="shared" si="437"/>
        <v>3185.0510550667891</v>
      </c>
      <c r="GT439" s="103">
        <f t="shared" si="418"/>
        <v>3.3304269372191886E-2</v>
      </c>
      <c r="GU439" s="103">
        <f t="shared" si="418"/>
        <v>0.10615013383656385</v>
      </c>
      <c r="GV439" s="103">
        <f t="shared" si="418"/>
        <v>0.53862649654979822</v>
      </c>
      <c r="GW439" s="103">
        <f t="shared" si="418"/>
        <v>6.5601110950176761E-2</v>
      </c>
      <c r="GX439" s="103">
        <f t="shared" si="465"/>
        <v>8.6535698419388282E-2</v>
      </c>
      <c r="GY439" s="103">
        <f t="shared" si="465"/>
        <v>0.14070442257566981</v>
      </c>
      <c r="GZ439" s="103">
        <f t="shared" si="465"/>
        <v>2.8024502855545516E-2</v>
      </c>
      <c r="HA439" s="103">
        <f t="shared" si="465"/>
        <v>1.0533654406655836E-3</v>
      </c>
    </row>
    <row r="440" spans="1:209" x14ac:dyDescent="0.25">
      <c r="A440" s="96">
        <v>53813</v>
      </c>
      <c r="B440" s="104">
        <f t="shared" ref="B440:B495" si="473">115.75+145+100+235+31.5-21-287-20-28-32-70-39-47+40+20-3-10-60-25-1</f>
        <v>44.25</v>
      </c>
      <c r="C440" s="104">
        <f t="shared" si="466"/>
        <v>49</v>
      </c>
      <c r="D440" s="104">
        <f t="shared" ref="D440:D495" si="474">1+1</f>
        <v>2</v>
      </c>
      <c r="E440" s="104">
        <f>('Renewable Diesel'!B449*E$3*'Feedstock Conversion Rates'!$B$2)/12+26+13-100+27.5+39</f>
        <v>95.43</v>
      </c>
      <c r="F440" s="104">
        <f>('Renewable Diesel'!B449*'RD Feedstock Breakdown'!F$3*'Feedstock Conversion Rates'!B$8)/12+77+23-10-12-115.75+24+8</f>
        <v>48.15625</v>
      </c>
      <c r="G440" s="104">
        <f>('Renewable Diesel'!B449*'RD Feedstock Breakdown'!G$3*'Feedstock Conversion Rates'!B$7)/12+116.75-39-57.5-145-31.5+32+70-40+10+60</f>
        <v>151.90700000000004</v>
      </c>
      <c r="H440" s="104">
        <f>('Renewable Diesel'!B449*'RD Feedstock Breakdown'!H$3*'Feedstock Conversion Rates'!B$3)/12+67+10+12+3-235+20+47-20+25</f>
        <v>105.40022499999998</v>
      </c>
      <c r="I440" s="106">
        <f t="shared" si="449"/>
        <v>496.14347500000002</v>
      </c>
      <c r="J440" s="104">
        <f t="shared" si="417"/>
        <v>4</v>
      </c>
      <c r="K440" s="104"/>
      <c r="L440" s="104">
        <v>1</v>
      </c>
      <c r="M440" s="104">
        <f>('Renewable Diesel'!C449*'RD Feedstock Breakdown'!M$3*'Feedstock Conversion Rates'!B$2)/12</f>
        <v>7.7902500000000003</v>
      </c>
      <c r="N440" s="104">
        <f>('Renewable Diesel'!C449*'RD Feedstock Breakdown'!N$3*'Feedstock Conversion Rates'!B$8)/12</f>
        <v>3.671875</v>
      </c>
      <c r="O440" s="104">
        <f>('Renewable Diesel'!C449*'RD Feedstock Breakdown'!O$3*'Feedstock Conversion Rates'!B$7)/12</f>
        <v>11.9991</v>
      </c>
      <c r="P440" s="104">
        <f>('Renewable Diesel'!C449*'RD Feedstock Breakdown'!P$3*'Feedstock Conversion Rates'!B$3)/12</f>
        <v>10.4470425</v>
      </c>
      <c r="Q440" s="106">
        <f t="shared" si="455"/>
        <v>38.908267500000001</v>
      </c>
      <c r="R440" s="104">
        <f>('Renewable Diesel'!D449*'RD Feedstock Breakdown'!R$3*'Feedstock Conversion Rates'!B$7)/12</f>
        <v>2.2999999999999998</v>
      </c>
      <c r="S440" s="106">
        <f t="shared" si="414"/>
        <v>2.2999999999999998</v>
      </c>
      <c r="T440" s="104">
        <f t="shared" si="456"/>
        <v>0.82499999999999929</v>
      </c>
      <c r="U440" s="104"/>
      <c r="V440" s="104">
        <f>('Renewable Diesel'!E449*'RD Feedstock Breakdown'!V$3*'Feedstock Conversion Rates'!B$6)/12-20+25</f>
        <v>49.250150000000012</v>
      </c>
      <c r="W440" s="104">
        <f>('Renewable Diesel'!E449*'RD Feedstock Breakdown'!W$3*'Feedstock Conversion Rates'!B$8)/12-6</f>
        <v>16.1796875</v>
      </c>
      <c r="X440" s="106">
        <f t="shared" si="438"/>
        <v>66.254837500000008</v>
      </c>
      <c r="Y440" s="104">
        <f t="shared" si="457"/>
        <v>98</v>
      </c>
      <c r="Z440" s="104">
        <f>('Renewable Diesel'!F449*'RD Feedstock Breakdown'!Z$3*'Feedstock Conversion Rates'!B$6)/12-142+15+5+20+5+15</f>
        <v>77.460000000000008</v>
      </c>
      <c r="AA440" s="104">
        <f>('Renewable Diesel'!F449*'RD Feedstock Breakdown'!AA$3*'Feedstock Conversion Rates'!B$7)/12+24</f>
        <v>128.26666666666665</v>
      </c>
      <c r="AB440" s="106">
        <f t="shared" si="471"/>
        <v>303.72666666666669</v>
      </c>
      <c r="AC440" s="104">
        <f>('Renewable Diesel'!G449*'RD Feedstock Breakdown'!AC$3*'Feedstock Conversion Rates'!B$5)/12</f>
        <v>11.796875</v>
      </c>
      <c r="AD440" s="104">
        <f>('Renewable Diesel'!G449*'RD Feedstock Breakdown'!AD$3*'Feedstock Conversion Rates'!B$4)/12</f>
        <v>5.859375</v>
      </c>
      <c r="AE440" s="104">
        <f>('Renewable Diesel'!G449*'RD Feedstock Breakdown'!AE$3*'Feedstock Conversion Rates'!B$6)/12</f>
        <v>7.3281250000000009</v>
      </c>
      <c r="AF440" s="106">
        <f t="shared" si="445"/>
        <v>24.984375</v>
      </c>
      <c r="AG440" s="104">
        <f t="shared" si="459"/>
        <v>148</v>
      </c>
      <c r="AH440" s="104"/>
      <c r="AI440" s="104">
        <f>('Renewable Diesel'!H449*'RD Feedstock Breakdown'!AI$3*'Feedstock Conversion Rates'!B$6)/12-130-20+51-49</f>
        <v>0.51666666666667993</v>
      </c>
      <c r="AJ440" s="106">
        <f t="shared" si="413"/>
        <v>148.51666666666668</v>
      </c>
      <c r="AK440" s="104">
        <f>('Renewable Diesel'!J449*'RD Feedstock Breakdown'!AK$3*'Feedstock Conversion Rates'!B$4)/12</f>
        <v>95.8125</v>
      </c>
      <c r="AL440" s="106">
        <f t="shared" si="415"/>
        <v>95.8125</v>
      </c>
      <c r="AM440" s="104">
        <f>('Renewable Diesel'!K449*'RD Feedstock Breakdown'!AM$3*'Feedstock Conversion Rates'!B$4)/12+5+15-10+10</f>
        <v>78.59375</v>
      </c>
      <c r="AN440" s="104">
        <f>('Renewable Diesel'!K449*'RD Feedstock Breakdown'!AN$3*'Feedstock Conversion Rates'!B$6)/12-5-15+10-10</f>
        <v>4.4270833333333321</v>
      </c>
      <c r="AO440" s="106">
        <f t="shared" si="431"/>
        <v>83.020833333333329</v>
      </c>
      <c r="AP440" s="104">
        <f>('Renewable Diesel'!L449*'RD Feedstock Breakdown'!AP$3*'Feedstock Conversion Rates'!B$4)/12+15-10+15</f>
        <v>78.59375</v>
      </c>
      <c r="AQ440" s="104">
        <f>('Renewable Diesel'!L449*'RD Feedstock Breakdown'!AQ$3*'Feedstock Conversion Rates'!B$6)/12-15+10-15</f>
        <v>4.4270833333333321</v>
      </c>
      <c r="AR440" s="106">
        <f t="shared" si="420"/>
        <v>83.020833333333329</v>
      </c>
      <c r="AS440" s="104">
        <f>('Renewable Diesel'!M449*'RD Feedstock Breakdown'!AS$3*'Feedstock Conversion Rates'!B$4)/12</f>
        <v>456.25</v>
      </c>
      <c r="AT440" s="104">
        <f>('Renewable Diesel'!M449*'RD Feedstock Breakdown'!AT$3*'Feedstock Conversion Rates'!B$5)/12</f>
        <v>0</v>
      </c>
      <c r="AU440" s="106">
        <f t="shared" si="448"/>
        <v>456.25</v>
      </c>
      <c r="AV440" s="104">
        <f>'Renewable Diesel'!N449*'RD Feedstock Breakdown'!$AV$3*'Feedstock Conversion Rates'!$B$4/12-15-10+25+25-22+25</f>
        <v>106.74999999999999</v>
      </c>
      <c r="AW440" s="104">
        <f>'Renewable Diesel'!N449*'RD Feedstock Breakdown'!$AW$3*'Feedstock Conversion Rates'!$B$7/12+15+10-25-25+22-25</f>
        <v>13.400000000000006</v>
      </c>
      <c r="AX440" s="106">
        <f t="shared" ref="AX440:AX495" si="475">SUM(AV440:AW440)</f>
        <v>120.14999999999999</v>
      </c>
      <c r="AY440" s="104">
        <f>('Renewable Diesel'!O449*'RD Feedstock Breakdown'!AY$3*'Feedstock Conversion Rates'!B$4)/12</f>
        <v>210.9375</v>
      </c>
      <c r="AZ440" s="104">
        <f>('Renewable Diesel'!O449*'RD Feedstock Breakdown'!AZ$3*'Feedstock Conversion Rates'!B$3)/12</f>
        <v>25.03125</v>
      </c>
      <c r="BA440" s="106">
        <f t="shared" si="458"/>
        <v>235.96875</v>
      </c>
      <c r="BB440" s="104">
        <f>('Renewable Diesel'!Q449*'RD Feedstock Breakdown'!BB$3*'Feedstock Conversion Rates'!B$4)/12</f>
        <v>11.156249999999998</v>
      </c>
      <c r="BC440" s="104">
        <f>('Renewable Diesel'!Q449*'RD Feedstock Breakdown'!BC$3*'Feedstock Conversion Rates'!B$3)/12</f>
        <v>1.4017500000000001</v>
      </c>
      <c r="BD440" s="104">
        <f>('Renewable Diesel'!Q449*'RD Feedstock Breakdown'!BD$3*'Feedstock Conversion Rates'!B$6)/12</f>
        <v>0.8207500000000002</v>
      </c>
      <c r="BE440" s="106">
        <f t="shared" si="440"/>
        <v>13.378749999999998</v>
      </c>
      <c r="BF440" s="104">
        <f>('Renewable Diesel'!R449*'RD Feedstock Breakdown'!BF$3*'Feedstock Conversion Rates'!B$4)/12</f>
        <v>62.5</v>
      </c>
      <c r="BG440" s="106">
        <f t="shared" si="425"/>
        <v>62.5</v>
      </c>
      <c r="BH440" s="104">
        <f>('Renewable Diesel'!T449*'RD Feedstock Breakdown'!BH$3*'Feedstock Conversion Rates'!B$7)/12</f>
        <v>27.599999999999998</v>
      </c>
      <c r="BI440" s="106">
        <f t="shared" si="412"/>
        <v>27.599999999999998</v>
      </c>
      <c r="BJ440" s="104">
        <f>('Renewable Diesel'!W449*'RD Feedstock Breakdown'!BJ$3*'Feedstock Conversion Rates'!B$4)/12</f>
        <v>7.5</v>
      </c>
      <c r="BK440" s="104">
        <f>('Renewable Diesel'!W449*'RD Feedstock Breakdown'!BK$3*'Feedstock Conversion Rates'!B$3)/12</f>
        <v>1.335</v>
      </c>
      <c r="BL440" s="104">
        <f>('Renewable Diesel'!W449*'RD Feedstock Breakdown'!BL$3*'Feedstock Conversion Rates'!B$6)/12</f>
        <v>3.1266666666666669</v>
      </c>
      <c r="BM440" s="104">
        <f>('Renewable Diesel'!W449*'RD Feedstock Breakdown'!BM$3*'Feedstock Conversion Rates'!B$7)/12</f>
        <v>1.5333333333333332</v>
      </c>
      <c r="BN440" s="106">
        <f t="shared" si="452"/>
        <v>13.495000000000001</v>
      </c>
      <c r="BO440" s="104">
        <f>('Renewable Diesel'!P449*'Feedstock Conversion Rates'!B$4)/12</f>
        <v>31.25</v>
      </c>
      <c r="BP440" s="106">
        <f t="shared" si="446"/>
        <v>31.25</v>
      </c>
      <c r="BQ440" s="104">
        <f>('Renewable Diesel'!$S449*'RD Feedstock Breakdown'!BQ$3*'Feedstock Conversion Rates'!B$4)/12+10+15-15</f>
        <v>38.125</v>
      </c>
      <c r="BR440" s="104">
        <f>('Renewable Diesel'!$S449*'RD Feedstock Breakdown'!BR$3*'Feedstock Conversion Rates'!B$7)/12-10-15+15</f>
        <v>1.5</v>
      </c>
      <c r="BS440" s="106">
        <f t="shared" si="460"/>
        <v>39.625</v>
      </c>
      <c r="BT440" s="106"/>
      <c r="BU440" s="104">
        <f>('Renewable Diesel'!Y449*'Feedstock Conversion Rates'!B$7)/12</f>
        <v>2.6833333333333331</v>
      </c>
      <c r="BV440" s="106">
        <f t="shared" si="442"/>
        <v>2.6833333333333331</v>
      </c>
      <c r="BW440" s="104">
        <f>('Renewable Diesel'!$Z449*'RD Feedstock Breakdown'!BW$3*'Feedstock Conversion Rates'!$B$4)/12-250+180</f>
        <v>1.875</v>
      </c>
      <c r="BX440" s="104">
        <f>('Renewable Diesel'!$Z449*'RD Feedstock Breakdown'!BX$3*'Feedstock Conversion Rates'!$B$5)/12</f>
        <v>7.2354166666666666</v>
      </c>
      <c r="BY440" s="104">
        <f>('Renewable Diesel'!$Z449*'RD Feedstock Breakdown'!BY$3*'Feedstock Conversion Rates'!$B$7)/12</f>
        <v>61.716666666666661</v>
      </c>
      <c r="BZ440" s="104">
        <f>('Renewable Diesel'!$Z449*'RD Feedstock Breakdown'!BZ$3*'Feedstock Conversion Rates'!$B$3)/12+250-180</f>
        <v>85.35250000000002</v>
      </c>
      <c r="CA440" s="106">
        <f t="shared" si="464"/>
        <v>156.17958333333334</v>
      </c>
      <c r="CB440" s="104">
        <f>('Renewable Diesel'!AA449*'Feedstock Conversion Rates'!B$4)/12</f>
        <v>191.25</v>
      </c>
      <c r="CC440" s="106">
        <f t="shared" si="454"/>
        <v>191.25</v>
      </c>
      <c r="CD440" s="104">
        <f>('Renewable Diesel'!$AB449*'RD Feedstock Breakdown'!CD$3*'Feedstock Conversion Rates'!$B$6)/12-15-5</f>
        <v>12.830000000000005</v>
      </c>
      <c r="CE440" s="104">
        <f>('Renewable Diesel'!$AB449*'RD Feedstock Breakdown'!CE$3*'Feedstock Conversion Rates'!$B$4)/12+15+5</f>
        <v>31.25</v>
      </c>
      <c r="CF440" s="106">
        <f t="shared" si="450"/>
        <v>44.080000000000005</v>
      </c>
      <c r="CG440" s="104">
        <f>('Renewable Diesel'!AD449*'Feedstock Conversion Rates'!B$4)/12</f>
        <v>112.5</v>
      </c>
      <c r="CH440" s="106">
        <f t="shared" si="439"/>
        <v>112.5</v>
      </c>
      <c r="CI440" s="104">
        <f>('Renewable Diesel'!$AE449*'RD Feedstock Breakdown'!CI$3*'Feedstock Conversion Rates'!$B$5)/12</f>
        <v>0.34604166666666664</v>
      </c>
      <c r="CJ440" s="104">
        <f>('Renewable Diesel'!$AE449*'RD Feedstock Breakdown'!CJ$3*'Feedstock Conversion Rates'!$B$4)/12</f>
        <v>0.34375</v>
      </c>
      <c r="CK440" s="106">
        <f t="shared" si="447"/>
        <v>0.68979166666666658</v>
      </c>
      <c r="CL440" s="104">
        <f>(((CL$3*'Renewable Diesel'!$AF449)*'Feedstock Conversion Rates'!$B$3)/12)</f>
        <v>91.78125</v>
      </c>
      <c r="CM440" s="104">
        <f>(((CM$3*'Renewable Diesel'!$AF449)*'Feedstock Conversion Rates'!$B$6)/12)</f>
        <v>53.739583333333336</v>
      </c>
      <c r="CN440" s="104">
        <f>(((CN$3*'Renewable Diesel'!$AF449)*'Feedstock Conversion Rates'!$B$4)/12)</f>
        <v>42.96875</v>
      </c>
      <c r="CO440" s="106">
        <f t="shared" si="441"/>
        <v>188.48958333333334</v>
      </c>
      <c r="CP440" s="104">
        <f>('Renewable Diesel'!$AG449*'RD Feedstock Breakdown'!CP$3*'Feedstock Conversion Rates'!$B$3)/12</f>
        <v>6.0075000000000003</v>
      </c>
      <c r="CQ440" s="104">
        <f>('Renewable Diesel'!$AG449*'RD Feedstock Breakdown'!CQ$3*'Feedstock Conversion Rates'!$B$6)/12</f>
        <v>3.5175000000000001</v>
      </c>
      <c r="CR440" s="104">
        <f>('Renewable Diesel'!$AG449*'RD Feedstock Breakdown'!CR$3*'Feedstock Conversion Rates'!$B$4)/12</f>
        <v>2.8125</v>
      </c>
      <c r="CS440" s="106">
        <f t="shared" si="467"/>
        <v>12.3375</v>
      </c>
      <c r="CT440" s="104">
        <f>('Renewable Diesel'!AI449*'Feedstock Conversion Rates'!$B$4*'RD Feedstock Breakdown'!$CT$3)/12</f>
        <v>29.375</v>
      </c>
      <c r="CU440" s="106">
        <f t="shared" si="443"/>
        <v>29.375</v>
      </c>
      <c r="CV440" s="104">
        <f>('Renewable Diesel'!AN449*'Feedstock Conversion Rates'!$B$3*'RD Feedstock Breakdown'!$CV$3)/12</f>
        <v>0.50062499999999999</v>
      </c>
      <c r="CW440" s="106">
        <f t="shared" si="419"/>
        <v>0.50062499999999999</v>
      </c>
      <c r="CX440" s="104">
        <f>('Renewable Diesel'!AO449*'RD Feedstock Breakdown'!$CX$3*'Feedstock Conversion Rates'!$B$3)/12</f>
        <v>6.3412499999999996</v>
      </c>
      <c r="CY440" s="104">
        <f>('Renewable Diesel'!AO449*'RD Feedstock Breakdown'!$CY$3*'Feedstock Conversion Rates'!$B$6)/12</f>
        <v>7.4258333333333342</v>
      </c>
      <c r="CZ440" s="106">
        <f t="shared" si="468"/>
        <v>13.767083333333334</v>
      </c>
      <c r="DA440" s="104">
        <f>('Renewable Diesel'!$AP449*'RD Feedstock Breakdown'!DA$3*'Feedstock Conversion Rates'!$B$3)/12</f>
        <v>6.3412499999999996</v>
      </c>
      <c r="DB440" s="104">
        <f>('Renewable Diesel'!$AP449*'RD Feedstock Breakdown'!DB$3*'Feedstock Conversion Rates'!$B$8)/12</f>
        <v>7.421875</v>
      </c>
      <c r="DC440" s="106">
        <f t="shared" si="422"/>
        <v>13.763124999999999</v>
      </c>
      <c r="DD440" s="104">
        <f>('Renewable Diesel'!AQ449*$DD$3*'Feedstock Conversion Rates'!$B$14)/12</f>
        <v>3.1041666666666665</v>
      </c>
      <c r="DE440" s="106">
        <f t="shared" si="423"/>
        <v>3.1041666666666665</v>
      </c>
      <c r="DF440" s="104">
        <f>('Renewable Diesel'!AR449*'Feedstock Conversion Rates'!$B$4*$DF$3)/12</f>
        <v>75</v>
      </c>
      <c r="DG440" s="106">
        <f t="shared" si="469"/>
        <v>75</v>
      </c>
      <c r="DH440" s="104">
        <f>('Renewable Diesel'!AS449*'Feedstock Conversion Rates'!$B$4*$DH$3)/12</f>
        <v>75</v>
      </c>
      <c r="DI440" s="106">
        <f t="shared" si="411"/>
        <v>75</v>
      </c>
      <c r="DJ440" s="104">
        <f>('Renewable Diesel'!AT449*'Feedstock Conversion Rates'!$B$4*0.25)/12</f>
        <v>8.59375</v>
      </c>
      <c r="DK440" s="104">
        <f>('Renewable Diesel'!$AT449*'RD Feedstock Breakdown'!DK$3*'Feedstock Conversion Rates'!$B$3)/12*0.5</f>
        <v>9.1781249999999996</v>
      </c>
      <c r="DL440" s="104">
        <f>('Renewable Diesel'!$AT449*'RD Feedstock Breakdown'!$DL$3*'Feedstock Conversion Rates'!$B$6)/12</f>
        <v>10.747916666666669</v>
      </c>
      <c r="DM440" s="104">
        <f>('Renewable Diesel'!$AT449*'RD Feedstock Breakdown'!$DM$3*'Feedstock Conversion Rates'!$B$8)/12</f>
        <v>10.7421875</v>
      </c>
      <c r="DN440" s="106">
        <f t="shared" si="453"/>
        <v>39.26197916666667</v>
      </c>
      <c r="DP440" s="104">
        <f t="shared" si="426"/>
        <v>103.22025000000001</v>
      </c>
      <c r="DQ440" s="104">
        <f t="shared" si="427"/>
        <v>349.11776750000007</v>
      </c>
      <c r="DR440" s="104">
        <f t="shared" si="432"/>
        <v>1891.953125</v>
      </c>
      <c r="DS440" s="104">
        <f t="shared" si="444"/>
        <v>228.90125</v>
      </c>
      <c r="DT440" s="104">
        <f t="shared" si="428"/>
        <v>243.03923333333344</v>
      </c>
      <c r="DU440" s="104">
        <f t="shared" si="429"/>
        <v>402.90610000000009</v>
      </c>
      <c r="DV440" s="104">
        <f t="shared" si="433"/>
        <v>78.75</v>
      </c>
      <c r="DW440" s="104">
        <f t="shared" si="430"/>
        <v>3</v>
      </c>
      <c r="DX440" s="106">
        <f t="shared" si="434"/>
        <v>3300.8877258333337</v>
      </c>
      <c r="DY440" s="109">
        <f t="shared" si="421"/>
        <v>-5.631051180898794E-13</v>
      </c>
      <c r="EA440" s="110">
        <f t="shared" si="472"/>
        <v>3.1270451640078516E-2</v>
      </c>
      <c r="EB440" s="110">
        <f t="shared" si="470"/>
        <v>0.10576481131658687</v>
      </c>
      <c r="EC440" s="110">
        <f t="shared" si="470"/>
        <v>0.57316494293133291</v>
      </c>
      <c r="ED440" s="110">
        <f t="shared" si="470"/>
        <v>6.9345360706629972E-2</v>
      </c>
      <c r="EE440" s="110">
        <f t="shared" si="470"/>
        <v>7.3628445896921982E-2</v>
      </c>
      <c r="EF440" s="110">
        <f t="shared" si="470"/>
        <v>0.1220599225010852</v>
      </c>
      <c r="EG440" s="110">
        <f t="shared" si="470"/>
        <v>2.3857218585075921E-2</v>
      </c>
      <c r="EH440" s="111">
        <f t="shared" si="435"/>
        <v>9.0884642228860647E-4</v>
      </c>
      <c r="EI440" s="110">
        <f t="shared" ref="EI440:EI495" si="476">SUM(EA440:EG440)</f>
        <v>0.99909115357771139</v>
      </c>
      <c r="EK440" s="132">
        <f>(EA440*'Renewable Diesel'!BF449*'Feedstock Conversion Rates'!B$2)+FB440</f>
        <v>601.34339037949348</v>
      </c>
      <c r="EL440" s="132">
        <f>(EB440*'Renewable Diesel'!BF449*'Feedstock Conversion Rates'!B$3)+FC440</f>
        <v>1916.6516057492249</v>
      </c>
      <c r="EM440" s="132">
        <f>(EC440*'Renewable Diesel'!BF449*'Feedstock Conversion Rates'!B$4)+FD440</f>
        <v>9725.4643230195288</v>
      </c>
      <c r="EN440" s="132">
        <f>(ED440*'Renewable Diesel'!BF449*'Feedstock Conversion Rates'!B$5)+FE440</f>
        <v>1184.4966190544696</v>
      </c>
      <c r="EO440" s="132">
        <f>(EE440*'Renewable Diesel'!BF449*'Feedstock Conversion Rates'!B$6)+FF440</f>
        <v>1562.4924749084066</v>
      </c>
      <c r="EP440" s="132">
        <f>(EF440*'Renewable Diesel'!BF449*'Feedstock Conversion Rates'!B$7)+FG440</f>
        <v>2540.5654022150852</v>
      </c>
      <c r="EQ440" s="132">
        <f>(EG440*'Renewable Diesel'!BF449*'Feedstock Conversion Rates'!B$8)+FH440</f>
        <v>506.01168794667416</v>
      </c>
      <c r="ER440" s="132">
        <f>(EH440*'Renewable Diesel'!BF449*'Feedstock Conversion Rates'!B$9)+FI440</f>
        <v>19.01961392155118</v>
      </c>
      <c r="ES440" s="132">
        <f t="shared" si="436"/>
        <v>18056.045117194433</v>
      </c>
      <c r="ET440" s="133">
        <f>ES440/'Renewable Diesel'!BF449</f>
        <v>17.971568558424611</v>
      </c>
      <c r="EW440" s="73">
        <f t="shared" si="461"/>
        <v>16974.95982111858</v>
      </c>
      <c r="EX440" s="73">
        <f t="shared" si="462"/>
        <v>11118.691661231609</v>
      </c>
      <c r="EY440" s="92">
        <f t="shared" ref="EY440:EZ492" si="477">EW440/$ES440</f>
        <v>0.9401261301099455</v>
      </c>
      <c r="EZ440" s="92">
        <f t="shared" si="477"/>
        <v>0.61578776465525598</v>
      </c>
      <c r="FB440" s="102">
        <f>IF('Renewable Diesel'!$BG449&lt;1,0,(((('Renewable Diesel'!$BG449-1)*'Renewable Diesel'!$BF449)*'RD Feedstock Breakdown'!EA440)*'Feedstock Conversion Rates'!$B$2))</f>
        <v>334.29514623717517</v>
      </c>
      <c r="FC440" s="102">
        <f>IF('Renewable Diesel'!$BG449&lt;1,0,(((('Renewable Diesel'!$BG449-1)*'Renewable Diesel'!$BF449)*'RD Feedstock Breakdown'!EB440)*'Feedstock Conversion Rates'!$B$3))</f>
        <v>1065.4932590600288</v>
      </c>
      <c r="FD440" s="102">
        <f>IF('Renewable Diesel'!$BG449&lt;1,0,(((('Renewable Diesel'!$BG449-1)*'Renewable Diesel'!$BF449)*'RD Feedstock Breakdown'!EC440)*'Feedstock Conversion Rates'!$B$4))</f>
        <v>5406.5207502098001</v>
      </c>
      <c r="FE440" s="102">
        <f>IF('Renewable Diesel'!$BG449&lt;1,0,(((('Renewable Diesel'!$BG449-1)*'Renewable Diesel'!$BF449)*'RD Feedstock Breakdown'!ED440)*'Feedstock Conversion Rates'!$B$5))</f>
        <v>658.47812883478321</v>
      </c>
      <c r="FF440" s="102">
        <f>IF('Renewable Diesel'!$BG449&lt;1,0,(((('Renewable Diesel'!$BG449-1)*'Renewable Diesel'!$BF449)*'RD Feedstock Breakdown'!EE440)*'Feedstock Conversion Rates'!$B$6))</f>
        <v>868.61127726765096</v>
      </c>
      <c r="FG440" s="102">
        <f>IF('Renewable Diesel'!$BG449&lt;1,0,(((('Renewable Diesel'!$BG449-1)*'Renewable Diesel'!$BF449)*'RD Feedstock Breakdown'!EF440)*'Feedstock Conversion Rates'!$B$7))</f>
        <v>1412.3356076511084</v>
      </c>
      <c r="FH440" s="102">
        <f>IF('Renewable Diesel'!$BG449&lt;1,0,(((('Renewable Diesel'!$BG449-1)*'Renewable Diesel'!$BF449)*'RD Feedstock Breakdown'!EG440)*'Feedstock Conversion Rates'!$B$8))</f>
        <v>281.29892824314936</v>
      </c>
      <c r="FI440" s="102">
        <f>IF('Renewable Diesel'!$BG449&lt;1,0,(((('Renewable Diesel'!$BG449-1)*'Renewable Diesel'!$BF449)*'RD Feedstock Breakdown'!EH440)*'Feedstock Conversion Rates'!$B$9))</f>
        <v>10.573267652059963</v>
      </c>
      <c r="FJ440" s="102">
        <f t="shared" si="463"/>
        <v>10037.606365155756</v>
      </c>
      <c r="GD440" s="91">
        <f>'Renewable Diesel'!BB449*0.32</f>
        <v>0</v>
      </c>
      <c r="GE440" s="91">
        <f>'Renewable Diesel'!BC449</f>
        <v>525.32349907992682</v>
      </c>
      <c r="GF440" s="91">
        <f>'Renewable Diesel'!BD449</f>
        <v>0</v>
      </c>
      <c r="GG440" s="91">
        <f t="shared" si="451"/>
        <v>525.32349907992682</v>
      </c>
      <c r="GH440" s="124">
        <v>1</v>
      </c>
      <c r="GI440" s="102">
        <f>$GG440*EA440*'Feedstock Conversion Rates'!$B$2</f>
        <v>139.63037612369331</v>
      </c>
      <c r="GJ440" s="102">
        <f>$GG440*EB440*'Feedstock Conversion Rates'!$B$3</f>
        <v>445.04153349046481</v>
      </c>
      <c r="GK440" s="102">
        <f>$GG440*EC440*'Feedstock Conversion Rates'!$B$4</f>
        <v>2258.227600279758</v>
      </c>
      <c r="GL440" s="102">
        <f>$GG440*ED440*'Feedstock Conversion Rates'!$B$5</f>
        <v>275.03704386181727</v>
      </c>
      <c r="GM440" s="102">
        <f>$GG440*EE440*'Feedstock Conversion Rates'!$B$6</f>
        <v>362.80670154904072</v>
      </c>
      <c r="GN440" s="102">
        <f>$GG440*EF440*'Feedstock Conversion Rates'!$B$7</f>
        <v>589.91269938839184</v>
      </c>
      <c r="GO440" s="102">
        <f>$GG440*EG440*'Feedstock Conversion Rates'!$B$8</f>
        <v>117.49460198837572</v>
      </c>
      <c r="GP440" s="102">
        <f>$GG440*EH440*'Feedstock Conversion Rates'!B$9</f>
        <v>4.4163050398170425</v>
      </c>
      <c r="GQ440" s="102">
        <f t="shared" si="437"/>
        <v>4192.5668617213596</v>
      </c>
      <c r="GT440" s="103">
        <f t="shared" si="418"/>
        <v>3.3304269372191886E-2</v>
      </c>
      <c r="GU440" s="103">
        <f t="shared" si="418"/>
        <v>0.10615013383656387</v>
      </c>
      <c r="GV440" s="103">
        <f t="shared" si="418"/>
        <v>0.53862649654979822</v>
      </c>
      <c r="GW440" s="103">
        <f t="shared" si="418"/>
        <v>6.5601110950176775E-2</v>
      </c>
      <c r="GX440" s="103">
        <f t="shared" si="465"/>
        <v>8.653569841938831E-2</v>
      </c>
      <c r="GY440" s="103">
        <f t="shared" si="465"/>
        <v>0.14070442257566981</v>
      </c>
      <c r="GZ440" s="103">
        <f t="shared" si="465"/>
        <v>2.802450285554552E-2</v>
      </c>
      <c r="HA440" s="103">
        <f t="shared" si="465"/>
        <v>1.0533654406655838E-3</v>
      </c>
    </row>
    <row r="441" spans="1:209" x14ac:dyDescent="0.25">
      <c r="A441" s="96">
        <v>53844</v>
      </c>
      <c r="B441" s="104">
        <f t="shared" si="473"/>
        <v>44.25</v>
      </c>
      <c r="C441" s="104">
        <f t="shared" si="466"/>
        <v>49</v>
      </c>
      <c r="D441" s="104">
        <f t="shared" si="474"/>
        <v>2</v>
      </c>
      <c r="E441" s="104">
        <f>('Renewable Diesel'!B450*E$3*'Feedstock Conversion Rates'!$B$2)/12+26+13-100+27.5+39</f>
        <v>95.43</v>
      </c>
      <c r="F441" s="104">
        <f>('Renewable Diesel'!B450*'RD Feedstock Breakdown'!F$3*'Feedstock Conversion Rates'!B$8)/12+77+23-10-12-115.75+24+8</f>
        <v>48.15625</v>
      </c>
      <c r="G441" s="104">
        <f>('Renewable Diesel'!B450*'RD Feedstock Breakdown'!G$3*'Feedstock Conversion Rates'!B$7)/12+116.75-39-57.5-145-31.5+32+70-40+10+60</f>
        <v>151.90700000000004</v>
      </c>
      <c r="H441" s="104">
        <f>('Renewable Diesel'!B450*'RD Feedstock Breakdown'!H$3*'Feedstock Conversion Rates'!B$3)/12+67+10+12+3-235+20+47-20+25</f>
        <v>105.40022499999998</v>
      </c>
      <c r="I441" s="106">
        <f t="shared" si="449"/>
        <v>496.14347500000002</v>
      </c>
      <c r="J441" s="104">
        <f t="shared" si="417"/>
        <v>4</v>
      </c>
      <c r="K441" s="104"/>
      <c r="L441" s="104">
        <v>1</v>
      </c>
      <c r="M441" s="104">
        <f>('Renewable Diesel'!C450*'RD Feedstock Breakdown'!M$3*'Feedstock Conversion Rates'!B$2)/12</f>
        <v>7.7902500000000003</v>
      </c>
      <c r="N441" s="104">
        <f>('Renewable Diesel'!C450*'RD Feedstock Breakdown'!N$3*'Feedstock Conversion Rates'!B$8)/12</f>
        <v>3.671875</v>
      </c>
      <c r="O441" s="104">
        <f>('Renewable Diesel'!C450*'RD Feedstock Breakdown'!O$3*'Feedstock Conversion Rates'!B$7)/12</f>
        <v>11.9991</v>
      </c>
      <c r="P441" s="104">
        <f>('Renewable Diesel'!C450*'RD Feedstock Breakdown'!P$3*'Feedstock Conversion Rates'!B$3)/12</f>
        <v>10.4470425</v>
      </c>
      <c r="Q441" s="106">
        <f t="shared" si="455"/>
        <v>38.908267500000001</v>
      </c>
      <c r="R441" s="104">
        <f>('Renewable Diesel'!D450*'RD Feedstock Breakdown'!R$3*'Feedstock Conversion Rates'!B$7)/12</f>
        <v>2.2999999999999998</v>
      </c>
      <c r="S441" s="106">
        <f t="shared" si="414"/>
        <v>2.2999999999999998</v>
      </c>
      <c r="T441" s="104">
        <f t="shared" si="456"/>
        <v>0.82499999999999929</v>
      </c>
      <c r="U441" s="104"/>
      <c r="V441" s="104">
        <f>('Renewable Diesel'!E450*'RD Feedstock Breakdown'!V$3*'Feedstock Conversion Rates'!B$6)/12-20+25</f>
        <v>49.250150000000012</v>
      </c>
      <c r="W441" s="104">
        <f>('Renewable Diesel'!E450*'RD Feedstock Breakdown'!W$3*'Feedstock Conversion Rates'!B$8)/12-6</f>
        <v>16.1796875</v>
      </c>
      <c r="X441" s="106">
        <f t="shared" si="438"/>
        <v>66.254837500000008</v>
      </c>
      <c r="Y441" s="104">
        <f t="shared" si="457"/>
        <v>98</v>
      </c>
      <c r="Z441" s="104">
        <f>('Renewable Diesel'!F450*'RD Feedstock Breakdown'!Z$3*'Feedstock Conversion Rates'!B$6)/12-142+15+5+20+5+15</f>
        <v>77.460000000000008</v>
      </c>
      <c r="AA441" s="104">
        <f>('Renewable Diesel'!F450*'RD Feedstock Breakdown'!AA$3*'Feedstock Conversion Rates'!B$7)/12+24</f>
        <v>128.26666666666665</v>
      </c>
      <c r="AB441" s="106">
        <f t="shared" si="471"/>
        <v>303.72666666666669</v>
      </c>
      <c r="AC441" s="104">
        <f>('Renewable Diesel'!G450*'RD Feedstock Breakdown'!AC$3*'Feedstock Conversion Rates'!B$5)/12</f>
        <v>11.796875</v>
      </c>
      <c r="AD441" s="104">
        <f>('Renewable Diesel'!G450*'RD Feedstock Breakdown'!AD$3*'Feedstock Conversion Rates'!B$4)/12</f>
        <v>5.859375</v>
      </c>
      <c r="AE441" s="104">
        <f>('Renewable Diesel'!G450*'RD Feedstock Breakdown'!AE$3*'Feedstock Conversion Rates'!B$6)/12</f>
        <v>7.3281250000000009</v>
      </c>
      <c r="AF441" s="106">
        <f t="shared" si="445"/>
        <v>24.984375</v>
      </c>
      <c r="AG441" s="104">
        <f t="shared" si="459"/>
        <v>148</v>
      </c>
      <c r="AH441" s="104"/>
      <c r="AI441" s="104">
        <f>('Renewable Diesel'!H450*'RD Feedstock Breakdown'!AI$3*'Feedstock Conversion Rates'!B$6)/12-130-20+51-49</f>
        <v>0.51666666666667993</v>
      </c>
      <c r="AJ441" s="106">
        <f t="shared" si="413"/>
        <v>148.51666666666668</v>
      </c>
      <c r="AK441" s="104">
        <f>('Renewable Diesel'!J450*'RD Feedstock Breakdown'!AK$3*'Feedstock Conversion Rates'!B$4)/12</f>
        <v>95.8125</v>
      </c>
      <c r="AL441" s="106">
        <f t="shared" si="415"/>
        <v>95.8125</v>
      </c>
      <c r="AM441" s="104">
        <f>('Renewable Diesel'!K450*'RD Feedstock Breakdown'!AM$3*'Feedstock Conversion Rates'!B$4)/12+5+15-10+10</f>
        <v>78.59375</v>
      </c>
      <c r="AN441" s="104">
        <f>('Renewable Diesel'!K450*'RD Feedstock Breakdown'!AN$3*'Feedstock Conversion Rates'!B$6)/12-5-15+10-10</f>
        <v>4.4270833333333321</v>
      </c>
      <c r="AO441" s="106">
        <f t="shared" si="431"/>
        <v>83.020833333333329</v>
      </c>
      <c r="AP441" s="104">
        <f>('Renewable Diesel'!L450*'RD Feedstock Breakdown'!AP$3*'Feedstock Conversion Rates'!B$4)/12+15-10+15</f>
        <v>78.59375</v>
      </c>
      <c r="AQ441" s="104">
        <f>('Renewable Diesel'!L450*'RD Feedstock Breakdown'!AQ$3*'Feedstock Conversion Rates'!B$6)/12-15+10-15</f>
        <v>4.4270833333333321</v>
      </c>
      <c r="AR441" s="106">
        <f t="shared" si="420"/>
        <v>83.020833333333329</v>
      </c>
      <c r="AS441" s="104">
        <f>('Renewable Diesel'!M450*'RD Feedstock Breakdown'!AS$3*'Feedstock Conversion Rates'!B$4)/12</f>
        <v>456.25</v>
      </c>
      <c r="AT441" s="104">
        <f>('Renewable Diesel'!M450*'RD Feedstock Breakdown'!AT$3*'Feedstock Conversion Rates'!B$5)/12</f>
        <v>0</v>
      </c>
      <c r="AU441" s="106">
        <f t="shared" si="448"/>
        <v>456.25</v>
      </c>
      <c r="AV441" s="104">
        <f>'Renewable Diesel'!N450*'RD Feedstock Breakdown'!$AV$3*'Feedstock Conversion Rates'!$B$4/12-15-10+25+25-22+25</f>
        <v>106.74999999999999</v>
      </c>
      <c r="AW441" s="104">
        <f>'Renewable Diesel'!N450*'RD Feedstock Breakdown'!$AW$3*'Feedstock Conversion Rates'!$B$7/12+15+10-25-25+22-25</f>
        <v>13.400000000000006</v>
      </c>
      <c r="AX441" s="106">
        <f t="shared" si="475"/>
        <v>120.14999999999999</v>
      </c>
      <c r="AY441" s="104">
        <f>('Renewable Diesel'!O450*'RD Feedstock Breakdown'!AY$3*'Feedstock Conversion Rates'!B$4)/12</f>
        <v>210.9375</v>
      </c>
      <c r="AZ441" s="104">
        <f>('Renewable Diesel'!O450*'RD Feedstock Breakdown'!AZ$3*'Feedstock Conversion Rates'!B$3)/12</f>
        <v>25.03125</v>
      </c>
      <c r="BA441" s="106">
        <f t="shared" si="458"/>
        <v>235.96875</v>
      </c>
      <c r="BB441" s="104">
        <f>('Renewable Diesel'!Q450*'RD Feedstock Breakdown'!BB$3*'Feedstock Conversion Rates'!B$4)/12</f>
        <v>11.156249999999998</v>
      </c>
      <c r="BC441" s="104">
        <f>('Renewable Diesel'!Q450*'RD Feedstock Breakdown'!BC$3*'Feedstock Conversion Rates'!B$3)/12</f>
        <v>1.4017500000000001</v>
      </c>
      <c r="BD441" s="104">
        <f>('Renewable Diesel'!Q450*'RD Feedstock Breakdown'!BD$3*'Feedstock Conversion Rates'!B$6)/12</f>
        <v>0.8207500000000002</v>
      </c>
      <c r="BE441" s="106">
        <f t="shared" si="440"/>
        <v>13.378749999999998</v>
      </c>
      <c r="BF441" s="104">
        <f>('Renewable Diesel'!R450*'RD Feedstock Breakdown'!BF$3*'Feedstock Conversion Rates'!B$4)/12</f>
        <v>62.5</v>
      </c>
      <c r="BG441" s="106">
        <f t="shared" si="425"/>
        <v>62.5</v>
      </c>
      <c r="BH441" s="104">
        <f>('Renewable Diesel'!T450*'RD Feedstock Breakdown'!BH$3*'Feedstock Conversion Rates'!B$7)/12</f>
        <v>27.599999999999998</v>
      </c>
      <c r="BI441" s="106">
        <f t="shared" si="412"/>
        <v>27.599999999999998</v>
      </c>
      <c r="BJ441" s="104">
        <f>('Renewable Diesel'!W450*'RD Feedstock Breakdown'!BJ$3*'Feedstock Conversion Rates'!B$4)/12</f>
        <v>7.5</v>
      </c>
      <c r="BK441" s="104">
        <f>('Renewable Diesel'!W450*'RD Feedstock Breakdown'!BK$3*'Feedstock Conversion Rates'!B$3)/12</f>
        <v>1.335</v>
      </c>
      <c r="BL441" s="104">
        <f>('Renewable Diesel'!W450*'RD Feedstock Breakdown'!BL$3*'Feedstock Conversion Rates'!B$6)/12</f>
        <v>3.1266666666666669</v>
      </c>
      <c r="BM441" s="104">
        <f>('Renewable Diesel'!W450*'RD Feedstock Breakdown'!BM$3*'Feedstock Conversion Rates'!B$7)/12</f>
        <v>1.5333333333333332</v>
      </c>
      <c r="BN441" s="106">
        <f t="shared" si="452"/>
        <v>13.495000000000001</v>
      </c>
      <c r="BO441" s="104">
        <f>('Renewable Diesel'!P450*'Feedstock Conversion Rates'!B$4)/12</f>
        <v>31.25</v>
      </c>
      <c r="BP441" s="106">
        <f t="shared" si="446"/>
        <v>31.25</v>
      </c>
      <c r="BQ441" s="104">
        <f>('Renewable Diesel'!$S450*'RD Feedstock Breakdown'!BQ$3*'Feedstock Conversion Rates'!B$4)/12+10+15-15</f>
        <v>38.125</v>
      </c>
      <c r="BR441" s="104">
        <f>('Renewable Diesel'!$S450*'RD Feedstock Breakdown'!BR$3*'Feedstock Conversion Rates'!B$7)/12-10-15+15</f>
        <v>1.5</v>
      </c>
      <c r="BS441" s="106">
        <f t="shared" si="460"/>
        <v>39.625</v>
      </c>
      <c r="BT441" s="106"/>
      <c r="BU441" s="104">
        <f>('Renewable Diesel'!Y450*'Feedstock Conversion Rates'!B$7)/12</f>
        <v>2.6833333333333331</v>
      </c>
      <c r="BV441" s="106">
        <f t="shared" si="442"/>
        <v>2.6833333333333331</v>
      </c>
      <c r="BW441" s="104">
        <f>('Renewable Diesel'!$Z450*'RD Feedstock Breakdown'!BW$3*'Feedstock Conversion Rates'!$B$4)/12-250+180</f>
        <v>1.875</v>
      </c>
      <c r="BX441" s="104">
        <f>('Renewable Diesel'!$Z450*'RD Feedstock Breakdown'!BX$3*'Feedstock Conversion Rates'!$B$5)/12</f>
        <v>7.2354166666666666</v>
      </c>
      <c r="BY441" s="104">
        <f>('Renewable Diesel'!$Z450*'RD Feedstock Breakdown'!BY$3*'Feedstock Conversion Rates'!$B$7)/12</f>
        <v>61.716666666666661</v>
      </c>
      <c r="BZ441" s="104">
        <f>('Renewable Diesel'!$Z450*'RD Feedstock Breakdown'!BZ$3*'Feedstock Conversion Rates'!$B$3)/12+250-180</f>
        <v>85.35250000000002</v>
      </c>
      <c r="CA441" s="106">
        <f t="shared" si="464"/>
        <v>156.17958333333334</v>
      </c>
      <c r="CB441" s="104">
        <f>('Renewable Diesel'!AA450*'Feedstock Conversion Rates'!B$4)/12</f>
        <v>191.25</v>
      </c>
      <c r="CC441" s="106">
        <f t="shared" si="454"/>
        <v>191.25</v>
      </c>
      <c r="CD441" s="104">
        <f>('Renewable Diesel'!$AB450*'RD Feedstock Breakdown'!CD$3*'Feedstock Conversion Rates'!$B$6)/12-15-5</f>
        <v>12.830000000000005</v>
      </c>
      <c r="CE441" s="104">
        <f>('Renewable Diesel'!$AB450*'RD Feedstock Breakdown'!CE$3*'Feedstock Conversion Rates'!$B$4)/12+15+5</f>
        <v>31.25</v>
      </c>
      <c r="CF441" s="106">
        <f t="shared" si="450"/>
        <v>44.080000000000005</v>
      </c>
      <c r="CG441" s="104">
        <f>('Renewable Diesel'!AD450*'Feedstock Conversion Rates'!B$4)/12</f>
        <v>112.5</v>
      </c>
      <c r="CH441" s="106">
        <f t="shared" si="439"/>
        <v>112.5</v>
      </c>
      <c r="CI441" s="104">
        <f>('Renewable Diesel'!$AE450*'RD Feedstock Breakdown'!CI$3*'Feedstock Conversion Rates'!$B$5)/12</f>
        <v>0.34604166666666664</v>
      </c>
      <c r="CJ441" s="104">
        <f>('Renewable Diesel'!$AE450*'RD Feedstock Breakdown'!CJ$3*'Feedstock Conversion Rates'!$B$4)/12</f>
        <v>0.34375</v>
      </c>
      <c r="CK441" s="106">
        <f t="shared" si="447"/>
        <v>0.68979166666666658</v>
      </c>
      <c r="CL441" s="104">
        <f>(((CL$3*'Renewable Diesel'!$AF450)*'Feedstock Conversion Rates'!$B$3)/12)</f>
        <v>91.78125</v>
      </c>
      <c r="CM441" s="104">
        <f>(((CM$3*'Renewable Diesel'!$AF450)*'Feedstock Conversion Rates'!$B$6)/12)</f>
        <v>53.739583333333336</v>
      </c>
      <c r="CN441" s="104">
        <f>(((CN$3*'Renewable Diesel'!$AF450)*'Feedstock Conversion Rates'!$B$4)/12)</f>
        <v>42.96875</v>
      </c>
      <c r="CO441" s="106">
        <f t="shared" si="441"/>
        <v>188.48958333333334</v>
      </c>
      <c r="CP441" s="104">
        <f>('Renewable Diesel'!$AG450*'RD Feedstock Breakdown'!CP$3*'Feedstock Conversion Rates'!$B$3)/12</f>
        <v>6.0075000000000003</v>
      </c>
      <c r="CQ441" s="104">
        <f>('Renewable Diesel'!$AG450*'RD Feedstock Breakdown'!CQ$3*'Feedstock Conversion Rates'!$B$6)/12</f>
        <v>3.5175000000000001</v>
      </c>
      <c r="CR441" s="104">
        <f>('Renewable Diesel'!$AG450*'RD Feedstock Breakdown'!CR$3*'Feedstock Conversion Rates'!$B$4)/12</f>
        <v>2.8125</v>
      </c>
      <c r="CS441" s="106">
        <f t="shared" si="467"/>
        <v>12.3375</v>
      </c>
      <c r="CT441" s="104">
        <f>('Renewable Diesel'!AI450*'Feedstock Conversion Rates'!$B$4*'RD Feedstock Breakdown'!$CT$3)/12</f>
        <v>29.375</v>
      </c>
      <c r="CU441" s="106">
        <f t="shared" si="443"/>
        <v>29.375</v>
      </c>
      <c r="CV441" s="104">
        <f>('Renewable Diesel'!AN450*'Feedstock Conversion Rates'!$B$3*'RD Feedstock Breakdown'!$CV$3)/12</f>
        <v>0.50062499999999999</v>
      </c>
      <c r="CW441" s="106">
        <f t="shared" si="419"/>
        <v>0.50062499999999999</v>
      </c>
      <c r="CX441" s="104">
        <f>('Renewable Diesel'!AO450*'RD Feedstock Breakdown'!$CX$3*'Feedstock Conversion Rates'!$B$3)/12</f>
        <v>6.3412499999999996</v>
      </c>
      <c r="CY441" s="104">
        <f>('Renewable Diesel'!AO450*'RD Feedstock Breakdown'!$CY$3*'Feedstock Conversion Rates'!$B$6)/12</f>
        <v>7.4258333333333342</v>
      </c>
      <c r="CZ441" s="106">
        <f t="shared" si="468"/>
        <v>13.767083333333334</v>
      </c>
      <c r="DA441" s="104">
        <f>('Renewable Diesel'!$AP450*'RD Feedstock Breakdown'!DA$3*'Feedstock Conversion Rates'!$B$3)/12</f>
        <v>6.3412499999999996</v>
      </c>
      <c r="DB441" s="104">
        <f>('Renewable Diesel'!$AP450*'RD Feedstock Breakdown'!DB$3*'Feedstock Conversion Rates'!$B$8)/12</f>
        <v>7.421875</v>
      </c>
      <c r="DC441" s="106">
        <f t="shared" si="422"/>
        <v>13.763124999999999</v>
      </c>
      <c r="DD441" s="104">
        <f>('Renewable Diesel'!AQ450*$DD$3*'Feedstock Conversion Rates'!$B$14)/12</f>
        <v>3.1041666666666665</v>
      </c>
      <c r="DE441" s="106">
        <f t="shared" si="423"/>
        <v>3.1041666666666665</v>
      </c>
      <c r="DF441" s="104">
        <f>('Renewable Diesel'!AR450*'Feedstock Conversion Rates'!$B$4*$DF$3)/12</f>
        <v>75</v>
      </c>
      <c r="DG441" s="106">
        <f t="shared" si="469"/>
        <v>75</v>
      </c>
      <c r="DH441" s="104">
        <f>('Renewable Diesel'!AS450*'Feedstock Conversion Rates'!$B$4*$DH$3)/12</f>
        <v>75</v>
      </c>
      <c r="DI441" s="106">
        <f t="shared" ref="DI441:DI495" si="478">DH441</f>
        <v>75</v>
      </c>
      <c r="DJ441" s="104">
        <f>('Renewable Diesel'!AT450*'Feedstock Conversion Rates'!$B$4*0.25)/12</f>
        <v>8.59375</v>
      </c>
      <c r="DK441" s="104">
        <f>('Renewable Diesel'!$AT450*'RD Feedstock Breakdown'!DK$3*'Feedstock Conversion Rates'!$B$3)/12*0.5</f>
        <v>9.1781249999999996</v>
      </c>
      <c r="DL441" s="104">
        <f>('Renewable Diesel'!$AT450*'RD Feedstock Breakdown'!$DL$3*'Feedstock Conversion Rates'!$B$6)/12</f>
        <v>10.747916666666669</v>
      </c>
      <c r="DM441" s="104">
        <f>('Renewable Diesel'!$AT450*'RD Feedstock Breakdown'!$DM$3*'Feedstock Conversion Rates'!$B$8)/12</f>
        <v>10.7421875</v>
      </c>
      <c r="DN441" s="106">
        <f t="shared" si="453"/>
        <v>39.26197916666667</v>
      </c>
      <c r="DP441" s="104">
        <f t="shared" si="426"/>
        <v>103.22025000000001</v>
      </c>
      <c r="DQ441" s="104">
        <f t="shared" si="427"/>
        <v>349.11776750000007</v>
      </c>
      <c r="DR441" s="104">
        <f t="shared" si="432"/>
        <v>1891.953125</v>
      </c>
      <c r="DS441" s="104">
        <f t="shared" si="444"/>
        <v>228.90125</v>
      </c>
      <c r="DT441" s="104">
        <f t="shared" si="428"/>
        <v>243.03923333333344</v>
      </c>
      <c r="DU441" s="104">
        <f t="shared" si="429"/>
        <v>402.90610000000009</v>
      </c>
      <c r="DV441" s="104">
        <f t="shared" si="433"/>
        <v>78.75</v>
      </c>
      <c r="DW441" s="104">
        <f t="shared" si="430"/>
        <v>3</v>
      </c>
      <c r="DX441" s="106">
        <f t="shared" si="434"/>
        <v>3300.8877258333337</v>
      </c>
      <c r="DY441" s="109">
        <f t="shared" si="421"/>
        <v>-5.631051180898794E-13</v>
      </c>
      <c r="EA441" s="110">
        <f t="shared" si="472"/>
        <v>3.1270451640078516E-2</v>
      </c>
      <c r="EB441" s="110">
        <f t="shared" si="470"/>
        <v>0.10576481131658687</v>
      </c>
      <c r="EC441" s="110">
        <f t="shared" si="470"/>
        <v>0.57316494293133291</v>
      </c>
      <c r="ED441" s="110">
        <f t="shared" si="470"/>
        <v>6.9345360706629972E-2</v>
      </c>
      <c r="EE441" s="110">
        <f t="shared" si="470"/>
        <v>7.3628445896921982E-2</v>
      </c>
      <c r="EF441" s="110">
        <f t="shared" si="470"/>
        <v>0.1220599225010852</v>
      </c>
      <c r="EG441" s="110">
        <f t="shared" si="470"/>
        <v>2.3857218585075921E-2</v>
      </c>
      <c r="EH441" s="111">
        <f t="shared" si="435"/>
        <v>9.0884642228860647E-4</v>
      </c>
      <c r="EI441" s="110">
        <f t="shared" si="476"/>
        <v>0.99909115357771139</v>
      </c>
      <c r="EK441" s="132">
        <f>(EA441*'Renewable Diesel'!BF450*'Feedstock Conversion Rates'!B$2)+FB441</f>
        <v>549.83601743533541</v>
      </c>
      <c r="EL441" s="132">
        <f>(EB441*'Renewable Diesel'!BF450*'Feedstock Conversion Rates'!B$3)+FC441</f>
        <v>1752.4830281266391</v>
      </c>
      <c r="EM441" s="132">
        <f>(EC441*'Renewable Diesel'!BF450*'Feedstock Conversion Rates'!B$4)+FD441</f>
        <v>8892.4409191624673</v>
      </c>
      <c r="EN441" s="132">
        <f>(ED441*'Renewable Diesel'!BF450*'Feedstock Conversion Rates'!B$5)+FE441</f>
        <v>1083.03993043895</v>
      </c>
      <c r="EO441" s="132">
        <f>(EE441*'Renewable Diesel'!BF450*'Feedstock Conversion Rates'!B$6)+FF441</f>
        <v>1428.6589882265971</v>
      </c>
      <c r="EP441" s="132">
        <f>(EF441*'Renewable Diesel'!BF450*'Feedstock Conversion Rates'!B$7)+FG441</f>
        <v>2322.956209606622</v>
      </c>
      <c r="EQ441" s="132">
        <f>(EG441*'Renewable Diesel'!BF450*'Feedstock Conversion Rates'!B$8)+FH441</f>
        <v>462.66984177002558</v>
      </c>
      <c r="ER441" s="132">
        <f>(EH441*'Renewable Diesel'!BF450*'Feedstock Conversion Rates'!B$9)+FI441</f>
        <v>17.390510877959052</v>
      </c>
      <c r="ES441" s="132">
        <f t="shared" si="436"/>
        <v>16509.475445644595</v>
      </c>
      <c r="ET441" s="133">
        <f>ES441/'Renewable Diesel'!BF450</f>
        <v>16.90523008976097</v>
      </c>
      <c r="EW441" s="73">
        <f t="shared" si="461"/>
        <v>15241.557984204184</v>
      </c>
      <c r="EX441" s="73">
        <f t="shared" si="462"/>
        <v>9983.3039635425757</v>
      </c>
      <c r="EY441" s="92">
        <f t="shared" si="477"/>
        <v>0.92320062102427958</v>
      </c>
      <c r="EZ441" s="92">
        <f t="shared" si="477"/>
        <v>0.60470146349660647</v>
      </c>
      <c r="FB441" s="102">
        <f>IF('Renewable Diesel'!$BG450&lt;1,0,(((('Renewable Diesel'!$BG450-1)*'Renewable Diesel'!$BF450)*'RD Feedstock Breakdown'!EA441)*'Feedstock Conversion Rates'!$B$2))</f>
        <v>290.25957974877576</v>
      </c>
      <c r="FC441" s="102">
        <f>IF('Renewable Diesel'!$BG450&lt;1,0,(((('Renewable Diesel'!$BG450-1)*'Renewable Diesel'!$BF450)*'RD Feedstock Breakdown'!EB441)*'Feedstock Conversion Rates'!$B$3))</f>
        <v>925.13944363552719</v>
      </c>
      <c r="FD441" s="102">
        <f>IF('Renewable Diesel'!$BG450&lt;1,0,(((('Renewable Diesel'!$BG450-1)*'Renewable Diesel'!$BF450)*'RD Feedstock Breakdown'!EC441)*'Feedstock Conversion Rates'!$B$4))</f>
        <v>4694.33809770469</v>
      </c>
      <c r="FE441" s="102">
        <f>IF('Renewable Diesel'!$BG450&lt;1,0,(((('Renewable Diesel'!$BG450-1)*'Renewable Diesel'!$BF450)*'RD Feedstock Breakdown'!ED441)*'Feedstock Conversion Rates'!$B$5))</f>
        <v>571.73903689807707</v>
      </c>
      <c r="FF441" s="102">
        <f>IF('Renewable Diesel'!$BG450&lt;1,0,(((('Renewable Diesel'!$BG450-1)*'Renewable Diesel'!$BF450)*'RD Feedstock Breakdown'!EE441)*'Feedstock Conversion Rates'!$B$6))</f>
        <v>754.19205795432049</v>
      </c>
      <c r="FG441" s="102">
        <f>IF('Renewable Diesel'!$BG450&lt;1,0,(((('Renewable Diesel'!$BG450-1)*'Renewable Diesel'!$BF450)*'RD Feedstock Breakdown'!EF441)*'Feedstock Conversion Rates'!$B$7))</f>
        <v>1226.2934253020719</v>
      </c>
      <c r="FH441" s="102">
        <f>IF('Renewable Diesel'!$BG450&lt;1,0,(((('Renewable Diesel'!$BG450-1)*'Renewable Diesel'!$BF450)*'RD Feedstock Breakdown'!EG441)*'Feedstock Conversion Rates'!$B$8))</f>
        <v>244.24437391534499</v>
      </c>
      <c r="FI441" s="102">
        <f>IF('Renewable Diesel'!$BG450&lt;1,0,(((('Renewable Diesel'!$BG450-1)*'Renewable Diesel'!$BF450)*'RD Feedstock Breakdown'!EH441)*'Feedstock Conversion Rates'!$B$9))</f>
        <v>9.1804869433577281</v>
      </c>
      <c r="FJ441" s="102">
        <f t="shared" si="463"/>
        <v>8715.3865021021629</v>
      </c>
      <c r="GD441" s="91">
        <f>'Renewable Diesel'!BB450*0.32</f>
        <v>0</v>
      </c>
      <c r="GE441" s="91">
        <f>'Renewable Diesel'!BC450</f>
        <v>501.12283616229831</v>
      </c>
      <c r="GF441" s="91">
        <f>'Renewable Diesel'!BD450</f>
        <v>0</v>
      </c>
      <c r="GG441" s="91">
        <f t="shared" si="451"/>
        <v>501.12283616229831</v>
      </c>
      <c r="GH441" s="124">
        <v>1</v>
      </c>
      <c r="GI441" s="102">
        <f>$GG441*EA441*'Feedstock Conversion Rates'!$B$2</f>
        <v>133.19786801859317</v>
      </c>
      <c r="GJ441" s="102">
        <f>$GG441*EB441*'Feedstock Conversion Rates'!$B$3</f>
        <v>424.53930932723824</v>
      </c>
      <c r="GK441" s="102">
        <f>$GG441*EC441*'Feedstock Conversion Rates'!$B$4</f>
        <v>2154.1953134291352</v>
      </c>
      <c r="GL441" s="102">
        <f>$GG441*ED441*'Feedstock Conversion Rates'!$B$5</f>
        <v>262.36660593163032</v>
      </c>
      <c r="GM441" s="102">
        <f>$GG441*EE441*'Feedstock Conversion Rates'!$B$6</f>
        <v>346.09288101022435</v>
      </c>
      <c r="GN441" s="102">
        <f>$GG441*EF441*'Feedstock Conversion Rates'!$B$7</f>
        <v>562.73653381854615</v>
      </c>
      <c r="GO441" s="102">
        <f>$GG441*EG441*'Feedstock Conversion Rates'!$B$8</f>
        <v>112.08184725278568</v>
      </c>
      <c r="GP441" s="102">
        <f>$GG441*EH441*'Feedstock Conversion Rates'!B$9</f>
        <v>4.2128541951523246</v>
      </c>
      <c r="GQ441" s="102">
        <f t="shared" si="437"/>
        <v>3999.4232129833058</v>
      </c>
      <c r="GT441" s="103">
        <f t="shared" si="418"/>
        <v>3.3304269372191893E-2</v>
      </c>
      <c r="GU441" s="103">
        <f t="shared" si="418"/>
        <v>0.1061501338365639</v>
      </c>
      <c r="GV441" s="103">
        <f t="shared" si="418"/>
        <v>0.53862649654979822</v>
      </c>
      <c r="GW441" s="103">
        <f t="shared" si="418"/>
        <v>6.5601110950176761E-2</v>
      </c>
      <c r="GX441" s="103">
        <f t="shared" si="465"/>
        <v>8.653569841938831E-2</v>
      </c>
      <c r="GY441" s="103">
        <f t="shared" si="465"/>
        <v>0.14070442257566984</v>
      </c>
      <c r="GZ441" s="103">
        <f t="shared" si="465"/>
        <v>2.802450285554552E-2</v>
      </c>
      <c r="HA441" s="103">
        <f t="shared" si="465"/>
        <v>1.0533654406655838E-3</v>
      </c>
    </row>
    <row r="442" spans="1:209" x14ac:dyDescent="0.25">
      <c r="A442" s="96">
        <v>53874</v>
      </c>
      <c r="B442" s="104">
        <f t="shared" si="473"/>
        <v>44.25</v>
      </c>
      <c r="C442" s="104">
        <f t="shared" si="466"/>
        <v>49</v>
      </c>
      <c r="D442" s="104">
        <f t="shared" si="474"/>
        <v>2</v>
      </c>
      <c r="E442" s="104">
        <f>('Renewable Diesel'!B451*E$3*'Feedstock Conversion Rates'!$B$2)/12+26+13-100+27.5+39</f>
        <v>95.43</v>
      </c>
      <c r="F442" s="104">
        <f>('Renewable Diesel'!B451*'RD Feedstock Breakdown'!F$3*'Feedstock Conversion Rates'!B$8)/12+77+23-10-12-115.75+24+8</f>
        <v>48.15625</v>
      </c>
      <c r="G442" s="104">
        <f>('Renewable Diesel'!B451*'RD Feedstock Breakdown'!G$3*'Feedstock Conversion Rates'!B$7)/12+116.75-39-57.5-145-31.5+32+70-40+10+60</f>
        <v>151.90700000000004</v>
      </c>
      <c r="H442" s="104">
        <f>('Renewable Diesel'!B451*'RD Feedstock Breakdown'!H$3*'Feedstock Conversion Rates'!B$3)/12+67+10+12+3-235+20+47-20+25</f>
        <v>105.40022499999998</v>
      </c>
      <c r="I442" s="106">
        <f t="shared" si="449"/>
        <v>496.14347500000002</v>
      </c>
      <c r="J442" s="104">
        <f t="shared" si="417"/>
        <v>4</v>
      </c>
      <c r="K442" s="104"/>
      <c r="L442" s="104">
        <v>1</v>
      </c>
      <c r="M442" s="104">
        <f>('Renewable Diesel'!C451*'RD Feedstock Breakdown'!M$3*'Feedstock Conversion Rates'!B$2)/12</f>
        <v>7.7902500000000003</v>
      </c>
      <c r="N442" s="104">
        <f>('Renewable Diesel'!C451*'RD Feedstock Breakdown'!N$3*'Feedstock Conversion Rates'!B$8)/12</f>
        <v>3.671875</v>
      </c>
      <c r="O442" s="104">
        <f>('Renewable Diesel'!C451*'RD Feedstock Breakdown'!O$3*'Feedstock Conversion Rates'!B$7)/12</f>
        <v>11.9991</v>
      </c>
      <c r="P442" s="104">
        <f>('Renewable Diesel'!C451*'RD Feedstock Breakdown'!P$3*'Feedstock Conversion Rates'!B$3)/12</f>
        <v>10.4470425</v>
      </c>
      <c r="Q442" s="106">
        <f t="shared" si="455"/>
        <v>38.908267500000001</v>
      </c>
      <c r="R442" s="104">
        <f>('Renewable Diesel'!D451*'RD Feedstock Breakdown'!R$3*'Feedstock Conversion Rates'!B$7)/12</f>
        <v>2.2999999999999998</v>
      </c>
      <c r="S442" s="106">
        <f t="shared" si="414"/>
        <v>2.2999999999999998</v>
      </c>
      <c r="T442" s="104">
        <f t="shared" si="456"/>
        <v>0.82499999999999929</v>
      </c>
      <c r="U442" s="104"/>
      <c r="V442" s="104">
        <f>('Renewable Diesel'!E451*'RD Feedstock Breakdown'!V$3*'Feedstock Conversion Rates'!B$6)/12-20+25</f>
        <v>49.250150000000012</v>
      </c>
      <c r="W442" s="104">
        <f>('Renewable Diesel'!E451*'RD Feedstock Breakdown'!W$3*'Feedstock Conversion Rates'!B$8)/12-6</f>
        <v>16.1796875</v>
      </c>
      <c r="X442" s="106">
        <f t="shared" si="438"/>
        <v>66.254837500000008</v>
      </c>
      <c r="Y442" s="104">
        <f t="shared" si="457"/>
        <v>98</v>
      </c>
      <c r="Z442" s="104">
        <f>('Renewable Diesel'!F451*'RD Feedstock Breakdown'!Z$3*'Feedstock Conversion Rates'!B$6)/12-142+15+5+20+5+15</f>
        <v>77.460000000000008</v>
      </c>
      <c r="AA442" s="104">
        <f>('Renewable Diesel'!F451*'RD Feedstock Breakdown'!AA$3*'Feedstock Conversion Rates'!B$7)/12+24</f>
        <v>128.26666666666665</v>
      </c>
      <c r="AB442" s="106">
        <f t="shared" si="471"/>
        <v>303.72666666666669</v>
      </c>
      <c r="AC442" s="104">
        <f>('Renewable Diesel'!G451*'RD Feedstock Breakdown'!AC$3*'Feedstock Conversion Rates'!B$5)/12</f>
        <v>11.796875</v>
      </c>
      <c r="AD442" s="104">
        <f>('Renewable Diesel'!G451*'RD Feedstock Breakdown'!AD$3*'Feedstock Conversion Rates'!B$4)/12</f>
        <v>5.859375</v>
      </c>
      <c r="AE442" s="104">
        <f>('Renewable Diesel'!G451*'RD Feedstock Breakdown'!AE$3*'Feedstock Conversion Rates'!B$6)/12</f>
        <v>7.3281250000000009</v>
      </c>
      <c r="AF442" s="106">
        <f t="shared" si="445"/>
        <v>24.984375</v>
      </c>
      <c r="AG442" s="104">
        <f t="shared" si="459"/>
        <v>148</v>
      </c>
      <c r="AH442" s="104"/>
      <c r="AI442" s="104">
        <f>('Renewable Diesel'!H451*'RD Feedstock Breakdown'!AI$3*'Feedstock Conversion Rates'!B$6)/12-130-20+51-49</f>
        <v>0.51666666666667993</v>
      </c>
      <c r="AJ442" s="106">
        <f t="shared" si="413"/>
        <v>148.51666666666668</v>
      </c>
      <c r="AK442" s="104">
        <f>('Renewable Diesel'!J451*'RD Feedstock Breakdown'!AK$3*'Feedstock Conversion Rates'!B$4)/12</f>
        <v>95.8125</v>
      </c>
      <c r="AL442" s="106">
        <f t="shared" si="415"/>
        <v>95.8125</v>
      </c>
      <c r="AM442" s="104">
        <f>('Renewable Diesel'!K451*'RD Feedstock Breakdown'!AM$3*'Feedstock Conversion Rates'!B$4)/12+5+15-10+10</f>
        <v>78.59375</v>
      </c>
      <c r="AN442" s="104">
        <f>('Renewable Diesel'!K451*'RD Feedstock Breakdown'!AN$3*'Feedstock Conversion Rates'!B$6)/12-5-15+10-10</f>
        <v>4.4270833333333321</v>
      </c>
      <c r="AO442" s="106">
        <f t="shared" si="431"/>
        <v>83.020833333333329</v>
      </c>
      <c r="AP442" s="104">
        <f>('Renewable Diesel'!L451*'RD Feedstock Breakdown'!AP$3*'Feedstock Conversion Rates'!B$4)/12+15-10+15</f>
        <v>78.59375</v>
      </c>
      <c r="AQ442" s="104">
        <f>('Renewable Diesel'!L451*'RD Feedstock Breakdown'!AQ$3*'Feedstock Conversion Rates'!B$6)/12-15+10-15</f>
        <v>4.4270833333333321</v>
      </c>
      <c r="AR442" s="106">
        <f t="shared" si="420"/>
        <v>83.020833333333329</v>
      </c>
      <c r="AS442" s="104">
        <f>('Renewable Diesel'!M451*'RD Feedstock Breakdown'!AS$3*'Feedstock Conversion Rates'!B$4)/12</f>
        <v>456.25</v>
      </c>
      <c r="AT442" s="104">
        <f>('Renewable Diesel'!M451*'RD Feedstock Breakdown'!AT$3*'Feedstock Conversion Rates'!B$5)/12</f>
        <v>0</v>
      </c>
      <c r="AU442" s="106">
        <f t="shared" si="448"/>
        <v>456.25</v>
      </c>
      <c r="AV442" s="104">
        <f>'Renewable Diesel'!N451*'RD Feedstock Breakdown'!$AV$3*'Feedstock Conversion Rates'!$B$4/12-15-10+25+25-22+25</f>
        <v>106.74999999999999</v>
      </c>
      <c r="AW442" s="104">
        <f>'Renewable Diesel'!N451*'RD Feedstock Breakdown'!$AW$3*'Feedstock Conversion Rates'!$B$7/12+15+10-25-25+22-25</f>
        <v>13.400000000000006</v>
      </c>
      <c r="AX442" s="106">
        <f t="shared" si="475"/>
        <v>120.14999999999999</v>
      </c>
      <c r="AY442" s="104">
        <f>('Renewable Diesel'!O451*'RD Feedstock Breakdown'!AY$3*'Feedstock Conversion Rates'!B$4)/12</f>
        <v>210.9375</v>
      </c>
      <c r="AZ442" s="104">
        <f>('Renewable Diesel'!O451*'RD Feedstock Breakdown'!AZ$3*'Feedstock Conversion Rates'!B$3)/12</f>
        <v>25.03125</v>
      </c>
      <c r="BA442" s="106">
        <f t="shared" si="458"/>
        <v>235.96875</v>
      </c>
      <c r="BB442" s="104">
        <f>('Renewable Diesel'!Q451*'RD Feedstock Breakdown'!BB$3*'Feedstock Conversion Rates'!B$4)/12</f>
        <v>11.156249999999998</v>
      </c>
      <c r="BC442" s="104">
        <f>('Renewable Diesel'!Q451*'RD Feedstock Breakdown'!BC$3*'Feedstock Conversion Rates'!B$3)/12</f>
        <v>1.4017500000000001</v>
      </c>
      <c r="BD442" s="104">
        <f>('Renewable Diesel'!Q451*'RD Feedstock Breakdown'!BD$3*'Feedstock Conversion Rates'!B$6)/12</f>
        <v>0.8207500000000002</v>
      </c>
      <c r="BE442" s="106">
        <f t="shared" si="440"/>
        <v>13.378749999999998</v>
      </c>
      <c r="BF442" s="104">
        <f>('Renewable Diesel'!R451*'RD Feedstock Breakdown'!BF$3*'Feedstock Conversion Rates'!B$4)/12</f>
        <v>62.5</v>
      </c>
      <c r="BG442" s="106">
        <f t="shared" si="425"/>
        <v>62.5</v>
      </c>
      <c r="BH442" s="104">
        <f>('Renewable Diesel'!T451*'RD Feedstock Breakdown'!BH$3*'Feedstock Conversion Rates'!B$7)/12</f>
        <v>27.599999999999998</v>
      </c>
      <c r="BI442" s="106">
        <f t="shared" si="412"/>
        <v>27.599999999999998</v>
      </c>
      <c r="BJ442" s="104">
        <f>('Renewable Diesel'!W451*'RD Feedstock Breakdown'!BJ$3*'Feedstock Conversion Rates'!B$4)/12</f>
        <v>7.5</v>
      </c>
      <c r="BK442" s="104">
        <f>('Renewable Diesel'!W451*'RD Feedstock Breakdown'!BK$3*'Feedstock Conversion Rates'!B$3)/12</f>
        <v>1.335</v>
      </c>
      <c r="BL442" s="104">
        <f>('Renewable Diesel'!W451*'RD Feedstock Breakdown'!BL$3*'Feedstock Conversion Rates'!B$6)/12</f>
        <v>3.1266666666666669</v>
      </c>
      <c r="BM442" s="104">
        <f>('Renewable Diesel'!W451*'RD Feedstock Breakdown'!BM$3*'Feedstock Conversion Rates'!B$7)/12</f>
        <v>1.5333333333333332</v>
      </c>
      <c r="BN442" s="106">
        <f t="shared" si="452"/>
        <v>13.495000000000001</v>
      </c>
      <c r="BO442" s="104">
        <f>('Renewable Diesel'!P451*'Feedstock Conversion Rates'!B$4)/12</f>
        <v>31.25</v>
      </c>
      <c r="BP442" s="106">
        <f t="shared" si="446"/>
        <v>31.25</v>
      </c>
      <c r="BQ442" s="104">
        <f>('Renewable Diesel'!$S451*'RD Feedstock Breakdown'!BQ$3*'Feedstock Conversion Rates'!B$4)/12+10+15-15</f>
        <v>38.125</v>
      </c>
      <c r="BR442" s="104">
        <f>('Renewable Diesel'!$S451*'RD Feedstock Breakdown'!BR$3*'Feedstock Conversion Rates'!B$7)/12-10-15+15</f>
        <v>1.5</v>
      </c>
      <c r="BS442" s="106">
        <f t="shared" si="460"/>
        <v>39.625</v>
      </c>
      <c r="BT442" s="106"/>
      <c r="BU442" s="104">
        <f>('Renewable Diesel'!Y451*'Feedstock Conversion Rates'!B$7)/12</f>
        <v>2.6833333333333331</v>
      </c>
      <c r="BV442" s="106">
        <f t="shared" si="442"/>
        <v>2.6833333333333331</v>
      </c>
      <c r="BW442" s="104">
        <f>('Renewable Diesel'!$Z451*'RD Feedstock Breakdown'!BW$3*'Feedstock Conversion Rates'!$B$4)/12-250+180</f>
        <v>1.875</v>
      </c>
      <c r="BX442" s="104">
        <f>('Renewable Diesel'!$Z451*'RD Feedstock Breakdown'!BX$3*'Feedstock Conversion Rates'!$B$5)/12</f>
        <v>7.2354166666666666</v>
      </c>
      <c r="BY442" s="104">
        <f>('Renewable Diesel'!$Z451*'RD Feedstock Breakdown'!BY$3*'Feedstock Conversion Rates'!$B$7)/12</f>
        <v>61.716666666666661</v>
      </c>
      <c r="BZ442" s="104">
        <f>('Renewable Diesel'!$Z451*'RD Feedstock Breakdown'!BZ$3*'Feedstock Conversion Rates'!$B$3)/12+250-180</f>
        <v>85.35250000000002</v>
      </c>
      <c r="CA442" s="106">
        <f t="shared" si="464"/>
        <v>156.17958333333334</v>
      </c>
      <c r="CB442" s="104">
        <f>('Renewable Diesel'!AA451*'Feedstock Conversion Rates'!B$4)/12</f>
        <v>191.25</v>
      </c>
      <c r="CC442" s="106">
        <f t="shared" si="454"/>
        <v>191.25</v>
      </c>
      <c r="CD442" s="104">
        <f>('Renewable Diesel'!$AB451*'RD Feedstock Breakdown'!CD$3*'Feedstock Conversion Rates'!$B$6)/12-15-5</f>
        <v>12.830000000000005</v>
      </c>
      <c r="CE442" s="104">
        <f>('Renewable Diesel'!$AB451*'RD Feedstock Breakdown'!CE$3*'Feedstock Conversion Rates'!$B$4)/12+15+5</f>
        <v>31.25</v>
      </c>
      <c r="CF442" s="106">
        <f t="shared" si="450"/>
        <v>44.080000000000005</v>
      </c>
      <c r="CG442" s="104">
        <f>('Renewable Diesel'!AD451*'Feedstock Conversion Rates'!B$4)/12</f>
        <v>112.5</v>
      </c>
      <c r="CH442" s="106">
        <f t="shared" si="439"/>
        <v>112.5</v>
      </c>
      <c r="CI442" s="104">
        <f>('Renewable Diesel'!$AE451*'RD Feedstock Breakdown'!CI$3*'Feedstock Conversion Rates'!$B$5)/12</f>
        <v>0.34604166666666664</v>
      </c>
      <c r="CJ442" s="104">
        <f>('Renewable Diesel'!$AE451*'RD Feedstock Breakdown'!CJ$3*'Feedstock Conversion Rates'!$B$4)/12</f>
        <v>0.34375</v>
      </c>
      <c r="CK442" s="106">
        <f t="shared" si="447"/>
        <v>0.68979166666666658</v>
      </c>
      <c r="CL442" s="104">
        <f>(((CL$3*'Renewable Diesel'!$AF451)*'Feedstock Conversion Rates'!$B$3)/12)</f>
        <v>91.78125</v>
      </c>
      <c r="CM442" s="104">
        <f>(((CM$3*'Renewable Diesel'!$AF451)*'Feedstock Conversion Rates'!$B$6)/12)</f>
        <v>53.739583333333336</v>
      </c>
      <c r="CN442" s="104">
        <f>(((CN$3*'Renewable Diesel'!$AF451)*'Feedstock Conversion Rates'!$B$4)/12)</f>
        <v>42.96875</v>
      </c>
      <c r="CO442" s="106">
        <f t="shared" si="441"/>
        <v>188.48958333333334</v>
      </c>
      <c r="CP442" s="104">
        <f>('Renewable Diesel'!$AG451*'RD Feedstock Breakdown'!CP$3*'Feedstock Conversion Rates'!$B$3)/12</f>
        <v>6.0075000000000003</v>
      </c>
      <c r="CQ442" s="104">
        <f>('Renewable Diesel'!$AG451*'RD Feedstock Breakdown'!CQ$3*'Feedstock Conversion Rates'!$B$6)/12</f>
        <v>3.5175000000000001</v>
      </c>
      <c r="CR442" s="104">
        <f>('Renewable Diesel'!$AG451*'RD Feedstock Breakdown'!CR$3*'Feedstock Conversion Rates'!$B$4)/12</f>
        <v>2.8125</v>
      </c>
      <c r="CS442" s="106">
        <f t="shared" si="467"/>
        <v>12.3375</v>
      </c>
      <c r="CT442" s="104">
        <f>('Renewable Diesel'!AI451*'Feedstock Conversion Rates'!$B$4*'RD Feedstock Breakdown'!$CT$3)/12</f>
        <v>29.375</v>
      </c>
      <c r="CU442" s="106">
        <f t="shared" si="443"/>
        <v>29.375</v>
      </c>
      <c r="CV442" s="104">
        <f>('Renewable Diesel'!AN451*'Feedstock Conversion Rates'!$B$3*'RD Feedstock Breakdown'!$CV$3)/12</f>
        <v>0.50062499999999999</v>
      </c>
      <c r="CW442" s="106">
        <f t="shared" si="419"/>
        <v>0.50062499999999999</v>
      </c>
      <c r="CX442" s="104">
        <f>('Renewable Diesel'!AO451*'RD Feedstock Breakdown'!$CX$3*'Feedstock Conversion Rates'!$B$3)/12</f>
        <v>6.3412499999999996</v>
      </c>
      <c r="CY442" s="104">
        <f>('Renewable Diesel'!AO451*'RD Feedstock Breakdown'!$CY$3*'Feedstock Conversion Rates'!$B$6)/12</f>
        <v>7.4258333333333342</v>
      </c>
      <c r="CZ442" s="106">
        <f t="shared" si="468"/>
        <v>13.767083333333334</v>
      </c>
      <c r="DA442" s="104">
        <f>('Renewable Diesel'!$AP451*'RD Feedstock Breakdown'!DA$3*'Feedstock Conversion Rates'!$B$3)/12</f>
        <v>6.3412499999999996</v>
      </c>
      <c r="DB442" s="104">
        <f>('Renewable Diesel'!$AP451*'RD Feedstock Breakdown'!DB$3*'Feedstock Conversion Rates'!$B$8)/12</f>
        <v>7.421875</v>
      </c>
      <c r="DC442" s="106">
        <f t="shared" si="422"/>
        <v>13.763124999999999</v>
      </c>
      <c r="DD442" s="104">
        <f>('Renewable Diesel'!AQ451*$DD$3*'Feedstock Conversion Rates'!$B$14)/12</f>
        <v>3.1041666666666665</v>
      </c>
      <c r="DE442" s="106">
        <f t="shared" si="423"/>
        <v>3.1041666666666665</v>
      </c>
      <c r="DF442" s="104">
        <f>('Renewable Diesel'!AR451*'Feedstock Conversion Rates'!$B$4*$DF$3)/12</f>
        <v>75</v>
      </c>
      <c r="DG442" s="106">
        <f t="shared" si="469"/>
        <v>75</v>
      </c>
      <c r="DH442" s="104">
        <f>('Renewable Diesel'!AS451*'Feedstock Conversion Rates'!$B$4*$DH$3)/12</f>
        <v>75</v>
      </c>
      <c r="DI442" s="106">
        <f t="shared" si="478"/>
        <v>75</v>
      </c>
      <c r="DJ442" s="104">
        <f>('Renewable Diesel'!AT451*'Feedstock Conversion Rates'!$B$4*0.25)/12</f>
        <v>8.59375</v>
      </c>
      <c r="DK442" s="104">
        <f>('Renewable Diesel'!$AT451*'RD Feedstock Breakdown'!DK$3*'Feedstock Conversion Rates'!$B$3)/12*0.5</f>
        <v>9.1781249999999996</v>
      </c>
      <c r="DL442" s="104">
        <f>('Renewable Diesel'!$AT451*'RD Feedstock Breakdown'!$DL$3*'Feedstock Conversion Rates'!$B$6)/12</f>
        <v>10.747916666666669</v>
      </c>
      <c r="DM442" s="104">
        <f>('Renewable Diesel'!$AT451*'RD Feedstock Breakdown'!$DM$3*'Feedstock Conversion Rates'!$B$8)/12</f>
        <v>10.7421875</v>
      </c>
      <c r="DN442" s="106">
        <f t="shared" si="453"/>
        <v>39.26197916666667</v>
      </c>
      <c r="DP442" s="104">
        <f t="shared" si="426"/>
        <v>103.22025000000001</v>
      </c>
      <c r="DQ442" s="104">
        <f t="shared" si="427"/>
        <v>349.11776750000007</v>
      </c>
      <c r="DR442" s="104">
        <f t="shared" si="432"/>
        <v>1891.953125</v>
      </c>
      <c r="DS442" s="104">
        <f t="shared" si="444"/>
        <v>228.90125</v>
      </c>
      <c r="DT442" s="104">
        <f t="shared" si="428"/>
        <v>243.03923333333344</v>
      </c>
      <c r="DU442" s="104">
        <f t="shared" si="429"/>
        <v>402.90610000000009</v>
      </c>
      <c r="DV442" s="104">
        <f t="shared" si="433"/>
        <v>78.75</v>
      </c>
      <c r="DW442" s="104">
        <f t="shared" si="430"/>
        <v>3</v>
      </c>
      <c r="DX442" s="106">
        <f t="shared" si="434"/>
        <v>3300.8877258333337</v>
      </c>
      <c r="DY442" s="109">
        <f t="shared" si="421"/>
        <v>-5.631051180898794E-13</v>
      </c>
      <c r="EA442" s="110">
        <f t="shared" si="472"/>
        <v>3.1270451640078516E-2</v>
      </c>
      <c r="EB442" s="110">
        <f t="shared" si="470"/>
        <v>0.10576481131658687</v>
      </c>
      <c r="EC442" s="110">
        <f t="shared" si="470"/>
        <v>0.57316494293133291</v>
      </c>
      <c r="ED442" s="110">
        <f t="shared" si="470"/>
        <v>6.9345360706629972E-2</v>
      </c>
      <c r="EE442" s="110">
        <f t="shared" si="470"/>
        <v>7.3628445896921982E-2</v>
      </c>
      <c r="EF442" s="110">
        <f t="shared" si="470"/>
        <v>0.1220599225010852</v>
      </c>
      <c r="EG442" s="110">
        <f t="shared" si="470"/>
        <v>2.3857218585075921E-2</v>
      </c>
      <c r="EH442" s="111">
        <f t="shared" si="435"/>
        <v>9.0884642228860647E-4</v>
      </c>
      <c r="EI442" s="110">
        <f t="shared" si="476"/>
        <v>0.99909115357771139</v>
      </c>
      <c r="EK442" s="132">
        <f>(EA442*'Renewable Diesel'!BF451*'Feedstock Conversion Rates'!B$2)+FB442</f>
        <v>608.67535546822046</v>
      </c>
      <c r="EL442" s="132">
        <f>(EB442*'Renewable Diesel'!BF451*'Feedstock Conversion Rates'!B$3)+FC442</f>
        <v>1940.0206539260698</v>
      </c>
      <c r="EM442" s="132">
        <f>(EC442*'Renewable Diesel'!BF451*'Feedstock Conversion Rates'!B$4)+FD442</f>
        <v>9844.0434344371133</v>
      </c>
      <c r="EN442" s="132">
        <f>(ED442*'Renewable Diesel'!BF451*'Feedstock Conversion Rates'!B$5)+FE442</f>
        <v>1198.9387630899128</v>
      </c>
      <c r="EO442" s="132">
        <f>(EE442*'Renewable Diesel'!BF451*'Feedstock Conversion Rates'!B$6)+FF442</f>
        <v>1581.5433873499603</v>
      </c>
      <c r="EP442" s="132">
        <f>(EF442*'Renewable Diesel'!BF451*'Feedstock Conversion Rates'!B$7)+FG442</f>
        <v>2571.5416083772802</v>
      </c>
      <c r="EQ442" s="132">
        <f>(EG442*'Renewable Diesel'!BF451*'Feedstock Conversion Rates'!B$8)+FH442</f>
        <v>512.1813076512683</v>
      </c>
      <c r="ER442" s="132">
        <f>(EH442*'Renewable Diesel'!BF451*'Feedstock Conversion Rates'!B$9)+FI442</f>
        <v>19.251513278066717</v>
      </c>
      <c r="ES442" s="132">
        <f t="shared" si="436"/>
        <v>18276.196023577897</v>
      </c>
      <c r="ET442" s="133">
        <f>ES442/'Renewable Diesel'!BF451</f>
        <v>18.080797078023583</v>
      </c>
      <c r="EW442" s="73">
        <f t="shared" si="461"/>
        <v>17211.555373516956</v>
      </c>
      <c r="EX442" s="73">
        <f t="shared" si="462"/>
        <v>11273.663043977596</v>
      </c>
      <c r="EY442" s="92">
        <f t="shared" si="477"/>
        <v>0.94174714209196153</v>
      </c>
      <c r="EZ442" s="92">
        <f t="shared" si="477"/>
        <v>0.61684953638238404</v>
      </c>
      <c r="FB442" s="102">
        <f>IF('Renewable Diesel'!$BG451&lt;1,0,(((('Renewable Diesel'!$BG451-1)*'Renewable Diesel'!$BF451)*'RD Feedstock Breakdown'!EA442)*'Feedstock Conversion Rates'!$B$2))</f>
        <v>340.0040318337397</v>
      </c>
      <c r="FC442" s="102">
        <f>IF('Renewable Diesel'!$BG451&lt;1,0,(((('Renewable Diesel'!$BG451-1)*'Renewable Diesel'!$BF451)*'RD Feedstock Breakdown'!EB442)*'Feedstock Conversion Rates'!$B$3))</f>
        <v>1083.6890934547312</v>
      </c>
      <c r="FD442" s="102">
        <f>IF('Renewable Diesel'!$BG451&lt;1,0,(((('Renewable Diesel'!$BG451-1)*'Renewable Diesel'!$BF451)*'RD Feedstock Breakdown'!EC442)*'Feedstock Conversion Rates'!$B$4))</f>
        <v>5498.8499652337641</v>
      </c>
      <c r="FE442" s="102">
        <f>IF('Renewable Diesel'!$BG451&lt;1,0,(((('Renewable Diesel'!$BG451-1)*'Renewable Diesel'!$BF451)*'RD Feedstock Breakdown'!ED442)*'Feedstock Conversion Rates'!$B$5))</f>
        <v>669.72321075616594</v>
      </c>
      <c r="FF442" s="102">
        <f>IF('Renewable Diesel'!$BG451&lt;1,0,(((('Renewable Diesel'!$BG451-1)*'Renewable Diesel'!$BF451)*'RD Feedstock Breakdown'!EE442)*'Feedstock Conversion Rates'!$B$6))</f>
        <v>883.44488303675371</v>
      </c>
      <c r="FG442" s="102">
        <f>IF('Renewable Diesel'!$BG451&lt;1,0,(((('Renewable Diesel'!$BG451-1)*'Renewable Diesel'!$BF451)*'RD Feedstock Breakdown'!EF442)*'Feedstock Conversion Rates'!$B$7))</f>
        <v>1436.4546009981259</v>
      </c>
      <c r="FH442" s="102">
        <f>IF('Renewable Diesel'!$BG451&lt;1,0,(((('Renewable Diesel'!$BG451-1)*'Renewable Diesel'!$BF451)*'RD Feedstock Breakdown'!EG442)*'Feedstock Conversion Rates'!$B$8))</f>
        <v>286.10277723064553</v>
      </c>
      <c r="FI442" s="102">
        <f>IF('Renewable Diesel'!$BG451&lt;1,0,(((('Renewable Diesel'!$BG451-1)*'Renewable Diesel'!$BF451)*'RD Feedstock Breakdown'!EH442)*'Feedstock Conversion Rates'!$B$9))</f>
        <v>10.753831372732835</v>
      </c>
      <c r="FJ442" s="102">
        <f t="shared" si="463"/>
        <v>10209.022393916659</v>
      </c>
      <c r="GD442" s="91">
        <f>'Renewable Diesel'!BB451*0.32</f>
        <v>0</v>
      </c>
      <c r="GE442" s="91">
        <f>'Renewable Diesel'!BC451</f>
        <v>545.11240017848991</v>
      </c>
      <c r="GF442" s="91">
        <f>'Renewable Diesel'!BD451</f>
        <v>0</v>
      </c>
      <c r="GG442" s="91">
        <f t="shared" si="451"/>
        <v>545.11240017848991</v>
      </c>
      <c r="GH442" s="124">
        <v>1</v>
      </c>
      <c r="GI442" s="102">
        <f>$GG442*EA442*'Feedstock Conversion Rates'!$B$2</f>
        <v>144.89024305960305</v>
      </c>
      <c r="GJ442" s="102">
        <f>$GG442*EB442*'Feedstock Conversion Rates'!$B$3</f>
        <v>461.80621831119032</v>
      </c>
      <c r="GK442" s="102">
        <f>$GG442*EC442*'Feedstock Conversion Rates'!$B$4</f>
        <v>2343.2948830459954</v>
      </c>
      <c r="GL442" s="102">
        <f>$GG442*ED442*'Feedstock Conversion Rates'!$B$5</f>
        <v>285.39767092105825</v>
      </c>
      <c r="GM442" s="102">
        <f>$GG442*EE442*'Feedstock Conversion Rates'!$B$6</f>
        <v>376.47360574697677</v>
      </c>
      <c r="GN442" s="102">
        <f>$GG442*EF442*'Feedstock Conversion Rates'!$B$7</f>
        <v>612.1346713455365</v>
      </c>
      <c r="GO442" s="102">
        <f>$GG442*EG442*'Feedstock Conversion Rates'!$B$8</f>
        <v>121.92061579212762</v>
      </c>
      <c r="GP442" s="102">
        <f>$GG442*EH442*'Feedstock Conversion Rates'!B$9</f>
        <v>4.5826669554882251</v>
      </c>
      <c r="GQ442" s="102">
        <f t="shared" si="437"/>
        <v>4350.5005751779763</v>
      </c>
      <c r="GT442" s="103">
        <f t="shared" si="418"/>
        <v>3.3304269372191886E-2</v>
      </c>
      <c r="GU442" s="103">
        <f t="shared" si="418"/>
        <v>0.10615013383656387</v>
      </c>
      <c r="GV442" s="103">
        <f t="shared" si="418"/>
        <v>0.53862649654979811</v>
      </c>
      <c r="GW442" s="103">
        <f t="shared" si="418"/>
        <v>6.5601110950176747E-2</v>
      </c>
      <c r="GX442" s="103">
        <f t="shared" si="465"/>
        <v>8.6535698419388296E-2</v>
      </c>
      <c r="GY442" s="103">
        <f t="shared" si="465"/>
        <v>0.14070442257566979</v>
      </c>
      <c r="GZ442" s="103">
        <f t="shared" si="465"/>
        <v>2.8024502855545513E-2</v>
      </c>
      <c r="HA442" s="103">
        <f t="shared" si="465"/>
        <v>1.0533654406655838E-3</v>
      </c>
    </row>
    <row r="443" spans="1:209" x14ac:dyDescent="0.25">
      <c r="A443" s="96">
        <v>53905</v>
      </c>
      <c r="B443" s="104">
        <f t="shared" si="473"/>
        <v>44.25</v>
      </c>
      <c r="C443" s="104">
        <f t="shared" si="466"/>
        <v>49</v>
      </c>
      <c r="D443" s="104">
        <f t="shared" si="474"/>
        <v>2</v>
      </c>
      <c r="E443" s="104">
        <f>('Renewable Diesel'!B452*E$3*'Feedstock Conversion Rates'!$B$2)/12+26+13-100+27.5+39</f>
        <v>95.43</v>
      </c>
      <c r="F443" s="104">
        <f>('Renewable Diesel'!B452*'RD Feedstock Breakdown'!F$3*'Feedstock Conversion Rates'!B$8)/12+77+23-10-12-115.75+24+8</f>
        <v>48.15625</v>
      </c>
      <c r="G443" s="104">
        <f>('Renewable Diesel'!B452*'RD Feedstock Breakdown'!G$3*'Feedstock Conversion Rates'!B$7)/12+116.75-39-57.5-145-31.5+32+70-40+10+60</f>
        <v>151.90700000000004</v>
      </c>
      <c r="H443" s="104">
        <f>('Renewable Diesel'!B452*'RD Feedstock Breakdown'!H$3*'Feedstock Conversion Rates'!B$3)/12+67+10+12+3-235+20+47-20+25</f>
        <v>105.40022499999998</v>
      </c>
      <c r="I443" s="106">
        <f t="shared" si="449"/>
        <v>496.14347500000002</v>
      </c>
      <c r="J443" s="104">
        <f t="shared" si="417"/>
        <v>4</v>
      </c>
      <c r="K443" s="104"/>
      <c r="L443" s="104">
        <v>1</v>
      </c>
      <c r="M443" s="104">
        <f>('Renewable Diesel'!C452*'RD Feedstock Breakdown'!M$3*'Feedstock Conversion Rates'!B$2)/12</f>
        <v>7.7902500000000003</v>
      </c>
      <c r="N443" s="104">
        <f>('Renewable Diesel'!C452*'RD Feedstock Breakdown'!N$3*'Feedstock Conversion Rates'!B$8)/12</f>
        <v>3.671875</v>
      </c>
      <c r="O443" s="104">
        <f>('Renewable Diesel'!C452*'RD Feedstock Breakdown'!O$3*'Feedstock Conversion Rates'!B$7)/12</f>
        <v>11.9991</v>
      </c>
      <c r="P443" s="104">
        <f>('Renewable Diesel'!C452*'RD Feedstock Breakdown'!P$3*'Feedstock Conversion Rates'!B$3)/12</f>
        <v>10.4470425</v>
      </c>
      <c r="Q443" s="106">
        <f t="shared" si="455"/>
        <v>38.908267500000001</v>
      </c>
      <c r="R443" s="104">
        <f>('Renewable Diesel'!D452*'RD Feedstock Breakdown'!R$3*'Feedstock Conversion Rates'!B$7)/12</f>
        <v>2.2999999999999998</v>
      </c>
      <c r="S443" s="106">
        <f t="shared" si="414"/>
        <v>2.2999999999999998</v>
      </c>
      <c r="T443" s="104">
        <f t="shared" si="456"/>
        <v>0.82499999999999929</v>
      </c>
      <c r="U443" s="104"/>
      <c r="V443" s="104">
        <f>('Renewable Diesel'!E452*'RD Feedstock Breakdown'!V$3*'Feedstock Conversion Rates'!B$6)/12-20+25</f>
        <v>49.250150000000012</v>
      </c>
      <c r="W443" s="104">
        <f>('Renewable Diesel'!E452*'RD Feedstock Breakdown'!W$3*'Feedstock Conversion Rates'!B$8)/12-6</f>
        <v>16.1796875</v>
      </c>
      <c r="X443" s="106">
        <f t="shared" si="438"/>
        <v>66.254837500000008</v>
      </c>
      <c r="Y443" s="104">
        <f t="shared" si="457"/>
        <v>98</v>
      </c>
      <c r="Z443" s="104">
        <f>('Renewable Diesel'!F452*'RD Feedstock Breakdown'!Z$3*'Feedstock Conversion Rates'!B$6)/12-142+15+5+20+5+15</f>
        <v>77.460000000000008</v>
      </c>
      <c r="AA443" s="104">
        <f>('Renewable Diesel'!F452*'RD Feedstock Breakdown'!AA$3*'Feedstock Conversion Rates'!B$7)/12+24</f>
        <v>128.26666666666665</v>
      </c>
      <c r="AB443" s="106">
        <f t="shared" si="471"/>
        <v>303.72666666666669</v>
      </c>
      <c r="AC443" s="104">
        <f>('Renewable Diesel'!G452*'RD Feedstock Breakdown'!AC$3*'Feedstock Conversion Rates'!B$5)/12</f>
        <v>11.796875</v>
      </c>
      <c r="AD443" s="104">
        <f>('Renewable Diesel'!G452*'RD Feedstock Breakdown'!AD$3*'Feedstock Conversion Rates'!B$4)/12</f>
        <v>5.859375</v>
      </c>
      <c r="AE443" s="104">
        <f>('Renewable Diesel'!G452*'RD Feedstock Breakdown'!AE$3*'Feedstock Conversion Rates'!B$6)/12</f>
        <v>7.3281250000000009</v>
      </c>
      <c r="AF443" s="106">
        <f t="shared" si="445"/>
        <v>24.984375</v>
      </c>
      <c r="AG443" s="104">
        <f t="shared" si="459"/>
        <v>148</v>
      </c>
      <c r="AH443" s="104"/>
      <c r="AI443" s="104">
        <f>('Renewable Diesel'!H452*'RD Feedstock Breakdown'!AI$3*'Feedstock Conversion Rates'!B$6)/12-130-20+51-49</f>
        <v>0.51666666666667993</v>
      </c>
      <c r="AJ443" s="106">
        <f t="shared" si="413"/>
        <v>148.51666666666668</v>
      </c>
      <c r="AK443" s="104">
        <f>('Renewable Diesel'!J452*'RD Feedstock Breakdown'!AK$3*'Feedstock Conversion Rates'!B$4)/12</f>
        <v>95.8125</v>
      </c>
      <c r="AL443" s="106">
        <f t="shared" si="415"/>
        <v>95.8125</v>
      </c>
      <c r="AM443" s="104">
        <f>('Renewable Diesel'!K452*'RD Feedstock Breakdown'!AM$3*'Feedstock Conversion Rates'!B$4)/12+5+15-10+10</f>
        <v>78.59375</v>
      </c>
      <c r="AN443" s="104">
        <f>('Renewable Diesel'!K452*'RD Feedstock Breakdown'!AN$3*'Feedstock Conversion Rates'!B$6)/12-5-15+10-10</f>
        <v>4.4270833333333321</v>
      </c>
      <c r="AO443" s="106">
        <f t="shared" si="431"/>
        <v>83.020833333333329</v>
      </c>
      <c r="AP443" s="104">
        <f>('Renewable Diesel'!L452*'RD Feedstock Breakdown'!AP$3*'Feedstock Conversion Rates'!B$4)/12+15-10+15</f>
        <v>78.59375</v>
      </c>
      <c r="AQ443" s="104">
        <f>('Renewable Diesel'!L452*'RD Feedstock Breakdown'!AQ$3*'Feedstock Conversion Rates'!B$6)/12-15+10-15</f>
        <v>4.4270833333333321</v>
      </c>
      <c r="AR443" s="106">
        <f t="shared" si="420"/>
        <v>83.020833333333329</v>
      </c>
      <c r="AS443" s="104">
        <f>('Renewable Diesel'!M452*'RD Feedstock Breakdown'!AS$3*'Feedstock Conversion Rates'!B$4)/12</f>
        <v>456.25</v>
      </c>
      <c r="AT443" s="104">
        <f>('Renewable Diesel'!M452*'RD Feedstock Breakdown'!AT$3*'Feedstock Conversion Rates'!B$5)/12</f>
        <v>0</v>
      </c>
      <c r="AU443" s="106">
        <f t="shared" si="448"/>
        <v>456.25</v>
      </c>
      <c r="AV443" s="104">
        <f>'Renewable Diesel'!N452*'RD Feedstock Breakdown'!$AV$3*'Feedstock Conversion Rates'!$B$4/12-15-10+25+25-22+25</f>
        <v>106.74999999999999</v>
      </c>
      <c r="AW443" s="104">
        <f>'Renewable Diesel'!N452*'RD Feedstock Breakdown'!$AW$3*'Feedstock Conversion Rates'!$B$7/12+15+10-25-25+22-25</f>
        <v>13.400000000000006</v>
      </c>
      <c r="AX443" s="106">
        <f t="shared" si="475"/>
        <v>120.14999999999999</v>
      </c>
      <c r="AY443" s="104">
        <f>('Renewable Diesel'!O452*'RD Feedstock Breakdown'!AY$3*'Feedstock Conversion Rates'!B$4)/12</f>
        <v>210.9375</v>
      </c>
      <c r="AZ443" s="104">
        <f>('Renewable Diesel'!O452*'RD Feedstock Breakdown'!AZ$3*'Feedstock Conversion Rates'!B$3)/12</f>
        <v>25.03125</v>
      </c>
      <c r="BA443" s="106">
        <f t="shared" si="458"/>
        <v>235.96875</v>
      </c>
      <c r="BB443" s="104">
        <f>('Renewable Diesel'!Q452*'RD Feedstock Breakdown'!BB$3*'Feedstock Conversion Rates'!B$4)/12</f>
        <v>11.156249999999998</v>
      </c>
      <c r="BC443" s="104">
        <f>('Renewable Diesel'!Q452*'RD Feedstock Breakdown'!BC$3*'Feedstock Conversion Rates'!B$3)/12</f>
        <v>1.4017500000000001</v>
      </c>
      <c r="BD443" s="104">
        <f>('Renewable Diesel'!Q452*'RD Feedstock Breakdown'!BD$3*'Feedstock Conversion Rates'!B$6)/12</f>
        <v>0.8207500000000002</v>
      </c>
      <c r="BE443" s="106">
        <f t="shared" si="440"/>
        <v>13.378749999999998</v>
      </c>
      <c r="BF443" s="104">
        <f>('Renewable Diesel'!R452*'RD Feedstock Breakdown'!BF$3*'Feedstock Conversion Rates'!B$4)/12</f>
        <v>62.5</v>
      </c>
      <c r="BG443" s="106">
        <f t="shared" si="425"/>
        <v>62.5</v>
      </c>
      <c r="BH443" s="104">
        <f>('Renewable Diesel'!T452*'RD Feedstock Breakdown'!BH$3*'Feedstock Conversion Rates'!B$7)/12</f>
        <v>27.599999999999998</v>
      </c>
      <c r="BI443" s="106">
        <f t="shared" si="412"/>
        <v>27.599999999999998</v>
      </c>
      <c r="BJ443" s="104">
        <f>('Renewable Diesel'!W452*'RD Feedstock Breakdown'!BJ$3*'Feedstock Conversion Rates'!B$4)/12</f>
        <v>7.5</v>
      </c>
      <c r="BK443" s="104">
        <f>('Renewable Diesel'!W452*'RD Feedstock Breakdown'!BK$3*'Feedstock Conversion Rates'!B$3)/12</f>
        <v>1.335</v>
      </c>
      <c r="BL443" s="104">
        <f>('Renewable Diesel'!W452*'RD Feedstock Breakdown'!BL$3*'Feedstock Conversion Rates'!B$6)/12</f>
        <v>3.1266666666666669</v>
      </c>
      <c r="BM443" s="104">
        <f>('Renewable Diesel'!W452*'RD Feedstock Breakdown'!BM$3*'Feedstock Conversion Rates'!B$7)/12</f>
        <v>1.5333333333333332</v>
      </c>
      <c r="BN443" s="106">
        <f t="shared" si="452"/>
        <v>13.495000000000001</v>
      </c>
      <c r="BO443" s="104">
        <f>('Renewable Diesel'!P452*'Feedstock Conversion Rates'!B$4)/12</f>
        <v>31.25</v>
      </c>
      <c r="BP443" s="106">
        <f t="shared" si="446"/>
        <v>31.25</v>
      </c>
      <c r="BQ443" s="104">
        <f>('Renewable Diesel'!$S452*'RD Feedstock Breakdown'!BQ$3*'Feedstock Conversion Rates'!B$4)/12+10+15-15</f>
        <v>38.125</v>
      </c>
      <c r="BR443" s="104">
        <f>('Renewable Diesel'!$S452*'RD Feedstock Breakdown'!BR$3*'Feedstock Conversion Rates'!B$7)/12-10-15+15</f>
        <v>1.5</v>
      </c>
      <c r="BS443" s="106">
        <f t="shared" si="460"/>
        <v>39.625</v>
      </c>
      <c r="BT443" s="106"/>
      <c r="BU443" s="104">
        <f>('Renewable Diesel'!Y452*'Feedstock Conversion Rates'!B$7)/12</f>
        <v>2.6833333333333331</v>
      </c>
      <c r="BV443" s="106">
        <f t="shared" si="442"/>
        <v>2.6833333333333331</v>
      </c>
      <c r="BW443" s="104">
        <f>('Renewable Diesel'!$Z452*'RD Feedstock Breakdown'!BW$3*'Feedstock Conversion Rates'!$B$4)/12-250+180</f>
        <v>1.875</v>
      </c>
      <c r="BX443" s="104">
        <f>('Renewable Diesel'!$Z452*'RD Feedstock Breakdown'!BX$3*'Feedstock Conversion Rates'!$B$5)/12</f>
        <v>7.2354166666666666</v>
      </c>
      <c r="BY443" s="104">
        <f>('Renewable Diesel'!$Z452*'RD Feedstock Breakdown'!BY$3*'Feedstock Conversion Rates'!$B$7)/12</f>
        <v>61.716666666666661</v>
      </c>
      <c r="BZ443" s="104">
        <f>('Renewable Diesel'!$Z452*'RD Feedstock Breakdown'!BZ$3*'Feedstock Conversion Rates'!$B$3)/12+250-180</f>
        <v>85.35250000000002</v>
      </c>
      <c r="CA443" s="106">
        <f t="shared" si="464"/>
        <v>156.17958333333334</v>
      </c>
      <c r="CB443" s="104">
        <f>('Renewable Diesel'!AA452*'Feedstock Conversion Rates'!B$4)/12</f>
        <v>191.25</v>
      </c>
      <c r="CC443" s="106">
        <f t="shared" si="454"/>
        <v>191.25</v>
      </c>
      <c r="CD443" s="104">
        <f>('Renewable Diesel'!$AB452*'RD Feedstock Breakdown'!CD$3*'Feedstock Conversion Rates'!$B$6)/12-15-5</f>
        <v>12.830000000000005</v>
      </c>
      <c r="CE443" s="104">
        <f>('Renewable Diesel'!$AB452*'RD Feedstock Breakdown'!CE$3*'Feedstock Conversion Rates'!$B$4)/12+15+5</f>
        <v>31.25</v>
      </c>
      <c r="CF443" s="106">
        <f t="shared" si="450"/>
        <v>44.080000000000005</v>
      </c>
      <c r="CG443" s="104">
        <f>('Renewable Diesel'!AD452*'Feedstock Conversion Rates'!B$4)/12</f>
        <v>112.5</v>
      </c>
      <c r="CH443" s="106">
        <f t="shared" si="439"/>
        <v>112.5</v>
      </c>
      <c r="CI443" s="104">
        <f>('Renewable Diesel'!$AE452*'RD Feedstock Breakdown'!CI$3*'Feedstock Conversion Rates'!$B$5)/12</f>
        <v>0.34604166666666664</v>
      </c>
      <c r="CJ443" s="104">
        <f>('Renewable Diesel'!$AE452*'RD Feedstock Breakdown'!CJ$3*'Feedstock Conversion Rates'!$B$4)/12</f>
        <v>0.34375</v>
      </c>
      <c r="CK443" s="106">
        <f t="shared" si="447"/>
        <v>0.68979166666666658</v>
      </c>
      <c r="CL443" s="104">
        <f>(((CL$3*'Renewable Diesel'!$AF452)*'Feedstock Conversion Rates'!$B$3)/12)</f>
        <v>91.78125</v>
      </c>
      <c r="CM443" s="104">
        <f>(((CM$3*'Renewable Diesel'!$AF452)*'Feedstock Conversion Rates'!$B$6)/12)</f>
        <v>53.739583333333336</v>
      </c>
      <c r="CN443" s="104">
        <f>(((CN$3*'Renewable Diesel'!$AF452)*'Feedstock Conversion Rates'!$B$4)/12)</f>
        <v>42.96875</v>
      </c>
      <c r="CO443" s="106">
        <f t="shared" si="441"/>
        <v>188.48958333333334</v>
      </c>
      <c r="CP443" s="104">
        <f>('Renewable Diesel'!$AG452*'RD Feedstock Breakdown'!CP$3*'Feedstock Conversion Rates'!$B$3)/12</f>
        <v>6.0075000000000003</v>
      </c>
      <c r="CQ443" s="104">
        <f>('Renewable Diesel'!$AG452*'RD Feedstock Breakdown'!CQ$3*'Feedstock Conversion Rates'!$B$6)/12</f>
        <v>3.5175000000000001</v>
      </c>
      <c r="CR443" s="104">
        <f>('Renewable Diesel'!$AG452*'RD Feedstock Breakdown'!CR$3*'Feedstock Conversion Rates'!$B$4)/12</f>
        <v>2.8125</v>
      </c>
      <c r="CS443" s="106">
        <f t="shared" si="467"/>
        <v>12.3375</v>
      </c>
      <c r="CT443" s="104">
        <f>('Renewable Diesel'!AI452*'Feedstock Conversion Rates'!$B$4*'RD Feedstock Breakdown'!$CT$3)/12</f>
        <v>29.375</v>
      </c>
      <c r="CU443" s="106">
        <f t="shared" si="443"/>
        <v>29.375</v>
      </c>
      <c r="CV443" s="104">
        <f>('Renewable Diesel'!AN452*'Feedstock Conversion Rates'!$B$3*'RD Feedstock Breakdown'!$CV$3)/12</f>
        <v>0.50062499999999999</v>
      </c>
      <c r="CW443" s="106">
        <f t="shared" si="419"/>
        <v>0.50062499999999999</v>
      </c>
      <c r="CX443" s="104">
        <f>('Renewable Diesel'!AO452*'RD Feedstock Breakdown'!$CX$3*'Feedstock Conversion Rates'!$B$3)/12</f>
        <v>6.3412499999999996</v>
      </c>
      <c r="CY443" s="104">
        <f>('Renewable Diesel'!AO452*'RD Feedstock Breakdown'!$CY$3*'Feedstock Conversion Rates'!$B$6)/12</f>
        <v>7.4258333333333342</v>
      </c>
      <c r="CZ443" s="106">
        <f t="shared" si="468"/>
        <v>13.767083333333334</v>
      </c>
      <c r="DA443" s="104">
        <f>('Renewable Diesel'!$AP452*'RD Feedstock Breakdown'!DA$3*'Feedstock Conversion Rates'!$B$3)/12</f>
        <v>6.3412499999999996</v>
      </c>
      <c r="DB443" s="104">
        <f>('Renewable Diesel'!$AP452*'RD Feedstock Breakdown'!DB$3*'Feedstock Conversion Rates'!$B$8)/12</f>
        <v>7.421875</v>
      </c>
      <c r="DC443" s="106">
        <f t="shared" si="422"/>
        <v>13.763124999999999</v>
      </c>
      <c r="DD443" s="104">
        <f>('Renewable Diesel'!AQ452*$DD$3*'Feedstock Conversion Rates'!$B$14)/12</f>
        <v>3.1041666666666665</v>
      </c>
      <c r="DE443" s="106">
        <f t="shared" si="423"/>
        <v>3.1041666666666665</v>
      </c>
      <c r="DF443" s="104">
        <f>('Renewable Diesel'!AR452*'Feedstock Conversion Rates'!$B$4*$DF$3)/12</f>
        <v>75</v>
      </c>
      <c r="DG443" s="106">
        <f t="shared" si="469"/>
        <v>75</v>
      </c>
      <c r="DH443" s="104">
        <f>('Renewable Diesel'!AS452*'Feedstock Conversion Rates'!$B$4*$DH$3)/12</f>
        <v>75</v>
      </c>
      <c r="DI443" s="106">
        <f t="shared" si="478"/>
        <v>75</v>
      </c>
      <c r="DJ443" s="104">
        <f>('Renewable Diesel'!AT452*'Feedstock Conversion Rates'!$B$4*0.25)/12</f>
        <v>8.59375</v>
      </c>
      <c r="DK443" s="104">
        <f>('Renewable Diesel'!$AT452*'RD Feedstock Breakdown'!DK$3*'Feedstock Conversion Rates'!$B$3)/12*0.5</f>
        <v>9.1781249999999996</v>
      </c>
      <c r="DL443" s="104">
        <f>('Renewable Diesel'!$AT452*'RD Feedstock Breakdown'!$DL$3*'Feedstock Conversion Rates'!$B$6)/12</f>
        <v>10.747916666666669</v>
      </c>
      <c r="DM443" s="104">
        <f>('Renewable Diesel'!$AT452*'RD Feedstock Breakdown'!$DM$3*'Feedstock Conversion Rates'!$B$8)/12</f>
        <v>10.7421875</v>
      </c>
      <c r="DN443" s="106">
        <f t="shared" si="453"/>
        <v>39.26197916666667</v>
      </c>
      <c r="DP443" s="104">
        <f t="shared" si="426"/>
        <v>103.22025000000001</v>
      </c>
      <c r="DQ443" s="104">
        <f t="shared" si="427"/>
        <v>349.11776750000007</v>
      </c>
      <c r="DR443" s="104">
        <f t="shared" si="432"/>
        <v>1891.953125</v>
      </c>
      <c r="DS443" s="104">
        <f t="shared" si="444"/>
        <v>228.90125</v>
      </c>
      <c r="DT443" s="104">
        <f t="shared" si="428"/>
        <v>243.03923333333344</v>
      </c>
      <c r="DU443" s="104">
        <f t="shared" si="429"/>
        <v>402.90610000000009</v>
      </c>
      <c r="DV443" s="104">
        <f t="shared" si="433"/>
        <v>78.75</v>
      </c>
      <c r="DW443" s="104">
        <f t="shared" si="430"/>
        <v>3</v>
      </c>
      <c r="DX443" s="106">
        <f t="shared" si="434"/>
        <v>3300.8877258333337</v>
      </c>
      <c r="DY443" s="109">
        <f t="shared" si="421"/>
        <v>-5.631051180898794E-13</v>
      </c>
      <c r="EA443" s="110">
        <f t="shared" si="472"/>
        <v>3.1270451640078516E-2</v>
      </c>
      <c r="EB443" s="110">
        <f t="shared" si="470"/>
        <v>0.10576481131658687</v>
      </c>
      <c r="EC443" s="110">
        <f t="shared" si="470"/>
        <v>0.57316494293133291</v>
      </c>
      <c r="ED443" s="110">
        <f t="shared" si="470"/>
        <v>6.9345360706629972E-2</v>
      </c>
      <c r="EE443" s="110">
        <f t="shared" si="470"/>
        <v>7.3628445896921982E-2</v>
      </c>
      <c r="EF443" s="110">
        <f t="shared" si="470"/>
        <v>0.1220599225010852</v>
      </c>
      <c r="EG443" s="110">
        <f t="shared" si="470"/>
        <v>2.3857218585075921E-2</v>
      </c>
      <c r="EH443" s="111">
        <f t="shared" si="435"/>
        <v>9.0884642228860647E-4</v>
      </c>
      <c r="EI443" s="110">
        <f t="shared" si="476"/>
        <v>0.99909115357771139</v>
      </c>
      <c r="EK443" s="132">
        <f>(EA443*'Renewable Diesel'!BF452*'Feedstock Conversion Rates'!B$2)+FB443</f>
        <v>654.99572862550872</v>
      </c>
      <c r="EL443" s="132">
        <f>(EB443*'Renewable Diesel'!BF452*'Feedstock Conversion Rates'!B$3)+FC443</f>
        <v>2087.6567949582227</v>
      </c>
      <c r="EM443" s="132">
        <f>(EC443*'Renewable Diesel'!BF452*'Feedstock Conversion Rates'!B$4)+FD443</f>
        <v>10593.178028376638</v>
      </c>
      <c r="EN443" s="132">
        <f>(ED443*'Renewable Diesel'!BF452*'Feedstock Conversion Rates'!B$5)+FE443</f>
        <v>1290.1783547706736</v>
      </c>
      <c r="EO443" s="132">
        <f>(EE443*'Renewable Diesel'!BF452*'Feedstock Conversion Rates'!B$6)+FF443</f>
        <v>1701.8993032061867</v>
      </c>
      <c r="EP443" s="132">
        <f>(EF443*'Renewable Diesel'!BF452*'Feedstock Conversion Rates'!B$7)+FG443</f>
        <v>2767.2366793530064</v>
      </c>
      <c r="EQ443" s="132">
        <f>(EG443*'Renewable Diesel'!BF452*'Feedstock Conversion Rates'!B$8)+FH443</f>
        <v>551.1584554550343</v>
      </c>
      <c r="ER443" s="132">
        <f>(EH443*'Renewable Diesel'!BF452*'Feedstock Conversion Rates'!B$9)+FI443</f>
        <v>20.716559087579704</v>
      </c>
      <c r="ES443" s="132">
        <f t="shared" si="436"/>
        <v>19667.019903832854</v>
      </c>
      <c r="ET443" s="133">
        <f>ES443/'Renewable Diesel'!BF452</f>
        <v>18.451162233870402</v>
      </c>
      <c r="EW443" s="73">
        <f t="shared" si="461"/>
        <v>18626.648330090273</v>
      </c>
      <c r="EX443" s="73">
        <f t="shared" si="462"/>
        <v>12200.556681542772</v>
      </c>
      <c r="EY443" s="92">
        <f t="shared" si="477"/>
        <v>0.94710070062318763</v>
      </c>
      <c r="EZ443" s="92">
        <f t="shared" si="477"/>
        <v>0.62035614654384097</v>
      </c>
      <c r="FB443" s="102">
        <f>IF('Renewable Diesel'!$BG452&lt;1,0,(((('Renewable Diesel'!$BG452-1)*'Renewable Diesel'!$BF452)*'RD Feedstock Breakdown'!EA443)*'Feedstock Conversion Rates'!$B$2))</f>
        <v>371.68181107370202</v>
      </c>
      <c r="FC443" s="102">
        <f>IF('Renewable Diesel'!$BG452&lt;1,0,(((('Renewable Diesel'!$BG452-1)*'Renewable Diesel'!$BF452)*'RD Feedstock Breakdown'!EB443)*'Feedstock Conversion Rates'!$B$3))</f>
        <v>1184.6551428338175</v>
      </c>
      <c r="FD443" s="102">
        <f>IF('Renewable Diesel'!$BG452&lt;1,0,(((('Renewable Diesel'!$BG452-1)*'Renewable Diesel'!$BF452)*'RD Feedstock Breakdown'!EC443)*'Feedstock Conversion Rates'!$B$4))</f>
        <v>6011.1714054616505</v>
      </c>
      <c r="FE443" s="102">
        <f>IF('Renewable Diesel'!$BG452&lt;1,0,(((('Renewable Diesel'!$BG452-1)*'Renewable Diesel'!$BF452)*'RD Feedstock Breakdown'!ED443)*'Feedstock Conversion Rates'!$B$5))</f>
        <v>732.12054148131097</v>
      </c>
      <c r="FF443" s="102">
        <f>IF('Renewable Diesel'!$BG452&lt;1,0,(((('Renewable Diesel'!$BG452-1)*'Renewable Diesel'!$BF452)*'RD Feedstock Breakdown'!EE443)*'Feedstock Conversion Rates'!$B$6))</f>
        <v>965.75441279314612</v>
      </c>
      <c r="FG443" s="102">
        <f>IF('Renewable Diesel'!$BG452&lt;1,0,(((('Renewable Diesel'!$BG452-1)*'Renewable Diesel'!$BF452)*'RD Feedstock Breakdown'!EF443)*'Feedstock Conversion Rates'!$B$7))</f>
        <v>1570.2874014306155</v>
      </c>
      <c r="FH443" s="102">
        <f>IF('Renewable Diesel'!$BG452&lt;1,0,(((('Renewable Diesel'!$BG452-1)*'Renewable Diesel'!$BF452)*'RD Feedstock Breakdown'!EG443)*'Feedstock Conversion Rates'!$B$8))</f>
        <v>312.7586394219631</v>
      </c>
      <c r="FI443" s="102">
        <f>IF('Renewable Diesel'!$BG452&lt;1,0,(((('Renewable Diesel'!$BG452-1)*'Renewable Diesel'!$BF452)*'RD Feedstock Breakdown'!EH443)*'Feedstock Conversion Rates'!$B$9))</f>
        <v>11.755753303987438</v>
      </c>
      <c r="FJ443" s="102">
        <f t="shared" si="463"/>
        <v>11160.185107800195</v>
      </c>
      <c r="GD443" s="91">
        <f>'Renewable Diesel'!BB452*0.32</f>
        <v>0</v>
      </c>
      <c r="GE443" s="91">
        <f>'Renewable Diesel'!BC452</f>
        <v>593.53706820316677</v>
      </c>
      <c r="GF443" s="91">
        <f>'Renewable Diesel'!BD452</f>
        <v>0</v>
      </c>
      <c r="GG443" s="91">
        <f t="shared" si="451"/>
        <v>593.53706820316677</v>
      </c>
      <c r="GH443" s="124">
        <v>1</v>
      </c>
      <c r="GI443" s="102">
        <f>$GG443*EA443*'Feedstock Conversion Rates'!$B$2</f>
        <v>157.76146359664943</v>
      </c>
      <c r="GJ443" s="102">
        <f>$GG443*EB443*'Feedstock Conversion Rates'!$B$3</f>
        <v>502.83044158354375</v>
      </c>
      <c r="GK443" s="102">
        <f>$GG443*EC443*'Feedstock Conversion Rates'!$B$4</f>
        <v>2551.4597986822405</v>
      </c>
      <c r="GL443" s="102">
        <f>$GG443*ED443*'Feedstock Conversion Rates'!$B$5</f>
        <v>310.75076775914698</v>
      </c>
      <c r="GM443" s="102">
        <f>$GG443*EE443*'Feedstock Conversion Rates'!$B$6</f>
        <v>409.91736775345657</v>
      </c>
      <c r="GN443" s="102">
        <f>$GG443*EF443*'Feedstock Conversion Rates'!$B$7</f>
        <v>666.51321462687861</v>
      </c>
      <c r="GO443" s="102">
        <f>$GG443*EG443*'Feedstock Conversion Rates'!$B$8</f>
        <v>132.75134601063812</v>
      </c>
      <c r="GP443" s="102">
        <f>$GG443*EH443*'Feedstock Conversion Rates'!B$9</f>
        <v>4.9897648786220801</v>
      </c>
      <c r="GQ443" s="102">
        <f t="shared" si="437"/>
        <v>4736.9741648911768</v>
      </c>
      <c r="GT443" s="103">
        <f t="shared" si="418"/>
        <v>3.3304269372191886E-2</v>
      </c>
      <c r="GU443" s="103">
        <f t="shared" si="418"/>
        <v>0.10615013383656387</v>
      </c>
      <c r="GV443" s="103">
        <f t="shared" si="418"/>
        <v>0.53862649654979822</v>
      </c>
      <c r="GW443" s="103">
        <f t="shared" si="418"/>
        <v>6.5601110950176761E-2</v>
      </c>
      <c r="GX443" s="103">
        <f t="shared" si="465"/>
        <v>8.6535698419388296E-2</v>
      </c>
      <c r="GY443" s="103">
        <f t="shared" si="465"/>
        <v>0.14070442257566979</v>
      </c>
      <c r="GZ443" s="103">
        <f t="shared" si="465"/>
        <v>2.8024502855545516E-2</v>
      </c>
      <c r="HA443" s="103">
        <f t="shared" si="465"/>
        <v>1.053365440665584E-3</v>
      </c>
    </row>
    <row r="444" spans="1:209" x14ac:dyDescent="0.25">
      <c r="A444" s="96">
        <v>53936</v>
      </c>
      <c r="B444" s="104">
        <f t="shared" si="473"/>
        <v>44.25</v>
      </c>
      <c r="C444" s="104">
        <f t="shared" si="466"/>
        <v>49</v>
      </c>
      <c r="D444" s="104">
        <f t="shared" si="474"/>
        <v>2</v>
      </c>
      <c r="E444" s="104">
        <f>('Renewable Diesel'!B453*E$3*'Feedstock Conversion Rates'!$B$2)/12+26+13-100+27.5+39</f>
        <v>95.43</v>
      </c>
      <c r="F444" s="104">
        <f>('Renewable Diesel'!B453*'RD Feedstock Breakdown'!F$3*'Feedstock Conversion Rates'!B$8)/12+77+23-10-12-115.75+24+8</f>
        <v>48.15625</v>
      </c>
      <c r="G444" s="104">
        <f>('Renewable Diesel'!B453*'RD Feedstock Breakdown'!G$3*'Feedstock Conversion Rates'!B$7)/12+116.75-39-57.5-145-31.5+32+70-40+10+60</f>
        <v>151.90700000000004</v>
      </c>
      <c r="H444" s="104">
        <f>('Renewable Diesel'!B453*'RD Feedstock Breakdown'!H$3*'Feedstock Conversion Rates'!B$3)/12+67+10+12+3-235+20+47-20+25</f>
        <v>105.40022499999998</v>
      </c>
      <c r="I444" s="106">
        <f t="shared" si="449"/>
        <v>496.14347500000002</v>
      </c>
      <c r="J444" s="104">
        <f t="shared" si="417"/>
        <v>4</v>
      </c>
      <c r="K444" s="104"/>
      <c r="L444" s="104">
        <v>1</v>
      </c>
      <c r="M444" s="104">
        <f>('Renewable Diesel'!C453*'RD Feedstock Breakdown'!M$3*'Feedstock Conversion Rates'!B$2)/12</f>
        <v>7.7902500000000003</v>
      </c>
      <c r="N444" s="104">
        <f>('Renewable Diesel'!C453*'RD Feedstock Breakdown'!N$3*'Feedstock Conversion Rates'!B$8)/12</f>
        <v>3.671875</v>
      </c>
      <c r="O444" s="104">
        <f>('Renewable Diesel'!C453*'RD Feedstock Breakdown'!O$3*'Feedstock Conversion Rates'!B$7)/12</f>
        <v>11.9991</v>
      </c>
      <c r="P444" s="104">
        <f>('Renewable Diesel'!C453*'RD Feedstock Breakdown'!P$3*'Feedstock Conversion Rates'!B$3)/12</f>
        <v>10.4470425</v>
      </c>
      <c r="Q444" s="106">
        <f t="shared" si="455"/>
        <v>38.908267500000001</v>
      </c>
      <c r="R444" s="104">
        <f>('Renewable Diesel'!D453*'RD Feedstock Breakdown'!R$3*'Feedstock Conversion Rates'!B$7)/12</f>
        <v>2.2999999999999998</v>
      </c>
      <c r="S444" s="106">
        <f t="shared" si="414"/>
        <v>2.2999999999999998</v>
      </c>
      <c r="T444" s="104">
        <f t="shared" si="456"/>
        <v>0.82499999999999929</v>
      </c>
      <c r="U444" s="104"/>
      <c r="V444" s="104">
        <f>('Renewable Diesel'!E453*'RD Feedstock Breakdown'!V$3*'Feedstock Conversion Rates'!B$6)/12-20+25</f>
        <v>49.250150000000012</v>
      </c>
      <c r="W444" s="104">
        <f>('Renewable Diesel'!E453*'RD Feedstock Breakdown'!W$3*'Feedstock Conversion Rates'!B$8)/12-6</f>
        <v>16.1796875</v>
      </c>
      <c r="X444" s="106">
        <f t="shared" si="438"/>
        <v>66.254837500000008</v>
      </c>
      <c r="Y444" s="104">
        <f t="shared" si="457"/>
        <v>98</v>
      </c>
      <c r="Z444" s="104">
        <f>('Renewable Diesel'!F453*'RD Feedstock Breakdown'!Z$3*'Feedstock Conversion Rates'!B$6)/12-142+15+5+20+5+15</f>
        <v>77.460000000000008</v>
      </c>
      <c r="AA444" s="104">
        <f>('Renewable Diesel'!F453*'RD Feedstock Breakdown'!AA$3*'Feedstock Conversion Rates'!B$7)/12+24</f>
        <v>128.26666666666665</v>
      </c>
      <c r="AB444" s="106">
        <f t="shared" si="471"/>
        <v>303.72666666666669</v>
      </c>
      <c r="AC444" s="104">
        <f>('Renewable Diesel'!G453*'RD Feedstock Breakdown'!AC$3*'Feedstock Conversion Rates'!B$5)/12</f>
        <v>11.796875</v>
      </c>
      <c r="AD444" s="104">
        <f>('Renewable Diesel'!G453*'RD Feedstock Breakdown'!AD$3*'Feedstock Conversion Rates'!B$4)/12</f>
        <v>5.859375</v>
      </c>
      <c r="AE444" s="104">
        <f>('Renewable Diesel'!G453*'RD Feedstock Breakdown'!AE$3*'Feedstock Conversion Rates'!B$6)/12</f>
        <v>7.3281250000000009</v>
      </c>
      <c r="AF444" s="106">
        <f t="shared" si="445"/>
        <v>24.984375</v>
      </c>
      <c r="AG444" s="104">
        <f t="shared" si="459"/>
        <v>148</v>
      </c>
      <c r="AH444" s="104"/>
      <c r="AI444" s="104">
        <f>('Renewable Diesel'!H453*'RD Feedstock Breakdown'!AI$3*'Feedstock Conversion Rates'!B$6)/12-130-20+51-49</f>
        <v>0.51666666666667993</v>
      </c>
      <c r="AJ444" s="106">
        <f t="shared" si="413"/>
        <v>148.51666666666668</v>
      </c>
      <c r="AK444" s="104">
        <f>('Renewable Diesel'!J453*'RD Feedstock Breakdown'!AK$3*'Feedstock Conversion Rates'!B$4)/12</f>
        <v>95.8125</v>
      </c>
      <c r="AL444" s="106">
        <f t="shared" si="415"/>
        <v>95.8125</v>
      </c>
      <c r="AM444" s="104">
        <f>('Renewable Diesel'!K453*'RD Feedstock Breakdown'!AM$3*'Feedstock Conversion Rates'!B$4)/12+5+15-10+10</f>
        <v>78.59375</v>
      </c>
      <c r="AN444" s="104">
        <f>('Renewable Diesel'!K453*'RD Feedstock Breakdown'!AN$3*'Feedstock Conversion Rates'!B$6)/12-5-15+10-10</f>
        <v>4.4270833333333321</v>
      </c>
      <c r="AO444" s="106">
        <f t="shared" si="431"/>
        <v>83.020833333333329</v>
      </c>
      <c r="AP444" s="104">
        <f>('Renewable Diesel'!L453*'RD Feedstock Breakdown'!AP$3*'Feedstock Conversion Rates'!B$4)/12+15-10+15</f>
        <v>78.59375</v>
      </c>
      <c r="AQ444" s="104">
        <f>('Renewable Diesel'!L453*'RD Feedstock Breakdown'!AQ$3*'Feedstock Conversion Rates'!B$6)/12-15+10-15</f>
        <v>4.4270833333333321</v>
      </c>
      <c r="AR444" s="106">
        <f t="shared" si="420"/>
        <v>83.020833333333329</v>
      </c>
      <c r="AS444" s="104">
        <f>('Renewable Diesel'!M453*'RD Feedstock Breakdown'!AS$3*'Feedstock Conversion Rates'!B$4)/12</f>
        <v>456.25</v>
      </c>
      <c r="AT444" s="104">
        <f>('Renewable Diesel'!M453*'RD Feedstock Breakdown'!AT$3*'Feedstock Conversion Rates'!B$5)/12</f>
        <v>0</v>
      </c>
      <c r="AU444" s="106">
        <f t="shared" si="448"/>
        <v>456.25</v>
      </c>
      <c r="AV444" s="104">
        <f>'Renewable Diesel'!N453*'RD Feedstock Breakdown'!$AV$3*'Feedstock Conversion Rates'!$B$4/12-15-10+25+25-22+25</f>
        <v>106.74999999999999</v>
      </c>
      <c r="AW444" s="104">
        <f>'Renewable Diesel'!N453*'RD Feedstock Breakdown'!$AW$3*'Feedstock Conversion Rates'!$B$7/12+15+10-25-25+22-25</f>
        <v>13.400000000000006</v>
      </c>
      <c r="AX444" s="106">
        <f t="shared" si="475"/>
        <v>120.14999999999999</v>
      </c>
      <c r="AY444" s="104">
        <f>('Renewable Diesel'!O453*'RD Feedstock Breakdown'!AY$3*'Feedstock Conversion Rates'!B$4)/12</f>
        <v>210.9375</v>
      </c>
      <c r="AZ444" s="104">
        <f>('Renewable Diesel'!O453*'RD Feedstock Breakdown'!AZ$3*'Feedstock Conversion Rates'!B$3)/12</f>
        <v>25.03125</v>
      </c>
      <c r="BA444" s="106">
        <f t="shared" si="458"/>
        <v>235.96875</v>
      </c>
      <c r="BB444" s="104">
        <f>('Renewable Diesel'!Q453*'RD Feedstock Breakdown'!BB$3*'Feedstock Conversion Rates'!B$4)/12</f>
        <v>11.156249999999998</v>
      </c>
      <c r="BC444" s="104">
        <f>('Renewable Diesel'!Q453*'RD Feedstock Breakdown'!BC$3*'Feedstock Conversion Rates'!B$3)/12</f>
        <v>1.4017500000000001</v>
      </c>
      <c r="BD444" s="104">
        <f>('Renewable Diesel'!Q453*'RD Feedstock Breakdown'!BD$3*'Feedstock Conversion Rates'!B$6)/12</f>
        <v>0.8207500000000002</v>
      </c>
      <c r="BE444" s="106">
        <f t="shared" si="440"/>
        <v>13.378749999999998</v>
      </c>
      <c r="BF444" s="104">
        <f>('Renewable Diesel'!R453*'RD Feedstock Breakdown'!BF$3*'Feedstock Conversion Rates'!B$4)/12</f>
        <v>62.5</v>
      </c>
      <c r="BG444" s="106">
        <f t="shared" si="425"/>
        <v>62.5</v>
      </c>
      <c r="BH444" s="104">
        <f>('Renewable Diesel'!T453*'RD Feedstock Breakdown'!BH$3*'Feedstock Conversion Rates'!B$7)/12</f>
        <v>27.599999999999998</v>
      </c>
      <c r="BI444" s="106">
        <f t="shared" si="412"/>
        <v>27.599999999999998</v>
      </c>
      <c r="BJ444" s="104">
        <f>('Renewable Diesel'!W453*'RD Feedstock Breakdown'!BJ$3*'Feedstock Conversion Rates'!B$4)/12</f>
        <v>7.5</v>
      </c>
      <c r="BK444" s="104">
        <f>('Renewable Diesel'!W453*'RD Feedstock Breakdown'!BK$3*'Feedstock Conversion Rates'!B$3)/12</f>
        <v>1.335</v>
      </c>
      <c r="BL444" s="104">
        <f>('Renewable Diesel'!W453*'RD Feedstock Breakdown'!BL$3*'Feedstock Conversion Rates'!B$6)/12</f>
        <v>3.1266666666666669</v>
      </c>
      <c r="BM444" s="104">
        <f>('Renewable Diesel'!W453*'RD Feedstock Breakdown'!BM$3*'Feedstock Conversion Rates'!B$7)/12</f>
        <v>1.5333333333333332</v>
      </c>
      <c r="BN444" s="106">
        <f t="shared" si="452"/>
        <v>13.495000000000001</v>
      </c>
      <c r="BO444" s="104">
        <f>('Renewable Diesel'!P453*'Feedstock Conversion Rates'!B$4)/12</f>
        <v>31.25</v>
      </c>
      <c r="BP444" s="106">
        <f t="shared" si="446"/>
        <v>31.25</v>
      </c>
      <c r="BQ444" s="104">
        <f>('Renewable Diesel'!$S453*'RD Feedstock Breakdown'!BQ$3*'Feedstock Conversion Rates'!B$4)/12+10+15-15</f>
        <v>38.125</v>
      </c>
      <c r="BR444" s="104">
        <f>('Renewable Diesel'!$S453*'RD Feedstock Breakdown'!BR$3*'Feedstock Conversion Rates'!B$7)/12-10-15+15</f>
        <v>1.5</v>
      </c>
      <c r="BS444" s="106">
        <f t="shared" si="460"/>
        <v>39.625</v>
      </c>
      <c r="BT444" s="106"/>
      <c r="BU444" s="104">
        <f>('Renewable Diesel'!Y453*'Feedstock Conversion Rates'!B$7)/12</f>
        <v>2.6833333333333331</v>
      </c>
      <c r="BV444" s="106">
        <f t="shared" si="442"/>
        <v>2.6833333333333331</v>
      </c>
      <c r="BW444" s="104">
        <f>('Renewable Diesel'!$Z453*'RD Feedstock Breakdown'!BW$3*'Feedstock Conversion Rates'!$B$4)/12-250+180</f>
        <v>1.875</v>
      </c>
      <c r="BX444" s="104">
        <f>('Renewable Diesel'!$Z453*'RD Feedstock Breakdown'!BX$3*'Feedstock Conversion Rates'!$B$5)/12</f>
        <v>7.2354166666666666</v>
      </c>
      <c r="BY444" s="104">
        <f>('Renewable Diesel'!$Z453*'RD Feedstock Breakdown'!BY$3*'Feedstock Conversion Rates'!$B$7)/12</f>
        <v>61.716666666666661</v>
      </c>
      <c r="BZ444" s="104">
        <f>('Renewable Diesel'!$Z453*'RD Feedstock Breakdown'!BZ$3*'Feedstock Conversion Rates'!$B$3)/12+250-180</f>
        <v>85.35250000000002</v>
      </c>
      <c r="CA444" s="106">
        <f t="shared" si="464"/>
        <v>156.17958333333334</v>
      </c>
      <c r="CB444" s="104">
        <f>('Renewable Diesel'!AA453*'Feedstock Conversion Rates'!B$4)/12</f>
        <v>191.25</v>
      </c>
      <c r="CC444" s="106">
        <f t="shared" si="454"/>
        <v>191.25</v>
      </c>
      <c r="CD444" s="104">
        <f>('Renewable Diesel'!$AB453*'RD Feedstock Breakdown'!CD$3*'Feedstock Conversion Rates'!$B$6)/12-15-5</f>
        <v>12.830000000000005</v>
      </c>
      <c r="CE444" s="104">
        <f>('Renewable Diesel'!$AB453*'RD Feedstock Breakdown'!CE$3*'Feedstock Conversion Rates'!$B$4)/12+15+5</f>
        <v>31.25</v>
      </c>
      <c r="CF444" s="106">
        <f t="shared" si="450"/>
        <v>44.080000000000005</v>
      </c>
      <c r="CG444" s="104">
        <f>('Renewable Diesel'!AD453*'Feedstock Conversion Rates'!B$4)/12</f>
        <v>112.5</v>
      </c>
      <c r="CH444" s="106">
        <f t="shared" si="439"/>
        <v>112.5</v>
      </c>
      <c r="CI444" s="104">
        <f>('Renewable Diesel'!$AE453*'RD Feedstock Breakdown'!CI$3*'Feedstock Conversion Rates'!$B$5)/12</f>
        <v>0.34604166666666664</v>
      </c>
      <c r="CJ444" s="104">
        <f>('Renewable Diesel'!$AE453*'RD Feedstock Breakdown'!CJ$3*'Feedstock Conversion Rates'!$B$4)/12</f>
        <v>0.34375</v>
      </c>
      <c r="CK444" s="106">
        <f t="shared" si="447"/>
        <v>0.68979166666666658</v>
      </c>
      <c r="CL444" s="104">
        <f>(((CL$3*'Renewable Diesel'!$AF453)*'Feedstock Conversion Rates'!$B$3)/12)</f>
        <v>91.78125</v>
      </c>
      <c r="CM444" s="104">
        <f>(((CM$3*'Renewable Diesel'!$AF453)*'Feedstock Conversion Rates'!$B$6)/12)</f>
        <v>53.739583333333336</v>
      </c>
      <c r="CN444" s="104">
        <f>(((CN$3*'Renewable Diesel'!$AF453)*'Feedstock Conversion Rates'!$B$4)/12)</f>
        <v>42.96875</v>
      </c>
      <c r="CO444" s="106">
        <f t="shared" si="441"/>
        <v>188.48958333333334</v>
      </c>
      <c r="CP444" s="104">
        <f>('Renewable Diesel'!$AG453*'RD Feedstock Breakdown'!CP$3*'Feedstock Conversion Rates'!$B$3)/12</f>
        <v>6.0075000000000003</v>
      </c>
      <c r="CQ444" s="104">
        <f>('Renewable Diesel'!$AG453*'RD Feedstock Breakdown'!CQ$3*'Feedstock Conversion Rates'!$B$6)/12</f>
        <v>3.5175000000000001</v>
      </c>
      <c r="CR444" s="104">
        <f>('Renewable Diesel'!$AG453*'RD Feedstock Breakdown'!CR$3*'Feedstock Conversion Rates'!$B$4)/12</f>
        <v>2.8125</v>
      </c>
      <c r="CS444" s="106">
        <f t="shared" si="467"/>
        <v>12.3375</v>
      </c>
      <c r="CT444" s="104">
        <f>('Renewable Diesel'!AI453*'Feedstock Conversion Rates'!$B$4*'RD Feedstock Breakdown'!$CT$3)/12</f>
        <v>29.375</v>
      </c>
      <c r="CU444" s="106">
        <f t="shared" si="443"/>
        <v>29.375</v>
      </c>
      <c r="CV444" s="104">
        <f>('Renewable Diesel'!AN453*'Feedstock Conversion Rates'!$B$3*'RD Feedstock Breakdown'!$CV$3)/12</f>
        <v>0.50062499999999999</v>
      </c>
      <c r="CW444" s="106">
        <f t="shared" si="419"/>
        <v>0.50062499999999999</v>
      </c>
      <c r="CX444" s="104">
        <f>('Renewable Diesel'!AO453*'RD Feedstock Breakdown'!$CX$3*'Feedstock Conversion Rates'!$B$3)/12</f>
        <v>6.3412499999999996</v>
      </c>
      <c r="CY444" s="104">
        <f>('Renewable Diesel'!AO453*'RD Feedstock Breakdown'!$CY$3*'Feedstock Conversion Rates'!$B$6)/12</f>
        <v>7.4258333333333342</v>
      </c>
      <c r="CZ444" s="106">
        <f t="shared" si="468"/>
        <v>13.767083333333334</v>
      </c>
      <c r="DA444" s="104">
        <f>('Renewable Diesel'!$AP453*'RD Feedstock Breakdown'!DA$3*'Feedstock Conversion Rates'!$B$3)/12</f>
        <v>6.3412499999999996</v>
      </c>
      <c r="DB444" s="104">
        <f>('Renewable Diesel'!$AP453*'RD Feedstock Breakdown'!DB$3*'Feedstock Conversion Rates'!$B$8)/12</f>
        <v>7.421875</v>
      </c>
      <c r="DC444" s="106">
        <f t="shared" si="422"/>
        <v>13.763124999999999</v>
      </c>
      <c r="DD444" s="104">
        <f>('Renewable Diesel'!AQ453*$DD$3*'Feedstock Conversion Rates'!$B$14)/12</f>
        <v>3.1041666666666665</v>
      </c>
      <c r="DE444" s="106">
        <f t="shared" si="423"/>
        <v>3.1041666666666665</v>
      </c>
      <c r="DF444" s="104">
        <f>('Renewable Diesel'!AR453*'Feedstock Conversion Rates'!$B$4*$DF$3)/12</f>
        <v>75</v>
      </c>
      <c r="DG444" s="106">
        <f t="shared" si="469"/>
        <v>75</v>
      </c>
      <c r="DH444" s="104">
        <f>('Renewable Diesel'!AS453*'Feedstock Conversion Rates'!$B$4*$DH$3)/12</f>
        <v>75</v>
      </c>
      <c r="DI444" s="106">
        <f t="shared" si="478"/>
        <v>75</v>
      </c>
      <c r="DJ444" s="104">
        <f>('Renewable Diesel'!AT453*'Feedstock Conversion Rates'!$B$4*0.25)/12</f>
        <v>8.59375</v>
      </c>
      <c r="DK444" s="104">
        <f>('Renewable Diesel'!$AT453*'RD Feedstock Breakdown'!DK$3*'Feedstock Conversion Rates'!$B$3)/12*0.5</f>
        <v>9.1781249999999996</v>
      </c>
      <c r="DL444" s="104">
        <f>('Renewable Diesel'!$AT453*'RD Feedstock Breakdown'!$DL$3*'Feedstock Conversion Rates'!$B$6)/12</f>
        <v>10.747916666666669</v>
      </c>
      <c r="DM444" s="104">
        <f>('Renewable Diesel'!$AT453*'RD Feedstock Breakdown'!$DM$3*'Feedstock Conversion Rates'!$B$8)/12</f>
        <v>10.7421875</v>
      </c>
      <c r="DN444" s="106">
        <f t="shared" si="453"/>
        <v>39.26197916666667</v>
      </c>
      <c r="DP444" s="104">
        <f t="shared" si="426"/>
        <v>103.22025000000001</v>
      </c>
      <c r="DQ444" s="104">
        <f t="shared" si="427"/>
        <v>349.11776750000007</v>
      </c>
      <c r="DR444" s="104">
        <f t="shared" si="432"/>
        <v>1891.953125</v>
      </c>
      <c r="DS444" s="104">
        <f t="shared" si="444"/>
        <v>228.90125</v>
      </c>
      <c r="DT444" s="104">
        <f t="shared" si="428"/>
        <v>243.03923333333344</v>
      </c>
      <c r="DU444" s="104">
        <f t="shared" si="429"/>
        <v>402.90610000000009</v>
      </c>
      <c r="DV444" s="104">
        <f t="shared" si="433"/>
        <v>78.75</v>
      </c>
      <c r="DW444" s="104">
        <f t="shared" si="430"/>
        <v>3</v>
      </c>
      <c r="DX444" s="106">
        <f t="shared" si="434"/>
        <v>3300.8877258333337</v>
      </c>
      <c r="DY444" s="109">
        <f t="shared" si="421"/>
        <v>-5.631051180898794E-13</v>
      </c>
      <c r="EA444" s="110">
        <f t="shared" si="472"/>
        <v>3.1270451640078516E-2</v>
      </c>
      <c r="EB444" s="110">
        <f t="shared" si="470"/>
        <v>0.10576481131658687</v>
      </c>
      <c r="EC444" s="110">
        <f t="shared" si="470"/>
        <v>0.57316494293133291</v>
      </c>
      <c r="ED444" s="110">
        <f t="shared" si="470"/>
        <v>6.9345360706629972E-2</v>
      </c>
      <c r="EE444" s="110">
        <f t="shared" si="470"/>
        <v>7.3628445896921982E-2</v>
      </c>
      <c r="EF444" s="110">
        <f t="shared" si="470"/>
        <v>0.1220599225010852</v>
      </c>
      <c r="EG444" s="110">
        <f t="shared" si="470"/>
        <v>2.3857218585075921E-2</v>
      </c>
      <c r="EH444" s="111">
        <f t="shared" si="435"/>
        <v>9.0884642228860647E-4</v>
      </c>
      <c r="EI444" s="110">
        <f t="shared" si="476"/>
        <v>0.99909115357771139</v>
      </c>
      <c r="EK444" s="132">
        <f>(EA444*'Renewable Diesel'!BF453*'Feedstock Conversion Rates'!B$2)+FB444</f>
        <v>834.13189260110016</v>
      </c>
      <c r="EL444" s="132">
        <f>(EB444*'Renewable Diesel'!BF453*'Feedstock Conversion Rates'!B$3)+FC444</f>
        <v>2658.6144571267541</v>
      </c>
      <c r="EM444" s="132">
        <f>(EC444*'Renewable Diesel'!BF453*'Feedstock Conversion Rates'!B$4)+FD444</f>
        <v>13490.328640787531</v>
      </c>
      <c r="EN444" s="132">
        <f>(ED444*'Renewable Diesel'!BF453*'Feedstock Conversion Rates'!B$5)+FE444</f>
        <v>1643.0319555154488</v>
      </c>
      <c r="EO444" s="132">
        <f>(EE444*'Renewable Diesel'!BF453*'Feedstock Conversion Rates'!B$6)+FF444</f>
        <v>2167.3553349407048</v>
      </c>
      <c r="EP444" s="132">
        <f>(EF444*'Renewable Diesel'!BF453*'Feedstock Conversion Rates'!B$7)+FG444</f>
        <v>3524.0540781352711</v>
      </c>
      <c r="EQ444" s="132">
        <f>(EG444*'Renewable Diesel'!BF453*'Feedstock Conversion Rates'!B$8)+FH444</f>
        <v>701.89594447670186</v>
      </c>
      <c r="ER444" s="132">
        <f>(EH444*'Renewable Diesel'!BF453*'Feedstock Conversion Rates'!B$9)+FI444</f>
        <v>26.382374547949681</v>
      </c>
      <c r="ES444" s="132">
        <f t="shared" si="436"/>
        <v>25045.794678131464</v>
      </c>
      <c r="ET444" s="133">
        <f>ES444/'Renewable Diesel'!BF453</f>
        <v>20.821971935509094</v>
      </c>
      <c r="EW444" s="73">
        <f t="shared" si="461"/>
        <v>24466.204342730263</v>
      </c>
      <c r="EX444" s="73">
        <f t="shared" si="462"/>
        <v>16025.497855321444</v>
      </c>
      <c r="EY444" s="92">
        <f t="shared" si="477"/>
        <v>0.97685877637944285</v>
      </c>
      <c r="EZ444" s="92">
        <f t="shared" si="477"/>
        <v>0.63984784916064097</v>
      </c>
      <c r="FB444" s="102">
        <f>IF('Renewable Diesel'!$BG453&lt;1,0,(((('Renewable Diesel'!$BG453-1)*'Renewable Diesel'!$BF453)*'RD Feedstock Breakdown'!EA444)*'Feedstock Conversion Rates'!$B$2))</f>
        <v>514.41466474138815</v>
      </c>
      <c r="FC444" s="102">
        <f>IF('Renewable Diesel'!$BG453&lt;1,0,(((('Renewable Diesel'!$BG453-1)*'Renewable Diesel'!$BF453)*'RD Feedstock Breakdown'!EB444)*'Feedstock Conversion Rates'!$B$3))</f>
        <v>1639.5851504667226</v>
      </c>
      <c r="FD444" s="102">
        <f>IF('Renewable Diesel'!$BG453&lt;1,0,(((('Renewable Diesel'!$BG453-1)*'Renewable Diesel'!$BF453)*'RD Feedstock Breakdown'!EC444)*'Feedstock Conversion Rates'!$B$4))</f>
        <v>8319.5750534868257</v>
      </c>
      <c r="FE444" s="102">
        <f>IF('Renewable Diesel'!$BG453&lt;1,0,(((('Renewable Diesel'!$BG453-1)*'Renewable Diesel'!$BF453)*'RD Feedstock Breakdown'!ED444)*'Feedstock Conversion Rates'!$B$5))</f>
        <v>1013.2686929404578</v>
      </c>
      <c r="FF444" s="102">
        <f>IF('Renewable Diesel'!$BG453&lt;1,0,(((('Renewable Diesel'!$BG453-1)*'Renewable Diesel'!$BF453)*'RD Feedstock Breakdown'!EE444)*'Feedstock Conversion Rates'!$B$6))</f>
        <v>1336.6223949575804</v>
      </c>
      <c r="FG444" s="102">
        <f>IF('Renewable Diesel'!$BG453&lt;1,0,(((('Renewable Diesel'!$BG453-1)*'Renewable Diesel'!$BF453)*'RD Feedstock Breakdown'!EF444)*'Feedstock Conversion Rates'!$B$7))</f>
        <v>2173.3074987475743</v>
      </c>
      <c r="FH444" s="102">
        <f>IF('Renewable Diesel'!$BG453&lt;1,0,(((('Renewable Diesel'!$BG453-1)*'Renewable Diesel'!$BF453)*'RD Feedstock Breakdown'!EG444)*'Feedstock Conversion Rates'!$B$8))</f>
        <v>432.86387939849692</v>
      </c>
      <c r="FI444" s="102">
        <f>IF('Renewable Diesel'!$BG453&lt;1,0,(((('Renewable Diesel'!$BG453-1)*'Renewable Diesel'!$BF453)*'RD Feedstock Breakdown'!EH444)*'Feedstock Conversion Rates'!$B$9))</f>
        <v>16.270185181200645</v>
      </c>
      <c r="FJ444" s="102">
        <f t="shared" si="463"/>
        <v>15445.907519920245</v>
      </c>
      <c r="GD444" s="91">
        <f>'Renewable Diesel'!BB453*0.32</f>
        <v>0</v>
      </c>
      <c r="GE444" s="91">
        <f>'Renewable Diesel'!BC453</f>
        <v>721.88607901795353</v>
      </c>
      <c r="GF444" s="91">
        <f>'Renewable Diesel'!BD453</f>
        <v>0</v>
      </c>
      <c r="GG444" s="91">
        <f t="shared" si="451"/>
        <v>721.88607901795353</v>
      </c>
      <c r="GH444" s="124">
        <v>1</v>
      </c>
      <c r="GI444" s="102">
        <f>$GG444*EA444*'Feedstock Conversion Rates'!$B$2</f>
        <v>191.87648165040292</v>
      </c>
      <c r="GJ444" s="102">
        <f>$GG444*EB444*'Feedstock Conversion Rates'!$B$3</f>
        <v>611.56466096463066</v>
      </c>
      <c r="GK444" s="102">
        <f>$GG444*EC444*'Feedstock Conversion Rates'!$B$4</f>
        <v>3103.1984496243676</v>
      </c>
      <c r="GL444" s="102">
        <f>$GG444*ED444*'Feedstock Conversion Rates'!$B$5</f>
        <v>377.94885156639054</v>
      </c>
      <c r="GM444" s="102">
        <f>$GG444*EE444*'Feedstock Conversion Rates'!$B$6</f>
        <v>498.55966405726241</v>
      </c>
      <c r="GN444" s="102">
        <f>$GG444*EF444*'Feedstock Conversion Rates'!$B$7</f>
        <v>810.64290150780175</v>
      </c>
      <c r="GO444" s="102">
        <f>$GG444*EG444*'Feedstock Conversion Rates'!$B$8</f>
        <v>161.45806856863786</v>
      </c>
      <c r="GP444" s="102">
        <f>$GG444*EH444*'Feedstock Conversion Rates'!B$9</f>
        <v>6.0687731169926105</v>
      </c>
      <c r="GQ444" s="102">
        <f t="shared" si="437"/>
        <v>5761.3178510564867</v>
      </c>
      <c r="GT444" s="103">
        <f t="shared" si="418"/>
        <v>3.3304269372191886E-2</v>
      </c>
      <c r="GU444" s="103">
        <f t="shared" si="418"/>
        <v>0.10615013383656387</v>
      </c>
      <c r="GV444" s="103">
        <f t="shared" si="418"/>
        <v>0.53862649654979822</v>
      </c>
      <c r="GW444" s="103">
        <f t="shared" si="418"/>
        <v>6.5601110950176775E-2</v>
      </c>
      <c r="GX444" s="103">
        <f t="shared" si="465"/>
        <v>8.653569841938831E-2</v>
      </c>
      <c r="GY444" s="103">
        <f t="shared" si="465"/>
        <v>0.14070442257566981</v>
      </c>
      <c r="GZ444" s="103">
        <f t="shared" si="465"/>
        <v>2.802450285554552E-2</v>
      </c>
      <c r="HA444" s="103">
        <f t="shared" si="465"/>
        <v>1.0533654406655838E-3</v>
      </c>
    </row>
    <row r="445" spans="1:209" x14ac:dyDescent="0.25">
      <c r="A445" s="96">
        <v>53966</v>
      </c>
      <c r="B445" s="104">
        <f t="shared" si="473"/>
        <v>44.25</v>
      </c>
      <c r="C445" s="104">
        <f t="shared" si="466"/>
        <v>49</v>
      </c>
      <c r="D445" s="104">
        <f t="shared" si="474"/>
        <v>2</v>
      </c>
      <c r="E445" s="104">
        <f>('Renewable Diesel'!B454*E$3*'Feedstock Conversion Rates'!$B$2)/12+26+13-100+27.5+39</f>
        <v>95.43</v>
      </c>
      <c r="F445" s="104">
        <f>('Renewable Diesel'!B454*'RD Feedstock Breakdown'!F$3*'Feedstock Conversion Rates'!B$8)/12+77+23-10-12-115.75+24+8</f>
        <v>48.15625</v>
      </c>
      <c r="G445" s="104">
        <f>('Renewable Diesel'!B454*'RD Feedstock Breakdown'!G$3*'Feedstock Conversion Rates'!B$7)/12+116.75-39-57.5-145-31.5+32+70-40+10+60</f>
        <v>151.90700000000004</v>
      </c>
      <c r="H445" s="104">
        <f>('Renewable Diesel'!B454*'RD Feedstock Breakdown'!H$3*'Feedstock Conversion Rates'!B$3)/12+67+10+12+3-235+20+47-20+25</f>
        <v>105.40022499999998</v>
      </c>
      <c r="I445" s="106">
        <f t="shared" si="449"/>
        <v>496.14347500000002</v>
      </c>
      <c r="J445" s="104">
        <f t="shared" si="417"/>
        <v>4</v>
      </c>
      <c r="K445" s="104"/>
      <c r="L445" s="104">
        <v>1</v>
      </c>
      <c r="M445" s="104">
        <f>('Renewable Diesel'!C454*'RD Feedstock Breakdown'!M$3*'Feedstock Conversion Rates'!B$2)/12</f>
        <v>7.7902500000000003</v>
      </c>
      <c r="N445" s="104">
        <f>('Renewable Diesel'!C454*'RD Feedstock Breakdown'!N$3*'Feedstock Conversion Rates'!B$8)/12</f>
        <v>3.671875</v>
      </c>
      <c r="O445" s="104">
        <f>('Renewable Diesel'!C454*'RD Feedstock Breakdown'!O$3*'Feedstock Conversion Rates'!B$7)/12</f>
        <v>11.9991</v>
      </c>
      <c r="P445" s="104">
        <f>('Renewable Diesel'!C454*'RD Feedstock Breakdown'!P$3*'Feedstock Conversion Rates'!B$3)/12</f>
        <v>10.4470425</v>
      </c>
      <c r="Q445" s="106">
        <f t="shared" si="455"/>
        <v>38.908267500000001</v>
      </c>
      <c r="R445" s="104">
        <f>('Renewable Diesel'!D454*'RD Feedstock Breakdown'!R$3*'Feedstock Conversion Rates'!B$7)/12</f>
        <v>2.2999999999999998</v>
      </c>
      <c r="S445" s="106">
        <f t="shared" si="414"/>
        <v>2.2999999999999998</v>
      </c>
      <c r="T445" s="104">
        <f t="shared" si="456"/>
        <v>0.82499999999999929</v>
      </c>
      <c r="U445" s="104"/>
      <c r="V445" s="104">
        <f>('Renewable Diesel'!E454*'RD Feedstock Breakdown'!V$3*'Feedstock Conversion Rates'!B$6)/12-20+25</f>
        <v>49.250150000000012</v>
      </c>
      <c r="W445" s="104">
        <f>('Renewable Diesel'!E454*'RD Feedstock Breakdown'!W$3*'Feedstock Conversion Rates'!B$8)/12-6</f>
        <v>16.1796875</v>
      </c>
      <c r="X445" s="106">
        <f t="shared" si="438"/>
        <v>66.254837500000008</v>
      </c>
      <c r="Y445" s="104">
        <f t="shared" si="457"/>
        <v>98</v>
      </c>
      <c r="Z445" s="104">
        <f>('Renewable Diesel'!F454*'RD Feedstock Breakdown'!Z$3*'Feedstock Conversion Rates'!B$6)/12-142+15+5+20+5+15</f>
        <v>77.460000000000008</v>
      </c>
      <c r="AA445" s="104">
        <f>('Renewable Diesel'!F454*'RD Feedstock Breakdown'!AA$3*'Feedstock Conversion Rates'!B$7)/12+24</f>
        <v>128.26666666666665</v>
      </c>
      <c r="AB445" s="106">
        <f t="shared" si="471"/>
        <v>303.72666666666669</v>
      </c>
      <c r="AC445" s="104">
        <f>('Renewable Diesel'!G454*'RD Feedstock Breakdown'!AC$3*'Feedstock Conversion Rates'!B$5)/12</f>
        <v>11.796875</v>
      </c>
      <c r="AD445" s="104">
        <f>('Renewable Diesel'!G454*'RD Feedstock Breakdown'!AD$3*'Feedstock Conversion Rates'!B$4)/12</f>
        <v>5.859375</v>
      </c>
      <c r="AE445" s="104">
        <f>('Renewable Diesel'!G454*'RD Feedstock Breakdown'!AE$3*'Feedstock Conversion Rates'!B$6)/12</f>
        <v>7.3281250000000009</v>
      </c>
      <c r="AF445" s="106">
        <f t="shared" si="445"/>
        <v>24.984375</v>
      </c>
      <c r="AG445" s="104">
        <f t="shared" si="459"/>
        <v>148</v>
      </c>
      <c r="AH445" s="104"/>
      <c r="AI445" s="104">
        <f>('Renewable Diesel'!H454*'RD Feedstock Breakdown'!AI$3*'Feedstock Conversion Rates'!B$6)/12-130-20+51-49</f>
        <v>0.51666666666667993</v>
      </c>
      <c r="AJ445" s="106">
        <f t="shared" si="413"/>
        <v>148.51666666666668</v>
      </c>
      <c r="AK445" s="104">
        <f>('Renewable Diesel'!J454*'RD Feedstock Breakdown'!AK$3*'Feedstock Conversion Rates'!B$4)/12</f>
        <v>95.8125</v>
      </c>
      <c r="AL445" s="106">
        <f t="shared" si="415"/>
        <v>95.8125</v>
      </c>
      <c r="AM445" s="104">
        <f>('Renewable Diesel'!K454*'RD Feedstock Breakdown'!AM$3*'Feedstock Conversion Rates'!B$4)/12+5+15-10+10</f>
        <v>78.59375</v>
      </c>
      <c r="AN445" s="104">
        <f>('Renewable Diesel'!K454*'RD Feedstock Breakdown'!AN$3*'Feedstock Conversion Rates'!B$6)/12-5-15+10-10</f>
        <v>4.4270833333333321</v>
      </c>
      <c r="AO445" s="106">
        <f t="shared" si="431"/>
        <v>83.020833333333329</v>
      </c>
      <c r="AP445" s="104">
        <f>('Renewable Diesel'!L454*'RD Feedstock Breakdown'!AP$3*'Feedstock Conversion Rates'!B$4)/12+15-10+15</f>
        <v>78.59375</v>
      </c>
      <c r="AQ445" s="104">
        <f>('Renewable Diesel'!L454*'RD Feedstock Breakdown'!AQ$3*'Feedstock Conversion Rates'!B$6)/12-15+10-15</f>
        <v>4.4270833333333321</v>
      </c>
      <c r="AR445" s="106">
        <f t="shared" si="420"/>
        <v>83.020833333333329</v>
      </c>
      <c r="AS445" s="104">
        <f>('Renewable Diesel'!M454*'RD Feedstock Breakdown'!AS$3*'Feedstock Conversion Rates'!B$4)/12</f>
        <v>456.25</v>
      </c>
      <c r="AT445" s="104">
        <f>('Renewable Diesel'!M454*'RD Feedstock Breakdown'!AT$3*'Feedstock Conversion Rates'!B$5)/12</f>
        <v>0</v>
      </c>
      <c r="AU445" s="106">
        <f t="shared" si="448"/>
        <v>456.25</v>
      </c>
      <c r="AV445" s="104">
        <f>'Renewable Diesel'!N454*'RD Feedstock Breakdown'!$AV$3*'Feedstock Conversion Rates'!$B$4/12-15-10+25+25-22+25</f>
        <v>106.74999999999999</v>
      </c>
      <c r="AW445" s="104">
        <f>'Renewable Diesel'!N454*'RD Feedstock Breakdown'!$AW$3*'Feedstock Conversion Rates'!$B$7/12+15+10-25-25+22-25</f>
        <v>13.400000000000006</v>
      </c>
      <c r="AX445" s="106">
        <f t="shared" si="475"/>
        <v>120.14999999999999</v>
      </c>
      <c r="AY445" s="104">
        <f>('Renewable Diesel'!O454*'RD Feedstock Breakdown'!AY$3*'Feedstock Conversion Rates'!B$4)/12</f>
        <v>210.9375</v>
      </c>
      <c r="AZ445" s="104">
        <f>('Renewable Diesel'!O454*'RD Feedstock Breakdown'!AZ$3*'Feedstock Conversion Rates'!B$3)/12</f>
        <v>25.03125</v>
      </c>
      <c r="BA445" s="106">
        <f t="shared" si="458"/>
        <v>235.96875</v>
      </c>
      <c r="BB445" s="104">
        <f>('Renewable Diesel'!Q454*'RD Feedstock Breakdown'!BB$3*'Feedstock Conversion Rates'!B$4)/12</f>
        <v>11.156249999999998</v>
      </c>
      <c r="BC445" s="104">
        <f>('Renewable Diesel'!Q454*'RD Feedstock Breakdown'!BC$3*'Feedstock Conversion Rates'!B$3)/12</f>
        <v>1.4017500000000001</v>
      </c>
      <c r="BD445" s="104">
        <f>('Renewable Diesel'!Q454*'RD Feedstock Breakdown'!BD$3*'Feedstock Conversion Rates'!B$6)/12</f>
        <v>0.8207500000000002</v>
      </c>
      <c r="BE445" s="106">
        <f t="shared" si="440"/>
        <v>13.378749999999998</v>
      </c>
      <c r="BF445" s="104">
        <f>('Renewable Diesel'!R454*'RD Feedstock Breakdown'!BF$3*'Feedstock Conversion Rates'!B$4)/12</f>
        <v>62.5</v>
      </c>
      <c r="BG445" s="106">
        <f t="shared" si="425"/>
        <v>62.5</v>
      </c>
      <c r="BH445" s="104">
        <f>('Renewable Diesel'!T454*'RD Feedstock Breakdown'!BH$3*'Feedstock Conversion Rates'!B$7)/12</f>
        <v>27.599999999999998</v>
      </c>
      <c r="BI445" s="106">
        <f t="shared" ref="BI445:BI495" si="479">BH445</f>
        <v>27.599999999999998</v>
      </c>
      <c r="BJ445" s="104">
        <f>('Renewable Diesel'!W454*'RD Feedstock Breakdown'!BJ$3*'Feedstock Conversion Rates'!B$4)/12</f>
        <v>7.5</v>
      </c>
      <c r="BK445" s="104">
        <f>('Renewable Diesel'!W454*'RD Feedstock Breakdown'!BK$3*'Feedstock Conversion Rates'!B$3)/12</f>
        <v>1.335</v>
      </c>
      <c r="BL445" s="104">
        <f>('Renewable Diesel'!W454*'RD Feedstock Breakdown'!BL$3*'Feedstock Conversion Rates'!B$6)/12</f>
        <v>3.1266666666666669</v>
      </c>
      <c r="BM445" s="104">
        <f>('Renewable Diesel'!W454*'RD Feedstock Breakdown'!BM$3*'Feedstock Conversion Rates'!B$7)/12</f>
        <v>1.5333333333333332</v>
      </c>
      <c r="BN445" s="106">
        <f t="shared" si="452"/>
        <v>13.495000000000001</v>
      </c>
      <c r="BO445" s="104">
        <f>('Renewable Diesel'!P454*'Feedstock Conversion Rates'!B$4)/12</f>
        <v>31.25</v>
      </c>
      <c r="BP445" s="106">
        <f t="shared" si="446"/>
        <v>31.25</v>
      </c>
      <c r="BQ445" s="104">
        <f>('Renewable Diesel'!$S454*'RD Feedstock Breakdown'!BQ$3*'Feedstock Conversion Rates'!B$4)/12+10+15-15</f>
        <v>38.125</v>
      </c>
      <c r="BR445" s="104">
        <f>('Renewable Diesel'!$S454*'RD Feedstock Breakdown'!BR$3*'Feedstock Conversion Rates'!B$7)/12-10-15+15</f>
        <v>1.5</v>
      </c>
      <c r="BS445" s="106">
        <f t="shared" si="460"/>
        <v>39.625</v>
      </c>
      <c r="BT445" s="106"/>
      <c r="BU445" s="104">
        <f>('Renewable Diesel'!Y454*'Feedstock Conversion Rates'!B$7)/12</f>
        <v>2.6833333333333331</v>
      </c>
      <c r="BV445" s="106">
        <f t="shared" si="442"/>
        <v>2.6833333333333331</v>
      </c>
      <c r="BW445" s="104">
        <f>('Renewable Diesel'!$Z454*'RD Feedstock Breakdown'!BW$3*'Feedstock Conversion Rates'!$B$4)/12-250+180</f>
        <v>1.875</v>
      </c>
      <c r="BX445" s="104">
        <f>('Renewable Diesel'!$Z454*'RD Feedstock Breakdown'!BX$3*'Feedstock Conversion Rates'!$B$5)/12</f>
        <v>7.2354166666666666</v>
      </c>
      <c r="BY445" s="104">
        <f>('Renewable Diesel'!$Z454*'RD Feedstock Breakdown'!BY$3*'Feedstock Conversion Rates'!$B$7)/12</f>
        <v>61.716666666666661</v>
      </c>
      <c r="BZ445" s="104">
        <f>('Renewable Diesel'!$Z454*'RD Feedstock Breakdown'!BZ$3*'Feedstock Conversion Rates'!$B$3)/12+250-180</f>
        <v>85.35250000000002</v>
      </c>
      <c r="CA445" s="106">
        <f t="shared" si="464"/>
        <v>156.17958333333334</v>
      </c>
      <c r="CB445" s="104">
        <f>('Renewable Diesel'!AA454*'Feedstock Conversion Rates'!B$4)/12</f>
        <v>191.25</v>
      </c>
      <c r="CC445" s="106">
        <f t="shared" si="454"/>
        <v>191.25</v>
      </c>
      <c r="CD445" s="104">
        <f>('Renewable Diesel'!$AB454*'RD Feedstock Breakdown'!CD$3*'Feedstock Conversion Rates'!$B$6)/12-15-5</f>
        <v>12.830000000000005</v>
      </c>
      <c r="CE445" s="104">
        <f>('Renewable Diesel'!$AB454*'RD Feedstock Breakdown'!CE$3*'Feedstock Conversion Rates'!$B$4)/12+15+5</f>
        <v>31.25</v>
      </c>
      <c r="CF445" s="106">
        <f t="shared" si="450"/>
        <v>44.080000000000005</v>
      </c>
      <c r="CG445" s="104">
        <f>('Renewable Diesel'!AD454*'Feedstock Conversion Rates'!B$4)/12</f>
        <v>112.5</v>
      </c>
      <c r="CH445" s="106">
        <f t="shared" si="439"/>
        <v>112.5</v>
      </c>
      <c r="CI445" s="104">
        <f>('Renewable Diesel'!$AE454*'RD Feedstock Breakdown'!CI$3*'Feedstock Conversion Rates'!$B$5)/12</f>
        <v>0.34604166666666664</v>
      </c>
      <c r="CJ445" s="104">
        <f>('Renewable Diesel'!$AE454*'RD Feedstock Breakdown'!CJ$3*'Feedstock Conversion Rates'!$B$4)/12</f>
        <v>0.34375</v>
      </c>
      <c r="CK445" s="106">
        <f t="shared" si="447"/>
        <v>0.68979166666666658</v>
      </c>
      <c r="CL445" s="104">
        <f>(((CL$3*'Renewable Diesel'!$AF454)*'Feedstock Conversion Rates'!$B$3)/12)</f>
        <v>91.78125</v>
      </c>
      <c r="CM445" s="104">
        <f>(((CM$3*'Renewable Diesel'!$AF454)*'Feedstock Conversion Rates'!$B$6)/12)</f>
        <v>53.739583333333336</v>
      </c>
      <c r="CN445" s="104">
        <f>(((CN$3*'Renewable Diesel'!$AF454)*'Feedstock Conversion Rates'!$B$4)/12)</f>
        <v>42.96875</v>
      </c>
      <c r="CO445" s="106">
        <f t="shared" si="441"/>
        <v>188.48958333333334</v>
      </c>
      <c r="CP445" s="104">
        <f>('Renewable Diesel'!$AG454*'RD Feedstock Breakdown'!CP$3*'Feedstock Conversion Rates'!$B$3)/12</f>
        <v>6.0075000000000003</v>
      </c>
      <c r="CQ445" s="104">
        <f>('Renewable Diesel'!$AG454*'RD Feedstock Breakdown'!CQ$3*'Feedstock Conversion Rates'!$B$6)/12</f>
        <v>3.5175000000000001</v>
      </c>
      <c r="CR445" s="104">
        <f>('Renewable Diesel'!$AG454*'RD Feedstock Breakdown'!CR$3*'Feedstock Conversion Rates'!$B$4)/12</f>
        <v>2.8125</v>
      </c>
      <c r="CS445" s="106">
        <f t="shared" si="467"/>
        <v>12.3375</v>
      </c>
      <c r="CT445" s="104">
        <f>('Renewable Diesel'!AI454*'Feedstock Conversion Rates'!$B$4*'RD Feedstock Breakdown'!$CT$3)/12</f>
        <v>29.375</v>
      </c>
      <c r="CU445" s="106">
        <f t="shared" si="443"/>
        <v>29.375</v>
      </c>
      <c r="CV445" s="104">
        <f>('Renewable Diesel'!AN454*'Feedstock Conversion Rates'!$B$3*'RD Feedstock Breakdown'!$CV$3)/12</f>
        <v>0.50062499999999999</v>
      </c>
      <c r="CW445" s="106">
        <f t="shared" si="419"/>
        <v>0.50062499999999999</v>
      </c>
      <c r="CX445" s="104">
        <f>('Renewable Diesel'!AO454*'RD Feedstock Breakdown'!$CX$3*'Feedstock Conversion Rates'!$B$3)/12</f>
        <v>6.3412499999999996</v>
      </c>
      <c r="CY445" s="104">
        <f>('Renewable Diesel'!AO454*'RD Feedstock Breakdown'!$CY$3*'Feedstock Conversion Rates'!$B$6)/12</f>
        <v>7.4258333333333342</v>
      </c>
      <c r="CZ445" s="106">
        <f t="shared" si="468"/>
        <v>13.767083333333334</v>
      </c>
      <c r="DA445" s="104">
        <f>('Renewable Diesel'!$AP454*'RD Feedstock Breakdown'!DA$3*'Feedstock Conversion Rates'!$B$3)/12</f>
        <v>6.3412499999999996</v>
      </c>
      <c r="DB445" s="104">
        <f>('Renewable Diesel'!$AP454*'RD Feedstock Breakdown'!DB$3*'Feedstock Conversion Rates'!$B$8)/12</f>
        <v>7.421875</v>
      </c>
      <c r="DC445" s="106">
        <f t="shared" si="422"/>
        <v>13.763124999999999</v>
      </c>
      <c r="DD445" s="104">
        <f>('Renewable Diesel'!AQ454*$DD$3*'Feedstock Conversion Rates'!$B$14)/12</f>
        <v>3.1041666666666665</v>
      </c>
      <c r="DE445" s="106">
        <f t="shared" si="423"/>
        <v>3.1041666666666665</v>
      </c>
      <c r="DF445" s="104">
        <f>('Renewable Diesel'!AR454*'Feedstock Conversion Rates'!$B$4*$DF$3)/12</f>
        <v>75</v>
      </c>
      <c r="DG445" s="106">
        <f t="shared" si="469"/>
        <v>75</v>
      </c>
      <c r="DH445" s="104">
        <f>('Renewable Diesel'!AS454*'Feedstock Conversion Rates'!$B$4*$DH$3)/12</f>
        <v>75</v>
      </c>
      <c r="DI445" s="106">
        <f t="shared" si="478"/>
        <v>75</v>
      </c>
      <c r="DJ445" s="104">
        <f>('Renewable Diesel'!AT454*'Feedstock Conversion Rates'!$B$4*0.25)/12</f>
        <v>8.59375</v>
      </c>
      <c r="DK445" s="104">
        <f>('Renewable Diesel'!$AT454*'RD Feedstock Breakdown'!DK$3*'Feedstock Conversion Rates'!$B$3)/12*0.5</f>
        <v>9.1781249999999996</v>
      </c>
      <c r="DL445" s="104">
        <f>('Renewable Diesel'!$AT454*'RD Feedstock Breakdown'!$DL$3*'Feedstock Conversion Rates'!$B$6)/12</f>
        <v>10.747916666666669</v>
      </c>
      <c r="DM445" s="104">
        <f>('Renewable Diesel'!$AT454*'RD Feedstock Breakdown'!$DM$3*'Feedstock Conversion Rates'!$B$8)/12</f>
        <v>10.7421875</v>
      </c>
      <c r="DN445" s="106">
        <f t="shared" si="453"/>
        <v>39.26197916666667</v>
      </c>
      <c r="DP445" s="104">
        <f t="shared" si="426"/>
        <v>103.22025000000001</v>
      </c>
      <c r="DQ445" s="104">
        <f t="shared" si="427"/>
        <v>349.11776750000007</v>
      </c>
      <c r="DR445" s="104">
        <f t="shared" si="432"/>
        <v>1891.953125</v>
      </c>
      <c r="DS445" s="104">
        <f t="shared" si="444"/>
        <v>228.90125</v>
      </c>
      <c r="DT445" s="104">
        <f t="shared" si="428"/>
        <v>243.03923333333344</v>
      </c>
      <c r="DU445" s="104">
        <f t="shared" si="429"/>
        <v>402.90610000000009</v>
      </c>
      <c r="DV445" s="104">
        <f t="shared" si="433"/>
        <v>78.75</v>
      </c>
      <c r="DW445" s="104">
        <f t="shared" si="430"/>
        <v>3</v>
      </c>
      <c r="DX445" s="106">
        <f t="shared" si="434"/>
        <v>3300.8877258333337</v>
      </c>
      <c r="DY445" s="109">
        <f t="shared" si="421"/>
        <v>-5.631051180898794E-13</v>
      </c>
      <c r="EA445" s="110">
        <f t="shared" si="472"/>
        <v>3.1270451640078516E-2</v>
      </c>
      <c r="EB445" s="110">
        <f t="shared" si="470"/>
        <v>0.10576481131658687</v>
      </c>
      <c r="EC445" s="110">
        <f t="shared" si="470"/>
        <v>0.57316494293133291</v>
      </c>
      <c r="ED445" s="110">
        <f t="shared" si="470"/>
        <v>6.9345360706629972E-2</v>
      </c>
      <c r="EE445" s="110">
        <f t="shared" si="470"/>
        <v>7.3628445896921982E-2</v>
      </c>
      <c r="EF445" s="110">
        <f t="shared" si="470"/>
        <v>0.1220599225010852</v>
      </c>
      <c r="EG445" s="110">
        <f t="shared" si="470"/>
        <v>2.3857218585075921E-2</v>
      </c>
      <c r="EH445" s="111">
        <f t="shared" si="435"/>
        <v>9.0884642228860647E-4</v>
      </c>
      <c r="EI445" s="110">
        <f t="shared" si="476"/>
        <v>0.99909115357771139</v>
      </c>
      <c r="EK445" s="132">
        <f>(EA445*'Renewable Diesel'!BF454*'Feedstock Conversion Rates'!B$2)+FB445</f>
        <v>906.22738430165168</v>
      </c>
      <c r="EL445" s="132">
        <f>(EB445*'Renewable Diesel'!BF454*'Feedstock Conversion Rates'!B$3)+FC445</f>
        <v>2888.4031970477808</v>
      </c>
      <c r="EM445" s="132">
        <f>(EC445*'Renewable Diesel'!BF454*'Feedstock Conversion Rates'!B$4)+FD445</f>
        <v>14656.321555321401</v>
      </c>
      <c r="EN445" s="132">
        <f>(ED445*'Renewable Diesel'!BF454*'Feedstock Conversion Rates'!B$5)+FE445</f>
        <v>1785.0421073431439</v>
      </c>
      <c r="EO445" s="132">
        <f>(EE445*'Renewable Diesel'!BF454*'Feedstock Conversion Rates'!B$6)+FF445</f>
        <v>2354.6836818704737</v>
      </c>
      <c r="EP445" s="132">
        <f>(EF445*'Renewable Diesel'!BF454*'Feedstock Conversion Rates'!B$7)+FG445</f>
        <v>3828.6442919805022</v>
      </c>
      <c r="EQ445" s="132">
        <f>(EG445*'Renewable Diesel'!BF454*'Feedstock Conversion Rates'!B$8)+FH445</f>
        <v>762.56204978754454</v>
      </c>
      <c r="ER445" s="132">
        <f>(EH445*'Renewable Diesel'!BF454*'Feedstock Conversion Rates'!B$9)+FI445</f>
        <v>28.662649744395324</v>
      </c>
      <c r="ES445" s="132">
        <f t="shared" si="436"/>
        <v>27210.546917396892</v>
      </c>
      <c r="ET445" s="133">
        <f>ES445/'Renewable Diesel'!BF454</f>
        <v>22.061919918589407</v>
      </c>
      <c r="EW445" s="73">
        <f t="shared" si="461"/>
        <v>26935.045869719484</v>
      </c>
      <c r="EX445" s="73">
        <f t="shared" si="462"/>
        <v>17642.602578296188</v>
      </c>
      <c r="EY445" s="92">
        <f t="shared" si="477"/>
        <v>0.98987521094251629</v>
      </c>
      <c r="EZ445" s="92">
        <f t="shared" si="477"/>
        <v>0.6483736850954841</v>
      </c>
      <c r="FB445" s="102">
        <f>IF('Renewable Diesel'!$BG454&lt;1,0,(((('Renewable Diesel'!$BG454-1)*'Renewable Diesel'!$BF454)*'RD Feedstock Breakdown'!EA445)*'Feedstock Conversion Rates'!$B$2))</f>
        <v>578.39862758993377</v>
      </c>
      <c r="FC445" s="102">
        <f>IF('Renewable Diesel'!$BG454&lt;1,0,(((('Renewable Diesel'!$BG454-1)*'Renewable Diesel'!$BF454)*'RD Feedstock Breakdown'!EB445)*'Feedstock Conversion Rates'!$B$3))</f>
        <v>1843.5201518283768</v>
      </c>
      <c r="FD445" s="102">
        <f>IF('Renewable Diesel'!$BG454&lt;1,0,(((('Renewable Diesel'!$BG454-1)*'Renewable Diesel'!$BF454)*'RD Feedstock Breakdown'!EC445)*'Feedstock Conversion Rates'!$B$4))</f>
        <v>9354.3810526618308</v>
      </c>
      <c r="FE445" s="102">
        <f>IF('Renewable Diesel'!$BG454&lt;1,0,(((('Renewable Diesel'!$BG454-1)*'Renewable Diesel'!$BF454)*'RD Feedstock Breakdown'!ED445)*'Feedstock Conversion Rates'!$B$5))</f>
        <v>1139.3011543931073</v>
      </c>
      <c r="FF445" s="102">
        <f>IF('Renewable Diesel'!$BG454&lt;1,0,(((('Renewable Diesel'!$BG454-1)*'Renewable Diesel'!$BF454)*'RD Feedstock Breakdown'!EE445)*'Feedstock Conversion Rates'!$B$6))</f>
        <v>1502.8742604725237</v>
      </c>
      <c r="FG445" s="102">
        <f>IF('Renewable Diesel'!$BG454&lt;1,0,(((('Renewable Diesel'!$BG454-1)*'Renewable Diesel'!$BF454)*'RD Feedstock Breakdown'!EF445)*'Feedstock Conversion Rates'!$B$7))</f>
        <v>2443.627992678747</v>
      </c>
      <c r="FH445" s="102">
        <f>IF('Renewable Diesel'!$BG454&lt;1,0,(((('Renewable Diesel'!$BG454-1)*'Renewable Diesel'!$BF454)*'RD Feedstock Breakdown'!EG445)*'Feedstock Conversion Rates'!$B$8))</f>
        <v>486.70438643737486</v>
      </c>
      <c r="FI445" s="102">
        <f>IF('Renewable Diesel'!$BG454&lt;1,0,(((('Renewable Diesel'!$BG454-1)*'Renewable Diesel'!$BF454)*'RD Feedstock Breakdown'!EH445)*'Feedstock Conversion Rates'!$B$9))</f>
        <v>18.293904556884186</v>
      </c>
      <c r="FJ445" s="102">
        <f t="shared" si="463"/>
        <v>17367.10153061878</v>
      </c>
      <c r="GD445" s="91">
        <f>'Renewable Diesel'!BB454*0.32</f>
        <v>0</v>
      </c>
      <c r="GE445" s="91">
        <f>'Renewable Diesel'!BC454</f>
        <v>704.85153819353809</v>
      </c>
      <c r="GF445" s="91">
        <f>'Renewable Diesel'!BD454</f>
        <v>0</v>
      </c>
      <c r="GG445" s="91">
        <f t="shared" si="451"/>
        <v>704.85153819353809</v>
      </c>
      <c r="GH445" s="124">
        <v>1</v>
      </c>
      <c r="GI445" s="102">
        <f>$GG445*EA445*'Feedstock Conversion Rates'!$B$2</f>
        <v>187.34872047738588</v>
      </c>
      <c r="GJ445" s="102">
        <f>$GG445*EB445*'Feedstock Conversion Rates'!$B$3</f>
        <v>597.1334044453971</v>
      </c>
      <c r="GK445" s="102">
        <f>$GG445*EC445*'Feedstock Conversion Rates'!$B$4</f>
        <v>3029.9714374782111</v>
      </c>
      <c r="GL445" s="102">
        <f>$GG445*ED445*'Feedstock Conversion Rates'!$B$5</f>
        <v>369.03029041293672</v>
      </c>
      <c r="GM445" s="102">
        <f>$GG445*EE445*'Feedstock Conversion Rates'!$B$6</f>
        <v>486.79501697839959</v>
      </c>
      <c r="GN445" s="102">
        <f>$GG445*EF445*'Feedstock Conversion Rates'!$B$7</f>
        <v>791.51394196540036</v>
      </c>
      <c r="GO445" s="102">
        <f>$GG445*EG445*'Feedstock Conversion Rates'!$B$8</f>
        <v>157.64809890665836</v>
      </c>
      <c r="GP445" s="102">
        <f>$GG445*EH445*'Feedstock Conversion Rates'!B$9</f>
        <v>5.9255666382693173</v>
      </c>
      <c r="GQ445" s="102">
        <f t="shared" si="437"/>
        <v>5625.3664773026594</v>
      </c>
      <c r="GT445" s="103">
        <f t="shared" si="418"/>
        <v>3.3304269372191879E-2</v>
      </c>
      <c r="GU445" s="103">
        <f t="shared" si="418"/>
        <v>0.10615013383656387</v>
      </c>
      <c r="GV445" s="103">
        <f t="shared" si="418"/>
        <v>0.53862649654979811</v>
      </c>
      <c r="GW445" s="103">
        <f t="shared" si="418"/>
        <v>6.5601110950176761E-2</v>
      </c>
      <c r="GX445" s="103">
        <f t="shared" si="465"/>
        <v>8.6535698419388296E-2</v>
      </c>
      <c r="GY445" s="103">
        <f t="shared" si="465"/>
        <v>0.14070442257566981</v>
      </c>
      <c r="GZ445" s="103">
        <f t="shared" si="465"/>
        <v>2.8024502855545516E-2</v>
      </c>
      <c r="HA445" s="103">
        <f t="shared" si="465"/>
        <v>1.0533654406655838E-3</v>
      </c>
    </row>
    <row r="446" spans="1:209" x14ac:dyDescent="0.25">
      <c r="A446" s="96">
        <v>53997</v>
      </c>
      <c r="B446" s="104">
        <f t="shared" si="473"/>
        <v>44.25</v>
      </c>
      <c r="C446" s="104">
        <f t="shared" si="466"/>
        <v>49</v>
      </c>
      <c r="D446" s="104">
        <f t="shared" si="474"/>
        <v>2</v>
      </c>
      <c r="E446" s="104">
        <f>('Renewable Diesel'!B455*E$3*'Feedstock Conversion Rates'!$B$2)/12+26+13-100+27.5+39</f>
        <v>95.43</v>
      </c>
      <c r="F446" s="104">
        <f>('Renewable Diesel'!B455*'RD Feedstock Breakdown'!F$3*'Feedstock Conversion Rates'!B$8)/12+77+23-10-12-115.75+24+8</f>
        <v>48.15625</v>
      </c>
      <c r="G446" s="104">
        <f>('Renewable Diesel'!B455*'RD Feedstock Breakdown'!G$3*'Feedstock Conversion Rates'!B$7)/12+116.75-39-57.5-145-31.5+32+70-40+10+60</f>
        <v>151.90700000000004</v>
      </c>
      <c r="H446" s="104">
        <f>('Renewable Diesel'!B455*'RD Feedstock Breakdown'!H$3*'Feedstock Conversion Rates'!B$3)/12+67+10+12+3-235+20+47-20+25</f>
        <v>105.40022499999998</v>
      </c>
      <c r="I446" s="106">
        <f t="shared" si="449"/>
        <v>496.14347500000002</v>
      </c>
      <c r="J446" s="104">
        <f t="shared" si="417"/>
        <v>4</v>
      </c>
      <c r="K446" s="104"/>
      <c r="L446" s="104">
        <v>1</v>
      </c>
      <c r="M446" s="104">
        <f>('Renewable Diesel'!C455*'RD Feedstock Breakdown'!M$3*'Feedstock Conversion Rates'!B$2)/12</f>
        <v>7.7902500000000003</v>
      </c>
      <c r="N446" s="104">
        <f>('Renewable Diesel'!C455*'RD Feedstock Breakdown'!N$3*'Feedstock Conversion Rates'!B$8)/12</f>
        <v>3.671875</v>
      </c>
      <c r="O446" s="104">
        <f>('Renewable Diesel'!C455*'RD Feedstock Breakdown'!O$3*'Feedstock Conversion Rates'!B$7)/12</f>
        <v>11.9991</v>
      </c>
      <c r="P446" s="104">
        <f>('Renewable Diesel'!C455*'RD Feedstock Breakdown'!P$3*'Feedstock Conversion Rates'!B$3)/12</f>
        <v>10.4470425</v>
      </c>
      <c r="Q446" s="106">
        <f t="shared" si="455"/>
        <v>38.908267500000001</v>
      </c>
      <c r="R446" s="104">
        <f>('Renewable Diesel'!D455*'RD Feedstock Breakdown'!R$3*'Feedstock Conversion Rates'!B$7)/12</f>
        <v>2.2999999999999998</v>
      </c>
      <c r="S446" s="106">
        <f t="shared" si="414"/>
        <v>2.2999999999999998</v>
      </c>
      <c r="T446" s="104">
        <f t="shared" si="456"/>
        <v>0.82499999999999929</v>
      </c>
      <c r="U446" s="104"/>
      <c r="V446" s="104">
        <f>('Renewable Diesel'!E455*'RD Feedstock Breakdown'!V$3*'Feedstock Conversion Rates'!B$6)/12-20+25</f>
        <v>49.250150000000012</v>
      </c>
      <c r="W446" s="104">
        <f>('Renewable Diesel'!E455*'RD Feedstock Breakdown'!W$3*'Feedstock Conversion Rates'!B$8)/12-6</f>
        <v>16.1796875</v>
      </c>
      <c r="X446" s="106">
        <f t="shared" si="438"/>
        <v>66.254837500000008</v>
      </c>
      <c r="Y446" s="104">
        <f t="shared" si="457"/>
        <v>98</v>
      </c>
      <c r="Z446" s="104">
        <f>('Renewable Diesel'!F455*'RD Feedstock Breakdown'!Z$3*'Feedstock Conversion Rates'!B$6)/12-142+15+5+20+5+15</f>
        <v>77.460000000000008</v>
      </c>
      <c r="AA446" s="104">
        <f>('Renewable Diesel'!F455*'RD Feedstock Breakdown'!AA$3*'Feedstock Conversion Rates'!B$7)/12+24</f>
        <v>128.26666666666665</v>
      </c>
      <c r="AB446" s="106">
        <f t="shared" si="471"/>
        <v>303.72666666666669</v>
      </c>
      <c r="AC446" s="104">
        <f>('Renewable Diesel'!G455*'RD Feedstock Breakdown'!AC$3*'Feedstock Conversion Rates'!B$5)/12</f>
        <v>11.796875</v>
      </c>
      <c r="AD446" s="104">
        <f>('Renewable Diesel'!G455*'RD Feedstock Breakdown'!AD$3*'Feedstock Conversion Rates'!B$4)/12</f>
        <v>5.859375</v>
      </c>
      <c r="AE446" s="104">
        <f>('Renewable Diesel'!G455*'RD Feedstock Breakdown'!AE$3*'Feedstock Conversion Rates'!B$6)/12</f>
        <v>7.3281250000000009</v>
      </c>
      <c r="AF446" s="106">
        <f t="shared" si="445"/>
        <v>24.984375</v>
      </c>
      <c r="AG446" s="104">
        <f t="shared" si="459"/>
        <v>148</v>
      </c>
      <c r="AH446" s="104"/>
      <c r="AI446" s="104">
        <f>('Renewable Diesel'!H455*'RD Feedstock Breakdown'!AI$3*'Feedstock Conversion Rates'!B$6)/12-130-20+51-49</f>
        <v>0.51666666666667993</v>
      </c>
      <c r="AJ446" s="106">
        <f t="shared" si="413"/>
        <v>148.51666666666668</v>
      </c>
      <c r="AK446" s="104">
        <f>('Renewable Diesel'!J455*'RD Feedstock Breakdown'!AK$3*'Feedstock Conversion Rates'!B$4)/12</f>
        <v>95.8125</v>
      </c>
      <c r="AL446" s="106">
        <f t="shared" si="415"/>
        <v>95.8125</v>
      </c>
      <c r="AM446" s="104">
        <f>('Renewable Diesel'!K455*'RD Feedstock Breakdown'!AM$3*'Feedstock Conversion Rates'!B$4)/12+5+15-10+10</f>
        <v>78.59375</v>
      </c>
      <c r="AN446" s="104">
        <f>('Renewable Diesel'!K455*'RD Feedstock Breakdown'!AN$3*'Feedstock Conversion Rates'!B$6)/12-5-15+10-10</f>
        <v>4.4270833333333321</v>
      </c>
      <c r="AO446" s="106">
        <f t="shared" si="431"/>
        <v>83.020833333333329</v>
      </c>
      <c r="AP446" s="104">
        <f>('Renewable Diesel'!L455*'RD Feedstock Breakdown'!AP$3*'Feedstock Conversion Rates'!B$4)/12+15-10+15</f>
        <v>78.59375</v>
      </c>
      <c r="AQ446" s="104">
        <f>('Renewable Diesel'!L455*'RD Feedstock Breakdown'!AQ$3*'Feedstock Conversion Rates'!B$6)/12-15+10-15</f>
        <v>4.4270833333333321</v>
      </c>
      <c r="AR446" s="106">
        <f t="shared" si="420"/>
        <v>83.020833333333329</v>
      </c>
      <c r="AS446" s="104">
        <f>('Renewable Diesel'!M455*'RD Feedstock Breakdown'!AS$3*'Feedstock Conversion Rates'!B$4)/12</f>
        <v>456.25</v>
      </c>
      <c r="AT446" s="104">
        <f>('Renewable Diesel'!M455*'RD Feedstock Breakdown'!AT$3*'Feedstock Conversion Rates'!B$5)/12</f>
        <v>0</v>
      </c>
      <c r="AU446" s="106">
        <f t="shared" si="448"/>
        <v>456.25</v>
      </c>
      <c r="AV446" s="104">
        <f>'Renewable Diesel'!N455*'RD Feedstock Breakdown'!$AV$3*'Feedstock Conversion Rates'!$B$4/12-15-10+25+25-22+25</f>
        <v>106.74999999999999</v>
      </c>
      <c r="AW446" s="104">
        <f>'Renewable Diesel'!N455*'RD Feedstock Breakdown'!$AW$3*'Feedstock Conversion Rates'!$B$7/12+15+10-25-25+22-25</f>
        <v>13.400000000000006</v>
      </c>
      <c r="AX446" s="106">
        <f t="shared" si="475"/>
        <v>120.14999999999999</v>
      </c>
      <c r="AY446" s="104">
        <f>('Renewable Diesel'!O455*'RD Feedstock Breakdown'!AY$3*'Feedstock Conversion Rates'!B$4)/12</f>
        <v>210.9375</v>
      </c>
      <c r="AZ446" s="104">
        <f>('Renewable Diesel'!O455*'RD Feedstock Breakdown'!AZ$3*'Feedstock Conversion Rates'!B$3)/12</f>
        <v>25.03125</v>
      </c>
      <c r="BA446" s="106">
        <f t="shared" si="458"/>
        <v>235.96875</v>
      </c>
      <c r="BB446" s="104">
        <f>('Renewable Diesel'!Q455*'RD Feedstock Breakdown'!BB$3*'Feedstock Conversion Rates'!B$4)/12</f>
        <v>11.156249999999998</v>
      </c>
      <c r="BC446" s="104">
        <f>('Renewable Diesel'!Q455*'RD Feedstock Breakdown'!BC$3*'Feedstock Conversion Rates'!B$3)/12</f>
        <v>1.4017500000000001</v>
      </c>
      <c r="BD446" s="104">
        <f>('Renewable Diesel'!Q455*'RD Feedstock Breakdown'!BD$3*'Feedstock Conversion Rates'!B$6)/12</f>
        <v>0.8207500000000002</v>
      </c>
      <c r="BE446" s="106">
        <f t="shared" si="440"/>
        <v>13.378749999999998</v>
      </c>
      <c r="BF446" s="104">
        <f>('Renewable Diesel'!R455*'RD Feedstock Breakdown'!BF$3*'Feedstock Conversion Rates'!B$4)/12</f>
        <v>62.5</v>
      </c>
      <c r="BG446" s="106">
        <f t="shared" si="425"/>
        <v>62.5</v>
      </c>
      <c r="BH446" s="104">
        <f>('Renewable Diesel'!T455*'RD Feedstock Breakdown'!BH$3*'Feedstock Conversion Rates'!B$7)/12</f>
        <v>27.599999999999998</v>
      </c>
      <c r="BI446" s="106">
        <f t="shared" si="479"/>
        <v>27.599999999999998</v>
      </c>
      <c r="BJ446" s="104">
        <f>('Renewable Diesel'!W455*'RD Feedstock Breakdown'!BJ$3*'Feedstock Conversion Rates'!B$4)/12</f>
        <v>7.5</v>
      </c>
      <c r="BK446" s="104">
        <f>('Renewable Diesel'!W455*'RD Feedstock Breakdown'!BK$3*'Feedstock Conversion Rates'!B$3)/12</f>
        <v>1.335</v>
      </c>
      <c r="BL446" s="104">
        <f>('Renewable Diesel'!W455*'RD Feedstock Breakdown'!BL$3*'Feedstock Conversion Rates'!B$6)/12</f>
        <v>3.1266666666666669</v>
      </c>
      <c r="BM446" s="104">
        <f>('Renewable Diesel'!W455*'RD Feedstock Breakdown'!BM$3*'Feedstock Conversion Rates'!B$7)/12</f>
        <v>1.5333333333333332</v>
      </c>
      <c r="BN446" s="106">
        <f t="shared" si="452"/>
        <v>13.495000000000001</v>
      </c>
      <c r="BO446" s="104">
        <f>('Renewable Diesel'!P455*'Feedstock Conversion Rates'!B$4)/12</f>
        <v>31.25</v>
      </c>
      <c r="BP446" s="106">
        <f t="shared" si="446"/>
        <v>31.25</v>
      </c>
      <c r="BQ446" s="104">
        <f>('Renewable Diesel'!$S455*'RD Feedstock Breakdown'!BQ$3*'Feedstock Conversion Rates'!B$4)/12+10+15-15</f>
        <v>38.125</v>
      </c>
      <c r="BR446" s="104">
        <f>('Renewable Diesel'!$S455*'RD Feedstock Breakdown'!BR$3*'Feedstock Conversion Rates'!B$7)/12-10-15+15</f>
        <v>1.5</v>
      </c>
      <c r="BS446" s="106">
        <f t="shared" si="460"/>
        <v>39.625</v>
      </c>
      <c r="BT446" s="106"/>
      <c r="BU446" s="104">
        <f>('Renewable Diesel'!Y455*'Feedstock Conversion Rates'!B$7)/12</f>
        <v>2.6833333333333331</v>
      </c>
      <c r="BV446" s="106">
        <f t="shared" si="442"/>
        <v>2.6833333333333331</v>
      </c>
      <c r="BW446" s="104">
        <f>('Renewable Diesel'!$Z455*'RD Feedstock Breakdown'!BW$3*'Feedstock Conversion Rates'!$B$4)/12-250+180</f>
        <v>1.875</v>
      </c>
      <c r="BX446" s="104">
        <f>('Renewable Diesel'!$Z455*'RD Feedstock Breakdown'!BX$3*'Feedstock Conversion Rates'!$B$5)/12</f>
        <v>7.2354166666666666</v>
      </c>
      <c r="BY446" s="104">
        <f>('Renewable Diesel'!$Z455*'RD Feedstock Breakdown'!BY$3*'Feedstock Conversion Rates'!$B$7)/12</f>
        <v>61.716666666666661</v>
      </c>
      <c r="BZ446" s="104">
        <f>('Renewable Diesel'!$Z455*'RD Feedstock Breakdown'!BZ$3*'Feedstock Conversion Rates'!$B$3)/12+250-180</f>
        <v>85.35250000000002</v>
      </c>
      <c r="CA446" s="106">
        <f t="shared" si="464"/>
        <v>156.17958333333334</v>
      </c>
      <c r="CB446" s="104">
        <f>('Renewable Diesel'!AA455*'Feedstock Conversion Rates'!B$4)/12</f>
        <v>191.25</v>
      </c>
      <c r="CC446" s="106">
        <f t="shared" si="454"/>
        <v>191.25</v>
      </c>
      <c r="CD446" s="104">
        <f>('Renewable Diesel'!$AB455*'RD Feedstock Breakdown'!CD$3*'Feedstock Conversion Rates'!$B$6)/12-15-5</f>
        <v>12.830000000000005</v>
      </c>
      <c r="CE446" s="104">
        <f>('Renewable Diesel'!$AB455*'RD Feedstock Breakdown'!CE$3*'Feedstock Conversion Rates'!$B$4)/12+15+5</f>
        <v>31.25</v>
      </c>
      <c r="CF446" s="106">
        <f t="shared" si="450"/>
        <v>44.080000000000005</v>
      </c>
      <c r="CG446" s="104">
        <f>('Renewable Diesel'!AD455*'Feedstock Conversion Rates'!B$4)/12</f>
        <v>112.5</v>
      </c>
      <c r="CH446" s="106">
        <f t="shared" si="439"/>
        <v>112.5</v>
      </c>
      <c r="CI446" s="104">
        <f>('Renewable Diesel'!$AE455*'RD Feedstock Breakdown'!CI$3*'Feedstock Conversion Rates'!$B$5)/12</f>
        <v>0.34604166666666664</v>
      </c>
      <c r="CJ446" s="104">
        <f>('Renewable Diesel'!$AE455*'RD Feedstock Breakdown'!CJ$3*'Feedstock Conversion Rates'!$B$4)/12</f>
        <v>0.34375</v>
      </c>
      <c r="CK446" s="106">
        <f t="shared" si="447"/>
        <v>0.68979166666666658</v>
      </c>
      <c r="CL446" s="104">
        <f>(((CL$3*'Renewable Diesel'!$AF455)*'Feedstock Conversion Rates'!$B$3)/12)</f>
        <v>91.78125</v>
      </c>
      <c r="CM446" s="104">
        <f>(((CM$3*'Renewable Diesel'!$AF455)*'Feedstock Conversion Rates'!$B$6)/12)</f>
        <v>53.739583333333336</v>
      </c>
      <c r="CN446" s="104">
        <f>(((CN$3*'Renewable Diesel'!$AF455)*'Feedstock Conversion Rates'!$B$4)/12)</f>
        <v>42.96875</v>
      </c>
      <c r="CO446" s="106">
        <f t="shared" si="441"/>
        <v>188.48958333333334</v>
      </c>
      <c r="CP446" s="104">
        <f>('Renewable Diesel'!$AG455*'RD Feedstock Breakdown'!CP$3*'Feedstock Conversion Rates'!$B$3)/12</f>
        <v>6.0075000000000003</v>
      </c>
      <c r="CQ446" s="104">
        <f>('Renewable Diesel'!$AG455*'RD Feedstock Breakdown'!CQ$3*'Feedstock Conversion Rates'!$B$6)/12</f>
        <v>3.5175000000000001</v>
      </c>
      <c r="CR446" s="104">
        <f>('Renewable Diesel'!$AG455*'RD Feedstock Breakdown'!CR$3*'Feedstock Conversion Rates'!$B$4)/12</f>
        <v>2.8125</v>
      </c>
      <c r="CS446" s="106">
        <f t="shared" si="467"/>
        <v>12.3375</v>
      </c>
      <c r="CT446" s="104">
        <f>('Renewable Diesel'!AI455*'Feedstock Conversion Rates'!$B$4*'RD Feedstock Breakdown'!$CT$3)/12</f>
        <v>29.375</v>
      </c>
      <c r="CU446" s="106">
        <f t="shared" si="443"/>
        <v>29.375</v>
      </c>
      <c r="CV446" s="104">
        <f>('Renewable Diesel'!AN455*'Feedstock Conversion Rates'!$B$3*'RD Feedstock Breakdown'!$CV$3)/12</f>
        <v>0.50062499999999999</v>
      </c>
      <c r="CW446" s="106">
        <f t="shared" si="419"/>
        <v>0.50062499999999999</v>
      </c>
      <c r="CX446" s="104">
        <f>('Renewable Diesel'!AO455*'RD Feedstock Breakdown'!$CX$3*'Feedstock Conversion Rates'!$B$3)/12</f>
        <v>6.3412499999999996</v>
      </c>
      <c r="CY446" s="104">
        <f>('Renewable Diesel'!AO455*'RD Feedstock Breakdown'!$CY$3*'Feedstock Conversion Rates'!$B$6)/12</f>
        <v>7.4258333333333342</v>
      </c>
      <c r="CZ446" s="106">
        <f t="shared" si="468"/>
        <v>13.767083333333334</v>
      </c>
      <c r="DA446" s="104">
        <f>('Renewable Diesel'!$AP455*'RD Feedstock Breakdown'!DA$3*'Feedstock Conversion Rates'!$B$3)/12</f>
        <v>6.3412499999999996</v>
      </c>
      <c r="DB446" s="104">
        <f>('Renewable Diesel'!$AP455*'RD Feedstock Breakdown'!DB$3*'Feedstock Conversion Rates'!$B$8)/12</f>
        <v>7.421875</v>
      </c>
      <c r="DC446" s="106">
        <f t="shared" si="422"/>
        <v>13.763124999999999</v>
      </c>
      <c r="DD446" s="104">
        <f>('Renewable Diesel'!AQ455*$DD$3*'Feedstock Conversion Rates'!$B$14)/12</f>
        <v>3.1041666666666665</v>
      </c>
      <c r="DE446" s="106">
        <f t="shared" si="423"/>
        <v>3.1041666666666665</v>
      </c>
      <c r="DF446" s="104">
        <f>('Renewable Diesel'!AR455*'Feedstock Conversion Rates'!$B$4*$DF$3)/12</f>
        <v>75</v>
      </c>
      <c r="DG446" s="106">
        <f t="shared" si="469"/>
        <v>75</v>
      </c>
      <c r="DH446" s="104">
        <f>('Renewable Diesel'!AS455*'Feedstock Conversion Rates'!$B$4*$DH$3)/12</f>
        <v>75</v>
      </c>
      <c r="DI446" s="106">
        <f t="shared" si="478"/>
        <v>75</v>
      </c>
      <c r="DJ446" s="104">
        <f>('Renewable Diesel'!AT455*'Feedstock Conversion Rates'!$B$4*0.25)/12</f>
        <v>8.59375</v>
      </c>
      <c r="DK446" s="104">
        <f>('Renewable Diesel'!$AT455*'RD Feedstock Breakdown'!DK$3*'Feedstock Conversion Rates'!$B$3)/12*0.5</f>
        <v>9.1781249999999996</v>
      </c>
      <c r="DL446" s="104">
        <f>('Renewable Diesel'!$AT455*'RD Feedstock Breakdown'!$DL$3*'Feedstock Conversion Rates'!$B$6)/12</f>
        <v>10.747916666666669</v>
      </c>
      <c r="DM446" s="104">
        <f>('Renewable Diesel'!$AT455*'RD Feedstock Breakdown'!$DM$3*'Feedstock Conversion Rates'!$B$8)/12</f>
        <v>10.7421875</v>
      </c>
      <c r="DN446" s="106">
        <f t="shared" si="453"/>
        <v>39.26197916666667</v>
      </c>
      <c r="DP446" s="104">
        <f t="shared" si="426"/>
        <v>103.22025000000001</v>
      </c>
      <c r="DQ446" s="104">
        <f t="shared" si="427"/>
        <v>349.11776750000007</v>
      </c>
      <c r="DR446" s="104">
        <f t="shared" si="432"/>
        <v>1891.953125</v>
      </c>
      <c r="DS446" s="104">
        <f t="shared" si="444"/>
        <v>228.90125</v>
      </c>
      <c r="DT446" s="104">
        <f t="shared" si="428"/>
        <v>243.03923333333344</v>
      </c>
      <c r="DU446" s="104">
        <f t="shared" si="429"/>
        <v>402.90610000000009</v>
      </c>
      <c r="DV446" s="104">
        <f t="shared" si="433"/>
        <v>78.75</v>
      </c>
      <c r="DW446" s="104">
        <f t="shared" si="430"/>
        <v>3</v>
      </c>
      <c r="DX446" s="106">
        <f t="shared" si="434"/>
        <v>3300.8877258333337</v>
      </c>
      <c r="DY446" s="109">
        <f t="shared" si="421"/>
        <v>-5.631051180898794E-13</v>
      </c>
      <c r="EA446" s="110">
        <f t="shared" si="472"/>
        <v>3.1270451640078516E-2</v>
      </c>
      <c r="EB446" s="110">
        <f t="shared" si="470"/>
        <v>0.10576481131658687</v>
      </c>
      <c r="EC446" s="110">
        <f t="shared" si="470"/>
        <v>0.57316494293133291</v>
      </c>
      <c r="ED446" s="110">
        <f t="shared" si="470"/>
        <v>6.9345360706629972E-2</v>
      </c>
      <c r="EE446" s="110">
        <f t="shared" si="470"/>
        <v>7.3628445896921982E-2</v>
      </c>
      <c r="EF446" s="110">
        <f t="shared" si="470"/>
        <v>0.1220599225010852</v>
      </c>
      <c r="EG446" s="110">
        <f t="shared" si="470"/>
        <v>2.3857218585075921E-2</v>
      </c>
      <c r="EH446" s="111">
        <f t="shared" si="435"/>
        <v>9.0884642228860647E-4</v>
      </c>
      <c r="EI446" s="110">
        <f t="shared" si="476"/>
        <v>0.99909115357771139</v>
      </c>
      <c r="EK446" s="132">
        <f>(EA446*'Renewable Diesel'!BF455*'Feedstock Conversion Rates'!B$2)+FB446</f>
        <v>903.76006984469086</v>
      </c>
      <c r="EL446" s="132">
        <f>(EB446*'Renewable Diesel'!BF455*'Feedstock Conversion Rates'!B$3)+FC446</f>
        <v>2880.5391674575703</v>
      </c>
      <c r="EM446" s="132">
        <f>(EC446*'Renewable Diesel'!BF455*'Feedstock Conversion Rates'!B$4)+FD446</f>
        <v>14616.417934347537</v>
      </c>
      <c r="EN446" s="132">
        <f>(ED446*'Renewable Diesel'!BF455*'Feedstock Conversion Rates'!B$5)+FE446</f>
        <v>1780.1821127391127</v>
      </c>
      <c r="EO446" s="132">
        <f>(EE446*'Renewable Diesel'!BF455*'Feedstock Conversion Rates'!B$6)+FF446</f>
        <v>2348.2727686819194</v>
      </c>
      <c r="EP446" s="132">
        <f>(EF446*'Renewable Diesel'!BF455*'Feedstock Conversion Rates'!B$7)+FG446</f>
        <v>3818.22034146234</v>
      </c>
      <c r="EQ446" s="132">
        <f>(EG446*'Renewable Diesel'!BF455*'Feedstock Conversion Rates'!B$8)+FH446</f>
        <v>760.48588170615267</v>
      </c>
      <c r="ER446" s="132">
        <f>(EH446*'Renewable Diesel'!BF455*'Feedstock Conversion Rates'!B$9)+FI446</f>
        <v>28.584612188574113</v>
      </c>
      <c r="ES446" s="132">
        <f t="shared" si="436"/>
        <v>27136.462888427897</v>
      </c>
      <c r="ET446" s="133">
        <f>ES446/'Renewable Diesel'!BF455</f>
        <v>21.673600710991813</v>
      </c>
      <c r="EW446" s="73">
        <f t="shared" si="461"/>
        <v>26755.439285016197</v>
      </c>
      <c r="EX446" s="73">
        <f t="shared" si="462"/>
        <v>17524.959281541029</v>
      </c>
      <c r="EY446" s="92">
        <f t="shared" si="477"/>
        <v>0.9859589805429585</v>
      </c>
      <c r="EZ446" s="92">
        <f t="shared" si="477"/>
        <v>0.64580853273307004</v>
      </c>
      <c r="FB446" s="102">
        <f>IF('Renewable Diesel'!$BG455&lt;1,0,(((('Renewable Diesel'!$BG455-1)*'Renewable Diesel'!$BF455)*'RD Feedstock Breakdown'!EA446)*'Feedstock Conversion Rates'!$B$2))</f>
        <v>570.96625192395027</v>
      </c>
      <c r="FC446" s="102">
        <f>IF('Renewable Diesel'!$BG455&lt;1,0,(((('Renewable Diesel'!$BG455-1)*'Renewable Diesel'!$BF455)*'RD Feedstock Breakdown'!EB446)*'Feedstock Conversion Rates'!$B$3))</f>
        <v>1819.8310667188707</v>
      </c>
      <c r="FD446" s="102">
        <f>IF('Renewable Diesel'!$BG455&lt;1,0,(((('Renewable Diesel'!$BG455-1)*'Renewable Diesel'!$BF455)*'RD Feedstock Breakdown'!EC446)*'Feedstock Conversion Rates'!$B$4))</f>
        <v>9234.1780113858895</v>
      </c>
      <c r="FE446" s="102">
        <f>IF('Renewable Diesel'!$BG455&lt;1,0,(((('Renewable Diesel'!$BG455-1)*'Renewable Diesel'!$BF455)*'RD Feedstock Breakdown'!ED446)*'Feedstock Conversion Rates'!$B$5))</f>
        <v>1124.6612265436561</v>
      </c>
      <c r="FF446" s="102">
        <f>IF('Renewable Diesel'!$BG455&lt;1,0,(((('Renewable Diesel'!$BG455-1)*'Renewable Diesel'!$BF455)*'RD Feedstock Breakdown'!EE446)*'Feedstock Conversion Rates'!$B$6))</f>
        <v>1483.5624475639909</v>
      </c>
      <c r="FG446" s="102">
        <f>IF('Renewable Diesel'!$BG455&lt;1,0,(((('Renewable Diesel'!$BG455-1)*'Renewable Diesel'!$BF455)*'RD Feedstock Breakdown'!EF446)*'Feedstock Conversion Rates'!$B$7))</f>
        <v>2412.2275702656116</v>
      </c>
      <c r="FH446" s="102">
        <f>IF('Renewable Diesel'!$BG455&lt;1,0,(((('Renewable Diesel'!$BG455-1)*'Renewable Diesel'!$BF455)*'RD Feedstock Breakdown'!EG446)*'Feedstock Conversion Rates'!$B$8))</f>
        <v>480.45027436702406</v>
      </c>
      <c r="FI446" s="102">
        <f>IF('Renewable Diesel'!$BG455&lt;1,0,(((('Renewable Diesel'!$BG455-1)*'Renewable Diesel'!$BF455)*'RD Feedstock Breakdown'!EH446)*'Feedstock Conversion Rates'!$B$9))</f>
        <v>18.058829360335125</v>
      </c>
      <c r="FJ446" s="102">
        <f t="shared" si="463"/>
        <v>17143.935678129328</v>
      </c>
      <c r="GD446" s="91">
        <f>'Renewable Diesel'!BB455*0.32</f>
        <v>0</v>
      </c>
      <c r="GE446" s="91">
        <f>'Renewable Diesel'!BC455</f>
        <v>609.91118505111206</v>
      </c>
      <c r="GF446" s="91">
        <f>'Renewable Diesel'!BD455</f>
        <v>0</v>
      </c>
      <c r="GG446" s="91">
        <f t="shared" si="451"/>
        <v>609.91118505111206</v>
      </c>
      <c r="GH446" s="124">
        <v>1</v>
      </c>
      <c r="GI446" s="102">
        <f>$GG446*EA446*'Feedstock Conversion Rates'!$B$2</f>
        <v>162.11368484351209</v>
      </c>
      <c r="GJ446" s="102">
        <f>$GG446*EB446*'Feedstock Conversion Rates'!$B$3</f>
        <v>516.7022026685222</v>
      </c>
      <c r="GK446" s="102">
        <f>$GG446*EC446*'Feedstock Conversion Rates'!$B$4</f>
        <v>2621.8478217975171</v>
      </c>
      <c r="GL446" s="102">
        <f>$GG446*ED446*'Feedstock Conversion Rates'!$B$5</f>
        <v>319.32355900415018</v>
      </c>
      <c r="GM446" s="102">
        <f>$GG446*EE446*'Feedstock Conversion Rates'!$B$6</f>
        <v>421.22590303654653</v>
      </c>
      <c r="GN446" s="102">
        <f>$GG446*EF446*'Feedstock Conversion Rates'!$B$7</f>
        <v>684.9005502149306</v>
      </c>
      <c r="GO446" s="102">
        <f>$GG446*EG446*'Feedstock Conversion Rates'!$B$8</f>
        <v>136.41360430544128</v>
      </c>
      <c r="GP446" s="102">
        <f>$GG446*EH446*'Feedstock Conversion Rates'!B$9</f>
        <v>5.1274192856394443</v>
      </c>
      <c r="GQ446" s="102">
        <f t="shared" si="437"/>
        <v>4867.6547451562592</v>
      </c>
      <c r="GT446" s="103">
        <f t="shared" si="418"/>
        <v>3.3304269372191886E-2</v>
      </c>
      <c r="GU446" s="103">
        <f t="shared" si="418"/>
        <v>0.10615013383656388</v>
      </c>
      <c r="GV446" s="103">
        <f t="shared" si="418"/>
        <v>0.53862649654979833</v>
      </c>
      <c r="GW446" s="103">
        <f t="shared" si="418"/>
        <v>6.5601110950176761E-2</v>
      </c>
      <c r="GX446" s="103">
        <f t="shared" si="465"/>
        <v>8.6535698419388296E-2</v>
      </c>
      <c r="GY446" s="103">
        <f t="shared" si="465"/>
        <v>0.14070442257566981</v>
      </c>
      <c r="GZ446" s="103">
        <f t="shared" si="465"/>
        <v>2.8024502855545523E-2</v>
      </c>
      <c r="HA446" s="103">
        <f t="shared" si="465"/>
        <v>1.053365440665584E-3</v>
      </c>
    </row>
    <row r="447" spans="1:209" x14ac:dyDescent="0.25">
      <c r="A447" s="96">
        <v>54027</v>
      </c>
      <c r="B447" s="104">
        <f t="shared" si="473"/>
        <v>44.25</v>
      </c>
      <c r="C447" s="104">
        <f t="shared" si="466"/>
        <v>49</v>
      </c>
      <c r="D447" s="104">
        <f t="shared" si="474"/>
        <v>2</v>
      </c>
      <c r="E447" s="104">
        <f>('Renewable Diesel'!B456*E$3*'Feedstock Conversion Rates'!$B$2)/12+26+13-100+27.5+39</f>
        <v>95.43</v>
      </c>
      <c r="F447" s="104">
        <f>('Renewable Diesel'!B456*'RD Feedstock Breakdown'!F$3*'Feedstock Conversion Rates'!B$8)/12+77+23-10-12-115.75+24+8</f>
        <v>48.15625</v>
      </c>
      <c r="G447" s="104">
        <f>('Renewable Diesel'!B456*'RD Feedstock Breakdown'!G$3*'Feedstock Conversion Rates'!B$7)/12+116.75-39-57.5-145-31.5+32+70-40+10+60</f>
        <v>151.90700000000004</v>
      </c>
      <c r="H447" s="104">
        <f>('Renewable Diesel'!B456*'RD Feedstock Breakdown'!H$3*'Feedstock Conversion Rates'!B$3)/12+67+10+12+3-235+20+47-20+25</f>
        <v>105.40022499999998</v>
      </c>
      <c r="I447" s="106">
        <f t="shared" si="449"/>
        <v>496.14347500000002</v>
      </c>
      <c r="J447" s="104">
        <f t="shared" si="417"/>
        <v>4</v>
      </c>
      <c r="K447" s="104"/>
      <c r="L447" s="104">
        <v>1</v>
      </c>
      <c r="M447" s="104">
        <f>('Renewable Diesel'!C456*'RD Feedstock Breakdown'!M$3*'Feedstock Conversion Rates'!B$2)/12</f>
        <v>7.7902500000000003</v>
      </c>
      <c r="N447" s="104">
        <f>('Renewable Diesel'!C456*'RD Feedstock Breakdown'!N$3*'Feedstock Conversion Rates'!B$8)/12</f>
        <v>3.671875</v>
      </c>
      <c r="O447" s="104">
        <f>('Renewable Diesel'!C456*'RD Feedstock Breakdown'!O$3*'Feedstock Conversion Rates'!B$7)/12</f>
        <v>11.9991</v>
      </c>
      <c r="P447" s="104">
        <f>('Renewable Diesel'!C456*'RD Feedstock Breakdown'!P$3*'Feedstock Conversion Rates'!B$3)/12</f>
        <v>10.4470425</v>
      </c>
      <c r="Q447" s="106">
        <f t="shared" si="455"/>
        <v>38.908267500000001</v>
      </c>
      <c r="R447" s="104">
        <f>('Renewable Diesel'!D456*'RD Feedstock Breakdown'!R$3*'Feedstock Conversion Rates'!B$7)/12</f>
        <v>2.2999999999999998</v>
      </c>
      <c r="S447" s="106">
        <f t="shared" si="414"/>
        <v>2.2999999999999998</v>
      </c>
      <c r="T447" s="104">
        <f t="shared" si="456"/>
        <v>0.82499999999999929</v>
      </c>
      <c r="U447" s="104"/>
      <c r="V447" s="104">
        <f>('Renewable Diesel'!E456*'RD Feedstock Breakdown'!V$3*'Feedstock Conversion Rates'!B$6)/12-20+25</f>
        <v>49.250150000000012</v>
      </c>
      <c r="W447" s="104">
        <f>('Renewable Diesel'!E456*'RD Feedstock Breakdown'!W$3*'Feedstock Conversion Rates'!B$8)/12-6</f>
        <v>16.1796875</v>
      </c>
      <c r="X447" s="106">
        <f t="shared" si="438"/>
        <v>66.254837500000008</v>
      </c>
      <c r="Y447" s="104">
        <f t="shared" si="457"/>
        <v>98</v>
      </c>
      <c r="Z447" s="104">
        <f>('Renewable Diesel'!F456*'RD Feedstock Breakdown'!Z$3*'Feedstock Conversion Rates'!B$6)/12-142+15+5+20+5+15</f>
        <v>77.460000000000008</v>
      </c>
      <c r="AA447" s="104">
        <f>('Renewable Diesel'!F456*'RD Feedstock Breakdown'!AA$3*'Feedstock Conversion Rates'!B$7)/12+24</f>
        <v>128.26666666666665</v>
      </c>
      <c r="AB447" s="106">
        <f t="shared" si="471"/>
        <v>303.72666666666669</v>
      </c>
      <c r="AC447" s="104">
        <f>('Renewable Diesel'!G456*'RD Feedstock Breakdown'!AC$3*'Feedstock Conversion Rates'!B$5)/12</f>
        <v>11.796875</v>
      </c>
      <c r="AD447" s="104">
        <f>('Renewable Diesel'!G456*'RD Feedstock Breakdown'!AD$3*'Feedstock Conversion Rates'!B$4)/12</f>
        <v>5.859375</v>
      </c>
      <c r="AE447" s="104">
        <f>('Renewable Diesel'!G456*'RD Feedstock Breakdown'!AE$3*'Feedstock Conversion Rates'!B$6)/12</f>
        <v>7.3281250000000009</v>
      </c>
      <c r="AF447" s="106">
        <f t="shared" si="445"/>
        <v>24.984375</v>
      </c>
      <c r="AG447" s="104">
        <f t="shared" si="459"/>
        <v>148</v>
      </c>
      <c r="AH447" s="104"/>
      <c r="AI447" s="104">
        <f>('Renewable Diesel'!H456*'RD Feedstock Breakdown'!AI$3*'Feedstock Conversion Rates'!B$6)/12-130-20+51-49</f>
        <v>0.51666666666667993</v>
      </c>
      <c r="AJ447" s="106">
        <f t="shared" si="413"/>
        <v>148.51666666666668</v>
      </c>
      <c r="AK447" s="104">
        <f>('Renewable Diesel'!J456*'RD Feedstock Breakdown'!AK$3*'Feedstock Conversion Rates'!B$4)/12</f>
        <v>95.8125</v>
      </c>
      <c r="AL447" s="106">
        <f t="shared" si="415"/>
        <v>95.8125</v>
      </c>
      <c r="AM447" s="104">
        <f>('Renewable Diesel'!K456*'RD Feedstock Breakdown'!AM$3*'Feedstock Conversion Rates'!B$4)/12+5+15-10+10</f>
        <v>78.59375</v>
      </c>
      <c r="AN447" s="104">
        <f>('Renewable Diesel'!K456*'RD Feedstock Breakdown'!AN$3*'Feedstock Conversion Rates'!B$6)/12-5-15+10-10</f>
        <v>4.4270833333333321</v>
      </c>
      <c r="AO447" s="106">
        <f t="shared" si="431"/>
        <v>83.020833333333329</v>
      </c>
      <c r="AP447" s="104">
        <f>('Renewable Diesel'!L456*'RD Feedstock Breakdown'!AP$3*'Feedstock Conversion Rates'!B$4)/12+15-10+15</f>
        <v>78.59375</v>
      </c>
      <c r="AQ447" s="104">
        <f>('Renewable Diesel'!L456*'RD Feedstock Breakdown'!AQ$3*'Feedstock Conversion Rates'!B$6)/12-15+10-15</f>
        <v>4.4270833333333321</v>
      </c>
      <c r="AR447" s="106">
        <f t="shared" si="420"/>
        <v>83.020833333333329</v>
      </c>
      <c r="AS447" s="104">
        <f>('Renewable Diesel'!M456*'RD Feedstock Breakdown'!AS$3*'Feedstock Conversion Rates'!B$4)/12</f>
        <v>456.25</v>
      </c>
      <c r="AT447" s="104">
        <f>('Renewable Diesel'!M456*'RD Feedstock Breakdown'!AT$3*'Feedstock Conversion Rates'!B$5)/12</f>
        <v>0</v>
      </c>
      <c r="AU447" s="106">
        <f t="shared" si="448"/>
        <v>456.25</v>
      </c>
      <c r="AV447" s="104">
        <f>'Renewable Diesel'!N456*'RD Feedstock Breakdown'!$AV$3*'Feedstock Conversion Rates'!$B$4/12-15-10+25+25-22+25</f>
        <v>106.74999999999999</v>
      </c>
      <c r="AW447" s="104">
        <f>'Renewable Diesel'!N456*'RD Feedstock Breakdown'!$AW$3*'Feedstock Conversion Rates'!$B$7/12+15+10-25-25+22-25</f>
        <v>13.400000000000006</v>
      </c>
      <c r="AX447" s="106">
        <f t="shared" si="475"/>
        <v>120.14999999999999</v>
      </c>
      <c r="AY447" s="104">
        <f>('Renewable Diesel'!O456*'RD Feedstock Breakdown'!AY$3*'Feedstock Conversion Rates'!B$4)/12</f>
        <v>210.9375</v>
      </c>
      <c r="AZ447" s="104">
        <f>('Renewable Diesel'!O456*'RD Feedstock Breakdown'!AZ$3*'Feedstock Conversion Rates'!B$3)/12</f>
        <v>25.03125</v>
      </c>
      <c r="BA447" s="106">
        <f t="shared" si="458"/>
        <v>235.96875</v>
      </c>
      <c r="BB447" s="104">
        <f>('Renewable Diesel'!Q456*'RD Feedstock Breakdown'!BB$3*'Feedstock Conversion Rates'!B$4)/12</f>
        <v>11.156249999999998</v>
      </c>
      <c r="BC447" s="104">
        <f>('Renewable Diesel'!Q456*'RD Feedstock Breakdown'!BC$3*'Feedstock Conversion Rates'!B$3)/12</f>
        <v>1.4017500000000001</v>
      </c>
      <c r="BD447" s="104">
        <f>('Renewable Diesel'!Q456*'RD Feedstock Breakdown'!BD$3*'Feedstock Conversion Rates'!B$6)/12</f>
        <v>0.8207500000000002</v>
      </c>
      <c r="BE447" s="106">
        <f t="shared" si="440"/>
        <v>13.378749999999998</v>
      </c>
      <c r="BF447" s="104">
        <f>('Renewable Diesel'!R456*'RD Feedstock Breakdown'!BF$3*'Feedstock Conversion Rates'!B$4)/12</f>
        <v>62.5</v>
      </c>
      <c r="BG447" s="106">
        <f t="shared" si="425"/>
        <v>62.5</v>
      </c>
      <c r="BH447" s="104">
        <f>('Renewable Diesel'!T456*'RD Feedstock Breakdown'!BH$3*'Feedstock Conversion Rates'!B$7)/12</f>
        <v>27.599999999999998</v>
      </c>
      <c r="BI447" s="106">
        <f t="shared" si="479"/>
        <v>27.599999999999998</v>
      </c>
      <c r="BJ447" s="104">
        <f>('Renewable Diesel'!W456*'RD Feedstock Breakdown'!BJ$3*'Feedstock Conversion Rates'!B$4)/12</f>
        <v>7.5</v>
      </c>
      <c r="BK447" s="104">
        <f>('Renewable Diesel'!W456*'RD Feedstock Breakdown'!BK$3*'Feedstock Conversion Rates'!B$3)/12</f>
        <v>1.335</v>
      </c>
      <c r="BL447" s="104">
        <f>('Renewable Diesel'!W456*'RD Feedstock Breakdown'!BL$3*'Feedstock Conversion Rates'!B$6)/12</f>
        <v>3.1266666666666669</v>
      </c>
      <c r="BM447" s="104">
        <f>('Renewable Diesel'!W456*'RD Feedstock Breakdown'!BM$3*'Feedstock Conversion Rates'!B$7)/12</f>
        <v>1.5333333333333332</v>
      </c>
      <c r="BN447" s="106">
        <f t="shared" si="452"/>
        <v>13.495000000000001</v>
      </c>
      <c r="BO447" s="104">
        <f>('Renewable Diesel'!P456*'Feedstock Conversion Rates'!B$4)/12</f>
        <v>31.25</v>
      </c>
      <c r="BP447" s="106">
        <f t="shared" si="446"/>
        <v>31.25</v>
      </c>
      <c r="BQ447" s="104">
        <f>('Renewable Diesel'!$S456*'RD Feedstock Breakdown'!BQ$3*'Feedstock Conversion Rates'!B$4)/12+10+15-15</f>
        <v>38.125</v>
      </c>
      <c r="BR447" s="104">
        <f>('Renewable Diesel'!$S456*'RD Feedstock Breakdown'!BR$3*'Feedstock Conversion Rates'!B$7)/12-10-15+15</f>
        <v>1.5</v>
      </c>
      <c r="BS447" s="106">
        <f t="shared" si="460"/>
        <v>39.625</v>
      </c>
      <c r="BT447" s="106"/>
      <c r="BU447" s="104">
        <f>('Renewable Diesel'!Y456*'Feedstock Conversion Rates'!B$7)/12</f>
        <v>2.6833333333333331</v>
      </c>
      <c r="BV447" s="106">
        <f t="shared" si="442"/>
        <v>2.6833333333333331</v>
      </c>
      <c r="BW447" s="104">
        <f>('Renewable Diesel'!$Z456*'RD Feedstock Breakdown'!BW$3*'Feedstock Conversion Rates'!$B$4)/12-250+180</f>
        <v>1.875</v>
      </c>
      <c r="BX447" s="104">
        <f>('Renewable Diesel'!$Z456*'RD Feedstock Breakdown'!BX$3*'Feedstock Conversion Rates'!$B$5)/12</f>
        <v>7.2354166666666666</v>
      </c>
      <c r="BY447" s="104">
        <f>('Renewable Diesel'!$Z456*'RD Feedstock Breakdown'!BY$3*'Feedstock Conversion Rates'!$B$7)/12</f>
        <v>61.716666666666661</v>
      </c>
      <c r="BZ447" s="104">
        <f>('Renewable Diesel'!$Z456*'RD Feedstock Breakdown'!BZ$3*'Feedstock Conversion Rates'!$B$3)/12+250-180</f>
        <v>85.35250000000002</v>
      </c>
      <c r="CA447" s="106">
        <f t="shared" si="464"/>
        <v>156.17958333333334</v>
      </c>
      <c r="CB447" s="104">
        <f>('Renewable Diesel'!AA456*'Feedstock Conversion Rates'!B$4)/12</f>
        <v>191.25</v>
      </c>
      <c r="CC447" s="106">
        <f t="shared" si="454"/>
        <v>191.25</v>
      </c>
      <c r="CD447" s="104">
        <f>('Renewable Diesel'!$AB456*'RD Feedstock Breakdown'!CD$3*'Feedstock Conversion Rates'!$B$6)/12-15-5</f>
        <v>12.830000000000005</v>
      </c>
      <c r="CE447" s="104">
        <f>('Renewable Diesel'!$AB456*'RD Feedstock Breakdown'!CE$3*'Feedstock Conversion Rates'!$B$4)/12+15+5</f>
        <v>31.25</v>
      </c>
      <c r="CF447" s="106">
        <f t="shared" si="450"/>
        <v>44.080000000000005</v>
      </c>
      <c r="CG447" s="104">
        <f>('Renewable Diesel'!AD456*'Feedstock Conversion Rates'!B$4)/12</f>
        <v>112.5</v>
      </c>
      <c r="CH447" s="106">
        <f t="shared" si="439"/>
        <v>112.5</v>
      </c>
      <c r="CI447" s="104">
        <f>('Renewable Diesel'!$AE456*'RD Feedstock Breakdown'!CI$3*'Feedstock Conversion Rates'!$B$5)/12</f>
        <v>0.34604166666666664</v>
      </c>
      <c r="CJ447" s="104">
        <f>('Renewable Diesel'!$AE456*'RD Feedstock Breakdown'!CJ$3*'Feedstock Conversion Rates'!$B$4)/12</f>
        <v>0.34375</v>
      </c>
      <c r="CK447" s="106">
        <f t="shared" si="447"/>
        <v>0.68979166666666658</v>
      </c>
      <c r="CL447" s="104">
        <f>(((CL$3*'Renewable Diesel'!$AF456)*'Feedstock Conversion Rates'!$B$3)/12)</f>
        <v>91.78125</v>
      </c>
      <c r="CM447" s="104">
        <f>(((CM$3*'Renewable Diesel'!$AF456)*'Feedstock Conversion Rates'!$B$6)/12)</f>
        <v>53.739583333333336</v>
      </c>
      <c r="CN447" s="104">
        <f>(((CN$3*'Renewable Diesel'!$AF456)*'Feedstock Conversion Rates'!$B$4)/12)</f>
        <v>42.96875</v>
      </c>
      <c r="CO447" s="106">
        <f t="shared" si="441"/>
        <v>188.48958333333334</v>
      </c>
      <c r="CP447" s="104">
        <f>('Renewable Diesel'!$AG456*'RD Feedstock Breakdown'!CP$3*'Feedstock Conversion Rates'!$B$3)/12</f>
        <v>6.0075000000000003</v>
      </c>
      <c r="CQ447" s="104">
        <f>('Renewable Diesel'!$AG456*'RD Feedstock Breakdown'!CQ$3*'Feedstock Conversion Rates'!$B$6)/12</f>
        <v>3.5175000000000001</v>
      </c>
      <c r="CR447" s="104">
        <f>('Renewable Diesel'!$AG456*'RD Feedstock Breakdown'!CR$3*'Feedstock Conversion Rates'!$B$4)/12</f>
        <v>2.8125</v>
      </c>
      <c r="CS447" s="106">
        <f t="shared" si="467"/>
        <v>12.3375</v>
      </c>
      <c r="CT447" s="104">
        <f>('Renewable Diesel'!AI456*'Feedstock Conversion Rates'!$B$4*'RD Feedstock Breakdown'!$CT$3)/12</f>
        <v>29.375</v>
      </c>
      <c r="CU447" s="106">
        <f t="shared" si="443"/>
        <v>29.375</v>
      </c>
      <c r="CV447" s="104">
        <f>('Renewable Diesel'!AN456*'Feedstock Conversion Rates'!$B$3*'RD Feedstock Breakdown'!$CV$3)/12</f>
        <v>0.50062499999999999</v>
      </c>
      <c r="CW447" s="106">
        <f t="shared" si="419"/>
        <v>0.50062499999999999</v>
      </c>
      <c r="CX447" s="104">
        <f>('Renewable Diesel'!AO456*'RD Feedstock Breakdown'!$CX$3*'Feedstock Conversion Rates'!$B$3)/12</f>
        <v>6.3412499999999996</v>
      </c>
      <c r="CY447" s="104">
        <f>('Renewable Diesel'!AO456*'RD Feedstock Breakdown'!$CY$3*'Feedstock Conversion Rates'!$B$6)/12</f>
        <v>7.4258333333333342</v>
      </c>
      <c r="CZ447" s="106">
        <f t="shared" si="468"/>
        <v>13.767083333333334</v>
      </c>
      <c r="DA447" s="104">
        <f>('Renewable Diesel'!$AP456*'RD Feedstock Breakdown'!DA$3*'Feedstock Conversion Rates'!$B$3)/12</f>
        <v>6.3412499999999996</v>
      </c>
      <c r="DB447" s="104">
        <f>('Renewable Diesel'!$AP456*'RD Feedstock Breakdown'!DB$3*'Feedstock Conversion Rates'!$B$8)/12</f>
        <v>7.421875</v>
      </c>
      <c r="DC447" s="106">
        <f t="shared" si="422"/>
        <v>13.763124999999999</v>
      </c>
      <c r="DD447" s="104">
        <f>('Renewable Diesel'!AQ456*$DD$3*'Feedstock Conversion Rates'!$B$14)/12</f>
        <v>3.1041666666666665</v>
      </c>
      <c r="DE447" s="106">
        <f t="shared" si="423"/>
        <v>3.1041666666666665</v>
      </c>
      <c r="DF447" s="104">
        <f>('Renewable Diesel'!AR456*'Feedstock Conversion Rates'!$B$4*$DF$3)/12</f>
        <v>75</v>
      </c>
      <c r="DG447" s="106">
        <f t="shared" si="469"/>
        <v>75</v>
      </c>
      <c r="DH447" s="104">
        <f>('Renewable Diesel'!AS456*'Feedstock Conversion Rates'!$B$4*$DH$3)/12</f>
        <v>75</v>
      </c>
      <c r="DI447" s="106">
        <f t="shared" si="478"/>
        <v>75</v>
      </c>
      <c r="DJ447" s="104">
        <f>('Renewable Diesel'!AT456*'Feedstock Conversion Rates'!$B$4*0.25)/12</f>
        <v>8.59375</v>
      </c>
      <c r="DK447" s="104">
        <f>('Renewable Diesel'!$AT456*'RD Feedstock Breakdown'!DK$3*'Feedstock Conversion Rates'!$B$3)/12*0.5</f>
        <v>9.1781249999999996</v>
      </c>
      <c r="DL447" s="104">
        <f>('Renewable Diesel'!$AT456*'RD Feedstock Breakdown'!$DL$3*'Feedstock Conversion Rates'!$B$6)/12</f>
        <v>10.747916666666669</v>
      </c>
      <c r="DM447" s="104">
        <f>('Renewable Diesel'!$AT456*'RD Feedstock Breakdown'!$DM$3*'Feedstock Conversion Rates'!$B$8)/12</f>
        <v>10.7421875</v>
      </c>
      <c r="DN447" s="106">
        <f t="shared" si="453"/>
        <v>39.26197916666667</v>
      </c>
      <c r="DP447" s="104">
        <f t="shared" si="426"/>
        <v>103.22025000000001</v>
      </c>
      <c r="DQ447" s="104">
        <f t="shared" si="427"/>
        <v>349.11776750000007</v>
      </c>
      <c r="DR447" s="104">
        <f t="shared" si="432"/>
        <v>1891.953125</v>
      </c>
      <c r="DS447" s="104">
        <f t="shared" si="444"/>
        <v>228.90125</v>
      </c>
      <c r="DT447" s="104">
        <f t="shared" si="428"/>
        <v>243.03923333333344</v>
      </c>
      <c r="DU447" s="104">
        <f t="shared" si="429"/>
        <v>402.90610000000009</v>
      </c>
      <c r="DV447" s="104">
        <f t="shared" si="433"/>
        <v>78.75</v>
      </c>
      <c r="DW447" s="104">
        <f t="shared" si="430"/>
        <v>3</v>
      </c>
      <c r="DX447" s="106">
        <f t="shared" si="434"/>
        <v>3300.8877258333337</v>
      </c>
      <c r="DY447" s="109">
        <f t="shared" si="421"/>
        <v>-5.631051180898794E-13</v>
      </c>
      <c r="EA447" s="110">
        <f t="shared" si="472"/>
        <v>3.1270451640078516E-2</v>
      </c>
      <c r="EB447" s="110">
        <f t="shared" si="470"/>
        <v>0.10576481131658687</v>
      </c>
      <c r="EC447" s="110">
        <f t="shared" si="470"/>
        <v>0.57316494293133291</v>
      </c>
      <c r="ED447" s="110">
        <f t="shared" si="470"/>
        <v>6.9345360706629972E-2</v>
      </c>
      <c r="EE447" s="110">
        <f t="shared" si="470"/>
        <v>7.3628445896921982E-2</v>
      </c>
      <c r="EF447" s="110">
        <f t="shared" si="470"/>
        <v>0.1220599225010852</v>
      </c>
      <c r="EG447" s="110">
        <f t="shared" si="470"/>
        <v>2.3857218585075921E-2</v>
      </c>
      <c r="EH447" s="111">
        <f t="shared" si="435"/>
        <v>9.0884642228860647E-4</v>
      </c>
      <c r="EI447" s="110">
        <f t="shared" si="476"/>
        <v>0.99909115357771139</v>
      </c>
      <c r="EK447" s="132">
        <f>(EA447*'Renewable Diesel'!BF456*'Feedstock Conversion Rates'!B$2)+FB447</f>
        <v>970.94095806688483</v>
      </c>
      <c r="EL447" s="132">
        <f>(EB447*'Renewable Diesel'!BF456*'Feedstock Conversion Rates'!B$3)+FC447</f>
        <v>3094.6636749298618</v>
      </c>
      <c r="EM447" s="132">
        <f>(EC447*'Renewable Diesel'!BF456*'Feedstock Conversion Rates'!B$4)+FD447</f>
        <v>15702.927476227404</v>
      </c>
      <c r="EN447" s="132">
        <f>(ED447*'Renewable Diesel'!BF456*'Feedstock Conversion Rates'!B$5)+FE447</f>
        <v>1912.5117204762937</v>
      </c>
      <c r="EO447" s="132">
        <f>(EE447*'Renewable Diesel'!BF456*'Feedstock Conversion Rates'!B$6)+FF447</f>
        <v>2522.8313220545551</v>
      </c>
      <c r="EP447" s="132">
        <f>(EF447*'Renewable Diesel'!BF456*'Feedstock Conversion Rates'!B$7)+FG447</f>
        <v>4102.0472580593178</v>
      </c>
      <c r="EQ447" s="132">
        <f>(EG447*'Renewable Diesel'!BF456*'Feedstock Conversion Rates'!B$8)+FH447</f>
        <v>817.01650163300701</v>
      </c>
      <c r="ER447" s="132">
        <f>(EH447*'Renewable Diesel'!BF456*'Feedstock Conversion Rates'!B$9)+FI447</f>
        <v>30.709445648681914</v>
      </c>
      <c r="ES447" s="132">
        <f t="shared" si="436"/>
        <v>29153.648357096004</v>
      </c>
      <c r="ET447" s="133">
        <f>ES447/'Renewable Diesel'!BF456</f>
        <v>22.836057292856129</v>
      </c>
      <c r="EW447" s="73">
        <f t="shared" si="461"/>
        <v>29074.496946046802</v>
      </c>
      <c r="EX447" s="73">
        <f t="shared" si="462"/>
        <v>19043.954751888901</v>
      </c>
      <c r="EY447" s="92">
        <f t="shared" si="477"/>
        <v>0.99728502552820508</v>
      </c>
      <c r="EZ447" s="92">
        <f t="shared" si="477"/>
        <v>0.65322715423552125</v>
      </c>
      <c r="FB447" s="102">
        <f>IF('Renewable Diesel'!$BG456&lt;1,0,(((('Renewable Diesel'!$BG456-1)*'Renewable Diesel'!$BF456)*'RD Feedstock Breakdown'!EA447)*'Feedstock Conversion Rates'!$B$2))</f>
        <v>631.60891905397011</v>
      </c>
      <c r="FC447" s="102">
        <f>IF('Renewable Diesel'!$BG456&lt;1,0,(((('Renewable Diesel'!$BG456-1)*'Renewable Diesel'!$BF456)*'RD Feedstock Breakdown'!EB447)*'Feedstock Conversion Rates'!$B$3))</f>
        <v>2013.1164128142482</v>
      </c>
      <c r="FD447" s="102">
        <f>IF('Renewable Diesel'!$BG456&lt;1,0,(((('Renewable Diesel'!$BG456-1)*'Renewable Diesel'!$BF456)*'RD Feedstock Breakdown'!EC447)*'Feedstock Conversion Rates'!$B$4))</f>
        <v>10214.945581232398</v>
      </c>
      <c r="FE447" s="102">
        <f>IF('Renewable Diesel'!$BG456&lt;1,0,(((('Renewable Diesel'!$BG456-1)*'Renewable Diesel'!$BF456)*'RD Feedstock Breakdown'!ED447)*'Feedstock Conversion Rates'!$B$5))</f>
        <v>1244.1121681107081</v>
      </c>
      <c r="FF447" s="102">
        <f>IF('Renewable Diesel'!$BG456&lt;1,0,(((('Renewable Diesel'!$BG456-1)*'Renewable Diesel'!$BF456)*'RD Feedstock Breakdown'!EE447)*'Feedstock Conversion Rates'!$B$6))</f>
        <v>1641.1325024859123</v>
      </c>
      <c r="FG447" s="102">
        <f>IF('Renewable Diesel'!$BG456&lt;1,0,(((('Renewable Diesel'!$BG456-1)*'Renewable Diesel'!$BF456)*'RD Feedstock Breakdown'!EF447)*'Feedstock Conversion Rates'!$B$7))</f>
        <v>2668.4317033339839</v>
      </c>
      <c r="FH447" s="102">
        <f>IF('Renewable Diesel'!$BG456&lt;1,0,(((('Renewable Diesel'!$BG456-1)*'Renewable Diesel'!$BF456)*'RD Feedstock Breakdown'!EG447)*'Feedstock Conversion Rates'!$B$8))</f>
        <v>531.47918538022145</v>
      </c>
      <c r="FI447" s="102">
        <f>IF('Renewable Diesel'!$BG456&lt;1,0,(((('Renewable Diesel'!$BG456-1)*'Renewable Diesel'!$BF456)*'RD Feedstock Breakdown'!EH447)*'Feedstock Conversion Rates'!$B$9))</f>
        <v>19.976868428259753</v>
      </c>
      <c r="FJ447" s="102">
        <f t="shared" si="463"/>
        <v>18964.803340839702</v>
      </c>
      <c r="GD447" s="91">
        <f>'Renewable Diesel'!BB456*0.32</f>
        <v>0</v>
      </c>
      <c r="GE447" s="91">
        <f>'Renewable Diesel'!BC456</f>
        <v>548.03204534381575</v>
      </c>
      <c r="GF447" s="91">
        <f>'Renewable Diesel'!BD456</f>
        <v>0</v>
      </c>
      <c r="GG447" s="91">
        <f t="shared" si="451"/>
        <v>548.03204534381575</v>
      </c>
      <c r="GH447" s="124">
        <v>1</v>
      </c>
      <c r="GI447" s="102">
        <f>$GG447*EA447*'Feedstock Conversion Rates'!$B$2</f>
        <v>145.66628135466539</v>
      </c>
      <c r="GJ447" s="102">
        <f>$GG447*EB447*'Feedstock Conversion Rates'!$B$3</f>
        <v>464.27967202856712</v>
      </c>
      <c r="GK447" s="102">
        <f>$GG447*EC447*'Feedstock Conversion Rates'!$B$4</f>
        <v>2355.8456699552235</v>
      </c>
      <c r="GL447" s="102">
        <f>$GG447*ED447*'Feedstock Conversion Rates'!$B$5</f>
        <v>286.92627296685117</v>
      </c>
      <c r="GM447" s="102">
        <f>$GG447*EE447*'Feedstock Conversion Rates'!$B$6</f>
        <v>378.49001436753281</v>
      </c>
      <c r="GN447" s="102">
        <f>$GG447*EF447*'Feedstock Conversion Rates'!$B$7</f>
        <v>615.41329064155173</v>
      </c>
      <c r="GO447" s="102">
        <f>$GG447*EG447*'Feedstock Conversion Rates'!$B$8</f>
        <v>122.57362778806548</v>
      </c>
      <c r="GP447" s="102">
        <f>$GG447*EH447*'Feedstock Conversion Rates'!B$9</f>
        <v>4.6072119143196675</v>
      </c>
      <c r="GQ447" s="102">
        <f t="shared" si="437"/>
        <v>4373.8020410167765</v>
      </c>
      <c r="GT447" s="103">
        <f t="shared" si="418"/>
        <v>3.3304269372191893E-2</v>
      </c>
      <c r="GU447" s="103">
        <f t="shared" si="418"/>
        <v>0.1061501338365639</v>
      </c>
      <c r="GV447" s="103">
        <f t="shared" si="418"/>
        <v>0.53862649654979833</v>
      </c>
      <c r="GW447" s="103">
        <f t="shared" si="418"/>
        <v>6.5601110950176775E-2</v>
      </c>
      <c r="GX447" s="103">
        <f t="shared" si="465"/>
        <v>8.6535698419388324E-2</v>
      </c>
      <c r="GY447" s="103">
        <f t="shared" si="465"/>
        <v>0.14070442257566981</v>
      </c>
      <c r="GZ447" s="103">
        <f t="shared" si="465"/>
        <v>2.802450285554552E-2</v>
      </c>
      <c r="HA447" s="103">
        <f t="shared" si="465"/>
        <v>1.053365440665584E-3</v>
      </c>
    </row>
    <row r="448" spans="1:209" x14ac:dyDescent="0.25">
      <c r="A448" s="96">
        <v>54058</v>
      </c>
      <c r="B448" s="104">
        <f t="shared" si="473"/>
        <v>44.25</v>
      </c>
      <c r="C448" s="104">
        <f t="shared" si="466"/>
        <v>49</v>
      </c>
      <c r="D448" s="104">
        <f t="shared" si="474"/>
        <v>2</v>
      </c>
      <c r="E448" s="104">
        <f>('Renewable Diesel'!B457*E$3*'Feedstock Conversion Rates'!$B$2)/12+26+13-100+27.5+39</f>
        <v>95.43</v>
      </c>
      <c r="F448" s="104">
        <f>('Renewable Diesel'!B457*'RD Feedstock Breakdown'!F$3*'Feedstock Conversion Rates'!B$8)/12+77+23-10-12-115.75+24+8</f>
        <v>48.15625</v>
      </c>
      <c r="G448" s="104">
        <f>('Renewable Diesel'!B457*'RD Feedstock Breakdown'!G$3*'Feedstock Conversion Rates'!B$7)/12+116.75-39-57.5-145-31.5+32+70-40+10+60</f>
        <v>151.90700000000004</v>
      </c>
      <c r="H448" s="104">
        <f>('Renewable Diesel'!B457*'RD Feedstock Breakdown'!H$3*'Feedstock Conversion Rates'!B$3)/12+67+10+12+3-235+20+47-20+25</f>
        <v>105.40022499999998</v>
      </c>
      <c r="I448" s="106">
        <f t="shared" si="449"/>
        <v>496.14347500000002</v>
      </c>
      <c r="J448" s="104">
        <f t="shared" si="417"/>
        <v>4</v>
      </c>
      <c r="K448" s="104"/>
      <c r="L448" s="104">
        <v>1</v>
      </c>
      <c r="M448" s="104">
        <f>('Renewable Diesel'!C457*'RD Feedstock Breakdown'!M$3*'Feedstock Conversion Rates'!B$2)/12</f>
        <v>7.7902500000000003</v>
      </c>
      <c r="N448" s="104">
        <f>('Renewable Diesel'!C457*'RD Feedstock Breakdown'!N$3*'Feedstock Conversion Rates'!B$8)/12</f>
        <v>3.671875</v>
      </c>
      <c r="O448" s="104">
        <f>('Renewable Diesel'!C457*'RD Feedstock Breakdown'!O$3*'Feedstock Conversion Rates'!B$7)/12</f>
        <v>11.9991</v>
      </c>
      <c r="P448" s="104">
        <f>('Renewable Diesel'!C457*'RD Feedstock Breakdown'!P$3*'Feedstock Conversion Rates'!B$3)/12</f>
        <v>10.4470425</v>
      </c>
      <c r="Q448" s="106">
        <f t="shared" si="455"/>
        <v>38.908267500000001</v>
      </c>
      <c r="R448" s="104">
        <f>('Renewable Diesel'!D457*'RD Feedstock Breakdown'!R$3*'Feedstock Conversion Rates'!B$7)/12</f>
        <v>2.2999999999999998</v>
      </c>
      <c r="S448" s="106">
        <f t="shared" si="414"/>
        <v>2.2999999999999998</v>
      </c>
      <c r="T448" s="104">
        <f t="shared" si="456"/>
        <v>0.82499999999999929</v>
      </c>
      <c r="U448" s="104"/>
      <c r="V448" s="104">
        <f>('Renewable Diesel'!E457*'RD Feedstock Breakdown'!V$3*'Feedstock Conversion Rates'!B$6)/12-20+25</f>
        <v>49.250150000000012</v>
      </c>
      <c r="W448" s="104">
        <f>('Renewable Diesel'!E457*'RD Feedstock Breakdown'!W$3*'Feedstock Conversion Rates'!B$8)/12-6</f>
        <v>16.1796875</v>
      </c>
      <c r="X448" s="106">
        <f t="shared" si="438"/>
        <v>66.254837500000008</v>
      </c>
      <c r="Y448" s="104">
        <f t="shared" si="457"/>
        <v>98</v>
      </c>
      <c r="Z448" s="104">
        <f>('Renewable Diesel'!F457*'RD Feedstock Breakdown'!Z$3*'Feedstock Conversion Rates'!B$6)/12-142+15+5+20+5+15</f>
        <v>77.460000000000008</v>
      </c>
      <c r="AA448" s="104">
        <f>('Renewable Diesel'!F457*'RD Feedstock Breakdown'!AA$3*'Feedstock Conversion Rates'!B$7)/12+24</f>
        <v>128.26666666666665</v>
      </c>
      <c r="AB448" s="106">
        <f t="shared" si="471"/>
        <v>303.72666666666669</v>
      </c>
      <c r="AC448" s="104">
        <f>('Renewable Diesel'!G457*'RD Feedstock Breakdown'!AC$3*'Feedstock Conversion Rates'!B$5)/12</f>
        <v>11.796875</v>
      </c>
      <c r="AD448" s="104">
        <f>('Renewable Diesel'!G457*'RD Feedstock Breakdown'!AD$3*'Feedstock Conversion Rates'!B$4)/12</f>
        <v>5.859375</v>
      </c>
      <c r="AE448" s="104">
        <f>('Renewable Diesel'!G457*'RD Feedstock Breakdown'!AE$3*'Feedstock Conversion Rates'!B$6)/12</f>
        <v>7.3281250000000009</v>
      </c>
      <c r="AF448" s="106">
        <f t="shared" si="445"/>
        <v>24.984375</v>
      </c>
      <c r="AG448" s="104">
        <f t="shared" si="459"/>
        <v>148</v>
      </c>
      <c r="AH448" s="104"/>
      <c r="AI448" s="104">
        <f>('Renewable Diesel'!H457*'RD Feedstock Breakdown'!AI$3*'Feedstock Conversion Rates'!B$6)/12-130-20+51-49</f>
        <v>0.51666666666667993</v>
      </c>
      <c r="AJ448" s="106">
        <f t="shared" ref="AJ448:AJ495" si="480">AI448+AG448</f>
        <v>148.51666666666668</v>
      </c>
      <c r="AK448" s="104">
        <f>('Renewable Diesel'!J457*'RD Feedstock Breakdown'!AK$3*'Feedstock Conversion Rates'!B$4)/12</f>
        <v>95.8125</v>
      </c>
      <c r="AL448" s="106">
        <f t="shared" si="415"/>
        <v>95.8125</v>
      </c>
      <c r="AM448" s="104">
        <f>('Renewable Diesel'!K457*'RD Feedstock Breakdown'!AM$3*'Feedstock Conversion Rates'!B$4)/12+5+15-10+10</f>
        <v>78.59375</v>
      </c>
      <c r="AN448" s="104">
        <f>('Renewable Diesel'!K457*'RD Feedstock Breakdown'!AN$3*'Feedstock Conversion Rates'!B$6)/12-5-15+10-10</f>
        <v>4.4270833333333321</v>
      </c>
      <c r="AO448" s="106">
        <f t="shared" si="431"/>
        <v>83.020833333333329</v>
      </c>
      <c r="AP448" s="104">
        <f>('Renewable Diesel'!L457*'RD Feedstock Breakdown'!AP$3*'Feedstock Conversion Rates'!B$4)/12+15-10+15</f>
        <v>78.59375</v>
      </c>
      <c r="AQ448" s="104">
        <f>('Renewable Diesel'!L457*'RD Feedstock Breakdown'!AQ$3*'Feedstock Conversion Rates'!B$6)/12-15+10-15</f>
        <v>4.4270833333333321</v>
      </c>
      <c r="AR448" s="106">
        <f t="shared" si="420"/>
        <v>83.020833333333329</v>
      </c>
      <c r="AS448" s="104">
        <f>('Renewable Diesel'!M457*'RD Feedstock Breakdown'!AS$3*'Feedstock Conversion Rates'!B$4)/12</f>
        <v>456.25</v>
      </c>
      <c r="AT448" s="104">
        <f>('Renewable Diesel'!M457*'RD Feedstock Breakdown'!AT$3*'Feedstock Conversion Rates'!B$5)/12</f>
        <v>0</v>
      </c>
      <c r="AU448" s="106">
        <f t="shared" si="448"/>
        <v>456.25</v>
      </c>
      <c r="AV448" s="104">
        <f>'Renewable Diesel'!N457*'RD Feedstock Breakdown'!$AV$3*'Feedstock Conversion Rates'!$B$4/12-15-10+25+25-22+25</f>
        <v>106.74999999999999</v>
      </c>
      <c r="AW448" s="104">
        <f>'Renewable Diesel'!N457*'RD Feedstock Breakdown'!$AW$3*'Feedstock Conversion Rates'!$B$7/12+15+10-25-25+22-25</f>
        <v>13.400000000000006</v>
      </c>
      <c r="AX448" s="106">
        <f t="shared" si="475"/>
        <v>120.14999999999999</v>
      </c>
      <c r="AY448" s="104">
        <f>('Renewable Diesel'!O457*'RD Feedstock Breakdown'!AY$3*'Feedstock Conversion Rates'!B$4)/12</f>
        <v>210.9375</v>
      </c>
      <c r="AZ448" s="104">
        <f>('Renewable Diesel'!O457*'RD Feedstock Breakdown'!AZ$3*'Feedstock Conversion Rates'!B$3)/12</f>
        <v>25.03125</v>
      </c>
      <c r="BA448" s="106">
        <f t="shared" si="458"/>
        <v>235.96875</v>
      </c>
      <c r="BB448" s="104">
        <f>('Renewable Diesel'!Q457*'RD Feedstock Breakdown'!BB$3*'Feedstock Conversion Rates'!B$4)/12</f>
        <v>11.156249999999998</v>
      </c>
      <c r="BC448" s="104">
        <f>('Renewable Diesel'!Q457*'RD Feedstock Breakdown'!BC$3*'Feedstock Conversion Rates'!B$3)/12</f>
        <v>1.4017500000000001</v>
      </c>
      <c r="BD448" s="104">
        <f>('Renewable Diesel'!Q457*'RD Feedstock Breakdown'!BD$3*'Feedstock Conversion Rates'!B$6)/12</f>
        <v>0.8207500000000002</v>
      </c>
      <c r="BE448" s="106">
        <f t="shared" si="440"/>
        <v>13.378749999999998</v>
      </c>
      <c r="BF448" s="104">
        <f>('Renewable Diesel'!R457*'RD Feedstock Breakdown'!BF$3*'Feedstock Conversion Rates'!B$4)/12</f>
        <v>62.5</v>
      </c>
      <c r="BG448" s="106">
        <f t="shared" si="425"/>
        <v>62.5</v>
      </c>
      <c r="BH448" s="104">
        <f>('Renewable Diesel'!T457*'RD Feedstock Breakdown'!BH$3*'Feedstock Conversion Rates'!B$7)/12</f>
        <v>27.599999999999998</v>
      </c>
      <c r="BI448" s="106">
        <f t="shared" si="479"/>
        <v>27.599999999999998</v>
      </c>
      <c r="BJ448" s="104">
        <f>('Renewable Diesel'!W457*'RD Feedstock Breakdown'!BJ$3*'Feedstock Conversion Rates'!B$4)/12</f>
        <v>7.5</v>
      </c>
      <c r="BK448" s="104">
        <f>('Renewable Diesel'!W457*'RD Feedstock Breakdown'!BK$3*'Feedstock Conversion Rates'!B$3)/12</f>
        <v>1.335</v>
      </c>
      <c r="BL448" s="104">
        <f>('Renewable Diesel'!W457*'RD Feedstock Breakdown'!BL$3*'Feedstock Conversion Rates'!B$6)/12</f>
        <v>3.1266666666666669</v>
      </c>
      <c r="BM448" s="104">
        <f>('Renewable Diesel'!W457*'RD Feedstock Breakdown'!BM$3*'Feedstock Conversion Rates'!B$7)/12</f>
        <v>1.5333333333333332</v>
      </c>
      <c r="BN448" s="106">
        <f t="shared" si="452"/>
        <v>13.495000000000001</v>
      </c>
      <c r="BO448" s="104">
        <f>('Renewable Diesel'!P457*'Feedstock Conversion Rates'!B$4)/12</f>
        <v>31.25</v>
      </c>
      <c r="BP448" s="106">
        <f t="shared" si="446"/>
        <v>31.25</v>
      </c>
      <c r="BQ448" s="104">
        <f>('Renewable Diesel'!$S457*'RD Feedstock Breakdown'!BQ$3*'Feedstock Conversion Rates'!B$4)/12+10+15-15</f>
        <v>38.125</v>
      </c>
      <c r="BR448" s="104">
        <f>('Renewable Diesel'!$S457*'RD Feedstock Breakdown'!BR$3*'Feedstock Conversion Rates'!B$7)/12-10-15+15</f>
        <v>1.5</v>
      </c>
      <c r="BS448" s="106">
        <f t="shared" si="460"/>
        <v>39.625</v>
      </c>
      <c r="BT448" s="106"/>
      <c r="BU448" s="104">
        <f>('Renewable Diesel'!Y457*'Feedstock Conversion Rates'!B$7)/12</f>
        <v>2.6833333333333331</v>
      </c>
      <c r="BV448" s="106">
        <f t="shared" si="442"/>
        <v>2.6833333333333331</v>
      </c>
      <c r="BW448" s="104">
        <f>('Renewable Diesel'!$Z457*'RD Feedstock Breakdown'!BW$3*'Feedstock Conversion Rates'!$B$4)/12-250+180</f>
        <v>1.875</v>
      </c>
      <c r="BX448" s="104">
        <f>('Renewable Diesel'!$Z457*'RD Feedstock Breakdown'!BX$3*'Feedstock Conversion Rates'!$B$5)/12</f>
        <v>7.2354166666666666</v>
      </c>
      <c r="BY448" s="104">
        <f>('Renewable Diesel'!$Z457*'RD Feedstock Breakdown'!BY$3*'Feedstock Conversion Rates'!$B$7)/12</f>
        <v>61.716666666666661</v>
      </c>
      <c r="BZ448" s="104">
        <f>('Renewable Diesel'!$Z457*'RD Feedstock Breakdown'!BZ$3*'Feedstock Conversion Rates'!$B$3)/12+250-180</f>
        <v>85.35250000000002</v>
      </c>
      <c r="CA448" s="106">
        <f t="shared" si="464"/>
        <v>156.17958333333334</v>
      </c>
      <c r="CB448" s="104">
        <f>('Renewable Diesel'!AA457*'Feedstock Conversion Rates'!B$4)/12</f>
        <v>191.25</v>
      </c>
      <c r="CC448" s="106">
        <f t="shared" si="454"/>
        <v>191.25</v>
      </c>
      <c r="CD448" s="104">
        <f>('Renewable Diesel'!$AB457*'RD Feedstock Breakdown'!CD$3*'Feedstock Conversion Rates'!$B$6)/12-15-5</f>
        <v>12.830000000000005</v>
      </c>
      <c r="CE448" s="104">
        <f>('Renewable Diesel'!$AB457*'RD Feedstock Breakdown'!CE$3*'Feedstock Conversion Rates'!$B$4)/12+15+5</f>
        <v>31.25</v>
      </c>
      <c r="CF448" s="106">
        <f t="shared" si="450"/>
        <v>44.080000000000005</v>
      </c>
      <c r="CG448" s="104">
        <f>('Renewable Diesel'!AD457*'Feedstock Conversion Rates'!B$4)/12</f>
        <v>112.5</v>
      </c>
      <c r="CH448" s="106">
        <f t="shared" si="439"/>
        <v>112.5</v>
      </c>
      <c r="CI448" s="104">
        <f>('Renewable Diesel'!$AE457*'RD Feedstock Breakdown'!CI$3*'Feedstock Conversion Rates'!$B$5)/12</f>
        <v>0.34604166666666664</v>
      </c>
      <c r="CJ448" s="104">
        <f>('Renewable Diesel'!$AE457*'RD Feedstock Breakdown'!CJ$3*'Feedstock Conversion Rates'!$B$4)/12</f>
        <v>0.34375</v>
      </c>
      <c r="CK448" s="106">
        <f t="shared" si="447"/>
        <v>0.68979166666666658</v>
      </c>
      <c r="CL448" s="104">
        <f>(((CL$3*'Renewable Diesel'!$AF457)*'Feedstock Conversion Rates'!$B$3)/12)</f>
        <v>91.78125</v>
      </c>
      <c r="CM448" s="104">
        <f>(((CM$3*'Renewable Diesel'!$AF457)*'Feedstock Conversion Rates'!$B$6)/12)</f>
        <v>53.739583333333336</v>
      </c>
      <c r="CN448" s="104">
        <f>(((CN$3*'Renewable Diesel'!$AF457)*'Feedstock Conversion Rates'!$B$4)/12)</f>
        <v>42.96875</v>
      </c>
      <c r="CO448" s="106">
        <f t="shared" si="441"/>
        <v>188.48958333333334</v>
      </c>
      <c r="CP448" s="104">
        <f>('Renewable Diesel'!$AG457*'RD Feedstock Breakdown'!CP$3*'Feedstock Conversion Rates'!$B$3)/12</f>
        <v>6.0075000000000003</v>
      </c>
      <c r="CQ448" s="104">
        <f>('Renewable Diesel'!$AG457*'RD Feedstock Breakdown'!CQ$3*'Feedstock Conversion Rates'!$B$6)/12</f>
        <v>3.5175000000000001</v>
      </c>
      <c r="CR448" s="104">
        <f>('Renewable Diesel'!$AG457*'RD Feedstock Breakdown'!CR$3*'Feedstock Conversion Rates'!$B$4)/12</f>
        <v>2.8125</v>
      </c>
      <c r="CS448" s="106">
        <f t="shared" si="467"/>
        <v>12.3375</v>
      </c>
      <c r="CT448" s="104">
        <f>('Renewable Diesel'!AI457*'Feedstock Conversion Rates'!$B$4*'RD Feedstock Breakdown'!$CT$3)/12</f>
        <v>29.375</v>
      </c>
      <c r="CU448" s="106">
        <f t="shared" si="443"/>
        <v>29.375</v>
      </c>
      <c r="CV448" s="104">
        <f>('Renewable Diesel'!AN457*'Feedstock Conversion Rates'!$B$3*'RD Feedstock Breakdown'!$CV$3)/12</f>
        <v>0.50062499999999999</v>
      </c>
      <c r="CW448" s="106">
        <f t="shared" si="419"/>
        <v>0.50062499999999999</v>
      </c>
      <c r="CX448" s="104">
        <f>('Renewable Diesel'!AO457*'RD Feedstock Breakdown'!$CX$3*'Feedstock Conversion Rates'!$B$3)/12</f>
        <v>6.3412499999999996</v>
      </c>
      <c r="CY448" s="104">
        <f>('Renewable Diesel'!AO457*'RD Feedstock Breakdown'!$CY$3*'Feedstock Conversion Rates'!$B$6)/12</f>
        <v>7.4258333333333342</v>
      </c>
      <c r="CZ448" s="106">
        <f t="shared" si="468"/>
        <v>13.767083333333334</v>
      </c>
      <c r="DA448" s="104">
        <f>('Renewable Diesel'!$AP457*'RD Feedstock Breakdown'!DA$3*'Feedstock Conversion Rates'!$B$3)/12</f>
        <v>6.3412499999999996</v>
      </c>
      <c r="DB448" s="104">
        <f>('Renewable Diesel'!$AP457*'RD Feedstock Breakdown'!DB$3*'Feedstock Conversion Rates'!$B$8)/12</f>
        <v>7.421875</v>
      </c>
      <c r="DC448" s="106">
        <f t="shared" si="422"/>
        <v>13.763124999999999</v>
      </c>
      <c r="DD448" s="104">
        <f>('Renewable Diesel'!AQ457*$DD$3*'Feedstock Conversion Rates'!$B$14)/12</f>
        <v>3.1041666666666665</v>
      </c>
      <c r="DE448" s="106">
        <f t="shared" si="423"/>
        <v>3.1041666666666665</v>
      </c>
      <c r="DF448" s="104">
        <f>('Renewable Diesel'!AR457*'Feedstock Conversion Rates'!$B$4*$DF$3)/12</f>
        <v>75</v>
      </c>
      <c r="DG448" s="106">
        <f t="shared" si="469"/>
        <v>75</v>
      </c>
      <c r="DH448" s="104">
        <f>('Renewable Diesel'!AS457*'Feedstock Conversion Rates'!$B$4*$DH$3)/12</f>
        <v>75</v>
      </c>
      <c r="DI448" s="106">
        <f t="shared" si="478"/>
        <v>75</v>
      </c>
      <c r="DJ448" s="104">
        <f>('Renewable Diesel'!AT457*'Feedstock Conversion Rates'!$B$4*0.25)/12</f>
        <v>8.59375</v>
      </c>
      <c r="DK448" s="104">
        <f>('Renewable Diesel'!$AT457*'RD Feedstock Breakdown'!DK$3*'Feedstock Conversion Rates'!$B$3)/12*0.5</f>
        <v>9.1781249999999996</v>
      </c>
      <c r="DL448" s="104">
        <f>('Renewable Diesel'!$AT457*'RD Feedstock Breakdown'!$DL$3*'Feedstock Conversion Rates'!$B$6)/12</f>
        <v>10.747916666666669</v>
      </c>
      <c r="DM448" s="104">
        <f>('Renewable Diesel'!$AT457*'RD Feedstock Breakdown'!$DM$3*'Feedstock Conversion Rates'!$B$8)/12</f>
        <v>10.7421875</v>
      </c>
      <c r="DN448" s="106">
        <f t="shared" si="453"/>
        <v>39.26197916666667</v>
      </c>
      <c r="DP448" s="104">
        <f t="shared" si="426"/>
        <v>103.22025000000001</v>
      </c>
      <c r="DQ448" s="104">
        <f t="shared" si="427"/>
        <v>349.11776750000007</v>
      </c>
      <c r="DR448" s="104">
        <f t="shared" si="432"/>
        <v>1891.953125</v>
      </c>
      <c r="DS448" s="104">
        <f t="shared" si="444"/>
        <v>228.90125</v>
      </c>
      <c r="DT448" s="104">
        <f t="shared" si="428"/>
        <v>243.03923333333344</v>
      </c>
      <c r="DU448" s="104">
        <f t="shared" si="429"/>
        <v>402.90610000000009</v>
      </c>
      <c r="DV448" s="104">
        <f t="shared" si="433"/>
        <v>78.75</v>
      </c>
      <c r="DW448" s="104">
        <f t="shared" si="430"/>
        <v>3</v>
      </c>
      <c r="DX448" s="106">
        <f t="shared" si="434"/>
        <v>3300.8877258333337</v>
      </c>
      <c r="DY448" s="109">
        <f t="shared" si="421"/>
        <v>-5.631051180898794E-13</v>
      </c>
      <c r="EA448" s="110">
        <f t="shared" si="472"/>
        <v>3.1270451640078516E-2</v>
      </c>
      <c r="EB448" s="110">
        <f t="shared" si="470"/>
        <v>0.10576481131658687</v>
      </c>
      <c r="EC448" s="110">
        <f t="shared" si="470"/>
        <v>0.57316494293133291</v>
      </c>
      <c r="ED448" s="110">
        <f t="shared" si="470"/>
        <v>6.9345360706629972E-2</v>
      </c>
      <c r="EE448" s="110">
        <f t="shared" si="470"/>
        <v>7.3628445896921982E-2</v>
      </c>
      <c r="EF448" s="110">
        <f t="shared" si="470"/>
        <v>0.1220599225010852</v>
      </c>
      <c r="EG448" s="110">
        <f t="shared" si="470"/>
        <v>2.3857218585075921E-2</v>
      </c>
      <c r="EH448" s="111">
        <f t="shared" si="435"/>
        <v>9.0884642228860647E-4</v>
      </c>
      <c r="EI448" s="110">
        <f t="shared" si="476"/>
        <v>0.99909115357771139</v>
      </c>
      <c r="EK448" s="132">
        <f>(EA448*'Renewable Diesel'!BF457*'Feedstock Conversion Rates'!B$2)+FB448</f>
        <v>301.13628764873584</v>
      </c>
      <c r="EL448" s="132">
        <f>(EB448*'Renewable Diesel'!BF457*'Feedstock Conversion Rates'!B$3)+FC448</f>
        <v>959.80659055231263</v>
      </c>
      <c r="EM448" s="132">
        <f>(EC448*'Renewable Diesel'!BF457*'Feedstock Conversion Rates'!B$4)+FD448</f>
        <v>4870.2459671937204</v>
      </c>
      <c r="EN448" s="132">
        <f>(ED448*'Renewable Diesel'!BF457*'Feedstock Conversion Rates'!B$5)+FE448</f>
        <v>593.16344089096935</v>
      </c>
      <c r="EO448" s="132">
        <f>(EE448*'Renewable Diesel'!BF457*'Feedstock Conversion Rates'!B$6)+FF448</f>
        <v>782.45340499388726</v>
      </c>
      <c r="EP448" s="132">
        <f>(EF448*'Renewable Diesel'!BF457*'Feedstock Conversion Rates'!B$7)+FG448</f>
        <v>1272.2455189356274</v>
      </c>
      <c r="EQ448" s="132">
        <f>(EG448*'Renewable Diesel'!BF457*'Feedstock Conversion Rates'!B$8)+FH448</f>
        <v>253.39678402213684</v>
      </c>
      <c r="ER448" s="132">
        <f>(EH448*'Renewable Diesel'!BF457*'Feedstock Conversion Rates'!B$9)+FI448</f>
        <v>9.5245013422923801</v>
      </c>
      <c r="ES448" s="132">
        <f t="shared" si="436"/>
        <v>9041.9724955796828</v>
      </c>
      <c r="ET448" s="133">
        <f>ES448/'Renewable Diesel'!BF457</f>
        <v>12.510827602573999</v>
      </c>
      <c r="EW448" s="73">
        <f t="shared" si="461"/>
        <v>7441.5933754961434</v>
      </c>
      <c r="EX448" s="73">
        <f t="shared" si="462"/>
        <v>4874.284421425692</v>
      </c>
      <c r="EY448" s="92">
        <f t="shared" si="477"/>
        <v>0.82300553105354934</v>
      </c>
      <c r="EZ448" s="92">
        <f t="shared" si="477"/>
        <v>0.53907313075864438</v>
      </c>
      <c r="FB448" s="102">
        <f>IF('Renewable Diesel'!$BG457&lt;1,0,(((('Renewable Diesel'!$BG457-1)*'Renewable Diesel'!$BF457)*'RD Feedstock Breakdown'!EA448)*'Feedstock Conversion Rates'!$B$2))</f>
        <v>109.03502405494609</v>
      </c>
      <c r="FC448" s="102">
        <f>IF('Renewable Diesel'!$BG457&lt;1,0,(((('Renewable Diesel'!$BG457-1)*'Renewable Diesel'!$BF457)*'RD Feedstock Breakdown'!EB448)*'Feedstock Conversion Rates'!$B$3))</f>
        <v>347.52548590570547</v>
      </c>
      <c r="FD448" s="102">
        <f>IF('Renewable Diesel'!$BG457&lt;1,0,(((('Renewable Diesel'!$BG457-1)*'Renewable Diesel'!$BF457)*'RD Feedstock Breakdown'!EC448)*'Feedstock Conversion Rates'!$B$4))</f>
        <v>1763.412142497735</v>
      </c>
      <c r="FE448" s="102">
        <f>IF('Renewable Diesel'!$BG457&lt;1,0,(((('Renewable Diesel'!$BG457-1)*'Renewable Diesel'!$BF457)*'RD Feedstock Breakdown'!ED448)*'Feedstock Conversion Rates'!$B$5))</f>
        <v>214.7718249137184</v>
      </c>
      <c r="FF448" s="102">
        <f>IF('Renewable Diesel'!$BG457&lt;1,0,(((('Renewable Diesel'!$BG457-1)*'Renewable Diesel'!$BF457)*'RD Feedstock Breakdown'!EE448)*'Feedstock Conversion Rates'!$B$6))</f>
        <v>283.30968181058108</v>
      </c>
      <c r="FG448" s="102">
        <f>IF('Renewable Diesel'!$BG457&lt;1,0,(((('Renewable Diesel'!$BG457-1)*'Renewable Diesel'!$BF457)*'RD Feedstock Breakdown'!EF448)*'Feedstock Conversion Rates'!$B$7))</f>
        <v>460.65295499277181</v>
      </c>
      <c r="FH448" s="102">
        <f>IF('Renewable Diesel'!$BG457&lt;1,0,(((('Renewable Diesel'!$BG457-1)*'Renewable Diesel'!$BF457)*'RD Feedstock Breakdown'!EG448)*'Feedstock Conversion Rates'!$B$8))</f>
        <v>91.749568466248761</v>
      </c>
      <c r="FI448" s="102">
        <f>IF('Renewable Diesel'!$BG457&lt;1,0,(((('Renewable Diesel'!$BG457-1)*'Renewable Diesel'!$BF457)*'RD Feedstock Breakdown'!EH448)*'Feedstock Conversion Rates'!$B$9))</f>
        <v>3.448618700445667</v>
      </c>
      <c r="FJ448" s="102">
        <f t="shared" si="463"/>
        <v>3273.9053013421521</v>
      </c>
      <c r="GD448" s="91">
        <f>'Renewable Diesel'!BB457*0.32</f>
        <v>0</v>
      </c>
      <c r="GE448" s="91">
        <f>'Renewable Diesel'!BC457</f>
        <v>328.56901011343734</v>
      </c>
      <c r="GF448" s="91">
        <f>'Renewable Diesel'!BD457</f>
        <v>0</v>
      </c>
      <c r="GG448" s="91">
        <f t="shared" si="451"/>
        <v>328.56901011343734</v>
      </c>
      <c r="GH448" s="124">
        <v>1</v>
      </c>
      <c r="GI448" s="102">
        <f>$GG448*EA448*'Feedstock Conversion Rates'!$B$2</f>
        <v>87.333261400036051</v>
      </c>
      <c r="GJ448" s="102">
        <f>$GG448*EB448*'Feedstock Conversion Rates'!$B$3</f>
        <v>278.35582526659459</v>
      </c>
      <c r="GK448" s="102">
        <f>$GG448*EC448*'Feedstock Conversion Rates'!$B$4</f>
        <v>1412.4317844800464</v>
      </c>
      <c r="GL448" s="102">
        <f>$GG448*ED448*'Feedstock Conversion Rates'!$B$5</f>
        <v>172.02476075119182</v>
      </c>
      <c r="GM448" s="102">
        <f>$GG448*EE448*'Feedstock Conversion Rates'!$B$6</f>
        <v>226.92119998300802</v>
      </c>
      <c r="GN448" s="102">
        <f>$GG448*EF448*'Feedstock Conversion Rates'!$B$7</f>
        <v>368.9669927784808</v>
      </c>
      <c r="GO448" s="102">
        <f>$GG448*EG448*'Feedstock Conversion Rates'!$B$8</f>
        <v>73.488212761484021</v>
      </c>
      <c r="GP448" s="102">
        <f>$GG448*EH448*'Feedstock Conversion Rates'!B$9</f>
        <v>2.762223616177685</v>
      </c>
      <c r="GQ448" s="102">
        <f t="shared" si="437"/>
        <v>2622.2842610370199</v>
      </c>
      <c r="GT448" s="103">
        <f t="shared" si="418"/>
        <v>3.3304269372191879E-2</v>
      </c>
      <c r="GU448" s="103">
        <f t="shared" si="418"/>
        <v>0.10615013383656385</v>
      </c>
      <c r="GV448" s="103">
        <f t="shared" si="418"/>
        <v>0.53862649654979822</v>
      </c>
      <c r="GW448" s="103">
        <f t="shared" si="418"/>
        <v>6.5601110950176747E-2</v>
      </c>
      <c r="GX448" s="103">
        <f t="shared" si="465"/>
        <v>8.6535698419388296E-2</v>
      </c>
      <c r="GY448" s="103">
        <f t="shared" si="465"/>
        <v>0.14070442257566979</v>
      </c>
      <c r="GZ448" s="103">
        <f t="shared" si="465"/>
        <v>2.8024502855545516E-2</v>
      </c>
      <c r="HA448" s="103">
        <f t="shared" si="465"/>
        <v>1.0533654406655836E-3</v>
      </c>
    </row>
    <row r="449" spans="1:209" x14ac:dyDescent="0.25">
      <c r="A449" s="96">
        <v>54089</v>
      </c>
      <c r="B449" s="104">
        <f t="shared" si="473"/>
        <v>44.25</v>
      </c>
      <c r="C449" s="104">
        <f t="shared" si="466"/>
        <v>49</v>
      </c>
      <c r="D449" s="104">
        <f t="shared" si="474"/>
        <v>2</v>
      </c>
      <c r="E449" s="104">
        <f>('Renewable Diesel'!B458*E$3*'Feedstock Conversion Rates'!$B$2)/12+26+13-100+27.5+39</f>
        <v>95.43</v>
      </c>
      <c r="F449" s="104">
        <f>('Renewable Diesel'!B458*'RD Feedstock Breakdown'!F$3*'Feedstock Conversion Rates'!B$8)/12+77+23-10-12-115.75+24+8</f>
        <v>48.15625</v>
      </c>
      <c r="G449" s="104">
        <f>('Renewable Diesel'!B458*'RD Feedstock Breakdown'!G$3*'Feedstock Conversion Rates'!B$7)/12+116.75-39-57.5-145-31.5+32+70-40+10+60</f>
        <v>151.90700000000004</v>
      </c>
      <c r="H449" s="104">
        <f>('Renewable Diesel'!B458*'RD Feedstock Breakdown'!H$3*'Feedstock Conversion Rates'!B$3)/12+67+10+12+3-235+20+47-20+25</f>
        <v>105.40022499999998</v>
      </c>
      <c r="I449" s="106">
        <f t="shared" si="449"/>
        <v>496.14347500000002</v>
      </c>
      <c r="J449" s="104">
        <f t="shared" si="417"/>
        <v>4</v>
      </c>
      <c r="K449" s="104"/>
      <c r="L449" s="104">
        <v>1</v>
      </c>
      <c r="M449" s="104">
        <f>('Renewable Diesel'!C458*'RD Feedstock Breakdown'!M$3*'Feedstock Conversion Rates'!B$2)/12</f>
        <v>7.7902500000000003</v>
      </c>
      <c r="N449" s="104">
        <f>('Renewable Diesel'!C458*'RD Feedstock Breakdown'!N$3*'Feedstock Conversion Rates'!B$8)/12</f>
        <v>3.671875</v>
      </c>
      <c r="O449" s="104">
        <f>('Renewable Diesel'!C458*'RD Feedstock Breakdown'!O$3*'Feedstock Conversion Rates'!B$7)/12</f>
        <v>11.9991</v>
      </c>
      <c r="P449" s="104">
        <f>('Renewable Diesel'!C458*'RD Feedstock Breakdown'!P$3*'Feedstock Conversion Rates'!B$3)/12</f>
        <v>10.4470425</v>
      </c>
      <c r="Q449" s="106">
        <f t="shared" si="455"/>
        <v>38.908267500000001</v>
      </c>
      <c r="R449" s="104">
        <f>('Renewable Diesel'!D458*'RD Feedstock Breakdown'!R$3*'Feedstock Conversion Rates'!B$7)/12</f>
        <v>2.2999999999999998</v>
      </c>
      <c r="S449" s="106">
        <f t="shared" ref="S449:S495" si="481">R449</f>
        <v>2.2999999999999998</v>
      </c>
      <c r="T449" s="104">
        <f t="shared" si="456"/>
        <v>0.82499999999999929</v>
      </c>
      <c r="U449" s="104"/>
      <c r="V449" s="104">
        <f>('Renewable Diesel'!E458*'RD Feedstock Breakdown'!V$3*'Feedstock Conversion Rates'!B$6)/12-20+25</f>
        <v>49.250150000000012</v>
      </c>
      <c r="W449" s="104">
        <f>('Renewable Diesel'!E458*'RD Feedstock Breakdown'!W$3*'Feedstock Conversion Rates'!B$8)/12-6</f>
        <v>16.1796875</v>
      </c>
      <c r="X449" s="106">
        <f t="shared" si="438"/>
        <v>66.254837500000008</v>
      </c>
      <c r="Y449" s="104">
        <f t="shared" si="457"/>
        <v>98</v>
      </c>
      <c r="Z449" s="104">
        <f>('Renewable Diesel'!F458*'RD Feedstock Breakdown'!Z$3*'Feedstock Conversion Rates'!B$6)/12-142+15+5+20+5+15</f>
        <v>77.460000000000008</v>
      </c>
      <c r="AA449" s="104">
        <f>('Renewable Diesel'!F458*'RD Feedstock Breakdown'!AA$3*'Feedstock Conversion Rates'!B$7)/12+24</f>
        <v>128.26666666666665</v>
      </c>
      <c r="AB449" s="106">
        <f t="shared" si="471"/>
        <v>303.72666666666669</v>
      </c>
      <c r="AC449" s="104">
        <f>('Renewable Diesel'!G458*'RD Feedstock Breakdown'!AC$3*'Feedstock Conversion Rates'!B$5)/12</f>
        <v>11.796875</v>
      </c>
      <c r="AD449" s="104">
        <f>('Renewable Diesel'!G458*'RD Feedstock Breakdown'!AD$3*'Feedstock Conversion Rates'!B$4)/12</f>
        <v>5.859375</v>
      </c>
      <c r="AE449" s="104">
        <f>('Renewable Diesel'!G458*'RD Feedstock Breakdown'!AE$3*'Feedstock Conversion Rates'!B$6)/12</f>
        <v>7.3281250000000009</v>
      </c>
      <c r="AF449" s="106">
        <f t="shared" si="445"/>
        <v>24.984375</v>
      </c>
      <c r="AG449" s="104">
        <f t="shared" si="459"/>
        <v>148</v>
      </c>
      <c r="AH449" s="104"/>
      <c r="AI449" s="104">
        <f>('Renewable Diesel'!H458*'RD Feedstock Breakdown'!AI$3*'Feedstock Conversion Rates'!B$6)/12-130-20+51-49</f>
        <v>0.51666666666667993</v>
      </c>
      <c r="AJ449" s="106">
        <f t="shared" si="480"/>
        <v>148.51666666666668</v>
      </c>
      <c r="AK449" s="104">
        <f>('Renewable Diesel'!J458*'RD Feedstock Breakdown'!AK$3*'Feedstock Conversion Rates'!B$4)/12</f>
        <v>95.8125</v>
      </c>
      <c r="AL449" s="106">
        <f t="shared" si="415"/>
        <v>95.8125</v>
      </c>
      <c r="AM449" s="104">
        <f>('Renewable Diesel'!K458*'RD Feedstock Breakdown'!AM$3*'Feedstock Conversion Rates'!B$4)/12+5+15-10+10</f>
        <v>78.59375</v>
      </c>
      <c r="AN449" s="104">
        <f>('Renewable Diesel'!K458*'RD Feedstock Breakdown'!AN$3*'Feedstock Conversion Rates'!B$6)/12-5-15+10-10</f>
        <v>4.4270833333333321</v>
      </c>
      <c r="AO449" s="106">
        <f t="shared" si="431"/>
        <v>83.020833333333329</v>
      </c>
      <c r="AP449" s="104">
        <f>('Renewable Diesel'!L458*'RD Feedstock Breakdown'!AP$3*'Feedstock Conversion Rates'!B$4)/12+15-10+15</f>
        <v>78.59375</v>
      </c>
      <c r="AQ449" s="104">
        <f>('Renewable Diesel'!L458*'RD Feedstock Breakdown'!AQ$3*'Feedstock Conversion Rates'!B$6)/12-15+10-15</f>
        <v>4.4270833333333321</v>
      </c>
      <c r="AR449" s="106">
        <f t="shared" si="420"/>
        <v>83.020833333333329</v>
      </c>
      <c r="AS449" s="104">
        <f>('Renewable Diesel'!M458*'RD Feedstock Breakdown'!AS$3*'Feedstock Conversion Rates'!B$4)/12</f>
        <v>456.25</v>
      </c>
      <c r="AT449" s="104">
        <f>('Renewable Diesel'!M458*'RD Feedstock Breakdown'!AT$3*'Feedstock Conversion Rates'!B$5)/12</f>
        <v>0</v>
      </c>
      <c r="AU449" s="106">
        <f t="shared" si="448"/>
        <v>456.25</v>
      </c>
      <c r="AV449" s="104">
        <f>'Renewable Diesel'!N458*'RD Feedstock Breakdown'!$AV$3*'Feedstock Conversion Rates'!$B$4/12-15-10+25+25-22+25</f>
        <v>106.74999999999999</v>
      </c>
      <c r="AW449" s="104">
        <f>'Renewable Diesel'!N458*'RD Feedstock Breakdown'!$AW$3*'Feedstock Conversion Rates'!$B$7/12+15+10-25-25+22-25</f>
        <v>13.400000000000006</v>
      </c>
      <c r="AX449" s="106">
        <f t="shared" si="475"/>
        <v>120.14999999999999</v>
      </c>
      <c r="AY449" s="104">
        <f>('Renewable Diesel'!O458*'RD Feedstock Breakdown'!AY$3*'Feedstock Conversion Rates'!B$4)/12</f>
        <v>210.9375</v>
      </c>
      <c r="AZ449" s="104">
        <f>('Renewable Diesel'!O458*'RD Feedstock Breakdown'!AZ$3*'Feedstock Conversion Rates'!B$3)/12</f>
        <v>25.03125</v>
      </c>
      <c r="BA449" s="106">
        <f t="shared" si="458"/>
        <v>235.96875</v>
      </c>
      <c r="BB449" s="104">
        <f>('Renewable Diesel'!Q458*'RD Feedstock Breakdown'!BB$3*'Feedstock Conversion Rates'!B$4)/12</f>
        <v>11.156249999999998</v>
      </c>
      <c r="BC449" s="104">
        <f>('Renewable Diesel'!Q458*'RD Feedstock Breakdown'!BC$3*'Feedstock Conversion Rates'!B$3)/12</f>
        <v>1.4017500000000001</v>
      </c>
      <c r="BD449" s="104">
        <f>('Renewable Diesel'!Q458*'RD Feedstock Breakdown'!BD$3*'Feedstock Conversion Rates'!B$6)/12</f>
        <v>0.8207500000000002</v>
      </c>
      <c r="BE449" s="106">
        <f t="shared" si="440"/>
        <v>13.378749999999998</v>
      </c>
      <c r="BF449" s="104">
        <f>('Renewable Diesel'!R458*'RD Feedstock Breakdown'!BF$3*'Feedstock Conversion Rates'!B$4)/12</f>
        <v>62.5</v>
      </c>
      <c r="BG449" s="106">
        <f t="shared" si="425"/>
        <v>62.5</v>
      </c>
      <c r="BH449" s="104">
        <f>('Renewable Diesel'!T458*'RD Feedstock Breakdown'!BH$3*'Feedstock Conversion Rates'!B$7)/12</f>
        <v>27.599999999999998</v>
      </c>
      <c r="BI449" s="106">
        <f t="shared" si="479"/>
        <v>27.599999999999998</v>
      </c>
      <c r="BJ449" s="104">
        <f>('Renewable Diesel'!W458*'RD Feedstock Breakdown'!BJ$3*'Feedstock Conversion Rates'!B$4)/12</f>
        <v>7.5</v>
      </c>
      <c r="BK449" s="104">
        <f>('Renewable Diesel'!W458*'RD Feedstock Breakdown'!BK$3*'Feedstock Conversion Rates'!B$3)/12</f>
        <v>1.335</v>
      </c>
      <c r="BL449" s="104">
        <f>('Renewable Diesel'!W458*'RD Feedstock Breakdown'!BL$3*'Feedstock Conversion Rates'!B$6)/12</f>
        <v>3.1266666666666669</v>
      </c>
      <c r="BM449" s="104">
        <f>('Renewable Diesel'!W458*'RD Feedstock Breakdown'!BM$3*'Feedstock Conversion Rates'!B$7)/12</f>
        <v>1.5333333333333332</v>
      </c>
      <c r="BN449" s="106">
        <f t="shared" si="452"/>
        <v>13.495000000000001</v>
      </c>
      <c r="BO449" s="104">
        <f>('Renewable Diesel'!P458*'Feedstock Conversion Rates'!B$4)/12</f>
        <v>31.25</v>
      </c>
      <c r="BP449" s="106">
        <f t="shared" si="446"/>
        <v>31.25</v>
      </c>
      <c r="BQ449" s="104">
        <f>('Renewable Diesel'!$S458*'RD Feedstock Breakdown'!BQ$3*'Feedstock Conversion Rates'!B$4)/12+10+15-15</f>
        <v>38.125</v>
      </c>
      <c r="BR449" s="104">
        <f>('Renewable Diesel'!$S458*'RD Feedstock Breakdown'!BR$3*'Feedstock Conversion Rates'!B$7)/12-10-15+15</f>
        <v>1.5</v>
      </c>
      <c r="BS449" s="106">
        <f t="shared" si="460"/>
        <v>39.625</v>
      </c>
      <c r="BT449" s="106"/>
      <c r="BU449" s="104">
        <f>('Renewable Diesel'!Y458*'Feedstock Conversion Rates'!B$7)/12</f>
        <v>2.6833333333333331</v>
      </c>
      <c r="BV449" s="106">
        <f t="shared" si="442"/>
        <v>2.6833333333333331</v>
      </c>
      <c r="BW449" s="104">
        <f>('Renewable Diesel'!$Z458*'RD Feedstock Breakdown'!BW$3*'Feedstock Conversion Rates'!$B$4)/12-250+180</f>
        <v>1.875</v>
      </c>
      <c r="BX449" s="104">
        <f>('Renewable Diesel'!$Z458*'RD Feedstock Breakdown'!BX$3*'Feedstock Conversion Rates'!$B$5)/12</f>
        <v>7.2354166666666666</v>
      </c>
      <c r="BY449" s="104">
        <f>('Renewable Diesel'!$Z458*'RD Feedstock Breakdown'!BY$3*'Feedstock Conversion Rates'!$B$7)/12</f>
        <v>61.716666666666661</v>
      </c>
      <c r="BZ449" s="104">
        <f>('Renewable Diesel'!$Z458*'RD Feedstock Breakdown'!BZ$3*'Feedstock Conversion Rates'!$B$3)/12+250-180</f>
        <v>85.35250000000002</v>
      </c>
      <c r="CA449" s="106">
        <f t="shared" si="464"/>
        <v>156.17958333333334</v>
      </c>
      <c r="CB449" s="104">
        <f>('Renewable Diesel'!AA458*'Feedstock Conversion Rates'!B$4)/12</f>
        <v>191.25</v>
      </c>
      <c r="CC449" s="106">
        <f t="shared" si="454"/>
        <v>191.25</v>
      </c>
      <c r="CD449" s="104">
        <f>('Renewable Diesel'!$AB458*'RD Feedstock Breakdown'!CD$3*'Feedstock Conversion Rates'!$B$6)/12-15-5</f>
        <v>12.830000000000005</v>
      </c>
      <c r="CE449" s="104">
        <f>('Renewable Diesel'!$AB458*'RD Feedstock Breakdown'!CE$3*'Feedstock Conversion Rates'!$B$4)/12+15+5</f>
        <v>31.25</v>
      </c>
      <c r="CF449" s="106">
        <f t="shared" si="450"/>
        <v>44.080000000000005</v>
      </c>
      <c r="CG449" s="104">
        <f>('Renewable Diesel'!AD458*'Feedstock Conversion Rates'!B$4)/12</f>
        <v>112.5</v>
      </c>
      <c r="CH449" s="106">
        <f t="shared" si="439"/>
        <v>112.5</v>
      </c>
      <c r="CI449" s="104">
        <f>('Renewable Diesel'!$AE458*'RD Feedstock Breakdown'!CI$3*'Feedstock Conversion Rates'!$B$5)/12</f>
        <v>0.34604166666666664</v>
      </c>
      <c r="CJ449" s="104">
        <f>('Renewable Diesel'!$AE458*'RD Feedstock Breakdown'!CJ$3*'Feedstock Conversion Rates'!$B$4)/12</f>
        <v>0.34375</v>
      </c>
      <c r="CK449" s="106">
        <f t="shared" si="447"/>
        <v>0.68979166666666658</v>
      </c>
      <c r="CL449" s="104">
        <f>(((CL$3*'Renewable Diesel'!$AF458)*'Feedstock Conversion Rates'!$B$3)/12)</f>
        <v>91.78125</v>
      </c>
      <c r="CM449" s="104">
        <f>(((CM$3*'Renewable Diesel'!$AF458)*'Feedstock Conversion Rates'!$B$6)/12)</f>
        <v>53.739583333333336</v>
      </c>
      <c r="CN449" s="104">
        <f>(((CN$3*'Renewable Diesel'!$AF458)*'Feedstock Conversion Rates'!$B$4)/12)</f>
        <v>42.96875</v>
      </c>
      <c r="CO449" s="106">
        <f t="shared" si="441"/>
        <v>188.48958333333334</v>
      </c>
      <c r="CP449" s="104">
        <f>('Renewable Diesel'!$AG458*'RD Feedstock Breakdown'!CP$3*'Feedstock Conversion Rates'!$B$3)/12</f>
        <v>6.0075000000000003</v>
      </c>
      <c r="CQ449" s="104">
        <f>('Renewable Diesel'!$AG458*'RD Feedstock Breakdown'!CQ$3*'Feedstock Conversion Rates'!$B$6)/12</f>
        <v>3.5175000000000001</v>
      </c>
      <c r="CR449" s="104">
        <f>('Renewable Diesel'!$AG458*'RD Feedstock Breakdown'!CR$3*'Feedstock Conversion Rates'!$B$4)/12</f>
        <v>2.8125</v>
      </c>
      <c r="CS449" s="106">
        <f t="shared" si="467"/>
        <v>12.3375</v>
      </c>
      <c r="CT449" s="104">
        <f>('Renewable Diesel'!AI458*'Feedstock Conversion Rates'!$B$4*'RD Feedstock Breakdown'!$CT$3)/12</f>
        <v>29.375</v>
      </c>
      <c r="CU449" s="106">
        <f t="shared" si="443"/>
        <v>29.375</v>
      </c>
      <c r="CV449" s="104">
        <f>('Renewable Diesel'!AN458*'Feedstock Conversion Rates'!$B$3*'RD Feedstock Breakdown'!$CV$3)/12</f>
        <v>0.50062499999999999</v>
      </c>
      <c r="CW449" s="106">
        <f t="shared" si="419"/>
        <v>0.50062499999999999</v>
      </c>
      <c r="CX449" s="104">
        <f>('Renewable Diesel'!AO458*'RD Feedstock Breakdown'!$CX$3*'Feedstock Conversion Rates'!$B$3)/12</f>
        <v>6.3412499999999996</v>
      </c>
      <c r="CY449" s="104">
        <f>('Renewable Diesel'!AO458*'RD Feedstock Breakdown'!$CY$3*'Feedstock Conversion Rates'!$B$6)/12</f>
        <v>7.4258333333333342</v>
      </c>
      <c r="CZ449" s="106">
        <f t="shared" si="468"/>
        <v>13.767083333333334</v>
      </c>
      <c r="DA449" s="104">
        <f>('Renewable Diesel'!$AP458*'RD Feedstock Breakdown'!DA$3*'Feedstock Conversion Rates'!$B$3)/12</f>
        <v>6.3412499999999996</v>
      </c>
      <c r="DB449" s="104">
        <f>('Renewable Diesel'!$AP458*'RD Feedstock Breakdown'!DB$3*'Feedstock Conversion Rates'!$B$8)/12</f>
        <v>7.421875</v>
      </c>
      <c r="DC449" s="106">
        <f t="shared" si="422"/>
        <v>13.763124999999999</v>
      </c>
      <c r="DD449" s="104">
        <f>('Renewable Diesel'!AQ458*$DD$3*'Feedstock Conversion Rates'!$B$14)/12</f>
        <v>3.1041666666666665</v>
      </c>
      <c r="DE449" s="106">
        <f t="shared" si="423"/>
        <v>3.1041666666666665</v>
      </c>
      <c r="DF449" s="104">
        <f>('Renewable Diesel'!AR458*'Feedstock Conversion Rates'!$B$4*$DF$3)/12</f>
        <v>75</v>
      </c>
      <c r="DG449" s="106">
        <f t="shared" si="469"/>
        <v>75</v>
      </c>
      <c r="DH449" s="104">
        <f>('Renewable Diesel'!AS458*'Feedstock Conversion Rates'!$B$4*$DH$3)/12</f>
        <v>75</v>
      </c>
      <c r="DI449" s="106">
        <f t="shared" si="478"/>
        <v>75</v>
      </c>
      <c r="DJ449" s="104">
        <f>('Renewable Diesel'!AT458*'Feedstock Conversion Rates'!$B$4*0.25)/12</f>
        <v>8.59375</v>
      </c>
      <c r="DK449" s="104">
        <f>('Renewable Diesel'!$AT458*'RD Feedstock Breakdown'!DK$3*'Feedstock Conversion Rates'!$B$3)/12*0.5</f>
        <v>9.1781249999999996</v>
      </c>
      <c r="DL449" s="104">
        <f>('Renewable Diesel'!$AT458*'RD Feedstock Breakdown'!$DL$3*'Feedstock Conversion Rates'!$B$6)/12</f>
        <v>10.747916666666669</v>
      </c>
      <c r="DM449" s="104">
        <f>('Renewable Diesel'!$AT458*'RD Feedstock Breakdown'!$DM$3*'Feedstock Conversion Rates'!$B$8)/12</f>
        <v>10.7421875</v>
      </c>
      <c r="DN449" s="106">
        <f t="shared" si="453"/>
        <v>39.26197916666667</v>
      </c>
      <c r="DP449" s="104">
        <f t="shared" si="426"/>
        <v>103.22025000000001</v>
      </c>
      <c r="DQ449" s="104">
        <f t="shared" si="427"/>
        <v>349.11776750000007</v>
      </c>
      <c r="DR449" s="104">
        <f t="shared" si="432"/>
        <v>1891.953125</v>
      </c>
      <c r="DS449" s="104">
        <f t="shared" si="444"/>
        <v>228.90125</v>
      </c>
      <c r="DT449" s="104">
        <f t="shared" si="428"/>
        <v>243.03923333333344</v>
      </c>
      <c r="DU449" s="104">
        <f t="shared" si="429"/>
        <v>402.90610000000009</v>
      </c>
      <c r="DV449" s="104">
        <f t="shared" si="433"/>
        <v>78.75</v>
      </c>
      <c r="DW449" s="104">
        <f t="shared" si="430"/>
        <v>3</v>
      </c>
      <c r="DX449" s="106">
        <f t="shared" si="434"/>
        <v>3300.8877258333337</v>
      </c>
      <c r="DY449" s="109">
        <f t="shared" si="421"/>
        <v>-5.631051180898794E-13</v>
      </c>
      <c r="EA449" s="110">
        <f t="shared" si="472"/>
        <v>3.1270451640078516E-2</v>
      </c>
      <c r="EB449" s="110">
        <f t="shared" si="470"/>
        <v>0.10576481131658687</v>
      </c>
      <c r="EC449" s="110">
        <f t="shared" si="470"/>
        <v>0.57316494293133291</v>
      </c>
      <c r="ED449" s="110">
        <f t="shared" si="470"/>
        <v>6.9345360706629972E-2</v>
      </c>
      <c r="EE449" s="110">
        <f t="shared" si="470"/>
        <v>7.3628445896921982E-2</v>
      </c>
      <c r="EF449" s="110">
        <f t="shared" si="470"/>
        <v>0.1220599225010852</v>
      </c>
      <c r="EG449" s="110">
        <f t="shared" si="470"/>
        <v>2.3857218585075921E-2</v>
      </c>
      <c r="EH449" s="111">
        <f t="shared" si="435"/>
        <v>9.0884642228860647E-4</v>
      </c>
      <c r="EI449" s="110">
        <f t="shared" si="476"/>
        <v>0.99909115357771139</v>
      </c>
      <c r="EK449" s="132">
        <f>(EA449*'Renewable Diesel'!BF458*'Feedstock Conversion Rates'!B$2)+FB449</f>
        <v>645.67831691946253</v>
      </c>
      <c r="EL449" s="132">
        <f>(EB449*'Renewable Diesel'!BF458*'Feedstock Conversion Rates'!B$3)+FC449</f>
        <v>2057.9595663971004</v>
      </c>
      <c r="EM449" s="132">
        <f>(EC449*'Renewable Diesel'!BF458*'Feedstock Conversion Rates'!B$4)+FD449</f>
        <v>10442.488494609832</v>
      </c>
      <c r="EN449" s="132">
        <f>(ED449*'Renewable Diesel'!BF458*'Feedstock Conversion Rates'!B$5)+FE449</f>
        <v>1271.8253756896443</v>
      </c>
      <c r="EO449" s="132">
        <f>(EE449*'Renewable Diesel'!BF458*'Feedstock Conversion Rates'!B$6)+FF449</f>
        <v>1677.6895323677093</v>
      </c>
      <c r="EP449" s="132">
        <f>(EF449*'Renewable Diesel'!BF458*'Feedstock Conversion Rates'!B$7)+FG449</f>
        <v>2727.8723258117857</v>
      </c>
      <c r="EQ449" s="132">
        <f>(EG449*'Renewable Diesel'!BF458*'Feedstock Conversion Rates'!B$8)+FH449</f>
        <v>543.31814441129734</v>
      </c>
      <c r="ER449" s="132">
        <f>(EH449*'Renewable Diesel'!BF458*'Feedstock Conversion Rates'!B$9)+FI449</f>
        <v>20.421862951840509</v>
      </c>
      <c r="ES449" s="132">
        <f t="shared" si="436"/>
        <v>19387.25361915867</v>
      </c>
      <c r="ET449" s="133">
        <f>ES449/'Renewable Diesel'!BF458</f>
        <v>18.31945691006154</v>
      </c>
      <c r="EW449" s="73">
        <f t="shared" si="461"/>
        <v>18325.253342799118</v>
      </c>
      <c r="EX449" s="73">
        <f t="shared" si="462"/>
        <v>12003.141314010529</v>
      </c>
      <c r="EY449" s="92">
        <f t="shared" si="477"/>
        <v>0.94522172674782201</v>
      </c>
      <c r="EZ449" s="92">
        <f t="shared" si="477"/>
        <v>0.61912540836361218</v>
      </c>
      <c r="FB449" s="102">
        <f>IF('Renewable Diesel'!$BG458&lt;1,0,(((('Renewable Diesel'!$BG458-1)*'Renewable Diesel'!$BF458)*'RD Feedstock Breakdown'!EA449)*'Feedstock Conversion Rates'!$B$2))</f>
        <v>364.38670835707114</v>
      </c>
      <c r="FC449" s="102">
        <f>IF('Renewable Diesel'!$BG458&lt;1,0,(((('Renewable Diesel'!$BG458-1)*'Renewable Diesel'!$BF458)*'RD Feedstock Breakdown'!EB449)*'Feedstock Conversion Rates'!$B$3))</f>
        <v>1161.4035854713723</v>
      </c>
      <c r="FD449" s="102">
        <f>IF('Renewable Diesel'!$BG458&lt;1,0,(((('Renewable Diesel'!$BG458-1)*'Renewable Diesel'!$BF458)*'RD Feedstock Breakdown'!EC449)*'Feedstock Conversion Rates'!$B$4))</f>
        <v>5893.1884653671686</v>
      </c>
      <c r="FE449" s="102">
        <f>IF('Renewable Diesel'!$BG458&lt;1,0,(((('Renewable Diesel'!$BG458-1)*'Renewable Diesel'!$BF458)*'RD Feedstock Breakdown'!ED449)*'Feedstock Conversion Rates'!$B$5))</f>
        <v>717.75100713247377</v>
      </c>
      <c r="FF449" s="102">
        <f>IF('Renewable Diesel'!$BG458&lt;1,0,(((('Renewable Diesel'!$BG458-1)*'Renewable Diesel'!$BF458)*'RD Feedstock Breakdown'!EE449)*'Feedstock Conversion Rates'!$B$6))</f>
        <v>946.79928119815793</v>
      </c>
      <c r="FG449" s="102">
        <f>IF('Renewable Diesel'!$BG458&lt;1,0,(((('Renewable Diesel'!$BG458-1)*'Renewable Diesel'!$BF458)*'RD Feedstock Breakdown'!EF449)*'Feedstock Conversion Rates'!$B$7))</f>
        <v>1539.4669320216453</v>
      </c>
      <c r="FH449" s="102">
        <f>IF('Renewable Diesel'!$BG458&lt;1,0,(((('Renewable Diesel'!$BG458-1)*'Renewable Diesel'!$BF458)*'RD Feedstock Breakdown'!EG449)*'Feedstock Conversion Rates'!$B$8))</f>
        <v>306.62003825257597</v>
      </c>
      <c r="FI449" s="102">
        <f>IF('Renewable Diesel'!$BG458&lt;1,0,(((('Renewable Diesel'!$BG458-1)*'Renewable Diesel'!$BF458)*'RD Feedstock Breakdown'!EH449)*'Feedstock Conversion Rates'!$B$9))</f>
        <v>11.525019850509523</v>
      </c>
      <c r="FJ449" s="102">
        <f t="shared" si="463"/>
        <v>10941.141037650976</v>
      </c>
      <c r="GD449" s="91">
        <f>'Renewable Diesel'!BB458*0.32</f>
        <v>0</v>
      </c>
      <c r="GE449" s="91">
        <f>'Renewable Diesel'!BC458</f>
        <v>623.64370416930512</v>
      </c>
      <c r="GF449" s="91">
        <f>'Renewable Diesel'!BD458</f>
        <v>0</v>
      </c>
      <c r="GG449" s="91">
        <f t="shared" si="451"/>
        <v>623.64370416930512</v>
      </c>
      <c r="GH449" s="124">
        <v>1</v>
      </c>
      <c r="GI449" s="102">
        <f>$GG449*EA449*'Feedstock Conversion Rates'!$B$2</f>
        <v>165.76377248085834</v>
      </c>
      <c r="GJ449" s="102">
        <f>$GG449*EB449*'Feedstock Conversion Rates'!$B$3</f>
        <v>528.3360651889534</v>
      </c>
      <c r="GK449" s="102">
        <f>$GG449*EC449*'Feedstock Conversion Rates'!$B$4</f>
        <v>2680.8803108226366</v>
      </c>
      <c r="GL449" s="102">
        <f>$GG449*ED449*'Feedstock Conversion Rates'!$B$5</f>
        <v>326.5133220161967</v>
      </c>
      <c r="GM449" s="102">
        <f>$GG449*EE449*'Feedstock Conversion Rates'!$B$6</f>
        <v>430.71005894039791</v>
      </c>
      <c r="GN449" s="102">
        <f>$GG449*EF449*'Feedstock Conversion Rates'!$B$7</f>
        <v>700.32150023259476</v>
      </c>
      <c r="GO449" s="102">
        <f>$GG449*EG449*'Feedstock Conversion Rates'!$B$8</f>
        <v>139.48503908975189</v>
      </c>
      <c r="GP449" s="102">
        <f>$GG449*EH449*'Feedstock Conversion Rates'!B$9</f>
        <v>5.2428662311830552</v>
      </c>
      <c r="GQ449" s="102">
        <f t="shared" si="437"/>
        <v>4977.2529350025725</v>
      </c>
      <c r="GT449" s="103">
        <f t="shared" si="418"/>
        <v>3.3304269372191893E-2</v>
      </c>
      <c r="GU449" s="103">
        <f t="shared" si="418"/>
        <v>0.10615013383656388</v>
      </c>
      <c r="GV449" s="103">
        <f t="shared" si="418"/>
        <v>0.53862649654979822</v>
      </c>
      <c r="GW449" s="103">
        <f t="shared" si="418"/>
        <v>6.5601110950176789E-2</v>
      </c>
      <c r="GX449" s="103">
        <f t="shared" si="465"/>
        <v>8.653569841938831E-2</v>
      </c>
      <c r="GY449" s="103">
        <f t="shared" si="465"/>
        <v>0.14070442257566981</v>
      </c>
      <c r="GZ449" s="103">
        <f t="shared" si="465"/>
        <v>2.8024502855545516E-2</v>
      </c>
      <c r="HA449" s="103">
        <f t="shared" si="465"/>
        <v>1.053365440665584E-3</v>
      </c>
    </row>
    <row r="450" spans="1:209" x14ac:dyDescent="0.25">
      <c r="A450" s="96">
        <v>54118</v>
      </c>
      <c r="B450" s="104">
        <f t="shared" si="473"/>
        <v>44.25</v>
      </c>
      <c r="C450" s="104">
        <f t="shared" si="466"/>
        <v>49</v>
      </c>
      <c r="D450" s="104">
        <f t="shared" si="474"/>
        <v>2</v>
      </c>
      <c r="E450" s="104">
        <f>('Renewable Diesel'!B459*E$3*'Feedstock Conversion Rates'!$B$2)/12+26+13-100+27.5+39</f>
        <v>95.43</v>
      </c>
      <c r="F450" s="104">
        <f>('Renewable Diesel'!B459*'RD Feedstock Breakdown'!F$3*'Feedstock Conversion Rates'!B$8)/12+77+23-10-12-115.75+24+8</f>
        <v>48.15625</v>
      </c>
      <c r="G450" s="104">
        <f>('Renewable Diesel'!B459*'RD Feedstock Breakdown'!G$3*'Feedstock Conversion Rates'!B$7)/12+116.75-39-57.5-145-31.5+32+70-40+10+60</f>
        <v>151.90700000000004</v>
      </c>
      <c r="H450" s="104">
        <f>('Renewable Diesel'!B459*'RD Feedstock Breakdown'!H$3*'Feedstock Conversion Rates'!B$3)/12+67+10+12+3-235+20+47-20+25</f>
        <v>105.40022499999998</v>
      </c>
      <c r="I450" s="106">
        <f t="shared" si="449"/>
        <v>496.14347500000002</v>
      </c>
      <c r="J450" s="104">
        <f t="shared" si="417"/>
        <v>4</v>
      </c>
      <c r="K450" s="104"/>
      <c r="L450" s="104">
        <v>1</v>
      </c>
      <c r="M450" s="104">
        <f>('Renewable Diesel'!C459*'RD Feedstock Breakdown'!M$3*'Feedstock Conversion Rates'!B$2)/12</f>
        <v>7.7902500000000003</v>
      </c>
      <c r="N450" s="104">
        <f>('Renewable Diesel'!C459*'RD Feedstock Breakdown'!N$3*'Feedstock Conversion Rates'!B$8)/12</f>
        <v>3.671875</v>
      </c>
      <c r="O450" s="104">
        <f>('Renewable Diesel'!C459*'RD Feedstock Breakdown'!O$3*'Feedstock Conversion Rates'!B$7)/12</f>
        <v>11.9991</v>
      </c>
      <c r="P450" s="104">
        <f>('Renewable Diesel'!C459*'RD Feedstock Breakdown'!P$3*'Feedstock Conversion Rates'!B$3)/12</f>
        <v>10.4470425</v>
      </c>
      <c r="Q450" s="106">
        <f t="shared" si="455"/>
        <v>38.908267500000001</v>
      </c>
      <c r="R450" s="104">
        <f>('Renewable Diesel'!D459*'RD Feedstock Breakdown'!R$3*'Feedstock Conversion Rates'!B$7)/12</f>
        <v>2.2999999999999998</v>
      </c>
      <c r="S450" s="106">
        <f t="shared" si="481"/>
        <v>2.2999999999999998</v>
      </c>
      <c r="T450" s="104">
        <f t="shared" si="456"/>
        <v>0.82499999999999929</v>
      </c>
      <c r="U450" s="104"/>
      <c r="V450" s="104">
        <f>('Renewable Diesel'!E459*'RD Feedstock Breakdown'!V$3*'Feedstock Conversion Rates'!B$6)/12-20+25</f>
        <v>49.250150000000012</v>
      </c>
      <c r="W450" s="104">
        <f>('Renewable Diesel'!E459*'RD Feedstock Breakdown'!W$3*'Feedstock Conversion Rates'!B$8)/12-6</f>
        <v>16.1796875</v>
      </c>
      <c r="X450" s="106">
        <f t="shared" si="438"/>
        <v>66.254837500000008</v>
      </c>
      <c r="Y450" s="104">
        <f t="shared" si="457"/>
        <v>98</v>
      </c>
      <c r="Z450" s="104">
        <f>('Renewable Diesel'!F459*'RD Feedstock Breakdown'!Z$3*'Feedstock Conversion Rates'!B$6)/12-142+15+5+20+5+15</f>
        <v>77.460000000000008</v>
      </c>
      <c r="AA450" s="104">
        <f>('Renewable Diesel'!F459*'RD Feedstock Breakdown'!AA$3*'Feedstock Conversion Rates'!B$7)/12+24</f>
        <v>128.26666666666665</v>
      </c>
      <c r="AB450" s="106">
        <f t="shared" si="471"/>
        <v>303.72666666666669</v>
      </c>
      <c r="AC450" s="104">
        <f>('Renewable Diesel'!G459*'RD Feedstock Breakdown'!AC$3*'Feedstock Conversion Rates'!B$5)/12</f>
        <v>11.796875</v>
      </c>
      <c r="AD450" s="104">
        <f>('Renewable Diesel'!G459*'RD Feedstock Breakdown'!AD$3*'Feedstock Conversion Rates'!B$4)/12</f>
        <v>5.859375</v>
      </c>
      <c r="AE450" s="104">
        <f>('Renewable Diesel'!G459*'RD Feedstock Breakdown'!AE$3*'Feedstock Conversion Rates'!B$6)/12</f>
        <v>7.3281250000000009</v>
      </c>
      <c r="AF450" s="106">
        <f t="shared" si="445"/>
        <v>24.984375</v>
      </c>
      <c r="AG450" s="104">
        <f t="shared" si="459"/>
        <v>148</v>
      </c>
      <c r="AH450" s="104"/>
      <c r="AI450" s="104">
        <f>('Renewable Diesel'!H459*'RD Feedstock Breakdown'!AI$3*'Feedstock Conversion Rates'!B$6)/12-130-20+51-49</f>
        <v>0.51666666666667993</v>
      </c>
      <c r="AJ450" s="106">
        <f t="shared" si="480"/>
        <v>148.51666666666668</v>
      </c>
      <c r="AK450" s="104">
        <f>('Renewable Diesel'!J459*'RD Feedstock Breakdown'!AK$3*'Feedstock Conversion Rates'!B$4)/12</f>
        <v>95.8125</v>
      </c>
      <c r="AL450" s="106">
        <f t="shared" si="415"/>
        <v>95.8125</v>
      </c>
      <c r="AM450" s="104">
        <f>('Renewable Diesel'!K459*'RD Feedstock Breakdown'!AM$3*'Feedstock Conversion Rates'!B$4)/12+5+15-10+10</f>
        <v>78.59375</v>
      </c>
      <c r="AN450" s="104">
        <f>('Renewable Diesel'!K459*'RD Feedstock Breakdown'!AN$3*'Feedstock Conversion Rates'!B$6)/12-5-15+10-10</f>
        <v>4.4270833333333321</v>
      </c>
      <c r="AO450" s="106">
        <f t="shared" si="431"/>
        <v>83.020833333333329</v>
      </c>
      <c r="AP450" s="104">
        <f>('Renewable Diesel'!L459*'RD Feedstock Breakdown'!AP$3*'Feedstock Conversion Rates'!B$4)/12+15-10+15</f>
        <v>78.59375</v>
      </c>
      <c r="AQ450" s="104">
        <f>('Renewable Diesel'!L459*'RD Feedstock Breakdown'!AQ$3*'Feedstock Conversion Rates'!B$6)/12-15+10-15</f>
        <v>4.4270833333333321</v>
      </c>
      <c r="AR450" s="106">
        <f t="shared" si="420"/>
        <v>83.020833333333329</v>
      </c>
      <c r="AS450" s="104">
        <f>('Renewable Diesel'!M459*'RD Feedstock Breakdown'!AS$3*'Feedstock Conversion Rates'!B$4)/12</f>
        <v>456.25</v>
      </c>
      <c r="AT450" s="104">
        <f>('Renewable Diesel'!M459*'RD Feedstock Breakdown'!AT$3*'Feedstock Conversion Rates'!B$5)/12</f>
        <v>0</v>
      </c>
      <c r="AU450" s="106">
        <f t="shared" si="448"/>
        <v>456.25</v>
      </c>
      <c r="AV450" s="104">
        <f>'Renewable Diesel'!N459*'RD Feedstock Breakdown'!$AV$3*'Feedstock Conversion Rates'!$B$4/12-15-10+25+25-22+25</f>
        <v>106.74999999999999</v>
      </c>
      <c r="AW450" s="104">
        <f>'Renewable Diesel'!N459*'RD Feedstock Breakdown'!$AW$3*'Feedstock Conversion Rates'!$B$7/12+15+10-25-25+22-25</f>
        <v>13.400000000000006</v>
      </c>
      <c r="AX450" s="106">
        <f t="shared" si="475"/>
        <v>120.14999999999999</v>
      </c>
      <c r="AY450" s="104">
        <f>('Renewable Diesel'!O459*'RD Feedstock Breakdown'!AY$3*'Feedstock Conversion Rates'!B$4)/12</f>
        <v>210.9375</v>
      </c>
      <c r="AZ450" s="104">
        <f>('Renewable Diesel'!O459*'RD Feedstock Breakdown'!AZ$3*'Feedstock Conversion Rates'!B$3)/12</f>
        <v>25.03125</v>
      </c>
      <c r="BA450" s="106">
        <f t="shared" si="458"/>
        <v>235.96875</v>
      </c>
      <c r="BB450" s="104">
        <f>('Renewable Diesel'!Q459*'RD Feedstock Breakdown'!BB$3*'Feedstock Conversion Rates'!B$4)/12</f>
        <v>11.156249999999998</v>
      </c>
      <c r="BC450" s="104">
        <f>('Renewable Diesel'!Q459*'RD Feedstock Breakdown'!BC$3*'Feedstock Conversion Rates'!B$3)/12</f>
        <v>1.4017500000000001</v>
      </c>
      <c r="BD450" s="104">
        <f>('Renewable Diesel'!Q459*'RD Feedstock Breakdown'!BD$3*'Feedstock Conversion Rates'!B$6)/12</f>
        <v>0.8207500000000002</v>
      </c>
      <c r="BE450" s="106">
        <f t="shared" si="440"/>
        <v>13.378749999999998</v>
      </c>
      <c r="BF450" s="104">
        <f>('Renewable Diesel'!R459*'RD Feedstock Breakdown'!BF$3*'Feedstock Conversion Rates'!B$4)/12</f>
        <v>62.5</v>
      </c>
      <c r="BG450" s="106">
        <f t="shared" si="425"/>
        <v>62.5</v>
      </c>
      <c r="BH450" s="104">
        <f>('Renewable Diesel'!T459*'RD Feedstock Breakdown'!BH$3*'Feedstock Conversion Rates'!B$7)/12</f>
        <v>27.599999999999998</v>
      </c>
      <c r="BI450" s="106">
        <f t="shared" si="479"/>
        <v>27.599999999999998</v>
      </c>
      <c r="BJ450" s="104">
        <f>('Renewable Diesel'!W459*'RD Feedstock Breakdown'!BJ$3*'Feedstock Conversion Rates'!B$4)/12</f>
        <v>7.5</v>
      </c>
      <c r="BK450" s="104">
        <f>('Renewable Diesel'!W459*'RD Feedstock Breakdown'!BK$3*'Feedstock Conversion Rates'!B$3)/12</f>
        <v>1.335</v>
      </c>
      <c r="BL450" s="104">
        <f>('Renewable Diesel'!W459*'RD Feedstock Breakdown'!BL$3*'Feedstock Conversion Rates'!B$6)/12</f>
        <v>3.1266666666666669</v>
      </c>
      <c r="BM450" s="104">
        <f>('Renewable Diesel'!W459*'RD Feedstock Breakdown'!BM$3*'Feedstock Conversion Rates'!B$7)/12</f>
        <v>1.5333333333333332</v>
      </c>
      <c r="BN450" s="106">
        <f t="shared" si="452"/>
        <v>13.495000000000001</v>
      </c>
      <c r="BO450" s="104">
        <f>('Renewable Diesel'!P459*'Feedstock Conversion Rates'!B$4)/12</f>
        <v>31.25</v>
      </c>
      <c r="BP450" s="106">
        <f t="shared" si="446"/>
        <v>31.25</v>
      </c>
      <c r="BQ450" s="104">
        <f>('Renewable Diesel'!$S459*'RD Feedstock Breakdown'!BQ$3*'Feedstock Conversion Rates'!B$4)/12+10+15-15</f>
        <v>38.125</v>
      </c>
      <c r="BR450" s="104">
        <f>('Renewable Diesel'!$S459*'RD Feedstock Breakdown'!BR$3*'Feedstock Conversion Rates'!B$7)/12-10-15+15</f>
        <v>1.5</v>
      </c>
      <c r="BS450" s="106">
        <f t="shared" si="460"/>
        <v>39.625</v>
      </c>
      <c r="BT450" s="106"/>
      <c r="BU450" s="104">
        <f>('Renewable Diesel'!Y459*'Feedstock Conversion Rates'!B$7)/12</f>
        <v>2.6833333333333331</v>
      </c>
      <c r="BV450" s="106">
        <f t="shared" si="442"/>
        <v>2.6833333333333331</v>
      </c>
      <c r="BW450" s="104">
        <f>('Renewable Diesel'!$Z459*'RD Feedstock Breakdown'!BW$3*'Feedstock Conversion Rates'!$B$4)/12-250+180</f>
        <v>1.875</v>
      </c>
      <c r="BX450" s="104">
        <f>('Renewable Diesel'!$Z459*'RD Feedstock Breakdown'!BX$3*'Feedstock Conversion Rates'!$B$5)/12</f>
        <v>7.2354166666666666</v>
      </c>
      <c r="BY450" s="104">
        <f>('Renewable Diesel'!$Z459*'RD Feedstock Breakdown'!BY$3*'Feedstock Conversion Rates'!$B$7)/12</f>
        <v>61.716666666666661</v>
      </c>
      <c r="BZ450" s="104">
        <f>('Renewable Diesel'!$Z459*'RD Feedstock Breakdown'!BZ$3*'Feedstock Conversion Rates'!$B$3)/12+250-180</f>
        <v>85.35250000000002</v>
      </c>
      <c r="CA450" s="106">
        <f t="shared" si="464"/>
        <v>156.17958333333334</v>
      </c>
      <c r="CB450" s="104">
        <f>('Renewable Diesel'!AA459*'Feedstock Conversion Rates'!B$4)/12</f>
        <v>191.25</v>
      </c>
      <c r="CC450" s="106">
        <f t="shared" si="454"/>
        <v>191.25</v>
      </c>
      <c r="CD450" s="104">
        <f>('Renewable Diesel'!$AB459*'RD Feedstock Breakdown'!CD$3*'Feedstock Conversion Rates'!$B$6)/12-15-5</f>
        <v>12.830000000000005</v>
      </c>
      <c r="CE450" s="104">
        <f>('Renewable Diesel'!$AB459*'RD Feedstock Breakdown'!CE$3*'Feedstock Conversion Rates'!$B$4)/12+15+5</f>
        <v>31.25</v>
      </c>
      <c r="CF450" s="106">
        <f t="shared" si="450"/>
        <v>44.080000000000005</v>
      </c>
      <c r="CG450" s="104">
        <f>('Renewable Diesel'!AD459*'Feedstock Conversion Rates'!B$4)/12</f>
        <v>112.5</v>
      </c>
      <c r="CH450" s="106">
        <f t="shared" si="439"/>
        <v>112.5</v>
      </c>
      <c r="CI450" s="104">
        <f>('Renewable Diesel'!$AE459*'RD Feedstock Breakdown'!CI$3*'Feedstock Conversion Rates'!$B$5)/12</f>
        <v>0.34604166666666664</v>
      </c>
      <c r="CJ450" s="104">
        <f>('Renewable Diesel'!$AE459*'RD Feedstock Breakdown'!CJ$3*'Feedstock Conversion Rates'!$B$4)/12</f>
        <v>0.34375</v>
      </c>
      <c r="CK450" s="106">
        <f t="shared" si="447"/>
        <v>0.68979166666666658</v>
      </c>
      <c r="CL450" s="104">
        <f>(((CL$3*'Renewable Diesel'!$AF459)*'Feedstock Conversion Rates'!$B$3)/12)</f>
        <v>91.78125</v>
      </c>
      <c r="CM450" s="104">
        <f>(((CM$3*'Renewable Diesel'!$AF459)*'Feedstock Conversion Rates'!$B$6)/12)</f>
        <v>53.739583333333336</v>
      </c>
      <c r="CN450" s="104">
        <f>(((CN$3*'Renewable Diesel'!$AF459)*'Feedstock Conversion Rates'!$B$4)/12)</f>
        <v>42.96875</v>
      </c>
      <c r="CO450" s="106">
        <f t="shared" si="441"/>
        <v>188.48958333333334</v>
      </c>
      <c r="CP450" s="104">
        <f>('Renewable Diesel'!$AG459*'RD Feedstock Breakdown'!CP$3*'Feedstock Conversion Rates'!$B$3)/12</f>
        <v>6.0075000000000003</v>
      </c>
      <c r="CQ450" s="104">
        <f>('Renewable Diesel'!$AG459*'RD Feedstock Breakdown'!CQ$3*'Feedstock Conversion Rates'!$B$6)/12</f>
        <v>3.5175000000000001</v>
      </c>
      <c r="CR450" s="104">
        <f>('Renewable Diesel'!$AG459*'RD Feedstock Breakdown'!CR$3*'Feedstock Conversion Rates'!$B$4)/12</f>
        <v>2.8125</v>
      </c>
      <c r="CS450" s="106">
        <f t="shared" si="467"/>
        <v>12.3375</v>
      </c>
      <c r="CT450" s="104">
        <f>('Renewable Diesel'!AI459*'Feedstock Conversion Rates'!$B$4*'RD Feedstock Breakdown'!$CT$3)/12</f>
        <v>29.375</v>
      </c>
      <c r="CU450" s="106">
        <f t="shared" si="443"/>
        <v>29.375</v>
      </c>
      <c r="CV450" s="104">
        <f>('Renewable Diesel'!AN459*'Feedstock Conversion Rates'!$B$3*'RD Feedstock Breakdown'!$CV$3)/12</f>
        <v>0.50062499999999999</v>
      </c>
      <c r="CW450" s="106">
        <f t="shared" si="419"/>
        <v>0.50062499999999999</v>
      </c>
      <c r="CX450" s="104">
        <f>('Renewable Diesel'!AO459*'RD Feedstock Breakdown'!$CX$3*'Feedstock Conversion Rates'!$B$3)/12</f>
        <v>6.3412499999999996</v>
      </c>
      <c r="CY450" s="104">
        <f>('Renewable Diesel'!AO459*'RD Feedstock Breakdown'!$CY$3*'Feedstock Conversion Rates'!$B$6)/12</f>
        <v>7.4258333333333342</v>
      </c>
      <c r="CZ450" s="106">
        <f t="shared" si="468"/>
        <v>13.767083333333334</v>
      </c>
      <c r="DA450" s="104">
        <f>('Renewable Diesel'!$AP459*'RD Feedstock Breakdown'!DA$3*'Feedstock Conversion Rates'!$B$3)/12</f>
        <v>6.3412499999999996</v>
      </c>
      <c r="DB450" s="104">
        <f>('Renewable Diesel'!$AP459*'RD Feedstock Breakdown'!DB$3*'Feedstock Conversion Rates'!$B$8)/12</f>
        <v>7.421875</v>
      </c>
      <c r="DC450" s="106">
        <f t="shared" si="422"/>
        <v>13.763124999999999</v>
      </c>
      <c r="DD450" s="104">
        <f>('Renewable Diesel'!AQ459*$DD$3*'Feedstock Conversion Rates'!$B$14)/12</f>
        <v>3.1041666666666665</v>
      </c>
      <c r="DE450" s="106">
        <f t="shared" si="423"/>
        <v>3.1041666666666665</v>
      </c>
      <c r="DF450" s="104">
        <f>('Renewable Diesel'!AR459*'Feedstock Conversion Rates'!$B$4*$DF$3)/12</f>
        <v>75</v>
      </c>
      <c r="DG450" s="106">
        <f t="shared" si="469"/>
        <v>75</v>
      </c>
      <c r="DH450" s="104">
        <f>('Renewable Diesel'!AS459*'Feedstock Conversion Rates'!$B$4*$DH$3)/12</f>
        <v>75</v>
      </c>
      <c r="DI450" s="106">
        <f t="shared" si="478"/>
        <v>75</v>
      </c>
      <c r="DJ450" s="104">
        <f>('Renewable Diesel'!AT459*'Feedstock Conversion Rates'!$B$4*0.25)/12</f>
        <v>8.59375</v>
      </c>
      <c r="DK450" s="104">
        <f>('Renewable Diesel'!$AT459*'RD Feedstock Breakdown'!DK$3*'Feedstock Conversion Rates'!$B$3)/12*0.5</f>
        <v>9.1781249999999996</v>
      </c>
      <c r="DL450" s="104">
        <f>('Renewable Diesel'!$AT459*'RD Feedstock Breakdown'!$DL$3*'Feedstock Conversion Rates'!$B$6)/12</f>
        <v>10.747916666666669</v>
      </c>
      <c r="DM450" s="104">
        <f>('Renewable Diesel'!$AT459*'RD Feedstock Breakdown'!$DM$3*'Feedstock Conversion Rates'!$B$8)/12</f>
        <v>10.7421875</v>
      </c>
      <c r="DN450" s="106">
        <f t="shared" si="453"/>
        <v>39.26197916666667</v>
      </c>
      <c r="DP450" s="104">
        <f t="shared" si="426"/>
        <v>103.22025000000001</v>
      </c>
      <c r="DQ450" s="104">
        <f t="shared" si="427"/>
        <v>349.11776750000007</v>
      </c>
      <c r="DR450" s="104">
        <f t="shared" si="432"/>
        <v>1891.953125</v>
      </c>
      <c r="DS450" s="104">
        <f t="shared" si="444"/>
        <v>228.90125</v>
      </c>
      <c r="DT450" s="104">
        <f t="shared" si="428"/>
        <v>243.03923333333344</v>
      </c>
      <c r="DU450" s="104">
        <f t="shared" si="429"/>
        <v>402.90610000000009</v>
      </c>
      <c r="DV450" s="104">
        <f t="shared" si="433"/>
        <v>78.75</v>
      </c>
      <c r="DW450" s="104">
        <f t="shared" si="430"/>
        <v>3</v>
      </c>
      <c r="DX450" s="106">
        <f t="shared" si="434"/>
        <v>3300.8877258333337</v>
      </c>
      <c r="DY450" s="109">
        <f t="shared" si="421"/>
        <v>-5.631051180898794E-13</v>
      </c>
      <c r="EA450" s="110">
        <f t="shared" si="472"/>
        <v>3.1270451640078516E-2</v>
      </c>
      <c r="EB450" s="110">
        <f t="shared" si="470"/>
        <v>0.10576481131658687</v>
      </c>
      <c r="EC450" s="110">
        <f t="shared" si="470"/>
        <v>0.57316494293133291</v>
      </c>
      <c r="ED450" s="110">
        <f t="shared" si="470"/>
        <v>6.9345360706629972E-2</v>
      </c>
      <c r="EE450" s="110">
        <f t="shared" si="470"/>
        <v>7.3628445896921982E-2</v>
      </c>
      <c r="EF450" s="110">
        <f t="shared" si="470"/>
        <v>0.1220599225010852</v>
      </c>
      <c r="EG450" s="110">
        <f t="shared" si="470"/>
        <v>2.3857218585075921E-2</v>
      </c>
      <c r="EH450" s="111">
        <f t="shared" si="435"/>
        <v>9.0884642228860647E-4</v>
      </c>
      <c r="EI450" s="110">
        <f t="shared" si="476"/>
        <v>0.99909115357771139</v>
      </c>
      <c r="EK450" s="132">
        <f>(EA450*'Renewable Diesel'!BF459*'Feedstock Conversion Rates'!B$2)+FB450</f>
        <v>307.78653183888594</v>
      </c>
      <c r="EL450" s="132">
        <f>(EB450*'Renewable Diesel'!BF459*'Feedstock Conversion Rates'!B$3)+FC450</f>
        <v>981.00280125254471</v>
      </c>
      <c r="EM450" s="132">
        <f>(EC450*'Renewable Diesel'!BF459*'Feedstock Conversion Rates'!B$4)+FD450</f>
        <v>4977.7996771793851</v>
      </c>
      <c r="EN450" s="132">
        <f>(ED450*'Renewable Diesel'!BF459*'Feedstock Conversion Rates'!B$5)+FE450</f>
        <v>606.2627646469823</v>
      </c>
      <c r="EO450" s="132">
        <f>(EE450*'Renewable Diesel'!BF459*'Feedstock Conversion Rates'!B$6)+FF450</f>
        <v>799.73297714791954</v>
      </c>
      <c r="EP450" s="132">
        <f>(EF450*'Renewable Diesel'!BF459*'Feedstock Conversion Rates'!B$7)+FG450</f>
        <v>1300.3415794828547</v>
      </c>
      <c r="EQ450" s="132">
        <f>(EG450*'Renewable Diesel'!BF459*'Feedstock Conversion Rates'!B$8)+FH450</f>
        <v>258.99275687517138</v>
      </c>
      <c r="ER450" s="132">
        <f>(EH450*'Renewable Diesel'!BF459*'Feedstock Conversion Rates'!B$9)+FI450</f>
        <v>9.7348388615937438</v>
      </c>
      <c r="ES450" s="132">
        <f t="shared" si="436"/>
        <v>9241.6539272853388</v>
      </c>
      <c r="ET450" s="133">
        <f>ES450/'Renewable Diesel'!BF459</f>
        <v>13.077091048101297</v>
      </c>
      <c r="EW450" s="73">
        <f t="shared" si="461"/>
        <v>7760.1821569899566</v>
      </c>
      <c r="EX450" s="73">
        <f t="shared" si="462"/>
        <v>5082.9618183377152</v>
      </c>
      <c r="EY450" s="92">
        <f t="shared" si="477"/>
        <v>0.83969625113082413</v>
      </c>
      <c r="EZ450" s="92">
        <f t="shared" si="477"/>
        <v>0.55000564383076767</v>
      </c>
      <c r="FB450" s="102">
        <f>IF('Renewable Diesel'!$BG459&lt;1,0,(((('Renewable Diesel'!$BG459-1)*'Renewable Diesel'!$BF459)*'RD Feedstock Breakdown'!EA450)*'Feedstock Conversion Rates'!$B$2))</f>
        <v>119.94499470127019</v>
      </c>
      <c r="FC450" s="102">
        <f>IF('Renewable Diesel'!$BG459&lt;1,0,(((('Renewable Diesel'!$BG459-1)*'Renewable Diesel'!$BF459)*'RD Feedstock Breakdown'!EB450)*'Feedstock Conversion Rates'!$B$3))</f>
        <v>382.29865061074662</v>
      </c>
      <c r="FD450" s="102">
        <f>IF('Renewable Diesel'!$BG459&lt;1,0,(((('Renewable Diesel'!$BG459-1)*'Renewable Diesel'!$BF459)*'RD Feedstock Breakdown'!EC450)*'Feedstock Conversion Rates'!$B$4))</f>
        <v>1939.8579669360072</v>
      </c>
      <c r="FE450" s="102">
        <f>IF('Renewable Diesel'!$BG459&lt;1,0,(((('Renewable Diesel'!$BG459-1)*'Renewable Diesel'!$BF459)*'RD Feedstock Breakdown'!ED450)*'Feedstock Conversion Rates'!$B$5))</f>
        <v>236.26174822758261</v>
      </c>
      <c r="FF450" s="102">
        <f>IF('Renewable Diesel'!$BG459&lt;1,0,(((('Renewable Diesel'!$BG459-1)*'Renewable Diesel'!$BF459)*'RD Feedstock Breakdown'!EE450)*'Feedstock Conversion Rates'!$B$6))</f>
        <v>311.65745665781969</v>
      </c>
      <c r="FG450" s="102">
        <f>IF('Renewable Diesel'!$BG459&lt;1,0,(((('Renewable Diesel'!$BG459-1)*'Renewable Diesel'!$BF459)*'RD Feedstock Breakdown'!EF450)*'Feedstock Conversion Rates'!$B$7))</f>
        <v>506.74557762181792</v>
      </c>
      <c r="FH450" s="102">
        <f>IF('Renewable Diesel'!$BG459&lt;1,0,(((('Renewable Diesel'!$BG459-1)*'Renewable Diesel'!$BF459)*'RD Feedstock Breakdown'!EG450)*'Feedstock Conversion Rates'!$B$8))</f>
        <v>100.92996813558115</v>
      </c>
      <c r="FI450" s="102">
        <f>IF('Renewable Diesel'!$BG459&lt;1,0,(((('Renewable Diesel'!$BG459-1)*'Renewable Diesel'!$BF459)*'RD Feedstock Breakdown'!EH450)*'Feedstock Conversion Rates'!$B$9))</f>
        <v>3.7936851515088286</v>
      </c>
      <c r="FJ450" s="102">
        <f t="shared" si="463"/>
        <v>3601.4900480423344</v>
      </c>
      <c r="GD450" s="91">
        <f>'Renewable Diesel'!BB459*0.32</f>
        <v>0</v>
      </c>
      <c r="GE450" s="91">
        <f>'Renewable Diesel'!BC459</f>
        <v>248.91315845657553</v>
      </c>
      <c r="GF450" s="91">
        <f>'Renewable Diesel'!BD459</f>
        <v>0</v>
      </c>
      <c r="GG450" s="91">
        <f t="shared" si="451"/>
        <v>248.91315845657553</v>
      </c>
      <c r="GH450" s="124">
        <v>1</v>
      </c>
      <c r="GI450" s="102">
        <f>$GG450*EA450*'Feedstock Conversion Rates'!$B$2</f>
        <v>66.160828514812138</v>
      </c>
      <c r="GJ450" s="102">
        <f>$GG450*EB450*'Feedstock Conversion Rates'!$B$3</f>
        <v>210.87328843938695</v>
      </c>
      <c r="GK450" s="102">
        <f>$GG450*EC450*'Feedstock Conversion Rates'!$B$4</f>
        <v>1070.0122219621571</v>
      </c>
      <c r="GL450" s="102">
        <f>$GG450*ED450*'Feedstock Conversion Rates'!$B$5</f>
        <v>130.3203443213732</v>
      </c>
      <c r="GM450" s="102">
        <f>$GG450*EE450*'Feedstock Conversion Rates'!$B$6</f>
        <v>171.90809501183921</v>
      </c>
      <c r="GN450" s="102">
        <f>$GG450*EF450*'Feedstock Conversion Rates'!$B$7</f>
        <v>279.51735164253154</v>
      </c>
      <c r="GO450" s="102">
        <f>$GG450*EG450*'Feedstock Conversion Rates'!$B$8</f>
        <v>55.672271531251511</v>
      </c>
      <c r="GP450" s="102">
        <f>$GG450*EH450*'Feedstock Conversion Rates'!B$9</f>
        <v>2.092570460095295</v>
      </c>
      <c r="GQ450" s="102">
        <f t="shared" si="437"/>
        <v>1986.5569718834467</v>
      </c>
      <c r="GT450" s="103">
        <f t="shared" si="418"/>
        <v>3.3304269372191886E-2</v>
      </c>
      <c r="GU450" s="103">
        <f t="shared" si="418"/>
        <v>0.10615013383656387</v>
      </c>
      <c r="GV450" s="103">
        <f t="shared" si="418"/>
        <v>0.53862649654979822</v>
      </c>
      <c r="GW450" s="103">
        <f t="shared" si="418"/>
        <v>6.5601110950176761E-2</v>
      </c>
      <c r="GX450" s="103">
        <f t="shared" si="465"/>
        <v>8.6535698419388296E-2</v>
      </c>
      <c r="GY450" s="103">
        <f t="shared" si="465"/>
        <v>0.14070442257566979</v>
      </c>
      <c r="GZ450" s="103">
        <f t="shared" si="465"/>
        <v>2.8024502855545513E-2</v>
      </c>
      <c r="HA450" s="103">
        <f t="shared" si="465"/>
        <v>1.0533654406655838E-3</v>
      </c>
    </row>
    <row r="451" spans="1:209" x14ac:dyDescent="0.25">
      <c r="A451" s="96">
        <v>54149</v>
      </c>
      <c r="B451" s="104">
        <f t="shared" si="473"/>
        <v>44.25</v>
      </c>
      <c r="C451" s="104">
        <f t="shared" si="466"/>
        <v>49</v>
      </c>
      <c r="D451" s="104">
        <f t="shared" si="474"/>
        <v>2</v>
      </c>
      <c r="E451" s="104">
        <f>('Renewable Diesel'!B460*E$3*'Feedstock Conversion Rates'!$B$2)/12+26+13-100+27.5+39</f>
        <v>95.43</v>
      </c>
      <c r="F451" s="104">
        <f>('Renewable Diesel'!B460*'RD Feedstock Breakdown'!F$3*'Feedstock Conversion Rates'!B$8)/12+77+23-10-12-115.75+24+8</f>
        <v>48.15625</v>
      </c>
      <c r="G451" s="104">
        <f>('Renewable Diesel'!B460*'RD Feedstock Breakdown'!G$3*'Feedstock Conversion Rates'!B$7)/12+116.75-39-57.5-145-31.5+32+70-40+10+60</f>
        <v>151.90700000000004</v>
      </c>
      <c r="H451" s="104">
        <f>('Renewable Diesel'!B460*'RD Feedstock Breakdown'!H$3*'Feedstock Conversion Rates'!B$3)/12+67+10+12+3-235+20+47-20+25</f>
        <v>105.40022499999998</v>
      </c>
      <c r="I451" s="106">
        <f t="shared" si="449"/>
        <v>496.14347500000002</v>
      </c>
      <c r="J451" s="104">
        <f t="shared" si="417"/>
        <v>4</v>
      </c>
      <c r="K451" s="104"/>
      <c r="L451" s="104">
        <v>1</v>
      </c>
      <c r="M451" s="104">
        <f>('Renewable Diesel'!C460*'RD Feedstock Breakdown'!M$3*'Feedstock Conversion Rates'!B$2)/12</f>
        <v>7.7902500000000003</v>
      </c>
      <c r="N451" s="104">
        <f>('Renewable Diesel'!C460*'RD Feedstock Breakdown'!N$3*'Feedstock Conversion Rates'!B$8)/12</f>
        <v>3.671875</v>
      </c>
      <c r="O451" s="104">
        <f>('Renewable Diesel'!C460*'RD Feedstock Breakdown'!O$3*'Feedstock Conversion Rates'!B$7)/12</f>
        <v>11.9991</v>
      </c>
      <c r="P451" s="104">
        <f>('Renewable Diesel'!C460*'RD Feedstock Breakdown'!P$3*'Feedstock Conversion Rates'!B$3)/12</f>
        <v>10.4470425</v>
      </c>
      <c r="Q451" s="106">
        <f t="shared" si="455"/>
        <v>38.908267500000001</v>
      </c>
      <c r="R451" s="104">
        <f>('Renewable Diesel'!D460*'RD Feedstock Breakdown'!R$3*'Feedstock Conversion Rates'!B$7)/12</f>
        <v>2.2999999999999998</v>
      </c>
      <c r="S451" s="106">
        <f t="shared" si="481"/>
        <v>2.2999999999999998</v>
      </c>
      <c r="T451" s="104">
        <f t="shared" si="456"/>
        <v>0.82499999999999929</v>
      </c>
      <c r="U451" s="104"/>
      <c r="V451" s="104">
        <f>('Renewable Diesel'!E460*'RD Feedstock Breakdown'!V$3*'Feedstock Conversion Rates'!B$6)/12-20+25</f>
        <v>49.250150000000012</v>
      </c>
      <c r="W451" s="104">
        <f>('Renewable Diesel'!E460*'RD Feedstock Breakdown'!W$3*'Feedstock Conversion Rates'!B$8)/12-6</f>
        <v>16.1796875</v>
      </c>
      <c r="X451" s="106">
        <f t="shared" si="438"/>
        <v>66.254837500000008</v>
      </c>
      <c r="Y451" s="104">
        <f t="shared" si="457"/>
        <v>98</v>
      </c>
      <c r="Z451" s="104">
        <f>('Renewable Diesel'!F460*'RD Feedstock Breakdown'!Z$3*'Feedstock Conversion Rates'!B$6)/12-142+15+5+20+5+15</f>
        <v>77.460000000000008</v>
      </c>
      <c r="AA451" s="104">
        <f>('Renewable Diesel'!F460*'RD Feedstock Breakdown'!AA$3*'Feedstock Conversion Rates'!B$7)/12+24</f>
        <v>128.26666666666665</v>
      </c>
      <c r="AB451" s="106">
        <f t="shared" si="471"/>
        <v>303.72666666666669</v>
      </c>
      <c r="AC451" s="104">
        <f>('Renewable Diesel'!G460*'RD Feedstock Breakdown'!AC$3*'Feedstock Conversion Rates'!B$5)/12</f>
        <v>11.796875</v>
      </c>
      <c r="AD451" s="104">
        <f>('Renewable Diesel'!G460*'RD Feedstock Breakdown'!AD$3*'Feedstock Conversion Rates'!B$4)/12</f>
        <v>5.859375</v>
      </c>
      <c r="AE451" s="104">
        <f>('Renewable Diesel'!G460*'RD Feedstock Breakdown'!AE$3*'Feedstock Conversion Rates'!B$6)/12</f>
        <v>7.3281250000000009</v>
      </c>
      <c r="AF451" s="106">
        <f t="shared" si="445"/>
        <v>24.984375</v>
      </c>
      <c r="AG451" s="104">
        <f t="shared" si="459"/>
        <v>148</v>
      </c>
      <c r="AH451" s="104"/>
      <c r="AI451" s="104">
        <f>('Renewable Diesel'!H460*'RD Feedstock Breakdown'!AI$3*'Feedstock Conversion Rates'!B$6)/12-130-20+51-49</f>
        <v>0.51666666666667993</v>
      </c>
      <c r="AJ451" s="106">
        <f t="shared" si="480"/>
        <v>148.51666666666668</v>
      </c>
      <c r="AK451" s="104">
        <f>('Renewable Diesel'!J460*'RD Feedstock Breakdown'!AK$3*'Feedstock Conversion Rates'!B$4)/12</f>
        <v>95.8125</v>
      </c>
      <c r="AL451" s="106">
        <f t="shared" si="415"/>
        <v>95.8125</v>
      </c>
      <c r="AM451" s="104">
        <f>('Renewable Diesel'!K460*'RD Feedstock Breakdown'!AM$3*'Feedstock Conversion Rates'!B$4)/12+5+15-10+10</f>
        <v>78.59375</v>
      </c>
      <c r="AN451" s="104">
        <f>('Renewable Diesel'!K460*'RD Feedstock Breakdown'!AN$3*'Feedstock Conversion Rates'!B$6)/12-5-15+10-10</f>
        <v>4.4270833333333321</v>
      </c>
      <c r="AO451" s="106">
        <f t="shared" si="431"/>
        <v>83.020833333333329</v>
      </c>
      <c r="AP451" s="104">
        <f>('Renewable Diesel'!L460*'RD Feedstock Breakdown'!AP$3*'Feedstock Conversion Rates'!B$4)/12+15-10+15</f>
        <v>78.59375</v>
      </c>
      <c r="AQ451" s="104">
        <f>('Renewable Diesel'!L460*'RD Feedstock Breakdown'!AQ$3*'Feedstock Conversion Rates'!B$6)/12-15+10-15</f>
        <v>4.4270833333333321</v>
      </c>
      <c r="AR451" s="106">
        <f t="shared" si="420"/>
        <v>83.020833333333329</v>
      </c>
      <c r="AS451" s="104">
        <f>('Renewable Diesel'!M460*'RD Feedstock Breakdown'!AS$3*'Feedstock Conversion Rates'!B$4)/12</f>
        <v>456.25</v>
      </c>
      <c r="AT451" s="104">
        <f>('Renewable Diesel'!M460*'RD Feedstock Breakdown'!AT$3*'Feedstock Conversion Rates'!B$5)/12</f>
        <v>0</v>
      </c>
      <c r="AU451" s="106">
        <f t="shared" si="448"/>
        <v>456.25</v>
      </c>
      <c r="AV451" s="104">
        <f>'Renewable Diesel'!N460*'RD Feedstock Breakdown'!$AV$3*'Feedstock Conversion Rates'!$B$4/12-15-10+25+25-22+25</f>
        <v>106.74999999999999</v>
      </c>
      <c r="AW451" s="104">
        <f>'Renewable Diesel'!N460*'RD Feedstock Breakdown'!$AW$3*'Feedstock Conversion Rates'!$B$7/12+15+10-25-25+22-25</f>
        <v>13.400000000000006</v>
      </c>
      <c r="AX451" s="106">
        <f t="shared" si="475"/>
        <v>120.14999999999999</v>
      </c>
      <c r="AY451" s="104">
        <f>('Renewable Diesel'!O460*'RD Feedstock Breakdown'!AY$3*'Feedstock Conversion Rates'!B$4)/12</f>
        <v>210.9375</v>
      </c>
      <c r="AZ451" s="104">
        <f>('Renewable Diesel'!O460*'RD Feedstock Breakdown'!AZ$3*'Feedstock Conversion Rates'!B$3)/12</f>
        <v>25.03125</v>
      </c>
      <c r="BA451" s="106">
        <f t="shared" si="458"/>
        <v>235.96875</v>
      </c>
      <c r="BB451" s="104">
        <f>('Renewable Diesel'!Q460*'RD Feedstock Breakdown'!BB$3*'Feedstock Conversion Rates'!B$4)/12</f>
        <v>11.156249999999998</v>
      </c>
      <c r="BC451" s="104">
        <f>('Renewable Diesel'!Q460*'RD Feedstock Breakdown'!BC$3*'Feedstock Conversion Rates'!B$3)/12</f>
        <v>1.4017500000000001</v>
      </c>
      <c r="BD451" s="104">
        <f>('Renewable Diesel'!Q460*'RD Feedstock Breakdown'!BD$3*'Feedstock Conversion Rates'!B$6)/12</f>
        <v>0.8207500000000002</v>
      </c>
      <c r="BE451" s="106">
        <f t="shared" si="440"/>
        <v>13.378749999999998</v>
      </c>
      <c r="BF451" s="104">
        <f>('Renewable Diesel'!R460*'RD Feedstock Breakdown'!BF$3*'Feedstock Conversion Rates'!B$4)/12</f>
        <v>62.5</v>
      </c>
      <c r="BG451" s="106">
        <f t="shared" si="425"/>
        <v>62.5</v>
      </c>
      <c r="BH451" s="104">
        <f>('Renewable Diesel'!T460*'RD Feedstock Breakdown'!BH$3*'Feedstock Conversion Rates'!B$7)/12</f>
        <v>27.599999999999998</v>
      </c>
      <c r="BI451" s="106">
        <f t="shared" si="479"/>
        <v>27.599999999999998</v>
      </c>
      <c r="BJ451" s="104">
        <f>('Renewable Diesel'!W460*'RD Feedstock Breakdown'!BJ$3*'Feedstock Conversion Rates'!B$4)/12</f>
        <v>7.5</v>
      </c>
      <c r="BK451" s="104">
        <f>('Renewable Diesel'!W460*'RD Feedstock Breakdown'!BK$3*'Feedstock Conversion Rates'!B$3)/12</f>
        <v>1.335</v>
      </c>
      <c r="BL451" s="104">
        <f>('Renewable Diesel'!W460*'RD Feedstock Breakdown'!BL$3*'Feedstock Conversion Rates'!B$6)/12</f>
        <v>3.1266666666666669</v>
      </c>
      <c r="BM451" s="104">
        <f>('Renewable Diesel'!W460*'RD Feedstock Breakdown'!BM$3*'Feedstock Conversion Rates'!B$7)/12</f>
        <v>1.5333333333333332</v>
      </c>
      <c r="BN451" s="106">
        <f t="shared" si="452"/>
        <v>13.495000000000001</v>
      </c>
      <c r="BO451" s="104">
        <f>('Renewable Diesel'!P460*'Feedstock Conversion Rates'!B$4)/12</f>
        <v>31.25</v>
      </c>
      <c r="BP451" s="106">
        <f t="shared" si="446"/>
        <v>31.25</v>
      </c>
      <c r="BQ451" s="104">
        <f>('Renewable Diesel'!$S460*'RD Feedstock Breakdown'!BQ$3*'Feedstock Conversion Rates'!B$4)/12+10+15-15</f>
        <v>38.125</v>
      </c>
      <c r="BR451" s="104">
        <f>('Renewable Diesel'!$S460*'RD Feedstock Breakdown'!BR$3*'Feedstock Conversion Rates'!B$7)/12-10-15+15</f>
        <v>1.5</v>
      </c>
      <c r="BS451" s="106">
        <f t="shared" si="460"/>
        <v>39.625</v>
      </c>
      <c r="BT451" s="106"/>
      <c r="BU451" s="104">
        <f>('Renewable Diesel'!Y460*'Feedstock Conversion Rates'!B$7)/12</f>
        <v>2.6833333333333331</v>
      </c>
      <c r="BV451" s="106">
        <f t="shared" si="442"/>
        <v>2.6833333333333331</v>
      </c>
      <c r="BW451" s="104">
        <f>('Renewable Diesel'!$Z460*'RD Feedstock Breakdown'!BW$3*'Feedstock Conversion Rates'!$B$4)/12-250+180</f>
        <v>1.875</v>
      </c>
      <c r="BX451" s="104">
        <f>('Renewable Diesel'!$Z460*'RD Feedstock Breakdown'!BX$3*'Feedstock Conversion Rates'!$B$5)/12</f>
        <v>7.2354166666666666</v>
      </c>
      <c r="BY451" s="104">
        <f>('Renewable Diesel'!$Z460*'RD Feedstock Breakdown'!BY$3*'Feedstock Conversion Rates'!$B$7)/12</f>
        <v>61.716666666666661</v>
      </c>
      <c r="BZ451" s="104">
        <f>('Renewable Diesel'!$Z460*'RD Feedstock Breakdown'!BZ$3*'Feedstock Conversion Rates'!$B$3)/12+250-180</f>
        <v>85.35250000000002</v>
      </c>
      <c r="CA451" s="106">
        <f t="shared" si="464"/>
        <v>156.17958333333334</v>
      </c>
      <c r="CB451" s="104">
        <f>('Renewable Diesel'!AA460*'Feedstock Conversion Rates'!B$4)/12</f>
        <v>191.25</v>
      </c>
      <c r="CC451" s="106">
        <f t="shared" si="454"/>
        <v>191.25</v>
      </c>
      <c r="CD451" s="104">
        <f>('Renewable Diesel'!$AB460*'RD Feedstock Breakdown'!CD$3*'Feedstock Conversion Rates'!$B$6)/12-15-5</f>
        <v>12.830000000000005</v>
      </c>
      <c r="CE451" s="104">
        <f>('Renewable Diesel'!$AB460*'RD Feedstock Breakdown'!CE$3*'Feedstock Conversion Rates'!$B$4)/12+15+5</f>
        <v>31.25</v>
      </c>
      <c r="CF451" s="106">
        <f t="shared" si="450"/>
        <v>44.080000000000005</v>
      </c>
      <c r="CG451" s="104">
        <f>('Renewable Diesel'!AD460*'Feedstock Conversion Rates'!B$4)/12</f>
        <v>112.5</v>
      </c>
      <c r="CH451" s="106">
        <f t="shared" si="439"/>
        <v>112.5</v>
      </c>
      <c r="CI451" s="104">
        <f>('Renewable Diesel'!$AE460*'RD Feedstock Breakdown'!CI$3*'Feedstock Conversion Rates'!$B$5)/12</f>
        <v>0.34604166666666664</v>
      </c>
      <c r="CJ451" s="104">
        <f>('Renewable Diesel'!$AE460*'RD Feedstock Breakdown'!CJ$3*'Feedstock Conversion Rates'!$B$4)/12</f>
        <v>0.34375</v>
      </c>
      <c r="CK451" s="106">
        <f t="shared" si="447"/>
        <v>0.68979166666666658</v>
      </c>
      <c r="CL451" s="104">
        <f>(((CL$3*'Renewable Diesel'!$AF460)*'Feedstock Conversion Rates'!$B$3)/12)</f>
        <v>91.78125</v>
      </c>
      <c r="CM451" s="104">
        <f>(((CM$3*'Renewable Diesel'!$AF460)*'Feedstock Conversion Rates'!$B$6)/12)</f>
        <v>53.739583333333336</v>
      </c>
      <c r="CN451" s="104">
        <f>(((CN$3*'Renewable Diesel'!$AF460)*'Feedstock Conversion Rates'!$B$4)/12)</f>
        <v>42.96875</v>
      </c>
      <c r="CO451" s="106">
        <f t="shared" si="441"/>
        <v>188.48958333333334</v>
      </c>
      <c r="CP451" s="104">
        <f>('Renewable Diesel'!$AG460*'RD Feedstock Breakdown'!CP$3*'Feedstock Conversion Rates'!$B$3)/12</f>
        <v>6.0075000000000003</v>
      </c>
      <c r="CQ451" s="104">
        <f>('Renewable Diesel'!$AG460*'RD Feedstock Breakdown'!CQ$3*'Feedstock Conversion Rates'!$B$6)/12</f>
        <v>3.5175000000000001</v>
      </c>
      <c r="CR451" s="104">
        <f>('Renewable Diesel'!$AG460*'RD Feedstock Breakdown'!CR$3*'Feedstock Conversion Rates'!$B$4)/12</f>
        <v>2.8125</v>
      </c>
      <c r="CS451" s="106">
        <f t="shared" si="467"/>
        <v>12.3375</v>
      </c>
      <c r="CT451" s="104">
        <f>('Renewable Diesel'!AI460*'Feedstock Conversion Rates'!$B$4*'RD Feedstock Breakdown'!$CT$3)/12</f>
        <v>29.375</v>
      </c>
      <c r="CU451" s="106">
        <f t="shared" si="443"/>
        <v>29.375</v>
      </c>
      <c r="CV451" s="104">
        <f>('Renewable Diesel'!AN460*'Feedstock Conversion Rates'!$B$3*'RD Feedstock Breakdown'!$CV$3)/12</f>
        <v>0.50062499999999999</v>
      </c>
      <c r="CW451" s="106">
        <f t="shared" si="419"/>
        <v>0.50062499999999999</v>
      </c>
      <c r="CX451" s="104">
        <f>('Renewable Diesel'!AO460*'RD Feedstock Breakdown'!$CX$3*'Feedstock Conversion Rates'!$B$3)/12</f>
        <v>6.3412499999999996</v>
      </c>
      <c r="CY451" s="104">
        <f>('Renewable Diesel'!AO460*'RD Feedstock Breakdown'!$CY$3*'Feedstock Conversion Rates'!$B$6)/12</f>
        <v>7.4258333333333342</v>
      </c>
      <c r="CZ451" s="106">
        <f t="shared" si="468"/>
        <v>13.767083333333334</v>
      </c>
      <c r="DA451" s="104">
        <f>('Renewable Diesel'!$AP460*'RD Feedstock Breakdown'!DA$3*'Feedstock Conversion Rates'!$B$3)/12</f>
        <v>6.3412499999999996</v>
      </c>
      <c r="DB451" s="104">
        <f>('Renewable Diesel'!$AP460*'RD Feedstock Breakdown'!DB$3*'Feedstock Conversion Rates'!$B$8)/12</f>
        <v>7.421875</v>
      </c>
      <c r="DC451" s="106">
        <f t="shared" si="422"/>
        <v>13.763124999999999</v>
      </c>
      <c r="DD451" s="104">
        <f>('Renewable Diesel'!AQ460*$DD$3*'Feedstock Conversion Rates'!$B$14)/12</f>
        <v>3.1041666666666665</v>
      </c>
      <c r="DE451" s="106">
        <f t="shared" si="423"/>
        <v>3.1041666666666665</v>
      </c>
      <c r="DF451" s="104">
        <f>('Renewable Diesel'!AR460*'Feedstock Conversion Rates'!$B$4*$DF$3)/12</f>
        <v>75</v>
      </c>
      <c r="DG451" s="106">
        <f t="shared" si="469"/>
        <v>75</v>
      </c>
      <c r="DH451" s="104">
        <f>('Renewable Diesel'!AS460*'Feedstock Conversion Rates'!$B$4*$DH$3)/12</f>
        <v>75</v>
      </c>
      <c r="DI451" s="106">
        <f t="shared" si="478"/>
        <v>75</v>
      </c>
      <c r="DJ451" s="104">
        <f>('Renewable Diesel'!AT460*'Feedstock Conversion Rates'!$B$4*0.25)/12</f>
        <v>8.59375</v>
      </c>
      <c r="DK451" s="104">
        <f>('Renewable Diesel'!$AT460*'RD Feedstock Breakdown'!DK$3*'Feedstock Conversion Rates'!$B$3)/12*0.5</f>
        <v>9.1781249999999996</v>
      </c>
      <c r="DL451" s="104">
        <f>('Renewable Diesel'!$AT460*'RD Feedstock Breakdown'!$DL$3*'Feedstock Conversion Rates'!$B$6)/12</f>
        <v>10.747916666666669</v>
      </c>
      <c r="DM451" s="104">
        <f>('Renewable Diesel'!$AT460*'RD Feedstock Breakdown'!$DM$3*'Feedstock Conversion Rates'!$B$8)/12</f>
        <v>10.7421875</v>
      </c>
      <c r="DN451" s="106">
        <f t="shared" si="453"/>
        <v>39.26197916666667</v>
      </c>
      <c r="DP451" s="104">
        <f t="shared" si="426"/>
        <v>103.22025000000001</v>
      </c>
      <c r="DQ451" s="104">
        <f t="shared" si="427"/>
        <v>349.11776750000007</v>
      </c>
      <c r="DR451" s="104">
        <f t="shared" si="432"/>
        <v>1891.953125</v>
      </c>
      <c r="DS451" s="104">
        <f t="shared" si="444"/>
        <v>228.90125</v>
      </c>
      <c r="DT451" s="104">
        <f t="shared" si="428"/>
        <v>243.03923333333344</v>
      </c>
      <c r="DU451" s="104">
        <f t="shared" si="429"/>
        <v>402.90610000000009</v>
      </c>
      <c r="DV451" s="104">
        <f t="shared" si="433"/>
        <v>78.75</v>
      </c>
      <c r="DW451" s="104">
        <f t="shared" si="430"/>
        <v>3</v>
      </c>
      <c r="DX451" s="106">
        <f t="shared" si="434"/>
        <v>3300.8877258333337</v>
      </c>
      <c r="DY451" s="109">
        <f t="shared" si="421"/>
        <v>-5.631051180898794E-13</v>
      </c>
      <c r="EA451" s="110">
        <f t="shared" si="472"/>
        <v>3.1270451640078516E-2</v>
      </c>
      <c r="EB451" s="110">
        <f t="shared" si="470"/>
        <v>0.10576481131658687</v>
      </c>
      <c r="EC451" s="110">
        <f t="shared" si="470"/>
        <v>0.57316494293133291</v>
      </c>
      <c r="ED451" s="110">
        <f t="shared" si="470"/>
        <v>6.9345360706629972E-2</v>
      </c>
      <c r="EE451" s="110">
        <f t="shared" si="470"/>
        <v>7.3628445896921982E-2</v>
      </c>
      <c r="EF451" s="110">
        <f t="shared" si="470"/>
        <v>0.1220599225010852</v>
      </c>
      <c r="EG451" s="110">
        <f t="shared" si="470"/>
        <v>2.3857218585075921E-2</v>
      </c>
      <c r="EH451" s="111">
        <f t="shared" si="435"/>
        <v>9.0884642228860647E-4</v>
      </c>
      <c r="EI451" s="110">
        <f t="shared" si="476"/>
        <v>0.99909115357771139</v>
      </c>
      <c r="EK451" s="132">
        <f>(EA451*'Renewable Diesel'!BF460*'Feedstock Conversion Rates'!B$2)+FB451</f>
        <v>410.70289356540741</v>
      </c>
      <c r="EL451" s="132">
        <f>(EB451*'Renewable Diesel'!BF460*'Feedstock Conversion Rates'!B$3)+FC451</f>
        <v>1309.0263783247442</v>
      </c>
      <c r="EM451" s="132">
        <f>(EC451*'Renewable Diesel'!BF460*'Feedstock Conversion Rates'!B$4)+FD451</f>
        <v>6642.2553280423763</v>
      </c>
      <c r="EN451" s="132">
        <f>(ED451*'Renewable Diesel'!BF460*'Feedstock Conversion Rates'!B$5)+FE451</f>
        <v>808.98234959747242</v>
      </c>
      <c r="EO451" s="132">
        <f>(EE451*'Renewable Diesel'!BF460*'Feedstock Conversion Rates'!B$6)+FF451</f>
        <v>1067.1443153537996</v>
      </c>
      <c r="EP451" s="132">
        <f>(EF451*'Renewable Diesel'!BF460*'Feedstock Conversion Rates'!B$7)+FG451</f>
        <v>1735.1443096820649</v>
      </c>
      <c r="EQ451" s="132">
        <f>(EG451*'Renewable Diesel'!BF460*'Feedstock Conversion Rates'!B$8)+FH451</f>
        <v>345.59366202805438</v>
      </c>
      <c r="ER451" s="132">
        <f>(EH451*'Renewable Diesel'!BF460*'Feedstock Conversion Rates'!B$9)+FI451</f>
        <v>12.989933201308457</v>
      </c>
      <c r="ES451" s="132">
        <f t="shared" si="436"/>
        <v>12331.839169795227</v>
      </c>
      <c r="ET451" s="133">
        <f>ES451/'Renewable Diesel'!BF460</f>
        <v>14.61061089226529</v>
      </c>
      <c r="EW451" s="73">
        <f t="shared" si="461"/>
        <v>10832.299152466074</v>
      </c>
      <c r="EX451" s="73">
        <f t="shared" si="462"/>
        <v>7095.2152775436825</v>
      </c>
      <c r="EY451" s="92">
        <f t="shared" si="477"/>
        <v>0.87840094273999092</v>
      </c>
      <c r="EZ451" s="92">
        <f t="shared" si="477"/>
        <v>0.57535742883528873</v>
      </c>
      <c r="FB451" s="102">
        <f>IF('Renewable Diesel'!$BG460&lt;1,0,(((('Renewable Diesel'!$BG460-1)*'Renewable Diesel'!$BF460)*'RD Feedstock Breakdown'!EA451)*'Feedstock Conversion Rates'!$B$2))</f>
        <v>186.35987618549464</v>
      </c>
      <c r="FC451" s="102">
        <f>IF('Renewable Diesel'!$BG460&lt;1,0,(((('Renewable Diesel'!$BG460-1)*'Renewable Diesel'!$BF460)*'RD Feedstock Breakdown'!EB451)*'Feedstock Conversion Rates'!$B$3))</f>
        <v>593.98167777772176</v>
      </c>
      <c r="FD451" s="102">
        <f>IF('Renewable Diesel'!$BG460&lt;1,0,(((('Renewable Diesel'!$BG460-1)*'Renewable Diesel'!$BF460)*'RD Feedstock Breakdown'!EC451)*'Feedstock Conversion Rates'!$B$4))</f>
        <v>3013.9789612397331</v>
      </c>
      <c r="FE451" s="102">
        <f>IF('Renewable Diesel'!$BG460&lt;1,0,(((('Renewable Diesel'!$BG460-1)*'Renewable Diesel'!$BF460)*'RD Feedstock Breakdown'!ED451)*'Feedstock Conversion Rates'!$B$5))</f>
        <v>367.08251358649267</v>
      </c>
      <c r="FF451" s="102">
        <f>IF('Renewable Diesel'!$BG460&lt;1,0,(((('Renewable Diesel'!$BG460-1)*'Renewable Diesel'!$BF460)*'RD Feedstock Breakdown'!EE451)*'Feedstock Conversion Rates'!$B$6))</f>
        <v>484.22566677075679</v>
      </c>
      <c r="FG451" s="102">
        <f>IF('Renewable Diesel'!$BG460&lt;1,0,(((('Renewable Diesel'!$BG460-1)*'Renewable Diesel'!$BF460)*'RD Feedstock Breakdown'!EF451)*'Feedstock Conversion Rates'!$B$7))</f>
        <v>787.33625640944638</v>
      </c>
      <c r="FH451" s="102">
        <f>IF('Renewable Diesel'!$BG460&lt;1,0,(((('Renewable Diesel'!$BG460-1)*'Renewable Diesel'!$BF460)*'RD Feedstock Breakdown'!EG451)*'Feedstock Conversion Rates'!$B$8))</f>
        <v>156.8160173085875</v>
      </c>
      <c r="FI451" s="102">
        <f>IF('Renewable Diesel'!$BG460&lt;1,0,(((('Renewable Diesel'!$BG460-1)*'Renewable Diesel'!$BF460)*'RD Feedstock Breakdown'!EH451)*'Feedstock Conversion Rates'!$B$9))</f>
        <v>5.8942909362973843</v>
      </c>
      <c r="FJ451" s="102">
        <f t="shared" si="463"/>
        <v>5595.6752602145298</v>
      </c>
      <c r="GD451" s="91">
        <f>'Renewable Diesel'!BB460*0.32</f>
        <v>0</v>
      </c>
      <c r="GE451" s="91">
        <f>'Renewable Diesel'!BC460</f>
        <v>399.53915294475968</v>
      </c>
      <c r="GF451" s="91">
        <f>'Renewable Diesel'!BD460</f>
        <v>0</v>
      </c>
      <c r="GG451" s="91">
        <f t="shared" si="451"/>
        <v>399.53915294475968</v>
      </c>
      <c r="GH451" s="124">
        <v>1</v>
      </c>
      <c r="GI451" s="102">
        <f>$GG451*EA451*'Feedstock Conversion Rates'!$B$2</f>
        <v>106.19704296405486</v>
      </c>
      <c r="GJ451" s="102">
        <f>$GG451*EB451*'Feedstock Conversion Rates'!$B$3</f>
        <v>338.48003682957955</v>
      </c>
      <c r="GK451" s="102">
        <f>$GG451*EC451*'Feedstock Conversion Rates'!$B$4</f>
        <v>1717.5137684731219</v>
      </c>
      <c r="GL451" s="102">
        <f>$GG451*ED451*'Feedstock Conversion Rates'!$B$5</f>
        <v>209.181709414187</v>
      </c>
      <c r="GM451" s="102">
        <f>$GG451*EE451*'Feedstock Conversion Rates'!$B$6</f>
        <v>275.93565198104972</v>
      </c>
      <c r="GN451" s="102">
        <f>$GG451*EF451*'Feedstock Conversion Rates'!$B$7</f>
        <v>448.66300601019663</v>
      </c>
      <c r="GO451" s="102">
        <f>$GG451*EG451*'Feedstock Conversion Rates'!$B$8</f>
        <v>89.361495985305098</v>
      </c>
      <c r="GP451" s="102">
        <f>$GG451*EH451*'Feedstock Conversion Rates'!B$9</f>
        <v>3.3588574998921028</v>
      </c>
      <c r="GQ451" s="102">
        <f t="shared" si="437"/>
        <v>3188.6915691573872</v>
      </c>
      <c r="GT451" s="103">
        <f t="shared" si="418"/>
        <v>3.3304269372191893E-2</v>
      </c>
      <c r="GU451" s="103">
        <f t="shared" si="418"/>
        <v>0.10615013383656387</v>
      </c>
      <c r="GV451" s="103">
        <f t="shared" si="418"/>
        <v>0.53862649654979822</v>
      </c>
      <c r="GW451" s="103">
        <f t="shared" si="418"/>
        <v>6.5601110950176761E-2</v>
      </c>
      <c r="GX451" s="103">
        <f t="shared" si="465"/>
        <v>8.6535698419388296E-2</v>
      </c>
      <c r="GY451" s="103">
        <f t="shared" si="465"/>
        <v>0.14070442257566981</v>
      </c>
      <c r="GZ451" s="103">
        <f t="shared" si="465"/>
        <v>2.8024502855545516E-2</v>
      </c>
      <c r="HA451" s="103">
        <f t="shared" si="465"/>
        <v>1.0533654406655838E-3</v>
      </c>
    </row>
    <row r="452" spans="1:209" x14ac:dyDescent="0.25">
      <c r="A452" s="96">
        <v>54179</v>
      </c>
      <c r="B452" s="104">
        <f t="shared" si="473"/>
        <v>44.25</v>
      </c>
      <c r="C452" s="104">
        <f t="shared" si="466"/>
        <v>49</v>
      </c>
      <c r="D452" s="104">
        <f t="shared" si="474"/>
        <v>2</v>
      </c>
      <c r="E452" s="104">
        <f>('Renewable Diesel'!B461*E$3*'Feedstock Conversion Rates'!$B$2)/12+26+13-100+27.5+39</f>
        <v>95.43</v>
      </c>
      <c r="F452" s="104">
        <f>('Renewable Diesel'!B461*'RD Feedstock Breakdown'!F$3*'Feedstock Conversion Rates'!B$8)/12+77+23-10-12-115.75+24+8</f>
        <v>48.15625</v>
      </c>
      <c r="G452" s="104">
        <f>('Renewable Diesel'!B461*'RD Feedstock Breakdown'!G$3*'Feedstock Conversion Rates'!B$7)/12+116.75-39-57.5-145-31.5+32+70-40+10+60</f>
        <v>151.90700000000004</v>
      </c>
      <c r="H452" s="104">
        <f>('Renewable Diesel'!B461*'RD Feedstock Breakdown'!H$3*'Feedstock Conversion Rates'!B$3)/12+67+10+12+3-235+20+47-20+25</f>
        <v>105.40022499999998</v>
      </c>
      <c r="I452" s="106">
        <f t="shared" si="449"/>
        <v>496.14347500000002</v>
      </c>
      <c r="J452" s="104">
        <f t="shared" si="417"/>
        <v>4</v>
      </c>
      <c r="K452" s="104"/>
      <c r="L452" s="104">
        <v>1</v>
      </c>
      <c r="M452" s="104">
        <f>('Renewable Diesel'!C461*'RD Feedstock Breakdown'!M$3*'Feedstock Conversion Rates'!B$2)/12</f>
        <v>7.7902500000000003</v>
      </c>
      <c r="N452" s="104">
        <f>('Renewable Diesel'!C461*'RD Feedstock Breakdown'!N$3*'Feedstock Conversion Rates'!B$8)/12</f>
        <v>3.671875</v>
      </c>
      <c r="O452" s="104">
        <f>('Renewable Diesel'!C461*'RD Feedstock Breakdown'!O$3*'Feedstock Conversion Rates'!B$7)/12</f>
        <v>11.9991</v>
      </c>
      <c r="P452" s="104">
        <f>('Renewable Diesel'!C461*'RD Feedstock Breakdown'!P$3*'Feedstock Conversion Rates'!B$3)/12</f>
        <v>10.4470425</v>
      </c>
      <c r="Q452" s="106">
        <f t="shared" si="455"/>
        <v>38.908267500000001</v>
      </c>
      <c r="R452" s="104">
        <f>('Renewable Diesel'!D461*'RD Feedstock Breakdown'!R$3*'Feedstock Conversion Rates'!B$7)/12</f>
        <v>2.2999999999999998</v>
      </c>
      <c r="S452" s="106">
        <f t="shared" si="481"/>
        <v>2.2999999999999998</v>
      </c>
      <c r="T452" s="104">
        <f t="shared" si="456"/>
        <v>0.82499999999999929</v>
      </c>
      <c r="U452" s="104"/>
      <c r="V452" s="104">
        <f>('Renewable Diesel'!E461*'RD Feedstock Breakdown'!V$3*'Feedstock Conversion Rates'!B$6)/12-20+25</f>
        <v>49.250150000000012</v>
      </c>
      <c r="W452" s="104">
        <f>('Renewable Diesel'!E461*'RD Feedstock Breakdown'!W$3*'Feedstock Conversion Rates'!B$8)/12-6</f>
        <v>16.1796875</v>
      </c>
      <c r="X452" s="106">
        <f t="shared" si="438"/>
        <v>66.254837500000008</v>
      </c>
      <c r="Y452" s="104">
        <f t="shared" si="457"/>
        <v>98</v>
      </c>
      <c r="Z452" s="104">
        <f>('Renewable Diesel'!F461*'RD Feedstock Breakdown'!Z$3*'Feedstock Conversion Rates'!B$6)/12-142+15+5+20+5+15</f>
        <v>77.460000000000008</v>
      </c>
      <c r="AA452" s="104">
        <f>('Renewable Diesel'!F461*'RD Feedstock Breakdown'!AA$3*'Feedstock Conversion Rates'!B$7)/12+24</f>
        <v>128.26666666666665</v>
      </c>
      <c r="AB452" s="106">
        <f t="shared" si="471"/>
        <v>303.72666666666669</v>
      </c>
      <c r="AC452" s="104">
        <f>('Renewable Diesel'!G461*'RD Feedstock Breakdown'!AC$3*'Feedstock Conversion Rates'!B$5)/12</f>
        <v>11.796875</v>
      </c>
      <c r="AD452" s="104">
        <f>('Renewable Diesel'!G461*'RD Feedstock Breakdown'!AD$3*'Feedstock Conversion Rates'!B$4)/12</f>
        <v>5.859375</v>
      </c>
      <c r="AE452" s="104">
        <f>('Renewable Diesel'!G461*'RD Feedstock Breakdown'!AE$3*'Feedstock Conversion Rates'!B$6)/12</f>
        <v>7.3281250000000009</v>
      </c>
      <c r="AF452" s="106">
        <f t="shared" si="445"/>
        <v>24.984375</v>
      </c>
      <c r="AG452" s="104">
        <f t="shared" si="459"/>
        <v>148</v>
      </c>
      <c r="AH452" s="104"/>
      <c r="AI452" s="104">
        <f>('Renewable Diesel'!H461*'RD Feedstock Breakdown'!AI$3*'Feedstock Conversion Rates'!B$6)/12-130-20+51-49</f>
        <v>0.51666666666667993</v>
      </c>
      <c r="AJ452" s="106">
        <f t="shared" si="480"/>
        <v>148.51666666666668</v>
      </c>
      <c r="AK452" s="104">
        <f>('Renewable Diesel'!J461*'RD Feedstock Breakdown'!AK$3*'Feedstock Conversion Rates'!B$4)/12</f>
        <v>95.8125</v>
      </c>
      <c r="AL452" s="106">
        <f t="shared" ref="AL452:AL495" si="482">AK452</f>
        <v>95.8125</v>
      </c>
      <c r="AM452" s="104">
        <f>('Renewable Diesel'!K461*'RD Feedstock Breakdown'!AM$3*'Feedstock Conversion Rates'!B$4)/12+5+15-10+10</f>
        <v>78.59375</v>
      </c>
      <c r="AN452" s="104">
        <f>('Renewable Diesel'!K461*'RD Feedstock Breakdown'!AN$3*'Feedstock Conversion Rates'!B$6)/12-5-15+10-10</f>
        <v>4.4270833333333321</v>
      </c>
      <c r="AO452" s="106">
        <f t="shared" si="431"/>
        <v>83.020833333333329</v>
      </c>
      <c r="AP452" s="104">
        <f>('Renewable Diesel'!L461*'RD Feedstock Breakdown'!AP$3*'Feedstock Conversion Rates'!B$4)/12+15-10+15</f>
        <v>78.59375</v>
      </c>
      <c r="AQ452" s="104">
        <f>('Renewable Diesel'!L461*'RD Feedstock Breakdown'!AQ$3*'Feedstock Conversion Rates'!B$6)/12-15+10-15</f>
        <v>4.4270833333333321</v>
      </c>
      <c r="AR452" s="106">
        <f t="shared" si="420"/>
        <v>83.020833333333329</v>
      </c>
      <c r="AS452" s="104">
        <f>('Renewable Diesel'!M461*'RD Feedstock Breakdown'!AS$3*'Feedstock Conversion Rates'!B$4)/12</f>
        <v>456.25</v>
      </c>
      <c r="AT452" s="104">
        <f>('Renewable Diesel'!M461*'RD Feedstock Breakdown'!AT$3*'Feedstock Conversion Rates'!B$5)/12</f>
        <v>0</v>
      </c>
      <c r="AU452" s="106">
        <f t="shared" si="448"/>
        <v>456.25</v>
      </c>
      <c r="AV452" s="104">
        <f>'Renewable Diesel'!N461*'RD Feedstock Breakdown'!$AV$3*'Feedstock Conversion Rates'!$B$4/12-15-10+25+25-22+25</f>
        <v>106.74999999999999</v>
      </c>
      <c r="AW452" s="104">
        <f>'Renewable Diesel'!N461*'RD Feedstock Breakdown'!$AW$3*'Feedstock Conversion Rates'!$B$7/12+15+10-25-25+22-25</f>
        <v>13.400000000000006</v>
      </c>
      <c r="AX452" s="106">
        <f t="shared" si="475"/>
        <v>120.14999999999999</v>
      </c>
      <c r="AY452" s="104">
        <f>('Renewable Diesel'!O461*'RD Feedstock Breakdown'!AY$3*'Feedstock Conversion Rates'!B$4)/12</f>
        <v>210.9375</v>
      </c>
      <c r="AZ452" s="104">
        <f>('Renewable Diesel'!O461*'RD Feedstock Breakdown'!AZ$3*'Feedstock Conversion Rates'!B$3)/12</f>
        <v>25.03125</v>
      </c>
      <c r="BA452" s="106">
        <f t="shared" si="458"/>
        <v>235.96875</v>
      </c>
      <c r="BB452" s="104">
        <f>('Renewable Diesel'!Q461*'RD Feedstock Breakdown'!BB$3*'Feedstock Conversion Rates'!B$4)/12</f>
        <v>11.156249999999998</v>
      </c>
      <c r="BC452" s="104">
        <f>('Renewable Diesel'!Q461*'RD Feedstock Breakdown'!BC$3*'Feedstock Conversion Rates'!B$3)/12</f>
        <v>1.4017500000000001</v>
      </c>
      <c r="BD452" s="104">
        <f>('Renewable Diesel'!Q461*'RD Feedstock Breakdown'!BD$3*'Feedstock Conversion Rates'!B$6)/12</f>
        <v>0.8207500000000002</v>
      </c>
      <c r="BE452" s="106">
        <f t="shared" si="440"/>
        <v>13.378749999999998</v>
      </c>
      <c r="BF452" s="104">
        <f>('Renewable Diesel'!R461*'RD Feedstock Breakdown'!BF$3*'Feedstock Conversion Rates'!B$4)/12</f>
        <v>62.5</v>
      </c>
      <c r="BG452" s="106">
        <f t="shared" si="425"/>
        <v>62.5</v>
      </c>
      <c r="BH452" s="104">
        <f>('Renewable Diesel'!T461*'RD Feedstock Breakdown'!BH$3*'Feedstock Conversion Rates'!B$7)/12</f>
        <v>27.599999999999998</v>
      </c>
      <c r="BI452" s="106">
        <f t="shared" si="479"/>
        <v>27.599999999999998</v>
      </c>
      <c r="BJ452" s="104">
        <f>('Renewable Diesel'!W461*'RD Feedstock Breakdown'!BJ$3*'Feedstock Conversion Rates'!B$4)/12</f>
        <v>7.5</v>
      </c>
      <c r="BK452" s="104">
        <f>('Renewable Diesel'!W461*'RD Feedstock Breakdown'!BK$3*'Feedstock Conversion Rates'!B$3)/12</f>
        <v>1.335</v>
      </c>
      <c r="BL452" s="104">
        <f>('Renewable Diesel'!W461*'RD Feedstock Breakdown'!BL$3*'Feedstock Conversion Rates'!B$6)/12</f>
        <v>3.1266666666666669</v>
      </c>
      <c r="BM452" s="104">
        <f>('Renewable Diesel'!W461*'RD Feedstock Breakdown'!BM$3*'Feedstock Conversion Rates'!B$7)/12</f>
        <v>1.5333333333333332</v>
      </c>
      <c r="BN452" s="106">
        <f t="shared" si="452"/>
        <v>13.495000000000001</v>
      </c>
      <c r="BO452" s="104">
        <f>('Renewable Diesel'!P461*'Feedstock Conversion Rates'!B$4)/12</f>
        <v>31.25</v>
      </c>
      <c r="BP452" s="106">
        <f t="shared" si="446"/>
        <v>31.25</v>
      </c>
      <c r="BQ452" s="104">
        <f>('Renewable Diesel'!$S461*'RD Feedstock Breakdown'!BQ$3*'Feedstock Conversion Rates'!B$4)/12+10+15-15</f>
        <v>38.125</v>
      </c>
      <c r="BR452" s="104">
        <f>('Renewable Diesel'!$S461*'RD Feedstock Breakdown'!BR$3*'Feedstock Conversion Rates'!B$7)/12-10-15+15</f>
        <v>1.5</v>
      </c>
      <c r="BS452" s="106">
        <f t="shared" si="460"/>
        <v>39.625</v>
      </c>
      <c r="BT452" s="106"/>
      <c r="BU452" s="104">
        <f>('Renewable Diesel'!Y461*'Feedstock Conversion Rates'!B$7)/12</f>
        <v>2.6833333333333331</v>
      </c>
      <c r="BV452" s="106">
        <f t="shared" si="442"/>
        <v>2.6833333333333331</v>
      </c>
      <c r="BW452" s="104">
        <f>('Renewable Diesel'!$Z461*'RD Feedstock Breakdown'!BW$3*'Feedstock Conversion Rates'!$B$4)/12-250+180</f>
        <v>1.875</v>
      </c>
      <c r="BX452" s="104">
        <f>('Renewable Diesel'!$Z461*'RD Feedstock Breakdown'!BX$3*'Feedstock Conversion Rates'!$B$5)/12</f>
        <v>7.2354166666666666</v>
      </c>
      <c r="BY452" s="104">
        <f>('Renewable Diesel'!$Z461*'RD Feedstock Breakdown'!BY$3*'Feedstock Conversion Rates'!$B$7)/12</f>
        <v>61.716666666666661</v>
      </c>
      <c r="BZ452" s="104">
        <f>('Renewable Diesel'!$Z461*'RD Feedstock Breakdown'!BZ$3*'Feedstock Conversion Rates'!$B$3)/12+250-180</f>
        <v>85.35250000000002</v>
      </c>
      <c r="CA452" s="106">
        <f t="shared" si="464"/>
        <v>156.17958333333334</v>
      </c>
      <c r="CB452" s="104">
        <f>('Renewable Diesel'!AA461*'Feedstock Conversion Rates'!B$4)/12</f>
        <v>191.25</v>
      </c>
      <c r="CC452" s="106">
        <f t="shared" si="454"/>
        <v>191.25</v>
      </c>
      <c r="CD452" s="104">
        <f>('Renewable Diesel'!$AB461*'RD Feedstock Breakdown'!CD$3*'Feedstock Conversion Rates'!$B$6)/12-15-5</f>
        <v>12.830000000000005</v>
      </c>
      <c r="CE452" s="104">
        <f>('Renewable Diesel'!$AB461*'RD Feedstock Breakdown'!CE$3*'Feedstock Conversion Rates'!$B$4)/12+15+5</f>
        <v>31.25</v>
      </c>
      <c r="CF452" s="106">
        <f t="shared" si="450"/>
        <v>44.080000000000005</v>
      </c>
      <c r="CG452" s="104">
        <f>('Renewable Diesel'!AD461*'Feedstock Conversion Rates'!B$4)/12</f>
        <v>112.5</v>
      </c>
      <c r="CH452" s="106">
        <f t="shared" si="439"/>
        <v>112.5</v>
      </c>
      <c r="CI452" s="104">
        <f>('Renewable Diesel'!$AE461*'RD Feedstock Breakdown'!CI$3*'Feedstock Conversion Rates'!$B$5)/12</f>
        <v>0.34604166666666664</v>
      </c>
      <c r="CJ452" s="104">
        <f>('Renewable Diesel'!$AE461*'RD Feedstock Breakdown'!CJ$3*'Feedstock Conversion Rates'!$B$4)/12</f>
        <v>0.34375</v>
      </c>
      <c r="CK452" s="106">
        <f t="shared" si="447"/>
        <v>0.68979166666666658</v>
      </c>
      <c r="CL452" s="104">
        <f>(((CL$3*'Renewable Diesel'!$AF461)*'Feedstock Conversion Rates'!$B$3)/12)</f>
        <v>91.78125</v>
      </c>
      <c r="CM452" s="104">
        <f>(((CM$3*'Renewable Diesel'!$AF461)*'Feedstock Conversion Rates'!$B$6)/12)</f>
        <v>53.739583333333336</v>
      </c>
      <c r="CN452" s="104">
        <f>(((CN$3*'Renewable Diesel'!$AF461)*'Feedstock Conversion Rates'!$B$4)/12)</f>
        <v>42.96875</v>
      </c>
      <c r="CO452" s="106">
        <f t="shared" si="441"/>
        <v>188.48958333333334</v>
      </c>
      <c r="CP452" s="104">
        <f>('Renewable Diesel'!$AG461*'RD Feedstock Breakdown'!CP$3*'Feedstock Conversion Rates'!$B$3)/12</f>
        <v>6.0075000000000003</v>
      </c>
      <c r="CQ452" s="104">
        <f>('Renewable Diesel'!$AG461*'RD Feedstock Breakdown'!CQ$3*'Feedstock Conversion Rates'!$B$6)/12</f>
        <v>3.5175000000000001</v>
      </c>
      <c r="CR452" s="104">
        <f>('Renewable Diesel'!$AG461*'RD Feedstock Breakdown'!CR$3*'Feedstock Conversion Rates'!$B$4)/12</f>
        <v>2.8125</v>
      </c>
      <c r="CS452" s="106">
        <f t="shared" si="467"/>
        <v>12.3375</v>
      </c>
      <c r="CT452" s="104">
        <f>('Renewable Diesel'!AI461*'Feedstock Conversion Rates'!$B$4*'RD Feedstock Breakdown'!$CT$3)/12</f>
        <v>29.375</v>
      </c>
      <c r="CU452" s="106">
        <f t="shared" si="443"/>
        <v>29.375</v>
      </c>
      <c r="CV452" s="104">
        <f>('Renewable Diesel'!AN461*'Feedstock Conversion Rates'!$B$3*'RD Feedstock Breakdown'!$CV$3)/12</f>
        <v>0.50062499999999999</v>
      </c>
      <c r="CW452" s="106">
        <f t="shared" si="419"/>
        <v>0.50062499999999999</v>
      </c>
      <c r="CX452" s="104">
        <f>('Renewable Diesel'!AO461*'RD Feedstock Breakdown'!$CX$3*'Feedstock Conversion Rates'!$B$3)/12</f>
        <v>6.3412499999999996</v>
      </c>
      <c r="CY452" s="104">
        <f>('Renewable Diesel'!AO461*'RD Feedstock Breakdown'!$CY$3*'Feedstock Conversion Rates'!$B$6)/12</f>
        <v>7.4258333333333342</v>
      </c>
      <c r="CZ452" s="106">
        <f t="shared" si="468"/>
        <v>13.767083333333334</v>
      </c>
      <c r="DA452" s="104">
        <f>('Renewable Diesel'!$AP461*'RD Feedstock Breakdown'!DA$3*'Feedstock Conversion Rates'!$B$3)/12</f>
        <v>6.3412499999999996</v>
      </c>
      <c r="DB452" s="104">
        <f>('Renewable Diesel'!$AP461*'RD Feedstock Breakdown'!DB$3*'Feedstock Conversion Rates'!$B$8)/12</f>
        <v>7.421875</v>
      </c>
      <c r="DC452" s="106">
        <f t="shared" si="422"/>
        <v>13.763124999999999</v>
      </c>
      <c r="DD452" s="104">
        <f>('Renewable Diesel'!AQ461*$DD$3*'Feedstock Conversion Rates'!$B$14)/12</f>
        <v>3.1041666666666665</v>
      </c>
      <c r="DE452" s="106">
        <f t="shared" si="423"/>
        <v>3.1041666666666665</v>
      </c>
      <c r="DF452" s="104">
        <f>('Renewable Diesel'!AR461*'Feedstock Conversion Rates'!$B$4*$DF$3)/12</f>
        <v>75</v>
      </c>
      <c r="DG452" s="106">
        <f t="shared" si="469"/>
        <v>75</v>
      </c>
      <c r="DH452" s="104">
        <f>('Renewable Diesel'!AS461*'Feedstock Conversion Rates'!$B$4*$DH$3)/12</f>
        <v>75</v>
      </c>
      <c r="DI452" s="106">
        <f t="shared" si="478"/>
        <v>75</v>
      </c>
      <c r="DJ452" s="104">
        <f>('Renewable Diesel'!AT461*'Feedstock Conversion Rates'!$B$4*0.25)/12</f>
        <v>8.59375</v>
      </c>
      <c r="DK452" s="104">
        <f>('Renewable Diesel'!$AT461*'RD Feedstock Breakdown'!DK$3*'Feedstock Conversion Rates'!$B$3)/12*0.5</f>
        <v>9.1781249999999996</v>
      </c>
      <c r="DL452" s="104">
        <f>('Renewable Diesel'!$AT461*'RD Feedstock Breakdown'!$DL$3*'Feedstock Conversion Rates'!$B$6)/12</f>
        <v>10.747916666666669</v>
      </c>
      <c r="DM452" s="104">
        <f>('Renewable Diesel'!$AT461*'RD Feedstock Breakdown'!$DM$3*'Feedstock Conversion Rates'!$B$8)/12</f>
        <v>10.7421875</v>
      </c>
      <c r="DN452" s="106">
        <f t="shared" si="453"/>
        <v>39.26197916666667</v>
      </c>
      <c r="DP452" s="104">
        <f t="shared" si="426"/>
        <v>103.22025000000001</v>
      </c>
      <c r="DQ452" s="104">
        <f t="shared" si="427"/>
        <v>349.11776750000007</v>
      </c>
      <c r="DR452" s="104">
        <f t="shared" si="432"/>
        <v>1891.953125</v>
      </c>
      <c r="DS452" s="104">
        <f t="shared" si="444"/>
        <v>228.90125</v>
      </c>
      <c r="DT452" s="104">
        <f t="shared" si="428"/>
        <v>243.03923333333344</v>
      </c>
      <c r="DU452" s="104">
        <f t="shared" si="429"/>
        <v>402.90610000000009</v>
      </c>
      <c r="DV452" s="104">
        <f t="shared" si="433"/>
        <v>78.75</v>
      </c>
      <c r="DW452" s="104">
        <f t="shared" si="430"/>
        <v>3</v>
      </c>
      <c r="DX452" s="106">
        <f t="shared" si="434"/>
        <v>3300.8877258333337</v>
      </c>
      <c r="DY452" s="109">
        <f t="shared" si="421"/>
        <v>-5.631051180898794E-13</v>
      </c>
      <c r="EA452" s="110">
        <f t="shared" si="472"/>
        <v>3.1270451640078516E-2</v>
      </c>
      <c r="EB452" s="110">
        <f t="shared" si="470"/>
        <v>0.10576481131658687</v>
      </c>
      <c r="EC452" s="110">
        <f t="shared" si="470"/>
        <v>0.57316494293133291</v>
      </c>
      <c r="ED452" s="110">
        <f t="shared" si="470"/>
        <v>6.9345360706629972E-2</v>
      </c>
      <c r="EE452" s="110">
        <f t="shared" si="470"/>
        <v>7.3628445896921982E-2</v>
      </c>
      <c r="EF452" s="110">
        <f t="shared" si="470"/>
        <v>0.1220599225010852</v>
      </c>
      <c r="EG452" s="110">
        <f t="shared" si="470"/>
        <v>2.3857218585075921E-2</v>
      </c>
      <c r="EH452" s="111">
        <f t="shared" si="435"/>
        <v>9.0884642228860647E-4</v>
      </c>
      <c r="EI452" s="110">
        <f t="shared" si="476"/>
        <v>0.99909115357771139</v>
      </c>
      <c r="EK452" s="132">
        <f>(EA452*'Renewable Diesel'!BF461*'Feedstock Conversion Rates'!B$2)+FB452</f>
        <v>622.7974881640273</v>
      </c>
      <c r="EL452" s="132">
        <f>(EB452*'Renewable Diesel'!BF461*'Feedstock Conversion Rates'!B$3)+FC452</f>
        <v>1985.0318883406369</v>
      </c>
      <c r="EM452" s="132">
        <f>(EC452*'Renewable Diesel'!BF461*'Feedstock Conversion Rates'!B$4)+FD452</f>
        <v>10072.439222759229</v>
      </c>
      <c r="EN452" s="132">
        <f>(ED452*'Renewable Diesel'!BF461*'Feedstock Conversion Rates'!B$5)+FE452</f>
        <v>1226.7558451425907</v>
      </c>
      <c r="EO452" s="132">
        <f>(EE452*'Renewable Diesel'!BF461*'Feedstock Conversion Rates'!B$6)+FF452</f>
        <v>1618.2374400657159</v>
      </c>
      <c r="EP452" s="132">
        <f>(EF452*'Renewable Diesel'!BF461*'Feedstock Conversion Rates'!B$7)+FG452</f>
        <v>2631.2050258296867</v>
      </c>
      <c r="EQ452" s="132">
        <f>(EG452*'Renewable Diesel'!BF461*'Feedstock Conversion Rates'!B$8)+FH452</f>
        <v>524.06464139557454</v>
      </c>
      <c r="ER452" s="132">
        <f>(EH452*'Renewable Diesel'!BF461*'Feedstock Conversion Rates'!B$9)+FI452</f>
        <v>19.698175727376515</v>
      </c>
      <c r="ES452" s="132">
        <f t="shared" si="436"/>
        <v>18700.229727424834</v>
      </c>
      <c r="ET452" s="133">
        <f>ES452/'Renewable Diesel'!BF461</f>
        <v>18.289344450775996</v>
      </c>
      <c r="EW452" s="73">
        <f t="shared" si="461"/>
        <v>17667.758748030388</v>
      </c>
      <c r="EX452" s="73">
        <f t="shared" si="462"/>
        <v>11572.478753085643</v>
      </c>
      <c r="EY452" s="92">
        <f t="shared" si="477"/>
        <v>0.94478832643000776</v>
      </c>
      <c r="EZ452" s="92">
        <f t="shared" si="477"/>
        <v>0.61884152878154308</v>
      </c>
      <c r="FB452" s="102">
        <f>IF('Renewable Diesel'!$BG461&lt;1,0,(((('Renewable Diesel'!$BG461-1)*'Renewable Diesel'!$BF461)*'RD Feedstock Breakdown'!EA452)*'Feedstock Conversion Rates'!$B$2))</f>
        <v>351.02725808000798</v>
      </c>
      <c r="FC452" s="102">
        <f>IF('Renewable Diesel'!$BG461&lt;1,0,(((('Renewable Diesel'!$BG461-1)*'Renewable Diesel'!$BF461)*'RD Feedstock Breakdown'!EB452)*'Feedstock Conversion Rates'!$B$3))</f>
        <v>1118.8232358157436</v>
      </c>
      <c r="FD452" s="102">
        <f>IF('Renewable Diesel'!$BG461&lt;1,0,(((('Renewable Diesel'!$BG461-1)*'Renewable Diesel'!$BF461)*'RD Feedstock Breakdown'!EC452)*'Feedstock Conversion Rates'!$B$4))</f>
        <v>5677.1274607509258</v>
      </c>
      <c r="FE452" s="102">
        <f>IF('Renewable Diesel'!$BG461&lt;1,0,(((('Renewable Diesel'!$BG461-1)*'Renewable Diesel'!$BF461)*'RD Feedstock Breakdown'!ED452)*'Feedstock Conversion Rates'!$B$5))</f>
        <v>691.43621937764158</v>
      </c>
      <c r="FF452" s="102">
        <f>IF('Renewable Diesel'!$BG461&lt;1,0,(((('Renewable Diesel'!$BG461-1)*'Renewable Diesel'!$BF461)*'RD Feedstock Breakdown'!EE452)*'Feedstock Conversion Rates'!$B$6))</f>
        <v>912.08693404214944</v>
      </c>
      <c r="FG452" s="102">
        <f>IF('Renewable Diesel'!$BG461&lt;1,0,(((('Renewable Diesel'!$BG461-1)*'Renewable Diesel'!$BF461)*'RD Feedstock Breakdown'!EF452)*'Feedstock Conversion Rates'!$B$7))</f>
        <v>1483.0257077402903</v>
      </c>
      <c r="FH452" s="102">
        <f>IF('Renewable Diesel'!$BG461&lt;1,0,(((('Renewable Diesel'!$BG461-1)*'Renewable Diesel'!$BF461)*'RD Feedstock Breakdown'!EG452)*'Feedstock Conversion Rates'!$B$8))</f>
        <v>295.37847795128079</v>
      </c>
      <c r="FI452" s="102">
        <f>IF('Renewable Diesel'!$BG461&lt;1,0,(((('Renewable Diesel'!$BG461-1)*'Renewable Diesel'!$BF461)*'RD Feedstock Breakdown'!EH452)*'Feedstock Conversion Rates'!$B$9))</f>
        <v>11.102479933152903</v>
      </c>
      <c r="FJ452" s="102">
        <f t="shared" si="463"/>
        <v>10540.007773691194</v>
      </c>
      <c r="GD452" s="91">
        <f>'Renewable Diesel'!BB461*0.32</f>
        <v>0</v>
      </c>
      <c r="GE452" s="91">
        <f>'Renewable Diesel'!BC461</f>
        <v>525.92393099888682</v>
      </c>
      <c r="GF452" s="91">
        <f>'Renewable Diesel'!BD461</f>
        <v>0</v>
      </c>
      <c r="GG452" s="91">
        <f t="shared" si="451"/>
        <v>525.92393099888682</v>
      </c>
      <c r="GH452" s="124">
        <v>1</v>
      </c>
      <c r="GI452" s="102">
        <f>$GG452*EA452*'Feedstock Conversion Rates'!$B$2</f>
        <v>139.78997023061578</v>
      </c>
      <c r="GJ452" s="102">
        <f>$GG452*EB452*'Feedstock Conversion Rates'!$B$3</f>
        <v>445.55020508508903</v>
      </c>
      <c r="GK452" s="102">
        <f>$GG452*EC452*'Feedstock Conversion Rates'!$B$4</f>
        <v>2260.8086992289941</v>
      </c>
      <c r="GL452" s="102">
        <f>$GG452*ED452*'Feedstock Conversion Rates'!$B$5</f>
        <v>275.35140448021764</v>
      </c>
      <c r="GM452" s="102">
        <f>$GG452*EE452*'Feedstock Conversion Rates'!$B$6</f>
        <v>363.22138074082295</v>
      </c>
      <c r="GN452" s="102">
        <f>$GG452*EF452*'Feedstock Conversion Rates'!$B$7</f>
        <v>590.58695518454988</v>
      </c>
      <c r="GO452" s="102">
        <f>$GG452*EG452*'Feedstock Conversion Rates'!$B$8</f>
        <v>117.62889544652651</v>
      </c>
      <c r="GP452" s="102">
        <f>$GG452*EH452*'Feedstock Conversion Rates'!B$9</f>
        <v>4.4213527685297587</v>
      </c>
      <c r="GQ452" s="102">
        <f t="shared" si="437"/>
        <v>4197.3588631653456</v>
      </c>
      <c r="GT452" s="103">
        <f t="shared" si="418"/>
        <v>3.3304269372191886E-2</v>
      </c>
      <c r="GU452" s="103">
        <f t="shared" si="418"/>
        <v>0.10615013383656387</v>
      </c>
      <c r="GV452" s="103">
        <f t="shared" si="418"/>
        <v>0.53862649654979833</v>
      </c>
      <c r="GW452" s="103">
        <f t="shared" si="418"/>
        <v>6.5601110950176775E-2</v>
      </c>
      <c r="GX452" s="103">
        <f t="shared" si="465"/>
        <v>8.6535698419388324E-2</v>
      </c>
      <c r="GY452" s="103">
        <f t="shared" si="465"/>
        <v>0.14070442257566981</v>
      </c>
      <c r="GZ452" s="103">
        <f t="shared" si="465"/>
        <v>2.802450285554552E-2</v>
      </c>
      <c r="HA452" s="103">
        <f t="shared" si="465"/>
        <v>1.0533654406655838E-3</v>
      </c>
    </row>
    <row r="453" spans="1:209" x14ac:dyDescent="0.25">
      <c r="A453" s="96">
        <v>54210</v>
      </c>
      <c r="B453" s="104">
        <f t="shared" si="473"/>
        <v>44.25</v>
      </c>
      <c r="C453" s="104">
        <f t="shared" si="466"/>
        <v>49</v>
      </c>
      <c r="D453" s="104">
        <f t="shared" si="474"/>
        <v>2</v>
      </c>
      <c r="E453" s="104">
        <f>('Renewable Diesel'!B462*E$3*'Feedstock Conversion Rates'!$B$2)/12+26+13-100+27.5+39</f>
        <v>95.43</v>
      </c>
      <c r="F453" s="104">
        <f>('Renewable Diesel'!B462*'RD Feedstock Breakdown'!F$3*'Feedstock Conversion Rates'!B$8)/12+77+23-10-12-115.75+24+8</f>
        <v>48.15625</v>
      </c>
      <c r="G453" s="104">
        <f>('Renewable Diesel'!B462*'RD Feedstock Breakdown'!G$3*'Feedstock Conversion Rates'!B$7)/12+116.75-39-57.5-145-31.5+32+70-40+10+60</f>
        <v>151.90700000000004</v>
      </c>
      <c r="H453" s="104">
        <f>('Renewable Diesel'!B462*'RD Feedstock Breakdown'!H$3*'Feedstock Conversion Rates'!B$3)/12+67+10+12+3-235+20+47-20+25</f>
        <v>105.40022499999998</v>
      </c>
      <c r="I453" s="106">
        <f t="shared" si="449"/>
        <v>496.14347500000002</v>
      </c>
      <c r="J453" s="104">
        <f t="shared" ref="J453:J495" si="483">54-15-35</f>
        <v>4</v>
      </c>
      <c r="K453" s="104"/>
      <c r="L453" s="104">
        <v>1</v>
      </c>
      <c r="M453" s="104">
        <f>('Renewable Diesel'!C462*'RD Feedstock Breakdown'!M$3*'Feedstock Conversion Rates'!B$2)/12</f>
        <v>7.7902500000000003</v>
      </c>
      <c r="N453" s="104">
        <f>('Renewable Diesel'!C462*'RD Feedstock Breakdown'!N$3*'Feedstock Conversion Rates'!B$8)/12</f>
        <v>3.671875</v>
      </c>
      <c r="O453" s="104">
        <f>('Renewable Diesel'!C462*'RD Feedstock Breakdown'!O$3*'Feedstock Conversion Rates'!B$7)/12</f>
        <v>11.9991</v>
      </c>
      <c r="P453" s="104">
        <f>('Renewable Diesel'!C462*'RD Feedstock Breakdown'!P$3*'Feedstock Conversion Rates'!B$3)/12</f>
        <v>10.4470425</v>
      </c>
      <c r="Q453" s="106">
        <f t="shared" si="455"/>
        <v>38.908267500000001</v>
      </c>
      <c r="R453" s="104">
        <f>('Renewable Diesel'!D462*'RD Feedstock Breakdown'!R$3*'Feedstock Conversion Rates'!B$7)/12</f>
        <v>2.2999999999999998</v>
      </c>
      <c r="S453" s="106">
        <f t="shared" si="481"/>
        <v>2.2999999999999998</v>
      </c>
      <c r="T453" s="104">
        <f t="shared" si="456"/>
        <v>0.82499999999999929</v>
      </c>
      <c r="U453" s="104"/>
      <c r="V453" s="104">
        <f>('Renewable Diesel'!E462*'RD Feedstock Breakdown'!V$3*'Feedstock Conversion Rates'!B$6)/12-20+25</f>
        <v>49.250150000000012</v>
      </c>
      <c r="W453" s="104">
        <f>('Renewable Diesel'!E462*'RD Feedstock Breakdown'!W$3*'Feedstock Conversion Rates'!B$8)/12-6</f>
        <v>16.1796875</v>
      </c>
      <c r="X453" s="106">
        <f t="shared" si="438"/>
        <v>66.254837500000008</v>
      </c>
      <c r="Y453" s="104">
        <f t="shared" si="457"/>
        <v>98</v>
      </c>
      <c r="Z453" s="104">
        <f>('Renewable Diesel'!F462*'RD Feedstock Breakdown'!Z$3*'Feedstock Conversion Rates'!B$6)/12-142+15+5+20+5+15</f>
        <v>77.460000000000008</v>
      </c>
      <c r="AA453" s="104">
        <f>('Renewable Diesel'!F462*'RD Feedstock Breakdown'!AA$3*'Feedstock Conversion Rates'!B$7)/12+24</f>
        <v>128.26666666666665</v>
      </c>
      <c r="AB453" s="106">
        <f t="shared" si="471"/>
        <v>303.72666666666669</v>
      </c>
      <c r="AC453" s="104">
        <f>('Renewable Diesel'!G462*'RD Feedstock Breakdown'!AC$3*'Feedstock Conversion Rates'!B$5)/12</f>
        <v>11.796875</v>
      </c>
      <c r="AD453" s="104">
        <f>('Renewable Diesel'!G462*'RD Feedstock Breakdown'!AD$3*'Feedstock Conversion Rates'!B$4)/12</f>
        <v>5.859375</v>
      </c>
      <c r="AE453" s="104">
        <f>('Renewable Diesel'!G462*'RD Feedstock Breakdown'!AE$3*'Feedstock Conversion Rates'!B$6)/12</f>
        <v>7.3281250000000009</v>
      </c>
      <c r="AF453" s="106">
        <f t="shared" si="445"/>
        <v>24.984375</v>
      </c>
      <c r="AG453" s="104">
        <f t="shared" si="459"/>
        <v>148</v>
      </c>
      <c r="AH453" s="104"/>
      <c r="AI453" s="104">
        <f>('Renewable Diesel'!H462*'RD Feedstock Breakdown'!AI$3*'Feedstock Conversion Rates'!B$6)/12-130-20+51-49</f>
        <v>0.51666666666667993</v>
      </c>
      <c r="AJ453" s="106">
        <f t="shared" si="480"/>
        <v>148.51666666666668</v>
      </c>
      <c r="AK453" s="104">
        <f>('Renewable Diesel'!J462*'RD Feedstock Breakdown'!AK$3*'Feedstock Conversion Rates'!B$4)/12</f>
        <v>95.8125</v>
      </c>
      <c r="AL453" s="106">
        <f t="shared" si="482"/>
        <v>95.8125</v>
      </c>
      <c r="AM453" s="104">
        <f>('Renewable Diesel'!K462*'RD Feedstock Breakdown'!AM$3*'Feedstock Conversion Rates'!B$4)/12+5+15-10+10</f>
        <v>78.59375</v>
      </c>
      <c r="AN453" s="104">
        <f>('Renewable Diesel'!K462*'RD Feedstock Breakdown'!AN$3*'Feedstock Conversion Rates'!B$6)/12-5-15+10-10</f>
        <v>4.4270833333333321</v>
      </c>
      <c r="AO453" s="106">
        <f t="shared" si="431"/>
        <v>83.020833333333329</v>
      </c>
      <c r="AP453" s="104">
        <f>('Renewable Diesel'!L462*'RD Feedstock Breakdown'!AP$3*'Feedstock Conversion Rates'!B$4)/12+15-10+15</f>
        <v>78.59375</v>
      </c>
      <c r="AQ453" s="104">
        <f>('Renewable Diesel'!L462*'RD Feedstock Breakdown'!AQ$3*'Feedstock Conversion Rates'!B$6)/12-15+10-15</f>
        <v>4.4270833333333321</v>
      </c>
      <c r="AR453" s="106">
        <f t="shared" si="420"/>
        <v>83.020833333333329</v>
      </c>
      <c r="AS453" s="104">
        <f>('Renewable Diesel'!M462*'RD Feedstock Breakdown'!AS$3*'Feedstock Conversion Rates'!B$4)/12</f>
        <v>456.25</v>
      </c>
      <c r="AT453" s="104">
        <f>('Renewable Diesel'!M462*'RD Feedstock Breakdown'!AT$3*'Feedstock Conversion Rates'!B$5)/12</f>
        <v>0</v>
      </c>
      <c r="AU453" s="106">
        <f t="shared" si="448"/>
        <v>456.25</v>
      </c>
      <c r="AV453" s="104">
        <f>'Renewable Diesel'!N462*'RD Feedstock Breakdown'!$AV$3*'Feedstock Conversion Rates'!$B$4/12-15-10+25+25-22+25</f>
        <v>106.74999999999999</v>
      </c>
      <c r="AW453" s="104">
        <f>'Renewable Diesel'!N462*'RD Feedstock Breakdown'!$AW$3*'Feedstock Conversion Rates'!$B$7/12+15+10-25-25+22-25</f>
        <v>13.400000000000006</v>
      </c>
      <c r="AX453" s="106">
        <f t="shared" si="475"/>
        <v>120.14999999999999</v>
      </c>
      <c r="AY453" s="104">
        <f>('Renewable Diesel'!O462*'RD Feedstock Breakdown'!AY$3*'Feedstock Conversion Rates'!B$4)/12</f>
        <v>210.9375</v>
      </c>
      <c r="AZ453" s="104">
        <f>('Renewable Diesel'!O462*'RD Feedstock Breakdown'!AZ$3*'Feedstock Conversion Rates'!B$3)/12</f>
        <v>25.03125</v>
      </c>
      <c r="BA453" s="106">
        <f t="shared" si="458"/>
        <v>235.96875</v>
      </c>
      <c r="BB453" s="104">
        <f>('Renewable Diesel'!Q462*'RD Feedstock Breakdown'!BB$3*'Feedstock Conversion Rates'!B$4)/12</f>
        <v>11.156249999999998</v>
      </c>
      <c r="BC453" s="104">
        <f>('Renewable Diesel'!Q462*'RD Feedstock Breakdown'!BC$3*'Feedstock Conversion Rates'!B$3)/12</f>
        <v>1.4017500000000001</v>
      </c>
      <c r="BD453" s="104">
        <f>('Renewable Diesel'!Q462*'RD Feedstock Breakdown'!BD$3*'Feedstock Conversion Rates'!B$6)/12</f>
        <v>0.8207500000000002</v>
      </c>
      <c r="BE453" s="106">
        <f t="shared" si="440"/>
        <v>13.378749999999998</v>
      </c>
      <c r="BF453" s="104">
        <f>('Renewable Diesel'!R462*'RD Feedstock Breakdown'!BF$3*'Feedstock Conversion Rates'!B$4)/12</f>
        <v>62.5</v>
      </c>
      <c r="BG453" s="106">
        <f t="shared" si="425"/>
        <v>62.5</v>
      </c>
      <c r="BH453" s="104">
        <f>('Renewable Diesel'!T462*'RD Feedstock Breakdown'!BH$3*'Feedstock Conversion Rates'!B$7)/12</f>
        <v>27.599999999999998</v>
      </c>
      <c r="BI453" s="106">
        <f t="shared" si="479"/>
        <v>27.599999999999998</v>
      </c>
      <c r="BJ453" s="104">
        <f>('Renewable Diesel'!W462*'RD Feedstock Breakdown'!BJ$3*'Feedstock Conversion Rates'!B$4)/12</f>
        <v>7.5</v>
      </c>
      <c r="BK453" s="104">
        <f>('Renewable Diesel'!W462*'RD Feedstock Breakdown'!BK$3*'Feedstock Conversion Rates'!B$3)/12</f>
        <v>1.335</v>
      </c>
      <c r="BL453" s="104">
        <f>('Renewable Diesel'!W462*'RD Feedstock Breakdown'!BL$3*'Feedstock Conversion Rates'!B$6)/12</f>
        <v>3.1266666666666669</v>
      </c>
      <c r="BM453" s="104">
        <f>('Renewable Diesel'!W462*'RD Feedstock Breakdown'!BM$3*'Feedstock Conversion Rates'!B$7)/12</f>
        <v>1.5333333333333332</v>
      </c>
      <c r="BN453" s="106">
        <f t="shared" si="452"/>
        <v>13.495000000000001</v>
      </c>
      <c r="BO453" s="104">
        <f>('Renewable Diesel'!P462*'Feedstock Conversion Rates'!B$4)/12</f>
        <v>31.25</v>
      </c>
      <c r="BP453" s="106">
        <f t="shared" si="446"/>
        <v>31.25</v>
      </c>
      <c r="BQ453" s="104">
        <f>('Renewable Diesel'!$S462*'RD Feedstock Breakdown'!BQ$3*'Feedstock Conversion Rates'!B$4)/12+10+15-15</f>
        <v>38.125</v>
      </c>
      <c r="BR453" s="104">
        <f>('Renewable Diesel'!$S462*'RD Feedstock Breakdown'!BR$3*'Feedstock Conversion Rates'!B$7)/12-10-15+15</f>
        <v>1.5</v>
      </c>
      <c r="BS453" s="106">
        <f t="shared" si="460"/>
        <v>39.625</v>
      </c>
      <c r="BT453" s="106"/>
      <c r="BU453" s="104">
        <f>('Renewable Diesel'!Y462*'Feedstock Conversion Rates'!B$7)/12</f>
        <v>2.6833333333333331</v>
      </c>
      <c r="BV453" s="106">
        <f t="shared" si="442"/>
        <v>2.6833333333333331</v>
      </c>
      <c r="BW453" s="104">
        <f>('Renewable Diesel'!$Z462*'RD Feedstock Breakdown'!BW$3*'Feedstock Conversion Rates'!$B$4)/12-250+180</f>
        <v>1.875</v>
      </c>
      <c r="BX453" s="104">
        <f>('Renewable Diesel'!$Z462*'RD Feedstock Breakdown'!BX$3*'Feedstock Conversion Rates'!$B$5)/12</f>
        <v>7.2354166666666666</v>
      </c>
      <c r="BY453" s="104">
        <f>('Renewable Diesel'!$Z462*'RD Feedstock Breakdown'!BY$3*'Feedstock Conversion Rates'!$B$7)/12</f>
        <v>61.716666666666661</v>
      </c>
      <c r="BZ453" s="104">
        <f>('Renewable Diesel'!$Z462*'RD Feedstock Breakdown'!BZ$3*'Feedstock Conversion Rates'!$B$3)/12+250-180</f>
        <v>85.35250000000002</v>
      </c>
      <c r="CA453" s="106">
        <f t="shared" si="464"/>
        <v>156.17958333333334</v>
      </c>
      <c r="CB453" s="104">
        <f>('Renewable Diesel'!AA462*'Feedstock Conversion Rates'!B$4)/12</f>
        <v>191.25</v>
      </c>
      <c r="CC453" s="106">
        <f t="shared" si="454"/>
        <v>191.25</v>
      </c>
      <c r="CD453" s="104">
        <f>('Renewable Diesel'!$AB462*'RD Feedstock Breakdown'!CD$3*'Feedstock Conversion Rates'!$B$6)/12-15-5</f>
        <v>12.830000000000005</v>
      </c>
      <c r="CE453" s="104">
        <f>('Renewable Diesel'!$AB462*'RD Feedstock Breakdown'!CE$3*'Feedstock Conversion Rates'!$B$4)/12+15+5</f>
        <v>31.25</v>
      </c>
      <c r="CF453" s="106">
        <f t="shared" si="450"/>
        <v>44.080000000000005</v>
      </c>
      <c r="CG453" s="104">
        <f>('Renewable Diesel'!AD462*'Feedstock Conversion Rates'!B$4)/12</f>
        <v>112.5</v>
      </c>
      <c r="CH453" s="106">
        <f t="shared" si="439"/>
        <v>112.5</v>
      </c>
      <c r="CI453" s="104">
        <f>('Renewable Diesel'!$AE462*'RD Feedstock Breakdown'!CI$3*'Feedstock Conversion Rates'!$B$5)/12</f>
        <v>0.34604166666666664</v>
      </c>
      <c r="CJ453" s="104">
        <f>('Renewable Diesel'!$AE462*'RD Feedstock Breakdown'!CJ$3*'Feedstock Conversion Rates'!$B$4)/12</f>
        <v>0.34375</v>
      </c>
      <c r="CK453" s="106">
        <f t="shared" si="447"/>
        <v>0.68979166666666658</v>
      </c>
      <c r="CL453" s="104">
        <f>(((CL$3*'Renewable Diesel'!$AF462)*'Feedstock Conversion Rates'!$B$3)/12)</f>
        <v>91.78125</v>
      </c>
      <c r="CM453" s="104">
        <f>(((CM$3*'Renewable Diesel'!$AF462)*'Feedstock Conversion Rates'!$B$6)/12)</f>
        <v>53.739583333333336</v>
      </c>
      <c r="CN453" s="104">
        <f>(((CN$3*'Renewable Diesel'!$AF462)*'Feedstock Conversion Rates'!$B$4)/12)</f>
        <v>42.96875</v>
      </c>
      <c r="CO453" s="106">
        <f t="shared" si="441"/>
        <v>188.48958333333334</v>
      </c>
      <c r="CP453" s="104">
        <f>('Renewable Diesel'!$AG462*'RD Feedstock Breakdown'!CP$3*'Feedstock Conversion Rates'!$B$3)/12</f>
        <v>6.0075000000000003</v>
      </c>
      <c r="CQ453" s="104">
        <f>('Renewable Diesel'!$AG462*'RD Feedstock Breakdown'!CQ$3*'Feedstock Conversion Rates'!$B$6)/12</f>
        <v>3.5175000000000001</v>
      </c>
      <c r="CR453" s="104">
        <f>('Renewable Diesel'!$AG462*'RD Feedstock Breakdown'!CR$3*'Feedstock Conversion Rates'!$B$4)/12</f>
        <v>2.8125</v>
      </c>
      <c r="CS453" s="106">
        <f t="shared" si="467"/>
        <v>12.3375</v>
      </c>
      <c r="CT453" s="104">
        <f>('Renewable Diesel'!AI462*'Feedstock Conversion Rates'!$B$4*'RD Feedstock Breakdown'!$CT$3)/12</f>
        <v>29.375</v>
      </c>
      <c r="CU453" s="106">
        <f t="shared" si="443"/>
        <v>29.375</v>
      </c>
      <c r="CV453" s="104">
        <f>('Renewable Diesel'!AN462*'Feedstock Conversion Rates'!$B$3*'RD Feedstock Breakdown'!$CV$3)/12</f>
        <v>0.50062499999999999</v>
      </c>
      <c r="CW453" s="106">
        <f t="shared" si="419"/>
        <v>0.50062499999999999</v>
      </c>
      <c r="CX453" s="104">
        <f>('Renewable Diesel'!AO462*'RD Feedstock Breakdown'!$CX$3*'Feedstock Conversion Rates'!$B$3)/12</f>
        <v>6.3412499999999996</v>
      </c>
      <c r="CY453" s="104">
        <f>('Renewable Diesel'!AO462*'RD Feedstock Breakdown'!$CY$3*'Feedstock Conversion Rates'!$B$6)/12</f>
        <v>7.4258333333333342</v>
      </c>
      <c r="CZ453" s="106">
        <f t="shared" si="468"/>
        <v>13.767083333333334</v>
      </c>
      <c r="DA453" s="104">
        <f>('Renewable Diesel'!$AP462*'RD Feedstock Breakdown'!DA$3*'Feedstock Conversion Rates'!$B$3)/12</f>
        <v>6.3412499999999996</v>
      </c>
      <c r="DB453" s="104">
        <f>('Renewable Diesel'!$AP462*'RD Feedstock Breakdown'!DB$3*'Feedstock Conversion Rates'!$B$8)/12</f>
        <v>7.421875</v>
      </c>
      <c r="DC453" s="106">
        <f t="shared" si="422"/>
        <v>13.763124999999999</v>
      </c>
      <c r="DD453" s="104">
        <f>('Renewable Diesel'!AQ462*$DD$3*'Feedstock Conversion Rates'!$B$14)/12</f>
        <v>3.1041666666666665</v>
      </c>
      <c r="DE453" s="106">
        <f t="shared" si="423"/>
        <v>3.1041666666666665</v>
      </c>
      <c r="DF453" s="104">
        <f>('Renewable Diesel'!AR462*'Feedstock Conversion Rates'!$B$4*$DF$3)/12</f>
        <v>75</v>
      </c>
      <c r="DG453" s="106">
        <f t="shared" si="469"/>
        <v>75</v>
      </c>
      <c r="DH453" s="104">
        <f>('Renewable Diesel'!AS462*'Feedstock Conversion Rates'!$B$4*$DH$3)/12</f>
        <v>75</v>
      </c>
      <c r="DI453" s="106">
        <f t="shared" si="478"/>
        <v>75</v>
      </c>
      <c r="DJ453" s="104">
        <f>('Renewable Diesel'!AT462*'Feedstock Conversion Rates'!$B$4*0.25)/12</f>
        <v>8.59375</v>
      </c>
      <c r="DK453" s="104">
        <f>('Renewable Diesel'!$AT462*'RD Feedstock Breakdown'!DK$3*'Feedstock Conversion Rates'!$B$3)/12*0.5</f>
        <v>9.1781249999999996</v>
      </c>
      <c r="DL453" s="104">
        <f>('Renewable Diesel'!$AT462*'RD Feedstock Breakdown'!$DL$3*'Feedstock Conversion Rates'!$B$6)/12</f>
        <v>10.747916666666669</v>
      </c>
      <c r="DM453" s="104">
        <f>('Renewable Diesel'!$AT462*'RD Feedstock Breakdown'!$DM$3*'Feedstock Conversion Rates'!$B$8)/12</f>
        <v>10.7421875</v>
      </c>
      <c r="DN453" s="106">
        <f t="shared" si="453"/>
        <v>39.26197916666667</v>
      </c>
      <c r="DP453" s="104">
        <f t="shared" si="426"/>
        <v>103.22025000000001</v>
      </c>
      <c r="DQ453" s="104">
        <f t="shared" si="427"/>
        <v>349.11776750000007</v>
      </c>
      <c r="DR453" s="104">
        <f t="shared" si="432"/>
        <v>1891.953125</v>
      </c>
      <c r="DS453" s="104">
        <f t="shared" si="444"/>
        <v>228.90125</v>
      </c>
      <c r="DT453" s="104">
        <f t="shared" si="428"/>
        <v>243.03923333333344</v>
      </c>
      <c r="DU453" s="104">
        <f t="shared" si="429"/>
        <v>402.90610000000009</v>
      </c>
      <c r="DV453" s="104">
        <f t="shared" si="433"/>
        <v>78.75</v>
      </c>
      <c r="DW453" s="104">
        <f t="shared" si="430"/>
        <v>3</v>
      </c>
      <c r="DX453" s="106">
        <f t="shared" si="434"/>
        <v>3300.8877258333337</v>
      </c>
      <c r="DY453" s="109">
        <f t="shared" si="421"/>
        <v>-5.631051180898794E-13</v>
      </c>
      <c r="EA453" s="110">
        <f t="shared" si="472"/>
        <v>3.1270451640078516E-2</v>
      </c>
      <c r="EB453" s="110">
        <f t="shared" si="470"/>
        <v>0.10576481131658687</v>
      </c>
      <c r="EC453" s="110">
        <f t="shared" si="470"/>
        <v>0.57316494293133291</v>
      </c>
      <c r="ED453" s="110">
        <f t="shared" si="470"/>
        <v>6.9345360706629972E-2</v>
      </c>
      <c r="EE453" s="110">
        <f t="shared" si="470"/>
        <v>7.3628445896921982E-2</v>
      </c>
      <c r="EF453" s="110">
        <f t="shared" si="470"/>
        <v>0.1220599225010852</v>
      </c>
      <c r="EG453" s="110">
        <f t="shared" si="470"/>
        <v>2.3857218585075921E-2</v>
      </c>
      <c r="EH453" s="111">
        <f t="shared" si="435"/>
        <v>9.0884642228860647E-4</v>
      </c>
      <c r="EI453" s="110">
        <f t="shared" si="476"/>
        <v>0.99909115357771139</v>
      </c>
      <c r="EK453" s="132">
        <f>(EA453*'Renewable Diesel'!BF462*'Feedstock Conversion Rates'!B$2)+FB453</f>
        <v>569.83024205405832</v>
      </c>
      <c r="EL453" s="132">
        <f>(EB453*'Renewable Diesel'!BF462*'Feedstock Conversion Rates'!B$3)+FC453</f>
        <v>1816.2102816963538</v>
      </c>
      <c r="EM453" s="132">
        <f>(EC453*'Renewable Diesel'!BF462*'Feedstock Conversion Rates'!B$4)+FD453</f>
        <v>9215.8054415082006</v>
      </c>
      <c r="EN453" s="132">
        <f>(ED453*'Renewable Diesel'!BF462*'Feedstock Conversion Rates'!B$5)+FE453</f>
        <v>1122.42357020349</v>
      </c>
      <c r="EO453" s="132">
        <f>(EE453*'Renewable Diesel'!BF462*'Feedstock Conversion Rates'!B$6)+FF453</f>
        <v>1480.6107116647938</v>
      </c>
      <c r="EP453" s="132">
        <f>(EF453*'Renewable Diesel'!BF462*'Feedstock Conversion Rates'!B$7)+FG453</f>
        <v>2407.4281371659954</v>
      </c>
      <c r="EQ453" s="132">
        <f>(EG453*'Renewable Diesel'!BF462*'Feedstock Conversion Rates'!B$8)+FH453</f>
        <v>479.49435752984823</v>
      </c>
      <c r="ER453" s="132">
        <f>(EH453*'Renewable Diesel'!BF462*'Feedstock Conversion Rates'!B$9)+FI453</f>
        <v>18.022899025883817</v>
      </c>
      <c r="ES453" s="132">
        <f t="shared" si="436"/>
        <v>17109.825640848627</v>
      </c>
      <c r="ET453" s="133">
        <f>ES453/'Renewable Diesel'!BF462</f>
        <v>17.209856168467791</v>
      </c>
      <c r="EW453" s="73">
        <f t="shared" si="461"/>
        <v>15882.19257160541</v>
      </c>
      <c r="EX453" s="73">
        <f t="shared" si="462"/>
        <v>10402.923127292986</v>
      </c>
      <c r="EY453" s="92">
        <f t="shared" si="477"/>
        <v>0.92824982001497902</v>
      </c>
      <c r="EZ453" s="92">
        <f t="shared" si="477"/>
        <v>0.60800871649192412</v>
      </c>
      <c r="FB453" s="102">
        <f>IF('Renewable Diesel'!$BG462&lt;1,0,(((('Renewable Diesel'!$BG462-1)*'Renewable Diesel'!$BF462)*'RD Feedstock Breakdown'!EA453)*'Feedstock Conversion Rates'!$B$2))</f>
        <v>305.5763316612838</v>
      </c>
      <c r="FC453" s="102">
        <f>IF('Renewable Diesel'!$BG462&lt;1,0,(((('Renewable Diesel'!$BG462-1)*'Renewable Diesel'!$BF462)*'RD Feedstock Breakdown'!EB453)*'Feedstock Conversion Rates'!$B$3))</f>
        <v>973.95826765127731</v>
      </c>
      <c r="FD453" s="102">
        <f>IF('Renewable Diesel'!$BG462&lt;1,0,(((('Renewable Diesel'!$BG462-1)*'Renewable Diesel'!$BF462)*'RD Feedstock Breakdown'!EC453)*'Feedstock Conversion Rates'!$B$4))</f>
        <v>4942.054338795544</v>
      </c>
      <c r="FE453" s="102">
        <f>IF('Renewable Diesel'!$BG462&lt;1,0,(((('Renewable Diesel'!$BG462-1)*'Renewable Diesel'!$BF462)*'RD Feedstock Breakdown'!ED453)*'Feedstock Conversion Rates'!$B$5))</f>
        <v>601.909221098177</v>
      </c>
      <c r="FF453" s="102">
        <f>IF('Renewable Diesel'!$BG462&lt;1,0,(((('Renewable Diesel'!$BG462-1)*'Renewable Diesel'!$BF462)*'RD Feedstock Breakdown'!EE453)*'Feedstock Conversion Rates'!$B$6))</f>
        <v>793.990133373807</v>
      </c>
      <c r="FG453" s="102">
        <f>IF('Renewable Diesel'!$BG462&lt;1,0,(((('Renewable Diesel'!$BG462-1)*'Renewable Diesel'!$BF462)*'RD Feedstock Breakdown'!EF453)*'Feedstock Conversion Rates'!$B$7))</f>
        <v>1291.0038895821772</v>
      </c>
      <c r="FH453" s="102">
        <f>IF('Renewable Diesel'!$BG462&lt;1,0,(((('Renewable Diesel'!$BG462-1)*'Renewable Diesel'!$BF462)*'RD Feedstock Breakdown'!EG453)*'Feedstock Conversion Rates'!$B$8))</f>
        <v>257.13294243227426</v>
      </c>
      <c r="FI453" s="102">
        <f>IF('Renewable Diesel'!$BG462&lt;1,0,(((('Renewable Diesel'!$BG462-1)*'Renewable Diesel'!$BF462)*'RD Feedstock Breakdown'!EH453)*'Feedstock Conversion Rates'!$B$9))</f>
        <v>9.6649334552321502</v>
      </c>
      <c r="FJ453" s="102">
        <f t="shared" si="463"/>
        <v>9175.2900580497735</v>
      </c>
      <c r="GD453" s="91">
        <f>'Renewable Diesel'!BB462*0.32</f>
        <v>0</v>
      </c>
      <c r="GE453" s="91">
        <f>'Renewable Diesel'!BC462</f>
        <v>501.69580533177401</v>
      </c>
      <c r="GF453" s="91">
        <f>'Renewable Diesel'!BD462</f>
        <v>0</v>
      </c>
      <c r="GG453" s="91">
        <f t="shared" si="451"/>
        <v>501.69580533177401</v>
      </c>
      <c r="GH453" s="124">
        <v>1</v>
      </c>
      <c r="GI453" s="102">
        <f>$GG453*EA453*'Feedstock Conversion Rates'!$B$2</f>
        <v>133.35016255858861</v>
      </c>
      <c r="GJ453" s="102">
        <f>$GG453*EB453*'Feedstock Conversion Rates'!$B$3</f>
        <v>425.02471513579775</v>
      </c>
      <c r="GK453" s="102">
        <f>$GG453*EC453*'Feedstock Conversion Rates'!$B$4</f>
        <v>2156.658357239065</v>
      </c>
      <c r="GL453" s="102">
        <f>$GG453*ED453*'Feedstock Conversion Rates'!$B$5</f>
        <v>262.66658822229982</v>
      </c>
      <c r="GM453" s="102">
        <f>$GG453*EE453*'Feedstock Conversion Rates'!$B$6</f>
        <v>346.48859347089069</v>
      </c>
      <c r="GN453" s="102">
        <f>$GG453*EF453*'Feedstock Conversion Rates'!$B$7</f>
        <v>563.3799502848259</v>
      </c>
      <c r="GO453" s="102">
        <f>$GG453*EG453*'Feedstock Conversion Rates'!$B$8</f>
        <v>112.20999835327341</v>
      </c>
      <c r="GP453" s="102">
        <f>$GG453*EH453*'Feedstock Conversion Rates'!B$9</f>
        <v>4.2176710492151024</v>
      </c>
      <c r="GQ453" s="102">
        <f t="shared" si="437"/>
        <v>4003.9960363139562</v>
      </c>
      <c r="GT453" s="103">
        <f t="shared" ref="GT453:GZ495" si="484">(GI453+FB453+EK453)/SUM($ES453,$FJ453,$GQ453)</f>
        <v>3.3304269372191886E-2</v>
      </c>
      <c r="GU453" s="103">
        <f t="shared" si="484"/>
        <v>0.10615013383656387</v>
      </c>
      <c r="GV453" s="103">
        <f t="shared" si="484"/>
        <v>0.53862649654979822</v>
      </c>
      <c r="GW453" s="103">
        <f t="shared" si="484"/>
        <v>6.5601110950176761E-2</v>
      </c>
      <c r="GX453" s="103">
        <f t="shared" si="465"/>
        <v>8.653569841938831E-2</v>
      </c>
      <c r="GY453" s="103">
        <f t="shared" si="465"/>
        <v>0.14070442257566981</v>
      </c>
      <c r="GZ453" s="103">
        <f t="shared" si="465"/>
        <v>2.8024502855545516E-2</v>
      </c>
      <c r="HA453" s="103">
        <f t="shared" si="465"/>
        <v>1.0533654406655838E-3</v>
      </c>
    </row>
    <row r="454" spans="1:209" x14ac:dyDescent="0.25">
      <c r="A454" s="96">
        <v>54240</v>
      </c>
      <c r="B454" s="104">
        <f t="shared" si="473"/>
        <v>44.25</v>
      </c>
      <c r="C454" s="104">
        <f t="shared" si="466"/>
        <v>49</v>
      </c>
      <c r="D454" s="104">
        <f t="shared" si="474"/>
        <v>2</v>
      </c>
      <c r="E454" s="104">
        <f>('Renewable Diesel'!B463*E$3*'Feedstock Conversion Rates'!$B$2)/12+26+13-100+27.5+39</f>
        <v>95.43</v>
      </c>
      <c r="F454" s="104">
        <f>('Renewable Diesel'!B463*'RD Feedstock Breakdown'!F$3*'Feedstock Conversion Rates'!B$8)/12+77+23-10-12-115.75+24+8</f>
        <v>48.15625</v>
      </c>
      <c r="G454" s="104">
        <f>('Renewable Diesel'!B463*'RD Feedstock Breakdown'!G$3*'Feedstock Conversion Rates'!B$7)/12+116.75-39-57.5-145-31.5+32+70-40+10+60</f>
        <v>151.90700000000004</v>
      </c>
      <c r="H454" s="104">
        <f>('Renewable Diesel'!B463*'RD Feedstock Breakdown'!H$3*'Feedstock Conversion Rates'!B$3)/12+67+10+12+3-235+20+47-20+25</f>
        <v>105.40022499999998</v>
      </c>
      <c r="I454" s="106">
        <f t="shared" si="449"/>
        <v>496.14347500000002</v>
      </c>
      <c r="J454" s="104">
        <f t="shared" si="483"/>
        <v>4</v>
      </c>
      <c r="K454" s="104"/>
      <c r="L454" s="104">
        <v>1</v>
      </c>
      <c r="M454" s="104">
        <f>('Renewable Diesel'!C463*'RD Feedstock Breakdown'!M$3*'Feedstock Conversion Rates'!B$2)/12</f>
        <v>7.7902500000000003</v>
      </c>
      <c r="N454" s="104">
        <f>('Renewable Diesel'!C463*'RD Feedstock Breakdown'!N$3*'Feedstock Conversion Rates'!B$8)/12</f>
        <v>3.671875</v>
      </c>
      <c r="O454" s="104">
        <f>('Renewable Diesel'!C463*'RD Feedstock Breakdown'!O$3*'Feedstock Conversion Rates'!B$7)/12</f>
        <v>11.9991</v>
      </c>
      <c r="P454" s="104">
        <f>('Renewable Diesel'!C463*'RD Feedstock Breakdown'!P$3*'Feedstock Conversion Rates'!B$3)/12</f>
        <v>10.4470425</v>
      </c>
      <c r="Q454" s="106">
        <f t="shared" si="455"/>
        <v>38.908267500000001</v>
      </c>
      <c r="R454" s="104">
        <f>('Renewable Diesel'!D463*'RD Feedstock Breakdown'!R$3*'Feedstock Conversion Rates'!B$7)/12</f>
        <v>2.2999999999999998</v>
      </c>
      <c r="S454" s="106">
        <f t="shared" si="481"/>
        <v>2.2999999999999998</v>
      </c>
      <c r="T454" s="104">
        <f t="shared" si="456"/>
        <v>0.82499999999999929</v>
      </c>
      <c r="U454" s="104"/>
      <c r="V454" s="104">
        <f>('Renewable Diesel'!E463*'RD Feedstock Breakdown'!V$3*'Feedstock Conversion Rates'!B$6)/12-20+25</f>
        <v>49.250150000000012</v>
      </c>
      <c r="W454" s="104">
        <f>('Renewable Diesel'!E463*'RD Feedstock Breakdown'!W$3*'Feedstock Conversion Rates'!B$8)/12-6</f>
        <v>16.1796875</v>
      </c>
      <c r="X454" s="106">
        <f t="shared" si="438"/>
        <v>66.254837500000008</v>
      </c>
      <c r="Y454" s="104">
        <f t="shared" si="457"/>
        <v>98</v>
      </c>
      <c r="Z454" s="104">
        <f>('Renewable Diesel'!F463*'RD Feedstock Breakdown'!Z$3*'Feedstock Conversion Rates'!B$6)/12-142+15+5+20+5+15</f>
        <v>77.460000000000008</v>
      </c>
      <c r="AA454" s="104">
        <f>('Renewable Diesel'!F463*'RD Feedstock Breakdown'!AA$3*'Feedstock Conversion Rates'!B$7)/12+24</f>
        <v>128.26666666666665</v>
      </c>
      <c r="AB454" s="106">
        <f t="shared" si="471"/>
        <v>303.72666666666669</v>
      </c>
      <c r="AC454" s="104">
        <f>('Renewable Diesel'!G463*'RD Feedstock Breakdown'!AC$3*'Feedstock Conversion Rates'!B$5)/12</f>
        <v>11.796875</v>
      </c>
      <c r="AD454" s="104">
        <f>('Renewable Diesel'!G463*'RD Feedstock Breakdown'!AD$3*'Feedstock Conversion Rates'!B$4)/12</f>
        <v>5.859375</v>
      </c>
      <c r="AE454" s="104">
        <f>('Renewable Diesel'!G463*'RD Feedstock Breakdown'!AE$3*'Feedstock Conversion Rates'!B$6)/12</f>
        <v>7.3281250000000009</v>
      </c>
      <c r="AF454" s="106">
        <f t="shared" si="445"/>
        <v>24.984375</v>
      </c>
      <c r="AG454" s="104">
        <f t="shared" si="459"/>
        <v>148</v>
      </c>
      <c r="AH454" s="104"/>
      <c r="AI454" s="104">
        <f>('Renewable Diesel'!H463*'RD Feedstock Breakdown'!AI$3*'Feedstock Conversion Rates'!B$6)/12-130-20+51-49</f>
        <v>0.51666666666667993</v>
      </c>
      <c r="AJ454" s="106">
        <f t="shared" si="480"/>
        <v>148.51666666666668</v>
      </c>
      <c r="AK454" s="104">
        <f>('Renewable Diesel'!J463*'RD Feedstock Breakdown'!AK$3*'Feedstock Conversion Rates'!B$4)/12</f>
        <v>95.8125</v>
      </c>
      <c r="AL454" s="106">
        <f t="shared" si="482"/>
        <v>95.8125</v>
      </c>
      <c r="AM454" s="104">
        <f>('Renewable Diesel'!K463*'RD Feedstock Breakdown'!AM$3*'Feedstock Conversion Rates'!B$4)/12+5+15-10+10</f>
        <v>78.59375</v>
      </c>
      <c r="AN454" s="104">
        <f>('Renewable Diesel'!K463*'RD Feedstock Breakdown'!AN$3*'Feedstock Conversion Rates'!B$6)/12-5-15+10-10</f>
        <v>4.4270833333333321</v>
      </c>
      <c r="AO454" s="106">
        <f t="shared" si="431"/>
        <v>83.020833333333329</v>
      </c>
      <c r="AP454" s="104">
        <f>('Renewable Diesel'!L463*'RD Feedstock Breakdown'!AP$3*'Feedstock Conversion Rates'!B$4)/12+15-10+15</f>
        <v>78.59375</v>
      </c>
      <c r="AQ454" s="104">
        <f>('Renewable Diesel'!L463*'RD Feedstock Breakdown'!AQ$3*'Feedstock Conversion Rates'!B$6)/12-15+10-15</f>
        <v>4.4270833333333321</v>
      </c>
      <c r="AR454" s="106">
        <f t="shared" si="420"/>
        <v>83.020833333333329</v>
      </c>
      <c r="AS454" s="104">
        <f>('Renewable Diesel'!M463*'RD Feedstock Breakdown'!AS$3*'Feedstock Conversion Rates'!B$4)/12</f>
        <v>456.25</v>
      </c>
      <c r="AT454" s="104">
        <f>('Renewable Diesel'!M463*'RD Feedstock Breakdown'!AT$3*'Feedstock Conversion Rates'!B$5)/12</f>
        <v>0</v>
      </c>
      <c r="AU454" s="106">
        <f t="shared" si="448"/>
        <v>456.25</v>
      </c>
      <c r="AV454" s="104">
        <f>'Renewable Diesel'!N463*'RD Feedstock Breakdown'!$AV$3*'Feedstock Conversion Rates'!$B$4/12-15-10+25+25-22+25</f>
        <v>106.74999999999999</v>
      </c>
      <c r="AW454" s="104">
        <f>'Renewable Diesel'!N463*'RD Feedstock Breakdown'!$AW$3*'Feedstock Conversion Rates'!$B$7/12+15+10-25-25+22-25</f>
        <v>13.400000000000006</v>
      </c>
      <c r="AX454" s="106">
        <f t="shared" si="475"/>
        <v>120.14999999999999</v>
      </c>
      <c r="AY454" s="104">
        <f>('Renewable Diesel'!O463*'RD Feedstock Breakdown'!AY$3*'Feedstock Conversion Rates'!B$4)/12</f>
        <v>210.9375</v>
      </c>
      <c r="AZ454" s="104">
        <f>('Renewable Diesel'!O463*'RD Feedstock Breakdown'!AZ$3*'Feedstock Conversion Rates'!B$3)/12</f>
        <v>25.03125</v>
      </c>
      <c r="BA454" s="106">
        <f t="shared" si="458"/>
        <v>235.96875</v>
      </c>
      <c r="BB454" s="104">
        <f>('Renewable Diesel'!Q463*'RD Feedstock Breakdown'!BB$3*'Feedstock Conversion Rates'!B$4)/12</f>
        <v>11.156249999999998</v>
      </c>
      <c r="BC454" s="104">
        <f>('Renewable Diesel'!Q463*'RD Feedstock Breakdown'!BC$3*'Feedstock Conversion Rates'!B$3)/12</f>
        <v>1.4017500000000001</v>
      </c>
      <c r="BD454" s="104">
        <f>('Renewable Diesel'!Q463*'RD Feedstock Breakdown'!BD$3*'Feedstock Conversion Rates'!B$6)/12</f>
        <v>0.8207500000000002</v>
      </c>
      <c r="BE454" s="106">
        <f t="shared" si="440"/>
        <v>13.378749999999998</v>
      </c>
      <c r="BF454" s="104">
        <f>('Renewable Diesel'!R463*'RD Feedstock Breakdown'!BF$3*'Feedstock Conversion Rates'!B$4)/12</f>
        <v>62.5</v>
      </c>
      <c r="BG454" s="106">
        <f t="shared" si="425"/>
        <v>62.5</v>
      </c>
      <c r="BH454" s="104">
        <f>('Renewable Diesel'!T463*'RD Feedstock Breakdown'!BH$3*'Feedstock Conversion Rates'!B$7)/12</f>
        <v>27.599999999999998</v>
      </c>
      <c r="BI454" s="106">
        <f t="shared" si="479"/>
        <v>27.599999999999998</v>
      </c>
      <c r="BJ454" s="104">
        <f>('Renewable Diesel'!W463*'RD Feedstock Breakdown'!BJ$3*'Feedstock Conversion Rates'!B$4)/12</f>
        <v>7.5</v>
      </c>
      <c r="BK454" s="104">
        <f>('Renewable Diesel'!W463*'RD Feedstock Breakdown'!BK$3*'Feedstock Conversion Rates'!B$3)/12</f>
        <v>1.335</v>
      </c>
      <c r="BL454" s="104">
        <f>('Renewable Diesel'!W463*'RD Feedstock Breakdown'!BL$3*'Feedstock Conversion Rates'!B$6)/12</f>
        <v>3.1266666666666669</v>
      </c>
      <c r="BM454" s="104">
        <f>('Renewable Diesel'!W463*'RD Feedstock Breakdown'!BM$3*'Feedstock Conversion Rates'!B$7)/12</f>
        <v>1.5333333333333332</v>
      </c>
      <c r="BN454" s="106">
        <f t="shared" si="452"/>
        <v>13.495000000000001</v>
      </c>
      <c r="BO454" s="104">
        <f>('Renewable Diesel'!P463*'Feedstock Conversion Rates'!B$4)/12</f>
        <v>31.25</v>
      </c>
      <c r="BP454" s="106">
        <f t="shared" si="446"/>
        <v>31.25</v>
      </c>
      <c r="BQ454" s="104">
        <f>('Renewable Diesel'!$S463*'RD Feedstock Breakdown'!BQ$3*'Feedstock Conversion Rates'!B$4)/12+10+15-15</f>
        <v>38.125</v>
      </c>
      <c r="BR454" s="104">
        <f>('Renewable Diesel'!$S463*'RD Feedstock Breakdown'!BR$3*'Feedstock Conversion Rates'!B$7)/12-10-15+15</f>
        <v>1.5</v>
      </c>
      <c r="BS454" s="106">
        <f t="shared" si="460"/>
        <v>39.625</v>
      </c>
      <c r="BT454" s="106"/>
      <c r="BU454" s="104">
        <f>('Renewable Diesel'!Y463*'Feedstock Conversion Rates'!B$7)/12</f>
        <v>2.6833333333333331</v>
      </c>
      <c r="BV454" s="106">
        <f t="shared" si="442"/>
        <v>2.6833333333333331</v>
      </c>
      <c r="BW454" s="104">
        <f>('Renewable Diesel'!$Z463*'RD Feedstock Breakdown'!BW$3*'Feedstock Conversion Rates'!$B$4)/12-250+180</f>
        <v>1.875</v>
      </c>
      <c r="BX454" s="104">
        <f>('Renewable Diesel'!$Z463*'RD Feedstock Breakdown'!BX$3*'Feedstock Conversion Rates'!$B$5)/12</f>
        <v>7.2354166666666666</v>
      </c>
      <c r="BY454" s="104">
        <f>('Renewable Diesel'!$Z463*'RD Feedstock Breakdown'!BY$3*'Feedstock Conversion Rates'!$B$7)/12</f>
        <v>61.716666666666661</v>
      </c>
      <c r="BZ454" s="104">
        <f>('Renewable Diesel'!$Z463*'RD Feedstock Breakdown'!BZ$3*'Feedstock Conversion Rates'!$B$3)/12+250-180</f>
        <v>85.35250000000002</v>
      </c>
      <c r="CA454" s="106">
        <f t="shared" si="464"/>
        <v>156.17958333333334</v>
      </c>
      <c r="CB454" s="104">
        <f>('Renewable Diesel'!AA463*'Feedstock Conversion Rates'!B$4)/12</f>
        <v>191.25</v>
      </c>
      <c r="CC454" s="106">
        <f t="shared" si="454"/>
        <v>191.25</v>
      </c>
      <c r="CD454" s="104">
        <f>('Renewable Diesel'!$AB463*'RD Feedstock Breakdown'!CD$3*'Feedstock Conversion Rates'!$B$6)/12-15-5</f>
        <v>12.830000000000005</v>
      </c>
      <c r="CE454" s="104">
        <f>('Renewable Diesel'!$AB463*'RD Feedstock Breakdown'!CE$3*'Feedstock Conversion Rates'!$B$4)/12+15+5</f>
        <v>31.25</v>
      </c>
      <c r="CF454" s="106">
        <f t="shared" si="450"/>
        <v>44.080000000000005</v>
      </c>
      <c r="CG454" s="104">
        <f>('Renewable Diesel'!AD463*'Feedstock Conversion Rates'!B$4)/12</f>
        <v>112.5</v>
      </c>
      <c r="CH454" s="106">
        <f t="shared" si="439"/>
        <v>112.5</v>
      </c>
      <c r="CI454" s="104">
        <f>('Renewable Diesel'!$AE463*'RD Feedstock Breakdown'!CI$3*'Feedstock Conversion Rates'!$B$5)/12</f>
        <v>0.34604166666666664</v>
      </c>
      <c r="CJ454" s="104">
        <f>('Renewable Diesel'!$AE463*'RD Feedstock Breakdown'!CJ$3*'Feedstock Conversion Rates'!$B$4)/12</f>
        <v>0.34375</v>
      </c>
      <c r="CK454" s="106">
        <f t="shared" si="447"/>
        <v>0.68979166666666658</v>
      </c>
      <c r="CL454" s="104">
        <f>(((CL$3*'Renewable Diesel'!$AF463)*'Feedstock Conversion Rates'!$B$3)/12)</f>
        <v>91.78125</v>
      </c>
      <c r="CM454" s="104">
        <f>(((CM$3*'Renewable Diesel'!$AF463)*'Feedstock Conversion Rates'!$B$6)/12)</f>
        <v>53.739583333333336</v>
      </c>
      <c r="CN454" s="104">
        <f>(((CN$3*'Renewable Diesel'!$AF463)*'Feedstock Conversion Rates'!$B$4)/12)</f>
        <v>42.96875</v>
      </c>
      <c r="CO454" s="106">
        <f t="shared" si="441"/>
        <v>188.48958333333334</v>
      </c>
      <c r="CP454" s="104">
        <f>('Renewable Diesel'!$AG463*'RD Feedstock Breakdown'!CP$3*'Feedstock Conversion Rates'!$B$3)/12</f>
        <v>6.0075000000000003</v>
      </c>
      <c r="CQ454" s="104">
        <f>('Renewable Diesel'!$AG463*'RD Feedstock Breakdown'!CQ$3*'Feedstock Conversion Rates'!$B$6)/12</f>
        <v>3.5175000000000001</v>
      </c>
      <c r="CR454" s="104">
        <f>('Renewable Diesel'!$AG463*'RD Feedstock Breakdown'!CR$3*'Feedstock Conversion Rates'!$B$4)/12</f>
        <v>2.8125</v>
      </c>
      <c r="CS454" s="106">
        <f t="shared" si="467"/>
        <v>12.3375</v>
      </c>
      <c r="CT454" s="104">
        <f>('Renewable Diesel'!AI463*'Feedstock Conversion Rates'!$B$4*'RD Feedstock Breakdown'!$CT$3)/12</f>
        <v>29.375</v>
      </c>
      <c r="CU454" s="106">
        <f t="shared" si="443"/>
        <v>29.375</v>
      </c>
      <c r="CV454" s="104">
        <f>('Renewable Diesel'!AN463*'Feedstock Conversion Rates'!$B$3*'RD Feedstock Breakdown'!$CV$3)/12</f>
        <v>0.50062499999999999</v>
      </c>
      <c r="CW454" s="106">
        <f t="shared" si="419"/>
        <v>0.50062499999999999</v>
      </c>
      <c r="CX454" s="104">
        <f>('Renewable Diesel'!AO463*'RD Feedstock Breakdown'!$CX$3*'Feedstock Conversion Rates'!$B$3)/12</f>
        <v>6.3412499999999996</v>
      </c>
      <c r="CY454" s="104">
        <f>('Renewable Diesel'!AO463*'RD Feedstock Breakdown'!$CY$3*'Feedstock Conversion Rates'!$B$6)/12</f>
        <v>7.4258333333333342</v>
      </c>
      <c r="CZ454" s="106">
        <f t="shared" si="468"/>
        <v>13.767083333333334</v>
      </c>
      <c r="DA454" s="104">
        <f>('Renewable Diesel'!$AP463*'RD Feedstock Breakdown'!DA$3*'Feedstock Conversion Rates'!$B$3)/12</f>
        <v>6.3412499999999996</v>
      </c>
      <c r="DB454" s="104">
        <f>('Renewable Diesel'!$AP463*'RD Feedstock Breakdown'!DB$3*'Feedstock Conversion Rates'!$B$8)/12</f>
        <v>7.421875</v>
      </c>
      <c r="DC454" s="106">
        <f t="shared" si="422"/>
        <v>13.763124999999999</v>
      </c>
      <c r="DD454" s="104">
        <f>('Renewable Diesel'!AQ463*$DD$3*'Feedstock Conversion Rates'!$B$14)/12</f>
        <v>3.1041666666666665</v>
      </c>
      <c r="DE454" s="106">
        <f t="shared" si="423"/>
        <v>3.1041666666666665</v>
      </c>
      <c r="DF454" s="104">
        <f>('Renewable Diesel'!AR463*'Feedstock Conversion Rates'!$B$4*$DF$3)/12</f>
        <v>75</v>
      </c>
      <c r="DG454" s="106">
        <f t="shared" si="469"/>
        <v>75</v>
      </c>
      <c r="DH454" s="104">
        <f>('Renewable Diesel'!AS463*'Feedstock Conversion Rates'!$B$4*$DH$3)/12</f>
        <v>75</v>
      </c>
      <c r="DI454" s="106">
        <f t="shared" si="478"/>
        <v>75</v>
      </c>
      <c r="DJ454" s="104">
        <f>('Renewable Diesel'!AT463*'Feedstock Conversion Rates'!$B$4*0.25)/12</f>
        <v>8.59375</v>
      </c>
      <c r="DK454" s="104">
        <f>('Renewable Diesel'!$AT463*'RD Feedstock Breakdown'!DK$3*'Feedstock Conversion Rates'!$B$3)/12*0.5</f>
        <v>9.1781249999999996</v>
      </c>
      <c r="DL454" s="104">
        <f>('Renewable Diesel'!$AT463*'RD Feedstock Breakdown'!$DL$3*'Feedstock Conversion Rates'!$B$6)/12</f>
        <v>10.747916666666669</v>
      </c>
      <c r="DM454" s="104">
        <f>('Renewable Diesel'!$AT463*'RD Feedstock Breakdown'!$DM$3*'Feedstock Conversion Rates'!$B$8)/12</f>
        <v>10.7421875</v>
      </c>
      <c r="DN454" s="106">
        <f t="shared" si="453"/>
        <v>39.26197916666667</v>
      </c>
      <c r="DP454" s="104">
        <f t="shared" si="426"/>
        <v>103.22025000000001</v>
      </c>
      <c r="DQ454" s="104">
        <f t="shared" si="427"/>
        <v>349.11776750000007</v>
      </c>
      <c r="DR454" s="104">
        <f t="shared" si="432"/>
        <v>1891.953125</v>
      </c>
      <c r="DS454" s="104">
        <f t="shared" si="444"/>
        <v>228.90125</v>
      </c>
      <c r="DT454" s="104">
        <f t="shared" si="428"/>
        <v>243.03923333333344</v>
      </c>
      <c r="DU454" s="104">
        <f t="shared" si="429"/>
        <v>402.90610000000009</v>
      </c>
      <c r="DV454" s="104">
        <f t="shared" si="433"/>
        <v>78.75</v>
      </c>
      <c r="DW454" s="104">
        <f t="shared" si="430"/>
        <v>3</v>
      </c>
      <c r="DX454" s="106">
        <f t="shared" si="434"/>
        <v>3300.8877258333337</v>
      </c>
      <c r="DY454" s="109">
        <f t="shared" si="421"/>
        <v>-5.631051180898794E-13</v>
      </c>
      <c r="EA454" s="110">
        <f t="shared" si="472"/>
        <v>3.1270451640078516E-2</v>
      </c>
      <c r="EB454" s="110">
        <f t="shared" si="470"/>
        <v>0.10576481131658687</v>
      </c>
      <c r="EC454" s="110">
        <f t="shared" si="470"/>
        <v>0.57316494293133291</v>
      </c>
      <c r="ED454" s="110">
        <f t="shared" si="470"/>
        <v>6.9345360706629972E-2</v>
      </c>
      <c r="EE454" s="110">
        <f t="shared" si="470"/>
        <v>7.3628445896921982E-2</v>
      </c>
      <c r="EF454" s="110">
        <f t="shared" si="470"/>
        <v>0.1220599225010852</v>
      </c>
      <c r="EG454" s="110">
        <f t="shared" si="470"/>
        <v>2.3857218585075921E-2</v>
      </c>
      <c r="EH454" s="111">
        <f t="shared" si="435"/>
        <v>9.0884642228860647E-4</v>
      </c>
      <c r="EI454" s="110">
        <f t="shared" si="476"/>
        <v>0.99909115357771139</v>
      </c>
      <c r="EK454" s="132">
        <f>(EA454*'Renewable Diesel'!BF463*'Feedstock Conversion Rates'!B$2)+FB454</f>
        <v>629.68645629536445</v>
      </c>
      <c r="EL454" s="132">
        <f>(EB454*'Renewable Diesel'!BF463*'Feedstock Conversion Rates'!B$3)+FC454</f>
        <v>2006.9889798163576</v>
      </c>
      <c r="EM454" s="132">
        <f>(EC454*'Renewable Diesel'!BF463*'Feedstock Conversion Rates'!B$4)+FD454</f>
        <v>10183.853790301839</v>
      </c>
      <c r="EN454" s="132">
        <f>(ED454*'Renewable Diesel'!BF463*'Feedstock Conversion Rates'!B$5)+FE454</f>
        <v>1240.3253955706634</v>
      </c>
      <c r="EO454" s="132">
        <f>(EE454*'Renewable Diesel'!BF463*'Feedstock Conversion Rates'!B$6)+FF454</f>
        <v>1636.1372973474349</v>
      </c>
      <c r="EP454" s="132">
        <f>(EF454*'Renewable Diesel'!BF463*'Feedstock Conversion Rates'!B$7)+FG454</f>
        <v>2660.3096511925642</v>
      </c>
      <c r="EQ454" s="132">
        <f>(EG454*'Renewable Diesel'!BF463*'Feedstock Conversion Rates'!B$8)+FH454</f>
        <v>529.86149299171313</v>
      </c>
      <c r="ER454" s="132">
        <f>(EH454*'Renewable Diesel'!BF463*'Feedstock Conversion Rates'!B$9)+FI454</f>
        <v>19.916063736577406</v>
      </c>
      <c r="ES454" s="132">
        <f t="shared" si="436"/>
        <v>18907.079127252517</v>
      </c>
      <c r="ET454" s="133">
        <f>ES454/'Renewable Diesel'!BF463</f>
        <v>18.390218498892025</v>
      </c>
      <c r="EW454" s="73">
        <f t="shared" si="461"/>
        <v>17890.53231063662</v>
      </c>
      <c r="EX454" s="73">
        <f t="shared" si="462"/>
        <v>11718.396656809406</v>
      </c>
      <c r="EY454" s="92">
        <f t="shared" si="477"/>
        <v>0.9462345923569625</v>
      </c>
      <c r="EZ454" s="92">
        <f t="shared" si="477"/>
        <v>0.61978884088545438</v>
      </c>
      <c r="FB454" s="102">
        <f>IF('Renewable Diesel'!$BG463&lt;1,0,(((('Renewable Diesel'!$BG463-1)*'Renewable Diesel'!$BF463)*'RD Feedstock Breakdown'!EA454)*'Feedstock Conversion Rates'!$B$2))</f>
        <v>356.41728985855337</v>
      </c>
      <c r="FC454" s="102">
        <f>IF('Renewable Diesel'!$BG463&lt;1,0,(((('Renewable Diesel'!$BG463-1)*'Renewable Diesel'!$BF463)*'RD Feedstock Breakdown'!EB454)*'Feedstock Conversion Rates'!$B$3))</f>
        <v>1136.0027928353509</v>
      </c>
      <c r="FD454" s="102">
        <f>IF('Renewable Diesel'!$BG463&lt;1,0,(((('Renewable Diesel'!$BG463-1)*'Renewable Diesel'!$BF463)*'RD Feedstock Breakdown'!EC454)*'Feedstock Conversion Rates'!$B$4))</f>
        <v>5764.2998860254493</v>
      </c>
      <c r="FE454" s="102">
        <f>IF('Renewable Diesel'!$BG463&lt;1,0,(((('Renewable Diesel'!$BG463-1)*'Renewable Diesel'!$BF463)*'RD Feedstock Breakdown'!ED454)*'Feedstock Conversion Rates'!$B$5))</f>
        <v>702.05323873866598</v>
      </c>
      <c r="FF454" s="102">
        <f>IF('Renewable Diesel'!$BG463&lt;1,0,(((('Renewable Diesel'!$BG463-1)*'Renewable Diesel'!$BF463)*'RD Feedstock Breakdown'!EE454)*'Feedstock Conversion Rates'!$B$6))</f>
        <v>926.09205030056455</v>
      </c>
      <c r="FG454" s="102">
        <f>IF('Renewable Diesel'!$BG463&lt;1,0,(((('Renewable Diesel'!$BG463-1)*'Renewable Diesel'!$BF463)*'RD Feedstock Breakdown'!EF454)*'Feedstock Conversion Rates'!$B$7))</f>
        <v>1505.7976022559524</v>
      </c>
      <c r="FH454" s="102">
        <f>IF('Renewable Diesel'!$BG463&lt;1,0,(((('Renewable Diesel'!$BG463-1)*'Renewable Diesel'!$BF463)*'RD Feedstock Breakdown'!EG454)*'Feedstock Conversion Rates'!$B$8))</f>
        <v>299.9140214061224</v>
      </c>
      <c r="FI454" s="102">
        <f>IF('Renewable Diesel'!$BG463&lt;1,0,(((('Renewable Diesel'!$BG463-1)*'Renewable Diesel'!$BF463)*'RD Feedstock Breakdown'!EH454)*'Feedstock Conversion Rates'!$B$9))</f>
        <v>11.272958772852347</v>
      </c>
      <c r="FJ454" s="102">
        <f t="shared" si="463"/>
        <v>10701.84984019351</v>
      </c>
      <c r="GD454" s="91">
        <f>'Renewable Diesel'!BB463*0.32</f>
        <v>0</v>
      </c>
      <c r="GE454" s="91">
        <f>'Renewable Diesel'!BC463</f>
        <v>545.73569752009905</v>
      </c>
      <c r="GF454" s="91">
        <f>'Renewable Diesel'!BD463</f>
        <v>0</v>
      </c>
      <c r="GG454" s="91">
        <f t="shared" si="451"/>
        <v>545.73569752009905</v>
      </c>
      <c r="GH454" s="124">
        <v>1</v>
      </c>
      <c r="GI454" s="102">
        <f>$GG454*EA454*'Feedstock Conversion Rates'!$B$2</f>
        <v>145.05591476931758</v>
      </c>
      <c r="GJ454" s="102">
        <f>$GG454*EB454*'Feedstock Conversion Rates'!$B$3</f>
        <v>462.334260946283</v>
      </c>
      <c r="GK454" s="102">
        <f>$GG454*EC454*'Feedstock Conversion Rates'!$B$4</f>
        <v>2345.9742744352407</v>
      </c>
      <c r="GL454" s="102">
        <f>$GG454*ED454*'Feedstock Conversion Rates'!$B$5</f>
        <v>285.7240029023676</v>
      </c>
      <c r="GM454" s="102">
        <f>$GG454*EE454*'Feedstock Conversion Rates'!$B$6</f>
        <v>376.90407659587186</v>
      </c>
      <c r="GN454" s="102">
        <f>$GG454*EF454*'Feedstock Conversion Rates'!$B$7</f>
        <v>612.83460389748643</v>
      </c>
      <c r="GO454" s="102">
        <f>$GG454*EG454*'Feedstock Conversion Rates'!$B$8</f>
        <v>122.06002336327386</v>
      </c>
      <c r="GP454" s="102">
        <f>$GG454*EH454*'Feedstock Conversion Rates'!B$9</f>
        <v>4.587906909908452</v>
      </c>
      <c r="GQ454" s="102">
        <f t="shared" si="437"/>
        <v>4355.4750638197493</v>
      </c>
      <c r="GT454" s="103">
        <f t="shared" si="484"/>
        <v>3.3304269372191886E-2</v>
      </c>
      <c r="GU454" s="103">
        <f t="shared" si="484"/>
        <v>0.10615013383656387</v>
      </c>
      <c r="GV454" s="103">
        <f t="shared" si="484"/>
        <v>0.53862649654979833</v>
      </c>
      <c r="GW454" s="103">
        <f t="shared" si="484"/>
        <v>6.5601110950176761E-2</v>
      </c>
      <c r="GX454" s="103">
        <f t="shared" si="465"/>
        <v>8.653569841938831E-2</v>
      </c>
      <c r="GY454" s="103">
        <f t="shared" si="465"/>
        <v>0.14070442257566981</v>
      </c>
      <c r="GZ454" s="103">
        <f t="shared" si="465"/>
        <v>2.802450285554552E-2</v>
      </c>
      <c r="HA454" s="103">
        <f t="shared" si="465"/>
        <v>1.0533654406655838E-3</v>
      </c>
    </row>
    <row r="455" spans="1:209" x14ac:dyDescent="0.25">
      <c r="A455" s="96">
        <v>54271</v>
      </c>
      <c r="B455" s="104">
        <f t="shared" si="473"/>
        <v>44.25</v>
      </c>
      <c r="C455" s="104">
        <f t="shared" si="466"/>
        <v>49</v>
      </c>
      <c r="D455" s="104">
        <f t="shared" si="474"/>
        <v>2</v>
      </c>
      <c r="E455" s="104">
        <f>('Renewable Diesel'!B464*E$3*'Feedstock Conversion Rates'!$B$2)/12+26+13-100+27.5+39</f>
        <v>95.43</v>
      </c>
      <c r="F455" s="104">
        <f>('Renewable Diesel'!B464*'RD Feedstock Breakdown'!F$3*'Feedstock Conversion Rates'!B$8)/12+77+23-10-12-115.75+24+8</f>
        <v>48.15625</v>
      </c>
      <c r="G455" s="104">
        <f>('Renewable Diesel'!B464*'RD Feedstock Breakdown'!G$3*'Feedstock Conversion Rates'!B$7)/12+116.75-39-57.5-145-31.5+32+70-40+10+60</f>
        <v>151.90700000000004</v>
      </c>
      <c r="H455" s="104">
        <f>('Renewable Diesel'!B464*'RD Feedstock Breakdown'!H$3*'Feedstock Conversion Rates'!B$3)/12+67+10+12+3-235+20+47-20+25</f>
        <v>105.40022499999998</v>
      </c>
      <c r="I455" s="106">
        <f t="shared" si="449"/>
        <v>496.14347500000002</v>
      </c>
      <c r="J455" s="104">
        <f t="shared" si="483"/>
        <v>4</v>
      </c>
      <c r="K455" s="104"/>
      <c r="L455" s="104">
        <v>1</v>
      </c>
      <c r="M455" s="104">
        <f>('Renewable Diesel'!C464*'RD Feedstock Breakdown'!M$3*'Feedstock Conversion Rates'!B$2)/12</f>
        <v>7.7902500000000003</v>
      </c>
      <c r="N455" s="104">
        <f>('Renewable Diesel'!C464*'RD Feedstock Breakdown'!N$3*'Feedstock Conversion Rates'!B$8)/12</f>
        <v>3.671875</v>
      </c>
      <c r="O455" s="104">
        <f>('Renewable Diesel'!C464*'RD Feedstock Breakdown'!O$3*'Feedstock Conversion Rates'!B$7)/12</f>
        <v>11.9991</v>
      </c>
      <c r="P455" s="104">
        <f>('Renewable Diesel'!C464*'RD Feedstock Breakdown'!P$3*'Feedstock Conversion Rates'!B$3)/12</f>
        <v>10.4470425</v>
      </c>
      <c r="Q455" s="106">
        <f t="shared" si="455"/>
        <v>38.908267500000001</v>
      </c>
      <c r="R455" s="104">
        <f>('Renewable Diesel'!D464*'RD Feedstock Breakdown'!R$3*'Feedstock Conversion Rates'!B$7)/12</f>
        <v>2.2999999999999998</v>
      </c>
      <c r="S455" s="106">
        <f t="shared" si="481"/>
        <v>2.2999999999999998</v>
      </c>
      <c r="T455" s="104">
        <f t="shared" si="456"/>
        <v>0.82499999999999929</v>
      </c>
      <c r="U455" s="104"/>
      <c r="V455" s="104">
        <f>('Renewable Diesel'!E464*'RD Feedstock Breakdown'!V$3*'Feedstock Conversion Rates'!B$6)/12-20+25</f>
        <v>49.250150000000012</v>
      </c>
      <c r="W455" s="104">
        <f>('Renewable Diesel'!E464*'RD Feedstock Breakdown'!W$3*'Feedstock Conversion Rates'!B$8)/12-6</f>
        <v>16.1796875</v>
      </c>
      <c r="X455" s="106">
        <f t="shared" si="438"/>
        <v>66.254837500000008</v>
      </c>
      <c r="Y455" s="104">
        <f t="shared" si="457"/>
        <v>98</v>
      </c>
      <c r="Z455" s="104">
        <f>('Renewable Diesel'!F464*'RD Feedstock Breakdown'!Z$3*'Feedstock Conversion Rates'!B$6)/12-142+15+5+20+5+15</f>
        <v>77.460000000000008</v>
      </c>
      <c r="AA455" s="104">
        <f>('Renewable Diesel'!F464*'RD Feedstock Breakdown'!AA$3*'Feedstock Conversion Rates'!B$7)/12+24</f>
        <v>128.26666666666665</v>
      </c>
      <c r="AB455" s="106">
        <f t="shared" si="471"/>
        <v>303.72666666666669</v>
      </c>
      <c r="AC455" s="104">
        <f>('Renewable Diesel'!G464*'RD Feedstock Breakdown'!AC$3*'Feedstock Conversion Rates'!B$5)/12</f>
        <v>11.796875</v>
      </c>
      <c r="AD455" s="104">
        <f>('Renewable Diesel'!G464*'RD Feedstock Breakdown'!AD$3*'Feedstock Conversion Rates'!B$4)/12</f>
        <v>5.859375</v>
      </c>
      <c r="AE455" s="104">
        <f>('Renewable Diesel'!G464*'RD Feedstock Breakdown'!AE$3*'Feedstock Conversion Rates'!B$6)/12</f>
        <v>7.3281250000000009</v>
      </c>
      <c r="AF455" s="106">
        <f t="shared" si="445"/>
        <v>24.984375</v>
      </c>
      <c r="AG455" s="104">
        <f t="shared" si="459"/>
        <v>148</v>
      </c>
      <c r="AH455" s="104"/>
      <c r="AI455" s="104">
        <f>('Renewable Diesel'!H464*'RD Feedstock Breakdown'!AI$3*'Feedstock Conversion Rates'!B$6)/12-130-20+51-49</f>
        <v>0.51666666666667993</v>
      </c>
      <c r="AJ455" s="106">
        <f t="shared" si="480"/>
        <v>148.51666666666668</v>
      </c>
      <c r="AK455" s="104">
        <f>('Renewable Diesel'!J464*'RD Feedstock Breakdown'!AK$3*'Feedstock Conversion Rates'!B$4)/12</f>
        <v>95.8125</v>
      </c>
      <c r="AL455" s="106">
        <f t="shared" si="482"/>
        <v>95.8125</v>
      </c>
      <c r="AM455" s="104">
        <f>('Renewable Diesel'!K464*'RD Feedstock Breakdown'!AM$3*'Feedstock Conversion Rates'!B$4)/12+5+15-10+10</f>
        <v>78.59375</v>
      </c>
      <c r="AN455" s="104">
        <f>('Renewable Diesel'!K464*'RD Feedstock Breakdown'!AN$3*'Feedstock Conversion Rates'!B$6)/12-5-15+10-10</f>
        <v>4.4270833333333321</v>
      </c>
      <c r="AO455" s="106">
        <f t="shared" si="431"/>
        <v>83.020833333333329</v>
      </c>
      <c r="AP455" s="104">
        <f>('Renewable Diesel'!L464*'RD Feedstock Breakdown'!AP$3*'Feedstock Conversion Rates'!B$4)/12+15-10+15</f>
        <v>78.59375</v>
      </c>
      <c r="AQ455" s="104">
        <f>('Renewable Diesel'!L464*'RD Feedstock Breakdown'!AQ$3*'Feedstock Conversion Rates'!B$6)/12-15+10-15</f>
        <v>4.4270833333333321</v>
      </c>
      <c r="AR455" s="106">
        <f t="shared" si="420"/>
        <v>83.020833333333329</v>
      </c>
      <c r="AS455" s="104">
        <f>('Renewable Diesel'!M464*'RD Feedstock Breakdown'!AS$3*'Feedstock Conversion Rates'!B$4)/12</f>
        <v>456.25</v>
      </c>
      <c r="AT455" s="104">
        <f>('Renewable Diesel'!M464*'RD Feedstock Breakdown'!AT$3*'Feedstock Conversion Rates'!B$5)/12</f>
        <v>0</v>
      </c>
      <c r="AU455" s="106">
        <f t="shared" si="448"/>
        <v>456.25</v>
      </c>
      <c r="AV455" s="104">
        <f>'Renewable Diesel'!N464*'RD Feedstock Breakdown'!$AV$3*'Feedstock Conversion Rates'!$B$4/12-15-10+25+25-22+25</f>
        <v>106.74999999999999</v>
      </c>
      <c r="AW455" s="104">
        <f>'Renewable Diesel'!N464*'RD Feedstock Breakdown'!$AW$3*'Feedstock Conversion Rates'!$B$7/12+15+10-25-25+22-25</f>
        <v>13.400000000000006</v>
      </c>
      <c r="AX455" s="106">
        <f t="shared" si="475"/>
        <v>120.14999999999999</v>
      </c>
      <c r="AY455" s="104">
        <f>('Renewable Diesel'!O464*'RD Feedstock Breakdown'!AY$3*'Feedstock Conversion Rates'!B$4)/12</f>
        <v>210.9375</v>
      </c>
      <c r="AZ455" s="104">
        <f>('Renewable Diesel'!O464*'RD Feedstock Breakdown'!AZ$3*'Feedstock Conversion Rates'!B$3)/12</f>
        <v>25.03125</v>
      </c>
      <c r="BA455" s="106">
        <f t="shared" si="458"/>
        <v>235.96875</v>
      </c>
      <c r="BB455" s="104">
        <f>('Renewable Diesel'!Q464*'RD Feedstock Breakdown'!BB$3*'Feedstock Conversion Rates'!B$4)/12</f>
        <v>11.156249999999998</v>
      </c>
      <c r="BC455" s="104">
        <f>('Renewable Diesel'!Q464*'RD Feedstock Breakdown'!BC$3*'Feedstock Conversion Rates'!B$3)/12</f>
        <v>1.4017500000000001</v>
      </c>
      <c r="BD455" s="104">
        <f>('Renewable Diesel'!Q464*'RD Feedstock Breakdown'!BD$3*'Feedstock Conversion Rates'!B$6)/12</f>
        <v>0.8207500000000002</v>
      </c>
      <c r="BE455" s="106">
        <f t="shared" si="440"/>
        <v>13.378749999999998</v>
      </c>
      <c r="BF455" s="104">
        <f>('Renewable Diesel'!R464*'RD Feedstock Breakdown'!BF$3*'Feedstock Conversion Rates'!B$4)/12</f>
        <v>62.5</v>
      </c>
      <c r="BG455" s="106">
        <f t="shared" si="425"/>
        <v>62.5</v>
      </c>
      <c r="BH455" s="104">
        <f>('Renewable Diesel'!T464*'RD Feedstock Breakdown'!BH$3*'Feedstock Conversion Rates'!B$7)/12</f>
        <v>27.599999999999998</v>
      </c>
      <c r="BI455" s="106">
        <f t="shared" si="479"/>
        <v>27.599999999999998</v>
      </c>
      <c r="BJ455" s="104">
        <f>('Renewable Diesel'!W464*'RD Feedstock Breakdown'!BJ$3*'Feedstock Conversion Rates'!B$4)/12</f>
        <v>7.5</v>
      </c>
      <c r="BK455" s="104">
        <f>('Renewable Diesel'!W464*'RD Feedstock Breakdown'!BK$3*'Feedstock Conversion Rates'!B$3)/12</f>
        <v>1.335</v>
      </c>
      <c r="BL455" s="104">
        <f>('Renewable Diesel'!W464*'RD Feedstock Breakdown'!BL$3*'Feedstock Conversion Rates'!B$6)/12</f>
        <v>3.1266666666666669</v>
      </c>
      <c r="BM455" s="104">
        <f>('Renewable Diesel'!W464*'RD Feedstock Breakdown'!BM$3*'Feedstock Conversion Rates'!B$7)/12</f>
        <v>1.5333333333333332</v>
      </c>
      <c r="BN455" s="106">
        <f t="shared" si="452"/>
        <v>13.495000000000001</v>
      </c>
      <c r="BO455" s="104">
        <f>('Renewable Diesel'!P464*'Feedstock Conversion Rates'!B$4)/12</f>
        <v>31.25</v>
      </c>
      <c r="BP455" s="106">
        <f t="shared" si="446"/>
        <v>31.25</v>
      </c>
      <c r="BQ455" s="104">
        <f>('Renewable Diesel'!$S464*'RD Feedstock Breakdown'!BQ$3*'Feedstock Conversion Rates'!B$4)/12+10+15-15</f>
        <v>38.125</v>
      </c>
      <c r="BR455" s="104">
        <f>('Renewable Diesel'!$S464*'RD Feedstock Breakdown'!BR$3*'Feedstock Conversion Rates'!B$7)/12-10-15+15</f>
        <v>1.5</v>
      </c>
      <c r="BS455" s="106">
        <f t="shared" si="460"/>
        <v>39.625</v>
      </c>
      <c r="BT455" s="106"/>
      <c r="BU455" s="104">
        <f>('Renewable Diesel'!Y464*'Feedstock Conversion Rates'!B$7)/12</f>
        <v>2.6833333333333331</v>
      </c>
      <c r="BV455" s="106">
        <f t="shared" si="442"/>
        <v>2.6833333333333331</v>
      </c>
      <c r="BW455" s="104">
        <f>('Renewable Diesel'!$Z464*'RD Feedstock Breakdown'!BW$3*'Feedstock Conversion Rates'!$B$4)/12-250+180</f>
        <v>1.875</v>
      </c>
      <c r="BX455" s="104">
        <f>('Renewable Diesel'!$Z464*'RD Feedstock Breakdown'!BX$3*'Feedstock Conversion Rates'!$B$5)/12</f>
        <v>7.2354166666666666</v>
      </c>
      <c r="BY455" s="104">
        <f>('Renewable Diesel'!$Z464*'RD Feedstock Breakdown'!BY$3*'Feedstock Conversion Rates'!$B$7)/12</f>
        <v>61.716666666666661</v>
      </c>
      <c r="BZ455" s="104">
        <f>('Renewable Diesel'!$Z464*'RD Feedstock Breakdown'!BZ$3*'Feedstock Conversion Rates'!$B$3)/12+250-180</f>
        <v>85.35250000000002</v>
      </c>
      <c r="CA455" s="106">
        <f t="shared" si="464"/>
        <v>156.17958333333334</v>
      </c>
      <c r="CB455" s="104">
        <f>('Renewable Diesel'!AA464*'Feedstock Conversion Rates'!B$4)/12</f>
        <v>191.25</v>
      </c>
      <c r="CC455" s="106">
        <f t="shared" si="454"/>
        <v>191.25</v>
      </c>
      <c r="CD455" s="104">
        <f>('Renewable Diesel'!$AB464*'RD Feedstock Breakdown'!CD$3*'Feedstock Conversion Rates'!$B$6)/12-15-5</f>
        <v>12.830000000000005</v>
      </c>
      <c r="CE455" s="104">
        <f>('Renewable Diesel'!$AB464*'RD Feedstock Breakdown'!CE$3*'Feedstock Conversion Rates'!$B$4)/12+15+5</f>
        <v>31.25</v>
      </c>
      <c r="CF455" s="106">
        <f t="shared" si="450"/>
        <v>44.080000000000005</v>
      </c>
      <c r="CG455" s="104">
        <f>('Renewable Diesel'!AD464*'Feedstock Conversion Rates'!B$4)/12</f>
        <v>112.5</v>
      </c>
      <c r="CH455" s="106">
        <f t="shared" si="439"/>
        <v>112.5</v>
      </c>
      <c r="CI455" s="104">
        <f>('Renewable Diesel'!$AE464*'RD Feedstock Breakdown'!CI$3*'Feedstock Conversion Rates'!$B$5)/12</f>
        <v>0.34604166666666664</v>
      </c>
      <c r="CJ455" s="104">
        <f>('Renewable Diesel'!$AE464*'RD Feedstock Breakdown'!CJ$3*'Feedstock Conversion Rates'!$B$4)/12</f>
        <v>0.34375</v>
      </c>
      <c r="CK455" s="106">
        <f t="shared" si="447"/>
        <v>0.68979166666666658</v>
      </c>
      <c r="CL455" s="104">
        <f>(((CL$3*'Renewable Diesel'!$AF464)*'Feedstock Conversion Rates'!$B$3)/12)</f>
        <v>91.78125</v>
      </c>
      <c r="CM455" s="104">
        <f>(((CM$3*'Renewable Diesel'!$AF464)*'Feedstock Conversion Rates'!$B$6)/12)</f>
        <v>53.739583333333336</v>
      </c>
      <c r="CN455" s="104">
        <f>(((CN$3*'Renewable Diesel'!$AF464)*'Feedstock Conversion Rates'!$B$4)/12)</f>
        <v>42.96875</v>
      </c>
      <c r="CO455" s="106">
        <f t="shared" si="441"/>
        <v>188.48958333333334</v>
      </c>
      <c r="CP455" s="104">
        <f>('Renewable Diesel'!$AG464*'RD Feedstock Breakdown'!CP$3*'Feedstock Conversion Rates'!$B$3)/12</f>
        <v>6.0075000000000003</v>
      </c>
      <c r="CQ455" s="104">
        <f>('Renewable Diesel'!$AG464*'RD Feedstock Breakdown'!CQ$3*'Feedstock Conversion Rates'!$B$6)/12</f>
        <v>3.5175000000000001</v>
      </c>
      <c r="CR455" s="104">
        <f>('Renewable Diesel'!$AG464*'RD Feedstock Breakdown'!CR$3*'Feedstock Conversion Rates'!$B$4)/12</f>
        <v>2.8125</v>
      </c>
      <c r="CS455" s="106">
        <f t="shared" si="467"/>
        <v>12.3375</v>
      </c>
      <c r="CT455" s="104">
        <f>('Renewable Diesel'!AI464*'Feedstock Conversion Rates'!$B$4*'RD Feedstock Breakdown'!$CT$3)/12</f>
        <v>29.375</v>
      </c>
      <c r="CU455" s="106">
        <f t="shared" si="443"/>
        <v>29.375</v>
      </c>
      <c r="CV455" s="104">
        <f>('Renewable Diesel'!AN464*'Feedstock Conversion Rates'!$B$3*'RD Feedstock Breakdown'!$CV$3)/12</f>
        <v>0.50062499999999999</v>
      </c>
      <c r="CW455" s="106">
        <f t="shared" ref="CW455:CW495" si="485">CV455</f>
        <v>0.50062499999999999</v>
      </c>
      <c r="CX455" s="104">
        <f>('Renewable Diesel'!AO464*'RD Feedstock Breakdown'!$CX$3*'Feedstock Conversion Rates'!$B$3)/12</f>
        <v>6.3412499999999996</v>
      </c>
      <c r="CY455" s="104">
        <f>('Renewable Diesel'!AO464*'RD Feedstock Breakdown'!$CY$3*'Feedstock Conversion Rates'!$B$6)/12</f>
        <v>7.4258333333333342</v>
      </c>
      <c r="CZ455" s="106">
        <f t="shared" si="468"/>
        <v>13.767083333333334</v>
      </c>
      <c r="DA455" s="104">
        <f>('Renewable Diesel'!$AP464*'RD Feedstock Breakdown'!DA$3*'Feedstock Conversion Rates'!$B$3)/12</f>
        <v>6.3412499999999996</v>
      </c>
      <c r="DB455" s="104">
        <f>('Renewable Diesel'!$AP464*'RD Feedstock Breakdown'!DB$3*'Feedstock Conversion Rates'!$B$8)/12</f>
        <v>7.421875</v>
      </c>
      <c r="DC455" s="106">
        <f t="shared" si="422"/>
        <v>13.763124999999999</v>
      </c>
      <c r="DD455" s="104">
        <f>('Renewable Diesel'!AQ464*$DD$3*'Feedstock Conversion Rates'!$B$14)/12</f>
        <v>3.1041666666666665</v>
      </c>
      <c r="DE455" s="106">
        <f t="shared" si="423"/>
        <v>3.1041666666666665</v>
      </c>
      <c r="DF455" s="104">
        <f>('Renewable Diesel'!AR464*'Feedstock Conversion Rates'!$B$4*$DF$3)/12</f>
        <v>75</v>
      </c>
      <c r="DG455" s="106">
        <f t="shared" si="469"/>
        <v>75</v>
      </c>
      <c r="DH455" s="104">
        <f>('Renewable Diesel'!AS464*'Feedstock Conversion Rates'!$B$4*$DH$3)/12</f>
        <v>75</v>
      </c>
      <c r="DI455" s="106">
        <f t="shared" si="478"/>
        <v>75</v>
      </c>
      <c r="DJ455" s="104">
        <f>('Renewable Diesel'!AT464*'Feedstock Conversion Rates'!$B$4*0.25)/12</f>
        <v>8.59375</v>
      </c>
      <c r="DK455" s="104">
        <f>('Renewable Diesel'!$AT464*'RD Feedstock Breakdown'!DK$3*'Feedstock Conversion Rates'!$B$3)/12*0.5</f>
        <v>9.1781249999999996</v>
      </c>
      <c r="DL455" s="104">
        <f>('Renewable Diesel'!$AT464*'RD Feedstock Breakdown'!$DL$3*'Feedstock Conversion Rates'!$B$6)/12</f>
        <v>10.747916666666669</v>
      </c>
      <c r="DM455" s="104">
        <f>('Renewable Diesel'!$AT464*'RD Feedstock Breakdown'!$DM$3*'Feedstock Conversion Rates'!$B$8)/12</f>
        <v>10.7421875</v>
      </c>
      <c r="DN455" s="106">
        <f t="shared" si="453"/>
        <v>39.26197916666667</v>
      </c>
      <c r="DP455" s="104">
        <f t="shared" si="426"/>
        <v>103.22025000000001</v>
      </c>
      <c r="DQ455" s="104">
        <f t="shared" si="427"/>
        <v>349.11776750000007</v>
      </c>
      <c r="DR455" s="104">
        <f t="shared" si="432"/>
        <v>1891.953125</v>
      </c>
      <c r="DS455" s="104">
        <f t="shared" si="444"/>
        <v>228.90125</v>
      </c>
      <c r="DT455" s="104">
        <f t="shared" si="428"/>
        <v>243.03923333333344</v>
      </c>
      <c r="DU455" s="104">
        <f t="shared" si="429"/>
        <v>402.90610000000009</v>
      </c>
      <c r="DV455" s="104">
        <f t="shared" si="433"/>
        <v>78.75</v>
      </c>
      <c r="DW455" s="104">
        <f t="shared" si="430"/>
        <v>3</v>
      </c>
      <c r="DX455" s="106">
        <f t="shared" si="434"/>
        <v>3300.8877258333337</v>
      </c>
      <c r="DY455" s="109">
        <f t="shared" si="421"/>
        <v>-5.631051180898794E-13</v>
      </c>
      <c r="EA455" s="110">
        <f t="shared" si="472"/>
        <v>3.1270451640078516E-2</v>
      </c>
      <c r="EB455" s="110">
        <f t="shared" si="470"/>
        <v>0.10576481131658687</v>
      </c>
      <c r="EC455" s="110">
        <f t="shared" si="470"/>
        <v>0.57316494293133291</v>
      </c>
      <c r="ED455" s="110">
        <f t="shared" si="470"/>
        <v>6.9345360706629972E-2</v>
      </c>
      <c r="EE455" s="110">
        <f t="shared" si="470"/>
        <v>7.3628445896921982E-2</v>
      </c>
      <c r="EF455" s="110">
        <f t="shared" si="470"/>
        <v>0.1220599225010852</v>
      </c>
      <c r="EG455" s="110">
        <f t="shared" si="470"/>
        <v>2.3857218585075921E-2</v>
      </c>
      <c r="EH455" s="111">
        <f t="shared" si="435"/>
        <v>9.0884642228860647E-4</v>
      </c>
      <c r="EI455" s="110">
        <f t="shared" si="476"/>
        <v>0.99909115357771139</v>
      </c>
      <c r="EK455" s="132">
        <f>(EA455*'Renewable Diesel'!BF464*'Feedstock Conversion Rates'!B$2)+FB455</f>
        <v>676.79448314927015</v>
      </c>
      <c r="EL455" s="132">
        <f>(EB455*'Renewable Diesel'!BF464*'Feedstock Conversion Rates'!B$3)+FC455</f>
        <v>2157.135596138583</v>
      </c>
      <c r="EM455" s="132">
        <f>(EC455*'Renewable Diesel'!BF464*'Feedstock Conversion Rates'!B$4)+FD455</f>
        <v>10945.727025836</v>
      </c>
      <c r="EN455" s="132">
        <f>(ED455*'Renewable Diesel'!BF464*'Feedstock Conversion Rates'!B$5)+FE455</f>
        <v>1333.1164687436221</v>
      </c>
      <c r="EO455" s="132">
        <f>(EE455*'Renewable Diesel'!BF464*'Feedstock Conversion Rates'!B$6)+FF455</f>
        <v>1758.5398025459372</v>
      </c>
      <c r="EP455" s="132">
        <f>(EF455*'Renewable Diesel'!BF464*'Feedstock Conversion Rates'!B$7)+FG455</f>
        <v>2859.3324144029893</v>
      </c>
      <c r="EQ455" s="132">
        <f>(EG455*'Renewable Diesel'!BF464*'Feedstock Conversion Rates'!B$8)+FH455</f>
        <v>569.50142678917132</v>
      </c>
      <c r="ER455" s="132">
        <f>(EH455*'Renewable Diesel'!BF464*'Feedstock Conversion Rates'!B$9)+FI455</f>
        <v>21.406021883123131</v>
      </c>
      <c r="ES455" s="132">
        <f t="shared" si="436"/>
        <v>20321.553239488694</v>
      </c>
      <c r="ET455" s="133">
        <f>ES455/'Renewable Diesel'!BF464</f>
        <v>18.755683630341018</v>
      </c>
      <c r="EW455" s="73">
        <f t="shared" si="461"/>
        <v>19332.7899781706</v>
      </c>
      <c r="EX455" s="73">
        <f t="shared" si="462"/>
        <v>12663.083328845414</v>
      </c>
      <c r="EY455" s="92">
        <f t="shared" si="477"/>
        <v>0.95134410988837526</v>
      </c>
      <c r="EZ455" s="92">
        <f t="shared" si="477"/>
        <v>0.62313560285532721</v>
      </c>
      <c r="FB455" s="102">
        <f>IF('Renewable Diesel'!$BG464&lt;1,0,(((('Renewable Diesel'!$BG464-1)*'Renewable Diesel'!$BF464)*'RD Feedstock Breakdown'!EA455)*'Feedstock Conversion Rates'!$B$2))</f>
        <v>388.80470026611522</v>
      </c>
      <c r="FC455" s="102">
        <f>IF('Renewable Diesel'!$BG464&lt;1,0,(((('Renewable Diesel'!$BG464-1)*'Renewable Diesel'!$BF464)*'RD Feedstock Breakdown'!EB455)*'Feedstock Conversion Rates'!$B$3))</f>
        <v>1239.2306376189083</v>
      </c>
      <c r="FD455" s="102">
        <f>IF('Renewable Diesel'!$BG464&lt;1,0,(((('Renewable Diesel'!$BG464-1)*'Renewable Diesel'!$BF464)*'RD Feedstock Breakdown'!EC455)*'Feedstock Conversion Rates'!$B$4))</f>
        <v>6288.098117573245</v>
      </c>
      <c r="FE455" s="102">
        <f>IF('Renewable Diesel'!$BG464&lt;1,0,(((('Renewable Diesel'!$BG464-1)*'Renewable Diesel'!$BF464)*'RD Feedstock Breakdown'!ED455)*'Feedstock Conversion Rates'!$B$5))</f>
        <v>765.84836601773486</v>
      </c>
      <c r="FF455" s="102">
        <f>IF('Renewable Diesel'!$BG464&lt;1,0,(((('Renewable Diesel'!$BG464-1)*'Renewable Diesel'!$BF464)*'RD Feedstock Breakdown'!EE455)*'Feedstock Conversion Rates'!$B$6))</f>
        <v>1010.2454406149571</v>
      </c>
      <c r="FG455" s="102">
        <f>IF('Renewable Diesel'!$BG464&lt;1,0,(((('Renewable Diesel'!$BG464-1)*'Renewable Diesel'!$BF464)*'RD Feedstock Breakdown'!EF455)*'Feedstock Conversion Rates'!$B$7))</f>
        <v>1642.628464064986</v>
      </c>
      <c r="FH455" s="102">
        <f>IF('Renewable Diesel'!$BG464&lt;1,0,(((('Renewable Diesel'!$BG464-1)*'Renewable Diesel'!$BF464)*'RD Feedstock Breakdown'!EG455)*'Feedstock Conversion Rates'!$B$8))</f>
        <v>327.16701606897175</v>
      </c>
      <c r="FI455" s="102">
        <f>IF('Renewable Diesel'!$BG464&lt;1,0,(((('Renewable Diesel'!$BG464-1)*'Renewable Diesel'!$BF464)*'RD Feedstock Breakdown'!EH455)*'Feedstock Conversion Rates'!$B$9))</f>
        <v>12.297325302401983</v>
      </c>
      <c r="FJ455" s="102">
        <f t="shared" si="463"/>
        <v>11674.32006752732</v>
      </c>
      <c r="GD455" s="91">
        <f>'Renewable Diesel'!BB464*0.32</f>
        <v>0</v>
      </c>
      <c r="GE455" s="91">
        <f>'Renewable Diesel'!BC464</f>
        <v>594.21527847558991</v>
      </c>
      <c r="GF455" s="91">
        <f>'Renewable Diesel'!BD464</f>
        <v>0</v>
      </c>
      <c r="GG455" s="91">
        <f t="shared" si="451"/>
        <v>594.21527847558991</v>
      </c>
      <c r="GH455" s="124">
        <v>1</v>
      </c>
      <c r="GI455" s="102">
        <f>$GG455*EA455*'Feedstock Conversion Rates'!$B$2</f>
        <v>157.94173109961713</v>
      </c>
      <c r="GJ455" s="102">
        <f>$GG455*EB455*'Feedstock Conversion Rates'!$B$3</f>
        <v>503.40500514332518</v>
      </c>
      <c r="GK455" s="102">
        <f>$GG455*EC455*'Feedstock Conversion Rates'!$B$4</f>
        <v>2554.3752463229071</v>
      </c>
      <c r="GL455" s="102">
        <f>$GG455*ED455*'Feedstock Conversion Rates'!$B$5</f>
        <v>311.1058498157667</v>
      </c>
      <c r="GM455" s="102">
        <f>$GG455*EE455*'Feedstock Conversion Rates'!$B$6</f>
        <v>410.38576338457813</v>
      </c>
      <c r="GN455" s="102">
        <f>$GG455*EF455*'Feedstock Conversion Rates'!$B$7</f>
        <v>667.27481172515968</v>
      </c>
      <c r="GO455" s="102">
        <f>$GG455*EG455*'Feedstock Conversion Rates'!$B$8</f>
        <v>132.90303548609913</v>
      </c>
      <c r="GP455" s="102">
        <f>$GG455*EH455*'Feedstock Conversion Rates'!B$9</f>
        <v>4.9954664766838528</v>
      </c>
      <c r="GQ455" s="102">
        <f t="shared" si="437"/>
        <v>4742.3869094541369</v>
      </c>
      <c r="GT455" s="103">
        <f t="shared" si="484"/>
        <v>3.3304269372191886E-2</v>
      </c>
      <c r="GU455" s="103">
        <f t="shared" si="484"/>
        <v>0.10615013383656387</v>
      </c>
      <c r="GV455" s="103">
        <f t="shared" si="484"/>
        <v>0.53862649654979822</v>
      </c>
      <c r="GW455" s="103">
        <f t="shared" si="484"/>
        <v>6.5601110950176775E-2</v>
      </c>
      <c r="GX455" s="103">
        <f t="shared" si="465"/>
        <v>8.653569841938831E-2</v>
      </c>
      <c r="GY455" s="103">
        <f t="shared" si="465"/>
        <v>0.14070442257566981</v>
      </c>
      <c r="GZ455" s="103">
        <f t="shared" si="465"/>
        <v>2.802450285554552E-2</v>
      </c>
      <c r="HA455" s="103">
        <f t="shared" si="465"/>
        <v>1.0533654406655836E-3</v>
      </c>
    </row>
    <row r="456" spans="1:209" x14ac:dyDescent="0.25">
      <c r="A456" s="96">
        <v>54302</v>
      </c>
      <c r="B456" s="104">
        <f t="shared" si="473"/>
        <v>44.25</v>
      </c>
      <c r="C456" s="104">
        <f t="shared" si="466"/>
        <v>49</v>
      </c>
      <c r="D456" s="104">
        <f t="shared" si="474"/>
        <v>2</v>
      </c>
      <c r="E456" s="104">
        <f>('Renewable Diesel'!B465*E$3*'Feedstock Conversion Rates'!$B$2)/12+26+13-100+27.5+39</f>
        <v>95.43</v>
      </c>
      <c r="F456" s="104">
        <f>('Renewable Diesel'!B465*'RD Feedstock Breakdown'!F$3*'Feedstock Conversion Rates'!B$8)/12+77+23-10-12-115.75+24+8</f>
        <v>48.15625</v>
      </c>
      <c r="G456" s="104">
        <f>('Renewable Diesel'!B465*'RD Feedstock Breakdown'!G$3*'Feedstock Conversion Rates'!B$7)/12+116.75-39-57.5-145-31.5+32+70-40+10+60</f>
        <v>151.90700000000004</v>
      </c>
      <c r="H456" s="104">
        <f>('Renewable Diesel'!B465*'RD Feedstock Breakdown'!H$3*'Feedstock Conversion Rates'!B$3)/12+67+10+12+3-235+20+47-20+25</f>
        <v>105.40022499999998</v>
      </c>
      <c r="I456" s="106">
        <f t="shared" si="449"/>
        <v>496.14347500000002</v>
      </c>
      <c r="J456" s="104">
        <f t="shared" si="483"/>
        <v>4</v>
      </c>
      <c r="K456" s="104"/>
      <c r="L456" s="104">
        <v>1</v>
      </c>
      <c r="M456" s="104">
        <f>('Renewable Diesel'!C465*'RD Feedstock Breakdown'!M$3*'Feedstock Conversion Rates'!B$2)/12</f>
        <v>7.7902500000000003</v>
      </c>
      <c r="N456" s="104">
        <f>('Renewable Diesel'!C465*'RD Feedstock Breakdown'!N$3*'Feedstock Conversion Rates'!B$8)/12</f>
        <v>3.671875</v>
      </c>
      <c r="O456" s="104">
        <f>('Renewable Diesel'!C465*'RD Feedstock Breakdown'!O$3*'Feedstock Conversion Rates'!B$7)/12</f>
        <v>11.9991</v>
      </c>
      <c r="P456" s="104">
        <f>('Renewable Diesel'!C465*'RD Feedstock Breakdown'!P$3*'Feedstock Conversion Rates'!B$3)/12</f>
        <v>10.4470425</v>
      </c>
      <c r="Q456" s="106">
        <f t="shared" si="455"/>
        <v>38.908267500000001</v>
      </c>
      <c r="R456" s="104">
        <f>('Renewable Diesel'!D465*'RD Feedstock Breakdown'!R$3*'Feedstock Conversion Rates'!B$7)/12</f>
        <v>2.2999999999999998</v>
      </c>
      <c r="S456" s="106">
        <f t="shared" si="481"/>
        <v>2.2999999999999998</v>
      </c>
      <c r="T456" s="104">
        <f t="shared" si="456"/>
        <v>0.82499999999999929</v>
      </c>
      <c r="U456" s="104"/>
      <c r="V456" s="104">
        <f>('Renewable Diesel'!E465*'RD Feedstock Breakdown'!V$3*'Feedstock Conversion Rates'!B$6)/12-20+25</f>
        <v>49.250150000000012</v>
      </c>
      <c r="W456" s="104">
        <f>('Renewable Diesel'!E465*'RD Feedstock Breakdown'!W$3*'Feedstock Conversion Rates'!B$8)/12-6</f>
        <v>16.1796875</v>
      </c>
      <c r="X456" s="106">
        <f t="shared" si="438"/>
        <v>66.254837500000008</v>
      </c>
      <c r="Y456" s="104">
        <f t="shared" si="457"/>
        <v>98</v>
      </c>
      <c r="Z456" s="104">
        <f>('Renewable Diesel'!F465*'RD Feedstock Breakdown'!Z$3*'Feedstock Conversion Rates'!B$6)/12-142+15+5+20+5+15</f>
        <v>77.460000000000008</v>
      </c>
      <c r="AA456" s="104">
        <f>('Renewable Diesel'!F465*'RD Feedstock Breakdown'!AA$3*'Feedstock Conversion Rates'!B$7)/12+24</f>
        <v>128.26666666666665</v>
      </c>
      <c r="AB456" s="106">
        <f t="shared" si="471"/>
        <v>303.72666666666669</v>
      </c>
      <c r="AC456" s="104">
        <f>('Renewable Diesel'!G465*'RD Feedstock Breakdown'!AC$3*'Feedstock Conversion Rates'!B$5)/12</f>
        <v>11.796875</v>
      </c>
      <c r="AD456" s="104">
        <f>('Renewable Diesel'!G465*'RD Feedstock Breakdown'!AD$3*'Feedstock Conversion Rates'!B$4)/12</f>
        <v>5.859375</v>
      </c>
      <c r="AE456" s="104">
        <f>('Renewable Diesel'!G465*'RD Feedstock Breakdown'!AE$3*'Feedstock Conversion Rates'!B$6)/12</f>
        <v>7.3281250000000009</v>
      </c>
      <c r="AF456" s="106">
        <f t="shared" si="445"/>
        <v>24.984375</v>
      </c>
      <c r="AG456" s="104">
        <f t="shared" si="459"/>
        <v>148</v>
      </c>
      <c r="AH456" s="104"/>
      <c r="AI456" s="104">
        <f>('Renewable Diesel'!H465*'RD Feedstock Breakdown'!AI$3*'Feedstock Conversion Rates'!B$6)/12-130-20+51-49</f>
        <v>0.51666666666667993</v>
      </c>
      <c r="AJ456" s="106">
        <f t="shared" si="480"/>
        <v>148.51666666666668</v>
      </c>
      <c r="AK456" s="104">
        <f>('Renewable Diesel'!J465*'RD Feedstock Breakdown'!AK$3*'Feedstock Conversion Rates'!B$4)/12</f>
        <v>95.8125</v>
      </c>
      <c r="AL456" s="106">
        <f t="shared" si="482"/>
        <v>95.8125</v>
      </c>
      <c r="AM456" s="104">
        <f>('Renewable Diesel'!K465*'RD Feedstock Breakdown'!AM$3*'Feedstock Conversion Rates'!B$4)/12+5+15-10+10</f>
        <v>78.59375</v>
      </c>
      <c r="AN456" s="104">
        <f>('Renewable Diesel'!K465*'RD Feedstock Breakdown'!AN$3*'Feedstock Conversion Rates'!B$6)/12-5-15+10-10</f>
        <v>4.4270833333333321</v>
      </c>
      <c r="AO456" s="106">
        <f t="shared" si="431"/>
        <v>83.020833333333329</v>
      </c>
      <c r="AP456" s="104">
        <f>('Renewable Diesel'!L465*'RD Feedstock Breakdown'!AP$3*'Feedstock Conversion Rates'!B$4)/12+15-10+15</f>
        <v>78.59375</v>
      </c>
      <c r="AQ456" s="104">
        <f>('Renewable Diesel'!L465*'RD Feedstock Breakdown'!AQ$3*'Feedstock Conversion Rates'!B$6)/12-15+10-15</f>
        <v>4.4270833333333321</v>
      </c>
      <c r="AR456" s="106">
        <f t="shared" si="420"/>
        <v>83.020833333333329</v>
      </c>
      <c r="AS456" s="104">
        <f>('Renewable Diesel'!M465*'RD Feedstock Breakdown'!AS$3*'Feedstock Conversion Rates'!B$4)/12</f>
        <v>456.25</v>
      </c>
      <c r="AT456" s="104">
        <f>('Renewable Diesel'!M465*'RD Feedstock Breakdown'!AT$3*'Feedstock Conversion Rates'!B$5)/12</f>
        <v>0</v>
      </c>
      <c r="AU456" s="106">
        <f t="shared" si="448"/>
        <v>456.25</v>
      </c>
      <c r="AV456" s="104">
        <f>'Renewable Diesel'!N465*'RD Feedstock Breakdown'!$AV$3*'Feedstock Conversion Rates'!$B$4/12-15-10+25+25-22+25</f>
        <v>106.74999999999999</v>
      </c>
      <c r="AW456" s="104">
        <f>'Renewable Diesel'!N465*'RD Feedstock Breakdown'!$AW$3*'Feedstock Conversion Rates'!$B$7/12+15+10-25-25+22-25</f>
        <v>13.400000000000006</v>
      </c>
      <c r="AX456" s="106">
        <f t="shared" si="475"/>
        <v>120.14999999999999</v>
      </c>
      <c r="AY456" s="104">
        <f>('Renewable Diesel'!O465*'RD Feedstock Breakdown'!AY$3*'Feedstock Conversion Rates'!B$4)/12</f>
        <v>210.9375</v>
      </c>
      <c r="AZ456" s="104">
        <f>('Renewable Diesel'!O465*'RD Feedstock Breakdown'!AZ$3*'Feedstock Conversion Rates'!B$3)/12</f>
        <v>25.03125</v>
      </c>
      <c r="BA456" s="106">
        <f t="shared" si="458"/>
        <v>235.96875</v>
      </c>
      <c r="BB456" s="104">
        <f>('Renewable Diesel'!Q465*'RD Feedstock Breakdown'!BB$3*'Feedstock Conversion Rates'!B$4)/12</f>
        <v>11.156249999999998</v>
      </c>
      <c r="BC456" s="104">
        <f>('Renewable Diesel'!Q465*'RD Feedstock Breakdown'!BC$3*'Feedstock Conversion Rates'!B$3)/12</f>
        <v>1.4017500000000001</v>
      </c>
      <c r="BD456" s="104">
        <f>('Renewable Diesel'!Q465*'RD Feedstock Breakdown'!BD$3*'Feedstock Conversion Rates'!B$6)/12</f>
        <v>0.8207500000000002</v>
      </c>
      <c r="BE456" s="106">
        <f t="shared" si="440"/>
        <v>13.378749999999998</v>
      </c>
      <c r="BF456" s="104">
        <f>('Renewable Diesel'!R465*'RD Feedstock Breakdown'!BF$3*'Feedstock Conversion Rates'!B$4)/12</f>
        <v>62.5</v>
      </c>
      <c r="BG456" s="106">
        <f t="shared" si="425"/>
        <v>62.5</v>
      </c>
      <c r="BH456" s="104">
        <f>('Renewable Diesel'!T465*'RD Feedstock Breakdown'!BH$3*'Feedstock Conversion Rates'!B$7)/12</f>
        <v>27.599999999999998</v>
      </c>
      <c r="BI456" s="106">
        <f t="shared" si="479"/>
        <v>27.599999999999998</v>
      </c>
      <c r="BJ456" s="104">
        <f>('Renewable Diesel'!W465*'RD Feedstock Breakdown'!BJ$3*'Feedstock Conversion Rates'!B$4)/12</f>
        <v>7.5</v>
      </c>
      <c r="BK456" s="104">
        <f>('Renewable Diesel'!W465*'RD Feedstock Breakdown'!BK$3*'Feedstock Conversion Rates'!B$3)/12</f>
        <v>1.335</v>
      </c>
      <c r="BL456" s="104">
        <f>('Renewable Diesel'!W465*'RD Feedstock Breakdown'!BL$3*'Feedstock Conversion Rates'!B$6)/12</f>
        <v>3.1266666666666669</v>
      </c>
      <c r="BM456" s="104">
        <f>('Renewable Diesel'!W465*'RD Feedstock Breakdown'!BM$3*'Feedstock Conversion Rates'!B$7)/12</f>
        <v>1.5333333333333332</v>
      </c>
      <c r="BN456" s="106">
        <f t="shared" si="452"/>
        <v>13.495000000000001</v>
      </c>
      <c r="BO456" s="104">
        <f>('Renewable Diesel'!P465*'Feedstock Conversion Rates'!B$4)/12</f>
        <v>31.25</v>
      </c>
      <c r="BP456" s="106">
        <f t="shared" si="446"/>
        <v>31.25</v>
      </c>
      <c r="BQ456" s="104">
        <f>('Renewable Diesel'!$S465*'RD Feedstock Breakdown'!BQ$3*'Feedstock Conversion Rates'!B$4)/12+10+15-15</f>
        <v>38.125</v>
      </c>
      <c r="BR456" s="104">
        <f>('Renewable Diesel'!$S465*'RD Feedstock Breakdown'!BR$3*'Feedstock Conversion Rates'!B$7)/12-10-15+15</f>
        <v>1.5</v>
      </c>
      <c r="BS456" s="106">
        <f t="shared" si="460"/>
        <v>39.625</v>
      </c>
      <c r="BT456" s="106"/>
      <c r="BU456" s="104">
        <f>('Renewable Diesel'!Y465*'Feedstock Conversion Rates'!B$7)/12</f>
        <v>2.6833333333333331</v>
      </c>
      <c r="BV456" s="106">
        <f t="shared" si="442"/>
        <v>2.6833333333333331</v>
      </c>
      <c r="BW456" s="104">
        <f>('Renewable Diesel'!$Z465*'RD Feedstock Breakdown'!BW$3*'Feedstock Conversion Rates'!$B$4)/12-250+180</f>
        <v>1.875</v>
      </c>
      <c r="BX456" s="104">
        <f>('Renewable Diesel'!$Z465*'RD Feedstock Breakdown'!BX$3*'Feedstock Conversion Rates'!$B$5)/12</f>
        <v>7.2354166666666666</v>
      </c>
      <c r="BY456" s="104">
        <f>('Renewable Diesel'!$Z465*'RD Feedstock Breakdown'!BY$3*'Feedstock Conversion Rates'!$B$7)/12</f>
        <v>61.716666666666661</v>
      </c>
      <c r="BZ456" s="104">
        <f>('Renewable Diesel'!$Z465*'RD Feedstock Breakdown'!BZ$3*'Feedstock Conversion Rates'!$B$3)/12+250-180</f>
        <v>85.35250000000002</v>
      </c>
      <c r="CA456" s="106">
        <f t="shared" si="464"/>
        <v>156.17958333333334</v>
      </c>
      <c r="CB456" s="104">
        <f>('Renewable Diesel'!AA465*'Feedstock Conversion Rates'!B$4)/12</f>
        <v>191.25</v>
      </c>
      <c r="CC456" s="106">
        <f t="shared" si="454"/>
        <v>191.25</v>
      </c>
      <c r="CD456" s="104">
        <f>('Renewable Diesel'!$AB465*'RD Feedstock Breakdown'!CD$3*'Feedstock Conversion Rates'!$B$6)/12-15-5</f>
        <v>12.830000000000005</v>
      </c>
      <c r="CE456" s="104">
        <f>('Renewable Diesel'!$AB465*'RD Feedstock Breakdown'!CE$3*'Feedstock Conversion Rates'!$B$4)/12+15+5</f>
        <v>31.25</v>
      </c>
      <c r="CF456" s="106">
        <f t="shared" si="450"/>
        <v>44.080000000000005</v>
      </c>
      <c r="CG456" s="104">
        <f>('Renewable Diesel'!AD465*'Feedstock Conversion Rates'!B$4)/12</f>
        <v>112.5</v>
      </c>
      <c r="CH456" s="106">
        <f t="shared" si="439"/>
        <v>112.5</v>
      </c>
      <c r="CI456" s="104">
        <f>('Renewable Diesel'!$AE465*'RD Feedstock Breakdown'!CI$3*'Feedstock Conversion Rates'!$B$5)/12</f>
        <v>0.34604166666666664</v>
      </c>
      <c r="CJ456" s="104">
        <f>('Renewable Diesel'!$AE465*'RD Feedstock Breakdown'!CJ$3*'Feedstock Conversion Rates'!$B$4)/12</f>
        <v>0.34375</v>
      </c>
      <c r="CK456" s="106">
        <f t="shared" si="447"/>
        <v>0.68979166666666658</v>
      </c>
      <c r="CL456" s="104">
        <f>(((CL$3*'Renewable Diesel'!$AF465)*'Feedstock Conversion Rates'!$B$3)/12)</f>
        <v>91.78125</v>
      </c>
      <c r="CM456" s="104">
        <f>(((CM$3*'Renewable Diesel'!$AF465)*'Feedstock Conversion Rates'!$B$6)/12)</f>
        <v>53.739583333333336</v>
      </c>
      <c r="CN456" s="104">
        <f>(((CN$3*'Renewable Diesel'!$AF465)*'Feedstock Conversion Rates'!$B$4)/12)</f>
        <v>42.96875</v>
      </c>
      <c r="CO456" s="106">
        <f t="shared" si="441"/>
        <v>188.48958333333334</v>
      </c>
      <c r="CP456" s="104">
        <f>('Renewable Diesel'!$AG465*'RD Feedstock Breakdown'!CP$3*'Feedstock Conversion Rates'!$B$3)/12</f>
        <v>6.0075000000000003</v>
      </c>
      <c r="CQ456" s="104">
        <f>('Renewable Diesel'!$AG465*'RD Feedstock Breakdown'!CQ$3*'Feedstock Conversion Rates'!$B$6)/12</f>
        <v>3.5175000000000001</v>
      </c>
      <c r="CR456" s="104">
        <f>('Renewable Diesel'!$AG465*'RD Feedstock Breakdown'!CR$3*'Feedstock Conversion Rates'!$B$4)/12</f>
        <v>2.8125</v>
      </c>
      <c r="CS456" s="106">
        <f t="shared" si="467"/>
        <v>12.3375</v>
      </c>
      <c r="CT456" s="104">
        <f>('Renewable Diesel'!AI465*'Feedstock Conversion Rates'!$B$4*'RD Feedstock Breakdown'!$CT$3)/12</f>
        <v>29.375</v>
      </c>
      <c r="CU456" s="106">
        <f t="shared" si="443"/>
        <v>29.375</v>
      </c>
      <c r="CV456" s="104">
        <f>('Renewable Diesel'!AN465*'Feedstock Conversion Rates'!$B$3*'RD Feedstock Breakdown'!$CV$3)/12</f>
        <v>0.50062499999999999</v>
      </c>
      <c r="CW456" s="106">
        <f t="shared" si="485"/>
        <v>0.50062499999999999</v>
      </c>
      <c r="CX456" s="104">
        <f>('Renewable Diesel'!AO465*'RD Feedstock Breakdown'!$CX$3*'Feedstock Conversion Rates'!$B$3)/12</f>
        <v>6.3412499999999996</v>
      </c>
      <c r="CY456" s="104">
        <f>('Renewable Diesel'!AO465*'RD Feedstock Breakdown'!$CY$3*'Feedstock Conversion Rates'!$B$6)/12</f>
        <v>7.4258333333333342</v>
      </c>
      <c r="CZ456" s="106">
        <f t="shared" si="468"/>
        <v>13.767083333333334</v>
      </c>
      <c r="DA456" s="104">
        <f>('Renewable Diesel'!$AP465*'RD Feedstock Breakdown'!DA$3*'Feedstock Conversion Rates'!$B$3)/12</f>
        <v>6.3412499999999996</v>
      </c>
      <c r="DB456" s="104">
        <f>('Renewable Diesel'!$AP465*'RD Feedstock Breakdown'!DB$3*'Feedstock Conversion Rates'!$B$8)/12</f>
        <v>7.421875</v>
      </c>
      <c r="DC456" s="106">
        <f t="shared" si="422"/>
        <v>13.763124999999999</v>
      </c>
      <c r="DD456" s="104">
        <f>('Renewable Diesel'!AQ465*$DD$3*'Feedstock Conversion Rates'!$B$14)/12</f>
        <v>3.1041666666666665</v>
      </c>
      <c r="DE456" s="106">
        <f t="shared" si="423"/>
        <v>3.1041666666666665</v>
      </c>
      <c r="DF456" s="104">
        <f>('Renewable Diesel'!AR465*'Feedstock Conversion Rates'!$B$4*$DF$3)/12</f>
        <v>75</v>
      </c>
      <c r="DG456" s="106">
        <f t="shared" si="469"/>
        <v>75</v>
      </c>
      <c r="DH456" s="104">
        <f>('Renewable Diesel'!AS465*'Feedstock Conversion Rates'!$B$4*$DH$3)/12</f>
        <v>75</v>
      </c>
      <c r="DI456" s="106">
        <f t="shared" si="478"/>
        <v>75</v>
      </c>
      <c r="DJ456" s="104">
        <f>('Renewable Diesel'!AT465*'Feedstock Conversion Rates'!$B$4*0.25)/12</f>
        <v>8.59375</v>
      </c>
      <c r="DK456" s="104">
        <f>('Renewable Diesel'!$AT465*'RD Feedstock Breakdown'!DK$3*'Feedstock Conversion Rates'!$B$3)/12*0.5</f>
        <v>9.1781249999999996</v>
      </c>
      <c r="DL456" s="104">
        <f>('Renewable Diesel'!$AT465*'RD Feedstock Breakdown'!$DL$3*'Feedstock Conversion Rates'!$B$6)/12</f>
        <v>10.747916666666669</v>
      </c>
      <c r="DM456" s="104">
        <f>('Renewable Diesel'!$AT465*'RD Feedstock Breakdown'!$DM$3*'Feedstock Conversion Rates'!$B$8)/12</f>
        <v>10.7421875</v>
      </c>
      <c r="DN456" s="106">
        <f t="shared" si="453"/>
        <v>39.26197916666667</v>
      </c>
      <c r="DP456" s="104">
        <f t="shared" si="426"/>
        <v>103.22025000000001</v>
      </c>
      <c r="DQ456" s="104">
        <f t="shared" si="427"/>
        <v>349.11776750000007</v>
      </c>
      <c r="DR456" s="104">
        <f t="shared" si="432"/>
        <v>1891.953125</v>
      </c>
      <c r="DS456" s="104">
        <f t="shared" si="444"/>
        <v>228.90125</v>
      </c>
      <c r="DT456" s="104">
        <f t="shared" si="428"/>
        <v>243.03923333333344</v>
      </c>
      <c r="DU456" s="104">
        <f t="shared" si="429"/>
        <v>402.90610000000009</v>
      </c>
      <c r="DV456" s="104">
        <f t="shared" si="433"/>
        <v>78.75</v>
      </c>
      <c r="DW456" s="104">
        <f t="shared" si="430"/>
        <v>3</v>
      </c>
      <c r="DX456" s="106">
        <f t="shared" si="434"/>
        <v>3300.8877258333337</v>
      </c>
      <c r="DY456" s="109">
        <f t="shared" si="421"/>
        <v>-5.631051180898794E-13</v>
      </c>
      <c r="EA456" s="110">
        <f t="shared" si="472"/>
        <v>3.1270451640078516E-2</v>
      </c>
      <c r="EB456" s="110">
        <f t="shared" si="470"/>
        <v>0.10576481131658687</v>
      </c>
      <c r="EC456" s="110">
        <f t="shared" si="470"/>
        <v>0.57316494293133291</v>
      </c>
      <c r="ED456" s="110">
        <f t="shared" si="470"/>
        <v>6.9345360706629972E-2</v>
      </c>
      <c r="EE456" s="110">
        <f t="shared" si="470"/>
        <v>7.3628445896921982E-2</v>
      </c>
      <c r="EF456" s="110">
        <f t="shared" si="470"/>
        <v>0.1220599225010852</v>
      </c>
      <c r="EG456" s="110">
        <f t="shared" si="470"/>
        <v>2.3857218585075921E-2</v>
      </c>
      <c r="EH456" s="111">
        <f t="shared" si="435"/>
        <v>9.0884642228860647E-4</v>
      </c>
      <c r="EI456" s="110">
        <f t="shared" si="476"/>
        <v>0.99909115357771139</v>
      </c>
      <c r="EK456" s="132">
        <f>(EA456*'Renewable Diesel'!BF465*'Feedstock Conversion Rates'!B$2)+FB456</f>
        <v>859.34779072874971</v>
      </c>
      <c r="EL456" s="132">
        <f>(EB456*'Renewable Diesel'!BF465*'Feedstock Conversion Rates'!B$3)+FC456</f>
        <v>2738.9846622540913</v>
      </c>
      <c r="EM456" s="132">
        <f>(EC456*'Renewable Diesel'!BF465*'Feedstock Conversion Rates'!B$4)+FD456</f>
        <v>13898.142747563672</v>
      </c>
      <c r="EN456" s="132">
        <f>(ED456*'Renewable Diesel'!BF465*'Feedstock Conversion Rates'!B$5)+FE456</f>
        <v>1692.7009908062059</v>
      </c>
      <c r="EO456" s="132">
        <f>(EE456*'Renewable Diesel'!BF465*'Feedstock Conversion Rates'!B$6)+FF456</f>
        <v>2232.8747232017868</v>
      </c>
      <c r="EP456" s="132">
        <f>(EF456*'Renewable Diesel'!BF465*'Feedstock Conversion Rates'!B$7)+FG456</f>
        <v>3630.5866174360826</v>
      </c>
      <c r="EQ456" s="132">
        <f>(EG456*'Renewable Diesel'!BF465*'Feedstock Conversion Rates'!B$8)+FH456</f>
        <v>723.11433546393982</v>
      </c>
      <c r="ER456" s="132">
        <f>(EH456*'Renewable Diesel'!BF465*'Feedstock Conversion Rates'!B$9)+FI456</f>
        <v>27.179916609184271</v>
      </c>
      <c r="ES456" s="132">
        <f t="shared" si="436"/>
        <v>25802.931784063712</v>
      </c>
      <c r="ET456" s="133">
        <f>ES456/'Renewable Diesel'!BF465</f>
        <v>21.134353919304164</v>
      </c>
      <c r="EW456" s="73">
        <f t="shared" si="461"/>
        <v>25294.148275368578</v>
      </c>
      <c r="EX456" s="73">
        <f t="shared" si="462"/>
        <v>16567.805666167638</v>
      </c>
      <c r="EY456" s="92">
        <f t="shared" si="477"/>
        <v>0.98028194962677195</v>
      </c>
      <c r="EZ456" s="92">
        <f t="shared" si="477"/>
        <v>0.64209004638768108</v>
      </c>
      <c r="FB456" s="102">
        <f>IF('Renewable Diesel'!$BG465&lt;1,0,(((('Renewable Diesel'!$BG465-1)*'Renewable Diesel'!$BF465)*'RD Feedstock Breakdown'!EA456)*'Feedstock Conversion Rates'!$B$2))</f>
        <v>534.83399978646264</v>
      </c>
      <c r="FC456" s="102">
        <f>IF('Renewable Diesel'!$BG465&lt;1,0,(((('Renewable Diesel'!$BG465-1)*'Renewable Diesel'!$BF465)*'RD Feedstock Breakdown'!EB456)*'Feedstock Conversion Rates'!$B$3))</f>
        <v>1704.6673513000519</v>
      </c>
      <c r="FD456" s="102">
        <f>IF('Renewable Diesel'!$BG465&lt;1,0,(((('Renewable Diesel'!$BG465-1)*'Renewable Diesel'!$BF465)*'RD Feedstock Breakdown'!EC456)*'Feedstock Conversion Rates'!$B$4))</f>
        <v>8649.8148426949992</v>
      </c>
      <c r="FE456" s="102">
        <f>IF('Renewable Diesel'!$BG465&lt;1,0,(((('Renewable Diesel'!$BG465-1)*'Renewable Diesel'!$BF465)*'RD Feedstock Breakdown'!ED456)*'Feedstock Conversion Rates'!$B$5))</f>
        <v>1053.4896943037011</v>
      </c>
      <c r="FF456" s="102">
        <f>IF('Renewable Diesel'!$BG465&lt;1,0,(((('Renewable Diesel'!$BG465-1)*'Renewable Diesel'!$BF465)*'RD Feedstock Breakdown'!EE456)*'Feedstock Conversion Rates'!$B$6))</f>
        <v>1389.6786983293157</v>
      </c>
      <c r="FG456" s="102">
        <f>IF('Renewable Diesel'!$BG465&lt;1,0,(((('Renewable Diesel'!$BG465-1)*'Renewable Diesel'!$BF465)*'RD Feedstock Breakdown'!EF456)*'Feedstock Conversion Rates'!$B$7))</f>
        <v>2259.5754397970568</v>
      </c>
      <c r="FH456" s="102">
        <f>IF('Renewable Diesel'!$BG465&lt;1,0,(((('Renewable Diesel'!$BG465-1)*'Renewable Diesel'!$BF465)*'RD Feedstock Breakdown'!EG456)*'Feedstock Conversion Rates'!$B$8))</f>
        <v>450.04611230935711</v>
      </c>
      <c r="FI456" s="102">
        <f>IF('Renewable Diesel'!$BG465&lt;1,0,(((('Renewable Diesel'!$BG465-1)*'Renewable Diesel'!$BF465)*'RD Feedstock Breakdown'!EH456)*'Feedstock Conversion Rates'!$B$9))</f>
        <v>16.916018951564403</v>
      </c>
      <c r="FJ456" s="102">
        <f t="shared" si="463"/>
        <v>16059.022157472509</v>
      </c>
      <c r="GD456" s="91">
        <f>'Renewable Diesel'!BB465*0.32</f>
        <v>0</v>
      </c>
      <c r="GE456" s="91">
        <f>'Renewable Diesel'!BC465</f>
        <v>722.71012116820077</v>
      </c>
      <c r="GF456" s="91">
        <f>'Renewable Diesel'!BD465</f>
        <v>0</v>
      </c>
      <c r="GG456" s="91">
        <f t="shared" si="451"/>
        <v>722.71012116820077</v>
      </c>
      <c r="GH456" s="124">
        <v>1</v>
      </c>
      <c r="GI456" s="102">
        <f>$GG456*EA456*'Feedstock Conversion Rates'!$B$2</f>
        <v>192.0955110971768</v>
      </c>
      <c r="GJ456" s="102">
        <f>$GG456*EB456*'Feedstock Conversion Rates'!$B$3</f>
        <v>612.26276981155854</v>
      </c>
      <c r="GK456" s="102">
        <f>$GG456*EC456*'Feedstock Conversion Rates'!$B$4</f>
        <v>3106.7407901645138</v>
      </c>
      <c r="GL456" s="102">
        <f>$GG456*ED456*'Feedstock Conversion Rates'!$B$5</f>
        <v>378.38028499249555</v>
      </c>
      <c r="GM456" s="102">
        <f>$GG456*EE456*'Feedstock Conversion Rates'!$B$6</f>
        <v>499.12877626144171</v>
      </c>
      <c r="GN456" s="102">
        <f>$GG456*EF456*'Feedstock Conversion Rates'!$B$7</f>
        <v>811.56826070097236</v>
      </c>
      <c r="GO456" s="102">
        <f>$GG456*EG456*'Feedstock Conversion Rates'!$B$8</f>
        <v>161.64237500959192</v>
      </c>
      <c r="GP456" s="102">
        <f>$GG456*EH456*'Feedstock Conversion Rates'!B$9</f>
        <v>6.0757006987732316</v>
      </c>
      <c r="GQ456" s="102">
        <f t="shared" si="437"/>
        <v>5767.8944687365238</v>
      </c>
      <c r="GT456" s="103">
        <f t="shared" si="484"/>
        <v>3.3304269372191893E-2</v>
      </c>
      <c r="GU456" s="103">
        <f t="shared" si="484"/>
        <v>0.10615013383656388</v>
      </c>
      <c r="GV456" s="103">
        <f t="shared" si="484"/>
        <v>0.53862649654979822</v>
      </c>
      <c r="GW456" s="103">
        <f t="shared" si="484"/>
        <v>6.5601110950176761E-2</v>
      </c>
      <c r="GX456" s="103">
        <f t="shared" si="465"/>
        <v>8.6535698419388324E-2</v>
      </c>
      <c r="GY456" s="103">
        <f t="shared" si="465"/>
        <v>0.14070442257566981</v>
      </c>
      <c r="GZ456" s="103">
        <f t="shared" si="465"/>
        <v>2.802450285554552E-2</v>
      </c>
      <c r="HA456" s="103">
        <f t="shared" si="465"/>
        <v>1.0533654406655838E-3</v>
      </c>
    </row>
    <row r="457" spans="1:209" x14ac:dyDescent="0.25">
      <c r="A457" s="96">
        <v>54332</v>
      </c>
      <c r="B457" s="104">
        <f t="shared" si="473"/>
        <v>44.25</v>
      </c>
      <c r="C457" s="104">
        <f t="shared" si="466"/>
        <v>49</v>
      </c>
      <c r="D457" s="104">
        <f t="shared" si="474"/>
        <v>2</v>
      </c>
      <c r="E457" s="104">
        <f>('Renewable Diesel'!B466*E$3*'Feedstock Conversion Rates'!$B$2)/12+26+13-100+27.5+39</f>
        <v>95.43</v>
      </c>
      <c r="F457" s="104">
        <f>('Renewable Diesel'!B466*'RD Feedstock Breakdown'!F$3*'Feedstock Conversion Rates'!B$8)/12+77+23-10-12-115.75+24+8</f>
        <v>48.15625</v>
      </c>
      <c r="G457" s="104">
        <f>('Renewable Diesel'!B466*'RD Feedstock Breakdown'!G$3*'Feedstock Conversion Rates'!B$7)/12+116.75-39-57.5-145-31.5+32+70-40+10+60</f>
        <v>151.90700000000004</v>
      </c>
      <c r="H457" s="104">
        <f>('Renewable Diesel'!B466*'RD Feedstock Breakdown'!H$3*'Feedstock Conversion Rates'!B$3)/12+67+10+12+3-235+20+47-20+25</f>
        <v>105.40022499999998</v>
      </c>
      <c r="I457" s="106">
        <f t="shared" si="449"/>
        <v>496.14347500000002</v>
      </c>
      <c r="J457" s="104">
        <f t="shared" si="483"/>
        <v>4</v>
      </c>
      <c r="K457" s="104"/>
      <c r="L457" s="104">
        <v>1</v>
      </c>
      <c r="M457" s="104">
        <f>('Renewable Diesel'!C466*'RD Feedstock Breakdown'!M$3*'Feedstock Conversion Rates'!B$2)/12</f>
        <v>7.7902500000000003</v>
      </c>
      <c r="N457" s="104">
        <f>('Renewable Diesel'!C466*'RD Feedstock Breakdown'!N$3*'Feedstock Conversion Rates'!B$8)/12</f>
        <v>3.671875</v>
      </c>
      <c r="O457" s="104">
        <f>('Renewable Diesel'!C466*'RD Feedstock Breakdown'!O$3*'Feedstock Conversion Rates'!B$7)/12</f>
        <v>11.9991</v>
      </c>
      <c r="P457" s="104">
        <f>('Renewable Diesel'!C466*'RD Feedstock Breakdown'!P$3*'Feedstock Conversion Rates'!B$3)/12</f>
        <v>10.4470425</v>
      </c>
      <c r="Q457" s="106">
        <f t="shared" si="455"/>
        <v>38.908267500000001</v>
      </c>
      <c r="R457" s="104">
        <f>('Renewable Diesel'!D466*'RD Feedstock Breakdown'!R$3*'Feedstock Conversion Rates'!B$7)/12</f>
        <v>2.2999999999999998</v>
      </c>
      <c r="S457" s="106">
        <f t="shared" si="481"/>
        <v>2.2999999999999998</v>
      </c>
      <c r="T457" s="104">
        <f t="shared" si="456"/>
        <v>0.82499999999999929</v>
      </c>
      <c r="U457" s="104"/>
      <c r="V457" s="104">
        <f>('Renewable Diesel'!E466*'RD Feedstock Breakdown'!V$3*'Feedstock Conversion Rates'!B$6)/12-20+25</f>
        <v>49.250150000000012</v>
      </c>
      <c r="W457" s="104">
        <f>('Renewable Diesel'!E466*'RD Feedstock Breakdown'!W$3*'Feedstock Conversion Rates'!B$8)/12-6</f>
        <v>16.1796875</v>
      </c>
      <c r="X457" s="106">
        <f t="shared" si="438"/>
        <v>66.254837500000008</v>
      </c>
      <c r="Y457" s="104">
        <f t="shared" si="457"/>
        <v>98</v>
      </c>
      <c r="Z457" s="104">
        <f>('Renewable Diesel'!F466*'RD Feedstock Breakdown'!Z$3*'Feedstock Conversion Rates'!B$6)/12-142+15+5+20+5+15</f>
        <v>77.460000000000008</v>
      </c>
      <c r="AA457" s="104">
        <f>('Renewable Diesel'!F466*'RD Feedstock Breakdown'!AA$3*'Feedstock Conversion Rates'!B$7)/12+24</f>
        <v>128.26666666666665</v>
      </c>
      <c r="AB457" s="106">
        <f t="shared" si="471"/>
        <v>303.72666666666669</v>
      </c>
      <c r="AC457" s="104">
        <f>('Renewable Diesel'!G466*'RD Feedstock Breakdown'!AC$3*'Feedstock Conversion Rates'!B$5)/12</f>
        <v>11.796875</v>
      </c>
      <c r="AD457" s="104">
        <f>('Renewable Diesel'!G466*'RD Feedstock Breakdown'!AD$3*'Feedstock Conversion Rates'!B$4)/12</f>
        <v>5.859375</v>
      </c>
      <c r="AE457" s="104">
        <f>('Renewable Diesel'!G466*'RD Feedstock Breakdown'!AE$3*'Feedstock Conversion Rates'!B$6)/12</f>
        <v>7.3281250000000009</v>
      </c>
      <c r="AF457" s="106">
        <f t="shared" si="445"/>
        <v>24.984375</v>
      </c>
      <c r="AG457" s="104">
        <f t="shared" si="459"/>
        <v>148</v>
      </c>
      <c r="AH457" s="104"/>
      <c r="AI457" s="104">
        <f>('Renewable Diesel'!H466*'RD Feedstock Breakdown'!AI$3*'Feedstock Conversion Rates'!B$6)/12-130-20+51-49</f>
        <v>0.51666666666667993</v>
      </c>
      <c r="AJ457" s="106">
        <f t="shared" si="480"/>
        <v>148.51666666666668</v>
      </c>
      <c r="AK457" s="104">
        <f>('Renewable Diesel'!J466*'RD Feedstock Breakdown'!AK$3*'Feedstock Conversion Rates'!B$4)/12</f>
        <v>95.8125</v>
      </c>
      <c r="AL457" s="106">
        <f t="shared" si="482"/>
        <v>95.8125</v>
      </c>
      <c r="AM457" s="104">
        <f>('Renewable Diesel'!K466*'RD Feedstock Breakdown'!AM$3*'Feedstock Conversion Rates'!B$4)/12+5+15-10+10</f>
        <v>78.59375</v>
      </c>
      <c r="AN457" s="104">
        <f>('Renewable Diesel'!K466*'RD Feedstock Breakdown'!AN$3*'Feedstock Conversion Rates'!B$6)/12-5-15+10-10</f>
        <v>4.4270833333333321</v>
      </c>
      <c r="AO457" s="106">
        <f t="shared" si="431"/>
        <v>83.020833333333329</v>
      </c>
      <c r="AP457" s="104">
        <f>('Renewable Diesel'!L466*'RD Feedstock Breakdown'!AP$3*'Feedstock Conversion Rates'!B$4)/12+15-10+15</f>
        <v>78.59375</v>
      </c>
      <c r="AQ457" s="104">
        <f>('Renewable Diesel'!L466*'RD Feedstock Breakdown'!AQ$3*'Feedstock Conversion Rates'!B$6)/12-15+10-15</f>
        <v>4.4270833333333321</v>
      </c>
      <c r="AR457" s="106">
        <f t="shared" ref="AR457:AR495" si="486">SUM(AP457:AQ457)</f>
        <v>83.020833333333329</v>
      </c>
      <c r="AS457" s="104">
        <f>('Renewable Diesel'!M466*'RD Feedstock Breakdown'!AS$3*'Feedstock Conversion Rates'!B$4)/12</f>
        <v>456.25</v>
      </c>
      <c r="AT457" s="104">
        <f>('Renewable Diesel'!M466*'RD Feedstock Breakdown'!AT$3*'Feedstock Conversion Rates'!B$5)/12</f>
        <v>0</v>
      </c>
      <c r="AU457" s="106">
        <f t="shared" si="448"/>
        <v>456.25</v>
      </c>
      <c r="AV457" s="104">
        <f>'Renewable Diesel'!N466*'RD Feedstock Breakdown'!$AV$3*'Feedstock Conversion Rates'!$B$4/12-15-10+25+25-22+25</f>
        <v>106.74999999999999</v>
      </c>
      <c r="AW457" s="104">
        <f>'Renewable Diesel'!N466*'RD Feedstock Breakdown'!$AW$3*'Feedstock Conversion Rates'!$B$7/12+15+10-25-25+22-25</f>
        <v>13.400000000000006</v>
      </c>
      <c r="AX457" s="106">
        <f t="shared" si="475"/>
        <v>120.14999999999999</v>
      </c>
      <c r="AY457" s="104">
        <f>('Renewable Diesel'!O466*'RD Feedstock Breakdown'!AY$3*'Feedstock Conversion Rates'!B$4)/12</f>
        <v>210.9375</v>
      </c>
      <c r="AZ457" s="104">
        <f>('Renewable Diesel'!O466*'RD Feedstock Breakdown'!AZ$3*'Feedstock Conversion Rates'!B$3)/12</f>
        <v>25.03125</v>
      </c>
      <c r="BA457" s="106">
        <f t="shared" si="458"/>
        <v>235.96875</v>
      </c>
      <c r="BB457" s="104">
        <f>('Renewable Diesel'!Q466*'RD Feedstock Breakdown'!BB$3*'Feedstock Conversion Rates'!B$4)/12</f>
        <v>11.156249999999998</v>
      </c>
      <c r="BC457" s="104">
        <f>('Renewable Diesel'!Q466*'RD Feedstock Breakdown'!BC$3*'Feedstock Conversion Rates'!B$3)/12</f>
        <v>1.4017500000000001</v>
      </c>
      <c r="BD457" s="104">
        <f>('Renewable Diesel'!Q466*'RD Feedstock Breakdown'!BD$3*'Feedstock Conversion Rates'!B$6)/12</f>
        <v>0.8207500000000002</v>
      </c>
      <c r="BE457" s="106">
        <f t="shared" si="440"/>
        <v>13.378749999999998</v>
      </c>
      <c r="BF457" s="104">
        <f>('Renewable Diesel'!R466*'RD Feedstock Breakdown'!BF$3*'Feedstock Conversion Rates'!B$4)/12</f>
        <v>62.5</v>
      </c>
      <c r="BG457" s="106">
        <f t="shared" si="425"/>
        <v>62.5</v>
      </c>
      <c r="BH457" s="104">
        <f>('Renewable Diesel'!T466*'RD Feedstock Breakdown'!BH$3*'Feedstock Conversion Rates'!B$7)/12</f>
        <v>27.599999999999998</v>
      </c>
      <c r="BI457" s="106">
        <f t="shared" si="479"/>
        <v>27.599999999999998</v>
      </c>
      <c r="BJ457" s="104">
        <f>('Renewable Diesel'!W466*'RD Feedstock Breakdown'!BJ$3*'Feedstock Conversion Rates'!B$4)/12</f>
        <v>7.5</v>
      </c>
      <c r="BK457" s="104">
        <f>('Renewable Diesel'!W466*'RD Feedstock Breakdown'!BK$3*'Feedstock Conversion Rates'!B$3)/12</f>
        <v>1.335</v>
      </c>
      <c r="BL457" s="104">
        <f>('Renewable Diesel'!W466*'RD Feedstock Breakdown'!BL$3*'Feedstock Conversion Rates'!B$6)/12</f>
        <v>3.1266666666666669</v>
      </c>
      <c r="BM457" s="104">
        <f>('Renewable Diesel'!W466*'RD Feedstock Breakdown'!BM$3*'Feedstock Conversion Rates'!B$7)/12</f>
        <v>1.5333333333333332</v>
      </c>
      <c r="BN457" s="106">
        <f t="shared" si="452"/>
        <v>13.495000000000001</v>
      </c>
      <c r="BO457" s="104">
        <f>('Renewable Diesel'!P466*'Feedstock Conversion Rates'!B$4)/12</f>
        <v>31.25</v>
      </c>
      <c r="BP457" s="106">
        <f t="shared" si="446"/>
        <v>31.25</v>
      </c>
      <c r="BQ457" s="104">
        <f>('Renewable Diesel'!$S466*'RD Feedstock Breakdown'!BQ$3*'Feedstock Conversion Rates'!B$4)/12+10+15-15</f>
        <v>38.125</v>
      </c>
      <c r="BR457" s="104">
        <f>('Renewable Diesel'!$S466*'RD Feedstock Breakdown'!BR$3*'Feedstock Conversion Rates'!B$7)/12-10-15+15</f>
        <v>1.5</v>
      </c>
      <c r="BS457" s="106">
        <f t="shared" si="460"/>
        <v>39.625</v>
      </c>
      <c r="BT457" s="106"/>
      <c r="BU457" s="104">
        <f>('Renewable Diesel'!Y466*'Feedstock Conversion Rates'!B$7)/12</f>
        <v>2.6833333333333331</v>
      </c>
      <c r="BV457" s="106">
        <f t="shared" si="442"/>
        <v>2.6833333333333331</v>
      </c>
      <c r="BW457" s="104">
        <f>('Renewable Diesel'!$Z466*'RD Feedstock Breakdown'!BW$3*'Feedstock Conversion Rates'!$B$4)/12-250+180</f>
        <v>1.875</v>
      </c>
      <c r="BX457" s="104">
        <f>('Renewable Diesel'!$Z466*'RD Feedstock Breakdown'!BX$3*'Feedstock Conversion Rates'!$B$5)/12</f>
        <v>7.2354166666666666</v>
      </c>
      <c r="BY457" s="104">
        <f>('Renewable Diesel'!$Z466*'RD Feedstock Breakdown'!BY$3*'Feedstock Conversion Rates'!$B$7)/12</f>
        <v>61.716666666666661</v>
      </c>
      <c r="BZ457" s="104">
        <f>('Renewable Diesel'!$Z466*'RD Feedstock Breakdown'!BZ$3*'Feedstock Conversion Rates'!$B$3)/12+250-180</f>
        <v>85.35250000000002</v>
      </c>
      <c r="CA457" s="106">
        <f t="shared" si="464"/>
        <v>156.17958333333334</v>
      </c>
      <c r="CB457" s="104">
        <f>('Renewable Diesel'!AA466*'Feedstock Conversion Rates'!B$4)/12</f>
        <v>191.25</v>
      </c>
      <c r="CC457" s="106">
        <f t="shared" si="454"/>
        <v>191.25</v>
      </c>
      <c r="CD457" s="104">
        <f>('Renewable Diesel'!$AB466*'RD Feedstock Breakdown'!CD$3*'Feedstock Conversion Rates'!$B$6)/12-15-5</f>
        <v>12.830000000000005</v>
      </c>
      <c r="CE457" s="104">
        <f>('Renewable Diesel'!$AB466*'RD Feedstock Breakdown'!CE$3*'Feedstock Conversion Rates'!$B$4)/12+15+5</f>
        <v>31.25</v>
      </c>
      <c r="CF457" s="106">
        <f t="shared" si="450"/>
        <v>44.080000000000005</v>
      </c>
      <c r="CG457" s="104">
        <f>('Renewable Diesel'!AD466*'Feedstock Conversion Rates'!B$4)/12</f>
        <v>112.5</v>
      </c>
      <c r="CH457" s="106">
        <f t="shared" si="439"/>
        <v>112.5</v>
      </c>
      <c r="CI457" s="104">
        <f>('Renewable Diesel'!$AE466*'RD Feedstock Breakdown'!CI$3*'Feedstock Conversion Rates'!$B$5)/12</f>
        <v>0.34604166666666664</v>
      </c>
      <c r="CJ457" s="104">
        <f>('Renewable Diesel'!$AE466*'RD Feedstock Breakdown'!CJ$3*'Feedstock Conversion Rates'!$B$4)/12</f>
        <v>0.34375</v>
      </c>
      <c r="CK457" s="106">
        <f t="shared" si="447"/>
        <v>0.68979166666666658</v>
      </c>
      <c r="CL457" s="104">
        <f>(((CL$3*'Renewable Diesel'!$AF466)*'Feedstock Conversion Rates'!$B$3)/12)</f>
        <v>91.78125</v>
      </c>
      <c r="CM457" s="104">
        <f>(((CM$3*'Renewable Diesel'!$AF466)*'Feedstock Conversion Rates'!$B$6)/12)</f>
        <v>53.739583333333336</v>
      </c>
      <c r="CN457" s="104">
        <f>(((CN$3*'Renewable Diesel'!$AF466)*'Feedstock Conversion Rates'!$B$4)/12)</f>
        <v>42.96875</v>
      </c>
      <c r="CO457" s="106">
        <f t="shared" si="441"/>
        <v>188.48958333333334</v>
      </c>
      <c r="CP457" s="104">
        <f>('Renewable Diesel'!$AG466*'RD Feedstock Breakdown'!CP$3*'Feedstock Conversion Rates'!$B$3)/12</f>
        <v>6.0075000000000003</v>
      </c>
      <c r="CQ457" s="104">
        <f>('Renewable Diesel'!$AG466*'RD Feedstock Breakdown'!CQ$3*'Feedstock Conversion Rates'!$B$6)/12</f>
        <v>3.5175000000000001</v>
      </c>
      <c r="CR457" s="104">
        <f>('Renewable Diesel'!$AG466*'RD Feedstock Breakdown'!CR$3*'Feedstock Conversion Rates'!$B$4)/12</f>
        <v>2.8125</v>
      </c>
      <c r="CS457" s="106">
        <f t="shared" si="467"/>
        <v>12.3375</v>
      </c>
      <c r="CT457" s="104">
        <f>('Renewable Diesel'!AI466*'Feedstock Conversion Rates'!$B$4*'RD Feedstock Breakdown'!$CT$3)/12</f>
        <v>29.375</v>
      </c>
      <c r="CU457" s="106">
        <f t="shared" si="443"/>
        <v>29.375</v>
      </c>
      <c r="CV457" s="104">
        <f>('Renewable Diesel'!AN466*'Feedstock Conversion Rates'!$B$3*'RD Feedstock Breakdown'!$CV$3)/12</f>
        <v>0.50062499999999999</v>
      </c>
      <c r="CW457" s="106">
        <f t="shared" si="485"/>
        <v>0.50062499999999999</v>
      </c>
      <c r="CX457" s="104">
        <f>('Renewable Diesel'!AO466*'RD Feedstock Breakdown'!$CX$3*'Feedstock Conversion Rates'!$B$3)/12</f>
        <v>6.3412499999999996</v>
      </c>
      <c r="CY457" s="104">
        <f>('Renewable Diesel'!AO466*'RD Feedstock Breakdown'!$CY$3*'Feedstock Conversion Rates'!$B$6)/12</f>
        <v>7.4258333333333342</v>
      </c>
      <c r="CZ457" s="106">
        <f t="shared" si="468"/>
        <v>13.767083333333334</v>
      </c>
      <c r="DA457" s="104">
        <f>('Renewable Diesel'!$AP466*'RD Feedstock Breakdown'!DA$3*'Feedstock Conversion Rates'!$B$3)/12</f>
        <v>6.3412499999999996</v>
      </c>
      <c r="DB457" s="104">
        <f>('Renewable Diesel'!$AP466*'RD Feedstock Breakdown'!DB$3*'Feedstock Conversion Rates'!$B$8)/12</f>
        <v>7.421875</v>
      </c>
      <c r="DC457" s="106">
        <f t="shared" si="422"/>
        <v>13.763124999999999</v>
      </c>
      <c r="DD457" s="104">
        <f>('Renewable Diesel'!AQ466*$DD$3*'Feedstock Conversion Rates'!$B$14)/12</f>
        <v>3.1041666666666665</v>
      </c>
      <c r="DE457" s="106">
        <f t="shared" si="423"/>
        <v>3.1041666666666665</v>
      </c>
      <c r="DF457" s="104">
        <f>('Renewable Diesel'!AR466*'Feedstock Conversion Rates'!$B$4*$DF$3)/12</f>
        <v>75</v>
      </c>
      <c r="DG457" s="106">
        <f t="shared" si="469"/>
        <v>75</v>
      </c>
      <c r="DH457" s="104">
        <f>('Renewable Diesel'!AS466*'Feedstock Conversion Rates'!$B$4*$DH$3)/12</f>
        <v>75</v>
      </c>
      <c r="DI457" s="106">
        <f t="shared" si="478"/>
        <v>75</v>
      </c>
      <c r="DJ457" s="104">
        <f>('Renewable Diesel'!AT466*'Feedstock Conversion Rates'!$B$4*0.25)/12</f>
        <v>8.59375</v>
      </c>
      <c r="DK457" s="104">
        <f>('Renewable Diesel'!$AT466*'RD Feedstock Breakdown'!DK$3*'Feedstock Conversion Rates'!$B$3)/12*0.5</f>
        <v>9.1781249999999996</v>
      </c>
      <c r="DL457" s="104">
        <f>('Renewable Diesel'!$AT466*'RD Feedstock Breakdown'!$DL$3*'Feedstock Conversion Rates'!$B$6)/12</f>
        <v>10.747916666666669</v>
      </c>
      <c r="DM457" s="104">
        <f>('Renewable Diesel'!$AT466*'RD Feedstock Breakdown'!$DM$3*'Feedstock Conversion Rates'!$B$8)/12</f>
        <v>10.7421875</v>
      </c>
      <c r="DN457" s="106">
        <f t="shared" si="453"/>
        <v>39.26197916666667</v>
      </c>
      <c r="DP457" s="104">
        <f t="shared" si="426"/>
        <v>103.22025000000001</v>
      </c>
      <c r="DQ457" s="104">
        <f t="shared" si="427"/>
        <v>349.11776750000007</v>
      </c>
      <c r="DR457" s="104">
        <f t="shared" si="432"/>
        <v>1891.953125</v>
      </c>
      <c r="DS457" s="104">
        <f t="shared" si="444"/>
        <v>228.90125</v>
      </c>
      <c r="DT457" s="104">
        <f t="shared" si="428"/>
        <v>243.03923333333344</v>
      </c>
      <c r="DU457" s="104">
        <f t="shared" si="429"/>
        <v>402.90610000000009</v>
      </c>
      <c r="DV457" s="104">
        <f t="shared" si="433"/>
        <v>78.75</v>
      </c>
      <c r="DW457" s="104">
        <f t="shared" si="430"/>
        <v>3</v>
      </c>
      <c r="DX457" s="106">
        <f t="shared" si="434"/>
        <v>3300.8877258333337</v>
      </c>
      <c r="DY457" s="109">
        <f t="shared" ref="DY457:DY495" si="487">I457+Q457+S457+X457+AB457+AF457+AJ457+AL457+AO457+AR457+AU457+AX457+BA457+BE457+BG457+BI457+BN457-DX457+BP457+BS457+BV457+CA457+CC457+CF457+CH457+CK457+CO457+CS457+CU457+CW457+CZ457+DN457+DG457+DI457+DE457+DC457</f>
        <v>-5.631051180898794E-13</v>
      </c>
      <c r="EA457" s="110">
        <f t="shared" si="472"/>
        <v>3.1270451640078516E-2</v>
      </c>
      <c r="EB457" s="110">
        <f t="shared" si="470"/>
        <v>0.10576481131658687</v>
      </c>
      <c r="EC457" s="110">
        <f t="shared" si="470"/>
        <v>0.57316494293133291</v>
      </c>
      <c r="ED457" s="110">
        <f t="shared" si="470"/>
        <v>6.9345360706629972E-2</v>
      </c>
      <c r="EE457" s="110">
        <f t="shared" si="470"/>
        <v>7.3628445896921982E-2</v>
      </c>
      <c r="EF457" s="110">
        <f t="shared" si="470"/>
        <v>0.1220599225010852</v>
      </c>
      <c r="EG457" s="110">
        <f t="shared" si="470"/>
        <v>2.3857218585075921E-2</v>
      </c>
      <c r="EH457" s="111">
        <f t="shared" si="435"/>
        <v>9.0884642228860647E-4</v>
      </c>
      <c r="EI457" s="110">
        <f t="shared" si="476"/>
        <v>0.99909115357771139</v>
      </c>
      <c r="EK457" s="132">
        <f>(EA457*'Renewable Diesel'!BF466*'Feedstock Conversion Rates'!B$2)+FB457</f>
        <v>935.45371886972725</v>
      </c>
      <c r="EL457" s="132">
        <f>(EB457*'Renewable Diesel'!BF466*'Feedstock Conversion Rates'!B$3)+FC457</f>
        <v>2981.5557983339031</v>
      </c>
      <c r="EM457" s="132">
        <f>(EC457*'Renewable Diesel'!BF466*'Feedstock Conversion Rates'!B$4)+FD457</f>
        <v>15128.996034964512</v>
      </c>
      <c r="EN457" s="132">
        <f>(ED457*'Renewable Diesel'!BF466*'Feedstock Conversion Rates'!B$5)+FE457</f>
        <v>1842.610702985965</v>
      </c>
      <c r="EO457" s="132">
        <f>(EE457*'Renewable Diesel'!BF466*'Feedstock Conversion Rates'!B$6)+FF457</f>
        <v>2430.6235334799758</v>
      </c>
      <c r="EP457" s="132">
        <f>(EF457*'Renewable Diesel'!BF466*'Feedstock Conversion Rates'!B$7)+FG457</f>
        <v>3952.120188822666</v>
      </c>
      <c r="EQ457" s="132">
        <f>(EG457*'Renewable Diesel'!BF466*'Feedstock Conversion Rates'!B$8)+FH457</f>
        <v>787.15509782612571</v>
      </c>
      <c r="ER457" s="132">
        <f>(EH457*'Renewable Diesel'!BF466*'Feedstock Conversion Rates'!B$9)+FI457</f>
        <v>29.587036057972469</v>
      </c>
      <c r="ES457" s="132">
        <f t="shared" si="436"/>
        <v>28088.102111340846</v>
      </c>
      <c r="ET457" s="133">
        <f>ES457/'Renewable Diesel'!BF466</f>
        <v>22.4148515011623</v>
      </c>
      <c r="EW457" s="73">
        <f t="shared" si="461"/>
        <v>27900.385059532095</v>
      </c>
      <c r="EX457" s="73">
        <f t="shared" si="462"/>
        <v>18274.905035158339</v>
      </c>
      <c r="EY457" s="92">
        <f t="shared" si="477"/>
        <v>0.99331684814215482</v>
      </c>
      <c r="EZ457" s="92">
        <f t="shared" si="477"/>
        <v>0.6506279763124212</v>
      </c>
      <c r="FB457" s="102">
        <f>IF('Renewable Diesel'!$BG466&lt;1,0,(((('Renewable Diesel'!$BG466-1)*'Renewable Diesel'!$BF466)*'RD Feedstock Breakdown'!EA457)*'Feedstock Conversion Rates'!$B$2))</f>
        <v>602.38058078294694</v>
      </c>
      <c r="FC457" s="102">
        <f>IF('Renewable Diesel'!$BG466&lt;1,0,(((('Renewable Diesel'!$BG466-1)*'Renewable Diesel'!$BF466)*'RD Feedstock Breakdown'!EB457)*'Feedstock Conversion Rates'!$B$3))</f>
        <v>1919.9574251596491</v>
      </c>
      <c r="FD457" s="102">
        <f>IF('Renewable Diesel'!$BG466&lt;1,0,(((('Renewable Diesel'!$BG466-1)*'Renewable Diesel'!$BF466)*'RD Feedstock Breakdown'!EC457)*'Feedstock Conversion Rates'!$B$4))</f>
        <v>9742.2386959092</v>
      </c>
      <c r="FE457" s="102">
        <f>IF('Renewable Diesel'!$BG466&lt;1,0,(((('Renewable Diesel'!$BG466-1)*'Renewable Diesel'!$BF466)*'RD Feedstock Breakdown'!ED457)*'Feedstock Conversion Rates'!$B$5))</f>
        <v>1186.5396256724205</v>
      </c>
      <c r="FF457" s="102">
        <f>IF('Renewable Diesel'!$BG466&lt;1,0,(((('Renewable Diesel'!$BG466-1)*'Renewable Diesel'!$BF466)*'RD Feedstock Breakdown'!EE457)*'Feedstock Conversion Rates'!$B$6))</f>
        <v>1565.1874445819246</v>
      </c>
      <c r="FG457" s="102">
        <f>IF('Renewable Diesel'!$BG466&lt;1,0,(((('Renewable Diesel'!$BG466-1)*'Renewable Diesel'!$BF466)*'RD Feedstock Breakdown'!EF457)*'Feedstock Conversion Rates'!$B$7))</f>
        <v>2544.9473412147977</v>
      </c>
      <c r="FH457" s="102">
        <f>IF('Renewable Diesel'!$BG466&lt;1,0,(((('Renewable Diesel'!$BG466-1)*'Renewable Diesel'!$BF466)*'RD Feedstock Breakdown'!EG457)*'Feedstock Conversion Rates'!$B$8))</f>
        <v>506.8844512881692</v>
      </c>
      <c r="FI457" s="102">
        <f>IF('Renewable Diesel'!$BG466&lt;1,0,(((('Renewable Diesel'!$BG466-1)*'Renewable Diesel'!$BF466)*'RD Feedstock Breakdown'!EH457)*'Feedstock Conversion Rates'!$B$9))</f>
        <v>19.052418740482295</v>
      </c>
      <c r="FJ457" s="102">
        <f t="shared" si="463"/>
        <v>18087.187983349588</v>
      </c>
      <c r="GD457" s="91">
        <f>'Renewable Diesel'!BB466*0.32</f>
        <v>0</v>
      </c>
      <c r="GE457" s="91">
        <f>'Renewable Diesel'!BC466</f>
        <v>705.65770653742334</v>
      </c>
      <c r="GF457" s="91">
        <f>'Renewable Diesel'!BD466</f>
        <v>0</v>
      </c>
      <c r="GG457" s="91">
        <f t="shared" si="451"/>
        <v>705.65770653742334</v>
      </c>
      <c r="GH457" s="124">
        <v>1</v>
      </c>
      <c r="GI457" s="102">
        <f>$GG457*EA457*'Feedstock Conversion Rates'!$B$2</f>
        <v>187.56299908718131</v>
      </c>
      <c r="GJ457" s="102">
        <f>$GG457*EB457*'Feedstock Conversion Rates'!$B$3</f>
        <v>597.81637103006835</v>
      </c>
      <c r="GK457" s="102">
        <f>$GG457*EC457*'Feedstock Conversion Rates'!$B$4</f>
        <v>3033.4369432243316</v>
      </c>
      <c r="GL457" s="102">
        <f>$GG457*ED457*'Feedstock Conversion Rates'!$B$5</f>
        <v>369.45236587414399</v>
      </c>
      <c r="GM457" s="102">
        <f>$GG457*EE457*'Feedstock Conversion Rates'!$B$6</f>
        <v>487.35178490949454</v>
      </c>
      <c r="GN457" s="102">
        <f>$GG457*EF457*'Feedstock Conversion Rates'!$B$7</f>
        <v>792.41922974471299</v>
      </c>
      <c r="GO457" s="102">
        <f>$GG457*EG457*'Feedstock Conversion Rates'!$B$8</f>
        <v>157.82840766662497</v>
      </c>
      <c r="GP457" s="102">
        <f>$GG457*EH457*'Feedstock Conversion Rates'!B$9</f>
        <v>5.9323439580090147</v>
      </c>
      <c r="GQ457" s="102">
        <f t="shared" si="437"/>
        <v>5631.8004454945667</v>
      </c>
      <c r="GT457" s="103">
        <f t="shared" si="484"/>
        <v>3.3304269372191893E-2</v>
      </c>
      <c r="GU457" s="103">
        <f t="shared" si="484"/>
        <v>0.10615013383656388</v>
      </c>
      <c r="GV457" s="103">
        <f t="shared" si="484"/>
        <v>0.53862649654979822</v>
      </c>
      <c r="GW457" s="103">
        <f t="shared" si="484"/>
        <v>6.5601110950176761E-2</v>
      </c>
      <c r="GX457" s="103">
        <f t="shared" si="465"/>
        <v>8.6535698419388324E-2</v>
      </c>
      <c r="GY457" s="103">
        <f t="shared" si="465"/>
        <v>0.14070442257566981</v>
      </c>
      <c r="GZ457" s="103">
        <f t="shared" si="465"/>
        <v>2.802450285554552E-2</v>
      </c>
      <c r="HA457" s="103">
        <f t="shared" si="465"/>
        <v>1.0533654406655838E-3</v>
      </c>
    </row>
    <row r="458" spans="1:209" x14ac:dyDescent="0.25">
      <c r="A458" s="96">
        <v>54363</v>
      </c>
      <c r="B458" s="104">
        <f t="shared" si="473"/>
        <v>44.25</v>
      </c>
      <c r="C458" s="104">
        <f t="shared" si="466"/>
        <v>49</v>
      </c>
      <c r="D458" s="104">
        <f t="shared" si="474"/>
        <v>2</v>
      </c>
      <c r="E458" s="104">
        <f>('Renewable Diesel'!B467*E$3*'Feedstock Conversion Rates'!$B$2)/12+26+13-100+27.5+39</f>
        <v>95.43</v>
      </c>
      <c r="F458" s="104">
        <f>('Renewable Diesel'!B467*'RD Feedstock Breakdown'!F$3*'Feedstock Conversion Rates'!B$8)/12+77+23-10-12-115.75+24+8</f>
        <v>48.15625</v>
      </c>
      <c r="G458" s="104">
        <f>('Renewable Diesel'!B467*'RD Feedstock Breakdown'!G$3*'Feedstock Conversion Rates'!B$7)/12+116.75-39-57.5-145-31.5+32+70-40+10+60</f>
        <v>151.90700000000004</v>
      </c>
      <c r="H458" s="104">
        <f>('Renewable Diesel'!B467*'RD Feedstock Breakdown'!H$3*'Feedstock Conversion Rates'!B$3)/12+67+10+12+3-235+20+47-20+25</f>
        <v>105.40022499999998</v>
      </c>
      <c r="I458" s="106">
        <f t="shared" si="449"/>
        <v>496.14347500000002</v>
      </c>
      <c r="J458" s="104">
        <f t="shared" si="483"/>
        <v>4</v>
      </c>
      <c r="K458" s="104"/>
      <c r="L458" s="104">
        <v>1</v>
      </c>
      <c r="M458" s="104">
        <f>('Renewable Diesel'!C467*'RD Feedstock Breakdown'!M$3*'Feedstock Conversion Rates'!B$2)/12</f>
        <v>7.7902500000000003</v>
      </c>
      <c r="N458" s="104">
        <f>('Renewable Diesel'!C467*'RD Feedstock Breakdown'!N$3*'Feedstock Conversion Rates'!B$8)/12</f>
        <v>3.671875</v>
      </c>
      <c r="O458" s="104">
        <f>('Renewable Diesel'!C467*'RD Feedstock Breakdown'!O$3*'Feedstock Conversion Rates'!B$7)/12</f>
        <v>11.9991</v>
      </c>
      <c r="P458" s="104">
        <f>('Renewable Diesel'!C467*'RD Feedstock Breakdown'!P$3*'Feedstock Conversion Rates'!B$3)/12</f>
        <v>10.4470425</v>
      </c>
      <c r="Q458" s="106">
        <f t="shared" si="455"/>
        <v>38.908267500000001</v>
      </c>
      <c r="R458" s="104">
        <f>('Renewable Diesel'!D467*'RD Feedstock Breakdown'!R$3*'Feedstock Conversion Rates'!B$7)/12</f>
        <v>2.2999999999999998</v>
      </c>
      <c r="S458" s="106">
        <f t="shared" si="481"/>
        <v>2.2999999999999998</v>
      </c>
      <c r="T458" s="104">
        <f t="shared" si="456"/>
        <v>0.82499999999999929</v>
      </c>
      <c r="U458" s="104"/>
      <c r="V458" s="104">
        <f>('Renewable Diesel'!E467*'RD Feedstock Breakdown'!V$3*'Feedstock Conversion Rates'!B$6)/12-20+25</f>
        <v>49.250150000000012</v>
      </c>
      <c r="W458" s="104">
        <f>('Renewable Diesel'!E467*'RD Feedstock Breakdown'!W$3*'Feedstock Conversion Rates'!B$8)/12-6</f>
        <v>16.1796875</v>
      </c>
      <c r="X458" s="106">
        <f t="shared" si="438"/>
        <v>66.254837500000008</v>
      </c>
      <c r="Y458" s="104">
        <f t="shared" si="457"/>
        <v>98</v>
      </c>
      <c r="Z458" s="104">
        <f>('Renewable Diesel'!F467*'RD Feedstock Breakdown'!Z$3*'Feedstock Conversion Rates'!B$6)/12-142+15+5+20+5+15</f>
        <v>77.460000000000008</v>
      </c>
      <c r="AA458" s="104">
        <f>('Renewable Diesel'!F467*'RD Feedstock Breakdown'!AA$3*'Feedstock Conversion Rates'!B$7)/12+24</f>
        <v>128.26666666666665</v>
      </c>
      <c r="AB458" s="106">
        <f t="shared" si="471"/>
        <v>303.72666666666669</v>
      </c>
      <c r="AC458" s="104">
        <f>('Renewable Diesel'!G467*'RD Feedstock Breakdown'!AC$3*'Feedstock Conversion Rates'!B$5)/12</f>
        <v>11.796875</v>
      </c>
      <c r="AD458" s="104">
        <f>('Renewable Diesel'!G467*'RD Feedstock Breakdown'!AD$3*'Feedstock Conversion Rates'!B$4)/12</f>
        <v>5.859375</v>
      </c>
      <c r="AE458" s="104">
        <f>('Renewable Diesel'!G467*'RD Feedstock Breakdown'!AE$3*'Feedstock Conversion Rates'!B$6)/12</f>
        <v>7.3281250000000009</v>
      </c>
      <c r="AF458" s="106">
        <f t="shared" si="445"/>
        <v>24.984375</v>
      </c>
      <c r="AG458" s="104">
        <f t="shared" si="459"/>
        <v>148</v>
      </c>
      <c r="AH458" s="104"/>
      <c r="AI458" s="104">
        <f>('Renewable Diesel'!H467*'RD Feedstock Breakdown'!AI$3*'Feedstock Conversion Rates'!B$6)/12-130-20+51-49</f>
        <v>0.51666666666667993</v>
      </c>
      <c r="AJ458" s="106">
        <f t="shared" si="480"/>
        <v>148.51666666666668</v>
      </c>
      <c r="AK458" s="104">
        <f>('Renewable Diesel'!J467*'RD Feedstock Breakdown'!AK$3*'Feedstock Conversion Rates'!B$4)/12</f>
        <v>95.8125</v>
      </c>
      <c r="AL458" s="106">
        <f t="shared" si="482"/>
        <v>95.8125</v>
      </c>
      <c r="AM458" s="104">
        <f>('Renewable Diesel'!K467*'RD Feedstock Breakdown'!AM$3*'Feedstock Conversion Rates'!B$4)/12+5+15-10+10</f>
        <v>78.59375</v>
      </c>
      <c r="AN458" s="104">
        <f>('Renewable Diesel'!K467*'RD Feedstock Breakdown'!AN$3*'Feedstock Conversion Rates'!B$6)/12-5-15+10-10</f>
        <v>4.4270833333333321</v>
      </c>
      <c r="AO458" s="106">
        <f t="shared" si="431"/>
        <v>83.020833333333329</v>
      </c>
      <c r="AP458" s="104">
        <f>('Renewable Diesel'!L467*'RD Feedstock Breakdown'!AP$3*'Feedstock Conversion Rates'!B$4)/12+15-10+15</f>
        <v>78.59375</v>
      </c>
      <c r="AQ458" s="104">
        <f>('Renewable Diesel'!L467*'RD Feedstock Breakdown'!AQ$3*'Feedstock Conversion Rates'!B$6)/12-15+10-15</f>
        <v>4.4270833333333321</v>
      </c>
      <c r="AR458" s="106">
        <f t="shared" si="486"/>
        <v>83.020833333333329</v>
      </c>
      <c r="AS458" s="104">
        <f>('Renewable Diesel'!M467*'RD Feedstock Breakdown'!AS$3*'Feedstock Conversion Rates'!B$4)/12</f>
        <v>456.25</v>
      </c>
      <c r="AT458" s="104">
        <f>('Renewable Diesel'!M467*'RD Feedstock Breakdown'!AT$3*'Feedstock Conversion Rates'!B$5)/12</f>
        <v>0</v>
      </c>
      <c r="AU458" s="106">
        <f t="shared" si="448"/>
        <v>456.25</v>
      </c>
      <c r="AV458" s="104">
        <f>'Renewable Diesel'!N467*'RD Feedstock Breakdown'!$AV$3*'Feedstock Conversion Rates'!$B$4/12-15-10+25+25-22+25</f>
        <v>106.74999999999999</v>
      </c>
      <c r="AW458" s="104">
        <f>'Renewable Diesel'!N467*'RD Feedstock Breakdown'!$AW$3*'Feedstock Conversion Rates'!$B$7/12+15+10-25-25+22-25</f>
        <v>13.400000000000006</v>
      </c>
      <c r="AX458" s="106">
        <f t="shared" si="475"/>
        <v>120.14999999999999</v>
      </c>
      <c r="AY458" s="104">
        <f>('Renewable Diesel'!O467*'RD Feedstock Breakdown'!AY$3*'Feedstock Conversion Rates'!B$4)/12</f>
        <v>210.9375</v>
      </c>
      <c r="AZ458" s="104">
        <f>('Renewable Diesel'!O467*'RD Feedstock Breakdown'!AZ$3*'Feedstock Conversion Rates'!B$3)/12</f>
        <v>25.03125</v>
      </c>
      <c r="BA458" s="106">
        <f t="shared" si="458"/>
        <v>235.96875</v>
      </c>
      <c r="BB458" s="104">
        <f>('Renewable Diesel'!Q467*'RD Feedstock Breakdown'!BB$3*'Feedstock Conversion Rates'!B$4)/12</f>
        <v>11.156249999999998</v>
      </c>
      <c r="BC458" s="104">
        <f>('Renewable Diesel'!Q467*'RD Feedstock Breakdown'!BC$3*'Feedstock Conversion Rates'!B$3)/12</f>
        <v>1.4017500000000001</v>
      </c>
      <c r="BD458" s="104">
        <f>('Renewable Diesel'!Q467*'RD Feedstock Breakdown'!BD$3*'Feedstock Conversion Rates'!B$6)/12</f>
        <v>0.8207500000000002</v>
      </c>
      <c r="BE458" s="106">
        <f t="shared" si="440"/>
        <v>13.378749999999998</v>
      </c>
      <c r="BF458" s="104">
        <f>('Renewable Diesel'!R467*'RD Feedstock Breakdown'!BF$3*'Feedstock Conversion Rates'!B$4)/12</f>
        <v>62.5</v>
      </c>
      <c r="BG458" s="106">
        <f t="shared" si="425"/>
        <v>62.5</v>
      </c>
      <c r="BH458" s="104">
        <f>('Renewable Diesel'!T467*'RD Feedstock Breakdown'!BH$3*'Feedstock Conversion Rates'!B$7)/12</f>
        <v>27.599999999999998</v>
      </c>
      <c r="BI458" s="106">
        <f t="shared" si="479"/>
        <v>27.599999999999998</v>
      </c>
      <c r="BJ458" s="104">
        <f>('Renewable Diesel'!W467*'RD Feedstock Breakdown'!BJ$3*'Feedstock Conversion Rates'!B$4)/12</f>
        <v>7.5</v>
      </c>
      <c r="BK458" s="104">
        <f>('Renewable Diesel'!W467*'RD Feedstock Breakdown'!BK$3*'Feedstock Conversion Rates'!B$3)/12</f>
        <v>1.335</v>
      </c>
      <c r="BL458" s="104">
        <f>('Renewable Diesel'!W467*'RD Feedstock Breakdown'!BL$3*'Feedstock Conversion Rates'!B$6)/12</f>
        <v>3.1266666666666669</v>
      </c>
      <c r="BM458" s="104">
        <f>('Renewable Diesel'!W467*'RD Feedstock Breakdown'!BM$3*'Feedstock Conversion Rates'!B$7)/12</f>
        <v>1.5333333333333332</v>
      </c>
      <c r="BN458" s="106">
        <f t="shared" si="452"/>
        <v>13.495000000000001</v>
      </c>
      <c r="BO458" s="104">
        <f>('Renewable Diesel'!P467*'Feedstock Conversion Rates'!B$4)/12</f>
        <v>31.25</v>
      </c>
      <c r="BP458" s="106">
        <f t="shared" si="446"/>
        <v>31.25</v>
      </c>
      <c r="BQ458" s="104">
        <f>('Renewable Diesel'!$S467*'RD Feedstock Breakdown'!BQ$3*'Feedstock Conversion Rates'!B$4)/12+10+15-15</f>
        <v>38.125</v>
      </c>
      <c r="BR458" s="104">
        <f>('Renewable Diesel'!$S467*'RD Feedstock Breakdown'!BR$3*'Feedstock Conversion Rates'!B$7)/12-10-15+15</f>
        <v>1.5</v>
      </c>
      <c r="BS458" s="106">
        <f t="shared" si="460"/>
        <v>39.625</v>
      </c>
      <c r="BT458" s="106"/>
      <c r="BU458" s="104">
        <f>('Renewable Diesel'!Y467*'Feedstock Conversion Rates'!B$7)/12</f>
        <v>2.6833333333333331</v>
      </c>
      <c r="BV458" s="106">
        <f t="shared" si="442"/>
        <v>2.6833333333333331</v>
      </c>
      <c r="BW458" s="104">
        <f>('Renewable Diesel'!$Z467*'RD Feedstock Breakdown'!BW$3*'Feedstock Conversion Rates'!$B$4)/12-250+180</f>
        <v>1.875</v>
      </c>
      <c r="BX458" s="104">
        <f>('Renewable Diesel'!$Z467*'RD Feedstock Breakdown'!BX$3*'Feedstock Conversion Rates'!$B$5)/12</f>
        <v>7.2354166666666666</v>
      </c>
      <c r="BY458" s="104">
        <f>('Renewable Diesel'!$Z467*'RD Feedstock Breakdown'!BY$3*'Feedstock Conversion Rates'!$B$7)/12</f>
        <v>61.716666666666661</v>
      </c>
      <c r="BZ458" s="104">
        <f>('Renewable Diesel'!$Z467*'RD Feedstock Breakdown'!BZ$3*'Feedstock Conversion Rates'!$B$3)/12+250-180</f>
        <v>85.35250000000002</v>
      </c>
      <c r="CA458" s="106">
        <f t="shared" si="464"/>
        <v>156.17958333333334</v>
      </c>
      <c r="CB458" s="104">
        <f>('Renewable Diesel'!AA467*'Feedstock Conversion Rates'!B$4)/12</f>
        <v>191.25</v>
      </c>
      <c r="CC458" s="106">
        <f t="shared" si="454"/>
        <v>191.25</v>
      </c>
      <c r="CD458" s="104">
        <f>('Renewable Diesel'!$AB467*'RD Feedstock Breakdown'!CD$3*'Feedstock Conversion Rates'!$B$6)/12-15-5</f>
        <v>12.830000000000005</v>
      </c>
      <c r="CE458" s="104">
        <f>('Renewable Diesel'!$AB467*'RD Feedstock Breakdown'!CE$3*'Feedstock Conversion Rates'!$B$4)/12+15+5</f>
        <v>31.25</v>
      </c>
      <c r="CF458" s="106">
        <f t="shared" si="450"/>
        <v>44.080000000000005</v>
      </c>
      <c r="CG458" s="104">
        <f>('Renewable Diesel'!AD467*'Feedstock Conversion Rates'!B$4)/12</f>
        <v>112.5</v>
      </c>
      <c r="CH458" s="106">
        <f t="shared" si="439"/>
        <v>112.5</v>
      </c>
      <c r="CI458" s="104">
        <f>('Renewable Diesel'!$AE467*'RD Feedstock Breakdown'!CI$3*'Feedstock Conversion Rates'!$B$5)/12</f>
        <v>0.34604166666666664</v>
      </c>
      <c r="CJ458" s="104">
        <f>('Renewable Diesel'!$AE467*'RD Feedstock Breakdown'!CJ$3*'Feedstock Conversion Rates'!$B$4)/12</f>
        <v>0.34375</v>
      </c>
      <c r="CK458" s="106">
        <f t="shared" si="447"/>
        <v>0.68979166666666658</v>
      </c>
      <c r="CL458" s="104">
        <f>(((CL$3*'Renewable Diesel'!$AF467)*'Feedstock Conversion Rates'!$B$3)/12)</f>
        <v>91.78125</v>
      </c>
      <c r="CM458" s="104">
        <f>(((CM$3*'Renewable Diesel'!$AF467)*'Feedstock Conversion Rates'!$B$6)/12)</f>
        <v>53.739583333333336</v>
      </c>
      <c r="CN458" s="104">
        <f>(((CN$3*'Renewable Diesel'!$AF467)*'Feedstock Conversion Rates'!$B$4)/12)</f>
        <v>42.96875</v>
      </c>
      <c r="CO458" s="106">
        <f t="shared" si="441"/>
        <v>188.48958333333334</v>
      </c>
      <c r="CP458" s="104">
        <f>('Renewable Diesel'!$AG467*'RD Feedstock Breakdown'!CP$3*'Feedstock Conversion Rates'!$B$3)/12</f>
        <v>6.0075000000000003</v>
      </c>
      <c r="CQ458" s="104">
        <f>('Renewable Diesel'!$AG467*'RD Feedstock Breakdown'!CQ$3*'Feedstock Conversion Rates'!$B$6)/12</f>
        <v>3.5175000000000001</v>
      </c>
      <c r="CR458" s="104">
        <f>('Renewable Diesel'!$AG467*'RD Feedstock Breakdown'!CR$3*'Feedstock Conversion Rates'!$B$4)/12</f>
        <v>2.8125</v>
      </c>
      <c r="CS458" s="106">
        <f t="shared" si="467"/>
        <v>12.3375</v>
      </c>
      <c r="CT458" s="104">
        <f>('Renewable Diesel'!AI467*'Feedstock Conversion Rates'!$B$4*'RD Feedstock Breakdown'!$CT$3)/12</f>
        <v>29.375</v>
      </c>
      <c r="CU458" s="106">
        <f t="shared" si="443"/>
        <v>29.375</v>
      </c>
      <c r="CV458" s="104">
        <f>('Renewable Diesel'!AN467*'Feedstock Conversion Rates'!$B$3*'RD Feedstock Breakdown'!$CV$3)/12</f>
        <v>0.50062499999999999</v>
      </c>
      <c r="CW458" s="106">
        <f t="shared" si="485"/>
        <v>0.50062499999999999</v>
      </c>
      <c r="CX458" s="104">
        <f>('Renewable Diesel'!AO467*'RD Feedstock Breakdown'!$CX$3*'Feedstock Conversion Rates'!$B$3)/12</f>
        <v>6.3412499999999996</v>
      </c>
      <c r="CY458" s="104">
        <f>('Renewable Diesel'!AO467*'RD Feedstock Breakdown'!$CY$3*'Feedstock Conversion Rates'!$B$6)/12</f>
        <v>7.4258333333333342</v>
      </c>
      <c r="CZ458" s="106">
        <f t="shared" si="468"/>
        <v>13.767083333333334</v>
      </c>
      <c r="DA458" s="104">
        <f>('Renewable Diesel'!$AP467*'RD Feedstock Breakdown'!DA$3*'Feedstock Conversion Rates'!$B$3)/12</f>
        <v>6.3412499999999996</v>
      </c>
      <c r="DB458" s="104">
        <f>('Renewable Diesel'!$AP467*'RD Feedstock Breakdown'!DB$3*'Feedstock Conversion Rates'!$B$8)/12</f>
        <v>7.421875</v>
      </c>
      <c r="DC458" s="106">
        <f t="shared" ref="DC458:DC495" si="488">SUM(DA458:DB458)</f>
        <v>13.763124999999999</v>
      </c>
      <c r="DD458" s="104">
        <f>('Renewable Diesel'!AQ467*$DD$3*'Feedstock Conversion Rates'!$B$14)/12</f>
        <v>3.1041666666666665</v>
      </c>
      <c r="DE458" s="106">
        <f t="shared" ref="DE458:DE495" si="489">DD458</f>
        <v>3.1041666666666665</v>
      </c>
      <c r="DF458" s="104">
        <f>('Renewable Diesel'!AR467*'Feedstock Conversion Rates'!$B$4*$DF$3)/12</f>
        <v>75</v>
      </c>
      <c r="DG458" s="106">
        <f t="shared" si="469"/>
        <v>75</v>
      </c>
      <c r="DH458" s="104">
        <f>('Renewable Diesel'!AS467*'Feedstock Conversion Rates'!$B$4*$DH$3)/12</f>
        <v>75</v>
      </c>
      <c r="DI458" s="106">
        <f t="shared" si="478"/>
        <v>75</v>
      </c>
      <c r="DJ458" s="104">
        <f>('Renewable Diesel'!AT467*'Feedstock Conversion Rates'!$B$4*0.25)/12</f>
        <v>8.59375</v>
      </c>
      <c r="DK458" s="104">
        <f>('Renewable Diesel'!$AT467*'RD Feedstock Breakdown'!DK$3*'Feedstock Conversion Rates'!$B$3)/12*0.5</f>
        <v>9.1781249999999996</v>
      </c>
      <c r="DL458" s="104">
        <f>('Renewable Diesel'!$AT467*'RD Feedstock Breakdown'!$DL$3*'Feedstock Conversion Rates'!$B$6)/12</f>
        <v>10.747916666666669</v>
      </c>
      <c r="DM458" s="104">
        <f>('Renewable Diesel'!$AT467*'RD Feedstock Breakdown'!$DM$3*'Feedstock Conversion Rates'!$B$8)/12</f>
        <v>10.7421875</v>
      </c>
      <c r="DN458" s="106">
        <f t="shared" si="453"/>
        <v>39.26197916666667</v>
      </c>
      <c r="DP458" s="104">
        <f t="shared" si="426"/>
        <v>103.22025000000001</v>
      </c>
      <c r="DQ458" s="104">
        <f t="shared" si="427"/>
        <v>349.11776750000007</v>
      </c>
      <c r="DR458" s="104">
        <f t="shared" si="432"/>
        <v>1891.953125</v>
      </c>
      <c r="DS458" s="104">
        <f t="shared" si="444"/>
        <v>228.90125</v>
      </c>
      <c r="DT458" s="104">
        <f t="shared" si="428"/>
        <v>243.03923333333344</v>
      </c>
      <c r="DU458" s="104">
        <f t="shared" si="429"/>
        <v>402.90610000000009</v>
      </c>
      <c r="DV458" s="104">
        <f t="shared" si="433"/>
        <v>78.75</v>
      </c>
      <c r="DW458" s="104">
        <f t="shared" si="430"/>
        <v>3</v>
      </c>
      <c r="DX458" s="106">
        <f t="shared" si="434"/>
        <v>3300.8877258333337</v>
      </c>
      <c r="DY458" s="109">
        <f t="shared" si="487"/>
        <v>-5.631051180898794E-13</v>
      </c>
      <c r="EA458" s="110">
        <f t="shared" si="472"/>
        <v>3.1270451640078516E-2</v>
      </c>
      <c r="EB458" s="110">
        <f t="shared" si="470"/>
        <v>0.10576481131658687</v>
      </c>
      <c r="EC458" s="110">
        <f t="shared" si="470"/>
        <v>0.57316494293133291</v>
      </c>
      <c r="ED458" s="110">
        <f t="shared" si="470"/>
        <v>6.9345360706629972E-2</v>
      </c>
      <c r="EE458" s="110">
        <f t="shared" si="470"/>
        <v>7.3628445896921982E-2</v>
      </c>
      <c r="EF458" s="110">
        <f t="shared" si="470"/>
        <v>0.1220599225010852</v>
      </c>
      <c r="EG458" s="110">
        <f t="shared" si="470"/>
        <v>2.3857218585075921E-2</v>
      </c>
      <c r="EH458" s="111">
        <f t="shared" si="435"/>
        <v>9.0884642228860647E-4</v>
      </c>
      <c r="EI458" s="110">
        <f t="shared" si="476"/>
        <v>0.99909115357771139</v>
      </c>
      <c r="EK458" s="132">
        <f>(EA458*'Renewable Diesel'!BF467*'Feedstock Conversion Rates'!B$2)+FB458</f>
        <v>938.28445863752086</v>
      </c>
      <c r="EL458" s="132">
        <f>(EB458*'Renewable Diesel'!BF467*'Feedstock Conversion Rates'!B$3)+FC458</f>
        <v>2990.5781672635358</v>
      </c>
      <c r="EM458" s="132">
        <f>(EC458*'Renewable Diesel'!BF467*'Feedstock Conversion Rates'!B$4)+FD458</f>
        <v>15174.777295821234</v>
      </c>
      <c r="EN458" s="132">
        <f>(ED458*'Renewable Diesel'!BF467*'Feedstock Conversion Rates'!B$5)+FE458</f>
        <v>1848.1865548835949</v>
      </c>
      <c r="EO458" s="132">
        <f>(EE458*'Renewable Diesel'!BF467*'Feedstock Conversion Rates'!B$6)+FF458</f>
        <v>2437.9787479154584</v>
      </c>
      <c r="EP458" s="132">
        <f>(EF458*'Renewable Diesel'!BF467*'Feedstock Conversion Rates'!B$7)+FG458</f>
        <v>3964.0795445448475</v>
      </c>
      <c r="EQ458" s="132">
        <f>(EG458*'Renewable Diesel'!BF467*'Feedstock Conversion Rates'!B$8)+FH458</f>
        <v>789.53707695977027</v>
      </c>
      <c r="ER458" s="132">
        <f>(EH458*'Renewable Diesel'!BF467*'Feedstock Conversion Rates'!B$9)+FI458</f>
        <v>29.676568226043425</v>
      </c>
      <c r="ES458" s="132">
        <f t="shared" si="436"/>
        <v>28173.09841425201</v>
      </c>
      <c r="ET458" s="133">
        <f>ES458/'Renewable Diesel'!BF467</f>
        <v>22.083695739574576</v>
      </c>
      <c r="EW458" s="73">
        <f t="shared" si="461"/>
        <v>27893.923960280881</v>
      </c>
      <c r="EX458" s="73">
        <f t="shared" si="462"/>
        <v>18270.672979758856</v>
      </c>
      <c r="EY458" s="92">
        <f t="shared" si="477"/>
        <v>0.99009074366382432</v>
      </c>
      <c r="EZ458" s="92">
        <f t="shared" si="477"/>
        <v>0.64851486020849647</v>
      </c>
      <c r="FB458" s="102">
        <f>IF('Renewable Diesel'!$BG467&lt;1,0,(((('Renewable Diesel'!$BG467-1)*'Renewable Diesel'!$BF467)*'RD Feedstock Breakdown'!EA458)*'Feedstock Conversion Rates'!$B$2))</f>
        <v>599.19371331222783</v>
      </c>
      <c r="FC458" s="102">
        <f>IF('Renewable Diesel'!$BG467&lt;1,0,(((('Renewable Diesel'!$BG467-1)*'Renewable Diesel'!$BF467)*'RD Feedstock Breakdown'!EB458)*'Feedstock Conversion Rates'!$B$3))</f>
        <v>1909.7999764327094</v>
      </c>
      <c r="FD458" s="102">
        <f>IF('Renewable Diesel'!$BG467&lt;1,0,(((('Renewable Diesel'!$BG467-1)*'Renewable Diesel'!$BF467)*'RD Feedstock Breakdown'!EC458)*'Feedstock Conversion Rates'!$B$4))</f>
        <v>9690.6978186259057</v>
      </c>
      <c r="FE458" s="102">
        <f>IF('Renewable Diesel'!$BG467&lt;1,0,(((('Renewable Diesel'!$BG467-1)*'Renewable Diesel'!$BF467)*'RD Feedstock Breakdown'!ED458)*'Feedstock Conversion Rates'!$B$5))</f>
        <v>1180.2622909501426</v>
      </c>
      <c r="FF458" s="102">
        <f>IF('Renewable Diesel'!$BG467&lt;1,0,(((('Renewable Diesel'!$BG467-1)*'Renewable Diesel'!$BF467)*'RD Feedstock Breakdown'!EE458)*'Feedstock Conversion Rates'!$B$6))</f>
        <v>1556.9068905404363</v>
      </c>
      <c r="FG458" s="102">
        <f>IF('Renewable Diesel'!$BG467&lt;1,0,(((('Renewable Diesel'!$BG467-1)*'Renewable Diesel'!$BF467)*'RD Feedstock Breakdown'!EF458)*'Feedstock Conversion Rates'!$B$7))</f>
        <v>2531.4834113419774</v>
      </c>
      <c r="FH458" s="102">
        <f>IF('Renewable Diesel'!$BG467&lt;1,0,(((('Renewable Diesel'!$BG467-1)*'Renewable Diesel'!$BF467)*'RD Feedstock Breakdown'!EG458)*'Feedstock Conversion Rates'!$B$8))</f>
        <v>504.20280181148127</v>
      </c>
      <c r="FI458" s="102">
        <f>IF('Renewable Diesel'!$BG467&lt;1,0,(((('Renewable Diesel'!$BG467-1)*'Renewable Diesel'!$BF467)*'RD Feedstock Breakdown'!EH458)*'Feedstock Conversion Rates'!$B$9))</f>
        <v>18.951622772850595</v>
      </c>
      <c r="FJ458" s="102">
        <f t="shared" si="463"/>
        <v>17991.498525787727</v>
      </c>
      <c r="GD458" s="91">
        <f>'Renewable Diesel'!BB467*0.32</f>
        <v>0</v>
      </c>
      <c r="GE458" s="91">
        <f>'Renewable Diesel'!BC467</f>
        <v>610.60894557455765</v>
      </c>
      <c r="GF458" s="91">
        <f>'Renewable Diesel'!BD467</f>
        <v>0</v>
      </c>
      <c r="GG458" s="91">
        <f t="shared" si="451"/>
        <v>610.60894557455765</v>
      </c>
      <c r="GH458" s="124">
        <v>1</v>
      </c>
      <c r="GI458" s="102">
        <f>$GG458*EA458*'Feedstock Conversion Rates'!$B$2</f>
        <v>162.29914878050258</v>
      </c>
      <c r="GJ458" s="102">
        <f>$GG458*EB458*'Feedstock Conversion Rates'!$B$3</f>
        <v>517.29332873447436</v>
      </c>
      <c r="GK458" s="102">
        <f>$GG458*EC458*'Feedstock Conversion Rates'!$B$4</f>
        <v>2624.8473108270205</v>
      </c>
      <c r="GL458" s="102">
        <f>$GG458*ED458*'Feedstock Conversion Rates'!$B$5</f>
        <v>319.68887674079826</v>
      </c>
      <c r="GM458" s="102">
        <f>$GG458*EE458*'Feedstock Conversion Rates'!$B$6</f>
        <v>421.70780075181301</v>
      </c>
      <c r="GN458" s="102">
        <f>$GG458*EF458*'Feedstock Conversion Rates'!$B$7</f>
        <v>685.68410129275867</v>
      </c>
      <c r="GO458" s="102">
        <f>$GG458*EG458*'Feedstock Conversion Rates'!$B$8</f>
        <v>136.56966641789015</v>
      </c>
      <c r="GP458" s="102">
        <f>$GG458*EH458*'Feedstock Conversion Rates'!B$9</f>
        <v>5.133285239326411</v>
      </c>
      <c r="GQ458" s="102">
        <f t="shared" si="437"/>
        <v>4873.2235187845836</v>
      </c>
      <c r="GT458" s="103">
        <f t="shared" si="484"/>
        <v>3.3304269372191879E-2</v>
      </c>
      <c r="GU458" s="103">
        <f t="shared" si="484"/>
        <v>0.10615013383656387</v>
      </c>
      <c r="GV458" s="103">
        <f t="shared" si="484"/>
        <v>0.53862649654979822</v>
      </c>
      <c r="GW458" s="103">
        <f t="shared" si="484"/>
        <v>6.5601110950176761E-2</v>
      </c>
      <c r="GX458" s="103">
        <f t="shared" si="465"/>
        <v>8.6535698419388296E-2</v>
      </c>
      <c r="GY458" s="103">
        <f t="shared" si="465"/>
        <v>0.14070442257566981</v>
      </c>
      <c r="GZ458" s="103">
        <f t="shared" si="465"/>
        <v>2.802450285554552E-2</v>
      </c>
      <c r="HA458" s="103">
        <f t="shared" si="465"/>
        <v>1.0533654406655838E-3</v>
      </c>
    </row>
    <row r="459" spans="1:209" x14ac:dyDescent="0.25">
      <c r="A459" s="96">
        <v>54393</v>
      </c>
      <c r="B459" s="104">
        <f t="shared" si="473"/>
        <v>44.25</v>
      </c>
      <c r="C459" s="104">
        <f t="shared" si="466"/>
        <v>49</v>
      </c>
      <c r="D459" s="104">
        <f t="shared" si="474"/>
        <v>2</v>
      </c>
      <c r="E459" s="104">
        <f>('Renewable Diesel'!B468*E$3*'Feedstock Conversion Rates'!$B$2)/12+26+13-100+27.5+39</f>
        <v>95.43</v>
      </c>
      <c r="F459" s="104">
        <f>('Renewable Diesel'!B468*'RD Feedstock Breakdown'!F$3*'Feedstock Conversion Rates'!B$8)/12+77+23-10-12-115.75+24+8</f>
        <v>48.15625</v>
      </c>
      <c r="G459" s="104">
        <f>('Renewable Diesel'!B468*'RD Feedstock Breakdown'!G$3*'Feedstock Conversion Rates'!B$7)/12+116.75-39-57.5-145-31.5+32+70-40+10+60</f>
        <v>151.90700000000004</v>
      </c>
      <c r="H459" s="104">
        <f>('Renewable Diesel'!B468*'RD Feedstock Breakdown'!H$3*'Feedstock Conversion Rates'!B$3)/12+67+10+12+3-235+20+47-20+25</f>
        <v>105.40022499999998</v>
      </c>
      <c r="I459" s="106">
        <f t="shared" si="449"/>
        <v>496.14347500000002</v>
      </c>
      <c r="J459" s="104">
        <f t="shared" si="483"/>
        <v>4</v>
      </c>
      <c r="K459" s="104"/>
      <c r="L459" s="104">
        <v>1</v>
      </c>
      <c r="M459" s="104">
        <f>('Renewable Diesel'!C468*'RD Feedstock Breakdown'!M$3*'Feedstock Conversion Rates'!B$2)/12</f>
        <v>7.7902500000000003</v>
      </c>
      <c r="N459" s="104">
        <f>('Renewable Diesel'!C468*'RD Feedstock Breakdown'!N$3*'Feedstock Conversion Rates'!B$8)/12</f>
        <v>3.671875</v>
      </c>
      <c r="O459" s="104">
        <f>('Renewable Diesel'!C468*'RD Feedstock Breakdown'!O$3*'Feedstock Conversion Rates'!B$7)/12</f>
        <v>11.9991</v>
      </c>
      <c r="P459" s="104">
        <f>('Renewable Diesel'!C468*'RD Feedstock Breakdown'!P$3*'Feedstock Conversion Rates'!B$3)/12</f>
        <v>10.4470425</v>
      </c>
      <c r="Q459" s="106">
        <f t="shared" si="455"/>
        <v>38.908267500000001</v>
      </c>
      <c r="R459" s="104">
        <f>('Renewable Diesel'!D468*'RD Feedstock Breakdown'!R$3*'Feedstock Conversion Rates'!B$7)/12</f>
        <v>2.2999999999999998</v>
      </c>
      <c r="S459" s="106">
        <f t="shared" si="481"/>
        <v>2.2999999999999998</v>
      </c>
      <c r="T459" s="104">
        <f t="shared" si="456"/>
        <v>0.82499999999999929</v>
      </c>
      <c r="U459" s="104"/>
      <c r="V459" s="104">
        <f>('Renewable Diesel'!E468*'RD Feedstock Breakdown'!V$3*'Feedstock Conversion Rates'!B$6)/12-20+25</f>
        <v>49.250150000000012</v>
      </c>
      <c r="W459" s="104">
        <f>('Renewable Diesel'!E468*'RD Feedstock Breakdown'!W$3*'Feedstock Conversion Rates'!B$8)/12-6</f>
        <v>16.1796875</v>
      </c>
      <c r="X459" s="106">
        <f t="shared" si="438"/>
        <v>66.254837500000008</v>
      </c>
      <c r="Y459" s="104">
        <f t="shared" si="457"/>
        <v>98</v>
      </c>
      <c r="Z459" s="104">
        <f>('Renewable Diesel'!F468*'RD Feedstock Breakdown'!Z$3*'Feedstock Conversion Rates'!B$6)/12-142+15+5+20+5+15</f>
        <v>77.460000000000008</v>
      </c>
      <c r="AA459" s="104">
        <f>('Renewable Diesel'!F468*'RD Feedstock Breakdown'!AA$3*'Feedstock Conversion Rates'!B$7)/12+24</f>
        <v>128.26666666666665</v>
      </c>
      <c r="AB459" s="106">
        <f t="shared" si="471"/>
        <v>303.72666666666669</v>
      </c>
      <c r="AC459" s="104">
        <f>('Renewable Diesel'!G468*'RD Feedstock Breakdown'!AC$3*'Feedstock Conversion Rates'!B$5)/12</f>
        <v>11.796875</v>
      </c>
      <c r="AD459" s="104">
        <f>('Renewable Diesel'!G468*'RD Feedstock Breakdown'!AD$3*'Feedstock Conversion Rates'!B$4)/12</f>
        <v>5.859375</v>
      </c>
      <c r="AE459" s="104">
        <f>('Renewable Diesel'!G468*'RD Feedstock Breakdown'!AE$3*'Feedstock Conversion Rates'!B$6)/12</f>
        <v>7.3281250000000009</v>
      </c>
      <c r="AF459" s="106">
        <f t="shared" si="445"/>
        <v>24.984375</v>
      </c>
      <c r="AG459" s="104">
        <f t="shared" si="459"/>
        <v>148</v>
      </c>
      <c r="AH459" s="104"/>
      <c r="AI459" s="104">
        <f>('Renewable Diesel'!H468*'RD Feedstock Breakdown'!AI$3*'Feedstock Conversion Rates'!B$6)/12-130-20+51-49</f>
        <v>0.51666666666667993</v>
      </c>
      <c r="AJ459" s="106">
        <f t="shared" si="480"/>
        <v>148.51666666666668</v>
      </c>
      <c r="AK459" s="104">
        <f>('Renewable Diesel'!J468*'RD Feedstock Breakdown'!AK$3*'Feedstock Conversion Rates'!B$4)/12</f>
        <v>95.8125</v>
      </c>
      <c r="AL459" s="106">
        <f t="shared" si="482"/>
        <v>95.8125</v>
      </c>
      <c r="AM459" s="104">
        <f>('Renewable Diesel'!K468*'RD Feedstock Breakdown'!AM$3*'Feedstock Conversion Rates'!B$4)/12+5+15-10+10</f>
        <v>78.59375</v>
      </c>
      <c r="AN459" s="104">
        <f>('Renewable Diesel'!K468*'RD Feedstock Breakdown'!AN$3*'Feedstock Conversion Rates'!B$6)/12-5-15+10-10</f>
        <v>4.4270833333333321</v>
      </c>
      <c r="AO459" s="106">
        <f t="shared" si="431"/>
        <v>83.020833333333329</v>
      </c>
      <c r="AP459" s="104">
        <f>('Renewable Diesel'!L468*'RD Feedstock Breakdown'!AP$3*'Feedstock Conversion Rates'!B$4)/12+15-10+15</f>
        <v>78.59375</v>
      </c>
      <c r="AQ459" s="104">
        <f>('Renewable Diesel'!L468*'RD Feedstock Breakdown'!AQ$3*'Feedstock Conversion Rates'!B$6)/12-15+10-15</f>
        <v>4.4270833333333321</v>
      </c>
      <c r="AR459" s="106">
        <f t="shared" si="486"/>
        <v>83.020833333333329</v>
      </c>
      <c r="AS459" s="104">
        <f>('Renewable Diesel'!M468*'RD Feedstock Breakdown'!AS$3*'Feedstock Conversion Rates'!B$4)/12</f>
        <v>456.25</v>
      </c>
      <c r="AT459" s="104">
        <f>('Renewable Diesel'!M468*'RD Feedstock Breakdown'!AT$3*'Feedstock Conversion Rates'!B$5)/12</f>
        <v>0</v>
      </c>
      <c r="AU459" s="106">
        <f t="shared" si="448"/>
        <v>456.25</v>
      </c>
      <c r="AV459" s="104">
        <f>'Renewable Diesel'!N468*'RD Feedstock Breakdown'!$AV$3*'Feedstock Conversion Rates'!$B$4/12-15-10+25+25-22+25</f>
        <v>106.74999999999999</v>
      </c>
      <c r="AW459" s="104">
        <f>'Renewable Diesel'!N468*'RD Feedstock Breakdown'!$AW$3*'Feedstock Conversion Rates'!$B$7/12+15+10-25-25+22-25</f>
        <v>13.400000000000006</v>
      </c>
      <c r="AX459" s="106">
        <f t="shared" si="475"/>
        <v>120.14999999999999</v>
      </c>
      <c r="AY459" s="104">
        <f>('Renewable Diesel'!O468*'RD Feedstock Breakdown'!AY$3*'Feedstock Conversion Rates'!B$4)/12</f>
        <v>210.9375</v>
      </c>
      <c r="AZ459" s="104">
        <f>('Renewable Diesel'!O468*'RD Feedstock Breakdown'!AZ$3*'Feedstock Conversion Rates'!B$3)/12</f>
        <v>25.03125</v>
      </c>
      <c r="BA459" s="106">
        <f t="shared" si="458"/>
        <v>235.96875</v>
      </c>
      <c r="BB459" s="104">
        <f>('Renewable Diesel'!Q468*'RD Feedstock Breakdown'!BB$3*'Feedstock Conversion Rates'!B$4)/12</f>
        <v>11.156249999999998</v>
      </c>
      <c r="BC459" s="104">
        <f>('Renewable Diesel'!Q468*'RD Feedstock Breakdown'!BC$3*'Feedstock Conversion Rates'!B$3)/12</f>
        <v>1.4017500000000001</v>
      </c>
      <c r="BD459" s="104">
        <f>('Renewable Diesel'!Q468*'RD Feedstock Breakdown'!BD$3*'Feedstock Conversion Rates'!B$6)/12</f>
        <v>0.8207500000000002</v>
      </c>
      <c r="BE459" s="106">
        <f t="shared" si="440"/>
        <v>13.378749999999998</v>
      </c>
      <c r="BF459" s="104">
        <f>('Renewable Diesel'!R468*'RD Feedstock Breakdown'!BF$3*'Feedstock Conversion Rates'!B$4)/12</f>
        <v>62.5</v>
      </c>
      <c r="BG459" s="106">
        <f t="shared" ref="BG459:BG495" si="490">BF459</f>
        <v>62.5</v>
      </c>
      <c r="BH459" s="104">
        <f>('Renewable Diesel'!T468*'RD Feedstock Breakdown'!BH$3*'Feedstock Conversion Rates'!B$7)/12</f>
        <v>27.599999999999998</v>
      </c>
      <c r="BI459" s="106">
        <f t="shared" si="479"/>
        <v>27.599999999999998</v>
      </c>
      <c r="BJ459" s="104">
        <f>('Renewable Diesel'!W468*'RD Feedstock Breakdown'!BJ$3*'Feedstock Conversion Rates'!B$4)/12</f>
        <v>7.5</v>
      </c>
      <c r="BK459" s="104">
        <f>('Renewable Diesel'!W468*'RD Feedstock Breakdown'!BK$3*'Feedstock Conversion Rates'!B$3)/12</f>
        <v>1.335</v>
      </c>
      <c r="BL459" s="104">
        <f>('Renewable Diesel'!W468*'RD Feedstock Breakdown'!BL$3*'Feedstock Conversion Rates'!B$6)/12</f>
        <v>3.1266666666666669</v>
      </c>
      <c r="BM459" s="104">
        <f>('Renewable Diesel'!W468*'RD Feedstock Breakdown'!BM$3*'Feedstock Conversion Rates'!B$7)/12</f>
        <v>1.5333333333333332</v>
      </c>
      <c r="BN459" s="106">
        <f t="shared" si="452"/>
        <v>13.495000000000001</v>
      </c>
      <c r="BO459" s="104">
        <f>('Renewable Diesel'!P468*'Feedstock Conversion Rates'!B$4)/12</f>
        <v>31.25</v>
      </c>
      <c r="BP459" s="106">
        <f t="shared" si="446"/>
        <v>31.25</v>
      </c>
      <c r="BQ459" s="104">
        <f>('Renewable Diesel'!$S468*'RD Feedstock Breakdown'!BQ$3*'Feedstock Conversion Rates'!B$4)/12+10+15-15</f>
        <v>38.125</v>
      </c>
      <c r="BR459" s="104">
        <f>('Renewable Diesel'!$S468*'RD Feedstock Breakdown'!BR$3*'Feedstock Conversion Rates'!B$7)/12-10-15+15</f>
        <v>1.5</v>
      </c>
      <c r="BS459" s="106">
        <f t="shared" si="460"/>
        <v>39.625</v>
      </c>
      <c r="BT459" s="106"/>
      <c r="BU459" s="104">
        <f>('Renewable Diesel'!Y468*'Feedstock Conversion Rates'!B$7)/12</f>
        <v>2.6833333333333331</v>
      </c>
      <c r="BV459" s="106">
        <f t="shared" si="442"/>
        <v>2.6833333333333331</v>
      </c>
      <c r="BW459" s="104">
        <f>('Renewable Diesel'!$Z468*'RD Feedstock Breakdown'!BW$3*'Feedstock Conversion Rates'!$B$4)/12-250+180</f>
        <v>1.875</v>
      </c>
      <c r="BX459" s="104">
        <f>('Renewable Diesel'!$Z468*'RD Feedstock Breakdown'!BX$3*'Feedstock Conversion Rates'!$B$5)/12</f>
        <v>7.2354166666666666</v>
      </c>
      <c r="BY459" s="104">
        <f>('Renewable Diesel'!$Z468*'RD Feedstock Breakdown'!BY$3*'Feedstock Conversion Rates'!$B$7)/12</f>
        <v>61.716666666666661</v>
      </c>
      <c r="BZ459" s="104">
        <f>('Renewable Diesel'!$Z468*'RD Feedstock Breakdown'!BZ$3*'Feedstock Conversion Rates'!$B$3)/12+250-180</f>
        <v>85.35250000000002</v>
      </c>
      <c r="CA459" s="106">
        <f t="shared" si="464"/>
        <v>156.17958333333334</v>
      </c>
      <c r="CB459" s="104">
        <f>('Renewable Diesel'!AA468*'Feedstock Conversion Rates'!B$4)/12</f>
        <v>191.25</v>
      </c>
      <c r="CC459" s="106">
        <f t="shared" si="454"/>
        <v>191.25</v>
      </c>
      <c r="CD459" s="104">
        <f>('Renewable Diesel'!$AB468*'RD Feedstock Breakdown'!CD$3*'Feedstock Conversion Rates'!$B$6)/12-15-5</f>
        <v>12.830000000000005</v>
      </c>
      <c r="CE459" s="104">
        <f>('Renewable Diesel'!$AB468*'RD Feedstock Breakdown'!CE$3*'Feedstock Conversion Rates'!$B$4)/12+15+5</f>
        <v>31.25</v>
      </c>
      <c r="CF459" s="106">
        <f t="shared" si="450"/>
        <v>44.080000000000005</v>
      </c>
      <c r="CG459" s="104">
        <f>('Renewable Diesel'!AD468*'Feedstock Conversion Rates'!B$4)/12</f>
        <v>112.5</v>
      </c>
      <c r="CH459" s="106">
        <f t="shared" si="439"/>
        <v>112.5</v>
      </c>
      <c r="CI459" s="104">
        <f>('Renewable Diesel'!$AE468*'RD Feedstock Breakdown'!CI$3*'Feedstock Conversion Rates'!$B$5)/12</f>
        <v>0.34604166666666664</v>
      </c>
      <c r="CJ459" s="104">
        <f>('Renewable Diesel'!$AE468*'RD Feedstock Breakdown'!CJ$3*'Feedstock Conversion Rates'!$B$4)/12</f>
        <v>0.34375</v>
      </c>
      <c r="CK459" s="106">
        <f t="shared" si="447"/>
        <v>0.68979166666666658</v>
      </c>
      <c r="CL459" s="104">
        <f>(((CL$3*'Renewable Diesel'!$AF468)*'Feedstock Conversion Rates'!$B$3)/12)</f>
        <v>91.78125</v>
      </c>
      <c r="CM459" s="104">
        <f>(((CM$3*'Renewable Diesel'!$AF468)*'Feedstock Conversion Rates'!$B$6)/12)</f>
        <v>53.739583333333336</v>
      </c>
      <c r="CN459" s="104">
        <f>(((CN$3*'Renewable Diesel'!$AF468)*'Feedstock Conversion Rates'!$B$4)/12)</f>
        <v>42.96875</v>
      </c>
      <c r="CO459" s="106">
        <f t="shared" si="441"/>
        <v>188.48958333333334</v>
      </c>
      <c r="CP459" s="104">
        <f>('Renewable Diesel'!$AG468*'RD Feedstock Breakdown'!CP$3*'Feedstock Conversion Rates'!$B$3)/12</f>
        <v>6.0075000000000003</v>
      </c>
      <c r="CQ459" s="104">
        <f>('Renewable Diesel'!$AG468*'RD Feedstock Breakdown'!CQ$3*'Feedstock Conversion Rates'!$B$6)/12</f>
        <v>3.5175000000000001</v>
      </c>
      <c r="CR459" s="104">
        <f>('Renewable Diesel'!$AG468*'RD Feedstock Breakdown'!CR$3*'Feedstock Conversion Rates'!$B$4)/12</f>
        <v>2.8125</v>
      </c>
      <c r="CS459" s="106">
        <f t="shared" si="467"/>
        <v>12.3375</v>
      </c>
      <c r="CT459" s="104">
        <f>('Renewable Diesel'!AI468*'Feedstock Conversion Rates'!$B$4*'RD Feedstock Breakdown'!$CT$3)/12</f>
        <v>29.375</v>
      </c>
      <c r="CU459" s="106">
        <f t="shared" si="443"/>
        <v>29.375</v>
      </c>
      <c r="CV459" s="104">
        <f>('Renewable Diesel'!AN468*'Feedstock Conversion Rates'!$B$3*'RD Feedstock Breakdown'!$CV$3)/12</f>
        <v>0.50062499999999999</v>
      </c>
      <c r="CW459" s="106">
        <f t="shared" si="485"/>
        <v>0.50062499999999999</v>
      </c>
      <c r="CX459" s="104">
        <f>('Renewable Diesel'!AO468*'RD Feedstock Breakdown'!$CX$3*'Feedstock Conversion Rates'!$B$3)/12</f>
        <v>6.3412499999999996</v>
      </c>
      <c r="CY459" s="104">
        <f>('Renewable Diesel'!AO468*'RD Feedstock Breakdown'!$CY$3*'Feedstock Conversion Rates'!$B$6)/12</f>
        <v>7.4258333333333342</v>
      </c>
      <c r="CZ459" s="106">
        <f t="shared" si="468"/>
        <v>13.767083333333334</v>
      </c>
      <c r="DA459" s="104">
        <f>('Renewable Diesel'!$AP468*'RD Feedstock Breakdown'!DA$3*'Feedstock Conversion Rates'!$B$3)/12</f>
        <v>6.3412499999999996</v>
      </c>
      <c r="DB459" s="104">
        <f>('Renewable Diesel'!$AP468*'RD Feedstock Breakdown'!DB$3*'Feedstock Conversion Rates'!$B$8)/12</f>
        <v>7.421875</v>
      </c>
      <c r="DC459" s="106">
        <f t="shared" si="488"/>
        <v>13.763124999999999</v>
      </c>
      <c r="DD459" s="104">
        <f>('Renewable Diesel'!AQ468*$DD$3*'Feedstock Conversion Rates'!$B$14)/12</f>
        <v>3.1041666666666665</v>
      </c>
      <c r="DE459" s="106">
        <f t="shared" si="489"/>
        <v>3.1041666666666665</v>
      </c>
      <c r="DF459" s="104">
        <f>('Renewable Diesel'!AR468*'Feedstock Conversion Rates'!$B$4*$DF$3)/12</f>
        <v>75</v>
      </c>
      <c r="DG459" s="106">
        <f t="shared" si="469"/>
        <v>75</v>
      </c>
      <c r="DH459" s="104">
        <f>('Renewable Diesel'!AS468*'Feedstock Conversion Rates'!$B$4*$DH$3)/12</f>
        <v>75</v>
      </c>
      <c r="DI459" s="106">
        <f t="shared" si="478"/>
        <v>75</v>
      </c>
      <c r="DJ459" s="104">
        <f>('Renewable Diesel'!AT468*'Feedstock Conversion Rates'!$B$4*0.25)/12</f>
        <v>8.59375</v>
      </c>
      <c r="DK459" s="104">
        <f>('Renewable Diesel'!$AT468*'RD Feedstock Breakdown'!DK$3*'Feedstock Conversion Rates'!$B$3)/12*0.5</f>
        <v>9.1781249999999996</v>
      </c>
      <c r="DL459" s="104">
        <f>('Renewable Diesel'!$AT468*'RD Feedstock Breakdown'!$DL$3*'Feedstock Conversion Rates'!$B$6)/12</f>
        <v>10.747916666666669</v>
      </c>
      <c r="DM459" s="104">
        <f>('Renewable Diesel'!$AT468*'RD Feedstock Breakdown'!$DM$3*'Feedstock Conversion Rates'!$B$8)/12</f>
        <v>10.7421875</v>
      </c>
      <c r="DN459" s="106">
        <f t="shared" si="453"/>
        <v>39.26197916666667</v>
      </c>
      <c r="DP459" s="104">
        <f t="shared" si="426"/>
        <v>103.22025000000001</v>
      </c>
      <c r="DQ459" s="104">
        <f t="shared" si="427"/>
        <v>349.11776750000007</v>
      </c>
      <c r="DR459" s="104">
        <f t="shared" si="432"/>
        <v>1891.953125</v>
      </c>
      <c r="DS459" s="104">
        <f t="shared" si="444"/>
        <v>228.90125</v>
      </c>
      <c r="DT459" s="104">
        <f t="shared" si="428"/>
        <v>243.03923333333344</v>
      </c>
      <c r="DU459" s="104">
        <f t="shared" si="429"/>
        <v>402.90610000000009</v>
      </c>
      <c r="DV459" s="104">
        <f t="shared" si="433"/>
        <v>78.75</v>
      </c>
      <c r="DW459" s="104">
        <f t="shared" si="430"/>
        <v>3</v>
      </c>
      <c r="DX459" s="106">
        <f t="shared" si="434"/>
        <v>3300.8877258333337</v>
      </c>
      <c r="DY459" s="109">
        <f t="shared" si="487"/>
        <v>-5.631051180898794E-13</v>
      </c>
      <c r="EA459" s="110">
        <f t="shared" si="472"/>
        <v>3.1270451640078516E-2</v>
      </c>
      <c r="EB459" s="110">
        <f t="shared" si="470"/>
        <v>0.10576481131658687</v>
      </c>
      <c r="EC459" s="110">
        <f t="shared" si="470"/>
        <v>0.57316494293133291</v>
      </c>
      <c r="ED459" s="110">
        <f t="shared" si="470"/>
        <v>6.9345360706629972E-2</v>
      </c>
      <c r="EE459" s="110">
        <f t="shared" si="470"/>
        <v>7.3628445896921982E-2</v>
      </c>
      <c r="EF459" s="110">
        <f t="shared" si="470"/>
        <v>0.1220599225010852</v>
      </c>
      <c r="EG459" s="110">
        <f t="shared" si="470"/>
        <v>2.3857218585075921E-2</v>
      </c>
      <c r="EH459" s="111">
        <f t="shared" si="435"/>
        <v>9.0884642228860647E-4</v>
      </c>
      <c r="EI459" s="110">
        <f t="shared" si="476"/>
        <v>0.99909115357771139</v>
      </c>
      <c r="EK459" s="132">
        <f>(EA459*'Renewable Diesel'!BF468*'Feedstock Conversion Rates'!B$2)+FB459</f>
        <v>1012.0037357376827</v>
      </c>
      <c r="EL459" s="132">
        <f>(EB459*'Renewable Diesel'!BF468*'Feedstock Conversion Rates'!B$3)+FC459</f>
        <v>3225.5423708935614</v>
      </c>
      <c r="EM459" s="132">
        <f>(EC459*'Renewable Diesel'!BF468*'Feedstock Conversion Rates'!B$4)+FD459</f>
        <v>16367.031523316715</v>
      </c>
      <c r="EN459" s="132">
        <f>(ED459*'Renewable Diesel'!BF468*'Feedstock Conversion Rates'!B$5)+FE459</f>
        <v>1993.3951592871049</v>
      </c>
      <c r="EO459" s="132">
        <f>(EE459*'Renewable Diesel'!BF468*'Feedstock Conversion Rates'!B$6)+FF459</f>
        <v>2629.52623570276</v>
      </c>
      <c r="EP459" s="132">
        <f>(EF459*'Renewable Diesel'!BF468*'Feedstock Conversion Rates'!B$7)+FG459</f>
        <v>4275.5299535346003</v>
      </c>
      <c r="EQ459" s="132">
        <f>(EG459*'Renewable Diesel'!BF468*'Feedstock Conversion Rates'!B$8)+FH459</f>
        <v>851.56954698678851</v>
      </c>
      <c r="ER459" s="132">
        <f>(EH459*'Renewable Diesel'!BF468*'Feedstock Conversion Rates'!B$9)+FI459</f>
        <v>32.008201385154209</v>
      </c>
      <c r="ES459" s="132">
        <f t="shared" si="436"/>
        <v>30386.606726844366</v>
      </c>
      <c r="ET459" s="133">
        <f>ES459/'Renewable Diesel'!BF468</f>
        <v>23.313945178284587</v>
      </c>
      <c r="EW459" s="73">
        <f t="shared" si="461"/>
        <v>30435.637939457505</v>
      </c>
      <c r="EX459" s="73">
        <f t="shared" si="462"/>
        <v>19935.509558066864</v>
      </c>
      <c r="EY459" s="92">
        <f t="shared" si="477"/>
        <v>1.0016135797278682</v>
      </c>
      <c r="EZ459" s="92">
        <f t="shared" si="477"/>
        <v>0.65606238094546065</v>
      </c>
      <c r="FB459" s="102">
        <f>IF('Renewable Diesel'!$BG468&lt;1,0,(((('Renewable Diesel'!$BG468-1)*'Renewable Diesel'!$BF468)*'RD Feedstock Breakdown'!EA459)*'Feedstock Conversion Rates'!$B$2))</f>
        <v>665.57052910627817</v>
      </c>
      <c r="FC459" s="102">
        <f>IF('Renewable Diesel'!$BG468&lt;1,0,(((('Renewable Diesel'!$BG468-1)*'Renewable Diesel'!$BF468)*'RD Feedstock Breakdown'!EB459)*'Feedstock Conversion Rates'!$B$3))</f>
        <v>2121.3616774699499</v>
      </c>
      <c r="FD459" s="102">
        <f>IF('Renewable Diesel'!$BG468&lt;1,0,(((('Renewable Diesel'!$BG468-1)*'Renewable Diesel'!$BF468)*'RD Feedstock Breakdown'!EC459)*'Feedstock Conversion Rates'!$B$4))</f>
        <v>10764.203180467977</v>
      </c>
      <c r="FE459" s="102">
        <f>IF('Renewable Diesel'!$BG468&lt;1,0,(((('Renewable Diesel'!$BG468-1)*'Renewable Diesel'!$BF468)*'RD Feedstock Breakdown'!ED459)*'Feedstock Conversion Rates'!$B$5))</f>
        <v>1311.00807638571</v>
      </c>
      <c r="FF459" s="102">
        <f>IF('Renewable Diesel'!$BG468&lt;1,0,(((('Renewable Diesel'!$BG468-1)*'Renewable Diesel'!$BF468)*'RD Feedstock Breakdown'!EE459)*'Feedstock Conversion Rates'!$B$6))</f>
        <v>1729.3761931815347</v>
      </c>
      <c r="FG459" s="102">
        <f>IF('Renewable Diesel'!$BG468&lt;1,0,(((('Renewable Diesel'!$BG468-1)*'Renewable Diesel'!$BF468)*'RD Feedstock Breakdown'!EF459)*'Feedstock Conversion Rates'!$B$7))</f>
        <v>2811.9132695784615</v>
      </c>
      <c r="FH459" s="102">
        <f>IF('Renewable Diesel'!$BG468&lt;1,0,(((('Renewable Diesel'!$BG468-1)*'Renewable Diesel'!$BF468)*'RD Feedstock Breakdown'!EG459)*'Feedstock Conversion Rates'!$B$8))</f>
        <v>560.05681989468758</v>
      </c>
      <c r="FI459" s="102">
        <f>IF('Renewable Diesel'!$BG468&lt;1,0,(((('Renewable Diesel'!$BG468-1)*'Renewable Diesel'!$BF468)*'RD Feedstock Breakdown'!EH459)*'Feedstock Conversion Rates'!$B$9))</f>
        <v>21.05102459540667</v>
      </c>
      <c r="FJ459" s="102">
        <f t="shared" si="463"/>
        <v>19984.540770680003</v>
      </c>
      <c r="GD459" s="91">
        <f>'Renewable Diesel'!BB468*0.32</f>
        <v>0</v>
      </c>
      <c r="GE459" s="91">
        <f>'Renewable Diesel'!BC468</f>
        <v>548.65909350410561</v>
      </c>
      <c r="GF459" s="91">
        <f>'Renewable Diesel'!BD468</f>
        <v>0</v>
      </c>
      <c r="GG459" s="91">
        <f t="shared" si="451"/>
        <v>548.65909350410561</v>
      </c>
      <c r="GH459" s="124">
        <v>1</v>
      </c>
      <c r="GI459" s="102">
        <f>$GG459*EA459*'Feedstock Conversion Rates'!$B$2</f>
        <v>145.83295002763035</v>
      </c>
      <c r="GJ459" s="102">
        <f>$GG459*EB459*'Feedstock Conversion Rates'!$B$3</f>
        <v>464.81089226774645</v>
      </c>
      <c r="GK459" s="102">
        <f>$GG459*EC459*'Feedstock Conversion Rates'!$B$4</f>
        <v>2358.5411851277818</v>
      </c>
      <c r="GL459" s="102">
        <f>$GG459*ED459*'Feedstock Conversion Rates'!$B$5</f>
        <v>287.25456871731194</v>
      </c>
      <c r="GM459" s="102">
        <f>$GG459*EE459*'Feedstock Conversion Rates'!$B$6</f>
        <v>378.92307566242181</v>
      </c>
      <c r="GN459" s="102">
        <f>$GG459*EF459*'Feedstock Conversion Rates'!$B$7</f>
        <v>616.11743518016635</v>
      </c>
      <c r="GO459" s="102">
        <f>$GG459*EG459*'Feedstock Conversion Rates'!$B$8</f>
        <v>122.71387427265989</v>
      </c>
      <c r="GP459" s="102">
        <f>$GG459*EH459*'Feedstock Conversion Rates'!B$9</f>
        <v>4.6124834012326765</v>
      </c>
      <c r="GQ459" s="102">
        <f t="shared" si="437"/>
        <v>4378.806464656951</v>
      </c>
      <c r="GT459" s="103">
        <f t="shared" si="484"/>
        <v>3.3304269372191893E-2</v>
      </c>
      <c r="GU459" s="103">
        <f t="shared" si="484"/>
        <v>0.1061501338365639</v>
      </c>
      <c r="GV459" s="103">
        <f t="shared" si="484"/>
        <v>0.53862649654979833</v>
      </c>
      <c r="GW459" s="103">
        <f t="shared" si="484"/>
        <v>6.5601110950176775E-2</v>
      </c>
      <c r="GX459" s="103">
        <f t="shared" si="465"/>
        <v>8.653569841938831E-2</v>
      </c>
      <c r="GY459" s="103">
        <f t="shared" si="465"/>
        <v>0.14070442257566984</v>
      </c>
      <c r="GZ459" s="103">
        <f t="shared" si="465"/>
        <v>2.802450285554552E-2</v>
      </c>
      <c r="HA459" s="103">
        <f t="shared" si="465"/>
        <v>1.053365440665584E-3</v>
      </c>
    </row>
    <row r="460" spans="1:209" x14ac:dyDescent="0.25">
      <c r="A460" s="96">
        <v>54424</v>
      </c>
      <c r="B460" s="104">
        <f t="shared" si="473"/>
        <v>44.25</v>
      </c>
      <c r="C460" s="104">
        <f t="shared" si="466"/>
        <v>49</v>
      </c>
      <c r="D460" s="104">
        <f t="shared" si="474"/>
        <v>2</v>
      </c>
      <c r="E460" s="104">
        <f>('Renewable Diesel'!B469*E$3*'Feedstock Conversion Rates'!$B$2)/12+26+13-100+27.5+39</f>
        <v>95.43</v>
      </c>
      <c r="F460" s="104">
        <f>('Renewable Diesel'!B469*'RD Feedstock Breakdown'!F$3*'Feedstock Conversion Rates'!B$8)/12+77+23-10-12-115.75+24+8</f>
        <v>48.15625</v>
      </c>
      <c r="G460" s="104">
        <f>('Renewable Diesel'!B469*'RD Feedstock Breakdown'!G$3*'Feedstock Conversion Rates'!B$7)/12+116.75-39-57.5-145-31.5+32+70-40+10+60</f>
        <v>151.90700000000004</v>
      </c>
      <c r="H460" s="104">
        <f>('Renewable Diesel'!B469*'RD Feedstock Breakdown'!H$3*'Feedstock Conversion Rates'!B$3)/12+67+10+12+3-235+20+47-20+25</f>
        <v>105.40022499999998</v>
      </c>
      <c r="I460" s="106">
        <f t="shared" si="449"/>
        <v>496.14347500000002</v>
      </c>
      <c r="J460" s="104">
        <f t="shared" si="483"/>
        <v>4</v>
      </c>
      <c r="K460" s="104"/>
      <c r="L460" s="104">
        <v>1</v>
      </c>
      <c r="M460" s="104">
        <f>('Renewable Diesel'!C469*'RD Feedstock Breakdown'!M$3*'Feedstock Conversion Rates'!B$2)/12</f>
        <v>7.7902500000000003</v>
      </c>
      <c r="N460" s="104">
        <f>('Renewable Diesel'!C469*'RD Feedstock Breakdown'!N$3*'Feedstock Conversion Rates'!B$8)/12</f>
        <v>3.671875</v>
      </c>
      <c r="O460" s="104">
        <f>('Renewable Diesel'!C469*'RD Feedstock Breakdown'!O$3*'Feedstock Conversion Rates'!B$7)/12</f>
        <v>11.9991</v>
      </c>
      <c r="P460" s="104">
        <f>('Renewable Diesel'!C469*'RD Feedstock Breakdown'!P$3*'Feedstock Conversion Rates'!B$3)/12</f>
        <v>10.4470425</v>
      </c>
      <c r="Q460" s="106">
        <f t="shared" si="455"/>
        <v>38.908267500000001</v>
      </c>
      <c r="R460" s="104">
        <f>('Renewable Diesel'!D469*'RD Feedstock Breakdown'!R$3*'Feedstock Conversion Rates'!B$7)/12</f>
        <v>2.2999999999999998</v>
      </c>
      <c r="S460" s="106">
        <f t="shared" si="481"/>
        <v>2.2999999999999998</v>
      </c>
      <c r="T460" s="104">
        <f t="shared" si="456"/>
        <v>0.82499999999999929</v>
      </c>
      <c r="U460" s="104"/>
      <c r="V460" s="104">
        <f>('Renewable Diesel'!E469*'RD Feedstock Breakdown'!V$3*'Feedstock Conversion Rates'!B$6)/12-20+25</f>
        <v>49.250150000000012</v>
      </c>
      <c r="W460" s="104">
        <f>('Renewable Diesel'!E469*'RD Feedstock Breakdown'!W$3*'Feedstock Conversion Rates'!B$8)/12-6</f>
        <v>16.1796875</v>
      </c>
      <c r="X460" s="106">
        <f t="shared" si="438"/>
        <v>66.254837500000008</v>
      </c>
      <c r="Y460" s="104">
        <f t="shared" si="457"/>
        <v>98</v>
      </c>
      <c r="Z460" s="104">
        <f>('Renewable Diesel'!F469*'RD Feedstock Breakdown'!Z$3*'Feedstock Conversion Rates'!B$6)/12-142+15+5+20+5+15</f>
        <v>77.460000000000008</v>
      </c>
      <c r="AA460" s="104">
        <f>('Renewable Diesel'!F469*'RD Feedstock Breakdown'!AA$3*'Feedstock Conversion Rates'!B$7)/12+24</f>
        <v>128.26666666666665</v>
      </c>
      <c r="AB460" s="106">
        <f t="shared" si="471"/>
        <v>303.72666666666669</v>
      </c>
      <c r="AC460" s="104">
        <f>('Renewable Diesel'!G469*'RD Feedstock Breakdown'!AC$3*'Feedstock Conversion Rates'!B$5)/12</f>
        <v>11.796875</v>
      </c>
      <c r="AD460" s="104">
        <f>('Renewable Diesel'!G469*'RD Feedstock Breakdown'!AD$3*'Feedstock Conversion Rates'!B$4)/12</f>
        <v>5.859375</v>
      </c>
      <c r="AE460" s="104">
        <f>('Renewable Diesel'!G469*'RD Feedstock Breakdown'!AE$3*'Feedstock Conversion Rates'!B$6)/12</f>
        <v>7.3281250000000009</v>
      </c>
      <c r="AF460" s="106">
        <f t="shared" si="445"/>
        <v>24.984375</v>
      </c>
      <c r="AG460" s="104">
        <f t="shared" si="459"/>
        <v>148</v>
      </c>
      <c r="AH460" s="104"/>
      <c r="AI460" s="104">
        <f>('Renewable Diesel'!H469*'RD Feedstock Breakdown'!AI$3*'Feedstock Conversion Rates'!B$6)/12-130-20+51-49</f>
        <v>0.51666666666667993</v>
      </c>
      <c r="AJ460" s="106">
        <f t="shared" si="480"/>
        <v>148.51666666666668</v>
      </c>
      <c r="AK460" s="104">
        <f>('Renewable Diesel'!J469*'RD Feedstock Breakdown'!AK$3*'Feedstock Conversion Rates'!B$4)/12</f>
        <v>95.8125</v>
      </c>
      <c r="AL460" s="106">
        <f t="shared" si="482"/>
        <v>95.8125</v>
      </c>
      <c r="AM460" s="104">
        <f>('Renewable Diesel'!K469*'RD Feedstock Breakdown'!AM$3*'Feedstock Conversion Rates'!B$4)/12+5+15-10+10</f>
        <v>78.59375</v>
      </c>
      <c r="AN460" s="104">
        <f>('Renewable Diesel'!K469*'RD Feedstock Breakdown'!AN$3*'Feedstock Conversion Rates'!B$6)/12-5-15+10-10</f>
        <v>4.4270833333333321</v>
      </c>
      <c r="AO460" s="106">
        <f t="shared" si="431"/>
        <v>83.020833333333329</v>
      </c>
      <c r="AP460" s="104">
        <f>('Renewable Diesel'!L469*'RD Feedstock Breakdown'!AP$3*'Feedstock Conversion Rates'!B$4)/12+15-10+15</f>
        <v>78.59375</v>
      </c>
      <c r="AQ460" s="104">
        <f>('Renewable Diesel'!L469*'RD Feedstock Breakdown'!AQ$3*'Feedstock Conversion Rates'!B$6)/12-15+10-15</f>
        <v>4.4270833333333321</v>
      </c>
      <c r="AR460" s="106">
        <f t="shared" si="486"/>
        <v>83.020833333333329</v>
      </c>
      <c r="AS460" s="104">
        <f>('Renewable Diesel'!M469*'RD Feedstock Breakdown'!AS$3*'Feedstock Conversion Rates'!B$4)/12</f>
        <v>456.25</v>
      </c>
      <c r="AT460" s="104">
        <f>('Renewable Diesel'!M469*'RD Feedstock Breakdown'!AT$3*'Feedstock Conversion Rates'!B$5)/12</f>
        <v>0</v>
      </c>
      <c r="AU460" s="106">
        <f t="shared" si="448"/>
        <v>456.25</v>
      </c>
      <c r="AV460" s="104">
        <f>'Renewable Diesel'!N469*'RD Feedstock Breakdown'!$AV$3*'Feedstock Conversion Rates'!$B$4/12-15-10+25+25-22+25</f>
        <v>106.74999999999999</v>
      </c>
      <c r="AW460" s="104">
        <f>'Renewable Diesel'!N469*'RD Feedstock Breakdown'!$AW$3*'Feedstock Conversion Rates'!$B$7/12+15+10-25-25+22-25</f>
        <v>13.400000000000006</v>
      </c>
      <c r="AX460" s="106">
        <f t="shared" si="475"/>
        <v>120.14999999999999</v>
      </c>
      <c r="AY460" s="104">
        <f>('Renewable Diesel'!O469*'RD Feedstock Breakdown'!AY$3*'Feedstock Conversion Rates'!B$4)/12</f>
        <v>210.9375</v>
      </c>
      <c r="AZ460" s="104">
        <f>('Renewable Diesel'!O469*'RD Feedstock Breakdown'!AZ$3*'Feedstock Conversion Rates'!B$3)/12</f>
        <v>25.03125</v>
      </c>
      <c r="BA460" s="106">
        <f t="shared" si="458"/>
        <v>235.96875</v>
      </c>
      <c r="BB460" s="104">
        <f>('Renewable Diesel'!Q469*'RD Feedstock Breakdown'!BB$3*'Feedstock Conversion Rates'!B$4)/12</f>
        <v>11.156249999999998</v>
      </c>
      <c r="BC460" s="104">
        <f>('Renewable Diesel'!Q469*'RD Feedstock Breakdown'!BC$3*'Feedstock Conversion Rates'!B$3)/12</f>
        <v>1.4017500000000001</v>
      </c>
      <c r="BD460" s="104">
        <f>('Renewable Diesel'!Q469*'RD Feedstock Breakdown'!BD$3*'Feedstock Conversion Rates'!B$6)/12</f>
        <v>0.8207500000000002</v>
      </c>
      <c r="BE460" s="106">
        <f t="shared" si="440"/>
        <v>13.378749999999998</v>
      </c>
      <c r="BF460" s="104">
        <f>('Renewable Diesel'!R469*'RD Feedstock Breakdown'!BF$3*'Feedstock Conversion Rates'!B$4)/12</f>
        <v>62.5</v>
      </c>
      <c r="BG460" s="106">
        <f t="shared" si="490"/>
        <v>62.5</v>
      </c>
      <c r="BH460" s="104">
        <f>('Renewable Diesel'!T469*'RD Feedstock Breakdown'!BH$3*'Feedstock Conversion Rates'!B$7)/12</f>
        <v>27.599999999999998</v>
      </c>
      <c r="BI460" s="106">
        <f t="shared" si="479"/>
        <v>27.599999999999998</v>
      </c>
      <c r="BJ460" s="104">
        <f>('Renewable Diesel'!W469*'RD Feedstock Breakdown'!BJ$3*'Feedstock Conversion Rates'!B$4)/12</f>
        <v>7.5</v>
      </c>
      <c r="BK460" s="104">
        <f>('Renewable Diesel'!W469*'RD Feedstock Breakdown'!BK$3*'Feedstock Conversion Rates'!B$3)/12</f>
        <v>1.335</v>
      </c>
      <c r="BL460" s="104">
        <f>('Renewable Diesel'!W469*'RD Feedstock Breakdown'!BL$3*'Feedstock Conversion Rates'!B$6)/12</f>
        <v>3.1266666666666669</v>
      </c>
      <c r="BM460" s="104">
        <f>('Renewable Diesel'!W469*'RD Feedstock Breakdown'!BM$3*'Feedstock Conversion Rates'!B$7)/12</f>
        <v>1.5333333333333332</v>
      </c>
      <c r="BN460" s="106">
        <f t="shared" si="452"/>
        <v>13.495000000000001</v>
      </c>
      <c r="BO460" s="104">
        <f>('Renewable Diesel'!P469*'Feedstock Conversion Rates'!B$4)/12</f>
        <v>31.25</v>
      </c>
      <c r="BP460" s="106">
        <f t="shared" si="446"/>
        <v>31.25</v>
      </c>
      <c r="BQ460" s="104">
        <f>('Renewable Diesel'!$S469*'RD Feedstock Breakdown'!BQ$3*'Feedstock Conversion Rates'!B$4)/12+10+15-15</f>
        <v>38.125</v>
      </c>
      <c r="BR460" s="104">
        <f>('Renewable Diesel'!$S469*'RD Feedstock Breakdown'!BR$3*'Feedstock Conversion Rates'!B$7)/12-10-15+15</f>
        <v>1.5</v>
      </c>
      <c r="BS460" s="106">
        <f t="shared" si="460"/>
        <v>39.625</v>
      </c>
      <c r="BT460" s="106"/>
      <c r="BU460" s="104">
        <f>('Renewable Diesel'!Y469*'Feedstock Conversion Rates'!B$7)/12</f>
        <v>2.6833333333333331</v>
      </c>
      <c r="BV460" s="106">
        <f t="shared" si="442"/>
        <v>2.6833333333333331</v>
      </c>
      <c r="BW460" s="104">
        <f>('Renewable Diesel'!$Z469*'RD Feedstock Breakdown'!BW$3*'Feedstock Conversion Rates'!$B$4)/12-250+180</f>
        <v>1.875</v>
      </c>
      <c r="BX460" s="104">
        <f>('Renewable Diesel'!$Z469*'RD Feedstock Breakdown'!BX$3*'Feedstock Conversion Rates'!$B$5)/12</f>
        <v>7.2354166666666666</v>
      </c>
      <c r="BY460" s="104">
        <f>('Renewable Diesel'!$Z469*'RD Feedstock Breakdown'!BY$3*'Feedstock Conversion Rates'!$B$7)/12</f>
        <v>61.716666666666661</v>
      </c>
      <c r="BZ460" s="104">
        <f>('Renewable Diesel'!$Z469*'RD Feedstock Breakdown'!BZ$3*'Feedstock Conversion Rates'!$B$3)/12+250-180</f>
        <v>85.35250000000002</v>
      </c>
      <c r="CA460" s="106">
        <f t="shared" si="464"/>
        <v>156.17958333333334</v>
      </c>
      <c r="CB460" s="104">
        <f>('Renewable Diesel'!AA469*'Feedstock Conversion Rates'!B$4)/12</f>
        <v>191.25</v>
      </c>
      <c r="CC460" s="106">
        <f t="shared" si="454"/>
        <v>191.25</v>
      </c>
      <c r="CD460" s="104">
        <f>('Renewable Diesel'!$AB469*'RD Feedstock Breakdown'!CD$3*'Feedstock Conversion Rates'!$B$6)/12-15-5</f>
        <v>12.830000000000005</v>
      </c>
      <c r="CE460" s="104">
        <f>('Renewable Diesel'!$AB469*'RD Feedstock Breakdown'!CE$3*'Feedstock Conversion Rates'!$B$4)/12+15+5</f>
        <v>31.25</v>
      </c>
      <c r="CF460" s="106">
        <f t="shared" si="450"/>
        <v>44.080000000000005</v>
      </c>
      <c r="CG460" s="104">
        <f>('Renewable Diesel'!AD469*'Feedstock Conversion Rates'!B$4)/12</f>
        <v>112.5</v>
      </c>
      <c r="CH460" s="106">
        <f t="shared" si="439"/>
        <v>112.5</v>
      </c>
      <c r="CI460" s="104">
        <f>('Renewable Diesel'!$AE469*'RD Feedstock Breakdown'!CI$3*'Feedstock Conversion Rates'!$B$5)/12</f>
        <v>0.34604166666666664</v>
      </c>
      <c r="CJ460" s="104">
        <f>('Renewable Diesel'!$AE469*'RD Feedstock Breakdown'!CJ$3*'Feedstock Conversion Rates'!$B$4)/12</f>
        <v>0.34375</v>
      </c>
      <c r="CK460" s="106">
        <f t="shared" si="447"/>
        <v>0.68979166666666658</v>
      </c>
      <c r="CL460" s="104">
        <f>(((CL$3*'Renewable Diesel'!$AF469)*'Feedstock Conversion Rates'!$B$3)/12)</f>
        <v>91.78125</v>
      </c>
      <c r="CM460" s="104">
        <f>(((CM$3*'Renewable Diesel'!$AF469)*'Feedstock Conversion Rates'!$B$6)/12)</f>
        <v>53.739583333333336</v>
      </c>
      <c r="CN460" s="104">
        <f>(((CN$3*'Renewable Diesel'!$AF469)*'Feedstock Conversion Rates'!$B$4)/12)</f>
        <v>42.96875</v>
      </c>
      <c r="CO460" s="106">
        <f t="shared" si="441"/>
        <v>188.48958333333334</v>
      </c>
      <c r="CP460" s="104">
        <f>('Renewable Diesel'!$AG469*'RD Feedstock Breakdown'!CP$3*'Feedstock Conversion Rates'!$B$3)/12</f>
        <v>6.0075000000000003</v>
      </c>
      <c r="CQ460" s="104">
        <f>('Renewable Diesel'!$AG469*'RD Feedstock Breakdown'!CQ$3*'Feedstock Conversion Rates'!$B$6)/12</f>
        <v>3.5175000000000001</v>
      </c>
      <c r="CR460" s="104">
        <f>('Renewable Diesel'!$AG469*'RD Feedstock Breakdown'!CR$3*'Feedstock Conversion Rates'!$B$4)/12</f>
        <v>2.8125</v>
      </c>
      <c r="CS460" s="106">
        <f t="shared" si="467"/>
        <v>12.3375</v>
      </c>
      <c r="CT460" s="104">
        <f>('Renewable Diesel'!AI469*'Feedstock Conversion Rates'!$B$4*'RD Feedstock Breakdown'!$CT$3)/12</f>
        <v>29.375</v>
      </c>
      <c r="CU460" s="106">
        <f t="shared" si="443"/>
        <v>29.375</v>
      </c>
      <c r="CV460" s="104">
        <f>('Renewable Diesel'!AN469*'Feedstock Conversion Rates'!$B$3*'RD Feedstock Breakdown'!$CV$3)/12</f>
        <v>0.50062499999999999</v>
      </c>
      <c r="CW460" s="106">
        <f t="shared" si="485"/>
        <v>0.50062499999999999</v>
      </c>
      <c r="CX460" s="104">
        <f>('Renewable Diesel'!AO469*'RD Feedstock Breakdown'!$CX$3*'Feedstock Conversion Rates'!$B$3)/12</f>
        <v>6.3412499999999996</v>
      </c>
      <c r="CY460" s="104">
        <f>('Renewable Diesel'!AO469*'RD Feedstock Breakdown'!$CY$3*'Feedstock Conversion Rates'!$B$6)/12</f>
        <v>7.4258333333333342</v>
      </c>
      <c r="CZ460" s="106">
        <f t="shared" si="468"/>
        <v>13.767083333333334</v>
      </c>
      <c r="DA460" s="104">
        <f>('Renewable Diesel'!$AP469*'RD Feedstock Breakdown'!DA$3*'Feedstock Conversion Rates'!$B$3)/12</f>
        <v>6.3412499999999996</v>
      </c>
      <c r="DB460" s="104">
        <f>('Renewable Diesel'!$AP469*'RD Feedstock Breakdown'!DB$3*'Feedstock Conversion Rates'!$B$8)/12</f>
        <v>7.421875</v>
      </c>
      <c r="DC460" s="106">
        <f t="shared" si="488"/>
        <v>13.763124999999999</v>
      </c>
      <c r="DD460" s="104">
        <f>('Renewable Diesel'!AQ469*$DD$3*'Feedstock Conversion Rates'!$B$14)/12</f>
        <v>3.1041666666666665</v>
      </c>
      <c r="DE460" s="106">
        <f t="shared" si="489"/>
        <v>3.1041666666666665</v>
      </c>
      <c r="DF460" s="104">
        <f>('Renewable Diesel'!AR469*'Feedstock Conversion Rates'!$B$4*$DF$3)/12</f>
        <v>75</v>
      </c>
      <c r="DG460" s="106">
        <f t="shared" si="469"/>
        <v>75</v>
      </c>
      <c r="DH460" s="104">
        <f>('Renewable Diesel'!AS469*'Feedstock Conversion Rates'!$B$4*$DH$3)/12</f>
        <v>75</v>
      </c>
      <c r="DI460" s="106">
        <f t="shared" si="478"/>
        <v>75</v>
      </c>
      <c r="DJ460" s="104">
        <f>('Renewable Diesel'!AT469*'Feedstock Conversion Rates'!$B$4*0.25)/12</f>
        <v>8.59375</v>
      </c>
      <c r="DK460" s="104">
        <f>('Renewable Diesel'!$AT469*'RD Feedstock Breakdown'!DK$3*'Feedstock Conversion Rates'!$B$3)/12*0.5</f>
        <v>9.1781249999999996</v>
      </c>
      <c r="DL460" s="104">
        <f>('Renewable Diesel'!$AT469*'RD Feedstock Breakdown'!$DL$3*'Feedstock Conversion Rates'!$B$6)/12</f>
        <v>10.747916666666669</v>
      </c>
      <c r="DM460" s="104">
        <f>('Renewable Diesel'!$AT469*'RD Feedstock Breakdown'!$DM$3*'Feedstock Conversion Rates'!$B$8)/12</f>
        <v>10.7421875</v>
      </c>
      <c r="DN460" s="106">
        <f t="shared" si="453"/>
        <v>39.26197916666667</v>
      </c>
      <c r="DP460" s="104">
        <f t="shared" ref="DP460:DP495" si="491">E460+M460</f>
        <v>103.22025000000001</v>
      </c>
      <c r="DQ460" s="104">
        <f t="shared" ref="DQ460:DQ495" si="492">H460+P460+AZ460+BC460+BK460+BZ460+CL460+CP460+CV460+CX460+DA460+DK460</f>
        <v>349.11776750000007</v>
      </c>
      <c r="DR460" s="104">
        <f t="shared" si="432"/>
        <v>1891.953125</v>
      </c>
      <c r="DS460" s="104">
        <f t="shared" si="444"/>
        <v>228.90125</v>
      </c>
      <c r="DT460" s="104">
        <f t="shared" ref="DT460:DT495" si="493">V460+Z460+AE460+AI460+BD460+BL460+AN460+AQ460+CD460+CM460+CQ460+CY460+DB460+DL460</f>
        <v>243.03923333333344</v>
      </c>
      <c r="DU460" s="104">
        <f t="shared" ref="DU460:DU495" si="494">G460+O460+R460+AA460+AW460+BH460+BM460+BR460+BU460+BY460</f>
        <v>402.90610000000009</v>
      </c>
      <c r="DV460" s="104">
        <f t="shared" si="433"/>
        <v>78.75</v>
      </c>
      <c r="DW460" s="104">
        <f t="shared" ref="DW460:DW495" si="495">D460+L460</f>
        <v>3</v>
      </c>
      <c r="DX460" s="106">
        <f t="shared" si="434"/>
        <v>3300.8877258333337</v>
      </c>
      <c r="DY460" s="109">
        <f t="shared" si="487"/>
        <v>-5.631051180898794E-13</v>
      </c>
      <c r="EA460" s="110">
        <f t="shared" si="472"/>
        <v>3.1270451640078516E-2</v>
      </c>
      <c r="EB460" s="110">
        <f t="shared" si="470"/>
        <v>0.10576481131658687</v>
      </c>
      <c r="EC460" s="110">
        <f t="shared" si="470"/>
        <v>0.57316494293133291</v>
      </c>
      <c r="ED460" s="110">
        <f t="shared" si="470"/>
        <v>6.9345360706629972E-2</v>
      </c>
      <c r="EE460" s="110">
        <f t="shared" si="470"/>
        <v>7.3628445896921982E-2</v>
      </c>
      <c r="EF460" s="110">
        <f t="shared" si="470"/>
        <v>0.1220599225010852</v>
      </c>
      <c r="EG460" s="110">
        <f t="shared" si="470"/>
        <v>2.3857218585075921E-2</v>
      </c>
      <c r="EH460" s="111">
        <f t="shared" si="435"/>
        <v>9.0884642228860647E-4</v>
      </c>
      <c r="EI460" s="110">
        <f t="shared" si="476"/>
        <v>0.99909115357771139</v>
      </c>
      <c r="EK460" s="132">
        <f>(EA460*'Renewable Diesel'!BF469*'Feedstock Conversion Rates'!B$2)+FB460</f>
        <v>312.66483011580783</v>
      </c>
      <c r="EL460" s="132">
        <f>(EB460*'Renewable Diesel'!BF469*'Feedstock Conversion Rates'!B$3)+FC460</f>
        <v>996.55131874749122</v>
      </c>
      <c r="EM460" s="132">
        <f>(EC460*'Renewable Diesel'!BF469*'Feedstock Conversion Rates'!B$4)+FD460</f>
        <v>5056.6958895736225</v>
      </c>
      <c r="EN460" s="132">
        <f>(ED460*'Renewable Diesel'!BF469*'Feedstock Conversion Rates'!B$5)+FE460</f>
        <v>615.87179653823932</v>
      </c>
      <c r="EO460" s="132">
        <f>(EE460*'Renewable Diesel'!BF469*'Feedstock Conversion Rates'!B$6)+FF460</f>
        <v>812.40843757534481</v>
      </c>
      <c r="EP460" s="132">
        <f>(EF460*'Renewable Diesel'!BF469*'Feedstock Conversion Rates'!B$7)+FG460</f>
        <v>1320.951493921611</v>
      </c>
      <c r="EQ460" s="132">
        <f>(EG460*'Renewable Diesel'!BF469*'Feedstock Conversion Rates'!B$8)+FH460</f>
        <v>263.09769256566727</v>
      </c>
      <c r="ER460" s="132">
        <f>(EH460*'Renewable Diesel'!BF469*'Feedstock Conversion Rates'!B$9)+FI460</f>
        <v>9.8891323173888921</v>
      </c>
      <c r="ES460" s="132">
        <f t="shared" si="436"/>
        <v>9388.1305913551714</v>
      </c>
      <c r="ET460" s="133">
        <f>ES460/'Renewable Diesel'!BF469</f>
        <v>12.74805738758114</v>
      </c>
      <c r="EW460" s="73">
        <f t="shared" si="461"/>
        <v>7793.8232338309663</v>
      </c>
      <c r="EX460" s="73">
        <f t="shared" si="462"/>
        <v>5104.9969079337216</v>
      </c>
      <c r="EY460" s="92">
        <f t="shared" si="477"/>
        <v>0.83017840005418286</v>
      </c>
      <c r="EZ460" s="92">
        <f t="shared" si="477"/>
        <v>0.54377139924262796</v>
      </c>
      <c r="FB460" s="102">
        <f>IF('Renewable Diesel'!$BG469&lt;1,0,(((('Renewable Diesel'!$BG469-1)*'Renewable Diesel'!$BF469)*'RD Feedstock Breakdown'!EA460)*'Feedstock Conversion Rates'!$B$2))</f>
        <v>116.92095046897774</v>
      </c>
      <c r="FC460" s="102">
        <f>IF('Renewable Diesel'!$BG469&lt;1,0,(((('Renewable Diesel'!$BG469-1)*'Renewable Diesel'!$BF469)*'RD Feedstock Breakdown'!EB460)*'Feedstock Conversion Rates'!$B$3))</f>
        <v>372.66016563459635</v>
      </c>
      <c r="FD460" s="102">
        <f>IF('Renewable Diesel'!$BG469&lt;1,0,(((('Renewable Diesel'!$BG469-1)*'Renewable Diesel'!$BF469)*'RD Feedstock Breakdown'!EC460)*'Feedstock Conversion Rates'!$B$4))</f>
        <v>1890.9504130110636</v>
      </c>
      <c r="FE460" s="102">
        <f>IF('Renewable Diesel'!$BG469&lt;1,0,(((('Renewable Diesel'!$BG469-1)*'Renewable Diesel'!$BF469)*'RD Feedstock Breakdown'!ED460)*'Feedstock Conversion Rates'!$B$5))</f>
        <v>230.30513470804081</v>
      </c>
      <c r="FF460" s="102">
        <f>IF('Renewable Diesel'!$BG469&lt;1,0,(((('Renewable Diesel'!$BG469-1)*'Renewable Diesel'!$BF469)*'RD Feedstock Breakdown'!EE460)*'Feedstock Conversion Rates'!$B$6))</f>
        <v>303.79997217833574</v>
      </c>
      <c r="FG460" s="102">
        <f>IF('Renewable Diesel'!$BG469&lt;1,0,(((('Renewable Diesel'!$BG469-1)*'Renewable Diesel'!$BF469)*'RD Feedstock Breakdown'!EF460)*'Feedstock Conversion Rates'!$B$7))</f>
        <v>493.96954603280869</v>
      </c>
      <c r="FH460" s="102">
        <f>IF('Renewable Diesel'!$BG469&lt;1,0,(((('Renewable Diesel'!$BG469-1)*'Renewable Diesel'!$BF469)*'RD Feedstock Breakdown'!EG460)*'Feedstock Conversion Rates'!$B$8))</f>
        <v>98.385329330385289</v>
      </c>
      <c r="FI460" s="102">
        <f>IF('Renewable Diesel'!$BG469&lt;1,0,(((('Renewable Diesel'!$BG469-1)*'Renewable Diesel'!$BF469)*'RD Feedstock Breakdown'!EH460)*'Feedstock Conversion Rates'!$B$9))</f>
        <v>3.6980390453071799</v>
      </c>
      <c r="FJ460" s="102">
        <f t="shared" si="463"/>
        <v>3510.6895504095155</v>
      </c>
      <c r="GD460" s="91">
        <f>'Renewable Diesel'!BB469*0.32</f>
        <v>0</v>
      </c>
      <c r="GE460" s="91">
        <f>'Renewable Diesel'!BC469</f>
        <v>328.01965905087326</v>
      </c>
      <c r="GF460" s="91">
        <f>'Renewable Diesel'!BD469</f>
        <v>0</v>
      </c>
      <c r="GG460" s="91">
        <f t="shared" si="451"/>
        <v>328.01965905087326</v>
      </c>
      <c r="GH460" s="124">
        <v>1</v>
      </c>
      <c r="GI460" s="102">
        <f>$GG460*EA460*'Feedstock Conversion Rates'!$B$2</f>
        <v>87.187244525435702</v>
      </c>
      <c r="GJ460" s="102">
        <f>$GG460*EB460*'Feedstock Conversion Rates'!$B$3</f>
        <v>277.89042815465064</v>
      </c>
      <c r="GK460" s="102">
        <f>$GG460*EC460*'Feedstock Conversion Rates'!$B$4</f>
        <v>1410.0702687018677</v>
      </c>
      <c r="GL460" s="102">
        <f>$GG460*ED460*'Feedstock Conversion Rates'!$B$5</f>
        <v>171.73714389690184</v>
      </c>
      <c r="GM460" s="102">
        <f>$GG460*EE460*'Feedstock Conversion Rates'!$B$6</f>
        <v>226.54179900941668</v>
      </c>
      <c r="GN460" s="102">
        <f>$GG460*EF460*'Feedstock Conversion Rates'!$B$7</f>
        <v>368.35009829575415</v>
      </c>
      <c r="GO460" s="102">
        <f>$GG460*EG460*'Feedstock Conversion Rates'!$B$8</f>
        <v>73.365344120425874</v>
      </c>
      <c r="GP460" s="102">
        <f>$GG460*EH460*'Feedstock Conversion Rates'!B$9</f>
        <v>2.7576053155106108</v>
      </c>
      <c r="GQ460" s="102">
        <f t="shared" si="437"/>
        <v>2617.8999320199637</v>
      </c>
      <c r="GT460" s="103">
        <f t="shared" si="484"/>
        <v>3.3304269372191893E-2</v>
      </c>
      <c r="GU460" s="103">
        <f t="shared" si="484"/>
        <v>0.1061501338365639</v>
      </c>
      <c r="GV460" s="103">
        <f t="shared" si="484"/>
        <v>0.53862649654979822</v>
      </c>
      <c r="GW460" s="103">
        <f t="shared" si="484"/>
        <v>6.5601110950176775E-2</v>
      </c>
      <c r="GX460" s="103">
        <f t="shared" si="465"/>
        <v>8.6535698419388324E-2</v>
      </c>
      <c r="GY460" s="103">
        <f t="shared" si="465"/>
        <v>0.14070442257566981</v>
      </c>
      <c r="GZ460" s="103">
        <f t="shared" si="465"/>
        <v>2.802450285554552E-2</v>
      </c>
      <c r="HA460" s="103">
        <f t="shared" si="465"/>
        <v>1.0533654406655842E-3</v>
      </c>
    </row>
    <row r="461" spans="1:209" x14ac:dyDescent="0.25">
      <c r="A461" s="96">
        <v>54455</v>
      </c>
      <c r="B461" s="104">
        <f t="shared" si="473"/>
        <v>44.25</v>
      </c>
      <c r="C461" s="104">
        <f t="shared" si="466"/>
        <v>49</v>
      </c>
      <c r="D461" s="104">
        <f t="shared" si="474"/>
        <v>2</v>
      </c>
      <c r="E461" s="104">
        <f>('Renewable Diesel'!B470*E$3*'Feedstock Conversion Rates'!$B$2)/12+26+13-100+27.5+39</f>
        <v>95.43</v>
      </c>
      <c r="F461" s="104">
        <f>('Renewable Diesel'!B470*'RD Feedstock Breakdown'!F$3*'Feedstock Conversion Rates'!B$8)/12+77+23-10-12-115.75+24+8</f>
        <v>48.15625</v>
      </c>
      <c r="G461" s="104">
        <f>('Renewable Diesel'!B470*'RD Feedstock Breakdown'!G$3*'Feedstock Conversion Rates'!B$7)/12+116.75-39-57.5-145-31.5+32+70-40+10+60</f>
        <v>151.90700000000004</v>
      </c>
      <c r="H461" s="104">
        <f>('Renewable Diesel'!B470*'RD Feedstock Breakdown'!H$3*'Feedstock Conversion Rates'!B$3)/12+67+10+12+3-235+20+47-20+25</f>
        <v>105.40022499999998</v>
      </c>
      <c r="I461" s="106">
        <f t="shared" si="449"/>
        <v>496.14347500000002</v>
      </c>
      <c r="J461" s="104">
        <f t="shared" si="483"/>
        <v>4</v>
      </c>
      <c r="K461" s="104"/>
      <c r="L461" s="104">
        <v>1</v>
      </c>
      <c r="M461" s="104">
        <f>('Renewable Diesel'!C470*'RD Feedstock Breakdown'!M$3*'Feedstock Conversion Rates'!B$2)/12</f>
        <v>7.7902500000000003</v>
      </c>
      <c r="N461" s="104">
        <f>('Renewable Diesel'!C470*'RD Feedstock Breakdown'!N$3*'Feedstock Conversion Rates'!B$8)/12</f>
        <v>3.671875</v>
      </c>
      <c r="O461" s="104">
        <f>('Renewable Diesel'!C470*'RD Feedstock Breakdown'!O$3*'Feedstock Conversion Rates'!B$7)/12</f>
        <v>11.9991</v>
      </c>
      <c r="P461" s="104">
        <f>('Renewable Diesel'!C470*'RD Feedstock Breakdown'!P$3*'Feedstock Conversion Rates'!B$3)/12</f>
        <v>10.4470425</v>
      </c>
      <c r="Q461" s="106">
        <f t="shared" si="455"/>
        <v>38.908267500000001</v>
      </c>
      <c r="R461" s="104">
        <f>('Renewable Diesel'!D470*'RD Feedstock Breakdown'!R$3*'Feedstock Conversion Rates'!B$7)/12</f>
        <v>2.2999999999999998</v>
      </c>
      <c r="S461" s="106">
        <f t="shared" si="481"/>
        <v>2.2999999999999998</v>
      </c>
      <c r="T461" s="104">
        <f t="shared" si="456"/>
        <v>0.82499999999999929</v>
      </c>
      <c r="U461" s="104"/>
      <c r="V461" s="104">
        <f>('Renewable Diesel'!E470*'RD Feedstock Breakdown'!V$3*'Feedstock Conversion Rates'!B$6)/12-20+25</f>
        <v>49.250150000000012</v>
      </c>
      <c r="W461" s="104">
        <f>('Renewable Diesel'!E470*'RD Feedstock Breakdown'!W$3*'Feedstock Conversion Rates'!B$8)/12-6</f>
        <v>16.1796875</v>
      </c>
      <c r="X461" s="106">
        <f t="shared" si="438"/>
        <v>66.254837500000008</v>
      </c>
      <c r="Y461" s="104">
        <f t="shared" si="457"/>
        <v>98</v>
      </c>
      <c r="Z461" s="104">
        <f>('Renewable Diesel'!F470*'RD Feedstock Breakdown'!Z$3*'Feedstock Conversion Rates'!B$6)/12-142+15+5+20+5+15</f>
        <v>77.460000000000008</v>
      </c>
      <c r="AA461" s="104">
        <f>('Renewable Diesel'!F470*'RD Feedstock Breakdown'!AA$3*'Feedstock Conversion Rates'!B$7)/12+24</f>
        <v>128.26666666666665</v>
      </c>
      <c r="AB461" s="106">
        <f t="shared" si="471"/>
        <v>303.72666666666669</v>
      </c>
      <c r="AC461" s="104">
        <f>('Renewable Diesel'!G470*'RD Feedstock Breakdown'!AC$3*'Feedstock Conversion Rates'!B$5)/12</f>
        <v>11.796875</v>
      </c>
      <c r="AD461" s="104">
        <f>('Renewable Diesel'!G470*'RD Feedstock Breakdown'!AD$3*'Feedstock Conversion Rates'!B$4)/12</f>
        <v>5.859375</v>
      </c>
      <c r="AE461" s="104">
        <f>('Renewable Diesel'!G470*'RD Feedstock Breakdown'!AE$3*'Feedstock Conversion Rates'!B$6)/12</f>
        <v>7.3281250000000009</v>
      </c>
      <c r="AF461" s="106">
        <f t="shared" si="445"/>
        <v>24.984375</v>
      </c>
      <c r="AG461" s="104">
        <f t="shared" si="459"/>
        <v>148</v>
      </c>
      <c r="AH461" s="104"/>
      <c r="AI461" s="104">
        <f>('Renewable Diesel'!H470*'RD Feedstock Breakdown'!AI$3*'Feedstock Conversion Rates'!B$6)/12-130-20+51-49</f>
        <v>0.51666666666667993</v>
      </c>
      <c r="AJ461" s="106">
        <f t="shared" si="480"/>
        <v>148.51666666666668</v>
      </c>
      <c r="AK461" s="104">
        <f>('Renewable Diesel'!J470*'RD Feedstock Breakdown'!AK$3*'Feedstock Conversion Rates'!B$4)/12</f>
        <v>95.8125</v>
      </c>
      <c r="AL461" s="106">
        <f t="shared" si="482"/>
        <v>95.8125</v>
      </c>
      <c r="AM461" s="104">
        <f>('Renewable Diesel'!K470*'RD Feedstock Breakdown'!AM$3*'Feedstock Conversion Rates'!B$4)/12+5+15-10+10</f>
        <v>78.59375</v>
      </c>
      <c r="AN461" s="104">
        <f>('Renewable Diesel'!K470*'RD Feedstock Breakdown'!AN$3*'Feedstock Conversion Rates'!B$6)/12-5-15+10-10</f>
        <v>4.4270833333333321</v>
      </c>
      <c r="AO461" s="106">
        <f t="shared" ref="AO461:AO495" si="496">SUM(AM461:AN461)</f>
        <v>83.020833333333329</v>
      </c>
      <c r="AP461" s="104">
        <f>('Renewable Diesel'!L470*'RD Feedstock Breakdown'!AP$3*'Feedstock Conversion Rates'!B$4)/12+15-10+15</f>
        <v>78.59375</v>
      </c>
      <c r="AQ461" s="104">
        <f>('Renewable Diesel'!L470*'RD Feedstock Breakdown'!AQ$3*'Feedstock Conversion Rates'!B$6)/12-15+10-15</f>
        <v>4.4270833333333321</v>
      </c>
      <c r="AR461" s="106">
        <f t="shared" si="486"/>
        <v>83.020833333333329</v>
      </c>
      <c r="AS461" s="104">
        <f>('Renewable Diesel'!M470*'RD Feedstock Breakdown'!AS$3*'Feedstock Conversion Rates'!B$4)/12</f>
        <v>456.25</v>
      </c>
      <c r="AT461" s="104">
        <f>('Renewable Diesel'!M470*'RD Feedstock Breakdown'!AT$3*'Feedstock Conversion Rates'!B$5)/12</f>
        <v>0</v>
      </c>
      <c r="AU461" s="106">
        <f t="shared" si="448"/>
        <v>456.25</v>
      </c>
      <c r="AV461" s="104">
        <f>'Renewable Diesel'!N470*'RD Feedstock Breakdown'!$AV$3*'Feedstock Conversion Rates'!$B$4/12-15-10+25+25-22+25</f>
        <v>106.74999999999999</v>
      </c>
      <c r="AW461" s="104">
        <f>'Renewable Diesel'!N470*'RD Feedstock Breakdown'!$AW$3*'Feedstock Conversion Rates'!$B$7/12+15+10-25-25+22-25</f>
        <v>13.400000000000006</v>
      </c>
      <c r="AX461" s="106">
        <f t="shared" si="475"/>
        <v>120.14999999999999</v>
      </c>
      <c r="AY461" s="104">
        <f>('Renewable Diesel'!O470*'RD Feedstock Breakdown'!AY$3*'Feedstock Conversion Rates'!B$4)/12</f>
        <v>210.9375</v>
      </c>
      <c r="AZ461" s="104">
        <f>('Renewable Diesel'!O470*'RD Feedstock Breakdown'!AZ$3*'Feedstock Conversion Rates'!B$3)/12</f>
        <v>25.03125</v>
      </c>
      <c r="BA461" s="106">
        <f t="shared" si="458"/>
        <v>235.96875</v>
      </c>
      <c r="BB461" s="104">
        <f>('Renewable Diesel'!Q470*'RD Feedstock Breakdown'!BB$3*'Feedstock Conversion Rates'!B$4)/12</f>
        <v>11.156249999999998</v>
      </c>
      <c r="BC461" s="104">
        <f>('Renewable Diesel'!Q470*'RD Feedstock Breakdown'!BC$3*'Feedstock Conversion Rates'!B$3)/12</f>
        <v>1.4017500000000001</v>
      </c>
      <c r="BD461" s="104">
        <f>('Renewable Diesel'!Q470*'RD Feedstock Breakdown'!BD$3*'Feedstock Conversion Rates'!B$6)/12</f>
        <v>0.8207500000000002</v>
      </c>
      <c r="BE461" s="106">
        <f t="shared" si="440"/>
        <v>13.378749999999998</v>
      </c>
      <c r="BF461" s="104">
        <f>('Renewable Diesel'!R470*'RD Feedstock Breakdown'!BF$3*'Feedstock Conversion Rates'!B$4)/12</f>
        <v>62.5</v>
      </c>
      <c r="BG461" s="106">
        <f t="shared" si="490"/>
        <v>62.5</v>
      </c>
      <c r="BH461" s="104">
        <f>('Renewable Diesel'!T470*'RD Feedstock Breakdown'!BH$3*'Feedstock Conversion Rates'!B$7)/12</f>
        <v>27.599999999999998</v>
      </c>
      <c r="BI461" s="106">
        <f t="shared" si="479"/>
        <v>27.599999999999998</v>
      </c>
      <c r="BJ461" s="104">
        <f>('Renewable Diesel'!W470*'RD Feedstock Breakdown'!BJ$3*'Feedstock Conversion Rates'!B$4)/12</f>
        <v>7.5</v>
      </c>
      <c r="BK461" s="104">
        <f>('Renewable Diesel'!W470*'RD Feedstock Breakdown'!BK$3*'Feedstock Conversion Rates'!B$3)/12</f>
        <v>1.335</v>
      </c>
      <c r="BL461" s="104">
        <f>('Renewable Diesel'!W470*'RD Feedstock Breakdown'!BL$3*'Feedstock Conversion Rates'!B$6)/12</f>
        <v>3.1266666666666669</v>
      </c>
      <c r="BM461" s="104">
        <f>('Renewable Diesel'!W470*'RD Feedstock Breakdown'!BM$3*'Feedstock Conversion Rates'!B$7)/12</f>
        <v>1.5333333333333332</v>
      </c>
      <c r="BN461" s="106">
        <f t="shared" si="452"/>
        <v>13.495000000000001</v>
      </c>
      <c r="BO461" s="104">
        <f>('Renewable Diesel'!P470*'Feedstock Conversion Rates'!B$4)/12</f>
        <v>31.25</v>
      </c>
      <c r="BP461" s="106">
        <f t="shared" si="446"/>
        <v>31.25</v>
      </c>
      <c r="BQ461" s="104">
        <f>('Renewable Diesel'!$S470*'RD Feedstock Breakdown'!BQ$3*'Feedstock Conversion Rates'!B$4)/12+10+15-15</f>
        <v>38.125</v>
      </c>
      <c r="BR461" s="104">
        <f>('Renewable Diesel'!$S470*'RD Feedstock Breakdown'!BR$3*'Feedstock Conversion Rates'!B$7)/12-10-15+15</f>
        <v>1.5</v>
      </c>
      <c r="BS461" s="106">
        <f t="shared" si="460"/>
        <v>39.625</v>
      </c>
      <c r="BT461" s="106"/>
      <c r="BU461" s="104">
        <f>('Renewable Diesel'!Y470*'Feedstock Conversion Rates'!B$7)/12</f>
        <v>2.6833333333333331</v>
      </c>
      <c r="BV461" s="106">
        <f t="shared" si="442"/>
        <v>2.6833333333333331</v>
      </c>
      <c r="BW461" s="104">
        <f>('Renewable Diesel'!$Z470*'RD Feedstock Breakdown'!BW$3*'Feedstock Conversion Rates'!$B$4)/12-250+180</f>
        <v>1.875</v>
      </c>
      <c r="BX461" s="104">
        <f>('Renewable Diesel'!$Z470*'RD Feedstock Breakdown'!BX$3*'Feedstock Conversion Rates'!$B$5)/12</f>
        <v>7.2354166666666666</v>
      </c>
      <c r="BY461" s="104">
        <f>('Renewable Diesel'!$Z470*'RD Feedstock Breakdown'!BY$3*'Feedstock Conversion Rates'!$B$7)/12</f>
        <v>61.716666666666661</v>
      </c>
      <c r="BZ461" s="104">
        <f>('Renewable Diesel'!$Z470*'RD Feedstock Breakdown'!BZ$3*'Feedstock Conversion Rates'!$B$3)/12+250-180</f>
        <v>85.35250000000002</v>
      </c>
      <c r="CA461" s="106">
        <f t="shared" si="464"/>
        <v>156.17958333333334</v>
      </c>
      <c r="CB461" s="104">
        <f>('Renewable Diesel'!AA470*'Feedstock Conversion Rates'!B$4)/12</f>
        <v>191.25</v>
      </c>
      <c r="CC461" s="106">
        <f t="shared" si="454"/>
        <v>191.25</v>
      </c>
      <c r="CD461" s="104">
        <f>('Renewable Diesel'!$AB470*'RD Feedstock Breakdown'!CD$3*'Feedstock Conversion Rates'!$B$6)/12-15-5</f>
        <v>12.830000000000005</v>
      </c>
      <c r="CE461" s="104">
        <f>('Renewable Diesel'!$AB470*'RD Feedstock Breakdown'!CE$3*'Feedstock Conversion Rates'!$B$4)/12+15+5</f>
        <v>31.25</v>
      </c>
      <c r="CF461" s="106">
        <f t="shared" si="450"/>
        <v>44.080000000000005</v>
      </c>
      <c r="CG461" s="104">
        <f>('Renewable Diesel'!AD470*'Feedstock Conversion Rates'!B$4)/12</f>
        <v>112.5</v>
      </c>
      <c r="CH461" s="106">
        <f t="shared" si="439"/>
        <v>112.5</v>
      </c>
      <c r="CI461" s="104">
        <f>('Renewable Diesel'!$AE470*'RD Feedstock Breakdown'!CI$3*'Feedstock Conversion Rates'!$B$5)/12</f>
        <v>0.34604166666666664</v>
      </c>
      <c r="CJ461" s="104">
        <f>('Renewable Diesel'!$AE470*'RD Feedstock Breakdown'!CJ$3*'Feedstock Conversion Rates'!$B$4)/12</f>
        <v>0.34375</v>
      </c>
      <c r="CK461" s="106">
        <f t="shared" si="447"/>
        <v>0.68979166666666658</v>
      </c>
      <c r="CL461" s="104">
        <f>(((CL$3*'Renewable Diesel'!$AF470)*'Feedstock Conversion Rates'!$B$3)/12)</f>
        <v>91.78125</v>
      </c>
      <c r="CM461" s="104">
        <f>(((CM$3*'Renewable Diesel'!$AF470)*'Feedstock Conversion Rates'!$B$6)/12)</f>
        <v>53.739583333333336</v>
      </c>
      <c r="CN461" s="104">
        <f>(((CN$3*'Renewable Diesel'!$AF470)*'Feedstock Conversion Rates'!$B$4)/12)</f>
        <v>42.96875</v>
      </c>
      <c r="CO461" s="106">
        <f t="shared" si="441"/>
        <v>188.48958333333334</v>
      </c>
      <c r="CP461" s="104">
        <f>('Renewable Diesel'!$AG470*'RD Feedstock Breakdown'!CP$3*'Feedstock Conversion Rates'!$B$3)/12</f>
        <v>6.0075000000000003</v>
      </c>
      <c r="CQ461" s="104">
        <f>('Renewable Diesel'!$AG470*'RD Feedstock Breakdown'!CQ$3*'Feedstock Conversion Rates'!$B$6)/12</f>
        <v>3.5175000000000001</v>
      </c>
      <c r="CR461" s="104">
        <f>('Renewable Diesel'!$AG470*'RD Feedstock Breakdown'!CR$3*'Feedstock Conversion Rates'!$B$4)/12</f>
        <v>2.8125</v>
      </c>
      <c r="CS461" s="106">
        <f t="shared" si="467"/>
        <v>12.3375</v>
      </c>
      <c r="CT461" s="104">
        <f>('Renewable Diesel'!AI470*'Feedstock Conversion Rates'!$B$4*'RD Feedstock Breakdown'!$CT$3)/12</f>
        <v>29.375</v>
      </c>
      <c r="CU461" s="106">
        <f t="shared" si="443"/>
        <v>29.375</v>
      </c>
      <c r="CV461" s="104">
        <f>('Renewable Diesel'!AN470*'Feedstock Conversion Rates'!$B$3*'RD Feedstock Breakdown'!$CV$3)/12</f>
        <v>0.50062499999999999</v>
      </c>
      <c r="CW461" s="106">
        <f t="shared" si="485"/>
        <v>0.50062499999999999</v>
      </c>
      <c r="CX461" s="104">
        <f>('Renewable Diesel'!AO470*'RD Feedstock Breakdown'!$CX$3*'Feedstock Conversion Rates'!$B$3)/12</f>
        <v>6.3412499999999996</v>
      </c>
      <c r="CY461" s="104">
        <f>('Renewable Diesel'!AO470*'RD Feedstock Breakdown'!$CY$3*'Feedstock Conversion Rates'!$B$6)/12</f>
        <v>7.4258333333333342</v>
      </c>
      <c r="CZ461" s="106">
        <f t="shared" si="468"/>
        <v>13.767083333333334</v>
      </c>
      <c r="DA461" s="104">
        <f>('Renewable Diesel'!$AP470*'RD Feedstock Breakdown'!DA$3*'Feedstock Conversion Rates'!$B$3)/12</f>
        <v>6.3412499999999996</v>
      </c>
      <c r="DB461" s="104">
        <f>('Renewable Diesel'!$AP470*'RD Feedstock Breakdown'!DB$3*'Feedstock Conversion Rates'!$B$8)/12</f>
        <v>7.421875</v>
      </c>
      <c r="DC461" s="106">
        <f t="shared" si="488"/>
        <v>13.763124999999999</v>
      </c>
      <c r="DD461" s="104">
        <f>('Renewable Diesel'!AQ470*$DD$3*'Feedstock Conversion Rates'!$B$14)/12</f>
        <v>3.1041666666666665</v>
      </c>
      <c r="DE461" s="106">
        <f t="shared" si="489"/>
        <v>3.1041666666666665</v>
      </c>
      <c r="DF461" s="104">
        <f>('Renewable Diesel'!AR470*'Feedstock Conversion Rates'!$B$4*$DF$3)/12</f>
        <v>75</v>
      </c>
      <c r="DG461" s="106">
        <f t="shared" si="469"/>
        <v>75</v>
      </c>
      <c r="DH461" s="104">
        <f>('Renewable Diesel'!AS470*'Feedstock Conversion Rates'!$B$4*$DH$3)/12</f>
        <v>75</v>
      </c>
      <c r="DI461" s="106">
        <f t="shared" si="478"/>
        <v>75</v>
      </c>
      <c r="DJ461" s="104">
        <f>('Renewable Diesel'!AT470*'Feedstock Conversion Rates'!$B$4*0.25)/12</f>
        <v>8.59375</v>
      </c>
      <c r="DK461" s="104">
        <f>('Renewable Diesel'!$AT470*'RD Feedstock Breakdown'!DK$3*'Feedstock Conversion Rates'!$B$3)/12*0.5</f>
        <v>9.1781249999999996</v>
      </c>
      <c r="DL461" s="104">
        <f>('Renewable Diesel'!$AT470*'RD Feedstock Breakdown'!$DL$3*'Feedstock Conversion Rates'!$B$6)/12</f>
        <v>10.747916666666669</v>
      </c>
      <c r="DM461" s="104">
        <f>('Renewable Diesel'!$AT470*'RD Feedstock Breakdown'!$DM$3*'Feedstock Conversion Rates'!$B$8)/12</f>
        <v>10.7421875</v>
      </c>
      <c r="DN461" s="106">
        <f t="shared" si="453"/>
        <v>39.26197916666667</v>
      </c>
      <c r="DP461" s="104">
        <f t="shared" si="491"/>
        <v>103.22025000000001</v>
      </c>
      <c r="DQ461" s="104">
        <f t="shared" si="492"/>
        <v>349.11776750000007</v>
      </c>
      <c r="DR461" s="104">
        <f t="shared" ref="DR461:DR495" si="497">AD461+AK461+AM461+AP461+AV461+AY461+BB461+BF461+BJ461+Y461+B461+BO461+BQ461+BW461+CB461+CE461+CG461+CJ461+BT461+CN461+CR461+CT461+DF461+DH461+AS461+J461+U461+AH461</f>
        <v>1891.953125</v>
      </c>
      <c r="DS461" s="104">
        <f t="shared" si="444"/>
        <v>228.90125</v>
      </c>
      <c r="DT461" s="104">
        <f t="shared" si="493"/>
        <v>243.03923333333344</v>
      </c>
      <c r="DU461" s="104">
        <f t="shared" si="494"/>
        <v>402.90610000000009</v>
      </c>
      <c r="DV461" s="104">
        <f t="shared" ref="DV461:DV495" si="498">F461+N461+W461+DM461</f>
        <v>78.75</v>
      </c>
      <c r="DW461" s="104">
        <f t="shared" si="495"/>
        <v>3</v>
      </c>
      <c r="DX461" s="106">
        <f t="shared" ref="DX461:DX495" si="499">SUM(DP461:DW461)</f>
        <v>3300.8877258333337</v>
      </c>
      <c r="DY461" s="109">
        <f t="shared" si="487"/>
        <v>-5.631051180898794E-13</v>
      </c>
      <c r="EA461" s="110">
        <f t="shared" si="472"/>
        <v>3.1270451640078516E-2</v>
      </c>
      <c r="EB461" s="110">
        <f t="shared" si="470"/>
        <v>0.10576481131658687</v>
      </c>
      <c r="EC461" s="110">
        <f t="shared" si="470"/>
        <v>0.57316494293133291</v>
      </c>
      <c r="ED461" s="110">
        <f t="shared" si="470"/>
        <v>6.9345360706629972E-2</v>
      </c>
      <c r="EE461" s="110">
        <f t="shared" si="470"/>
        <v>7.3628445896921982E-2</v>
      </c>
      <c r="EF461" s="110">
        <f t="shared" si="470"/>
        <v>0.1220599225010852</v>
      </c>
      <c r="EG461" s="110">
        <f t="shared" si="470"/>
        <v>2.3857218585075921E-2</v>
      </c>
      <c r="EH461" s="111">
        <f t="shared" ref="EH461:EH495" si="500">DW461/DX461</f>
        <v>9.0884642228860647E-4</v>
      </c>
      <c r="EI461" s="110">
        <f t="shared" si="476"/>
        <v>0.99909115357771139</v>
      </c>
      <c r="EK461" s="132">
        <f>(EA461*'Renewable Diesel'!BF470*'Feedstock Conversion Rates'!B$2)+FB461</f>
        <v>663.7094142661748</v>
      </c>
      <c r="EL461" s="132">
        <f>(EB461*'Renewable Diesel'!BF470*'Feedstock Conversion Rates'!B$3)+FC461</f>
        <v>2115.4297776539115</v>
      </c>
      <c r="EM461" s="132">
        <f>(EC461*'Renewable Diesel'!BF470*'Feedstock Conversion Rates'!B$4)+FD461</f>
        <v>10734.103563064607</v>
      </c>
      <c r="EN461" s="132">
        <f>(ED461*'Renewable Diesel'!BF470*'Feedstock Conversion Rates'!B$5)+FE461</f>
        <v>1307.3421439566807</v>
      </c>
      <c r="EO461" s="132">
        <f>(EE461*'Renewable Diesel'!BF470*'Feedstock Conversion Rates'!B$6)+FF461</f>
        <v>1724.5403905783555</v>
      </c>
      <c r="EP461" s="132">
        <f>(EF461*'Renewable Diesel'!BF470*'Feedstock Conversion Rates'!B$7)+FG461</f>
        <v>2804.0504011276553</v>
      </c>
      <c r="EQ461" s="132">
        <f>(EG461*'Renewable Diesel'!BF470*'Feedstock Conversion Rates'!B$8)+FH461</f>
        <v>558.49074986420305</v>
      </c>
      <c r="ER461" s="132">
        <f>(EH461*'Renewable Diesel'!BF470*'Feedstock Conversion Rates'!B$9)+FI461</f>
        <v>20.99216024886401</v>
      </c>
      <c r="ES461" s="132">
        <f t="shared" ref="ES461:ES495" si="501">SUM(EK461:ER461)</f>
        <v>19928.658600760456</v>
      </c>
      <c r="ET461" s="133">
        <f>ES461/'Renewable Diesel'!BF470</f>
        <v>18.573488551974616</v>
      </c>
      <c r="EW461" s="73">
        <f t="shared" si="461"/>
        <v>18908.749712171724</v>
      </c>
      <c r="EX461" s="73">
        <f t="shared" si="462"/>
        <v>12385.334631984144</v>
      </c>
      <c r="EY461" s="92">
        <f t="shared" si="477"/>
        <v>0.94882200006427864</v>
      </c>
      <c r="EZ461" s="92">
        <f t="shared" si="477"/>
        <v>0.62148360710597617</v>
      </c>
      <c r="FB461" s="102">
        <f>IF('Renewable Diesel'!$BG470&lt;1,0,(((('Renewable Diesel'!$BG470-1)*'Renewable Diesel'!$BF470)*'RD Feedstock Breakdown'!EA461)*'Feedstock Conversion Rates'!$B$2))</f>
        <v>378.51720048768516</v>
      </c>
      <c r="FC461" s="102">
        <f>IF('Renewable Diesel'!$BG470&lt;1,0,(((('Renewable Diesel'!$BG470-1)*'Renewable Diesel'!$BF470)*'RD Feedstock Breakdown'!EB461)*'Feedstock Conversion Rates'!$B$3))</f>
        <v>1206.4414637709517</v>
      </c>
      <c r="FD461" s="102">
        <f>IF('Renewable Diesel'!$BG470&lt;1,0,(((('Renewable Diesel'!$BG470-1)*'Renewable Diesel'!$BF470)*'RD Feedstock Breakdown'!EC461)*'Feedstock Conversion Rates'!$B$4))</f>
        <v>6121.7194499619582</v>
      </c>
      <c r="FE461" s="102">
        <f>IF('Renewable Diesel'!$BG470&lt;1,0,(((('Renewable Diesel'!$BG470-1)*'Renewable Diesel'!$BF470)*'RD Feedstock Breakdown'!ED461)*'Feedstock Conversion Rates'!$B$5))</f>
        <v>745.58455518847779</v>
      </c>
      <c r="FF461" s="102">
        <f>IF('Renewable Diesel'!$BG470&lt;1,0,(((('Renewable Diesel'!$BG470-1)*'Renewable Diesel'!$BF470)*'RD Feedstock Breakdown'!EE461)*'Feedstock Conversion Rates'!$B$6))</f>
        <v>983.51505453841776</v>
      </c>
      <c r="FG461" s="102">
        <f>IF('Renewable Diesel'!$BG470&lt;1,0,(((('Renewable Diesel'!$BG470-1)*'Renewable Diesel'!$BF470)*'RD Feedstock Breakdown'!EF461)*'Feedstock Conversion Rates'!$B$7))</f>
        <v>1599.1656665511046</v>
      </c>
      <c r="FH461" s="102">
        <f>IF('Renewable Diesel'!$BG470&lt;1,0,(((('Renewable Diesel'!$BG470-1)*'Renewable Diesel'!$BF470)*'RD Feedstock Breakdown'!EG461)*'Feedstock Conversion Rates'!$B$8))</f>
        <v>318.51040620027538</v>
      </c>
      <c r="FI461" s="102">
        <f>IF('Renewable Diesel'!$BG470&lt;1,0,(((('Renewable Diesel'!$BG470-1)*'Renewable Diesel'!$BF470)*'RD Feedstock Breakdown'!EH461)*'Feedstock Conversion Rates'!$B$9))</f>
        <v>11.971946696543682</v>
      </c>
      <c r="FJ461" s="102">
        <f t="shared" si="463"/>
        <v>11365.425743395415</v>
      </c>
      <c r="GD461" s="91">
        <f>'Renewable Diesel'!BB470*0.32</f>
        <v>0</v>
      </c>
      <c r="GE461" s="91">
        <f>'Renewable Diesel'!BC470</f>
        <v>622.60108824775307</v>
      </c>
      <c r="GF461" s="91">
        <f>'Renewable Diesel'!BD470</f>
        <v>0</v>
      </c>
      <c r="GG461" s="91">
        <f t="shared" si="451"/>
        <v>622.60108824775307</v>
      </c>
      <c r="GH461" s="124">
        <v>1</v>
      </c>
      <c r="GI461" s="102">
        <f>$GG461*EA461*'Feedstock Conversion Rates'!$B$2</f>
        <v>165.48664637944876</v>
      </c>
      <c r="GJ461" s="102">
        <f>$GG461*EB461*'Feedstock Conversion Rates'!$B$3</f>
        <v>527.45278585844233</v>
      </c>
      <c r="GK461" s="102">
        <f>$GG461*EC461*'Feedstock Conversion Rates'!$B$4</f>
        <v>2676.3983791088185</v>
      </c>
      <c r="GL461" s="102">
        <f>$GG461*ED461*'Feedstock Conversion Rates'!$B$5</f>
        <v>325.96745265865002</v>
      </c>
      <c r="GM461" s="102">
        <f>$GG461*EE461*'Feedstock Conversion Rates'!$B$6</f>
        <v>429.98999207846742</v>
      </c>
      <c r="GN461" s="102">
        <f>$GG461*EF461*'Feedstock Conversion Rates'!$B$7</f>
        <v>699.1506933416307</v>
      </c>
      <c r="GO461" s="102">
        <f>$GG461*EG461*'Feedstock Conversion Rates'!$B$8</f>
        <v>139.2518461278074</v>
      </c>
      <c r="GP461" s="102">
        <f>$GG461*EH461*'Feedstock Conversion Rates'!B$9</f>
        <v>5.2341011369944113</v>
      </c>
      <c r="GQ461" s="102">
        <f t="shared" ref="GQ461:GQ495" si="502">SUM(GI461:GP461)</f>
        <v>4968.9318966902601</v>
      </c>
      <c r="GT461" s="103">
        <f t="shared" si="484"/>
        <v>3.3304269372191879E-2</v>
      </c>
      <c r="GU461" s="103">
        <f t="shared" si="484"/>
        <v>0.10615013383656385</v>
      </c>
      <c r="GV461" s="103">
        <f t="shared" si="484"/>
        <v>0.53862649654979811</v>
      </c>
      <c r="GW461" s="103">
        <f t="shared" si="484"/>
        <v>6.5601110950176733E-2</v>
      </c>
      <c r="GX461" s="103">
        <f t="shared" si="465"/>
        <v>8.6535698419388296E-2</v>
      </c>
      <c r="GY461" s="103">
        <f t="shared" si="465"/>
        <v>0.14070442257566979</v>
      </c>
      <c r="GZ461" s="103">
        <f t="shared" si="465"/>
        <v>2.8024502855545516E-2</v>
      </c>
      <c r="HA461" s="103">
        <f t="shared" si="465"/>
        <v>1.0533654406655836E-3</v>
      </c>
    </row>
    <row r="462" spans="1:209" x14ac:dyDescent="0.25">
      <c r="A462" s="96">
        <v>54483</v>
      </c>
      <c r="B462" s="104">
        <f t="shared" si="473"/>
        <v>44.25</v>
      </c>
      <c r="C462" s="104">
        <f t="shared" si="466"/>
        <v>49</v>
      </c>
      <c r="D462" s="104">
        <f t="shared" si="474"/>
        <v>2</v>
      </c>
      <c r="E462" s="104">
        <f>('Renewable Diesel'!B471*E$3*'Feedstock Conversion Rates'!$B$2)/12+26+13-100+27.5+39</f>
        <v>95.43</v>
      </c>
      <c r="F462" s="104">
        <f>('Renewable Diesel'!B471*'RD Feedstock Breakdown'!F$3*'Feedstock Conversion Rates'!B$8)/12+77+23-10-12-115.75+24+8</f>
        <v>48.15625</v>
      </c>
      <c r="G462" s="104">
        <f>('Renewable Diesel'!B471*'RD Feedstock Breakdown'!G$3*'Feedstock Conversion Rates'!B$7)/12+116.75-39-57.5-145-31.5+32+70-40+10+60</f>
        <v>151.90700000000004</v>
      </c>
      <c r="H462" s="104">
        <f>('Renewable Diesel'!B471*'RD Feedstock Breakdown'!H$3*'Feedstock Conversion Rates'!B$3)/12+67+10+12+3-235+20+47-20+25</f>
        <v>105.40022499999998</v>
      </c>
      <c r="I462" s="106">
        <f t="shared" si="449"/>
        <v>496.14347500000002</v>
      </c>
      <c r="J462" s="104">
        <f t="shared" si="483"/>
        <v>4</v>
      </c>
      <c r="K462" s="104"/>
      <c r="L462" s="104">
        <v>1</v>
      </c>
      <c r="M462" s="104">
        <f>('Renewable Diesel'!C471*'RD Feedstock Breakdown'!M$3*'Feedstock Conversion Rates'!B$2)/12</f>
        <v>7.7902500000000003</v>
      </c>
      <c r="N462" s="104">
        <f>('Renewable Diesel'!C471*'RD Feedstock Breakdown'!N$3*'Feedstock Conversion Rates'!B$8)/12</f>
        <v>3.671875</v>
      </c>
      <c r="O462" s="104">
        <f>('Renewable Diesel'!C471*'RD Feedstock Breakdown'!O$3*'Feedstock Conversion Rates'!B$7)/12</f>
        <v>11.9991</v>
      </c>
      <c r="P462" s="104">
        <f>('Renewable Diesel'!C471*'RD Feedstock Breakdown'!P$3*'Feedstock Conversion Rates'!B$3)/12</f>
        <v>10.4470425</v>
      </c>
      <c r="Q462" s="106">
        <f t="shared" si="455"/>
        <v>38.908267500000001</v>
      </c>
      <c r="R462" s="104">
        <f>('Renewable Diesel'!D471*'RD Feedstock Breakdown'!R$3*'Feedstock Conversion Rates'!B$7)/12</f>
        <v>2.2999999999999998</v>
      </c>
      <c r="S462" s="106">
        <f t="shared" si="481"/>
        <v>2.2999999999999998</v>
      </c>
      <c r="T462" s="104">
        <f t="shared" si="456"/>
        <v>0.82499999999999929</v>
      </c>
      <c r="U462" s="104"/>
      <c r="V462" s="104">
        <f>('Renewable Diesel'!E471*'RD Feedstock Breakdown'!V$3*'Feedstock Conversion Rates'!B$6)/12-20+25</f>
        <v>49.250150000000012</v>
      </c>
      <c r="W462" s="104">
        <f>('Renewable Diesel'!E471*'RD Feedstock Breakdown'!W$3*'Feedstock Conversion Rates'!B$8)/12-6</f>
        <v>16.1796875</v>
      </c>
      <c r="X462" s="106">
        <f t="shared" ref="X462:X495" si="503">SUM(T462:W462)</f>
        <v>66.254837500000008</v>
      </c>
      <c r="Y462" s="104">
        <f t="shared" si="457"/>
        <v>98</v>
      </c>
      <c r="Z462" s="104">
        <f>('Renewable Diesel'!F471*'RD Feedstock Breakdown'!Z$3*'Feedstock Conversion Rates'!B$6)/12-142+15+5+20+5+15</f>
        <v>77.460000000000008</v>
      </c>
      <c r="AA462" s="104">
        <f>('Renewable Diesel'!F471*'RD Feedstock Breakdown'!AA$3*'Feedstock Conversion Rates'!B$7)/12+24</f>
        <v>128.26666666666665</v>
      </c>
      <c r="AB462" s="106">
        <f t="shared" si="471"/>
        <v>303.72666666666669</v>
      </c>
      <c r="AC462" s="104">
        <f>('Renewable Diesel'!G471*'RD Feedstock Breakdown'!AC$3*'Feedstock Conversion Rates'!B$5)/12</f>
        <v>11.796875</v>
      </c>
      <c r="AD462" s="104">
        <f>('Renewable Diesel'!G471*'RD Feedstock Breakdown'!AD$3*'Feedstock Conversion Rates'!B$4)/12</f>
        <v>5.859375</v>
      </c>
      <c r="AE462" s="104">
        <f>('Renewable Diesel'!G471*'RD Feedstock Breakdown'!AE$3*'Feedstock Conversion Rates'!B$6)/12</f>
        <v>7.3281250000000009</v>
      </c>
      <c r="AF462" s="106">
        <f t="shared" si="445"/>
        <v>24.984375</v>
      </c>
      <c r="AG462" s="104">
        <f t="shared" si="459"/>
        <v>148</v>
      </c>
      <c r="AH462" s="104"/>
      <c r="AI462" s="104">
        <f>('Renewable Diesel'!H471*'RD Feedstock Breakdown'!AI$3*'Feedstock Conversion Rates'!B$6)/12-130-20+51-49</f>
        <v>0.51666666666667993</v>
      </c>
      <c r="AJ462" s="106">
        <f t="shared" si="480"/>
        <v>148.51666666666668</v>
      </c>
      <c r="AK462" s="104">
        <f>('Renewable Diesel'!J471*'RD Feedstock Breakdown'!AK$3*'Feedstock Conversion Rates'!B$4)/12</f>
        <v>95.8125</v>
      </c>
      <c r="AL462" s="106">
        <f t="shared" si="482"/>
        <v>95.8125</v>
      </c>
      <c r="AM462" s="104">
        <f>('Renewable Diesel'!K471*'RD Feedstock Breakdown'!AM$3*'Feedstock Conversion Rates'!B$4)/12+5+15-10+10</f>
        <v>78.59375</v>
      </c>
      <c r="AN462" s="104">
        <f>('Renewable Diesel'!K471*'RD Feedstock Breakdown'!AN$3*'Feedstock Conversion Rates'!B$6)/12-5-15+10-10</f>
        <v>4.4270833333333321</v>
      </c>
      <c r="AO462" s="106">
        <f t="shared" si="496"/>
        <v>83.020833333333329</v>
      </c>
      <c r="AP462" s="104">
        <f>('Renewable Diesel'!L471*'RD Feedstock Breakdown'!AP$3*'Feedstock Conversion Rates'!B$4)/12+15-10+15</f>
        <v>78.59375</v>
      </c>
      <c r="AQ462" s="104">
        <f>('Renewable Diesel'!L471*'RD Feedstock Breakdown'!AQ$3*'Feedstock Conversion Rates'!B$6)/12-15+10-15</f>
        <v>4.4270833333333321</v>
      </c>
      <c r="AR462" s="106">
        <f t="shared" si="486"/>
        <v>83.020833333333329</v>
      </c>
      <c r="AS462" s="104">
        <f>('Renewable Diesel'!M471*'RD Feedstock Breakdown'!AS$3*'Feedstock Conversion Rates'!B$4)/12</f>
        <v>456.25</v>
      </c>
      <c r="AT462" s="104">
        <f>('Renewable Diesel'!M471*'RD Feedstock Breakdown'!AT$3*'Feedstock Conversion Rates'!B$5)/12</f>
        <v>0</v>
      </c>
      <c r="AU462" s="106">
        <f t="shared" si="448"/>
        <v>456.25</v>
      </c>
      <c r="AV462" s="104">
        <f>'Renewable Diesel'!N471*'RD Feedstock Breakdown'!$AV$3*'Feedstock Conversion Rates'!$B$4/12-15-10+25+25-22+25</f>
        <v>106.74999999999999</v>
      </c>
      <c r="AW462" s="104">
        <f>'Renewable Diesel'!N471*'RD Feedstock Breakdown'!$AW$3*'Feedstock Conversion Rates'!$B$7/12+15+10-25-25+22-25</f>
        <v>13.400000000000006</v>
      </c>
      <c r="AX462" s="106">
        <f t="shared" si="475"/>
        <v>120.14999999999999</v>
      </c>
      <c r="AY462" s="104">
        <f>('Renewable Diesel'!O471*'RD Feedstock Breakdown'!AY$3*'Feedstock Conversion Rates'!B$4)/12</f>
        <v>210.9375</v>
      </c>
      <c r="AZ462" s="104">
        <f>('Renewable Diesel'!O471*'RD Feedstock Breakdown'!AZ$3*'Feedstock Conversion Rates'!B$3)/12</f>
        <v>25.03125</v>
      </c>
      <c r="BA462" s="106">
        <f t="shared" si="458"/>
        <v>235.96875</v>
      </c>
      <c r="BB462" s="104">
        <f>('Renewable Diesel'!Q471*'RD Feedstock Breakdown'!BB$3*'Feedstock Conversion Rates'!B$4)/12</f>
        <v>11.156249999999998</v>
      </c>
      <c r="BC462" s="104">
        <f>('Renewable Diesel'!Q471*'RD Feedstock Breakdown'!BC$3*'Feedstock Conversion Rates'!B$3)/12</f>
        <v>1.4017500000000001</v>
      </c>
      <c r="BD462" s="104">
        <f>('Renewable Diesel'!Q471*'RD Feedstock Breakdown'!BD$3*'Feedstock Conversion Rates'!B$6)/12</f>
        <v>0.8207500000000002</v>
      </c>
      <c r="BE462" s="106">
        <f t="shared" si="440"/>
        <v>13.378749999999998</v>
      </c>
      <c r="BF462" s="104">
        <f>('Renewable Diesel'!R471*'RD Feedstock Breakdown'!BF$3*'Feedstock Conversion Rates'!B$4)/12</f>
        <v>62.5</v>
      </c>
      <c r="BG462" s="106">
        <f t="shared" si="490"/>
        <v>62.5</v>
      </c>
      <c r="BH462" s="104">
        <f>('Renewable Diesel'!T471*'RD Feedstock Breakdown'!BH$3*'Feedstock Conversion Rates'!B$7)/12</f>
        <v>27.599999999999998</v>
      </c>
      <c r="BI462" s="106">
        <f t="shared" si="479"/>
        <v>27.599999999999998</v>
      </c>
      <c r="BJ462" s="104">
        <f>('Renewable Diesel'!W471*'RD Feedstock Breakdown'!BJ$3*'Feedstock Conversion Rates'!B$4)/12</f>
        <v>7.5</v>
      </c>
      <c r="BK462" s="104">
        <f>('Renewable Diesel'!W471*'RD Feedstock Breakdown'!BK$3*'Feedstock Conversion Rates'!B$3)/12</f>
        <v>1.335</v>
      </c>
      <c r="BL462" s="104">
        <f>('Renewable Diesel'!W471*'RD Feedstock Breakdown'!BL$3*'Feedstock Conversion Rates'!B$6)/12</f>
        <v>3.1266666666666669</v>
      </c>
      <c r="BM462" s="104">
        <f>('Renewable Diesel'!W471*'RD Feedstock Breakdown'!BM$3*'Feedstock Conversion Rates'!B$7)/12</f>
        <v>1.5333333333333332</v>
      </c>
      <c r="BN462" s="106">
        <f t="shared" si="452"/>
        <v>13.495000000000001</v>
      </c>
      <c r="BO462" s="104">
        <f>('Renewable Diesel'!P471*'Feedstock Conversion Rates'!B$4)/12</f>
        <v>31.25</v>
      </c>
      <c r="BP462" s="106">
        <f t="shared" si="446"/>
        <v>31.25</v>
      </c>
      <c r="BQ462" s="104">
        <f>('Renewable Diesel'!$S471*'RD Feedstock Breakdown'!BQ$3*'Feedstock Conversion Rates'!B$4)/12+10+15-15</f>
        <v>38.125</v>
      </c>
      <c r="BR462" s="104">
        <f>('Renewable Diesel'!$S471*'RD Feedstock Breakdown'!BR$3*'Feedstock Conversion Rates'!B$7)/12-10-15+15</f>
        <v>1.5</v>
      </c>
      <c r="BS462" s="106">
        <f t="shared" si="460"/>
        <v>39.625</v>
      </c>
      <c r="BT462" s="106"/>
      <c r="BU462" s="104">
        <f>('Renewable Diesel'!Y471*'Feedstock Conversion Rates'!B$7)/12</f>
        <v>2.6833333333333331</v>
      </c>
      <c r="BV462" s="106">
        <f t="shared" si="442"/>
        <v>2.6833333333333331</v>
      </c>
      <c r="BW462" s="104">
        <f>('Renewable Diesel'!$Z471*'RD Feedstock Breakdown'!BW$3*'Feedstock Conversion Rates'!$B$4)/12-250+180</f>
        <v>1.875</v>
      </c>
      <c r="BX462" s="104">
        <f>('Renewable Diesel'!$Z471*'RD Feedstock Breakdown'!BX$3*'Feedstock Conversion Rates'!$B$5)/12</f>
        <v>7.2354166666666666</v>
      </c>
      <c r="BY462" s="104">
        <f>('Renewable Diesel'!$Z471*'RD Feedstock Breakdown'!BY$3*'Feedstock Conversion Rates'!$B$7)/12</f>
        <v>61.716666666666661</v>
      </c>
      <c r="BZ462" s="104">
        <f>('Renewable Diesel'!$Z471*'RD Feedstock Breakdown'!BZ$3*'Feedstock Conversion Rates'!$B$3)/12+250-180</f>
        <v>85.35250000000002</v>
      </c>
      <c r="CA462" s="106">
        <f t="shared" si="464"/>
        <v>156.17958333333334</v>
      </c>
      <c r="CB462" s="104">
        <f>('Renewable Diesel'!AA471*'Feedstock Conversion Rates'!B$4)/12</f>
        <v>191.25</v>
      </c>
      <c r="CC462" s="106">
        <f t="shared" si="454"/>
        <v>191.25</v>
      </c>
      <c r="CD462" s="104">
        <f>('Renewable Diesel'!$AB471*'RD Feedstock Breakdown'!CD$3*'Feedstock Conversion Rates'!$B$6)/12-15-5</f>
        <v>12.830000000000005</v>
      </c>
      <c r="CE462" s="104">
        <f>('Renewable Diesel'!$AB471*'RD Feedstock Breakdown'!CE$3*'Feedstock Conversion Rates'!$B$4)/12+15+5</f>
        <v>31.25</v>
      </c>
      <c r="CF462" s="106">
        <f t="shared" si="450"/>
        <v>44.080000000000005</v>
      </c>
      <c r="CG462" s="104">
        <f>('Renewable Diesel'!AD471*'Feedstock Conversion Rates'!B$4)/12</f>
        <v>112.5</v>
      </c>
      <c r="CH462" s="106">
        <f t="shared" ref="CH462:CH495" si="504">CG462</f>
        <v>112.5</v>
      </c>
      <c r="CI462" s="104">
        <f>('Renewable Diesel'!$AE471*'RD Feedstock Breakdown'!CI$3*'Feedstock Conversion Rates'!$B$5)/12</f>
        <v>0.34604166666666664</v>
      </c>
      <c r="CJ462" s="104">
        <f>('Renewable Diesel'!$AE471*'RD Feedstock Breakdown'!CJ$3*'Feedstock Conversion Rates'!$B$4)/12</f>
        <v>0.34375</v>
      </c>
      <c r="CK462" s="106">
        <f t="shared" si="447"/>
        <v>0.68979166666666658</v>
      </c>
      <c r="CL462" s="104">
        <f>(((CL$3*'Renewable Diesel'!$AF471)*'Feedstock Conversion Rates'!$B$3)/12)</f>
        <v>91.78125</v>
      </c>
      <c r="CM462" s="104">
        <f>(((CM$3*'Renewable Diesel'!$AF471)*'Feedstock Conversion Rates'!$B$6)/12)</f>
        <v>53.739583333333336</v>
      </c>
      <c r="CN462" s="104">
        <f>(((CN$3*'Renewable Diesel'!$AF471)*'Feedstock Conversion Rates'!$B$4)/12)</f>
        <v>42.96875</v>
      </c>
      <c r="CO462" s="106">
        <f t="shared" si="441"/>
        <v>188.48958333333334</v>
      </c>
      <c r="CP462" s="104">
        <f>('Renewable Diesel'!$AG471*'RD Feedstock Breakdown'!CP$3*'Feedstock Conversion Rates'!$B$3)/12</f>
        <v>6.0075000000000003</v>
      </c>
      <c r="CQ462" s="104">
        <f>('Renewable Diesel'!$AG471*'RD Feedstock Breakdown'!CQ$3*'Feedstock Conversion Rates'!$B$6)/12</f>
        <v>3.5175000000000001</v>
      </c>
      <c r="CR462" s="104">
        <f>('Renewable Diesel'!$AG471*'RD Feedstock Breakdown'!CR$3*'Feedstock Conversion Rates'!$B$4)/12</f>
        <v>2.8125</v>
      </c>
      <c r="CS462" s="106">
        <f t="shared" si="467"/>
        <v>12.3375</v>
      </c>
      <c r="CT462" s="104">
        <f>('Renewable Diesel'!AI471*'Feedstock Conversion Rates'!$B$4*'RD Feedstock Breakdown'!$CT$3)/12</f>
        <v>29.375</v>
      </c>
      <c r="CU462" s="106">
        <f t="shared" si="443"/>
        <v>29.375</v>
      </c>
      <c r="CV462" s="104">
        <f>('Renewable Diesel'!AN471*'Feedstock Conversion Rates'!$B$3*'RD Feedstock Breakdown'!$CV$3)/12</f>
        <v>0.50062499999999999</v>
      </c>
      <c r="CW462" s="106">
        <f t="shared" si="485"/>
        <v>0.50062499999999999</v>
      </c>
      <c r="CX462" s="104">
        <f>('Renewable Diesel'!AO471*'RD Feedstock Breakdown'!$CX$3*'Feedstock Conversion Rates'!$B$3)/12</f>
        <v>6.3412499999999996</v>
      </c>
      <c r="CY462" s="104">
        <f>('Renewable Diesel'!AO471*'RD Feedstock Breakdown'!$CY$3*'Feedstock Conversion Rates'!$B$6)/12</f>
        <v>7.4258333333333342</v>
      </c>
      <c r="CZ462" s="106">
        <f t="shared" si="468"/>
        <v>13.767083333333334</v>
      </c>
      <c r="DA462" s="104">
        <f>('Renewable Diesel'!$AP471*'RD Feedstock Breakdown'!DA$3*'Feedstock Conversion Rates'!$B$3)/12</f>
        <v>6.3412499999999996</v>
      </c>
      <c r="DB462" s="104">
        <f>('Renewable Diesel'!$AP471*'RD Feedstock Breakdown'!DB$3*'Feedstock Conversion Rates'!$B$8)/12</f>
        <v>7.421875</v>
      </c>
      <c r="DC462" s="106">
        <f t="shared" si="488"/>
        <v>13.763124999999999</v>
      </c>
      <c r="DD462" s="104">
        <f>('Renewable Diesel'!AQ471*$DD$3*'Feedstock Conversion Rates'!$B$14)/12</f>
        <v>3.1041666666666665</v>
      </c>
      <c r="DE462" s="106">
        <f t="shared" si="489"/>
        <v>3.1041666666666665</v>
      </c>
      <c r="DF462" s="104">
        <f>('Renewable Diesel'!AR471*'Feedstock Conversion Rates'!$B$4*$DF$3)/12</f>
        <v>75</v>
      </c>
      <c r="DG462" s="106">
        <f t="shared" si="469"/>
        <v>75</v>
      </c>
      <c r="DH462" s="104">
        <f>('Renewable Diesel'!AS471*'Feedstock Conversion Rates'!$B$4*$DH$3)/12</f>
        <v>75</v>
      </c>
      <c r="DI462" s="106">
        <f t="shared" si="478"/>
        <v>75</v>
      </c>
      <c r="DJ462" s="104">
        <f>('Renewable Diesel'!AT471*'Feedstock Conversion Rates'!$B$4*0.25)/12</f>
        <v>8.59375</v>
      </c>
      <c r="DK462" s="104">
        <f>('Renewable Diesel'!$AT471*'RD Feedstock Breakdown'!DK$3*'Feedstock Conversion Rates'!$B$3)/12*0.5</f>
        <v>9.1781249999999996</v>
      </c>
      <c r="DL462" s="104">
        <f>('Renewable Diesel'!$AT471*'RD Feedstock Breakdown'!$DL$3*'Feedstock Conversion Rates'!$B$6)/12</f>
        <v>10.747916666666669</v>
      </c>
      <c r="DM462" s="104">
        <f>('Renewable Diesel'!$AT471*'RD Feedstock Breakdown'!$DM$3*'Feedstock Conversion Rates'!$B$8)/12</f>
        <v>10.7421875</v>
      </c>
      <c r="DN462" s="106">
        <f t="shared" si="453"/>
        <v>39.26197916666667</v>
      </c>
      <c r="DP462" s="104">
        <f t="shared" si="491"/>
        <v>103.22025000000001</v>
      </c>
      <c r="DQ462" s="104">
        <f t="shared" si="492"/>
        <v>349.11776750000007</v>
      </c>
      <c r="DR462" s="104">
        <f t="shared" si="497"/>
        <v>1891.953125</v>
      </c>
      <c r="DS462" s="104">
        <f t="shared" si="444"/>
        <v>228.90125</v>
      </c>
      <c r="DT462" s="104">
        <f t="shared" si="493"/>
        <v>243.03923333333344</v>
      </c>
      <c r="DU462" s="104">
        <f t="shared" si="494"/>
        <v>402.90610000000009</v>
      </c>
      <c r="DV462" s="104">
        <f t="shared" si="498"/>
        <v>78.75</v>
      </c>
      <c r="DW462" s="104">
        <f t="shared" si="495"/>
        <v>3</v>
      </c>
      <c r="DX462" s="106">
        <f t="shared" si="499"/>
        <v>3300.8877258333337</v>
      </c>
      <c r="DY462" s="109">
        <f t="shared" si="487"/>
        <v>-5.631051180898794E-13</v>
      </c>
      <c r="EA462" s="110">
        <f t="shared" si="472"/>
        <v>3.1270451640078516E-2</v>
      </c>
      <c r="EB462" s="110">
        <f t="shared" si="470"/>
        <v>0.10576481131658687</v>
      </c>
      <c r="EC462" s="110">
        <f t="shared" si="470"/>
        <v>0.57316494293133291</v>
      </c>
      <c r="ED462" s="110">
        <f t="shared" si="470"/>
        <v>6.9345360706629972E-2</v>
      </c>
      <c r="EE462" s="110">
        <f t="shared" si="470"/>
        <v>7.3628445896921982E-2</v>
      </c>
      <c r="EF462" s="110">
        <f t="shared" si="470"/>
        <v>0.1220599225010852</v>
      </c>
      <c r="EG462" s="110">
        <f t="shared" si="470"/>
        <v>2.3857218585075921E-2</v>
      </c>
      <c r="EH462" s="111">
        <f t="shared" si="500"/>
        <v>9.0884642228860647E-4</v>
      </c>
      <c r="EI462" s="110">
        <f t="shared" si="476"/>
        <v>0.99909115357771139</v>
      </c>
      <c r="EK462" s="132">
        <f>(EA462*'Renewable Diesel'!BF471*'Feedstock Conversion Rates'!B$2)+FB462</f>
        <v>333.50511406799137</v>
      </c>
      <c r="EL462" s="132">
        <f>(EB462*'Renewable Diesel'!BF471*'Feedstock Conversion Rates'!B$3)+FC462</f>
        <v>1062.9752029046197</v>
      </c>
      <c r="EM462" s="132">
        <f>(EC462*'Renewable Diesel'!BF471*'Feedstock Conversion Rates'!B$4)+FD462</f>
        <v>5393.7436418248772</v>
      </c>
      <c r="EN462" s="132">
        <f>(ED462*'Renewable Diesel'!BF471*'Feedstock Conversion Rates'!B$5)+FE462</f>
        <v>656.92196234436597</v>
      </c>
      <c r="EO462" s="132">
        <f>(EE462*'Renewable Diesel'!BF471*'Feedstock Conversion Rates'!B$6)+FF462</f>
        <v>866.5585078533129</v>
      </c>
      <c r="EP462" s="132">
        <f>(EF462*'Renewable Diesel'!BF471*'Feedstock Conversion Rates'!B$7)+FG462</f>
        <v>1408.997866806566</v>
      </c>
      <c r="EQ462" s="132">
        <f>(EG462*'Renewable Diesel'!BF471*'Feedstock Conversion Rates'!B$8)+FH462</f>
        <v>280.63414083905298</v>
      </c>
      <c r="ER462" s="132">
        <f>(EH462*'Renewable Diesel'!BF471*'Feedstock Conversion Rates'!B$9)+FI462</f>
        <v>10.548280087410753</v>
      </c>
      <c r="ES462" s="132">
        <f t="shared" si="501"/>
        <v>10013.884716728197</v>
      </c>
      <c r="ET462" s="133">
        <f>ES462/'Renewable Diesel'!BF471</f>
        <v>13.853438265414912</v>
      </c>
      <c r="EW462" s="73">
        <f t="shared" si="461"/>
        <v>8615.5610535388732</v>
      </c>
      <c r="EX462" s="73">
        <f t="shared" si="462"/>
        <v>5643.239680817228</v>
      </c>
      <c r="EY462" s="92">
        <f t="shared" si="477"/>
        <v>0.86036151775809611</v>
      </c>
      <c r="EZ462" s="92">
        <f t="shared" si="477"/>
        <v>0.56354150666326275</v>
      </c>
      <c r="FB462" s="102">
        <f>IF('Renewable Diesel'!$BG471&lt;1,0,(((('Renewable Diesel'!$BG471-1)*'Renewable Diesel'!$BF471)*'RD Feedstock Breakdown'!EA462)*'Feedstock Conversion Rates'!$B$2))</f>
        <v>141.37382651341176</v>
      </c>
      <c r="FC462" s="102">
        <f>IF('Renewable Diesel'!$BG471&lt;1,0,(((('Renewable Diesel'!$BG471-1)*'Renewable Diesel'!$BF471)*'RD Feedstock Breakdown'!EB462)*'Feedstock Conversion Rates'!$B$3))</f>
        <v>450.59840339617574</v>
      </c>
      <c r="FD462" s="102">
        <f>IF('Renewable Diesel'!$BG471&lt;1,0,(((('Renewable Diesel'!$BG471-1)*'Renewable Diesel'!$BF471)*'RD Feedstock Breakdown'!EC462)*'Feedstock Conversion Rates'!$B$4))</f>
        <v>2286.4242427230392</v>
      </c>
      <c r="FE462" s="102">
        <f>IF('Renewable Diesel'!$BG471&lt;1,0,(((('Renewable Diesel'!$BG471-1)*'Renewable Diesel'!$BF471)*'RD Feedstock Breakdown'!ED462)*'Feedstock Conversion Rates'!$B$5))</f>
        <v>278.47120664659064</v>
      </c>
      <c r="FF462" s="102">
        <f>IF('Renewable Diesel'!$BG471&lt;1,0,(((('Renewable Diesel'!$BG471-1)*'Renewable Diesel'!$BF471)*'RD Feedstock Breakdown'!EE462)*'Feedstock Conversion Rates'!$B$6))</f>
        <v>367.33677231707907</v>
      </c>
      <c r="FG462" s="102">
        <f>IF('Renewable Diesel'!$BG471&lt;1,0,(((('Renewable Diesel'!$BG471-1)*'Renewable Diesel'!$BF471)*'RD Feedstock Breakdown'!EF462)*'Feedstock Conversion Rates'!$B$7))</f>
        <v>597.27845714254602</v>
      </c>
      <c r="FH462" s="102">
        <f>IF('Renewable Diesel'!$BG471&lt;1,0,(((('Renewable Diesel'!$BG471-1)*'Renewable Diesel'!$BF471)*'RD Feedstock Breakdown'!EG462)*'Feedstock Conversion Rates'!$B$8))</f>
        <v>118.9616610575641</v>
      </c>
      <c r="FI462" s="102">
        <f>IF('Renewable Diesel'!$BG471&lt;1,0,(((('Renewable Diesel'!$BG471-1)*'Renewable Diesel'!$BF471)*'RD Feedstock Breakdown'!EH462)*'Feedstock Conversion Rates'!$B$9))</f>
        <v>4.4714478314970121</v>
      </c>
      <c r="FJ462" s="102">
        <f t="shared" si="463"/>
        <v>4244.9160176279038</v>
      </c>
      <c r="GD462" s="91">
        <f>'Renewable Diesel'!BB471*0.32</f>
        <v>0</v>
      </c>
      <c r="GE462" s="91">
        <f>'Renewable Diesel'!BC471</f>
        <v>248.49749897531805</v>
      </c>
      <c r="GF462" s="91">
        <f>'Renewable Diesel'!BD471</f>
        <v>0</v>
      </c>
      <c r="GG462" s="91">
        <f t="shared" si="451"/>
        <v>248.49749897531805</v>
      </c>
      <c r="GH462" s="124">
        <v>1</v>
      </c>
      <c r="GI462" s="102">
        <f>$GG462*EA462*'Feedstock Conversion Rates'!$B$2</f>
        <v>66.050346707299227</v>
      </c>
      <c r="GJ462" s="102">
        <f>$GG462*EB462*'Feedstock Conversion Rates'!$B$3</f>
        <v>210.52115164506367</v>
      </c>
      <c r="GK462" s="102">
        <f>$GG462*EC462*'Feedstock Conversion Rates'!$B$4</f>
        <v>1068.2254111407535</v>
      </c>
      <c r="GL462" s="102">
        <f>$GG462*ED462*'Feedstock Conversion Rates'!$B$5</f>
        <v>130.10272269359825</v>
      </c>
      <c r="GM462" s="102">
        <f>$GG462*EE462*'Feedstock Conversion Rates'!$B$6</f>
        <v>171.62102609977507</v>
      </c>
      <c r="GN462" s="102">
        <f>$GG462*EF462*'Feedstock Conversion Rates'!$B$7</f>
        <v>279.05058629309553</v>
      </c>
      <c r="GO462" s="102">
        <f>$GG462*EG462*'Feedstock Conversion Rates'!$B$8</f>
        <v>55.579304539676649</v>
      </c>
      <c r="GP462" s="102">
        <f>$GG462*EH462*'Feedstock Conversion Rates'!B$9</f>
        <v>2.089076081745306</v>
      </c>
      <c r="GQ462" s="102">
        <f t="shared" si="502"/>
        <v>1983.2396252010074</v>
      </c>
      <c r="GT462" s="103">
        <f t="shared" si="484"/>
        <v>3.3304269372191893E-2</v>
      </c>
      <c r="GU462" s="103">
        <f t="shared" si="484"/>
        <v>0.10615013383656388</v>
      </c>
      <c r="GV462" s="103">
        <f t="shared" si="484"/>
        <v>0.53862649654979833</v>
      </c>
      <c r="GW462" s="103">
        <f t="shared" si="484"/>
        <v>6.5601110950176775E-2</v>
      </c>
      <c r="GX462" s="103">
        <f t="shared" si="465"/>
        <v>8.6535698419388296E-2</v>
      </c>
      <c r="GY462" s="103">
        <f t="shared" si="465"/>
        <v>0.14070442257566981</v>
      </c>
      <c r="GZ462" s="103">
        <f t="shared" si="465"/>
        <v>2.802450285554552E-2</v>
      </c>
      <c r="HA462" s="103">
        <f t="shared" si="465"/>
        <v>1.0533654406655838E-3</v>
      </c>
    </row>
    <row r="463" spans="1:209" x14ac:dyDescent="0.25">
      <c r="A463" s="96">
        <v>54514</v>
      </c>
      <c r="B463" s="104">
        <f t="shared" si="473"/>
        <v>44.25</v>
      </c>
      <c r="C463" s="104">
        <f t="shared" si="466"/>
        <v>49</v>
      </c>
      <c r="D463" s="104">
        <f t="shared" si="474"/>
        <v>2</v>
      </c>
      <c r="E463" s="104">
        <f>('Renewable Diesel'!B472*E$3*'Feedstock Conversion Rates'!$B$2)/12+26+13-100+27.5+39</f>
        <v>95.43</v>
      </c>
      <c r="F463" s="104">
        <f>('Renewable Diesel'!B472*'RD Feedstock Breakdown'!F$3*'Feedstock Conversion Rates'!B$8)/12+77+23-10-12-115.75+24+8</f>
        <v>48.15625</v>
      </c>
      <c r="G463" s="104">
        <f>('Renewable Diesel'!B472*'RD Feedstock Breakdown'!G$3*'Feedstock Conversion Rates'!B$7)/12+116.75-39-57.5-145-31.5+32+70-40+10+60</f>
        <v>151.90700000000004</v>
      </c>
      <c r="H463" s="104">
        <f>('Renewable Diesel'!B472*'RD Feedstock Breakdown'!H$3*'Feedstock Conversion Rates'!B$3)/12+67+10+12+3-235+20+47-20+25</f>
        <v>105.40022499999998</v>
      </c>
      <c r="I463" s="106">
        <f t="shared" si="449"/>
        <v>496.14347500000002</v>
      </c>
      <c r="J463" s="104">
        <f t="shared" si="483"/>
        <v>4</v>
      </c>
      <c r="K463" s="104"/>
      <c r="L463" s="104">
        <v>1</v>
      </c>
      <c r="M463" s="104">
        <f>('Renewable Diesel'!C472*'RD Feedstock Breakdown'!M$3*'Feedstock Conversion Rates'!B$2)/12</f>
        <v>7.7902500000000003</v>
      </c>
      <c r="N463" s="104">
        <f>('Renewable Diesel'!C472*'RD Feedstock Breakdown'!N$3*'Feedstock Conversion Rates'!B$8)/12</f>
        <v>3.671875</v>
      </c>
      <c r="O463" s="104">
        <f>('Renewable Diesel'!C472*'RD Feedstock Breakdown'!O$3*'Feedstock Conversion Rates'!B$7)/12</f>
        <v>11.9991</v>
      </c>
      <c r="P463" s="104">
        <f>('Renewable Diesel'!C472*'RD Feedstock Breakdown'!P$3*'Feedstock Conversion Rates'!B$3)/12</f>
        <v>10.4470425</v>
      </c>
      <c r="Q463" s="106">
        <f t="shared" si="455"/>
        <v>38.908267500000001</v>
      </c>
      <c r="R463" s="104">
        <f>('Renewable Diesel'!D472*'RD Feedstock Breakdown'!R$3*'Feedstock Conversion Rates'!B$7)/12</f>
        <v>2.2999999999999998</v>
      </c>
      <c r="S463" s="106">
        <f t="shared" si="481"/>
        <v>2.2999999999999998</v>
      </c>
      <c r="T463" s="104">
        <f t="shared" si="456"/>
        <v>0.82499999999999929</v>
      </c>
      <c r="U463" s="104"/>
      <c r="V463" s="104">
        <f>('Renewable Diesel'!E472*'RD Feedstock Breakdown'!V$3*'Feedstock Conversion Rates'!B$6)/12-20+25</f>
        <v>49.250150000000012</v>
      </c>
      <c r="W463" s="104">
        <f>('Renewable Diesel'!E472*'RD Feedstock Breakdown'!W$3*'Feedstock Conversion Rates'!B$8)/12-6</f>
        <v>16.1796875</v>
      </c>
      <c r="X463" s="106">
        <f t="shared" si="503"/>
        <v>66.254837500000008</v>
      </c>
      <c r="Y463" s="104">
        <f t="shared" si="457"/>
        <v>98</v>
      </c>
      <c r="Z463" s="104">
        <f>('Renewable Diesel'!F472*'RD Feedstock Breakdown'!Z$3*'Feedstock Conversion Rates'!B$6)/12-142+15+5+20+5+15</f>
        <v>77.460000000000008</v>
      </c>
      <c r="AA463" s="104">
        <f>('Renewable Diesel'!F472*'RD Feedstock Breakdown'!AA$3*'Feedstock Conversion Rates'!B$7)/12+24</f>
        <v>128.26666666666665</v>
      </c>
      <c r="AB463" s="106">
        <f t="shared" si="471"/>
        <v>303.72666666666669</v>
      </c>
      <c r="AC463" s="104">
        <f>('Renewable Diesel'!G472*'RD Feedstock Breakdown'!AC$3*'Feedstock Conversion Rates'!B$5)/12</f>
        <v>11.796875</v>
      </c>
      <c r="AD463" s="104">
        <f>('Renewable Diesel'!G472*'RD Feedstock Breakdown'!AD$3*'Feedstock Conversion Rates'!B$4)/12</f>
        <v>5.859375</v>
      </c>
      <c r="AE463" s="104">
        <f>('Renewable Diesel'!G472*'RD Feedstock Breakdown'!AE$3*'Feedstock Conversion Rates'!B$6)/12</f>
        <v>7.3281250000000009</v>
      </c>
      <c r="AF463" s="106">
        <f t="shared" si="445"/>
        <v>24.984375</v>
      </c>
      <c r="AG463" s="104">
        <f t="shared" si="459"/>
        <v>148</v>
      </c>
      <c r="AH463" s="104"/>
      <c r="AI463" s="104">
        <f>('Renewable Diesel'!H472*'RD Feedstock Breakdown'!AI$3*'Feedstock Conversion Rates'!B$6)/12-130-20+51-49</f>
        <v>0.51666666666667993</v>
      </c>
      <c r="AJ463" s="106">
        <f t="shared" si="480"/>
        <v>148.51666666666668</v>
      </c>
      <c r="AK463" s="104">
        <f>('Renewable Diesel'!J472*'RD Feedstock Breakdown'!AK$3*'Feedstock Conversion Rates'!B$4)/12</f>
        <v>95.8125</v>
      </c>
      <c r="AL463" s="106">
        <f t="shared" si="482"/>
        <v>95.8125</v>
      </c>
      <c r="AM463" s="104">
        <f>('Renewable Diesel'!K472*'RD Feedstock Breakdown'!AM$3*'Feedstock Conversion Rates'!B$4)/12+5+15-10+10</f>
        <v>78.59375</v>
      </c>
      <c r="AN463" s="104">
        <f>('Renewable Diesel'!K472*'RD Feedstock Breakdown'!AN$3*'Feedstock Conversion Rates'!B$6)/12-5-15+10-10</f>
        <v>4.4270833333333321</v>
      </c>
      <c r="AO463" s="106">
        <f t="shared" si="496"/>
        <v>83.020833333333329</v>
      </c>
      <c r="AP463" s="104">
        <f>('Renewable Diesel'!L472*'RD Feedstock Breakdown'!AP$3*'Feedstock Conversion Rates'!B$4)/12+15-10+15</f>
        <v>78.59375</v>
      </c>
      <c r="AQ463" s="104">
        <f>('Renewable Diesel'!L472*'RD Feedstock Breakdown'!AQ$3*'Feedstock Conversion Rates'!B$6)/12-15+10-15</f>
        <v>4.4270833333333321</v>
      </c>
      <c r="AR463" s="106">
        <f t="shared" si="486"/>
        <v>83.020833333333329</v>
      </c>
      <c r="AS463" s="104">
        <f>('Renewable Diesel'!M472*'RD Feedstock Breakdown'!AS$3*'Feedstock Conversion Rates'!B$4)/12</f>
        <v>456.25</v>
      </c>
      <c r="AT463" s="104">
        <f>('Renewable Diesel'!M472*'RD Feedstock Breakdown'!AT$3*'Feedstock Conversion Rates'!B$5)/12</f>
        <v>0</v>
      </c>
      <c r="AU463" s="106">
        <f t="shared" si="448"/>
        <v>456.25</v>
      </c>
      <c r="AV463" s="104">
        <f>'Renewable Diesel'!N472*'RD Feedstock Breakdown'!$AV$3*'Feedstock Conversion Rates'!$B$4/12-15-10+25+25-22+25</f>
        <v>106.74999999999999</v>
      </c>
      <c r="AW463" s="104">
        <f>'Renewable Diesel'!N472*'RD Feedstock Breakdown'!$AW$3*'Feedstock Conversion Rates'!$B$7/12+15+10-25-25+22-25</f>
        <v>13.400000000000006</v>
      </c>
      <c r="AX463" s="106">
        <f t="shared" si="475"/>
        <v>120.14999999999999</v>
      </c>
      <c r="AY463" s="104">
        <f>('Renewable Diesel'!O472*'RD Feedstock Breakdown'!AY$3*'Feedstock Conversion Rates'!B$4)/12</f>
        <v>210.9375</v>
      </c>
      <c r="AZ463" s="104">
        <f>('Renewable Diesel'!O472*'RD Feedstock Breakdown'!AZ$3*'Feedstock Conversion Rates'!B$3)/12</f>
        <v>25.03125</v>
      </c>
      <c r="BA463" s="106">
        <f t="shared" si="458"/>
        <v>235.96875</v>
      </c>
      <c r="BB463" s="104">
        <f>('Renewable Diesel'!Q472*'RD Feedstock Breakdown'!BB$3*'Feedstock Conversion Rates'!B$4)/12</f>
        <v>11.156249999999998</v>
      </c>
      <c r="BC463" s="104">
        <f>('Renewable Diesel'!Q472*'RD Feedstock Breakdown'!BC$3*'Feedstock Conversion Rates'!B$3)/12</f>
        <v>1.4017500000000001</v>
      </c>
      <c r="BD463" s="104">
        <f>('Renewable Diesel'!Q472*'RD Feedstock Breakdown'!BD$3*'Feedstock Conversion Rates'!B$6)/12</f>
        <v>0.8207500000000002</v>
      </c>
      <c r="BE463" s="106">
        <f t="shared" ref="BE463:BE495" si="505">SUM(BB463:BD463)</f>
        <v>13.378749999999998</v>
      </c>
      <c r="BF463" s="104">
        <f>('Renewable Diesel'!R472*'RD Feedstock Breakdown'!BF$3*'Feedstock Conversion Rates'!B$4)/12</f>
        <v>62.5</v>
      </c>
      <c r="BG463" s="106">
        <f t="shared" si="490"/>
        <v>62.5</v>
      </c>
      <c r="BH463" s="104">
        <f>('Renewable Diesel'!T472*'RD Feedstock Breakdown'!BH$3*'Feedstock Conversion Rates'!B$7)/12</f>
        <v>27.599999999999998</v>
      </c>
      <c r="BI463" s="106">
        <f t="shared" si="479"/>
        <v>27.599999999999998</v>
      </c>
      <c r="BJ463" s="104">
        <f>('Renewable Diesel'!W472*'RD Feedstock Breakdown'!BJ$3*'Feedstock Conversion Rates'!B$4)/12</f>
        <v>7.5</v>
      </c>
      <c r="BK463" s="104">
        <f>('Renewable Diesel'!W472*'RD Feedstock Breakdown'!BK$3*'Feedstock Conversion Rates'!B$3)/12</f>
        <v>1.335</v>
      </c>
      <c r="BL463" s="104">
        <f>('Renewable Diesel'!W472*'RD Feedstock Breakdown'!BL$3*'Feedstock Conversion Rates'!B$6)/12</f>
        <v>3.1266666666666669</v>
      </c>
      <c r="BM463" s="104">
        <f>('Renewable Diesel'!W472*'RD Feedstock Breakdown'!BM$3*'Feedstock Conversion Rates'!B$7)/12</f>
        <v>1.5333333333333332</v>
      </c>
      <c r="BN463" s="106">
        <f t="shared" si="452"/>
        <v>13.495000000000001</v>
      </c>
      <c r="BO463" s="104">
        <f>('Renewable Diesel'!P472*'Feedstock Conversion Rates'!B$4)/12</f>
        <v>31.25</v>
      </c>
      <c r="BP463" s="106">
        <f t="shared" si="446"/>
        <v>31.25</v>
      </c>
      <c r="BQ463" s="104">
        <f>('Renewable Diesel'!$S472*'RD Feedstock Breakdown'!BQ$3*'Feedstock Conversion Rates'!B$4)/12+10+15-15</f>
        <v>38.125</v>
      </c>
      <c r="BR463" s="104">
        <f>('Renewable Diesel'!$S472*'RD Feedstock Breakdown'!BR$3*'Feedstock Conversion Rates'!B$7)/12-10-15+15</f>
        <v>1.5</v>
      </c>
      <c r="BS463" s="106">
        <f t="shared" si="460"/>
        <v>39.625</v>
      </c>
      <c r="BT463" s="106"/>
      <c r="BU463" s="104">
        <f>('Renewable Diesel'!Y472*'Feedstock Conversion Rates'!B$7)/12</f>
        <v>2.6833333333333331</v>
      </c>
      <c r="BV463" s="106">
        <f t="shared" si="442"/>
        <v>2.6833333333333331</v>
      </c>
      <c r="BW463" s="104">
        <f>('Renewable Diesel'!$Z472*'RD Feedstock Breakdown'!BW$3*'Feedstock Conversion Rates'!$B$4)/12-250+180</f>
        <v>1.875</v>
      </c>
      <c r="BX463" s="104">
        <f>('Renewable Diesel'!$Z472*'RD Feedstock Breakdown'!BX$3*'Feedstock Conversion Rates'!$B$5)/12</f>
        <v>7.2354166666666666</v>
      </c>
      <c r="BY463" s="104">
        <f>('Renewable Diesel'!$Z472*'RD Feedstock Breakdown'!BY$3*'Feedstock Conversion Rates'!$B$7)/12</f>
        <v>61.716666666666661</v>
      </c>
      <c r="BZ463" s="104">
        <f>('Renewable Diesel'!$Z472*'RD Feedstock Breakdown'!BZ$3*'Feedstock Conversion Rates'!$B$3)/12+250-180</f>
        <v>85.35250000000002</v>
      </c>
      <c r="CA463" s="106">
        <f t="shared" si="464"/>
        <v>156.17958333333334</v>
      </c>
      <c r="CB463" s="104">
        <f>('Renewable Diesel'!AA472*'Feedstock Conversion Rates'!B$4)/12</f>
        <v>191.25</v>
      </c>
      <c r="CC463" s="106">
        <f t="shared" si="454"/>
        <v>191.25</v>
      </c>
      <c r="CD463" s="104">
        <f>('Renewable Diesel'!$AB472*'RD Feedstock Breakdown'!CD$3*'Feedstock Conversion Rates'!$B$6)/12-15-5</f>
        <v>12.830000000000005</v>
      </c>
      <c r="CE463" s="104">
        <f>('Renewable Diesel'!$AB472*'RD Feedstock Breakdown'!CE$3*'Feedstock Conversion Rates'!$B$4)/12+15+5</f>
        <v>31.25</v>
      </c>
      <c r="CF463" s="106">
        <f t="shared" si="450"/>
        <v>44.080000000000005</v>
      </c>
      <c r="CG463" s="104">
        <f>('Renewable Diesel'!AD472*'Feedstock Conversion Rates'!B$4)/12</f>
        <v>112.5</v>
      </c>
      <c r="CH463" s="106">
        <f t="shared" si="504"/>
        <v>112.5</v>
      </c>
      <c r="CI463" s="104">
        <f>('Renewable Diesel'!$AE472*'RD Feedstock Breakdown'!CI$3*'Feedstock Conversion Rates'!$B$5)/12</f>
        <v>0.34604166666666664</v>
      </c>
      <c r="CJ463" s="104">
        <f>('Renewable Diesel'!$AE472*'RD Feedstock Breakdown'!CJ$3*'Feedstock Conversion Rates'!$B$4)/12</f>
        <v>0.34375</v>
      </c>
      <c r="CK463" s="106">
        <f t="shared" si="447"/>
        <v>0.68979166666666658</v>
      </c>
      <c r="CL463" s="104">
        <f>(((CL$3*'Renewable Diesel'!$AF472)*'Feedstock Conversion Rates'!$B$3)/12)</f>
        <v>91.78125</v>
      </c>
      <c r="CM463" s="104">
        <f>(((CM$3*'Renewable Diesel'!$AF472)*'Feedstock Conversion Rates'!$B$6)/12)</f>
        <v>53.739583333333336</v>
      </c>
      <c r="CN463" s="104">
        <f>(((CN$3*'Renewable Diesel'!$AF472)*'Feedstock Conversion Rates'!$B$4)/12)</f>
        <v>42.96875</v>
      </c>
      <c r="CO463" s="106">
        <f t="shared" ref="CO463:CO495" si="506">SUM(CL463:CN463)</f>
        <v>188.48958333333334</v>
      </c>
      <c r="CP463" s="104">
        <f>('Renewable Diesel'!$AG472*'RD Feedstock Breakdown'!CP$3*'Feedstock Conversion Rates'!$B$3)/12</f>
        <v>6.0075000000000003</v>
      </c>
      <c r="CQ463" s="104">
        <f>('Renewable Diesel'!$AG472*'RD Feedstock Breakdown'!CQ$3*'Feedstock Conversion Rates'!$B$6)/12</f>
        <v>3.5175000000000001</v>
      </c>
      <c r="CR463" s="104">
        <f>('Renewable Diesel'!$AG472*'RD Feedstock Breakdown'!CR$3*'Feedstock Conversion Rates'!$B$4)/12</f>
        <v>2.8125</v>
      </c>
      <c r="CS463" s="106">
        <f t="shared" si="467"/>
        <v>12.3375</v>
      </c>
      <c r="CT463" s="104">
        <f>('Renewable Diesel'!AI472*'Feedstock Conversion Rates'!$B$4*'RD Feedstock Breakdown'!$CT$3)/12</f>
        <v>29.375</v>
      </c>
      <c r="CU463" s="106">
        <f t="shared" si="443"/>
        <v>29.375</v>
      </c>
      <c r="CV463" s="104">
        <f>('Renewable Diesel'!AN472*'Feedstock Conversion Rates'!$B$3*'RD Feedstock Breakdown'!$CV$3)/12</f>
        <v>0.50062499999999999</v>
      </c>
      <c r="CW463" s="106">
        <f t="shared" si="485"/>
        <v>0.50062499999999999</v>
      </c>
      <c r="CX463" s="104">
        <f>('Renewable Diesel'!AO472*'RD Feedstock Breakdown'!$CX$3*'Feedstock Conversion Rates'!$B$3)/12</f>
        <v>6.3412499999999996</v>
      </c>
      <c r="CY463" s="104">
        <f>('Renewable Diesel'!AO472*'RD Feedstock Breakdown'!$CY$3*'Feedstock Conversion Rates'!$B$6)/12</f>
        <v>7.4258333333333342</v>
      </c>
      <c r="CZ463" s="106">
        <f t="shared" si="468"/>
        <v>13.767083333333334</v>
      </c>
      <c r="DA463" s="104">
        <f>('Renewable Diesel'!$AP472*'RD Feedstock Breakdown'!DA$3*'Feedstock Conversion Rates'!$B$3)/12</f>
        <v>6.3412499999999996</v>
      </c>
      <c r="DB463" s="104">
        <f>('Renewable Diesel'!$AP472*'RD Feedstock Breakdown'!DB$3*'Feedstock Conversion Rates'!$B$8)/12</f>
        <v>7.421875</v>
      </c>
      <c r="DC463" s="106">
        <f t="shared" si="488"/>
        <v>13.763124999999999</v>
      </c>
      <c r="DD463" s="104">
        <f>('Renewable Diesel'!AQ472*$DD$3*'Feedstock Conversion Rates'!$B$14)/12</f>
        <v>3.1041666666666665</v>
      </c>
      <c r="DE463" s="106">
        <f t="shared" si="489"/>
        <v>3.1041666666666665</v>
      </c>
      <c r="DF463" s="104">
        <f>('Renewable Diesel'!AR472*'Feedstock Conversion Rates'!$B$4*$DF$3)/12</f>
        <v>75</v>
      </c>
      <c r="DG463" s="106">
        <f t="shared" si="469"/>
        <v>75</v>
      </c>
      <c r="DH463" s="104">
        <f>('Renewable Diesel'!AS472*'Feedstock Conversion Rates'!$B$4*$DH$3)/12</f>
        <v>75</v>
      </c>
      <c r="DI463" s="106">
        <f t="shared" si="478"/>
        <v>75</v>
      </c>
      <c r="DJ463" s="104">
        <f>('Renewable Diesel'!AT472*'Feedstock Conversion Rates'!$B$4*0.25)/12</f>
        <v>8.59375</v>
      </c>
      <c r="DK463" s="104">
        <f>('Renewable Diesel'!$AT472*'RD Feedstock Breakdown'!DK$3*'Feedstock Conversion Rates'!$B$3)/12*0.5</f>
        <v>9.1781249999999996</v>
      </c>
      <c r="DL463" s="104">
        <f>('Renewable Diesel'!$AT472*'RD Feedstock Breakdown'!$DL$3*'Feedstock Conversion Rates'!$B$6)/12</f>
        <v>10.747916666666669</v>
      </c>
      <c r="DM463" s="104">
        <f>('Renewable Diesel'!$AT472*'RD Feedstock Breakdown'!$DM$3*'Feedstock Conversion Rates'!$B$8)/12</f>
        <v>10.7421875</v>
      </c>
      <c r="DN463" s="106">
        <f t="shared" si="453"/>
        <v>39.26197916666667</v>
      </c>
      <c r="DP463" s="104">
        <f t="shared" si="491"/>
        <v>103.22025000000001</v>
      </c>
      <c r="DQ463" s="104">
        <f t="shared" si="492"/>
        <v>349.11776750000007</v>
      </c>
      <c r="DR463" s="104">
        <f t="shared" si="497"/>
        <v>1891.953125</v>
      </c>
      <c r="DS463" s="104">
        <f t="shared" si="444"/>
        <v>228.90125</v>
      </c>
      <c r="DT463" s="104">
        <f t="shared" si="493"/>
        <v>243.03923333333344</v>
      </c>
      <c r="DU463" s="104">
        <f t="shared" si="494"/>
        <v>402.90610000000009</v>
      </c>
      <c r="DV463" s="104">
        <f t="shared" si="498"/>
        <v>78.75</v>
      </c>
      <c r="DW463" s="104">
        <f t="shared" si="495"/>
        <v>3</v>
      </c>
      <c r="DX463" s="106">
        <f t="shared" si="499"/>
        <v>3300.8877258333337</v>
      </c>
      <c r="DY463" s="109">
        <f t="shared" si="487"/>
        <v>-5.631051180898794E-13</v>
      </c>
      <c r="EA463" s="110">
        <f t="shared" si="472"/>
        <v>3.1270451640078516E-2</v>
      </c>
      <c r="EB463" s="110">
        <f t="shared" si="470"/>
        <v>0.10576481131658687</v>
      </c>
      <c r="EC463" s="110">
        <f t="shared" si="470"/>
        <v>0.57316494293133291</v>
      </c>
      <c r="ED463" s="110">
        <f t="shared" si="470"/>
        <v>6.9345360706629972E-2</v>
      </c>
      <c r="EE463" s="110">
        <f t="shared" si="470"/>
        <v>7.3628445896921982E-2</v>
      </c>
      <c r="EF463" s="110">
        <f t="shared" si="470"/>
        <v>0.1220599225010852</v>
      </c>
      <c r="EG463" s="110">
        <f t="shared" si="470"/>
        <v>2.3857218585075921E-2</v>
      </c>
      <c r="EH463" s="111">
        <f t="shared" si="500"/>
        <v>9.0884642228860647E-4</v>
      </c>
      <c r="EI463" s="110">
        <f t="shared" si="476"/>
        <v>0.99909115357771139</v>
      </c>
      <c r="EK463" s="132">
        <f>(EA463*'Renewable Diesel'!BF472*'Feedstock Conversion Rates'!B$2)+FB463</f>
        <v>425.83267364582349</v>
      </c>
      <c r="EL463" s="132">
        <f>(EB463*'Renewable Diesel'!BF472*'Feedstock Conversion Rates'!B$3)+FC463</f>
        <v>1357.2492701860181</v>
      </c>
      <c r="EM463" s="132">
        <f>(EC463*'Renewable Diesel'!BF472*'Feedstock Conversion Rates'!B$4)+FD463</f>
        <v>6886.9476930725441</v>
      </c>
      <c r="EN463" s="132">
        <f>(ED463*'Renewable Diesel'!BF472*'Feedstock Conversion Rates'!B$5)+FE463</f>
        <v>838.78424588335474</v>
      </c>
      <c r="EO463" s="132">
        <f>(EE463*'Renewable Diesel'!BF472*'Feedstock Conversion Rates'!B$6)+FF463</f>
        <v>1106.4565750391525</v>
      </c>
      <c r="EP463" s="132">
        <f>(EF463*'Renewable Diesel'!BF472*'Feedstock Conversion Rates'!B$7)+FG463</f>
        <v>1799.0648523044269</v>
      </c>
      <c r="EQ463" s="132">
        <f>(EG463*'Renewable Diesel'!BF472*'Feedstock Conversion Rates'!B$8)+FH463</f>
        <v>358.32489958588621</v>
      </c>
      <c r="ER463" s="132">
        <f>(EH463*'Renewable Diesel'!BF472*'Feedstock Conversion Rates'!B$9)+FI463</f>
        <v>13.468466066974262</v>
      </c>
      <c r="ES463" s="132">
        <f t="shared" si="501"/>
        <v>12786.128675784181</v>
      </c>
      <c r="ET463" s="133">
        <f>ES463/'Renewable Diesel'!BF472</f>
        <v>14.877295325327784</v>
      </c>
      <c r="EW463" s="73">
        <f t="shared" si="461"/>
        <v>11306.995597845853</v>
      </c>
      <c r="EX463" s="73">
        <f t="shared" si="462"/>
        <v>7406.1440493628697</v>
      </c>
      <c r="EY463" s="92">
        <f t="shared" si="477"/>
        <v>0.88431736333612243</v>
      </c>
      <c r="EZ463" s="92">
        <f t="shared" si="477"/>
        <v>0.57923271673227128</v>
      </c>
      <c r="FB463" s="102">
        <f>IF('Renewable Diesel'!$BG472&lt;1,0,(((('Renewable Diesel'!$BG472-1)*'Renewable Diesel'!$BF472)*'RD Feedstock Breakdown'!EA463)*'Feedstock Conversion Rates'!$B$2))</f>
        <v>197.39476996425967</v>
      </c>
      <c r="FC463" s="102">
        <f>IF('Renewable Diesel'!$BG472&lt;1,0,(((('Renewable Diesel'!$BG472-1)*'Renewable Diesel'!$BF472)*'RD Feedstock Breakdown'!EB463)*'Feedstock Conversion Rates'!$B$3))</f>
        <v>629.15300786749765</v>
      </c>
      <c r="FD463" s="102">
        <f>IF('Renewable Diesel'!$BG472&lt;1,0,(((('Renewable Diesel'!$BG472-1)*'Renewable Diesel'!$BF472)*'RD Feedstock Breakdown'!EC463)*'Feedstock Conversion Rates'!$B$4))</f>
        <v>3192.4451545506176</v>
      </c>
      <c r="FE463" s="102">
        <f>IF('Renewable Diesel'!$BG472&lt;1,0,(((('Renewable Diesel'!$BG472-1)*'Renewable Diesel'!$BF472)*'RD Feedstock Breakdown'!ED463)*'Feedstock Conversion Rates'!$B$5))</f>
        <v>388.81850433933636</v>
      </c>
      <c r="FF463" s="102">
        <f>IF('Renewable Diesel'!$BG472&lt;1,0,(((('Renewable Diesel'!$BG472-1)*'Renewable Diesel'!$BF472)*'RD Feedstock Breakdown'!EE463)*'Feedstock Conversion Rates'!$B$6))</f>
        <v>512.89803395159993</v>
      </c>
      <c r="FG463" s="102">
        <f>IF('Renewable Diesel'!$BG472&lt;1,0,(((('Renewable Diesel'!$BG472-1)*'Renewable Diesel'!$BF472)*'RD Feedstock Breakdown'!EF463)*'Feedstock Conversion Rates'!$B$7))</f>
        <v>833.95665633395004</v>
      </c>
      <c r="FH463" s="102">
        <f>IF('Renewable Diesel'!$BG472&lt;1,0,(((('Renewable Diesel'!$BG472-1)*'Renewable Diesel'!$BF472)*'RD Feedstock Breakdown'!EG463)*'Feedstock Conversion Rates'!$B$8))</f>
        <v>166.10153589353669</v>
      </c>
      <c r="FI463" s="102">
        <f>IF('Renewable Diesel'!$BG472&lt;1,0,(((('Renewable Diesel'!$BG472-1)*'Renewable Diesel'!$BF472)*'RD Feedstock Breakdown'!EH463)*'Feedstock Conversion Rates'!$B$9))</f>
        <v>6.2433085237443633</v>
      </c>
      <c r="FJ463" s="102">
        <f t="shared" si="463"/>
        <v>5927.0109714245427</v>
      </c>
      <c r="GD463" s="91">
        <f>'Renewable Diesel'!BB472*0.32</f>
        <v>0</v>
      </c>
      <c r="GE463" s="91">
        <f>'Renewable Diesel'!BC472</f>
        <v>398.87127024936541</v>
      </c>
      <c r="GF463" s="91">
        <f>'Renewable Diesel'!BD472</f>
        <v>0</v>
      </c>
      <c r="GG463" s="91">
        <f t="shared" si="451"/>
        <v>398.87127024936541</v>
      </c>
      <c r="GH463" s="124">
        <v>1</v>
      </c>
      <c r="GI463" s="102">
        <f>$GG463*EA463*'Feedstock Conversion Rates'!$B$2</f>
        <v>106.0195205190705</v>
      </c>
      <c r="GJ463" s="102">
        <f>$GG463*EB463*'Feedstock Conversion Rates'!$B$3</f>
        <v>337.914222546627</v>
      </c>
      <c r="GK463" s="102">
        <f>$GG463*EC463*'Feedstock Conversion Rates'!$B$4</f>
        <v>1714.6427163706935</v>
      </c>
      <c r="GL463" s="102">
        <f>$GG463*ED463*'Feedstock Conversion Rates'!$B$5</f>
        <v>208.83203443770213</v>
      </c>
      <c r="GM463" s="102">
        <f>$GG463*EE463*'Feedstock Conversion Rates'!$B$6</f>
        <v>275.47438893425647</v>
      </c>
      <c r="GN463" s="102">
        <f>$GG463*EF463*'Feedstock Conversion Rates'!$B$7</f>
        <v>447.91300627783198</v>
      </c>
      <c r="GO463" s="102">
        <f>$GG463*EG463*'Feedstock Conversion Rates'!$B$8</f>
        <v>89.212116390431262</v>
      </c>
      <c r="GP463" s="102">
        <f>$GG463*EH463*'Feedstock Conversion Rates'!B$9</f>
        <v>3.3532427240085907</v>
      </c>
      <c r="GQ463" s="102">
        <f t="shared" si="502"/>
        <v>3183.3612482006215</v>
      </c>
      <c r="GT463" s="103">
        <f t="shared" si="484"/>
        <v>3.3304269372191886E-2</v>
      </c>
      <c r="GU463" s="103">
        <f t="shared" si="484"/>
        <v>0.10615013383656388</v>
      </c>
      <c r="GV463" s="103">
        <f t="shared" si="484"/>
        <v>0.53862649654979833</v>
      </c>
      <c r="GW463" s="103">
        <f t="shared" si="484"/>
        <v>6.5601110950176761E-2</v>
      </c>
      <c r="GX463" s="103">
        <f t="shared" si="465"/>
        <v>8.653569841938831E-2</v>
      </c>
      <c r="GY463" s="103">
        <f t="shared" si="465"/>
        <v>0.14070442257566984</v>
      </c>
      <c r="GZ463" s="103">
        <f t="shared" si="465"/>
        <v>2.802450285554552E-2</v>
      </c>
      <c r="HA463" s="103">
        <f t="shared" si="465"/>
        <v>1.0533654406655838E-3</v>
      </c>
    </row>
    <row r="464" spans="1:209" x14ac:dyDescent="0.25">
      <c r="A464" s="96">
        <v>54544</v>
      </c>
      <c r="B464" s="104">
        <f t="shared" si="473"/>
        <v>44.25</v>
      </c>
      <c r="C464" s="104">
        <f t="shared" si="466"/>
        <v>49</v>
      </c>
      <c r="D464" s="104">
        <f t="shared" si="474"/>
        <v>2</v>
      </c>
      <c r="E464" s="104">
        <f>('Renewable Diesel'!B473*E$3*'Feedstock Conversion Rates'!$B$2)/12+26+13-100+27.5+39</f>
        <v>95.43</v>
      </c>
      <c r="F464" s="104">
        <f>('Renewable Diesel'!B473*'RD Feedstock Breakdown'!F$3*'Feedstock Conversion Rates'!B$8)/12+77+23-10-12-115.75+24+8</f>
        <v>48.15625</v>
      </c>
      <c r="G464" s="104">
        <f>('Renewable Diesel'!B473*'RD Feedstock Breakdown'!G$3*'Feedstock Conversion Rates'!B$7)/12+116.75-39-57.5-145-31.5+32+70-40+10+60</f>
        <v>151.90700000000004</v>
      </c>
      <c r="H464" s="104">
        <f>('Renewable Diesel'!B473*'RD Feedstock Breakdown'!H$3*'Feedstock Conversion Rates'!B$3)/12+67+10+12+3-235+20+47-20+25</f>
        <v>105.40022499999998</v>
      </c>
      <c r="I464" s="106">
        <f t="shared" si="449"/>
        <v>496.14347500000002</v>
      </c>
      <c r="J464" s="104">
        <f t="shared" si="483"/>
        <v>4</v>
      </c>
      <c r="K464" s="104"/>
      <c r="L464" s="104">
        <v>1</v>
      </c>
      <c r="M464" s="104">
        <f>('Renewable Diesel'!C473*'RD Feedstock Breakdown'!M$3*'Feedstock Conversion Rates'!B$2)/12</f>
        <v>7.7902500000000003</v>
      </c>
      <c r="N464" s="104">
        <f>('Renewable Diesel'!C473*'RD Feedstock Breakdown'!N$3*'Feedstock Conversion Rates'!B$8)/12</f>
        <v>3.671875</v>
      </c>
      <c r="O464" s="104">
        <f>('Renewable Diesel'!C473*'RD Feedstock Breakdown'!O$3*'Feedstock Conversion Rates'!B$7)/12</f>
        <v>11.9991</v>
      </c>
      <c r="P464" s="104">
        <f>('Renewable Diesel'!C473*'RD Feedstock Breakdown'!P$3*'Feedstock Conversion Rates'!B$3)/12</f>
        <v>10.4470425</v>
      </c>
      <c r="Q464" s="106">
        <f t="shared" si="455"/>
        <v>38.908267500000001</v>
      </c>
      <c r="R464" s="104">
        <f>('Renewable Diesel'!D473*'RD Feedstock Breakdown'!R$3*'Feedstock Conversion Rates'!B$7)/12</f>
        <v>2.2999999999999998</v>
      </c>
      <c r="S464" s="106">
        <f t="shared" si="481"/>
        <v>2.2999999999999998</v>
      </c>
      <c r="T464" s="104">
        <f t="shared" si="456"/>
        <v>0.82499999999999929</v>
      </c>
      <c r="U464" s="104"/>
      <c r="V464" s="104">
        <f>('Renewable Diesel'!E473*'RD Feedstock Breakdown'!V$3*'Feedstock Conversion Rates'!B$6)/12-20+25</f>
        <v>49.250150000000012</v>
      </c>
      <c r="W464" s="104">
        <f>('Renewable Diesel'!E473*'RD Feedstock Breakdown'!W$3*'Feedstock Conversion Rates'!B$8)/12-6</f>
        <v>16.1796875</v>
      </c>
      <c r="X464" s="106">
        <f t="shared" si="503"/>
        <v>66.254837500000008</v>
      </c>
      <c r="Y464" s="104">
        <f t="shared" si="457"/>
        <v>98</v>
      </c>
      <c r="Z464" s="104">
        <f>('Renewable Diesel'!F473*'RD Feedstock Breakdown'!Z$3*'Feedstock Conversion Rates'!B$6)/12-142+15+5+20+5+15</f>
        <v>77.460000000000008</v>
      </c>
      <c r="AA464" s="104">
        <f>('Renewable Diesel'!F473*'RD Feedstock Breakdown'!AA$3*'Feedstock Conversion Rates'!B$7)/12+24</f>
        <v>128.26666666666665</v>
      </c>
      <c r="AB464" s="106">
        <f t="shared" si="471"/>
        <v>303.72666666666669</v>
      </c>
      <c r="AC464" s="104">
        <f>('Renewable Diesel'!G473*'RD Feedstock Breakdown'!AC$3*'Feedstock Conversion Rates'!B$5)/12</f>
        <v>11.796875</v>
      </c>
      <c r="AD464" s="104">
        <f>('Renewable Diesel'!G473*'RD Feedstock Breakdown'!AD$3*'Feedstock Conversion Rates'!B$4)/12</f>
        <v>5.859375</v>
      </c>
      <c r="AE464" s="104">
        <f>('Renewable Diesel'!G473*'RD Feedstock Breakdown'!AE$3*'Feedstock Conversion Rates'!B$6)/12</f>
        <v>7.3281250000000009</v>
      </c>
      <c r="AF464" s="106">
        <f t="shared" si="445"/>
        <v>24.984375</v>
      </c>
      <c r="AG464" s="104">
        <f t="shared" si="459"/>
        <v>148</v>
      </c>
      <c r="AH464" s="104"/>
      <c r="AI464" s="104">
        <f>('Renewable Diesel'!H473*'RD Feedstock Breakdown'!AI$3*'Feedstock Conversion Rates'!B$6)/12-130-20+51-49</f>
        <v>0.51666666666667993</v>
      </c>
      <c r="AJ464" s="106">
        <f t="shared" si="480"/>
        <v>148.51666666666668</v>
      </c>
      <c r="AK464" s="104">
        <f>('Renewable Diesel'!J473*'RD Feedstock Breakdown'!AK$3*'Feedstock Conversion Rates'!B$4)/12</f>
        <v>95.8125</v>
      </c>
      <c r="AL464" s="106">
        <f t="shared" si="482"/>
        <v>95.8125</v>
      </c>
      <c r="AM464" s="104">
        <f>('Renewable Diesel'!K473*'RD Feedstock Breakdown'!AM$3*'Feedstock Conversion Rates'!B$4)/12+5+15-10+10</f>
        <v>78.59375</v>
      </c>
      <c r="AN464" s="104">
        <f>('Renewable Diesel'!K473*'RD Feedstock Breakdown'!AN$3*'Feedstock Conversion Rates'!B$6)/12-5-15+10-10</f>
        <v>4.4270833333333321</v>
      </c>
      <c r="AO464" s="106">
        <f t="shared" si="496"/>
        <v>83.020833333333329</v>
      </c>
      <c r="AP464" s="104">
        <f>('Renewable Diesel'!L473*'RD Feedstock Breakdown'!AP$3*'Feedstock Conversion Rates'!B$4)/12+15-10+15</f>
        <v>78.59375</v>
      </c>
      <c r="AQ464" s="104">
        <f>('Renewable Diesel'!L473*'RD Feedstock Breakdown'!AQ$3*'Feedstock Conversion Rates'!B$6)/12-15+10-15</f>
        <v>4.4270833333333321</v>
      </c>
      <c r="AR464" s="106">
        <f t="shared" si="486"/>
        <v>83.020833333333329</v>
      </c>
      <c r="AS464" s="104">
        <f>('Renewable Diesel'!M473*'RD Feedstock Breakdown'!AS$3*'Feedstock Conversion Rates'!B$4)/12</f>
        <v>456.25</v>
      </c>
      <c r="AT464" s="104">
        <f>('Renewable Diesel'!M473*'RD Feedstock Breakdown'!AT$3*'Feedstock Conversion Rates'!B$5)/12</f>
        <v>0</v>
      </c>
      <c r="AU464" s="106">
        <f t="shared" si="448"/>
        <v>456.25</v>
      </c>
      <c r="AV464" s="104">
        <f>'Renewable Diesel'!N473*'RD Feedstock Breakdown'!$AV$3*'Feedstock Conversion Rates'!$B$4/12-15-10+25+25-22+25</f>
        <v>106.74999999999999</v>
      </c>
      <c r="AW464" s="104">
        <f>'Renewable Diesel'!N473*'RD Feedstock Breakdown'!$AW$3*'Feedstock Conversion Rates'!$B$7/12+15+10-25-25+22-25</f>
        <v>13.400000000000006</v>
      </c>
      <c r="AX464" s="106">
        <f t="shared" si="475"/>
        <v>120.14999999999999</v>
      </c>
      <c r="AY464" s="104">
        <f>('Renewable Diesel'!O473*'RD Feedstock Breakdown'!AY$3*'Feedstock Conversion Rates'!B$4)/12</f>
        <v>210.9375</v>
      </c>
      <c r="AZ464" s="104">
        <f>('Renewable Diesel'!O473*'RD Feedstock Breakdown'!AZ$3*'Feedstock Conversion Rates'!B$3)/12</f>
        <v>25.03125</v>
      </c>
      <c r="BA464" s="106">
        <f t="shared" si="458"/>
        <v>235.96875</v>
      </c>
      <c r="BB464" s="104">
        <f>('Renewable Diesel'!Q473*'RD Feedstock Breakdown'!BB$3*'Feedstock Conversion Rates'!B$4)/12</f>
        <v>11.156249999999998</v>
      </c>
      <c r="BC464" s="104">
        <f>('Renewable Diesel'!Q473*'RD Feedstock Breakdown'!BC$3*'Feedstock Conversion Rates'!B$3)/12</f>
        <v>1.4017500000000001</v>
      </c>
      <c r="BD464" s="104">
        <f>('Renewable Diesel'!Q473*'RD Feedstock Breakdown'!BD$3*'Feedstock Conversion Rates'!B$6)/12</f>
        <v>0.8207500000000002</v>
      </c>
      <c r="BE464" s="106">
        <f t="shared" si="505"/>
        <v>13.378749999999998</v>
      </c>
      <c r="BF464" s="104">
        <f>('Renewable Diesel'!R473*'RD Feedstock Breakdown'!BF$3*'Feedstock Conversion Rates'!B$4)/12</f>
        <v>62.5</v>
      </c>
      <c r="BG464" s="106">
        <f t="shared" si="490"/>
        <v>62.5</v>
      </c>
      <c r="BH464" s="104">
        <f>('Renewable Diesel'!T473*'RD Feedstock Breakdown'!BH$3*'Feedstock Conversion Rates'!B$7)/12</f>
        <v>27.599999999999998</v>
      </c>
      <c r="BI464" s="106">
        <f t="shared" si="479"/>
        <v>27.599999999999998</v>
      </c>
      <c r="BJ464" s="104">
        <f>('Renewable Diesel'!W473*'RD Feedstock Breakdown'!BJ$3*'Feedstock Conversion Rates'!B$4)/12</f>
        <v>7.5</v>
      </c>
      <c r="BK464" s="104">
        <f>('Renewable Diesel'!W473*'RD Feedstock Breakdown'!BK$3*'Feedstock Conversion Rates'!B$3)/12</f>
        <v>1.335</v>
      </c>
      <c r="BL464" s="104">
        <f>('Renewable Diesel'!W473*'RD Feedstock Breakdown'!BL$3*'Feedstock Conversion Rates'!B$6)/12</f>
        <v>3.1266666666666669</v>
      </c>
      <c r="BM464" s="104">
        <f>('Renewable Diesel'!W473*'RD Feedstock Breakdown'!BM$3*'Feedstock Conversion Rates'!B$7)/12</f>
        <v>1.5333333333333332</v>
      </c>
      <c r="BN464" s="106">
        <f t="shared" si="452"/>
        <v>13.495000000000001</v>
      </c>
      <c r="BO464" s="104">
        <f>('Renewable Diesel'!P473*'Feedstock Conversion Rates'!B$4)/12</f>
        <v>31.25</v>
      </c>
      <c r="BP464" s="106">
        <f t="shared" si="446"/>
        <v>31.25</v>
      </c>
      <c r="BQ464" s="104">
        <f>('Renewable Diesel'!$S473*'RD Feedstock Breakdown'!BQ$3*'Feedstock Conversion Rates'!B$4)/12+10+15-15</f>
        <v>38.125</v>
      </c>
      <c r="BR464" s="104">
        <f>('Renewable Diesel'!$S473*'RD Feedstock Breakdown'!BR$3*'Feedstock Conversion Rates'!B$7)/12-10-15+15</f>
        <v>1.5</v>
      </c>
      <c r="BS464" s="106">
        <f t="shared" si="460"/>
        <v>39.625</v>
      </c>
      <c r="BT464" s="106"/>
      <c r="BU464" s="104">
        <f>('Renewable Diesel'!Y473*'Feedstock Conversion Rates'!B$7)/12</f>
        <v>2.6833333333333331</v>
      </c>
      <c r="BV464" s="106">
        <f t="shared" si="442"/>
        <v>2.6833333333333331</v>
      </c>
      <c r="BW464" s="104">
        <f>('Renewable Diesel'!$Z473*'RD Feedstock Breakdown'!BW$3*'Feedstock Conversion Rates'!$B$4)/12-250+180</f>
        <v>1.875</v>
      </c>
      <c r="BX464" s="104">
        <f>('Renewable Diesel'!$Z473*'RD Feedstock Breakdown'!BX$3*'Feedstock Conversion Rates'!$B$5)/12</f>
        <v>7.2354166666666666</v>
      </c>
      <c r="BY464" s="104">
        <f>('Renewable Diesel'!$Z473*'RD Feedstock Breakdown'!BY$3*'Feedstock Conversion Rates'!$B$7)/12</f>
        <v>61.716666666666661</v>
      </c>
      <c r="BZ464" s="104">
        <f>('Renewable Diesel'!$Z473*'RD Feedstock Breakdown'!BZ$3*'Feedstock Conversion Rates'!$B$3)/12+250-180</f>
        <v>85.35250000000002</v>
      </c>
      <c r="CA464" s="106">
        <f t="shared" si="464"/>
        <v>156.17958333333334</v>
      </c>
      <c r="CB464" s="104">
        <f>('Renewable Diesel'!AA473*'Feedstock Conversion Rates'!B$4)/12</f>
        <v>191.25</v>
      </c>
      <c r="CC464" s="106">
        <f t="shared" si="454"/>
        <v>191.25</v>
      </c>
      <c r="CD464" s="104">
        <f>('Renewable Diesel'!$AB473*'RD Feedstock Breakdown'!CD$3*'Feedstock Conversion Rates'!$B$6)/12-15-5</f>
        <v>12.830000000000005</v>
      </c>
      <c r="CE464" s="104">
        <f>('Renewable Diesel'!$AB473*'RD Feedstock Breakdown'!CE$3*'Feedstock Conversion Rates'!$B$4)/12+15+5</f>
        <v>31.25</v>
      </c>
      <c r="CF464" s="106">
        <f t="shared" si="450"/>
        <v>44.080000000000005</v>
      </c>
      <c r="CG464" s="104">
        <f>('Renewable Diesel'!AD473*'Feedstock Conversion Rates'!B$4)/12</f>
        <v>112.5</v>
      </c>
      <c r="CH464" s="106">
        <f t="shared" si="504"/>
        <v>112.5</v>
      </c>
      <c r="CI464" s="104">
        <f>('Renewable Diesel'!$AE473*'RD Feedstock Breakdown'!CI$3*'Feedstock Conversion Rates'!$B$5)/12</f>
        <v>0.34604166666666664</v>
      </c>
      <c r="CJ464" s="104">
        <f>('Renewable Diesel'!$AE473*'RD Feedstock Breakdown'!CJ$3*'Feedstock Conversion Rates'!$B$4)/12</f>
        <v>0.34375</v>
      </c>
      <c r="CK464" s="106">
        <f t="shared" si="447"/>
        <v>0.68979166666666658</v>
      </c>
      <c r="CL464" s="104">
        <f>(((CL$3*'Renewable Diesel'!$AF473)*'Feedstock Conversion Rates'!$B$3)/12)</f>
        <v>91.78125</v>
      </c>
      <c r="CM464" s="104">
        <f>(((CM$3*'Renewable Diesel'!$AF473)*'Feedstock Conversion Rates'!$B$6)/12)</f>
        <v>53.739583333333336</v>
      </c>
      <c r="CN464" s="104">
        <f>(((CN$3*'Renewable Diesel'!$AF473)*'Feedstock Conversion Rates'!$B$4)/12)</f>
        <v>42.96875</v>
      </c>
      <c r="CO464" s="106">
        <f t="shared" si="506"/>
        <v>188.48958333333334</v>
      </c>
      <c r="CP464" s="104">
        <f>('Renewable Diesel'!$AG473*'RD Feedstock Breakdown'!CP$3*'Feedstock Conversion Rates'!$B$3)/12</f>
        <v>6.0075000000000003</v>
      </c>
      <c r="CQ464" s="104">
        <f>('Renewable Diesel'!$AG473*'RD Feedstock Breakdown'!CQ$3*'Feedstock Conversion Rates'!$B$6)/12</f>
        <v>3.5175000000000001</v>
      </c>
      <c r="CR464" s="104">
        <f>('Renewable Diesel'!$AG473*'RD Feedstock Breakdown'!CR$3*'Feedstock Conversion Rates'!$B$4)/12</f>
        <v>2.8125</v>
      </c>
      <c r="CS464" s="106">
        <f t="shared" si="467"/>
        <v>12.3375</v>
      </c>
      <c r="CT464" s="104">
        <f>('Renewable Diesel'!AI473*'Feedstock Conversion Rates'!$B$4*'RD Feedstock Breakdown'!$CT$3)/12</f>
        <v>29.375</v>
      </c>
      <c r="CU464" s="106">
        <f t="shared" si="443"/>
        <v>29.375</v>
      </c>
      <c r="CV464" s="104">
        <f>('Renewable Diesel'!AN473*'Feedstock Conversion Rates'!$B$3*'RD Feedstock Breakdown'!$CV$3)/12</f>
        <v>0.50062499999999999</v>
      </c>
      <c r="CW464" s="106">
        <f t="shared" si="485"/>
        <v>0.50062499999999999</v>
      </c>
      <c r="CX464" s="104">
        <f>('Renewable Diesel'!AO473*'RD Feedstock Breakdown'!$CX$3*'Feedstock Conversion Rates'!$B$3)/12</f>
        <v>6.3412499999999996</v>
      </c>
      <c r="CY464" s="104">
        <f>('Renewable Diesel'!AO473*'RD Feedstock Breakdown'!$CY$3*'Feedstock Conversion Rates'!$B$6)/12</f>
        <v>7.4258333333333342</v>
      </c>
      <c r="CZ464" s="106">
        <f t="shared" si="468"/>
        <v>13.767083333333334</v>
      </c>
      <c r="DA464" s="104">
        <f>('Renewable Diesel'!$AP473*'RD Feedstock Breakdown'!DA$3*'Feedstock Conversion Rates'!$B$3)/12</f>
        <v>6.3412499999999996</v>
      </c>
      <c r="DB464" s="104">
        <f>('Renewable Diesel'!$AP473*'RD Feedstock Breakdown'!DB$3*'Feedstock Conversion Rates'!$B$8)/12</f>
        <v>7.421875</v>
      </c>
      <c r="DC464" s="106">
        <f t="shared" si="488"/>
        <v>13.763124999999999</v>
      </c>
      <c r="DD464" s="104">
        <f>('Renewable Diesel'!AQ473*$DD$3*'Feedstock Conversion Rates'!$B$14)/12</f>
        <v>3.1041666666666665</v>
      </c>
      <c r="DE464" s="106">
        <f t="shared" si="489"/>
        <v>3.1041666666666665</v>
      </c>
      <c r="DF464" s="104">
        <f>('Renewable Diesel'!AR473*'Feedstock Conversion Rates'!$B$4*$DF$3)/12</f>
        <v>75</v>
      </c>
      <c r="DG464" s="106">
        <f t="shared" si="469"/>
        <v>75</v>
      </c>
      <c r="DH464" s="104">
        <f>('Renewable Diesel'!AS473*'Feedstock Conversion Rates'!$B$4*$DH$3)/12</f>
        <v>75</v>
      </c>
      <c r="DI464" s="106">
        <f t="shared" si="478"/>
        <v>75</v>
      </c>
      <c r="DJ464" s="104">
        <f>('Renewable Diesel'!AT473*'Feedstock Conversion Rates'!$B$4*0.25)/12</f>
        <v>8.59375</v>
      </c>
      <c r="DK464" s="104">
        <f>('Renewable Diesel'!$AT473*'RD Feedstock Breakdown'!DK$3*'Feedstock Conversion Rates'!$B$3)/12*0.5</f>
        <v>9.1781249999999996</v>
      </c>
      <c r="DL464" s="104">
        <f>('Renewable Diesel'!$AT473*'RD Feedstock Breakdown'!$DL$3*'Feedstock Conversion Rates'!$B$6)/12</f>
        <v>10.747916666666669</v>
      </c>
      <c r="DM464" s="104">
        <f>('Renewable Diesel'!$AT473*'RD Feedstock Breakdown'!$DM$3*'Feedstock Conversion Rates'!$B$8)/12</f>
        <v>10.7421875</v>
      </c>
      <c r="DN464" s="106">
        <f t="shared" si="453"/>
        <v>39.26197916666667</v>
      </c>
      <c r="DP464" s="104">
        <f t="shared" si="491"/>
        <v>103.22025000000001</v>
      </c>
      <c r="DQ464" s="104">
        <f t="shared" si="492"/>
        <v>349.11776750000007</v>
      </c>
      <c r="DR464" s="104">
        <f t="shared" si="497"/>
        <v>1891.953125</v>
      </c>
      <c r="DS464" s="104">
        <f t="shared" si="444"/>
        <v>228.90125</v>
      </c>
      <c r="DT464" s="104">
        <f t="shared" si="493"/>
        <v>243.03923333333344</v>
      </c>
      <c r="DU464" s="104">
        <f t="shared" si="494"/>
        <v>402.90610000000009</v>
      </c>
      <c r="DV464" s="104">
        <f t="shared" si="498"/>
        <v>78.75</v>
      </c>
      <c r="DW464" s="104">
        <f t="shared" si="495"/>
        <v>3</v>
      </c>
      <c r="DX464" s="106">
        <f t="shared" si="499"/>
        <v>3300.8877258333337</v>
      </c>
      <c r="DY464" s="109">
        <f t="shared" si="487"/>
        <v>-5.631051180898794E-13</v>
      </c>
      <c r="EA464" s="110">
        <f t="shared" si="472"/>
        <v>3.1270451640078516E-2</v>
      </c>
      <c r="EB464" s="110">
        <f t="shared" si="470"/>
        <v>0.10576481131658687</v>
      </c>
      <c r="EC464" s="110">
        <f t="shared" si="470"/>
        <v>0.57316494293133291</v>
      </c>
      <c r="ED464" s="110">
        <f t="shared" si="470"/>
        <v>6.9345360706629972E-2</v>
      </c>
      <c r="EE464" s="110">
        <f t="shared" si="470"/>
        <v>7.3628445896921982E-2</v>
      </c>
      <c r="EF464" s="110">
        <f t="shared" si="470"/>
        <v>0.1220599225010852</v>
      </c>
      <c r="EG464" s="110">
        <f t="shared" si="470"/>
        <v>2.3857218585075921E-2</v>
      </c>
      <c r="EH464" s="111">
        <f t="shared" si="500"/>
        <v>9.0884642228860647E-4</v>
      </c>
      <c r="EI464" s="110">
        <f t="shared" si="476"/>
        <v>0.99909115357771139</v>
      </c>
      <c r="EK464" s="132">
        <f>(EA464*'Renewable Diesel'!BF473*'Feedstock Conversion Rates'!B$2)+FB464</f>
        <v>643.77484045532742</v>
      </c>
      <c r="EL464" s="132">
        <f>(EB464*'Renewable Diesel'!BF473*'Feedstock Conversion Rates'!B$3)+FC464</f>
        <v>2051.8926480940863</v>
      </c>
      <c r="EM464" s="132">
        <f>(EC464*'Renewable Diesel'!BF473*'Feedstock Conversion Rates'!B$4)+FD464</f>
        <v>10411.703767051808</v>
      </c>
      <c r="EN464" s="132">
        <f>(ED464*'Renewable Diesel'!BF473*'Feedstock Conversion Rates'!B$5)+FE464</f>
        <v>1268.0760014181571</v>
      </c>
      <c r="EO464" s="132">
        <f>(EE464*'Renewable Diesel'!BF473*'Feedstock Conversion Rates'!B$6)+FF464</f>
        <v>1672.7436600109863</v>
      </c>
      <c r="EP464" s="132">
        <f>(EF464*'Renewable Diesel'!BF473*'Feedstock Conversion Rates'!B$7)+FG464</f>
        <v>2719.8304872781318</v>
      </c>
      <c r="EQ464" s="132">
        <f>(EG464*'Renewable Diesel'!BF473*'Feedstock Conversion Rates'!B$8)+FH464</f>
        <v>541.71642839679885</v>
      </c>
      <c r="ER464" s="132">
        <f>(EH464*'Renewable Diesel'!BF473*'Feedstock Conversion Rates'!B$9)+FI464</f>
        <v>20.361658768946342</v>
      </c>
      <c r="ES464" s="132">
        <f t="shared" si="501"/>
        <v>19330.099491474244</v>
      </c>
      <c r="ET464" s="133">
        <f>ES464/'Renewable Diesel'!BF473</f>
        <v>18.594808624985898</v>
      </c>
      <c r="EW464" s="73">
        <f t="shared" si="461"/>
        <v>18346.577945240388</v>
      </c>
      <c r="EX464" s="73">
        <f t="shared" si="462"/>
        <v>12017.109045412628</v>
      </c>
      <c r="EY464" s="92">
        <f t="shared" si="477"/>
        <v>0.94911968525212975</v>
      </c>
      <c r="EZ464" s="92">
        <f t="shared" si="477"/>
        <v>0.62167859253455515</v>
      </c>
      <c r="FB464" s="102">
        <f>IF('Renewable Diesel'!$BG473&lt;1,0,(((('Renewable Diesel'!$BG473-1)*'Renewable Diesel'!$BF473)*'RD Feedstock Breakdown'!EA464)*'Feedstock Conversion Rates'!$B$2))</f>
        <v>367.46557021429885</v>
      </c>
      <c r="FC464" s="102">
        <f>IF('Renewable Diesel'!$BG473&lt;1,0,(((('Renewable Diesel'!$BG473-1)*'Renewable Diesel'!$BF473)*'RD Feedstock Breakdown'!EB464)*'Feedstock Conversion Rates'!$B$3))</f>
        <v>1171.2167897352649</v>
      </c>
      <c r="FD464" s="102">
        <f>IF('Renewable Diesel'!$BG473&lt;1,0,(((('Renewable Diesel'!$BG473-1)*'Renewable Diesel'!$BF473)*'RD Feedstock Breakdown'!EC464)*'Feedstock Conversion Rates'!$B$4))</f>
        <v>5942.9825790583118</v>
      </c>
      <c r="FE464" s="102">
        <f>IF('Renewable Diesel'!$BG473&lt;1,0,(((('Renewable Diesel'!$BG473-1)*'Renewable Diesel'!$BF473)*'RD Feedstock Breakdown'!ED464)*'Feedstock Conversion Rates'!$B$5))</f>
        <v>723.81559771211005</v>
      </c>
      <c r="FF464" s="102">
        <f>IF('Renewable Diesel'!$BG473&lt;1,0,(((('Renewable Diesel'!$BG473-1)*'Renewable Diesel'!$BF473)*'RD Feedstock Breakdown'!EE464)*'Feedstock Conversion Rates'!$B$6))</f>
        <v>954.79920031286713</v>
      </c>
      <c r="FG464" s="102">
        <f>IF('Renewable Diesel'!$BG473&lt;1,0,(((('Renewable Diesel'!$BG473-1)*'Renewable Diesel'!$BF473)*'RD Feedstock Breakdown'!EF464)*'Feedstock Conversion Rates'!$B$7))</f>
        <v>1552.4745580100778</v>
      </c>
      <c r="FH464" s="102">
        <f>IF('Renewable Diesel'!$BG473&lt;1,0,(((('Renewable Diesel'!$BG473-1)*'Renewable Diesel'!$BF473)*'RD Feedstock Breakdown'!EG464)*'Feedstock Conversion Rates'!$B$8))</f>
        <v>309.21080437764681</v>
      </c>
      <c r="FI464" s="102">
        <f>IF('Renewable Diesel'!$BG473&lt;1,0,(((('Renewable Diesel'!$BG473-1)*'Renewable Diesel'!$BF473)*'RD Feedstock Breakdown'!EH464)*'Feedstock Conversion Rates'!$B$9))</f>
        <v>11.622399758194724</v>
      </c>
      <c r="FJ464" s="102">
        <f t="shared" si="463"/>
        <v>11033.587499178771</v>
      </c>
      <c r="GD464" s="91">
        <f>'Renewable Diesel'!BB473*0.32</f>
        <v>0</v>
      </c>
      <c r="GE464" s="91">
        <f>'Renewable Diesel'!BC473</f>
        <v>525.04489908814821</v>
      </c>
      <c r="GF464" s="91">
        <f>'Renewable Diesel'!BD473</f>
        <v>0</v>
      </c>
      <c r="GG464" s="91">
        <f t="shared" si="451"/>
        <v>525.04489908814821</v>
      </c>
      <c r="GH464" s="124">
        <v>1</v>
      </c>
      <c r="GI464" s="102">
        <f>$GG464*EA464*'Feedstock Conversion Rates'!$B$2</f>
        <v>139.55632456934967</v>
      </c>
      <c r="GJ464" s="102">
        <f>$GG464*EB464*'Feedstock Conversion Rates'!$B$3</f>
        <v>444.80551022520308</v>
      </c>
      <c r="GK464" s="102">
        <f>$GG464*EC464*'Feedstock Conversion Rates'!$B$4</f>
        <v>2257.0299721668443</v>
      </c>
      <c r="GL464" s="102">
        <f>$GG464*ED464*'Feedstock Conversion Rates'!$B$5</f>
        <v>274.89118075405048</v>
      </c>
      <c r="GM464" s="102">
        <f>$GG464*EE464*'Feedstock Conversion Rates'!$B$6</f>
        <v>362.61429069316659</v>
      </c>
      <c r="GN464" s="102">
        <f>$GG464*EF464*'Feedstock Conversion Rates'!$B$7</f>
        <v>589.59984516906309</v>
      </c>
      <c r="GO464" s="102">
        <f>$GG464*EG464*'Feedstock Conversion Rates'!$B$8</f>
        <v>117.43228991742264</v>
      </c>
      <c r="GP464" s="102">
        <f>$GG464*EH464*'Feedstock Conversion Rates'!B$9</f>
        <v>4.4139628972136</v>
      </c>
      <c r="GQ464" s="102">
        <f t="shared" si="502"/>
        <v>4190.343376392314</v>
      </c>
      <c r="GT464" s="103">
        <f t="shared" si="484"/>
        <v>3.3304269372191886E-2</v>
      </c>
      <c r="GU464" s="103">
        <f t="shared" si="484"/>
        <v>0.10615013383656388</v>
      </c>
      <c r="GV464" s="103">
        <f t="shared" si="484"/>
        <v>0.53862649654979833</v>
      </c>
      <c r="GW464" s="103">
        <f t="shared" si="484"/>
        <v>6.5601110950176761E-2</v>
      </c>
      <c r="GX464" s="103">
        <f t="shared" si="465"/>
        <v>8.653569841938831E-2</v>
      </c>
      <c r="GY464" s="103">
        <f t="shared" si="465"/>
        <v>0.14070442257566981</v>
      </c>
      <c r="GZ464" s="103">
        <f t="shared" si="465"/>
        <v>2.8024502855545516E-2</v>
      </c>
      <c r="HA464" s="103">
        <f t="shared" si="465"/>
        <v>1.0533654406655838E-3</v>
      </c>
    </row>
    <row r="465" spans="1:209" x14ac:dyDescent="0.25">
      <c r="A465" s="96">
        <v>54575</v>
      </c>
      <c r="B465" s="104">
        <f t="shared" si="473"/>
        <v>44.25</v>
      </c>
      <c r="C465" s="104">
        <f t="shared" si="466"/>
        <v>49</v>
      </c>
      <c r="D465" s="104">
        <f t="shared" si="474"/>
        <v>2</v>
      </c>
      <c r="E465" s="104">
        <f>('Renewable Diesel'!B474*E$3*'Feedstock Conversion Rates'!$B$2)/12+26+13-100+27.5+39</f>
        <v>95.43</v>
      </c>
      <c r="F465" s="104">
        <f>('Renewable Diesel'!B474*'RD Feedstock Breakdown'!F$3*'Feedstock Conversion Rates'!B$8)/12+77+23-10-12-115.75+24+8</f>
        <v>48.15625</v>
      </c>
      <c r="G465" s="104">
        <f>('Renewable Diesel'!B474*'RD Feedstock Breakdown'!G$3*'Feedstock Conversion Rates'!B$7)/12+116.75-39-57.5-145-31.5+32+70-40+10+60</f>
        <v>151.90700000000004</v>
      </c>
      <c r="H465" s="104">
        <f>('Renewable Diesel'!B474*'RD Feedstock Breakdown'!H$3*'Feedstock Conversion Rates'!B$3)/12+67+10+12+3-235+20+47-20+25</f>
        <v>105.40022499999998</v>
      </c>
      <c r="I465" s="106">
        <f t="shared" si="449"/>
        <v>496.14347500000002</v>
      </c>
      <c r="J465" s="104">
        <f t="shared" si="483"/>
        <v>4</v>
      </c>
      <c r="K465" s="104"/>
      <c r="L465" s="104">
        <v>1</v>
      </c>
      <c r="M465" s="104">
        <f>('Renewable Diesel'!C474*'RD Feedstock Breakdown'!M$3*'Feedstock Conversion Rates'!B$2)/12</f>
        <v>7.7902500000000003</v>
      </c>
      <c r="N465" s="104">
        <f>('Renewable Diesel'!C474*'RD Feedstock Breakdown'!N$3*'Feedstock Conversion Rates'!B$8)/12</f>
        <v>3.671875</v>
      </c>
      <c r="O465" s="104">
        <f>('Renewable Diesel'!C474*'RD Feedstock Breakdown'!O$3*'Feedstock Conversion Rates'!B$7)/12</f>
        <v>11.9991</v>
      </c>
      <c r="P465" s="104">
        <f>('Renewable Diesel'!C474*'RD Feedstock Breakdown'!P$3*'Feedstock Conversion Rates'!B$3)/12</f>
        <v>10.4470425</v>
      </c>
      <c r="Q465" s="106">
        <f t="shared" si="455"/>
        <v>38.908267500000001</v>
      </c>
      <c r="R465" s="104">
        <f>('Renewable Diesel'!D474*'RD Feedstock Breakdown'!R$3*'Feedstock Conversion Rates'!B$7)/12</f>
        <v>2.2999999999999998</v>
      </c>
      <c r="S465" s="106">
        <f t="shared" si="481"/>
        <v>2.2999999999999998</v>
      </c>
      <c r="T465" s="104">
        <f t="shared" si="456"/>
        <v>0.82499999999999929</v>
      </c>
      <c r="U465" s="104"/>
      <c r="V465" s="104">
        <f>('Renewable Diesel'!E474*'RD Feedstock Breakdown'!V$3*'Feedstock Conversion Rates'!B$6)/12-20+25</f>
        <v>49.250150000000012</v>
      </c>
      <c r="W465" s="104">
        <f>('Renewable Diesel'!E474*'RD Feedstock Breakdown'!W$3*'Feedstock Conversion Rates'!B$8)/12-6</f>
        <v>16.1796875</v>
      </c>
      <c r="X465" s="106">
        <f t="shared" si="503"/>
        <v>66.254837500000008</v>
      </c>
      <c r="Y465" s="104">
        <f t="shared" si="457"/>
        <v>98</v>
      </c>
      <c r="Z465" s="104">
        <f>('Renewable Diesel'!F474*'RD Feedstock Breakdown'!Z$3*'Feedstock Conversion Rates'!B$6)/12-142+15+5+20+5+15</f>
        <v>77.460000000000008</v>
      </c>
      <c r="AA465" s="104">
        <f>('Renewable Diesel'!F474*'RD Feedstock Breakdown'!AA$3*'Feedstock Conversion Rates'!B$7)/12+24</f>
        <v>128.26666666666665</v>
      </c>
      <c r="AB465" s="106">
        <f t="shared" si="471"/>
        <v>303.72666666666669</v>
      </c>
      <c r="AC465" s="104">
        <f>('Renewable Diesel'!G474*'RD Feedstock Breakdown'!AC$3*'Feedstock Conversion Rates'!B$5)/12</f>
        <v>11.796875</v>
      </c>
      <c r="AD465" s="104">
        <f>('Renewable Diesel'!G474*'RD Feedstock Breakdown'!AD$3*'Feedstock Conversion Rates'!B$4)/12</f>
        <v>5.859375</v>
      </c>
      <c r="AE465" s="104">
        <f>('Renewable Diesel'!G474*'RD Feedstock Breakdown'!AE$3*'Feedstock Conversion Rates'!B$6)/12</f>
        <v>7.3281250000000009</v>
      </c>
      <c r="AF465" s="106">
        <f t="shared" si="445"/>
        <v>24.984375</v>
      </c>
      <c r="AG465" s="104">
        <f t="shared" si="459"/>
        <v>148</v>
      </c>
      <c r="AH465" s="104"/>
      <c r="AI465" s="104">
        <f>('Renewable Diesel'!H474*'RD Feedstock Breakdown'!AI$3*'Feedstock Conversion Rates'!B$6)/12-130-20+51-49</f>
        <v>0.51666666666667993</v>
      </c>
      <c r="AJ465" s="106">
        <f t="shared" si="480"/>
        <v>148.51666666666668</v>
      </c>
      <c r="AK465" s="104">
        <f>('Renewable Diesel'!J474*'RD Feedstock Breakdown'!AK$3*'Feedstock Conversion Rates'!B$4)/12</f>
        <v>95.8125</v>
      </c>
      <c r="AL465" s="106">
        <f t="shared" si="482"/>
        <v>95.8125</v>
      </c>
      <c r="AM465" s="104">
        <f>('Renewable Diesel'!K474*'RD Feedstock Breakdown'!AM$3*'Feedstock Conversion Rates'!B$4)/12+5+15-10+10</f>
        <v>78.59375</v>
      </c>
      <c r="AN465" s="104">
        <f>('Renewable Diesel'!K474*'RD Feedstock Breakdown'!AN$3*'Feedstock Conversion Rates'!B$6)/12-5-15+10-10</f>
        <v>4.4270833333333321</v>
      </c>
      <c r="AO465" s="106">
        <f t="shared" si="496"/>
        <v>83.020833333333329</v>
      </c>
      <c r="AP465" s="104">
        <f>('Renewable Diesel'!L474*'RD Feedstock Breakdown'!AP$3*'Feedstock Conversion Rates'!B$4)/12+15-10+15</f>
        <v>78.59375</v>
      </c>
      <c r="AQ465" s="104">
        <f>('Renewable Diesel'!L474*'RD Feedstock Breakdown'!AQ$3*'Feedstock Conversion Rates'!B$6)/12-15+10-15</f>
        <v>4.4270833333333321</v>
      </c>
      <c r="AR465" s="106">
        <f t="shared" si="486"/>
        <v>83.020833333333329</v>
      </c>
      <c r="AS465" s="104">
        <f>('Renewable Diesel'!M474*'RD Feedstock Breakdown'!AS$3*'Feedstock Conversion Rates'!B$4)/12</f>
        <v>456.25</v>
      </c>
      <c r="AT465" s="104">
        <f>('Renewable Diesel'!M474*'RD Feedstock Breakdown'!AT$3*'Feedstock Conversion Rates'!B$5)/12</f>
        <v>0</v>
      </c>
      <c r="AU465" s="106">
        <f t="shared" si="448"/>
        <v>456.25</v>
      </c>
      <c r="AV465" s="104">
        <f>'Renewable Diesel'!N474*'RD Feedstock Breakdown'!$AV$3*'Feedstock Conversion Rates'!$B$4/12-15-10+25+25-22+25</f>
        <v>106.74999999999999</v>
      </c>
      <c r="AW465" s="104">
        <f>'Renewable Diesel'!N474*'RD Feedstock Breakdown'!$AW$3*'Feedstock Conversion Rates'!$B$7/12+15+10-25-25+22-25</f>
        <v>13.400000000000006</v>
      </c>
      <c r="AX465" s="106">
        <f t="shared" si="475"/>
        <v>120.14999999999999</v>
      </c>
      <c r="AY465" s="104">
        <f>('Renewable Diesel'!O474*'RD Feedstock Breakdown'!AY$3*'Feedstock Conversion Rates'!B$4)/12</f>
        <v>210.9375</v>
      </c>
      <c r="AZ465" s="104">
        <f>('Renewable Diesel'!O474*'RD Feedstock Breakdown'!AZ$3*'Feedstock Conversion Rates'!B$3)/12</f>
        <v>25.03125</v>
      </c>
      <c r="BA465" s="106">
        <f t="shared" si="458"/>
        <v>235.96875</v>
      </c>
      <c r="BB465" s="104">
        <f>('Renewable Diesel'!Q474*'RD Feedstock Breakdown'!BB$3*'Feedstock Conversion Rates'!B$4)/12</f>
        <v>11.156249999999998</v>
      </c>
      <c r="BC465" s="104">
        <f>('Renewable Diesel'!Q474*'RD Feedstock Breakdown'!BC$3*'Feedstock Conversion Rates'!B$3)/12</f>
        <v>1.4017500000000001</v>
      </c>
      <c r="BD465" s="104">
        <f>('Renewable Diesel'!Q474*'RD Feedstock Breakdown'!BD$3*'Feedstock Conversion Rates'!B$6)/12</f>
        <v>0.8207500000000002</v>
      </c>
      <c r="BE465" s="106">
        <f t="shared" si="505"/>
        <v>13.378749999999998</v>
      </c>
      <c r="BF465" s="104">
        <f>('Renewable Diesel'!R474*'RD Feedstock Breakdown'!BF$3*'Feedstock Conversion Rates'!B$4)/12</f>
        <v>62.5</v>
      </c>
      <c r="BG465" s="106">
        <f t="shared" si="490"/>
        <v>62.5</v>
      </c>
      <c r="BH465" s="104">
        <f>('Renewable Diesel'!T474*'RD Feedstock Breakdown'!BH$3*'Feedstock Conversion Rates'!B$7)/12</f>
        <v>27.599999999999998</v>
      </c>
      <c r="BI465" s="106">
        <f t="shared" si="479"/>
        <v>27.599999999999998</v>
      </c>
      <c r="BJ465" s="104">
        <f>('Renewable Diesel'!W474*'RD Feedstock Breakdown'!BJ$3*'Feedstock Conversion Rates'!B$4)/12</f>
        <v>7.5</v>
      </c>
      <c r="BK465" s="104">
        <f>('Renewable Diesel'!W474*'RD Feedstock Breakdown'!BK$3*'Feedstock Conversion Rates'!B$3)/12</f>
        <v>1.335</v>
      </c>
      <c r="BL465" s="104">
        <f>('Renewable Diesel'!W474*'RD Feedstock Breakdown'!BL$3*'Feedstock Conversion Rates'!B$6)/12</f>
        <v>3.1266666666666669</v>
      </c>
      <c r="BM465" s="104">
        <f>('Renewable Diesel'!W474*'RD Feedstock Breakdown'!BM$3*'Feedstock Conversion Rates'!B$7)/12</f>
        <v>1.5333333333333332</v>
      </c>
      <c r="BN465" s="106">
        <f t="shared" si="452"/>
        <v>13.495000000000001</v>
      </c>
      <c r="BO465" s="104">
        <f>('Renewable Diesel'!P474*'Feedstock Conversion Rates'!B$4)/12</f>
        <v>31.25</v>
      </c>
      <c r="BP465" s="106">
        <f t="shared" si="446"/>
        <v>31.25</v>
      </c>
      <c r="BQ465" s="104">
        <f>('Renewable Diesel'!$S474*'RD Feedstock Breakdown'!BQ$3*'Feedstock Conversion Rates'!B$4)/12+10+15-15</f>
        <v>38.125</v>
      </c>
      <c r="BR465" s="104">
        <f>('Renewable Diesel'!$S474*'RD Feedstock Breakdown'!BR$3*'Feedstock Conversion Rates'!B$7)/12-10-15+15</f>
        <v>1.5</v>
      </c>
      <c r="BS465" s="106">
        <f t="shared" si="460"/>
        <v>39.625</v>
      </c>
      <c r="BT465" s="106"/>
      <c r="BU465" s="104">
        <f>('Renewable Diesel'!Y474*'Feedstock Conversion Rates'!B$7)/12</f>
        <v>2.6833333333333331</v>
      </c>
      <c r="BV465" s="106">
        <f t="shared" ref="BV465:BV495" si="507">BU465</f>
        <v>2.6833333333333331</v>
      </c>
      <c r="BW465" s="104">
        <f>('Renewable Diesel'!$Z474*'RD Feedstock Breakdown'!BW$3*'Feedstock Conversion Rates'!$B$4)/12-250+180</f>
        <v>1.875</v>
      </c>
      <c r="BX465" s="104">
        <f>('Renewable Diesel'!$Z474*'RD Feedstock Breakdown'!BX$3*'Feedstock Conversion Rates'!$B$5)/12</f>
        <v>7.2354166666666666</v>
      </c>
      <c r="BY465" s="104">
        <f>('Renewable Diesel'!$Z474*'RD Feedstock Breakdown'!BY$3*'Feedstock Conversion Rates'!$B$7)/12</f>
        <v>61.716666666666661</v>
      </c>
      <c r="BZ465" s="104">
        <f>('Renewable Diesel'!$Z474*'RD Feedstock Breakdown'!BZ$3*'Feedstock Conversion Rates'!$B$3)/12+250-180</f>
        <v>85.35250000000002</v>
      </c>
      <c r="CA465" s="106">
        <f t="shared" si="464"/>
        <v>156.17958333333334</v>
      </c>
      <c r="CB465" s="104">
        <f>('Renewable Diesel'!AA474*'Feedstock Conversion Rates'!B$4)/12</f>
        <v>191.25</v>
      </c>
      <c r="CC465" s="106">
        <f t="shared" si="454"/>
        <v>191.25</v>
      </c>
      <c r="CD465" s="104">
        <f>('Renewable Diesel'!$AB474*'RD Feedstock Breakdown'!CD$3*'Feedstock Conversion Rates'!$B$6)/12-15-5</f>
        <v>12.830000000000005</v>
      </c>
      <c r="CE465" s="104">
        <f>('Renewable Diesel'!$AB474*'RD Feedstock Breakdown'!CE$3*'Feedstock Conversion Rates'!$B$4)/12+15+5</f>
        <v>31.25</v>
      </c>
      <c r="CF465" s="106">
        <f t="shared" si="450"/>
        <v>44.080000000000005</v>
      </c>
      <c r="CG465" s="104">
        <f>('Renewable Diesel'!AD474*'Feedstock Conversion Rates'!B$4)/12</f>
        <v>112.5</v>
      </c>
      <c r="CH465" s="106">
        <f t="shared" si="504"/>
        <v>112.5</v>
      </c>
      <c r="CI465" s="104">
        <f>('Renewable Diesel'!$AE474*'RD Feedstock Breakdown'!CI$3*'Feedstock Conversion Rates'!$B$5)/12</f>
        <v>0.34604166666666664</v>
      </c>
      <c r="CJ465" s="104">
        <f>('Renewable Diesel'!$AE474*'RD Feedstock Breakdown'!CJ$3*'Feedstock Conversion Rates'!$B$4)/12</f>
        <v>0.34375</v>
      </c>
      <c r="CK465" s="106">
        <f t="shared" si="447"/>
        <v>0.68979166666666658</v>
      </c>
      <c r="CL465" s="104">
        <f>(((CL$3*'Renewable Diesel'!$AF474)*'Feedstock Conversion Rates'!$B$3)/12)</f>
        <v>91.78125</v>
      </c>
      <c r="CM465" s="104">
        <f>(((CM$3*'Renewable Diesel'!$AF474)*'Feedstock Conversion Rates'!$B$6)/12)</f>
        <v>53.739583333333336</v>
      </c>
      <c r="CN465" s="104">
        <f>(((CN$3*'Renewable Diesel'!$AF474)*'Feedstock Conversion Rates'!$B$4)/12)</f>
        <v>42.96875</v>
      </c>
      <c r="CO465" s="106">
        <f t="shared" si="506"/>
        <v>188.48958333333334</v>
      </c>
      <c r="CP465" s="104">
        <f>('Renewable Diesel'!$AG474*'RD Feedstock Breakdown'!CP$3*'Feedstock Conversion Rates'!$B$3)/12</f>
        <v>6.0075000000000003</v>
      </c>
      <c r="CQ465" s="104">
        <f>('Renewable Diesel'!$AG474*'RD Feedstock Breakdown'!CQ$3*'Feedstock Conversion Rates'!$B$6)/12</f>
        <v>3.5175000000000001</v>
      </c>
      <c r="CR465" s="104">
        <f>('Renewable Diesel'!$AG474*'RD Feedstock Breakdown'!CR$3*'Feedstock Conversion Rates'!$B$4)/12</f>
        <v>2.8125</v>
      </c>
      <c r="CS465" s="106">
        <f t="shared" si="467"/>
        <v>12.3375</v>
      </c>
      <c r="CT465" s="104">
        <f>('Renewable Diesel'!AI474*'Feedstock Conversion Rates'!$B$4*'RD Feedstock Breakdown'!$CT$3)/12</f>
        <v>29.375</v>
      </c>
      <c r="CU465" s="106">
        <f t="shared" si="443"/>
        <v>29.375</v>
      </c>
      <c r="CV465" s="104">
        <f>('Renewable Diesel'!AN474*'Feedstock Conversion Rates'!$B$3*'RD Feedstock Breakdown'!$CV$3)/12</f>
        <v>0.50062499999999999</v>
      </c>
      <c r="CW465" s="106">
        <f t="shared" si="485"/>
        <v>0.50062499999999999</v>
      </c>
      <c r="CX465" s="104">
        <f>('Renewable Diesel'!AO474*'RD Feedstock Breakdown'!$CX$3*'Feedstock Conversion Rates'!$B$3)/12</f>
        <v>6.3412499999999996</v>
      </c>
      <c r="CY465" s="104">
        <f>('Renewable Diesel'!AO474*'RD Feedstock Breakdown'!$CY$3*'Feedstock Conversion Rates'!$B$6)/12</f>
        <v>7.4258333333333342</v>
      </c>
      <c r="CZ465" s="106">
        <f t="shared" si="468"/>
        <v>13.767083333333334</v>
      </c>
      <c r="DA465" s="104">
        <f>('Renewable Diesel'!$AP474*'RD Feedstock Breakdown'!DA$3*'Feedstock Conversion Rates'!$B$3)/12</f>
        <v>6.3412499999999996</v>
      </c>
      <c r="DB465" s="104">
        <f>('Renewable Diesel'!$AP474*'RD Feedstock Breakdown'!DB$3*'Feedstock Conversion Rates'!$B$8)/12</f>
        <v>7.421875</v>
      </c>
      <c r="DC465" s="106">
        <f t="shared" si="488"/>
        <v>13.763124999999999</v>
      </c>
      <c r="DD465" s="104">
        <f>('Renewable Diesel'!AQ474*$DD$3*'Feedstock Conversion Rates'!$B$14)/12</f>
        <v>3.1041666666666665</v>
      </c>
      <c r="DE465" s="106">
        <f t="shared" si="489"/>
        <v>3.1041666666666665</v>
      </c>
      <c r="DF465" s="104">
        <f>('Renewable Diesel'!AR474*'Feedstock Conversion Rates'!$B$4*$DF$3)/12</f>
        <v>75</v>
      </c>
      <c r="DG465" s="106">
        <f t="shared" si="469"/>
        <v>75</v>
      </c>
      <c r="DH465" s="104">
        <f>('Renewable Diesel'!AS474*'Feedstock Conversion Rates'!$B$4*$DH$3)/12</f>
        <v>75</v>
      </c>
      <c r="DI465" s="106">
        <f t="shared" si="478"/>
        <v>75</v>
      </c>
      <c r="DJ465" s="104">
        <f>('Renewable Diesel'!AT474*'Feedstock Conversion Rates'!$B$4*0.25)/12</f>
        <v>8.59375</v>
      </c>
      <c r="DK465" s="104">
        <f>('Renewable Diesel'!$AT474*'RD Feedstock Breakdown'!DK$3*'Feedstock Conversion Rates'!$B$3)/12*0.5</f>
        <v>9.1781249999999996</v>
      </c>
      <c r="DL465" s="104">
        <f>('Renewable Diesel'!$AT474*'RD Feedstock Breakdown'!$DL$3*'Feedstock Conversion Rates'!$B$6)/12</f>
        <v>10.747916666666669</v>
      </c>
      <c r="DM465" s="104">
        <f>('Renewable Diesel'!$AT474*'RD Feedstock Breakdown'!$DM$3*'Feedstock Conversion Rates'!$B$8)/12</f>
        <v>10.7421875</v>
      </c>
      <c r="DN465" s="106">
        <f t="shared" si="453"/>
        <v>39.26197916666667</v>
      </c>
      <c r="DP465" s="104">
        <f t="shared" si="491"/>
        <v>103.22025000000001</v>
      </c>
      <c r="DQ465" s="104">
        <f t="shared" si="492"/>
        <v>349.11776750000007</v>
      </c>
      <c r="DR465" s="104">
        <f t="shared" si="497"/>
        <v>1891.953125</v>
      </c>
      <c r="DS465" s="104">
        <f t="shared" si="444"/>
        <v>228.90125</v>
      </c>
      <c r="DT465" s="104">
        <f t="shared" si="493"/>
        <v>243.03923333333344</v>
      </c>
      <c r="DU465" s="104">
        <f t="shared" si="494"/>
        <v>402.90610000000009</v>
      </c>
      <c r="DV465" s="104">
        <f t="shared" si="498"/>
        <v>78.75</v>
      </c>
      <c r="DW465" s="104">
        <f t="shared" si="495"/>
        <v>3</v>
      </c>
      <c r="DX465" s="106">
        <f t="shared" si="499"/>
        <v>3300.8877258333337</v>
      </c>
      <c r="DY465" s="109">
        <f t="shared" si="487"/>
        <v>-5.631051180898794E-13</v>
      </c>
      <c r="EA465" s="110">
        <f t="shared" si="472"/>
        <v>3.1270451640078516E-2</v>
      </c>
      <c r="EB465" s="110">
        <f t="shared" si="470"/>
        <v>0.10576481131658687</v>
      </c>
      <c r="EC465" s="110">
        <f t="shared" si="470"/>
        <v>0.57316494293133291</v>
      </c>
      <c r="ED465" s="110">
        <f t="shared" si="470"/>
        <v>6.9345360706629972E-2</v>
      </c>
      <c r="EE465" s="110">
        <f t="shared" si="470"/>
        <v>7.3628445896921982E-2</v>
      </c>
      <c r="EF465" s="110">
        <f t="shared" si="470"/>
        <v>0.1220599225010852</v>
      </c>
      <c r="EG465" s="110">
        <f t="shared" si="470"/>
        <v>2.3857218585075921E-2</v>
      </c>
      <c r="EH465" s="111">
        <f t="shared" si="500"/>
        <v>9.0884642228860647E-4</v>
      </c>
      <c r="EI465" s="110">
        <f t="shared" si="476"/>
        <v>0.99909115357771139</v>
      </c>
      <c r="EK465" s="132">
        <f>(EA465*'Renewable Diesel'!BF474*'Feedstock Conversion Rates'!B$2)+FB465</f>
        <v>589.45044637251999</v>
      </c>
      <c r="EL465" s="132">
        <f>(EB465*'Renewable Diesel'!BF474*'Feedstock Conversion Rates'!B$3)+FC465</f>
        <v>1878.7454266962445</v>
      </c>
      <c r="EM465" s="132">
        <f>(EC465*'Renewable Diesel'!BF474*'Feedstock Conversion Rates'!B$4)+FD465</f>
        <v>9533.1209723052289</v>
      </c>
      <c r="EN465" s="132">
        <f>(ED465*'Renewable Diesel'!BF474*'Feedstock Conversion Rates'!B$5)+FE465</f>
        <v>1161.0704831856208</v>
      </c>
      <c r="EO465" s="132">
        <f>(EE465*'Renewable Diesel'!BF474*'Feedstock Conversion Rates'!B$6)+FF465</f>
        <v>1531.5906045084073</v>
      </c>
      <c r="EP465" s="132">
        <f>(EF465*'Renewable Diesel'!BF474*'Feedstock Conversion Rates'!B$7)+FG465</f>
        <v>2490.3198976365279</v>
      </c>
      <c r="EQ465" s="132">
        <f>(EG465*'Renewable Diesel'!BF474*'Feedstock Conversion Rates'!B$8)+FH465</f>
        <v>496.00414688460955</v>
      </c>
      <c r="ER465" s="132">
        <f>(EH465*'Renewable Diesel'!BF474*'Feedstock Conversion Rates'!B$9)+FI465</f>
        <v>18.643457457504052</v>
      </c>
      <c r="ES465" s="132">
        <f t="shared" si="501"/>
        <v>17698.945435046662</v>
      </c>
      <c r="ET465" s="133">
        <f>ES465/'Renewable Diesel'!BF474</f>
        <v>17.503630787760859</v>
      </c>
      <c r="EW465" s="73">
        <f t="shared" si="461"/>
        <v>16512.278686421494</v>
      </c>
      <c r="EX465" s="73">
        <f t="shared" si="462"/>
        <v>10815.632983722075</v>
      </c>
      <c r="EY465" s="92">
        <f t="shared" si="477"/>
        <v>0.93295268619364269</v>
      </c>
      <c r="EZ465" s="92">
        <f t="shared" si="477"/>
        <v>0.61108911959835988</v>
      </c>
      <c r="FB465" s="102">
        <f>IF('Renewable Diesel'!$BG474&lt;1,0,(((('Renewable Diesel'!$BG474-1)*'Renewable Diesel'!$BF474)*'RD Feedstock Breakdown'!EA465)*'Feedstock Conversion Rates'!$B$2))</f>
        <v>320.68568526940771</v>
      </c>
      <c r="FC465" s="102">
        <f>IF('Renewable Diesel'!$BG474&lt;1,0,(((('Renewable Diesel'!$BG474-1)*'Renewable Diesel'!$BF474)*'RD Feedstock Breakdown'!EB465)*'Feedstock Conversion Rates'!$B$3))</f>
        <v>1022.1160545632913</v>
      </c>
      <c r="FD465" s="102">
        <f>IF('Renewable Diesel'!$BG474&lt;1,0,(((('Renewable Diesel'!$BG474-1)*'Renewable Diesel'!$BF474)*'RD Feedstock Breakdown'!EC465)*'Feedstock Conversion Rates'!$B$4))</f>
        <v>5186.4163486065481</v>
      </c>
      <c r="FE465" s="102">
        <f>IF('Renewable Diesel'!$BG474&lt;1,0,(((('Renewable Diesel'!$BG474-1)*'Renewable Diesel'!$BF474)*'RD Feedstock Breakdown'!ED465)*'Feedstock Conversion Rates'!$B$5))</f>
        <v>631.6708823240981</v>
      </c>
      <c r="FF465" s="102">
        <f>IF('Renewable Diesel'!$BG474&lt;1,0,(((('Renewable Diesel'!$BG474-1)*'Renewable Diesel'!$BF474)*'RD Feedstock Breakdown'!EE465)*'Feedstock Conversion Rates'!$B$6))</f>
        <v>833.24931821081873</v>
      </c>
      <c r="FG465" s="102">
        <f>IF('Renewable Diesel'!$BG474&lt;1,0,(((('Renewable Diesel'!$BG474-1)*'Renewable Diesel'!$BF474)*'RD Feedstock Breakdown'!EF465)*'Feedstock Conversion Rates'!$B$7))</f>
        <v>1354.8381341099316</v>
      </c>
      <c r="FH465" s="102">
        <f>IF('Renewable Diesel'!$BG474&lt;1,0,(((('Renewable Diesel'!$BG474-1)*'Renewable Diesel'!$BF474)*'RD Feedstock Breakdown'!EG465)*'Feedstock Conversion Rates'!$B$8))</f>
        <v>269.84699175142464</v>
      </c>
      <c r="FI465" s="102">
        <f>IF('Renewable Diesel'!$BG474&lt;1,0,(((('Renewable Diesel'!$BG474-1)*'Renewable Diesel'!$BF474)*'RD Feedstock Breakdown'!EH465)*'Feedstock Conversion Rates'!$B$9))</f>
        <v>10.142820261386881</v>
      </c>
      <c r="FJ465" s="102">
        <f t="shared" si="463"/>
        <v>9628.9662350969065</v>
      </c>
      <c r="GD465" s="91">
        <f>'Renewable Diesel'!BB474*0.32</f>
        <v>0</v>
      </c>
      <c r="GE465" s="91">
        <f>'Renewable Diesel'!BC474</f>
        <v>500.85717806973378</v>
      </c>
      <c r="GF465" s="91">
        <f>'Renewable Diesel'!BD474</f>
        <v>0</v>
      </c>
      <c r="GG465" s="91">
        <f t="shared" si="451"/>
        <v>500.85717806973378</v>
      </c>
      <c r="GH465" s="124">
        <v>1</v>
      </c>
      <c r="GI465" s="102">
        <f>$GG465*EA465*'Feedstock Conversion Rates'!$B$2</f>
        <v>133.12725640603432</v>
      </c>
      <c r="GJ465" s="102">
        <f>$GG465*EB465*'Feedstock Conversion Rates'!$B$3</f>
        <v>424.3142501301794</v>
      </c>
      <c r="GK465" s="102">
        <f>$GG465*EC465*'Feedstock Conversion Rates'!$B$4</f>
        <v>2153.0533191381555</v>
      </c>
      <c r="GL465" s="102">
        <f>$GG465*ED465*'Feedstock Conversion Rates'!$B$5</f>
        <v>262.22751865191617</v>
      </c>
      <c r="GM465" s="102">
        <f>$GG465*EE465*'Feedstock Conversion Rates'!$B$6</f>
        <v>345.90940828061684</v>
      </c>
      <c r="GN465" s="102">
        <f>$GG465*EF465*'Feedstock Conversion Rates'!$B$7</f>
        <v>562.43821272159619</v>
      </c>
      <c r="GO465" s="102">
        <f>$GG465*EG465*'Feedstock Conversion Rates'!$B$8</f>
        <v>112.02242978544312</v>
      </c>
      <c r="GP465" s="102">
        <f>$GG465*EH465*'Feedstock Conversion Rates'!B$9</f>
        <v>4.2106208528877662</v>
      </c>
      <c r="GQ465" s="102">
        <f t="shared" si="502"/>
        <v>3997.3030159668292</v>
      </c>
      <c r="GT465" s="103">
        <f t="shared" si="484"/>
        <v>3.3304269372191886E-2</v>
      </c>
      <c r="GU465" s="103">
        <f t="shared" si="484"/>
        <v>0.10615013383656387</v>
      </c>
      <c r="GV465" s="103">
        <f t="shared" si="484"/>
        <v>0.53862649654979822</v>
      </c>
      <c r="GW465" s="103">
        <f t="shared" si="484"/>
        <v>6.5601110950176775E-2</v>
      </c>
      <c r="GX465" s="103">
        <f t="shared" si="465"/>
        <v>8.6535698419388282E-2</v>
      </c>
      <c r="GY465" s="103">
        <f t="shared" si="465"/>
        <v>0.14070442257566979</v>
      </c>
      <c r="GZ465" s="103">
        <f t="shared" si="465"/>
        <v>2.802450285554552E-2</v>
      </c>
      <c r="HA465" s="103">
        <f t="shared" si="465"/>
        <v>1.0533654406655838E-3</v>
      </c>
    </row>
    <row r="466" spans="1:209" x14ac:dyDescent="0.25">
      <c r="A466" s="96">
        <v>54605</v>
      </c>
      <c r="B466" s="104">
        <f t="shared" si="473"/>
        <v>44.25</v>
      </c>
      <c r="C466" s="104">
        <f t="shared" si="466"/>
        <v>49</v>
      </c>
      <c r="D466" s="104">
        <f t="shared" si="474"/>
        <v>2</v>
      </c>
      <c r="E466" s="104">
        <f>('Renewable Diesel'!B475*E$3*'Feedstock Conversion Rates'!$B$2)/12+26+13-100+27.5+39</f>
        <v>95.43</v>
      </c>
      <c r="F466" s="104">
        <f>('Renewable Diesel'!B475*'RD Feedstock Breakdown'!F$3*'Feedstock Conversion Rates'!B$8)/12+77+23-10-12-115.75+24+8</f>
        <v>48.15625</v>
      </c>
      <c r="G466" s="104">
        <f>('Renewable Diesel'!B475*'RD Feedstock Breakdown'!G$3*'Feedstock Conversion Rates'!B$7)/12+116.75-39-57.5-145-31.5+32+70-40+10+60</f>
        <v>151.90700000000004</v>
      </c>
      <c r="H466" s="104">
        <f>('Renewable Diesel'!B475*'RD Feedstock Breakdown'!H$3*'Feedstock Conversion Rates'!B$3)/12+67+10+12+3-235+20+47-20+25</f>
        <v>105.40022499999998</v>
      </c>
      <c r="I466" s="106">
        <f t="shared" si="449"/>
        <v>496.14347500000002</v>
      </c>
      <c r="J466" s="104">
        <f t="shared" si="483"/>
        <v>4</v>
      </c>
      <c r="K466" s="104"/>
      <c r="L466" s="104">
        <v>1</v>
      </c>
      <c r="M466" s="104">
        <f>('Renewable Diesel'!C475*'RD Feedstock Breakdown'!M$3*'Feedstock Conversion Rates'!B$2)/12</f>
        <v>7.7902500000000003</v>
      </c>
      <c r="N466" s="104">
        <f>('Renewable Diesel'!C475*'RD Feedstock Breakdown'!N$3*'Feedstock Conversion Rates'!B$8)/12</f>
        <v>3.671875</v>
      </c>
      <c r="O466" s="104">
        <f>('Renewable Diesel'!C475*'RD Feedstock Breakdown'!O$3*'Feedstock Conversion Rates'!B$7)/12</f>
        <v>11.9991</v>
      </c>
      <c r="P466" s="104">
        <f>('Renewable Diesel'!C475*'RD Feedstock Breakdown'!P$3*'Feedstock Conversion Rates'!B$3)/12</f>
        <v>10.4470425</v>
      </c>
      <c r="Q466" s="106">
        <f t="shared" si="455"/>
        <v>38.908267500000001</v>
      </c>
      <c r="R466" s="104">
        <f>('Renewable Diesel'!D475*'RD Feedstock Breakdown'!R$3*'Feedstock Conversion Rates'!B$7)/12</f>
        <v>2.2999999999999998</v>
      </c>
      <c r="S466" s="106">
        <f t="shared" si="481"/>
        <v>2.2999999999999998</v>
      </c>
      <c r="T466" s="104">
        <f t="shared" si="456"/>
        <v>0.82499999999999929</v>
      </c>
      <c r="U466" s="104"/>
      <c r="V466" s="104">
        <f>('Renewable Diesel'!E475*'RD Feedstock Breakdown'!V$3*'Feedstock Conversion Rates'!B$6)/12-20+25</f>
        <v>49.250150000000012</v>
      </c>
      <c r="W466" s="104">
        <f>('Renewable Diesel'!E475*'RD Feedstock Breakdown'!W$3*'Feedstock Conversion Rates'!B$8)/12-6</f>
        <v>16.1796875</v>
      </c>
      <c r="X466" s="106">
        <f t="shared" si="503"/>
        <v>66.254837500000008</v>
      </c>
      <c r="Y466" s="104">
        <f t="shared" si="457"/>
        <v>98</v>
      </c>
      <c r="Z466" s="104">
        <f>('Renewable Diesel'!F475*'RD Feedstock Breakdown'!Z$3*'Feedstock Conversion Rates'!B$6)/12-142+15+5+20+5+15</f>
        <v>77.460000000000008</v>
      </c>
      <c r="AA466" s="104">
        <f>('Renewable Diesel'!F475*'RD Feedstock Breakdown'!AA$3*'Feedstock Conversion Rates'!B$7)/12+24</f>
        <v>128.26666666666665</v>
      </c>
      <c r="AB466" s="106">
        <f t="shared" si="471"/>
        <v>303.72666666666669</v>
      </c>
      <c r="AC466" s="104">
        <f>('Renewable Diesel'!G475*'RD Feedstock Breakdown'!AC$3*'Feedstock Conversion Rates'!B$5)/12</f>
        <v>11.796875</v>
      </c>
      <c r="AD466" s="104">
        <f>('Renewable Diesel'!G475*'RD Feedstock Breakdown'!AD$3*'Feedstock Conversion Rates'!B$4)/12</f>
        <v>5.859375</v>
      </c>
      <c r="AE466" s="104">
        <f>('Renewable Diesel'!G475*'RD Feedstock Breakdown'!AE$3*'Feedstock Conversion Rates'!B$6)/12</f>
        <v>7.3281250000000009</v>
      </c>
      <c r="AF466" s="106">
        <f t="shared" si="445"/>
        <v>24.984375</v>
      </c>
      <c r="AG466" s="104">
        <f t="shared" si="459"/>
        <v>148</v>
      </c>
      <c r="AH466" s="104"/>
      <c r="AI466" s="104">
        <f>('Renewable Diesel'!H475*'RD Feedstock Breakdown'!AI$3*'Feedstock Conversion Rates'!B$6)/12-130-20+51-49</f>
        <v>0.51666666666667993</v>
      </c>
      <c r="AJ466" s="106">
        <f t="shared" si="480"/>
        <v>148.51666666666668</v>
      </c>
      <c r="AK466" s="104">
        <f>('Renewable Diesel'!J475*'RD Feedstock Breakdown'!AK$3*'Feedstock Conversion Rates'!B$4)/12</f>
        <v>95.8125</v>
      </c>
      <c r="AL466" s="106">
        <f t="shared" si="482"/>
        <v>95.8125</v>
      </c>
      <c r="AM466" s="104">
        <f>('Renewable Diesel'!K475*'RD Feedstock Breakdown'!AM$3*'Feedstock Conversion Rates'!B$4)/12+5+15-10+10</f>
        <v>78.59375</v>
      </c>
      <c r="AN466" s="104">
        <f>('Renewable Diesel'!K475*'RD Feedstock Breakdown'!AN$3*'Feedstock Conversion Rates'!B$6)/12-5-15+10-10</f>
        <v>4.4270833333333321</v>
      </c>
      <c r="AO466" s="106">
        <f t="shared" si="496"/>
        <v>83.020833333333329</v>
      </c>
      <c r="AP466" s="104">
        <f>('Renewable Diesel'!L475*'RD Feedstock Breakdown'!AP$3*'Feedstock Conversion Rates'!B$4)/12+15-10+15</f>
        <v>78.59375</v>
      </c>
      <c r="AQ466" s="104">
        <f>('Renewable Diesel'!L475*'RD Feedstock Breakdown'!AQ$3*'Feedstock Conversion Rates'!B$6)/12-15+10-15</f>
        <v>4.4270833333333321</v>
      </c>
      <c r="AR466" s="106">
        <f t="shared" si="486"/>
        <v>83.020833333333329</v>
      </c>
      <c r="AS466" s="104">
        <f>('Renewable Diesel'!M475*'RD Feedstock Breakdown'!AS$3*'Feedstock Conversion Rates'!B$4)/12</f>
        <v>456.25</v>
      </c>
      <c r="AT466" s="104">
        <f>('Renewable Diesel'!M475*'RD Feedstock Breakdown'!AT$3*'Feedstock Conversion Rates'!B$5)/12</f>
        <v>0</v>
      </c>
      <c r="AU466" s="106">
        <f t="shared" si="448"/>
        <v>456.25</v>
      </c>
      <c r="AV466" s="104">
        <f>'Renewable Diesel'!N475*'RD Feedstock Breakdown'!$AV$3*'Feedstock Conversion Rates'!$B$4/12-15-10+25+25-22+25</f>
        <v>106.74999999999999</v>
      </c>
      <c r="AW466" s="104">
        <f>'Renewable Diesel'!N475*'RD Feedstock Breakdown'!$AW$3*'Feedstock Conversion Rates'!$B$7/12+15+10-25-25+22-25</f>
        <v>13.400000000000006</v>
      </c>
      <c r="AX466" s="106">
        <f t="shared" si="475"/>
        <v>120.14999999999999</v>
      </c>
      <c r="AY466" s="104">
        <f>('Renewable Diesel'!O475*'RD Feedstock Breakdown'!AY$3*'Feedstock Conversion Rates'!B$4)/12</f>
        <v>210.9375</v>
      </c>
      <c r="AZ466" s="104">
        <f>('Renewable Diesel'!O475*'RD Feedstock Breakdown'!AZ$3*'Feedstock Conversion Rates'!B$3)/12</f>
        <v>25.03125</v>
      </c>
      <c r="BA466" s="106">
        <f t="shared" si="458"/>
        <v>235.96875</v>
      </c>
      <c r="BB466" s="104">
        <f>('Renewable Diesel'!Q475*'RD Feedstock Breakdown'!BB$3*'Feedstock Conversion Rates'!B$4)/12</f>
        <v>11.156249999999998</v>
      </c>
      <c r="BC466" s="104">
        <f>('Renewable Diesel'!Q475*'RD Feedstock Breakdown'!BC$3*'Feedstock Conversion Rates'!B$3)/12</f>
        <v>1.4017500000000001</v>
      </c>
      <c r="BD466" s="104">
        <f>('Renewable Diesel'!Q475*'RD Feedstock Breakdown'!BD$3*'Feedstock Conversion Rates'!B$6)/12</f>
        <v>0.8207500000000002</v>
      </c>
      <c r="BE466" s="106">
        <f t="shared" si="505"/>
        <v>13.378749999999998</v>
      </c>
      <c r="BF466" s="104">
        <f>('Renewable Diesel'!R475*'RD Feedstock Breakdown'!BF$3*'Feedstock Conversion Rates'!B$4)/12</f>
        <v>62.5</v>
      </c>
      <c r="BG466" s="106">
        <f t="shared" si="490"/>
        <v>62.5</v>
      </c>
      <c r="BH466" s="104">
        <f>('Renewable Diesel'!T475*'RD Feedstock Breakdown'!BH$3*'Feedstock Conversion Rates'!B$7)/12</f>
        <v>27.599999999999998</v>
      </c>
      <c r="BI466" s="106">
        <f t="shared" si="479"/>
        <v>27.599999999999998</v>
      </c>
      <c r="BJ466" s="104">
        <f>('Renewable Diesel'!W475*'RD Feedstock Breakdown'!BJ$3*'Feedstock Conversion Rates'!B$4)/12</f>
        <v>7.5</v>
      </c>
      <c r="BK466" s="104">
        <f>('Renewable Diesel'!W475*'RD Feedstock Breakdown'!BK$3*'Feedstock Conversion Rates'!B$3)/12</f>
        <v>1.335</v>
      </c>
      <c r="BL466" s="104">
        <f>('Renewable Diesel'!W475*'RD Feedstock Breakdown'!BL$3*'Feedstock Conversion Rates'!B$6)/12</f>
        <v>3.1266666666666669</v>
      </c>
      <c r="BM466" s="104">
        <f>('Renewable Diesel'!W475*'RD Feedstock Breakdown'!BM$3*'Feedstock Conversion Rates'!B$7)/12</f>
        <v>1.5333333333333332</v>
      </c>
      <c r="BN466" s="106">
        <f t="shared" si="452"/>
        <v>13.495000000000001</v>
      </c>
      <c r="BO466" s="104">
        <f>('Renewable Diesel'!P475*'Feedstock Conversion Rates'!B$4)/12</f>
        <v>31.25</v>
      </c>
      <c r="BP466" s="106">
        <f t="shared" si="446"/>
        <v>31.25</v>
      </c>
      <c r="BQ466" s="104">
        <f>('Renewable Diesel'!$S475*'RD Feedstock Breakdown'!BQ$3*'Feedstock Conversion Rates'!B$4)/12+10+15-15</f>
        <v>38.125</v>
      </c>
      <c r="BR466" s="104">
        <f>('Renewable Diesel'!$S475*'RD Feedstock Breakdown'!BR$3*'Feedstock Conversion Rates'!B$7)/12-10-15+15</f>
        <v>1.5</v>
      </c>
      <c r="BS466" s="106">
        <f t="shared" si="460"/>
        <v>39.625</v>
      </c>
      <c r="BT466" s="106"/>
      <c r="BU466" s="104">
        <f>('Renewable Diesel'!Y475*'Feedstock Conversion Rates'!B$7)/12</f>
        <v>2.6833333333333331</v>
      </c>
      <c r="BV466" s="106">
        <f t="shared" si="507"/>
        <v>2.6833333333333331</v>
      </c>
      <c r="BW466" s="104">
        <f>('Renewable Diesel'!$Z475*'RD Feedstock Breakdown'!BW$3*'Feedstock Conversion Rates'!$B$4)/12-250+180</f>
        <v>1.875</v>
      </c>
      <c r="BX466" s="104">
        <f>('Renewable Diesel'!$Z475*'RD Feedstock Breakdown'!BX$3*'Feedstock Conversion Rates'!$B$5)/12</f>
        <v>7.2354166666666666</v>
      </c>
      <c r="BY466" s="104">
        <f>('Renewable Diesel'!$Z475*'RD Feedstock Breakdown'!BY$3*'Feedstock Conversion Rates'!$B$7)/12</f>
        <v>61.716666666666661</v>
      </c>
      <c r="BZ466" s="104">
        <f>('Renewable Diesel'!$Z475*'RD Feedstock Breakdown'!BZ$3*'Feedstock Conversion Rates'!$B$3)/12+250-180</f>
        <v>85.35250000000002</v>
      </c>
      <c r="CA466" s="106">
        <f t="shared" si="464"/>
        <v>156.17958333333334</v>
      </c>
      <c r="CB466" s="104">
        <f>('Renewable Diesel'!AA475*'Feedstock Conversion Rates'!B$4)/12</f>
        <v>191.25</v>
      </c>
      <c r="CC466" s="106">
        <f t="shared" si="454"/>
        <v>191.25</v>
      </c>
      <c r="CD466" s="104">
        <f>('Renewable Diesel'!$AB475*'RD Feedstock Breakdown'!CD$3*'Feedstock Conversion Rates'!$B$6)/12-15-5</f>
        <v>12.830000000000005</v>
      </c>
      <c r="CE466" s="104">
        <f>('Renewable Diesel'!$AB475*'RD Feedstock Breakdown'!CE$3*'Feedstock Conversion Rates'!$B$4)/12+15+5</f>
        <v>31.25</v>
      </c>
      <c r="CF466" s="106">
        <f t="shared" si="450"/>
        <v>44.080000000000005</v>
      </c>
      <c r="CG466" s="104">
        <f>('Renewable Diesel'!AD475*'Feedstock Conversion Rates'!B$4)/12</f>
        <v>112.5</v>
      </c>
      <c r="CH466" s="106">
        <f t="shared" si="504"/>
        <v>112.5</v>
      </c>
      <c r="CI466" s="104">
        <f>('Renewable Diesel'!$AE475*'RD Feedstock Breakdown'!CI$3*'Feedstock Conversion Rates'!$B$5)/12</f>
        <v>0.34604166666666664</v>
      </c>
      <c r="CJ466" s="104">
        <f>('Renewable Diesel'!$AE475*'RD Feedstock Breakdown'!CJ$3*'Feedstock Conversion Rates'!$B$4)/12</f>
        <v>0.34375</v>
      </c>
      <c r="CK466" s="106">
        <f t="shared" si="447"/>
        <v>0.68979166666666658</v>
      </c>
      <c r="CL466" s="104">
        <f>(((CL$3*'Renewable Diesel'!$AF475)*'Feedstock Conversion Rates'!$B$3)/12)</f>
        <v>91.78125</v>
      </c>
      <c r="CM466" s="104">
        <f>(((CM$3*'Renewable Diesel'!$AF475)*'Feedstock Conversion Rates'!$B$6)/12)</f>
        <v>53.739583333333336</v>
      </c>
      <c r="CN466" s="104">
        <f>(((CN$3*'Renewable Diesel'!$AF475)*'Feedstock Conversion Rates'!$B$4)/12)</f>
        <v>42.96875</v>
      </c>
      <c r="CO466" s="106">
        <f t="shared" si="506"/>
        <v>188.48958333333334</v>
      </c>
      <c r="CP466" s="104">
        <f>('Renewable Diesel'!$AG475*'RD Feedstock Breakdown'!CP$3*'Feedstock Conversion Rates'!$B$3)/12</f>
        <v>6.0075000000000003</v>
      </c>
      <c r="CQ466" s="104">
        <f>('Renewable Diesel'!$AG475*'RD Feedstock Breakdown'!CQ$3*'Feedstock Conversion Rates'!$B$6)/12</f>
        <v>3.5175000000000001</v>
      </c>
      <c r="CR466" s="104">
        <f>('Renewable Diesel'!$AG475*'RD Feedstock Breakdown'!CR$3*'Feedstock Conversion Rates'!$B$4)/12</f>
        <v>2.8125</v>
      </c>
      <c r="CS466" s="106">
        <f t="shared" si="467"/>
        <v>12.3375</v>
      </c>
      <c r="CT466" s="104">
        <f>('Renewable Diesel'!AI475*'Feedstock Conversion Rates'!$B$4*'RD Feedstock Breakdown'!$CT$3)/12</f>
        <v>29.375</v>
      </c>
      <c r="CU466" s="106">
        <f t="shared" si="443"/>
        <v>29.375</v>
      </c>
      <c r="CV466" s="104">
        <f>('Renewable Diesel'!AN475*'Feedstock Conversion Rates'!$B$3*'RD Feedstock Breakdown'!$CV$3)/12</f>
        <v>0.50062499999999999</v>
      </c>
      <c r="CW466" s="106">
        <f t="shared" si="485"/>
        <v>0.50062499999999999</v>
      </c>
      <c r="CX466" s="104">
        <f>('Renewable Diesel'!AO475*'RD Feedstock Breakdown'!$CX$3*'Feedstock Conversion Rates'!$B$3)/12</f>
        <v>6.3412499999999996</v>
      </c>
      <c r="CY466" s="104">
        <f>('Renewable Diesel'!AO475*'RD Feedstock Breakdown'!$CY$3*'Feedstock Conversion Rates'!$B$6)/12</f>
        <v>7.4258333333333342</v>
      </c>
      <c r="CZ466" s="106">
        <f t="shared" si="468"/>
        <v>13.767083333333334</v>
      </c>
      <c r="DA466" s="104">
        <f>('Renewable Diesel'!$AP475*'RD Feedstock Breakdown'!DA$3*'Feedstock Conversion Rates'!$B$3)/12</f>
        <v>6.3412499999999996</v>
      </c>
      <c r="DB466" s="104">
        <f>('Renewable Diesel'!$AP475*'RD Feedstock Breakdown'!DB$3*'Feedstock Conversion Rates'!$B$8)/12</f>
        <v>7.421875</v>
      </c>
      <c r="DC466" s="106">
        <f t="shared" si="488"/>
        <v>13.763124999999999</v>
      </c>
      <c r="DD466" s="104">
        <f>('Renewable Diesel'!AQ475*$DD$3*'Feedstock Conversion Rates'!$B$14)/12</f>
        <v>3.1041666666666665</v>
      </c>
      <c r="DE466" s="106">
        <f t="shared" si="489"/>
        <v>3.1041666666666665</v>
      </c>
      <c r="DF466" s="104">
        <f>('Renewable Diesel'!AR475*'Feedstock Conversion Rates'!$B$4*$DF$3)/12</f>
        <v>75</v>
      </c>
      <c r="DG466" s="106">
        <f t="shared" si="469"/>
        <v>75</v>
      </c>
      <c r="DH466" s="104">
        <f>('Renewable Diesel'!AS475*'Feedstock Conversion Rates'!$B$4*$DH$3)/12</f>
        <v>75</v>
      </c>
      <c r="DI466" s="106">
        <f t="shared" si="478"/>
        <v>75</v>
      </c>
      <c r="DJ466" s="104">
        <f>('Renewable Diesel'!AT475*'Feedstock Conversion Rates'!$B$4*0.25)/12</f>
        <v>8.59375</v>
      </c>
      <c r="DK466" s="104">
        <f>('Renewable Diesel'!$AT475*'RD Feedstock Breakdown'!DK$3*'Feedstock Conversion Rates'!$B$3)/12*0.5</f>
        <v>9.1781249999999996</v>
      </c>
      <c r="DL466" s="104">
        <f>('Renewable Diesel'!$AT475*'RD Feedstock Breakdown'!$DL$3*'Feedstock Conversion Rates'!$B$6)/12</f>
        <v>10.747916666666669</v>
      </c>
      <c r="DM466" s="104">
        <f>('Renewable Diesel'!$AT475*'RD Feedstock Breakdown'!$DM$3*'Feedstock Conversion Rates'!$B$8)/12</f>
        <v>10.7421875</v>
      </c>
      <c r="DN466" s="106">
        <f t="shared" si="453"/>
        <v>39.26197916666667</v>
      </c>
      <c r="DP466" s="104">
        <f t="shared" si="491"/>
        <v>103.22025000000001</v>
      </c>
      <c r="DQ466" s="104">
        <f t="shared" si="492"/>
        <v>349.11776750000007</v>
      </c>
      <c r="DR466" s="104">
        <f t="shared" si="497"/>
        <v>1891.953125</v>
      </c>
      <c r="DS466" s="104">
        <f t="shared" si="444"/>
        <v>228.90125</v>
      </c>
      <c r="DT466" s="104">
        <f t="shared" si="493"/>
        <v>243.03923333333344</v>
      </c>
      <c r="DU466" s="104">
        <f t="shared" si="494"/>
        <v>402.90610000000009</v>
      </c>
      <c r="DV466" s="104">
        <f t="shared" si="498"/>
        <v>78.75</v>
      </c>
      <c r="DW466" s="104">
        <f t="shared" si="495"/>
        <v>3</v>
      </c>
      <c r="DX466" s="106">
        <f t="shared" si="499"/>
        <v>3300.8877258333337</v>
      </c>
      <c r="DY466" s="109">
        <f t="shared" si="487"/>
        <v>-5.631051180898794E-13</v>
      </c>
      <c r="EA466" s="110">
        <f t="shared" si="472"/>
        <v>3.1270451640078516E-2</v>
      </c>
      <c r="EB466" s="110">
        <f t="shared" si="470"/>
        <v>0.10576481131658687</v>
      </c>
      <c r="EC466" s="110">
        <f t="shared" si="470"/>
        <v>0.57316494293133291</v>
      </c>
      <c r="ED466" s="110">
        <f t="shared" si="470"/>
        <v>6.9345360706629972E-2</v>
      </c>
      <c r="EE466" s="110">
        <f t="shared" si="470"/>
        <v>7.3628445896921982E-2</v>
      </c>
      <c r="EF466" s="110">
        <f t="shared" si="470"/>
        <v>0.1220599225010852</v>
      </c>
      <c r="EG466" s="110">
        <f t="shared" si="470"/>
        <v>2.3857218585075921E-2</v>
      </c>
      <c r="EH466" s="111">
        <f t="shared" si="500"/>
        <v>9.0884642228860647E-4</v>
      </c>
      <c r="EI466" s="110">
        <f t="shared" si="476"/>
        <v>0.99909115357771139</v>
      </c>
      <c r="EK466" s="132">
        <f>(EA466*'Renewable Diesel'!BF475*'Feedstock Conversion Rates'!B$2)+FB466</f>
        <v>650.09940095447701</v>
      </c>
      <c r="EL466" s="132">
        <f>(EB466*'Renewable Diesel'!BF475*'Feedstock Conversion Rates'!B$3)+FC466</f>
        <v>2072.0508126807176</v>
      </c>
      <c r="EM466" s="132">
        <f>(EC466*'Renewable Diesel'!BF475*'Feedstock Conversion Rates'!B$4)+FD466</f>
        <v>10513.990228460219</v>
      </c>
      <c r="EN466" s="132">
        <f>(ED466*'Renewable Diesel'!BF475*'Feedstock Conversion Rates'!B$5)+FE466</f>
        <v>1280.5338094661017</v>
      </c>
      <c r="EO466" s="132">
        <f>(EE466*'Renewable Diesel'!BF475*'Feedstock Conversion Rates'!B$6)+FF466</f>
        <v>1689.1769963461331</v>
      </c>
      <c r="EP466" s="132">
        <f>(EF466*'Renewable Diesel'!BF475*'Feedstock Conversion Rates'!B$7)+FG466</f>
        <v>2746.5505940347971</v>
      </c>
      <c r="EQ466" s="132">
        <f>(EG466*'Renewable Diesel'!BF475*'Feedstock Conversion Rates'!B$8)+FH466</f>
        <v>547.03834859230608</v>
      </c>
      <c r="ER466" s="132">
        <f>(EH466*'Renewable Diesel'!BF475*'Feedstock Conversion Rates'!B$9)+FI466</f>
        <v>20.561695388358423</v>
      </c>
      <c r="ES466" s="132">
        <f t="shared" si="501"/>
        <v>19520.00188592311</v>
      </c>
      <c r="ET466" s="133">
        <f>ES466/'Renewable Diesel'!BF475</f>
        <v>18.68592476853679</v>
      </c>
      <c r="EW466" s="73">
        <f t="shared" si="461"/>
        <v>18551.502448053612</v>
      </c>
      <c r="EX466" s="73">
        <f t="shared" si="462"/>
        <v>12151.335717205791</v>
      </c>
      <c r="EY466" s="92">
        <f t="shared" si="477"/>
        <v>0.95038425490276557</v>
      </c>
      <c r="EZ466" s="92">
        <f t="shared" si="477"/>
        <v>0.622506892582257</v>
      </c>
      <c r="FB466" s="102">
        <f>IF('Renewable Diesel'!$BG475&lt;1,0,(((('Renewable Diesel'!$BG475-1)*'Renewable Diesel'!$BF475)*'RD Feedstock Breakdown'!EA466)*'Feedstock Conversion Rates'!$B$2))</f>
        <v>372.4361917921359</v>
      </c>
      <c r="FC466" s="102">
        <f>IF('Renewable Diesel'!$BG475&lt;1,0,(((('Renewable Diesel'!$BG475-1)*'Renewable Diesel'!$BF475)*'RD Feedstock Breakdown'!EB466)*'Feedstock Conversion Rates'!$B$3))</f>
        <v>1187.0595677239291</v>
      </c>
      <c r="FD466" s="102">
        <f>IF('Renewable Diesel'!$BG475&lt;1,0,(((('Renewable Diesel'!$BG475-1)*'Renewable Diesel'!$BF475)*'RD Feedstock Breakdown'!EC466)*'Feedstock Conversion Rates'!$B$4))</f>
        <v>6023.3719266288863</v>
      </c>
      <c r="FE466" s="102">
        <f>IF('Renewable Diesel'!$BG475&lt;1,0,(((('Renewable Diesel'!$BG475-1)*'Renewable Diesel'!$BF475)*'RD Feedstock Breakdown'!ED466)*'Feedstock Conversion Rates'!$B$5))</f>
        <v>733.60648349840187</v>
      </c>
      <c r="FF466" s="102">
        <f>IF('Renewable Diesel'!$BG475&lt;1,0,(((('Renewable Diesel'!$BG475-1)*'Renewable Diesel'!$BF475)*'RD Feedstock Breakdown'!EE466)*'Feedstock Conversion Rates'!$B$6))</f>
        <v>967.71454774203949</v>
      </c>
      <c r="FG466" s="102">
        <f>IF('Renewable Diesel'!$BG475&lt;1,0,(((('Renewable Diesel'!$BG475-1)*'Renewable Diesel'!$BF475)*'RD Feedstock Breakdown'!EF466)*'Feedstock Conversion Rates'!$B$7))</f>
        <v>1573.4745214422644</v>
      </c>
      <c r="FH466" s="102">
        <f>IF('Renewable Diesel'!$BG475&lt;1,0,(((('Renewable Diesel'!$BG475-1)*'Renewable Diesel'!$BF475)*'RD Feedstock Breakdown'!EG466)*'Feedstock Conversion Rates'!$B$8))</f>
        <v>313.39342724335785</v>
      </c>
      <c r="FI466" s="102">
        <f>IF('Renewable Diesel'!$BG475&lt;1,0,(((('Renewable Diesel'!$BG475-1)*'Renewable Diesel'!$BF475)*'RD Feedstock Breakdown'!EH466)*'Feedstock Conversion Rates'!$B$9))</f>
        <v>11.779613265274149</v>
      </c>
      <c r="FJ466" s="102">
        <f t="shared" si="463"/>
        <v>11182.83627933629</v>
      </c>
      <c r="GD466" s="91">
        <f>'Renewable Diesel'!BB475*0.32</f>
        <v>0</v>
      </c>
      <c r="GE466" s="91">
        <f>'Renewable Diesel'!BC475</f>
        <v>544.8236540488781</v>
      </c>
      <c r="GF466" s="91">
        <f>'Renewable Diesel'!BD475</f>
        <v>0</v>
      </c>
      <c r="GG466" s="91">
        <f t="shared" si="451"/>
        <v>544.8236540488781</v>
      </c>
      <c r="GH466" s="124">
        <v>1</v>
      </c>
      <c r="GI466" s="102">
        <f>$GG466*EA466*'Feedstock Conversion Rates'!$B$2</f>
        <v>144.81349467360363</v>
      </c>
      <c r="GJ466" s="102">
        <f>$GG466*EB466*'Feedstock Conversion Rates'!$B$3</f>
        <v>461.56159948005688</v>
      </c>
      <c r="GK466" s="102">
        <f>$GG466*EC466*'Feedstock Conversion Rates'!$B$4</f>
        <v>2342.0536393542411</v>
      </c>
      <c r="GL466" s="102">
        <f>$GG466*ED466*'Feedstock Conversion Rates'!$B$5</f>
        <v>285.24649572700343</v>
      </c>
      <c r="GM466" s="102">
        <f>$GG466*EE466*'Feedstock Conversion Rates'!$B$6</f>
        <v>376.27418761500093</v>
      </c>
      <c r="GN466" s="102">
        <f>$GG466*EF466*'Feedstock Conversion Rates'!$B$7</f>
        <v>611.81042350766984</v>
      </c>
      <c r="GO466" s="102">
        <f>$GG466*EG466*'Feedstock Conversion Rates'!$B$8</f>
        <v>121.85603442153626</v>
      </c>
      <c r="GP466" s="102">
        <f>$GG466*EH466*'Feedstock Conversion Rates'!B$9</f>
        <v>4.5802395160348865</v>
      </c>
      <c r="GQ466" s="102">
        <f t="shared" si="502"/>
        <v>4348.1961142951468</v>
      </c>
      <c r="GT466" s="103">
        <f t="shared" si="484"/>
        <v>3.3304269372191893E-2</v>
      </c>
      <c r="GU466" s="103">
        <f t="shared" si="484"/>
        <v>0.10615013383656388</v>
      </c>
      <c r="GV466" s="103">
        <f t="shared" si="484"/>
        <v>0.53862649654979822</v>
      </c>
      <c r="GW466" s="103">
        <f t="shared" si="484"/>
        <v>6.5601110950176761E-2</v>
      </c>
      <c r="GX466" s="103">
        <f t="shared" si="465"/>
        <v>8.653569841938831E-2</v>
      </c>
      <c r="GY466" s="103">
        <f t="shared" si="465"/>
        <v>0.14070442257566981</v>
      </c>
      <c r="GZ466" s="103">
        <f t="shared" si="465"/>
        <v>2.8024502855545516E-2</v>
      </c>
      <c r="HA466" s="103">
        <f t="shared" si="465"/>
        <v>1.053365440665584E-3</v>
      </c>
    </row>
    <row r="467" spans="1:209" x14ac:dyDescent="0.25">
      <c r="A467" s="96">
        <v>54636</v>
      </c>
      <c r="B467" s="104">
        <f t="shared" si="473"/>
        <v>44.25</v>
      </c>
      <c r="C467" s="104">
        <f t="shared" si="466"/>
        <v>49</v>
      </c>
      <c r="D467" s="104">
        <f t="shared" si="474"/>
        <v>2</v>
      </c>
      <c r="E467" s="104">
        <f>('Renewable Diesel'!B476*E$3*'Feedstock Conversion Rates'!$B$2)/12+26+13-100+27.5+39</f>
        <v>95.43</v>
      </c>
      <c r="F467" s="104">
        <f>('Renewable Diesel'!B476*'RD Feedstock Breakdown'!F$3*'Feedstock Conversion Rates'!B$8)/12+77+23-10-12-115.75+24+8</f>
        <v>48.15625</v>
      </c>
      <c r="G467" s="104">
        <f>('Renewable Diesel'!B476*'RD Feedstock Breakdown'!G$3*'Feedstock Conversion Rates'!B$7)/12+116.75-39-57.5-145-31.5+32+70-40+10+60</f>
        <v>151.90700000000004</v>
      </c>
      <c r="H467" s="104">
        <f>('Renewable Diesel'!B476*'RD Feedstock Breakdown'!H$3*'Feedstock Conversion Rates'!B$3)/12+67+10+12+3-235+20+47-20+25</f>
        <v>105.40022499999998</v>
      </c>
      <c r="I467" s="106">
        <f t="shared" si="449"/>
        <v>496.14347500000002</v>
      </c>
      <c r="J467" s="104">
        <f t="shared" si="483"/>
        <v>4</v>
      </c>
      <c r="K467" s="104"/>
      <c r="L467" s="104">
        <v>1</v>
      </c>
      <c r="M467" s="104">
        <f>('Renewable Diesel'!C476*'RD Feedstock Breakdown'!M$3*'Feedstock Conversion Rates'!B$2)/12</f>
        <v>7.7902500000000003</v>
      </c>
      <c r="N467" s="104">
        <f>('Renewable Diesel'!C476*'RD Feedstock Breakdown'!N$3*'Feedstock Conversion Rates'!B$8)/12</f>
        <v>3.671875</v>
      </c>
      <c r="O467" s="104">
        <f>('Renewable Diesel'!C476*'RD Feedstock Breakdown'!O$3*'Feedstock Conversion Rates'!B$7)/12</f>
        <v>11.9991</v>
      </c>
      <c r="P467" s="104">
        <f>('Renewable Diesel'!C476*'RD Feedstock Breakdown'!P$3*'Feedstock Conversion Rates'!B$3)/12</f>
        <v>10.4470425</v>
      </c>
      <c r="Q467" s="106">
        <f t="shared" si="455"/>
        <v>38.908267500000001</v>
      </c>
      <c r="R467" s="104">
        <f>('Renewable Diesel'!D476*'RD Feedstock Breakdown'!R$3*'Feedstock Conversion Rates'!B$7)/12</f>
        <v>2.2999999999999998</v>
      </c>
      <c r="S467" s="106">
        <f t="shared" si="481"/>
        <v>2.2999999999999998</v>
      </c>
      <c r="T467" s="104">
        <f t="shared" si="456"/>
        <v>0.82499999999999929</v>
      </c>
      <c r="U467" s="104"/>
      <c r="V467" s="104">
        <f>('Renewable Diesel'!E476*'RD Feedstock Breakdown'!V$3*'Feedstock Conversion Rates'!B$6)/12-20+25</f>
        <v>49.250150000000012</v>
      </c>
      <c r="W467" s="104">
        <f>('Renewable Diesel'!E476*'RD Feedstock Breakdown'!W$3*'Feedstock Conversion Rates'!B$8)/12-6</f>
        <v>16.1796875</v>
      </c>
      <c r="X467" s="106">
        <f t="shared" si="503"/>
        <v>66.254837500000008</v>
      </c>
      <c r="Y467" s="104">
        <f t="shared" si="457"/>
        <v>98</v>
      </c>
      <c r="Z467" s="104">
        <f>('Renewable Diesel'!F476*'RD Feedstock Breakdown'!Z$3*'Feedstock Conversion Rates'!B$6)/12-142+15+5+20+5+15</f>
        <v>77.460000000000008</v>
      </c>
      <c r="AA467" s="104">
        <f>('Renewable Diesel'!F476*'RD Feedstock Breakdown'!AA$3*'Feedstock Conversion Rates'!B$7)/12+24</f>
        <v>128.26666666666665</v>
      </c>
      <c r="AB467" s="106">
        <f t="shared" si="471"/>
        <v>303.72666666666669</v>
      </c>
      <c r="AC467" s="104">
        <f>('Renewable Diesel'!G476*'RD Feedstock Breakdown'!AC$3*'Feedstock Conversion Rates'!B$5)/12</f>
        <v>11.796875</v>
      </c>
      <c r="AD467" s="104">
        <f>('Renewable Diesel'!G476*'RD Feedstock Breakdown'!AD$3*'Feedstock Conversion Rates'!B$4)/12</f>
        <v>5.859375</v>
      </c>
      <c r="AE467" s="104">
        <f>('Renewable Diesel'!G476*'RD Feedstock Breakdown'!AE$3*'Feedstock Conversion Rates'!B$6)/12</f>
        <v>7.3281250000000009</v>
      </c>
      <c r="AF467" s="106">
        <f t="shared" si="445"/>
        <v>24.984375</v>
      </c>
      <c r="AG467" s="104">
        <f t="shared" si="459"/>
        <v>148</v>
      </c>
      <c r="AH467" s="104"/>
      <c r="AI467" s="104">
        <f>('Renewable Diesel'!H476*'RD Feedstock Breakdown'!AI$3*'Feedstock Conversion Rates'!B$6)/12-130-20+51-49</f>
        <v>0.51666666666667993</v>
      </c>
      <c r="AJ467" s="106">
        <f t="shared" si="480"/>
        <v>148.51666666666668</v>
      </c>
      <c r="AK467" s="104">
        <f>('Renewable Diesel'!J476*'RD Feedstock Breakdown'!AK$3*'Feedstock Conversion Rates'!B$4)/12</f>
        <v>95.8125</v>
      </c>
      <c r="AL467" s="106">
        <f t="shared" si="482"/>
        <v>95.8125</v>
      </c>
      <c r="AM467" s="104">
        <f>('Renewable Diesel'!K476*'RD Feedstock Breakdown'!AM$3*'Feedstock Conversion Rates'!B$4)/12+5+15-10+10</f>
        <v>78.59375</v>
      </c>
      <c r="AN467" s="104">
        <f>('Renewable Diesel'!K476*'RD Feedstock Breakdown'!AN$3*'Feedstock Conversion Rates'!B$6)/12-5-15+10-10</f>
        <v>4.4270833333333321</v>
      </c>
      <c r="AO467" s="106">
        <f t="shared" si="496"/>
        <v>83.020833333333329</v>
      </c>
      <c r="AP467" s="104">
        <f>('Renewable Diesel'!L476*'RD Feedstock Breakdown'!AP$3*'Feedstock Conversion Rates'!B$4)/12+15-10+15</f>
        <v>78.59375</v>
      </c>
      <c r="AQ467" s="104">
        <f>('Renewable Diesel'!L476*'RD Feedstock Breakdown'!AQ$3*'Feedstock Conversion Rates'!B$6)/12-15+10-15</f>
        <v>4.4270833333333321</v>
      </c>
      <c r="AR467" s="106">
        <f t="shared" si="486"/>
        <v>83.020833333333329</v>
      </c>
      <c r="AS467" s="104">
        <f>('Renewable Diesel'!M476*'RD Feedstock Breakdown'!AS$3*'Feedstock Conversion Rates'!B$4)/12</f>
        <v>456.25</v>
      </c>
      <c r="AT467" s="104">
        <f>('Renewable Diesel'!M476*'RD Feedstock Breakdown'!AT$3*'Feedstock Conversion Rates'!B$5)/12</f>
        <v>0</v>
      </c>
      <c r="AU467" s="106">
        <f t="shared" si="448"/>
        <v>456.25</v>
      </c>
      <c r="AV467" s="104">
        <f>'Renewable Diesel'!N476*'RD Feedstock Breakdown'!$AV$3*'Feedstock Conversion Rates'!$B$4/12-15-10+25+25-22+25</f>
        <v>106.74999999999999</v>
      </c>
      <c r="AW467" s="104">
        <f>'Renewable Diesel'!N476*'RD Feedstock Breakdown'!$AW$3*'Feedstock Conversion Rates'!$B$7/12+15+10-25-25+22-25</f>
        <v>13.400000000000006</v>
      </c>
      <c r="AX467" s="106">
        <f t="shared" si="475"/>
        <v>120.14999999999999</v>
      </c>
      <c r="AY467" s="104">
        <f>('Renewable Diesel'!O476*'RD Feedstock Breakdown'!AY$3*'Feedstock Conversion Rates'!B$4)/12</f>
        <v>210.9375</v>
      </c>
      <c r="AZ467" s="104">
        <f>('Renewable Diesel'!O476*'RD Feedstock Breakdown'!AZ$3*'Feedstock Conversion Rates'!B$3)/12</f>
        <v>25.03125</v>
      </c>
      <c r="BA467" s="106">
        <f t="shared" si="458"/>
        <v>235.96875</v>
      </c>
      <c r="BB467" s="104">
        <f>('Renewable Diesel'!Q476*'RD Feedstock Breakdown'!BB$3*'Feedstock Conversion Rates'!B$4)/12</f>
        <v>11.156249999999998</v>
      </c>
      <c r="BC467" s="104">
        <f>('Renewable Diesel'!Q476*'RD Feedstock Breakdown'!BC$3*'Feedstock Conversion Rates'!B$3)/12</f>
        <v>1.4017500000000001</v>
      </c>
      <c r="BD467" s="104">
        <f>('Renewable Diesel'!Q476*'RD Feedstock Breakdown'!BD$3*'Feedstock Conversion Rates'!B$6)/12</f>
        <v>0.8207500000000002</v>
      </c>
      <c r="BE467" s="106">
        <f t="shared" si="505"/>
        <v>13.378749999999998</v>
      </c>
      <c r="BF467" s="104">
        <f>('Renewable Diesel'!R476*'RD Feedstock Breakdown'!BF$3*'Feedstock Conversion Rates'!B$4)/12</f>
        <v>62.5</v>
      </c>
      <c r="BG467" s="106">
        <f t="shared" si="490"/>
        <v>62.5</v>
      </c>
      <c r="BH467" s="104">
        <f>('Renewable Diesel'!T476*'RD Feedstock Breakdown'!BH$3*'Feedstock Conversion Rates'!B$7)/12</f>
        <v>27.599999999999998</v>
      </c>
      <c r="BI467" s="106">
        <f t="shared" si="479"/>
        <v>27.599999999999998</v>
      </c>
      <c r="BJ467" s="104">
        <f>('Renewable Diesel'!W476*'RD Feedstock Breakdown'!BJ$3*'Feedstock Conversion Rates'!B$4)/12</f>
        <v>7.5</v>
      </c>
      <c r="BK467" s="104">
        <f>('Renewable Diesel'!W476*'RD Feedstock Breakdown'!BK$3*'Feedstock Conversion Rates'!B$3)/12</f>
        <v>1.335</v>
      </c>
      <c r="BL467" s="104">
        <f>('Renewable Diesel'!W476*'RD Feedstock Breakdown'!BL$3*'Feedstock Conversion Rates'!B$6)/12</f>
        <v>3.1266666666666669</v>
      </c>
      <c r="BM467" s="104">
        <f>('Renewable Diesel'!W476*'RD Feedstock Breakdown'!BM$3*'Feedstock Conversion Rates'!B$7)/12</f>
        <v>1.5333333333333332</v>
      </c>
      <c r="BN467" s="106">
        <f t="shared" si="452"/>
        <v>13.495000000000001</v>
      </c>
      <c r="BO467" s="104">
        <f>('Renewable Diesel'!P476*'Feedstock Conversion Rates'!B$4)/12</f>
        <v>31.25</v>
      </c>
      <c r="BP467" s="106">
        <f t="shared" si="446"/>
        <v>31.25</v>
      </c>
      <c r="BQ467" s="104">
        <f>('Renewable Diesel'!$S476*'RD Feedstock Breakdown'!BQ$3*'Feedstock Conversion Rates'!B$4)/12+10+15-15</f>
        <v>38.125</v>
      </c>
      <c r="BR467" s="104">
        <f>('Renewable Diesel'!$S476*'RD Feedstock Breakdown'!BR$3*'Feedstock Conversion Rates'!B$7)/12-10-15+15</f>
        <v>1.5</v>
      </c>
      <c r="BS467" s="106">
        <f t="shared" si="460"/>
        <v>39.625</v>
      </c>
      <c r="BT467" s="106"/>
      <c r="BU467" s="104">
        <f>('Renewable Diesel'!Y476*'Feedstock Conversion Rates'!B$7)/12</f>
        <v>2.6833333333333331</v>
      </c>
      <c r="BV467" s="106">
        <f t="shared" si="507"/>
        <v>2.6833333333333331</v>
      </c>
      <c r="BW467" s="104">
        <f>('Renewable Diesel'!$Z476*'RD Feedstock Breakdown'!BW$3*'Feedstock Conversion Rates'!$B$4)/12-250+180</f>
        <v>1.875</v>
      </c>
      <c r="BX467" s="104">
        <f>('Renewable Diesel'!$Z476*'RD Feedstock Breakdown'!BX$3*'Feedstock Conversion Rates'!$B$5)/12</f>
        <v>7.2354166666666666</v>
      </c>
      <c r="BY467" s="104">
        <f>('Renewable Diesel'!$Z476*'RD Feedstock Breakdown'!BY$3*'Feedstock Conversion Rates'!$B$7)/12</f>
        <v>61.716666666666661</v>
      </c>
      <c r="BZ467" s="104">
        <f>('Renewable Diesel'!$Z476*'RD Feedstock Breakdown'!BZ$3*'Feedstock Conversion Rates'!$B$3)/12+250-180</f>
        <v>85.35250000000002</v>
      </c>
      <c r="CA467" s="106">
        <f t="shared" si="464"/>
        <v>156.17958333333334</v>
      </c>
      <c r="CB467" s="104">
        <f>('Renewable Diesel'!AA476*'Feedstock Conversion Rates'!B$4)/12</f>
        <v>191.25</v>
      </c>
      <c r="CC467" s="106">
        <f t="shared" si="454"/>
        <v>191.25</v>
      </c>
      <c r="CD467" s="104">
        <f>('Renewable Diesel'!$AB476*'RD Feedstock Breakdown'!CD$3*'Feedstock Conversion Rates'!$B$6)/12-15-5</f>
        <v>12.830000000000005</v>
      </c>
      <c r="CE467" s="104">
        <f>('Renewable Diesel'!$AB476*'RD Feedstock Breakdown'!CE$3*'Feedstock Conversion Rates'!$B$4)/12+15+5</f>
        <v>31.25</v>
      </c>
      <c r="CF467" s="106">
        <f t="shared" si="450"/>
        <v>44.080000000000005</v>
      </c>
      <c r="CG467" s="104">
        <f>('Renewable Diesel'!AD476*'Feedstock Conversion Rates'!B$4)/12</f>
        <v>112.5</v>
      </c>
      <c r="CH467" s="106">
        <f t="shared" si="504"/>
        <v>112.5</v>
      </c>
      <c r="CI467" s="104">
        <f>('Renewable Diesel'!$AE476*'RD Feedstock Breakdown'!CI$3*'Feedstock Conversion Rates'!$B$5)/12</f>
        <v>0.34604166666666664</v>
      </c>
      <c r="CJ467" s="104">
        <f>('Renewable Diesel'!$AE476*'RD Feedstock Breakdown'!CJ$3*'Feedstock Conversion Rates'!$B$4)/12</f>
        <v>0.34375</v>
      </c>
      <c r="CK467" s="106">
        <f t="shared" si="447"/>
        <v>0.68979166666666658</v>
      </c>
      <c r="CL467" s="104">
        <f>(((CL$3*'Renewable Diesel'!$AF476)*'Feedstock Conversion Rates'!$B$3)/12)</f>
        <v>91.78125</v>
      </c>
      <c r="CM467" s="104">
        <f>(((CM$3*'Renewable Diesel'!$AF476)*'Feedstock Conversion Rates'!$B$6)/12)</f>
        <v>53.739583333333336</v>
      </c>
      <c r="CN467" s="104">
        <f>(((CN$3*'Renewable Diesel'!$AF476)*'Feedstock Conversion Rates'!$B$4)/12)</f>
        <v>42.96875</v>
      </c>
      <c r="CO467" s="106">
        <f t="shared" si="506"/>
        <v>188.48958333333334</v>
      </c>
      <c r="CP467" s="104">
        <f>('Renewable Diesel'!$AG476*'RD Feedstock Breakdown'!CP$3*'Feedstock Conversion Rates'!$B$3)/12</f>
        <v>6.0075000000000003</v>
      </c>
      <c r="CQ467" s="104">
        <f>('Renewable Diesel'!$AG476*'RD Feedstock Breakdown'!CQ$3*'Feedstock Conversion Rates'!$B$6)/12</f>
        <v>3.5175000000000001</v>
      </c>
      <c r="CR467" s="104">
        <f>('Renewable Diesel'!$AG476*'RD Feedstock Breakdown'!CR$3*'Feedstock Conversion Rates'!$B$4)/12</f>
        <v>2.8125</v>
      </c>
      <c r="CS467" s="106">
        <f t="shared" si="467"/>
        <v>12.3375</v>
      </c>
      <c r="CT467" s="104">
        <f>('Renewable Diesel'!AI476*'Feedstock Conversion Rates'!$B$4*'RD Feedstock Breakdown'!$CT$3)/12</f>
        <v>29.375</v>
      </c>
      <c r="CU467" s="106">
        <f t="shared" ref="CU467:CU495" si="508">CT467</f>
        <v>29.375</v>
      </c>
      <c r="CV467" s="104">
        <f>('Renewable Diesel'!AN476*'Feedstock Conversion Rates'!$B$3*'RD Feedstock Breakdown'!$CV$3)/12</f>
        <v>0.50062499999999999</v>
      </c>
      <c r="CW467" s="106">
        <f t="shared" si="485"/>
        <v>0.50062499999999999</v>
      </c>
      <c r="CX467" s="104">
        <f>('Renewable Diesel'!AO476*'RD Feedstock Breakdown'!$CX$3*'Feedstock Conversion Rates'!$B$3)/12</f>
        <v>6.3412499999999996</v>
      </c>
      <c r="CY467" s="104">
        <f>('Renewable Diesel'!AO476*'RD Feedstock Breakdown'!$CY$3*'Feedstock Conversion Rates'!$B$6)/12</f>
        <v>7.4258333333333342</v>
      </c>
      <c r="CZ467" s="106">
        <f t="shared" si="468"/>
        <v>13.767083333333334</v>
      </c>
      <c r="DA467" s="104">
        <f>('Renewable Diesel'!$AP476*'RD Feedstock Breakdown'!DA$3*'Feedstock Conversion Rates'!$B$3)/12</f>
        <v>6.3412499999999996</v>
      </c>
      <c r="DB467" s="104">
        <f>('Renewable Diesel'!$AP476*'RD Feedstock Breakdown'!DB$3*'Feedstock Conversion Rates'!$B$8)/12</f>
        <v>7.421875</v>
      </c>
      <c r="DC467" s="106">
        <f t="shared" si="488"/>
        <v>13.763124999999999</v>
      </c>
      <c r="DD467" s="104">
        <f>('Renewable Diesel'!AQ476*$DD$3*'Feedstock Conversion Rates'!$B$14)/12</f>
        <v>3.1041666666666665</v>
      </c>
      <c r="DE467" s="106">
        <f t="shared" si="489"/>
        <v>3.1041666666666665</v>
      </c>
      <c r="DF467" s="104">
        <f>('Renewable Diesel'!AR476*'Feedstock Conversion Rates'!$B$4*$DF$3)/12</f>
        <v>75</v>
      </c>
      <c r="DG467" s="106">
        <f t="shared" si="469"/>
        <v>75</v>
      </c>
      <c r="DH467" s="104">
        <f>('Renewable Diesel'!AS476*'Feedstock Conversion Rates'!$B$4*$DH$3)/12</f>
        <v>75</v>
      </c>
      <c r="DI467" s="106">
        <f t="shared" si="478"/>
        <v>75</v>
      </c>
      <c r="DJ467" s="104">
        <f>('Renewable Diesel'!AT476*'Feedstock Conversion Rates'!$B$4*0.25)/12</f>
        <v>8.59375</v>
      </c>
      <c r="DK467" s="104">
        <f>('Renewable Diesel'!$AT476*'RD Feedstock Breakdown'!DK$3*'Feedstock Conversion Rates'!$B$3)/12*0.5</f>
        <v>9.1781249999999996</v>
      </c>
      <c r="DL467" s="104">
        <f>('Renewable Diesel'!$AT476*'RD Feedstock Breakdown'!$DL$3*'Feedstock Conversion Rates'!$B$6)/12</f>
        <v>10.747916666666669</v>
      </c>
      <c r="DM467" s="104">
        <f>('Renewable Diesel'!$AT476*'RD Feedstock Breakdown'!$DM$3*'Feedstock Conversion Rates'!$B$8)/12</f>
        <v>10.7421875</v>
      </c>
      <c r="DN467" s="106">
        <f t="shared" si="453"/>
        <v>39.26197916666667</v>
      </c>
      <c r="DP467" s="104">
        <f t="shared" si="491"/>
        <v>103.22025000000001</v>
      </c>
      <c r="DQ467" s="104">
        <f t="shared" si="492"/>
        <v>349.11776750000007</v>
      </c>
      <c r="DR467" s="104">
        <f t="shared" si="497"/>
        <v>1891.953125</v>
      </c>
      <c r="DS467" s="104">
        <f t="shared" si="444"/>
        <v>228.90125</v>
      </c>
      <c r="DT467" s="104">
        <f t="shared" si="493"/>
        <v>243.03923333333344</v>
      </c>
      <c r="DU467" s="104">
        <f t="shared" si="494"/>
        <v>402.90610000000009</v>
      </c>
      <c r="DV467" s="104">
        <f t="shared" si="498"/>
        <v>78.75</v>
      </c>
      <c r="DW467" s="104">
        <f t="shared" si="495"/>
        <v>3</v>
      </c>
      <c r="DX467" s="106">
        <f t="shared" si="499"/>
        <v>3300.8877258333337</v>
      </c>
      <c r="DY467" s="109">
        <f t="shared" si="487"/>
        <v>-5.631051180898794E-13</v>
      </c>
      <c r="EA467" s="110">
        <f t="shared" ref="EA467:EA495" si="509">DP467/$DX467</f>
        <v>3.1270451640078516E-2</v>
      </c>
      <c r="EB467" s="110">
        <f t="shared" si="470"/>
        <v>0.10576481131658687</v>
      </c>
      <c r="EC467" s="110">
        <f t="shared" si="470"/>
        <v>0.57316494293133291</v>
      </c>
      <c r="ED467" s="110">
        <f t="shared" si="470"/>
        <v>6.9345360706629972E-2</v>
      </c>
      <c r="EE467" s="110">
        <f t="shared" si="470"/>
        <v>7.3628445896921982E-2</v>
      </c>
      <c r="EF467" s="110">
        <f t="shared" si="470"/>
        <v>0.1220599225010852</v>
      </c>
      <c r="EG467" s="110">
        <f t="shared" si="470"/>
        <v>2.3857218585075921E-2</v>
      </c>
      <c r="EH467" s="111">
        <f t="shared" si="500"/>
        <v>9.0884642228860647E-4</v>
      </c>
      <c r="EI467" s="110">
        <f t="shared" si="476"/>
        <v>0.99909115357771139</v>
      </c>
      <c r="EK467" s="132">
        <f>(EA467*'Renewable Diesel'!BF476*'Feedstock Conversion Rates'!B$2)+FB467</f>
        <v>697.81856857905132</v>
      </c>
      <c r="EL467" s="132">
        <f>(EB467*'Renewable Diesel'!BF476*'Feedstock Conversion Rates'!B$3)+FC467</f>
        <v>2224.1453076329913</v>
      </c>
      <c r="EM467" s="132">
        <f>(EC467*'Renewable Diesel'!BF476*'Feedstock Conversion Rates'!B$4)+FD467</f>
        <v>11285.747380333312</v>
      </c>
      <c r="EN467" s="132">
        <f>(ED467*'Renewable Diesel'!BF476*'Feedstock Conversion Rates'!B$5)+FE467</f>
        <v>1374.5286776556923</v>
      </c>
      <c r="EO467" s="132">
        <f>(EE467*'Renewable Diesel'!BF476*'Feedstock Conversion Rates'!B$6)+FF467</f>
        <v>1813.1674509102663</v>
      </c>
      <c r="EP467" s="132">
        <f>(EF467*'Renewable Diesel'!BF476*'Feedstock Conversion Rates'!B$7)+FG467</f>
        <v>2948.1553147801078</v>
      </c>
      <c r="EQ467" s="132">
        <f>(EG467*'Renewable Diesel'!BF476*'Feedstock Conversion Rates'!B$8)+FH467</f>
        <v>587.19253826733188</v>
      </c>
      <c r="ER467" s="132">
        <f>(EH467*'Renewable Diesel'!BF476*'Feedstock Conversion Rates'!B$9)+FI467</f>
        <v>22.070983025667328</v>
      </c>
      <c r="ES467" s="132">
        <f t="shared" si="501"/>
        <v>20952.826221184423</v>
      </c>
      <c r="ET467" s="133">
        <f>ES467/'Renewable Diesel'!BF476</f>
        <v>19.044770972833515</v>
      </c>
      <c r="EW467" s="73">
        <f t="shared" si="461"/>
        <v>20015.122098489926</v>
      </c>
      <c r="EX467" s="73">
        <f t="shared" si="462"/>
        <v>13110.014605050643</v>
      </c>
      <c r="EY467" s="92">
        <f t="shared" si="477"/>
        <v>0.95524689066783608</v>
      </c>
      <c r="EZ467" s="92">
        <f t="shared" si="477"/>
        <v>0.62569194564290898</v>
      </c>
      <c r="FB467" s="102">
        <f>IF('Renewable Diesel'!$BG476&lt;1,0,(((('Renewable Diesel'!$BG476-1)*'Renewable Diesel'!$BF476)*'RD Feedstock Breakdown'!EA467)*'Feedstock Conversion Rates'!$B$2))</f>
        <v>405.38990718634415</v>
      </c>
      <c r="FC467" s="102">
        <f>IF('Renewable Diesel'!$BG476&lt;1,0,(((('Renewable Diesel'!$BG476-1)*'Renewable Diesel'!$BF476)*'RD Feedstock Breakdown'!EB467)*'Feedstock Conversion Rates'!$B$3))</f>
        <v>1292.0923868023146</v>
      </c>
      <c r="FD467" s="102">
        <f>IF('Renewable Diesel'!$BG476&lt;1,0,(((('Renewable Diesel'!$BG476-1)*'Renewable Diesel'!$BF476)*'RD Feedstock Breakdown'!EC467)*'Feedstock Conversion Rates'!$B$4))</f>
        <v>6556.328950027877</v>
      </c>
      <c r="FE467" s="102">
        <f>IF('Renewable Diesel'!$BG476&lt;1,0,(((('Renewable Diesel'!$BG476-1)*'Renewable Diesel'!$BF476)*'RD Feedstock Breakdown'!ED467)*'Feedstock Conversion Rates'!$B$5))</f>
        <v>798.51709047304541</v>
      </c>
      <c r="FF467" s="102">
        <f>IF('Renewable Diesel'!$BG476&lt;1,0,(((('Renewable Diesel'!$BG476-1)*'Renewable Diesel'!$BF476)*'RD Feedstock Breakdown'!EE467)*'Feedstock Conversion Rates'!$B$6))</f>
        <v>1053.3393889683307</v>
      </c>
      <c r="FG467" s="102">
        <f>IF('Renewable Diesel'!$BG476&lt;1,0,(((('Renewable Diesel'!$BG476-1)*'Renewable Diesel'!$BF476)*'RD Feedstock Breakdown'!EF467)*'Feedstock Conversion Rates'!$B$7))</f>
        <v>1712.6979178316949</v>
      </c>
      <c r="FH467" s="102">
        <f>IF('Renewable Diesel'!$BG476&lt;1,0,(((('Renewable Diesel'!$BG476-1)*'Renewable Diesel'!$BF476)*'RD Feedstock Breakdown'!EG467)*'Feedstock Conversion Rates'!$B$8))</f>
        <v>341.12294987137659</v>
      </c>
      <c r="FI467" s="102">
        <f>IF('Renewable Diesel'!$BG476&lt;1,0,(((('Renewable Diesel'!$BG476-1)*'Renewable Diesel'!$BF476)*'RD Feedstock Breakdown'!EH467)*'Feedstock Conversion Rates'!$B$9))</f>
        <v>12.82189119516539</v>
      </c>
      <c r="FJ467" s="102">
        <f t="shared" si="463"/>
        <v>12172.310482356148</v>
      </c>
      <c r="GD467" s="91">
        <f>'Renewable Diesel'!BB476*0.32</f>
        <v>0</v>
      </c>
      <c r="GE467" s="91">
        <f>'Renewable Diesel'!BC476</f>
        <v>593.22229230504502</v>
      </c>
      <c r="GF467" s="91">
        <f>'Renewable Diesel'!BD476</f>
        <v>0</v>
      </c>
      <c r="GG467" s="91">
        <f t="shared" si="451"/>
        <v>593.22229230504502</v>
      </c>
      <c r="GH467" s="124">
        <v>1</v>
      </c>
      <c r="GI467" s="102">
        <f>$GG467*EA467*'Feedstock Conversion Rates'!$B$2</f>
        <v>157.67779652840215</v>
      </c>
      <c r="GJ467" s="102">
        <f>$GG467*EB467*'Feedstock Conversion Rates'!$B$3</f>
        <v>502.56377095363416</v>
      </c>
      <c r="GK467" s="102">
        <f>$GG467*EC467*'Feedstock Conversion Rates'!$B$4</f>
        <v>2550.1066598596171</v>
      </c>
      <c r="GL467" s="102">
        <f>$GG467*ED467*'Feedstock Conversion Rates'!$B$5</f>
        <v>310.58596448525952</v>
      </c>
      <c r="GM467" s="102">
        <f>$GG467*EE467*'Feedstock Conversion Rates'!$B$6</f>
        <v>409.69997255692584</v>
      </c>
      <c r="GN467" s="102">
        <f>$GG467*EF467*'Feedstock Conversion Rates'!$B$7</f>
        <v>666.15973662696308</v>
      </c>
      <c r="GO467" s="102">
        <f>$GG467*EG467*'Feedstock Conversion Rates'!$B$8</f>
        <v>132.68094278494931</v>
      </c>
      <c r="GP467" s="102">
        <f>$GG467*EH467*'Feedstock Conversion Rates'!B$9</f>
        <v>4.9871186113453962</v>
      </c>
      <c r="GQ467" s="102">
        <f t="shared" si="502"/>
        <v>4734.4619624070965</v>
      </c>
      <c r="GT467" s="103">
        <f t="shared" si="484"/>
        <v>3.3304269372191886E-2</v>
      </c>
      <c r="GU467" s="103">
        <f t="shared" si="484"/>
        <v>0.10615013383656387</v>
      </c>
      <c r="GV467" s="103">
        <f t="shared" si="484"/>
        <v>0.53862649654979811</v>
      </c>
      <c r="GW467" s="103">
        <f t="shared" si="484"/>
        <v>6.5601110950176761E-2</v>
      </c>
      <c r="GX467" s="103">
        <f t="shared" si="465"/>
        <v>8.6535698419388296E-2</v>
      </c>
      <c r="GY467" s="103">
        <f t="shared" si="465"/>
        <v>0.14070442257566979</v>
      </c>
      <c r="GZ467" s="103">
        <f t="shared" si="465"/>
        <v>2.8024502855545516E-2</v>
      </c>
      <c r="HA467" s="103">
        <f t="shared" si="465"/>
        <v>1.0533654406655838E-3</v>
      </c>
    </row>
    <row r="468" spans="1:209" x14ac:dyDescent="0.25">
      <c r="A468" s="96">
        <v>54667</v>
      </c>
      <c r="B468" s="104">
        <f t="shared" si="473"/>
        <v>44.25</v>
      </c>
      <c r="C468" s="104">
        <f t="shared" si="466"/>
        <v>49</v>
      </c>
      <c r="D468" s="104">
        <f t="shared" si="474"/>
        <v>2</v>
      </c>
      <c r="E468" s="104">
        <f>('Renewable Diesel'!B477*E$3*'Feedstock Conversion Rates'!$B$2)/12+26+13-100+27.5+39</f>
        <v>95.43</v>
      </c>
      <c r="F468" s="104">
        <f>('Renewable Diesel'!B477*'RD Feedstock Breakdown'!F$3*'Feedstock Conversion Rates'!B$8)/12+77+23-10-12-115.75+24+8</f>
        <v>48.15625</v>
      </c>
      <c r="G468" s="104">
        <f>('Renewable Diesel'!B477*'RD Feedstock Breakdown'!G$3*'Feedstock Conversion Rates'!B$7)/12+116.75-39-57.5-145-31.5+32+70-40+10+60</f>
        <v>151.90700000000004</v>
      </c>
      <c r="H468" s="104">
        <f>('Renewable Diesel'!B477*'RD Feedstock Breakdown'!H$3*'Feedstock Conversion Rates'!B$3)/12+67+10+12+3-235+20+47-20+25</f>
        <v>105.40022499999998</v>
      </c>
      <c r="I468" s="106">
        <f t="shared" si="449"/>
        <v>496.14347500000002</v>
      </c>
      <c r="J468" s="104">
        <f t="shared" si="483"/>
        <v>4</v>
      </c>
      <c r="K468" s="104"/>
      <c r="L468" s="104">
        <v>1</v>
      </c>
      <c r="M468" s="104">
        <f>('Renewable Diesel'!C477*'RD Feedstock Breakdown'!M$3*'Feedstock Conversion Rates'!B$2)/12</f>
        <v>7.7902500000000003</v>
      </c>
      <c r="N468" s="104">
        <f>('Renewable Diesel'!C477*'RD Feedstock Breakdown'!N$3*'Feedstock Conversion Rates'!B$8)/12</f>
        <v>3.671875</v>
      </c>
      <c r="O468" s="104">
        <f>('Renewable Diesel'!C477*'RD Feedstock Breakdown'!O$3*'Feedstock Conversion Rates'!B$7)/12</f>
        <v>11.9991</v>
      </c>
      <c r="P468" s="104">
        <f>('Renewable Diesel'!C477*'RD Feedstock Breakdown'!P$3*'Feedstock Conversion Rates'!B$3)/12</f>
        <v>10.4470425</v>
      </c>
      <c r="Q468" s="106">
        <f t="shared" si="455"/>
        <v>38.908267500000001</v>
      </c>
      <c r="R468" s="104">
        <f>('Renewable Diesel'!D477*'RD Feedstock Breakdown'!R$3*'Feedstock Conversion Rates'!B$7)/12</f>
        <v>2.2999999999999998</v>
      </c>
      <c r="S468" s="106">
        <f t="shared" si="481"/>
        <v>2.2999999999999998</v>
      </c>
      <c r="T468" s="104">
        <f t="shared" si="456"/>
        <v>0.82499999999999929</v>
      </c>
      <c r="U468" s="104"/>
      <c r="V468" s="104">
        <f>('Renewable Diesel'!E477*'RD Feedstock Breakdown'!V$3*'Feedstock Conversion Rates'!B$6)/12-20+25</f>
        <v>49.250150000000012</v>
      </c>
      <c r="W468" s="104">
        <f>('Renewable Diesel'!E477*'RD Feedstock Breakdown'!W$3*'Feedstock Conversion Rates'!B$8)/12-6</f>
        <v>16.1796875</v>
      </c>
      <c r="X468" s="106">
        <f t="shared" si="503"/>
        <v>66.254837500000008</v>
      </c>
      <c r="Y468" s="104">
        <f t="shared" si="457"/>
        <v>98</v>
      </c>
      <c r="Z468" s="104">
        <f>('Renewable Diesel'!F477*'RD Feedstock Breakdown'!Z$3*'Feedstock Conversion Rates'!B$6)/12-142+15+5+20+5+15</f>
        <v>77.460000000000008</v>
      </c>
      <c r="AA468" s="104">
        <f>('Renewable Diesel'!F477*'RD Feedstock Breakdown'!AA$3*'Feedstock Conversion Rates'!B$7)/12+24</f>
        <v>128.26666666666665</v>
      </c>
      <c r="AB468" s="106">
        <f t="shared" si="471"/>
        <v>303.72666666666669</v>
      </c>
      <c r="AC468" s="104">
        <f>('Renewable Diesel'!G477*'RD Feedstock Breakdown'!AC$3*'Feedstock Conversion Rates'!B$5)/12</f>
        <v>11.796875</v>
      </c>
      <c r="AD468" s="104">
        <f>('Renewable Diesel'!G477*'RD Feedstock Breakdown'!AD$3*'Feedstock Conversion Rates'!B$4)/12</f>
        <v>5.859375</v>
      </c>
      <c r="AE468" s="104">
        <f>('Renewable Diesel'!G477*'RD Feedstock Breakdown'!AE$3*'Feedstock Conversion Rates'!B$6)/12</f>
        <v>7.3281250000000009</v>
      </c>
      <c r="AF468" s="106">
        <f t="shared" si="445"/>
        <v>24.984375</v>
      </c>
      <c r="AG468" s="104">
        <f t="shared" si="459"/>
        <v>148</v>
      </c>
      <c r="AH468" s="104"/>
      <c r="AI468" s="104">
        <f>('Renewable Diesel'!H477*'RD Feedstock Breakdown'!AI$3*'Feedstock Conversion Rates'!B$6)/12-130-20+51-49</f>
        <v>0.51666666666667993</v>
      </c>
      <c r="AJ468" s="106">
        <f t="shared" si="480"/>
        <v>148.51666666666668</v>
      </c>
      <c r="AK468" s="104">
        <f>('Renewable Diesel'!J477*'RD Feedstock Breakdown'!AK$3*'Feedstock Conversion Rates'!B$4)/12</f>
        <v>95.8125</v>
      </c>
      <c r="AL468" s="106">
        <f t="shared" si="482"/>
        <v>95.8125</v>
      </c>
      <c r="AM468" s="104">
        <f>('Renewable Diesel'!K477*'RD Feedstock Breakdown'!AM$3*'Feedstock Conversion Rates'!B$4)/12+5+15-10+10</f>
        <v>78.59375</v>
      </c>
      <c r="AN468" s="104">
        <f>('Renewable Diesel'!K477*'RD Feedstock Breakdown'!AN$3*'Feedstock Conversion Rates'!B$6)/12-5-15+10-10</f>
        <v>4.4270833333333321</v>
      </c>
      <c r="AO468" s="106">
        <f t="shared" si="496"/>
        <v>83.020833333333329</v>
      </c>
      <c r="AP468" s="104">
        <f>('Renewable Diesel'!L477*'RD Feedstock Breakdown'!AP$3*'Feedstock Conversion Rates'!B$4)/12+15-10+15</f>
        <v>78.59375</v>
      </c>
      <c r="AQ468" s="104">
        <f>('Renewable Diesel'!L477*'RD Feedstock Breakdown'!AQ$3*'Feedstock Conversion Rates'!B$6)/12-15+10-15</f>
        <v>4.4270833333333321</v>
      </c>
      <c r="AR468" s="106">
        <f t="shared" si="486"/>
        <v>83.020833333333329</v>
      </c>
      <c r="AS468" s="104">
        <f>('Renewable Diesel'!M477*'RD Feedstock Breakdown'!AS$3*'Feedstock Conversion Rates'!B$4)/12</f>
        <v>456.25</v>
      </c>
      <c r="AT468" s="104">
        <f>('Renewable Diesel'!M477*'RD Feedstock Breakdown'!AT$3*'Feedstock Conversion Rates'!B$5)/12</f>
        <v>0</v>
      </c>
      <c r="AU468" s="106">
        <f t="shared" si="448"/>
        <v>456.25</v>
      </c>
      <c r="AV468" s="104">
        <f>'Renewable Diesel'!N477*'RD Feedstock Breakdown'!$AV$3*'Feedstock Conversion Rates'!$B$4/12-15-10+25+25-22+25</f>
        <v>106.74999999999999</v>
      </c>
      <c r="AW468" s="104">
        <f>'Renewable Diesel'!N477*'RD Feedstock Breakdown'!$AW$3*'Feedstock Conversion Rates'!$B$7/12+15+10-25-25+22-25</f>
        <v>13.400000000000006</v>
      </c>
      <c r="AX468" s="106">
        <f t="shared" si="475"/>
        <v>120.14999999999999</v>
      </c>
      <c r="AY468" s="104">
        <f>('Renewable Diesel'!O477*'RD Feedstock Breakdown'!AY$3*'Feedstock Conversion Rates'!B$4)/12</f>
        <v>210.9375</v>
      </c>
      <c r="AZ468" s="104">
        <f>('Renewable Diesel'!O477*'RD Feedstock Breakdown'!AZ$3*'Feedstock Conversion Rates'!B$3)/12</f>
        <v>25.03125</v>
      </c>
      <c r="BA468" s="106">
        <f t="shared" si="458"/>
        <v>235.96875</v>
      </c>
      <c r="BB468" s="104">
        <f>('Renewable Diesel'!Q477*'RD Feedstock Breakdown'!BB$3*'Feedstock Conversion Rates'!B$4)/12</f>
        <v>11.156249999999998</v>
      </c>
      <c r="BC468" s="104">
        <f>('Renewable Diesel'!Q477*'RD Feedstock Breakdown'!BC$3*'Feedstock Conversion Rates'!B$3)/12</f>
        <v>1.4017500000000001</v>
      </c>
      <c r="BD468" s="104">
        <f>('Renewable Diesel'!Q477*'RD Feedstock Breakdown'!BD$3*'Feedstock Conversion Rates'!B$6)/12</f>
        <v>0.8207500000000002</v>
      </c>
      <c r="BE468" s="106">
        <f t="shared" si="505"/>
        <v>13.378749999999998</v>
      </c>
      <c r="BF468" s="104">
        <f>('Renewable Diesel'!R477*'RD Feedstock Breakdown'!BF$3*'Feedstock Conversion Rates'!B$4)/12</f>
        <v>62.5</v>
      </c>
      <c r="BG468" s="106">
        <f t="shared" si="490"/>
        <v>62.5</v>
      </c>
      <c r="BH468" s="104">
        <f>('Renewable Diesel'!T477*'RD Feedstock Breakdown'!BH$3*'Feedstock Conversion Rates'!B$7)/12</f>
        <v>27.599999999999998</v>
      </c>
      <c r="BI468" s="106">
        <f t="shared" si="479"/>
        <v>27.599999999999998</v>
      </c>
      <c r="BJ468" s="104">
        <f>('Renewable Diesel'!W477*'RD Feedstock Breakdown'!BJ$3*'Feedstock Conversion Rates'!B$4)/12</f>
        <v>7.5</v>
      </c>
      <c r="BK468" s="104">
        <f>('Renewable Diesel'!W477*'RD Feedstock Breakdown'!BK$3*'Feedstock Conversion Rates'!B$3)/12</f>
        <v>1.335</v>
      </c>
      <c r="BL468" s="104">
        <f>('Renewable Diesel'!W477*'RD Feedstock Breakdown'!BL$3*'Feedstock Conversion Rates'!B$6)/12</f>
        <v>3.1266666666666669</v>
      </c>
      <c r="BM468" s="104">
        <f>('Renewable Diesel'!W477*'RD Feedstock Breakdown'!BM$3*'Feedstock Conversion Rates'!B$7)/12</f>
        <v>1.5333333333333332</v>
      </c>
      <c r="BN468" s="106">
        <f t="shared" si="452"/>
        <v>13.495000000000001</v>
      </c>
      <c r="BO468" s="104">
        <f>('Renewable Diesel'!P477*'Feedstock Conversion Rates'!B$4)/12</f>
        <v>31.25</v>
      </c>
      <c r="BP468" s="106">
        <f t="shared" si="446"/>
        <v>31.25</v>
      </c>
      <c r="BQ468" s="104">
        <f>('Renewable Diesel'!$S477*'RD Feedstock Breakdown'!BQ$3*'Feedstock Conversion Rates'!B$4)/12+10+15-15</f>
        <v>38.125</v>
      </c>
      <c r="BR468" s="104">
        <f>('Renewable Diesel'!$S477*'RD Feedstock Breakdown'!BR$3*'Feedstock Conversion Rates'!B$7)/12-10-15+15</f>
        <v>1.5</v>
      </c>
      <c r="BS468" s="106">
        <f t="shared" si="460"/>
        <v>39.625</v>
      </c>
      <c r="BT468" s="106"/>
      <c r="BU468" s="104">
        <f>('Renewable Diesel'!Y477*'Feedstock Conversion Rates'!B$7)/12</f>
        <v>2.6833333333333331</v>
      </c>
      <c r="BV468" s="106">
        <f t="shared" si="507"/>
        <v>2.6833333333333331</v>
      </c>
      <c r="BW468" s="104">
        <f>('Renewable Diesel'!$Z477*'RD Feedstock Breakdown'!BW$3*'Feedstock Conversion Rates'!$B$4)/12-250+180</f>
        <v>1.875</v>
      </c>
      <c r="BX468" s="104">
        <f>('Renewable Diesel'!$Z477*'RD Feedstock Breakdown'!BX$3*'Feedstock Conversion Rates'!$B$5)/12</f>
        <v>7.2354166666666666</v>
      </c>
      <c r="BY468" s="104">
        <f>('Renewable Diesel'!$Z477*'RD Feedstock Breakdown'!BY$3*'Feedstock Conversion Rates'!$B$7)/12</f>
        <v>61.716666666666661</v>
      </c>
      <c r="BZ468" s="104">
        <f>('Renewable Diesel'!$Z477*'RD Feedstock Breakdown'!BZ$3*'Feedstock Conversion Rates'!$B$3)/12+250-180</f>
        <v>85.35250000000002</v>
      </c>
      <c r="CA468" s="106">
        <f t="shared" si="464"/>
        <v>156.17958333333334</v>
      </c>
      <c r="CB468" s="104">
        <f>('Renewable Diesel'!AA477*'Feedstock Conversion Rates'!B$4)/12</f>
        <v>191.25</v>
      </c>
      <c r="CC468" s="106">
        <f t="shared" si="454"/>
        <v>191.25</v>
      </c>
      <c r="CD468" s="104">
        <f>('Renewable Diesel'!$AB477*'RD Feedstock Breakdown'!CD$3*'Feedstock Conversion Rates'!$B$6)/12-15-5</f>
        <v>12.830000000000005</v>
      </c>
      <c r="CE468" s="104">
        <f>('Renewable Diesel'!$AB477*'RD Feedstock Breakdown'!CE$3*'Feedstock Conversion Rates'!$B$4)/12+15+5</f>
        <v>31.25</v>
      </c>
      <c r="CF468" s="106">
        <f t="shared" si="450"/>
        <v>44.080000000000005</v>
      </c>
      <c r="CG468" s="104">
        <f>('Renewable Diesel'!AD477*'Feedstock Conversion Rates'!B$4)/12</f>
        <v>112.5</v>
      </c>
      <c r="CH468" s="106">
        <f t="shared" si="504"/>
        <v>112.5</v>
      </c>
      <c r="CI468" s="104">
        <f>('Renewable Diesel'!$AE477*'RD Feedstock Breakdown'!CI$3*'Feedstock Conversion Rates'!$B$5)/12</f>
        <v>0.34604166666666664</v>
      </c>
      <c r="CJ468" s="104">
        <f>('Renewable Diesel'!$AE477*'RD Feedstock Breakdown'!CJ$3*'Feedstock Conversion Rates'!$B$4)/12</f>
        <v>0.34375</v>
      </c>
      <c r="CK468" s="106">
        <f t="shared" si="447"/>
        <v>0.68979166666666658</v>
      </c>
      <c r="CL468" s="104">
        <f>(((CL$3*'Renewable Diesel'!$AF477)*'Feedstock Conversion Rates'!$B$3)/12)</f>
        <v>91.78125</v>
      </c>
      <c r="CM468" s="104">
        <f>(((CM$3*'Renewable Diesel'!$AF477)*'Feedstock Conversion Rates'!$B$6)/12)</f>
        <v>53.739583333333336</v>
      </c>
      <c r="CN468" s="104">
        <f>(((CN$3*'Renewable Diesel'!$AF477)*'Feedstock Conversion Rates'!$B$4)/12)</f>
        <v>42.96875</v>
      </c>
      <c r="CO468" s="106">
        <f t="shared" si="506"/>
        <v>188.48958333333334</v>
      </c>
      <c r="CP468" s="104">
        <f>('Renewable Diesel'!$AG477*'RD Feedstock Breakdown'!CP$3*'Feedstock Conversion Rates'!$B$3)/12</f>
        <v>6.0075000000000003</v>
      </c>
      <c r="CQ468" s="104">
        <f>('Renewable Diesel'!$AG477*'RD Feedstock Breakdown'!CQ$3*'Feedstock Conversion Rates'!$B$6)/12</f>
        <v>3.5175000000000001</v>
      </c>
      <c r="CR468" s="104">
        <f>('Renewable Diesel'!$AG477*'RD Feedstock Breakdown'!CR$3*'Feedstock Conversion Rates'!$B$4)/12</f>
        <v>2.8125</v>
      </c>
      <c r="CS468" s="106">
        <f t="shared" si="467"/>
        <v>12.3375</v>
      </c>
      <c r="CT468" s="104">
        <f>('Renewable Diesel'!AI477*'Feedstock Conversion Rates'!$B$4*'RD Feedstock Breakdown'!$CT$3)/12</f>
        <v>29.375</v>
      </c>
      <c r="CU468" s="106">
        <f t="shared" si="508"/>
        <v>29.375</v>
      </c>
      <c r="CV468" s="104">
        <f>('Renewable Diesel'!AN477*'Feedstock Conversion Rates'!$B$3*'RD Feedstock Breakdown'!$CV$3)/12</f>
        <v>0.50062499999999999</v>
      </c>
      <c r="CW468" s="106">
        <f t="shared" si="485"/>
        <v>0.50062499999999999</v>
      </c>
      <c r="CX468" s="104">
        <f>('Renewable Diesel'!AO477*'RD Feedstock Breakdown'!$CX$3*'Feedstock Conversion Rates'!$B$3)/12</f>
        <v>6.3412499999999996</v>
      </c>
      <c r="CY468" s="104">
        <f>('Renewable Diesel'!AO477*'RD Feedstock Breakdown'!$CY$3*'Feedstock Conversion Rates'!$B$6)/12</f>
        <v>7.4258333333333342</v>
      </c>
      <c r="CZ468" s="106">
        <f t="shared" si="468"/>
        <v>13.767083333333334</v>
      </c>
      <c r="DA468" s="104">
        <f>('Renewable Diesel'!$AP477*'RD Feedstock Breakdown'!DA$3*'Feedstock Conversion Rates'!$B$3)/12</f>
        <v>6.3412499999999996</v>
      </c>
      <c r="DB468" s="104">
        <f>('Renewable Diesel'!$AP477*'RD Feedstock Breakdown'!DB$3*'Feedstock Conversion Rates'!$B$8)/12</f>
        <v>7.421875</v>
      </c>
      <c r="DC468" s="106">
        <f t="shared" si="488"/>
        <v>13.763124999999999</v>
      </c>
      <c r="DD468" s="104">
        <f>('Renewable Diesel'!AQ477*$DD$3*'Feedstock Conversion Rates'!$B$14)/12</f>
        <v>3.1041666666666665</v>
      </c>
      <c r="DE468" s="106">
        <f t="shared" si="489"/>
        <v>3.1041666666666665</v>
      </c>
      <c r="DF468" s="104">
        <f>('Renewable Diesel'!AR477*'Feedstock Conversion Rates'!$B$4*$DF$3)/12</f>
        <v>75</v>
      </c>
      <c r="DG468" s="106">
        <f t="shared" si="469"/>
        <v>75</v>
      </c>
      <c r="DH468" s="104">
        <f>('Renewable Diesel'!AS477*'Feedstock Conversion Rates'!$B$4*$DH$3)/12</f>
        <v>75</v>
      </c>
      <c r="DI468" s="106">
        <f t="shared" si="478"/>
        <v>75</v>
      </c>
      <c r="DJ468" s="104">
        <f>('Renewable Diesel'!AT477*'Feedstock Conversion Rates'!$B$4*0.25)/12</f>
        <v>8.59375</v>
      </c>
      <c r="DK468" s="104">
        <f>('Renewable Diesel'!$AT477*'RD Feedstock Breakdown'!DK$3*'Feedstock Conversion Rates'!$B$3)/12*0.5</f>
        <v>9.1781249999999996</v>
      </c>
      <c r="DL468" s="104">
        <f>('Renewable Diesel'!$AT477*'RD Feedstock Breakdown'!$DL$3*'Feedstock Conversion Rates'!$B$6)/12</f>
        <v>10.747916666666669</v>
      </c>
      <c r="DM468" s="104">
        <f>('Renewable Diesel'!$AT477*'RD Feedstock Breakdown'!$DM$3*'Feedstock Conversion Rates'!$B$8)/12</f>
        <v>10.7421875</v>
      </c>
      <c r="DN468" s="106">
        <f t="shared" si="453"/>
        <v>39.26197916666667</v>
      </c>
      <c r="DP468" s="104">
        <f t="shared" si="491"/>
        <v>103.22025000000001</v>
      </c>
      <c r="DQ468" s="104">
        <f t="shared" si="492"/>
        <v>349.11776750000007</v>
      </c>
      <c r="DR468" s="104">
        <f t="shared" si="497"/>
        <v>1891.953125</v>
      </c>
      <c r="DS468" s="104">
        <f t="shared" ref="DS468:DS495" si="510">AC468+C468+BX468+CI468+DD468+AG468+T468+DJ468+AT468+K468</f>
        <v>228.90125</v>
      </c>
      <c r="DT468" s="104">
        <f t="shared" si="493"/>
        <v>243.03923333333344</v>
      </c>
      <c r="DU468" s="104">
        <f t="shared" si="494"/>
        <v>402.90610000000009</v>
      </c>
      <c r="DV468" s="104">
        <f t="shared" si="498"/>
        <v>78.75</v>
      </c>
      <c r="DW468" s="104">
        <f t="shared" si="495"/>
        <v>3</v>
      </c>
      <c r="DX468" s="106">
        <f t="shared" si="499"/>
        <v>3300.8877258333337</v>
      </c>
      <c r="DY468" s="109">
        <f t="shared" si="487"/>
        <v>-5.631051180898794E-13</v>
      </c>
      <c r="EA468" s="110">
        <f t="shared" si="509"/>
        <v>3.1270451640078516E-2</v>
      </c>
      <c r="EB468" s="110">
        <f t="shared" si="470"/>
        <v>0.10576481131658687</v>
      </c>
      <c r="EC468" s="110">
        <f t="shared" si="470"/>
        <v>0.57316494293133291</v>
      </c>
      <c r="ED468" s="110">
        <f t="shared" si="470"/>
        <v>6.9345360706629972E-2</v>
      </c>
      <c r="EE468" s="110">
        <f t="shared" si="470"/>
        <v>7.3628445896921982E-2</v>
      </c>
      <c r="EF468" s="110">
        <f t="shared" si="470"/>
        <v>0.1220599225010852</v>
      </c>
      <c r="EG468" s="110">
        <f t="shared" si="470"/>
        <v>2.3857218585075921E-2</v>
      </c>
      <c r="EH468" s="111">
        <f t="shared" si="500"/>
        <v>9.0884642228860647E-4</v>
      </c>
      <c r="EI468" s="110">
        <f t="shared" si="476"/>
        <v>0.99909115357771139</v>
      </c>
      <c r="EK468" s="132">
        <f>(EA468*'Renewable Diesel'!BF477*'Feedstock Conversion Rates'!B$2)+FB468</f>
        <v>883.17095020302133</v>
      </c>
      <c r="EL468" s="132">
        <f>(EB468*'Renewable Diesel'!BF477*'Feedstock Conversion Rates'!B$3)+FC468</f>
        <v>2814.9158150544363</v>
      </c>
      <c r="EM468" s="132">
        <f>(EC468*'Renewable Diesel'!BF477*'Feedstock Conversion Rates'!B$4)+FD468</f>
        <v>14283.432236456898</v>
      </c>
      <c r="EN468" s="132">
        <f>(ED468*'Renewable Diesel'!BF477*'Feedstock Conversion Rates'!B$5)+FE468</f>
        <v>1739.6266780323717</v>
      </c>
      <c r="EO468" s="132">
        <f>(EE468*'Renewable Diesel'!BF477*'Feedstock Conversion Rates'!B$6)+FF468</f>
        <v>2294.7753077972229</v>
      </c>
      <c r="EP468" s="132">
        <f>(EF468*'Renewable Diesel'!BF477*'Feedstock Conversion Rates'!B$7)+FG468</f>
        <v>3731.2350916690693</v>
      </c>
      <c r="EQ468" s="132">
        <f>(EG468*'Renewable Diesel'!BF477*'Feedstock Conversion Rates'!B$8)+FH468</f>
        <v>743.16078035824808</v>
      </c>
      <c r="ER468" s="132">
        <f>(EH468*'Renewable Diesel'!BF477*'Feedstock Conversion Rates'!B$9)+FI468</f>
        <v>27.933408379179863</v>
      </c>
      <c r="ES468" s="132">
        <f t="shared" si="501"/>
        <v>26518.250267950447</v>
      </c>
      <c r="ET468" s="133">
        <f>ES468/'Renewable Diesel'!BF477</f>
        <v>21.425298500232767</v>
      </c>
      <c r="EW468" s="73">
        <f t="shared" si="461"/>
        <v>26077.528237697923</v>
      </c>
      <c r="EX468" s="73">
        <f t="shared" si="462"/>
        <v>17080.923832367418</v>
      </c>
      <c r="EY468" s="92">
        <f t="shared" si="477"/>
        <v>0.98338042571439288</v>
      </c>
      <c r="EZ468" s="92">
        <f t="shared" si="477"/>
        <v>0.64411956519662095</v>
      </c>
      <c r="FB468" s="102">
        <f>IF('Renewable Diesel'!$BG477&lt;1,0,(((('Renewable Diesel'!$BG477-1)*'Renewable Diesel'!$BF477)*'RD Feedstock Breakdown'!EA468)*'Feedstock Conversion Rates'!$B$2))</f>
        <v>554.18976322526726</v>
      </c>
      <c r="FC468" s="102">
        <f>IF('Renewable Diesel'!$BG477&lt;1,0,(((('Renewable Diesel'!$BG477-1)*'Renewable Diesel'!$BF477)*'RD Feedstock Breakdown'!EB468)*'Feedstock Conversion Rates'!$B$3))</f>
        <v>1766.3596483619274</v>
      </c>
      <c r="FD468" s="102">
        <f>IF('Renewable Diesel'!$BG477&lt;1,0,(((('Renewable Diesel'!$BG477-1)*'Renewable Diesel'!$BF477)*'RD Feedstock Breakdown'!EC468)*'Feedstock Conversion Rates'!$B$4))</f>
        <v>8962.8535985547842</v>
      </c>
      <c r="FE468" s="102">
        <f>IF('Renewable Diesel'!$BG477&lt;1,0,(((('Renewable Diesel'!$BG477-1)*'Renewable Diesel'!$BF477)*'RD Feedstock Breakdown'!ED468)*'Feedstock Conversion Rates'!$B$5))</f>
        <v>1091.6157246538703</v>
      </c>
      <c r="FF468" s="102">
        <f>IF('Renewable Diesel'!$BG477&lt;1,0,(((('Renewable Diesel'!$BG477-1)*'Renewable Diesel'!$BF477)*'RD Feedstock Breakdown'!EE468)*'Feedstock Conversion Rates'!$B$6))</f>
        <v>1439.971484785576</v>
      </c>
      <c r="FG468" s="102">
        <f>IF('Renewable Diesel'!$BG477&lt;1,0,(((('Renewable Diesel'!$BG477-1)*'Renewable Diesel'!$BF477)*'RD Feedstock Breakdown'!EF468)*'Feedstock Conversion Rates'!$B$7))</f>
        <v>2341.3499861091964</v>
      </c>
      <c r="FH468" s="102">
        <f>IF('Renewable Diesel'!$BG477&lt;1,0,(((('Renewable Diesel'!$BG477-1)*'Renewable Diesel'!$BF477)*'RD Feedstock Breakdown'!EG468)*'Feedstock Conversion Rates'!$B$8))</f>
        <v>466.3333829202225</v>
      </c>
      <c r="FI468" s="102">
        <f>IF('Renewable Diesel'!$BG477&lt;1,0,(((('Renewable Diesel'!$BG477-1)*'Renewable Diesel'!$BF477)*'RD Feedstock Breakdown'!EH468)*'Feedstock Conversion Rates'!$B$9))</f>
        <v>17.528213504048999</v>
      </c>
      <c r="FJ468" s="102">
        <f t="shared" si="463"/>
        <v>16640.201802114894</v>
      </c>
      <c r="GD468" s="91">
        <f>'Renewable Diesel'!BB477*0.32</f>
        <v>0</v>
      </c>
      <c r="GE468" s="91">
        <f>'Renewable Diesel'!BC477</f>
        <v>721.50195368708557</v>
      </c>
      <c r="GF468" s="91">
        <f>'Renewable Diesel'!BD477</f>
        <v>0</v>
      </c>
      <c r="GG468" s="91">
        <f t="shared" si="451"/>
        <v>721.50195368708557</v>
      </c>
      <c r="GH468" s="124">
        <v>1</v>
      </c>
      <c r="GI468" s="102">
        <f>$GG468*EA468*'Feedstock Conversion Rates'!$B$2</f>
        <v>191.77438158345052</v>
      </c>
      <c r="GJ468" s="102">
        <f>$GG468*EB468*'Feedstock Conversion Rates'!$B$3</f>
        <v>611.23923915006992</v>
      </c>
      <c r="GK468" s="102">
        <f>$GG468*EC468*'Feedstock Conversion Rates'!$B$4</f>
        <v>3101.547195824277</v>
      </c>
      <c r="GL468" s="102">
        <f>$GG468*ED468*'Feedstock Conversion Rates'!$B$5</f>
        <v>377.74773987871731</v>
      </c>
      <c r="GM468" s="102">
        <f>$GG468*EE468*'Feedstock Conversion Rates'!$B$6</f>
        <v>498.29437372755558</v>
      </c>
      <c r="GN468" s="102">
        <f>$GG468*EF468*'Feedstock Conversion Rates'!$B$7</f>
        <v>810.21154747313039</v>
      </c>
      <c r="GO468" s="102">
        <f>$GG468*EG468*'Feedstock Conversion Rates'!$B$8</f>
        <v>161.37215455005119</v>
      </c>
      <c r="GP468" s="102">
        <f>$GG468*EH468*'Feedstock Conversion Rates'!B$9</f>
        <v>6.0655438408654154</v>
      </c>
      <c r="GQ468" s="102">
        <f t="shared" si="502"/>
        <v>5758.2521760281179</v>
      </c>
      <c r="GT468" s="103">
        <f t="shared" si="484"/>
        <v>3.3304269372191886E-2</v>
      </c>
      <c r="GU468" s="103">
        <f t="shared" si="484"/>
        <v>0.1061501338365639</v>
      </c>
      <c r="GV468" s="103">
        <f t="shared" si="484"/>
        <v>0.53862649654979833</v>
      </c>
      <c r="GW468" s="103">
        <f t="shared" si="484"/>
        <v>6.5601110950176761E-2</v>
      </c>
      <c r="GX468" s="103">
        <f t="shared" si="465"/>
        <v>8.653569841938831E-2</v>
      </c>
      <c r="GY468" s="103">
        <f t="shared" si="465"/>
        <v>0.14070442257566984</v>
      </c>
      <c r="GZ468" s="103">
        <f t="shared" si="465"/>
        <v>2.8024502855545527E-2</v>
      </c>
      <c r="HA468" s="103">
        <f t="shared" si="465"/>
        <v>1.053365440665584E-3</v>
      </c>
    </row>
    <row r="469" spans="1:209" x14ac:dyDescent="0.25">
      <c r="A469" s="96">
        <v>54697</v>
      </c>
      <c r="B469" s="104">
        <f t="shared" si="473"/>
        <v>44.25</v>
      </c>
      <c r="C469" s="104">
        <f t="shared" si="466"/>
        <v>49</v>
      </c>
      <c r="D469" s="104">
        <f t="shared" si="474"/>
        <v>2</v>
      </c>
      <c r="E469" s="104">
        <f>('Renewable Diesel'!B478*E$3*'Feedstock Conversion Rates'!$B$2)/12+26+13-100+27.5+39</f>
        <v>95.43</v>
      </c>
      <c r="F469" s="104">
        <f>('Renewable Diesel'!B478*'RD Feedstock Breakdown'!F$3*'Feedstock Conversion Rates'!B$8)/12+77+23-10-12-115.75+24+8</f>
        <v>48.15625</v>
      </c>
      <c r="G469" s="104">
        <f>('Renewable Diesel'!B478*'RD Feedstock Breakdown'!G$3*'Feedstock Conversion Rates'!B$7)/12+116.75-39-57.5-145-31.5+32+70-40+10+60</f>
        <v>151.90700000000004</v>
      </c>
      <c r="H469" s="104">
        <f>('Renewable Diesel'!B478*'RD Feedstock Breakdown'!H$3*'Feedstock Conversion Rates'!B$3)/12+67+10+12+3-235+20+47-20+25</f>
        <v>105.40022499999998</v>
      </c>
      <c r="I469" s="106">
        <f t="shared" si="449"/>
        <v>496.14347500000002</v>
      </c>
      <c r="J469" s="104">
        <f t="shared" si="483"/>
        <v>4</v>
      </c>
      <c r="K469" s="104"/>
      <c r="L469" s="104">
        <v>1</v>
      </c>
      <c r="M469" s="104">
        <f>('Renewable Diesel'!C478*'RD Feedstock Breakdown'!M$3*'Feedstock Conversion Rates'!B$2)/12</f>
        <v>7.7902500000000003</v>
      </c>
      <c r="N469" s="104">
        <f>('Renewable Diesel'!C478*'RD Feedstock Breakdown'!N$3*'Feedstock Conversion Rates'!B$8)/12</f>
        <v>3.671875</v>
      </c>
      <c r="O469" s="104">
        <f>('Renewable Diesel'!C478*'RD Feedstock Breakdown'!O$3*'Feedstock Conversion Rates'!B$7)/12</f>
        <v>11.9991</v>
      </c>
      <c r="P469" s="104">
        <f>('Renewable Diesel'!C478*'RD Feedstock Breakdown'!P$3*'Feedstock Conversion Rates'!B$3)/12</f>
        <v>10.4470425</v>
      </c>
      <c r="Q469" s="106">
        <f t="shared" si="455"/>
        <v>38.908267500000001</v>
      </c>
      <c r="R469" s="104">
        <f>('Renewable Diesel'!D478*'RD Feedstock Breakdown'!R$3*'Feedstock Conversion Rates'!B$7)/12</f>
        <v>2.2999999999999998</v>
      </c>
      <c r="S469" s="106">
        <f t="shared" si="481"/>
        <v>2.2999999999999998</v>
      </c>
      <c r="T469" s="104">
        <f t="shared" si="456"/>
        <v>0.82499999999999929</v>
      </c>
      <c r="U469" s="104"/>
      <c r="V469" s="104">
        <f>('Renewable Diesel'!E478*'RD Feedstock Breakdown'!V$3*'Feedstock Conversion Rates'!B$6)/12-20+25</f>
        <v>49.250150000000012</v>
      </c>
      <c r="W469" s="104">
        <f>('Renewable Diesel'!E478*'RD Feedstock Breakdown'!W$3*'Feedstock Conversion Rates'!B$8)/12-6</f>
        <v>16.1796875</v>
      </c>
      <c r="X469" s="106">
        <f t="shared" si="503"/>
        <v>66.254837500000008</v>
      </c>
      <c r="Y469" s="104">
        <f t="shared" si="457"/>
        <v>98</v>
      </c>
      <c r="Z469" s="104">
        <f>('Renewable Diesel'!F478*'RD Feedstock Breakdown'!Z$3*'Feedstock Conversion Rates'!B$6)/12-142+15+5+20+5+15</f>
        <v>77.460000000000008</v>
      </c>
      <c r="AA469" s="104">
        <f>('Renewable Diesel'!F478*'RD Feedstock Breakdown'!AA$3*'Feedstock Conversion Rates'!B$7)/12+24</f>
        <v>128.26666666666665</v>
      </c>
      <c r="AB469" s="106">
        <f t="shared" si="471"/>
        <v>303.72666666666669</v>
      </c>
      <c r="AC469" s="104">
        <f>('Renewable Diesel'!G478*'RD Feedstock Breakdown'!AC$3*'Feedstock Conversion Rates'!B$5)/12</f>
        <v>11.796875</v>
      </c>
      <c r="AD469" s="104">
        <f>('Renewable Diesel'!G478*'RD Feedstock Breakdown'!AD$3*'Feedstock Conversion Rates'!B$4)/12</f>
        <v>5.859375</v>
      </c>
      <c r="AE469" s="104">
        <f>('Renewable Diesel'!G478*'RD Feedstock Breakdown'!AE$3*'Feedstock Conversion Rates'!B$6)/12</f>
        <v>7.3281250000000009</v>
      </c>
      <c r="AF469" s="106">
        <f t="shared" ref="AF469:AF495" si="511">SUM(AC469:AE469)</f>
        <v>24.984375</v>
      </c>
      <c r="AG469" s="104">
        <f t="shared" si="459"/>
        <v>148</v>
      </c>
      <c r="AH469" s="104"/>
      <c r="AI469" s="104">
        <f>('Renewable Diesel'!H478*'RD Feedstock Breakdown'!AI$3*'Feedstock Conversion Rates'!B$6)/12-130-20+51-49</f>
        <v>0.51666666666667993</v>
      </c>
      <c r="AJ469" s="106">
        <f t="shared" si="480"/>
        <v>148.51666666666668</v>
      </c>
      <c r="AK469" s="104">
        <f>('Renewable Diesel'!J478*'RD Feedstock Breakdown'!AK$3*'Feedstock Conversion Rates'!B$4)/12</f>
        <v>95.8125</v>
      </c>
      <c r="AL469" s="106">
        <f t="shared" si="482"/>
        <v>95.8125</v>
      </c>
      <c r="AM469" s="104">
        <f>('Renewable Diesel'!K478*'RD Feedstock Breakdown'!AM$3*'Feedstock Conversion Rates'!B$4)/12+5+15-10+10</f>
        <v>78.59375</v>
      </c>
      <c r="AN469" s="104">
        <f>('Renewable Diesel'!K478*'RD Feedstock Breakdown'!AN$3*'Feedstock Conversion Rates'!B$6)/12-5-15+10-10</f>
        <v>4.4270833333333321</v>
      </c>
      <c r="AO469" s="106">
        <f t="shared" si="496"/>
        <v>83.020833333333329</v>
      </c>
      <c r="AP469" s="104">
        <f>('Renewable Diesel'!L478*'RD Feedstock Breakdown'!AP$3*'Feedstock Conversion Rates'!B$4)/12+15-10+15</f>
        <v>78.59375</v>
      </c>
      <c r="AQ469" s="104">
        <f>('Renewable Diesel'!L478*'RD Feedstock Breakdown'!AQ$3*'Feedstock Conversion Rates'!B$6)/12-15+10-15</f>
        <v>4.4270833333333321</v>
      </c>
      <c r="AR469" s="106">
        <f t="shared" si="486"/>
        <v>83.020833333333329</v>
      </c>
      <c r="AS469" s="104">
        <f>('Renewable Diesel'!M478*'RD Feedstock Breakdown'!AS$3*'Feedstock Conversion Rates'!B$4)/12</f>
        <v>456.25</v>
      </c>
      <c r="AT469" s="104">
        <f>('Renewable Diesel'!M478*'RD Feedstock Breakdown'!AT$3*'Feedstock Conversion Rates'!B$5)/12</f>
        <v>0</v>
      </c>
      <c r="AU469" s="106">
        <f t="shared" si="448"/>
        <v>456.25</v>
      </c>
      <c r="AV469" s="104">
        <f>'Renewable Diesel'!N478*'RD Feedstock Breakdown'!$AV$3*'Feedstock Conversion Rates'!$B$4/12-15-10+25+25-22+25</f>
        <v>106.74999999999999</v>
      </c>
      <c r="AW469" s="104">
        <f>'Renewable Diesel'!N478*'RD Feedstock Breakdown'!$AW$3*'Feedstock Conversion Rates'!$B$7/12+15+10-25-25+22-25</f>
        <v>13.400000000000006</v>
      </c>
      <c r="AX469" s="106">
        <f t="shared" si="475"/>
        <v>120.14999999999999</v>
      </c>
      <c r="AY469" s="104">
        <f>('Renewable Diesel'!O478*'RD Feedstock Breakdown'!AY$3*'Feedstock Conversion Rates'!B$4)/12</f>
        <v>210.9375</v>
      </c>
      <c r="AZ469" s="104">
        <f>('Renewable Diesel'!O478*'RD Feedstock Breakdown'!AZ$3*'Feedstock Conversion Rates'!B$3)/12</f>
        <v>25.03125</v>
      </c>
      <c r="BA469" s="106">
        <f t="shared" si="458"/>
        <v>235.96875</v>
      </c>
      <c r="BB469" s="104">
        <f>('Renewable Diesel'!Q478*'RD Feedstock Breakdown'!BB$3*'Feedstock Conversion Rates'!B$4)/12</f>
        <v>11.156249999999998</v>
      </c>
      <c r="BC469" s="104">
        <f>('Renewable Diesel'!Q478*'RD Feedstock Breakdown'!BC$3*'Feedstock Conversion Rates'!B$3)/12</f>
        <v>1.4017500000000001</v>
      </c>
      <c r="BD469" s="104">
        <f>('Renewable Diesel'!Q478*'RD Feedstock Breakdown'!BD$3*'Feedstock Conversion Rates'!B$6)/12</f>
        <v>0.8207500000000002</v>
      </c>
      <c r="BE469" s="106">
        <f t="shared" si="505"/>
        <v>13.378749999999998</v>
      </c>
      <c r="BF469" s="104">
        <f>('Renewable Diesel'!R478*'RD Feedstock Breakdown'!BF$3*'Feedstock Conversion Rates'!B$4)/12</f>
        <v>62.5</v>
      </c>
      <c r="BG469" s="106">
        <f t="shared" si="490"/>
        <v>62.5</v>
      </c>
      <c r="BH469" s="104">
        <f>('Renewable Diesel'!T478*'RD Feedstock Breakdown'!BH$3*'Feedstock Conversion Rates'!B$7)/12</f>
        <v>27.599999999999998</v>
      </c>
      <c r="BI469" s="106">
        <f t="shared" si="479"/>
        <v>27.599999999999998</v>
      </c>
      <c r="BJ469" s="104">
        <f>('Renewable Diesel'!W478*'RD Feedstock Breakdown'!BJ$3*'Feedstock Conversion Rates'!B$4)/12</f>
        <v>7.5</v>
      </c>
      <c r="BK469" s="104">
        <f>('Renewable Diesel'!W478*'RD Feedstock Breakdown'!BK$3*'Feedstock Conversion Rates'!B$3)/12</f>
        <v>1.335</v>
      </c>
      <c r="BL469" s="104">
        <f>('Renewable Diesel'!W478*'RD Feedstock Breakdown'!BL$3*'Feedstock Conversion Rates'!B$6)/12</f>
        <v>3.1266666666666669</v>
      </c>
      <c r="BM469" s="104">
        <f>('Renewable Diesel'!W478*'RD Feedstock Breakdown'!BM$3*'Feedstock Conversion Rates'!B$7)/12</f>
        <v>1.5333333333333332</v>
      </c>
      <c r="BN469" s="106">
        <f t="shared" si="452"/>
        <v>13.495000000000001</v>
      </c>
      <c r="BO469" s="104">
        <f>('Renewable Diesel'!P478*'Feedstock Conversion Rates'!B$4)/12</f>
        <v>31.25</v>
      </c>
      <c r="BP469" s="106">
        <f t="shared" ref="BP469:BP495" si="512">BO469</f>
        <v>31.25</v>
      </c>
      <c r="BQ469" s="104">
        <f>('Renewable Diesel'!$S478*'RD Feedstock Breakdown'!BQ$3*'Feedstock Conversion Rates'!B$4)/12+10+15-15</f>
        <v>38.125</v>
      </c>
      <c r="BR469" s="104">
        <f>('Renewable Diesel'!$S478*'RD Feedstock Breakdown'!BR$3*'Feedstock Conversion Rates'!B$7)/12-10-15+15</f>
        <v>1.5</v>
      </c>
      <c r="BS469" s="106">
        <f t="shared" si="460"/>
        <v>39.625</v>
      </c>
      <c r="BT469" s="106"/>
      <c r="BU469" s="104">
        <f>('Renewable Diesel'!Y478*'Feedstock Conversion Rates'!B$7)/12</f>
        <v>2.6833333333333331</v>
      </c>
      <c r="BV469" s="106">
        <f t="shared" si="507"/>
        <v>2.6833333333333331</v>
      </c>
      <c r="BW469" s="104">
        <f>('Renewable Diesel'!$Z478*'RD Feedstock Breakdown'!BW$3*'Feedstock Conversion Rates'!$B$4)/12-250+180</f>
        <v>1.875</v>
      </c>
      <c r="BX469" s="104">
        <f>('Renewable Diesel'!$Z478*'RD Feedstock Breakdown'!BX$3*'Feedstock Conversion Rates'!$B$5)/12</f>
        <v>7.2354166666666666</v>
      </c>
      <c r="BY469" s="104">
        <f>('Renewable Diesel'!$Z478*'RD Feedstock Breakdown'!BY$3*'Feedstock Conversion Rates'!$B$7)/12</f>
        <v>61.716666666666661</v>
      </c>
      <c r="BZ469" s="104">
        <f>('Renewable Diesel'!$Z478*'RD Feedstock Breakdown'!BZ$3*'Feedstock Conversion Rates'!$B$3)/12+250-180</f>
        <v>85.35250000000002</v>
      </c>
      <c r="CA469" s="106">
        <f t="shared" si="464"/>
        <v>156.17958333333334</v>
      </c>
      <c r="CB469" s="104">
        <f>('Renewable Diesel'!AA478*'Feedstock Conversion Rates'!B$4)/12</f>
        <v>191.25</v>
      </c>
      <c r="CC469" s="106">
        <f t="shared" si="454"/>
        <v>191.25</v>
      </c>
      <c r="CD469" s="104">
        <f>('Renewable Diesel'!$AB478*'RD Feedstock Breakdown'!CD$3*'Feedstock Conversion Rates'!$B$6)/12-15-5</f>
        <v>12.830000000000005</v>
      </c>
      <c r="CE469" s="104">
        <f>('Renewable Diesel'!$AB478*'RD Feedstock Breakdown'!CE$3*'Feedstock Conversion Rates'!$B$4)/12+15+5</f>
        <v>31.25</v>
      </c>
      <c r="CF469" s="106">
        <f t="shared" si="450"/>
        <v>44.080000000000005</v>
      </c>
      <c r="CG469" s="104">
        <f>('Renewable Diesel'!AD478*'Feedstock Conversion Rates'!B$4)/12</f>
        <v>112.5</v>
      </c>
      <c r="CH469" s="106">
        <f t="shared" si="504"/>
        <v>112.5</v>
      </c>
      <c r="CI469" s="104">
        <f>('Renewable Diesel'!$AE478*'RD Feedstock Breakdown'!CI$3*'Feedstock Conversion Rates'!$B$5)/12</f>
        <v>0.34604166666666664</v>
      </c>
      <c r="CJ469" s="104">
        <f>('Renewable Diesel'!$AE478*'RD Feedstock Breakdown'!CJ$3*'Feedstock Conversion Rates'!$B$4)/12</f>
        <v>0.34375</v>
      </c>
      <c r="CK469" s="106">
        <f t="shared" ref="CK469:CK495" si="513">SUM(CI469:CJ469)</f>
        <v>0.68979166666666658</v>
      </c>
      <c r="CL469" s="104">
        <f>(((CL$3*'Renewable Diesel'!$AF478)*'Feedstock Conversion Rates'!$B$3)/12)</f>
        <v>91.78125</v>
      </c>
      <c r="CM469" s="104">
        <f>(((CM$3*'Renewable Diesel'!$AF478)*'Feedstock Conversion Rates'!$B$6)/12)</f>
        <v>53.739583333333336</v>
      </c>
      <c r="CN469" s="104">
        <f>(((CN$3*'Renewable Diesel'!$AF478)*'Feedstock Conversion Rates'!$B$4)/12)</f>
        <v>42.96875</v>
      </c>
      <c r="CO469" s="106">
        <f t="shared" si="506"/>
        <v>188.48958333333334</v>
      </c>
      <c r="CP469" s="104">
        <f>('Renewable Diesel'!$AG478*'RD Feedstock Breakdown'!CP$3*'Feedstock Conversion Rates'!$B$3)/12</f>
        <v>6.0075000000000003</v>
      </c>
      <c r="CQ469" s="104">
        <f>('Renewable Diesel'!$AG478*'RD Feedstock Breakdown'!CQ$3*'Feedstock Conversion Rates'!$B$6)/12</f>
        <v>3.5175000000000001</v>
      </c>
      <c r="CR469" s="104">
        <f>('Renewable Diesel'!$AG478*'RD Feedstock Breakdown'!CR$3*'Feedstock Conversion Rates'!$B$4)/12</f>
        <v>2.8125</v>
      </c>
      <c r="CS469" s="106">
        <f t="shared" si="467"/>
        <v>12.3375</v>
      </c>
      <c r="CT469" s="104">
        <f>('Renewable Diesel'!AI478*'Feedstock Conversion Rates'!$B$4*'RD Feedstock Breakdown'!$CT$3)/12</f>
        <v>29.375</v>
      </c>
      <c r="CU469" s="106">
        <f t="shared" si="508"/>
        <v>29.375</v>
      </c>
      <c r="CV469" s="104">
        <f>('Renewable Diesel'!AN478*'Feedstock Conversion Rates'!$B$3*'RD Feedstock Breakdown'!$CV$3)/12</f>
        <v>0.50062499999999999</v>
      </c>
      <c r="CW469" s="106">
        <f t="shared" si="485"/>
        <v>0.50062499999999999</v>
      </c>
      <c r="CX469" s="104">
        <f>('Renewable Diesel'!AO478*'RD Feedstock Breakdown'!$CX$3*'Feedstock Conversion Rates'!$B$3)/12</f>
        <v>6.3412499999999996</v>
      </c>
      <c r="CY469" s="104">
        <f>('Renewable Diesel'!AO478*'RD Feedstock Breakdown'!$CY$3*'Feedstock Conversion Rates'!$B$6)/12</f>
        <v>7.4258333333333342</v>
      </c>
      <c r="CZ469" s="106">
        <f t="shared" si="468"/>
        <v>13.767083333333334</v>
      </c>
      <c r="DA469" s="104">
        <f>('Renewable Diesel'!$AP478*'RD Feedstock Breakdown'!DA$3*'Feedstock Conversion Rates'!$B$3)/12</f>
        <v>6.3412499999999996</v>
      </c>
      <c r="DB469" s="104">
        <f>('Renewable Diesel'!$AP478*'RD Feedstock Breakdown'!DB$3*'Feedstock Conversion Rates'!$B$8)/12</f>
        <v>7.421875</v>
      </c>
      <c r="DC469" s="106">
        <f t="shared" si="488"/>
        <v>13.763124999999999</v>
      </c>
      <c r="DD469" s="104">
        <f>('Renewable Diesel'!AQ478*$DD$3*'Feedstock Conversion Rates'!$B$14)/12</f>
        <v>3.1041666666666665</v>
      </c>
      <c r="DE469" s="106">
        <f t="shared" si="489"/>
        <v>3.1041666666666665</v>
      </c>
      <c r="DF469" s="104">
        <f>('Renewable Diesel'!AR478*'Feedstock Conversion Rates'!$B$4*$DF$3)/12</f>
        <v>75</v>
      </c>
      <c r="DG469" s="106">
        <f t="shared" si="469"/>
        <v>75</v>
      </c>
      <c r="DH469" s="104">
        <f>('Renewable Diesel'!AS478*'Feedstock Conversion Rates'!$B$4*$DH$3)/12</f>
        <v>75</v>
      </c>
      <c r="DI469" s="106">
        <f t="shared" si="478"/>
        <v>75</v>
      </c>
      <c r="DJ469" s="104">
        <f>('Renewable Diesel'!AT478*'Feedstock Conversion Rates'!$B$4*0.25)/12</f>
        <v>8.59375</v>
      </c>
      <c r="DK469" s="104">
        <f>('Renewable Diesel'!$AT478*'RD Feedstock Breakdown'!DK$3*'Feedstock Conversion Rates'!$B$3)/12*0.5</f>
        <v>9.1781249999999996</v>
      </c>
      <c r="DL469" s="104">
        <f>('Renewable Diesel'!$AT478*'RD Feedstock Breakdown'!$DL$3*'Feedstock Conversion Rates'!$B$6)/12</f>
        <v>10.747916666666669</v>
      </c>
      <c r="DM469" s="104">
        <f>('Renewable Diesel'!$AT478*'RD Feedstock Breakdown'!$DM$3*'Feedstock Conversion Rates'!$B$8)/12</f>
        <v>10.7421875</v>
      </c>
      <c r="DN469" s="106">
        <f t="shared" si="453"/>
        <v>39.26197916666667</v>
      </c>
      <c r="DP469" s="104">
        <f t="shared" si="491"/>
        <v>103.22025000000001</v>
      </c>
      <c r="DQ469" s="104">
        <f t="shared" si="492"/>
        <v>349.11776750000007</v>
      </c>
      <c r="DR469" s="104">
        <f t="shared" si="497"/>
        <v>1891.953125</v>
      </c>
      <c r="DS469" s="104">
        <f t="shared" si="510"/>
        <v>228.90125</v>
      </c>
      <c r="DT469" s="104">
        <f t="shared" si="493"/>
        <v>243.03923333333344</v>
      </c>
      <c r="DU469" s="104">
        <f t="shared" si="494"/>
        <v>402.90610000000009</v>
      </c>
      <c r="DV469" s="104">
        <f t="shared" si="498"/>
        <v>78.75</v>
      </c>
      <c r="DW469" s="104">
        <f t="shared" si="495"/>
        <v>3</v>
      </c>
      <c r="DX469" s="106">
        <f t="shared" si="499"/>
        <v>3300.8877258333337</v>
      </c>
      <c r="DY469" s="109">
        <f t="shared" si="487"/>
        <v>-5.631051180898794E-13</v>
      </c>
      <c r="EA469" s="110">
        <f t="shared" si="509"/>
        <v>3.1270451640078516E-2</v>
      </c>
      <c r="EB469" s="110">
        <f t="shared" si="470"/>
        <v>0.10576481131658687</v>
      </c>
      <c r="EC469" s="110">
        <f t="shared" si="470"/>
        <v>0.57316494293133291</v>
      </c>
      <c r="ED469" s="110">
        <f t="shared" si="470"/>
        <v>6.9345360706629972E-2</v>
      </c>
      <c r="EE469" s="110">
        <f t="shared" si="470"/>
        <v>7.3628445896921982E-2</v>
      </c>
      <c r="EF469" s="110">
        <f t="shared" si="470"/>
        <v>0.1220599225010852</v>
      </c>
      <c r="EG469" s="110">
        <f t="shared" si="470"/>
        <v>2.3857218585075921E-2</v>
      </c>
      <c r="EH469" s="111">
        <f t="shared" si="500"/>
        <v>9.0884642228860647E-4</v>
      </c>
      <c r="EI469" s="110">
        <f t="shared" si="476"/>
        <v>0.99909115357771139</v>
      </c>
      <c r="EK469" s="132">
        <f>(EA469*'Renewable Diesel'!BF478*'Feedstock Conversion Rates'!B$2)+FB469</f>
        <v>963.45593921327611</v>
      </c>
      <c r="EL469" s="132">
        <f>(EB469*'Renewable Diesel'!BF478*'Feedstock Conversion Rates'!B$3)+FC469</f>
        <v>3070.8068010798324</v>
      </c>
      <c r="EM469" s="132">
        <f>(EC469*'Renewable Diesel'!BF478*'Feedstock Conversion Rates'!B$4)+FD469</f>
        <v>15581.873042134495</v>
      </c>
      <c r="EN469" s="132">
        <f>(ED469*'Renewable Diesel'!BF478*'Feedstock Conversion Rates'!B$5)+FE469</f>
        <v>1897.7680986663599</v>
      </c>
      <c r="EO469" s="132">
        <f>(EE469*'Renewable Diesel'!BF478*'Feedstock Conversion Rates'!B$6)+FF469</f>
        <v>2503.3827244306076</v>
      </c>
      <c r="EP469" s="132">
        <f>(EF469*'Renewable Diesel'!BF478*'Feedstock Conversion Rates'!B$7)+FG469</f>
        <v>4070.4244278451124</v>
      </c>
      <c r="EQ469" s="132">
        <f>(EG469*'Renewable Diesel'!BF478*'Feedstock Conversion Rates'!B$8)+FH469</f>
        <v>810.71809196388756</v>
      </c>
      <c r="ER469" s="132">
        <f>(EH469*'Renewable Diesel'!BF478*'Feedstock Conversion Rates'!B$9)+FI469</f>
        <v>30.472705424928343</v>
      </c>
      <c r="ES469" s="132">
        <f t="shared" si="501"/>
        <v>28928.901830758503</v>
      </c>
      <c r="ET469" s="133">
        <f>ES469/'Renewable Diesel'!BF478</f>
        <v>22.747865000101832</v>
      </c>
      <c r="EW469" s="73">
        <f t="shared" si="461"/>
        <v>28826.67662828253</v>
      </c>
      <c r="EX469" s="73">
        <f t="shared" si="462"/>
        <v>18881.631086345889</v>
      </c>
      <c r="EY469" s="92">
        <f t="shared" si="477"/>
        <v>0.99646632965627191</v>
      </c>
      <c r="EZ469" s="92">
        <f t="shared" si="477"/>
        <v>0.65269090395509222</v>
      </c>
      <c r="FB469" s="102">
        <f>IF('Renewable Diesel'!$BG478&lt;1,0,(((('Renewable Diesel'!$BG478-1)*'Renewable Diesel'!$BF478)*'RD Feedstock Breakdown'!EA469)*'Feedstock Conversion Rates'!$B$2))</f>
        <v>625.43439220612902</v>
      </c>
      <c r="FC469" s="102">
        <f>IF('Renewable Diesel'!$BG478&lt;1,0,(((('Renewable Diesel'!$BG478-1)*'Renewable Diesel'!$BF478)*'RD Feedstock Breakdown'!EB469)*'Feedstock Conversion Rates'!$B$3))</f>
        <v>1993.4364479439471</v>
      </c>
      <c r="FD469" s="102">
        <f>IF('Renewable Diesel'!$BG478&lt;1,0,(((('Renewable Diesel'!$BG478-1)*'Renewable Diesel'!$BF478)*'RD Feedstock Breakdown'!EC469)*'Feedstock Conversion Rates'!$B$4))</f>
        <v>10115.085598515521</v>
      </c>
      <c r="FE469" s="102">
        <f>IF('Renewable Diesel'!$BG478&lt;1,0,(((('Renewable Diesel'!$BG478-1)*'Renewable Diesel'!$BF478)*'RD Feedstock Breakdown'!ED469)*'Feedstock Conversion Rates'!$B$5))</f>
        <v>1231.9498889661529</v>
      </c>
      <c r="FF469" s="102">
        <f>IF('Renewable Diesel'!$BG478&lt;1,0,(((('Renewable Diesel'!$BG478-1)*'Renewable Diesel'!$BF478)*'RD Feedstock Breakdown'!EE469)*'Feedstock Conversion Rates'!$B$6))</f>
        <v>1625.0890040618535</v>
      </c>
      <c r="FG469" s="102">
        <f>IF('Renewable Diesel'!$BG478&lt;1,0,(((('Renewable Diesel'!$BG478-1)*'Renewable Diesel'!$BF478)*'RD Feedstock Breakdown'!EF469)*'Feedstock Conversion Rates'!$B$7))</f>
        <v>2642.3454612040532</v>
      </c>
      <c r="FH469" s="102">
        <f>IF('Renewable Diesel'!$BG478&lt;1,0,(((('Renewable Diesel'!$BG478-1)*'Renewable Diesel'!$BF478)*'RD Feedstock Breakdown'!EG469)*'Feedstock Conversion Rates'!$B$8))</f>
        <v>526.28351381796085</v>
      </c>
      <c r="FI469" s="102">
        <f>IF('Renewable Diesel'!$BG478&lt;1,0,(((('Renewable Diesel'!$BG478-1)*'Renewable Diesel'!$BF478)*'RD Feedstock Breakdown'!EH469)*'Feedstock Conversion Rates'!$B$9))</f>
        <v>19.781577154300496</v>
      </c>
      <c r="FJ469" s="102">
        <f t="shared" si="463"/>
        <v>18779.40588386992</v>
      </c>
      <c r="GD469" s="91">
        <f>'Renewable Diesel'!BB478*0.32</f>
        <v>0</v>
      </c>
      <c r="GE469" s="91">
        <f>'Renewable Diesel'!BC478</f>
        <v>704.47807010873134</v>
      </c>
      <c r="GF469" s="91">
        <f>'Renewable Diesel'!BD478</f>
        <v>0</v>
      </c>
      <c r="GG469" s="91">
        <f t="shared" si="451"/>
        <v>704.47807010873134</v>
      </c>
      <c r="GH469" s="124">
        <v>1</v>
      </c>
      <c r="GI469" s="102">
        <f>$GG469*EA469*'Feedstock Conversion Rates'!$B$2</f>
        <v>187.24945309406289</v>
      </c>
      <c r="GJ469" s="102">
        <f>$GG469*EB469*'Feedstock Conversion Rates'!$B$3</f>
        <v>596.8170111954031</v>
      </c>
      <c r="GK469" s="102">
        <f>$GG469*EC469*'Feedstock Conversion Rates'!$B$4</f>
        <v>3028.3659963768491</v>
      </c>
      <c r="GL469" s="102">
        <f>$GG469*ED469*'Feedstock Conversion Rates'!$B$5</f>
        <v>368.83475840608401</v>
      </c>
      <c r="GM469" s="102">
        <f>$GG469*EE469*'Feedstock Conversion Rates'!$B$6</f>
        <v>486.53708691393479</v>
      </c>
      <c r="GN469" s="102">
        <f>$GG469*EF469*'Feedstock Conversion Rates'!$B$7</f>
        <v>791.09455549890936</v>
      </c>
      <c r="GO469" s="102">
        <f>$GG469*EG469*'Feedstock Conversion Rates'!$B$8</f>
        <v>157.56456850290414</v>
      </c>
      <c r="GP469" s="102">
        <f>$GG469*EH469*'Feedstock Conversion Rates'!B$9</f>
        <v>5.9224269557916989</v>
      </c>
      <c r="GQ469" s="102">
        <f t="shared" si="502"/>
        <v>5622.385856943939</v>
      </c>
      <c r="GT469" s="103">
        <f t="shared" si="484"/>
        <v>3.3304269372191886E-2</v>
      </c>
      <c r="GU469" s="103">
        <f t="shared" si="484"/>
        <v>0.10615013383656388</v>
      </c>
      <c r="GV469" s="103">
        <f t="shared" si="484"/>
        <v>0.53862649654979822</v>
      </c>
      <c r="GW469" s="103">
        <f t="shared" si="484"/>
        <v>6.5601110950176761E-2</v>
      </c>
      <c r="GX469" s="103">
        <f t="shared" si="465"/>
        <v>8.6535698419388296E-2</v>
      </c>
      <c r="GY469" s="103">
        <f t="shared" si="465"/>
        <v>0.14070442257566981</v>
      </c>
      <c r="GZ469" s="103">
        <f t="shared" si="465"/>
        <v>2.8024502855545513E-2</v>
      </c>
      <c r="HA469" s="103">
        <f t="shared" si="465"/>
        <v>1.0533654406655838E-3</v>
      </c>
    </row>
    <row r="470" spans="1:209" x14ac:dyDescent="0.25">
      <c r="A470" s="96">
        <v>54728</v>
      </c>
      <c r="B470" s="104">
        <f t="shared" si="473"/>
        <v>44.25</v>
      </c>
      <c r="C470" s="104">
        <f t="shared" si="466"/>
        <v>49</v>
      </c>
      <c r="D470" s="104">
        <f t="shared" si="474"/>
        <v>2</v>
      </c>
      <c r="E470" s="104">
        <f>('Renewable Diesel'!B479*E$3*'Feedstock Conversion Rates'!$B$2)/12+26+13-100+27.5+39</f>
        <v>95.43</v>
      </c>
      <c r="F470" s="104">
        <f>('Renewable Diesel'!B479*'RD Feedstock Breakdown'!F$3*'Feedstock Conversion Rates'!B$8)/12+77+23-10-12-115.75+24+8</f>
        <v>48.15625</v>
      </c>
      <c r="G470" s="104">
        <f>('Renewable Diesel'!B479*'RD Feedstock Breakdown'!G$3*'Feedstock Conversion Rates'!B$7)/12+116.75-39-57.5-145-31.5+32+70-40+10+60</f>
        <v>151.90700000000004</v>
      </c>
      <c r="H470" s="104">
        <f>('Renewable Diesel'!B479*'RD Feedstock Breakdown'!H$3*'Feedstock Conversion Rates'!B$3)/12+67+10+12+3-235+20+47-20+25</f>
        <v>105.40022499999998</v>
      </c>
      <c r="I470" s="106">
        <f t="shared" si="449"/>
        <v>496.14347500000002</v>
      </c>
      <c r="J470" s="104">
        <f t="shared" si="483"/>
        <v>4</v>
      </c>
      <c r="K470" s="104"/>
      <c r="L470" s="104">
        <v>1</v>
      </c>
      <c r="M470" s="104">
        <f>('Renewable Diesel'!C479*'RD Feedstock Breakdown'!M$3*'Feedstock Conversion Rates'!B$2)/12</f>
        <v>7.7902500000000003</v>
      </c>
      <c r="N470" s="104">
        <f>('Renewable Diesel'!C479*'RD Feedstock Breakdown'!N$3*'Feedstock Conversion Rates'!B$8)/12</f>
        <v>3.671875</v>
      </c>
      <c r="O470" s="104">
        <f>('Renewable Diesel'!C479*'RD Feedstock Breakdown'!O$3*'Feedstock Conversion Rates'!B$7)/12</f>
        <v>11.9991</v>
      </c>
      <c r="P470" s="104">
        <f>('Renewable Diesel'!C479*'RD Feedstock Breakdown'!P$3*'Feedstock Conversion Rates'!B$3)/12</f>
        <v>10.4470425</v>
      </c>
      <c r="Q470" s="106">
        <f t="shared" si="455"/>
        <v>38.908267500000001</v>
      </c>
      <c r="R470" s="104">
        <f>('Renewable Diesel'!D479*'RD Feedstock Breakdown'!R$3*'Feedstock Conversion Rates'!B$7)/12</f>
        <v>2.2999999999999998</v>
      </c>
      <c r="S470" s="106">
        <f t="shared" si="481"/>
        <v>2.2999999999999998</v>
      </c>
      <c r="T470" s="104">
        <f t="shared" si="456"/>
        <v>0.82499999999999929</v>
      </c>
      <c r="U470" s="104"/>
      <c r="V470" s="104">
        <f>('Renewable Diesel'!E479*'RD Feedstock Breakdown'!V$3*'Feedstock Conversion Rates'!B$6)/12-20+25</f>
        <v>49.250150000000012</v>
      </c>
      <c r="W470" s="104">
        <f>('Renewable Diesel'!E479*'RD Feedstock Breakdown'!W$3*'Feedstock Conversion Rates'!B$8)/12-6</f>
        <v>16.1796875</v>
      </c>
      <c r="X470" s="106">
        <f t="shared" si="503"/>
        <v>66.254837500000008</v>
      </c>
      <c r="Y470" s="104">
        <f t="shared" si="457"/>
        <v>98</v>
      </c>
      <c r="Z470" s="104">
        <f>('Renewable Diesel'!F479*'RD Feedstock Breakdown'!Z$3*'Feedstock Conversion Rates'!B$6)/12-142+15+5+20+5+15</f>
        <v>77.460000000000008</v>
      </c>
      <c r="AA470" s="104">
        <f>('Renewable Diesel'!F479*'RD Feedstock Breakdown'!AA$3*'Feedstock Conversion Rates'!B$7)/12+24</f>
        <v>128.26666666666665</v>
      </c>
      <c r="AB470" s="106">
        <f t="shared" si="471"/>
        <v>303.72666666666669</v>
      </c>
      <c r="AC470" s="104">
        <f>('Renewable Diesel'!G479*'RD Feedstock Breakdown'!AC$3*'Feedstock Conversion Rates'!B$5)/12</f>
        <v>11.796875</v>
      </c>
      <c r="AD470" s="104">
        <f>('Renewable Diesel'!G479*'RD Feedstock Breakdown'!AD$3*'Feedstock Conversion Rates'!B$4)/12</f>
        <v>5.859375</v>
      </c>
      <c r="AE470" s="104">
        <f>('Renewable Diesel'!G479*'RD Feedstock Breakdown'!AE$3*'Feedstock Conversion Rates'!B$6)/12</f>
        <v>7.3281250000000009</v>
      </c>
      <c r="AF470" s="106">
        <f t="shared" si="511"/>
        <v>24.984375</v>
      </c>
      <c r="AG470" s="104">
        <f t="shared" si="459"/>
        <v>148</v>
      </c>
      <c r="AH470" s="104"/>
      <c r="AI470" s="104">
        <f>('Renewable Diesel'!H479*'RD Feedstock Breakdown'!AI$3*'Feedstock Conversion Rates'!B$6)/12-130-20+51-49</f>
        <v>0.51666666666667993</v>
      </c>
      <c r="AJ470" s="106">
        <f t="shared" si="480"/>
        <v>148.51666666666668</v>
      </c>
      <c r="AK470" s="104">
        <f>('Renewable Diesel'!J479*'RD Feedstock Breakdown'!AK$3*'Feedstock Conversion Rates'!B$4)/12</f>
        <v>95.8125</v>
      </c>
      <c r="AL470" s="106">
        <f t="shared" si="482"/>
        <v>95.8125</v>
      </c>
      <c r="AM470" s="104">
        <f>('Renewable Diesel'!K479*'RD Feedstock Breakdown'!AM$3*'Feedstock Conversion Rates'!B$4)/12+5+15-10+10</f>
        <v>78.59375</v>
      </c>
      <c r="AN470" s="104">
        <f>('Renewable Diesel'!K479*'RD Feedstock Breakdown'!AN$3*'Feedstock Conversion Rates'!B$6)/12-5-15+10-10</f>
        <v>4.4270833333333321</v>
      </c>
      <c r="AO470" s="106">
        <f t="shared" si="496"/>
        <v>83.020833333333329</v>
      </c>
      <c r="AP470" s="104">
        <f>('Renewable Diesel'!L479*'RD Feedstock Breakdown'!AP$3*'Feedstock Conversion Rates'!B$4)/12+15-10+15</f>
        <v>78.59375</v>
      </c>
      <c r="AQ470" s="104">
        <f>('Renewable Diesel'!L479*'RD Feedstock Breakdown'!AQ$3*'Feedstock Conversion Rates'!B$6)/12-15+10-15</f>
        <v>4.4270833333333321</v>
      </c>
      <c r="AR470" s="106">
        <f t="shared" si="486"/>
        <v>83.020833333333329</v>
      </c>
      <c r="AS470" s="104">
        <f>('Renewable Diesel'!M479*'RD Feedstock Breakdown'!AS$3*'Feedstock Conversion Rates'!B$4)/12</f>
        <v>456.25</v>
      </c>
      <c r="AT470" s="104">
        <f>('Renewable Diesel'!M479*'RD Feedstock Breakdown'!AT$3*'Feedstock Conversion Rates'!B$5)/12</f>
        <v>0</v>
      </c>
      <c r="AU470" s="106">
        <f t="shared" ref="AU470:AU495" si="514">SUM(AS470:AT470)</f>
        <v>456.25</v>
      </c>
      <c r="AV470" s="104">
        <f>'Renewable Diesel'!N479*'RD Feedstock Breakdown'!$AV$3*'Feedstock Conversion Rates'!$B$4/12-15-10+25+25-22+25</f>
        <v>106.74999999999999</v>
      </c>
      <c r="AW470" s="104">
        <f>'Renewable Diesel'!N479*'RD Feedstock Breakdown'!$AW$3*'Feedstock Conversion Rates'!$B$7/12+15+10-25-25+22-25</f>
        <v>13.400000000000006</v>
      </c>
      <c r="AX470" s="106">
        <f t="shared" si="475"/>
        <v>120.14999999999999</v>
      </c>
      <c r="AY470" s="104">
        <f>('Renewable Diesel'!O479*'RD Feedstock Breakdown'!AY$3*'Feedstock Conversion Rates'!B$4)/12</f>
        <v>210.9375</v>
      </c>
      <c r="AZ470" s="104">
        <f>('Renewable Diesel'!O479*'RD Feedstock Breakdown'!AZ$3*'Feedstock Conversion Rates'!B$3)/12</f>
        <v>25.03125</v>
      </c>
      <c r="BA470" s="106">
        <f t="shared" si="458"/>
        <v>235.96875</v>
      </c>
      <c r="BB470" s="104">
        <f>('Renewable Diesel'!Q479*'RD Feedstock Breakdown'!BB$3*'Feedstock Conversion Rates'!B$4)/12</f>
        <v>11.156249999999998</v>
      </c>
      <c r="BC470" s="104">
        <f>('Renewable Diesel'!Q479*'RD Feedstock Breakdown'!BC$3*'Feedstock Conversion Rates'!B$3)/12</f>
        <v>1.4017500000000001</v>
      </c>
      <c r="BD470" s="104">
        <f>('Renewable Diesel'!Q479*'RD Feedstock Breakdown'!BD$3*'Feedstock Conversion Rates'!B$6)/12</f>
        <v>0.8207500000000002</v>
      </c>
      <c r="BE470" s="106">
        <f t="shared" si="505"/>
        <v>13.378749999999998</v>
      </c>
      <c r="BF470" s="104">
        <f>('Renewable Diesel'!R479*'RD Feedstock Breakdown'!BF$3*'Feedstock Conversion Rates'!B$4)/12</f>
        <v>62.5</v>
      </c>
      <c r="BG470" s="106">
        <f t="shared" si="490"/>
        <v>62.5</v>
      </c>
      <c r="BH470" s="104">
        <f>('Renewable Diesel'!T479*'RD Feedstock Breakdown'!BH$3*'Feedstock Conversion Rates'!B$7)/12</f>
        <v>27.599999999999998</v>
      </c>
      <c r="BI470" s="106">
        <f t="shared" si="479"/>
        <v>27.599999999999998</v>
      </c>
      <c r="BJ470" s="104">
        <f>('Renewable Diesel'!W479*'RD Feedstock Breakdown'!BJ$3*'Feedstock Conversion Rates'!B$4)/12</f>
        <v>7.5</v>
      </c>
      <c r="BK470" s="104">
        <f>('Renewable Diesel'!W479*'RD Feedstock Breakdown'!BK$3*'Feedstock Conversion Rates'!B$3)/12</f>
        <v>1.335</v>
      </c>
      <c r="BL470" s="104">
        <f>('Renewable Diesel'!W479*'RD Feedstock Breakdown'!BL$3*'Feedstock Conversion Rates'!B$6)/12</f>
        <v>3.1266666666666669</v>
      </c>
      <c r="BM470" s="104">
        <f>('Renewable Diesel'!W479*'RD Feedstock Breakdown'!BM$3*'Feedstock Conversion Rates'!B$7)/12</f>
        <v>1.5333333333333332</v>
      </c>
      <c r="BN470" s="106">
        <f t="shared" si="452"/>
        <v>13.495000000000001</v>
      </c>
      <c r="BO470" s="104">
        <f>('Renewable Diesel'!P479*'Feedstock Conversion Rates'!B$4)/12</f>
        <v>31.25</v>
      </c>
      <c r="BP470" s="106">
        <f t="shared" si="512"/>
        <v>31.25</v>
      </c>
      <c r="BQ470" s="104">
        <f>('Renewable Diesel'!$S479*'RD Feedstock Breakdown'!BQ$3*'Feedstock Conversion Rates'!B$4)/12+10+15-15</f>
        <v>38.125</v>
      </c>
      <c r="BR470" s="104">
        <f>('Renewable Diesel'!$S479*'RD Feedstock Breakdown'!BR$3*'Feedstock Conversion Rates'!B$7)/12-10-15+15</f>
        <v>1.5</v>
      </c>
      <c r="BS470" s="106">
        <f t="shared" si="460"/>
        <v>39.625</v>
      </c>
      <c r="BT470" s="106"/>
      <c r="BU470" s="104">
        <f>('Renewable Diesel'!Y479*'Feedstock Conversion Rates'!B$7)/12</f>
        <v>2.6833333333333331</v>
      </c>
      <c r="BV470" s="106">
        <f t="shared" si="507"/>
        <v>2.6833333333333331</v>
      </c>
      <c r="BW470" s="104">
        <f>('Renewable Diesel'!$Z479*'RD Feedstock Breakdown'!BW$3*'Feedstock Conversion Rates'!$B$4)/12-250+180</f>
        <v>1.875</v>
      </c>
      <c r="BX470" s="104">
        <f>('Renewable Diesel'!$Z479*'RD Feedstock Breakdown'!BX$3*'Feedstock Conversion Rates'!$B$5)/12</f>
        <v>7.2354166666666666</v>
      </c>
      <c r="BY470" s="104">
        <f>('Renewable Diesel'!$Z479*'RD Feedstock Breakdown'!BY$3*'Feedstock Conversion Rates'!$B$7)/12</f>
        <v>61.716666666666661</v>
      </c>
      <c r="BZ470" s="104">
        <f>('Renewable Diesel'!$Z479*'RD Feedstock Breakdown'!BZ$3*'Feedstock Conversion Rates'!$B$3)/12+250-180</f>
        <v>85.35250000000002</v>
      </c>
      <c r="CA470" s="106">
        <f t="shared" si="464"/>
        <v>156.17958333333334</v>
      </c>
      <c r="CB470" s="104">
        <f>('Renewable Diesel'!AA479*'Feedstock Conversion Rates'!B$4)/12</f>
        <v>191.25</v>
      </c>
      <c r="CC470" s="106">
        <f t="shared" si="454"/>
        <v>191.25</v>
      </c>
      <c r="CD470" s="104">
        <f>('Renewable Diesel'!$AB479*'RD Feedstock Breakdown'!CD$3*'Feedstock Conversion Rates'!$B$6)/12-15-5</f>
        <v>12.830000000000005</v>
      </c>
      <c r="CE470" s="104">
        <f>('Renewable Diesel'!$AB479*'RD Feedstock Breakdown'!CE$3*'Feedstock Conversion Rates'!$B$4)/12+15+5</f>
        <v>31.25</v>
      </c>
      <c r="CF470" s="106">
        <f t="shared" si="450"/>
        <v>44.080000000000005</v>
      </c>
      <c r="CG470" s="104">
        <f>('Renewable Diesel'!AD479*'Feedstock Conversion Rates'!B$4)/12</f>
        <v>112.5</v>
      </c>
      <c r="CH470" s="106">
        <f t="shared" si="504"/>
        <v>112.5</v>
      </c>
      <c r="CI470" s="104">
        <f>('Renewable Diesel'!$AE479*'RD Feedstock Breakdown'!CI$3*'Feedstock Conversion Rates'!$B$5)/12</f>
        <v>0.34604166666666664</v>
      </c>
      <c r="CJ470" s="104">
        <f>('Renewable Diesel'!$AE479*'RD Feedstock Breakdown'!CJ$3*'Feedstock Conversion Rates'!$B$4)/12</f>
        <v>0.34375</v>
      </c>
      <c r="CK470" s="106">
        <f t="shared" si="513"/>
        <v>0.68979166666666658</v>
      </c>
      <c r="CL470" s="104">
        <f>(((CL$3*'Renewable Diesel'!$AF479)*'Feedstock Conversion Rates'!$B$3)/12)</f>
        <v>91.78125</v>
      </c>
      <c r="CM470" s="104">
        <f>(((CM$3*'Renewable Diesel'!$AF479)*'Feedstock Conversion Rates'!$B$6)/12)</f>
        <v>53.739583333333336</v>
      </c>
      <c r="CN470" s="104">
        <f>(((CN$3*'Renewable Diesel'!$AF479)*'Feedstock Conversion Rates'!$B$4)/12)</f>
        <v>42.96875</v>
      </c>
      <c r="CO470" s="106">
        <f t="shared" si="506"/>
        <v>188.48958333333334</v>
      </c>
      <c r="CP470" s="104">
        <f>('Renewable Diesel'!$AG479*'RD Feedstock Breakdown'!CP$3*'Feedstock Conversion Rates'!$B$3)/12</f>
        <v>6.0075000000000003</v>
      </c>
      <c r="CQ470" s="104">
        <f>('Renewable Diesel'!$AG479*'RD Feedstock Breakdown'!CQ$3*'Feedstock Conversion Rates'!$B$6)/12</f>
        <v>3.5175000000000001</v>
      </c>
      <c r="CR470" s="104">
        <f>('Renewable Diesel'!$AG479*'RD Feedstock Breakdown'!CR$3*'Feedstock Conversion Rates'!$B$4)/12</f>
        <v>2.8125</v>
      </c>
      <c r="CS470" s="106">
        <f t="shared" si="467"/>
        <v>12.3375</v>
      </c>
      <c r="CT470" s="104">
        <f>('Renewable Diesel'!AI479*'Feedstock Conversion Rates'!$B$4*'RD Feedstock Breakdown'!$CT$3)/12</f>
        <v>29.375</v>
      </c>
      <c r="CU470" s="106">
        <f t="shared" si="508"/>
        <v>29.375</v>
      </c>
      <c r="CV470" s="104">
        <f>('Renewable Diesel'!AN479*'Feedstock Conversion Rates'!$B$3*'RD Feedstock Breakdown'!$CV$3)/12</f>
        <v>0.50062499999999999</v>
      </c>
      <c r="CW470" s="106">
        <f t="shared" si="485"/>
        <v>0.50062499999999999</v>
      </c>
      <c r="CX470" s="104">
        <f>('Renewable Diesel'!AO479*'RD Feedstock Breakdown'!$CX$3*'Feedstock Conversion Rates'!$B$3)/12</f>
        <v>6.3412499999999996</v>
      </c>
      <c r="CY470" s="104">
        <f>('Renewable Diesel'!AO479*'RD Feedstock Breakdown'!$CY$3*'Feedstock Conversion Rates'!$B$6)/12</f>
        <v>7.4258333333333342</v>
      </c>
      <c r="CZ470" s="106">
        <f t="shared" si="468"/>
        <v>13.767083333333334</v>
      </c>
      <c r="DA470" s="104">
        <f>('Renewable Diesel'!$AP479*'RD Feedstock Breakdown'!DA$3*'Feedstock Conversion Rates'!$B$3)/12</f>
        <v>6.3412499999999996</v>
      </c>
      <c r="DB470" s="104">
        <f>('Renewable Diesel'!$AP479*'RD Feedstock Breakdown'!DB$3*'Feedstock Conversion Rates'!$B$8)/12</f>
        <v>7.421875</v>
      </c>
      <c r="DC470" s="106">
        <f t="shared" si="488"/>
        <v>13.763124999999999</v>
      </c>
      <c r="DD470" s="104">
        <f>('Renewable Diesel'!AQ479*$DD$3*'Feedstock Conversion Rates'!$B$14)/12</f>
        <v>3.1041666666666665</v>
      </c>
      <c r="DE470" s="106">
        <f t="shared" si="489"/>
        <v>3.1041666666666665</v>
      </c>
      <c r="DF470" s="104">
        <f>('Renewable Diesel'!AR479*'Feedstock Conversion Rates'!$B$4*$DF$3)/12</f>
        <v>75</v>
      </c>
      <c r="DG470" s="106">
        <f t="shared" si="469"/>
        <v>75</v>
      </c>
      <c r="DH470" s="104">
        <f>('Renewable Diesel'!AS479*'Feedstock Conversion Rates'!$B$4*$DH$3)/12</f>
        <v>75</v>
      </c>
      <c r="DI470" s="106">
        <f t="shared" si="478"/>
        <v>75</v>
      </c>
      <c r="DJ470" s="104">
        <f>('Renewable Diesel'!AT479*'Feedstock Conversion Rates'!$B$4*0.25)/12</f>
        <v>8.59375</v>
      </c>
      <c r="DK470" s="104">
        <f>('Renewable Diesel'!$AT479*'RD Feedstock Breakdown'!DK$3*'Feedstock Conversion Rates'!$B$3)/12*0.5</f>
        <v>9.1781249999999996</v>
      </c>
      <c r="DL470" s="104">
        <f>('Renewable Diesel'!$AT479*'RD Feedstock Breakdown'!$DL$3*'Feedstock Conversion Rates'!$B$6)/12</f>
        <v>10.747916666666669</v>
      </c>
      <c r="DM470" s="104">
        <f>('Renewable Diesel'!$AT479*'RD Feedstock Breakdown'!$DM$3*'Feedstock Conversion Rates'!$B$8)/12</f>
        <v>10.7421875</v>
      </c>
      <c r="DN470" s="106">
        <f t="shared" si="453"/>
        <v>39.26197916666667</v>
      </c>
      <c r="DP470" s="104">
        <f t="shared" si="491"/>
        <v>103.22025000000001</v>
      </c>
      <c r="DQ470" s="104">
        <f t="shared" si="492"/>
        <v>349.11776750000007</v>
      </c>
      <c r="DR470" s="104">
        <f t="shared" si="497"/>
        <v>1891.953125</v>
      </c>
      <c r="DS470" s="104">
        <f t="shared" si="510"/>
        <v>228.90125</v>
      </c>
      <c r="DT470" s="104">
        <f t="shared" si="493"/>
        <v>243.03923333333344</v>
      </c>
      <c r="DU470" s="104">
        <f t="shared" si="494"/>
        <v>402.90610000000009</v>
      </c>
      <c r="DV470" s="104">
        <f t="shared" si="498"/>
        <v>78.75</v>
      </c>
      <c r="DW470" s="104">
        <f t="shared" si="495"/>
        <v>3</v>
      </c>
      <c r="DX470" s="106">
        <f t="shared" si="499"/>
        <v>3300.8877258333337</v>
      </c>
      <c r="DY470" s="109">
        <f t="shared" si="487"/>
        <v>-5.631051180898794E-13</v>
      </c>
      <c r="EA470" s="110">
        <f t="shared" si="509"/>
        <v>3.1270451640078516E-2</v>
      </c>
      <c r="EB470" s="110">
        <f t="shared" si="470"/>
        <v>0.10576481131658687</v>
      </c>
      <c r="EC470" s="110">
        <f t="shared" si="470"/>
        <v>0.57316494293133291</v>
      </c>
      <c r="ED470" s="110">
        <f t="shared" si="470"/>
        <v>6.9345360706629972E-2</v>
      </c>
      <c r="EE470" s="110">
        <f t="shared" si="470"/>
        <v>7.3628445896921982E-2</v>
      </c>
      <c r="EF470" s="110">
        <f t="shared" si="470"/>
        <v>0.1220599225010852</v>
      </c>
      <c r="EG470" s="110">
        <f t="shared" si="470"/>
        <v>2.3857218585075921E-2</v>
      </c>
      <c r="EH470" s="111">
        <f t="shared" si="500"/>
        <v>9.0884642228860647E-4</v>
      </c>
      <c r="EI470" s="110">
        <f t="shared" si="476"/>
        <v>0.99909115357771139</v>
      </c>
      <c r="EK470" s="132">
        <f>(EA470*'Renewable Diesel'!BF479*'Feedstock Conversion Rates'!B$2)+FB470</f>
        <v>972.46837327647859</v>
      </c>
      <c r="EL470" s="132">
        <f>(EB470*'Renewable Diesel'!BF479*'Feedstock Conversion Rates'!B$3)+FC470</f>
        <v>3099.5319795640344</v>
      </c>
      <c r="EM470" s="132">
        <f>(EC470*'Renewable Diesel'!BF479*'Feedstock Conversion Rates'!B$4)+FD470</f>
        <v>15727.630204094698</v>
      </c>
      <c r="EN470" s="132">
        <f>(ED470*'Renewable Diesel'!BF479*'Feedstock Conversion Rates'!B$5)+FE470</f>
        <v>1915.5203477940636</v>
      </c>
      <c r="EO470" s="132">
        <f>(EE470*'Renewable Diesel'!BF479*'Feedstock Conversion Rates'!B$6)+FF470</f>
        <v>2526.8000607307126</v>
      </c>
      <c r="EP470" s="132">
        <f>(EF470*'Renewable Diesel'!BF479*'Feedstock Conversion Rates'!B$7)+FG470</f>
        <v>4108.5003068470696</v>
      </c>
      <c r="EQ470" s="132">
        <f>(EG470*'Renewable Diesel'!BF479*'Feedstock Conversion Rates'!B$8)+FH470</f>
        <v>818.30177384313993</v>
      </c>
      <c r="ER470" s="132">
        <f>(EH470*'Renewable Diesel'!BF479*'Feedstock Conversion Rates'!B$9)+FI470</f>
        <v>30.757755562865952</v>
      </c>
      <c r="ES470" s="132">
        <f t="shared" si="501"/>
        <v>29199.510801713062</v>
      </c>
      <c r="ET470" s="133">
        <f>ES470/'Renewable Diesel'!BF479</f>
        <v>22.482377541338938</v>
      </c>
      <c r="EW470" s="73">
        <f t="shared" si="461"/>
        <v>29023.23389008065</v>
      </c>
      <c r="EX470" s="73">
        <f t="shared" si="462"/>
        <v>19010.377169443553</v>
      </c>
      <c r="EY470" s="92">
        <f t="shared" si="477"/>
        <v>0.99396301832487988</v>
      </c>
      <c r="EZ470" s="92">
        <f t="shared" si="477"/>
        <v>0.65105122132142912</v>
      </c>
      <c r="FB470" s="102">
        <f>IF('Renewable Diesel'!$BG479&lt;1,0,(((('Renewable Diesel'!$BG479-1)*'Renewable Diesel'!$BF479)*'RD Feedstock Breakdown'!EA470)*'Feedstock Conversion Rates'!$B$2))</f>
        <v>627.25594836901075</v>
      </c>
      <c r="FC470" s="102">
        <f>IF('Renewable Diesel'!$BG479&lt;1,0,(((('Renewable Diesel'!$BG479-1)*'Renewable Diesel'!$BF479)*'RD Feedstock Breakdown'!EB470)*'Feedstock Conversion Rates'!$B$3))</f>
        <v>1999.2422630579142</v>
      </c>
      <c r="FD470" s="102">
        <f>IF('Renewable Diesel'!$BG479&lt;1,0,(((('Renewable Diesel'!$BG479-1)*'Renewable Diesel'!$BF479)*'RD Feedstock Breakdown'!EC470)*'Feedstock Conversion Rates'!$B$4))</f>
        <v>10144.545437532466</v>
      </c>
      <c r="FE470" s="102">
        <f>IF('Renewable Diesel'!$BG479&lt;1,0,(((('Renewable Diesel'!$BG479-1)*'Renewable Diesel'!$BF479)*'RD Feedstock Breakdown'!ED470)*'Feedstock Conversion Rates'!$B$5))</f>
        <v>1235.5379006594212</v>
      </c>
      <c r="FF470" s="102">
        <f>IF('Renewable Diesel'!$BG479&lt;1,0,(((('Renewable Diesel'!$BG479-1)*'Renewable Diesel'!$BF479)*'RD Feedstock Breakdown'!EE470)*'Feedstock Conversion Rates'!$B$6))</f>
        <v>1629.822019910468</v>
      </c>
      <c r="FG470" s="102">
        <f>IF('Renewable Diesel'!$BG479&lt;1,0,(((('Renewable Diesel'!$BG479-1)*'Renewable Diesel'!$BF479)*'RD Feedstock Breakdown'!EF470)*'Feedstock Conversion Rates'!$B$7))</f>
        <v>2650.0412015075899</v>
      </c>
      <c r="FH470" s="102">
        <f>IF('Renewable Diesel'!$BG479&lt;1,0,(((('Renewable Diesel'!$BG479-1)*'Renewable Diesel'!$BF479)*'RD Feedstock Breakdown'!EG470)*'Feedstock Conversion Rates'!$B$8))</f>
        <v>527.81629645665873</v>
      </c>
      <c r="FI470" s="102">
        <f>IF('Renewable Diesel'!$BG479&lt;1,0,(((('Renewable Diesel'!$BG479-1)*'Renewable Diesel'!$BF479)*'RD Feedstock Breakdown'!EH470)*'Feedstock Conversion Rates'!$B$9))</f>
        <v>19.839190317609013</v>
      </c>
      <c r="FJ470" s="102">
        <f t="shared" si="463"/>
        <v>18834.100257811137</v>
      </c>
      <c r="GD470" s="91">
        <f>'Renewable Diesel'!BB479*0.32</f>
        <v>0</v>
      </c>
      <c r="GE470" s="91">
        <f>'Renewable Diesel'!BC479</f>
        <v>609.58757500664842</v>
      </c>
      <c r="GF470" s="91">
        <f>'Renewable Diesel'!BD479</f>
        <v>0</v>
      </c>
      <c r="GG470" s="91">
        <f t="shared" si="451"/>
        <v>609.58757500664842</v>
      </c>
      <c r="GH470" s="124">
        <v>1</v>
      </c>
      <c r="GI470" s="102">
        <f>$GG470*EA470*'Feedstock Conversion Rates'!$B$2</f>
        <v>162.02766966942414</v>
      </c>
      <c r="GJ470" s="102">
        <f>$GG470*EB470*'Feedstock Conversion Rates'!$B$3</f>
        <v>516.42804796062649</v>
      </c>
      <c r="GK470" s="102">
        <f>$GG470*EC470*'Feedstock Conversion Rates'!$B$4</f>
        <v>2620.4567073025146</v>
      </c>
      <c r="GL470" s="102">
        <f>$GG470*ED470*'Feedstock Conversion Rates'!$B$5</f>
        <v>319.15413054692493</v>
      </c>
      <c r="GM470" s="102">
        <f>$GG470*EE470*'Feedstock Conversion Rates'!$B$6</f>
        <v>421.00240667092487</v>
      </c>
      <c r="GN470" s="102">
        <f>$GG470*EF470*'Feedstock Conversion Rates'!$B$7</f>
        <v>684.53715189901084</v>
      </c>
      <c r="GO470" s="102">
        <f>$GG470*EG470*'Feedstock Conversion Rates'!$B$8</f>
        <v>136.34122522199976</v>
      </c>
      <c r="GP470" s="102">
        <f>$GG470*EH470*'Feedstock Conversion Rates'!B$9</f>
        <v>5.1246987512015147</v>
      </c>
      <c r="GQ470" s="102">
        <f t="shared" si="502"/>
        <v>4865.0720380226267</v>
      </c>
      <c r="GT470" s="103">
        <f t="shared" si="484"/>
        <v>3.3304269372191893E-2</v>
      </c>
      <c r="GU470" s="103">
        <f t="shared" si="484"/>
        <v>0.10615013383656388</v>
      </c>
      <c r="GV470" s="103">
        <f t="shared" si="484"/>
        <v>0.53862649654979822</v>
      </c>
      <c r="GW470" s="103">
        <f t="shared" si="484"/>
        <v>6.5601110950176775E-2</v>
      </c>
      <c r="GX470" s="103">
        <f t="shared" si="465"/>
        <v>8.6535698419388296E-2</v>
      </c>
      <c r="GY470" s="103">
        <f t="shared" si="465"/>
        <v>0.14070442257566981</v>
      </c>
      <c r="GZ470" s="103">
        <f t="shared" si="465"/>
        <v>2.8024502855545516E-2</v>
      </c>
      <c r="HA470" s="103">
        <f t="shared" si="465"/>
        <v>1.0533654406655838E-3</v>
      </c>
    </row>
    <row r="471" spans="1:209" x14ac:dyDescent="0.25">
      <c r="A471" s="96">
        <v>54758</v>
      </c>
      <c r="B471" s="104">
        <f t="shared" si="473"/>
        <v>44.25</v>
      </c>
      <c r="C471" s="104">
        <f t="shared" si="466"/>
        <v>49</v>
      </c>
      <c r="D471" s="104">
        <f t="shared" si="474"/>
        <v>2</v>
      </c>
      <c r="E471" s="104">
        <f>('Renewable Diesel'!B480*E$3*'Feedstock Conversion Rates'!$B$2)/12+26+13-100+27.5+39</f>
        <v>95.43</v>
      </c>
      <c r="F471" s="104">
        <f>('Renewable Diesel'!B480*'RD Feedstock Breakdown'!F$3*'Feedstock Conversion Rates'!B$8)/12+77+23-10-12-115.75+24+8</f>
        <v>48.15625</v>
      </c>
      <c r="G471" s="104">
        <f>('Renewable Diesel'!B480*'RD Feedstock Breakdown'!G$3*'Feedstock Conversion Rates'!B$7)/12+116.75-39-57.5-145-31.5+32+70-40+10+60</f>
        <v>151.90700000000004</v>
      </c>
      <c r="H471" s="104">
        <f>('Renewable Diesel'!B480*'RD Feedstock Breakdown'!H$3*'Feedstock Conversion Rates'!B$3)/12+67+10+12+3-235+20+47-20+25</f>
        <v>105.40022499999998</v>
      </c>
      <c r="I471" s="106">
        <f t="shared" ref="I471:I495" si="515">SUM(B471:H471)</f>
        <v>496.14347500000002</v>
      </c>
      <c r="J471" s="104">
        <f t="shared" si="483"/>
        <v>4</v>
      </c>
      <c r="K471" s="104"/>
      <c r="L471" s="104">
        <v>1</v>
      </c>
      <c r="M471" s="104">
        <f>('Renewable Diesel'!C480*'RD Feedstock Breakdown'!M$3*'Feedstock Conversion Rates'!B$2)/12</f>
        <v>7.7902500000000003</v>
      </c>
      <c r="N471" s="104">
        <f>('Renewable Diesel'!C480*'RD Feedstock Breakdown'!N$3*'Feedstock Conversion Rates'!B$8)/12</f>
        <v>3.671875</v>
      </c>
      <c r="O471" s="104">
        <f>('Renewable Diesel'!C480*'RD Feedstock Breakdown'!O$3*'Feedstock Conversion Rates'!B$7)/12</f>
        <v>11.9991</v>
      </c>
      <c r="P471" s="104">
        <f>('Renewable Diesel'!C480*'RD Feedstock Breakdown'!P$3*'Feedstock Conversion Rates'!B$3)/12</f>
        <v>10.4470425</v>
      </c>
      <c r="Q471" s="106">
        <f t="shared" si="455"/>
        <v>38.908267500000001</v>
      </c>
      <c r="R471" s="104">
        <f>('Renewable Diesel'!D480*'RD Feedstock Breakdown'!R$3*'Feedstock Conversion Rates'!B$7)/12</f>
        <v>2.2999999999999998</v>
      </c>
      <c r="S471" s="106">
        <f t="shared" si="481"/>
        <v>2.2999999999999998</v>
      </c>
      <c r="T471" s="104">
        <f t="shared" si="456"/>
        <v>0.82499999999999929</v>
      </c>
      <c r="U471" s="104"/>
      <c r="V471" s="104">
        <f>('Renewable Diesel'!E480*'RD Feedstock Breakdown'!V$3*'Feedstock Conversion Rates'!B$6)/12-20+25</f>
        <v>49.250150000000012</v>
      </c>
      <c r="W471" s="104">
        <f>('Renewable Diesel'!E480*'RD Feedstock Breakdown'!W$3*'Feedstock Conversion Rates'!B$8)/12-6</f>
        <v>16.1796875</v>
      </c>
      <c r="X471" s="106">
        <f t="shared" si="503"/>
        <v>66.254837500000008</v>
      </c>
      <c r="Y471" s="104">
        <f t="shared" si="457"/>
        <v>98</v>
      </c>
      <c r="Z471" s="104">
        <f>('Renewable Diesel'!F480*'RD Feedstock Breakdown'!Z$3*'Feedstock Conversion Rates'!B$6)/12-142+15+5+20+5+15</f>
        <v>77.460000000000008</v>
      </c>
      <c r="AA471" s="104">
        <f>('Renewable Diesel'!F480*'RD Feedstock Breakdown'!AA$3*'Feedstock Conversion Rates'!B$7)/12+24</f>
        <v>128.26666666666665</v>
      </c>
      <c r="AB471" s="106">
        <f t="shared" si="471"/>
        <v>303.72666666666669</v>
      </c>
      <c r="AC471" s="104">
        <f>('Renewable Diesel'!G480*'RD Feedstock Breakdown'!AC$3*'Feedstock Conversion Rates'!B$5)/12</f>
        <v>11.796875</v>
      </c>
      <c r="AD471" s="104">
        <f>('Renewable Diesel'!G480*'RD Feedstock Breakdown'!AD$3*'Feedstock Conversion Rates'!B$4)/12</f>
        <v>5.859375</v>
      </c>
      <c r="AE471" s="104">
        <f>('Renewable Diesel'!G480*'RD Feedstock Breakdown'!AE$3*'Feedstock Conversion Rates'!B$6)/12</f>
        <v>7.3281250000000009</v>
      </c>
      <c r="AF471" s="106">
        <f t="shared" si="511"/>
        <v>24.984375</v>
      </c>
      <c r="AG471" s="104">
        <f t="shared" si="459"/>
        <v>148</v>
      </c>
      <c r="AH471" s="104"/>
      <c r="AI471" s="104">
        <f>('Renewable Diesel'!H480*'RD Feedstock Breakdown'!AI$3*'Feedstock Conversion Rates'!B$6)/12-130-20+51-49</f>
        <v>0.51666666666667993</v>
      </c>
      <c r="AJ471" s="106">
        <f t="shared" si="480"/>
        <v>148.51666666666668</v>
      </c>
      <c r="AK471" s="104">
        <f>('Renewable Diesel'!J480*'RD Feedstock Breakdown'!AK$3*'Feedstock Conversion Rates'!B$4)/12</f>
        <v>95.8125</v>
      </c>
      <c r="AL471" s="106">
        <f t="shared" si="482"/>
        <v>95.8125</v>
      </c>
      <c r="AM471" s="104">
        <f>('Renewable Diesel'!K480*'RD Feedstock Breakdown'!AM$3*'Feedstock Conversion Rates'!B$4)/12+5+15-10+10</f>
        <v>78.59375</v>
      </c>
      <c r="AN471" s="104">
        <f>('Renewable Diesel'!K480*'RD Feedstock Breakdown'!AN$3*'Feedstock Conversion Rates'!B$6)/12-5-15+10-10</f>
        <v>4.4270833333333321</v>
      </c>
      <c r="AO471" s="106">
        <f t="shared" si="496"/>
        <v>83.020833333333329</v>
      </c>
      <c r="AP471" s="104">
        <f>('Renewable Diesel'!L480*'RD Feedstock Breakdown'!AP$3*'Feedstock Conversion Rates'!B$4)/12+15-10+15</f>
        <v>78.59375</v>
      </c>
      <c r="AQ471" s="104">
        <f>('Renewable Diesel'!L480*'RD Feedstock Breakdown'!AQ$3*'Feedstock Conversion Rates'!B$6)/12-15+10-15</f>
        <v>4.4270833333333321</v>
      </c>
      <c r="AR471" s="106">
        <f t="shared" si="486"/>
        <v>83.020833333333329</v>
      </c>
      <c r="AS471" s="104">
        <f>('Renewable Diesel'!M480*'RD Feedstock Breakdown'!AS$3*'Feedstock Conversion Rates'!B$4)/12</f>
        <v>456.25</v>
      </c>
      <c r="AT471" s="104">
        <f>('Renewable Diesel'!M480*'RD Feedstock Breakdown'!AT$3*'Feedstock Conversion Rates'!B$5)/12</f>
        <v>0</v>
      </c>
      <c r="AU471" s="106">
        <f t="shared" si="514"/>
        <v>456.25</v>
      </c>
      <c r="AV471" s="104">
        <f>'Renewable Diesel'!N480*'RD Feedstock Breakdown'!$AV$3*'Feedstock Conversion Rates'!$B$4/12-15-10+25+25-22+25</f>
        <v>106.74999999999999</v>
      </c>
      <c r="AW471" s="104">
        <f>'Renewable Diesel'!N480*'RD Feedstock Breakdown'!$AW$3*'Feedstock Conversion Rates'!$B$7/12+15+10-25-25+22-25</f>
        <v>13.400000000000006</v>
      </c>
      <c r="AX471" s="106">
        <f t="shared" si="475"/>
        <v>120.14999999999999</v>
      </c>
      <c r="AY471" s="104">
        <f>('Renewable Diesel'!O480*'RD Feedstock Breakdown'!AY$3*'Feedstock Conversion Rates'!B$4)/12</f>
        <v>210.9375</v>
      </c>
      <c r="AZ471" s="104">
        <f>('Renewable Diesel'!O480*'RD Feedstock Breakdown'!AZ$3*'Feedstock Conversion Rates'!B$3)/12</f>
        <v>25.03125</v>
      </c>
      <c r="BA471" s="106">
        <f t="shared" si="458"/>
        <v>235.96875</v>
      </c>
      <c r="BB471" s="104">
        <f>('Renewable Diesel'!Q480*'RD Feedstock Breakdown'!BB$3*'Feedstock Conversion Rates'!B$4)/12</f>
        <v>11.156249999999998</v>
      </c>
      <c r="BC471" s="104">
        <f>('Renewable Diesel'!Q480*'RD Feedstock Breakdown'!BC$3*'Feedstock Conversion Rates'!B$3)/12</f>
        <v>1.4017500000000001</v>
      </c>
      <c r="BD471" s="104">
        <f>('Renewable Diesel'!Q480*'RD Feedstock Breakdown'!BD$3*'Feedstock Conversion Rates'!B$6)/12</f>
        <v>0.8207500000000002</v>
      </c>
      <c r="BE471" s="106">
        <f t="shared" si="505"/>
        <v>13.378749999999998</v>
      </c>
      <c r="BF471" s="104">
        <f>('Renewable Diesel'!R480*'RD Feedstock Breakdown'!BF$3*'Feedstock Conversion Rates'!B$4)/12</f>
        <v>62.5</v>
      </c>
      <c r="BG471" s="106">
        <f t="shared" si="490"/>
        <v>62.5</v>
      </c>
      <c r="BH471" s="104">
        <f>('Renewable Diesel'!T480*'RD Feedstock Breakdown'!BH$3*'Feedstock Conversion Rates'!B$7)/12</f>
        <v>27.599999999999998</v>
      </c>
      <c r="BI471" s="106">
        <f t="shared" si="479"/>
        <v>27.599999999999998</v>
      </c>
      <c r="BJ471" s="104">
        <f>('Renewable Diesel'!W480*'RD Feedstock Breakdown'!BJ$3*'Feedstock Conversion Rates'!B$4)/12</f>
        <v>7.5</v>
      </c>
      <c r="BK471" s="104">
        <f>('Renewable Diesel'!W480*'RD Feedstock Breakdown'!BK$3*'Feedstock Conversion Rates'!B$3)/12</f>
        <v>1.335</v>
      </c>
      <c r="BL471" s="104">
        <f>('Renewable Diesel'!W480*'RD Feedstock Breakdown'!BL$3*'Feedstock Conversion Rates'!B$6)/12</f>
        <v>3.1266666666666669</v>
      </c>
      <c r="BM471" s="104">
        <f>('Renewable Diesel'!W480*'RD Feedstock Breakdown'!BM$3*'Feedstock Conversion Rates'!B$7)/12</f>
        <v>1.5333333333333332</v>
      </c>
      <c r="BN471" s="106">
        <f t="shared" si="452"/>
        <v>13.495000000000001</v>
      </c>
      <c r="BO471" s="104">
        <f>('Renewable Diesel'!P480*'Feedstock Conversion Rates'!B$4)/12</f>
        <v>31.25</v>
      </c>
      <c r="BP471" s="106">
        <f t="shared" si="512"/>
        <v>31.25</v>
      </c>
      <c r="BQ471" s="104">
        <f>('Renewable Diesel'!$S480*'RD Feedstock Breakdown'!BQ$3*'Feedstock Conversion Rates'!B$4)/12+10+15-15</f>
        <v>38.125</v>
      </c>
      <c r="BR471" s="104">
        <f>('Renewable Diesel'!$S480*'RD Feedstock Breakdown'!BR$3*'Feedstock Conversion Rates'!B$7)/12-10-15+15</f>
        <v>1.5</v>
      </c>
      <c r="BS471" s="106">
        <f t="shared" si="460"/>
        <v>39.625</v>
      </c>
      <c r="BT471" s="106"/>
      <c r="BU471" s="104">
        <f>('Renewable Diesel'!Y480*'Feedstock Conversion Rates'!B$7)/12</f>
        <v>2.6833333333333331</v>
      </c>
      <c r="BV471" s="106">
        <f t="shared" si="507"/>
        <v>2.6833333333333331</v>
      </c>
      <c r="BW471" s="104">
        <f>('Renewable Diesel'!$Z480*'RD Feedstock Breakdown'!BW$3*'Feedstock Conversion Rates'!$B$4)/12-250+180</f>
        <v>1.875</v>
      </c>
      <c r="BX471" s="104">
        <f>('Renewable Diesel'!$Z480*'RD Feedstock Breakdown'!BX$3*'Feedstock Conversion Rates'!$B$5)/12</f>
        <v>7.2354166666666666</v>
      </c>
      <c r="BY471" s="104">
        <f>('Renewable Diesel'!$Z480*'RD Feedstock Breakdown'!BY$3*'Feedstock Conversion Rates'!$B$7)/12</f>
        <v>61.716666666666661</v>
      </c>
      <c r="BZ471" s="104">
        <f>('Renewable Diesel'!$Z480*'RD Feedstock Breakdown'!BZ$3*'Feedstock Conversion Rates'!$B$3)/12+250-180</f>
        <v>85.35250000000002</v>
      </c>
      <c r="CA471" s="106">
        <f t="shared" si="464"/>
        <v>156.17958333333334</v>
      </c>
      <c r="CB471" s="104">
        <f>('Renewable Diesel'!AA480*'Feedstock Conversion Rates'!B$4)/12</f>
        <v>191.25</v>
      </c>
      <c r="CC471" s="106">
        <f t="shared" si="454"/>
        <v>191.25</v>
      </c>
      <c r="CD471" s="104">
        <f>('Renewable Diesel'!$AB480*'RD Feedstock Breakdown'!CD$3*'Feedstock Conversion Rates'!$B$6)/12-15-5</f>
        <v>12.830000000000005</v>
      </c>
      <c r="CE471" s="104">
        <f>('Renewable Diesel'!$AB480*'RD Feedstock Breakdown'!CE$3*'Feedstock Conversion Rates'!$B$4)/12+15+5</f>
        <v>31.25</v>
      </c>
      <c r="CF471" s="106">
        <f t="shared" si="450"/>
        <v>44.080000000000005</v>
      </c>
      <c r="CG471" s="104">
        <f>('Renewable Diesel'!AD480*'Feedstock Conversion Rates'!B$4)/12</f>
        <v>112.5</v>
      </c>
      <c r="CH471" s="106">
        <f t="shared" si="504"/>
        <v>112.5</v>
      </c>
      <c r="CI471" s="104">
        <f>('Renewable Diesel'!$AE480*'RD Feedstock Breakdown'!CI$3*'Feedstock Conversion Rates'!$B$5)/12</f>
        <v>0.34604166666666664</v>
      </c>
      <c r="CJ471" s="104">
        <f>('Renewable Diesel'!$AE480*'RD Feedstock Breakdown'!CJ$3*'Feedstock Conversion Rates'!$B$4)/12</f>
        <v>0.34375</v>
      </c>
      <c r="CK471" s="106">
        <f t="shared" si="513"/>
        <v>0.68979166666666658</v>
      </c>
      <c r="CL471" s="104">
        <f>(((CL$3*'Renewable Diesel'!$AF480)*'Feedstock Conversion Rates'!$B$3)/12)</f>
        <v>91.78125</v>
      </c>
      <c r="CM471" s="104">
        <f>(((CM$3*'Renewable Diesel'!$AF480)*'Feedstock Conversion Rates'!$B$6)/12)</f>
        <v>53.739583333333336</v>
      </c>
      <c r="CN471" s="104">
        <f>(((CN$3*'Renewable Diesel'!$AF480)*'Feedstock Conversion Rates'!$B$4)/12)</f>
        <v>42.96875</v>
      </c>
      <c r="CO471" s="106">
        <f t="shared" si="506"/>
        <v>188.48958333333334</v>
      </c>
      <c r="CP471" s="104">
        <f>('Renewable Diesel'!$AG480*'RD Feedstock Breakdown'!CP$3*'Feedstock Conversion Rates'!$B$3)/12</f>
        <v>6.0075000000000003</v>
      </c>
      <c r="CQ471" s="104">
        <f>('Renewable Diesel'!$AG480*'RD Feedstock Breakdown'!CQ$3*'Feedstock Conversion Rates'!$B$6)/12</f>
        <v>3.5175000000000001</v>
      </c>
      <c r="CR471" s="104">
        <f>('Renewable Diesel'!$AG480*'RD Feedstock Breakdown'!CR$3*'Feedstock Conversion Rates'!$B$4)/12</f>
        <v>2.8125</v>
      </c>
      <c r="CS471" s="106">
        <f t="shared" si="467"/>
        <v>12.3375</v>
      </c>
      <c r="CT471" s="104">
        <f>('Renewable Diesel'!AI480*'Feedstock Conversion Rates'!$B$4*'RD Feedstock Breakdown'!$CT$3)/12</f>
        <v>29.375</v>
      </c>
      <c r="CU471" s="106">
        <f t="shared" si="508"/>
        <v>29.375</v>
      </c>
      <c r="CV471" s="104">
        <f>('Renewable Diesel'!AN480*'Feedstock Conversion Rates'!$B$3*'RD Feedstock Breakdown'!$CV$3)/12</f>
        <v>0.50062499999999999</v>
      </c>
      <c r="CW471" s="106">
        <f t="shared" si="485"/>
        <v>0.50062499999999999</v>
      </c>
      <c r="CX471" s="104">
        <f>('Renewable Diesel'!AO480*'RD Feedstock Breakdown'!$CX$3*'Feedstock Conversion Rates'!$B$3)/12</f>
        <v>6.3412499999999996</v>
      </c>
      <c r="CY471" s="104">
        <f>('Renewable Diesel'!AO480*'RD Feedstock Breakdown'!$CY$3*'Feedstock Conversion Rates'!$B$6)/12</f>
        <v>7.4258333333333342</v>
      </c>
      <c r="CZ471" s="106">
        <f t="shared" si="468"/>
        <v>13.767083333333334</v>
      </c>
      <c r="DA471" s="104">
        <f>('Renewable Diesel'!$AP480*'RD Feedstock Breakdown'!DA$3*'Feedstock Conversion Rates'!$B$3)/12</f>
        <v>6.3412499999999996</v>
      </c>
      <c r="DB471" s="104">
        <f>('Renewable Diesel'!$AP480*'RD Feedstock Breakdown'!DB$3*'Feedstock Conversion Rates'!$B$8)/12</f>
        <v>7.421875</v>
      </c>
      <c r="DC471" s="106">
        <f t="shared" si="488"/>
        <v>13.763124999999999</v>
      </c>
      <c r="DD471" s="104">
        <f>('Renewable Diesel'!AQ480*$DD$3*'Feedstock Conversion Rates'!$B$14)/12</f>
        <v>3.1041666666666665</v>
      </c>
      <c r="DE471" s="106">
        <f t="shared" si="489"/>
        <v>3.1041666666666665</v>
      </c>
      <c r="DF471" s="104">
        <f>('Renewable Diesel'!AR480*'Feedstock Conversion Rates'!$B$4*$DF$3)/12</f>
        <v>75</v>
      </c>
      <c r="DG471" s="106">
        <f t="shared" si="469"/>
        <v>75</v>
      </c>
      <c r="DH471" s="104">
        <f>('Renewable Diesel'!AS480*'Feedstock Conversion Rates'!$B$4*$DH$3)/12</f>
        <v>75</v>
      </c>
      <c r="DI471" s="106">
        <f t="shared" si="478"/>
        <v>75</v>
      </c>
      <c r="DJ471" s="104">
        <f>('Renewable Diesel'!AT480*'Feedstock Conversion Rates'!$B$4*0.25)/12</f>
        <v>8.59375</v>
      </c>
      <c r="DK471" s="104">
        <f>('Renewable Diesel'!$AT480*'RD Feedstock Breakdown'!DK$3*'Feedstock Conversion Rates'!$B$3)/12*0.5</f>
        <v>9.1781249999999996</v>
      </c>
      <c r="DL471" s="104">
        <f>('Renewable Diesel'!$AT480*'RD Feedstock Breakdown'!$DL$3*'Feedstock Conversion Rates'!$B$6)/12</f>
        <v>10.747916666666669</v>
      </c>
      <c r="DM471" s="104">
        <f>('Renewable Diesel'!$AT480*'RD Feedstock Breakdown'!$DM$3*'Feedstock Conversion Rates'!$B$8)/12</f>
        <v>10.7421875</v>
      </c>
      <c r="DN471" s="106">
        <f t="shared" si="453"/>
        <v>39.26197916666667</v>
      </c>
      <c r="DP471" s="104">
        <f t="shared" si="491"/>
        <v>103.22025000000001</v>
      </c>
      <c r="DQ471" s="104">
        <f t="shared" si="492"/>
        <v>349.11776750000007</v>
      </c>
      <c r="DR471" s="104">
        <f t="shared" si="497"/>
        <v>1891.953125</v>
      </c>
      <c r="DS471" s="104">
        <f t="shared" si="510"/>
        <v>228.90125</v>
      </c>
      <c r="DT471" s="104">
        <f t="shared" si="493"/>
        <v>243.03923333333344</v>
      </c>
      <c r="DU471" s="104">
        <f t="shared" si="494"/>
        <v>402.90610000000009</v>
      </c>
      <c r="DV471" s="104">
        <f t="shared" si="498"/>
        <v>78.75</v>
      </c>
      <c r="DW471" s="104">
        <f t="shared" si="495"/>
        <v>3</v>
      </c>
      <c r="DX471" s="106">
        <f t="shared" si="499"/>
        <v>3300.8877258333337</v>
      </c>
      <c r="DY471" s="109">
        <f t="shared" si="487"/>
        <v>-5.631051180898794E-13</v>
      </c>
      <c r="EA471" s="110">
        <f t="shared" si="509"/>
        <v>3.1270451640078516E-2</v>
      </c>
      <c r="EB471" s="110">
        <f t="shared" si="470"/>
        <v>0.10576481131658687</v>
      </c>
      <c r="EC471" s="110">
        <f t="shared" si="470"/>
        <v>0.57316494293133291</v>
      </c>
      <c r="ED471" s="110">
        <f t="shared" si="470"/>
        <v>6.9345360706629972E-2</v>
      </c>
      <c r="EE471" s="110">
        <f t="shared" si="470"/>
        <v>7.3628445896921982E-2</v>
      </c>
      <c r="EF471" s="110">
        <f t="shared" si="470"/>
        <v>0.1220599225010852</v>
      </c>
      <c r="EG471" s="110">
        <f t="shared" si="470"/>
        <v>2.3857218585075921E-2</v>
      </c>
      <c r="EH471" s="111">
        <f t="shared" si="500"/>
        <v>9.0884642228860647E-4</v>
      </c>
      <c r="EI471" s="110">
        <f t="shared" si="476"/>
        <v>0.99909115357771139</v>
      </c>
      <c r="EK471" s="132">
        <f>(EA471*'Renewable Diesel'!BF480*'Feedstock Conversion Rates'!B$2)+FB471</f>
        <v>1053.374104190156</v>
      </c>
      <c r="EL471" s="132">
        <f>(EB471*'Renewable Diesel'!BF480*'Feedstock Conversion Rates'!B$3)+FC471</f>
        <v>3357.4014457473322</v>
      </c>
      <c r="EM471" s="132">
        <f>(EC471*'Renewable Diesel'!BF480*'Feedstock Conversion Rates'!B$4)+FD471</f>
        <v>17036.110204236094</v>
      </c>
      <c r="EN471" s="132">
        <f>(ED471*'Renewable Diesel'!BF480*'Feedstock Conversion Rates'!B$5)+FE471</f>
        <v>2074.8844752835234</v>
      </c>
      <c r="EO471" s="132">
        <f>(EE471*'Renewable Diesel'!BF480*'Feedstock Conversion Rates'!B$6)+FF471</f>
        <v>2737.0203737033189</v>
      </c>
      <c r="EP471" s="132">
        <f>(EF471*'Renewable Diesel'!BF480*'Feedstock Conversion Rates'!B$7)+FG471</f>
        <v>4450.3121635808684</v>
      </c>
      <c r="EQ471" s="132">
        <f>(EG471*'Renewable Diesel'!BF480*'Feedstock Conversion Rates'!B$8)+FH471</f>
        <v>886.38142037979424</v>
      </c>
      <c r="ER471" s="132">
        <f>(EH471*'Renewable Diesel'!BF480*'Feedstock Conversion Rates'!B$9)+FI471</f>
        <v>33.316685769196077</v>
      </c>
      <c r="ES471" s="132">
        <f t="shared" si="501"/>
        <v>31628.800872890286</v>
      </c>
      <c r="ET471" s="133">
        <f>ES471/'Renewable Diesel'!BF480</f>
        <v>23.785705196611023</v>
      </c>
      <c r="EW471" s="73">
        <f t="shared" si="461"/>
        <v>31809.591968942754</v>
      </c>
      <c r="EX471" s="73">
        <f t="shared" si="462"/>
        <v>20835.456973055596</v>
      </c>
      <c r="EY471" s="92">
        <f t="shared" si="477"/>
        <v>1.0057160275148915</v>
      </c>
      <c r="EZ471" s="92">
        <f t="shared" si="477"/>
        <v>0.65874950671664911</v>
      </c>
      <c r="FB471" s="102">
        <f>IF('Renewable Diesel'!$BG480&lt;1,0,(((('Renewable Diesel'!$BG480-1)*'Renewable Diesel'!$BF480)*'RD Feedstock Breakdown'!EA471)*'Feedstock Conversion Rates'!$B$2))</f>
        <v>699.93078688638241</v>
      </c>
      <c r="FC471" s="102">
        <f>IF('Renewable Diesel'!$BG480&lt;1,0,(((('Renewable Diesel'!$BG480-1)*'Renewable Diesel'!$BF480)*'RD Feedstock Breakdown'!EB471)*'Feedstock Conversion Rates'!$B$3))</f>
        <v>2230.8775452782475</v>
      </c>
      <c r="FD471" s="102">
        <f>IF('Renewable Diesel'!$BG480&lt;1,0,(((('Renewable Diesel'!$BG480-1)*'Renewable Diesel'!$BF480)*'RD Feedstock Breakdown'!EC471)*'Feedstock Conversion Rates'!$B$4))</f>
        <v>11319.908068085137</v>
      </c>
      <c r="FE471" s="102">
        <f>IF('Renewable Diesel'!$BG480&lt;1,0,(((('Renewable Diesel'!$BG480-1)*'Renewable Diesel'!$BF480)*'RD Feedstock Breakdown'!ED471)*'Feedstock Conversion Rates'!$B$5))</f>
        <v>1378.6892213379961</v>
      </c>
      <c r="FF471" s="102">
        <f>IF('Renewable Diesel'!$BG480&lt;1,0,(((('Renewable Diesel'!$BG480-1)*'Renewable Diesel'!$BF480)*'RD Feedstock Breakdown'!EE471)*'Feedstock Conversion Rates'!$B$6))</f>
        <v>1818.6557048153866</v>
      </c>
      <c r="FG471" s="102">
        <f>IF('Renewable Diesel'!$BG480&lt;1,0,(((('Renewable Diesel'!$BG480-1)*'Renewable Diesel'!$BF480)*'RD Feedstock Breakdown'!EF471)*'Feedstock Conversion Rates'!$B$7))</f>
        <v>2957.0790492708848</v>
      </c>
      <c r="FH471" s="102">
        <f>IF('Renewable Diesel'!$BG480&lt;1,0,(((('Renewable Diesel'!$BG480-1)*'Renewable Diesel'!$BF480)*'RD Feedstock Breakdown'!EG471)*'Feedstock Conversion Rates'!$B$8))</f>
        <v>588.96990402557174</v>
      </c>
      <c r="FI471" s="102">
        <f>IF('Renewable Diesel'!$BG480&lt;1,0,(((('Renewable Diesel'!$BG480-1)*'Renewable Diesel'!$BF480)*'RD Feedstock Breakdown'!EH471)*'Feedstock Conversion Rates'!$B$9))</f>
        <v>22.137789408453234</v>
      </c>
      <c r="FJ471" s="102">
        <f t="shared" si="463"/>
        <v>21016.24806910806</v>
      </c>
      <c r="GD471" s="91">
        <f>'Renewable Diesel'!BB480*0.32</f>
        <v>0</v>
      </c>
      <c r="GE471" s="91">
        <f>'Renewable Diesel'!BC480</f>
        <v>547.74103226588534</v>
      </c>
      <c r="GF471" s="91">
        <f>'Renewable Diesel'!BD480</f>
        <v>0</v>
      </c>
      <c r="GG471" s="91">
        <f t="shared" si="451"/>
        <v>547.74103226588534</v>
      </c>
      <c r="GH471" s="124">
        <v>1</v>
      </c>
      <c r="GI471" s="102">
        <f>$GG471*EA471*'Feedstock Conversion Rates'!$B$2</f>
        <v>145.58893041643495</v>
      </c>
      <c r="GJ471" s="102">
        <f>$GG471*EB471*'Feedstock Conversion Rates'!$B$3</f>
        <v>464.03313269291056</v>
      </c>
      <c r="GK471" s="102">
        <f>$GG471*EC471*'Feedstock Conversion Rates'!$B$4</f>
        <v>2354.5946812486918</v>
      </c>
      <c r="GL471" s="102">
        <f>$GG471*ED471*'Feedstock Conversion Rates'!$B$5</f>
        <v>286.77391089506244</v>
      </c>
      <c r="GM471" s="102">
        <f>$GG471*EE471*'Feedstock Conversion Rates'!$B$6</f>
        <v>378.2890306021074</v>
      </c>
      <c r="GN471" s="102">
        <f>$GG471*EF471*'Feedstock Conversion Rates'!$B$7</f>
        <v>615.08649713115301</v>
      </c>
      <c r="GO471" s="102">
        <f>$GG471*EG471*'Feedstock Conversion Rates'!$B$8</f>
        <v>122.50853938858454</v>
      </c>
      <c r="GP471" s="102">
        <f>$GG471*EH471*'Feedstock Conversion Rates'!B$9</f>
        <v>4.6047654170185419</v>
      </c>
      <c r="GQ471" s="102">
        <f t="shared" si="502"/>
        <v>4371.479487791963</v>
      </c>
      <c r="GT471" s="103">
        <f t="shared" si="484"/>
        <v>3.3304269372191886E-2</v>
      </c>
      <c r="GU471" s="103">
        <f t="shared" si="484"/>
        <v>0.10615013383656385</v>
      </c>
      <c r="GV471" s="103">
        <f t="shared" si="484"/>
        <v>0.53862649654979822</v>
      </c>
      <c r="GW471" s="103">
        <f t="shared" si="484"/>
        <v>6.5601110950176761E-2</v>
      </c>
      <c r="GX471" s="103">
        <f t="shared" si="465"/>
        <v>8.6535698419388282E-2</v>
      </c>
      <c r="GY471" s="103">
        <f t="shared" si="465"/>
        <v>0.14070442257566979</v>
      </c>
      <c r="GZ471" s="103">
        <f t="shared" si="465"/>
        <v>2.8024502855545509E-2</v>
      </c>
      <c r="HA471" s="103">
        <f t="shared" si="465"/>
        <v>1.0533654406655838E-3</v>
      </c>
    </row>
    <row r="472" spans="1:209" x14ac:dyDescent="0.25">
      <c r="A472" s="96">
        <v>54789</v>
      </c>
      <c r="B472" s="104">
        <f t="shared" si="473"/>
        <v>44.25</v>
      </c>
      <c r="C472" s="104">
        <f t="shared" si="466"/>
        <v>49</v>
      </c>
      <c r="D472" s="104">
        <f t="shared" si="474"/>
        <v>2</v>
      </c>
      <c r="E472" s="104">
        <f>('Renewable Diesel'!B481*E$3*'Feedstock Conversion Rates'!$B$2)/12+26+13-100+27.5+39</f>
        <v>95.43</v>
      </c>
      <c r="F472" s="104">
        <f>('Renewable Diesel'!B481*'RD Feedstock Breakdown'!F$3*'Feedstock Conversion Rates'!B$8)/12+77+23-10-12-115.75+24+8</f>
        <v>48.15625</v>
      </c>
      <c r="G472" s="104">
        <f>('Renewable Diesel'!B481*'RD Feedstock Breakdown'!G$3*'Feedstock Conversion Rates'!B$7)/12+116.75-39-57.5-145-31.5+32+70-40+10+60</f>
        <v>151.90700000000004</v>
      </c>
      <c r="H472" s="104">
        <f>('Renewable Diesel'!B481*'RD Feedstock Breakdown'!H$3*'Feedstock Conversion Rates'!B$3)/12+67+10+12+3-235+20+47-20+25</f>
        <v>105.40022499999998</v>
      </c>
      <c r="I472" s="106">
        <f t="shared" si="515"/>
        <v>496.14347500000002</v>
      </c>
      <c r="J472" s="104">
        <f t="shared" si="483"/>
        <v>4</v>
      </c>
      <c r="K472" s="104"/>
      <c r="L472" s="104">
        <v>1</v>
      </c>
      <c r="M472" s="104">
        <f>('Renewable Diesel'!C481*'RD Feedstock Breakdown'!M$3*'Feedstock Conversion Rates'!B$2)/12</f>
        <v>7.7902500000000003</v>
      </c>
      <c r="N472" s="104">
        <f>('Renewable Diesel'!C481*'RD Feedstock Breakdown'!N$3*'Feedstock Conversion Rates'!B$8)/12</f>
        <v>3.671875</v>
      </c>
      <c r="O472" s="104">
        <f>('Renewable Diesel'!C481*'RD Feedstock Breakdown'!O$3*'Feedstock Conversion Rates'!B$7)/12</f>
        <v>11.9991</v>
      </c>
      <c r="P472" s="104">
        <f>('Renewable Diesel'!C481*'RD Feedstock Breakdown'!P$3*'Feedstock Conversion Rates'!B$3)/12</f>
        <v>10.4470425</v>
      </c>
      <c r="Q472" s="106">
        <f t="shared" si="455"/>
        <v>38.908267500000001</v>
      </c>
      <c r="R472" s="104">
        <f>('Renewable Diesel'!D481*'RD Feedstock Breakdown'!R$3*'Feedstock Conversion Rates'!B$7)/12</f>
        <v>2.2999999999999998</v>
      </c>
      <c r="S472" s="106">
        <f t="shared" si="481"/>
        <v>2.2999999999999998</v>
      </c>
      <c r="T472" s="104">
        <f t="shared" si="456"/>
        <v>0.82499999999999929</v>
      </c>
      <c r="U472" s="104"/>
      <c r="V472" s="104">
        <f>('Renewable Diesel'!E481*'RD Feedstock Breakdown'!V$3*'Feedstock Conversion Rates'!B$6)/12-20+25</f>
        <v>49.250150000000012</v>
      </c>
      <c r="W472" s="104">
        <f>('Renewable Diesel'!E481*'RD Feedstock Breakdown'!W$3*'Feedstock Conversion Rates'!B$8)/12-6</f>
        <v>16.1796875</v>
      </c>
      <c r="X472" s="106">
        <f t="shared" si="503"/>
        <v>66.254837500000008</v>
      </c>
      <c r="Y472" s="104">
        <f t="shared" si="457"/>
        <v>98</v>
      </c>
      <c r="Z472" s="104">
        <f>('Renewable Diesel'!F481*'RD Feedstock Breakdown'!Z$3*'Feedstock Conversion Rates'!B$6)/12-142+15+5+20+5+15</f>
        <v>77.460000000000008</v>
      </c>
      <c r="AA472" s="104">
        <f>('Renewable Diesel'!F481*'RD Feedstock Breakdown'!AA$3*'Feedstock Conversion Rates'!B$7)/12+24</f>
        <v>128.26666666666665</v>
      </c>
      <c r="AB472" s="106">
        <f t="shared" si="471"/>
        <v>303.72666666666669</v>
      </c>
      <c r="AC472" s="104">
        <f>('Renewable Diesel'!G481*'RD Feedstock Breakdown'!AC$3*'Feedstock Conversion Rates'!B$5)/12</f>
        <v>11.796875</v>
      </c>
      <c r="AD472" s="104">
        <f>('Renewable Diesel'!G481*'RD Feedstock Breakdown'!AD$3*'Feedstock Conversion Rates'!B$4)/12</f>
        <v>5.859375</v>
      </c>
      <c r="AE472" s="104">
        <f>('Renewable Diesel'!G481*'RD Feedstock Breakdown'!AE$3*'Feedstock Conversion Rates'!B$6)/12</f>
        <v>7.3281250000000009</v>
      </c>
      <c r="AF472" s="106">
        <f t="shared" si="511"/>
        <v>24.984375</v>
      </c>
      <c r="AG472" s="104">
        <f t="shared" si="459"/>
        <v>148</v>
      </c>
      <c r="AH472" s="104"/>
      <c r="AI472" s="104">
        <f>('Renewable Diesel'!H481*'RD Feedstock Breakdown'!AI$3*'Feedstock Conversion Rates'!B$6)/12-130-20+51-49</f>
        <v>0.51666666666667993</v>
      </c>
      <c r="AJ472" s="106">
        <f t="shared" si="480"/>
        <v>148.51666666666668</v>
      </c>
      <c r="AK472" s="104">
        <f>('Renewable Diesel'!J481*'RD Feedstock Breakdown'!AK$3*'Feedstock Conversion Rates'!B$4)/12</f>
        <v>95.8125</v>
      </c>
      <c r="AL472" s="106">
        <f t="shared" si="482"/>
        <v>95.8125</v>
      </c>
      <c r="AM472" s="104">
        <f>('Renewable Diesel'!K481*'RD Feedstock Breakdown'!AM$3*'Feedstock Conversion Rates'!B$4)/12+5+15-10+10</f>
        <v>78.59375</v>
      </c>
      <c r="AN472" s="104">
        <f>('Renewable Diesel'!K481*'RD Feedstock Breakdown'!AN$3*'Feedstock Conversion Rates'!B$6)/12-5-15+10-10</f>
        <v>4.4270833333333321</v>
      </c>
      <c r="AO472" s="106">
        <f t="shared" si="496"/>
        <v>83.020833333333329</v>
      </c>
      <c r="AP472" s="104">
        <f>('Renewable Diesel'!L481*'RD Feedstock Breakdown'!AP$3*'Feedstock Conversion Rates'!B$4)/12+15-10+15</f>
        <v>78.59375</v>
      </c>
      <c r="AQ472" s="104">
        <f>('Renewable Diesel'!L481*'RD Feedstock Breakdown'!AQ$3*'Feedstock Conversion Rates'!B$6)/12-15+10-15</f>
        <v>4.4270833333333321</v>
      </c>
      <c r="AR472" s="106">
        <f t="shared" si="486"/>
        <v>83.020833333333329</v>
      </c>
      <c r="AS472" s="104">
        <f>('Renewable Diesel'!M481*'RD Feedstock Breakdown'!AS$3*'Feedstock Conversion Rates'!B$4)/12</f>
        <v>456.25</v>
      </c>
      <c r="AT472" s="104">
        <f>('Renewable Diesel'!M481*'RD Feedstock Breakdown'!AT$3*'Feedstock Conversion Rates'!B$5)/12</f>
        <v>0</v>
      </c>
      <c r="AU472" s="106">
        <f t="shared" si="514"/>
        <v>456.25</v>
      </c>
      <c r="AV472" s="104">
        <f>'Renewable Diesel'!N481*'RD Feedstock Breakdown'!$AV$3*'Feedstock Conversion Rates'!$B$4/12-15-10+25+25-22+25</f>
        <v>106.74999999999999</v>
      </c>
      <c r="AW472" s="104">
        <f>'Renewable Diesel'!N481*'RD Feedstock Breakdown'!$AW$3*'Feedstock Conversion Rates'!$B$7/12+15+10-25-25+22-25</f>
        <v>13.400000000000006</v>
      </c>
      <c r="AX472" s="106">
        <f t="shared" si="475"/>
        <v>120.14999999999999</v>
      </c>
      <c r="AY472" s="104">
        <f>('Renewable Diesel'!O481*'RD Feedstock Breakdown'!AY$3*'Feedstock Conversion Rates'!B$4)/12</f>
        <v>210.9375</v>
      </c>
      <c r="AZ472" s="104">
        <f>('Renewable Diesel'!O481*'RD Feedstock Breakdown'!AZ$3*'Feedstock Conversion Rates'!B$3)/12</f>
        <v>25.03125</v>
      </c>
      <c r="BA472" s="106">
        <f t="shared" si="458"/>
        <v>235.96875</v>
      </c>
      <c r="BB472" s="104">
        <f>('Renewable Diesel'!Q481*'RD Feedstock Breakdown'!BB$3*'Feedstock Conversion Rates'!B$4)/12</f>
        <v>11.156249999999998</v>
      </c>
      <c r="BC472" s="104">
        <f>('Renewable Diesel'!Q481*'RD Feedstock Breakdown'!BC$3*'Feedstock Conversion Rates'!B$3)/12</f>
        <v>1.4017500000000001</v>
      </c>
      <c r="BD472" s="104">
        <f>('Renewable Diesel'!Q481*'RD Feedstock Breakdown'!BD$3*'Feedstock Conversion Rates'!B$6)/12</f>
        <v>0.8207500000000002</v>
      </c>
      <c r="BE472" s="106">
        <f t="shared" si="505"/>
        <v>13.378749999999998</v>
      </c>
      <c r="BF472" s="104">
        <f>('Renewable Diesel'!R481*'RD Feedstock Breakdown'!BF$3*'Feedstock Conversion Rates'!B$4)/12</f>
        <v>62.5</v>
      </c>
      <c r="BG472" s="106">
        <f t="shared" si="490"/>
        <v>62.5</v>
      </c>
      <c r="BH472" s="104">
        <f>('Renewable Diesel'!T481*'RD Feedstock Breakdown'!BH$3*'Feedstock Conversion Rates'!B$7)/12</f>
        <v>27.599999999999998</v>
      </c>
      <c r="BI472" s="106">
        <f t="shared" si="479"/>
        <v>27.599999999999998</v>
      </c>
      <c r="BJ472" s="104">
        <f>('Renewable Diesel'!W481*'RD Feedstock Breakdown'!BJ$3*'Feedstock Conversion Rates'!B$4)/12</f>
        <v>7.5</v>
      </c>
      <c r="BK472" s="104">
        <f>('Renewable Diesel'!W481*'RD Feedstock Breakdown'!BK$3*'Feedstock Conversion Rates'!B$3)/12</f>
        <v>1.335</v>
      </c>
      <c r="BL472" s="104">
        <f>('Renewable Diesel'!W481*'RD Feedstock Breakdown'!BL$3*'Feedstock Conversion Rates'!B$6)/12</f>
        <v>3.1266666666666669</v>
      </c>
      <c r="BM472" s="104">
        <f>('Renewable Diesel'!W481*'RD Feedstock Breakdown'!BM$3*'Feedstock Conversion Rates'!B$7)/12</f>
        <v>1.5333333333333332</v>
      </c>
      <c r="BN472" s="106">
        <f t="shared" si="452"/>
        <v>13.495000000000001</v>
      </c>
      <c r="BO472" s="104">
        <f>('Renewable Diesel'!P481*'Feedstock Conversion Rates'!B$4)/12</f>
        <v>31.25</v>
      </c>
      <c r="BP472" s="106">
        <f t="shared" si="512"/>
        <v>31.25</v>
      </c>
      <c r="BQ472" s="104">
        <f>('Renewable Diesel'!$S481*'RD Feedstock Breakdown'!BQ$3*'Feedstock Conversion Rates'!B$4)/12+10+15-15</f>
        <v>38.125</v>
      </c>
      <c r="BR472" s="104">
        <f>('Renewable Diesel'!$S481*'RD Feedstock Breakdown'!BR$3*'Feedstock Conversion Rates'!B$7)/12-10-15+15</f>
        <v>1.5</v>
      </c>
      <c r="BS472" s="106">
        <f t="shared" si="460"/>
        <v>39.625</v>
      </c>
      <c r="BT472" s="106"/>
      <c r="BU472" s="104">
        <f>('Renewable Diesel'!Y481*'Feedstock Conversion Rates'!B$7)/12</f>
        <v>2.6833333333333331</v>
      </c>
      <c r="BV472" s="106">
        <f t="shared" si="507"/>
        <v>2.6833333333333331</v>
      </c>
      <c r="BW472" s="104">
        <f>('Renewable Diesel'!$Z481*'RD Feedstock Breakdown'!BW$3*'Feedstock Conversion Rates'!$B$4)/12-250+180</f>
        <v>1.875</v>
      </c>
      <c r="BX472" s="104">
        <f>('Renewable Diesel'!$Z481*'RD Feedstock Breakdown'!BX$3*'Feedstock Conversion Rates'!$B$5)/12</f>
        <v>7.2354166666666666</v>
      </c>
      <c r="BY472" s="104">
        <f>('Renewable Diesel'!$Z481*'RD Feedstock Breakdown'!BY$3*'Feedstock Conversion Rates'!$B$7)/12</f>
        <v>61.716666666666661</v>
      </c>
      <c r="BZ472" s="104">
        <f>('Renewable Diesel'!$Z481*'RD Feedstock Breakdown'!BZ$3*'Feedstock Conversion Rates'!$B$3)/12+250-180</f>
        <v>85.35250000000002</v>
      </c>
      <c r="CA472" s="106">
        <f t="shared" si="464"/>
        <v>156.17958333333334</v>
      </c>
      <c r="CB472" s="104">
        <f>('Renewable Diesel'!AA481*'Feedstock Conversion Rates'!B$4)/12</f>
        <v>191.25</v>
      </c>
      <c r="CC472" s="106">
        <f t="shared" si="454"/>
        <v>191.25</v>
      </c>
      <c r="CD472" s="104">
        <f>('Renewable Diesel'!$AB481*'RD Feedstock Breakdown'!CD$3*'Feedstock Conversion Rates'!$B$6)/12-15-5</f>
        <v>12.830000000000005</v>
      </c>
      <c r="CE472" s="104">
        <f>('Renewable Diesel'!$AB481*'RD Feedstock Breakdown'!CE$3*'Feedstock Conversion Rates'!$B$4)/12+15+5</f>
        <v>31.25</v>
      </c>
      <c r="CF472" s="106">
        <f t="shared" ref="CF472:CF495" si="516">SUM(CD472:CE472)</f>
        <v>44.080000000000005</v>
      </c>
      <c r="CG472" s="104">
        <f>('Renewable Diesel'!AD481*'Feedstock Conversion Rates'!B$4)/12</f>
        <v>112.5</v>
      </c>
      <c r="CH472" s="106">
        <f t="shared" si="504"/>
        <v>112.5</v>
      </c>
      <c r="CI472" s="104">
        <f>('Renewable Diesel'!$AE481*'RD Feedstock Breakdown'!CI$3*'Feedstock Conversion Rates'!$B$5)/12</f>
        <v>0.34604166666666664</v>
      </c>
      <c r="CJ472" s="104">
        <f>('Renewable Diesel'!$AE481*'RD Feedstock Breakdown'!CJ$3*'Feedstock Conversion Rates'!$B$4)/12</f>
        <v>0.34375</v>
      </c>
      <c r="CK472" s="106">
        <f t="shared" si="513"/>
        <v>0.68979166666666658</v>
      </c>
      <c r="CL472" s="104">
        <f>(((CL$3*'Renewable Diesel'!$AF481)*'Feedstock Conversion Rates'!$B$3)/12)</f>
        <v>91.78125</v>
      </c>
      <c r="CM472" s="104">
        <f>(((CM$3*'Renewable Diesel'!$AF481)*'Feedstock Conversion Rates'!$B$6)/12)</f>
        <v>53.739583333333336</v>
      </c>
      <c r="CN472" s="104">
        <f>(((CN$3*'Renewable Diesel'!$AF481)*'Feedstock Conversion Rates'!$B$4)/12)</f>
        <v>42.96875</v>
      </c>
      <c r="CO472" s="106">
        <f t="shared" si="506"/>
        <v>188.48958333333334</v>
      </c>
      <c r="CP472" s="104">
        <f>('Renewable Diesel'!$AG481*'RD Feedstock Breakdown'!CP$3*'Feedstock Conversion Rates'!$B$3)/12</f>
        <v>6.0075000000000003</v>
      </c>
      <c r="CQ472" s="104">
        <f>('Renewable Diesel'!$AG481*'RD Feedstock Breakdown'!CQ$3*'Feedstock Conversion Rates'!$B$6)/12</f>
        <v>3.5175000000000001</v>
      </c>
      <c r="CR472" s="104">
        <f>('Renewable Diesel'!$AG481*'RD Feedstock Breakdown'!CR$3*'Feedstock Conversion Rates'!$B$4)/12</f>
        <v>2.8125</v>
      </c>
      <c r="CS472" s="106">
        <f t="shared" si="467"/>
        <v>12.3375</v>
      </c>
      <c r="CT472" s="104">
        <f>('Renewable Diesel'!AI481*'Feedstock Conversion Rates'!$B$4*'RD Feedstock Breakdown'!$CT$3)/12</f>
        <v>29.375</v>
      </c>
      <c r="CU472" s="106">
        <f t="shared" si="508"/>
        <v>29.375</v>
      </c>
      <c r="CV472" s="104">
        <f>('Renewable Diesel'!AN481*'Feedstock Conversion Rates'!$B$3*'RD Feedstock Breakdown'!$CV$3)/12</f>
        <v>0.50062499999999999</v>
      </c>
      <c r="CW472" s="106">
        <f t="shared" si="485"/>
        <v>0.50062499999999999</v>
      </c>
      <c r="CX472" s="104">
        <f>('Renewable Diesel'!AO481*'RD Feedstock Breakdown'!$CX$3*'Feedstock Conversion Rates'!$B$3)/12</f>
        <v>6.3412499999999996</v>
      </c>
      <c r="CY472" s="104">
        <f>('Renewable Diesel'!AO481*'RD Feedstock Breakdown'!$CY$3*'Feedstock Conversion Rates'!$B$6)/12</f>
        <v>7.4258333333333342</v>
      </c>
      <c r="CZ472" s="106">
        <f t="shared" si="468"/>
        <v>13.767083333333334</v>
      </c>
      <c r="DA472" s="104">
        <f>('Renewable Diesel'!$AP481*'RD Feedstock Breakdown'!DA$3*'Feedstock Conversion Rates'!$B$3)/12</f>
        <v>6.3412499999999996</v>
      </c>
      <c r="DB472" s="104">
        <f>('Renewable Diesel'!$AP481*'RD Feedstock Breakdown'!DB$3*'Feedstock Conversion Rates'!$B$8)/12</f>
        <v>7.421875</v>
      </c>
      <c r="DC472" s="106">
        <f t="shared" si="488"/>
        <v>13.763124999999999</v>
      </c>
      <c r="DD472" s="104">
        <f>('Renewable Diesel'!AQ481*$DD$3*'Feedstock Conversion Rates'!$B$14)/12</f>
        <v>3.1041666666666665</v>
      </c>
      <c r="DE472" s="106">
        <f t="shared" si="489"/>
        <v>3.1041666666666665</v>
      </c>
      <c r="DF472" s="104">
        <f>('Renewable Diesel'!AR481*'Feedstock Conversion Rates'!$B$4*$DF$3)/12</f>
        <v>75</v>
      </c>
      <c r="DG472" s="106">
        <f t="shared" si="469"/>
        <v>75</v>
      </c>
      <c r="DH472" s="104">
        <f>('Renewable Diesel'!AS481*'Feedstock Conversion Rates'!$B$4*$DH$3)/12</f>
        <v>75</v>
      </c>
      <c r="DI472" s="106">
        <f t="shared" si="478"/>
        <v>75</v>
      </c>
      <c r="DJ472" s="104">
        <f>('Renewable Diesel'!AT481*'Feedstock Conversion Rates'!$B$4*0.25)/12</f>
        <v>8.59375</v>
      </c>
      <c r="DK472" s="104">
        <f>('Renewable Diesel'!$AT481*'RD Feedstock Breakdown'!DK$3*'Feedstock Conversion Rates'!$B$3)/12*0.5</f>
        <v>9.1781249999999996</v>
      </c>
      <c r="DL472" s="104">
        <f>('Renewable Diesel'!$AT481*'RD Feedstock Breakdown'!$DL$3*'Feedstock Conversion Rates'!$B$6)/12</f>
        <v>10.747916666666669</v>
      </c>
      <c r="DM472" s="104">
        <f>('Renewable Diesel'!$AT481*'RD Feedstock Breakdown'!$DM$3*'Feedstock Conversion Rates'!$B$8)/12</f>
        <v>10.7421875</v>
      </c>
      <c r="DN472" s="106">
        <f t="shared" si="453"/>
        <v>39.26197916666667</v>
      </c>
      <c r="DP472" s="104">
        <f t="shared" si="491"/>
        <v>103.22025000000001</v>
      </c>
      <c r="DQ472" s="104">
        <f t="shared" si="492"/>
        <v>349.11776750000007</v>
      </c>
      <c r="DR472" s="104">
        <f t="shared" si="497"/>
        <v>1891.953125</v>
      </c>
      <c r="DS472" s="104">
        <f t="shared" si="510"/>
        <v>228.90125</v>
      </c>
      <c r="DT472" s="104">
        <f t="shared" si="493"/>
        <v>243.03923333333344</v>
      </c>
      <c r="DU472" s="104">
        <f t="shared" si="494"/>
        <v>402.90610000000009</v>
      </c>
      <c r="DV472" s="104">
        <f t="shared" si="498"/>
        <v>78.75</v>
      </c>
      <c r="DW472" s="104">
        <f t="shared" si="495"/>
        <v>3</v>
      </c>
      <c r="DX472" s="106">
        <f t="shared" si="499"/>
        <v>3300.8877258333337</v>
      </c>
      <c r="DY472" s="109">
        <f t="shared" si="487"/>
        <v>-5.631051180898794E-13</v>
      </c>
      <c r="EA472" s="110">
        <f t="shared" si="509"/>
        <v>3.1270451640078516E-2</v>
      </c>
      <c r="EB472" s="110">
        <f t="shared" si="470"/>
        <v>0.10576481131658687</v>
      </c>
      <c r="EC472" s="110">
        <f t="shared" si="470"/>
        <v>0.57316494293133291</v>
      </c>
      <c r="ED472" s="110">
        <f t="shared" si="470"/>
        <v>6.9345360706629972E-2</v>
      </c>
      <c r="EE472" s="110">
        <f t="shared" si="470"/>
        <v>7.3628445896921982E-2</v>
      </c>
      <c r="EF472" s="110">
        <f t="shared" si="470"/>
        <v>0.1220599225010852</v>
      </c>
      <c r="EG472" s="110">
        <f t="shared" si="470"/>
        <v>2.3857218585075921E-2</v>
      </c>
      <c r="EH472" s="111">
        <f t="shared" si="500"/>
        <v>9.0884642228860647E-4</v>
      </c>
      <c r="EI472" s="110">
        <f t="shared" si="476"/>
        <v>0.99909115357771139</v>
      </c>
      <c r="EK472" s="132">
        <f>(EA472*'Renewable Diesel'!BF481*'Feedstock Conversion Rates'!B$2)+FB472</f>
        <v>335.00408868138686</v>
      </c>
      <c r="EL472" s="132">
        <f>(EB472*'Renewable Diesel'!BF481*'Feedstock Conversion Rates'!B$3)+FC472</f>
        <v>1067.7528593081076</v>
      </c>
      <c r="EM472" s="132">
        <f>(EC472*'Renewable Diesel'!BF481*'Feedstock Conversion Rates'!B$4)+FD472</f>
        <v>5417.9864028777429</v>
      </c>
      <c r="EN472" s="132">
        <f>(ED472*'Renewable Diesel'!BF481*'Feedstock Conversion Rates'!B$5)+FE472</f>
        <v>659.8745687752687</v>
      </c>
      <c r="EO472" s="132">
        <f>(EE472*'Renewable Diesel'!BF481*'Feedstock Conversion Rates'!B$6)+FF472</f>
        <v>870.45334829053991</v>
      </c>
      <c r="EP472" s="132">
        <f>(EF472*'Renewable Diesel'!BF481*'Feedstock Conversion Rates'!B$7)+FG472</f>
        <v>1415.3307592978063</v>
      </c>
      <c r="EQ472" s="132">
        <f>(EG472*'Renewable Diesel'!BF481*'Feedstock Conversion Rates'!B$8)+FH472</f>
        <v>281.89548117545343</v>
      </c>
      <c r="ER472" s="132">
        <f>(EH472*'Renewable Diesel'!BF481*'Feedstock Conversion Rates'!B$9)+FI472</f>
        <v>10.595690467039265</v>
      </c>
      <c r="ES472" s="132">
        <f t="shared" si="501"/>
        <v>10058.893198873344</v>
      </c>
      <c r="ET472" s="133">
        <f>ES472/'Renewable Diesel'!BF481</f>
        <v>13.195612307359589</v>
      </c>
      <c r="EW472" s="73">
        <f t="shared" si="461"/>
        <v>8479.7314189534591</v>
      </c>
      <c r="EX472" s="73">
        <f t="shared" si="462"/>
        <v>5554.2705261725096</v>
      </c>
      <c r="EY472" s="92">
        <f t="shared" si="477"/>
        <v>0.84300839578486031</v>
      </c>
      <c r="EZ472" s="92">
        <f t="shared" si="477"/>
        <v>0.55217511672105446</v>
      </c>
      <c r="FB472" s="102">
        <f>IF('Renewable Diesel'!$BG481&lt;1,0,(((('Renewable Diesel'!$BG481-1)*'Renewable Diesel'!$BF481)*'RD Feedstock Breakdown'!EA472)*'Feedstock Conversion Rates'!$B$2))</f>
        <v>132.38809246895337</v>
      </c>
      <c r="FC472" s="102">
        <f>IF('Renewable Diesel'!$BG481&lt;1,0,(((('Renewable Diesel'!$BG481-1)*'Renewable Diesel'!$BF481)*'RD Feedstock Breakdown'!EB472)*'Feedstock Conversion Rates'!$B$3))</f>
        <v>421.9583254296117</v>
      </c>
      <c r="FD472" s="102">
        <f>IF('Renewable Diesel'!$BG481&lt;1,0,(((('Renewable Diesel'!$BG481-1)*'Renewable Diesel'!$BF481)*'RD Feedstock Breakdown'!EC472)*'Feedstock Conversion Rates'!$B$4))</f>
        <v>2141.0988973985118</v>
      </c>
      <c r="FE472" s="102">
        <f>IF('Renewable Diesel'!$BG481&lt;1,0,(((('Renewable Diesel'!$BG481-1)*'Renewable Diesel'!$BF481)*'RD Feedstock Breakdown'!ED472)*'Feedstock Conversion Rates'!$B$5))</f>
        <v>260.77154990193645</v>
      </c>
      <c r="FF472" s="102">
        <f>IF('Renewable Diesel'!$BG481&lt;1,0,(((('Renewable Diesel'!$BG481-1)*'Renewable Diesel'!$BF481)*'RD Feedstock Breakdown'!EE472)*'Feedstock Conversion Rates'!$B$6))</f>
        <v>343.98881164998988</v>
      </c>
      <c r="FG472" s="102">
        <f>IF('Renewable Diesel'!$BG481&lt;1,0,(((('Renewable Diesel'!$BG481-1)*'Renewable Diesel'!$BF481)*'RD Feedstock Breakdown'!EF472)*'Feedstock Conversion Rates'!$B$7))</f>
        <v>559.31538081697033</v>
      </c>
      <c r="FH472" s="102">
        <f>IF('Renewable Diesel'!$BG481&lt;1,0,(((('Renewable Diesel'!$BG481-1)*'Renewable Diesel'!$BF481)*'RD Feedstock Breakdown'!EG472)*'Feedstock Conversion Rates'!$B$8))</f>
        <v>111.40044641046063</v>
      </c>
      <c r="FI472" s="102">
        <f>IF('Renewable Diesel'!$BG481&lt;1,0,(((('Renewable Diesel'!$BG481-1)*'Renewable Diesel'!$BF481)*'RD Feedstock Breakdown'!EH472)*'Feedstock Conversion Rates'!$B$9))</f>
        <v>4.1872421761900123</v>
      </c>
      <c r="FJ472" s="102">
        <f t="shared" si="463"/>
        <v>3975.1087462526239</v>
      </c>
      <c r="GD472" s="91">
        <f>'Renewable Diesel'!BB481*0.32</f>
        <v>0</v>
      </c>
      <c r="GE472" s="91">
        <f>'Renewable Diesel'!BC481</f>
        <v>335.73061499024584</v>
      </c>
      <c r="GF472" s="91">
        <f>'Renewable Diesel'!BD481</f>
        <v>0</v>
      </c>
      <c r="GG472" s="91">
        <f t="shared" si="451"/>
        <v>335.73061499024584</v>
      </c>
      <c r="GH472" s="124">
        <v>1</v>
      </c>
      <c r="GI472" s="102">
        <f>$GG472*EA472*'Feedstock Conversion Rates'!$B$2</f>
        <v>89.236807661243574</v>
      </c>
      <c r="GJ472" s="102">
        <f>$GG472*EB472*'Feedstock Conversion Rates'!$B$3</f>
        <v>284.42296603263662</v>
      </c>
      <c r="GK472" s="102">
        <f>$GG472*EC472*'Feedstock Conversion Rates'!$B$4</f>
        <v>1443.2176408588916</v>
      </c>
      <c r="GL472" s="102">
        <f>$GG472*ED472*'Feedstock Conversion Rates'!$B$5</f>
        <v>175.77427250551767</v>
      </c>
      <c r="GM472" s="102">
        <f>$GG472*EE472*'Feedstock Conversion Rates'!$B$6</f>
        <v>231.86725369601183</v>
      </c>
      <c r="GN472" s="102">
        <f>$GG472*EF472*'Feedstock Conversion Rates'!$B$7</f>
        <v>377.00912619194992</v>
      </c>
      <c r="GO472" s="102">
        <f>$GG472*EG472*'Feedstock Conversion Rates'!$B$8</f>
        <v>75.089987508039954</v>
      </c>
      <c r="GP472" s="102">
        <f>$GG472*EH472*'Feedstock Conversion Rates'!B$9</f>
        <v>2.8224300066514063</v>
      </c>
      <c r="GQ472" s="102">
        <f t="shared" si="502"/>
        <v>2679.4404844609421</v>
      </c>
      <c r="GT472" s="103">
        <f t="shared" si="484"/>
        <v>3.3304269372191893E-2</v>
      </c>
      <c r="GU472" s="103">
        <f t="shared" si="484"/>
        <v>0.10615013383656388</v>
      </c>
      <c r="GV472" s="103">
        <f t="shared" si="484"/>
        <v>0.53862649654979822</v>
      </c>
      <c r="GW472" s="103">
        <f t="shared" si="484"/>
        <v>6.5601110950176761E-2</v>
      </c>
      <c r="GX472" s="103">
        <f t="shared" si="465"/>
        <v>8.6535698419388324E-2</v>
      </c>
      <c r="GY472" s="103">
        <f t="shared" si="465"/>
        <v>0.14070442257566981</v>
      </c>
      <c r="GZ472" s="103">
        <f t="shared" si="465"/>
        <v>2.802450285554552E-2</v>
      </c>
      <c r="HA472" s="103">
        <f t="shared" si="465"/>
        <v>1.0533654406655838E-3</v>
      </c>
    </row>
    <row r="473" spans="1:209" x14ac:dyDescent="0.25">
      <c r="A473" s="96">
        <v>54820</v>
      </c>
      <c r="B473" s="104">
        <f t="shared" si="473"/>
        <v>44.25</v>
      </c>
      <c r="C473" s="104">
        <f t="shared" si="466"/>
        <v>49</v>
      </c>
      <c r="D473" s="104">
        <f t="shared" si="474"/>
        <v>2</v>
      </c>
      <c r="E473" s="104">
        <f>('Renewable Diesel'!B482*E$3*'Feedstock Conversion Rates'!$B$2)/12+26+13-100+27.5+39</f>
        <v>95.43</v>
      </c>
      <c r="F473" s="104">
        <f>('Renewable Diesel'!B482*'RD Feedstock Breakdown'!F$3*'Feedstock Conversion Rates'!B$8)/12+77+23-10-12-115.75+24+8</f>
        <v>48.15625</v>
      </c>
      <c r="G473" s="104">
        <f>('Renewable Diesel'!B482*'RD Feedstock Breakdown'!G$3*'Feedstock Conversion Rates'!B$7)/12+116.75-39-57.5-145-31.5+32+70-40+10+60</f>
        <v>151.90700000000004</v>
      </c>
      <c r="H473" s="104">
        <f>('Renewable Diesel'!B482*'RD Feedstock Breakdown'!H$3*'Feedstock Conversion Rates'!B$3)/12+67+10+12+3-235+20+47-20+25</f>
        <v>105.40022499999998</v>
      </c>
      <c r="I473" s="106">
        <f t="shared" si="515"/>
        <v>496.14347500000002</v>
      </c>
      <c r="J473" s="104">
        <f t="shared" si="483"/>
        <v>4</v>
      </c>
      <c r="K473" s="104"/>
      <c r="L473" s="104">
        <v>1</v>
      </c>
      <c r="M473" s="104">
        <f>('Renewable Diesel'!C482*'RD Feedstock Breakdown'!M$3*'Feedstock Conversion Rates'!B$2)/12</f>
        <v>7.7902500000000003</v>
      </c>
      <c r="N473" s="104">
        <f>('Renewable Diesel'!C482*'RD Feedstock Breakdown'!N$3*'Feedstock Conversion Rates'!B$8)/12</f>
        <v>3.671875</v>
      </c>
      <c r="O473" s="104">
        <f>('Renewable Diesel'!C482*'RD Feedstock Breakdown'!O$3*'Feedstock Conversion Rates'!B$7)/12</f>
        <v>11.9991</v>
      </c>
      <c r="P473" s="104">
        <f>('Renewable Diesel'!C482*'RD Feedstock Breakdown'!P$3*'Feedstock Conversion Rates'!B$3)/12</f>
        <v>10.4470425</v>
      </c>
      <c r="Q473" s="106">
        <f t="shared" si="455"/>
        <v>38.908267500000001</v>
      </c>
      <c r="R473" s="104">
        <f>('Renewable Diesel'!D482*'RD Feedstock Breakdown'!R$3*'Feedstock Conversion Rates'!B$7)/12</f>
        <v>2.2999999999999998</v>
      </c>
      <c r="S473" s="106">
        <f t="shared" si="481"/>
        <v>2.2999999999999998</v>
      </c>
      <c r="T473" s="104">
        <f t="shared" si="456"/>
        <v>0.82499999999999929</v>
      </c>
      <c r="U473" s="104"/>
      <c r="V473" s="104">
        <f>('Renewable Diesel'!E482*'RD Feedstock Breakdown'!V$3*'Feedstock Conversion Rates'!B$6)/12-20+25</f>
        <v>49.250150000000012</v>
      </c>
      <c r="W473" s="104">
        <f>('Renewable Diesel'!E482*'RD Feedstock Breakdown'!W$3*'Feedstock Conversion Rates'!B$8)/12-6</f>
        <v>16.1796875</v>
      </c>
      <c r="X473" s="106">
        <f t="shared" si="503"/>
        <v>66.254837500000008</v>
      </c>
      <c r="Y473" s="104">
        <f t="shared" si="457"/>
        <v>98</v>
      </c>
      <c r="Z473" s="104">
        <f>('Renewable Diesel'!F482*'RD Feedstock Breakdown'!Z$3*'Feedstock Conversion Rates'!B$6)/12-142+15+5+20+5+15</f>
        <v>77.460000000000008</v>
      </c>
      <c r="AA473" s="104">
        <f>('Renewable Diesel'!F482*'RD Feedstock Breakdown'!AA$3*'Feedstock Conversion Rates'!B$7)/12+24</f>
        <v>128.26666666666665</v>
      </c>
      <c r="AB473" s="106">
        <f t="shared" si="471"/>
        <v>303.72666666666669</v>
      </c>
      <c r="AC473" s="104">
        <f>('Renewable Diesel'!G482*'RD Feedstock Breakdown'!AC$3*'Feedstock Conversion Rates'!B$5)/12</f>
        <v>11.796875</v>
      </c>
      <c r="AD473" s="104">
        <f>('Renewable Diesel'!G482*'RD Feedstock Breakdown'!AD$3*'Feedstock Conversion Rates'!B$4)/12</f>
        <v>5.859375</v>
      </c>
      <c r="AE473" s="104">
        <f>('Renewable Diesel'!G482*'RD Feedstock Breakdown'!AE$3*'Feedstock Conversion Rates'!B$6)/12</f>
        <v>7.3281250000000009</v>
      </c>
      <c r="AF473" s="106">
        <f t="shared" si="511"/>
        <v>24.984375</v>
      </c>
      <c r="AG473" s="104">
        <f t="shared" si="459"/>
        <v>148</v>
      </c>
      <c r="AH473" s="104"/>
      <c r="AI473" s="104">
        <f>('Renewable Diesel'!H482*'RD Feedstock Breakdown'!AI$3*'Feedstock Conversion Rates'!B$6)/12-130-20+51-49</f>
        <v>0.51666666666667993</v>
      </c>
      <c r="AJ473" s="106">
        <f t="shared" si="480"/>
        <v>148.51666666666668</v>
      </c>
      <c r="AK473" s="104">
        <f>('Renewable Diesel'!J482*'RD Feedstock Breakdown'!AK$3*'Feedstock Conversion Rates'!B$4)/12</f>
        <v>95.8125</v>
      </c>
      <c r="AL473" s="106">
        <f t="shared" si="482"/>
        <v>95.8125</v>
      </c>
      <c r="AM473" s="104">
        <f>('Renewable Diesel'!K482*'RD Feedstock Breakdown'!AM$3*'Feedstock Conversion Rates'!B$4)/12+5+15-10+10</f>
        <v>78.59375</v>
      </c>
      <c r="AN473" s="104">
        <f>('Renewable Diesel'!K482*'RD Feedstock Breakdown'!AN$3*'Feedstock Conversion Rates'!B$6)/12-5-15+10-10</f>
        <v>4.4270833333333321</v>
      </c>
      <c r="AO473" s="106">
        <f t="shared" si="496"/>
        <v>83.020833333333329</v>
      </c>
      <c r="AP473" s="104">
        <f>('Renewable Diesel'!L482*'RD Feedstock Breakdown'!AP$3*'Feedstock Conversion Rates'!B$4)/12+15-10+15</f>
        <v>78.59375</v>
      </c>
      <c r="AQ473" s="104">
        <f>('Renewable Diesel'!L482*'RD Feedstock Breakdown'!AQ$3*'Feedstock Conversion Rates'!B$6)/12-15+10-15</f>
        <v>4.4270833333333321</v>
      </c>
      <c r="AR473" s="106">
        <f t="shared" si="486"/>
        <v>83.020833333333329</v>
      </c>
      <c r="AS473" s="104">
        <f>('Renewable Diesel'!M482*'RD Feedstock Breakdown'!AS$3*'Feedstock Conversion Rates'!B$4)/12</f>
        <v>456.25</v>
      </c>
      <c r="AT473" s="104">
        <f>('Renewable Diesel'!M482*'RD Feedstock Breakdown'!AT$3*'Feedstock Conversion Rates'!B$5)/12</f>
        <v>0</v>
      </c>
      <c r="AU473" s="106">
        <f t="shared" si="514"/>
        <v>456.25</v>
      </c>
      <c r="AV473" s="104">
        <f>'Renewable Diesel'!N482*'RD Feedstock Breakdown'!$AV$3*'Feedstock Conversion Rates'!$B$4/12-15-10+25+25-22+25</f>
        <v>106.74999999999999</v>
      </c>
      <c r="AW473" s="104">
        <f>'Renewable Diesel'!N482*'RD Feedstock Breakdown'!$AW$3*'Feedstock Conversion Rates'!$B$7/12+15+10-25-25+22-25</f>
        <v>13.400000000000006</v>
      </c>
      <c r="AX473" s="106">
        <f t="shared" si="475"/>
        <v>120.14999999999999</v>
      </c>
      <c r="AY473" s="104">
        <f>('Renewable Diesel'!O482*'RD Feedstock Breakdown'!AY$3*'Feedstock Conversion Rates'!B$4)/12</f>
        <v>210.9375</v>
      </c>
      <c r="AZ473" s="104">
        <f>('Renewable Diesel'!O482*'RD Feedstock Breakdown'!AZ$3*'Feedstock Conversion Rates'!B$3)/12</f>
        <v>25.03125</v>
      </c>
      <c r="BA473" s="106">
        <f t="shared" si="458"/>
        <v>235.96875</v>
      </c>
      <c r="BB473" s="104">
        <f>('Renewable Diesel'!Q482*'RD Feedstock Breakdown'!BB$3*'Feedstock Conversion Rates'!B$4)/12</f>
        <v>11.156249999999998</v>
      </c>
      <c r="BC473" s="104">
        <f>('Renewable Diesel'!Q482*'RD Feedstock Breakdown'!BC$3*'Feedstock Conversion Rates'!B$3)/12</f>
        <v>1.4017500000000001</v>
      </c>
      <c r="BD473" s="104">
        <f>('Renewable Diesel'!Q482*'RD Feedstock Breakdown'!BD$3*'Feedstock Conversion Rates'!B$6)/12</f>
        <v>0.8207500000000002</v>
      </c>
      <c r="BE473" s="106">
        <f t="shared" si="505"/>
        <v>13.378749999999998</v>
      </c>
      <c r="BF473" s="104">
        <f>('Renewable Diesel'!R482*'RD Feedstock Breakdown'!BF$3*'Feedstock Conversion Rates'!B$4)/12</f>
        <v>62.5</v>
      </c>
      <c r="BG473" s="106">
        <f t="shared" si="490"/>
        <v>62.5</v>
      </c>
      <c r="BH473" s="104">
        <f>('Renewable Diesel'!T482*'RD Feedstock Breakdown'!BH$3*'Feedstock Conversion Rates'!B$7)/12</f>
        <v>27.599999999999998</v>
      </c>
      <c r="BI473" s="106">
        <f t="shared" si="479"/>
        <v>27.599999999999998</v>
      </c>
      <c r="BJ473" s="104">
        <f>('Renewable Diesel'!W482*'RD Feedstock Breakdown'!BJ$3*'Feedstock Conversion Rates'!B$4)/12</f>
        <v>7.5</v>
      </c>
      <c r="BK473" s="104">
        <f>('Renewable Diesel'!W482*'RD Feedstock Breakdown'!BK$3*'Feedstock Conversion Rates'!B$3)/12</f>
        <v>1.335</v>
      </c>
      <c r="BL473" s="104">
        <f>('Renewable Diesel'!W482*'RD Feedstock Breakdown'!BL$3*'Feedstock Conversion Rates'!B$6)/12</f>
        <v>3.1266666666666669</v>
      </c>
      <c r="BM473" s="104">
        <f>('Renewable Diesel'!W482*'RD Feedstock Breakdown'!BM$3*'Feedstock Conversion Rates'!B$7)/12</f>
        <v>1.5333333333333332</v>
      </c>
      <c r="BN473" s="106">
        <f t="shared" si="452"/>
        <v>13.495000000000001</v>
      </c>
      <c r="BO473" s="104">
        <f>('Renewable Diesel'!P482*'Feedstock Conversion Rates'!B$4)/12</f>
        <v>31.25</v>
      </c>
      <c r="BP473" s="106">
        <f t="shared" si="512"/>
        <v>31.25</v>
      </c>
      <c r="BQ473" s="104">
        <f>('Renewable Diesel'!$S482*'RD Feedstock Breakdown'!BQ$3*'Feedstock Conversion Rates'!B$4)/12+10+15-15</f>
        <v>38.125</v>
      </c>
      <c r="BR473" s="104">
        <f>('Renewable Diesel'!$S482*'RD Feedstock Breakdown'!BR$3*'Feedstock Conversion Rates'!B$7)/12-10-15+15</f>
        <v>1.5</v>
      </c>
      <c r="BS473" s="106">
        <f t="shared" si="460"/>
        <v>39.625</v>
      </c>
      <c r="BT473" s="106"/>
      <c r="BU473" s="104">
        <f>('Renewable Diesel'!Y482*'Feedstock Conversion Rates'!B$7)/12</f>
        <v>2.6833333333333331</v>
      </c>
      <c r="BV473" s="106">
        <f t="shared" si="507"/>
        <v>2.6833333333333331</v>
      </c>
      <c r="BW473" s="104">
        <f>('Renewable Diesel'!$Z482*'RD Feedstock Breakdown'!BW$3*'Feedstock Conversion Rates'!$B$4)/12-250+180</f>
        <v>1.875</v>
      </c>
      <c r="BX473" s="104">
        <f>('Renewable Diesel'!$Z482*'RD Feedstock Breakdown'!BX$3*'Feedstock Conversion Rates'!$B$5)/12</f>
        <v>7.2354166666666666</v>
      </c>
      <c r="BY473" s="104">
        <f>('Renewable Diesel'!$Z482*'RD Feedstock Breakdown'!BY$3*'Feedstock Conversion Rates'!$B$7)/12</f>
        <v>61.716666666666661</v>
      </c>
      <c r="BZ473" s="104">
        <f>('Renewable Diesel'!$Z482*'RD Feedstock Breakdown'!BZ$3*'Feedstock Conversion Rates'!$B$3)/12+250-180</f>
        <v>85.35250000000002</v>
      </c>
      <c r="CA473" s="106">
        <f t="shared" si="464"/>
        <v>156.17958333333334</v>
      </c>
      <c r="CB473" s="104">
        <f>('Renewable Diesel'!AA482*'Feedstock Conversion Rates'!B$4)/12</f>
        <v>191.25</v>
      </c>
      <c r="CC473" s="106">
        <f t="shared" si="454"/>
        <v>191.25</v>
      </c>
      <c r="CD473" s="104">
        <f>('Renewable Diesel'!$AB482*'RD Feedstock Breakdown'!CD$3*'Feedstock Conversion Rates'!$B$6)/12-15-5</f>
        <v>12.830000000000005</v>
      </c>
      <c r="CE473" s="104">
        <f>('Renewable Diesel'!$AB482*'RD Feedstock Breakdown'!CE$3*'Feedstock Conversion Rates'!$B$4)/12+15+5</f>
        <v>31.25</v>
      </c>
      <c r="CF473" s="106">
        <f t="shared" si="516"/>
        <v>44.080000000000005</v>
      </c>
      <c r="CG473" s="104">
        <f>('Renewable Diesel'!AD482*'Feedstock Conversion Rates'!B$4)/12</f>
        <v>112.5</v>
      </c>
      <c r="CH473" s="106">
        <f t="shared" si="504"/>
        <v>112.5</v>
      </c>
      <c r="CI473" s="104">
        <f>('Renewable Diesel'!$AE482*'RD Feedstock Breakdown'!CI$3*'Feedstock Conversion Rates'!$B$5)/12</f>
        <v>0.34604166666666664</v>
      </c>
      <c r="CJ473" s="104">
        <f>('Renewable Diesel'!$AE482*'RD Feedstock Breakdown'!CJ$3*'Feedstock Conversion Rates'!$B$4)/12</f>
        <v>0.34375</v>
      </c>
      <c r="CK473" s="106">
        <f t="shared" si="513"/>
        <v>0.68979166666666658</v>
      </c>
      <c r="CL473" s="104">
        <f>(((CL$3*'Renewable Diesel'!$AF482)*'Feedstock Conversion Rates'!$B$3)/12)</f>
        <v>91.78125</v>
      </c>
      <c r="CM473" s="104">
        <f>(((CM$3*'Renewable Diesel'!$AF482)*'Feedstock Conversion Rates'!$B$6)/12)</f>
        <v>53.739583333333336</v>
      </c>
      <c r="CN473" s="104">
        <f>(((CN$3*'Renewable Diesel'!$AF482)*'Feedstock Conversion Rates'!$B$4)/12)</f>
        <v>42.96875</v>
      </c>
      <c r="CO473" s="106">
        <f t="shared" si="506"/>
        <v>188.48958333333334</v>
      </c>
      <c r="CP473" s="104">
        <f>('Renewable Diesel'!$AG482*'RD Feedstock Breakdown'!CP$3*'Feedstock Conversion Rates'!$B$3)/12</f>
        <v>6.0075000000000003</v>
      </c>
      <c r="CQ473" s="104">
        <f>('Renewable Diesel'!$AG482*'RD Feedstock Breakdown'!CQ$3*'Feedstock Conversion Rates'!$B$6)/12</f>
        <v>3.5175000000000001</v>
      </c>
      <c r="CR473" s="104">
        <f>('Renewable Diesel'!$AG482*'RD Feedstock Breakdown'!CR$3*'Feedstock Conversion Rates'!$B$4)/12</f>
        <v>2.8125</v>
      </c>
      <c r="CS473" s="106">
        <f t="shared" si="467"/>
        <v>12.3375</v>
      </c>
      <c r="CT473" s="104">
        <f>('Renewable Diesel'!AI482*'Feedstock Conversion Rates'!$B$4*'RD Feedstock Breakdown'!$CT$3)/12</f>
        <v>29.375</v>
      </c>
      <c r="CU473" s="106">
        <f t="shared" si="508"/>
        <v>29.375</v>
      </c>
      <c r="CV473" s="104">
        <f>('Renewable Diesel'!AN482*'Feedstock Conversion Rates'!$B$3*'RD Feedstock Breakdown'!$CV$3)/12</f>
        <v>0.50062499999999999</v>
      </c>
      <c r="CW473" s="106">
        <f t="shared" si="485"/>
        <v>0.50062499999999999</v>
      </c>
      <c r="CX473" s="104">
        <f>('Renewable Diesel'!AO482*'RD Feedstock Breakdown'!$CX$3*'Feedstock Conversion Rates'!$B$3)/12</f>
        <v>6.3412499999999996</v>
      </c>
      <c r="CY473" s="104">
        <f>('Renewable Diesel'!AO482*'RD Feedstock Breakdown'!$CY$3*'Feedstock Conversion Rates'!$B$6)/12</f>
        <v>7.4258333333333342</v>
      </c>
      <c r="CZ473" s="106">
        <f t="shared" si="468"/>
        <v>13.767083333333334</v>
      </c>
      <c r="DA473" s="104">
        <f>('Renewable Diesel'!$AP482*'RD Feedstock Breakdown'!DA$3*'Feedstock Conversion Rates'!$B$3)/12</f>
        <v>6.3412499999999996</v>
      </c>
      <c r="DB473" s="104">
        <f>('Renewable Diesel'!$AP482*'RD Feedstock Breakdown'!DB$3*'Feedstock Conversion Rates'!$B$8)/12</f>
        <v>7.421875</v>
      </c>
      <c r="DC473" s="106">
        <f t="shared" si="488"/>
        <v>13.763124999999999</v>
      </c>
      <c r="DD473" s="104">
        <f>('Renewable Diesel'!AQ482*$DD$3*'Feedstock Conversion Rates'!$B$14)/12</f>
        <v>3.1041666666666665</v>
      </c>
      <c r="DE473" s="106">
        <f t="shared" si="489"/>
        <v>3.1041666666666665</v>
      </c>
      <c r="DF473" s="104">
        <f>('Renewable Diesel'!AR482*'Feedstock Conversion Rates'!$B$4*$DF$3)/12</f>
        <v>75</v>
      </c>
      <c r="DG473" s="106">
        <f t="shared" si="469"/>
        <v>75</v>
      </c>
      <c r="DH473" s="104">
        <f>('Renewable Diesel'!AS482*'Feedstock Conversion Rates'!$B$4*$DH$3)/12</f>
        <v>75</v>
      </c>
      <c r="DI473" s="106">
        <f t="shared" si="478"/>
        <v>75</v>
      </c>
      <c r="DJ473" s="104">
        <f>('Renewable Diesel'!AT482*'Feedstock Conversion Rates'!$B$4*0.25)/12</f>
        <v>8.59375</v>
      </c>
      <c r="DK473" s="104">
        <f>('Renewable Diesel'!$AT482*'RD Feedstock Breakdown'!DK$3*'Feedstock Conversion Rates'!$B$3)/12*0.5</f>
        <v>9.1781249999999996</v>
      </c>
      <c r="DL473" s="104">
        <f>('Renewable Diesel'!$AT482*'RD Feedstock Breakdown'!$DL$3*'Feedstock Conversion Rates'!$B$6)/12</f>
        <v>10.747916666666669</v>
      </c>
      <c r="DM473" s="104">
        <f>('Renewable Diesel'!$AT482*'RD Feedstock Breakdown'!$DM$3*'Feedstock Conversion Rates'!$B$8)/12</f>
        <v>10.7421875</v>
      </c>
      <c r="DN473" s="106">
        <f t="shared" si="453"/>
        <v>39.26197916666667</v>
      </c>
      <c r="DP473" s="104">
        <f t="shared" si="491"/>
        <v>103.22025000000001</v>
      </c>
      <c r="DQ473" s="104">
        <f t="shared" si="492"/>
        <v>349.11776750000007</v>
      </c>
      <c r="DR473" s="104">
        <f t="shared" si="497"/>
        <v>1891.953125</v>
      </c>
      <c r="DS473" s="104">
        <f t="shared" si="510"/>
        <v>228.90125</v>
      </c>
      <c r="DT473" s="104">
        <f t="shared" si="493"/>
        <v>243.03923333333344</v>
      </c>
      <c r="DU473" s="104">
        <f t="shared" si="494"/>
        <v>402.90610000000009</v>
      </c>
      <c r="DV473" s="104">
        <f t="shared" si="498"/>
        <v>78.75</v>
      </c>
      <c r="DW473" s="104">
        <f t="shared" si="495"/>
        <v>3</v>
      </c>
      <c r="DX473" s="106">
        <f t="shared" si="499"/>
        <v>3300.8877258333337</v>
      </c>
      <c r="DY473" s="109">
        <f t="shared" si="487"/>
        <v>-5.631051180898794E-13</v>
      </c>
      <c r="EA473" s="110">
        <f t="shared" si="509"/>
        <v>3.1270451640078516E-2</v>
      </c>
      <c r="EB473" s="110">
        <f t="shared" si="470"/>
        <v>0.10576481131658687</v>
      </c>
      <c r="EC473" s="110">
        <f t="shared" si="470"/>
        <v>0.57316494293133291</v>
      </c>
      <c r="ED473" s="110">
        <f t="shared" si="470"/>
        <v>6.9345360706629972E-2</v>
      </c>
      <c r="EE473" s="110">
        <f t="shared" si="470"/>
        <v>7.3628445896921982E-2</v>
      </c>
      <c r="EF473" s="110">
        <f t="shared" si="470"/>
        <v>0.1220599225010852</v>
      </c>
      <c r="EG473" s="110">
        <f t="shared" si="470"/>
        <v>2.3857218585075921E-2</v>
      </c>
      <c r="EH473" s="111">
        <f t="shared" si="500"/>
        <v>9.0884642228860647E-4</v>
      </c>
      <c r="EI473" s="110">
        <f t="shared" si="476"/>
        <v>0.99909115357771139</v>
      </c>
      <c r="EK473" s="132">
        <f>(EA473*'Renewable Diesel'!BF482*'Feedstock Conversion Rates'!B$2)+FB473</f>
        <v>707.26016951582642</v>
      </c>
      <c r="EL473" s="132">
        <f>(EB473*'Renewable Diesel'!BF482*'Feedstock Conversion Rates'!B$3)+FC473</f>
        <v>2254.238362426348</v>
      </c>
      <c r="EM473" s="132">
        <f>(EC473*'Renewable Diesel'!BF482*'Feedstock Conversion Rates'!B$4)+FD473</f>
        <v>11438.445413656411</v>
      </c>
      <c r="EN473" s="132">
        <f>(ED473*'Renewable Diesel'!BF482*'Feedstock Conversion Rates'!B$5)+FE473</f>
        <v>1393.1262785722229</v>
      </c>
      <c r="EO473" s="132">
        <f>(EE473*'Renewable Diesel'!BF482*'Feedstock Conversion Rates'!B$6)+FF473</f>
        <v>1837.6999071587488</v>
      </c>
      <c r="EP473" s="132">
        <f>(EF473*'Renewable Diesel'!BF482*'Feedstock Conversion Rates'!B$7)+FG473</f>
        <v>2988.0443450168159</v>
      </c>
      <c r="EQ473" s="132">
        <f>(EG473*'Renewable Diesel'!BF482*'Feedstock Conversion Rates'!B$8)+FH473</f>
        <v>595.13735067130858</v>
      </c>
      <c r="ER473" s="132">
        <f>(EH473*'Renewable Diesel'!BF482*'Feedstock Conversion Rates'!B$9)+FI473</f>
        <v>22.369607085550136</v>
      </c>
      <c r="ES473" s="132">
        <f t="shared" si="501"/>
        <v>21236.321434103233</v>
      </c>
      <c r="ET473" s="133">
        <f>ES473/'Renewable Diesel'!BF482</f>
        <v>19.17317754611469</v>
      </c>
      <c r="EW473" s="73">
        <f t="shared" si="461"/>
        <v>20321.942283699111</v>
      </c>
      <c r="EX473" s="73">
        <f t="shared" si="462"/>
        <v>13310.983506935092</v>
      </c>
      <c r="EY473" s="92">
        <f t="shared" si="477"/>
        <v>0.95694267704312819</v>
      </c>
      <c r="EZ473" s="92">
        <f t="shared" si="477"/>
        <v>0.62680269500720087</v>
      </c>
      <c r="FB473" s="102">
        <f>IF('Renewable Diesel'!$BG482&lt;1,0,(((('Renewable Diesel'!$BG482-1)*'Renewable Diesel'!$BF482)*'RD Feedstock Breakdown'!EA473)*'Feedstock Conversion Rates'!$B$2))</f>
        <v>412.85985079039506</v>
      </c>
      <c r="FC473" s="102">
        <f>IF('Renewable Diesel'!$BG482&lt;1,0,(((('Renewable Diesel'!$BG482-1)*'Renewable Diesel'!$BF482)*'RD Feedstock Breakdown'!EB473)*'Feedstock Conversion Rates'!$B$3))</f>
        <v>1315.9012115646935</v>
      </c>
      <c r="FD473" s="102">
        <f>IF('Renewable Diesel'!$BG482&lt;1,0,(((('Renewable Diesel'!$BG482-1)*'Renewable Diesel'!$BF482)*'RD Feedstock Breakdown'!EC473)*'Feedstock Conversion Rates'!$B$4))</f>
        <v>6677.1395736722443</v>
      </c>
      <c r="FE473" s="102">
        <f>IF('Renewable Diesel'!$BG482&lt;1,0,(((('Renewable Diesel'!$BG482-1)*'Renewable Diesel'!$BF482)*'RD Feedstock Breakdown'!ED473)*'Feedstock Conversion Rates'!$B$5))</f>
        <v>813.23101779823298</v>
      </c>
      <c r="FF473" s="102">
        <f>IF('Renewable Diesel'!$BG482&lt;1,0,(((('Renewable Diesel'!$BG482-1)*'Renewable Diesel'!$BF482)*'RD Feedstock Breakdown'!EE473)*'Feedstock Conversion Rates'!$B$6))</f>
        <v>1072.7488160212395</v>
      </c>
      <c r="FG473" s="102">
        <f>IF('Renewable Diesel'!$BG482&lt;1,0,(((('Renewable Diesel'!$BG482-1)*'Renewable Diesel'!$BF482)*'RD Feedstock Breakdown'!EF473)*'Feedstock Conversion Rates'!$B$7))</f>
        <v>1744.2570578847235</v>
      </c>
      <c r="FH473" s="102">
        <f>IF('Renewable Diesel'!$BG482&lt;1,0,(((('Renewable Diesel'!$BG482-1)*'Renewable Diesel'!$BF482)*'RD Feedstock Breakdown'!EG473)*'Feedstock Conversion Rates'!$B$8))</f>
        <v>347.40867418867032</v>
      </c>
      <c r="FI473" s="102">
        <f>IF('Renewable Diesel'!$BG482&lt;1,0,(((('Renewable Diesel'!$BG482-1)*'Renewable Diesel'!$BF482)*'RD Feedstock Breakdown'!EH473)*'Feedstock Conversion Rates'!$B$9))</f>
        <v>13.058154610774146</v>
      </c>
      <c r="FJ473" s="102">
        <f t="shared" si="463"/>
        <v>12396.60435653097</v>
      </c>
      <c r="GD473" s="91">
        <f>'Renewable Diesel'!BB482*0.32</f>
        <v>0</v>
      </c>
      <c r="GE473" s="91">
        <f>'Renewable Diesel'!BC482</f>
        <v>637.23722408494905</v>
      </c>
      <c r="GF473" s="91">
        <f>'Renewable Diesel'!BD482</f>
        <v>0</v>
      </c>
      <c r="GG473" s="91">
        <f t="shared" ref="GG473:GG495" si="517">GF473+GE473</f>
        <v>637.23722408494905</v>
      </c>
      <c r="GH473" s="124">
        <v>1</v>
      </c>
      <c r="GI473" s="102">
        <f>$GG473*EA473*'Feedstock Conversion Rates'!$B$2</f>
        <v>169.37691429155333</v>
      </c>
      <c r="GJ473" s="102">
        <f>$GG473*EB473*'Feedstock Conversion Rates'!$B$3</f>
        <v>539.85217090169419</v>
      </c>
      <c r="GK473" s="102">
        <f>$GG473*EC473*'Feedstock Conversion Rates'!$B$4</f>
        <v>2739.3152788227812</v>
      </c>
      <c r="GL473" s="102">
        <f>$GG473*ED473*'Feedstock Conversion Rates'!$B$5</f>
        <v>333.63031095696095</v>
      </c>
      <c r="GM473" s="102">
        <f>$GG473*EE473*'Feedstock Conversion Rates'!$B$6</f>
        <v>440.09821715466728</v>
      </c>
      <c r="GN473" s="102">
        <f>$GG473*EF473*'Feedstock Conversion Rates'!$B$7</f>
        <v>715.58636091686299</v>
      </c>
      <c r="GO473" s="102">
        <f>$GG473*EG473*'Feedstock Conversion Rates'!$B$8</f>
        <v>142.52538511445283</v>
      </c>
      <c r="GP473" s="102">
        <f>$GG473*EH473*'Feedstock Conversion Rates'!B$9</f>
        <v>5.3571446341432427</v>
      </c>
      <c r="GQ473" s="102">
        <f t="shared" si="502"/>
        <v>5085.7417827931149</v>
      </c>
      <c r="GT473" s="103">
        <f t="shared" si="484"/>
        <v>3.3304269372191893E-2</v>
      </c>
      <c r="GU473" s="103">
        <f t="shared" si="484"/>
        <v>0.10615013383656387</v>
      </c>
      <c r="GV473" s="103">
        <f t="shared" si="484"/>
        <v>0.53862649654979844</v>
      </c>
      <c r="GW473" s="103">
        <f t="shared" si="484"/>
        <v>6.5601110950176761E-2</v>
      </c>
      <c r="GX473" s="103">
        <f t="shared" si="465"/>
        <v>8.653569841938831E-2</v>
      </c>
      <c r="GY473" s="103">
        <f t="shared" si="465"/>
        <v>0.14070442257566984</v>
      </c>
      <c r="GZ473" s="103">
        <f t="shared" si="465"/>
        <v>2.8024502855545527E-2</v>
      </c>
      <c r="HA473" s="103">
        <f t="shared" si="465"/>
        <v>1.053365440665584E-3</v>
      </c>
    </row>
    <row r="474" spans="1:209" x14ac:dyDescent="0.25">
      <c r="A474" s="96">
        <v>54848</v>
      </c>
      <c r="B474" s="104">
        <f t="shared" si="473"/>
        <v>44.25</v>
      </c>
      <c r="C474" s="104">
        <f t="shared" si="466"/>
        <v>49</v>
      </c>
      <c r="D474" s="104">
        <f t="shared" si="474"/>
        <v>2</v>
      </c>
      <c r="E474" s="104">
        <f>('Renewable Diesel'!B483*E$3*'Feedstock Conversion Rates'!$B$2)/12+26+13-100+27.5+39</f>
        <v>95.43</v>
      </c>
      <c r="F474" s="104">
        <f>('Renewable Diesel'!B483*'RD Feedstock Breakdown'!F$3*'Feedstock Conversion Rates'!B$8)/12+77+23-10-12-115.75+24+8</f>
        <v>48.15625</v>
      </c>
      <c r="G474" s="104">
        <f>('Renewable Diesel'!B483*'RD Feedstock Breakdown'!G$3*'Feedstock Conversion Rates'!B$7)/12+116.75-39-57.5-145-31.5+32+70-40+10+60</f>
        <v>151.90700000000004</v>
      </c>
      <c r="H474" s="104">
        <f>('Renewable Diesel'!B483*'RD Feedstock Breakdown'!H$3*'Feedstock Conversion Rates'!B$3)/12+67+10+12+3-235+20+47-20+25</f>
        <v>105.40022499999998</v>
      </c>
      <c r="I474" s="106">
        <f t="shared" si="515"/>
        <v>496.14347500000002</v>
      </c>
      <c r="J474" s="104">
        <f t="shared" si="483"/>
        <v>4</v>
      </c>
      <c r="K474" s="104"/>
      <c r="L474" s="104">
        <v>1</v>
      </c>
      <c r="M474" s="104">
        <f>('Renewable Diesel'!C483*'RD Feedstock Breakdown'!M$3*'Feedstock Conversion Rates'!B$2)/12</f>
        <v>7.7902500000000003</v>
      </c>
      <c r="N474" s="104">
        <f>('Renewable Diesel'!C483*'RD Feedstock Breakdown'!N$3*'Feedstock Conversion Rates'!B$8)/12</f>
        <v>3.671875</v>
      </c>
      <c r="O474" s="104">
        <f>('Renewable Diesel'!C483*'RD Feedstock Breakdown'!O$3*'Feedstock Conversion Rates'!B$7)/12</f>
        <v>11.9991</v>
      </c>
      <c r="P474" s="104">
        <f>('Renewable Diesel'!C483*'RD Feedstock Breakdown'!P$3*'Feedstock Conversion Rates'!B$3)/12</f>
        <v>10.4470425</v>
      </c>
      <c r="Q474" s="106">
        <f t="shared" si="455"/>
        <v>38.908267500000001</v>
      </c>
      <c r="R474" s="104">
        <f>('Renewable Diesel'!D483*'RD Feedstock Breakdown'!R$3*'Feedstock Conversion Rates'!B$7)/12</f>
        <v>2.2999999999999998</v>
      </c>
      <c r="S474" s="106">
        <f t="shared" si="481"/>
        <v>2.2999999999999998</v>
      </c>
      <c r="T474" s="104">
        <f t="shared" si="456"/>
        <v>0.82499999999999929</v>
      </c>
      <c r="U474" s="104"/>
      <c r="V474" s="104">
        <f>('Renewable Diesel'!E483*'RD Feedstock Breakdown'!V$3*'Feedstock Conversion Rates'!B$6)/12-20+25</f>
        <v>49.250150000000012</v>
      </c>
      <c r="W474" s="104">
        <f>('Renewable Diesel'!E483*'RD Feedstock Breakdown'!W$3*'Feedstock Conversion Rates'!B$8)/12-6</f>
        <v>16.1796875</v>
      </c>
      <c r="X474" s="106">
        <f t="shared" si="503"/>
        <v>66.254837500000008</v>
      </c>
      <c r="Y474" s="104">
        <f t="shared" si="457"/>
        <v>98</v>
      </c>
      <c r="Z474" s="104">
        <f>('Renewable Diesel'!F483*'RD Feedstock Breakdown'!Z$3*'Feedstock Conversion Rates'!B$6)/12-142+15+5+20+5+15</f>
        <v>77.460000000000008</v>
      </c>
      <c r="AA474" s="104">
        <f>('Renewable Diesel'!F483*'RD Feedstock Breakdown'!AA$3*'Feedstock Conversion Rates'!B$7)/12+24</f>
        <v>128.26666666666665</v>
      </c>
      <c r="AB474" s="106">
        <f t="shared" si="471"/>
        <v>303.72666666666669</v>
      </c>
      <c r="AC474" s="104">
        <f>('Renewable Diesel'!G483*'RD Feedstock Breakdown'!AC$3*'Feedstock Conversion Rates'!B$5)/12</f>
        <v>11.796875</v>
      </c>
      <c r="AD474" s="104">
        <f>('Renewable Diesel'!G483*'RD Feedstock Breakdown'!AD$3*'Feedstock Conversion Rates'!B$4)/12</f>
        <v>5.859375</v>
      </c>
      <c r="AE474" s="104">
        <f>('Renewable Diesel'!G483*'RD Feedstock Breakdown'!AE$3*'Feedstock Conversion Rates'!B$6)/12</f>
        <v>7.3281250000000009</v>
      </c>
      <c r="AF474" s="106">
        <f t="shared" si="511"/>
        <v>24.984375</v>
      </c>
      <c r="AG474" s="104">
        <f t="shared" si="459"/>
        <v>148</v>
      </c>
      <c r="AH474" s="104"/>
      <c r="AI474" s="104">
        <f>('Renewable Diesel'!H483*'RD Feedstock Breakdown'!AI$3*'Feedstock Conversion Rates'!B$6)/12-130-20+51-49</f>
        <v>0.51666666666667993</v>
      </c>
      <c r="AJ474" s="106">
        <f t="shared" si="480"/>
        <v>148.51666666666668</v>
      </c>
      <c r="AK474" s="104">
        <f>('Renewable Diesel'!J483*'RD Feedstock Breakdown'!AK$3*'Feedstock Conversion Rates'!B$4)/12</f>
        <v>95.8125</v>
      </c>
      <c r="AL474" s="106">
        <f t="shared" si="482"/>
        <v>95.8125</v>
      </c>
      <c r="AM474" s="104">
        <f>('Renewable Diesel'!K483*'RD Feedstock Breakdown'!AM$3*'Feedstock Conversion Rates'!B$4)/12+5+15-10+10</f>
        <v>78.59375</v>
      </c>
      <c r="AN474" s="104">
        <f>('Renewable Diesel'!K483*'RD Feedstock Breakdown'!AN$3*'Feedstock Conversion Rates'!B$6)/12-5-15+10-10</f>
        <v>4.4270833333333321</v>
      </c>
      <c r="AO474" s="106">
        <f t="shared" si="496"/>
        <v>83.020833333333329</v>
      </c>
      <c r="AP474" s="104">
        <f>('Renewable Diesel'!L483*'RD Feedstock Breakdown'!AP$3*'Feedstock Conversion Rates'!B$4)/12+15-10+15</f>
        <v>78.59375</v>
      </c>
      <c r="AQ474" s="104">
        <f>('Renewable Diesel'!L483*'RD Feedstock Breakdown'!AQ$3*'Feedstock Conversion Rates'!B$6)/12-15+10-15</f>
        <v>4.4270833333333321</v>
      </c>
      <c r="AR474" s="106">
        <f t="shared" si="486"/>
        <v>83.020833333333329</v>
      </c>
      <c r="AS474" s="104">
        <f>('Renewable Diesel'!M483*'RD Feedstock Breakdown'!AS$3*'Feedstock Conversion Rates'!B$4)/12</f>
        <v>456.25</v>
      </c>
      <c r="AT474" s="104">
        <f>('Renewable Diesel'!M483*'RD Feedstock Breakdown'!AT$3*'Feedstock Conversion Rates'!B$5)/12</f>
        <v>0</v>
      </c>
      <c r="AU474" s="106">
        <f t="shared" si="514"/>
        <v>456.25</v>
      </c>
      <c r="AV474" s="104">
        <f>'Renewable Diesel'!N483*'RD Feedstock Breakdown'!$AV$3*'Feedstock Conversion Rates'!$B$4/12-15-10+25+25-22+25</f>
        <v>106.74999999999999</v>
      </c>
      <c r="AW474" s="104">
        <f>'Renewable Diesel'!N483*'RD Feedstock Breakdown'!$AW$3*'Feedstock Conversion Rates'!$B$7/12+15+10-25-25+22-25</f>
        <v>13.400000000000006</v>
      </c>
      <c r="AX474" s="106">
        <f t="shared" si="475"/>
        <v>120.14999999999999</v>
      </c>
      <c r="AY474" s="104">
        <f>('Renewable Diesel'!O483*'RD Feedstock Breakdown'!AY$3*'Feedstock Conversion Rates'!B$4)/12</f>
        <v>210.9375</v>
      </c>
      <c r="AZ474" s="104">
        <f>('Renewable Diesel'!O483*'RD Feedstock Breakdown'!AZ$3*'Feedstock Conversion Rates'!B$3)/12</f>
        <v>25.03125</v>
      </c>
      <c r="BA474" s="106">
        <f t="shared" si="458"/>
        <v>235.96875</v>
      </c>
      <c r="BB474" s="104">
        <f>('Renewable Diesel'!Q483*'RD Feedstock Breakdown'!BB$3*'Feedstock Conversion Rates'!B$4)/12</f>
        <v>11.156249999999998</v>
      </c>
      <c r="BC474" s="104">
        <f>('Renewable Diesel'!Q483*'RD Feedstock Breakdown'!BC$3*'Feedstock Conversion Rates'!B$3)/12</f>
        <v>1.4017500000000001</v>
      </c>
      <c r="BD474" s="104">
        <f>('Renewable Diesel'!Q483*'RD Feedstock Breakdown'!BD$3*'Feedstock Conversion Rates'!B$6)/12</f>
        <v>0.8207500000000002</v>
      </c>
      <c r="BE474" s="106">
        <f t="shared" si="505"/>
        <v>13.378749999999998</v>
      </c>
      <c r="BF474" s="104">
        <f>('Renewable Diesel'!R483*'RD Feedstock Breakdown'!BF$3*'Feedstock Conversion Rates'!B$4)/12</f>
        <v>62.5</v>
      </c>
      <c r="BG474" s="106">
        <f t="shared" si="490"/>
        <v>62.5</v>
      </c>
      <c r="BH474" s="104">
        <f>('Renewable Diesel'!T483*'RD Feedstock Breakdown'!BH$3*'Feedstock Conversion Rates'!B$7)/12</f>
        <v>27.599999999999998</v>
      </c>
      <c r="BI474" s="106">
        <f t="shared" si="479"/>
        <v>27.599999999999998</v>
      </c>
      <c r="BJ474" s="104">
        <f>('Renewable Diesel'!W483*'RD Feedstock Breakdown'!BJ$3*'Feedstock Conversion Rates'!B$4)/12</f>
        <v>7.5</v>
      </c>
      <c r="BK474" s="104">
        <f>('Renewable Diesel'!W483*'RD Feedstock Breakdown'!BK$3*'Feedstock Conversion Rates'!B$3)/12</f>
        <v>1.335</v>
      </c>
      <c r="BL474" s="104">
        <f>('Renewable Diesel'!W483*'RD Feedstock Breakdown'!BL$3*'Feedstock Conversion Rates'!B$6)/12</f>
        <v>3.1266666666666669</v>
      </c>
      <c r="BM474" s="104">
        <f>('Renewable Diesel'!W483*'RD Feedstock Breakdown'!BM$3*'Feedstock Conversion Rates'!B$7)/12</f>
        <v>1.5333333333333332</v>
      </c>
      <c r="BN474" s="106">
        <f t="shared" ref="BN474:BN495" si="518">SUM(BJ474:BM474)</f>
        <v>13.495000000000001</v>
      </c>
      <c r="BO474" s="104">
        <f>('Renewable Diesel'!P483*'Feedstock Conversion Rates'!B$4)/12</f>
        <v>31.25</v>
      </c>
      <c r="BP474" s="106">
        <f t="shared" si="512"/>
        <v>31.25</v>
      </c>
      <c r="BQ474" s="104">
        <f>('Renewable Diesel'!$S483*'RD Feedstock Breakdown'!BQ$3*'Feedstock Conversion Rates'!B$4)/12+10+15-15</f>
        <v>38.125</v>
      </c>
      <c r="BR474" s="104">
        <f>('Renewable Diesel'!$S483*'RD Feedstock Breakdown'!BR$3*'Feedstock Conversion Rates'!B$7)/12-10-15+15</f>
        <v>1.5</v>
      </c>
      <c r="BS474" s="106">
        <f t="shared" si="460"/>
        <v>39.625</v>
      </c>
      <c r="BT474" s="106"/>
      <c r="BU474" s="104">
        <f>('Renewable Diesel'!Y483*'Feedstock Conversion Rates'!B$7)/12</f>
        <v>2.6833333333333331</v>
      </c>
      <c r="BV474" s="106">
        <f t="shared" si="507"/>
        <v>2.6833333333333331</v>
      </c>
      <c r="BW474" s="104">
        <f>('Renewable Diesel'!$Z483*'RD Feedstock Breakdown'!BW$3*'Feedstock Conversion Rates'!$B$4)/12-250+180</f>
        <v>1.875</v>
      </c>
      <c r="BX474" s="104">
        <f>('Renewable Diesel'!$Z483*'RD Feedstock Breakdown'!BX$3*'Feedstock Conversion Rates'!$B$5)/12</f>
        <v>7.2354166666666666</v>
      </c>
      <c r="BY474" s="104">
        <f>('Renewable Diesel'!$Z483*'RD Feedstock Breakdown'!BY$3*'Feedstock Conversion Rates'!$B$7)/12</f>
        <v>61.716666666666661</v>
      </c>
      <c r="BZ474" s="104">
        <f>('Renewable Diesel'!$Z483*'RD Feedstock Breakdown'!BZ$3*'Feedstock Conversion Rates'!$B$3)/12+250-180</f>
        <v>85.35250000000002</v>
      </c>
      <c r="CA474" s="106">
        <f t="shared" si="464"/>
        <v>156.17958333333334</v>
      </c>
      <c r="CB474" s="104">
        <f>('Renewable Diesel'!AA483*'Feedstock Conversion Rates'!B$4)/12</f>
        <v>191.25</v>
      </c>
      <c r="CC474" s="106">
        <f t="shared" si="454"/>
        <v>191.25</v>
      </c>
      <c r="CD474" s="104">
        <f>('Renewable Diesel'!$AB483*'RD Feedstock Breakdown'!CD$3*'Feedstock Conversion Rates'!$B$6)/12-15-5</f>
        <v>12.830000000000005</v>
      </c>
      <c r="CE474" s="104">
        <f>('Renewable Diesel'!$AB483*'RD Feedstock Breakdown'!CE$3*'Feedstock Conversion Rates'!$B$4)/12+15+5</f>
        <v>31.25</v>
      </c>
      <c r="CF474" s="106">
        <f t="shared" si="516"/>
        <v>44.080000000000005</v>
      </c>
      <c r="CG474" s="104">
        <f>('Renewable Diesel'!AD483*'Feedstock Conversion Rates'!B$4)/12</f>
        <v>112.5</v>
      </c>
      <c r="CH474" s="106">
        <f t="shared" si="504"/>
        <v>112.5</v>
      </c>
      <c r="CI474" s="104">
        <f>('Renewable Diesel'!$AE483*'RD Feedstock Breakdown'!CI$3*'Feedstock Conversion Rates'!$B$5)/12</f>
        <v>0.34604166666666664</v>
      </c>
      <c r="CJ474" s="104">
        <f>('Renewable Diesel'!$AE483*'RD Feedstock Breakdown'!CJ$3*'Feedstock Conversion Rates'!$B$4)/12</f>
        <v>0.34375</v>
      </c>
      <c r="CK474" s="106">
        <f t="shared" si="513"/>
        <v>0.68979166666666658</v>
      </c>
      <c r="CL474" s="104">
        <f>(((CL$3*'Renewable Diesel'!$AF483)*'Feedstock Conversion Rates'!$B$3)/12)</f>
        <v>91.78125</v>
      </c>
      <c r="CM474" s="104">
        <f>(((CM$3*'Renewable Diesel'!$AF483)*'Feedstock Conversion Rates'!$B$6)/12)</f>
        <v>53.739583333333336</v>
      </c>
      <c r="CN474" s="104">
        <f>(((CN$3*'Renewable Diesel'!$AF483)*'Feedstock Conversion Rates'!$B$4)/12)</f>
        <v>42.96875</v>
      </c>
      <c r="CO474" s="106">
        <f t="shared" si="506"/>
        <v>188.48958333333334</v>
      </c>
      <c r="CP474" s="104">
        <f>('Renewable Diesel'!$AG483*'RD Feedstock Breakdown'!CP$3*'Feedstock Conversion Rates'!$B$3)/12</f>
        <v>6.0075000000000003</v>
      </c>
      <c r="CQ474" s="104">
        <f>('Renewable Diesel'!$AG483*'RD Feedstock Breakdown'!CQ$3*'Feedstock Conversion Rates'!$B$6)/12</f>
        <v>3.5175000000000001</v>
      </c>
      <c r="CR474" s="104">
        <f>('Renewable Diesel'!$AG483*'RD Feedstock Breakdown'!CR$3*'Feedstock Conversion Rates'!$B$4)/12</f>
        <v>2.8125</v>
      </c>
      <c r="CS474" s="106">
        <f t="shared" si="467"/>
        <v>12.3375</v>
      </c>
      <c r="CT474" s="104">
        <f>('Renewable Diesel'!AI483*'Feedstock Conversion Rates'!$B$4*'RD Feedstock Breakdown'!$CT$3)/12</f>
        <v>29.375</v>
      </c>
      <c r="CU474" s="106">
        <f t="shared" si="508"/>
        <v>29.375</v>
      </c>
      <c r="CV474" s="104">
        <f>('Renewable Diesel'!AN483*'Feedstock Conversion Rates'!$B$3*'RD Feedstock Breakdown'!$CV$3)/12</f>
        <v>0.50062499999999999</v>
      </c>
      <c r="CW474" s="106">
        <f t="shared" si="485"/>
        <v>0.50062499999999999</v>
      </c>
      <c r="CX474" s="104">
        <f>('Renewable Diesel'!AO483*'RD Feedstock Breakdown'!$CX$3*'Feedstock Conversion Rates'!$B$3)/12</f>
        <v>6.3412499999999996</v>
      </c>
      <c r="CY474" s="104">
        <f>('Renewable Diesel'!AO483*'RD Feedstock Breakdown'!$CY$3*'Feedstock Conversion Rates'!$B$6)/12</f>
        <v>7.4258333333333342</v>
      </c>
      <c r="CZ474" s="106">
        <f t="shared" si="468"/>
        <v>13.767083333333334</v>
      </c>
      <c r="DA474" s="104">
        <f>('Renewable Diesel'!$AP483*'RD Feedstock Breakdown'!DA$3*'Feedstock Conversion Rates'!$B$3)/12</f>
        <v>6.3412499999999996</v>
      </c>
      <c r="DB474" s="104">
        <f>('Renewable Diesel'!$AP483*'RD Feedstock Breakdown'!DB$3*'Feedstock Conversion Rates'!$B$8)/12</f>
        <v>7.421875</v>
      </c>
      <c r="DC474" s="106">
        <f t="shared" si="488"/>
        <v>13.763124999999999</v>
      </c>
      <c r="DD474" s="104">
        <f>('Renewable Diesel'!AQ483*$DD$3*'Feedstock Conversion Rates'!$B$14)/12</f>
        <v>3.1041666666666665</v>
      </c>
      <c r="DE474" s="106">
        <f t="shared" si="489"/>
        <v>3.1041666666666665</v>
      </c>
      <c r="DF474" s="104">
        <f>('Renewable Diesel'!AR483*'Feedstock Conversion Rates'!$B$4*$DF$3)/12</f>
        <v>75</v>
      </c>
      <c r="DG474" s="106">
        <f t="shared" si="469"/>
        <v>75</v>
      </c>
      <c r="DH474" s="104">
        <f>('Renewable Diesel'!AS483*'Feedstock Conversion Rates'!$B$4*$DH$3)/12</f>
        <v>75</v>
      </c>
      <c r="DI474" s="106">
        <f t="shared" si="478"/>
        <v>75</v>
      </c>
      <c r="DJ474" s="104">
        <f>('Renewable Diesel'!AT483*'Feedstock Conversion Rates'!$B$4*0.25)/12</f>
        <v>8.59375</v>
      </c>
      <c r="DK474" s="104">
        <f>('Renewable Diesel'!$AT483*'RD Feedstock Breakdown'!DK$3*'Feedstock Conversion Rates'!$B$3)/12*0.5</f>
        <v>9.1781249999999996</v>
      </c>
      <c r="DL474" s="104">
        <f>('Renewable Diesel'!$AT483*'RD Feedstock Breakdown'!$DL$3*'Feedstock Conversion Rates'!$B$6)/12</f>
        <v>10.747916666666669</v>
      </c>
      <c r="DM474" s="104">
        <f>('Renewable Diesel'!$AT483*'RD Feedstock Breakdown'!$DM$3*'Feedstock Conversion Rates'!$B$8)/12</f>
        <v>10.7421875</v>
      </c>
      <c r="DN474" s="106">
        <f t="shared" ref="DN474:DN495" si="519">SUM(DJ474:DM474)</f>
        <v>39.26197916666667</v>
      </c>
      <c r="DP474" s="104">
        <f t="shared" si="491"/>
        <v>103.22025000000001</v>
      </c>
      <c r="DQ474" s="104">
        <f t="shared" si="492"/>
        <v>349.11776750000007</v>
      </c>
      <c r="DR474" s="104">
        <f t="shared" si="497"/>
        <v>1891.953125</v>
      </c>
      <c r="DS474" s="104">
        <f t="shared" si="510"/>
        <v>228.90125</v>
      </c>
      <c r="DT474" s="104">
        <f t="shared" si="493"/>
        <v>243.03923333333344</v>
      </c>
      <c r="DU474" s="104">
        <f t="shared" si="494"/>
        <v>402.90610000000009</v>
      </c>
      <c r="DV474" s="104">
        <f t="shared" si="498"/>
        <v>78.75</v>
      </c>
      <c r="DW474" s="104">
        <f t="shared" si="495"/>
        <v>3</v>
      </c>
      <c r="DX474" s="106">
        <f t="shared" si="499"/>
        <v>3300.8877258333337</v>
      </c>
      <c r="DY474" s="109">
        <f t="shared" si="487"/>
        <v>-5.631051180898794E-13</v>
      </c>
      <c r="EA474" s="110">
        <f t="shared" si="509"/>
        <v>3.1270451640078516E-2</v>
      </c>
      <c r="EB474" s="110">
        <f t="shared" si="470"/>
        <v>0.10576481131658687</v>
      </c>
      <c r="EC474" s="110">
        <f t="shared" si="470"/>
        <v>0.57316494293133291</v>
      </c>
      <c r="ED474" s="110">
        <f t="shared" si="470"/>
        <v>6.9345360706629972E-2</v>
      </c>
      <c r="EE474" s="110">
        <f t="shared" si="470"/>
        <v>7.3628445896921982E-2</v>
      </c>
      <c r="EF474" s="110">
        <f t="shared" si="470"/>
        <v>0.1220599225010852</v>
      </c>
      <c r="EG474" s="110">
        <f t="shared" si="470"/>
        <v>2.3857218585075921E-2</v>
      </c>
      <c r="EH474" s="111">
        <f t="shared" si="500"/>
        <v>9.0884642228860647E-4</v>
      </c>
      <c r="EI474" s="110">
        <f t="shared" si="476"/>
        <v>0.99909115357771139</v>
      </c>
      <c r="EK474" s="132">
        <f>(EA474*'Renewable Diesel'!BF483*'Feedstock Conversion Rates'!B$2)+FB474</f>
        <v>358.80310568874756</v>
      </c>
      <c r="EL474" s="132">
        <f>(EB474*'Renewable Diesel'!BF483*'Feedstock Conversion Rates'!B$3)+FC474</f>
        <v>1143.6070632324659</v>
      </c>
      <c r="EM474" s="132">
        <f>(EC474*'Renewable Diesel'!BF483*'Feedstock Conversion Rates'!B$4)+FD474</f>
        <v>5802.8854381559977</v>
      </c>
      <c r="EN474" s="132">
        <f>(ED474*'Renewable Diesel'!BF483*'Feedstock Conversion Rates'!B$5)+FE474</f>
        <v>706.7527013581323</v>
      </c>
      <c r="EO474" s="132">
        <f>(EE474*'Renewable Diesel'!BF483*'Feedstock Conversion Rates'!B$6)+FF474</f>
        <v>932.29120263321624</v>
      </c>
      <c r="EP474" s="132">
        <f>(EF474*'Renewable Diesel'!BF483*'Feedstock Conversion Rates'!B$7)+FG474</f>
        <v>1515.8772360412727</v>
      </c>
      <c r="EQ474" s="132">
        <f>(EG474*'Renewable Diesel'!BF483*'Feedstock Conversion Rates'!B$8)+FH474</f>
        <v>301.92161093762877</v>
      </c>
      <c r="ER474" s="132">
        <f>(EH474*'Renewable Diesel'!BF483*'Feedstock Conversion Rates'!B$9)+FI474</f>
        <v>11.348418646036587</v>
      </c>
      <c r="ES474" s="132">
        <f t="shared" si="501"/>
        <v>10773.486776693499</v>
      </c>
      <c r="ET474" s="133">
        <f>ES474/'Renewable Diesel'!BF483</f>
        <v>14.36926061085884</v>
      </c>
      <c r="EW474" s="73">
        <f t="shared" si="461"/>
        <v>9403.7160964767645</v>
      </c>
      <c r="EX474" s="73">
        <f t="shared" si="462"/>
        <v>6159.4855509705567</v>
      </c>
      <c r="EY474" s="92">
        <f t="shared" si="477"/>
        <v>0.87285725516645307</v>
      </c>
      <c r="EZ474" s="92">
        <f t="shared" si="477"/>
        <v>0.57172628310970741</v>
      </c>
      <c r="FB474" s="102">
        <f>IF('Renewable Diesel'!$BG483&lt;1,0,(((('Renewable Diesel'!$BG483-1)*'Renewable Diesel'!$BF483)*'RD Feedstock Breakdown'!EA474)*'Feedstock Conversion Rates'!$B$2))</f>
        <v>159.51795427157862</v>
      </c>
      <c r="FC474" s="102">
        <f>IF('Renewable Diesel'!$BG483&lt;1,0,(((('Renewable Diesel'!$BG483-1)*'Renewable Diesel'!$BF483)*'RD Feedstock Breakdown'!EB474)*'Feedstock Conversion Rates'!$B$3))</f>
        <v>508.42887456949876</v>
      </c>
      <c r="FD474" s="102">
        <f>IF('Renewable Diesel'!$BG483&lt;1,0,(((('Renewable Diesel'!$BG483-1)*'Renewable Diesel'!$BF483)*'RD Feedstock Breakdown'!EC474)*'Feedstock Conversion Rates'!$B$4))</f>
        <v>2579.8673403066023</v>
      </c>
      <c r="FE474" s="102">
        <f>IF('Renewable Diesel'!$BG483&lt;1,0,(((('Renewable Diesel'!$BG483-1)*'Renewable Diesel'!$BF483)*'RD Feedstock Breakdown'!ED474)*'Feedstock Conversion Rates'!$B$5))</f>
        <v>314.21061665603321</v>
      </c>
      <c r="FF474" s="102">
        <f>IF('Renewable Diesel'!$BG483&lt;1,0,(((('Renewable Diesel'!$BG483-1)*'Renewable Diesel'!$BF483)*'RD Feedstock Breakdown'!EE474)*'Feedstock Conversion Rates'!$B$6))</f>
        <v>414.48132157041238</v>
      </c>
      <c r="FG474" s="102">
        <f>IF('Renewable Diesel'!$BG483&lt;1,0,(((('Renewable Diesel'!$BG483-1)*'Renewable Diesel'!$BF483)*'RD Feedstock Breakdown'!EF474)*'Feedstock Conversion Rates'!$B$7))</f>
        <v>673.93406519151586</v>
      </c>
      <c r="FH474" s="102">
        <f>IF('Renewable Diesel'!$BG483&lt;1,0,(((('Renewable Diesel'!$BG483-1)*'Renewable Diesel'!$BF483)*'RD Feedstock Breakdown'!EG474)*'Feedstock Conversion Rates'!$B$8))</f>
        <v>134.2293780726894</v>
      </c>
      <c r="FI474" s="102">
        <f>IF('Renewable Diesel'!$BG483&lt;1,0,(((('Renewable Diesel'!$BG483-1)*'Renewable Diesel'!$BF483)*'RD Feedstock Breakdown'!EH474)*'Feedstock Conversion Rates'!$B$9))</f>
        <v>5.0453201154941025</v>
      </c>
      <c r="FJ474" s="102">
        <f t="shared" si="463"/>
        <v>4789.7148707538245</v>
      </c>
      <c r="GD474" s="91">
        <f>'Renewable Diesel'!BB483*0.32</f>
        <v>0</v>
      </c>
      <c r="GE474" s="91">
        <f>'Renewable Diesel'!BC483</f>
        <v>254.33953078464967</v>
      </c>
      <c r="GF474" s="91">
        <f>'Renewable Diesel'!BD483</f>
        <v>0</v>
      </c>
      <c r="GG474" s="91">
        <f t="shared" si="517"/>
        <v>254.33953078464967</v>
      </c>
      <c r="GH474" s="124">
        <v>1</v>
      </c>
      <c r="GI474" s="102">
        <f>$GG474*EA474*'Feedstock Conversion Rates'!$B$2</f>
        <v>67.603151979274017</v>
      </c>
      <c r="GJ474" s="102">
        <f>$GG474*EB474*'Feedstock Conversion Rates'!$B$3</f>
        <v>215.47038159513954</v>
      </c>
      <c r="GK474" s="102">
        <f>$GG474*EC474*'Feedstock Conversion Rates'!$B$4</f>
        <v>1093.3387698552428</v>
      </c>
      <c r="GL474" s="102">
        <f>$GG474*ED474*'Feedstock Conversion Rates'!$B$5</f>
        <v>133.16136210683493</v>
      </c>
      <c r="GM474" s="102">
        <f>$GG474*EE474*'Feedstock Conversion Rates'!$B$6</f>
        <v>175.65573670152887</v>
      </c>
      <c r="GN474" s="102">
        <f>$GG474*EF474*'Feedstock Conversion Rates'!$B$7</f>
        <v>285.61090343213772</v>
      </c>
      <c r="GO474" s="102">
        <f>$GG474*EG474*'Feedstock Conversion Rates'!$B$8</f>
        <v>56.885941694578435</v>
      </c>
      <c r="GP474" s="102">
        <f>$GG474*EH474*'Feedstock Conversion Rates'!B$9</f>
        <v>2.1381890465517737</v>
      </c>
      <c r="GQ474" s="102">
        <f t="shared" si="502"/>
        <v>2029.8644364112881</v>
      </c>
      <c r="GT474" s="103">
        <f t="shared" si="484"/>
        <v>3.3304269372191879E-2</v>
      </c>
      <c r="GU474" s="103">
        <f t="shared" si="484"/>
        <v>0.10615013383656387</v>
      </c>
      <c r="GV474" s="103">
        <f t="shared" si="484"/>
        <v>0.53862649654979822</v>
      </c>
      <c r="GW474" s="103">
        <f t="shared" si="484"/>
        <v>6.5601110950176747E-2</v>
      </c>
      <c r="GX474" s="103">
        <f t="shared" si="465"/>
        <v>8.6535698419388296E-2</v>
      </c>
      <c r="GY474" s="103">
        <f t="shared" si="465"/>
        <v>0.14070442257566981</v>
      </c>
      <c r="GZ474" s="103">
        <f t="shared" si="465"/>
        <v>2.8024502855545513E-2</v>
      </c>
      <c r="HA474" s="103">
        <f t="shared" si="465"/>
        <v>1.0533654406655838E-3</v>
      </c>
    </row>
    <row r="475" spans="1:209" x14ac:dyDescent="0.25">
      <c r="A475" s="96">
        <v>54879</v>
      </c>
      <c r="B475" s="104">
        <f t="shared" si="473"/>
        <v>44.25</v>
      </c>
      <c r="C475" s="104">
        <f t="shared" si="466"/>
        <v>49</v>
      </c>
      <c r="D475" s="104">
        <f t="shared" si="474"/>
        <v>2</v>
      </c>
      <c r="E475" s="104">
        <f>('Renewable Diesel'!B484*E$3*'Feedstock Conversion Rates'!$B$2)/12+26+13-100+27.5+39</f>
        <v>95.43</v>
      </c>
      <c r="F475" s="104">
        <f>('Renewable Diesel'!B484*'RD Feedstock Breakdown'!F$3*'Feedstock Conversion Rates'!B$8)/12+77+23-10-12-115.75+24+8</f>
        <v>48.15625</v>
      </c>
      <c r="G475" s="104">
        <f>('Renewable Diesel'!B484*'RD Feedstock Breakdown'!G$3*'Feedstock Conversion Rates'!B$7)/12+116.75-39-57.5-145-31.5+32+70-40+10+60</f>
        <v>151.90700000000004</v>
      </c>
      <c r="H475" s="104">
        <f>('Renewable Diesel'!B484*'RD Feedstock Breakdown'!H$3*'Feedstock Conversion Rates'!B$3)/12+67+10+12+3-235+20+47-20+25</f>
        <v>105.40022499999998</v>
      </c>
      <c r="I475" s="106">
        <f t="shared" si="515"/>
        <v>496.14347500000002</v>
      </c>
      <c r="J475" s="104">
        <f t="shared" si="483"/>
        <v>4</v>
      </c>
      <c r="K475" s="104"/>
      <c r="L475" s="104">
        <v>1</v>
      </c>
      <c r="M475" s="104">
        <f>('Renewable Diesel'!C484*'RD Feedstock Breakdown'!M$3*'Feedstock Conversion Rates'!B$2)/12</f>
        <v>7.7902500000000003</v>
      </c>
      <c r="N475" s="104">
        <f>('Renewable Diesel'!C484*'RD Feedstock Breakdown'!N$3*'Feedstock Conversion Rates'!B$8)/12</f>
        <v>3.671875</v>
      </c>
      <c r="O475" s="104">
        <f>('Renewable Diesel'!C484*'RD Feedstock Breakdown'!O$3*'Feedstock Conversion Rates'!B$7)/12</f>
        <v>11.9991</v>
      </c>
      <c r="P475" s="104">
        <f>('Renewable Diesel'!C484*'RD Feedstock Breakdown'!P$3*'Feedstock Conversion Rates'!B$3)/12</f>
        <v>10.4470425</v>
      </c>
      <c r="Q475" s="106">
        <f t="shared" si="455"/>
        <v>38.908267500000001</v>
      </c>
      <c r="R475" s="104">
        <f>('Renewable Diesel'!D484*'RD Feedstock Breakdown'!R$3*'Feedstock Conversion Rates'!B$7)/12</f>
        <v>2.2999999999999998</v>
      </c>
      <c r="S475" s="106">
        <f t="shared" si="481"/>
        <v>2.2999999999999998</v>
      </c>
      <c r="T475" s="104">
        <f t="shared" si="456"/>
        <v>0.82499999999999929</v>
      </c>
      <c r="U475" s="104"/>
      <c r="V475" s="104">
        <f>('Renewable Diesel'!E484*'RD Feedstock Breakdown'!V$3*'Feedstock Conversion Rates'!B$6)/12-20+25</f>
        <v>49.250150000000012</v>
      </c>
      <c r="W475" s="104">
        <f>('Renewable Diesel'!E484*'RD Feedstock Breakdown'!W$3*'Feedstock Conversion Rates'!B$8)/12-6</f>
        <v>16.1796875</v>
      </c>
      <c r="X475" s="106">
        <f t="shared" si="503"/>
        <v>66.254837500000008</v>
      </c>
      <c r="Y475" s="104">
        <f t="shared" si="457"/>
        <v>98</v>
      </c>
      <c r="Z475" s="104">
        <f>('Renewable Diesel'!F484*'RD Feedstock Breakdown'!Z$3*'Feedstock Conversion Rates'!B$6)/12-142+15+5+20+5+15</f>
        <v>77.460000000000008</v>
      </c>
      <c r="AA475" s="104">
        <f>('Renewable Diesel'!F484*'RD Feedstock Breakdown'!AA$3*'Feedstock Conversion Rates'!B$7)/12+24</f>
        <v>128.26666666666665</v>
      </c>
      <c r="AB475" s="106">
        <f t="shared" si="471"/>
        <v>303.72666666666669</v>
      </c>
      <c r="AC475" s="104">
        <f>('Renewable Diesel'!G484*'RD Feedstock Breakdown'!AC$3*'Feedstock Conversion Rates'!B$5)/12</f>
        <v>11.796875</v>
      </c>
      <c r="AD475" s="104">
        <f>('Renewable Diesel'!G484*'RD Feedstock Breakdown'!AD$3*'Feedstock Conversion Rates'!B$4)/12</f>
        <v>5.859375</v>
      </c>
      <c r="AE475" s="104">
        <f>('Renewable Diesel'!G484*'RD Feedstock Breakdown'!AE$3*'Feedstock Conversion Rates'!B$6)/12</f>
        <v>7.3281250000000009</v>
      </c>
      <c r="AF475" s="106">
        <f t="shared" si="511"/>
        <v>24.984375</v>
      </c>
      <c r="AG475" s="104">
        <f t="shared" si="459"/>
        <v>148</v>
      </c>
      <c r="AH475" s="104"/>
      <c r="AI475" s="104">
        <f>('Renewable Diesel'!H484*'RD Feedstock Breakdown'!AI$3*'Feedstock Conversion Rates'!B$6)/12-130-20+51-49</f>
        <v>0.51666666666667993</v>
      </c>
      <c r="AJ475" s="106">
        <f t="shared" si="480"/>
        <v>148.51666666666668</v>
      </c>
      <c r="AK475" s="104">
        <f>('Renewable Diesel'!J484*'RD Feedstock Breakdown'!AK$3*'Feedstock Conversion Rates'!B$4)/12</f>
        <v>95.8125</v>
      </c>
      <c r="AL475" s="106">
        <f t="shared" si="482"/>
        <v>95.8125</v>
      </c>
      <c r="AM475" s="104">
        <f>('Renewable Diesel'!K484*'RD Feedstock Breakdown'!AM$3*'Feedstock Conversion Rates'!B$4)/12+5+15-10+10</f>
        <v>78.59375</v>
      </c>
      <c r="AN475" s="104">
        <f>('Renewable Diesel'!K484*'RD Feedstock Breakdown'!AN$3*'Feedstock Conversion Rates'!B$6)/12-5-15+10-10</f>
        <v>4.4270833333333321</v>
      </c>
      <c r="AO475" s="106">
        <f t="shared" si="496"/>
        <v>83.020833333333329</v>
      </c>
      <c r="AP475" s="104">
        <f>('Renewable Diesel'!L484*'RD Feedstock Breakdown'!AP$3*'Feedstock Conversion Rates'!B$4)/12+15-10+15</f>
        <v>78.59375</v>
      </c>
      <c r="AQ475" s="104">
        <f>('Renewable Diesel'!L484*'RD Feedstock Breakdown'!AQ$3*'Feedstock Conversion Rates'!B$6)/12-15+10-15</f>
        <v>4.4270833333333321</v>
      </c>
      <c r="AR475" s="106">
        <f t="shared" si="486"/>
        <v>83.020833333333329</v>
      </c>
      <c r="AS475" s="104">
        <f>('Renewable Diesel'!M484*'RD Feedstock Breakdown'!AS$3*'Feedstock Conversion Rates'!B$4)/12</f>
        <v>456.25</v>
      </c>
      <c r="AT475" s="104">
        <f>('Renewable Diesel'!M484*'RD Feedstock Breakdown'!AT$3*'Feedstock Conversion Rates'!B$5)/12</f>
        <v>0</v>
      </c>
      <c r="AU475" s="106">
        <f t="shared" si="514"/>
        <v>456.25</v>
      </c>
      <c r="AV475" s="104">
        <f>'Renewable Diesel'!N484*'RD Feedstock Breakdown'!$AV$3*'Feedstock Conversion Rates'!$B$4/12-15-10+25+25-22+25</f>
        <v>106.74999999999999</v>
      </c>
      <c r="AW475" s="104">
        <f>'Renewable Diesel'!N484*'RD Feedstock Breakdown'!$AW$3*'Feedstock Conversion Rates'!$B$7/12+15+10-25-25+22-25</f>
        <v>13.400000000000006</v>
      </c>
      <c r="AX475" s="106">
        <f t="shared" si="475"/>
        <v>120.14999999999999</v>
      </c>
      <c r="AY475" s="104">
        <f>('Renewable Diesel'!O484*'RD Feedstock Breakdown'!AY$3*'Feedstock Conversion Rates'!B$4)/12</f>
        <v>210.9375</v>
      </c>
      <c r="AZ475" s="104">
        <f>('Renewable Diesel'!O484*'RD Feedstock Breakdown'!AZ$3*'Feedstock Conversion Rates'!B$3)/12</f>
        <v>25.03125</v>
      </c>
      <c r="BA475" s="106">
        <f t="shared" si="458"/>
        <v>235.96875</v>
      </c>
      <c r="BB475" s="104">
        <f>('Renewable Diesel'!Q484*'RD Feedstock Breakdown'!BB$3*'Feedstock Conversion Rates'!B$4)/12</f>
        <v>11.156249999999998</v>
      </c>
      <c r="BC475" s="104">
        <f>('Renewable Diesel'!Q484*'RD Feedstock Breakdown'!BC$3*'Feedstock Conversion Rates'!B$3)/12</f>
        <v>1.4017500000000001</v>
      </c>
      <c r="BD475" s="104">
        <f>('Renewable Diesel'!Q484*'RD Feedstock Breakdown'!BD$3*'Feedstock Conversion Rates'!B$6)/12</f>
        <v>0.8207500000000002</v>
      </c>
      <c r="BE475" s="106">
        <f t="shared" si="505"/>
        <v>13.378749999999998</v>
      </c>
      <c r="BF475" s="104">
        <f>('Renewable Diesel'!R484*'RD Feedstock Breakdown'!BF$3*'Feedstock Conversion Rates'!B$4)/12</f>
        <v>62.5</v>
      </c>
      <c r="BG475" s="106">
        <f t="shared" si="490"/>
        <v>62.5</v>
      </c>
      <c r="BH475" s="104">
        <f>('Renewable Diesel'!T484*'RD Feedstock Breakdown'!BH$3*'Feedstock Conversion Rates'!B$7)/12</f>
        <v>27.599999999999998</v>
      </c>
      <c r="BI475" s="106">
        <f t="shared" si="479"/>
        <v>27.599999999999998</v>
      </c>
      <c r="BJ475" s="104">
        <f>('Renewable Diesel'!W484*'RD Feedstock Breakdown'!BJ$3*'Feedstock Conversion Rates'!B$4)/12</f>
        <v>7.5</v>
      </c>
      <c r="BK475" s="104">
        <f>('Renewable Diesel'!W484*'RD Feedstock Breakdown'!BK$3*'Feedstock Conversion Rates'!B$3)/12</f>
        <v>1.335</v>
      </c>
      <c r="BL475" s="104">
        <f>('Renewable Diesel'!W484*'RD Feedstock Breakdown'!BL$3*'Feedstock Conversion Rates'!B$6)/12</f>
        <v>3.1266666666666669</v>
      </c>
      <c r="BM475" s="104">
        <f>('Renewable Diesel'!W484*'RD Feedstock Breakdown'!BM$3*'Feedstock Conversion Rates'!B$7)/12</f>
        <v>1.5333333333333332</v>
      </c>
      <c r="BN475" s="106">
        <f t="shared" si="518"/>
        <v>13.495000000000001</v>
      </c>
      <c r="BO475" s="104">
        <f>('Renewable Diesel'!P484*'Feedstock Conversion Rates'!B$4)/12</f>
        <v>31.25</v>
      </c>
      <c r="BP475" s="106">
        <f t="shared" si="512"/>
        <v>31.25</v>
      </c>
      <c r="BQ475" s="104">
        <f>('Renewable Diesel'!$S484*'RD Feedstock Breakdown'!BQ$3*'Feedstock Conversion Rates'!B$4)/12+10+15-15</f>
        <v>38.125</v>
      </c>
      <c r="BR475" s="104">
        <f>('Renewable Diesel'!$S484*'RD Feedstock Breakdown'!BR$3*'Feedstock Conversion Rates'!B$7)/12-10-15+15</f>
        <v>1.5</v>
      </c>
      <c r="BS475" s="106">
        <f t="shared" si="460"/>
        <v>39.625</v>
      </c>
      <c r="BT475" s="106"/>
      <c r="BU475" s="104">
        <f>('Renewable Diesel'!Y484*'Feedstock Conversion Rates'!B$7)/12</f>
        <v>2.6833333333333331</v>
      </c>
      <c r="BV475" s="106">
        <f t="shared" si="507"/>
        <v>2.6833333333333331</v>
      </c>
      <c r="BW475" s="104">
        <f>('Renewable Diesel'!$Z484*'RD Feedstock Breakdown'!BW$3*'Feedstock Conversion Rates'!$B$4)/12-250+180</f>
        <v>1.875</v>
      </c>
      <c r="BX475" s="104">
        <f>('Renewable Diesel'!$Z484*'RD Feedstock Breakdown'!BX$3*'Feedstock Conversion Rates'!$B$5)/12</f>
        <v>7.2354166666666666</v>
      </c>
      <c r="BY475" s="104">
        <f>('Renewable Diesel'!$Z484*'RD Feedstock Breakdown'!BY$3*'Feedstock Conversion Rates'!$B$7)/12</f>
        <v>61.716666666666661</v>
      </c>
      <c r="BZ475" s="104">
        <f>('Renewable Diesel'!$Z484*'RD Feedstock Breakdown'!BZ$3*'Feedstock Conversion Rates'!$B$3)/12+250-180</f>
        <v>85.35250000000002</v>
      </c>
      <c r="CA475" s="106">
        <f t="shared" si="464"/>
        <v>156.17958333333334</v>
      </c>
      <c r="CB475" s="104">
        <f>('Renewable Diesel'!AA484*'Feedstock Conversion Rates'!B$4)/12</f>
        <v>191.25</v>
      </c>
      <c r="CC475" s="106">
        <f t="shared" si="454"/>
        <v>191.25</v>
      </c>
      <c r="CD475" s="104">
        <f>('Renewable Diesel'!$AB484*'RD Feedstock Breakdown'!CD$3*'Feedstock Conversion Rates'!$B$6)/12-15-5</f>
        <v>12.830000000000005</v>
      </c>
      <c r="CE475" s="104">
        <f>('Renewable Diesel'!$AB484*'RD Feedstock Breakdown'!CE$3*'Feedstock Conversion Rates'!$B$4)/12+15+5</f>
        <v>31.25</v>
      </c>
      <c r="CF475" s="106">
        <f t="shared" si="516"/>
        <v>44.080000000000005</v>
      </c>
      <c r="CG475" s="104">
        <f>('Renewable Diesel'!AD484*'Feedstock Conversion Rates'!B$4)/12</f>
        <v>112.5</v>
      </c>
      <c r="CH475" s="106">
        <f t="shared" si="504"/>
        <v>112.5</v>
      </c>
      <c r="CI475" s="104">
        <f>('Renewable Diesel'!$AE484*'RD Feedstock Breakdown'!CI$3*'Feedstock Conversion Rates'!$B$5)/12</f>
        <v>0.34604166666666664</v>
      </c>
      <c r="CJ475" s="104">
        <f>('Renewable Diesel'!$AE484*'RD Feedstock Breakdown'!CJ$3*'Feedstock Conversion Rates'!$B$4)/12</f>
        <v>0.34375</v>
      </c>
      <c r="CK475" s="106">
        <f t="shared" si="513"/>
        <v>0.68979166666666658</v>
      </c>
      <c r="CL475" s="104">
        <f>(((CL$3*'Renewable Diesel'!$AF484)*'Feedstock Conversion Rates'!$B$3)/12)</f>
        <v>91.78125</v>
      </c>
      <c r="CM475" s="104">
        <f>(((CM$3*'Renewable Diesel'!$AF484)*'Feedstock Conversion Rates'!$B$6)/12)</f>
        <v>53.739583333333336</v>
      </c>
      <c r="CN475" s="104">
        <f>(((CN$3*'Renewable Diesel'!$AF484)*'Feedstock Conversion Rates'!$B$4)/12)</f>
        <v>42.96875</v>
      </c>
      <c r="CO475" s="106">
        <f t="shared" si="506"/>
        <v>188.48958333333334</v>
      </c>
      <c r="CP475" s="104">
        <f>('Renewable Diesel'!$AG484*'RD Feedstock Breakdown'!CP$3*'Feedstock Conversion Rates'!$B$3)/12</f>
        <v>6.0075000000000003</v>
      </c>
      <c r="CQ475" s="104">
        <f>('Renewable Diesel'!$AG484*'RD Feedstock Breakdown'!CQ$3*'Feedstock Conversion Rates'!$B$6)/12</f>
        <v>3.5175000000000001</v>
      </c>
      <c r="CR475" s="104">
        <f>('Renewable Diesel'!$AG484*'RD Feedstock Breakdown'!CR$3*'Feedstock Conversion Rates'!$B$4)/12</f>
        <v>2.8125</v>
      </c>
      <c r="CS475" s="106">
        <f t="shared" si="467"/>
        <v>12.3375</v>
      </c>
      <c r="CT475" s="104">
        <f>('Renewable Diesel'!AI484*'Feedstock Conversion Rates'!$B$4*'RD Feedstock Breakdown'!$CT$3)/12</f>
        <v>29.375</v>
      </c>
      <c r="CU475" s="106">
        <f t="shared" si="508"/>
        <v>29.375</v>
      </c>
      <c r="CV475" s="104">
        <f>('Renewable Diesel'!AN484*'Feedstock Conversion Rates'!$B$3*'RD Feedstock Breakdown'!$CV$3)/12</f>
        <v>0.50062499999999999</v>
      </c>
      <c r="CW475" s="106">
        <f t="shared" si="485"/>
        <v>0.50062499999999999</v>
      </c>
      <c r="CX475" s="104">
        <f>('Renewable Diesel'!AO484*'RD Feedstock Breakdown'!$CX$3*'Feedstock Conversion Rates'!$B$3)/12</f>
        <v>6.3412499999999996</v>
      </c>
      <c r="CY475" s="104">
        <f>('Renewable Diesel'!AO484*'RD Feedstock Breakdown'!$CY$3*'Feedstock Conversion Rates'!$B$6)/12</f>
        <v>7.4258333333333342</v>
      </c>
      <c r="CZ475" s="106">
        <f t="shared" si="468"/>
        <v>13.767083333333334</v>
      </c>
      <c r="DA475" s="104">
        <f>('Renewable Diesel'!$AP484*'RD Feedstock Breakdown'!DA$3*'Feedstock Conversion Rates'!$B$3)/12</f>
        <v>6.3412499999999996</v>
      </c>
      <c r="DB475" s="104">
        <f>('Renewable Diesel'!$AP484*'RD Feedstock Breakdown'!DB$3*'Feedstock Conversion Rates'!$B$8)/12</f>
        <v>7.421875</v>
      </c>
      <c r="DC475" s="106">
        <f t="shared" si="488"/>
        <v>13.763124999999999</v>
      </c>
      <c r="DD475" s="104">
        <f>('Renewable Diesel'!AQ484*$DD$3*'Feedstock Conversion Rates'!$B$14)/12</f>
        <v>3.1041666666666665</v>
      </c>
      <c r="DE475" s="106">
        <f t="shared" si="489"/>
        <v>3.1041666666666665</v>
      </c>
      <c r="DF475" s="104">
        <f>('Renewable Diesel'!AR484*'Feedstock Conversion Rates'!$B$4*$DF$3)/12</f>
        <v>75</v>
      </c>
      <c r="DG475" s="106">
        <f t="shared" si="469"/>
        <v>75</v>
      </c>
      <c r="DH475" s="104">
        <f>('Renewable Diesel'!AS484*'Feedstock Conversion Rates'!$B$4*$DH$3)/12</f>
        <v>75</v>
      </c>
      <c r="DI475" s="106">
        <f t="shared" si="478"/>
        <v>75</v>
      </c>
      <c r="DJ475" s="104">
        <f>('Renewable Diesel'!AT484*'Feedstock Conversion Rates'!$B$4*0.25)/12</f>
        <v>8.59375</v>
      </c>
      <c r="DK475" s="104">
        <f>('Renewable Diesel'!$AT484*'RD Feedstock Breakdown'!DK$3*'Feedstock Conversion Rates'!$B$3)/12*0.5</f>
        <v>9.1781249999999996</v>
      </c>
      <c r="DL475" s="104">
        <f>('Renewable Diesel'!$AT484*'RD Feedstock Breakdown'!$DL$3*'Feedstock Conversion Rates'!$B$6)/12</f>
        <v>10.747916666666669</v>
      </c>
      <c r="DM475" s="104">
        <f>('Renewable Diesel'!$AT484*'RD Feedstock Breakdown'!$DM$3*'Feedstock Conversion Rates'!$B$8)/12</f>
        <v>10.7421875</v>
      </c>
      <c r="DN475" s="106">
        <f t="shared" si="519"/>
        <v>39.26197916666667</v>
      </c>
      <c r="DP475" s="104">
        <f t="shared" si="491"/>
        <v>103.22025000000001</v>
      </c>
      <c r="DQ475" s="104">
        <f t="shared" si="492"/>
        <v>349.11776750000007</v>
      </c>
      <c r="DR475" s="104">
        <f t="shared" si="497"/>
        <v>1891.953125</v>
      </c>
      <c r="DS475" s="104">
        <f t="shared" si="510"/>
        <v>228.90125</v>
      </c>
      <c r="DT475" s="104">
        <f t="shared" si="493"/>
        <v>243.03923333333344</v>
      </c>
      <c r="DU475" s="104">
        <f t="shared" si="494"/>
        <v>402.90610000000009</v>
      </c>
      <c r="DV475" s="104">
        <f t="shared" si="498"/>
        <v>78.75</v>
      </c>
      <c r="DW475" s="104">
        <f t="shared" si="495"/>
        <v>3</v>
      </c>
      <c r="DX475" s="106">
        <f t="shared" si="499"/>
        <v>3300.8877258333337</v>
      </c>
      <c r="DY475" s="109">
        <f t="shared" si="487"/>
        <v>-5.631051180898794E-13</v>
      </c>
      <c r="EA475" s="110">
        <f t="shared" si="509"/>
        <v>3.1270451640078516E-2</v>
      </c>
      <c r="EB475" s="110">
        <f t="shared" si="470"/>
        <v>0.10576481131658687</v>
      </c>
      <c r="EC475" s="110">
        <f t="shared" si="470"/>
        <v>0.57316494293133291</v>
      </c>
      <c r="ED475" s="110">
        <f t="shared" si="470"/>
        <v>6.9345360706629972E-2</v>
      </c>
      <c r="EE475" s="110">
        <f t="shared" si="470"/>
        <v>7.3628445896921982E-2</v>
      </c>
      <c r="EF475" s="110">
        <f t="shared" si="470"/>
        <v>0.1220599225010852</v>
      </c>
      <c r="EG475" s="110">
        <f t="shared" si="470"/>
        <v>2.3857218585075921E-2</v>
      </c>
      <c r="EH475" s="111">
        <f t="shared" si="500"/>
        <v>9.0884642228860647E-4</v>
      </c>
      <c r="EI475" s="110">
        <f t="shared" si="476"/>
        <v>0.99909115357771139</v>
      </c>
      <c r="EK475" s="132">
        <f>(EA475*'Renewable Diesel'!BF484*'Feedstock Conversion Rates'!B$2)+FB475</f>
        <v>455.91344565817724</v>
      </c>
      <c r="EL475" s="132">
        <f>(EB475*'Renewable Diesel'!BF484*'Feedstock Conversion Rates'!B$3)+FC475</f>
        <v>1453.1252054702984</v>
      </c>
      <c r="EM475" s="132">
        <f>(EC475*'Renewable Diesel'!BF484*'Feedstock Conversion Rates'!B$4)+FD475</f>
        <v>7373.4409009390338</v>
      </c>
      <c r="EN475" s="132">
        <f>(ED475*'Renewable Diesel'!BF484*'Feedstock Conversion Rates'!B$5)+FE475</f>
        <v>898.03587035817543</v>
      </c>
      <c r="EO475" s="132">
        <f>(EE475*'Renewable Diesel'!BF484*'Feedstock Conversion Rates'!B$6)+FF475</f>
        <v>1184.6165426394896</v>
      </c>
      <c r="EP475" s="132">
        <f>(EF475*'Renewable Diesel'!BF484*'Feedstock Conversion Rates'!B$7)+FG475</f>
        <v>1926.1505904519393</v>
      </c>
      <c r="EQ475" s="132">
        <f>(EG475*'Renewable Diesel'!BF484*'Feedstock Conversion Rates'!B$8)+FH475</f>
        <v>383.63693005670325</v>
      </c>
      <c r="ER475" s="132">
        <f>(EH475*'Renewable Diesel'!BF484*'Feedstock Conversion Rates'!B$9)+FI475</f>
        <v>14.419876990067831</v>
      </c>
      <c r="ES475" s="132">
        <f t="shared" si="501"/>
        <v>13689.339362563886</v>
      </c>
      <c r="ET475" s="133">
        <f>ES475/'Renewable Diesel'!BF484</f>
        <v>15.393794823248887</v>
      </c>
      <c r="EW475" s="73">
        <f t="shared" si="461"/>
        <v>12254.600521451934</v>
      </c>
      <c r="EX475" s="73">
        <f t="shared" si="462"/>
        <v>8026.8304647223276</v>
      </c>
      <c r="EY475" s="92">
        <f t="shared" si="477"/>
        <v>0.89519298169818773</v>
      </c>
      <c r="EZ475" s="92">
        <f t="shared" si="477"/>
        <v>0.58635630632937841</v>
      </c>
      <c r="FB475" s="102">
        <f>IF('Renewable Diesel'!$BG484&lt;1,0,(((('Renewable Diesel'!$BG484-1)*'Renewable Diesel'!$BF484)*'RD Feedstock Breakdown'!EA475)*'Feedstock Conversion Rates'!$B$2))</f>
        <v>219.54479515888977</v>
      </c>
      <c r="FC475" s="102">
        <f>IF('Renewable Diesel'!$BG484&lt;1,0,(((('Renewable Diesel'!$BG484-1)*'Renewable Diesel'!$BF484)*'RD Feedstock Breakdown'!EB475)*'Feedstock Conversion Rates'!$B$3))</f>
        <v>699.75140810913319</v>
      </c>
      <c r="FD475" s="102">
        <f>IF('Renewable Diesel'!$BG484&lt;1,0,(((('Renewable Diesel'!$BG484-1)*'Renewable Diesel'!$BF484)*'RD Feedstock Breakdown'!EC475)*'Feedstock Conversion Rates'!$B$4))</f>
        <v>3550.6752161605286</v>
      </c>
      <c r="FE475" s="102">
        <f>IF('Renewable Diesel'!$BG484&lt;1,0,(((('Renewable Diesel'!$BG484-1)*'Renewable Diesel'!$BF484)*'RD Feedstock Breakdown'!ED475)*'Feedstock Conversion Rates'!$B$5))</f>
        <v>432.4485339941952</v>
      </c>
      <c r="FF475" s="102">
        <f>IF('Renewable Diesel'!$BG484&lt;1,0,(((('Renewable Diesel'!$BG484-1)*'Renewable Diesel'!$BF484)*'RD Feedstock Breakdown'!EE475)*'Feedstock Conversion Rates'!$B$6))</f>
        <v>570.4512526937234</v>
      </c>
      <c r="FG475" s="102">
        <f>IF('Renewable Diesel'!$BG484&lt;1,0,(((('Renewable Diesel'!$BG484-1)*'Renewable Diesel'!$BF484)*'RD Feedstock Breakdown'!EF475)*'Feedstock Conversion Rates'!$B$7))</f>
        <v>927.53644546600776</v>
      </c>
      <c r="FH475" s="102">
        <f>IF('Renewable Diesel'!$BG484&lt;1,0,(((('Renewable Diesel'!$BG484-1)*'Renewable Diesel'!$BF484)*'RD Feedstock Breakdown'!EG475)*'Feedstock Conversion Rates'!$B$8))</f>
        <v>184.74009052988669</v>
      </c>
      <c r="FI475" s="102">
        <f>IF('Renewable Diesel'!$BG484&lt;1,0,(((('Renewable Diesel'!$BG484-1)*'Renewable Diesel'!$BF484)*'RD Feedstock Breakdown'!EH475)*'Feedstock Conversion Rates'!$B$9))</f>
        <v>6.9438814980122494</v>
      </c>
      <c r="FJ475" s="102">
        <f t="shared" si="463"/>
        <v>6592.0916236103758</v>
      </c>
      <c r="GD475" s="91">
        <f>'Renewable Diesel'!BB484*0.32</f>
        <v>0</v>
      </c>
      <c r="GE475" s="91">
        <f>'Renewable Diesel'!BC484</f>
        <v>408.24826688676336</v>
      </c>
      <c r="GF475" s="91">
        <f>'Renewable Diesel'!BD484</f>
        <v>0</v>
      </c>
      <c r="GG475" s="91">
        <f t="shared" si="517"/>
        <v>408.24826688676336</v>
      </c>
      <c r="GH475" s="124">
        <v>1</v>
      </c>
      <c r="GI475" s="102">
        <f>$GG475*EA475*'Feedstock Conversion Rates'!$B$2</f>
        <v>108.5119153380414</v>
      </c>
      <c r="GJ475" s="102">
        <f>$GG475*EB475*'Feedstock Conversion Rates'!$B$3</f>
        <v>345.85819034999298</v>
      </c>
      <c r="GK475" s="102">
        <f>$GG475*EC475*'Feedstock Conversion Rates'!$B$4</f>
        <v>1754.9519594397545</v>
      </c>
      <c r="GL475" s="102">
        <f>$GG475*ED475*'Feedstock Conversion Rates'!$B$5</f>
        <v>213.74143110464956</v>
      </c>
      <c r="GM475" s="102">
        <f>$GG475*EE475*'Feedstock Conversion Rates'!$B$6</f>
        <v>281.95046934263206</v>
      </c>
      <c r="GN475" s="102">
        <f>$GG475*EF475*'Feedstock Conversion Rates'!$B$7</f>
        <v>458.44291672008626</v>
      </c>
      <c r="GO475" s="102">
        <f>$GG475*EG475*'Feedstock Conversion Rates'!$B$8</f>
        <v>91.309388813399309</v>
      </c>
      <c r="GP475" s="102">
        <f>$GG475*EH475*'Feedstock Conversion Rates'!B$9</f>
        <v>3.4320735350814213</v>
      </c>
      <c r="GQ475" s="102">
        <f t="shared" si="502"/>
        <v>3258.1983446436379</v>
      </c>
      <c r="GT475" s="103">
        <f t="shared" si="484"/>
        <v>3.3304269372191886E-2</v>
      </c>
      <c r="GU475" s="103">
        <f t="shared" si="484"/>
        <v>0.10615013383656388</v>
      </c>
      <c r="GV475" s="103">
        <f t="shared" si="484"/>
        <v>0.53862649654979822</v>
      </c>
      <c r="GW475" s="103">
        <f t="shared" si="484"/>
        <v>6.5601110950176761E-2</v>
      </c>
      <c r="GX475" s="103">
        <f t="shared" si="465"/>
        <v>8.6535698419388296E-2</v>
      </c>
      <c r="GY475" s="103">
        <f t="shared" si="465"/>
        <v>0.14070442257566981</v>
      </c>
      <c r="GZ475" s="103">
        <f t="shared" si="465"/>
        <v>2.802450285554552E-2</v>
      </c>
      <c r="HA475" s="103">
        <f t="shared" si="465"/>
        <v>1.0533654406655838E-3</v>
      </c>
    </row>
    <row r="476" spans="1:209" x14ac:dyDescent="0.25">
      <c r="A476" s="96">
        <v>54909</v>
      </c>
      <c r="B476" s="104">
        <f t="shared" si="473"/>
        <v>44.25</v>
      </c>
      <c r="C476" s="104">
        <f t="shared" si="466"/>
        <v>49</v>
      </c>
      <c r="D476" s="104">
        <f t="shared" si="474"/>
        <v>2</v>
      </c>
      <c r="E476" s="104">
        <f>('Renewable Diesel'!B485*E$3*'Feedstock Conversion Rates'!$B$2)/12+26+13-100+27.5+39</f>
        <v>95.43</v>
      </c>
      <c r="F476" s="104">
        <f>('Renewable Diesel'!B485*'RD Feedstock Breakdown'!F$3*'Feedstock Conversion Rates'!B$8)/12+77+23-10-12-115.75+24+8</f>
        <v>48.15625</v>
      </c>
      <c r="G476" s="104">
        <f>('Renewable Diesel'!B485*'RD Feedstock Breakdown'!G$3*'Feedstock Conversion Rates'!B$7)/12+116.75-39-57.5-145-31.5+32+70-40+10+60</f>
        <v>151.90700000000004</v>
      </c>
      <c r="H476" s="104">
        <f>('Renewable Diesel'!B485*'RD Feedstock Breakdown'!H$3*'Feedstock Conversion Rates'!B$3)/12+67+10+12+3-235+20+47-20+25</f>
        <v>105.40022499999998</v>
      </c>
      <c r="I476" s="106">
        <f t="shared" si="515"/>
        <v>496.14347500000002</v>
      </c>
      <c r="J476" s="104">
        <f t="shared" si="483"/>
        <v>4</v>
      </c>
      <c r="K476" s="104"/>
      <c r="L476" s="104">
        <v>1</v>
      </c>
      <c r="M476" s="104">
        <f>('Renewable Diesel'!C485*'RD Feedstock Breakdown'!M$3*'Feedstock Conversion Rates'!B$2)/12</f>
        <v>7.7902500000000003</v>
      </c>
      <c r="N476" s="104">
        <f>('Renewable Diesel'!C485*'RD Feedstock Breakdown'!N$3*'Feedstock Conversion Rates'!B$8)/12</f>
        <v>3.671875</v>
      </c>
      <c r="O476" s="104">
        <f>('Renewable Diesel'!C485*'RD Feedstock Breakdown'!O$3*'Feedstock Conversion Rates'!B$7)/12</f>
        <v>11.9991</v>
      </c>
      <c r="P476" s="104">
        <f>('Renewable Diesel'!C485*'RD Feedstock Breakdown'!P$3*'Feedstock Conversion Rates'!B$3)/12</f>
        <v>10.4470425</v>
      </c>
      <c r="Q476" s="106">
        <f t="shared" si="455"/>
        <v>38.908267500000001</v>
      </c>
      <c r="R476" s="104">
        <f>('Renewable Diesel'!D485*'RD Feedstock Breakdown'!R$3*'Feedstock Conversion Rates'!B$7)/12</f>
        <v>2.2999999999999998</v>
      </c>
      <c r="S476" s="106">
        <f t="shared" si="481"/>
        <v>2.2999999999999998</v>
      </c>
      <c r="T476" s="104">
        <f t="shared" si="456"/>
        <v>0.82499999999999929</v>
      </c>
      <c r="U476" s="104"/>
      <c r="V476" s="104">
        <f>('Renewable Diesel'!E485*'RD Feedstock Breakdown'!V$3*'Feedstock Conversion Rates'!B$6)/12-20+25</f>
        <v>49.250150000000012</v>
      </c>
      <c r="W476" s="104">
        <f>('Renewable Diesel'!E485*'RD Feedstock Breakdown'!W$3*'Feedstock Conversion Rates'!B$8)/12-6</f>
        <v>16.1796875</v>
      </c>
      <c r="X476" s="106">
        <f t="shared" si="503"/>
        <v>66.254837500000008</v>
      </c>
      <c r="Y476" s="104">
        <f t="shared" si="457"/>
        <v>98</v>
      </c>
      <c r="Z476" s="104">
        <f>('Renewable Diesel'!F485*'RD Feedstock Breakdown'!Z$3*'Feedstock Conversion Rates'!B$6)/12-142+15+5+20+5+15</f>
        <v>77.460000000000008</v>
      </c>
      <c r="AA476" s="104">
        <f>('Renewable Diesel'!F485*'RD Feedstock Breakdown'!AA$3*'Feedstock Conversion Rates'!B$7)/12+24</f>
        <v>128.26666666666665</v>
      </c>
      <c r="AB476" s="106">
        <f t="shared" si="471"/>
        <v>303.72666666666669</v>
      </c>
      <c r="AC476" s="104">
        <f>('Renewable Diesel'!G485*'RD Feedstock Breakdown'!AC$3*'Feedstock Conversion Rates'!B$5)/12</f>
        <v>11.796875</v>
      </c>
      <c r="AD476" s="104">
        <f>('Renewable Diesel'!G485*'RD Feedstock Breakdown'!AD$3*'Feedstock Conversion Rates'!B$4)/12</f>
        <v>5.859375</v>
      </c>
      <c r="AE476" s="104">
        <f>('Renewable Diesel'!G485*'RD Feedstock Breakdown'!AE$3*'Feedstock Conversion Rates'!B$6)/12</f>
        <v>7.3281250000000009</v>
      </c>
      <c r="AF476" s="106">
        <f t="shared" si="511"/>
        <v>24.984375</v>
      </c>
      <c r="AG476" s="104">
        <f t="shared" si="459"/>
        <v>148</v>
      </c>
      <c r="AH476" s="104"/>
      <c r="AI476" s="104">
        <f>('Renewable Diesel'!H485*'RD Feedstock Breakdown'!AI$3*'Feedstock Conversion Rates'!B$6)/12-130-20+51-49</f>
        <v>0.51666666666667993</v>
      </c>
      <c r="AJ476" s="106">
        <f t="shared" si="480"/>
        <v>148.51666666666668</v>
      </c>
      <c r="AK476" s="104">
        <f>('Renewable Diesel'!J485*'RD Feedstock Breakdown'!AK$3*'Feedstock Conversion Rates'!B$4)/12</f>
        <v>95.8125</v>
      </c>
      <c r="AL476" s="106">
        <f t="shared" si="482"/>
        <v>95.8125</v>
      </c>
      <c r="AM476" s="104">
        <f>('Renewable Diesel'!K485*'RD Feedstock Breakdown'!AM$3*'Feedstock Conversion Rates'!B$4)/12+5+15-10+10</f>
        <v>78.59375</v>
      </c>
      <c r="AN476" s="104">
        <f>('Renewable Diesel'!K485*'RD Feedstock Breakdown'!AN$3*'Feedstock Conversion Rates'!B$6)/12-5-15+10-10</f>
        <v>4.4270833333333321</v>
      </c>
      <c r="AO476" s="106">
        <f t="shared" si="496"/>
        <v>83.020833333333329</v>
      </c>
      <c r="AP476" s="104">
        <f>('Renewable Diesel'!L485*'RD Feedstock Breakdown'!AP$3*'Feedstock Conversion Rates'!B$4)/12+15-10+15</f>
        <v>78.59375</v>
      </c>
      <c r="AQ476" s="104">
        <f>('Renewable Diesel'!L485*'RD Feedstock Breakdown'!AQ$3*'Feedstock Conversion Rates'!B$6)/12-15+10-15</f>
        <v>4.4270833333333321</v>
      </c>
      <c r="AR476" s="106">
        <f t="shared" si="486"/>
        <v>83.020833333333329</v>
      </c>
      <c r="AS476" s="104">
        <f>('Renewable Diesel'!M485*'RD Feedstock Breakdown'!AS$3*'Feedstock Conversion Rates'!B$4)/12</f>
        <v>456.25</v>
      </c>
      <c r="AT476" s="104">
        <f>('Renewable Diesel'!M485*'RD Feedstock Breakdown'!AT$3*'Feedstock Conversion Rates'!B$5)/12</f>
        <v>0</v>
      </c>
      <c r="AU476" s="106">
        <f t="shared" si="514"/>
        <v>456.25</v>
      </c>
      <c r="AV476" s="104">
        <f>'Renewable Diesel'!N485*'RD Feedstock Breakdown'!$AV$3*'Feedstock Conversion Rates'!$B$4/12-15-10+25+25-22+25</f>
        <v>106.74999999999999</v>
      </c>
      <c r="AW476" s="104">
        <f>'Renewable Diesel'!N485*'RD Feedstock Breakdown'!$AW$3*'Feedstock Conversion Rates'!$B$7/12+15+10-25-25+22-25</f>
        <v>13.400000000000006</v>
      </c>
      <c r="AX476" s="106">
        <f t="shared" si="475"/>
        <v>120.14999999999999</v>
      </c>
      <c r="AY476" s="104">
        <f>('Renewable Diesel'!O485*'RD Feedstock Breakdown'!AY$3*'Feedstock Conversion Rates'!B$4)/12</f>
        <v>210.9375</v>
      </c>
      <c r="AZ476" s="104">
        <f>('Renewable Diesel'!O485*'RD Feedstock Breakdown'!AZ$3*'Feedstock Conversion Rates'!B$3)/12</f>
        <v>25.03125</v>
      </c>
      <c r="BA476" s="106">
        <f t="shared" si="458"/>
        <v>235.96875</v>
      </c>
      <c r="BB476" s="104">
        <f>('Renewable Diesel'!Q485*'RD Feedstock Breakdown'!BB$3*'Feedstock Conversion Rates'!B$4)/12</f>
        <v>11.156249999999998</v>
      </c>
      <c r="BC476" s="104">
        <f>('Renewable Diesel'!Q485*'RD Feedstock Breakdown'!BC$3*'Feedstock Conversion Rates'!B$3)/12</f>
        <v>1.4017500000000001</v>
      </c>
      <c r="BD476" s="104">
        <f>('Renewable Diesel'!Q485*'RD Feedstock Breakdown'!BD$3*'Feedstock Conversion Rates'!B$6)/12</f>
        <v>0.8207500000000002</v>
      </c>
      <c r="BE476" s="106">
        <f t="shared" si="505"/>
        <v>13.378749999999998</v>
      </c>
      <c r="BF476" s="104">
        <f>('Renewable Diesel'!R485*'RD Feedstock Breakdown'!BF$3*'Feedstock Conversion Rates'!B$4)/12</f>
        <v>62.5</v>
      </c>
      <c r="BG476" s="106">
        <f t="shared" si="490"/>
        <v>62.5</v>
      </c>
      <c r="BH476" s="104">
        <f>('Renewable Diesel'!T485*'RD Feedstock Breakdown'!BH$3*'Feedstock Conversion Rates'!B$7)/12</f>
        <v>27.599999999999998</v>
      </c>
      <c r="BI476" s="106">
        <f t="shared" si="479"/>
        <v>27.599999999999998</v>
      </c>
      <c r="BJ476" s="104">
        <f>('Renewable Diesel'!W485*'RD Feedstock Breakdown'!BJ$3*'Feedstock Conversion Rates'!B$4)/12</f>
        <v>7.5</v>
      </c>
      <c r="BK476" s="104">
        <f>('Renewable Diesel'!W485*'RD Feedstock Breakdown'!BK$3*'Feedstock Conversion Rates'!B$3)/12</f>
        <v>1.335</v>
      </c>
      <c r="BL476" s="104">
        <f>('Renewable Diesel'!W485*'RD Feedstock Breakdown'!BL$3*'Feedstock Conversion Rates'!B$6)/12</f>
        <v>3.1266666666666669</v>
      </c>
      <c r="BM476" s="104">
        <f>('Renewable Diesel'!W485*'RD Feedstock Breakdown'!BM$3*'Feedstock Conversion Rates'!B$7)/12</f>
        <v>1.5333333333333332</v>
      </c>
      <c r="BN476" s="106">
        <f t="shared" si="518"/>
        <v>13.495000000000001</v>
      </c>
      <c r="BO476" s="104">
        <f>('Renewable Diesel'!P485*'Feedstock Conversion Rates'!B$4)/12</f>
        <v>31.25</v>
      </c>
      <c r="BP476" s="106">
        <f t="shared" si="512"/>
        <v>31.25</v>
      </c>
      <c r="BQ476" s="104">
        <f>('Renewable Diesel'!$S485*'RD Feedstock Breakdown'!BQ$3*'Feedstock Conversion Rates'!B$4)/12+10+15-15</f>
        <v>38.125</v>
      </c>
      <c r="BR476" s="104">
        <f>('Renewable Diesel'!$S485*'RD Feedstock Breakdown'!BR$3*'Feedstock Conversion Rates'!B$7)/12-10-15+15</f>
        <v>1.5</v>
      </c>
      <c r="BS476" s="106">
        <f t="shared" si="460"/>
        <v>39.625</v>
      </c>
      <c r="BT476" s="106"/>
      <c r="BU476" s="104">
        <f>('Renewable Diesel'!Y485*'Feedstock Conversion Rates'!B$7)/12</f>
        <v>2.6833333333333331</v>
      </c>
      <c r="BV476" s="106">
        <f t="shared" si="507"/>
        <v>2.6833333333333331</v>
      </c>
      <c r="BW476" s="104">
        <f>('Renewable Diesel'!$Z485*'RD Feedstock Breakdown'!BW$3*'Feedstock Conversion Rates'!$B$4)/12-250+180</f>
        <v>1.875</v>
      </c>
      <c r="BX476" s="104">
        <f>('Renewable Diesel'!$Z485*'RD Feedstock Breakdown'!BX$3*'Feedstock Conversion Rates'!$B$5)/12</f>
        <v>7.2354166666666666</v>
      </c>
      <c r="BY476" s="104">
        <f>('Renewable Diesel'!$Z485*'RD Feedstock Breakdown'!BY$3*'Feedstock Conversion Rates'!$B$7)/12</f>
        <v>61.716666666666661</v>
      </c>
      <c r="BZ476" s="104">
        <f>('Renewable Diesel'!$Z485*'RD Feedstock Breakdown'!BZ$3*'Feedstock Conversion Rates'!$B$3)/12+250-180</f>
        <v>85.35250000000002</v>
      </c>
      <c r="CA476" s="106">
        <f t="shared" si="464"/>
        <v>156.17958333333334</v>
      </c>
      <c r="CB476" s="104">
        <f>('Renewable Diesel'!AA485*'Feedstock Conversion Rates'!B$4)/12</f>
        <v>191.25</v>
      </c>
      <c r="CC476" s="106">
        <f t="shared" ref="CC476:CC495" si="520">CB476</f>
        <v>191.25</v>
      </c>
      <c r="CD476" s="104">
        <f>('Renewable Diesel'!$AB485*'RD Feedstock Breakdown'!CD$3*'Feedstock Conversion Rates'!$B$6)/12-15-5</f>
        <v>12.830000000000005</v>
      </c>
      <c r="CE476" s="104">
        <f>('Renewable Diesel'!$AB485*'RD Feedstock Breakdown'!CE$3*'Feedstock Conversion Rates'!$B$4)/12+15+5</f>
        <v>31.25</v>
      </c>
      <c r="CF476" s="106">
        <f t="shared" si="516"/>
        <v>44.080000000000005</v>
      </c>
      <c r="CG476" s="104">
        <f>('Renewable Diesel'!AD485*'Feedstock Conversion Rates'!B$4)/12</f>
        <v>112.5</v>
      </c>
      <c r="CH476" s="106">
        <f t="shared" si="504"/>
        <v>112.5</v>
      </c>
      <c r="CI476" s="104">
        <f>('Renewable Diesel'!$AE485*'RD Feedstock Breakdown'!CI$3*'Feedstock Conversion Rates'!$B$5)/12</f>
        <v>0.34604166666666664</v>
      </c>
      <c r="CJ476" s="104">
        <f>('Renewable Diesel'!$AE485*'RD Feedstock Breakdown'!CJ$3*'Feedstock Conversion Rates'!$B$4)/12</f>
        <v>0.34375</v>
      </c>
      <c r="CK476" s="106">
        <f t="shared" si="513"/>
        <v>0.68979166666666658</v>
      </c>
      <c r="CL476" s="104">
        <f>(((CL$3*'Renewable Diesel'!$AF485)*'Feedstock Conversion Rates'!$B$3)/12)</f>
        <v>91.78125</v>
      </c>
      <c r="CM476" s="104">
        <f>(((CM$3*'Renewable Diesel'!$AF485)*'Feedstock Conversion Rates'!$B$6)/12)</f>
        <v>53.739583333333336</v>
      </c>
      <c r="CN476" s="104">
        <f>(((CN$3*'Renewable Diesel'!$AF485)*'Feedstock Conversion Rates'!$B$4)/12)</f>
        <v>42.96875</v>
      </c>
      <c r="CO476" s="106">
        <f t="shared" si="506"/>
        <v>188.48958333333334</v>
      </c>
      <c r="CP476" s="104">
        <f>('Renewable Diesel'!$AG485*'RD Feedstock Breakdown'!CP$3*'Feedstock Conversion Rates'!$B$3)/12</f>
        <v>6.0075000000000003</v>
      </c>
      <c r="CQ476" s="104">
        <f>('Renewable Diesel'!$AG485*'RD Feedstock Breakdown'!CQ$3*'Feedstock Conversion Rates'!$B$6)/12</f>
        <v>3.5175000000000001</v>
      </c>
      <c r="CR476" s="104">
        <f>('Renewable Diesel'!$AG485*'RD Feedstock Breakdown'!CR$3*'Feedstock Conversion Rates'!$B$4)/12</f>
        <v>2.8125</v>
      </c>
      <c r="CS476" s="106">
        <f t="shared" si="467"/>
        <v>12.3375</v>
      </c>
      <c r="CT476" s="104">
        <f>('Renewable Diesel'!AI485*'Feedstock Conversion Rates'!$B$4*'RD Feedstock Breakdown'!$CT$3)/12</f>
        <v>29.375</v>
      </c>
      <c r="CU476" s="106">
        <f t="shared" si="508"/>
        <v>29.375</v>
      </c>
      <c r="CV476" s="104">
        <f>('Renewable Diesel'!AN485*'Feedstock Conversion Rates'!$B$3*'RD Feedstock Breakdown'!$CV$3)/12</f>
        <v>0.50062499999999999</v>
      </c>
      <c r="CW476" s="106">
        <f t="shared" si="485"/>
        <v>0.50062499999999999</v>
      </c>
      <c r="CX476" s="104">
        <f>('Renewable Diesel'!AO485*'RD Feedstock Breakdown'!$CX$3*'Feedstock Conversion Rates'!$B$3)/12</f>
        <v>6.3412499999999996</v>
      </c>
      <c r="CY476" s="104">
        <f>('Renewable Diesel'!AO485*'RD Feedstock Breakdown'!$CY$3*'Feedstock Conversion Rates'!$B$6)/12</f>
        <v>7.4258333333333342</v>
      </c>
      <c r="CZ476" s="106">
        <f t="shared" si="468"/>
        <v>13.767083333333334</v>
      </c>
      <c r="DA476" s="104">
        <f>('Renewable Diesel'!$AP485*'RD Feedstock Breakdown'!DA$3*'Feedstock Conversion Rates'!$B$3)/12</f>
        <v>6.3412499999999996</v>
      </c>
      <c r="DB476" s="104">
        <f>('Renewable Diesel'!$AP485*'RD Feedstock Breakdown'!DB$3*'Feedstock Conversion Rates'!$B$8)/12</f>
        <v>7.421875</v>
      </c>
      <c r="DC476" s="106">
        <f t="shared" si="488"/>
        <v>13.763124999999999</v>
      </c>
      <c r="DD476" s="104">
        <f>('Renewable Diesel'!AQ485*$DD$3*'Feedstock Conversion Rates'!$B$14)/12</f>
        <v>3.1041666666666665</v>
      </c>
      <c r="DE476" s="106">
        <f t="shared" si="489"/>
        <v>3.1041666666666665</v>
      </c>
      <c r="DF476" s="104">
        <f>('Renewable Diesel'!AR485*'Feedstock Conversion Rates'!$B$4*$DF$3)/12</f>
        <v>75</v>
      </c>
      <c r="DG476" s="106">
        <f t="shared" si="469"/>
        <v>75</v>
      </c>
      <c r="DH476" s="104">
        <f>('Renewable Diesel'!AS485*'Feedstock Conversion Rates'!$B$4*$DH$3)/12</f>
        <v>75</v>
      </c>
      <c r="DI476" s="106">
        <f t="shared" si="478"/>
        <v>75</v>
      </c>
      <c r="DJ476" s="104">
        <f>('Renewable Diesel'!AT485*'Feedstock Conversion Rates'!$B$4*0.25)/12</f>
        <v>8.59375</v>
      </c>
      <c r="DK476" s="104">
        <f>('Renewable Diesel'!$AT485*'RD Feedstock Breakdown'!DK$3*'Feedstock Conversion Rates'!$B$3)/12*0.5</f>
        <v>9.1781249999999996</v>
      </c>
      <c r="DL476" s="104">
        <f>('Renewable Diesel'!$AT485*'RD Feedstock Breakdown'!$DL$3*'Feedstock Conversion Rates'!$B$6)/12</f>
        <v>10.747916666666669</v>
      </c>
      <c r="DM476" s="104">
        <f>('Renewable Diesel'!$AT485*'RD Feedstock Breakdown'!$DM$3*'Feedstock Conversion Rates'!$B$8)/12</f>
        <v>10.7421875</v>
      </c>
      <c r="DN476" s="106">
        <f t="shared" si="519"/>
        <v>39.26197916666667</v>
      </c>
      <c r="DP476" s="104">
        <f t="shared" si="491"/>
        <v>103.22025000000001</v>
      </c>
      <c r="DQ476" s="104">
        <f t="shared" si="492"/>
        <v>349.11776750000007</v>
      </c>
      <c r="DR476" s="104">
        <f t="shared" si="497"/>
        <v>1891.953125</v>
      </c>
      <c r="DS476" s="104">
        <f t="shared" si="510"/>
        <v>228.90125</v>
      </c>
      <c r="DT476" s="104">
        <f t="shared" si="493"/>
        <v>243.03923333333344</v>
      </c>
      <c r="DU476" s="104">
        <f t="shared" si="494"/>
        <v>402.90610000000009</v>
      </c>
      <c r="DV476" s="104">
        <f t="shared" si="498"/>
        <v>78.75</v>
      </c>
      <c r="DW476" s="104">
        <f t="shared" si="495"/>
        <v>3</v>
      </c>
      <c r="DX476" s="106">
        <f t="shared" si="499"/>
        <v>3300.8877258333337</v>
      </c>
      <c r="DY476" s="109">
        <f t="shared" si="487"/>
        <v>-5.631051180898794E-13</v>
      </c>
      <c r="EA476" s="110">
        <f t="shared" si="509"/>
        <v>3.1270451640078516E-2</v>
      </c>
      <c r="EB476" s="110">
        <f t="shared" si="470"/>
        <v>0.10576481131658687</v>
      </c>
      <c r="EC476" s="110">
        <f t="shared" si="470"/>
        <v>0.57316494293133291</v>
      </c>
      <c r="ED476" s="110">
        <f t="shared" si="470"/>
        <v>6.9345360706629972E-2</v>
      </c>
      <c r="EE476" s="110">
        <f t="shared" ref="EE476:EG495" si="521">DT476/$DX476</f>
        <v>7.3628445896921982E-2</v>
      </c>
      <c r="EF476" s="110">
        <f t="shared" si="521"/>
        <v>0.1220599225010852</v>
      </c>
      <c r="EG476" s="110">
        <f t="shared" si="521"/>
        <v>2.3857218585075921E-2</v>
      </c>
      <c r="EH476" s="111">
        <f t="shared" si="500"/>
        <v>9.0884642228860647E-4</v>
      </c>
      <c r="EI476" s="110">
        <f t="shared" si="476"/>
        <v>0.99909115357771139</v>
      </c>
      <c r="EK476" s="132">
        <f>(EA476*'Renewable Diesel'!BF485*'Feedstock Conversion Rates'!B$2)+FB476</f>
        <v>688.11004896577992</v>
      </c>
      <c r="EL476" s="132">
        <f>(EB476*'Renewable Diesel'!BF485*'Feedstock Conversion Rates'!B$3)+FC476</f>
        <v>2193.2015074617084</v>
      </c>
      <c r="EM476" s="132">
        <f>(EC476*'Renewable Diesel'!BF485*'Feedstock Conversion Rates'!B$4)+FD476</f>
        <v>11128.73249892151</v>
      </c>
      <c r="EN476" s="132">
        <f>(ED476*'Renewable Diesel'!BF485*'Feedstock Conversion Rates'!B$5)+FE476</f>
        <v>1355.4053134649143</v>
      </c>
      <c r="EO476" s="132">
        <f>(EE476*'Renewable Diesel'!BF485*'Feedstock Conversion Rates'!B$6)+FF476</f>
        <v>1787.9414501244853</v>
      </c>
      <c r="EP476" s="132">
        <f>(EF476*'Renewable Diesel'!BF485*'Feedstock Conversion Rates'!B$7)+FG476</f>
        <v>2907.1386021483468</v>
      </c>
      <c r="EQ476" s="132">
        <f>(EG476*'Renewable Diesel'!BF485*'Feedstock Conversion Rates'!B$8)+FH476</f>
        <v>579.02312213078017</v>
      </c>
      <c r="ER476" s="132">
        <f>(EH476*'Renewable Diesel'!BF485*'Feedstock Conversion Rates'!B$9)+FI476</f>
        <v>21.763916717550593</v>
      </c>
      <c r="ES476" s="132">
        <f t="shared" si="501"/>
        <v>20661.316459935075</v>
      </c>
      <c r="ET476" s="133">
        <f>ES476/'Renewable Diesel'!BF485</f>
        <v>19.22443846573848</v>
      </c>
      <c r="EW476" s="73">
        <f t="shared" si="461"/>
        <v>19785.551882727312</v>
      </c>
      <c r="EX476" s="73">
        <f t="shared" si="462"/>
        <v>12959.644856281553</v>
      </c>
      <c r="EY476" s="92">
        <f t="shared" si="477"/>
        <v>0.95761332154676682</v>
      </c>
      <c r="EZ476" s="92">
        <f t="shared" si="477"/>
        <v>0.62724197083046263</v>
      </c>
      <c r="FB476" s="102">
        <f>IF('Renewable Diesel'!$BG485&lt;1,0,(((('Renewable Diesel'!$BG485-1)*'Renewable Diesel'!$BF485)*'RD Feedstock Breakdown'!EA476)*'Feedstock Conversion Rates'!$B$2))</f>
        <v>402.44480387559071</v>
      </c>
      <c r="FC476" s="102">
        <f>IF('Renewable Diesel'!$BG485&lt;1,0,(((('Renewable Diesel'!$BG485-1)*'Renewable Diesel'!$BF485)*'RD Feedstock Breakdown'!EB476)*'Feedstock Conversion Rates'!$B$3))</f>
        <v>1282.7055088886973</v>
      </c>
      <c r="FD476" s="102">
        <f>IF('Renewable Diesel'!$BG485&lt;1,0,(((('Renewable Diesel'!$BG485-1)*'Renewable Diesel'!$BF485)*'RD Feedstock Breakdown'!EC476)*'Feedstock Conversion Rates'!$B$4))</f>
        <v>6508.6980994447122</v>
      </c>
      <c r="FE476" s="102">
        <f>IF('Renewable Diesel'!$BG485&lt;1,0,(((('Renewable Diesel'!$BG485-1)*'Renewable Diesel'!$BF485)*'RD Feedstock Breakdown'!ED476)*'Feedstock Conversion Rates'!$B$5))</f>
        <v>792.71597089617251</v>
      </c>
      <c r="FF476" s="102">
        <f>IF('Renewable Diesel'!$BG485&lt;1,0,(((('Renewable Diesel'!$BG485-1)*'Renewable Diesel'!$BF485)*'RD Feedstock Breakdown'!EE476)*'Feedstock Conversion Rates'!$B$6))</f>
        <v>1045.687019565923</v>
      </c>
      <c r="FG476" s="102">
        <f>IF('Renewable Diesel'!$BG485&lt;1,0,(((('Renewable Diesel'!$BG485-1)*'Renewable Diesel'!$BF485)*'RD Feedstock Breakdown'!EF476)*'Feedstock Conversion Rates'!$B$7))</f>
        <v>1700.255397140601</v>
      </c>
      <c r="FH476" s="102">
        <f>IF('Renewable Diesel'!$BG485&lt;1,0,(((('Renewable Diesel'!$BG485-1)*'Renewable Diesel'!$BF485)*'RD Feedstock Breakdown'!EG476)*'Feedstock Conversion Rates'!$B$8))</f>
        <v>338.64473738697353</v>
      </c>
      <c r="FI476" s="102">
        <f>IF('Renewable Diesel'!$BG485&lt;1,0,(((('Renewable Diesel'!$BG485-1)*'Renewable Diesel'!$BF485)*'RD Feedstock Breakdown'!EH476)*'Feedstock Conversion Rates'!$B$9))</f>
        <v>12.728741875116718</v>
      </c>
      <c r="FJ476" s="102">
        <f t="shared" si="463"/>
        <v>12083.880279073786</v>
      </c>
      <c r="GD476" s="91">
        <f>'Renewable Diesel'!BB485*0.32</f>
        <v>0</v>
      </c>
      <c r="GE476" s="91">
        <f>'Renewable Diesel'!BC485</f>
        <v>537.38814271860781</v>
      </c>
      <c r="GF476" s="91">
        <f>'Renewable Diesel'!BD485</f>
        <v>0</v>
      </c>
      <c r="GG476" s="91">
        <f t="shared" si="517"/>
        <v>537.38814271860781</v>
      </c>
      <c r="GH476" s="124">
        <v>1</v>
      </c>
      <c r="GI476" s="102">
        <f>$GG476*EA476*'Feedstock Conversion Rates'!$B$2</f>
        <v>142.83714439508759</v>
      </c>
      <c r="GJ476" s="102">
        <f>$GG476*EB476*'Feedstock Conversion Rates'!$B$3</f>
        <v>455.26241170242088</v>
      </c>
      <c r="GK476" s="102">
        <f>$GG476*EC476*'Feedstock Conversion Rates'!$B$4</f>
        <v>2310.090331149644</v>
      </c>
      <c r="GL476" s="102">
        <f>$GG476*ED476*'Feedstock Conversion Rates'!$B$5</f>
        <v>281.35357820197294</v>
      </c>
      <c r="GM476" s="102">
        <f>$GG476*EE476*'Feedstock Conversion Rates'!$B$6</f>
        <v>371.13896456712536</v>
      </c>
      <c r="GN476" s="102">
        <f>$GG476*EF476*'Feedstock Conversion Rates'!$B$7</f>
        <v>603.46070648976547</v>
      </c>
      <c r="GO476" s="102">
        <f>$GG476*EG476*'Feedstock Conversion Rates'!$B$8</f>
        <v>120.1929973674919</v>
      </c>
      <c r="GP476" s="102">
        <f>$GG476*EH476*'Feedstock Conversion Rates'!B$9</f>
        <v>4.5177304407336631</v>
      </c>
      <c r="GQ476" s="102">
        <f t="shared" si="502"/>
        <v>4288.8538643142419</v>
      </c>
      <c r="GT476" s="103">
        <f t="shared" si="484"/>
        <v>3.3304269372191893E-2</v>
      </c>
      <c r="GU476" s="103">
        <f t="shared" si="484"/>
        <v>0.10615013383656385</v>
      </c>
      <c r="GV476" s="103">
        <f t="shared" si="484"/>
        <v>0.53862649654979811</v>
      </c>
      <c r="GW476" s="103">
        <f t="shared" si="484"/>
        <v>6.5601110950176775E-2</v>
      </c>
      <c r="GX476" s="103">
        <f t="shared" si="465"/>
        <v>8.6535698419388296E-2</v>
      </c>
      <c r="GY476" s="103">
        <f t="shared" si="465"/>
        <v>0.14070442257566979</v>
      </c>
      <c r="GZ476" s="103">
        <f t="shared" si="465"/>
        <v>2.8024502855545516E-2</v>
      </c>
      <c r="HA476" s="103">
        <f t="shared" si="465"/>
        <v>1.0533654406655838E-3</v>
      </c>
    </row>
    <row r="477" spans="1:209" x14ac:dyDescent="0.25">
      <c r="A477" s="96">
        <v>54940</v>
      </c>
      <c r="B477" s="104">
        <f t="shared" si="473"/>
        <v>44.25</v>
      </c>
      <c r="C477" s="104">
        <f t="shared" si="466"/>
        <v>49</v>
      </c>
      <c r="D477" s="104">
        <f t="shared" si="474"/>
        <v>2</v>
      </c>
      <c r="E477" s="104">
        <f>('Renewable Diesel'!B486*E$3*'Feedstock Conversion Rates'!$B$2)/12+26+13-100+27.5+39</f>
        <v>95.43</v>
      </c>
      <c r="F477" s="104">
        <f>('Renewable Diesel'!B486*'RD Feedstock Breakdown'!F$3*'Feedstock Conversion Rates'!B$8)/12+77+23-10-12-115.75+24+8</f>
        <v>48.15625</v>
      </c>
      <c r="G477" s="104">
        <f>('Renewable Diesel'!B486*'RD Feedstock Breakdown'!G$3*'Feedstock Conversion Rates'!B$7)/12+116.75-39-57.5-145-31.5+32+70-40+10+60</f>
        <v>151.90700000000004</v>
      </c>
      <c r="H477" s="104">
        <f>('Renewable Diesel'!B486*'RD Feedstock Breakdown'!H$3*'Feedstock Conversion Rates'!B$3)/12+67+10+12+3-235+20+47-20+25</f>
        <v>105.40022499999998</v>
      </c>
      <c r="I477" s="106">
        <f t="shared" si="515"/>
        <v>496.14347500000002</v>
      </c>
      <c r="J477" s="104">
        <f t="shared" si="483"/>
        <v>4</v>
      </c>
      <c r="K477" s="104"/>
      <c r="L477" s="104">
        <v>1</v>
      </c>
      <c r="M477" s="104">
        <f>('Renewable Diesel'!C486*'RD Feedstock Breakdown'!M$3*'Feedstock Conversion Rates'!B$2)/12</f>
        <v>7.7902500000000003</v>
      </c>
      <c r="N477" s="104">
        <f>('Renewable Diesel'!C486*'RD Feedstock Breakdown'!N$3*'Feedstock Conversion Rates'!B$8)/12</f>
        <v>3.671875</v>
      </c>
      <c r="O477" s="104">
        <f>('Renewable Diesel'!C486*'RD Feedstock Breakdown'!O$3*'Feedstock Conversion Rates'!B$7)/12</f>
        <v>11.9991</v>
      </c>
      <c r="P477" s="104">
        <f>('Renewable Diesel'!C486*'RD Feedstock Breakdown'!P$3*'Feedstock Conversion Rates'!B$3)/12</f>
        <v>10.4470425</v>
      </c>
      <c r="Q477" s="106">
        <f t="shared" si="455"/>
        <v>38.908267500000001</v>
      </c>
      <c r="R477" s="104">
        <f>('Renewable Diesel'!D486*'RD Feedstock Breakdown'!R$3*'Feedstock Conversion Rates'!B$7)/12</f>
        <v>2.2999999999999998</v>
      </c>
      <c r="S477" s="106">
        <f t="shared" si="481"/>
        <v>2.2999999999999998</v>
      </c>
      <c r="T477" s="104">
        <f t="shared" si="456"/>
        <v>0.82499999999999929</v>
      </c>
      <c r="U477" s="104"/>
      <c r="V477" s="104">
        <f>('Renewable Diesel'!E486*'RD Feedstock Breakdown'!V$3*'Feedstock Conversion Rates'!B$6)/12-20+25</f>
        <v>49.250150000000012</v>
      </c>
      <c r="W477" s="104">
        <f>('Renewable Diesel'!E486*'RD Feedstock Breakdown'!W$3*'Feedstock Conversion Rates'!B$8)/12-6</f>
        <v>16.1796875</v>
      </c>
      <c r="X477" s="106">
        <f t="shared" si="503"/>
        <v>66.254837500000008</v>
      </c>
      <c r="Y477" s="104">
        <f t="shared" si="457"/>
        <v>98</v>
      </c>
      <c r="Z477" s="104">
        <f>('Renewable Diesel'!F486*'RD Feedstock Breakdown'!Z$3*'Feedstock Conversion Rates'!B$6)/12-142+15+5+20+5+15</f>
        <v>77.460000000000008</v>
      </c>
      <c r="AA477" s="104">
        <f>('Renewable Diesel'!F486*'RD Feedstock Breakdown'!AA$3*'Feedstock Conversion Rates'!B$7)/12+24</f>
        <v>128.26666666666665</v>
      </c>
      <c r="AB477" s="106">
        <f t="shared" si="471"/>
        <v>303.72666666666669</v>
      </c>
      <c r="AC477" s="104">
        <f>('Renewable Diesel'!G486*'RD Feedstock Breakdown'!AC$3*'Feedstock Conversion Rates'!B$5)/12</f>
        <v>11.796875</v>
      </c>
      <c r="AD477" s="104">
        <f>('Renewable Diesel'!G486*'RD Feedstock Breakdown'!AD$3*'Feedstock Conversion Rates'!B$4)/12</f>
        <v>5.859375</v>
      </c>
      <c r="AE477" s="104">
        <f>('Renewable Diesel'!G486*'RD Feedstock Breakdown'!AE$3*'Feedstock Conversion Rates'!B$6)/12</f>
        <v>7.3281250000000009</v>
      </c>
      <c r="AF477" s="106">
        <f t="shared" si="511"/>
        <v>24.984375</v>
      </c>
      <c r="AG477" s="104">
        <f t="shared" si="459"/>
        <v>148</v>
      </c>
      <c r="AH477" s="104"/>
      <c r="AI477" s="104">
        <f>('Renewable Diesel'!H486*'RD Feedstock Breakdown'!AI$3*'Feedstock Conversion Rates'!B$6)/12-130-20+51-49</f>
        <v>0.51666666666667993</v>
      </c>
      <c r="AJ477" s="106">
        <f t="shared" si="480"/>
        <v>148.51666666666668</v>
      </c>
      <c r="AK477" s="104">
        <f>('Renewable Diesel'!J486*'RD Feedstock Breakdown'!AK$3*'Feedstock Conversion Rates'!B$4)/12</f>
        <v>95.8125</v>
      </c>
      <c r="AL477" s="106">
        <f t="shared" si="482"/>
        <v>95.8125</v>
      </c>
      <c r="AM477" s="104">
        <f>('Renewable Diesel'!K486*'RD Feedstock Breakdown'!AM$3*'Feedstock Conversion Rates'!B$4)/12+5+15-10+10</f>
        <v>78.59375</v>
      </c>
      <c r="AN477" s="104">
        <f>('Renewable Diesel'!K486*'RD Feedstock Breakdown'!AN$3*'Feedstock Conversion Rates'!B$6)/12-5-15+10-10</f>
        <v>4.4270833333333321</v>
      </c>
      <c r="AO477" s="106">
        <f t="shared" si="496"/>
        <v>83.020833333333329</v>
      </c>
      <c r="AP477" s="104">
        <f>('Renewable Diesel'!L486*'RD Feedstock Breakdown'!AP$3*'Feedstock Conversion Rates'!B$4)/12+15-10+15</f>
        <v>78.59375</v>
      </c>
      <c r="AQ477" s="104">
        <f>('Renewable Diesel'!L486*'RD Feedstock Breakdown'!AQ$3*'Feedstock Conversion Rates'!B$6)/12-15+10-15</f>
        <v>4.4270833333333321</v>
      </c>
      <c r="AR477" s="106">
        <f t="shared" si="486"/>
        <v>83.020833333333329</v>
      </c>
      <c r="AS477" s="104">
        <f>('Renewable Diesel'!M486*'RD Feedstock Breakdown'!AS$3*'Feedstock Conversion Rates'!B$4)/12</f>
        <v>456.25</v>
      </c>
      <c r="AT477" s="104">
        <f>('Renewable Diesel'!M486*'RD Feedstock Breakdown'!AT$3*'Feedstock Conversion Rates'!B$5)/12</f>
        <v>0</v>
      </c>
      <c r="AU477" s="106">
        <f t="shared" si="514"/>
        <v>456.25</v>
      </c>
      <c r="AV477" s="104">
        <f>'Renewable Diesel'!N486*'RD Feedstock Breakdown'!$AV$3*'Feedstock Conversion Rates'!$B$4/12-15-10+25+25-22+25</f>
        <v>106.74999999999999</v>
      </c>
      <c r="AW477" s="104">
        <f>'Renewable Diesel'!N486*'RD Feedstock Breakdown'!$AW$3*'Feedstock Conversion Rates'!$B$7/12+15+10-25-25+22-25</f>
        <v>13.400000000000006</v>
      </c>
      <c r="AX477" s="106">
        <f t="shared" si="475"/>
        <v>120.14999999999999</v>
      </c>
      <c r="AY477" s="104">
        <f>('Renewable Diesel'!O486*'RD Feedstock Breakdown'!AY$3*'Feedstock Conversion Rates'!B$4)/12</f>
        <v>210.9375</v>
      </c>
      <c r="AZ477" s="104">
        <f>('Renewable Diesel'!O486*'RD Feedstock Breakdown'!AZ$3*'Feedstock Conversion Rates'!B$3)/12</f>
        <v>25.03125</v>
      </c>
      <c r="BA477" s="106">
        <f t="shared" si="458"/>
        <v>235.96875</v>
      </c>
      <c r="BB477" s="104">
        <f>('Renewable Diesel'!Q486*'RD Feedstock Breakdown'!BB$3*'Feedstock Conversion Rates'!B$4)/12</f>
        <v>11.156249999999998</v>
      </c>
      <c r="BC477" s="104">
        <f>('Renewable Diesel'!Q486*'RD Feedstock Breakdown'!BC$3*'Feedstock Conversion Rates'!B$3)/12</f>
        <v>1.4017500000000001</v>
      </c>
      <c r="BD477" s="104">
        <f>('Renewable Diesel'!Q486*'RD Feedstock Breakdown'!BD$3*'Feedstock Conversion Rates'!B$6)/12</f>
        <v>0.8207500000000002</v>
      </c>
      <c r="BE477" s="106">
        <f t="shared" si="505"/>
        <v>13.378749999999998</v>
      </c>
      <c r="BF477" s="104">
        <f>('Renewable Diesel'!R486*'RD Feedstock Breakdown'!BF$3*'Feedstock Conversion Rates'!B$4)/12</f>
        <v>62.5</v>
      </c>
      <c r="BG477" s="106">
        <f t="shared" si="490"/>
        <v>62.5</v>
      </c>
      <c r="BH477" s="104">
        <f>('Renewable Diesel'!T486*'RD Feedstock Breakdown'!BH$3*'Feedstock Conversion Rates'!B$7)/12</f>
        <v>27.599999999999998</v>
      </c>
      <c r="BI477" s="106">
        <f t="shared" si="479"/>
        <v>27.599999999999998</v>
      </c>
      <c r="BJ477" s="104">
        <f>('Renewable Diesel'!W486*'RD Feedstock Breakdown'!BJ$3*'Feedstock Conversion Rates'!B$4)/12</f>
        <v>7.5</v>
      </c>
      <c r="BK477" s="104">
        <f>('Renewable Diesel'!W486*'RD Feedstock Breakdown'!BK$3*'Feedstock Conversion Rates'!B$3)/12</f>
        <v>1.335</v>
      </c>
      <c r="BL477" s="104">
        <f>('Renewable Diesel'!W486*'RD Feedstock Breakdown'!BL$3*'Feedstock Conversion Rates'!B$6)/12</f>
        <v>3.1266666666666669</v>
      </c>
      <c r="BM477" s="104">
        <f>('Renewable Diesel'!W486*'RD Feedstock Breakdown'!BM$3*'Feedstock Conversion Rates'!B$7)/12</f>
        <v>1.5333333333333332</v>
      </c>
      <c r="BN477" s="106">
        <f t="shared" si="518"/>
        <v>13.495000000000001</v>
      </c>
      <c r="BO477" s="104">
        <f>('Renewable Diesel'!P486*'Feedstock Conversion Rates'!B$4)/12</f>
        <v>31.25</v>
      </c>
      <c r="BP477" s="106">
        <f t="shared" si="512"/>
        <v>31.25</v>
      </c>
      <c r="BQ477" s="104">
        <f>('Renewable Diesel'!$S486*'RD Feedstock Breakdown'!BQ$3*'Feedstock Conversion Rates'!B$4)/12+10+15-15</f>
        <v>38.125</v>
      </c>
      <c r="BR477" s="104">
        <f>('Renewable Diesel'!$S486*'RD Feedstock Breakdown'!BR$3*'Feedstock Conversion Rates'!B$7)/12-10-15+15</f>
        <v>1.5</v>
      </c>
      <c r="BS477" s="106">
        <f t="shared" si="460"/>
        <v>39.625</v>
      </c>
      <c r="BT477" s="106"/>
      <c r="BU477" s="104">
        <f>('Renewable Diesel'!Y486*'Feedstock Conversion Rates'!B$7)/12</f>
        <v>2.6833333333333331</v>
      </c>
      <c r="BV477" s="106">
        <f t="shared" si="507"/>
        <v>2.6833333333333331</v>
      </c>
      <c r="BW477" s="104">
        <f>('Renewable Diesel'!$Z486*'RD Feedstock Breakdown'!BW$3*'Feedstock Conversion Rates'!$B$4)/12-250+180</f>
        <v>1.875</v>
      </c>
      <c r="BX477" s="104">
        <f>('Renewable Diesel'!$Z486*'RD Feedstock Breakdown'!BX$3*'Feedstock Conversion Rates'!$B$5)/12</f>
        <v>7.2354166666666666</v>
      </c>
      <c r="BY477" s="104">
        <f>('Renewable Diesel'!$Z486*'RD Feedstock Breakdown'!BY$3*'Feedstock Conversion Rates'!$B$7)/12</f>
        <v>61.716666666666661</v>
      </c>
      <c r="BZ477" s="104">
        <f>('Renewable Diesel'!$Z486*'RD Feedstock Breakdown'!BZ$3*'Feedstock Conversion Rates'!$B$3)/12+250-180</f>
        <v>85.35250000000002</v>
      </c>
      <c r="CA477" s="106">
        <f t="shared" si="464"/>
        <v>156.17958333333334</v>
      </c>
      <c r="CB477" s="104">
        <f>('Renewable Diesel'!AA486*'Feedstock Conversion Rates'!B$4)/12</f>
        <v>191.25</v>
      </c>
      <c r="CC477" s="106">
        <f t="shared" si="520"/>
        <v>191.25</v>
      </c>
      <c r="CD477" s="104">
        <f>('Renewable Diesel'!$AB486*'RD Feedstock Breakdown'!CD$3*'Feedstock Conversion Rates'!$B$6)/12-15-5</f>
        <v>12.830000000000005</v>
      </c>
      <c r="CE477" s="104">
        <f>('Renewable Diesel'!$AB486*'RD Feedstock Breakdown'!CE$3*'Feedstock Conversion Rates'!$B$4)/12+15+5</f>
        <v>31.25</v>
      </c>
      <c r="CF477" s="106">
        <f t="shared" si="516"/>
        <v>44.080000000000005</v>
      </c>
      <c r="CG477" s="104">
        <f>('Renewable Diesel'!AD486*'Feedstock Conversion Rates'!B$4)/12</f>
        <v>112.5</v>
      </c>
      <c r="CH477" s="106">
        <f t="shared" si="504"/>
        <v>112.5</v>
      </c>
      <c r="CI477" s="104">
        <f>('Renewable Diesel'!$AE486*'RD Feedstock Breakdown'!CI$3*'Feedstock Conversion Rates'!$B$5)/12</f>
        <v>0.34604166666666664</v>
      </c>
      <c r="CJ477" s="104">
        <f>('Renewable Diesel'!$AE486*'RD Feedstock Breakdown'!CJ$3*'Feedstock Conversion Rates'!$B$4)/12</f>
        <v>0.34375</v>
      </c>
      <c r="CK477" s="106">
        <f t="shared" si="513"/>
        <v>0.68979166666666658</v>
      </c>
      <c r="CL477" s="104">
        <f>(((CL$3*'Renewable Diesel'!$AF486)*'Feedstock Conversion Rates'!$B$3)/12)</f>
        <v>91.78125</v>
      </c>
      <c r="CM477" s="104">
        <f>(((CM$3*'Renewable Diesel'!$AF486)*'Feedstock Conversion Rates'!$B$6)/12)</f>
        <v>53.739583333333336</v>
      </c>
      <c r="CN477" s="104">
        <f>(((CN$3*'Renewable Diesel'!$AF486)*'Feedstock Conversion Rates'!$B$4)/12)</f>
        <v>42.96875</v>
      </c>
      <c r="CO477" s="106">
        <f t="shared" si="506"/>
        <v>188.48958333333334</v>
      </c>
      <c r="CP477" s="104">
        <f>('Renewable Diesel'!$AG486*'RD Feedstock Breakdown'!CP$3*'Feedstock Conversion Rates'!$B$3)/12</f>
        <v>6.0075000000000003</v>
      </c>
      <c r="CQ477" s="104">
        <f>('Renewable Diesel'!$AG486*'RD Feedstock Breakdown'!CQ$3*'Feedstock Conversion Rates'!$B$6)/12</f>
        <v>3.5175000000000001</v>
      </c>
      <c r="CR477" s="104">
        <f>('Renewable Diesel'!$AG486*'RD Feedstock Breakdown'!CR$3*'Feedstock Conversion Rates'!$B$4)/12</f>
        <v>2.8125</v>
      </c>
      <c r="CS477" s="106">
        <f t="shared" si="467"/>
        <v>12.3375</v>
      </c>
      <c r="CT477" s="104">
        <f>('Renewable Diesel'!AI486*'Feedstock Conversion Rates'!$B$4*'RD Feedstock Breakdown'!$CT$3)/12</f>
        <v>29.375</v>
      </c>
      <c r="CU477" s="106">
        <f t="shared" si="508"/>
        <v>29.375</v>
      </c>
      <c r="CV477" s="104">
        <f>('Renewable Diesel'!AN486*'Feedstock Conversion Rates'!$B$3*'RD Feedstock Breakdown'!$CV$3)/12</f>
        <v>0.50062499999999999</v>
      </c>
      <c r="CW477" s="106">
        <f t="shared" si="485"/>
        <v>0.50062499999999999</v>
      </c>
      <c r="CX477" s="104">
        <f>('Renewable Diesel'!AO486*'RD Feedstock Breakdown'!$CX$3*'Feedstock Conversion Rates'!$B$3)/12</f>
        <v>6.3412499999999996</v>
      </c>
      <c r="CY477" s="104">
        <f>('Renewable Diesel'!AO486*'RD Feedstock Breakdown'!$CY$3*'Feedstock Conversion Rates'!$B$6)/12</f>
        <v>7.4258333333333342</v>
      </c>
      <c r="CZ477" s="106">
        <f t="shared" si="468"/>
        <v>13.767083333333334</v>
      </c>
      <c r="DA477" s="104">
        <f>('Renewable Diesel'!$AP486*'RD Feedstock Breakdown'!DA$3*'Feedstock Conversion Rates'!$B$3)/12</f>
        <v>6.3412499999999996</v>
      </c>
      <c r="DB477" s="104">
        <f>('Renewable Diesel'!$AP486*'RD Feedstock Breakdown'!DB$3*'Feedstock Conversion Rates'!$B$8)/12</f>
        <v>7.421875</v>
      </c>
      <c r="DC477" s="106">
        <f t="shared" si="488"/>
        <v>13.763124999999999</v>
      </c>
      <c r="DD477" s="104">
        <f>('Renewable Diesel'!AQ486*$DD$3*'Feedstock Conversion Rates'!$B$14)/12</f>
        <v>3.1041666666666665</v>
      </c>
      <c r="DE477" s="106">
        <f t="shared" si="489"/>
        <v>3.1041666666666665</v>
      </c>
      <c r="DF477" s="104">
        <f>('Renewable Diesel'!AR486*'Feedstock Conversion Rates'!$B$4*$DF$3)/12</f>
        <v>75</v>
      </c>
      <c r="DG477" s="106">
        <f t="shared" si="469"/>
        <v>75</v>
      </c>
      <c r="DH477" s="104">
        <f>('Renewable Diesel'!AS486*'Feedstock Conversion Rates'!$B$4*$DH$3)/12</f>
        <v>75</v>
      </c>
      <c r="DI477" s="106">
        <f t="shared" si="478"/>
        <v>75</v>
      </c>
      <c r="DJ477" s="104">
        <f>('Renewable Diesel'!AT486*'Feedstock Conversion Rates'!$B$4*0.25)/12</f>
        <v>8.59375</v>
      </c>
      <c r="DK477" s="104">
        <f>('Renewable Diesel'!$AT486*'RD Feedstock Breakdown'!DK$3*'Feedstock Conversion Rates'!$B$3)/12*0.5</f>
        <v>9.1781249999999996</v>
      </c>
      <c r="DL477" s="104">
        <f>('Renewable Diesel'!$AT486*'RD Feedstock Breakdown'!$DL$3*'Feedstock Conversion Rates'!$B$6)/12</f>
        <v>10.747916666666669</v>
      </c>
      <c r="DM477" s="104">
        <f>('Renewable Diesel'!$AT486*'RD Feedstock Breakdown'!$DM$3*'Feedstock Conversion Rates'!$B$8)/12</f>
        <v>10.7421875</v>
      </c>
      <c r="DN477" s="106">
        <f t="shared" si="519"/>
        <v>39.26197916666667</v>
      </c>
      <c r="DP477" s="104">
        <f t="shared" si="491"/>
        <v>103.22025000000001</v>
      </c>
      <c r="DQ477" s="104">
        <f t="shared" si="492"/>
        <v>349.11776750000007</v>
      </c>
      <c r="DR477" s="104">
        <f t="shared" si="497"/>
        <v>1891.953125</v>
      </c>
      <c r="DS477" s="104">
        <f t="shared" si="510"/>
        <v>228.90125</v>
      </c>
      <c r="DT477" s="104">
        <f t="shared" si="493"/>
        <v>243.03923333333344</v>
      </c>
      <c r="DU477" s="104">
        <f t="shared" si="494"/>
        <v>402.90610000000009</v>
      </c>
      <c r="DV477" s="104">
        <f t="shared" si="498"/>
        <v>78.75</v>
      </c>
      <c r="DW477" s="104">
        <f t="shared" si="495"/>
        <v>3</v>
      </c>
      <c r="DX477" s="106">
        <f t="shared" si="499"/>
        <v>3300.8877258333337</v>
      </c>
      <c r="DY477" s="109">
        <f t="shared" si="487"/>
        <v>-5.631051180898794E-13</v>
      </c>
      <c r="EA477" s="110">
        <f t="shared" si="509"/>
        <v>3.1270451640078516E-2</v>
      </c>
      <c r="EB477" s="110">
        <f t="shared" ref="EB477:EB495" si="522">DQ477/$DX477</f>
        <v>0.10576481131658687</v>
      </c>
      <c r="EC477" s="110">
        <f t="shared" ref="EC477:EC495" si="523">DR477/$DX477</f>
        <v>0.57316494293133291</v>
      </c>
      <c r="ED477" s="110">
        <f t="shared" ref="ED477:ED495" si="524">DS477/$DX477</f>
        <v>6.9345360706629972E-2</v>
      </c>
      <c r="EE477" s="110">
        <f t="shared" si="521"/>
        <v>7.3628445896921982E-2</v>
      </c>
      <c r="EF477" s="110">
        <f t="shared" si="521"/>
        <v>0.1220599225010852</v>
      </c>
      <c r="EG477" s="110">
        <f t="shared" si="521"/>
        <v>2.3857218585075921E-2</v>
      </c>
      <c r="EH477" s="111">
        <f t="shared" si="500"/>
        <v>9.0884642228860647E-4</v>
      </c>
      <c r="EI477" s="110">
        <f t="shared" si="476"/>
        <v>0.99909115357771139</v>
      </c>
      <c r="EK477" s="132">
        <f>(EA477*'Renewable Diesel'!BF486*'Feedstock Conversion Rates'!B$2)+FB477</f>
        <v>630.29269077887341</v>
      </c>
      <c r="EL477" s="132">
        <f>(EB477*'Renewable Diesel'!BF486*'Feedstock Conversion Rates'!B$3)+FC477</f>
        <v>2008.9212207204187</v>
      </c>
      <c r="EM477" s="132">
        <f>(EC477*'Renewable Diesel'!BF486*'Feedstock Conversion Rates'!B$4)+FD477</f>
        <v>10193.658357767079</v>
      </c>
      <c r="EN477" s="132">
        <f>(ED477*'Renewable Diesel'!BF486*'Feedstock Conversion Rates'!B$5)+FE477</f>
        <v>1241.5195264242802</v>
      </c>
      <c r="EO477" s="132">
        <f>(EE477*'Renewable Diesel'!BF486*'Feedstock Conversion Rates'!B$6)+FF477</f>
        <v>1637.7124985281032</v>
      </c>
      <c r="EP477" s="132">
        <f>(EF477*'Renewable Diesel'!BF486*'Feedstock Conversion Rates'!B$7)+FG477</f>
        <v>2662.8708805651208</v>
      </c>
      <c r="EQ477" s="132">
        <f>(EG477*'Renewable Diesel'!BF486*'Feedstock Conversion Rates'!B$8)+FH477</f>
        <v>530.3716203818193</v>
      </c>
      <c r="ER477" s="132">
        <f>(EH477*'Renewable Diesel'!BF486*'Feedstock Conversion Rates'!B$9)+FI477</f>
        <v>19.93523804863727</v>
      </c>
      <c r="ES477" s="132">
        <f t="shared" si="501"/>
        <v>18925.282033214331</v>
      </c>
      <c r="ET477" s="133">
        <f>ES477/'Renewable Diesel'!BF486</f>
        <v>18.099877223382997</v>
      </c>
      <c r="EW477" s="73">
        <f t="shared" si="461"/>
        <v>17828.151161629296</v>
      </c>
      <c r="EX477" s="73">
        <f t="shared" si="462"/>
        <v>11677.536662524008</v>
      </c>
      <c r="EY477" s="92">
        <f t="shared" si="477"/>
        <v>0.94202829476149708</v>
      </c>
      <c r="EZ477" s="92">
        <f t="shared" si="477"/>
        <v>0.61703369292091115</v>
      </c>
      <c r="FB477" s="102">
        <f>IF('Renewable Diesel'!$BG486&lt;1,0,(((('Renewable Diesel'!$BG486-1)*'Renewable Diesel'!$BF486)*'RD Feedstock Breakdown'!EA477)*'Feedstock Conversion Rates'!$B$2))</f>
        <v>352.37268452853044</v>
      </c>
      <c r="FC477" s="102">
        <f>IF('Renewable Diesel'!$BG486&lt;1,0,(((('Renewable Diesel'!$BG486-1)*'Renewable Diesel'!$BF486)*'RD Feedstock Breakdown'!EB477)*'Feedstock Conversion Rates'!$B$3))</f>
        <v>1123.1114907533272</v>
      </c>
      <c r="FD477" s="102">
        <f>IF('Renewable Diesel'!$BG486&lt;1,0,(((('Renewable Diesel'!$BG486-1)*'Renewable Diesel'!$BF486)*'RD Feedstock Breakdown'!EC477)*'Feedstock Conversion Rates'!$B$4))</f>
        <v>5698.8869032486564</v>
      </c>
      <c r="FE477" s="102">
        <f>IF('Renewable Diesel'!$BG486&lt;1,0,(((('Renewable Diesel'!$BG486-1)*'Renewable Diesel'!$BF486)*'RD Feedstock Breakdown'!ED477)*'Feedstock Conversion Rates'!$B$5))</f>
        <v>694.08637418928026</v>
      </c>
      <c r="FF477" s="102">
        <f>IF('Renewable Diesel'!$BG486&lt;1,0,(((('Renewable Diesel'!$BG486-1)*'Renewable Diesel'!$BF486)*'RD Feedstock Breakdown'!EE477)*'Feedstock Conversion Rates'!$B$6))</f>
        <v>915.58280467944439</v>
      </c>
      <c r="FG477" s="102">
        <f>IF('Renewable Diesel'!$BG486&lt;1,0,(((('Renewable Diesel'!$BG486-1)*'Renewable Diesel'!$BF486)*'RD Feedstock Breakdown'!EF477)*'Feedstock Conversion Rates'!$B$7))</f>
        <v>1488.7098874303413</v>
      </c>
      <c r="FH477" s="102">
        <f>IF('Renewable Diesel'!$BG486&lt;1,0,(((('Renewable Diesel'!$BG486-1)*'Renewable Diesel'!$BF486)*'RD Feedstock Breakdown'!EG477)*'Feedstock Conversion Rates'!$B$8))</f>
        <v>296.51061230099958</v>
      </c>
      <c r="FI477" s="102">
        <f>IF('Renewable Diesel'!$BG486&lt;1,0,(((('Renewable Diesel'!$BG486-1)*'Renewable Diesel'!$BF486)*'RD Feedstock Breakdown'!EH477)*'Feedstock Conversion Rates'!$B$9))</f>
        <v>11.145033808393126</v>
      </c>
      <c r="FJ477" s="102">
        <f t="shared" si="463"/>
        <v>10580.40579093897</v>
      </c>
      <c r="GD477" s="91">
        <f>'Renewable Diesel'!BB486*0.32</f>
        <v>0</v>
      </c>
      <c r="GE477" s="91">
        <f>'Renewable Diesel'!BC486</f>
        <v>512.6316569578272</v>
      </c>
      <c r="GF477" s="91">
        <f>'Renewable Diesel'!BD486</f>
        <v>0</v>
      </c>
      <c r="GG477" s="91">
        <f t="shared" si="517"/>
        <v>512.6316569578272</v>
      </c>
      <c r="GH477" s="124">
        <v>1</v>
      </c>
      <c r="GI477" s="102">
        <f>$GG477*EA477*'Feedstock Conversion Rates'!$B$2</f>
        <v>136.25689922362096</v>
      </c>
      <c r="GJ477" s="102">
        <f>$GG477*EB477*'Feedstock Conversion Rates'!$B$3</f>
        <v>434.28930768916155</v>
      </c>
      <c r="GK477" s="102">
        <f>$GG477*EC477*'Feedstock Conversion Rates'!$B$4</f>
        <v>2203.6687080377073</v>
      </c>
      <c r="GL477" s="102">
        <f>$GG477*ED477*'Feedstock Conversion Rates'!$B$5</f>
        <v>268.39213506840332</v>
      </c>
      <c r="GM477" s="102">
        <f>$GG477*EE477*'Feedstock Conversion Rates'!$B$6</f>
        <v>354.04127341767986</v>
      </c>
      <c r="GN477" s="102">
        <f>$GG477*EF477*'Feedstock Conversion Rates'!$B$7</f>
        <v>575.6603789428525</v>
      </c>
      <c r="GO477" s="102">
        <f>$GG477*EG477*'Feedstock Conversion Rates'!$B$8</f>
        <v>114.65592650318005</v>
      </c>
      <c r="GP477" s="102">
        <f>$GG477*EH477*'Feedstock Conversion Rates'!B$9</f>
        <v>4.3096068882465142</v>
      </c>
      <c r="GQ477" s="102">
        <f t="shared" si="502"/>
        <v>4091.2742357708516</v>
      </c>
      <c r="GT477" s="103">
        <f t="shared" si="484"/>
        <v>3.3304269372191886E-2</v>
      </c>
      <c r="GU477" s="103">
        <f t="shared" si="484"/>
        <v>0.10615013383656387</v>
      </c>
      <c r="GV477" s="103">
        <f t="shared" si="484"/>
        <v>0.53862649654979833</v>
      </c>
      <c r="GW477" s="103">
        <f t="shared" si="484"/>
        <v>6.5601110950176761E-2</v>
      </c>
      <c r="GX477" s="103">
        <f t="shared" si="465"/>
        <v>8.6535698419388296E-2</v>
      </c>
      <c r="GY477" s="103">
        <f t="shared" si="465"/>
        <v>0.14070442257566984</v>
      </c>
      <c r="GZ477" s="103">
        <f t="shared" si="465"/>
        <v>2.802450285554552E-2</v>
      </c>
      <c r="HA477" s="103">
        <f t="shared" si="465"/>
        <v>1.053365440665584E-3</v>
      </c>
    </row>
    <row r="478" spans="1:209" x14ac:dyDescent="0.25">
      <c r="A478" s="96">
        <v>54970</v>
      </c>
      <c r="B478" s="104">
        <f t="shared" si="473"/>
        <v>44.25</v>
      </c>
      <c r="C478" s="104">
        <f t="shared" si="466"/>
        <v>49</v>
      </c>
      <c r="D478" s="104">
        <f t="shared" si="474"/>
        <v>2</v>
      </c>
      <c r="E478" s="104">
        <f>('Renewable Diesel'!B487*E$3*'Feedstock Conversion Rates'!$B$2)/12+26+13-100+27.5+39</f>
        <v>95.43</v>
      </c>
      <c r="F478" s="104">
        <f>('Renewable Diesel'!B487*'RD Feedstock Breakdown'!F$3*'Feedstock Conversion Rates'!B$8)/12+77+23-10-12-115.75+24+8</f>
        <v>48.15625</v>
      </c>
      <c r="G478" s="104">
        <f>('Renewable Diesel'!B487*'RD Feedstock Breakdown'!G$3*'Feedstock Conversion Rates'!B$7)/12+116.75-39-57.5-145-31.5+32+70-40+10+60</f>
        <v>151.90700000000004</v>
      </c>
      <c r="H478" s="104">
        <f>('Renewable Diesel'!B487*'RD Feedstock Breakdown'!H$3*'Feedstock Conversion Rates'!B$3)/12+67+10+12+3-235+20+47-20+25</f>
        <v>105.40022499999998</v>
      </c>
      <c r="I478" s="106">
        <f t="shared" si="515"/>
        <v>496.14347500000002</v>
      </c>
      <c r="J478" s="104">
        <f t="shared" si="483"/>
        <v>4</v>
      </c>
      <c r="K478" s="104"/>
      <c r="L478" s="104">
        <v>1</v>
      </c>
      <c r="M478" s="104">
        <f>('Renewable Diesel'!C487*'RD Feedstock Breakdown'!M$3*'Feedstock Conversion Rates'!B$2)/12</f>
        <v>7.7902500000000003</v>
      </c>
      <c r="N478" s="104">
        <f>('Renewable Diesel'!C487*'RD Feedstock Breakdown'!N$3*'Feedstock Conversion Rates'!B$8)/12</f>
        <v>3.671875</v>
      </c>
      <c r="O478" s="104">
        <f>('Renewable Diesel'!C487*'RD Feedstock Breakdown'!O$3*'Feedstock Conversion Rates'!B$7)/12</f>
        <v>11.9991</v>
      </c>
      <c r="P478" s="104">
        <f>('Renewable Diesel'!C487*'RD Feedstock Breakdown'!P$3*'Feedstock Conversion Rates'!B$3)/12</f>
        <v>10.4470425</v>
      </c>
      <c r="Q478" s="106">
        <f t="shared" si="455"/>
        <v>38.908267500000001</v>
      </c>
      <c r="R478" s="104">
        <f>('Renewable Diesel'!D487*'RD Feedstock Breakdown'!R$3*'Feedstock Conversion Rates'!B$7)/12</f>
        <v>2.2999999999999998</v>
      </c>
      <c r="S478" s="106">
        <f t="shared" si="481"/>
        <v>2.2999999999999998</v>
      </c>
      <c r="T478" s="104">
        <f t="shared" si="456"/>
        <v>0.82499999999999929</v>
      </c>
      <c r="U478" s="104"/>
      <c r="V478" s="104">
        <f>('Renewable Diesel'!E487*'RD Feedstock Breakdown'!V$3*'Feedstock Conversion Rates'!B$6)/12-20+25</f>
        <v>49.250150000000012</v>
      </c>
      <c r="W478" s="104">
        <f>('Renewable Diesel'!E487*'RD Feedstock Breakdown'!W$3*'Feedstock Conversion Rates'!B$8)/12-6</f>
        <v>16.1796875</v>
      </c>
      <c r="X478" s="106">
        <f t="shared" si="503"/>
        <v>66.254837500000008</v>
      </c>
      <c r="Y478" s="104">
        <f t="shared" si="457"/>
        <v>98</v>
      </c>
      <c r="Z478" s="104">
        <f>('Renewable Diesel'!F487*'RD Feedstock Breakdown'!Z$3*'Feedstock Conversion Rates'!B$6)/12-142+15+5+20+5+15</f>
        <v>77.460000000000008</v>
      </c>
      <c r="AA478" s="104">
        <f>('Renewable Diesel'!F487*'RD Feedstock Breakdown'!AA$3*'Feedstock Conversion Rates'!B$7)/12+24</f>
        <v>128.26666666666665</v>
      </c>
      <c r="AB478" s="106">
        <f t="shared" si="471"/>
        <v>303.72666666666669</v>
      </c>
      <c r="AC478" s="104">
        <f>('Renewable Diesel'!G487*'RD Feedstock Breakdown'!AC$3*'Feedstock Conversion Rates'!B$5)/12</f>
        <v>11.796875</v>
      </c>
      <c r="AD478" s="104">
        <f>('Renewable Diesel'!G487*'RD Feedstock Breakdown'!AD$3*'Feedstock Conversion Rates'!B$4)/12</f>
        <v>5.859375</v>
      </c>
      <c r="AE478" s="104">
        <f>('Renewable Diesel'!G487*'RD Feedstock Breakdown'!AE$3*'Feedstock Conversion Rates'!B$6)/12</f>
        <v>7.3281250000000009</v>
      </c>
      <c r="AF478" s="106">
        <f t="shared" si="511"/>
        <v>24.984375</v>
      </c>
      <c r="AG478" s="104">
        <f t="shared" si="459"/>
        <v>148</v>
      </c>
      <c r="AH478" s="104"/>
      <c r="AI478" s="104">
        <f>('Renewable Diesel'!H487*'RD Feedstock Breakdown'!AI$3*'Feedstock Conversion Rates'!B$6)/12-130-20+51-49</f>
        <v>0.51666666666667993</v>
      </c>
      <c r="AJ478" s="106">
        <f t="shared" si="480"/>
        <v>148.51666666666668</v>
      </c>
      <c r="AK478" s="104">
        <f>('Renewable Diesel'!J487*'RD Feedstock Breakdown'!AK$3*'Feedstock Conversion Rates'!B$4)/12</f>
        <v>95.8125</v>
      </c>
      <c r="AL478" s="106">
        <f t="shared" si="482"/>
        <v>95.8125</v>
      </c>
      <c r="AM478" s="104">
        <f>('Renewable Diesel'!K487*'RD Feedstock Breakdown'!AM$3*'Feedstock Conversion Rates'!B$4)/12+5+15-10+10</f>
        <v>78.59375</v>
      </c>
      <c r="AN478" s="104">
        <f>('Renewable Diesel'!K487*'RD Feedstock Breakdown'!AN$3*'Feedstock Conversion Rates'!B$6)/12-5-15+10-10</f>
        <v>4.4270833333333321</v>
      </c>
      <c r="AO478" s="106">
        <f t="shared" si="496"/>
        <v>83.020833333333329</v>
      </c>
      <c r="AP478" s="104">
        <f>('Renewable Diesel'!L487*'RD Feedstock Breakdown'!AP$3*'Feedstock Conversion Rates'!B$4)/12+15-10+15</f>
        <v>78.59375</v>
      </c>
      <c r="AQ478" s="104">
        <f>('Renewable Diesel'!L487*'RD Feedstock Breakdown'!AQ$3*'Feedstock Conversion Rates'!B$6)/12-15+10-15</f>
        <v>4.4270833333333321</v>
      </c>
      <c r="AR478" s="106">
        <f t="shared" si="486"/>
        <v>83.020833333333329</v>
      </c>
      <c r="AS478" s="104">
        <f>('Renewable Diesel'!M487*'RD Feedstock Breakdown'!AS$3*'Feedstock Conversion Rates'!B$4)/12</f>
        <v>456.25</v>
      </c>
      <c r="AT478" s="104">
        <f>('Renewable Diesel'!M487*'RD Feedstock Breakdown'!AT$3*'Feedstock Conversion Rates'!B$5)/12</f>
        <v>0</v>
      </c>
      <c r="AU478" s="106">
        <f t="shared" si="514"/>
        <v>456.25</v>
      </c>
      <c r="AV478" s="104">
        <f>'Renewable Diesel'!N487*'RD Feedstock Breakdown'!$AV$3*'Feedstock Conversion Rates'!$B$4/12-15-10+25+25-22+25</f>
        <v>106.74999999999999</v>
      </c>
      <c r="AW478" s="104">
        <f>'Renewable Diesel'!N487*'RD Feedstock Breakdown'!$AW$3*'Feedstock Conversion Rates'!$B$7/12+15+10-25-25+22-25</f>
        <v>13.400000000000006</v>
      </c>
      <c r="AX478" s="106">
        <f t="shared" si="475"/>
        <v>120.14999999999999</v>
      </c>
      <c r="AY478" s="104">
        <f>('Renewable Diesel'!O487*'RD Feedstock Breakdown'!AY$3*'Feedstock Conversion Rates'!B$4)/12</f>
        <v>210.9375</v>
      </c>
      <c r="AZ478" s="104">
        <f>('Renewable Diesel'!O487*'RD Feedstock Breakdown'!AZ$3*'Feedstock Conversion Rates'!B$3)/12</f>
        <v>25.03125</v>
      </c>
      <c r="BA478" s="106">
        <f t="shared" si="458"/>
        <v>235.96875</v>
      </c>
      <c r="BB478" s="104">
        <f>('Renewable Diesel'!Q487*'RD Feedstock Breakdown'!BB$3*'Feedstock Conversion Rates'!B$4)/12</f>
        <v>11.156249999999998</v>
      </c>
      <c r="BC478" s="104">
        <f>('Renewable Diesel'!Q487*'RD Feedstock Breakdown'!BC$3*'Feedstock Conversion Rates'!B$3)/12</f>
        <v>1.4017500000000001</v>
      </c>
      <c r="BD478" s="104">
        <f>('Renewable Diesel'!Q487*'RD Feedstock Breakdown'!BD$3*'Feedstock Conversion Rates'!B$6)/12</f>
        <v>0.8207500000000002</v>
      </c>
      <c r="BE478" s="106">
        <f t="shared" si="505"/>
        <v>13.378749999999998</v>
      </c>
      <c r="BF478" s="104">
        <f>('Renewable Diesel'!R487*'RD Feedstock Breakdown'!BF$3*'Feedstock Conversion Rates'!B$4)/12</f>
        <v>62.5</v>
      </c>
      <c r="BG478" s="106">
        <f t="shared" si="490"/>
        <v>62.5</v>
      </c>
      <c r="BH478" s="104">
        <f>('Renewable Diesel'!T487*'RD Feedstock Breakdown'!BH$3*'Feedstock Conversion Rates'!B$7)/12</f>
        <v>27.599999999999998</v>
      </c>
      <c r="BI478" s="106">
        <f t="shared" si="479"/>
        <v>27.599999999999998</v>
      </c>
      <c r="BJ478" s="104">
        <f>('Renewable Diesel'!W487*'RD Feedstock Breakdown'!BJ$3*'Feedstock Conversion Rates'!B$4)/12</f>
        <v>7.5</v>
      </c>
      <c r="BK478" s="104">
        <f>('Renewable Diesel'!W487*'RD Feedstock Breakdown'!BK$3*'Feedstock Conversion Rates'!B$3)/12</f>
        <v>1.335</v>
      </c>
      <c r="BL478" s="104">
        <f>('Renewable Diesel'!W487*'RD Feedstock Breakdown'!BL$3*'Feedstock Conversion Rates'!B$6)/12</f>
        <v>3.1266666666666669</v>
      </c>
      <c r="BM478" s="104">
        <f>('Renewable Diesel'!W487*'RD Feedstock Breakdown'!BM$3*'Feedstock Conversion Rates'!B$7)/12</f>
        <v>1.5333333333333332</v>
      </c>
      <c r="BN478" s="106">
        <f t="shared" si="518"/>
        <v>13.495000000000001</v>
      </c>
      <c r="BO478" s="104">
        <f>('Renewable Diesel'!P487*'Feedstock Conversion Rates'!B$4)/12</f>
        <v>31.25</v>
      </c>
      <c r="BP478" s="106">
        <f t="shared" si="512"/>
        <v>31.25</v>
      </c>
      <c r="BQ478" s="104">
        <f>('Renewable Diesel'!$S487*'RD Feedstock Breakdown'!BQ$3*'Feedstock Conversion Rates'!B$4)/12+10+15-15</f>
        <v>38.125</v>
      </c>
      <c r="BR478" s="104">
        <f>('Renewable Diesel'!$S487*'RD Feedstock Breakdown'!BR$3*'Feedstock Conversion Rates'!B$7)/12-10-15+15</f>
        <v>1.5</v>
      </c>
      <c r="BS478" s="106">
        <f t="shared" si="460"/>
        <v>39.625</v>
      </c>
      <c r="BT478" s="106"/>
      <c r="BU478" s="104">
        <f>('Renewable Diesel'!Y487*'Feedstock Conversion Rates'!B$7)/12</f>
        <v>2.6833333333333331</v>
      </c>
      <c r="BV478" s="106">
        <f t="shared" si="507"/>
        <v>2.6833333333333331</v>
      </c>
      <c r="BW478" s="104">
        <f>('Renewable Diesel'!$Z487*'RD Feedstock Breakdown'!BW$3*'Feedstock Conversion Rates'!$B$4)/12-250+180</f>
        <v>1.875</v>
      </c>
      <c r="BX478" s="104">
        <f>('Renewable Diesel'!$Z487*'RD Feedstock Breakdown'!BX$3*'Feedstock Conversion Rates'!$B$5)/12</f>
        <v>7.2354166666666666</v>
      </c>
      <c r="BY478" s="104">
        <f>('Renewable Diesel'!$Z487*'RD Feedstock Breakdown'!BY$3*'Feedstock Conversion Rates'!$B$7)/12</f>
        <v>61.716666666666661</v>
      </c>
      <c r="BZ478" s="104">
        <f>('Renewable Diesel'!$Z487*'RD Feedstock Breakdown'!BZ$3*'Feedstock Conversion Rates'!$B$3)/12+250-180</f>
        <v>85.35250000000002</v>
      </c>
      <c r="CA478" s="106">
        <f t="shared" si="464"/>
        <v>156.17958333333334</v>
      </c>
      <c r="CB478" s="104">
        <f>('Renewable Diesel'!AA487*'Feedstock Conversion Rates'!B$4)/12</f>
        <v>191.25</v>
      </c>
      <c r="CC478" s="106">
        <f t="shared" si="520"/>
        <v>191.25</v>
      </c>
      <c r="CD478" s="104">
        <f>('Renewable Diesel'!$AB487*'RD Feedstock Breakdown'!CD$3*'Feedstock Conversion Rates'!$B$6)/12-15-5</f>
        <v>12.830000000000005</v>
      </c>
      <c r="CE478" s="104">
        <f>('Renewable Diesel'!$AB487*'RD Feedstock Breakdown'!CE$3*'Feedstock Conversion Rates'!$B$4)/12+15+5</f>
        <v>31.25</v>
      </c>
      <c r="CF478" s="106">
        <f t="shared" si="516"/>
        <v>44.080000000000005</v>
      </c>
      <c r="CG478" s="104">
        <f>('Renewable Diesel'!AD487*'Feedstock Conversion Rates'!B$4)/12</f>
        <v>112.5</v>
      </c>
      <c r="CH478" s="106">
        <f t="shared" si="504"/>
        <v>112.5</v>
      </c>
      <c r="CI478" s="104">
        <f>('Renewable Diesel'!$AE487*'RD Feedstock Breakdown'!CI$3*'Feedstock Conversion Rates'!$B$5)/12</f>
        <v>0.34604166666666664</v>
      </c>
      <c r="CJ478" s="104">
        <f>('Renewable Diesel'!$AE487*'RD Feedstock Breakdown'!CJ$3*'Feedstock Conversion Rates'!$B$4)/12</f>
        <v>0.34375</v>
      </c>
      <c r="CK478" s="106">
        <f t="shared" si="513"/>
        <v>0.68979166666666658</v>
      </c>
      <c r="CL478" s="104">
        <f>(((CL$3*'Renewable Diesel'!$AF487)*'Feedstock Conversion Rates'!$B$3)/12)</f>
        <v>91.78125</v>
      </c>
      <c r="CM478" s="104">
        <f>(((CM$3*'Renewable Diesel'!$AF487)*'Feedstock Conversion Rates'!$B$6)/12)</f>
        <v>53.739583333333336</v>
      </c>
      <c r="CN478" s="104">
        <f>(((CN$3*'Renewable Diesel'!$AF487)*'Feedstock Conversion Rates'!$B$4)/12)</f>
        <v>42.96875</v>
      </c>
      <c r="CO478" s="106">
        <f t="shared" si="506"/>
        <v>188.48958333333334</v>
      </c>
      <c r="CP478" s="104">
        <f>('Renewable Diesel'!$AG487*'RD Feedstock Breakdown'!CP$3*'Feedstock Conversion Rates'!$B$3)/12</f>
        <v>6.0075000000000003</v>
      </c>
      <c r="CQ478" s="104">
        <f>('Renewable Diesel'!$AG487*'RD Feedstock Breakdown'!CQ$3*'Feedstock Conversion Rates'!$B$6)/12</f>
        <v>3.5175000000000001</v>
      </c>
      <c r="CR478" s="104">
        <f>('Renewable Diesel'!$AG487*'RD Feedstock Breakdown'!CR$3*'Feedstock Conversion Rates'!$B$4)/12</f>
        <v>2.8125</v>
      </c>
      <c r="CS478" s="106">
        <f t="shared" si="467"/>
        <v>12.3375</v>
      </c>
      <c r="CT478" s="104">
        <f>('Renewable Diesel'!AI487*'Feedstock Conversion Rates'!$B$4*'RD Feedstock Breakdown'!$CT$3)/12</f>
        <v>29.375</v>
      </c>
      <c r="CU478" s="106">
        <f t="shared" si="508"/>
        <v>29.375</v>
      </c>
      <c r="CV478" s="104">
        <f>('Renewable Diesel'!AN487*'Feedstock Conversion Rates'!$B$3*'RD Feedstock Breakdown'!$CV$3)/12</f>
        <v>0.50062499999999999</v>
      </c>
      <c r="CW478" s="106">
        <f t="shared" si="485"/>
        <v>0.50062499999999999</v>
      </c>
      <c r="CX478" s="104">
        <f>('Renewable Diesel'!AO487*'RD Feedstock Breakdown'!$CX$3*'Feedstock Conversion Rates'!$B$3)/12</f>
        <v>6.3412499999999996</v>
      </c>
      <c r="CY478" s="104">
        <f>('Renewable Diesel'!AO487*'RD Feedstock Breakdown'!$CY$3*'Feedstock Conversion Rates'!$B$6)/12</f>
        <v>7.4258333333333342</v>
      </c>
      <c r="CZ478" s="106">
        <f t="shared" si="468"/>
        <v>13.767083333333334</v>
      </c>
      <c r="DA478" s="104">
        <f>('Renewable Diesel'!$AP487*'RD Feedstock Breakdown'!DA$3*'Feedstock Conversion Rates'!$B$3)/12</f>
        <v>6.3412499999999996</v>
      </c>
      <c r="DB478" s="104">
        <f>('Renewable Diesel'!$AP487*'RD Feedstock Breakdown'!DB$3*'Feedstock Conversion Rates'!$B$8)/12</f>
        <v>7.421875</v>
      </c>
      <c r="DC478" s="106">
        <f t="shared" si="488"/>
        <v>13.763124999999999</v>
      </c>
      <c r="DD478" s="104">
        <f>('Renewable Diesel'!AQ487*$DD$3*'Feedstock Conversion Rates'!$B$14)/12</f>
        <v>3.1041666666666665</v>
      </c>
      <c r="DE478" s="106">
        <f t="shared" si="489"/>
        <v>3.1041666666666665</v>
      </c>
      <c r="DF478" s="104">
        <f>('Renewable Diesel'!AR487*'Feedstock Conversion Rates'!$B$4*$DF$3)/12</f>
        <v>75</v>
      </c>
      <c r="DG478" s="106">
        <f t="shared" si="469"/>
        <v>75</v>
      </c>
      <c r="DH478" s="104">
        <f>('Renewable Diesel'!AS487*'Feedstock Conversion Rates'!$B$4*$DH$3)/12</f>
        <v>75</v>
      </c>
      <c r="DI478" s="106">
        <f t="shared" si="478"/>
        <v>75</v>
      </c>
      <c r="DJ478" s="104">
        <f>('Renewable Diesel'!AT487*'Feedstock Conversion Rates'!$B$4*0.25)/12</f>
        <v>8.59375</v>
      </c>
      <c r="DK478" s="104">
        <f>('Renewable Diesel'!$AT487*'RD Feedstock Breakdown'!DK$3*'Feedstock Conversion Rates'!$B$3)/12*0.5</f>
        <v>9.1781249999999996</v>
      </c>
      <c r="DL478" s="104">
        <f>('Renewable Diesel'!$AT487*'RD Feedstock Breakdown'!$DL$3*'Feedstock Conversion Rates'!$B$6)/12</f>
        <v>10.747916666666669</v>
      </c>
      <c r="DM478" s="104">
        <f>('Renewable Diesel'!$AT487*'RD Feedstock Breakdown'!$DM$3*'Feedstock Conversion Rates'!$B$8)/12</f>
        <v>10.7421875</v>
      </c>
      <c r="DN478" s="106">
        <f t="shared" si="519"/>
        <v>39.26197916666667</v>
      </c>
      <c r="DP478" s="104">
        <f t="shared" si="491"/>
        <v>103.22025000000001</v>
      </c>
      <c r="DQ478" s="104">
        <f t="shared" si="492"/>
        <v>349.11776750000007</v>
      </c>
      <c r="DR478" s="104">
        <f t="shared" si="497"/>
        <v>1891.953125</v>
      </c>
      <c r="DS478" s="104">
        <f t="shared" si="510"/>
        <v>228.90125</v>
      </c>
      <c r="DT478" s="104">
        <f t="shared" si="493"/>
        <v>243.03923333333344</v>
      </c>
      <c r="DU478" s="104">
        <f t="shared" si="494"/>
        <v>402.90610000000009</v>
      </c>
      <c r="DV478" s="104">
        <f t="shared" si="498"/>
        <v>78.75</v>
      </c>
      <c r="DW478" s="104">
        <f t="shared" si="495"/>
        <v>3</v>
      </c>
      <c r="DX478" s="106">
        <f t="shared" si="499"/>
        <v>3300.8877258333337</v>
      </c>
      <c r="DY478" s="109">
        <f t="shared" si="487"/>
        <v>-5.631051180898794E-13</v>
      </c>
      <c r="EA478" s="110">
        <f t="shared" si="509"/>
        <v>3.1270451640078516E-2</v>
      </c>
      <c r="EB478" s="110">
        <f t="shared" si="522"/>
        <v>0.10576481131658687</v>
      </c>
      <c r="EC478" s="110">
        <f t="shared" si="523"/>
        <v>0.57316494293133291</v>
      </c>
      <c r="ED478" s="110">
        <f t="shared" si="524"/>
        <v>6.9345360706629972E-2</v>
      </c>
      <c r="EE478" s="110">
        <f t="shared" si="521"/>
        <v>7.3628445896921982E-2</v>
      </c>
      <c r="EF478" s="110">
        <f t="shared" si="521"/>
        <v>0.1220599225010852</v>
      </c>
      <c r="EG478" s="110">
        <f t="shared" si="521"/>
        <v>2.3857218585075921E-2</v>
      </c>
      <c r="EH478" s="111">
        <f t="shared" si="500"/>
        <v>9.0884642228860647E-4</v>
      </c>
      <c r="EI478" s="110">
        <f t="shared" si="476"/>
        <v>0.99909115357771139</v>
      </c>
      <c r="EK478" s="132">
        <f>(EA478*'Renewable Diesel'!BF487*'Feedstock Conversion Rates'!B$2)+FB478</f>
        <v>694.4071289313315</v>
      </c>
      <c r="EL478" s="132">
        <f>(EB478*'Renewable Diesel'!BF487*'Feedstock Conversion Rates'!B$3)+FC478</f>
        <v>2213.2720838089253</v>
      </c>
      <c r="EM478" s="132">
        <f>(EC478*'Renewable Diesel'!BF487*'Feedstock Conversion Rates'!B$4)+FD478</f>
        <v>11230.57452050842</v>
      </c>
      <c r="EN478" s="132">
        <f>(ED478*'Renewable Diesel'!BF487*'Feedstock Conversion Rates'!B$5)+FE478</f>
        <v>1367.8089917100588</v>
      </c>
      <c r="EO478" s="132">
        <f>(EE478*'Renewable Diesel'!BF487*'Feedstock Conversion Rates'!B$6)+FF478</f>
        <v>1804.3033827863903</v>
      </c>
      <c r="EP478" s="132">
        <f>(EF478*'Renewable Diesel'!BF487*'Feedstock Conversion Rates'!B$7)+FG478</f>
        <v>2933.7426086966962</v>
      </c>
      <c r="EQ478" s="132">
        <f>(EG478*'Renewable Diesel'!BF487*'Feedstock Conversion Rates'!B$8)+FH478</f>
        <v>584.32191831525824</v>
      </c>
      <c r="ER478" s="132">
        <f>(EH478*'Renewable Diesel'!BF487*'Feedstock Conversion Rates'!B$9)+FI478</f>
        <v>21.963084167786214</v>
      </c>
      <c r="ES478" s="132">
        <f t="shared" si="501"/>
        <v>20850.393718924865</v>
      </c>
      <c r="ET478" s="133">
        <f>ES478/'Renewable Diesel'!BF487</f>
        <v>19.312202136953339</v>
      </c>
      <c r="EW478" s="73">
        <f t="shared" si="461"/>
        <v>19990.383040595279</v>
      </c>
      <c r="EX478" s="73">
        <f t="shared" si="462"/>
        <v>13093.810386624293</v>
      </c>
      <c r="EY478" s="92">
        <f t="shared" si="477"/>
        <v>0.95875326433049579</v>
      </c>
      <c r="EZ478" s="92">
        <f t="shared" si="477"/>
        <v>0.62798863959771145</v>
      </c>
      <c r="FB478" s="102">
        <f>IF('Renewable Diesel'!$BG487&lt;1,0,(((('Renewable Diesel'!$BG487-1)*'Renewable Diesel'!$BF487)*'RD Feedstock Breakdown'!EA478)*'Feedstock Conversion Rates'!$B$2))</f>
        <v>407.43776093048933</v>
      </c>
      <c r="FC478" s="102">
        <f>IF('Renewable Diesel'!$BG487&lt;1,0,(((('Renewable Diesel'!$BG487-1)*'Renewable Diesel'!$BF487)*'RD Feedstock Breakdown'!EB478)*'Feedstock Conversion Rates'!$B$3))</f>
        <v>1298.6194763651988</v>
      </c>
      <c r="FD478" s="102">
        <f>IF('Renewable Diesel'!$BG487&lt;1,0,(((('Renewable Diesel'!$BG487-1)*'Renewable Diesel'!$BF487)*'RD Feedstock Breakdown'!EC478)*'Feedstock Conversion Rates'!$B$4))</f>
        <v>6589.44867637072</v>
      </c>
      <c r="FE478" s="102">
        <f>IF('Renewable Diesel'!$BG487&lt;1,0,(((('Renewable Diesel'!$BG487-1)*'Renewable Diesel'!$BF487)*'RD Feedstock Breakdown'!ED478)*'Feedstock Conversion Rates'!$B$5))</f>
        <v>802.55085200608085</v>
      </c>
      <c r="FF478" s="102">
        <f>IF('Renewable Diesel'!$BG487&lt;1,0,(((('Renewable Diesel'!$BG487-1)*'Renewable Diesel'!$BF487)*'RD Feedstock Breakdown'!EE478)*'Feedstock Conversion Rates'!$B$6))</f>
        <v>1058.660402080191</v>
      </c>
      <c r="FG478" s="102">
        <f>IF('Renewable Diesel'!$BG487&lt;1,0,(((('Renewable Diesel'!$BG487-1)*'Renewable Diesel'!$BF487)*'RD Feedstock Breakdown'!EF478)*'Feedstock Conversion Rates'!$B$7))</f>
        <v>1721.3497238620039</v>
      </c>
      <c r="FH478" s="102">
        <f>IF('Renewable Diesel'!$BG487&lt;1,0,(((('Renewable Diesel'!$BG487-1)*'Renewable Diesel'!$BF487)*'RD Feedstock Breakdown'!EG478)*'Feedstock Conversion Rates'!$B$8))</f>
        <v>342.84615485927685</v>
      </c>
      <c r="FI478" s="102">
        <f>IF('Renewable Diesel'!$BG487&lt;1,0,(((('Renewable Diesel'!$BG487-1)*'Renewable Diesel'!$BF487)*'RD Feedstock Breakdown'!EH478)*'Feedstock Conversion Rates'!$B$9))</f>
        <v>12.886661820742342</v>
      </c>
      <c r="FJ478" s="102">
        <f t="shared" si="463"/>
        <v>12233.799708294704</v>
      </c>
      <c r="GD478" s="91">
        <f>'Renewable Diesel'!BB487*0.32</f>
        <v>0</v>
      </c>
      <c r="GE478" s="91">
        <f>'Renewable Diesel'!BC487</f>
        <v>557.63184453683186</v>
      </c>
      <c r="GF478" s="91">
        <f>'Renewable Diesel'!BD487</f>
        <v>0</v>
      </c>
      <c r="GG478" s="91">
        <f t="shared" si="517"/>
        <v>557.63184453683186</v>
      </c>
      <c r="GH478" s="124">
        <v>1</v>
      </c>
      <c r="GI478" s="102">
        <f>$GG478*EA478*'Feedstock Conversion Rates'!$B$2</f>
        <v>148.21789683423265</v>
      </c>
      <c r="GJ478" s="102">
        <f>$GG478*EB478*'Feedstock Conversion Rates'!$B$3</f>
        <v>472.41239284068217</v>
      </c>
      <c r="GK478" s="102">
        <f>$GG478*EC478*'Feedstock Conversion Rates'!$B$4</f>
        <v>2397.1126826298537</v>
      </c>
      <c r="GL478" s="102">
        <f>$GG478*ED478*'Feedstock Conversion Rates'!$B$5</f>
        <v>291.95231957687059</v>
      </c>
      <c r="GM478" s="102">
        <f>$GG478*EE478*'Feedstock Conversion Rates'!$B$6</f>
        <v>385.11996997936319</v>
      </c>
      <c r="GN478" s="102">
        <f>$GG478*EF478*'Feedstock Conversion Rates'!$B$7</f>
        <v>626.1933975003866</v>
      </c>
      <c r="GO478" s="102">
        <f>$GG478*EG478*'Feedstock Conversion Rates'!$B$8</f>
        <v>124.72073254794631</v>
      </c>
      <c r="GP478" s="102">
        <f>$GG478*EH478*'Feedstock Conversion Rates'!B$9</f>
        <v>4.6879157884688389</v>
      </c>
      <c r="GQ478" s="102">
        <f t="shared" si="502"/>
        <v>4450.4173076978041</v>
      </c>
      <c r="GT478" s="103">
        <f t="shared" si="484"/>
        <v>3.3304269372191893E-2</v>
      </c>
      <c r="GU478" s="103">
        <f t="shared" si="484"/>
        <v>0.10615013383656388</v>
      </c>
      <c r="GV478" s="103">
        <f t="shared" si="484"/>
        <v>0.53862649654979833</v>
      </c>
      <c r="GW478" s="103">
        <f t="shared" si="484"/>
        <v>6.5601110950176761E-2</v>
      </c>
      <c r="GX478" s="103">
        <f t="shared" si="465"/>
        <v>8.6535698419388324E-2</v>
      </c>
      <c r="GY478" s="103">
        <f t="shared" si="465"/>
        <v>0.14070442257566984</v>
      </c>
      <c r="GZ478" s="103">
        <f t="shared" si="465"/>
        <v>2.802450285554552E-2</v>
      </c>
      <c r="HA478" s="103">
        <f t="shared" si="465"/>
        <v>1.053365440665584E-3</v>
      </c>
    </row>
    <row r="479" spans="1:209" x14ac:dyDescent="0.25">
      <c r="A479" s="96">
        <v>55001</v>
      </c>
      <c r="B479" s="104">
        <f t="shared" si="473"/>
        <v>44.25</v>
      </c>
      <c r="C479" s="104">
        <f t="shared" si="466"/>
        <v>49</v>
      </c>
      <c r="D479" s="104">
        <f t="shared" si="474"/>
        <v>2</v>
      </c>
      <c r="E479" s="104">
        <f>('Renewable Diesel'!B488*E$3*'Feedstock Conversion Rates'!$B$2)/12+26+13-100+27.5+39</f>
        <v>95.43</v>
      </c>
      <c r="F479" s="104">
        <f>('Renewable Diesel'!B488*'RD Feedstock Breakdown'!F$3*'Feedstock Conversion Rates'!B$8)/12+77+23-10-12-115.75+24+8</f>
        <v>48.15625</v>
      </c>
      <c r="G479" s="104">
        <f>('Renewable Diesel'!B488*'RD Feedstock Breakdown'!G$3*'Feedstock Conversion Rates'!B$7)/12+116.75-39-57.5-145-31.5+32+70-40+10+60</f>
        <v>151.90700000000004</v>
      </c>
      <c r="H479" s="104">
        <f>('Renewable Diesel'!B488*'RD Feedstock Breakdown'!H$3*'Feedstock Conversion Rates'!B$3)/12+67+10+12+3-235+20+47-20+25</f>
        <v>105.40022499999998</v>
      </c>
      <c r="I479" s="106">
        <f t="shared" si="515"/>
        <v>496.14347500000002</v>
      </c>
      <c r="J479" s="104">
        <f t="shared" si="483"/>
        <v>4</v>
      </c>
      <c r="K479" s="104"/>
      <c r="L479" s="104">
        <v>1</v>
      </c>
      <c r="M479" s="104">
        <f>('Renewable Diesel'!C488*'RD Feedstock Breakdown'!M$3*'Feedstock Conversion Rates'!B$2)/12</f>
        <v>7.7902500000000003</v>
      </c>
      <c r="N479" s="104">
        <f>('Renewable Diesel'!C488*'RD Feedstock Breakdown'!N$3*'Feedstock Conversion Rates'!B$8)/12</f>
        <v>3.671875</v>
      </c>
      <c r="O479" s="104">
        <f>('Renewable Diesel'!C488*'RD Feedstock Breakdown'!O$3*'Feedstock Conversion Rates'!B$7)/12</f>
        <v>11.9991</v>
      </c>
      <c r="P479" s="104">
        <f>('Renewable Diesel'!C488*'RD Feedstock Breakdown'!P$3*'Feedstock Conversion Rates'!B$3)/12</f>
        <v>10.4470425</v>
      </c>
      <c r="Q479" s="106">
        <f t="shared" si="455"/>
        <v>38.908267500000001</v>
      </c>
      <c r="R479" s="104">
        <f>('Renewable Diesel'!D488*'RD Feedstock Breakdown'!R$3*'Feedstock Conversion Rates'!B$7)/12</f>
        <v>2.2999999999999998</v>
      </c>
      <c r="S479" s="106">
        <f t="shared" si="481"/>
        <v>2.2999999999999998</v>
      </c>
      <c r="T479" s="104">
        <f t="shared" si="456"/>
        <v>0.82499999999999929</v>
      </c>
      <c r="U479" s="104"/>
      <c r="V479" s="104">
        <f>('Renewable Diesel'!E488*'RD Feedstock Breakdown'!V$3*'Feedstock Conversion Rates'!B$6)/12-20+25</f>
        <v>49.250150000000012</v>
      </c>
      <c r="W479" s="104">
        <f>('Renewable Diesel'!E488*'RD Feedstock Breakdown'!W$3*'Feedstock Conversion Rates'!B$8)/12-6</f>
        <v>16.1796875</v>
      </c>
      <c r="X479" s="106">
        <f t="shared" si="503"/>
        <v>66.254837500000008</v>
      </c>
      <c r="Y479" s="104">
        <f t="shared" si="457"/>
        <v>98</v>
      </c>
      <c r="Z479" s="104">
        <f>('Renewable Diesel'!F488*'RD Feedstock Breakdown'!Z$3*'Feedstock Conversion Rates'!B$6)/12-142+15+5+20+5+15</f>
        <v>77.460000000000008</v>
      </c>
      <c r="AA479" s="104">
        <f>('Renewable Diesel'!F488*'RD Feedstock Breakdown'!AA$3*'Feedstock Conversion Rates'!B$7)/12+24</f>
        <v>128.26666666666665</v>
      </c>
      <c r="AB479" s="106">
        <f t="shared" si="471"/>
        <v>303.72666666666669</v>
      </c>
      <c r="AC479" s="104">
        <f>('Renewable Diesel'!G488*'RD Feedstock Breakdown'!AC$3*'Feedstock Conversion Rates'!B$5)/12</f>
        <v>11.796875</v>
      </c>
      <c r="AD479" s="104">
        <f>('Renewable Diesel'!G488*'RD Feedstock Breakdown'!AD$3*'Feedstock Conversion Rates'!B$4)/12</f>
        <v>5.859375</v>
      </c>
      <c r="AE479" s="104">
        <f>('Renewable Diesel'!G488*'RD Feedstock Breakdown'!AE$3*'Feedstock Conversion Rates'!B$6)/12</f>
        <v>7.3281250000000009</v>
      </c>
      <c r="AF479" s="106">
        <f t="shared" si="511"/>
        <v>24.984375</v>
      </c>
      <c r="AG479" s="104">
        <f t="shared" si="459"/>
        <v>148</v>
      </c>
      <c r="AH479" s="104"/>
      <c r="AI479" s="104">
        <f>('Renewable Diesel'!H488*'RD Feedstock Breakdown'!AI$3*'Feedstock Conversion Rates'!B$6)/12-130-20+51-49</f>
        <v>0.51666666666667993</v>
      </c>
      <c r="AJ479" s="106">
        <f t="shared" si="480"/>
        <v>148.51666666666668</v>
      </c>
      <c r="AK479" s="104">
        <f>('Renewable Diesel'!J488*'RD Feedstock Breakdown'!AK$3*'Feedstock Conversion Rates'!B$4)/12</f>
        <v>95.8125</v>
      </c>
      <c r="AL479" s="106">
        <f t="shared" si="482"/>
        <v>95.8125</v>
      </c>
      <c r="AM479" s="104">
        <f>('Renewable Diesel'!K488*'RD Feedstock Breakdown'!AM$3*'Feedstock Conversion Rates'!B$4)/12+5+15-10+10</f>
        <v>78.59375</v>
      </c>
      <c r="AN479" s="104">
        <f>('Renewable Diesel'!K488*'RD Feedstock Breakdown'!AN$3*'Feedstock Conversion Rates'!B$6)/12-5-15+10-10</f>
        <v>4.4270833333333321</v>
      </c>
      <c r="AO479" s="106">
        <f t="shared" si="496"/>
        <v>83.020833333333329</v>
      </c>
      <c r="AP479" s="104">
        <f>('Renewable Diesel'!L488*'RD Feedstock Breakdown'!AP$3*'Feedstock Conversion Rates'!B$4)/12+15-10+15</f>
        <v>78.59375</v>
      </c>
      <c r="AQ479" s="104">
        <f>('Renewable Diesel'!L488*'RD Feedstock Breakdown'!AQ$3*'Feedstock Conversion Rates'!B$6)/12-15+10-15</f>
        <v>4.4270833333333321</v>
      </c>
      <c r="AR479" s="106">
        <f t="shared" si="486"/>
        <v>83.020833333333329</v>
      </c>
      <c r="AS479" s="104">
        <f>('Renewable Diesel'!M488*'RD Feedstock Breakdown'!AS$3*'Feedstock Conversion Rates'!B$4)/12</f>
        <v>456.25</v>
      </c>
      <c r="AT479" s="104">
        <f>('Renewable Diesel'!M488*'RD Feedstock Breakdown'!AT$3*'Feedstock Conversion Rates'!B$5)/12</f>
        <v>0</v>
      </c>
      <c r="AU479" s="106">
        <f t="shared" si="514"/>
        <v>456.25</v>
      </c>
      <c r="AV479" s="104">
        <f>'Renewable Diesel'!N488*'RD Feedstock Breakdown'!$AV$3*'Feedstock Conversion Rates'!$B$4/12-15-10+25+25-22+25</f>
        <v>106.74999999999999</v>
      </c>
      <c r="AW479" s="104">
        <f>'Renewable Diesel'!N488*'RD Feedstock Breakdown'!$AW$3*'Feedstock Conversion Rates'!$B$7/12+15+10-25-25+22-25</f>
        <v>13.400000000000006</v>
      </c>
      <c r="AX479" s="106">
        <f t="shared" si="475"/>
        <v>120.14999999999999</v>
      </c>
      <c r="AY479" s="104">
        <f>('Renewable Diesel'!O488*'RD Feedstock Breakdown'!AY$3*'Feedstock Conversion Rates'!B$4)/12</f>
        <v>210.9375</v>
      </c>
      <c r="AZ479" s="104">
        <f>('Renewable Diesel'!O488*'RD Feedstock Breakdown'!AZ$3*'Feedstock Conversion Rates'!B$3)/12</f>
        <v>25.03125</v>
      </c>
      <c r="BA479" s="106">
        <f t="shared" si="458"/>
        <v>235.96875</v>
      </c>
      <c r="BB479" s="104">
        <f>('Renewable Diesel'!Q488*'RD Feedstock Breakdown'!BB$3*'Feedstock Conversion Rates'!B$4)/12</f>
        <v>11.156249999999998</v>
      </c>
      <c r="BC479" s="104">
        <f>('Renewable Diesel'!Q488*'RD Feedstock Breakdown'!BC$3*'Feedstock Conversion Rates'!B$3)/12</f>
        <v>1.4017500000000001</v>
      </c>
      <c r="BD479" s="104">
        <f>('Renewable Diesel'!Q488*'RD Feedstock Breakdown'!BD$3*'Feedstock Conversion Rates'!B$6)/12</f>
        <v>0.8207500000000002</v>
      </c>
      <c r="BE479" s="106">
        <f t="shared" si="505"/>
        <v>13.378749999999998</v>
      </c>
      <c r="BF479" s="104">
        <f>('Renewable Diesel'!R488*'RD Feedstock Breakdown'!BF$3*'Feedstock Conversion Rates'!B$4)/12</f>
        <v>62.5</v>
      </c>
      <c r="BG479" s="106">
        <f t="shared" si="490"/>
        <v>62.5</v>
      </c>
      <c r="BH479" s="104">
        <f>('Renewable Diesel'!T488*'RD Feedstock Breakdown'!BH$3*'Feedstock Conversion Rates'!B$7)/12</f>
        <v>27.599999999999998</v>
      </c>
      <c r="BI479" s="106">
        <f t="shared" si="479"/>
        <v>27.599999999999998</v>
      </c>
      <c r="BJ479" s="104">
        <f>('Renewable Diesel'!W488*'RD Feedstock Breakdown'!BJ$3*'Feedstock Conversion Rates'!B$4)/12</f>
        <v>7.5</v>
      </c>
      <c r="BK479" s="104">
        <f>('Renewable Diesel'!W488*'RD Feedstock Breakdown'!BK$3*'Feedstock Conversion Rates'!B$3)/12</f>
        <v>1.335</v>
      </c>
      <c r="BL479" s="104">
        <f>('Renewable Diesel'!W488*'RD Feedstock Breakdown'!BL$3*'Feedstock Conversion Rates'!B$6)/12</f>
        <v>3.1266666666666669</v>
      </c>
      <c r="BM479" s="104">
        <f>('Renewable Diesel'!W488*'RD Feedstock Breakdown'!BM$3*'Feedstock Conversion Rates'!B$7)/12</f>
        <v>1.5333333333333332</v>
      </c>
      <c r="BN479" s="106">
        <f t="shared" si="518"/>
        <v>13.495000000000001</v>
      </c>
      <c r="BO479" s="104">
        <f>('Renewable Diesel'!P488*'Feedstock Conversion Rates'!B$4)/12</f>
        <v>31.25</v>
      </c>
      <c r="BP479" s="106">
        <f t="shared" si="512"/>
        <v>31.25</v>
      </c>
      <c r="BQ479" s="104">
        <f>('Renewable Diesel'!$S488*'RD Feedstock Breakdown'!BQ$3*'Feedstock Conversion Rates'!B$4)/12+10+15-15</f>
        <v>38.125</v>
      </c>
      <c r="BR479" s="104">
        <f>('Renewable Diesel'!$S488*'RD Feedstock Breakdown'!BR$3*'Feedstock Conversion Rates'!B$7)/12-10-15+15</f>
        <v>1.5</v>
      </c>
      <c r="BS479" s="106">
        <f t="shared" si="460"/>
        <v>39.625</v>
      </c>
      <c r="BT479" s="106"/>
      <c r="BU479" s="104">
        <f>('Renewable Diesel'!Y488*'Feedstock Conversion Rates'!B$7)/12</f>
        <v>2.6833333333333331</v>
      </c>
      <c r="BV479" s="106">
        <f t="shared" si="507"/>
        <v>2.6833333333333331</v>
      </c>
      <c r="BW479" s="104">
        <f>('Renewable Diesel'!$Z488*'RD Feedstock Breakdown'!BW$3*'Feedstock Conversion Rates'!$B$4)/12-250+180</f>
        <v>1.875</v>
      </c>
      <c r="BX479" s="104">
        <f>('Renewable Diesel'!$Z488*'RD Feedstock Breakdown'!BX$3*'Feedstock Conversion Rates'!$B$5)/12</f>
        <v>7.2354166666666666</v>
      </c>
      <c r="BY479" s="104">
        <f>('Renewable Diesel'!$Z488*'RD Feedstock Breakdown'!BY$3*'Feedstock Conversion Rates'!$B$7)/12</f>
        <v>61.716666666666661</v>
      </c>
      <c r="BZ479" s="104">
        <f>('Renewable Diesel'!$Z488*'RD Feedstock Breakdown'!BZ$3*'Feedstock Conversion Rates'!$B$3)/12+250-180</f>
        <v>85.35250000000002</v>
      </c>
      <c r="CA479" s="106">
        <f t="shared" si="464"/>
        <v>156.17958333333334</v>
      </c>
      <c r="CB479" s="104">
        <f>('Renewable Diesel'!AA488*'Feedstock Conversion Rates'!B$4)/12</f>
        <v>191.25</v>
      </c>
      <c r="CC479" s="106">
        <f t="shared" si="520"/>
        <v>191.25</v>
      </c>
      <c r="CD479" s="104">
        <f>('Renewable Diesel'!$AB488*'RD Feedstock Breakdown'!CD$3*'Feedstock Conversion Rates'!$B$6)/12-15-5</f>
        <v>12.830000000000005</v>
      </c>
      <c r="CE479" s="104">
        <f>('Renewable Diesel'!$AB488*'RD Feedstock Breakdown'!CE$3*'Feedstock Conversion Rates'!$B$4)/12+15+5</f>
        <v>31.25</v>
      </c>
      <c r="CF479" s="106">
        <f t="shared" si="516"/>
        <v>44.080000000000005</v>
      </c>
      <c r="CG479" s="104">
        <f>('Renewable Diesel'!AD488*'Feedstock Conversion Rates'!B$4)/12</f>
        <v>112.5</v>
      </c>
      <c r="CH479" s="106">
        <f t="shared" si="504"/>
        <v>112.5</v>
      </c>
      <c r="CI479" s="104">
        <f>('Renewable Diesel'!$AE488*'RD Feedstock Breakdown'!CI$3*'Feedstock Conversion Rates'!$B$5)/12</f>
        <v>0.34604166666666664</v>
      </c>
      <c r="CJ479" s="104">
        <f>('Renewable Diesel'!$AE488*'RD Feedstock Breakdown'!CJ$3*'Feedstock Conversion Rates'!$B$4)/12</f>
        <v>0.34375</v>
      </c>
      <c r="CK479" s="106">
        <f t="shared" si="513"/>
        <v>0.68979166666666658</v>
      </c>
      <c r="CL479" s="104">
        <f>(((CL$3*'Renewable Diesel'!$AF488)*'Feedstock Conversion Rates'!$B$3)/12)</f>
        <v>91.78125</v>
      </c>
      <c r="CM479" s="104">
        <f>(((CM$3*'Renewable Diesel'!$AF488)*'Feedstock Conversion Rates'!$B$6)/12)</f>
        <v>53.739583333333336</v>
      </c>
      <c r="CN479" s="104">
        <f>(((CN$3*'Renewable Diesel'!$AF488)*'Feedstock Conversion Rates'!$B$4)/12)</f>
        <v>42.96875</v>
      </c>
      <c r="CO479" s="106">
        <f t="shared" si="506"/>
        <v>188.48958333333334</v>
      </c>
      <c r="CP479" s="104">
        <f>('Renewable Diesel'!$AG488*'RD Feedstock Breakdown'!CP$3*'Feedstock Conversion Rates'!$B$3)/12</f>
        <v>6.0075000000000003</v>
      </c>
      <c r="CQ479" s="104">
        <f>('Renewable Diesel'!$AG488*'RD Feedstock Breakdown'!CQ$3*'Feedstock Conversion Rates'!$B$6)/12</f>
        <v>3.5175000000000001</v>
      </c>
      <c r="CR479" s="104">
        <f>('Renewable Diesel'!$AG488*'RD Feedstock Breakdown'!CR$3*'Feedstock Conversion Rates'!$B$4)/12</f>
        <v>2.8125</v>
      </c>
      <c r="CS479" s="106">
        <f t="shared" si="467"/>
        <v>12.3375</v>
      </c>
      <c r="CT479" s="104">
        <f>('Renewable Diesel'!AI488*'Feedstock Conversion Rates'!$B$4*'RD Feedstock Breakdown'!$CT$3)/12</f>
        <v>29.375</v>
      </c>
      <c r="CU479" s="106">
        <f t="shared" si="508"/>
        <v>29.375</v>
      </c>
      <c r="CV479" s="104">
        <f>('Renewable Diesel'!AN488*'Feedstock Conversion Rates'!$B$3*'RD Feedstock Breakdown'!$CV$3)/12</f>
        <v>0.50062499999999999</v>
      </c>
      <c r="CW479" s="106">
        <f t="shared" si="485"/>
        <v>0.50062499999999999</v>
      </c>
      <c r="CX479" s="104">
        <f>('Renewable Diesel'!AO488*'RD Feedstock Breakdown'!$CX$3*'Feedstock Conversion Rates'!$B$3)/12</f>
        <v>6.3412499999999996</v>
      </c>
      <c r="CY479" s="104">
        <f>('Renewable Diesel'!AO488*'RD Feedstock Breakdown'!$CY$3*'Feedstock Conversion Rates'!$B$6)/12</f>
        <v>7.4258333333333342</v>
      </c>
      <c r="CZ479" s="106">
        <f t="shared" si="468"/>
        <v>13.767083333333334</v>
      </c>
      <c r="DA479" s="104">
        <f>('Renewable Diesel'!$AP488*'RD Feedstock Breakdown'!DA$3*'Feedstock Conversion Rates'!$B$3)/12</f>
        <v>6.3412499999999996</v>
      </c>
      <c r="DB479" s="104">
        <f>('Renewable Diesel'!$AP488*'RD Feedstock Breakdown'!DB$3*'Feedstock Conversion Rates'!$B$8)/12</f>
        <v>7.421875</v>
      </c>
      <c r="DC479" s="106">
        <f t="shared" si="488"/>
        <v>13.763124999999999</v>
      </c>
      <c r="DD479" s="104">
        <f>('Renewable Diesel'!AQ488*$DD$3*'Feedstock Conversion Rates'!$B$14)/12</f>
        <v>3.1041666666666665</v>
      </c>
      <c r="DE479" s="106">
        <f t="shared" si="489"/>
        <v>3.1041666666666665</v>
      </c>
      <c r="DF479" s="104">
        <f>('Renewable Diesel'!AR488*'Feedstock Conversion Rates'!$B$4*$DF$3)/12</f>
        <v>75</v>
      </c>
      <c r="DG479" s="106">
        <f t="shared" si="469"/>
        <v>75</v>
      </c>
      <c r="DH479" s="104">
        <f>('Renewable Diesel'!AS488*'Feedstock Conversion Rates'!$B$4*$DH$3)/12</f>
        <v>75</v>
      </c>
      <c r="DI479" s="106">
        <f t="shared" si="478"/>
        <v>75</v>
      </c>
      <c r="DJ479" s="104">
        <f>('Renewable Diesel'!AT488*'Feedstock Conversion Rates'!$B$4*0.25)/12</f>
        <v>8.59375</v>
      </c>
      <c r="DK479" s="104">
        <f>('Renewable Diesel'!$AT488*'RD Feedstock Breakdown'!DK$3*'Feedstock Conversion Rates'!$B$3)/12*0.5</f>
        <v>9.1781249999999996</v>
      </c>
      <c r="DL479" s="104">
        <f>('Renewable Diesel'!$AT488*'RD Feedstock Breakdown'!$DL$3*'Feedstock Conversion Rates'!$B$6)/12</f>
        <v>10.747916666666669</v>
      </c>
      <c r="DM479" s="104">
        <f>('Renewable Diesel'!$AT488*'RD Feedstock Breakdown'!$DM$3*'Feedstock Conversion Rates'!$B$8)/12</f>
        <v>10.7421875</v>
      </c>
      <c r="DN479" s="106">
        <f t="shared" si="519"/>
        <v>39.26197916666667</v>
      </c>
      <c r="DP479" s="104">
        <f t="shared" si="491"/>
        <v>103.22025000000001</v>
      </c>
      <c r="DQ479" s="104">
        <f t="shared" si="492"/>
        <v>349.11776750000007</v>
      </c>
      <c r="DR479" s="104">
        <f t="shared" si="497"/>
        <v>1891.953125</v>
      </c>
      <c r="DS479" s="104">
        <f t="shared" si="510"/>
        <v>228.90125</v>
      </c>
      <c r="DT479" s="104">
        <f t="shared" si="493"/>
        <v>243.03923333333344</v>
      </c>
      <c r="DU479" s="104">
        <f t="shared" si="494"/>
        <v>402.90610000000009</v>
      </c>
      <c r="DV479" s="104">
        <f t="shared" si="498"/>
        <v>78.75</v>
      </c>
      <c r="DW479" s="104">
        <f t="shared" si="495"/>
        <v>3</v>
      </c>
      <c r="DX479" s="106">
        <f t="shared" si="499"/>
        <v>3300.8877258333337</v>
      </c>
      <c r="DY479" s="109">
        <f t="shared" si="487"/>
        <v>-5.631051180898794E-13</v>
      </c>
      <c r="EA479" s="110">
        <f t="shared" si="509"/>
        <v>3.1270451640078516E-2</v>
      </c>
      <c r="EB479" s="110">
        <f t="shared" si="522"/>
        <v>0.10576481131658687</v>
      </c>
      <c r="EC479" s="110">
        <f t="shared" si="523"/>
        <v>0.57316494293133291</v>
      </c>
      <c r="ED479" s="110">
        <f t="shared" si="524"/>
        <v>6.9345360706629972E-2</v>
      </c>
      <c r="EE479" s="110">
        <f t="shared" si="521"/>
        <v>7.3628445896921982E-2</v>
      </c>
      <c r="EF479" s="110">
        <f t="shared" si="521"/>
        <v>0.1220599225010852</v>
      </c>
      <c r="EG479" s="110">
        <f t="shared" si="521"/>
        <v>2.3857218585075921E-2</v>
      </c>
      <c r="EH479" s="111">
        <f t="shared" si="500"/>
        <v>9.0884642228860647E-4</v>
      </c>
      <c r="EI479" s="110">
        <f t="shared" si="476"/>
        <v>0.99909115357771139</v>
      </c>
      <c r="EK479" s="132">
        <f>(EA479*'Renewable Diesel'!BF488*'Feedstock Conversion Rates'!B$2)+FB479</f>
        <v>744.84622421129575</v>
      </c>
      <c r="EL479" s="132">
        <f>(EB479*'Renewable Diesel'!BF488*'Feedstock Conversion Rates'!B$3)+FC479</f>
        <v>2374.0357581213225</v>
      </c>
      <c r="EM479" s="132">
        <f>(EC479*'Renewable Diesel'!BF488*'Feedstock Conversion Rates'!B$4)+FD479</f>
        <v>12046.320780430065</v>
      </c>
      <c r="EN479" s="132">
        <f>(ED479*'Renewable Diesel'!BF488*'Feedstock Conversion Rates'!B$5)+FE479</f>
        <v>1467.1614395511838</v>
      </c>
      <c r="EO479" s="132">
        <f>(EE479*'Renewable Diesel'!BF488*'Feedstock Conversion Rates'!B$6)+FF479</f>
        <v>1935.3611246306909</v>
      </c>
      <c r="EP479" s="132">
        <f>(EF479*'Renewable Diesel'!BF488*'Feedstock Conversion Rates'!B$7)+FG479</f>
        <v>3146.83852433724</v>
      </c>
      <c r="EQ479" s="132">
        <f>(EG479*'Renewable Diesel'!BF488*'Feedstock Conversion Rates'!B$8)+FH479</f>
        <v>626.76484219110068</v>
      </c>
      <c r="ER479" s="132">
        <f>(EH479*'Renewable Diesel'!BF488*'Feedstock Conversion Rates'!B$9)+FI479</f>
        <v>23.558399147754386</v>
      </c>
      <c r="ES479" s="132">
        <f t="shared" si="501"/>
        <v>22364.887092620651</v>
      </c>
      <c r="ET479" s="133">
        <f>ES479/'Renewable Diesel'!BF488</f>
        <v>19.676044848916192</v>
      </c>
      <c r="EW479" s="73">
        <f t="shared" si="461"/>
        <v>21545.676210464277</v>
      </c>
      <c r="EX479" s="73">
        <f t="shared" si="462"/>
        <v>14112.535931828752</v>
      </c>
      <c r="EY479" s="92">
        <f t="shared" si="477"/>
        <v>0.96337066765578816</v>
      </c>
      <c r="EZ479" s="92">
        <f t="shared" si="477"/>
        <v>0.6310130640670758</v>
      </c>
      <c r="FB479" s="102">
        <f>IF('Renewable Diesel'!$BG488&lt;1,0,(((('Renewable Diesel'!$BG488-1)*'Renewable Diesel'!$BF488)*'RD Feedstock Breakdown'!EA479)*'Feedstock Conversion Rates'!$B$2))</f>
        <v>442.72447830639504</v>
      </c>
      <c r="FC479" s="102">
        <f>IF('Renewable Diesel'!$BG488&lt;1,0,(((('Renewable Diesel'!$BG488-1)*'Renewable Diesel'!$BF488)*'RD Feedstock Breakdown'!EB479)*'Feedstock Conversion Rates'!$B$3))</f>
        <v>1411.0882331556704</v>
      </c>
      <c r="FD479" s="102">
        <f>IF('Renewable Diesel'!$BG488&lt;1,0,(((('Renewable Diesel'!$BG488-1)*'Renewable Diesel'!$BF488)*'RD Feedstock Breakdown'!EC479)*'Feedstock Conversion Rates'!$B$4))</f>
        <v>7160.1370990027062</v>
      </c>
      <c r="FE479" s="102">
        <f>IF('Renewable Diesel'!$BG488&lt;1,0,(((('Renewable Diesel'!$BG488-1)*'Renewable Diesel'!$BF488)*'RD Feedstock Breakdown'!ED479)*'Feedstock Conversion Rates'!$B$5))</f>
        <v>872.05689148032184</v>
      </c>
      <c r="FF479" s="102">
        <f>IF('Renewable Diesel'!$BG488&lt;1,0,(((('Renewable Diesel'!$BG488-1)*'Renewable Diesel'!$BF488)*'RD Feedstock Breakdown'!EE479)*'Feedstock Conversion Rates'!$B$6))</f>
        <v>1150.347167489349</v>
      </c>
      <c r="FG479" s="102">
        <f>IF('Renewable Diesel'!$BG488&lt;1,0,(((('Renewable Diesel'!$BG488-1)*'Renewable Diesel'!$BF488)*'RD Feedstock Breakdown'!EF479)*'Feedstock Conversion Rates'!$B$7))</f>
        <v>1870.4296252248396</v>
      </c>
      <c r="FH479" s="102">
        <f>IF('Renewable Diesel'!$BG488&lt;1,0,(((('Renewable Diesel'!$BG488-1)*'Renewable Diesel'!$BF488)*'RD Feedstock Breakdown'!EG479)*'Feedstock Conversion Rates'!$B$8))</f>
        <v>372.53882581423841</v>
      </c>
      <c r="FI479" s="102">
        <f>IF('Renewable Diesel'!$BG488&lt;1,0,(((('Renewable Diesel'!$BG488-1)*'Renewable Diesel'!$BF488)*'RD Feedstock Breakdown'!EH479)*'Feedstock Conversion Rates'!$B$9))</f>
        <v>14.00272919885899</v>
      </c>
      <c r="FJ479" s="102">
        <f t="shared" si="463"/>
        <v>13293.325049672378</v>
      </c>
      <c r="GD479" s="91">
        <f>'Renewable Diesel'!BB488*0.32</f>
        <v>0</v>
      </c>
      <c r="GE479" s="91">
        <f>'Renewable Diesel'!BC488</f>
        <v>607.16844255397359</v>
      </c>
      <c r="GF479" s="91">
        <f>'Renewable Diesel'!BD488</f>
        <v>0</v>
      </c>
      <c r="GG479" s="91">
        <f t="shared" si="517"/>
        <v>607.16844255397359</v>
      </c>
      <c r="GH479" s="124">
        <v>1</v>
      </c>
      <c r="GI479" s="102">
        <f>$GG479*EA479*'Feedstock Conversion Rates'!$B$2</f>
        <v>161.38466707225948</v>
      </c>
      <c r="GJ479" s="102">
        <f>$GG479*EB479*'Feedstock Conversion Rates'!$B$3</f>
        <v>514.37861667049651</v>
      </c>
      <c r="GK479" s="102">
        <f>$GG479*EC479*'Feedstock Conversion Rates'!$B$4</f>
        <v>2610.0574929461595</v>
      </c>
      <c r="GL479" s="102">
        <f>$GG479*ED479*'Feedstock Conversion Rates'!$B$5</f>
        <v>317.88757567233966</v>
      </c>
      <c r="GM479" s="102">
        <f>$GG479*EE479*'Feedstock Conversion Rates'!$B$6</f>
        <v>419.33166955883604</v>
      </c>
      <c r="GN479" s="102">
        <f>$GG479*EF479*'Feedstock Conversion Rates'!$B$7</f>
        <v>681.82058399783205</v>
      </c>
      <c r="GO479" s="102">
        <f>$GG479*EG479*'Feedstock Conversion Rates'!$B$8</f>
        <v>135.8001586122212</v>
      </c>
      <c r="GP479" s="102">
        <f>$GG479*EH479*'Feedstock Conversion Rates'!B$9</f>
        <v>5.1043615173609487</v>
      </c>
      <c r="GQ479" s="102">
        <f t="shared" si="502"/>
        <v>4845.765126047505</v>
      </c>
      <c r="GT479" s="103">
        <f t="shared" si="484"/>
        <v>3.3304269372191893E-2</v>
      </c>
      <c r="GU479" s="103">
        <f t="shared" si="484"/>
        <v>0.1061501338365639</v>
      </c>
      <c r="GV479" s="103">
        <f t="shared" si="484"/>
        <v>0.53862649654979833</v>
      </c>
      <c r="GW479" s="103">
        <f t="shared" si="484"/>
        <v>6.5601110950176775E-2</v>
      </c>
      <c r="GX479" s="103">
        <f t="shared" si="465"/>
        <v>8.653569841938831E-2</v>
      </c>
      <c r="GY479" s="103">
        <f t="shared" si="465"/>
        <v>0.14070442257566981</v>
      </c>
      <c r="GZ479" s="103">
        <f t="shared" si="465"/>
        <v>2.8024502855545527E-2</v>
      </c>
      <c r="HA479" s="103">
        <f t="shared" si="465"/>
        <v>1.0533654406655842E-3</v>
      </c>
    </row>
    <row r="480" spans="1:209" x14ac:dyDescent="0.25">
      <c r="A480" s="96">
        <v>55032</v>
      </c>
      <c r="B480" s="104">
        <f t="shared" si="473"/>
        <v>44.25</v>
      </c>
      <c r="C480" s="104">
        <f t="shared" si="466"/>
        <v>49</v>
      </c>
      <c r="D480" s="104">
        <f t="shared" si="474"/>
        <v>2</v>
      </c>
      <c r="E480" s="104">
        <f>('Renewable Diesel'!B489*E$3*'Feedstock Conversion Rates'!$B$2)/12+26+13-100+27.5+39</f>
        <v>95.43</v>
      </c>
      <c r="F480" s="104">
        <f>('Renewable Diesel'!B489*'RD Feedstock Breakdown'!F$3*'Feedstock Conversion Rates'!B$8)/12+77+23-10-12-115.75+24+8</f>
        <v>48.15625</v>
      </c>
      <c r="G480" s="104">
        <f>('Renewable Diesel'!B489*'RD Feedstock Breakdown'!G$3*'Feedstock Conversion Rates'!B$7)/12+116.75-39-57.5-145-31.5+32+70-40+10+60</f>
        <v>151.90700000000004</v>
      </c>
      <c r="H480" s="104">
        <f>('Renewable Diesel'!B489*'RD Feedstock Breakdown'!H$3*'Feedstock Conversion Rates'!B$3)/12+67+10+12+3-235+20+47-20+25</f>
        <v>105.40022499999998</v>
      </c>
      <c r="I480" s="106">
        <f t="shared" si="515"/>
        <v>496.14347500000002</v>
      </c>
      <c r="J480" s="104">
        <f t="shared" si="483"/>
        <v>4</v>
      </c>
      <c r="K480" s="104"/>
      <c r="L480" s="104">
        <v>1</v>
      </c>
      <c r="M480" s="104">
        <f>('Renewable Diesel'!C489*'RD Feedstock Breakdown'!M$3*'Feedstock Conversion Rates'!B$2)/12</f>
        <v>7.7902500000000003</v>
      </c>
      <c r="N480" s="104">
        <f>('Renewable Diesel'!C489*'RD Feedstock Breakdown'!N$3*'Feedstock Conversion Rates'!B$8)/12</f>
        <v>3.671875</v>
      </c>
      <c r="O480" s="104">
        <f>('Renewable Diesel'!C489*'RD Feedstock Breakdown'!O$3*'Feedstock Conversion Rates'!B$7)/12</f>
        <v>11.9991</v>
      </c>
      <c r="P480" s="104">
        <f>('Renewable Diesel'!C489*'RD Feedstock Breakdown'!P$3*'Feedstock Conversion Rates'!B$3)/12</f>
        <v>10.4470425</v>
      </c>
      <c r="Q480" s="106">
        <f t="shared" si="455"/>
        <v>38.908267500000001</v>
      </c>
      <c r="R480" s="104">
        <f>('Renewable Diesel'!D489*'RD Feedstock Breakdown'!R$3*'Feedstock Conversion Rates'!B$7)/12</f>
        <v>2.2999999999999998</v>
      </c>
      <c r="S480" s="106">
        <f t="shared" si="481"/>
        <v>2.2999999999999998</v>
      </c>
      <c r="T480" s="104">
        <f t="shared" si="456"/>
        <v>0.82499999999999929</v>
      </c>
      <c r="U480" s="104"/>
      <c r="V480" s="104">
        <f>('Renewable Diesel'!E489*'RD Feedstock Breakdown'!V$3*'Feedstock Conversion Rates'!B$6)/12-20+25</f>
        <v>49.250150000000012</v>
      </c>
      <c r="W480" s="104">
        <f>('Renewable Diesel'!E489*'RD Feedstock Breakdown'!W$3*'Feedstock Conversion Rates'!B$8)/12-6</f>
        <v>16.1796875</v>
      </c>
      <c r="X480" s="106">
        <f t="shared" si="503"/>
        <v>66.254837500000008</v>
      </c>
      <c r="Y480" s="104">
        <f t="shared" si="457"/>
        <v>98</v>
      </c>
      <c r="Z480" s="104">
        <f>('Renewable Diesel'!F489*'RD Feedstock Breakdown'!Z$3*'Feedstock Conversion Rates'!B$6)/12-142+15+5+20+5+15</f>
        <v>77.460000000000008</v>
      </c>
      <c r="AA480" s="104">
        <f>('Renewable Diesel'!F489*'RD Feedstock Breakdown'!AA$3*'Feedstock Conversion Rates'!B$7)/12+24</f>
        <v>128.26666666666665</v>
      </c>
      <c r="AB480" s="106">
        <f t="shared" si="471"/>
        <v>303.72666666666669</v>
      </c>
      <c r="AC480" s="104">
        <f>('Renewable Diesel'!G489*'RD Feedstock Breakdown'!AC$3*'Feedstock Conversion Rates'!B$5)/12</f>
        <v>11.796875</v>
      </c>
      <c r="AD480" s="104">
        <f>('Renewable Diesel'!G489*'RD Feedstock Breakdown'!AD$3*'Feedstock Conversion Rates'!B$4)/12</f>
        <v>5.859375</v>
      </c>
      <c r="AE480" s="104">
        <f>('Renewable Diesel'!G489*'RD Feedstock Breakdown'!AE$3*'Feedstock Conversion Rates'!B$6)/12</f>
        <v>7.3281250000000009</v>
      </c>
      <c r="AF480" s="106">
        <f t="shared" si="511"/>
        <v>24.984375</v>
      </c>
      <c r="AG480" s="104">
        <f t="shared" si="459"/>
        <v>148</v>
      </c>
      <c r="AH480" s="104"/>
      <c r="AI480" s="104">
        <f>('Renewable Diesel'!H489*'RD Feedstock Breakdown'!AI$3*'Feedstock Conversion Rates'!B$6)/12-130-20+51-49</f>
        <v>0.51666666666667993</v>
      </c>
      <c r="AJ480" s="106">
        <f t="shared" si="480"/>
        <v>148.51666666666668</v>
      </c>
      <c r="AK480" s="104">
        <f>('Renewable Diesel'!J489*'RD Feedstock Breakdown'!AK$3*'Feedstock Conversion Rates'!B$4)/12</f>
        <v>95.8125</v>
      </c>
      <c r="AL480" s="106">
        <f t="shared" si="482"/>
        <v>95.8125</v>
      </c>
      <c r="AM480" s="104">
        <f>('Renewable Diesel'!K489*'RD Feedstock Breakdown'!AM$3*'Feedstock Conversion Rates'!B$4)/12+5+15-10+10</f>
        <v>78.59375</v>
      </c>
      <c r="AN480" s="104">
        <f>('Renewable Diesel'!K489*'RD Feedstock Breakdown'!AN$3*'Feedstock Conversion Rates'!B$6)/12-5-15+10-10</f>
        <v>4.4270833333333321</v>
      </c>
      <c r="AO480" s="106">
        <f t="shared" si="496"/>
        <v>83.020833333333329</v>
      </c>
      <c r="AP480" s="104">
        <f>('Renewable Diesel'!L489*'RD Feedstock Breakdown'!AP$3*'Feedstock Conversion Rates'!B$4)/12+15-10+15</f>
        <v>78.59375</v>
      </c>
      <c r="AQ480" s="104">
        <f>('Renewable Diesel'!L489*'RD Feedstock Breakdown'!AQ$3*'Feedstock Conversion Rates'!B$6)/12-15+10-15</f>
        <v>4.4270833333333321</v>
      </c>
      <c r="AR480" s="106">
        <f t="shared" si="486"/>
        <v>83.020833333333329</v>
      </c>
      <c r="AS480" s="104">
        <f>('Renewable Diesel'!M489*'RD Feedstock Breakdown'!AS$3*'Feedstock Conversion Rates'!B$4)/12</f>
        <v>456.25</v>
      </c>
      <c r="AT480" s="104">
        <f>('Renewable Diesel'!M489*'RD Feedstock Breakdown'!AT$3*'Feedstock Conversion Rates'!B$5)/12</f>
        <v>0</v>
      </c>
      <c r="AU480" s="106">
        <f t="shared" si="514"/>
        <v>456.25</v>
      </c>
      <c r="AV480" s="104">
        <f>'Renewable Diesel'!N489*'RD Feedstock Breakdown'!$AV$3*'Feedstock Conversion Rates'!$B$4/12-15-10+25+25-22+25</f>
        <v>106.74999999999999</v>
      </c>
      <c r="AW480" s="104">
        <f>'Renewable Diesel'!N489*'RD Feedstock Breakdown'!$AW$3*'Feedstock Conversion Rates'!$B$7/12+15+10-25-25+22-25</f>
        <v>13.400000000000006</v>
      </c>
      <c r="AX480" s="106">
        <f t="shared" si="475"/>
        <v>120.14999999999999</v>
      </c>
      <c r="AY480" s="104">
        <f>('Renewable Diesel'!O489*'RD Feedstock Breakdown'!AY$3*'Feedstock Conversion Rates'!B$4)/12</f>
        <v>210.9375</v>
      </c>
      <c r="AZ480" s="104">
        <f>('Renewable Diesel'!O489*'RD Feedstock Breakdown'!AZ$3*'Feedstock Conversion Rates'!B$3)/12</f>
        <v>25.03125</v>
      </c>
      <c r="BA480" s="106">
        <f t="shared" si="458"/>
        <v>235.96875</v>
      </c>
      <c r="BB480" s="104">
        <f>('Renewable Diesel'!Q489*'RD Feedstock Breakdown'!BB$3*'Feedstock Conversion Rates'!B$4)/12</f>
        <v>11.156249999999998</v>
      </c>
      <c r="BC480" s="104">
        <f>('Renewable Diesel'!Q489*'RD Feedstock Breakdown'!BC$3*'Feedstock Conversion Rates'!B$3)/12</f>
        <v>1.4017500000000001</v>
      </c>
      <c r="BD480" s="104">
        <f>('Renewable Diesel'!Q489*'RD Feedstock Breakdown'!BD$3*'Feedstock Conversion Rates'!B$6)/12</f>
        <v>0.8207500000000002</v>
      </c>
      <c r="BE480" s="106">
        <f t="shared" si="505"/>
        <v>13.378749999999998</v>
      </c>
      <c r="BF480" s="104">
        <f>('Renewable Diesel'!R489*'RD Feedstock Breakdown'!BF$3*'Feedstock Conversion Rates'!B$4)/12</f>
        <v>62.5</v>
      </c>
      <c r="BG480" s="106">
        <f t="shared" si="490"/>
        <v>62.5</v>
      </c>
      <c r="BH480" s="104">
        <f>('Renewable Diesel'!T489*'RD Feedstock Breakdown'!BH$3*'Feedstock Conversion Rates'!B$7)/12</f>
        <v>27.599999999999998</v>
      </c>
      <c r="BI480" s="106">
        <f t="shared" si="479"/>
        <v>27.599999999999998</v>
      </c>
      <c r="BJ480" s="104">
        <f>('Renewable Diesel'!W489*'RD Feedstock Breakdown'!BJ$3*'Feedstock Conversion Rates'!B$4)/12</f>
        <v>7.5</v>
      </c>
      <c r="BK480" s="104">
        <f>('Renewable Diesel'!W489*'RD Feedstock Breakdown'!BK$3*'Feedstock Conversion Rates'!B$3)/12</f>
        <v>1.335</v>
      </c>
      <c r="BL480" s="104">
        <f>('Renewable Diesel'!W489*'RD Feedstock Breakdown'!BL$3*'Feedstock Conversion Rates'!B$6)/12</f>
        <v>3.1266666666666669</v>
      </c>
      <c r="BM480" s="104">
        <f>('Renewable Diesel'!W489*'RD Feedstock Breakdown'!BM$3*'Feedstock Conversion Rates'!B$7)/12</f>
        <v>1.5333333333333332</v>
      </c>
      <c r="BN480" s="106">
        <f t="shared" si="518"/>
        <v>13.495000000000001</v>
      </c>
      <c r="BO480" s="104">
        <f>('Renewable Diesel'!P489*'Feedstock Conversion Rates'!B$4)/12</f>
        <v>31.25</v>
      </c>
      <c r="BP480" s="106">
        <f t="shared" si="512"/>
        <v>31.25</v>
      </c>
      <c r="BQ480" s="104">
        <f>('Renewable Diesel'!$S489*'RD Feedstock Breakdown'!BQ$3*'Feedstock Conversion Rates'!B$4)/12+10+15-15</f>
        <v>38.125</v>
      </c>
      <c r="BR480" s="104">
        <f>('Renewable Diesel'!$S489*'RD Feedstock Breakdown'!BR$3*'Feedstock Conversion Rates'!B$7)/12-10-15+15</f>
        <v>1.5</v>
      </c>
      <c r="BS480" s="106">
        <f t="shared" si="460"/>
        <v>39.625</v>
      </c>
      <c r="BT480" s="106"/>
      <c r="BU480" s="104">
        <f>('Renewable Diesel'!Y489*'Feedstock Conversion Rates'!B$7)/12</f>
        <v>2.6833333333333331</v>
      </c>
      <c r="BV480" s="106">
        <f t="shared" si="507"/>
        <v>2.6833333333333331</v>
      </c>
      <c r="BW480" s="104">
        <f>('Renewable Diesel'!$Z489*'RD Feedstock Breakdown'!BW$3*'Feedstock Conversion Rates'!$B$4)/12-250+180</f>
        <v>1.875</v>
      </c>
      <c r="BX480" s="104">
        <f>('Renewable Diesel'!$Z489*'RD Feedstock Breakdown'!BX$3*'Feedstock Conversion Rates'!$B$5)/12</f>
        <v>7.2354166666666666</v>
      </c>
      <c r="BY480" s="104">
        <f>('Renewable Diesel'!$Z489*'RD Feedstock Breakdown'!BY$3*'Feedstock Conversion Rates'!$B$7)/12</f>
        <v>61.716666666666661</v>
      </c>
      <c r="BZ480" s="104">
        <f>('Renewable Diesel'!$Z489*'RD Feedstock Breakdown'!BZ$3*'Feedstock Conversion Rates'!$B$3)/12+250-180</f>
        <v>85.35250000000002</v>
      </c>
      <c r="CA480" s="106">
        <f t="shared" si="464"/>
        <v>156.17958333333334</v>
      </c>
      <c r="CB480" s="104">
        <f>('Renewable Diesel'!AA489*'Feedstock Conversion Rates'!B$4)/12</f>
        <v>191.25</v>
      </c>
      <c r="CC480" s="106">
        <f t="shared" si="520"/>
        <v>191.25</v>
      </c>
      <c r="CD480" s="104">
        <f>('Renewable Diesel'!$AB489*'RD Feedstock Breakdown'!CD$3*'Feedstock Conversion Rates'!$B$6)/12-15-5</f>
        <v>12.830000000000005</v>
      </c>
      <c r="CE480" s="104">
        <f>('Renewable Diesel'!$AB489*'RD Feedstock Breakdown'!CE$3*'Feedstock Conversion Rates'!$B$4)/12+15+5</f>
        <v>31.25</v>
      </c>
      <c r="CF480" s="106">
        <f t="shared" si="516"/>
        <v>44.080000000000005</v>
      </c>
      <c r="CG480" s="104">
        <f>('Renewable Diesel'!AD489*'Feedstock Conversion Rates'!B$4)/12</f>
        <v>112.5</v>
      </c>
      <c r="CH480" s="106">
        <f t="shared" si="504"/>
        <v>112.5</v>
      </c>
      <c r="CI480" s="104">
        <f>('Renewable Diesel'!$AE489*'RD Feedstock Breakdown'!CI$3*'Feedstock Conversion Rates'!$B$5)/12</f>
        <v>0.34604166666666664</v>
      </c>
      <c r="CJ480" s="104">
        <f>('Renewable Diesel'!$AE489*'RD Feedstock Breakdown'!CJ$3*'Feedstock Conversion Rates'!$B$4)/12</f>
        <v>0.34375</v>
      </c>
      <c r="CK480" s="106">
        <f t="shared" si="513"/>
        <v>0.68979166666666658</v>
      </c>
      <c r="CL480" s="104">
        <f>(((CL$3*'Renewable Diesel'!$AF489)*'Feedstock Conversion Rates'!$B$3)/12)</f>
        <v>91.78125</v>
      </c>
      <c r="CM480" s="104">
        <f>(((CM$3*'Renewable Diesel'!$AF489)*'Feedstock Conversion Rates'!$B$6)/12)</f>
        <v>53.739583333333336</v>
      </c>
      <c r="CN480" s="104">
        <f>(((CN$3*'Renewable Diesel'!$AF489)*'Feedstock Conversion Rates'!$B$4)/12)</f>
        <v>42.96875</v>
      </c>
      <c r="CO480" s="106">
        <f t="shared" si="506"/>
        <v>188.48958333333334</v>
      </c>
      <c r="CP480" s="104">
        <f>('Renewable Diesel'!$AG489*'RD Feedstock Breakdown'!CP$3*'Feedstock Conversion Rates'!$B$3)/12</f>
        <v>6.0075000000000003</v>
      </c>
      <c r="CQ480" s="104">
        <f>('Renewable Diesel'!$AG489*'RD Feedstock Breakdown'!CQ$3*'Feedstock Conversion Rates'!$B$6)/12</f>
        <v>3.5175000000000001</v>
      </c>
      <c r="CR480" s="104">
        <f>('Renewable Diesel'!$AG489*'RD Feedstock Breakdown'!CR$3*'Feedstock Conversion Rates'!$B$4)/12</f>
        <v>2.8125</v>
      </c>
      <c r="CS480" s="106">
        <f t="shared" si="467"/>
        <v>12.3375</v>
      </c>
      <c r="CT480" s="104">
        <f>('Renewable Diesel'!AI489*'Feedstock Conversion Rates'!$B$4*'RD Feedstock Breakdown'!$CT$3)/12</f>
        <v>29.375</v>
      </c>
      <c r="CU480" s="106">
        <f t="shared" si="508"/>
        <v>29.375</v>
      </c>
      <c r="CV480" s="104">
        <f>('Renewable Diesel'!AN489*'Feedstock Conversion Rates'!$B$3*'RD Feedstock Breakdown'!$CV$3)/12</f>
        <v>0.50062499999999999</v>
      </c>
      <c r="CW480" s="106">
        <f t="shared" si="485"/>
        <v>0.50062499999999999</v>
      </c>
      <c r="CX480" s="104">
        <f>('Renewable Diesel'!AO489*'RD Feedstock Breakdown'!$CX$3*'Feedstock Conversion Rates'!$B$3)/12</f>
        <v>6.3412499999999996</v>
      </c>
      <c r="CY480" s="104">
        <f>('Renewable Diesel'!AO489*'RD Feedstock Breakdown'!$CY$3*'Feedstock Conversion Rates'!$B$6)/12</f>
        <v>7.4258333333333342</v>
      </c>
      <c r="CZ480" s="106">
        <f t="shared" si="468"/>
        <v>13.767083333333334</v>
      </c>
      <c r="DA480" s="104">
        <f>('Renewable Diesel'!$AP489*'RD Feedstock Breakdown'!DA$3*'Feedstock Conversion Rates'!$B$3)/12</f>
        <v>6.3412499999999996</v>
      </c>
      <c r="DB480" s="104">
        <f>('Renewable Diesel'!$AP489*'RD Feedstock Breakdown'!DB$3*'Feedstock Conversion Rates'!$B$8)/12</f>
        <v>7.421875</v>
      </c>
      <c r="DC480" s="106">
        <f t="shared" si="488"/>
        <v>13.763124999999999</v>
      </c>
      <c r="DD480" s="104">
        <f>('Renewable Diesel'!AQ489*$DD$3*'Feedstock Conversion Rates'!$B$14)/12</f>
        <v>3.1041666666666665</v>
      </c>
      <c r="DE480" s="106">
        <f t="shared" si="489"/>
        <v>3.1041666666666665</v>
      </c>
      <c r="DF480" s="104">
        <f>('Renewable Diesel'!AR489*'Feedstock Conversion Rates'!$B$4*$DF$3)/12</f>
        <v>75</v>
      </c>
      <c r="DG480" s="106">
        <f t="shared" si="469"/>
        <v>75</v>
      </c>
      <c r="DH480" s="104">
        <f>('Renewable Diesel'!AS489*'Feedstock Conversion Rates'!$B$4*$DH$3)/12</f>
        <v>75</v>
      </c>
      <c r="DI480" s="106">
        <f t="shared" si="478"/>
        <v>75</v>
      </c>
      <c r="DJ480" s="104">
        <f>('Renewable Diesel'!AT489*'Feedstock Conversion Rates'!$B$4*0.25)/12</f>
        <v>8.59375</v>
      </c>
      <c r="DK480" s="104">
        <f>('Renewable Diesel'!$AT489*'RD Feedstock Breakdown'!DK$3*'Feedstock Conversion Rates'!$B$3)/12*0.5</f>
        <v>9.1781249999999996</v>
      </c>
      <c r="DL480" s="104">
        <f>('Renewable Diesel'!$AT489*'RD Feedstock Breakdown'!$DL$3*'Feedstock Conversion Rates'!$B$6)/12</f>
        <v>10.747916666666669</v>
      </c>
      <c r="DM480" s="104">
        <f>('Renewable Diesel'!$AT489*'RD Feedstock Breakdown'!$DM$3*'Feedstock Conversion Rates'!$B$8)/12</f>
        <v>10.7421875</v>
      </c>
      <c r="DN480" s="106">
        <f t="shared" si="519"/>
        <v>39.26197916666667</v>
      </c>
      <c r="DP480" s="104">
        <f t="shared" si="491"/>
        <v>103.22025000000001</v>
      </c>
      <c r="DQ480" s="104">
        <f t="shared" si="492"/>
        <v>349.11776750000007</v>
      </c>
      <c r="DR480" s="104">
        <f t="shared" si="497"/>
        <v>1891.953125</v>
      </c>
      <c r="DS480" s="104">
        <f t="shared" si="510"/>
        <v>228.90125</v>
      </c>
      <c r="DT480" s="104">
        <f t="shared" si="493"/>
        <v>243.03923333333344</v>
      </c>
      <c r="DU480" s="104">
        <f t="shared" si="494"/>
        <v>402.90610000000009</v>
      </c>
      <c r="DV480" s="104">
        <f t="shared" si="498"/>
        <v>78.75</v>
      </c>
      <c r="DW480" s="104">
        <f t="shared" si="495"/>
        <v>3</v>
      </c>
      <c r="DX480" s="106">
        <f t="shared" si="499"/>
        <v>3300.8877258333337</v>
      </c>
      <c r="DY480" s="109">
        <f t="shared" si="487"/>
        <v>-5.631051180898794E-13</v>
      </c>
      <c r="EA480" s="110">
        <f t="shared" si="509"/>
        <v>3.1270451640078516E-2</v>
      </c>
      <c r="EB480" s="110">
        <f t="shared" si="522"/>
        <v>0.10576481131658687</v>
      </c>
      <c r="EC480" s="110">
        <f t="shared" si="523"/>
        <v>0.57316494293133291</v>
      </c>
      <c r="ED480" s="110">
        <f t="shared" si="524"/>
        <v>6.9345360706629972E-2</v>
      </c>
      <c r="EE480" s="110">
        <f t="shared" si="521"/>
        <v>7.3628445896921982E-2</v>
      </c>
      <c r="EF480" s="110">
        <f t="shared" si="521"/>
        <v>0.1220599225010852</v>
      </c>
      <c r="EG480" s="110">
        <f t="shared" si="521"/>
        <v>2.3857218585075921E-2</v>
      </c>
      <c r="EH480" s="111">
        <f t="shared" si="500"/>
        <v>9.0884642228860647E-4</v>
      </c>
      <c r="EI480" s="110">
        <f t="shared" si="476"/>
        <v>0.99909115357771139</v>
      </c>
      <c r="EK480" s="132">
        <f>(EA480*'Renewable Diesel'!BF489*'Feedstock Conversion Rates'!B$2)+FB480</f>
        <v>941.02187878428651</v>
      </c>
      <c r="EL480" s="132">
        <f>(EB480*'Renewable Diesel'!BF489*'Feedstock Conversion Rates'!B$3)+FC480</f>
        <v>2999.3031001452255</v>
      </c>
      <c r="EM480" s="132">
        <f>(EC480*'Renewable Diesel'!BF489*'Feedstock Conversion Rates'!B$4)+FD480</f>
        <v>15219.049308119702</v>
      </c>
      <c r="EN480" s="132">
        <f>(ED480*'Renewable Diesel'!BF489*'Feedstock Conversion Rates'!B$5)+FE480</f>
        <v>1853.5785903838591</v>
      </c>
      <c r="EO480" s="132">
        <f>(EE480*'Renewable Diesel'!BF489*'Feedstock Conversion Rates'!B$6)+FF480</f>
        <v>2445.091486574288</v>
      </c>
      <c r="EP480" s="132">
        <f>(EF480*'Renewable Diesel'!BF489*'Feedstock Conversion Rates'!B$7)+FG480</f>
        <v>3975.6446420040711</v>
      </c>
      <c r="EQ480" s="132">
        <f>(EG480*'Renewable Diesel'!BF489*'Feedstock Conversion Rates'!B$8)+FH480</f>
        <v>791.84053054593164</v>
      </c>
      <c r="ER480" s="132">
        <f>(EH480*'Renewable Diesel'!BF489*'Feedstock Conversion Rates'!B$9)+FI480</f>
        <v>29.763148830678826</v>
      </c>
      <c r="ES480" s="132">
        <f t="shared" si="501"/>
        <v>28255.292685388042</v>
      </c>
      <c r="ET480" s="133">
        <f>ES480/'Renewable Diesel'!BF489</f>
        <v>22.115886577460401</v>
      </c>
      <c r="EW480" s="73">
        <f t="shared" si="461"/>
        <v>27984.284437530438</v>
      </c>
      <c r="EX480" s="73">
        <f t="shared" si="462"/>
        <v>18329.859587296491</v>
      </c>
      <c r="EY480" s="92">
        <f t="shared" si="477"/>
        <v>0.99040858465438042</v>
      </c>
      <c r="EZ480" s="92">
        <f t="shared" si="477"/>
        <v>0.64872304779824863</v>
      </c>
      <c r="FB480" s="102">
        <f>IF('Renewable Diesel'!$BG489&lt;1,0,(((('Renewable Diesel'!$BG489-1)*'Renewable Diesel'!$BF489)*'RD Feedstock Breakdown'!EA480)*'Feedstock Conversion Rates'!$B$2))</f>
        <v>601.43684956104096</v>
      </c>
      <c r="FC480" s="102">
        <f>IF('Renewable Diesel'!$BG489&lt;1,0,(((('Renewable Diesel'!$BG489-1)*'Renewable Diesel'!$BF489)*'RD Feedstock Breakdown'!EB480)*'Feedstock Conversion Rates'!$B$3))</f>
        <v>1916.9494866160487</v>
      </c>
      <c r="FD480" s="102">
        <f>IF('Renewable Diesel'!$BG489&lt;1,0,(((('Renewable Diesel'!$BG489-1)*'Renewable Diesel'!$BF489)*'RD Feedstock Breakdown'!EC480)*'Feedstock Conversion Rates'!$B$4))</f>
        <v>9726.9758286755987</v>
      </c>
      <c r="FE480" s="102">
        <f>IF('Renewable Diesel'!$BG489&lt;1,0,(((('Renewable Diesel'!$BG489-1)*'Renewable Diesel'!$BF489)*'RD Feedstock Breakdown'!ED480)*'Feedstock Conversion Rates'!$B$5))</f>
        <v>1184.6807103512788</v>
      </c>
      <c r="FF480" s="102">
        <f>IF('Renewable Diesel'!$BG489&lt;1,0,(((('Renewable Diesel'!$BG489-1)*'Renewable Diesel'!$BF489)*'RD Feedstock Breakdown'!EE480)*'Feedstock Conversion Rates'!$B$6))</f>
        <v>1562.7353133102501</v>
      </c>
      <c r="FG480" s="102">
        <f>IF('Renewable Diesel'!$BG489&lt;1,0,(((('Renewable Diesel'!$BG489-1)*'Renewable Diesel'!$BF489)*'RD Feedstock Breakdown'!EF480)*'Feedstock Conversion Rates'!$B$7))</f>
        <v>2540.9602500956098</v>
      </c>
      <c r="FH480" s="102">
        <f>IF('Renewable Diesel'!$BG489&lt;1,0,(((('Renewable Diesel'!$BG489-1)*'Renewable Diesel'!$BF489)*'RD Feedstock Breakdown'!EG480)*'Feedstock Conversion Rates'!$B$8))</f>
        <v>506.09033092997709</v>
      </c>
      <c r="FI480" s="102">
        <f>IF('Renewable Diesel'!$BG489&lt;1,0,(((('Renewable Diesel'!$BG489-1)*'Renewable Diesel'!$BF489)*'RD Feedstock Breakdown'!EH480)*'Feedstock Conversion Rates'!$B$9))</f>
        <v>19.022569899082313</v>
      </c>
      <c r="FJ480" s="102">
        <f t="shared" si="463"/>
        <v>18058.851339438886</v>
      </c>
      <c r="GD480" s="91">
        <f>'Renewable Diesel'!BB489*0.32</f>
        <v>0</v>
      </c>
      <c r="GE480" s="91">
        <f>'Renewable Diesel'!BC489</f>
        <v>738.46412265584945</v>
      </c>
      <c r="GF480" s="91">
        <f>'Renewable Diesel'!BD489</f>
        <v>0</v>
      </c>
      <c r="GG480" s="91">
        <f t="shared" si="517"/>
        <v>738.46412265584945</v>
      </c>
      <c r="GH480" s="124">
        <v>1</v>
      </c>
      <c r="GI480" s="102">
        <f>$GG480*EA480*'Feedstock Conversion Rates'!$B$2</f>
        <v>196.28290640126338</v>
      </c>
      <c r="GJ480" s="102">
        <f>$GG480*EB480*'Feedstock Conversion Rates'!$B$3</f>
        <v>625.60918396008583</v>
      </c>
      <c r="GK480" s="102">
        <f>$GG480*EC480*'Feedstock Conversion Rates'!$B$4</f>
        <v>3174.4631003915761</v>
      </c>
      <c r="GL480" s="102">
        <f>$GG480*ED480*'Feedstock Conversion Rates'!$B$5</f>
        <v>386.62841020628565</v>
      </c>
      <c r="GM480" s="102">
        <f>$GG480*EE480*'Feedstock Conversion Rates'!$B$6</f>
        <v>510.00903828273556</v>
      </c>
      <c r="GN480" s="102">
        <f>$GG480*EF480*'Feedstock Conversion Rates'!$B$7</f>
        <v>829.25923694708467</v>
      </c>
      <c r="GO480" s="102">
        <f>$GG480*EG480*'Feedstock Conversion Rates'!$B$8</f>
        <v>165.16593741972108</v>
      </c>
      <c r="GP480" s="102">
        <f>$GG480*EH480*'Feedstock Conversion Rates'!B$9</f>
        <v>6.2081419017444368</v>
      </c>
      <c r="GQ480" s="102">
        <f t="shared" si="502"/>
        <v>5893.6259555104962</v>
      </c>
      <c r="GT480" s="103">
        <f t="shared" si="484"/>
        <v>3.3304269372191893E-2</v>
      </c>
      <c r="GU480" s="103">
        <f t="shared" si="484"/>
        <v>0.10615013383656388</v>
      </c>
      <c r="GV480" s="103">
        <f t="shared" si="484"/>
        <v>0.53862649654979822</v>
      </c>
      <c r="GW480" s="103">
        <f t="shared" si="484"/>
        <v>6.5601110950176761E-2</v>
      </c>
      <c r="GX480" s="103">
        <f t="shared" si="465"/>
        <v>8.6535698419388296E-2</v>
      </c>
      <c r="GY480" s="103">
        <f t="shared" si="465"/>
        <v>0.14070442257566981</v>
      </c>
      <c r="GZ480" s="103">
        <f t="shared" si="465"/>
        <v>2.802450285554552E-2</v>
      </c>
      <c r="HA480" s="103">
        <f t="shared" si="465"/>
        <v>1.053365440665584E-3</v>
      </c>
    </row>
    <row r="481" spans="1:209" x14ac:dyDescent="0.25">
      <c r="A481" s="96">
        <v>55062</v>
      </c>
      <c r="B481" s="104">
        <f t="shared" si="473"/>
        <v>44.25</v>
      </c>
      <c r="C481" s="104">
        <f t="shared" si="466"/>
        <v>49</v>
      </c>
      <c r="D481" s="104">
        <f t="shared" si="474"/>
        <v>2</v>
      </c>
      <c r="E481" s="104">
        <f>('Renewable Diesel'!B490*E$3*'Feedstock Conversion Rates'!$B$2)/12+26+13-100+27.5+39</f>
        <v>95.43</v>
      </c>
      <c r="F481" s="104">
        <f>('Renewable Diesel'!B490*'RD Feedstock Breakdown'!F$3*'Feedstock Conversion Rates'!B$8)/12+77+23-10-12-115.75+24+8</f>
        <v>48.15625</v>
      </c>
      <c r="G481" s="104">
        <f>('Renewable Diesel'!B490*'RD Feedstock Breakdown'!G$3*'Feedstock Conversion Rates'!B$7)/12+116.75-39-57.5-145-31.5+32+70-40+10+60</f>
        <v>151.90700000000004</v>
      </c>
      <c r="H481" s="104">
        <f>('Renewable Diesel'!B490*'RD Feedstock Breakdown'!H$3*'Feedstock Conversion Rates'!B$3)/12+67+10+12+3-235+20+47-20+25</f>
        <v>105.40022499999998</v>
      </c>
      <c r="I481" s="106">
        <f t="shared" si="515"/>
        <v>496.14347500000002</v>
      </c>
      <c r="J481" s="104">
        <f t="shared" si="483"/>
        <v>4</v>
      </c>
      <c r="K481" s="104"/>
      <c r="L481" s="104">
        <v>1</v>
      </c>
      <c r="M481" s="104">
        <f>('Renewable Diesel'!C490*'RD Feedstock Breakdown'!M$3*'Feedstock Conversion Rates'!B$2)/12</f>
        <v>7.7902500000000003</v>
      </c>
      <c r="N481" s="104">
        <f>('Renewable Diesel'!C490*'RD Feedstock Breakdown'!N$3*'Feedstock Conversion Rates'!B$8)/12</f>
        <v>3.671875</v>
      </c>
      <c r="O481" s="104">
        <f>('Renewable Diesel'!C490*'RD Feedstock Breakdown'!O$3*'Feedstock Conversion Rates'!B$7)/12</f>
        <v>11.9991</v>
      </c>
      <c r="P481" s="104">
        <f>('Renewable Diesel'!C490*'RD Feedstock Breakdown'!P$3*'Feedstock Conversion Rates'!B$3)/12</f>
        <v>10.4470425</v>
      </c>
      <c r="Q481" s="106">
        <f t="shared" ref="Q481:Q495" si="525">SUM(J481:P481)</f>
        <v>38.908267500000001</v>
      </c>
      <c r="R481" s="104">
        <f>('Renewable Diesel'!D490*'RD Feedstock Breakdown'!R$3*'Feedstock Conversion Rates'!B$7)/12</f>
        <v>2.2999999999999998</v>
      </c>
      <c r="S481" s="106">
        <f t="shared" si="481"/>
        <v>2.2999999999999998</v>
      </c>
      <c r="T481" s="104">
        <f t="shared" ref="T481:T495" si="526">5.825+20-25</f>
        <v>0.82499999999999929</v>
      </c>
      <c r="U481" s="104"/>
      <c r="V481" s="104">
        <f>('Renewable Diesel'!E490*'RD Feedstock Breakdown'!V$3*'Feedstock Conversion Rates'!B$6)/12-20+25</f>
        <v>49.250150000000012</v>
      </c>
      <c r="W481" s="104">
        <f>('Renewable Diesel'!E490*'RD Feedstock Breakdown'!W$3*'Feedstock Conversion Rates'!B$8)/12-6</f>
        <v>16.1796875</v>
      </c>
      <c r="X481" s="106">
        <f t="shared" si="503"/>
        <v>66.254837500000008</v>
      </c>
      <c r="Y481" s="104">
        <f t="shared" ref="Y481:Y495" si="527">142-15-5-24</f>
        <v>98</v>
      </c>
      <c r="Z481" s="104">
        <f>('Renewable Diesel'!F490*'RD Feedstock Breakdown'!Z$3*'Feedstock Conversion Rates'!B$6)/12-142+15+5+20+5+15</f>
        <v>77.460000000000008</v>
      </c>
      <c r="AA481" s="104">
        <f>('Renewable Diesel'!F490*'RD Feedstock Breakdown'!AA$3*'Feedstock Conversion Rates'!B$7)/12+24</f>
        <v>128.26666666666665</v>
      </c>
      <c r="AB481" s="106">
        <f t="shared" si="471"/>
        <v>303.72666666666669</v>
      </c>
      <c r="AC481" s="104">
        <f>('Renewable Diesel'!G490*'RD Feedstock Breakdown'!AC$3*'Feedstock Conversion Rates'!B$5)/12</f>
        <v>11.796875</v>
      </c>
      <c r="AD481" s="104">
        <f>('Renewable Diesel'!G490*'RD Feedstock Breakdown'!AD$3*'Feedstock Conversion Rates'!B$4)/12</f>
        <v>5.859375</v>
      </c>
      <c r="AE481" s="104">
        <f>('Renewable Diesel'!G490*'RD Feedstock Breakdown'!AE$3*'Feedstock Conversion Rates'!B$6)/12</f>
        <v>7.3281250000000009</v>
      </c>
      <c r="AF481" s="106">
        <f t="shared" si="511"/>
        <v>24.984375</v>
      </c>
      <c r="AG481" s="104">
        <f t="shared" si="459"/>
        <v>148</v>
      </c>
      <c r="AH481" s="104"/>
      <c r="AI481" s="104">
        <f>('Renewable Diesel'!H490*'RD Feedstock Breakdown'!AI$3*'Feedstock Conversion Rates'!B$6)/12-130-20+51-49</f>
        <v>0.51666666666667993</v>
      </c>
      <c r="AJ481" s="106">
        <f t="shared" si="480"/>
        <v>148.51666666666668</v>
      </c>
      <c r="AK481" s="104">
        <f>('Renewable Diesel'!J490*'RD Feedstock Breakdown'!AK$3*'Feedstock Conversion Rates'!B$4)/12</f>
        <v>95.8125</v>
      </c>
      <c r="AL481" s="106">
        <f t="shared" si="482"/>
        <v>95.8125</v>
      </c>
      <c r="AM481" s="104">
        <f>('Renewable Diesel'!K490*'RD Feedstock Breakdown'!AM$3*'Feedstock Conversion Rates'!B$4)/12+5+15-10+10</f>
        <v>78.59375</v>
      </c>
      <c r="AN481" s="104">
        <f>('Renewable Diesel'!K490*'RD Feedstock Breakdown'!AN$3*'Feedstock Conversion Rates'!B$6)/12-5-15+10-10</f>
        <v>4.4270833333333321</v>
      </c>
      <c r="AO481" s="106">
        <f t="shared" si="496"/>
        <v>83.020833333333329</v>
      </c>
      <c r="AP481" s="104">
        <f>('Renewable Diesel'!L490*'RD Feedstock Breakdown'!AP$3*'Feedstock Conversion Rates'!B$4)/12+15-10+15</f>
        <v>78.59375</v>
      </c>
      <c r="AQ481" s="104">
        <f>('Renewable Diesel'!L490*'RD Feedstock Breakdown'!AQ$3*'Feedstock Conversion Rates'!B$6)/12-15+10-15</f>
        <v>4.4270833333333321</v>
      </c>
      <c r="AR481" s="106">
        <f t="shared" si="486"/>
        <v>83.020833333333329</v>
      </c>
      <c r="AS481" s="104">
        <f>('Renewable Diesel'!M490*'RD Feedstock Breakdown'!AS$3*'Feedstock Conversion Rates'!B$4)/12</f>
        <v>456.25</v>
      </c>
      <c r="AT481" s="104">
        <f>('Renewable Diesel'!M490*'RD Feedstock Breakdown'!AT$3*'Feedstock Conversion Rates'!B$5)/12</f>
        <v>0</v>
      </c>
      <c r="AU481" s="106">
        <f t="shared" si="514"/>
        <v>456.25</v>
      </c>
      <c r="AV481" s="104">
        <f>'Renewable Diesel'!N490*'RD Feedstock Breakdown'!$AV$3*'Feedstock Conversion Rates'!$B$4/12-15-10+25+25-22+25</f>
        <v>106.74999999999999</v>
      </c>
      <c r="AW481" s="104">
        <f>'Renewable Diesel'!N490*'RD Feedstock Breakdown'!$AW$3*'Feedstock Conversion Rates'!$B$7/12+15+10-25-25+22-25</f>
        <v>13.400000000000006</v>
      </c>
      <c r="AX481" s="106">
        <f t="shared" si="475"/>
        <v>120.14999999999999</v>
      </c>
      <c r="AY481" s="104">
        <f>('Renewable Diesel'!O490*'RD Feedstock Breakdown'!AY$3*'Feedstock Conversion Rates'!B$4)/12</f>
        <v>210.9375</v>
      </c>
      <c r="AZ481" s="104">
        <f>('Renewable Diesel'!O490*'RD Feedstock Breakdown'!AZ$3*'Feedstock Conversion Rates'!B$3)/12</f>
        <v>25.03125</v>
      </c>
      <c r="BA481" s="106">
        <f t="shared" ref="BA481:BA495" si="528">SUM(AY481:AZ481)</f>
        <v>235.96875</v>
      </c>
      <c r="BB481" s="104">
        <f>('Renewable Diesel'!Q490*'RD Feedstock Breakdown'!BB$3*'Feedstock Conversion Rates'!B$4)/12</f>
        <v>11.156249999999998</v>
      </c>
      <c r="BC481" s="104">
        <f>('Renewable Diesel'!Q490*'RD Feedstock Breakdown'!BC$3*'Feedstock Conversion Rates'!B$3)/12</f>
        <v>1.4017500000000001</v>
      </c>
      <c r="BD481" s="104">
        <f>('Renewable Diesel'!Q490*'RD Feedstock Breakdown'!BD$3*'Feedstock Conversion Rates'!B$6)/12</f>
        <v>0.8207500000000002</v>
      </c>
      <c r="BE481" s="106">
        <f t="shared" si="505"/>
        <v>13.378749999999998</v>
      </c>
      <c r="BF481" s="104">
        <f>('Renewable Diesel'!R490*'RD Feedstock Breakdown'!BF$3*'Feedstock Conversion Rates'!B$4)/12</f>
        <v>62.5</v>
      </c>
      <c r="BG481" s="106">
        <f t="shared" si="490"/>
        <v>62.5</v>
      </c>
      <c r="BH481" s="104">
        <f>('Renewable Diesel'!T490*'RD Feedstock Breakdown'!BH$3*'Feedstock Conversion Rates'!B$7)/12</f>
        <v>27.599999999999998</v>
      </c>
      <c r="BI481" s="106">
        <f t="shared" si="479"/>
        <v>27.599999999999998</v>
      </c>
      <c r="BJ481" s="104">
        <f>('Renewable Diesel'!W490*'RD Feedstock Breakdown'!BJ$3*'Feedstock Conversion Rates'!B$4)/12</f>
        <v>7.5</v>
      </c>
      <c r="BK481" s="104">
        <f>('Renewable Diesel'!W490*'RD Feedstock Breakdown'!BK$3*'Feedstock Conversion Rates'!B$3)/12</f>
        <v>1.335</v>
      </c>
      <c r="BL481" s="104">
        <f>('Renewable Diesel'!W490*'RD Feedstock Breakdown'!BL$3*'Feedstock Conversion Rates'!B$6)/12</f>
        <v>3.1266666666666669</v>
      </c>
      <c r="BM481" s="104">
        <f>('Renewable Diesel'!W490*'RD Feedstock Breakdown'!BM$3*'Feedstock Conversion Rates'!B$7)/12</f>
        <v>1.5333333333333332</v>
      </c>
      <c r="BN481" s="106">
        <f t="shared" si="518"/>
        <v>13.495000000000001</v>
      </c>
      <c r="BO481" s="104">
        <f>('Renewable Diesel'!P490*'Feedstock Conversion Rates'!B$4)/12</f>
        <v>31.25</v>
      </c>
      <c r="BP481" s="106">
        <f t="shared" si="512"/>
        <v>31.25</v>
      </c>
      <c r="BQ481" s="104">
        <f>('Renewable Diesel'!$S490*'RD Feedstock Breakdown'!BQ$3*'Feedstock Conversion Rates'!B$4)/12+10+15-15</f>
        <v>38.125</v>
      </c>
      <c r="BR481" s="104">
        <f>('Renewable Diesel'!$S490*'RD Feedstock Breakdown'!BR$3*'Feedstock Conversion Rates'!B$7)/12-10-15+15</f>
        <v>1.5</v>
      </c>
      <c r="BS481" s="106">
        <f t="shared" si="460"/>
        <v>39.625</v>
      </c>
      <c r="BT481" s="106"/>
      <c r="BU481" s="104">
        <f>('Renewable Diesel'!Y490*'Feedstock Conversion Rates'!B$7)/12</f>
        <v>2.6833333333333331</v>
      </c>
      <c r="BV481" s="106">
        <f t="shared" si="507"/>
        <v>2.6833333333333331</v>
      </c>
      <c r="BW481" s="104">
        <f>('Renewable Diesel'!$Z490*'RD Feedstock Breakdown'!BW$3*'Feedstock Conversion Rates'!$B$4)/12-250+180</f>
        <v>1.875</v>
      </c>
      <c r="BX481" s="104">
        <f>('Renewable Diesel'!$Z490*'RD Feedstock Breakdown'!BX$3*'Feedstock Conversion Rates'!$B$5)/12</f>
        <v>7.2354166666666666</v>
      </c>
      <c r="BY481" s="104">
        <f>('Renewable Diesel'!$Z490*'RD Feedstock Breakdown'!BY$3*'Feedstock Conversion Rates'!$B$7)/12</f>
        <v>61.716666666666661</v>
      </c>
      <c r="BZ481" s="104">
        <f>('Renewable Diesel'!$Z490*'RD Feedstock Breakdown'!BZ$3*'Feedstock Conversion Rates'!$B$3)/12+250-180</f>
        <v>85.35250000000002</v>
      </c>
      <c r="CA481" s="106">
        <f t="shared" si="464"/>
        <v>156.17958333333334</v>
      </c>
      <c r="CB481" s="104">
        <f>('Renewable Diesel'!AA490*'Feedstock Conversion Rates'!B$4)/12</f>
        <v>191.25</v>
      </c>
      <c r="CC481" s="106">
        <f t="shared" si="520"/>
        <v>191.25</v>
      </c>
      <c r="CD481" s="104">
        <f>('Renewable Diesel'!$AB490*'RD Feedstock Breakdown'!CD$3*'Feedstock Conversion Rates'!$B$6)/12-15-5</f>
        <v>12.830000000000005</v>
      </c>
      <c r="CE481" s="104">
        <f>('Renewable Diesel'!$AB490*'RD Feedstock Breakdown'!CE$3*'Feedstock Conversion Rates'!$B$4)/12+15+5</f>
        <v>31.25</v>
      </c>
      <c r="CF481" s="106">
        <f t="shared" si="516"/>
        <v>44.080000000000005</v>
      </c>
      <c r="CG481" s="104">
        <f>('Renewable Diesel'!AD490*'Feedstock Conversion Rates'!B$4)/12</f>
        <v>112.5</v>
      </c>
      <c r="CH481" s="106">
        <f t="shared" si="504"/>
        <v>112.5</v>
      </c>
      <c r="CI481" s="104">
        <f>('Renewable Diesel'!$AE490*'RD Feedstock Breakdown'!CI$3*'Feedstock Conversion Rates'!$B$5)/12</f>
        <v>0.34604166666666664</v>
      </c>
      <c r="CJ481" s="104">
        <f>('Renewable Diesel'!$AE490*'RD Feedstock Breakdown'!CJ$3*'Feedstock Conversion Rates'!$B$4)/12</f>
        <v>0.34375</v>
      </c>
      <c r="CK481" s="106">
        <f t="shared" si="513"/>
        <v>0.68979166666666658</v>
      </c>
      <c r="CL481" s="104">
        <f>(((CL$3*'Renewable Diesel'!$AF490)*'Feedstock Conversion Rates'!$B$3)/12)</f>
        <v>91.78125</v>
      </c>
      <c r="CM481" s="104">
        <f>(((CM$3*'Renewable Diesel'!$AF490)*'Feedstock Conversion Rates'!$B$6)/12)</f>
        <v>53.739583333333336</v>
      </c>
      <c r="CN481" s="104">
        <f>(((CN$3*'Renewable Diesel'!$AF490)*'Feedstock Conversion Rates'!$B$4)/12)</f>
        <v>42.96875</v>
      </c>
      <c r="CO481" s="106">
        <f t="shared" si="506"/>
        <v>188.48958333333334</v>
      </c>
      <c r="CP481" s="104">
        <f>('Renewable Diesel'!$AG490*'RD Feedstock Breakdown'!CP$3*'Feedstock Conversion Rates'!$B$3)/12</f>
        <v>6.0075000000000003</v>
      </c>
      <c r="CQ481" s="104">
        <f>('Renewable Diesel'!$AG490*'RD Feedstock Breakdown'!CQ$3*'Feedstock Conversion Rates'!$B$6)/12</f>
        <v>3.5175000000000001</v>
      </c>
      <c r="CR481" s="104">
        <f>('Renewable Diesel'!$AG490*'RD Feedstock Breakdown'!CR$3*'Feedstock Conversion Rates'!$B$4)/12</f>
        <v>2.8125</v>
      </c>
      <c r="CS481" s="106">
        <f t="shared" si="467"/>
        <v>12.3375</v>
      </c>
      <c r="CT481" s="104">
        <f>('Renewable Diesel'!AI490*'Feedstock Conversion Rates'!$B$4*'RD Feedstock Breakdown'!$CT$3)/12</f>
        <v>29.375</v>
      </c>
      <c r="CU481" s="106">
        <f t="shared" si="508"/>
        <v>29.375</v>
      </c>
      <c r="CV481" s="104">
        <f>('Renewable Diesel'!AN490*'Feedstock Conversion Rates'!$B$3*'RD Feedstock Breakdown'!$CV$3)/12</f>
        <v>0.50062499999999999</v>
      </c>
      <c r="CW481" s="106">
        <f t="shared" si="485"/>
        <v>0.50062499999999999</v>
      </c>
      <c r="CX481" s="104">
        <f>('Renewable Diesel'!AO490*'RD Feedstock Breakdown'!$CX$3*'Feedstock Conversion Rates'!$B$3)/12</f>
        <v>6.3412499999999996</v>
      </c>
      <c r="CY481" s="104">
        <f>('Renewable Diesel'!AO490*'RD Feedstock Breakdown'!$CY$3*'Feedstock Conversion Rates'!$B$6)/12</f>
        <v>7.4258333333333342</v>
      </c>
      <c r="CZ481" s="106">
        <f t="shared" si="468"/>
        <v>13.767083333333334</v>
      </c>
      <c r="DA481" s="104">
        <f>('Renewable Diesel'!$AP490*'RD Feedstock Breakdown'!DA$3*'Feedstock Conversion Rates'!$B$3)/12</f>
        <v>6.3412499999999996</v>
      </c>
      <c r="DB481" s="104">
        <f>('Renewable Diesel'!$AP490*'RD Feedstock Breakdown'!DB$3*'Feedstock Conversion Rates'!$B$8)/12</f>
        <v>7.421875</v>
      </c>
      <c r="DC481" s="106">
        <f t="shared" si="488"/>
        <v>13.763124999999999</v>
      </c>
      <c r="DD481" s="104">
        <f>('Renewable Diesel'!AQ490*$DD$3*'Feedstock Conversion Rates'!$B$14)/12</f>
        <v>3.1041666666666665</v>
      </c>
      <c r="DE481" s="106">
        <f t="shared" si="489"/>
        <v>3.1041666666666665</v>
      </c>
      <c r="DF481" s="104">
        <f>('Renewable Diesel'!AR490*'Feedstock Conversion Rates'!$B$4*$DF$3)/12</f>
        <v>75</v>
      </c>
      <c r="DG481" s="106">
        <f t="shared" si="469"/>
        <v>75</v>
      </c>
      <c r="DH481" s="104">
        <f>('Renewable Diesel'!AS490*'Feedstock Conversion Rates'!$B$4*$DH$3)/12</f>
        <v>75</v>
      </c>
      <c r="DI481" s="106">
        <f t="shared" si="478"/>
        <v>75</v>
      </c>
      <c r="DJ481" s="104">
        <f>('Renewable Diesel'!AT490*'Feedstock Conversion Rates'!$B$4*0.25)/12</f>
        <v>8.59375</v>
      </c>
      <c r="DK481" s="104">
        <f>('Renewable Diesel'!$AT490*'RD Feedstock Breakdown'!DK$3*'Feedstock Conversion Rates'!$B$3)/12*0.5</f>
        <v>9.1781249999999996</v>
      </c>
      <c r="DL481" s="104">
        <f>('Renewable Diesel'!$AT490*'RD Feedstock Breakdown'!$DL$3*'Feedstock Conversion Rates'!$B$6)/12</f>
        <v>10.747916666666669</v>
      </c>
      <c r="DM481" s="104">
        <f>('Renewable Diesel'!$AT490*'RD Feedstock Breakdown'!$DM$3*'Feedstock Conversion Rates'!$B$8)/12</f>
        <v>10.7421875</v>
      </c>
      <c r="DN481" s="106">
        <f t="shared" si="519"/>
        <v>39.26197916666667</v>
      </c>
      <c r="DP481" s="104">
        <f t="shared" si="491"/>
        <v>103.22025000000001</v>
      </c>
      <c r="DQ481" s="104">
        <f t="shared" si="492"/>
        <v>349.11776750000007</v>
      </c>
      <c r="DR481" s="104">
        <f t="shared" si="497"/>
        <v>1891.953125</v>
      </c>
      <c r="DS481" s="104">
        <f t="shared" si="510"/>
        <v>228.90125</v>
      </c>
      <c r="DT481" s="104">
        <f t="shared" si="493"/>
        <v>243.03923333333344</v>
      </c>
      <c r="DU481" s="104">
        <f t="shared" si="494"/>
        <v>402.90610000000009</v>
      </c>
      <c r="DV481" s="104">
        <f t="shared" si="498"/>
        <v>78.75</v>
      </c>
      <c r="DW481" s="104">
        <f t="shared" si="495"/>
        <v>3</v>
      </c>
      <c r="DX481" s="106">
        <f t="shared" si="499"/>
        <v>3300.8877258333337</v>
      </c>
      <c r="DY481" s="109">
        <f t="shared" si="487"/>
        <v>-5.631051180898794E-13</v>
      </c>
      <c r="EA481" s="110">
        <f t="shared" si="509"/>
        <v>3.1270451640078516E-2</v>
      </c>
      <c r="EB481" s="110">
        <f t="shared" si="522"/>
        <v>0.10576481131658687</v>
      </c>
      <c r="EC481" s="110">
        <f t="shared" si="523"/>
        <v>0.57316494293133291</v>
      </c>
      <c r="ED481" s="110">
        <f t="shared" si="524"/>
        <v>6.9345360706629972E-2</v>
      </c>
      <c r="EE481" s="110">
        <f t="shared" si="521"/>
        <v>7.3628445896921982E-2</v>
      </c>
      <c r="EF481" s="110">
        <f t="shared" si="521"/>
        <v>0.1220599225010852</v>
      </c>
      <c r="EG481" s="110">
        <f t="shared" si="521"/>
        <v>2.3857218585075921E-2</v>
      </c>
      <c r="EH481" s="111">
        <f t="shared" si="500"/>
        <v>9.0884642228860647E-4</v>
      </c>
      <c r="EI481" s="110">
        <f t="shared" si="476"/>
        <v>0.99909115357771139</v>
      </c>
      <c r="EK481" s="132">
        <f>(EA481*'Renewable Diesel'!BF490*'Feedstock Conversion Rates'!B$2)+FB481</f>
        <v>1027.770585957529</v>
      </c>
      <c r="EL481" s="132">
        <f>(EB481*'Renewable Diesel'!BF490*'Feedstock Conversion Rates'!B$3)+FC481</f>
        <v>3275.7957856228804</v>
      </c>
      <c r="EM481" s="132">
        <f>(EC481*'Renewable Diesel'!BF490*'Feedstock Conversion Rates'!B$4)+FD481</f>
        <v>16622.027157679197</v>
      </c>
      <c r="EN481" s="132">
        <f>(ED481*'Renewable Diesel'!BF490*'Feedstock Conversion Rates'!B$5)+FE481</f>
        <v>2024.4519249842551</v>
      </c>
      <c r="EO481" s="132">
        <f>(EE481*'Renewable Diesel'!BF490*'Feedstock Conversion Rates'!B$6)+FF481</f>
        <v>2670.4938179787878</v>
      </c>
      <c r="EP481" s="132">
        <f>(EF481*'Renewable Diesel'!BF490*'Feedstock Conversion Rates'!B$7)+FG481</f>
        <v>4342.1420005135642</v>
      </c>
      <c r="EQ481" s="132">
        <f>(EG481*'Renewable Diesel'!BF490*'Feedstock Conversion Rates'!B$8)+FH481</f>
        <v>864.83685917643766</v>
      </c>
      <c r="ER481" s="132">
        <f>(EH481*'Renewable Diesel'!BF490*'Feedstock Conversion Rates'!B$9)+FI481</f>
        <v>32.506883849679426</v>
      </c>
      <c r="ES481" s="132">
        <f t="shared" si="501"/>
        <v>30860.02501576233</v>
      </c>
      <c r="ET481" s="133">
        <f>ES481/'Renewable Diesel'!BF490</f>
        <v>23.49485695579607</v>
      </c>
      <c r="EW481" s="73">
        <f t="shared" si="461"/>
        <v>30958.970664064895</v>
      </c>
      <c r="EX481" s="73">
        <f t="shared" si="462"/>
        <v>20278.295359179789</v>
      </c>
      <c r="EY481" s="92">
        <f t="shared" si="477"/>
        <v>1.0032062724593394</v>
      </c>
      <c r="EZ481" s="92">
        <f t="shared" si="477"/>
        <v>0.65710560340836643</v>
      </c>
      <c r="FB481" s="102">
        <f>IF('Renewable Diesel'!$BG490&lt;1,0,(((('Renewable Diesel'!$BG490-1)*'Renewable Diesel'!$BF490)*'RD Feedstock Breakdown'!EA481)*'Feedstock Conversion Rates'!$B$2))</f>
        <v>678.64912357526714</v>
      </c>
      <c r="FC481" s="102">
        <f>IF('Renewable Diesel'!$BG490&lt;1,0,(((('Renewable Diesel'!$BG490-1)*'Renewable Diesel'!$BF490)*'RD Feedstock Breakdown'!EB481)*'Feedstock Conversion Rates'!$B$3))</f>
        <v>2163.0468601641696</v>
      </c>
      <c r="FD481" s="102">
        <f>IF('Renewable Diesel'!$BG490&lt;1,0,(((('Renewable Diesel'!$BG490-1)*'Renewable Diesel'!$BF490)*'RD Feedstock Breakdown'!EC481)*'Feedstock Conversion Rates'!$B$4))</f>
        <v>10975.721933211102</v>
      </c>
      <c r="FE481" s="102">
        <f>IF('Renewable Diesel'!$BG490&lt;1,0,(((('Renewable Diesel'!$BG490-1)*'Renewable Diesel'!$BF490)*'RD Feedstock Breakdown'!ED481)*'Feedstock Conversion Rates'!$B$5))</f>
        <v>1336.7696481903417</v>
      </c>
      <c r="FF481" s="102">
        <f>IF('Renewable Diesel'!$BG490&lt;1,0,(((('Renewable Diesel'!$BG490-1)*'Renewable Diesel'!$BF490)*'RD Feedstock Breakdown'!EE481)*'Feedstock Conversion Rates'!$B$6))</f>
        <v>1763.3587824426852</v>
      </c>
      <c r="FG481" s="102">
        <f>IF('Renewable Diesel'!$BG490&lt;1,0,(((('Renewable Diesel'!$BG490-1)*'Renewable Diesel'!$BF490)*'RD Feedstock Breakdown'!EF481)*'Feedstock Conversion Rates'!$B$7))</f>
        <v>2867.1679296430648</v>
      </c>
      <c r="FH481" s="102">
        <f>IF('Renewable Diesel'!$BG490&lt;1,0,(((('Renewable Diesel'!$BG490-1)*'Renewable Diesel'!$BF490)*'RD Feedstock Breakdown'!EG481)*'Feedstock Conversion Rates'!$B$8))</f>
        <v>571.06204880232849</v>
      </c>
      <c r="FI481" s="102">
        <f>IF('Renewable Diesel'!$BG490&lt;1,0,(((('Renewable Diesel'!$BG490-1)*'Renewable Diesel'!$BF490)*'RD Feedstock Breakdown'!EH481)*'Feedstock Conversion Rates'!$B$9))</f>
        <v>21.464681453395453</v>
      </c>
      <c r="FJ481" s="102">
        <f t="shared" si="463"/>
        <v>20377.241007482353</v>
      </c>
      <c r="GD481" s="91">
        <f>'Renewable Diesel'!BB490*0.32</f>
        <v>0</v>
      </c>
      <c r="GE481" s="91">
        <f>'Renewable Diesel'!BC490</f>
        <v>721.03935158478771</v>
      </c>
      <c r="GF481" s="91">
        <f>'Renewable Diesel'!BD490</f>
        <v>0</v>
      </c>
      <c r="GG481" s="91">
        <f t="shared" si="517"/>
        <v>721.03935158478771</v>
      </c>
      <c r="GH481" s="124">
        <v>1</v>
      </c>
      <c r="GI481" s="102">
        <f>$GG481*EA481*'Feedstock Conversion Rates'!$B$2</f>
        <v>191.65142248176824</v>
      </c>
      <c r="GJ481" s="102">
        <f>$GG481*EB481*'Feedstock Conversion Rates'!$B$3</f>
        <v>610.84733368731565</v>
      </c>
      <c r="GK481" s="102">
        <f>$GG481*EC481*'Feedstock Conversion Rates'!$B$4</f>
        <v>3099.558591017551</v>
      </c>
      <c r="GL481" s="102">
        <f>$GG481*ED481*'Feedstock Conversion Rates'!$B$5</f>
        <v>377.50554109087875</v>
      </c>
      <c r="GM481" s="102">
        <f>$GG481*EE481*'Feedstock Conversion Rates'!$B$6</f>
        <v>497.97488460674094</v>
      </c>
      <c r="GN481" s="102">
        <f>$GG481*EF481*'Feedstock Conversion Rates'!$B$7</f>
        <v>809.69206784698156</v>
      </c>
      <c r="GO481" s="102">
        <f>$GG481*EG481*'Feedstock Conversion Rates'!$B$8</f>
        <v>161.26868830499708</v>
      </c>
      <c r="GP481" s="102">
        <f>$GG481*EH481*'Feedstock Conversion Rates'!B$9</f>
        <v>6.0616548239084613</v>
      </c>
      <c r="GQ481" s="102">
        <f t="shared" si="502"/>
        <v>5754.5601838601415</v>
      </c>
      <c r="GT481" s="103">
        <f t="shared" si="484"/>
        <v>3.3304269372191893E-2</v>
      </c>
      <c r="GU481" s="103">
        <f t="shared" si="484"/>
        <v>0.10615013383656388</v>
      </c>
      <c r="GV481" s="103">
        <f t="shared" si="484"/>
        <v>0.53862649654979833</v>
      </c>
      <c r="GW481" s="103">
        <f t="shared" si="484"/>
        <v>6.5601110950176761E-2</v>
      </c>
      <c r="GX481" s="103">
        <f t="shared" si="465"/>
        <v>8.653569841938831E-2</v>
      </c>
      <c r="GY481" s="103">
        <f t="shared" si="465"/>
        <v>0.14070442257566981</v>
      </c>
      <c r="GZ481" s="103">
        <f t="shared" si="465"/>
        <v>2.8024502855545523E-2</v>
      </c>
      <c r="HA481" s="103">
        <f t="shared" si="465"/>
        <v>1.0533654406655838E-3</v>
      </c>
    </row>
    <row r="482" spans="1:209" x14ac:dyDescent="0.25">
      <c r="A482" s="96">
        <v>55093</v>
      </c>
      <c r="B482" s="104">
        <f t="shared" si="473"/>
        <v>44.25</v>
      </c>
      <c r="C482" s="104">
        <f t="shared" si="466"/>
        <v>49</v>
      </c>
      <c r="D482" s="104">
        <f t="shared" si="474"/>
        <v>2</v>
      </c>
      <c r="E482" s="104">
        <f>('Renewable Diesel'!B491*E$3*'Feedstock Conversion Rates'!$B$2)/12+26+13-100+27.5+39</f>
        <v>95.43</v>
      </c>
      <c r="F482" s="104">
        <f>('Renewable Diesel'!B491*'RD Feedstock Breakdown'!F$3*'Feedstock Conversion Rates'!B$8)/12+77+23-10-12-115.75+24+8</f>
        <v>48.15625</v>
      </c>
      <c r="G482" s="104">
        <f>('Renewable Diesel'!B491*'RD Feedstock Breakdown'!G$3*'Feedstock Conversion Rates'!B$7)/12+116.75-39-57.5-145-31.5+32+70-40+10+60</f>
        <v>151.90700000000004</v>
      </c>
      <c r="H482" s="104">
        <f>('Renewable Diesel'!B491*'RD Feedstock Breakdown'!H$3*'Feedstock Conversion Rates'!B$3)/12+67+10+12+3-235+20+47-20+25</f>
        <v>105.40022499999998</v>
      </c>
      <c r="I482" s="106">
        <f t="shared" si="515"/>
        <v>496.14347500000002</v>
      </c>
      <c r="J482" s="104">
        <f t="shared" si="483"/>
        <v>4</v>
      </c>
      <c r="K482" s="104"/>
      <c r="L482" s="104">
        <v>1</v>
      </c>
      <c r="M482" s="104">
        <f>('Renewable Diesel'!C491*'RD Feedstock Breakdown'!M$3*'Feedstock Conversion Rates'!B$2)/12</f>
        <v>7.7902500000000003</v>
      </c>
      <c r="N482" s="104">
        <f>('Renewable Diesel'!C491*'RD Feedstock Breakdown'!N$3*'Feedstock Conversion Rates'!B$8)/12</f>
        <v>3.671875</v>
      </c>
      <c r="O482" s="104">
        <f>('Renewable Diesel'!C491*'RD Feedstock Breakdown'!O$3*'Feedstock Conversion Rates'!B$7)/12</f>
        <v>11.9991</v>
      </c>
      <c r="P482" s="104">
        <f>('Renewable Diesel'!C491*'RD Feedstock Breakdown'!P$3*'Feedstock Conversion Rates'!B$3)/12</f>
        <v>10.4470425</v>
      </c>
      <c r="Q482" s="106">
        <f t="shared" si="525"/>
        <v>38.908267500000001</v>
      </c>
      <c r="R482" s="104">
        <f>('Renewable Diesel'!D491*'RD Feedstock Breakdown'!R$3*'Feedstock Conversion Rates'!B$7)/12</f>
        <v>2.2999999999999998</v>
      </c>
      <c r="S482" s="106">
        <f t="shared" si="481"/>
        <v>2.2999999999999998</v>
      </c>
      <c r="T482" s="104">
        <f t="shared" si="526"/>
        <v>0.82499999999999929</v>
      </c>
      <c r="U482" s="104"/>
      <c r="V482" s="104">
        <f>('Renewable Diesel'!E491*'RD Feedstock Breakdown'!V$3*'Feedstock Conversion Rates'!B$6)/12-20+25</f>
        <v>49.250150000000012</v>
      </c>
      <c r="W482" s="104">
        <f>('Renewable Diesel'!E491*'RD Feedstock Breakdown'!W$3*'Feedstock Conversion Rates'!B$8)/12-6</f>
        <v>16.1796875</v>
      </c>
      <c r="X482" s="106">
        <f t="shared" si="503"/>
        <v>66.254837500000008</v>
      </c>
      <c r="Y482" s="104">
        <f t="shared" si="527"/>
        <v>98</v>
      </c>
      <c r="Z482" s="104">
        <f>('Renewable Diesel'!F491*'RD Feedstock Breakdown'!Z$3*'Feedstock Conversion Rates'!B$6)/12-142+15+5+20+5+15</f>
        <v>77.460000000000008</v>
      </c>
      <c r="AA482" s="104">
        <f>('Renewable Diesel'!F491*'RD Feedstock Breakdown'!AA$3*'Feedstock Conversion Rates'!B$7)/12+24</f>
        <v>128.26666666666665</v>
      </c>
      <c r="AB482" s="106">
        <f t="shared" si="471"/>
        <v>303.72666666666669</v>
      </c>
      <c r="AC482" s="104">
        <f>('Renewable Diesel'!G491*'RD Feedstock Breakdown'!AC$3*'Feedstock Conversion Rates'!B$5)/12</f>
        <v>11.796875</v>
      </c>
      <c r="AD482" s="104">
        <f>('Renewable Diesel'!G491*'RD Feedstock Breakdown'!AD$3*'Feedstock Conversion Rates'!B$4)/12</f>
        <v>5.859375</v>
      </c>
      <c r="AE482" s="104">
        <f>('Renewable Diesel'!G491*'RD Feedstock Breakdown'!AE$3*'Feedstock Conversion Rates'!B$6)/12</f>
        <v>7.3281250000000009</v>
      </c>
      <c r="AF482" s="106">
        <f t="shared" si="511"/>
        <v>24.984375</v>
      </c>
      <c r="AG482" s="104">
        <f t="shared" ref="AG482:AG495" si="529">130+20-51+49</f>
        <v>148</v>
      </c>
      <c r="AH482" s="104"/>
      <c r="AI482" s="104">
        <f>('Renewable Diesel'!H491*'RD Feedstock Breakdown'!AI$3*'Feedstock Conversion Rates'!B$6)/12-130-20+51-49</f>
        <v>0.51666666666667993</v>
      </c>
      <c r="AJ482" s="106">
        <f t="shared" si="480"/>
        <v>148.51666666666668</v>
      </c>
      <c r="AK482" s="104">
        <f>('Renewable Diesel'!J491*'RD Feedstock Breakdown'!AK$3*'Feedstock Conversion Rates'!B$4)/12</f>
        <v>95.8125</v>
      </c>
      <c r="AL482" s="106">
        <f t="shared" si="482"/>
        <v>95.8125</v>
      </c>
      <c r="AM482" s="104">
        <f>('Renewable Diesel'!K491*'RD Feedstock Breakdown'!AM$3*'Feedstock Conversion Rates'!B$4)/12+5+15-10+10</f>
        <v>78.59375</v>
      </c>
      <c r="AN482" s="104">
        <f>('Renewable Diesel'!K491*'RD Feedstock Breakdown'!AN$3*'Feedstock Conversion Rates'!B$6)/12-5-15+10-10</f>
        <v>4.4270833333333321</v>
      </c>
      <c r="AO482" s="106">
        <f t="shared" si="496"/>
        <v>83.020833333333329</v>
      </c>
      <c r="AP482" s="104">
        <f>('Renewable Diesel'!L491*'RD Feedstock Breakdown'!AP$3*'Feedstock Conversion Rates'!B$4)/12+15-10+15</f>
        <v>78.59375</v>
      </c>
      <c r="AQ482" s="104">
        <f>('Renewable Diesel'!L491*'RD Feedstock Breakdown'!AQ$3*'Feedstock Conversion Rates'!B$6)/12-15+10-15</f>
        <v>4.4270833333333321</v>
      </c>
      <c r="AR482" s="106">
        <f t="shared" si="486"/>
        <v>83.020833333333329</v>
      </c>
      <c r="AS482" s="104">
        <f>('Renewable Diesel'!M491*'RD Feedstock Breakdown'!AS$3*'Feedstock Conversion Rates'!B$4)/12</f>
        <v>456.25</v>
      </c>
      <c r="AT482" s="104">
        <f>('Renewable Diesel'!M491*'RD Feedstock Breakdown'!AT$3*'Feedstock Conversion Rates'!B$5)/12</f>
        <v>0</v>
      </c>
      <c r="AU482" s="106">
        <f t="shared" si="514"/>
        <v>456.25</v>
      </c>
      <c r="AV482" s="104">
        <f>'Renewable Diesel'!N491*'RD Feedstock Breakdown'!$AV$3*'Feedstock Conversion Rates'!$B$4/12-15-10+25+25-22+25</f>
        <v>106.74999999999999</v>
      </c>
      <c r="AW482" s="104">
        <f>'Renewable Diesel'!N491*'RD Feedstock Breakdown'!$AW$3*'Feedstock Conversion Rates'!$B$7/12+15+10-25-25+22-25</f>
        <v>13.400000000000006</v>
      </c>
      <c r="AX482" s="106">
        <f t="shared" si="475"/>
        <v>120.14999999999999</v>
      </c>
      <c r="AY482" s="104">
        <f>('Renewable Diesel'!O491*'RD Feedstock Breakdown'!AY$3*'Feedstock Conversion Rates'!B$4)/12</f>
        <v>210.9375</v>
      </c>
      <c r="AZ482" s="104">
        <f>('Renewable Diesel'!O491*'RD Feedstock Breakdown'!AZ$3*'Feedstock Conversion Rates'!B$3)/12</f>
        <v>25.03125</v>
      </c>
      <c r="BA482" s="106">
        <f t="shared" si="528"/>
        <v>235.96875</v>
      </c>
      <c r="BB482" s="104">
        <f>('Renewable Diesel'!Q491*'RD Feedstock Breakdown'!BB$3*'Feedstock Conversion Rates'!B$4)/12</f>
        <v>11.156249999999998</v>
      </c>
      <c r="BC482" s="104">
        <f>('Renewable Diesel'!Q491*'RD Feedstock Breakdown'!BC$3*'Feedstock Conversion Rates'!B$3)/12</f>
        <v>1.4017500000000001</v>
      </c>
      <c r="BD482" s="104">
        <f>('Renewable Diesel'!Q491*'RD Feedstock Breakdown'!BD$3*'Feedstock Conversion Rates'!B$6)/12</f>
        <v>0.8207500000000002</v>
      </c>
      <c r="BE482" s="106">
        <f t="shared" si="505"/>
        <v>13.378749999999998</v>
      </c>
      <c r="BF482" s="104">
        <f>('Renewable Diesel'!R491*'RD Feedstock Breakdown'!BF$3*'Feedstock Conversion Rates'!B$4)/12</f>
        <v>62.5</v>
      </c>
      <c r="BG482" s="106">
        <f t="shared" si="490"/>
        <v>62.5</v>
      </c>
      <c r="BH482" s="104">
        <f>('Renewable Diesel'!T491*'RD Feedstock Breakdown'!BH$3*'Feedstock Conversion Rates'!B$7)/12</f>
        <v>27.599999999999998</v>
      </c>
      <c r="BI482" s="106">
        <f t="shared" si="479"/>
        <v>27.599999999999998</v>
      </c>
      <c r="BJ482" s="104">
        <f>('Renewable Diesel'!W491*'RD Feedstock Breakdown'!BJ$3*'Feedstock Conversion Rates'!B$4)/12</f>
        <v>7.5</v>
      </c>
      <c r="BK482" s="104">
        <f>('Renewable Diesel'!W491*'RD Feedstock Breakdown'!BK$3*'Feedstock Conversion Rates'!B$3)/12</f>
        <v>1.335</v>
      </c>
      <c r="BL482" s="104">
        <f>('Renewable Diesel'!W491*'RD Feedstock Breakdown'!BL$3*'Feedstock Conversion Rates'!B$6)/12</f>
        <v>3.1266666666666669</v>
      </c>
      <c r="BM482" s="104">
        <f>('Renewable Diesel'!W491*'RD Feedstock Breakdown'!BM$3*'Feedstock Conversion Rates'!B$7)/12</f>
        <v>1.5333333333333332</v>
      </c>
      <c r="BN482" s="106">
        <f t="shared" si="518"/>
        <v>13.495000000000001</v>
      </c>
      <c r="BO482" s="104">
        <f>('Renewable Diesel'!P491*'Feedstock Conversion Rates'!B$4)/12</f>
        <v>31.25</v>
      </c>
      <c r="BP482" s="106">
        <f t="shared" si="512"/>
        <v>31.25</v>
      </c>
      <c r="BQ482" s="104">
        <f>('Renewable Diesel'!$S491*'RD Feedstock Breakdown'!BQ$3*'Feedstock Conversion Rates'!B$4)/12+10+15-15</f>
        <v>38.125</v>
      </c>
      <c r="BR482" s="104">
        <f>('Renewable Diesel'!$S491*'RD Feedstock Breakdown'!BR$3*'Feedstock Conversion Rates'!B$7)/12-10-15+15</f>
        <v>1.5</v>
      </c>
      <c r="BS482" s="106">
        <f t="shared" si="460"/>
        <v>39.625</v>
      </c>
      <c r="BT482" s="106"/>
      <c r="BU482" s="104">
        <f>('Renewable Diesel'!Y491*'Feedstock Conversion Rates'!B$7)/12</f>
        <v>2.6833333333333331</v>
      </c>
      <c r="BV482" s="106">
        <f t="shared" si="507"/>
        <v>2.6833333333333331</v>
      </c>
      <c r="BW482" s="104">
        <f>('Renewable Diesel'!$Z491*'RD Feedstock Breakdown'!BW$3*'Feedstock Conversion Rates'!$B$4)/12-250+180</f>
        <v>1.875</v>
      </c>
      <c r="BX482" s="104">
        <f>('Renewable Diesel'!$Z491*'RD Feedstock Breakdown'!BX$3*'Feedstock Conversion Rates'!$B$5)/12</f>
        <v>7.2354166666666666</v>
      </c>
      <c r="BY482" s="104">
        <f>('Renewable Diesel'!$Z491*'RD Feedstock Breakdown'!BY$3*'Feedstock Conversion Rates'!$B$7)/12</f>
        <v>61.716666666666661</v>
      </c>
      <c r="BZ482" s="104">
        <f>('Renewable Diesel'!$Z491*'RD Feedstock Breakdown'!BZ$3*'Feedstock Conversion Rates'!$B$3)/12+250-180</f>
        <v>85.35250000000002</v>
      </c>
      <c r="CA482" s="106">
        <f t="shared" si="464"/>
        <v>156.17958333333334</v>
      </c>
      <c r="CB482" s="104">
        <f>('Renewable Diesel'!AA491*'Feedstock Conversion Rates'!B$4)/12</f>
        <v>191.25</v>
      </c>
      <c r="CC482" s="106">
        <f t="shared" si="520"/>
        <v>191.25</v>
      </c>
      <c r="CD482" s="104">
        <f>('Renewable Diesel'!$AB491*'RD Feedstock Breakdown'!CD$3*'Feedstock Conversion Rates'!$B$6)/12-15-5</f>
        <v>12.830000000000005</v>
      </c>
      <c r="CE482" s="104">
        <f>('Renewable Diesel'!$AB491*'RD Feedstock Breakdown'!CE$3*'Feedstock Conversion Rates'!$B$4)/12+15+5</f>
        <v>31.25</v>
      </c>
      <c r="CF482" s="106">
        <f t="shared" si="516"/>
        <v>44.080000000000005</v>
      </c>
      <c r="CG482" s="104">
        <f>('Renewable Diesel'!AD491*'Feedstock Conversion Rates'!B$4)/12</f>
        <v>112.5</v>
      </c>
      <c r="CH482" s="106">
        <f t="shared" si="504"/>
        <v>112.5</v>
      </c>
      <c r="CI482" s="104">
        <f>('Renewable Diesel'!$AE491*'RD Feedstock Breakdown'!CI$3*'Feedstock Conversion Rates'!$B$5)/12</f>
        <v>0.34604166666666664</v>
      </c>
      <c r="CJ482" s="104">
        <f>('Renewable Diesel'!$AE491*'RD Feedstock Breakdown'!CJ$3*'Feedstock Conversion Rates'!$B$4)/12</f>
        <v>0.34375</v>
      </c>
      <c r="CK482" s="106">
        <f t="shared" si="513"/>
        <v>0.68979166666666658</v>
      </c>
      <c r="CL482" s="104">
        <f>(((CL$3*'Renewable Diesel'!$AF491)*'Feedstock Conversion Rates'!$B$3)/12)</f>
        <v>91.78125</v>
      </c>
      <c r="CM482" s="104">
        <f>(((CM$3*'Renewable Diesel'!$AF491)*'Feedstock Conversion Rates'!$B$6)/12)</f>
        <v>53.739583333333336</v>
      </c>
      <c r="CN482" s="104">
        <f>(((CN$3*'Renewable Diesel'!$AF491)*'Feedstock Conversion Rates'!$B$4)/12)</f>
        <v>42.96875</v>
      </c>
      <c r="CO482" s="106">
        <f t="shared" si="506"/>
        <v>188.48958333333334</v>
      </c>
      <c r="CP482" s="104">
        <f>('Renewable Diesel'!$AG491*'RD Feedstock Breakdown'!CP$3*'Feedstock Conversion Rates'!$B$3)/12</f>
        <v>6.0075000000000003</v>
      </c>
      <c r="CQ482" s="104">
        <f>('Renewable Diesel'!$AG491*'RD Feedstock Breakdown'!CQ$3*'Feedstock Conversion Rates'!$B$6)/12</f>
        <v>3.5175000000000001</v>
      </c>
      <c r="CR482" s="104">
        <f>('Renewable Diesel'!$AG491*'RD Feedstock Breakdown'!CR$3*'Feedstock Conversion Rates'!$B$4)/12</f>
        <v>2.8125</v>
      </c>
      <c r="CS482" s="106">
        <f t="shared" si="467"/>
        <v>12.3375</v>
      </c>
      <c r="CT482" s="104">
        <f>('Renewable Diesel'!AI491*'Feedstock Conversion Rates'!$B$4*'RD Feedstock Breakdown'!$CT$3)/12</f>
        <v>29.375</v>
      </c>
      <c r="CU482" s="106">
        <f t="shared" si="508"/>
        <v>29.375</v>
      </c>
      <c r="CV482" s="104">
        <f>('Renewable Diesel'!AN491*'Feedstock Conversion Rates'!$B$3*'RD Feedstock Breakdown'!$CV$3)/12</f>
        <v>0.50062499999999999</v>
      </c>
      <c r="CW482" s="106">
        <f t="shared" si="485"/>
        <v>0.50062499999999999</v>
      </c>
      <c r="CX482" s="104">
        <f>('Renewable Diesel'!AO491*'RD Feedstock Breakdown'!$CX$3*'Feedstock Conversion Rates'!$B$3)/12</f>
        <v>6.3412499999999996</v>
      </c>
      <c r="CY482" s="104">
        <f>('Renewable Diesel'!AO491*'RD Feedstock Breakdown'!$CY$3*'Feedstock Conversion Rates'!$B$6)/12</f>
        <v>7.4258333333333342</v>
      </c>
      <c r="CZ482" s="106">
        <f t="shared" si="468"/>
        <v>13.767083333333334</v>
      </c>
      <c r="DA482" s="104">
        <f>('Renewable Diesel'!$AP491*'RD Feedstock Breakdown'!DA$3*'Feedstock Conversion Rates'!$B$3)/12</f>
        <v>6.3412499999999996</v>
      </c>
      <c r="DB482" s="104">
        <f>('Renewable Diesel'!$AP491*'RD Feedstock Breakdown'!DB$3*'Feedstock Conversion Rates'!$B$8)/12</f>
        <v>7.421875</v>
      </c>
      <c r="DC482" s="106">
        <f t="shared" si="488"/>
        <v>13.763124999999999</v>
      </c>
      <c r="DD482" s="104">
        <f>('Renewable Diesel'!AQ491*$DD$3*'Feedstock Conversion Rates'!$B$14)/12</f>
        <v>3.1041666666666665</v>
      </c>
      <c r="DE482" s="106">
        <f t="shared" si="489"/>
        <v>3.1041666666666665</v>
      </c>
      <c r="DF482" s="104">
        <f>('Renewable Diesel'!AR491*'Feedstock Conversion Rates'!$B$4*$DF$3)/12</f>
        <v>75</v>
      </c>
      <c r="DG482" s="106">
        <f t="shared" si="469"/>
        <v>75</v>
      </c>
      <c r="DH482" s="104">
        <f>('Renewable Diesel'!AS491*'Feedstock Conversion Rates'!$B$4*$DH$3)/12</f>
        <v>75</v>
      </c>
      <c r="DI482" s="106">
        <f t="shared" si="478"/>
        <v>75</v>
      </c>
      <c r="DJ482" s="104">
        <f>('Renewable Diesel'!AT491*'Feedstock Conversion Rates'!$B$4*0.25)/12</f>
        <v>8.59375</v>
      </c>
      <c r="DK482" s="104">
        <f>('Renewable Diesel'!$AT491*'RD Feedstock Breakdown'!DK$3*'Feedstock Conversion Rates'!$B$3)/12*0.5</f>
        <v>9.1781249999999996</v>
      </c>
      <c r="DL482" s="104">
        <f>('Renewable Diesel'!$AT491*'RD Feedstock Breakdown'!$DL$3*'Feedstock Conversion Rates'!$B$6)/12</f>
        <v>10.747916666666669</v>
      </c>
      <c r="DM482" s="104">
        <f>('Renewable Diesel'!$AT491*'RD Feedstock Breakdown'!$DM$3*'Feedstock Conversion Rates'!$B$8)/12</f>
        <v>10.7421875</v>
      </c>
      <c r="DN482" s="106">
        <f t="shared" si="519"/>
        <v>39.26197916666667</v>
      </c>
      <c r="DP482" s="104">
        <f t="shared" si="491"/>
        <v>103.22025000000001</v>
      </c>
      <c r="DQ482" s="104">
        <f t="shared" si="492"/>
        <v>349.11776750000007</v>
      </c>
      <c r="DR482" s="104">
        <f t="shared" si="497"/>
        <v>1891.953125</v>
      </c>
      <c r="DS482" s="104">
        <f t="shared" si="510"/>
        <v>228.90125</v>
      </c>
      <c r="DT482" s="104">
        <f t="shared" si="493"/>
        <v>243.03923333333344</v>
      </c>
      <c r="DU482" s="104">
        <f t="shared" si="494"/>
        <v>402.90610000000009</v>
      </c>
      <c r="DV482" s="104">
        <f t="shared" si="498"/>
        <v>78.75</v>
      </c>
      <c r="DW482" s="104">
        <f t="shared" si="495"/>
        <v>3</v>
      </c>
      <c r="DX482" s="106">
        <f t="shared" si="499"/>
        <v>3300.8877258333337</v>
      </c>
      <c r="DY482" s="109">
        <f t="shared" si="487"/>
        <v>-5.631051180898794E-13</v>
      </c>
      <c r="EA482" s="110">
        <f t="shared" si="509"/>
        <v>3.1270451640078516E-2</v>
      </c>
      <c r="EB482" s="110">
        <f t="shared" si="522"/>
        <v>0.10576481131658687</v>
      </c>
      <c r="EC482" s="110">
        <f t="shared" si="523"/>
        <v>0.57316494293133291</v>
      </c>
      <c r="ED482" s="110">
        <f t="shared" si="524"/>
        <v>6.9345360706629972E-2</v>
      </c>
      <c r="EE482" s="110">
        <f t="shared" si="521"/>
        <v>7.3628445896921982E-2</v>
      </c>
      <c r="EF482" s="110">
        <f t="shared" si="521"/>
        <v>0.1220599225010852</v>
      </c>
      <c r="EG482" s="110">
        <f t="shared" si="521"/>
        <v>2.3857218585075921E-2</v>
      </c>
      <c r="EH482" s="111">
        <f t="shared" si="500"/>
        <v>9.0884642228860647E-4</v>
      </c>
      <c r="EI482" s="110">
        <f t="shared" si="476"/>
        <v>0.99909115357771139</v>
      </c>
      <c r="EK482" s="132">
        <f>(EA482*'Renewable Diesel'!BF491*'Feedstock Conversion Rates'!B$2)+FB482</f>
        <v>1040.941449584451</v>
      </c>
      <c r="EL482" s="132">
        <f>(EB482*'Renewable Diesel'!BF491*'Feedstock Conversion Rates'!B$3)+FC482</f>
        <v>3317.7750562418087</v>
      </c>
      <c r="EM482" s="132">
        <f>(EC482*'Renewable Diesel'!BF491*'Feedstock Conversion Rates'!B$4)+FD482</f>
        <v>16835.038169949825</v>
      </c>
      <c r="EN482" s="132">
        <f>(ED482*'Renewable Diesel'!BF491*'Feedstock Conversion Rates'!B$5)+FE482</f>
        <v>2050.3952440357398</v>
      </c>
      <c r="EO482" s="132">
        <f>(EE482*'Renewable Diesel'!BF491*'Feedstock Conversion Rates'!B$6)+FF482</f>
        <v>2704.7161535599998</v>
      </c>
      <c r="EP482" s="132">
        <f>(EF482*'Renewable Diesel'!BF491*'Feedstock Conversion Rates'!B$7)+FG482</f>
        <v>4397.7864808274408</v>
      </c>
      <c r="EQ482" s="132">
        <f>(EG482*'Renewable Diesel'!BF491*'Feedstock Conversion Rates'!B$8)+FH482</f>
        <v>875.91972969966457</v>
      </c>
      <c r="ER482" s="132">
        <f>(EH482*'Renewable Diesel'!BF491*'Feedstock Conversion Rates'!B$9)+FI482</f>
        <v>32.923459046488979</v>
      </c>
      <c r="ES482" s="132">
        <f t="shared" si="501"/>
        <v>31255.495742945419</v>
      </c>
      <c r="ET482" s="133">
        <f>ES482/'Renewable Diesel'!BF491</f>
        <v>23.260424945958849</v>
      </c>
      <c r="EW482" s="73">
        <f t="shared" si="461"/>
        <v>31291.053712662342</v>
      </c>
      <c r="EX482" s="73">
        <f t="shared" si="462"/>
        <v>20495.811574957996</v>
      </c>
      <c r="EY482" s="92">
        <f t="shared" si="477"/>
        <v>1.0011376549586468</v>
      </c>
      <c r="EZ482" s="92">
        <f t="shared" si="477"/>
        <v>0.65575064761479718</v>
      </c>
      <c r="FB482" s="102">
        <f>IF('Renewable Diesel'!$BG491&lt;1,0,(((('Renewable Diesel'!$BG491-1)*'Renewable Diesel'!$BF491)*'RD Feedstock Breakdown'!EA482)*'Feedstock Conversion Rates'!$B$2))</f>
        <v>683.78226189587019</v>
      </c>
      <c r="FC482" s="102">
        <f>IF('Renewable Diesel'!$BG491&lt;1,0,(((('Renewable Diesel'!$BG491-1)*'Renewable Diesel'!$BF491)*'RD Feedstock Breakdown'!EB482)*'Feedstock Conversion Rates'!$B$3))</f>
        <v>2179.4076250151943</v>
      </c>
      <c r="FD482" s="102">
        <f>IF('Renewable Diesel'!$BG491&lt;1,0,(((('Renewable Diesel'!$BG491-1)*'Renewable Diesel'!$BF491)*'RD Feedstock Breakdown'!EC482)*'Feedstock Conversion Rates'!$B$4))</f>
        <v>11058.739647217479</v>
      </c>
      <c r="FE482" s="102">
        <f>IF('Renewable Diesel'!$BG491&lt;1,0,(((('Renewable Diesel'!$BG491-1)*'Renewable Diesel'!$BF491)*'RD Feedstock Breakdown'!ED482)*'Feedstock Conversion Rates'!$B$5))</f>
        <v>1346.8806514592995</v>
      </c>
      <c r="FF482" s="102">
        <f>IF('Renewable Diesel'!$BG491&lt;1,0,(((('Renewable Diesel'!$BG491-1)*'Renewable Diesel'!$BF491)*'RD Feedstock Breakdown'!EE482)*'Feedstock Conversion Rates'!$B$6))</f>
        <v>1776.6964030550025</v>
      </c>
      <c r="FG482" s="102">
        <f>IF('Renewable Diesel'!$BG491&lt;1,0,(((('Renewable Diesel'!$BG491-1)*'Renewable Diesel'!$BF491)*'RD Feedstock Breakdown'!EF482)*'Feedstock Conversion Rates'!$B$7))</f>
        <v>2888.8544964711773</v>
      </c>
      <c r="FH482" s="102">
        <f>IF('Renewable Diesel'!$BG491&lt;1,0,(((('Renewable Diesel'!$BG491-1)*'Renewable Diesel'!$BF491)*'RD Feedstock Breakdown'!EG482)*'Feedstock Conversion Rates'!$B$8))</f>
        <v>575.38142443300251</v>
      </c>
      <c r="FI482" s="102">
        <f>IF('Renewable Diesel'!$BG491&lt;1,0,(((('Renewable Diesel'!$BG491-1)*'Renewable Diesel'!$BF491)*'RD Feedstock Breakdown'!EH482)*'Feedstock Conversion Rates'!$B$9))</f>
        <v>21.627035127894441</v>
      </c>
      <c r="FJ482" s="102">
        <f t="shared" si="463"/>
        <v>20531.369544674919</v>
      </c>
      <c r="GD482" s="91">
        <f>'Renewable Diesel'!BB491*0.32</f>
        <v>0</v>
      </c>
      <c r="GE482" s="91">
        <f>'Renewable Diesel'!BC491</f>
        <v>623.91761026345955</v>
      </c>
      <c r="GF482" s="91">
        <f>'Renewable Diesel'!BD491</f>
        <v>0</v>
      </c>
      <c r="GG482" s="91">
        <f t="shared" si="517"/>
        <v>623.91761026345955</v>
      </c>
      <c r="GH482" s="124">
        <v>1</v>
      </c>
      <c r="GI482" s="102">
        <f>$GG482*EA482*'Feedstock Conversion Rates'!$B$2</f>
        <v>165.83657640266338</v>
      </c>
      <c r="GJ482" s="102">
        <f>$GG482*EB482*'Feedstock Conversion Rates'!$B$3</f>
        <v>528.56811189615075</v>
      </c>
      <c r="GK482" s="102">
        <f>$GG482*EC482*'Feedstock Conversion Rates'!$B$4</f>
        <v>2682.0577611038202</v>
      </c>
      <c r="GL482" s="102">
        <f>$GG482*ED482*'Feedstock Conversion Rates'!$B$5</f>
        <v>326.65672759878328</v>
      </c>
      <c r="GM482" s="102">
        <f>$GG482*EE482*'Feedstock Conversion Rates'!$B$6</f>
        <v>430.89922802711953</v>
      </c>
      <c r="GN482" s="102">
        <f>$GG482*EF482*'Feedstock Conversion Rates'!$B$7</f>
        <v>700.62908343354536</v>
      </c>
      <c r="GO482" s="102">
        <f>$GG482*EG482*'Feedstock Conversion Rates'!$B$8</f>
        <v>139.54630131687713</v>
      </c>
      <c r="GP482" s="102">
        <f>$GG482*EH482*'Feedstock Conversion Rates'!B$9</f>
        <v>5.2451689129899215</v>
      </c>
      <c r="GQ482" s="102">
        <f t="shared" si="502"/>
        <v>4979.4389586919497</v>
      </c>
      <c r="GT482" s="103">
        <f t="shared" si="484"/>
        <v>3.3304269372191886E-2</v>
      </c>
      <c r="GU482" s="103">
        <f t="shared" si="484"/>
        <v>0.10615013383656387</v>
      </c>
      <c r="GV482" s="103">
        <f t="shared" si="484"/>
        <v>0.53862649654979822</v>
      </c>
      <c r="GW482" s="103">
        <f t="shared" si="484"/>
        <v>6.5601110950176761E-2</v>
      </c>
      <c r="GX482" s="103">
        <f t="shared" si="465"/>
        <v>8.6535698419388296E-2</v>
      </c>
      <c r="GY482" s="103">
        <f t="shared" si="465"/>
        <v>0.14070442257566981</v>
      </c>
      <c r="GZ482" s="103">
        <f t="shared" si="465"/>
        <v>2.8024502855545513E-2</v>
      </c>
      <c r="HA482" s="103">
        <f t="shared" si="465"/>
        <v>1.0533654406655838E-3</v>
      </c>
    </row>
    <row r="483" spans="1:209" x14ac:dyDescent="0.25">
      <c r="A483" s="96">
        <v>55123</v>
      </c>
      <c r="B483" s="104">
        <f t="shared" si="473"/>
        <v>44.25</v>
      </c>
      <c r="C483" s="104">
        <f t="shared" si="466"/>
        <v>49</v>
      </c>
      <c r="D483" s="104">
        <f t="shared" si="474"/>
        <v>2</v>
      </c>
      <c r="E483" s="104">
        <f>('Renewable Diesel'!B492*E$3*'Feedstock Conversion Rates'!$B$2)/12+26+13-100+27.5+39</f>
        <v>95.43</v>
      </c>
      <c r="F483" s="104">
        <f>('Renewable Diesel'!B492*'RD Feedstock Breakdown'!F$3*'Feedstock Conversion Rates'!B$8)/12+77+23-10-12-115.75+24+8</f>
        <v>48.15625</v>
      </c>
      <c r="G483" s="104">
        <f>('Renewable Diesel'!B492*'RD Feedstock Breakdown'!G$3*'Feedstock Conversion Rates'!B$7)/12+116.75-39-57.5-145-31.5+32+70-40+10+60</f>
        <v>151.90700000000004</v>
      </c>
      <c r="H483" s="104">
        <f>('Renewable Diesel'!B492*'RD Feedstock Breakdown'!H$3*'Feedstock Conversion Rates'!B$3)/12+67+10+12+3-235+20+47-20+25</f>
        <v>105.40022499999998</v>
      </c>
      <c r="I483" s="106">
        <f t="shared" si="515"/>
        <v>496.14347500000002</v>
      </c>
      <c r="J483" s="104">
        <f t="shared" si="483"/>
        <v>4</v>
      </c>
      <c r="K483" s="104"/>
      <c r="L483" s="104">
        <v>1</v>
      </c>
      <c r="M483" s="104">
        <f>('Renewable Diesel'!C492*'RD Feedstock Breakdown'!M$3*'Feedstock Conversion Rates'!B$2)/12</f>
        <v>7.7902500000000003</v>
      </c>
      <c r="N483" s="104">
        <f>('Renewable Diesel'!C492*'RD Feedstock Breakdown'!N$3*'Feedstock Conversion Rates'!B$8)/12</f>
        <v>3.671875</v>
      </c>
      <c r="O483" s="104">
        <f>('Renewable Diesel'!C492*'RD Feedstock Breakdown'!O$3*'Feedstock Conversion Rates'!B$7)/12</f>
        <v>11.9991</v>
      </c>
      <c r="P483" s="104">
        <f>('Renewable Diesel'!C492*'RD Feedstock Breakdown'!P$3*'Feedstock Conversion Rates'!B$3)/12</f>
        <v>10.4470425</v>
      </c>
      <c r="Q483" s="106">
        <f t="shared" si="525"/>
        <v>38.908267500000001</v>
      </c>
      <c r="R483" s="104">
        <f>('Renewable Diesel'!D492*'RD Feedstock Breakdown'!R$3*'Feedstock Conversion Rates'!B$7)/12</f>
        <v>2.2999999999999998</v>
      </c>
      <c r="S483" s="106">
        <f t="shared" si="481"/>
        <v>2.2999999999999998</v>
      </c>
      <c r="T483" s="104">
        <f t="shared" si="526"/>
        <v>0.82499999999999929</v>
      </c>
      <c r="U483" s="104"/>
      <c r="V483" s="104">
        <f>('Renewable Diesel'!E492*'RD Feedstock Breakdown'!V$3*'Feedstock Conversion Rates'!B$6)/12-20+25</f>
        <v>49.250150000000012</v>
      </c>
      <c r="W483" s="104">
        <f>('Renewable Diesel'!E492*'RD Feedstock Breakdown'!W$3*'Feedstock Conversion Rates'!B$8)/12-6</f>
        <v>16.1796875</v>
      </c>
      <c r="X483" s="106">
        <f t="shared" si="503"/>
        <v>66.254837500000008</v>
      </c>
      <c r="Y483" s="104">
        <f t="shared" si="527"/>
        <v>98</v>
      </c>
      <c r="Z483" s="104">
        <f>('Renewable Diesel'!F492*'RD Feedstock Breakdown'!Z$3*'Feedstock Conversion Rates'!B$6)/12-142+15+5+20+5+15</f>
        <v>77.460000000000008</v>
      </c>
      <c r="AA483" s="104">
        <f>('Renewable Diesel'!F492*'RD Feedstock Breakdown'!AA$3*'Feedstock Conversion Rates'!B$7)/12+24</f>
        <v>128.26666666666665</v>
      </c>
      <c r="AB483" s="106">
        <f t="shared" si="471"/>
        <v>303.72666666666669</v>
      </c>
      <c r="AC483" s="104">
        <f>('Renewable Diesel'!G492*'RD Feedstock Breakdown'!AC$3*'Feedstock Conversion Rates'!B$5)/12</f>
        <v>11.796875</v>
      </c>
      <c r="AD483" s="104">
        <f>('Renewable Diesel'!G492*'RD Feedstock Breakdown'!AD$3*'Feedstock Conversion Rates'!B$4)/12</f>
        <v>5.859375</v>
      </c>
      <c r="AE483" s="104">
        <f>('Renewable Diesel'!G492*'RD Feedstock Breakdown'!AE$3*'Feedstock Conversion Rates'!B$6)/12</f>
        <v>7.3281250000000009</v>
      </c>
      <c r="AF483" s="106">
        <f t="shared" si="511"/>
        <v>24.984375</v>
      </c>
      <c r="AG483" s="104">
        <f t="shared" si="529"/>
        <v>148</v>
      </c>
      <c r="AH483" s="104"/>
      <c r="AI483" s="104">
        <f>('Renewable Diesel'!H492*'RD Feedstock Breakdown'!AI$3*'Feedstock Conversion Rates'!B$6)/12-130-20+51-49</f>
        <v>0.51666666666667993</v>
      </c>
      <c r="AJ483" s="106">
        <f t="shared" si="480"/>
        <v>148.51666666666668</v>
      </c>
      <c r="AK483" s="104">
        <f>('Renewable Diesel'!J492*'RD Feedstock Breakdown'!AK$3*'Feedstock Conversion Rates'!B$4)/12</f>
        <v>95.8125</v>
      </c>
      <c r="AL483" s="106">
        <f t="shared" si="482"/>
        <v>95.8125</v>
      </c>
      <c r="AM483" s="104">
        <f>('Renewable Diesel'!K492*'RD Feedstock Breakdown'!AM$3*'Feedstock Conversion Rates'!B$4)/12+5+15-10+10</f>
        <v>78.59375</v>
      </c>
      <c r="AN483" s="104">
        <f>('Renewable Diesel'!K492*'RD Feedstock Breakdown'!AN$3*'Feedstock Conversion Rates'!B$6)/12-5-15+10-10</f>
        <v>4.4270833333333321</v>
      </c>
      <c r="AO483" s="106">
        <f t="shared" si="496"/>
        <v>83.020833333333329</v>
      </c>
      <c r="AP483" s="104">
        <f>('Renewable Diesel'!L492*'RD Feedstock Breakdown'!AP$3*'Feedstock Conversion Rates'!B$4)/12+15-10+15</f>
        <v>78.59375</v>
      </c>
      <c r="AQ483" s="104">
        <f>('Renewable Diesel'!L492*'RD Feedstock Breakdown'!AQ$3*'Feedstock Conversion Rates'!B$6)/12-15+10-15</f>
        <v>4.4270833333333321</v>
      </c>
      <c r="AR483" s="106">
        <f t="shared" si="486"/>
        <v>83.020833333333329</v>
      </c>
      <c r="AS483" s="104">
        <f>('Renewable Diesel'!M492*'RD Feedstock Breakdown'!AS$3*'Feedstock Conversion Rates'!B$4)/12</f>
        <v>456.25</v>
      </c>
      <c r="AT483" s="104">
        <f>('Renewable Diesel'!M492*'RD Feedstock Breakdown'!AT$3*'Feedstock Conversion Rates'!B$5)/12</f>
        <v>0</v>
      </c>
      <c r="AU483" s="106">
        <f t="shared" si="514"/>
        <v>456.25</v>
      </c>
      <c r="AV483" s="104">
        <f>'Renewable Diesel'!N492*'RD Feedstock Breakdown'!$AV$3*'Feedstock Conversion Rates'!$B$4/12-15-10+25+25-22+25</f>
        <v>106.74999999999999</v>
      </c>
      <c r="AW483" s="104">
        <f>'Renewable Diesel'!N492*'RD Feedstock Breakdown'!$AW$3*'Feedstock Conversion Rates'!$B$7/12+15+10-25-25+22-25</f>
        <v>13.400000000000006</v>
      </c>
      <c r="AX483" s="106">
        <f t="shared" si="475"/>
        <v>120.14999999999999</v>
      </c>
      <c r="AY483" s="104">
        <f>('Renewable Diesel'!O492*'RD Feedstock Breakdown'!AY$3*'Feedstock Conversion Rates'!B$4)/12</f>
        <v>210.9375</v>
      </c>
      <c r="AZ483" s="104">
        <f>('Renewable Diesel'!O492*'RD Feedstock Breakdown'!AZ$3*'Feedstock Conversion Rates'!B$3)/12</f>
        <v>25.03125</v>
      </c>
      <c r="BA483" s="106">
        <f t="shared" si="528"/>
        <v>235.96875</v>
      </c>
      <c r="BB483" s="104">
        <f>('Renewable Diesel'!Q492*'RD Feedstock Breakdown'!BB$3*'Feedstock Conversion Rates'!B$4)/12</f>
        <v>11.156249999999998</v>
      </c>
      <c r="BC483" s="104">
        <f>('Renewable Diesel'!Q492*'RD Feedstock Breakdown'!BC$3*'Feedstock Conversion Rates'!B$3)/12</f>
        <v>1.4017500000000001</v>
      </c>
      <c r="BD483" s="104">
        <f>('Renewable Diesel'!Q492*'RD Feedstock Breakdown'!BD$3*'Feedstock Conversion Rates'!B$6)/12</f>
        <v>0.8207500000000002</v>
      </c>
      <c r="BE483" s="106">
        <f t="shared" si="505"/>
        <v>13.378749999999998</v>
      </c>
      <c r="BF483" s="104">
        <f>('Renewable Diesel'!R492*'RD Feedstock Breakdown'!BF$3*'Feedstock Conversion Rates'!B$4)/12</f>
        <v>62.5</v>
      </c>
      <c r="BG483" s="106">
        <f t="shared" si="490"/>
        <v>62.5</v>
      </c>
      <c r="BH483" s="104">
        <f>('Renewable Diesel'!T492*'RD Feedstock Breakdown'!BH$3*'Feedstock Conversion Rates'!B$7)/12</f>
        <v>27.599999999999998</v>
      </c>
      <c r="BI483" s="106">
        <f t="shared" si="479"/>
        <v>27.599999999999998</v>
      </c>
      <c r="BJ483" s="104">
        <f>('Renewable Diesel'!W492*'RD Feedstock Breakdown'!BJ$3*'Feedstock Conversion Rates'!B$4)/12</f>
        <v>7.5</v>
      </c>
      <c r="BK483" s="104">
        <f>('Renewable Diesel'!W492*'RD Feedstock Breakdown'!BK$3*'Feedstock Conversion Rates'!B$3)/12</f>
        <v>1.335</v>
      </c>
      <c r="BL483" s="104">
        <f>('Renewable Diesel'!W492*'RD Feedstock Breakdown'!BL$3*'Feedstock Conversion Rates'!B$6)/12</f>
        <v>3.1266666666666669</v>
      </c>
      <c r="BM483" s="104">
        <f>('Renewable Diesel'!W492*'RD Feedstock Breakdown'!BM$3*'Feedstock Conversion Rates'!B$7)/12</f>
        <v>1.5333333333333332</v>
      </c>
      <c r="BN483" s="106">
        <f t="shared" si="518"/>
        <v>13.495000000000001</v>
      </c>
      <c r="BO483" s="104">
        <f>('Renewable Diesel'!P492*'Feedstock Conversion Rates'!B$4)/12</f>
        <v>31.25</v>
      </c>
      <c r="BP483" s="106">
        <f t="shared" si="512"/>
        <v>31.25</v>
      </c>
      <c r="BQ483" s="104">
        <f>('Renewable Diesel'!$S492*'RD Feedstock Breakdown'!BQ$3*'Feedstock Conversion Rates'!B$4)/12+10+15-15</f>
        <v>38.125</v>
      </c>
      <c r="BR483" s="104">
        <f>('Renewable Diesel'!$S492*'RD Feedstock Breakdown'!BR$3*'Feedstock Conversion Rates'!B$7)/12-10-15+15</f>
        <v>1.5</v>
      </c>
      <c r="BS483" s="106">
        <f t="shared" si="460"/>
        <v>39.625</v>
      </c>
      <c r="BT483" s="106"/>
      <c r="BU483" s="104">
        <f>('Renewable Diesel'!Y492*'Feedstock Conversion Rates'!B$7)/12</f>
        <v>2.6833333333333331</v>
      </c>
      <c r="BV483" s="106">
        <f t="shared" si="507"/>
        <v>2.6833333333333331</v>
      </c>
      <c r="BW483" s="104">
        <f>('Renewable Diesel'!$Z492*'RD Feedstock Breakdown'!BW$3*'Feedstock Conversion Rates'!$B$4)/12-250+180</f>
        <v>1.875</v>
      </c>
      <c r="BX483" s="104">
        <f>('Renewable Diesel'!$Z492*'RD Feedstock Breakdown'!BX$3*'Feedstock Conversion Rates'!$B$5)/12</f>
        <v>7.2354166666666666</v>
      </c>
      <c r="BY483" s="104">
        <f>('Renewable Diesel'!$Z492*'RD Feedstock Breakdown'!BY$3*'Feedstock Conversion Rates'!$B$7)/12</f>
        <v>61.716666666666661</v>
      </c>
      <c r="BZ483" s="104">
        <f>('Renewable Diesel'!$Z492*'RD Feedstock Breakdown'!BZ$3*'Feedstock Conversion Rates'!$B$3)/12+250-180</f>
        <v>85.35250000000002</v>
      </c>
      <c r="CA483" s="106">
        <f t="shared" si="464"/>
        <v>156.17958333333334</v>
      </c>
      <c r="CB483" s="104">
        <f>('Renewable Diesel'!AA492*'Feedstock Conversion Rates'!B$4)/12</f>
        <v>191.25</v>
      </c>
      <c r="CC483" s="106">
        <f t="shared" si="520"/>
        <v>191.25</v>
      </c>
      <c r="CD483" s="104">
        <f>('Renewable Diesel'!$AB492*'RD Feedstock Breakdown'!CD$3*'Feedstock Conversion Rates'!$B$6)/12-15-5</f>
        <v>12.830000000000005</v>
      </c>
      <c r="CE483" s="104">
        <f>('Renewable Diesel'!$AB492*'RD Feedstock Breakdown'!CE$3*'Feedstock Conversion Rates'!$B$4)/12+15+5</f>
        <v>31.25</v>
      </c>
      <c r="CF483" s="106">
        <f t="shared" si="516"/>
        <v>44.080000000000005</v>
      </c>
      <c r="CG483" s="104">
        <f>('Renewable Diesel'!AD492*'Feedstock Conversion Rates'!B$4)/12</f>
        <v>112.5</v>
      </c>
      <c r="CH483" s="106">
        <f t="shared" si="504"/>
        <v>112.5</v>
      </c>
      <c r="CI483" s="104">
        <f>('Renewable Diesel'!$AE492*'RD Feedstock Breakdown'!CI$3*'Feedstock Conversion Rates'!$B$5)/12</f>
        <v>0.34604166666666664</v>
      </c>
      <c r="CJ483" s="104">
        <f>('Renewable Diesel'!$AE492*'RD Feedstock Breakdown'!CJ$3*'Feedstock Conversion Rates'!$B$4)/12</f>
        <v>0.34375</v>
      </c>
      <c r="CK483" s="106">
        <f t="shared" si="513"/>
        <v>0.68979166666666658</v>
      </c>
      <c r="CL483" s="104">
        <f>(((CL$3*'Renewable Diesel'!$AF492)*'Feedstock Conversion Rates'!$B$3)/12)</f>
        <v>91.78125</v>
      </c>
      <c r="CM483" s="104">
        <f>(((CM$3*'Renewable Diesel'!$AF492)*'Feedstock Conversion Rates'!$B$6)/12)</f>
        <v>53.739583333333336</v>
      </c>
      <c r="CN483" s="104">
        <f>(((CN$3*'Renewable Diesel'!$AF492)*'Feedstock Conversion Rates'!$B$4)/12)</f>
        <v>42.96875</v>
      </c>
      <c r="CO483" s="106">
        <f t="shared" si="506"/>
        <v>188.48958333333334</v>
      </c>
      <c r="CP483" s="104">
        <f>('Renewable Diesel'!$AG492*'RD Feedstock Breakdown'!CP$3*'Feedstock Conversion Rates'!$B$3)/12</f>
        <v>6.0075000000000003</v>
      </c>
      <c r="CQ483" s="104">
        <f>('Renewable Diesel'!$AG492*'RD Feedstock Breakdown'!CQ$3*'Feedstock Conversion Rates'!$B$6)/12</f>
        <v>3.5175000000000001</v>
      </c>
      <c r="CR483" s="104">
        <f>('Renewable Diesel'!$AG492*'RD Feedstock Breakdown'!CR$3*'Feedstock Conversion Rates'!$B$4)/12</f>
        <v>2.8125</v>
      </c>
      <c r="CS483" s="106">
        <f t="shared" si="467"/>
        <v>12.3375</v>
      </c>
      <c r="CT483" s="104">
        <f>('Renewable Diesel'!AI492*'Feedstock Conversion Rates'!$B$4*'RD Feedstock Breakdown'!$CT$3)/12</f>
        <v>29.375</v>
      </c>
      <c r="CU483" s="106">
        <f t="shared" si="508"/>
        <v>29.375</v>
      </c>
      <c r="CV483" s="104">
        <f>('Renewable Diesel'!AN492*'Feedstock Conversion Rates'!$B$3*'RD Feedstock Breakdown'!$CV$3)/12</f>
        <v>0.50062499999999999</v>
      </c>
      <c r="CW483" s="106">
        <f t="shared" si="485"/>
        <v>0.50062499999999999</v>
      </c>
      <c r="CX483" s="104">
        <f>('Renewable Diesel'!AO492*'RD Feedstock Breakdown'!$CX$3*'Feedstock Conversion Rates'!$B$3)/12</f>
        <v>6.3412499999999996</v>
      </c>
      <c r="CY483" s="104">
        <f>('Renewable Diesel'!AO492*'RD Feedstock Breakdown'!$CY$3*'Feedstock Conversion Rates'!$B$6)/12</f>
        <v>7.4258333333333342</v>
      </c>
      <c r="CZ483" s="106">
        <f t="shared" si="468"/>
        <v>13.767083333333334</v>
      </c>
      <c r="DA483" s="104">
        <f>('Renewable Diesel'!$AP492*'RD Feedstock Breakdown'!DA$3*'Feedstock Conversion Rates'!$B$3)/12</f>
        <v>6.3412499999999996</v>
      </c>
      <c r="DB483" s="104">
        <f>('Renewable Diesel'!$AP492*'RD Feedstock Breakdown'!DB$3*'Feedstock Conversion Rates'!$B$8)/12</f>
        <v>7.421875</v>
      </c>
      <c r="DC483" s="106">
        <f t="shared" si="488"/>
        <v>13.763124999999999</v>
      </c>
      <c r="DD483" s="104">
        <f>('Renewable Diesel'!AQ492*$DD$3*'Feedstock Conversion Rates'!$B$14)/12</f>
        <v>3.1041666666666665</v>
      </c>
      <c r="DE483" s="106">
        <f t="shared" si="489"/>
        <v>3.1041666666666665</v>
      </c>
      <c r="DF483" s="104">
        <f>('Renewable Diesel'!AR492*'Feedstock Conversion Rates'!$B$4*$DF$3)/12</f>
        <v>75</v>
      </c>
      <c r="DG483" s="106">
        <f t="shared" si="469"/>
        <v>75</v>
      </c>
      <c r="DH483" s="104">
        <f>('Renewable Diesel'!AS492*'Feedstock Conversion Rates'!$B$4*$DH$3)/12</f>
        <v>75</v>
      </c>
      <c r="DI483" s="106">
        <f t="shared" si="478"/>
        <v>75</v>
      </c>
      <c r="DJ483" s="104">
        <f>('Renewable Diesel'!AT492*'Feedstock Conversion Rates'!$B$4*0.25)/12</f>
        <v>8.59375</v>
      </c>
      <c r="DK483" s="104">
        <f>('Renewable Diesel'!$AT492*'RD Feedstock Breakdown'!DK$3*'Feedstock Conversion Rates'!$B$3)/12*0.5</f>
        <v>9.1781249999999996</v>
      </c>
      <c r="DL483" s="104">
        <f>('Renewable Diesel'!$AT492*'RD Feedstock Breakdown'!$DL$3*'Feedstock Conversion Rates'!$B$6)/12</f>
        <v>10.747916666666669</v>
      </c>
      <c r="DM483" s="104">
        <f>('Renewable Diesel'!$AT492*'RD Feedstock Breakdown'!$DM$3*'Feedstock Conversion Rates'!$B$8)/12</f>
        <v>10.7421875</v>
      </c>
      <c r="DN483" s="106">
        <f t="shared" si="519"/>
        <v>39.26197916666667</v>
      </c>
      <c r="DP483" s="104">
        <f t="shared" si="491"/>
        <v>103.22025000000001</v>
      </c>
      <c r="DQ483" s="104">
        <f t="shared" si="492"/>
        <v>349.11776750000007</v>
      </c>
      <c r="DR483" s="104">
        <f t="shared" si="497"/>
        <v>1891.953125</v>
      </c>
      <c r="DS483" s="104">
        <f t="shared" si="510"/>
        <v>228.90125</v>
      </c>
      <c r="DT483" s="104">
        <f t="shared" si="493"/>
        <v>243.03923333333344</v>
      </c>
      <c r="DU483" s="104">
        <f t="shared" si="494"/>
        <v>402.90610000000009</v>
      </c>
      <c r="DV483" s="104">
        <f t="shared" si="498"/>
        <v>78.75</v>
      </c>
      <c r="DW483" s="104">
        <f t="shared" si="495"/>
        <v>3</v>
      </c>
      <c r="DX483" s="106">
        <f t="shared" si="499"/>
        <v>3300.8877258333337</v>
      </c>
      <c r="DY483" s="109">
        <f t="shared" si="487"/>
        <v>-5.631051180898794E-13</v>
      </c>
      <c r="EA483" s="110">
        <f t="shared" si="509"/>
        <v>3.1270451640078516E-2</v>
      </c>
      <c r="EB483" s="110">
        <f t="shared" si="522"/>
        <v>0.10576481131658687</v>
      </c>
      <c r="EC483" s="110">
        <f t="shared" si="523"/>
        <v>0.57316494293133291</v>
      </c>
      <c r="ED483" s="110">
        <f t="shared" si="524"/>
        <v>6.9345360706629972E-2</v>
      </c>
      <c r="EE483" s="110">
        <f t="shared" si="521"/>
        <v>7.3628445896921982E-2</v>
      </c>
      <c r="EF483" s="110">
        <f t="shared" si="521"/>
        <v>0.1220599225010852</v>
      </c>
      <c r="EG483" s="110">
        <f t="shared" si="521"/>
        <v>2.3857218585075921E-2</v>
      </c>
      <c r="EH483" s="111">
        <f t="shared" si="500"/>
        <v>9.0884642228860647E-4</v>
      </c>
      <c r="EI483" s="110">
        <f t="shared" si="476"/>
        <v>0.99909115357771139</v>
      </c>
      <c r="EK483" s="132">
        <f>(EA483*'Renewable Diesel'!BF492*'Feedstock Conversion Rates'!B$2)+FB483</f>
        <v>1130.1641349915967</v>
      </c>
      <c r="EL483" s="132">
        <f>(EB483*'Renewable Diesel'!BF492*'Feedstock Conversion Rates'!B$3)+FC483</f>
        <v>3602.1530106530881</v>
      </c>
      <c r="EM483" s="132">
        <f>(EC483*'Renewable Diesel'!BF492*'Feedstock Conversion Rates'!B$4)+FD483</f>
        <v>18278.027413056974</v>
      </c>
      <c r="EN483" s="132">
        <f>(ED483*'Renewable Diesel'!BF492*'Feedstock Conversion Rates'!B$5)+FE483</f>
        <v>2226.141699220073</v>
      </c>
      <c r="EO483" s="132">
        <f>(EE483*'Renewable Diesel'!BF492*'Feedstock Conversion Rates'!B$6)+FF483</f>
        <v>2936.5467128878527</v>
      </c>
      <c r="EP483" s="132">
        <f>(EF483*'Renewable Diesel'!BF492*'Feedstock Conversion Rates'!B$7)+FG483</f>
        <v>4774.7359430890374</v>
      </c>
      <c r="EQ483" s="132">
        <f>(EG483*'Renewable Diesel'!BF492*'Feedstock Conversion Rates'!B$8)+FH483</f>
        <v>950.99783377180438</v>
      </c>
      <c r="ER483" s="132">
        <f>(EH483*'Renewable Diesel'!BF492*'Feedstock Conversion Rates'!B$9)+FI483</f>
        <v>35.745442386851309</v>
      </c>
      <c r="ES483" s="132">
        <f t="shared" si="501"/>
        <v>33934.512190057285</v>
      </c>
      <c r="ET483" s="133">
        <f>ES483/'Renewable Diesel'!BF492</f>
        <v>24.637433986536891</v>
      </c>
      <c r="EW483" s="73">
        <f t="shared" si="461"/>
        <v>34366.322943188658</v>
      </c>
      <c r="EX483" s="73">
        <f t="shared" si="462"/>
        <v>22510.129765387854</v>
      </c>
      <c r="EY483" s="92">
        <f t="shared" si="477"/>
        <v>1.0127248257087924</v>
      </c>
      <c r="EZ483" s="92">
        <f t="shared" si="477"/>
        <v>0.66334030792354393</v>
      </c>
      <c r="FB483" s="102">
        <f>IF('Renewable Diesel'!$BG492&lt;1,0,(((('Renewable Diesel'!$BG492-1)*'Renewable Diesel'!$BF492)*'RD Feedstock Breakdown'!EA483)*'Feedstock Conversion Rates'!$B$2))</f>
        <v>764.06456694956819</v>
      </c>
      <c r="FC483" s="102">
        <f>IF('Renewable Diesel'!$BG492&lt;1,0,(((('Renewable Diesel'!$BG492-1)*'Renewable Diesel'!$BF492)*'RD Feedstock Breakdown'!EB483)*'Feedstock Conversion Rates'!$B$3))</f>
        <v>2435.2900565113041</v>
      </c>
      <c r="FD483" s="102">
        <f>IF('Renewable Diesel'!$BG492&lt;1,0,(((('Renewable Diesel'!$BG492-1)*'Renewable Diesel'!$BF492)*'RD Feedstock Breakdown'!EC483)*'Feedstock Conversion Rates'!$B$4))</f>
        <v>12357.137045543877</v>
      </c>
      <c r="FE483" s="102">
        <f>IF('Renewable Diesel'!$BG492&lt;1,0,(((('Renewable Diesel'!$BG492-1)*'Renewable Diesel'!$BF492)*'RD Feedstock Breakdown'!ED483)*'Feedstock Conversion Rates'!$B$5))</f>
        <v>1505.016785367736</v>
      </c>
      <c r="FF483" s="102">
        <f>IF('Renewable Diesel'!$BG492&lt;1,0,(((('Renewable Diesel'!$BG492-1)*'Renewable Diesel'!$BF492)*'RD Feedstock Breakdown'!EE483)*'Feedstock Conversion Rates'!$B$6))</f>
        <v>1985.2968458661253</v>
      </c>
      <c r="FG483" s="102">
        <f>IF('Renewable Diesel'!$BG492&lt;1,0,(((('Renewable Diesel'!$BG492-1)*'Renewable Diesel'!$BF492)*'RD Feedstock Breakdown'!EF483)*'Feedstock Conversion Rates'!$B$7))</f>
        <v>3228.0324934236114</v>
      </c>
      <c r="FH483" s="102">
        <f>IF('Renewable Diesel'!$BG492&lt;1,0,(((('Renewable Diesel'!$BG492-1)*'Renewable Diesel'!$BF492)*'RD Feedstock Breakdown'!EG483)*'Feedstock Conversion Rates'!$B$8))</f>
        <v>642.93647757299777</v>
      </c>
      <c r="FI483" s="102">
        <f>IF('Renewable Diesel'!$BG492&lt;1,0,(((('Renewable Diesel'!$BG492-1)*'Renewable Diesel'!$BF492)*'RD Feedstock Breakdown'!EH483)*'Feedstock Conversion Rates'!$B$9))</f>
        <v>24.166247284013625</v>
      </c>
      <c r="FJ483" s="102">
        <f t="shared" si="463"/>
        <v>22941.940518519241</v>
      </c>
      <c r="GD483" s="91">
        <f>'Renewable Diesel'!BB492*0.32</f>
        <v>0</v>
      </c>
      <c r="GE483" s="91">
        <f>'Renewable Diesel'!BC492</f>
        <v>560.61717341559699</v>
      </c>
      <c r="GF483" s="91">
        <f>'Renewable Diesel'!BD492</f>
        <v>0</v>
      </c>
      <c r="GG483" s="91">
        <f t="shared" si="517"/>
        <v>560.61717341559699</v>
      </c>
      <c r="GH483" s="124">
        <v>1</v>
      </c>
      <c r="GI483" s="102">
        <f>$GG483*EA483*'Feedstock Conversion Rates'!$B$2</f>
        <v>149.01139378406447</v>
      </c>
      <c r="GJ483" s="102">
        <f>$GG483*EB483*'Feedstock Conversion Rates'!$B$3</f>
        <v>474.94149223278237</v>
      </c>
      <c r="GK483" s="102">
        <f>$GG483*EC483*'Feedstock Conversion Rates'!$B$4</f>
        <v>2409.9458265530689</v>
      </c>
      <c r="GL483" s="102">
        <f>$GG483*ED483*'Feedstock Conversion Rates'!$B$5</f>
        <v>293.51531082171107</v>
      </c>
      <c r="GM483" s="102">
        <f>$GG483*EE483*'Feedstock Conversion Rates'!$B$6</f>
        <v>387.18174205969245</v>
      </c>
      <c r="GN483" s="102">
        <f>$GG483*EF483*'Feedstock Conversion Rates'!$B$7</f>
        <v>629.5457764069439</v>
      </c>
      <c r="GO483" s="102">
        <f>$GG483*EG483*'Feedstock Conversion Rates'!$B$8</f>
        <v>125.38843545678105</v>
      </c>
      <c r="GP483" s="102">
        <f>$GG483*EH483*'Feedstock Conversion Rates'!B$9</f>
        <v>4.7130129390739288</v>
      </c>
      <c r="GQ483" s="102">
        <f t="shared" si="502"/>
        <v>4474.2429902541189</v>
      </c>
      <c r="GT483" s="103">
        <f t="shared" si="484"/>
        <v>3.3304269372191872E-2</v>
      </c>
      <c r="GU483" s="103">
        <f t="shared" si="484"/>
        <v>0.10615013383656384</v>
      </c>
      <c r="GV483" s="103">
        <f t="shared" si="484"/>
        <v>0.53862649654979811</v>
      </c>
      <c r="GW483" s="103">
        <f t="shared" si="484"/>
        <v>6.5601110950176733E-2</v>
      </c>
      <c r="GX483" s="103">
        <f t="shared" si="465"/>
        <v>8.6535698419388282E-2</v>
      </c>
      <c r="GY483" s="103">
        <f t="shared" si="465"/>
        <v>0.14070442257566976</v>
      </c>
      <c r="GZ483" s="103">
        <f t="shared" si="465"/>
        <v>2.8024502855545513E-2</v>
      </c>
      <c r="HA483" s="103">
        <f t="shared" si="465"/>
        <v>1.0533654406655836E-3</v>
      </c>
    </row>
    <row r="484" spans="1:209" x14ac:dyDescent="0.25">
      <c r="A484" s="96">
        <v>55154</v>
      </c>
      <c r="B484" s="104">
        <f t="shared" si="473"/>
        <v>44.25</v>
      </c>
      <c r="C484" s="104">
        <f t="shared" si="466"/>
        <v>49</v>
      </c>
      <c r="D484" s="104">
        <f t="shared" si="474"/>
        <v>2</v>
      </c>
      <c r="E484" s="104">
        <f>('Renewable Diesel'!B493*E$3*'Feedstock Conversion Rates'!$B$2)/12+26+13-100+27.5+39</f>
        <v>95.43</v>
      </c>
      <c r="F484" s="104">
        <f>('Renewable Diesel'!B493*'RD Feedstock Breakdown'!F$3*'Feedstock Conversion Rates'!B$8)/12+77+23-10-12-115.75+24+8</f>
        <v>48.15625</v>
      </c>
      <c r="G484" s="104">
        <f>('Renewable Diesel'!B493*'RD Feedstock Breakdown'!G$3*'Feedstock Conversion Rates'!B$7)/12+116.75-39-57.5-145-31.5+32+70-40+10+60</f>
        <v>151.90700000000004</v>
      </c>
      <c r="H484" s="104">
        <f>('Renewable Diesel'!B493*'RD Feedstock Breakdown'!H$3*'Feedstock Conversion Rates'!B$3)/12+67+10+12+3-235+20+47-20+25</f>
        <v>105.40022499999998</v>
      </c>
      <c r="I484" s="106">
        <f t="shared" si="515"/>
        <v>496.14347500000002</v>
      </c>
      <c r="J484" s="104">
        <f t="shared" si="483"/>
        <v>4</v>
      </c>
      <c r="K484" s="104"/>
      <c r="L484" s="104">
        <v>1</v>
      </c>
      <c r="M484" s="104">
        <f>('Renewable Diesel'!C493*'RD Feedstock Breakdown'!M$3*'Feedstock Conversion Rates'!B$2)/12</f>
        <v>7.7902500000000003</v>
      </c>
      <c r="N484" s="104">
        <f>('Renewable Diesel'!C493*'RD Feedstock Breakdown'!N$3*'Feedstock Conversion Rates'!B$8)/12</f>
        <v>3.671875</v>
      </c>
      <c r="O484" s="104">
        <f>('Renewable Diesel'!C493*'RD Feedstock Breakdown'!O$3*'Feedstock Conversion Rates'!B$7)/12</f>
        <v>11.9991</v>
      </c>
      <c r="P484" s="104">
        <f>('Renewable Diesel'!C493*'RD Feedstock Breakdown'!P$3*'Feedstock Conversion Rates'!B$3)/12</f>
        <v>10.4470425</v>
      </c>
      <c r="Q484" s="106">
        <f t="shared" si="525"/>
        <v>38.908267500000001</v>
      </c>
      <c r="R484" s="104">
        <f>('Renewable Diesel'!D493*'RD Feedstock Breakdown'!R$3*'Feedstock Conversion Rates'!B$7)/12</f>
        <v>2.2999999999999998</v>
      </c>
      <c r="S484" s="106">
        <f t="shared" si="481"/>
        <v>2.2999999999999998</v>
      </c>
      <c r="T484" s="104">
        <f t="shared" si="526"/>
        <v>0.82499999999999929</v>
      </c>
      <c r="U484" s="104"/>
      <c r="V484" s="104">
        <f>('Renewable Diesel'!E493*'RD Feedstock Breakdown'!V$3*'Feedstock Conversion Rates'!B$6)/12-20+25</f>
        <v>49.250150000000012</v>
      </c>
      <c r="W484" s="104">
        <f>('Renewable Diesel'!E493*'RD Feedstock Breakdown'!W$3*'Feedstock Conversion Rates'!B$8)/12-6</f>
        <v>16.1796875</v>
      </c>
      <c r="X484" s="106">
        <f t="shared" si="503"/>
        <v>66.254837500000008</v>
      </c>
      <c r="Y484" s="104">
        <f t="shared" si="527"/>
        <v>98</v>
      </c>
      <c r="Z484" s="104">
        <f>('Renewable Diesel'!F493*'RD Feedstock Breakdown'!Z$3*'Feedstock Conversion Rates'!B$6)/12-142+15+5+20+5+15</f>
        <v>77.460000000000008</v>
      </c>
      <c r="AA484" s="104">
        <f>('Renewable Diesel'!F493*'RD Feedstock Breakdown'!AA$3*'Feedstock Conversion Rates'!B$7)/12+24</f>
        <v>128.26666666666665</v>
      </c>
      <c r="AB484" s="106">
        <f t="shared" si="471"/>
        <v>303.72666666666669</v>
      </c>
      <c r="AC484" s="104">
        <f>('Renewable Diesel'!G493*'RD Feedstock Breakdown'!AC$3*'Feedstock Conversion Rates'!B$5)/12</f>
        <v>11.796875</v>
      </c>
      <c r="AD484" s="104">
        <f>('Renewable Diesel'!G493*'RD Feedstock Breakdown'!AD$3*'Feedstock Conversion Rates'!B$4)/12</f>
        <v>5.859375</v>
      </c>
      <c r="AE484" s="104">
        <f>('Renewable Diesel'!G493*'RD Feedstock Breakdown'!AE$3*'Feedstock Conversion Rates'!B$6)/12</f>
        <v>7.3281250000000009</v>
      </c>
      <c r="AF484" s="106">
        <f t="shared" si="511"/>
        <v>24.984375</v>
      </c>
      <c r="AG484" s="104">
        <f t="shared" si="529"/>
        <v>148</v>
      </c>
      <c r="AH484" s="104"/>
      <c r="AI484" s="104">
        <f>('Renewable Diesel'!H493*'RD Feedstock Breakdown'!AI$3*'Feedstock Conversion Rates'!B$6)/12-130-20+51-49</f>
        <v>0.51666666666667993</v>
      </c>
      <c r="AJ484" s="106">
        <f t="shared" si="480"/>
        <v>148.51666666666668</v>
      </c>
      <c r="AK484" s="104">
        <f>('Renewable Diesel'!J493*'RD Feedstock Breakdown'!AK$3*'Feedstock Conversion Rates'!B$4)/12</f>
        <v>95.8125</v>
      </c>
      <c r="AL484" s="106">
        <f t="shared" si="482"/>
        <v>95.8125</v>
      </c>
      <c r="AM484" s="104">
        <f>('Renewable Diesel'!K493*'RD Feedstock Breakdown'!AM$3*'Feedstock Conversion Rates'!B$4)/12+5+15-10+10</f>
        <v>78.59375</v>
      </c>
      <c r="AN484" s="104">
        <f>('Renewable Diesel'!K493*'RD Feedstock Breakdown'!AN$3*'Feedstock Conversion Rates'!B$6)/12-5-15+10-10</f>
        <v>4.4270833333333321</v>
      </c>
      <c r="AO484" s="106">
        <f t="shared" si="496"/>
        <v>83.020833333333329</v>
      </c>
      <c r="AP484" s="104">
        <f>('Renewable Diesel'!L493*'RD Feedstock Breakdown'!AP$3*'Feedstock Conversion Rates'!B$4)/12+15-10+15</f>
        <v>78.59375</v>
      </c>
      <c r="AQ484" s="104">
        <f>('Renewable Diesel'!L493*'RD Feedstock Breakdown'!AQ$3*'Feedstock Conversion Rates'!B$6)/12-15+10-15</f>
        <v>4.4270833333333321</v>
      </c>
      <c r="AR484" s="106">
        <f t="shared" si="486"/>
        <v>83.020833333333329</v>
      </c>
      <c r="AS484" s="104">
        <f>('Renewable Diesel'!M493*'RD Feedstock Breakdown'!AS$3*'Feedstock Conversion Rates'!B$4)/12</f>
        <v>456.25</v>
      </c>
      <c r="AT484" s="104">
        <f>('Renewable Diesel'!M493*'RD Feedstock Breakdown'!AT$3*'Feedstock Conversion Rates'!B$5)/12</f>
        <v>0</v>
      </c>
      <c r="AU484" s="106">
        <f t="shared" si="514"/>
        <v>456.25</v>
      </c>
      <c r="AV484" s="104">
        <f>'Renewable Diesel'!N493*'RD Feedstock Breakdown'!$AV$3*'Feedstock Conversion Rates'!$B$4/12-15-10+25+25-22+25</f>
        <v>106.74999999999999</v>
      </c>
      <c r="AW484" s="104">
        <f>'Renewable Diesel'!N493*'RD Feedstock Breakdown'!$AW$3*'Feedstock Conversion Rates'!$B$7/12+15+10-25-25+22-25</f>
        <v>13.400000000000006</v>
      </c>
      <c r="AX484" s="106">
        <f t="shared" si="475"/>
        <v>120.14999999999999</v>
      </c>
      <c r="AY484" s="104">
        <f>('Renewable Diesel'!O493*'RD Feedstock Breakdown'!AY$3*'Feedstock Conversion Rates'!B$4)/12</f>
        <v>210.9375</v>
      </c>
      <c r="AZ484" s="104">
        <f>('Renewable Diesel'!O493*'RD Feedstock Breakdown'!AZ$3*'Feedstock Conversion Rates'!B$3)/12</f>
        <v>25.03125</v>
      </c>
      <c r="BA484" s="106">
        <f t="shared" si="528"/>
        <v>235.96875</v>
      </c>
      <c r="BB484" s="104">
        <f>('Renewable Diesel'!Q493*'RD Feedstock Breakdown'!BB$3*'Feedstock Conversion Rates'!B$4)/12</f>
        <v>11.156249999999998</v>
      </c>
      <c r="BC484" s="104">
        <f>('Renewable Diesel'!Q493*'RD Feedstock Breakdown'!BC$3*'Feedstock Conversion Rates'!B$3)/12</f>
        <v>1.4017500000000001</v>
      </c>
      <c r="BD484" s="104">
        <f>('Renewable Diesel'!Q493*'RD Feedstock Breakdown'!BD$3*'Feedstock Conversion Rates'!B$6)/12</f>
        <v>0.8207500000000002</v>
      </c>
      <c r="BE484" s="106">
        <f t="shared" si="505"/>
        <v>13.378749999999998</v>
      </c>
      <c r="BF484" s="104">
        <f>('Renewable Diesel'!R493*'RD Feedstock Breakdown'!BF$3*'Feedstock Conversion Rates'!B$4)/12</f>
        <v>62.5</v>
      </c>
      <c r="BG484" s="106">
        <f t="shared" si="490"/>
        <v>62.5</v>
      </c>
      <c r="BH484" s="104">
        <f>('Renewable Diesel'!T493*'RD Feedstock Breakdown'!BH$3*'Feedstock Conversion Rates'!B$7)/12</f>
        <v>27.599999999999998</v>
      </c>
      <c r="BI484" s="106">
        <f t="shared" si="479"/>
        <v>27.599999999999998</v>
      </c>
      <c r="BJ484" s="104">
        <f>('Renewable Diesel'!W493*'RD Feedstock Breakdown'!BJ$3*'Feedstock Conversion Rates'!B$4)/12</f>
        <v>7.5</v>
      </c>
      <c r="BK484" s="104">
        <f>('Renewable Diesel'!W493*'RD Feedstock Breakdown'!BK$3*'Feedstock Conversion Rates'!B$3)/12</f>
        <v>1.335</v>
      </c>
      <c r="BL484" s="104">
        <f>('Renewable Diesel'!W493*'RD Feedstock Breakdown'!BL$3*'Feedstock Conversion Rates'!B$6)/12</f>
        <v>3.1266666666666669</v>
      </c>
      <c r="BM484" s="104">
        <f>('Renewable Diesel'!W493*'RD Feedstock Breakdown'!BM$3*'Feedstock Conversion Rates'!B$7)/12</f>
        <v>1.5333333333333332</v>
      </c>
      <c r="BN484" s="106">
        <f t="shared" si="518"/>
        <v>13.495000000000001</v>
      </c>
      <c r="BO484" s="104">
        <f>('Renewable Diesel'!P493*'Feedstock Conversion Rates'!B$4)/12</f>
        <v>31.25</v>
      </c>
      <c r="BP484" s="106">
        <f t="shared" si="512"/>
        <v>31.25</v>
      </c>
      <c r="BQ484" s="104">
        <f>('Renewable Diesel'!$S493*'RD Feedstock Breakdown'!BQ$3*'Feedstock Conversion Rates'!B$4)/12+10+15-15</f>
        <v>38.125</v>
      </c>
      <c r="BR484" s="104">
        <f>('Renewable Diesel'!$S493*'RD Feedstock Breakdown'!BR$3*'Feedstock Conversion Rates'!B$7)/12-10-15+15</f>
        <v>1.5</v>
      </c>
      <c r="BS484" s="106">
        <f t="shared" si="460"/>
        <v>39.625</v>
      </c>
      <c r="BT484" s="106"/>
      <c r="BU484" s="104">
        <f>('Renewable Diesel'!Y493*'Feedstock Conversion Rates'!B$7)/12</f>
        <v>2.6833333333333331</v>
      </c>
      <c r="BV484" s="106">
        <f t="shared" si="507"/>
        <v>2.6833333333333331</v>
      </c>
      <c r="BW484" s="104">
        <f>('Renewable Diesel'!$Z493*'RD Feedstock Breakdown'!BW$3*'Feedstock Conversion Rates'!$B$4)/12-250+180</f>
        <v>1.875</v>
      </c>
      <c r="BX484" s="104">
        <f>('Renewable Diesel'!$Z493*'RD Feedstock Breakdown'!BX$3*'Feedstock Conversion Rates'!$B$5)/12</f>
        <v>7.2354166666666666</v>
      </c>
      <c r="BY484" s="104">
        <f>('Renewable Diesel'!$Z493*'RD Feedstock Breakdown'!BY$3*'Feedstock Conversion Rates'!$B$7)/12</f>
        <v>61.716666666666661</v>
      </c>
      <c r="BZ484" s="104">
        <f>('Renewable Diesel'!$Z493*'RD Feedstock Breakdown'!BZ$3*'Feedstock Conversion Rates'!$B$3)/12+250-180</f>
        <v>85.35250000000002</v>
      </c>
      <c r="CA484" s="106">
        <f t="shared" si="464"/>
        <v>156.17958333333334</v>
      </c>
      <c r="CB484" s="104">
        <f>('Renewable Diesel'!AA493*'Feedstock Conversion Rates'!B$4)/12</f>
        <v>191.25</v>
      </c>
      <c r="CC484" s="106">
        <f t="shared" si="520"/>
        <v>191.25</v>
      </c>
      <c r="CD484" s="104">
        <f>('Renewable Diesel'!$AB493*'RD Feedstock Breakdown'!CD$3*'Feedstock Conversion Rates'!$B$6)/12-15-5</f>
        <v>12.830000000000005</v>
      </c>
      <c r="CE484" s="104">
        <f>('Renewable Diesel'!$AB493*'RD Feedstock Breakdown'!CE$3*'Feedstock Conversion Rates'!$B$4)/12+15+5</f>
        <v>31.25</v>
      </c>
      <c r="CF484" s="106">
        <f t="shared" si="516"/>
        <v>44.080000000000005</v>
      </c>
      <c r="CG484" s="104">
        <f>('Renewable Diesel'!AD493*'Feedstock Conversion Rates'!B$4)/12</f>
        <v>112.5</v>
      </c>
      <c r="CH484" s="106">
        <f t="shared" si="504"/>
        <v>112.5</v>
      </c>
      <c r="CI484" s="104">
        <f>('Renewable Diesel'!$AE493*'RD Feedstock Breakdown'!CI$3*'Feedstock Conversion Rates'!$B$5)/12</f>
        <v>0.34604166666666664</v>
      </c>
      <c r="CJ484" s="104">
        <f>('Renewable Diesel'!$AE493*'RD Feedstock Breakdown'!CJ$3*'Feedstock Conversion Rates'!$B$4)/12</f>
        <v>0.34375</v>
      </c>
      <c r="CK484" s="106">
        <f t="shared" si="513"/>
        <v>0.68979166666666658</v>
      </c>
      <c r="CL484" s="104">
        <f>(((CL$3*'Renewable Diesel'!$AF493)*'Feedstock Conversion Rates'!$B$3)/12)</f>
        <v>91.78125</v>
      </c>
      <c r="CM484" s="104">
        <f>(((CM$3*'Renewable Diesel'!$AF493)*'Feedstock Conversion Rates'!$B$6)/12)</f>
        <v>53.739583333333336</v>
      </c>
      <c r="CN484" s="104">
        <f>(((CN$3*'Renewable Diesel'!$AF493)*'Feedstock Conversion Rates'!$B$4)/12)</f>
        <v>42.96875</v>
      </c>
      <c r="CO484" s="106">
        <f t="shared" si="506"/>
        <v>188.48958333333334</v>
      </c>
      <c r="CP484" s="104">
        <f>('Renewable Diesel'!$AG493*'RD Feedstock Breakdown'!CP$3*'Feedstock Conversion Rates'!$B$3)/12</f>
        <v>6.0075000000000003</v>
      </c>
      <c r="CQ484" s="104">
        <f>('Renewable Diesel'!$AG493*'RD Feedstock Breakdown'!CQ$3*'Feedstock Conversion Rates'!$B$6)/12</f>
        <v>3.5175000000000001</v>
      </c>
      <c r="CR484" s="104">
        <f>('Renewable Diesel'!$AG493*'RD Feedstock Breakdown'!CR$3*'Feedstock Conversion Rates'!$B$4)/12</f>
        <v>2.8125</v>
      </c>
      <c r="CS484" s="106">
        <f t="shared" si="467"/>
        <v>12.3375</v>
      </c>
      <c r="CT484" s="104">
        <f>('Renewable Diesel'!AI493*'Feedstock Conversion Rates'!$B$4*'RD Feedstock Breakdown'!$CT$3)/12</f>
        <v>29.375</v>
      </c>
      <c r="CU484" s="106">
        <f t="shared" si="508"/>
        <v>29.375</v>
      </c>
      <c r="CV484" s="104">
        <f>('Renewable Diesel'!AN493*'Feedstock Conversion Rates'!$B$3*'RD Feedstock Breakdown'!$CV$3)/12</f>
        <v>0.50062499999999999</v>
      </c>
      <c r="CW484" s="106">
        <f t="shared" si="485"/>
        <v>0.50062499999999999</v>
      </c>
      <c r="CX484" s="104">
        <f>('Renewable Diesel'!AO493*'RD Feedstock Breakdown'!$CX$3*'Feedstock Conversion Rates'!$B$3)/12</f>
        <v>6.3412499999999996</v>
      </c>
      <c r="CY484" s="104">
        <f>('Renewable Diesel'!AO493*'RD Feedstock Breakdown'!$CY$3*'Feedstock Conversion Rates'!$B$6)/12</f>
        <v>7.4258333333333342</v>
      </c>
      <c r="CZ484" s="106">
        <f t="shared" si="468"/>
        <v>13.767083333333334</v>
      </c>
      <c r="DA484" s="104">
        <f>('Renewable Diesel'!$AP493*'RD Feedstock Breakdown'!DA$3*'Feedstock Conversion Rates'!$B$3)/12</f>
        <v>6.3412499999999996</v>
      </c>
      <c r="DB484" s="104">
        <f>('Renewable Diesel'!$AP493*'RD Feedstock Breakdown'!DB$3*'Feedstock Conversion Rates'!$B$8)/12</f>
        <v>7.421875</v>
      </c>
      <c r="DC484" s="106">
        <f t="shared" si="488"/>
        <v>13.763124999999999</v>
      </c>
      <c r="DD484" s="104">
        <f>('Renewable Diesel'!AQ493*$DD$3*'Feedstock Conversion Rates'!$B$14)/12</f>
        <v>3.1041666666666665</v>
      </c>
      <c r="DE484" s="106">
        <f t="shared" si="489"/>
        <v>3.1041666666666665</v>
      </c>
      <c r="DF484" s="104">
        <f>('Renewable Diesel'!AR493*'Feedstock Conversion Rates'!$B$4*$DF$3)/12</f>
        <v>75</v>
      </c>
      <c r="DG484" s="106">
        <f t="shared" si="469"/>
        <v>75</v>
      </c>
      <c r="DH484" s="104">
        <f>('Renewable Diesel'!AS493*'Feedstock Conversion Rates'!$B$4*$DH$3)/12</f>
        <v>75</v>
      </c>
      <c r="DI484" s="106">
        <f t="shared" si="478"/>
        <v>75</v>
      </c>
      <c r="DJ484" s="104">
        <f>('Renewable Diesel'!AT493*'Feedstock Conversion Rates'!$B$4*0.25)/12</f>
        <v>8.59375</v>
      </c>
      <c r="DK484" s="104">
        <f>('Renewable Diesel'!$AT493*'RD Feedstock Breakdown'!DK$3*'Feedstock Conversion Rates'!$B$3)/12*0.5</f>
        <v>9.1781249999999996</v>
      </c>
      <c r="DL484" s="104">
        <f>('Renewable Diesel'!$AT493*'RD Feedstock Breakdown'!$DL$3*'Feedstock Conversion Rates'!$B$6)/12</f>
        <v>10.747916666666669</v>
      </c>
      <c r="DM484" s="104">
        <f>('Renewable Diesel'!$AT493*'RD Feedstock Breakdown'!$DM$3*'Feedstock Conversion Rates'!$B$8)/12</f>
        <v>10.7421875</v>
      </c>
      <c r="DN484" s="106">
        <f t="shared" si="519"/>
        <v>39.26197916666667</v>
      </c>
      <c r="DP484" s="104">
        <f t="shared" si="491"/>
        <v>103.22025000000001</v>
      </c>
      <c r="DQ484" s="104">
        <f t="shared" si="492"/>
        <v>349.11776750000007</v>
      </c>
      <c r="DR484" s="104">
        <f t="shared" si="497"/>
        <v>1891.953125</v>
      </c>
      <c r="DS484" s="104">
        <f t="shared" si="510"/>
        <v>228.90125</v>
      </c>
      <c r="DT484" s="104">
        <f t="shared" si="493"/>
        <v>243.03923333333344</v>
      </c>
      <c r="DU484" s="104">
        <f t="shared" si="494"/>
        <v>402.90610000000009</v>
      </c>
      <c r="DV484" s="104">
        <f t="shared" si="498"/>
        <v>78.75</v>
      </c>
      <c r="DW484" s="104">
        <f t="shared" si="495"/>
        <v>3</v>
      </c>
      <c r="DX484" s="106">
        <f t="shared" si="499"/>
        <v>3300.8877258333337</v>
      </c>
      <c r="DY484" s="109">
        <f t="shared" si="487"/>
        <v>-5.631051180898794E-13</v>
      </c>
      <c r="EA484" s="110">
        <f t="shared" si="509"/>
        <v>3.1270451640078516E-2</v>
      </c>
      <c r="EB484" s="110">
        <f t="shared" si="522"/>
        <v>0.10576481131658687</v>
      </c>
      <c r="EC484" s="110">
        <f t="shared" si="523"/>
        <v>0.57316494293133291</v>
      </c>
      <c r="ED484" s="110">
        <f t="shared" si="524"/>
        <v>6.9345360706629972E-2</v>
      </c>
      <c r="EE484" s="110">
        <f t="shared" si="521"/>
        <v>7.3628445896921982E-2</v>
      </c>
      <c r="EF484" s="110">
        <f t="shared" si="521"/>
        <v>0.1220599225010852</v>
      </c>
      <c r="EG484" s="110">
        <f t="shared" si="521"/>
        <v>2.3857218585075921E-2</v>
      </c>
      <c r="EH484" s="111">
        <f t="shared" si="500"/>
        <v>9.0884642228860647E-4</v>
      </c>
      <c r="EI484" s="110">
        <f t="shared" si="476"/>
        <v>0.99909115357771139</v>
      </c>
      <c r="EK484" s="132">
        <f>(EA484*'Renewable Diesel'!BF493*'Feedstock Conversion Rates'!B$2)+FB484</f>
        <v>402.9168473272963</v>
      </c>
      <c r="EL484" s="132">
        <f>(EB484*'Renewable Diesel'!BF493*'Feedstock Conversion Rates'!B$3)+FC484</f>
        <v>1284.2100449893169</v>
      </c>
      <c r="EM484" s="132">
        <f>(EC484*'Renewable Diesel'!BF493*'Feedstock Conversion Rates'!B$4)+FD484</f>
        <v>6516.3324092615721</v>
      </c>
      <c r="EN484" s="132">
        <f>(ED484*'Renewable Diesel'!BF493*'Feedstock Conversion Rates'!B$5)+FE484</f>
        <v>793.64577885870654</v>
      </c>
      <c r="EO484" s="132">
        <f>(EE484*'Renewable Diesel'!BF493*'Feedstock Conversion Rates'!B$6)+FF484</f>
        <v>1046.9135472918772</v>
      </c>
      <c r="EP484" s="132">
        <f>(EF484*'Renewable Diesel'!BF493*'Feedstock Conversion Rates'!B$7)+FG484</f>
        <v>1702.2496940447186</v>
      </c>
      <c r="EQ484" s="132">
        <f>(EG484*'Renewable Diesel'!BF493*'Feedstock Conversion Rates'!B$8)+FH484</f>
        <v>339.04194721351035</v>
      </c>
      <c r="ER484" s="132">
        <f>(EH484*'Renewable Diesel'!BF493*'Feedstock Conversion Rates'!B$9)+FI484</f>
        <v>12.743671920660198</v>
      </c>
      <c r="ES484" s="132">
        <f t="shared" si="501"/>
        <v>12098.053940907657</v>
      </c>
      <c r="ET484" s="133">
        <f>ES484/'Renewable Diesel'!BF493</f>
        <v>14.471455286199971</v>
      </c>
      <c r="EW484" s="73">
        <f t="shared" si="461"/>
        <v>10588.545687098578</v>
      </c>
      <c r="EX484" s="73">
        <f t="shared" si="462"/>
        <v>6935.5554225962751</v>
      </c>
      <c r="EY484" s="92">
        <f t="shared" si="477"/>
        <v>0.87522718437343749</v>
      </c>
      <c r="EZ484" s="92">
        <f t="shared" si="477"/>
        <v>0.57327859972129824</v>
      </c>
      <c r="FB484" s="102">
        <f>IF('Renewable Diesel'!$BG493&lt;1,0,(((('Renewable Diesel'!$BG493-1)*'Renewable Diesel'!$BF493)*'RD Feedstock Breakdown'!EA484)*'Feedstock Conversion Rates'!$B$2))</f>
        <v>180.71053653550783</v>
      </c>
      <c r="FC484" s="102">
        <f>IF('Renewable Diesel'!$BG493&lt;1,0,(((('Renewable Diesel'!$BG493-1)*'Renewable Diesel'!$BF493)*'RD Feedstock Breakdown'!EB484)*'Feedstock Conversion Rates'!$B$3))</f>
        <v>575.97563317026902</v>
      </c>
      <c r="FD484" s="102">
        <f>IF('Renewable Diesel'!$BG493&lt;1,0,(((('Renewable Diesel'!$BG493-1)*'Renewable Diesel'!$BF493)*'RD Feedstock Breakdown'!EC484)*'Feedstock Conversion Rates'!$B$4))</f>
        <v>2922.6127766377981</v>
      </c>
      <c r="FE484" s="102">
        <f>IF('Renewable Diesel'!$BG493&lt;1,0,(((('Renewable Diesel'!$BG493-1)*'Renewable Diesel'!$BF493)*'RD Feedstock Breakdown'!ED484)*'Feedstock Conversion Rates'!$B$5))</f>
        <v>355.95472234050118</v>
      </c>
      <c r="FF484" s="102">
        <f>IF('Renewable Diesel'!$BG493&lt;1,0,(((('Renewable Diesel'!$BG493-1)*'Renewable Diesel'!$BF493)*'RD Feedstock Breakdown'!EE484)*'Feedstock Conversion Rates'!$B$6))</f>
        <v>469.5467814075443</v>
      </c>
      <c r="FG484" s="102">
        <f>IF('Renewable Diesel'!$BG493&lt;1,0,(((('Renewable Diesel'!$BG493-1)*'Renewable Diesel'!$BF493)*'RD Feedstock Breakdown'!EF484)*'Feedstock Conversion Rates'!$B$7))</f>
        <v>763.46883375254993</v>
      </c>
      <c r="FH484" s="102">
        <f>IF('Renewable Diesel'!$BG493&lt;1,0,(((('Renewable Diesel'!$BG493-1)*'Renewable Diesel'!$BF493)*'RD Feedstock Breakdown'!EG484)*'Feedstock Conversion Rates'!$B$8))</f>
        <v>152.06227437600137</v>
      </c>
      <c r="FI484" s="102">
        <f>IF('Renewable Diesel'!$BG493&lt;1,0,(((('Renewable Diesel'!$BG493-1)*'Renewable Diesel'!$BF493)*'RD Feedstock Breakdown'!EH484)*'Feedstock Conversion Rates'!$B$9))</f>
        <v>5.7156105670217654</v>
      </c>
      <c r="FJ484" s="102">
        <f t="shared" si="463"/>
        <v>5426.0471687871941</v>
      </c>
      <c r="GD484" s="91">
        <f>'Renewable Diesel'!BB493*0.32</f>
        <v>0</v>
      </c>
      <c r="GE484" s="91">
        <f>'Renewable Diesel'!BC493</f>
        <v>376.91895081091923</v>
      </c>
      <c r="GF484" s="91">
        <f>'Renewable Diesel'!BD493</f>
        <v>0</v>
      </c>
      <c r="GG484" s="91">
        <f t="shared" si="517"/>
        <v>376.91895081091923</v>
      </c>
      <c r="GH484" s="124">
        <v>1</v>
      </c>
      <c r="GI484" s="102">
        <f>$GG484*EA484*'Feedstock Conversion Rates'!$B$2</f>
        <v>100.18461950027685</v>
      </c>
      <c r="GJ484" s="102">
        <f>$GG484*EB484*'Feedstock Conversion Rates'!$B$3</f>
        <v>319.31674133044368</v>
      </c>
      <c r="GK484" s="102">
        <f>$GG484*EC484*'Feedstock Conversion Rates'!$B$4</f>
        <v>1620.2754669845879</v>
      </c>
      <c r="GL484" s="102">
        <f>$GG484*ED484*'Feedstock Conversion Rates'!$B$5</f>
        <v>197.33873353866525</v>
      </c>
      <c r="GM484" s="102">
        <f>$GG484*EE484*'Feedstock Conversion Rates'!$B$6</f>
        <v>260.31335269513369</v>
      </c>
      <c r="GN484" s="102">
        <f>$GG484*EF484*'Feedstock Conversion Rates'!$B$7</f>
        <v>423.26162091157448</v>
      </c>
      <c r="GO484" s="102">
        <f>$GG484*EG484*'Feedstock Conversion Rates'!$B$8</f>
        <v>84.302229359564805</v>
      </c>
      <c r="GP484" s="102">
        <f>$GG484*EH484*'Feedstock Conversion Rates'!B$9</f>
        <v>3.1686933194198321</v>
      </c>
      <c r="GQ484" s="102">
        <f t="shared" si="502"/>
        <v>3008.1614576396664</v>
      </c>
      <c r="GT484" s="103">
        <f t="shared" si="484"/>
        <v>3.3304269372191886E-2</v>
      </c>
      <c r="GU484" s="103">
        <f t="shared" si="484"/>
        <v>0.10615013383656388</v>
      </c>
      <c r="GV484" s="103">
        <f t="shared" si="484"/>
        <v>0.53862649654979833</v>
      </c>
      <c r="GW484" s="103">
        <f t="shared" si="484"/>
        <v>6.5601110950176775E-2</v>
      </c>
      <c r="GX484" s="103">
        <f t="shared" si="465"/>
        <v>8.653569841938831E-2</v>
      </c>
      <c r="GY484" s="103">
        <f t="shared" si="465"/>
        <v>0.14070442257566981</v>
      </c>
      <c r="GZ484" s="103">
        <f t="shared" si="465"/>
        <v>2.802450285554552E-2</v>
      </c>
      <c r="HA484" s="103">
        <f t="shared" si="465"/>
        <v>1.0533654406655838E-3</v>
      </c>
    </row>
    <row r="485" spans="1:209" x14ac:dyDescent="0.25">
      <c r="A485" s="96">
        <v>55185</v>
      </c>
      <c r="B485" s="104">
        <f t="shared" si="473"/>
        <v>44.25</v>
      </c>
      <c r="C485" s="104">
        <f t="shared" si="466"/>
        <v>49</v>
      </c>
      <c r="D485" s="104">
        <f t="shared" si="474"/>
        <v>2</v>
      </c>
      <c r="E485" s="104">
        <f>('Renewable Diesel'!B494*E$3*'Feedstock Conversion Rates'!$B$2)/12+26+13-100+27.5+39</f>
        <v>95.43</v>
      </c>
      <c r="F485" s="104">
        <f>('Renewable Diesel'!B494*'RD Feedstock Breakdown'!F$3*'Feedstock Conversion Rates'!B$8)/12+77+23-10-12-115.75+24+8</f>
        <v>48.15625</v>
      </c>
      <c r="G485" s="104">
        <f>('Renewable Diesel'!B494*'RD Feedstock Breakdown'!G$3*'Feedstock Conversion Rates'!B$7)/12+116.75-39-57.5-145-31.5+32+70-40+10+60</f>
        <v>151.90700000000004</v>
      </c>
      <c r="H485" s="104">
        <f>('Renewable Diesel'!B494*'RD Feedstock Breakdown'!H$3*'Feedstock Conversion Rates'!B$3)/12+67+10+12+3-235+20+47-20+25</f>
        <v>105.40022499999998</v>
      </c>
      <c r="I485" s="106">
        <f t="shared" si="515"/>
        <v>496.14347500000002</v>
      </c>
      <c r="J485" s="104">
        <f t="shared" si="483"/>
        <v>4</v>
      </c>
      <c r="K485" s="104"/>
      <c r="L485" s="104">
        <v>1</v>
      </c>
      <c r="M485" s="104">
        <f>('Renewable Diesel'!C494*'RD Feedstock Breakdown'!M$3*'Feedstock Conversion Rates'!B$2)/12</f>
        <v>7.7902500000000003</v>
      </c>
      <c r="N485" s="104">
        <f>('Renewable Diesel'!C494*'RD Feedstock Breakdown'!N$3*'Feedstock Conversion Rates'!B$8)/12</f>
        <v>3.671875</v>
      </c>
      <c r="O485" s="104">
        <f>('Renewable Diesel'!C494*'RD Feedstock Breakdown'!O$3*'Feedstock Conversion Rates'!B$7)/12</f>
        <v>11.9991</v>
      </c>
      <c r="P485" s="104">
        <f>('Renewable Diesel'!C494*'RD Feedstock Breakdown'!P$3*'Feedstock Conversion Rates'!B$3)/12</f>
        <v>10.4470425</v>
      </c>
      <c r="Q485" s="106">
        <f t="shared" si="525"/>
        <v>38.908267500000001</v>
      </c>
      <c r="R485" s="104">
        <f>('Renewable Diesel'!D494*'RD Feedstock Breakdown'!R$3*'Feedstock Conversion Rates'!B$7)/12</f>
        <v>2.2999999999999998</v>
      </c>
      <c r="S485" s="106">
        <f t="shared" si="481"/>
        <v>2.2999999999999998</v>
      </c>
      <c r="T485" s="104">
        <f t="shared" si="526"/>
        <v>0.82499999999999929</v>
      </c>
      <c r="U485" s="104"/>
      <c r="V485" s="104">
        <f>('Renewable Diesel'!E494*'RD Feedstock Breakdown'!V$3*'Feedstock Conversion Rates'!B$6)/12-20+25</f>
        <v>49.250150000000012</v>
      </c>
      <c r="W485" s="104">
        <f>('Renewable Diesel'!E494*'RD Feedstock Breakdown'!W$3*'Feedstock Conversion Rates'!B$8)/12-6</f>
        <v>16.1796875</v>
      </c>
      <c r="X485" s="106">
        <f t="shared" si="503"/>
        <v>66.254837500000008</v>
      </c>
      <c r="Y485" s="104">
        <f t="shared" si="527"/>
        <v>98</v>
      </c>
      <c r="Z485" s="104">
        <f>('Renewable Diesel'!F494*'RD Feedstock Breakdown'!Z$3*'Feedstock Conversion Rates'!B$6)/12-142+15+5+20+5+15</f>
        <v>77.460000000000008</v>
      </c>
      <c r="AA485" s="104">
        <f>('Renewable Diesel'!F494*'RD Feedstock Breakdown'!AA$3*'Feedstock Conversion Rates'!B$7)/12+24</f>
        <v>128.26666666666665</v>
      </c>
      <c r="AB485" s="106">
        <f t="shared" si="471"/>
        <v>303.72666666666669</v>
      </c>
      <c r="AC485" s="104">
        <f>('Renewable Diesel'!G494*'RD Feedstock Breakdown'!AC$3*'Feedstock Conversion Rates'!B$5)/12</f>
        <v>11.796875</v>
      </c>
      <c r="AD485" s="104">
        <f>('Renewable Diesel'!G494*'RD Feedstock Breakdown'!AD$3*'Feedstock Conversion Rates'!B$4)/12</f>
        <v>5.859375</v>
      </c>
      <c r="AE485" s="104">
        <f>('Renewable Diesel'!G494*'RD Feedstock Breakdown'!AE$3*'Feedstock Conversion Rates'!B$6)/12</f>
        <v>7.3281250000000009</v>
      </c>
      <c r="AF485" s="106">
        <f t="shared" si="511"/>
        <v>24.984375</v>
      </c>
      <c r="AG485" s="104">
        <f t="shared" si="529"/>
        <v>148</v>
      </c>
      <c r="AH485" s="104"/>
      <c r="AI485" s="104">
        <f>('Renewable Diesel'!H494*'RD Feedstock Breakdown'!AI$3*'Feedstock Conversion Rates'!B$6)/12-130-20+51-49</f>
        <v>0.51666666666667993</v>
      </c>
      <c r="AJ485" s="106">
        <f t="shared" si="480"/>
        <v>148.51666666666668</v>
      </c>
      <c r="AK485" s="104">
        <f>('Renewable Diesel'!J494*'RD Feedstock Breakdown'!AK$3*'Feedstock Conversion Rates'!B$4)/12</f>
        <v>95.8125</v>
      </c>
      <c r="AL485" s="106">
        <f t="shared" si="482"/>
        <v>95.8125</v>
      </c>
      <c r="AM485" s="104">
        <f>('Renewable Diesel'!K494*'RD Feedstock Breakdown'!AM$3*'Feedstock Conversion Rates'!B$4)/12+5+15-10+10</f>
        <v>78.59375</v>
      </c>
      <c r="AN485" s="104">
        <f>('Renewable Diesel'!K494*'RD Feedstock Breakdown'!AN$3*'Feedstock Conversion Rates'!B$6)/12-5-15+10-10</f>
        <v>4.4270833333333321</v>
      </c>
      <c r="AO485" s="106">
        <f t="shared" si="496"/>
        <v>83.020833333333329</v>
      </c>
      <c r="AP485" s="104">
        <f>('Renewable Diesel'!L494*'RD Feedstock Breakdown'!AP$3*'Feedstock Conversion Rates'!B$4)/12+15-10+15</f>
        <v>78.59375</v>
      </c>
      <c r="AQ485" s="104">
        <f>('Renewable Diesel'!L494*'RD Feedstock Breakdown'!AQ$3*'Feedstock Conversion Rates'!B$6)/12-15+10-15</f>
        <v>4.4270833333333321</v>
      </c>
      <c r="AR485" s="106">
        <f t="shared" si="486"/>
        <v>83.020833333333329</v>
      </c>
      <c r="AS485" s="104">
        <f>('Renewable Diesel'!M494*'RD Feedstock Breakdown'!AS$3*'Feedstock Conversion Rates'!B$4)/12</f>
        <v>456.25</v>
      </c>
      <c r="AT485" s="104">
        <f>('Renewable Diesel'!M494*'RD Feedstock Breakdown'!AT$3*'Feedstock Conversion Rates'!B$5)/12</f>
        <v>0</v>
      </c>
      <c r="AU485" s="106">
        <f t="shared" si="514"/>
        <v>456.25</v>
      </c>
      <c r="AV485" s="104">
        <f>'Renewable Diesel'!N494*'RD Feedstock Breakdown'!$AV$3*'Feedstock Conversion Rates'!$B$4/12-15-10+25+25-22+25</f>
        <v>106.74999999999999</v>
      </c>
      <c r="AW485" s="104">
        <f>'Renewable Diesel'!N494*'RD Feedstock Breakdown'!$AW$3*'Feedstock Conversion Rates'!$B$7/12+15+10-25-25+22-25</f>
        <v>13.400000000000006</v>
      </c>
      <c r="AX485" s="106">
        <f t="shared" si="475"/>
        <v>120.14999999999999</v>
      </c>
      <c r="AY485" s="104">
        <f>('Renewable Diesel'!O494*'RD Feedstock Breakdown'!AY$3*'Feedstock Conversion Rates'!B$4)/12</f>
        <v>210.9375</v>
      </c>
      <c r="AZ485" s="104">
        <f>('Renewable Diesel'!O494*'RD Feedstock Breakdown'!AZ$3*'Feedstock Conversion Rates'!B$3)/12</f>
        <v>25.03125</v>
      </c>
      <c r="BA485" s="106">
        <f t="shared" si="528"/>
        <v>235.96875</v>
      </c>
      <c r="BB485" s="104">
        <f>('Renewable Diesel'!Q494*'RD Feedstock Breakdown'!BB$3*'Feedstock Conversion Rates'!B$4)/12</f>
        <v>11.156249999999998</v>
      </c>
      <c r="BC485" s="104">
        <f>('Renewable Diesel'!Q494*'RD Feedstock Breakdown'!BC$3*'Feedstock Conversion Rates'!B$3)/12</f>
        <v>1.4017500000000001</v>
      </c>
      <c r="BD485" s="104">
        <f>('Renewable Diesel'!Q494*'RD Feedstock Breakdown'!BD$3*'Feedstock Conversion Rates'!B$6)/12</f>
        <v>0.8207500000000002</v>
      </c>
      <c r="BE485" s="106">
        <f t="shared" si="505"/>
        <v>13.378749999999998</v>
      </c>
      <c r="BF485" s="104">
        <f>('Renewable Diesel'!R494*'RD Feedstock Breakdown'!BF$3*'Feedstock Conversion Rates'!B$4)/12</f>
        <v>62.5</v>
      </c>
      <c r="BG485" s="106">
        <f t="shared" si="490"/>
        <v>62.5</v>
      </c>
      <c r="BH485" s="104">
        <f>('Renewable Diesel'!T494*'RD Feedstock Breakdown'!BH$3*'Feedstock Conversion Rates'!B$7)/12</f>
        <v>27.599999999999998</v>
      </c>
      <c r="BI485" s="106">
        <f t="shared" si="479"/>
        <v>27.599999999999998</v>
      </c>
      <c r="BJ485" s="104">
        <f>('Renewable Diesel'!W494*'RD Feedstock Breakdown'!BJ$3*'Feedstock Conversion Rates'!B$4)/12</f>
        <v>7.5</v>
      </c>
      <c r="BK485" s="104">
        <f>('Renewable Diesel'!W494*'RD Feedstock Breakdown'!BK$3*'Feedstock Conversion Rates'!B$3)/12</f>
        <v>1.335</v>
      </c>
      <c r="BL485" s="104">
        <f>('Renewable Diesel'!W494*'RD Feedstock Breakdown'!BL$3*'Feedstock Conversion Rates'!B$6)/12</f>
        <v>3.1266666666666669</v>
      </c>
      <c r="BM485" s="104">
        <f>('Renewable Diesel'!W494*'RD Feedstock Breakdown'!BM$3*'Feedstock Conversion Rates'!B$7)/12</f>
        <v>1.5333333333333332</v>
      </c>
      <c r="BN485" s="106">
        <f t="shared" si="518"/>
        <v>13.495000000000001</v>
      </c>
      <c r="BO485" s="104">
        <f>('Renewable Diesel'!P494*'Feedstock Conversion Rates'!B$4)/12</f>
        <v>31.25</v>
      </c>
      <c r="BP485" s="106">
        <f t="shared" si="512"/>
        <v>31.25</v>
      </c>
      <c r="BQ485" s="104">
        <f>('Renewable Diesel'!$S494*'RD Feedstock Breakdown'!BQ$3*'Feedstock Conversion Rates'!B$4)/12+10+15-15</f>
        <v>38.125</v>
      </c>
      <c r="BR485" s="104">
        <f>('Renewable Diesel'!$S494*'RD Feedstock Breakdown'!BR$3*'Feedstock Conversion Rates'!B$7)/12-10-15+15</f>
        <v>1.5</v>
      </c>
      <c r="BS485" s="106">
        <f t="shared" ref="BS485:BS495" si="530">SUM(BQ485:BR485)</f>
        <v>39.625</v>
      </c>
      <c r="BT485" s="106"/>
      <c r="BU485" s="104">
        <f>('Renewable Diesel'!Y494*'Feedstock Conversion Rates'!B$7)/12</f>
        <v>2.6833333333333331</v>
      </c>
      <c r="BV485" s="106">
        <f t="shared" si="507"/>
        <v>2.6833333333333331</v>
      </c>
      <c r="BW485" s="104">
        <f>('Renewable Diesel'!$Z494*'RD Feedstock Breakdown'!BW$3*'Feedstock Conversion Rates'!$B$4)/12-250+180</f>
        <v>1.875</v>
      </c>
      <c r="BX485" s="104">
        <f>('Renewable Diesel'!$Z494*'RD Feedstock Breakdown'!BX$3*'Feedstock Conversion Rates'!$B$5)/12</f>
        <v>7.2354166666666666</v>
      </c>
      <c r="BY485" s="104">
        <f>('Renewable Diesel'!$Z494*'RD Feedstock Breakdown'!BY$3*'Feedstock Conversion Rates'!$B$7)/12</f>
        <v>61.716666666666661</v>
      </c>
      <c r="BZ485" s="104">
        <f>('Renewable Diesel'!$Z494*'RD Feedstock Breakdown'!BZ$3*'Feedstock Conversion Rates'!$B$3)/12+250-180</f>
        <v>85.35250000000002</v>
      </c>
      <c r="CA485" s="106">
        <f t="shared" si="464"/>
        <v>156.17958333333334</v>
      </c>
      <c r="CB485" s="104">
        <f>('Renewable Diesel'!AA494*'Feedstock Conversion Rates'!B$4)/12</f>
        <v>191.25</v>
      </c>
      <c r="CC485" s="106">
        <f t="shared" si="520"/>
        <v>191.25</v>
      </c>
      <c r="CD485" s="104">
        <f>('Renewable Diesel'!$AB494*'RD Feedstock Breakdown'!CD$3*'Feedstock Conversion Rates'!$B$6)/12-15-5</f>
        <v>12.830000000000005</v>
      </c>
      <c r="CE485" s="104">
        <f>('Renewable Diesel'!$AB494*'RD Feedstock Breakdown'!CE$3*'Feedstock Conversion Rates'!$B$4)/12+15+5</f>
        <v>31.25</v>
      </c>
      <c r="CF485" s="106">
        <f t="shared" si="516"/>
        <v>44.080000000000005</v>
      </c>
      <c r="CG485" s="104">
        <f>('Renewable Diesel'!AD494*'Feedstock Conversion Rates'!B$4)/12</f>
        <v>112.5</v>
      </c>
      <c r="CH485" s="106">
        <f t="shared" si="504"/>
        <v>112.5</v>
      </c>
      <c r="CI485" s="104">
        <f>('Renewable Diesel'!$AE494*'RD Feedstock Breakdown'!CI$3*'Feedstock Conversion Rates'!$B$5)/12</f>
        <v>0.34604166666666664</v>
      </c>
      <c r="CJ485" s="104">
        <f>('Renewable Diesel'!$AE494*'RD Feedstock Breakdown'!CJ$3*'Feedstock Conversion Rates'!$B$4)/12</f>
        <v>0.34375</v>
      </c>
      <c r="CK485" s="106">
        <f t="shared" si="513"/>
        <v>0.68979166666666658</v>
      </c>
      <c r="CL485" s="104">
        <f>(((CL$3*'Renewable Diesel'!$AF494)*'Feedstock Conversion Rates'!$B$3)/12)</f>
        <v>91.78125</v>
      </c>
      <c r="CM485" s="104">
        <f>(((CM$3*'Renewable Diesel'!$AF494)*'Feedstock Conversion Rates'!$B$6)/12)</f>
        <v>53.739583333333336</v>
      </c>
      <c r="CN485" s="104">
        <f>(((CN$3*'Renewable Diesel'!$AF494)*'Feedstock Conversion Rates'!$B$4)/12)</f>
        <v>42.96875</v>
      </c>
      <c r="CO485" s="106">
        <f t="shared" si="506"/>
        <v>188.48958333333334</v>
      </c>
      <c r="CP485" s="104">
        <f>('Renewable Diesel'!$AG494*'RD Feedstock Breakdown'!CP$3*'Feedstock Conversion Rates'!$B$3)/12</f>
        <v>6.0075000000000003</v>
      </c>
      <c r="CQ485" s="104">
        <f>('Renewable Diesel'!$AG494*'RD Feedstock Breakdown'!CQ$3*'Feedstock Conversion Rates'!$B$6)/12</f>
        <v>3.5175000000000001</v>
      </c>
      <c r="CR485" s="104">
        <f>('Renewable Diesel'!$AG494*'RD Feedstock Breakdown'!CR$3*'Feedstock Conversion Rates'!$B$4)/12</f>
        <v>2.8125</v>
      </c>
      <c r="CS485" s="106">
        <f t="shared" si="467"/>
        <v>12.3375</v>
      </c>
      <c r="CT485" s="104">
        <f>('Renewable Diesel'!AI494*'Feedstock Conversion Rates'!$B$4*'RD Feedstock Breakdown'!$CT$3)/12</f>
        <v>29.375</v>
      </c>
      <c r="CU485" s="106">
        <f t="shared" si="508"/>
        <v>29.375</v>
      </c>
      <c r="CV485" s="104">
        <f>('Renewable Diesel'!AN494*'Feedstock Conversion Rates'!$B$3*'RD Feedstock Breakdown'!$CV$3)/12</f>
        <v>0.50062499999999999</v>
      </c>
      <c r="CW485" s="106">
        <f t="shared" si="485"/>
        <v>0.50062499999999999</v>
      </c>
      <c r="CX485" s="104">
        <f>('Renewable Diesel'!AO494*'RD Feedstock Breakdown'!$CX$3*'Feedstock Conversion Rates'!$B$3)/12</f>
        <v>6.3412499999999996</v>
      </c>
      <c r="CY485" s="104">
        <f>('Renewable Diesel'!AO494*'RD Feedstock Breakdown'!$CY$3*'Feedstock Conversion Rates'!$B$6)/12</f>
        <v>7.4258333333333342</v>
      </c>
      <c r="CZ485" s="106">
        <f t="shared" si="468"/>
        <v>13.767083333333334</v>
      </c>
      <c r="DA485" s="104">
        <f>('Renewable Diesel'!$AP494*'RD Feedstock Breakdown'!DA$3*'Feedstock Conversion Rates'!$B$3)/12</f>
        <v>6.3412499999999996</v>
      </c>
      <c r="DB485" s="104">
        <f>('Renewable Diesel'!$AP494*'RD Feedstock Breakdown'!DB$3*'Feedstock Conversion Rates'!$B$8)/12</f>
        <v>7.421875</v>
      </c>
      <c r="DC485" s="106">
        <f t="shared" si="488"/>
        <v>13.763124999999999</v>
      </c>
      <c r="DD485" s="104">
        <f>('Renewable Diesel'!AQ494*$DD$3*'Feedstock Conversion Rates'!$B$14)/12</f>
        <v>3.1041666666666665</v>
      </c>
      <c r="DE485" s="106">
        <f t="shared" si="489"/>
        <v>3.1041666666666665</v>
      </c>
      <c r="DF485" s="104">
        <f>('Renewable Diesel'!AR494*'Feedstock Conversion Rates'!$B$4*$DF$3)/12</f>
        <v>75</v>
      </c>
      <c r="DG485" s="106">
        <f t="shared" si="469"/>
        <v>75</v>
      </c>
      <c r="DH485" s="104">
        <f>('Renewable Diesel'!AS494*'Feedstock Conversion Rates'!$B$4*$DH$3)/12</f>
        <v>75</v>
      </c>
      <c r="DI485" s="106">
        <f t="shared" si="478"/>
        <v>75</v>
      </c>
      <c r="DJ485" s="104">
        <f>('Renewable Diesel'!AT494*'Feedstock Conversion Rates'!$B$4*0.25)/12</f>
        <v>8.59375</v>
      </c>
      <c r="DK485" s="104">
        <f>('Renewable Diesel'!$AT494*'RD Feedstock Breakdown'!DK$3*'Feedstock Conversion Rates'!$B$3)/12*0.5</f>
        <v>9.1781249999999996</v>
      </c>
      <c r="DL485" s="104">
        <f>('Renewable Diesel'!$AT494*'RD Feedstock Breakdown'!$DL$3*'Feedstock Conversion Rates'!$B$6)/12</f>
        <v>10.747916666666669</v>
      </c>
      <c r="DM485" s="104">
        <f>('Renewable Diesel'!$AT494*'RD Feedstock Breakdown'!$DM$3*'Feedstock Conversion Rates'!$B$8)/12</f>
        <v>10.7421875</v>
      </c>
      <c r="DN485" s="106">
        <f t="shared" si="519"/>
        <v>39.26197916666667</v>
      </c>
      <c r="DP485" s="104">
        <f t="shared" si="491"/>
        <v>103.22025000000001</v>
      </c>
      <c r="DQ485" s="104">
        <f t="shared" si="492"/>
        <v>349.11776750000007</v>
      </c>
      <c r="DR485" s="104">
        <f t="shared" si="497"/>
        <v>1891.953125</v>
      </c>
      <c r="DS485" s="104">
        <f t="shared" si="510"/>
        <v>228.90125</v>
      </c>
      <c r="DT485" s="104">
        <f t="shared" si="493"/>
        <v>243.03923333333344</v>
      </c>
      <c r="DU485" s="104">
        <f t="shared" si="494"/>
        <v>402.90610000000009</v>
      </c>
      <c r="DV485" s="104">
        <f t="shared" si="498"/>
        <v>78.75</v>
      </c>
      <c r="DW485" s="104">
        <f t="shared" si="495"/>
        <v>3</v>
      </c>
      <c r="DX485" s="106">
        <f t="shared" si="499"/>
        <v>3300.8877258333337</v>
      </c>
      <c r="DY485" s="109">
        <f t="shared" si="487"/>
        <v>-5.631051180898794E-13</v>
      </c>
      <c r="EA485" s="110">
        <f t="shared" si="509"/>
        <v>3.1270451640078516E-2</v>
      </c>
      <c r="EB485" s="110">
        <f t="shared" si="522"/>
        <v>0.10576481131658687</v>
      </c>
      <c r="EC485" s="110">
        <f t="shared" si="523"/>
        <v>0.57316494293133291</v>
      </c>
      <c r="ED485" s="110">
        <f t="shared" si="524"/>
        <v>6.9345360706629972E-2</v>
      </c>
      <c r="EE485" s="110">
        <f t="shared" si="521"/>
        <v>7.3628445896921982E-2</v>
      </c>
      <c r="EF485" s="110">
        <f t="shared" si="521"/>
        <v>0.1220599225010852</v>
      </c>
      <c r="EG485" s="110">
        <f t="shared" si="521"/>
        <v>2.3857218585075921E-2</v>
      </c>
      <c r="EH485" s="111">
        <f t="shared" si="500"/>
        <v>9.0884642228860647E-4</v>
      </c>
      <c r="EI485" s="110">
        <f t="shared" si="476"/>
        <v>0.99909115357771139</v>
      </c>
      <c r="EK485" s="132">
        <f>(EA485*'Renewable Diesel'!BF494*'Feedstock Conversion Rates'!B$2)+FB485</f>
        <v>860.38736468072727</v>
      </c>
      <c r="EL485" s="132">
        <f>(EB485*'Renewable Diesel'!BF494*'Feedstock Conversion Rates'!B$3)+FC485</f>
        <v>2742.2980787083661</v>
      </c>
      <c r="EM485" s="132">
        <f>(EC485*'Renewable Diesel'!BF494*'Feedstock Conversion Rates'!B$4)+FD485</f>
        <v>13914.95566933657</v>
      </c>
      <c r="EN485" s="132">
        <f>(ED485*'Renewable Diesel'!BF494*'Feedstock Conversion Rates'!B$5)+FE485</f>
        <v>1694.7486924207487</v>
      </c>
      <c r="EO485" s="132">
        <f>(EE485*'Renewable Diesel'!BF494*'Feedstock Conversion Rates'!B$6)+FF485</f>
        <v>2235.5758861364129</v>
      </c>
      <c r="EP485" s="132">
        <f>(EF485*'Renewable Diesel'!BF494*'Feedstock Conversion Rates'!B$7)+FG485</f>
        <v>3634.9786264906288</v>
      </c>
      <c r="EQ485" s="132">
        <f>(EG485*'Renewable Diesel'!BF494*'Feedstock Conversion Rates'!B$8)+FH485</f>
        <v>723.9891044870991</v>
      </c>
      <c r="ER485" s="132">
        <f>(EH485*'Renewable Diesel'!BF494*'Feedstock Conversion Rates'!B$9)+FI485</f>
        <v>27.212796816276992</v>
      </c>
      <c r="ES485" s="132">
        <f t="shared" si="501"/>
        <v>25834.146219076832</v>
      </c>
      <c r="ET485" s="133">
        <f>ES485/'Renewable Diesel'!BF494</f>
        <v>21.147133426885073</v>
      </c>
      <c r="EW485" s="73">
        <f t="shared" ref="EW485:EW495" si="531">EN485+EM485+FD485+FE485</f>
        <v>25328.309448713058</v>
      </c>
      <c r="EX485" s="73">
        <f t="shared" ref="EX485:EX495" si="532">EQ485+EO485+EL485+EK485+ER485+EP485+FB485+FC485+FF485+FG485+FH485+FI485</f>
        <v>16590.181421822188</v>
      </c>
      <c r="EY485" s="92">
        <f t="shared" si="477"/>
        <v>0.98041983791241971</v>
      </c>
      <c r="EZ485" s="92">
        <f t="shared" si="477"/>
        <v>0.64218036397004752</v>
      </c>
      <c r="FB485" s="102">
        <f>IF('Renewable Diesel'!$BG494&lt;1,0,(((('Renewable Diesel'!$BG494-1)*'Renewable Diesel'!$BF494)*'RD Feedstock Breakdown'!EA485)*'Feedstock Conversion Rates'!$B$2))</f>
        <v>535.67734694734497</v>
      </c>
      <c r="FC485" s="102">
        <f>IF('Renewable Diesel'!$BG494&lt;1,0,(((('Renewable Diesel'!$BG494-1)*'Renewable Diesel'!$BF494)*'RD Feedstock Breakdown'!EB485)*'Feedstock Conversion Rates'!$B$3))</f>
        <v>1707.3553374257315</v>
      </c>
      <c r="FD485" s="102">
        <f>IF('Renewable Diesel'!$BG494&lt;1,0,(((('Renewable Diesel'!$BG494-1)*'Renewable Diesel'!$BF494)*'RD Feedstock Breakdown'!EC485)*'Feedstock Conversion Rates'!$B$4))</f>
        <v>8663.4542089145343</v>
      </c>
      <c r="FE485" s="102">
        <f>IF('Renewable Diesel'!$BG494&lt;1,0,(((('Renewable Diesel'!$BG494-1)*'Renewable Diesel'!$BF494)*'RD Feedstock Breakdown'!ED485)*'Feedstock Conversion Rates'!$B$5))</f>
        <v>1055.1508780412059</v>
      </c>
      <c r="FF485" s="102">
        <f>IF('Renewable Diesel'!$BG494&lt;1,0,(((('Renewable Diesel'!$BG494-1)*'Renewable Diesel'!$BF494)*'RD Feedstock Breakdown'!EE485)*'Feedstock Conversion Rates'!$B$6))</f>
        <v>1391.8699980321069</v>
      </c>
      <c r="FG485" s="102">
        <f>IF('Renewable Diesel'!$BG494&lt;1,0,(((('Renewable Diesel'!$BG494-1)*'Renewable Diesel'!$BF494)*'RD Feedstock Breakdown'!EF485)*'Feedstock Conversion Rates'!$B$7))</f>
        <v>2263.1384266915197</v>
      </c>
      <c r="FH485" s="102">
        <f>IF('Renewable Diesel'!$BG494&lt;1,0,(((('Renewable Diesel'!$BG494-1)*'Renewable Diesel'!$BF494)*'RD Feedstock Breakdown'!EG485)*'Feedstock Conversion Rates'!$B$8))</f>
        <v>450.75576261437476</v>
      </c>
      <c r="FI485" s="102">
        <f>IF('Renewable Diesel'!$BG494&lt;1,0,(((('Renewable Diesel'!$BG494-1)*'Renewable Diesel'!$BF494)*'RD Feedstock Breakdown'!EH485)*'Feedstock Conversion Rates'!$B$9))</f>
        <v>16.942692791600624</v>
      </c>
      <c r="FJ485" s="102">
        <f t="shared" ref="FJ485:FJ495" si="533">SUM(FB485:FI485)</f>
        <v>16084.344651458419</v>
      </c>
      <c r="GD485" s="91">
        <f>'Renewable Diesel'!BB494*0.32</f>
        <v>0</v>
      </c>
      <c r="GE485" s="91">
        <f>'Renewable Diesel'!BC494</f>
        <v>715.41513540490757</v>
      </c>
      <c r="GF485" s="91">
        <f>'Renewable Diesel'!BD494</f>
        <v>0</v>
      </c>
      <c r="GG485" s="91">
        <f t="shared" si="517"/>
        <v>715.41513540490757</v>
      </c>
      <c r="GH485" s="124">
        <v>1</v>
      </c>
      <c r="GI485" s="102">
        <f>$GG485*EA485*'Feedstock Conversion Rates'!$B$2</f>
        <v>190.15651235120475</v>
      </c>
      <c r="GJ485" s="102">
        <f>$GG485*EB485*'Feedstock Conversion Rates'!$B$3</f>
        <v>606.08263194113522</v>
      </c>
      <c r="GK485" s="102">
        <f>$GG485*EC485*'Feedstock Conversion Rates'!$B$4</f>
        <v>3075.3815644242422</v>
      </c>
      <c r="GL485" s="102">
        <f>$GG485*ED485*'Feedstock Conversion Rates'!$B$5</f>
        <v>374.56094067825052</v>
      </c>
      <c r="GM485" s="102">
        <f>$GG485*EE485*'Feedstock Conversion Rates'!$B$6</f>
        <v>494.090605063574</v>
      </c>
      <c r="GN485" s="102">
        <f>$GG485*EF485*'Feedstock Conversion Rates'!$B$7</f>
        <v>803.37634704936272</v>
      </c>
      <c r="GO485" s="102">
        <f>$GG485*EG485*'Feedstock Conversion Rates'!$B$8</f>
        <v>160.01076810399906</v>
      </c>
      <c r="GP485" s="102">
        <f>$GG485*EH485*'Feedstock Conversion Rates'!B$9</f>
        <v>6.0143729979407903</v>
      </c>
      <c r="GQ485" s="102">
        <f t="shared" si="502"/>
        <v>5709.6737426097097</v>
      </c>
      <c r="GT485" s="103">
        <f t="shared" si="484"/>
        <v>3.3304269372191886E-2</v>
      </c>
      <c r="GU485" s="103">
        <f t="shared" si="484"/>
        <v>0.10615013383656385</v>
      </c>
      <c r="GV485" s="103">
        <f t="shared" si="484"/>
        <v>0.53862649654979833</v>
      </c>
      <c r="GW485" s="103">
        <f t="shared" si="484"/>
        <v>6.5601110950176761E-2</v>
      </c>
      <c r="GX485" s="103">
        <f t="shared" si="465"/>
        <v>8.6535698419388296E-2</v>
      </c>
      <c r="GY485" s="103">
        <f t="shared" si="465"/>
        <v>0.14070442257566981</v>
      </c>
      <c r="GZ485" s="103">
        <f t="shared" si="465"/>
        <v>2.802450285554552E-2</v>
      </c>
      <c r="HA485" s="103">
        <f t="shared" si="465"/>
        <v>1.0533654406655838E-3</v>
      </c>
    </row>
    <row r="486" spans="1:209" x14ac:dyDescent="0.25">
      <c r="A486" s="96">
        <v>55213</v>
      </c>
      <c r="B486" s="104">
        <f t="shared" si="473"/>
        <v>44.25</v>
      </c>
      <c r="C486" s="104">
        <f t="shared" si="466"/>
        <v>49</v>
      </c>
      <c r="D486" s="104">
        <f t="shared" si="474"/>
        <v>2</v>
      </c>
      <c r="E486" s="104">
        <f>('Renewable Diesel'!B495*E$3*'Feedstock Conversion Rates'!$B$2)/12+26+13-100+27.5+39</f>
        <v>95.43</v>
      </c>
      <c r="F486" s="104">
        <f>('Renewable Diesel'!B495*'RD Feedstock Breakdown'!F$3*'Feedstock Conversion Rates'!B$8)/12+77+23-10-12-115.75+24+8</f>
        <v>48.15625</v>
      </c>
      <c r="G486" s="104">
        <f>('Renewable Diesel'!B495*'RD Feedstock Breakdown'!G$3*'Feedstock Conversion Rates'!B$7)/12+116.75-39-57.5-145-31.5+32+70-40+10+60</f>
        <v>151.90700000000004</v>
      </c>
      <c r="H486" s="104">
        <f>('Renewable Diesel'!B495*'RD Feedstock Breakdown'!H$3*'Feedstock Conversion Rates'!B$3)/12+67+10+12+3-235+20+47-20+25</f>
        <v>105.40022499999998</v>
      </c>
      <c r="I486" s="106">
        <f t="shared" si="515"/>
        <v>496.14347500000002</v>
      </c>
      <c r="J486" s="104">
        <f t="shared" si="483"/>
        <v>4</v>
      </c>
      <c r="K486" s="104"/>
      <c r="L486" s="104">
        <v>1</v>
      </c>
      <c r="M486" s="104">
        <f>('Renewable Diesel'!C495*'RD Feedstock Breakdown'!M$3*'Feedstock Conversion Rates'!B$2)/12</f>
        <v>7.7902500000000003</v>
      </c>
      <c r="N486" s="104">
        <f>('Renewable Diesel'!C495*'RD Feedstock Breakdown'!N$3*'Feedstock Conversion Rates'!B$8)/12</f>
        <v>3.671875</v>
      </c>
      <c r="O486" s="104">
        <f>('Renewable Diesel'!C495*'RD Feedstock Breakdown'!O$3*'Feedstock Conversion Rates'!B$7)/12</f>
        <v>11.9991</v>
      </c>
      <c r="P486" s="104">
        <f>('Renewable Diesel'!C495*'RD Feedstock Breakdown'!P$3*'Feedstock Conversion Rates'!B$3)/12</f>
        <v>10.4470425</v>
      </c>
      <c r="Q486" s="106">
        <f t="shared" si="525"/>
        <v>38.908267500000001</v>
      </c>
      <c r="R486" s="104">
        <f>('Renewable Diesel'!D495*'RD Feedstock Breakdown'!R$3*'Feedstock Conversion Rates'!B$7)/12</f>
        <v>2.2999999999999998</v>
      </c>
      <c r="S486" s="106">
        <f t="shared" si="481"/>
        <v>2.2999999999999998</v>
      </c>
      <c r="T486" s="104">
        <f t="shared" si="526"/>
        <v>0.82499999999999929</v>
      </c>
      <c r="U486" s="104"/>
      <c r="V486" s="104">
        <f>('Renewable Diesel'!E495*'RD Feedstock Breakdown'!V$3*'Feedstock Conversion Rates'!B$6)/12-20+25</f>
        <v>49.250150000000012</v>
      </c>
      <c r="W486" s="104">
        <f>('Renewable Diesel'!E495*'RD Feedstock Breakdown'!W$3*'Feedstock Conversion Rates'!B$8)/12-6</f>
        <v>16.1796875</v>
      </c>
      <c r="X486" s="106">
        <f t="shared" si="503"/>
        <v>66.254837500000008</v>
      </c>
      <c r="Y486" s="104">
        <f t="shared" si="527"/>
        <v>98</v>
      </c>
      <c r="Z486" s="104">
        <f>('Renewable Diesel'!F495*'RD Feedstock Breakdown'!Z$3*'Feedstock Conversion Rates'!B$6)/12-142+15+5+20+5+15</f>
        <v>77.460000000000008</v>
      </c>
      <c r="AA486" s="104">
        <f>('Renewable Diesel'!F495*'RD Feedstock Breakdown'!AA$3*'Feedstock Conversion Rates'!B$7)/12+24</f>
        <v>128.26666666666665</v>
      </c>
      <c r="AB486" s="106">
        <f t="shared" si="471"/>
        <v>303.72666666666669</v>
      </c>
      <c r="AC486" s="104">
        <f>('Renewable Diesel'!G495*'RD Feedstock Breakdown'!AC$3*'Feedstock Conversion Rates'!B$5)/12</f>
        <v>11.796875</v>
      </c>
      <c r="AD486" s="104">
        <f>('Renewable Diesel'!G495*'RD Feedstock Breakdown'!AD$3*'Feedstock Conversion Rates'!B$4)/12</f>
        <v>5.859375</v>
      </c>
      <c r="AE486" s="104">
        <f>('Renewable Diesel'!G495*'RD Feedstock Breakdown'!AE$3*'Feedstock Conversion Rates'!B$6)/12</f>
        <v>7.3281250000000009</v>
      </c>
      <c r="AF486" s="106">
        <f t="shared" si="511"/>
        <v>24.984375</v>
      </c>
      <c r="AG486" s="104">
        <f t="shared" si="529"/>
        <v>148</v>
      </c>
      <c r="AH486" s="104"/>
      <c r="AI486" s="104">
        <f>('Renewable Diesel'!H495*'RD Feedstock Breakdown'!AI$3*'Feedstock Conversion Rates'!B$6)/12-130-20+51-49</f>
        <v>0.51666666666667993</v>
      </c>
      <c r="AJ486" s="106">
        <f t="shared" si="480"/>
        <v>148.51666666666668</v>
      </c>
      <c r="AK486" s="104">
        <f>('Renewable Diesel'!J495*'RD Feedstock Breakdown'!AK$3*'Feedstock Conversion Rates'!B$4)/12</f>
        <v>95.8125</v>
      </c>
      <c r="AL486" s="106">
        <f t="shared" si="482"/>
        <v>95.8125</v>
      </c>
      <c r="AM486" s="104">
        <f>('Renewable Diesel'!K495*'RD Feedstock Breakdown'!AM$3*'Feedstock Conversion Rates'!B$4)/12+5+15-10+10</f>
        <v>78.59375</v>
      </c>
      <c r="AN486" s="104">
        <f>('Renewable Diesel'!K495*'RD Feedstock Breakdown'!AN$3*'Feedstock Conversion Rates'!B$6)/12-5-15+10-10</f>
        <v>4.4270833333333321</v>
      </c>
      <c r="AO486" s="106">
        <f t="shared" si="496"/>
        <v>83.020833333333329</v>
      </c>
      <c r="AP486" s="104">
        <f>('Renewable Diesel'!L495*'RD Feedstock Breakdown'!AP$3*'Feedstock Conversion Rates'!B$4)/12+15-10+15</f>
        <v>78.59375</v>
      </c>
      <c r="AQ486" s="104">
        <f>('Renewable Diesel'!L495*'RD Feedstock Breakdown'!AQ$3*'Feedstock Conversion Rates'!B$6)/12-15+10-15</f>
        <v>4.4270833333333321</v>
      </c>
      <c r="AR486" s="106">
        <f t="shared" si="486"/>
        <v>83.020833333333329</v>
      </c>
      <c r="AS486" s="104">
        <f>('Renewable Diesel'!M495*'RD Feedstock Breakdown'!AS$3*'Feedstock Conversion Rates'!B$4)/12</f>
        <v>456.25</v>
      </c>
      <c r="AT486" s="104">
        <f>('Renewable Diesel'!M495*'RD Feedstock Breakdown'!AT$3*'Feedstock Conversion Rates'!B$5)/12</f>
        <v>0</v>
      </c>
      <c r="AU486" s="106">
        <f t="shared" si="514"/>
        <v>456.25</v>
      </c>
      <c r="AV486" s="104">
        <f>'Renewable Diesel'!N495*'RD Feedstock Breakdown'!$AV$3*'Feedstock Conversion Rates'!$B$4/12-15-10+25+25-22+25</f>
        <v>106.74999999999999</v>
      </c>
      <c r="AW486" s="104">
        <f>'Renewable Diesel'!N495*'RD Feedstock Breakdown'!$AW$3*'Feedstock Conversion Rates'!$B$7/12+15+10-25-25+22-25</f>
        <v>13.400000000000006</v>
      </c>
      <c r="AX486" s="106">
        <f t="shared" si="475"/>
        <v>120.14999999999999</v>
      </c>
      <c r="AY486" s="104">
        <f>('Renewable Diesel'!O495*'RD Feedstock Breakdown'!AY$3*'Feedstock Conversion Rates'!B$4)/12</f>
        <v>210.9375</v>
      </c>
      <c r="AZ486" s="104">
        <f>('Renewable Diesel'!O495*'RD Feedstock Breakdown'!AZ$3*'Feedstock Conversion Rates'!B$3)/12</f>
        <v>25.03125</v>
      </c>
      <c r="BA486" s="106">
        <f t="shared" si="528"/>
        <v>235.96875</v>
      </c>
      <c r="BB486" s="104">
        <f>('Renewable Diesel'!Q495*'RD Feedstock Breakdown'!BB$3*'Feedstock Conversion Rates'!B$4)/12</f>
        <v>11.156249999999998</v>
      </c>
      <c r="BC486" s="104">
        <f>('Renewable Diesel'!Q495*'RD Feedstock Breakdown'!BC$3*'Feedstock Conversion Rates'!B$3)/12</f>
        <v>1.4017500000000001</v>
      </c>
      <c r="BD486" s="104">
        <f>('Renewable Diesel'!Q495*'RD Feedstock Breakdown'!BD$3*'Feedstock Conversion Rates'!B$6)/12</f>
        <v>0.8207500000000002</v>
      </c>
      <c r="BE486" s="106">
        <f t="shared" si="505"/>
        <v>13.378749999999998</v>
      </c>
      <c r="BF486" s="104">
        <f>('Renewable Diesel'!R495*'RD Feedstock Breakdown'!BF$3*'Feedstock Conversion Rates'!B$4)/12</f>
        <v>62.5</v>
      </c>
      <c r="BG486" s="106">
        <f t="shared" si="490"/>
        <v>62.5</v>
      </c>
      <c r="BH486" s="104">
        <f>('Renewable Diesel'!T495*'RD Feedstock Breakdown'!BH$3*'Feedstock Conversion Rates'!B$7)/12</f>
        <v>27.599999999999998</v>
      </c>
      <c r="BI486" s="106">
        <f t="shared" si="479"/>
        <v>27.599999999999998</v>
      </c>
      <c r="BJ486" s="104">
        <f>('Renewable Diesel'!W495*'RD Feedstock Breakdown'!BJ$3*'Feedstock Conversion Rates'!B$4)/12</f>
        <v>7.5</v>
      </c>
      <c r="BK486" s="104">
        <f>('Renewable Diesel'!W495*'RD Feedstock Breakdown'!BK$3*'Feedstock Conversion Rates'!B$3)/12</f>
        <v>1.335</v>
      </c>
      <c r="BL486" s="104">
        <f>('Renewable Diesel'!W495*'RD Feedstock Breakdown'!BL$3*'Feedstock Conversion Rates'!B$6)/12</f>
        <v>3.1266666666666669</v>
      </c>
      <c r="BM486" s="104">
        <f>('Renewable Diesel'!W495*'RD Feedstock Breakdown'!BM$3*'Feedstock Conversion Rates'!B$7)/12</f>
        <v>1.5333333333333332</v>
      </c>
      <c r="BN486" s="106">
        <f t="shared" si="518"/>
        <v>13.495000000000001</v>
      </c>
      <c r="BO486" s="104">
        <f>('Renewable Diesel'!P495*'Feedstock Conversion Rates'!B$4)/12</f>
        <v>31.25</v>
      </c>
      <c r="BP486" s="106">
        <f t="shared" si="512"/>
        <v>31.25</v>
      </c>
      <c r="BQ486" s="104">
        <f>('Renewable Diesel'!$S495*'RD Feedstock Breakdown'!BQ$3*'Feedstock Conversion Rates'!B$4)/12+10+15-15</f>
        <v>38.125</v>
      </c>
      <c r="BR486" s="104">
        <f>('Renewable Diesel'!$S495*'RD Feedstock Breakdown'!BR$3*'Feedstock Conversion Rates'!B$7)/12-10-15+15</f>
        <v>1.5</v>
      </c>
      <c r="BS486" s="106">
        <f t="shared" si="530"/>
        <v>39.625</v>
      </c>
      <c r="BT486" s="106"/>
      <c r="BU486" s="104">
        <f>('Renewable Diesel'!Y495*'Feedstock Conversion Rates'!B$7)/12</f>
        <v>2.6833333333333331</v>
      </c>
      <c r="BV486" s="106">
        <f t="shared" si="507"/>
        <v>2.6833333333333331</v>
      </c>
      <c r="BW486" s="104">
        <f>('Renewable Diesel'!$Z495*'RD Feedstock Breakdown'!BW$3*'Feedstock Conversion Rates'!$B$4)/12-250+180</f>
        <v>1.875</v>
      </c>
      <c r="BX486" s="104">
        <f>('Renewable Diesel'!$Z495*'RD Feedstock Breakdown'!BX$3*'Feedstock Conversion Rates'!$B$5)/12</f>
        <v>7.2354166666666666</v>
      </c>
      <c r="BY486" s="104">
        <f>('Renewable Diesel'!$Z495*'RD Feedstock Breakdown'!BY$3*'Feedstock Conversion Rates'!$B$7)/12</f>
        <v>61.716666666666661</v>
      </c>
      <c r="BZ486" s="104">
        <f>('Renewable Diesel'!$Z495*'RD Feedstock Breakdown'!BZ$3*'Feedstock Conversion Rates'!$B$3)/12+250-180</f>
        <v>85.35250000000002</v>
      </c>
      <c r="CA486" s="106">
        <f t="shared" ref="CA486:CA495" si="534">SUM(BW486:BZ486)</f>
        <v>156.17958333333334</v>
      </c>
      <c r="CB486" s="104">
        <f>('Renewable Diesel'!AA495*'Feedstock Conversion Rates'!B$4)/12</f>
        <v>191.25</v>
      </c>
      <c r="CC486" s="106">
        <f t="shared" si="520"/>
        <v>191.25</v>
      </c>
      <c r="CD486" s="104">
        <f>('Renewable Diesel'!$AB495*'RD Feedstock Breakdown'!CD$3*'Feedstock Conversion Rates'!$B$6)/12-15-5</f>
        <v>12.830000000000005</v>
      </c>
      <c r="CE486" s="104">
        <f>('Renewable Diesel'!$AB495*'RD Feedstock Breakdown'!CE$3*'Feedstock Conversion Rates'!$B$4)/12+15+5</f>
        <v>31.25</v>
      </c>
      <c r="CF486" s="106">
        <f t="shared" si="516"/>
        <v>44.080000000000005</v>
      </c>
      <c r="CG486" s="104">
        <f>('Renewable Diesel'!AD495*'Feedstock Conversion Rates'!B$4)/12</f>
        <v>112.5</v>
      </c>
      <c r="CH486" s="106">
        <f t="shared" si="504"/>
        <v>112.5</v>
      </c>
      <c r="CI486" s="104">
        <f>('Renewable Diesel'!$AE495*'RD Feedstock Breakdown'!CI$3*'Feedstock Conversion Rates'!$B$5)/12</f>
        <v>0.34604166666666664</v>
      </c>
      <c r="CJ486" s="104">
        <f>('Renewable Diesel'!$AE495*'RD Feedstock Breakdown'!CJ$3*'Feedstock Conversion Rates'!$B$4)/12</f>
        <v>0.34375</v>
      </c>
      <c r="CK486" s="106">
        <f t="shared" si="513"/>
        <v>0.68979166666666658</v>
      </c>
      <c r="CL486" s="104">
        <f>(((CL$3*'Renewable Diesel'!$AF495)*'Feedstock Conversion Rates'!$B$3)/12)</f>
        <v>91.78125</v>
      </c>
      <c r="CM486" s="104">
        <f>(((CM$3*'Renewable Diesel'!$AF495)*'Feedstock Conversion Rates'!$B$6)/12)</f>
        <v>53.739583333333336</v>
      </c>
      <c r="CN486" s="104">
        <f>(((CN$3*'Renewable Diesel'!$AF495)*'Feedstock Conversion Rates'!$B$4)/12)</f>
        <v>42.96875</v>
      </c>
      <c r="CO486" s="106">
        <f t="shared" si="506"/>
        <v>188.48958333333334</v>
      </c>
      <c r="CP486" s="104">
        <f>('Renewable Diesel'!$AG495*'RD Feedstock Breakdown'!CP$3*'Feedstock Conversion Rates'!$B$3)/12</f>
        <v>6.0075000000000003</v>
      </c>
      <c r="CQ486" s="104">
        <f>('Renewable Diesel'!$AG495*'RD Feedstock Breakdown'!CQ$3*'Feedstock Conversion Rates'!$B$6)/12</f>
        <v>3.5175000000000001</v>
      </c>
      <c r="CR486" s="104">
        <f>('Renewable Diesel'!$AG495*'RD Feedstock Breakdown'!CR$3*'Feedstock Conversion Rates'!$B$4)/12</f>
        <v>2.8125</v>
      </c>
      <c r="CS486" s="106">
        <f t="shared" si="467"/>
        <v>12.3375</v>
      </c>
      <c r="CT486" s="104">
        <f>('Renewable Diesel'!AI495*'Feedstock Conversion Rates'!$B$4*'RD Feedstock Breakdown'!$CT$3)/12</f>
        <v>29.375</v>
      </c>
      <c r="CU486" s="106">
        <f t="shared" si="508"/>
        <v>29.375</v>
      </c>
      <c r="CV486" s="104">
        <f>('Renewable Diesel'!AN495*'Feedstock Conversion Rates'!$B$3*'RD Feedstock Breakdown'!$CV$3)/12</f>
        <v>0.50062499999999999</v>
      </c>
      <c r="CW486" s="106">
        <f t="shared" si="485"/>
        <v>0.50062499999999999</v>
      </c>
      <c r="CX486" s="104">
        <f>('Renewable Diesel'!AO495*'RD Feedstock Breakdown'!$CX$3*'Feedstock Conversion Rates'!$B$3)/12</f>
        <v>6.3412499999999996</v>
      </c>
      <c r="CY486" s="104">
        <f>('Renewable Diesel'!AO495*'RD Feedstock Breakdown'!$CY$3*'Feedstock Conversion Rates'!$B$6)/12</f>
        <v>7.4258333333333342</v>
      </c>
      <c r="CZ486" s="106">
        <f t="shared" si="468"/>
        <v>13.767083333333334</v>
      </c>
      <c r="DA486" s="104">
        <f>('Renewable Diesel'!$AP495*'RD Feedstock Breakdown'!DA$3*'Feedstock Conversion Rates'!$B$3)/12</f>
        <v>6.3412499999999996</v>
      </c>
      <c r="DB486" s="104">
        <f>('Renewable Diesel'!$AP495*'RD Feedstock Breakdown'!DB$3*'Feedstock Conversion Rates'!$B$8)/12</f>
        <v>7.421875</v>
      </c>
      <c r="DC486" s="106">
        <f t="shared" si="488"/>
        <v>13.763124999999999</v>
      </c>
      <c r="DD486" s="104">
        <f>('Renewable Diesel'!AQ495*$DD$3*'Feedstock Conversion Rates'!$B$14)/12</f>
        <v>3.1041666666666665</v>
      </c>
      <c r="DE486" s="106">
        <f t="shared" si="489"/>
        <v>3.1041666666666665</v>
      </c>
      <c r="DF486" s="104">
        <f>('Renewable Diesel'!AR495*'Feedstock Conversion Rates'!$B$4*$DF$3)/12</f>
        <v>75</v>
      </c>
      <c r="DG486" s="106">
        <f t="shared" si="469"/>
        <v>75</v>
      </c>
      <c r="DH486" s="104">
        <f>('Renewable Diesel'!AS495*'Feedstock Conversion Rates'!$B$4*$DH$3)/12</f>
        <v>75</v>
      </c>
      <c r="DI486" s="106">
        <f t="shared" si="478"/>
        <v>75</v>
      </c>
      <c r="DJ486" s="104">
        <f>('Renewable Diesel'!AT495*'Feedstock Conversion Rates'!$B$4*0.25)/12</f>
        <v>8.59375</v>
      </c>
      <c r="DK486" s="104">
        <f>('Renewable Diesel'!$AT495*'RD Feedstock Breakdown'!DK$3*'Feedstock Conversion Rates'!$B$3)/12*0.5</f>
        <v>9.1781249999999996</v>
      </c>
      <c r="DL486" s="104">
        <f>('Renewable Diesel'!$AT495*'RD Feedstock Breakdown'!$DL$3*'Feedstock Conversion Rates'!$B$6)/12</f>
        <v>10.747916666666669</v>
      </c>
      <c r="DM486" s="104">
        <f>('Renewable Diesel'!$AT495*'RD Feedstock Breakdown'!$DM$3*'Feedstock Conversion Rates'!$B$8)/12</f>
        <v>10.7421875</v>
      </c>
      <c r="DN486" s="106">
        <f t="shared" si="519"/>
        <v>39.26197916666667</v>
      </c>
      <c r="DP486" s="104">
        <f t="shared" si="491"/>
        <v>103.22025000000001</v>
      </c>
      <c r="DQ486" s="104">
        <f t="shared" si="492"/>
        <v>349.11776750000007</v>
      </c>
      <c r="DR486" s="104">
        <f t="shared" si="497"/>
        <v>1891.953125</v>
      </c>
      <c r="DS486" s="104">
        <f t="shared" si="510"/>
        <v>228.90125</v>
      </c>
      <c r="DT486" s="104">
        <f t="shared" si="493"/>
        <v>243.03923333333344</v>
      </c>
      <c r="DU486" s="104">
        <f t="shared" si="494"/>
        <v>402.90610000000009</v>
      </c>
      <c r="DV486" s="104">
        <f t="shared" si="498"/>
        <v>78.75</v>
      </c>
      <c r="DW486" s="104">
        <f t="shared" si="495"/>
        <v>3</v>
      </c>
      <c r="DX486" s="106">
        <f t="shared" si="499"/>
        <v>3300.8877258333337</v>
      </c>
      <c r="DY486" s="109">
        <f t="shared" si="487"/>
        <v>-5.631051180898794E-13</v>
      </c>
      <c r="EA486" s="110">
        <f t="shared" si="509"/>
        <v>3.1270451640078516E-2</v>
      </c>
      <c r="EB486" s="110">
        <f t="shared" si="522"/>
        <v>0.10576481131658687</v>
      </c>
      <c r="EC486" s="110">
        <f t="shared" si="523"/>
        <v>0.57316494293133291</v>
      </c>
      <c r="ED486" s="110">
        <f t="shared" si="524"/>
        <v>6.9345360706629972E-2</v>
      </c>
      <c r="EE486" s="110">
        <f t="shared" si="521"/>
        <v>7.3628445896921982E-2</v>
      </c>
      <c r="EF486" s="110">
        <f t="shared" si="521"/>
        <v>0.1220599225010852</v>
      </c>
      <c r="EG486" s="110">
        <f t="shared" si="521"/>
        <v>2.3857218585075921E-2</v>
      </c>
      <c r="EH486" s="111">
        <f t="shared" si="500"/>
        <v>9.0884642228860647E-4</v>
      </c>
      <c r="EI486" s="110">
        <f t="shared" si="476"/>
        <v>0.99909115357771139</v>
      </c>
      <c r="EK486" s="132">
        <f>(EA486*'Renewable Diesel'!BF495*'Feedstock Conversion Rates'!B$2)+FB486</f>
        <v>427.84858199746475</v>
      </c>
      <c r="EL486" s="132">
        <f>(EB486*'Renewable Diesel'!BF495*'Feedstock Conversion Rates'!B$3)+FC486</f>
        <v>1363.6745407402984</v>
      </c>
      <c r="EM486" s="132">
        <f>(EC486*'Renewable Diesel'!BF495*'Feedstock Conversion Rates'!B$4)+FD486</f>
        <v>6919.5507698935799</v>
      </c>
      <c r="EN486" s="132">
        <f>(ED486*'Renewable Diesel'!BF495*'Feedstock Conversion Rates'!B$5)+FE486</f>
        <v>842.75508295422674</v>
      </c>
      <c r="EO486" s="132">
        <f>(EE486*'Renewable Diesel'!BF495*'Feedstock Conversion Rates'!B$6)+FF486</f>
        <v>1111.6945832719471</v>
      </c>
      <c r="EP486" s="132">
        <f>(EF486*'Renewable Diesel'!BF495*'Feedstock Conversion Rates'!B$7)+FG486</f>
        <v>1807.5816949174041</v>
      </c>
      <c r="EQ486" s="132">
        <f>(EG486*'Renewable Diesel'!BF495*'Feedstock Conversion Rates'!B$8)+FH486</f>
        <v>360.02122352338893</v>
      </c>
      <c r="ER486" s="132">
        <f>(EH486*'Renewable Diesel'!BF495*'Feedstock Conversion Rates'!B$9)+FI486</f>
        <v>13.532226306402936</v>
      </c>
      <c r="ES486" s="132">
        <f t="shared" si="501"/>
        <v>12846.658703604711</v>
      </c>
      <c r="ET486" s="133">
        <f>ES486/'Renewable Diesel'!BF495</f>
        <v>15.691027127785206</v>
      </c>
      <c r="EW486" s="73">
        <f t="shared" si="531"/>
        <v>11576.471683537249</v>
      </c>
      <c r="EX486" s="73">
        <f t="shared" si="532"/>
        <v>7582.6523615151391</v>
      </c>
      <c r="EY486" s="92">
        <f t="shared" si="477"/>
        <v>0.90112705183714004</v>
      </c>
      <c r="EZ486" s="92">
        <f t="shared" si="477"/>
        <v>0.59024315477358191</v>
      </c>
      <c r="FB486" s="102">
        <f>IF('Renewable Diesel'!$BG495&lt;1,0,(((('Renewable Diesel'!$BG495-1)*'Renewable Diesel'!$BF495)*'RD Feedstock Breakdown'!EA486)*'Feedstock Conversion Rates'!$B$2))</f>
        <v>210.23204613419858</v>
      </c>
      <c r="FC486" s="102">
        <f>IF('Renewable Diesel'!$BG495&lt;1,0,(((('Renewable Diesel'!$BG495-1)*'Renewable Diesel'!$BF495)*'RD Feedstock Breakdown'!EB486)*'Feedstock Conversion Rates'!$B$3))</f>
        <v>670.06904083334155</v>
      </c>
      <c r="FD486" s="102">
        <f>IF('Renewable Diesel'!$BG495&lt;1,0,(((('Renewable Diesel'!$BG495-1)*'Renewable Diesel'!$BF495)*'RD Feedstock Breakdown'!EC486)*'Feedstock Conversion Rates'!$B$4))</f>
        <v>3400.061091455987</v>
      </c>
      <c r="FE486" s="102">
        <f>IF('Renewable Diesel'!$BG495&lt;1,0,(((('Renewable Diesel'!$BG495-1)*'Renewable Diesel'!$BF495)*'RD Feedstock Breakdown'!ED486)*'Feedstock Conversion Rates'!$B$5))</f>
        <v>414.10473923345432</v>
      </c>
      <c r="FF486" s="102">
        <f>IF('Renewable Diesel'!$BG495&lt;1,0,(((('Renewable Diesel'!$BG495-1)*'Renewable Diesel'!$BF495)*'RD Feedstock Breakdown'!EE486)*'Feedstock Conversion Rates'!$B$6))</f>
        <v>546.25359707035693</v>
      </c>
      <c r="FG486" s="102">
        <f>IF('Renewable Diesel'!$BG495&lt;1,0,(((('Renewable Diesel'!$BG495-1)*'Renewable Diesel'!$BF495)*'RD Feedstock Breakdown'!EF486)*'Feedstock Conversion Rates'!$B$7))</f>
        <v>888.19179089732347</v>
      </c>
      <c r="FH486" s="102">
        <f>IF('Renewable Diesel'!$BG495&lt;1,0,(((('Renewable Diesel'!$BG495-1)*'Renewable Diesel'!$BF495)*'RD Feedstock Breakdown'!EG486)*'Feedstock Conversion Rates'!$B$8))</f>
        <v>176.90370298693244</v>
      </c>
      <c r="FI486" s="102">
        <f>IF('Renewable Diesel'!$BG495&lt;1,0,(((('Renewable Diesel'!$BG495-1)*'Renewable Diesel'!$BF495)*'RD Feedstock Breakdown'!EH486)*'Feedstock Conversion Rates'!$B$9))</f>
        <v>6.649332836080255</v>
      </c>
      <c r="FJ486" s="102">
        <f t="shared" si="533"/>
        <v>6312.4653414476743</v>
      </c>
      <c r="GD486" s="91">
        <f>'Renewable Diesel'!BB495*0.32</f>
        <v>0</v>
      </c>
      <c r="GE486" s="91">
        <f>'Renewable Diesel'!BC495</f>
        <v>285.54253346912924</v>
      </c>
      <c r="GF486" s="91">
        <f>'Renewable Diesel'!BD495</f>
        <v>0</v>
      </c>
      <c r="GG486" s="91">
        <f t="shared" si="517"/>
        <v>285.54253346912924</v>
      </c>
      <c r="GH486" s="124">
        <v>1</v>
      </c>
      <c r="GI486" s="102">
        <f>$GG486*EA486*'Feedstock Conversion Rates'!$B$2</f>
        <v>75.896873864271214</v>
      </c>
      <c r="GJ486" s="102">
        <f>$GG486*EB486*'Feedstock Conversion Rates'!$B$3</f>
        <v>241.90482092353338</v>
      </c>
      <c r="GK486" s="102">
        <f>$GG486*EC486*'Feedstock Conversion Rates'!$B$4</f>
        <v>1227.4722742522627</v>
      </c>
      <c r="GL486" s="102">
        <f>$GG486*ED486*'Feedstock Conversion Rates'!$B$5</f>
        <v>149.49792735278803</v>
      </c>
      <c r="GM486" s="102">
        <f>$GG486*EE486*'Feedstock Conversion Rates'!$B$6</f>
        <v>197.20561692240105</v>
      </c>
      <c r="GN486" s="102">
        <f>$GG486*EF486*'Feedstock Conversion Rates'!$B$7</f>
        <v>320.65035545525006</v>
      </c>
      <c r="GO486" s="102">
        <f>$GG486*EG486*'Feedstock Conversion Rates'!$B$8</f>
        <v>63.864849715400382</v>
      </c>
      <c r="GP486" s="102">
        <f>$GG486*EH486*'Feedstock Conversion Rates'!B$9</f>
        <v>2.4005073670804453</v>
      </c>
      <c r="GQ486" s="102">
        <f t="shared" si="502"/>
        <v>2278.8932258529871</v>
      </c>
      <c r="GT486" s="103">
        <f t="shared" si="484"/>
        <v>3.3304269372191893E-2</v>
      </c>
      <c r="GU486" s="103">
        <f t="shared" si="484"/>
        <v>0.1061501338365639</v>
      </c>
      <c r="GV486" s="103">
        <f t="shared" si="484"/>
        <v>0.53862649654979844</v>
      </c>
      <c r="GW486" s="103">
        <f t="shared" si="484"/>
        <v>6.5601110950176775E-2</v>
      </c>
      <c r="GX486" s="103">
        <f t="shared" si="465"/>
        <v>8.653569841938831E-2</v>
      </c>
      <c r="GY486" s="103">
        <f t="shared" si="465"/>
        <v>0.14070442257566987</v>
      </c>
      <c r="GZ486" s="103">
        <f t="shared" si="465"/>
        <v>2.8024502855545523E-2</v>
      </c>
      <c r="HA486" s="103">
        <f t="shared" si="465"/>
        <v>1.0533654406655842E-3</v>
      </c>
    </row>
    <row r="487" spans="1:209" x14ac:dyDescent="0.25">
      <c r="A487" s="96">
        <v>55244</v>
      </c>
      <c r="B487" s="104">
        <f t="shared" si="473"/>
        <v>44.25</v>
      </c>
      <c r="C487" s="104">
        <f t="shared" si="466"/>
        <v>49</v>
      </c>
      <c r="D487" s="104">
        <f t="shared" si="474"/>
        <v>2</v>
      </c>
      <c r="E487" s="104">
        <f>('Renewable Diesel'!B496*E$3*'Feedstock Conversion Rates'!$B$2)/12+26+13-100+27.5+39</f>
        <v>95.43</v>
      </c>
      <c r="F487" s="104">
        <f>('Renewable Diesel'!B496*'RD Feedstock Breakdown'!F$3*'Feedstock Conversion Rates'!B$8)/12+77+23-10-12-115.75+24+8</f>
        <v>48.15625</v>
      </c>
      <c r="G487" s="104">
        <f>('Renewable Diesel'!B496*'RD Feedstock Breakdown'!G$3*'Feedstock Conversion Rates'!B$7)/12+116.75-39-57.5-145-31.5+32+70-40+10+60</f>
        <v>151.90700000000004</v>
      </c>
      <c r="H487" s="104">
        <f>('Renewable Diesel'!B496*'RD Feedstock Breakdown'!H$3*'Feedstock Conversion Rates'!B$3)/12+67+10+12+3-235+20+47-20+25</f>
        <v>105.40022499999998</v>
      </c>
      <c r="I487" s="106">
        <f t="shared" si="515"/>
        <v>496.14347500000002</v>
      </c>
      <c r="J487" s="104">
        <f t="shared" si="483"/>
        <v>4</v>
      </c>
      <c r="K487" s="104"/>
      <c r="L487" s="104">
        <v>1</v>
      </c>
      <c r="M487" s="104">
        <f>('Renewable Diesel'!C496*'RD Feedstock Breakdown'!M$3*'Feedstock Conversion Rates'!B$2)/12</f>
        <v>7.7902500000000003</v>
      </c>
      <c r="N487" s="104">
        <f>('Renewable Diesel'!C496*'RD Feedstock Breakdown'!N$3*'Feedstock Conversion Rates'!B$8)/12</f>
        <v>3.671875</v>
      </c>
      <c r="O487" s="104">
        <f>('Renewable Diesel'!C496*'RD Feedstock Breakdown'!O$3*'Feedstock Conversion Rates'!B$7)/12</f>
        <v>11.9991</v>
      </c>
      <c r="P487" s="104">
        <f>('Renewable Diesel'!C496*'RD Feedstock Breakdown'!P$3*'Feedstock Conversion Rates'!B$3)/12</f>
        <v>10.4470425</v>
      </c>
      <c r="Q487" s="106">
        <f t="shared" si="525"/>
        <v>38.908267500000001</v>
      </c>
      <c r="R487" s="104">
        <f>('Renewable Diesel'!D496*'RD Feedstock Breakdown'!R$3*'Feedstock Conversion Rates'!B$7)/12</f>
        <v>2.2999999999999998</v>
      </c>
      <c r="S487" s="106">
        <f t="shared" si="481"/>
        <v>2.2999999999999998</v>
      </c>
      <c r="T487" s="104">
        <f t="shared" si="526"/>
        <v>0.82499999999999929</v>
      </c>
      <c r="U487" s="104"/>
      <c r="V487" s="104">
        <f>('Renewable Diesel'!E496*'RD Feedstock Breakdown'!V$3*'Feedstock Conversion Rates'!B$6)/12-20+25</f>
        <v>49.250150000000012</v>
      </c>
      <c r="W487" s="104">
        <f>('Renewable Diesel'!E496*'RD Feedstock Breakdown'!W$3*'Feedstock Conversion Rates'!B$8)/12-6</f>
        <v>16.1796875</v>
      </c>
      <c r="X487" s="106">
        <f t="shared" si="503"/>
        <v>66.254837500000008</v>
      </c>
      <c r="Y487" s="104">
        <f t="shared" si="527"/>
        <v>98</v>
      </c>
      <c r="Z487" s="104">
        <f>('Renewable Diesel'!F496*'RD Feedstock Breakdown'!Z$3*'Feedstock Conversion Rates'!B$6)/12-142+15+5+20+5+15</f>
        <v>77.460000000000008</v>
      </c>
      <c r="AA487" s="104">
        <f>('Renewable Diesel'!F496*'RD Feedstock Breakdown'!AA$3*'Feedstock Conversion Rates'!B$7)/12+24</f>
        <v>128.26666666666665</v>
      </c>
      <c r="AB487" s="106">
        <f t="shared" si="471"/>
        <v>303.72666666666669</v>
      </c>
      <c r="AC487" s="104">
        <f>('Renewable Diesel'!G496*'RD Feedstock Breakdown'!AC$3*'Feedstock Conversion Rates'!B$5)/12</f>
        <v>11.796875</v>
      </c>
      <c r="AD487" s="104">
        <f>('Renewable Diesel'!G496*'RD Feedstock Breakdown'!AD$3*'Feedstock Conversion Rates'!B$4)/12</f>
        <v>5.859375</v>
      </c>
      <c r="AE487" s="104">
        <f>('Renewable Diesel'!G496*'RD Feedstock Breakdown'!AE$3*'Feedstock Conversion Rates'!B$6)/12</f>
        <v>7.3281250000000009</v>
      </c>
      <c r="AF487" s="106">
        <f t="shared" si="511"/>
        <v>24.984375</v>
      </c>
      <c r="AG487" s="104">
        <f t="shared" si="529"/>
        <v>148</v>
      </c>
      <c r="AH487" s="104"/>
      <c r="AI487" s="104">
        <f>('Renewable Diesel'!H496*'RD Feedstock Breakdown'!AI$3*'Feedstock Conversion Rates'!B$6)/12-130-20+51-49</f>
        <v>0.51666666666667993</v>
      </c>
      <c r="AJ487" s="106">
        <f t="shared" si="480"/>
        <v>148.51666666666668</v>
      </c>
      <c r="AK487" s="104">
        <f>('Renewable Diesel'!J496*'RD Feedstock Breakdown'!AK$3*'Feedstock Conversion Rates'!B$4)/12</f>
        <v>95.8125</v>
      </c>
      <c r="AL487" s="106">
        <f t="shared" si="482"/>
        <v>95.8125</v>
      </c>
      <c r="AM487" s="104">
        <f>('Renewable Diesel'!K496*'RD Feedstock Breakdown'!AM$3*'Feedstock Conversion Rates'!B$4)/12+5+15-10+10</f>
        <v>78.59375</v>
      </c>
      <c r="AN487" s="104">
        <f>('Renewable Diesel'!K496*'RD Feedstock Breakdown'!AN$3*'Feedstock Conversion Rates'!B$6)/12-5-15+10-10</f>
        <v>4.4270833333333321</v>
      </c>
      <c r="AO487" s="106">
        <f t="shared" si="496"/>
        <v>83.020833333333329</v>
      </c>
      <c r="AP487" s="104">
        <f>('Renewable Diesel'!L496*'RD Feedstock Breakdown'!AP$3*'Feedstock Conversion Rates'!B$4)/12+15-10+15</f>
        <v>78.59375</v>
      </c>
      <c r="AQ487" s="104">
        <f>('Renewable Diesel'!L496*'RD Feedstock Breakdown'!AQ$3*'Feedstock Conversion Rates'!B$6)/12-15+10-15</f>
        <v>4.4270833333333321</v>
      </c>
      <c r="AR487" s="106">
        <f t="shared" si="486"/>
        <v>83.020833333333329</v>
      </c>
      <c r="AS487" s="104">
        <f>('Renewable Diesel'!M496*'RD Feedstock Breakdown'!AS$3*'Feedstock Conversion Rates'!B$4)/12</f>
        <v>456.25</v>
      </c>
      <c r="AT487" s="104">
        <f>('Renewable Diesel'!M496*'RD Feedstock Breakdown'!AT$3*'Feedstock Conversion Rates'!B$5)/12</f>
        <v>0</v>
      </c>
      <c r="AU487" s="106">
        <f t="shared" si="514"/>
        <v>456.25</v>
      </c>
      <c r="AV487" s="104">
        <f>'Renewable Diesel'!N496*'RD Feedstock Breakdown'!$AV$3*'Feedstock Conversion Rates'!$B$4/12-15-10+25+25-22+25</f>
        <v>106.74999999999999</v>
      </c>
      <c r="AW487" s="104">
        <f>'Renewable Diesel'!N496*'RD Feedstock Breakdown'!$AW$3*'Feedstock Conversion Rates'!$B$7/12+15+10-25-25+22-25</f>
        <v>13.400000000000006</v>
      </c>
      <c r="AX487" s="106">
        <f t="shared" si="475"/>
        <v>120.14999999999999</v>
      </c>
      <c r="AY487" s="104">
        <f>('Renewable Diesel'!O496*'RD Feedstock Breakdown'!AY$3*'Feedstock Conversion Rates'!B$4)/12</f>
        <v>210.9375</v>
      </c>
      <c r="AZ487" s="104">
        <f>('Renewable Diesel'!O496*'RD Feedstock Breakdown'!AZ$3*'Feedstock Conversion Rates'!B$3)/12</f>
        <v>25.03125</v>
      </c>
      <c r="BA487" s="106">
        <f t="shared" si="528"/>
        <v>235.96875</v>
      </c>
      <c r="BB487" s="104">
        <f>('Renewable Diesel'!Q496*'RD Feedstock Breakdown'!BB$3*'Feedstock Conversion Rates'!B$4)/12</f>
        <v>11.156249999999998</v>
      </c>
      <c r="BC487" s="104">
        <f>('Renewable Diesel'!Q496*'RD Feedstock Breakdown'!BC$3*'Feedstock Conversion Rates'!B$3)/12</f>
        <v>1.4017500000000001</v>
      </c>
      <c r="BD487" s="104">
        <f>('Renewable Diesel'!Q496*'RD Feedstock Breakdown'!BD$3*'Feedstock Conversion Rates'!B$6)/12</f>
        <v>0.8207500000000002</v>
      </c>
      <c r="BE487" s="106">
        <f t="shared" si="505"/>
        <v>13.378749999999998</v>
      </c>
      <c r="BF487" s="104">
        <f>('Renewable Diesel'!R496*'RD Feedstock Breakdown'!BF$3*'Feedstock Conversion Rates'!B$4)/12</f>
        <v>62.5</v>
      </c>
      <c r="BG487" s="106">
        <f t="shared" si="490"/>
        <v>62.5</v>
      </c>
      <c r="BH487" s="104">
        <f>('Renewable Diesel'!T496*'RD Feedstock Breakdown'!BH$3*'Feedstock Conversion Rates'!B$7)/12</f>
        <v>27.599999999999998</v>
      </c>
      <c r="BI487" s="106">
        <f t="shared" si="479"/>
        <v>27.599999999999998</v>
      </c>
      <c r="BJ487" s="104">
        <f>('Renewable Diesel'!W496*'RD Feedstock Breakdown'!BJ$3*'Feedstock Conversion Rates'!B$4)/12</f>
        <v>7.5</v>
      </c>
      <c r="BK487" s="104">
        <f>('Renewable Diesel'!W496*'RD Feedstock Breakdown'!BK$3*'Feedstock Conversion Rates'!B$3)/12</f>
        <v>1.335</v>
      </c>
      <c r="BL487" s="104">
        <f>('Renewable Diesel'!W496*'RD Feedstock Breakdown'!BL$3*'Feedstock Conversion Rates'!B$6)/12</f>
        <v>3.1266666666666669</v>
      </c>
      <c r="BM487" s="104">
        <f>('Renewable Diesel'!W496*'RD Feedstock Breakdown'!BM$3*'Feedstock Conversion Rates'!B$7)/12</f>
        <v>1.5333333333333332</v>
      </c>
      <c r="BN487" s="106">
        <f t="shared" si="518"/>
        <v>13.495000000000001</v>
      </c>
      <c r="BO487" s="104">
        <f>('Renewable Diesel'!P496*'Feedstock Conversion Rates'!B$4)/12</f>
        <v>31.25</v>
      </c>
      <c r="BP487" s="106">
        <f t="shared" si="512"/>
        <v>31.25</v>
      </c>
      <c r="BQ487" s="104">
        <f>('Renewable Diesel'!$S496*'RD Feedstock Breakdown'!BQ$3*'Feedstock Conversion Rates'!B$4)/12+10+15-15</f>
        <v>38.125</v>
      </c>
      <c r="BR487" s="104">
        <f>('Renewable Diesel'!$S496*'RD Feedstock Breakdown'!BR$3*'Feedstock Conversion Rates'!B$7)/12-10-15+15</f>
        <v>1.5</v>
      </c>
      <c r="BS487" s="106">
        <f t="shared" si="530"/>
        <v>39.625</v>
      </c>
      <c r="BT487" s="106"/>
      <c r="BU487" s="104">
        <f>('Renewable Diesel'!Y496*'Feedstock Conversion Rates'!B$7)/12</f>
        <v>2.6833333333333331</v>
      </c>
      <c r="BV487" s="106">
        <f t="shared" si="507"/>
        <v>2.6833333333333331</v>
      </c>
      <c r="BW487" s="104">
        <f>('Renewable Diesel'!$Z496*'RD Feedstock Breakdown'!BW$3*'Feedstock Conversion Rates'!$B$4)/12-250+180</f>
        <v>1.875</v>
      </c>
      <c r="BX487" s="104">
        <f>('Renewable Diesel'!$Z496*'RD Feedstock Breakdown'!BX$3*'Feedstock Conversion Rates'!$B$5)/12</f>
        <v>7.2354166666666666</v>
      </c>
      <c r="BY487" s="104">
        <f>('Renewable Diesel'!$Z496*'RD Feedstock Breakdown'!BY$3*'Feedstock Conversion Rates'!$B$7)/12</f>
        <v>61.716666666666661</v>
      </c>
      <c r="BZ487" s="104">
        <f>('Renewable Diesel'!$Z496*'RD Feedstock Breakdown'!BZ$3*'Feedstock Conversion Rates'!$B$3)/12+250-180</f>
        <v>85.35250000000002</v>
      </c>
      <c r="CA487" s="106">
        <f t="shared" si="534"/>
        <v>156.17958333333334</v>
      </c>
      <c r="CB487" s="104">
        <f>('Renewable Diesel'!AA496*'Feedstock Conversion Rates'!B$4)/12</f>
        <v>191.25</v>
      </c>
      <c r="CC487" s="106">
        <f t="shared" si="520"/>
        <v>191.25</v>
      </c>
      <c r="CD487" s="104">
        <f>('Renewable Diesel'!$AB496*'RD Feedstock Breakdown'!CD$3*'Feedstock Conversion Rates'!$B$6)/12-15-5</f>
        <v>12.830000000000005</v>
      </c>
      <c r="CE487" s="104">
        <f>('Renewable Diesel'!$AB496*'RD Feedstock Breakdown'!CE$3*'Feedstock Conversion Rates'!$B$4)/12+15+5</f>
        <v>31.25</v>
      </c>
      <c r="CF487" s="106">
        <f t="shared" si="516"/>
        <v>44.080000000000005</v>
      </c>
      <c r="CG487" s="104">
        <f>('Renewable Diesel'!AD496*'Feedstock Conversion Rates'!B$4)/12</f>
        <v>112.5</v>
      </c>
      <c r="CH487" s="106">
        <f t="shared" si="504"/>
        <v>112.5</v>
      </c>
      <c r="CI487" s="104">
        <f>('Renewable Diesel'!$AE496*'RD Feedstock Breakdown'!CI$3*'Feedstock Conversion Rates'!$B$5)/12</f>
        <v>0.34604166666666664</v>
      </c>
      <c r="CJ487" s="104">
        <f>('Renewable Diesel'!$AE496*'RD Feedstock Breakdown'!CJ$3*'Feedstock Conversion Rates'!$B$4)/12</f>
        <v>0.34375</v>
      </c>
      <c r="CK487" s="106">
        <f t="shared" si="513"/>
        <v>0.68979166666666658</v>
      </c>
      <c r="CL487" s="104">
        <f>(((CL$3*'Renewable Diesel'!$AF496)*'Feedstock Conversion Rates'!$B$3)/12)</f>
        <v>91.78125</v>
      </c>
      <c r="CM487" s="104">
        <f>(((CM$3*'Renewable Diesel'!$AF496)*'Feedstock Conversion Rates'!$B$6)/12)</f>
        <v>53.739583333333336</v>
      </c>
      <c r="CN487" s="104">
        <f>(((CN$3*'Renewable Diesel'!$AF496)*'Feedstock Conversion Rates'!$B$4)/12)</f>
        <v>42.96875</v>
      </c>
      <c r="CO487" s="106">
        <f t="shared" si="506"/>
        <v>188.48958333333334</v>
      </c>
      <c r="CP487" s="104">
        <f>('Renewable Diesel'!$AG496*'RD Feedstock Breakdown'!CP$3*'Feedstock Conversion Rates'!$B$3)/12</f>
        <v>6.0075000000000003</v>
      </c>
      <c r="CQ487" s="104">
        <f>('Renewable Diesel'!$AG496*'RD Feedstock Breakdown'!CQ$3*'Feedstock Conversion Rates'!$B$6)/12</f>
        <v>3.5175000000000001</v>
      </c>
      <c r="CR487" s="104">
        <f>('Renewable Diesel'!$AG496*'RD Feedstock Breakdown'!CR$3*'Feedstock Conversion Rates'!$B$4)/12</f>
        <v>2.8125</v>
      </c>
      <c r="CS487" s="106">
        <f t="shared" si="467"/>
        <v>12.3375</v>
      </c>
      <c r="CT487" s="104">
        <f>('Renewable Diesel'!AI496*'Feedstock Conversion Rates'!$B$4*'RD Feedstock Breakdown'!$CT$3)/12</f>
        <v>29.375</v>
      </c>
      <c r="CU487" s="106">
        <f t="shared" si="508"/>
        <v>29.375</v>
      </c>
      <c r="CV487" s="104">
        <f>('Renewable Diesel'!AN496*'Feedstock Conversion Rates'!$B$3*'RD Feedstock Breakdown'!$CV$3)/12</f>
        <v>0.50062499999999999</v>
      </c>
      <c r="CW487" s="106">
        <f t="shared" si="485"/>
        <v>0.50062499999999999</v>
      </c>
      <c r="CX487" s="104">
        <f>('Renewable Diesel'!AO496*'RD Feedstock Breakdown'!$CX$3*'Feedstock Conversion Rates'!$B$3)/12</f>
        <v>6.3412499999999996</v>
      </c>
      <c r="CY487" s="104">
        <f>('Renewable Diesel'!AO496*'RD Feedstock Breakdown'!$CY$3*'Feedstock Conversion Rates'!$B$6)/12</f>
        <v>7.4258333333333342</v>
      </c>
      <c r="CZ487" s="106">
        <f t="shared" si="468"/>
        <v>13.767083333333334</v>
      </c>
      <c r="DA487" s="104">
        <f>('Renewable Diesel'!$AP496*'RD Feedstock Breakdown'!DA$3*'Feedstock Conversion Rates'!$B$3)/12</f>
        <v>6.3412499999999996</v>
      </c>
      <c r="DB487" s="104">
        <f>('Renewable Diesel'!$AP496*'RD Feedstock Breakdown'!DB$3*'Feedstock Conversion Rates'!$B$8)/12</f>
        <v>7.421875</v>
      </c>
      <c r="DC487" s="106">
        <f t="shared" si="488"/>
        <v>13.763124999999999</v>
      </c>
      <c r="DD487" s="104">
        <f>('Renewable Diesel'!AQ496*$DD$3*'Feedstock Conversion Rates'!$B$14)/12</f>
        <v>3.1041666666666665</v>
      </c>
      <c r="DE487" s="106">
        <f t="shared" si="489"/>
        <v>3.1041666666666665</v>
      </c>
      <c r="DF487" s="104">
        <f>('Renewable Diesel'!AR496*'Feedstock Conversion Rates'!$B$4*$DF$3)/12</f>
        <v>75</v>
      </c>
      <c r="DG487" s="106">
        <f t="shared" si="469"/>
        <v>75</v>
      </c>
      <c r="DH487" s="104">
        <f>('Renewable Diesel'!AS496*'Feedstock Conversion Rates'!$B$4*$DH$3)/12</f>
        <v>75</v>
      </c>
      <c r="DI487" s="106">
        <f t="shared" si="478"/>
        <v>75</v>
      </c>
      <c r="DJ487" s="104">
        <f>('Renewable Diesel'!AT496*'Feedstock Conversion Rates'!$B$4*0.25)/12</f>
        <v>8.59375</v>
      </c>
      <c r="DK487" s="104">
        <f>('Renewable Diesel'!$AT496*'RD Feedstock Breakdown'!DK$3*'Feedstock Conversion Rates'!$B$3)/12*0.5</f>
        <v>9.1781249999999996</v>
      </c>
      <c r="DL487" s="104">
        <f>('Renewable Diesel'!$AT496*'RD Feedstock Breakdown'!$DL$3*'Feedstock Conversion Rates'!$B$6)/12</f>
        <v>10.747916666666669</v>
      </c>
      <c r="DM487" s="104">
        <f>('Renewable Diesel'!$AT496*'RD Feedstock Breakdown'!$DM$3*'Feedstock Conversion Rates'!$B$8)/12</f>
        <v>10.7421875</v>
      </c>
      <c r="DN487" s="106">
        <f t="shared" si="519"/>
        <v>39.26197916666667</v>
      </c>
      <c r="DP487" s="104">
        <f t="shared" si="491"/>
        <v>103.22025000000001</v>
      </c>
      <c r="DQ487" s="104">
        <f t="shared" si="492"/>
        <v>349.11776750000007</v>
      </c>
      <c r="DR487" s="104">
        <f t="shared" si="497"/>
        <v>1891.953125</v>
      </c>
      <c r="DS487" s="104">
        <f t="shared" si="510"/>
        <v>228.90125</v>
      </c>
      <c r="DT487" s="104">
        <f t="shared" si="493"/>
        <v>243.03923333333344</v>
      </c>
      <c r="DU487" s="104">
        <f t="shared" si="494"/>
        <v>402.90610000000009</v>
      </c>
      <c r="DV487" s="104">
        <f t="shared" si="498"/>
        <v>78.75</v>
      </c>
      <c r="DW487" s="104">
        <f t="shared" si="495"/>
        <v>3</v>
      </c>
      <c r="DX487" s="106">
        <f t="shared" si="499"/>
        <v>3300.8877258333337</v>
      </c>
      <c r="DY487" s="109">
        <f t="shared" si="487"/>
        <v>-5.631051180898794E-13</v>
      </c>
      <c r="EA487" s="110">
        <f t="shared" si="509"/>
        <v>3.1270451640078516E-2</v>
      </c>
      <c r="EB487" s="110">
        <f t="shared" si="522"/>
        <v>0.10576481131658687</v>
      </c>
      <c r="EC487" s="110">
        <f t="shared" si="523"/>
        <v>0.57316494293133291</v>
      </c>
      <c r="ED487" s="110">
        <f t="shared" si="524"/>
        <v>6.9345360706629972E-2</v>
      </c>
      <c r="EE487" s="110">
        <f t="shared" si="521"/>
        <v>7.3628445896921982E-2</v>
      </c>
      <c r="EF487" s="110">
        <f t="shared" si="521"/>
        <v>0.1220599225010852</v>
      </c>
      <c r="EG487" s="110">
        <f t="shared" si="521"/>
        <v>2.3857218585075921E-2</v>
      </c>
      <c r="EH487" s="111">
        <f t="shared" si="500"/>
        <v>9.0884642228860647E-4</v>
      </c>
      <c r="EI487" s="110">
        <f t="shared" si="476"/>
        <v>0.99909115357771139</v>
      </c>
      <c r="EK487" s="132">
        <f>(EA487*'Renewable Diesel'!BF496*'Feedstock Conversion Rates'!B$2)+FB487</f>
        <v>549.20435421791217</v>
      </c>
      <c r="EL487" s="132">
        <f>(EB487*'Renewable Diesel'!BF496*'Feedstock Conversion Rates'!B$3)+FC487</f>
        <v>1750.4697386495518</v>
      </c>
      <c r="EM487" s="132">
        <f>(EC487*'Renewable Diesel'!BF496*'Feedstock Conversion Rates'!B$4)+FD487</f>
        <v>8882.2250954193405</v>
      </c>
      <c r="EN487" s="132">
        <f>(ED487*'Renewable Diesel'!BF496*'Feedstock Conversion Rates'!B$5)+FE487</f>
        <v>1081.7957113165837</v>
      </c>
      <c r="EO487" s="132">
        <f>(EE487*'Renewable Diesel'!BF496*'Feedstock Conversion Rates'!B$6)+FF487</f>
        <v>1427.017714638677</v>
      </c>
      <c r="EP487" s="132">
        <f>(EF487*'Renewable Diesel'!BF496*'Feedstock Conversion Rates'!B$7)+FG487</f>
        <v>2320.2875485026489</v>
      </c>
      <c r="EQ487" s="132">
        <f>(EG487*'Renewable Diesel'!BF496*'Feedstock Conversion Rates'!B$8)+FH487</f>
        <v>462.13831689426297</v>
      </c>
      <c r="ER487" s="132">
        <f>(EH487*'Renewable Diesel'!BF496*'Feedstock Conversion Rates'!B$9)+FI487</f>
        <v>17.370532292152614</v>
      </c>
      <c r="ES487" s="132">
        <f t="shared" si="501"/>
        <v>16490.509011931128</v>
      </c>
      <c r="ET487" s="133">
        <f>ES487/'Renewable Diesel'!BF496</f>
        <v>16.895516756739628</v>
      </c>
      <c r="EW487" s="73">
        <f t="shared" si="531"/>
        <v>15221.343807021784</v>
      </c>
      <c r="EX487" s="73">
        <f t="shared" si="532"/>
        <v>9970.0635667672614</v>
      </c>
      <c r="EY487" s="92">
        <f t="shared" si="477"/>
        <v>0.92303662646246487</v>
      </c>
      <c r="EZ487" s="92">
        <f t="shared" si="477"/>
        <v>0.60459404616035639</v>
      </c>
      <c r="FB487" s="102">
        <f>IF('Renewable Diesel'!$BG496&lt;1,0,(((('Renewable Diesel'!$BG496-1)*'Renewable Diesel'!$BF496)*'RD Feedstock Breakdown'!EA487)*'Feedstock Conversion Rates'!$B$2))</f>
        <v>289.7770628233792</v>
      </c>
      <c r="FC487" s="102">
        <f>IF('Renewable Diesel'!$BG496&lt;1,0,(((('Renewable Diesel'!$BG496-1)*'Renewable Diesel'!$BF496)*'RD Feedstock Breakdown'!EB487)*'Feedstock Conversion Rates'!$B$3))</f>
        <v>923.60152560955726</v>
      </c>
      <c r="FD487" s="102">
        <f>IF('Renewable Diesel'!$BG496&lt;1,0,(((('Renewable Diesel'!$BG496-1)*'Renewable Diesel'!$BF496)*'RD Feedstock Breakdown'!EC487)*'Feedstock Conversion Rates'!$B$4))</f>
        <v>4686.5344014834091</v>
      </c>
      <c r="FE487" s="102">
        <f>IF('Renewable Diesel'!$BG496&lt;1,0,(((('Renewable Diesel'!$BG496-1)*'Renewable Diesel'!$BF496)*'RD Feedstock Breakdown'!ED487)*'Feedstock Conversion Rates'!$B$5))</f>
        <v>570.78859880245238</v>
      </c>
      <c r="FF487" s="102">
        <f>IF('Renewable Diesel'!$BG496&lt;1,0,(((('Renewable Diesel'!$BG496-1)*'Renewable Diesel'!$BF496)*'RD Feedstock Breakdown'!EE487)*'Feedstock Conversion Rates'!$B$6))</f>
        <v>752.93831661948639</v>
      </c>
      <c r="FG487" s="102">
        <f>IF('Renewable Diesel'!$BG496&lt;1,0,(((('Renewable Diesel'!$BG496-1)*'Renewable Diesel'!$BF496)*'RD Feedstock Breakdown'!EF487)*'Feedstock Conversion Rates'!$B$7))</f>
        <v>1224.2548798948096</v>
      </c>
      <c r="FH487" s="102">
        <f>IF('Renewable Diesel'!$BG496&lt;1,0,(((('Renewable Diesel'!$BG496-1)*'Renewable Diesel'!$BF496)*'RD Feedstock Breakdown'!EG487)*'Feedstock Conversion Rates'!$B$8))</f>
        <v>243.8383509876985</v>
      </c>
      <c r="FI487" s="102">
        <f>IF('Renewable Diesel'!$BG496&lt;1,0,(((('Renewable Diesel'!$BG496-1)*'Renewable Diesel'!$BF496)*'RD Feedstock Breakdown'!EH487)*'Feedstock Conversion Rates'!$B$9))</f>
        <v>9.1652256371249212</v>
      </c>
      <c r="FJ487" s="102">
        <f t="shared" si="533"/>
        <v>8700.8983618579186</v>
      </c>
      <c r="GD487" s="91">
        <f>'Renewable Diesel'!BB496*0.32</f>
        <v>0</v>
      </c>
      <c r="GE487" s="91">
        <f>'Renewable Diesel'!BC496</f>
        <v>458.3333802055069</v>
      </c>
      <c r="GF487" s="91">
        <f>'Renewable Diesel'!BD496</f>
        <v>0</v>
      </c>
      <c r="GG487" s="91">
        <f t="shared" si="517"/>
        <v>458.3333802055069</v>
      </c>
      <c r="GH487" s="124">
        <v>1</v>
      </c>
      <c r="GI487" s="102">
        <f>$GG487*EA487*'Feedstock Conversion Rates'!$B$2</f>
        <v>121.82448030637519</v>
      </c>
      <c r="GJ487" s="102">
        <f>$GG487*EB487*'Feedstock Conversion Rates'!$B$3</f>
        <v>388.28910325500652</v>
      </c>
      <c r="GK487" s="102">
        <f>$GG487*EC487*'Feedstock Conversion Rates'!$B$4</f>
        <v>1970.2546928176071</v>
      </c>
      <c r="GL487" s="102">
        <f>$GG487*ED487*'Feedstock Conversion Rates'!$B$5</f>
        <v>239.96386648551089</v>
      </c>
      <c r="GM487" s="102">
        <f>$GG487*EE487*'Feedstock Conversion Rates'!$B$6</f>
        <v>316.54099269007241</v>
      </c>
      <c r="GN487" s="102">
        <f>$GG487*EF487*'Feedstock Conversion Rates'!$B$7</f>
        <v>514.6860591814102</v>
      </c>
      <c r="GO487" s="102">
        <f>$GG487*EG487*'Feedstock Conversion Rates'!$B$8</f>
        <v>102.5114965912452</v>
      </c>
      <c r="GP487" s="102">
        <f>$GG487*EH487*'Feedstock Conversion Rates'!B$9</f>
        <v>3.8531305385407713</v>
      </c>
      <c r="GQ487" s="102">
        <f t="shared" si="502"/>
        <v>3657.9238218657688</v>
      </c>
      <c r="GT487" s="103">
        <f t="shared" si="484"/>
        <v>3.3304269372191886E-2</v>
      </c>
      <c r="GU487" s="103">
        <f t="shared" si="484"/>
        <v>0.10615013383656387</v>
      </c>
      <c r="GV487" s="103">
        <f t="shared" si="484"/>
        <v>0.53862649654979833</v>
      </c>
      <c r="GW487" s="103">
        <f t="shared" si="484"/>
        <v>6.5601110950176761E-2</v>
      </c>
      <c r="GX487" s="103">
        <f t="shared" si="465"/>
        <v>8.6535698419388296E-2</v>
      </c>
      <c r="GY487" s="103">
        <f t="shared" si="465"/>
        <v>0.14070442257566981</v>
      </c>
      <c r="GZ487" s="103">
        <f t="shared" si="465"/>
        <v>2.8024502855545513E-2</v>
      </c>
      <c r="HA487" s="103">
        <f t="shared" ref="HA487:HA495" si="535">(GP487+FI487+ER487)/SUM($ES487,$FJ487,$GQ487)</f>
        <v>1.0533654406655836E-3</v>
      </c>
    </row>
    <row r="488" spans="1:209" x14ac:dyDescent="0.25">
      <c r="A488" s="96">
        <v>55274</v>
      </c>
      <c r="B488" s="104">
        <f t="shared" si="473"/>
        <v>44.25</v>
      </c>
      <c r="C488" s="104">
        <f t="shared" si="466"/>
        <v>49</v>
      </c>
      <c r="D488" s="104">
        <f t="shared" si="474"/>
        <v>2</v>
      </c>
      <c r="E488" s="104">
        <f>('Renewable Diesel'!B497*E$3*'Feedstock Conversion Rates'!$B$2)/12+26+13-100+27.5+39</f>
        <v>95.43</v>
      </c>
      <c r="F488" s="104">
        <f>('Renewable Diesel'!B497*'RD Feedstock Breakdown'!F$3*'Feedstock Conversion Rates'!B$8)/12+77+23-10-12-115.75+24+8</f>
        <v>48.15625</v>
      </c>
      <c r="G488" s="104">
        <f>('Renewable Diesel'!B497*'RD Feedstock Breakdown'!G$3*'Feedstock Conversion Rates'!B$7)/12+116.75-39-57.5-145-31.5+32+70-40+10+60</f>
        <v>151.90700000000004</v>
      </c>
      <c r="H488" s="104">
        <f>('Renewable Diesel'!B497*'RD Feedstock Breakdown'!H$3*'Feedstock Conversion Rates'!B$3)/12+67+10+12+3-235+20+47-20+25</f>
        <v>105.40022499999998</v>
      </c>
      <c r="I488" s="106">
        <f t="shared" si="515"/>
        <v>496.14347500000002</v>
      </c>
      <c r="J488" s="104">
        <f t="shared" si="483"/>
        <v>4</v>
      </c>
      <c r="K488" s="104"/>
      <c r="L488" s="104">
        <v>1</v>
      </c>
      <c r="M488" s="104">
        <f>('Renewable Diesel'!C497*'RD Feedstock Breakdown'!M$3*'Feedstock Conversion Rates'!B$2)/12</f>
        <v>7.7902500000000003</v>
      </c>
      <c r="N488" s="104">
        <f>('Renewable Diesel'!C497*'RD Feedstock Breakdown'!N$3*'Feedstock Conversion Rates'!B$8)/12</f>
        <v>3.671875</v>
      </c>
      <c r="O488" s="104">
        <f>('Renewable Diesel'!C497*'RD Feedstock Breakdown'!O$3*'Feedstock Conversion Rates'!B$7)/12</f>
        <v>11.9991</v>
      </c>
      <c r="P488" s="104">
        <f>('Renewable Diesel'!C497*'RD Feedstock Breakdown'!P$3*'Feedstock Conversion Rates'!B$3)/12</f>
        <v>10.4470425</v>
      </c>
      <c r="Q488" s="106">
        <f t="shared" si="525"/>
        <v>38.908267500000001</v>
      </c>
      <c r="R488" s="104">
        <f>('Renewable Diesel'!D497*'RD Feedstock Breakdown'!R$3*'Feedstock Conversion Rates'!B$7)/12</f>
        <v>2.2999999999999998</v>
      </c>
      <c r="S488" s="106">
        <f t="shared" si="481"/>
        <v>2.2999999999999998</v>
      </c>
      <c r="T488" s="104">
        <f t="shared" si="526"/>
        <v>0.82499999999999929</v>
      </c>
      <c r="U488" s="104"/>
      <c r="V488" s="104">
        <f>('Renewable Diesel'!E497*'RD Feedstock Breakdown'!V$3*'Feedstock Conversion Rates'!B$6)/12-20+25</f>
        <v>49.250150000000012</v>
      </c>
      <c r="W488" s="104">
        <f>('Renewable Diesel'!E497*'RD Feedstock Breakdown'!W$3*'Feedstock Conversion Rates'!B$8)/12-6</f>
        <v>16.1796875</v>
      </c>
      <c r="X488" s="106">
        <f t="shared" si="503"/>
        <v>66.254837500000008</v>
      </c>
      <c r="Y488" s="104">
        <f t="shared" si="527"/>
        <v>98</v>
      </c>
      <c r="Z488" s="104">
        <f>('Renewable Diesel'!F497*'RD Feedstock Breakdown'!Z$3*'Feedstock Conversion Rates'!B$6)/12-142+15+5+20+5+15</f>
        <v>77.460000000000008</v>
      </c>
      <c r="AA488" s="104">
        <f>('Renewable Diesel'!F497*'RD Feedstock Breakdown'!AA$3*'Feedstock Conversion Rates'!B$7)/12+24</f>
        <v>128.26666666666665</v>
      </c>
      <c r="AB488" s="106">
        <f t="shared" si="471"/>
        <v>303.72666666666669</v>
      </c>
      <c r="AC488" s="104">
        <f>('Renewable Diesel'!G497*'RD Feedstock Breakdown'!AC$3*'Feedstock Conversion Rates'!B$5)/12</f>
        <v>11.796875</v>
      </c>
      <c r="AD488" s="104">
        <f>('Renewable Diesel'!G497*'RD Feedstock Breakdown'!AD$3*'Feedstock Conversion Rates'!B$4)/12</f>
        <v>5.859375</v>
      </c>
      <c r="AE488" s="104">
        <f>('Renewable Diesel'!G497*'RD Feedstock Breakdown'!AE$3*'Feedstock Conversion Rates'!B$6)/12</f>
        <v>7.3281250000000009</v>
      </c>
      <c r="AF488" s="106">
        <f t="shared" si="511"/>
        <v>24.984375</v>
      </c>
      <c r="AG488" s="104">
        <f t="shared" si="529"/>
        <v>148</v>
      </c>
      <c r="AH488" s="104"/>
      <c r="AI488" s="104">
        <f>('Renewable Diesel'!H497*'RD Feedstock Breakdown'!AI$3*'Feedstock Conversion Rates'!B$6)/12-130-20+51-49</f>
        <v>0.51666666666667993</v>
      </c>
      <c r="AJ488" s="106">
        <f t="shared" si="480"/>
        <v>148.51666666666668</v>
      </c>
      <c r="AK488" s="104">
        <f>('Renewable Diesel'!J497*'RD Feedstock Breakdown'!AK$3*'Feedstock Conversion Rates'!B$4)/12</f>
        <v>95.8125</v>
      </c>
      <c r="AL488" s="106">
        <f t="shared" si="482"/>
        <v>95.8125</v>
      </c>
      <c r="AM488" s="104">
        <f>('Renewable Diesel'!K497*'RD Feedstock Breakdown'!AM$3*'Feedstock Conversion Rates'!B$4)/12+5+15-10+10</f>
        <v>78.59375</v>
      </c>
      <c r="AN488" s="104">
        <f>('Renewable Diesel'!K497*'RD Feedstock Breakdown'!AN$3*'Feedstock Conversion Rates'!B$6)/12-5-15+10-10</f>
        <v>4.4270833333333321</v>
      </c>
      <c r="AO488" s="106">
        <f t="shared" si="496"/>
        <v>83.020833333333329</v>
      </c>
      <c r="AP488" s="104">
        <f>('Renewable Diesel'!L497*'RD Feedstock Breakdown'!AP$3*'Feedstock Conversion Rates'!B$4)/12+15-10+15</f>
        <v>78.59375</v>
      </c>
      <c r="AQ488" s="104">
        <f>('Renewable Diesel'!L497*'RD Feedstock Breakdown'!AQ$3*'Feedstock Conversion Rates'!B$6)/12-15+10-15</f>
        <v>4.4270833333333321</v>
      </c>
      <c r="AR488" s="106">
        <f t="shared" si="486"/>
        <v>83.020833333333329</v>
      </c>
      <c r="AS488" s="104">
        <f>('Renewable Diesel'!M497*'RD Feedstock Breakdown'!AS$3*'Feedstock Conversion Rates'!B$4)/12</f>
        <v>456.25</v>
      </c>
      <c r="AT488" s="104">
        <f>('Renewable Diesel'!M497*'RD Feedstock Breakdown'!AT$3*'Feedstock Conversion Rates'!B$5)/12</f>
        <v>0</v>
      </c>
      <c r="AU488" s="106">
        <f t="shared" si="514"/>
        <v>456.25</v>
      </c>
      <c r="AV488" s="104">
        <f>'Renewable Diesel'!N497*'RD Feedstock Breakdown'!$AV$3*'Feedstock Conversion Rates'!$B$4/12-15-10+25+25-22+25</f>
        <v>106.74999999999999</v>
      </c>
      <c r="AW488" s="104">
        <f>'Renewable Diesel'!N497*'RD Feedstock Breakdown'!$AW$3*'Feedstock Conversion Rates'!$B$7/12+15+10-25-25+22-25</f>
        <v>13.400000000000006</v>
      </c>
      <c r="AX488" s="106">
        <f t="shared" si="475"/>
        <v>120.14999999999999</v>
      </c>
      <c r="AY488" s="104">
        <f>('Renewable Diesel'!O497*'RD Feedstock Breakdown'!AY$3*'Feedstock Conversion Rates'!B$4)/12</f>
        <v>210.9375</v>
      </c>
      <c r="AZ488" s="104">
        <f>('Renewable Diesel'!O497*'RD Feedstock Breakdown'!AZ$3*'Feedstock Conversion Rates'!B$3)/12</f>
        <v>25.03125</v>
      </c>
      <c r="BA488" s="106">
        <f t="shared" si="528"/>
        <v>235.96875</v>
      </c>
      <c r="BB488" s="104">
        <f>('Renewable Diesel'!Q497*'RD Feedstock Breakdown'!BB$3*'Feedstock Conversion Rates'!B$4)/12</f>
        <v>11.156249999999998</v>
      </c>
      <c r="BC488" s="104">
        <f>('Renewable Diesel'!Q497*'RD Feedstock Breakdown'!BC$3*'Feedstock Conversion Rates'!B$3)/12</f>
        <v>1.4017500000000001</v>
      </c>
      <c r="BD488" s="104">
        <f>('Renewable Diesel'!Q497*'RD Feedstock Breakdown'!BD$3*'Feedstock Conversion Rates'!B$6)/12</f>
        <v>0.8207500000000002</v>
      </c>
      <c r="BE488" s="106">
        <f t="shared" si="505"/>
        <v>13.378749999999998</v>
      </c>
      <c r="BF488" s="104">
        <f>('Renewable Diesel'!R497*'RD Feedstock Breakdown'!BF$3*'Feedstock Conversion Rates'!B$4)/12</f>
        <v>62.5</v>
      </c>
      <c r="BG488" s="106">
        <f t="shared" si="490"/>
        <v>62.5</v>
      </c>
      <c r="BH488" s="104">
        <f>('Renewable Diesel'!T497*'RD Feedstock Breakdown'!BH$3*'Feedstock Conversion Rates'!B$7)/12</f>
        <v>27.599999999999998</v>
      </c>
      <c r="BI488" s="106">
        <f t="shared" si="479"/>
        <v>27.599999999999998</v>
      </c>
      <c r="BJ488" s="104">
        <f>('Renewable Diesel'!W497*'RD Feedstock Breakdown'!BJ$3*'Feedstock Conversion Rates'!B$4)/12</f>
        <v>7.5</v>
      </c>
      <c r="BK488" s="104">
        <f>('Renewable Diesel'!W497*'RD Feedstock Breakdown'!BK$3*'Feedstock Conversion Rates'!B$3)/12</f>
        <v>1.335</v>
      </c>
      <c r="BL488" s="104">
        <f>('Renewable Diesel'!W497*'RD Feedstock Breakdown'!BL$3*'Feedstock Conversion Rates'!B$6)/12</f>
        <v>3.1266666666666669</v>
      </c>
      <c r="BM488" s="104">
        <f>('Renewable Diesel'!W497*'RD Feedstock Breakdown'!BM$3*'Feedstock Conversion Rates'!B$7)/12</f>
        <v>1.5333333333333332</v>
      </c>
      <c r="BN488" s="106">
        <f t="shared" si="518"/>
        <v>13.495000000000001</v>
      </c>
      <c r="BO488" s="104">
        <f>('Renewable Diesel'!P497*'Feedstock Conversion Rates'!B$4)/12</f>
        <v>31.25</v>
      </c>
      <c r="BP488" s="106">
        <f t="shared" si="512"/>
        <v>31.25</v>
      </c>
      <c r="BQ488" s="104">
        <f>('Renewable Diesel'!$S497*'RD Feedstock Breakdown'!BQ$3*'Feedstock Conversion Rates'!B$4)/12+10+15-15</f>
        <v>38.125</v>
      </c>
      <c r="BR488" s="104">
        <f>('Renewable Diesel'!$S497*'RD Feedstock Breakdown'!BR$3*'Feedstock Conversion Rates'!B$7)/12-10-15+15</f>
        <v>1.5</v>
      </c>
      <c r="BS488" s="106">
        <f t="shared" si="530"/>
        <v>39.625</v>
      </c>
      <c r="BT488" s="106"/>
      <c r="BU488" s="104">
        <f>('Renewable Diesel'!Y497*'Feedstock Conversion Rates'!B$7)/12</f>
        <v>2.6833333333333331</v>
      </c>
      <c r="BV488" s="106">
        <f t="shared" si="507"/>
        <v>2.6833333333333331</v>
      </c>
      <c r="BW488" s="104">
        <f>('Renewable Diesel'!$Z497*'RD Feedstock Breakdown'!BW$3*'Feedstock Conversion Rates'!$B$4)/12-250+180</f>
        <v>1.875</v>
      </c>
      <c r="BX488" s="104">
        <f>('Renewable Diesel'!$Z497*'RD Feedstock Breakdown'!BX$3*'Feedstock Conversion Rates'!$B$5)/12</f>
        <v>7.2354166666666666</v>
      </c>
      <c r="BY488" s="104">
        <f>('Renewable Diesel'!$Z497*'RD Feedstock Breakdown'!BY$3*'Feedstock Conversion Rates'!$B$7)/12</f>
        <v>61.716666666666661</v>
      </c>
      <c r="BZ488" s="104">
        <f>('Renewable Diesel'!$Z497*'RD Feedstock Breakdown'!BZ$3*'Feedstock Conversion Rates'!$B$3)/12+250-180</f>
        <v>85.35250000000002</v>
      </c>
      <c r="CA488" s="106">
        <f t="shared" si="534"/>
        <v>156.17958333333334</v>
      </c>
      <c r="CB488" s="104">
        <f>('Renewable Diesel'!AA497*'Feedstock Conversion Rates'!B$4)/12</f>
        <v>191.25</v>
      </c>
      <c r="CC488" s="106">
        <f t="shared" si="520"/>
        <v>191.25</v>
      </c>
      <c r="CD488" s="104">
        <f>('Renewable Diesel'!$AB497*'RD Feedstock Breakdown'!CD$3*'Feedstock Conversion Rates'!$B$6)/12-15-5</f>
        <v>12.830000000000005</v>
      </c>
      <c r="CE488" s="104">
        <f>('Renewable Diesel'!$AB497*'RD Feedstock Breakdown'!CE$3*'Feedstock Conversion Rates'!$B$4)/12+15+5</f>
        <v>31.25</v>
      </c>
      <c r="CF488" s="106">
        <f t="shared" si="516"/>
        <v>44.080000000000005</v>
      </c>
      <c r="CG488" s="104">
        <f>('Renewable Diesel'!AD497*'Feedstock Conversion Rates'!B$4)/12</f>
        <v>112.5</v>
      </c>
      <c r="CH488" s="106">
        <f t="shared" si="504"/>
        <v>112.5</v>
      </c>
      <c r="CI488" s="104">
        <f>('Renewable Diesel'!$AE497*'RD Feedstock Breakdown'!CI$3*'Feedstock Conversion Rates'!$B$5)/12</f>
        <v>0.34604166666666664</v>
      </c>
      <c r="CJ488" s="104">
        <f>('Renewable Diesel'!$AE497*'RD Feedstock Breakdown'!CJ$3*'Feedstock Conversion Rates'!$B$4)/12</f>
        <v>0.34375</v>
      </c>
      <c r="CK488" s="106">
        <f t="shared" si="513"/>
        <v>0.68979166666666658</v>
      </c>
      <c r="CL488" s="104">
        <f>(((CL$3*'Renewable Diesel'!$AF497)*'Feedstock Conversion Rates'!$B$3)/12)</f>
        <v>91.78125</v>
      </c>
      <c r="CM488" s="104">
        <f>(((CM$3*'Renewable Diesel'!$AF497)*'Feedstock Conversion Rates'!$B$6)/12)</f>
        <v>53.739583333333336</v>
      </c>
      <c r="CN488" s="104">
        <f>(((CN$3*'Renewable Diesel'!$AF497)*'Feedstock Conversion Rates'!$B$4)/12)</f>
        <v>42.96875</v>
      </c>
      <c r="CO488" s="106">
        <f t="shared" si="506"/>
        <v>188.48958333333334</v>
      </c>
      <c r="CP488" s="104">
        <f>('Renewable Diesel'!$AG497*'RD Feedstock Breakdown'!CP$3*'Feedstock Conversion Rates'!$B$3)/12</f>
        <v>6.0075000000000003</v>
      </c>
      <c r="CQ488" s="104">
        <f>('Renewable Diesel'!$AG497*'RD Feedstock Breakdown'!CQ$3*'Feedstock Conversion Rates'!$B$6)/12</f>
        <v>3.5175000000000001</v>
      </c>
      <c r="CR488" s="104">
        <f>('Renewable Diesel'!$AG497*'RD Feedstock Breakdown'!CR$3*'Feedstock Conversion Rates'!$B$4)/12</f>
        <v>2.8125</v>
      </c>
      <c r="CS488" s="106">
        <f t="shared" si="467"/>
        <v>12.3375</v>
      </c>
      <c r="CT488" s="104">
        <f>('Renewable Diesel'!AI497*'Feedstock Conversion Rates'!$B$4*'RD Feedstock Breakdown'!$CT$3)/12</f>
        <v>29.375</v>
      </c>
      <c r="CU488" s="106">
        <f t="shared" si="508"/>
        <v>29.375</v>
      </c>
      <c r="CV488" s="104">
        <f>('Renewable Diesel'!AN497*'Feedstock Conversion Rates'!$B$3*'RD Feedstock Breakdown'!$CV$3)/12</f>
        <v>0.50062499999999999</v>
      </c>
      <c r="CW488" s="106">
        <f t="shared" si="485"/>
        <v>0.50062499999999999</v>
      </c>
      <c r="CX488" s="104">
        <f>('Renewable Diesel'!AO497*'RD Feedstock Breakdown'!$CX$3*'Feedstock Conversion Rates'!$B$3)/12</f>
        <v>6.3412499999999996</v>
      </c>
      <c r="CY488" s="104">
        <f>('Renewable Diesel'!AO497*'RD Feedstock Breakdown'!$CY$3*'Feedstock Conversion Rates'!$B$6)/12</f>
        <v>7.4258333333333342</v>
      </c>
      <c r="CZ488" s="106">
        <f t="shared" si="468"/>
        <v>13.767083333333334</v>
      </c>
      <c r="DA488" s="104">
        <f>('Renewable Diesel'!$AP497*'RD Feedstock Breakdown'!DA$3*'Feedstock Conversion Rates'!$B$3)/12</f>
        <v>6.3412499999999996</v>
      </c>
      <c r="DB488" s="104">
        <f>('Renewable Diesel'!$AP497*'RD Feedstock Breakdown'!DB$3*'Feedstock Conversion Rates'!$B$8)/12</f>
        <v>7.421875</v>
      </c>
      <c r="DC488" s="106">
        <f t="shared" si="488"/>
        <v>13.763124999999999</v>
      </c>
      <c r="DD488" s="104">
        <f>('Renewable Diesel'!AQ497*$DD$3*'Feedstock Conversion Rates'!$B$14)/12</f>
        <v>3.1041666666666665</v>
      </c>
      <c r="DE488" s="106">
        <f t="shared" si="489"/>
        <v>3.1041666666666665</v>
      </c>
      <c r="DF488" s="104">
        <f>('Renewable Diesel'!AR497*'Feedstock Conversion Rates'!$B$4*$DF$3)/12</f>
        <v>75</v>
      </c>
      <c r="DG488" s="106">
        <f t="shared" si="469"/>
        <v>75</v>
      </c>
      <c r="DH488" s="104">
        <f>('Renewable Diesel'!AS497*'Feedstock Conversion Rates'!$B$4*$DH$3)/12</f>
        <v>75</v>
      </c>
      <c r="DI488" s="106">
        <f t="shared" si="478"/>
        <v>75</v>
      </c>
      <c r="DJ488" s="104">
        <f>('Renewable Diesel'!AT497*'Feedstock Conversion Rates'!$B$4*0.25)/12</f>
        <v>8.59375</v>
      </c>
      <c r="DK488" s="104">
        <f>('Renewable Diesel'!$AT497*'RD Feedstock Breakdown'!DK$3*'Feedstock Conversion Rates'!$B$3)/12*0.5</f>
        <v>9.1781249999999996</v>
      </c>
      <c r="DL488" s="104">
        <f>('Renewable Diesel'!$AT497*'RD Feedstock Breakdown'!$DL$3*'Feedstock Conversion Rates'!$B$6)/12</f>
        <v>10.747916666666669</v>
      </c>
      <c r="DM488" s="104">
        <f>('Renewable Diesel'!$AT497*'RD Feedstock Breakdown'!$DM$3*'Feedstock Conversion Rates'!$B$8)/12</f>
        <v>10.7421875</v>
      </c>
      <c r="DN488" s="106">
        <f t="shared" si="519"/>
        <v>39.26197916666667</v>
      </c>
      <c r="DP488" s="104">
        <f t="shared" si="491"/>
        <v>103.22025000000001</v>
      </c>
      <c r="DQ488" s="104">
        <f t="shared" si="492"/>
        <v>349.11776750000007</v>
      </c>
      <c r="DR488" s="104">
        <f t="shared" si="497"/>
        <v>1891.953125</v>
      </c>
      <c r="DS488" s="104">
        <f t="shared" si="510"/>
        <v>228.90125</v>
      </c>
      <c r="DT488" s="104">
        <f t="shared" si="493"/>
        <v>243.03923333333344</v>
      </c>
      <c r="DU488" s="104">
        <f t="shared" si="494"/>
        <v>402.90610000000009</v>
      </c>
      <c r="DV488" s="104">
        <f t="shared" si="498"/>
        <v>78.75</v>
      </c>
      <c r="DW488" s="104">
        <f t="shared" si="495"/>
        <v>3</v>
      </c>
      <c r="DX488" s="106">
        <f t="shared" si="499"/>
        <v>3300.8877258333337</v>
      </c>
      <c r="DY488" s="109">
        <f t="shared" si="487"/>
        <v>-5.631051180898794E-13</v>
      </c>
      <c r="EA488" s="110">
        <f t="shared" si="509"/>
        <v>3.1270451640078516E-2</v>
      </c>
      <c r="EB488" s="110">
        <f t="shared" si="522"/>
        <v>0.10576481131658687</v>
      </c>
      <c r="EC488" s="110">
        <f t="shared" si="523"/>
        <v>0.57316494293133291</v>
      </c>
      <c r="ED488" s="110">
        <f t="shared" si="524"/>
        <v>6.9345360706629972E-2</v>
      </c>
      <c r="EE488" s="110">
        <f t="shared" si="521"/>
        <v>7.3628445896921982E-2</v>
      </c>
      <c r="EF488" s="110">
        <f t="shared" si="521"/>
        <v>0.1220599225010852</v>
      </c>
      <c r="EG488" s="110">
        <f t="shared" si="521"/>
        <v>2.3857218585075921E-2</v>
      </c>
      <c r="EH488" s="111">
        <f t="shared" si="500"/>
        <v>9.0884642228860647E-4</v>
      </c>
      <c r="EI488" s="110">
        <f t="shared" si="476"/>
        <v>0.99909115357771139</v>
      </c>
      <c r="EK488" s="132">
        <f>(EA488*'Renewable Diesel'!BF497*'Feedstock Conversion Rates'!B$2)+FB488</f>
        <v>831.78895776241961</v>
      </c>
      <c r="EL488" s="132">
        <f>(EB488*'Renewable Diesel'!BF497*'Feedstock Conversion Rates'!B$3)+FC488</f>
        <v>2651.1468605877963</v>
      </c>
      <c r="EM488" s="132">
        <f>(EC488*'Renewable Diesel'!BF497*'Feedstock Conversion Rates'!B$4)+FD488</f>
        <v>13452.436598488091</v>
      </c>
      <c r="EN488" s="132">
        <f>(ED488*'Renewable Diesel'!BF497*'Feedstock Conversion Rates'!B$5)+FE488</f>
        <v>1638.4169577629486</v>
      </c>
      <c r="EO488" s="132">
        <f>(EE488*'Renewable Diesel'!BF497*'Feedstock Conversion Rates'!B$6)+FF488</f>
        <v>2161.2676018530774</v>
      </c>
      <c r="EP488" s="132">
        <f>(EF488*'Renewable Diesel'!BF497*'Feedstock Conversion Rates'!B$7)+FG488</f>
        <v>3514.1556086650407</v>
      </c>
      <c r="EQ488" s="132">
        <f>(EG488*'Renewable Diesel'!BF497*'Feedstock Conversion Rates'!B$8)+FH488</f>
        <v>699.92443796072996</v>
      </c>
      <c r="ER488" s="132">
        <f>(EH488*'Renewable Diesel'!BF497*'Feedstock Conversion Rates'!B$9)+FI488</f>
        <v>26.308270937952514</v>
      </c>
      <c r="ES488" s="132">
        <f t="shared" si="501"/>
        <v>24975.445294018056</v>
      </c>
      <c r="ET488" s="133">
        <f>ES488/'Renewable Diesel'!BF497</f>
        <v>21.136413100365363</v>
      </c>
      <c r="EW488" s="73">
        <f t="shared" si="531"/>
        <v>24483.533395117611</v>
      </c>
      <c r="EX488" s="73">
        <f t="shared" si="532"/>
        <v>16036.84847955306</v>
      </c>
      <c r="EY488" s="92">
        <f t="shared" si="477"/>
        <v>0.98030417904027256</v>
      </c>
      <c r="EZ488" s="92">
        <f t="shared" si="477"/>
        <v>0.64210460677528314</v>
      </c>
      <c r="FB488" s="102">
        <f>IF('Renewable Diesel'!$BG497&lt;1,0,(((('Renewable Diesel'!$BG497-1)*'Renewable Diesel'!$BF497)*'RD Feedstock Breakdown'!EA488)*'Feedstock Conversion Rates'!$B$2))</f>
        <v>517.71275525569422</v>
      </c>
      <c r="FC488" s="102">
        <f>IF('Renewable Diesel'!$BG497&lt;1,0,(((('Renewable Diesel'!$BG497-1)*'Renewable Diesel'!$BF497)*'RD Feedstock Breakdown'!EB488)*'Feedstock Conversion Rates'!$B$3))</f>
        <v>1650.097098517173</v>
      </c>
      <c r="FD488" s="102">
        <f>IF('Renewable Diesel'!$BG497&lt;1,0,(((('Renewable Diesel'!$BG497-1)*'Renewable Diesel'!$BF497)*'RD Feedstock Breakdown'!EC488)*'Feedstock Conversion Rates'!$B$4))</f>
        <v>8372.9147295257189</v>
      </c>
      <c r="FE488" s="102">
        <f>IF('Renewable Diesel'!$BG497&lt;1,0,(((('Renewable Diesel'!$BG497-1)*'Renewable Diesel'!$BF497)*'RD Feedstock Breakdown'!ED488)*'Feedstock Conversion Rates'!$B$5))</f>
        <v>1019.7651093408538</v>
      </c>
      <c r="FF488" s="102">
        <f>IF('Renewable Diesel'!$BG497&lt;1,0,(((('Renewable Diesel'!$BG497-1)*'Renewable Diesel'!$BF497)*'RD Feedstock Breakdown'!EE488)*'Feedstock Conversion Rates'!$B$6))</f>
        <v>1345.1919438918721</v>
      </c>
      <c r="FG488" s="102">
        <f>IF('Renewable Diesel'!$BG497&lt;1,0,(((('Renewable Diesel'!$BG497-1)*'Renewable Diesel'!$BF497)*'RD Feedstock Breakdown'!EF488)*'Feedstock Conversion Rates'!$B$7))</f>
        <v>2187.2413255561337</v>
      </c>
      <c r="FH488" s="102">
        <f>IF('Renewable Diesel'!$BG497&lt;1,0,(((('Renewable Diesel'!$BG497-1)*'Renewable Diesel'!$BF497)*'RD Feedstock Breakdown'!EG488)*'Feedstock Conversion Rates'!$B$8))</f>
        <v>435.63911959377327</v>
      </c>
      <c r="FI488" s="102">
        <f>IF('Renewable Diesel'!$BG497&lt;1,0,(((('Renewable Diesel'!$BG497-1)*'Renewable Diesel'!$BF497)*'RD Feedstock Breakdown'!EH488)*'Feedstock Conversion Rates'!$B$9))</f>
        <v>16.374498971397699</v>
      </c>
      <c r="FJ488" s="102">
        <f t="shared" si="533"/>
        <v>15544.936580652617</v>
      </c>
      <c r="GD488" s="91">
        <f>'Renewable Diesel'!BB497*0.32</f>
        <v>0</v>
      </c>
      <c r="GE488" s="91">
        <f>'Renewable Diesel'!BC497</f>
        <v>603.31644499528306</v>
      </c>
      <c r="GF488" s="91">
        <f>'Renewable Diesel'!BD497</f>
        <v>0</v>
      </c>
      <c r="GG488" s="91">
        <f t="shared" si="517"/>
        <v>603.31644499528306</v>
      </c>
      <c r="GH488" s="124">
        <v>1</v>
      </c>
      <c r="GI488" s="102">
        <f>$GG488*EA488*'Feedstock Conversion Rates'!$B$2</f>
        <v>160.36081059355723</v>
      </c>
      <c r="GJ488" s="102">
        <f>$GG488*EB488*'Feedstock Conversion Rates'!$B$3</f>
        <v>511.11529625265177</v>
      </c>
      <c r="GK488" s="102">
        <f>$GG488*EC488*'Feedstock Conversion Rates'!$B$4</f>
        <v>2593.4987682394208</v>
      </c>
      <c r="GL488" s="102">
        <f>$GG488*ED488*'Feedstock Conversion Rates'!$B$5</f>
        <v>315.87083356321881</v>
      </c>
      <c r="GM488" s="102">
        <f>$GG488*EE488*'Feedstock Conversion Rates'!$B$6</f>
        <v>416.67134590856881</v>
      </c>
      <c r="GN488" s="102">
        <f>$GG488*EF488*'Feedstock Conversion Rates'!$B$7</f>
        <v>677.49497838174125</v>
      </c>
      <c r="GO488" s="102">
        <f>$GG488*EG488*'Feedstock Conversion Rates'!$B$8</f>
        <v>134.93861535209439</v>
      </c>
      <c r="GP488" s="102">
        <f>$GG488*EH488*'Feedstock Conversion Rates'!B$9</f>
        <v>5.0719784310120559</v>
      </c>
      <c r="GQ488" s="102">
        <f t="shared" si="502"/>
        <v>4815.0226267222652</v>
      </c>
      <c r="GT488" s="103">
        <f t="shared" si="484"/>
        <v>3.3304269372191886E-2</v>
      </c>
      <c r="GU488" s="103">
        <f t="shared" si="484"/>
        <v>0.10615013383656387</v>
      </c>
      <c r="GV488" s="103">
        <f t="shared" si="484"/>
        <v>0.53862649654979822</v>
      </c>
      <c r="GW488" s="103">
        <f t="shared" si="484"/>
        <v>6.5601110950176761E-2</v>
      </c>
      <c r="GX488" s="103">
        <f t="shared" si="484"/>
        <v>8.6535698419388296E-2</v>
      </c>
      <c r="GY488" s="103">
        <f t="shared" si="484"/>
        <v>0.14070442257566981</v>
      </c>
      <c r="GZ488" s="103">
        <f t="shared" si="484"/>
        <v>2.8024502855545513E-2</v>
      </c>
      <c r="HA488" s="103">
        <f t="shared" si="535"/>
        <v>1.0533654406655838E-3</v>
      </c>
    </row>
    <row r="489" spans="1:209" x14ac:dyDescent="0.25">
      <c r="A489" s="96">
        <v>55305</v>
      </c>
      <c r="B489" s="104">
        <f t="shared" si="473"/>
        <v>44.25</v>
      </c>
      <c r="C489" s="104">
        <f t="shared" si="466"/>
        <v>49</v>
      </c>
      <c r="D489" s="104">
        <f t="shared" si="474"/>
        <v>2</v>
      </c>
      <c r="E489" s="104">
        <f>('Renewable Diesel'!B498*E$3*'Feedstock Conversion Rates'!$B$2)/12+26+13-100+27.5+39</f>
        <v>95.43</v>
      </c>
      <c r="F489" s="104">
        <f>('Renewable Diesel'!B498*'RD Feedstock Breakdown'!F$3*'Feedstock Conversion Rates'!B$8)/12+77+23-10-12-115.75+24+8</f>
        <v>48.15625</v>
      </c>
      <c r="G489" s="104">
        <f>('Renewable Diesel'!B498*'RD Feedstock Breakdown'!G$3*'Feedstock Conversion Rates'!B$7)/12+116.75-39-57.5-145-31.5+32+70-40+10+60</f>
        <v>151.90700000000004</v>
      </c>
      <c r="H489" s="104">
        <f>('Renewable Diesel'!B498*'RD Feedstock Breakdown'!H$3*'Feedstock Conversion Rates'!B$3)/12+67+10+12+3-235+20+47-20+25</f>
        <v>105.40022499999998</v>
      </c>
      <c r="I489" s="106">
        <f t="shared" si="515"/>
        <v>496.14347500000002</v>
      </c>
      <c r="J489" s="104">
        <f t="shared" si="483"/>
        <v>4</v>
      </c>
      <c r="K489" s="104"/>
      <c r="L489" s="104">
        <v>1</v>
      </c>
      <c r="M489" s="104">
        <f>('Renewable Diesel'!C498*'RD Feedstock Breakdown'!M$3*'Feedstock Conversion Rates'!B$2)/12</f>
        <v>7.7902500000000003</v>
      </c>
      <c r="N489" s="104">
        <f>('Renewable Diesel'!C498*'RD Feedstock Breakdown'!N$3*'Feedstock Conversion Rates'!B$8)/12</f>
        <v>3.671875</v>
      </c>
      <c r="O489" s="104">
        <f>('Renewable Diesel'!C498*'RD Feedstock Breakdown'!O$3*'Feedstock Conversion Rates'!B$7)/12</f>
        <v>11.9991</v>
      </c>
      <c r="P489" s="104">
        <f>('Renewable Diesel'!C498*'RD Feedstock Breakdown'!P$3*'Feedstock Conversion Rates'!B$3)/12</f>
        <v>10.4470425</v>
      </c>
      <c r="Q489" s="106">
        <f t="shared" si="525"/>
        <v>38.908267500000001</v>
      </c>
      <c r="R489" s="104">
        <f>('Renewable Diesel'!D498*'RD Feedstock Breakdown'!R$3*'Feedstock Conversion Rates'!B$7)/12</f>
        <v>2.2999999999999998</v>
      </c>
      <c r="S489" s="106">
        <f t="shared" si="481"/>
        <v>2.2999999999999998</v>
      </c>
      <c r="T489" s="104">
        <f t="shared" si="526"/>
        <v>0.82499999999999929</v>
      </c>
      <c r="U489" s="104"/>
      <c r="V489" s="104">
        <f>('Renewable Diesel'!E498*'RD Feedstock Breakdown'!V$3*'Feedstock Conversion Rates'!B$6)/12-20+25</f>
        <v>49.250150000000012</v>
      </c>
      <c r="W489" s="104">
        <f>('Renewable Diesel'!E498*'RD Feedstock Breakdown'!W$3*'Feedstock Conversion Rates'!B$8)/12-6</f>
        <v>16.1796875</v>
      </c>
      <c r="X489" s="106">
        <f t="shared" si="503"/>
        <v>66.254837500000008</v>
      </c>
      <c r="Y489" s="104">
        <f t="shared" si="527"/>
        <v>98</v>
      </c>
      <c r="Z489" s="104">
        <f>('Renewable Diesel'!F498*'RD Feedstock Breakdown'!Z$3*'Feedstock Conversion Rates'!B$6)/12-142+15+5+20+5+15</f>
        <v>77.460000000000008</v>
      </c>
      <c r="AA489" s="104">
        <f>('Renewable Diesel'!F498*'RD Feedstock Breakdown'!AA$3*'Feedstock Conversion Rates'!B$7)/12+24</f>
        <v>128.26666666666665</v>
      </c>
      <c r="AB489" s="106">
        <f t="shared" si="471"/>
        <v>303.72666666666669</v>
      </c>
      <c r="AC489" s="104">
        <f>('Renewable Diesel'!G498*'RD Feedstock Breakdown'!AC$3*'Feedstock Conversion Rates'!B$5)/12</f>
        <v>11.796875</v>
      </c>
      <c r="AD489" s="104">
        <f>('Renewable Diesel'!G498*'RD Feedstock Breakdown'!AD$3*'Feedstock Conversion Rates'!B$4)/12</f>
        <v>5.859375</v>
      </c>
      <c r="AE489" s="104">
        <f>('Renewable Diesel'!G498*'RD Feedstock Breakdown'!AE$3*'Feedstock Conversion Rates'!B$6)/12</f>
        <v>7.3281250000000009</v>
      </c>
      <c r="AF489" s="106">
        <f t="shared" si="511"/>
        <v>24.984375</v>
      </c>
      <c r="AG489" s="104">
        <f t="shared" si="529"/>
        <v>148</v>
      </c>
      <c r="AH489" s="104"/>
      <c r="AI489" s="104">
        <f>('Renewable Diesel'!H498*'RD Feedstock Breakdown'!AI$3*'Feedstock Conversion Rates'!B$6)/12-130-20+51-49</f>
        <v>0.51666666666667993</v>
      </c>
      <c r="AJ489" s="106">
        <f t="shared" si="480"/>
        <v>148.51666666666668</v>
      </c>
      <c r="AK489" s="104">
        <f>('Renewable Diesel'!J498*'RD Feedstock Breakdown'!AK$3*'Feedstock Conversion Rates'!B$4)/12</f>
        <v>95.8125</v>
      </c>
      <c r="AL489" s="106">
        <f t="shared" si="482"/>
        <v>95.8125</v>
      </c>
      <c r="AM489" s="104">
        <f>('Renewable Diesel'!K498*'RD Feedstock Breakdown'!AM$3*'Feedstock Conversion Rates'!B$4)/12+5+15-10+10</f>
        <v>78.59375</v>
      </c>
      <c r="AN489" s="104">
        <f>('Renewable Diesel'!K498*'RD Feedstock Breakdown'!AN$3*'Feedstock Conversion Rates'!B$6)/12-5-15+10-10</f>
        <v>4.4270833333333321</v>
      </c>
      <c r="AO489" s="106">
        <f t="shared" si="496"/>
        <v>83.020833333333329</v>
      </c>
      <c r="AP489" s="104">
        <f>('Renewable Diesel'!L498*'RD Feedstock Breakdown'!AP$3*'Feedstock Conversion Rates'!B$4)/12+15-10+15</f>
        <v>78.59375</v>
      </c>
      <c r="AQ489" s="104">
        <f>('Renewable Diesel'!L498*'RD Feedstock Breakdown'!AQ$3*'Feedstock Conversion Rates'!B$6)/12-15+10-15</f>
        <v>4.4270833333333321</v>
      </c>
      <c r="AR489" s="106">
        <f t="shared" si="486"/>
        <v>83.020833333333329</v>
      </c>
      <c r="AS489" s="104">
        <f>('Renewable Diesel'!M498*'RD Feedstock Breakdown'!AS$3*'Feedstock Conversion Rates'!B$4)/12</f>
        <v>456.25</v>
      </c>
      <c r="AT489" s="104">
        <f>('Renewable Diesel'!M498*'RD Feedstock Breakdown'!AT$3*'Feedstock Conversion Rates'!B$5)/12</f>
        <v>0</v>
      </c>
      <c r="AU489" s="106">
        <f t="shared" si="514"/>
        <v>456.25</v>
      </c>
      <c r="AV489" s="104">
        <f>'Renewable Diesel'!N498*'RD Feedstock Breakdown'!$AV$3*'Feedstock Conversion Rates'!$B$4/12-15-10+25+25-22+25</f>
        <v>106.74999999999999</v>
      </c>
      <c r="AW489" s="104">
        <f>'Renewable Diesel'!N498*'RD Feedstock Breakdown'!$AW$3*'Feedstock Conversion Rates'!$B$7/12+15+10-25-25+22-25</f>
        <v>13.400000000000006</v>
      </c>
      <c r="AX489" s="106">
        <f t="shared" si="475"/>
        <v>120.14999999999999</v>
      </c>
      <c r="AY489" s="104">
        <f>('Renewable Diesel'!O498*'RD Feedstock Breakdown'!AY$3*'Feedstock Conversion Rates'!B$4)/12</f>
        <v>210.9375</v>
      </c>
      <c r="AZ489" s="104">
        <f>('Renewable Diesel'!O498*'RD Feedstock Breakdown'!AZ$3*'Feedstock Conversion Rates'!B$3)/12</f>
        <v>25.03125</v>
      </c>
      <c r="BA489" s="106">
        <f t="shared" si="528"/>
        <v>235.96875</v>
      </c>
      <c r="BB489" s="104">
        <f>('Renewable Diesel'!Q498*'RD Feedstock Breakdown'!BB$3*'Feedstock Conversion Rates'!B$4)/12</f>
        <v>11.156249999999998</v>
      </c>
      <c r="BC489" s="104">
        <f>('Renewable Diesel'!Q498*'RD Feedstock Breakdown'!BC$3*'Feedstock Conversion Rates'!B$3)/12</f>
        <v>1.4017500000000001</v>
      </c>
      <c r="BD489" s="104">
        <f>('Renewable Diesel'!Q498*'RD Feedstock Breakdown'!BD$3*'Feedstock Conversion Rates'!B$6)/12</f>
        <v>0.8207500000000002</v>
      </c>
      <c r="BE489" s="106">
        <f t="shared" si="505"/>
        <v>13.378749999999998</v>
      </c>
      <c r="BF489" s="104">
        <f>('Renewable Diesel'!R498*'RD Feedstock Breakdown'!BF$3*'Feedstock Conversion Rates'!B$4)/12</f>
        <v>62.5</v>
      </c>
      <c r="BG489" s="106">
        <f t="shared" si="490"/>
        <v>62.5</v>
      </c>
      <c r="BH489" s="104">
        <f>('Renewable Diesel'!T498*'RD Feedstock Breakdown'!BH$3*'Feedstock Conversion Rates'!B$7)/12</f>
        <v>27.599999999999998</v>
      </c>
      <c r="BI489" s="106">
        <f t="shared" si="479"/>
        <v>27.599999999999998</v>
      </c>
      <c r="BJ489" s="104">
        <f>('Renewable Diesel'!W498*'RD Feedstock Breakdown'!BJ$3*'Feedstock Conversion Rates'!B$4)/12</f>
        <v>7.5</v>
      </c>
      <c r="BK489" s="104">
        <f>('Renewable Diesel'!W498*'RD Feedstock Breakdown'!BK$3*'Feedstock Conversion Rates'!B$3)/12</f>
        <v>1.335</v>
      </c>
      <c r="BL489" s="104">
        <f>('Renewable Diesel'!W498*'RD Feedstock Breakdown'!BL$3*'Feedstock Conversion Rates'!B$6)/12</f>
        <v>3.1266666666666669</v>
      </c>
      <c r="BM489" s="104">
        <f>('Renewable Diesel'!W498*'RD Feedstock Breakdown'!BM$3*'Feedstock Conversion Rates'!B$7)/12</f>
        <v>1.5333333333333332</v>
      </c>
      <c r="BN489" s="106">
        <f t="shared" si="518"/>
        <v>13.495000000000001</v>
      </c>
      <c r="BO489" s="104">
        <f>('Renewable Diesel'!P498*'Feedstock Conversion Rates'!B$4)/12</f>
        <v>31.25</v>
      </c>
      <c r="BP489" s="106">
        <f t="shared" si="512"/>
        <v>31.25</v>
      </c>
      <c r="BQ489" s="104">
        <f>('Renewable Diesel'!$S498*'RD Feedstock Breakdown'!BQ$3*'Feedstock Conversion Rates'!B$4)/12+10+15-15</f>
        <v>38.125</v>
      </c>
      <c r="BR489" s="104">
        <f>('Renewable Diesel'!$S498*'RD Feedstock Breakdown'!BR$3*'Feedstock Conversion Rates'!B$7)/12-10-15+15</f>
        <v>1.5</v>
      </c>
      <c r="BS489" s="106">
        <f t="shared" si="530"/>
        <v>39.625</v>
      </c>
      <c r="BT489" s="106"/>
      <c r="BU489" s="104">
        <f>('Renewable Diesel'!Y498*'Feedstock Conversion Rates'!B$7)/12</f>
        <v>2.6833333333333331</v>
      </c>
      <c r="BV489" s="106">
        <f t="shared" si="507"/>
        <v>2.6833333333333331</v>
      </c>
      <c r="BW489" s="104">
        <f>('Renewable Diesel'!$Z498*'RD Feedstock Breakdown'!BW$3*'Feedstock Conversion Rates'!$B$4)/12-250+180</f>
        <v>1.875</v>
      </c>
      <c r="BX489" s="104">
        <f>('Renewable Diesel'!$Z498*'RD Feedstock Breakdown'!BX$3*'Feedstock Conversion Rates'!$B$5)/12</f>
        <v>7.2354166666666666</v>
      </c>
      <c r="BY489" s="104">
        <f>('Renewable Diesel'!$Z498*'RD Feedstock Breakdown'!BY$3*'Feedstock Conversion Rates'!$B$7)/12</f>
        <v>61.716666666666661</v>
      </c>
      <c r="BZ489" s="104">
        <f>('Renewable Diesel'!$Z498*'RD Feedstock Breakdown'!BZ$3*'Feedstock Conversion Rates'!$B$3)/12+250-180</f>
        <v>85.35250000000002</v>
      </c>
      <c r="CA489" s="106">
        <f t="shared" si="534"/>
        <v>156.17958333333334</v>
      </c>
      <c r="CB489" s="104">
        <f>('Renewable Diesel'!AA498*'Feedstock Conversion Rates'!B$4)/12</f>
        <v>191.25</v>
      </c>
      <c r="CC489" s="106">
        <f t="shared" si="520"/>
        <v>191.25</v>
      </c>
      <c r="CD489" s="104">
        <f>('Renewable Diesel'!$AB498*'RD Feedstock Breakdown'!CD$3*'Feedstock Conversion Rates'!$B$6)/12-15-5</f>
        <v>12.830000000000005</v>
      </c>
      <c r="CE489" s="104">
        <f>('Renewable Diesel'!$AB498*'RD Feedstock Breakdown'!CE$3*'Feedstock Conversion Rates'!$B$4)/12+15+5</f>
        <v>31.25</v>
      </c>
      <c r="CF489" s="106">
        <f t="shared" si="516"/>
        <v>44.080000000000005</v>
      </c>
      <c r="CG489" s="104">
        <f>('Renewable Diesel'!AD498*'Feedstock Conversion Rates'!B$4)/12</f>
        <v>112.5</v>
      </c>
      <c r="CH489" s="106">
        <f t="shared" si="504"/>
        <v>112.5</v>
      </c>
      <c r="CI489" s="104">
        <f>('Renewable Diesel'!$AE498*'RD Feedstock Breakdown'!CI$3*'Feedstock Conversion Rates'!$B$5)/12</f>
        <v>0.34604166666666664</v>
      </c>
      <c r="CJ489" s="104">
        <f>('Renewable Diesel'!$AE498*'RD Feedstock Breakdown'!CJ$3*'Feedstock Conversion Rates'!$B$4)/12</f>
        <v>0.34375</v>
      </c>
      <c r="CK489" s="106">
        <f t="shared" si="513"/>
        <v>0.68979166666666658</v>
      </c>
      <c r="CL489" s="104">
        <f>(((CL$3*'Renewable Diesel'!$AF498)*'Feedstock Conversion Rates'!$B$3)/12)</f>
        <v>91.78125</v>
      </c>
      <c r="CM489" s="104">
        <f>(((CM$3*'Renewable Diesel'!$AF498)*'Feedstock Conversion Rates'!$B$6)/12)</f>
        <v>53.739583333333336</v>
      </c>
      <c r="CN489" s="104">
        <f>(((CN$3*'Renewable Diesel'!$AF498)*'Feedstock Conversion Rates'!$B$4)/12)</f>
        <v>42.96875</v>
      </c>
      <c r="CO489" s="106">
        <f t="shared" si="506"/>
        <v>188.48958333333334</v>
      </c>
      <c r="CP489" s="104">
        <f>('Renewable Diesel'!$AG498*'RD Feedstock Breakdown'!CP$3*'Feedstock Conversion Rates'!$B$3)/12</f>
        <v>6.0075000000000003</v>
      </c>
      <c r="CQ489" s="104">
        <f>('Renewable Diesel'!$AG498*'RD Feedstock Breakdown'!CQ$3*'Feedstock Conversion Rates'!$B$6)/12</f>
        <v>3.5175000000000001</v>
      </c>
      <c r="CR489" s="104">
        <f>('Renewable Diesel'!$AG498*'RD Feedstock Breakdown'!CR$3*'Feedstock Conversion Rates'!$B$4)/12</f>
        <v>2.8125</v>
      </c>
      <c r="CS489" s="106">
        <f t="shared" si="467"/>
        <v>12.3375</v>
      </c>
      <c r="CT489" s="104">
        <f>('Renewable Diesel'!AI498*'Feedstock Conversion Rates'!$B$4*'RD Feedstock Breakdown'!$CT$3)/12</f>
        <v>29.375</v>
      </c>
      <c r="CU489" s="106">
        <f t="shared" si="508"/>
        <v>29.375</v>
      </c>
      <c r="CV489" s="104">
        <f>('Renewable Diesel'!AN498*'Feedstock Conversion Rates'!$B$3*'RD Feedstock Breakdown'!$CV$3)/12</f>
        <v>0.50062499999999999</v>
      </c>
      <c r="CW489" s="106">
        <f t="shared" si="485"/>
        <v>0.50062499999999999</v>
      </c>
      <c r="CX489" s="104">
        <f>('Renewable Diesel'!AO498*'RD Feedstock Breakdown'!$CX$3*'Feedstock Conversion Rates'!$B$3)/12</f>
        <v>6.3412499999999996</v>
      </c>
      <c r="CY489" s="104">
        <f>('Renewable Diesel'!AO498*'RD Feedstock Breakdown'!$CY$3*'Feedstock Conversion Rates'!$B$6)/12</f>
        <v>7.4258333333333342</v>
      </c>
      <c r="CZ489" s="106">
        <f t="shared" si="468"/>
        <v>13.767083333333334</v>
      </c>
      <c r="DA489" s="104">
        <f>('Renewable Diesel'!$AP498*'RD Feedstock Breakdown'!DA$3*'Feedstock Conversion Rates'!$B$3)/12</f>
        <v>6.3412499999999996</v>
      </c>
      <c r="DB489" s="104">
        <f>('Renewable Diesel'!$AP498*'RD Feedstock Breakdown'!DB$3*'Feedstock Conversion Rates'!$B$8)/12</f>
        <v>7.421875</v>
      </c>
      <c r="DC489" s="106">
        <f t="shared" si="488"/>
        <v>13.763124999999999</v>
      </c>
      <c r="DD489" s="104">
        <f>('Renewable Diesel'!AQ498*$DD$3*'Feedstock Conversion Rates'!$B$14)/12</f>
        <v>3.1041666666666665</v>
      </c>
      <c r="DE489" s="106">
        <f t="shared" si="489"/>
        <v>3.1041666666666665</v>
      </c>
      <c r="DF489" s="104">
        <f>('Renewable Diesel'!AR498*'Feedstock Conversion Rates'!$B$4*$DF$3)/12</f>
        <v>75</v>
      </c>
      <c r="DG489" s="106">
        <f t="shared" si="469"/>
        <v>75</v>
      </c>
      <c r="DH489" s="104">
        <f>('Renewable Diesel'!AS498*'Feedstock Conversion Rates'!$B$4*$DH$3)/12</f>
        <v>75</v>
      </c>
      <c r="DI489" s="106">
        <f t="shared" si="478"/>
        <v>75</v>
      </c>
      <c r="DJ489" s="104">
        <f>('Renewable Diesel'!AT498*'Feedstock Conversion Rates'!$B$4*0.25)/12</f>
        <v>8.59375</v>
      </c>
      <c r="DK489" s="104">
        <f>('Renewable Diesel'!$AT498*'RD Feedstock Breakdown'!DK$3*'Feedstock Conversion Rates'!$B$3)/12*0.5</f>
        <v>9.1781249999999996</v>
      </c>
      <c r="DL489" s="104">
        <f>('Renewable Diesel'!$AT498*'RD Feedstock Breakdown'!$DL$3*'Feedstock Conversion Rates'!$B$6)/12</f>
        <v>10.747916666666669</v>
      </c>
      <c r="DM489" s="104">
        <f>('Renewable Diesel'!$AT498*'RD Feedstock Breakdown'!$DM$3*'Feedstock Conversion Rates'!$B$8)/12</f>
        <v>10.7421875</v>
      </c>
      <c r="DN489" s="106">
        <f t="shared" si="519"/>
        <v>39.26197916666667</v>
      </c>
      <c r="DP489" s="104">
        <f t="shared" si="491"/>
        <v>103.22025000000001</v>
      </c>
      <c r="DQ489" s="104">
        <f t="shared" si="492"/>
        <v>349.11776750000007</v>
      </c>
      <c r="DR489" s="104">
        <f t="shared" si="497"/>
        <v>1891.953125</v>
      </c>
      <c r="DS489" s="104">
        <f t="shared" si="510"/>
        <v>228.90125</v>
      </c>
      <c r="DT489" s="104">
        <f t="shared" si="493"/>
        <v>243.03923333333344</v>
      </c>
      <c r="DU489" s="104">
        <f t="shared" si="494"/>
        <v>402.90610000000009</v>
      </c>
      <c r="DV489" s="104">
        <f t="shared" si="498"/>
        <v>78.75</v>
      </c>
      <c r="DW489" s="104">
        <f t="shared" si="495"/>
        <v>3</v>
      </c>
      <c r="DX489" s="106">
        <f t="shared" si="499"/>
        <v>3300.8877258333337</v>
      </c>
      <c r="DY489" s="109">
        <f t="shared" si="487"/>
        <v>-5.631051180898794E-13</v>
      </c>
      <c r="EA489" s="110">
        <f t="shared" si="509"/>
        <v>3.1270451640078516E-2</v>
      </c>
      <c r="EB489" s="110">
        <f t="shared" si="522"/>
        <v>0.10576481131658687</v>
      </c>
      <c r="EC489" s="110">
        <f t="shared" si="523"/>
        <v>0.57316494293133291</v>
      </c>
      <c r="ED489" s="110">
        <f t="shared" si="524"/>
        <v>6.9345360706629972E-2</v>
      </c>
      <c r="EE489" s="110">
        <f t="shared" si="521"/>
        <v>7.3628445896921982E-2</v>
      </c>
      <c r="EF489" s="110">
        <f t="shared" si="521"/>
        <v>0.1220599225010852</v>
      </c>
      <c r="EG489" s="110">
        <f t="shared" si="521"/>
        <v>2.3857218585075921E-2</v>
      </c>
      <c r="EH489" s="111">
        <f t="shared" si="500"/>
        <v>9.0884642228860647E-4</v>
      </c>
      <c r="EI489" s="110">
        <f t="shared" si="476"/>
        <v>0.99909115357771139</v>
      </c>
      <c r="EK489" s="132">
        <f>(EA489*'Renewable Diesel'!BF498*'Feedstock Conversion Rates'!B$2)+FB489</f>
        <v>761.27209954028763</v>
      </c>
      <c r="EL489" s="132">
        <f>(EB489*'Renewable Diesel'!BF498*'Feedstock Conversion Rates'!B$3)+FC489</f>
        <v>2426.3896724219035</v>
      </c>
      <c r="EM489" s="132">
        <f>(EC489*'Renewable Diesel'!BF498*'Feedstock Conversion Rates'!B$4)+FD489</f>
        <v>12311.974759574434</v>
      </c>
      <c r="EN489" s="132">
        <f>(ED489*'Renewable Diesel'!BF498*'Feedstock Conversion Rates'!B$5)+FE489</f>
        <v>1499.5163204785731</v>
      </c>
      <c r="EO489" s="132">
        <f>(EE489*'Renewable Diesel'!BF498*'Feedstock Conversion Rates'!B$6)+FF489</f>
        <v>1978.0410758963676</v>
      </c>
      <c r="EP489" s="132">
        <f>(EF489*'Renewable Diesel'!BF498*'Feedstock Conversion Rates'!B$7)+FG489</f>
        <v>3216.2348313883567</v>
      </c>
      <c r="EQ489" s="132">
        <f>(EG489*'Renewable Diesel'!BF498*'Feedstock Conversion Rates'!B$8)+FH489</f>
        <v>640.58670343410768</v>
      </c>
      <c r="ER489" s="132">
        <f>(EH489*'Renewable Diesel'!BF498*'Feedstock Conversion Rates'!B$9)+FI489</f>
        <v>24.077925614793124</v>
      </c>
      <c r="ES489" s="132">
        <f t="shared" si="501"/>
        <v>22858.093388348821</v>
      </c>
      <c r="ET489" s="133">
        <f>ES489/'Renewable Diesel'!BF498</f>
        <v>19.891816770434467</v>
      </c>
      <c r="EW489" s="73">
        <f t="shared" si="531"/>
        <v>22081.584894327592</v>
      </c>
      <c r="EX489" s="73">
        <f t="shared" si="532"/>
        <v>14463.559055137684</v>
      </c>
      <c r="EY489" s="92">
        <f t="shared" si="477"/>
        <v>0.9660291660888467</v>
      </c>
      <c r="EZ489" s="92">
        <f t="shared" si="477"/>
        <v>0.63275439510234999</v>
      </c>
      <c r="FB489" s="102">
        <f>IF('Renewable Diesel'!$BG498&lt;1,0,(((('Renewable Diesel'!$BG498-1)*'Renewable Diesel'!$BF498)*'RD Feedstock Breakdown'!EA489)*'Feedstock Conversion Rates'!$B$2))</f>
        <v>455.83721879823247</v>
      </c>
      <c r="FC489" s="102">
        <f>IF('Renewable Diesel'!$BG498&lt;1,0,(((('Renewable Diesel'!$BG498-1)*'Renewable Diesel'!$BF498)*'RD Feedstock Breakdown'!EB489)*'Feedstock Conversion Rates'!$B$3))</f>
        <v>1452.8822488903284</v>
      </c>
      <c r="FD489" s="102">
        <f>IF('Renewable Diesel'!$BG498&lt;1,0,(((('Renewable Diesel'!$BG498-1)*'Renewable Diesel'!$BF498)*'RD Feedstock Breakdown'!EC489)*'Feedstock Conversion Rates'!$B$4))</f>
        <v>7372.2080918341053</v>
      </c>
      <c r="FE489" s="102">
        <f>IF('Renewable Diesel'!$BG498&lt;1,0,(((('Renewable Diesel'!$BG498-1)*'Renewable Diesel'!$BF498)*'RD Feedstock Breakdown'!ED489)*'Feedstock Conversion Rates'!$B$5))</f>
        <v>897.88572244047964</v>
      </c>
      <c r="FF489" s="102">
        <f>IF('Renewable Diesel'!$BG498&lt;1,0,(((('Renewable Diesel'!$BG498-1)*'Renewable Diesel'!$BF498)*'RD Feedstock Breakdown'!EE489)*'Feedstock Conversion Rates'!$B$6))</f>
        <v>1184.4184796076929</v>
      </c>
      <c r="FG489" s="102">
        <f>IF('Renewable Diesel'!$BG498&lt;1,0,(((('Renewable Diesel'!$BG498-1)*'Renewable Diesel'!$BF498)*'RD Feedstock Breakdown'!EF489)*'Feedstock Conversion Rates'!$B$7))</f>
        <v>1925.828545965888</v>
      </c>
      <c r="FH489" s="102">
        <f>IF('Renewable Diesel'!$BG498&lt;1,0,(((('Renewable Diesel'!$BG498-1)*'Renewable Diesel'!$BF498)*'RD Feedstock Breakdown'!EG489)*'Feedstock Conversion Rates'!$B$8))</f>
        <v>383.57278753400396</v>
      </c>
      <c r="FI489" s="102">
        <f>IF('Renewable Diesel'!$BG498&lt;1,0,(((('Renewable Diesel'!$BG498-1)*'Renewable Diesel'!$BF498)*'RD Feedstock Breakdown'!EH489)*'Feedstock Conversion Rates'!$B$9))</f>
        <v>14.417466045722559</v>
      </c>
      <c r="FJ489" s="102">
        <f t="shared" si="533"/>
        <v>13687.050561116454</v>
      </c>
      <c r="GD489" s="91">
        <f>'Renewable Diesel'!BB498*0.32</f>
        <v>0</v>
      </c>
      <c r="GE489" s="91">
        <f>'Renewable Diesel'!BC498</f>
        <v>575.52277705733388</v>
      </c>
      <c r="GF489" s="91">
        <f>'Renewable Diesel'!BD498</f>
        <v>0</v>
      </c>
      <c r="GG489" s="91">
        <f t="shared" si="517"/>
        <v>575.52277705733388</v>
      </c>
      <c r="GH489" s="124">
        <v>1</v>
      </c>
      <c r="GI489" s="102">
        <f>$GG489*EA489*'Feedstock Conversion Rates'!$B$2</f>
        <v>152.97328592574792</v>
      </c>
      <c r="GJ489" s="102">
        <f>$GG489*EB489*'Feedstock Conversion Rates'!$B$3</f>
        <v>487.56916397017471</v>
      </c>
      <c r="GK489" s="102">
        <f>$GG489*EC489*'Feedstock Conversion Rates'!$B$4</f>
        <v>2474.0210975081177</v>
      </c>
      <c r="GL489" s="102">
        <f>$GG489*ED489*'Feedstock Conversion Rates'!$B$5</f>
        <v>301.31925100291261</v>
      </c>
      <c r="GM489" s="102">
        <f>$GG489*EE489*'Feedstock Conversion Rates'!$B$6</f>
        <v>397.47607098525441</v>
      </c>
      <c r="GN489" s="102">
        <f>$GG489*EF489*'Feedstock Conversion Rates'!$B$7</f>
        <v>646.28404320009304</v>
      </c>
      <c r="GO489" s="102">
        <f>$GG489*EG489*'Feedstock Conversion Rates'!$B$8</f>
        <v>128.72224399637562</v>
      </c>
      <c r="GP489" s="102">
        <f>$GG489*EH489*'Feedstock Conversion Rates'!B$9</f>
        <v>4.8383218060859914</v>
      </c>
      <c r="GQ489" s="102">
        <f t="shared" si="502"/>
        <v>4593.203478394762</v>
      </c>
      <c r="GT489" s="103">
        <f t="shared" si="484"/>
        <v>3.3304269372191893E-2</v>
      </c>
      <c r="GU489" s="103">
        <f t="shared" si="484"/>
        <v>0.10615013383656388</v>
      </c>
      <c r="GV489" s="103">
        <f t="shared" si="484"/>
        <v>0.53862649654979833</v>
      </c>
      <c r="GW489" s="103">
        <f t="shared" si="484"/>
        <v>6.5601110950176775E-2</v>
      </c>
      <c r="GX489" s="103">
        <f t="shared" si="484"/>
        <v>8.6535698419388324E-2</v>
      </c>
      <c r="GY489" s="103">
        <f t="shared" si="484"/>
        <v>0.14070442257566981</v>
      </c>
      <c r="GZ489" s="103">
        <f t="shared" si="484"/>
        <v>2.8024502855545523E-2</v>
      </c>
      <c r="HA489" s="103">
        <f t="shared" si="535"/>
        <v>1.0533654406655838E-3</v>
      </c>
    </row>
    <row r="490" spans="1:209" x14ac:dyDescent="0.25">
      <c r="A490" s="96">
        <v>55335</v>
      </c>
      <c r="B490" s="104">
        <f t="shared" si="473"/>
        <v>44.25</v>
      </c>
      <c r="C490" s="104">
        <f t="shared" si="466"/>
        <v>49</v>
      </c>
      <c r="D490" s="104">
        <f t="shared" si="474"/>
        <v>2</v>
      </c>
      <c r="E490" s="104">
        <f>('Renewable Diesel'!B499*E$3*'Feedstock Conversion Rates'!$B$2)/12+26+13-100+27.5+39</f>
        <v>95.43</v>
      </c>
      <c r="F490" s="104">
        <f>('Renewable Diesel'!B499*'RD Feedstock Breakdown'!F$3*'Feedstock Conversion Rates'!B$8)/12+77+23-10-12-115.75+24+8</f>
        <v>48.15625</v>
      </c>
      <c r="G490" s="104">
        <f>('Renewable Diesel'!B499*'RD Feedstock Breakdown'!G$3*'Feedstock Conversion Rates'!B$7)/12+116.75-39-57.5-145-31.5+32+70-40+10+60</f>
        <v>151.90700000000004</v>
      </c>
      <c r="H490" s="104">
        <f>('Renewable Diesel'!B499*'RD Feedstock Breakdown'!H$3*'Feedstock Conversion Rates'!B$3)/12+67+10+12+3-235+20+47-20+25</f>
        <v>105.40022499999998</v>
      </c>
      <c r="I490" s="106">
        <f t="shared" si="515"/>
        <v>496.14347500000002</v>
      </c>
      <c r="J490" s="104">
        <f t="shared" si="483"/>
        <v>4</v>
      </c>
      <c r="K490" s="104"/>
      <c r="L490" s="104">
        <v>1</v>
      </c>
      <c r="M490" s="104">
        <f>('Renewable Diesel'!C499*'RD Feedstock Breakdown'!M$3*'Feedstock Conversion Rates'!B$2)/12</f>
        <v>7.7902500000000003</v>
      </c>
      <c r="N490" s="104">
        <f>('Renewable Diesel'!C499*'RD Feedstock Breakdown'!N$3*'Feedstock Conversion Rates'!B$8)/12</f>
        <v>3.671875</v>
      </c>
      <c r="O490" s="104">
        <f>('Renewable Diesel'!C499*'RD Feedstock Breakdown'!O$3*'Feedstock Conversion Rates'!B$7)/12</f>
        <v>11.9991</v>
      </c>
      <c r="P490" s="104">
        <f>('Renewable Diesel'!C499*'RD Feedstock Breakdown'!P$3*'Feedstock Conversion Rates'!B$3)/12</f>
        <v>10.4470425</v>
      </c>
      <c r="Q490" s="106">
        <f t="shared" si="525"/>
        <v>38.908267500000001</v>
      </c>
      <c r="R490" s="104">
        <f>('Renewable Diesel'!D499*'RD Feedstock Breakdown'!R$3*'Feedstock Conversion Rates'!B$7)/12</f>
        <v>2.2999999999999998</v>
      </c>
      <c r="S490" s="106">
        <f t="shared" si="481"/>
        <v>2.2999999999999998</v>
      </c>
      <c r="T490" s="104">
        <f t="shared" si="526"/>
        <v>0.82499999999999929</v>
      </c>
      <c r="U490" s="104"/>
      <c r="V490" s="104">
        <f>('Renewable Diesel'!E499*'RD Feedstock Breakdown'!V$3*'Feedstock Conversion Rates'!B$6)/12-20+25</f>
        <v>49.250150000000012</v>
      </c>
      <c r="W490" s="104">
        <f>('Renewable Diesel'!E499*'RD Feedstock Breakdown'!W$3*'Feedstock Conversion Rates'!B$8)/12-6</f>
        <v>16.1796875</v>
      </c>
      <c r="X490" s="106">
        <f t="shared" si="503"/>
        <v>66.254837500000008</v>
      </c>
      <c r="Y490" s="104">
        <f t="shared" si="527"/>
        <v>98</v>
      </c>
      <c r="Z490" s="104">
        <f>('Renewable Diesel'!F499*'RD Feedstock Breakdown'!Z$3*'Feedstock Conversion Rates'!B$6)/12-142+15+5+20+5+15</f>
        <v>77.460000000000008</v>
      </c>
      <c r="AA490" s="104">
        <f>('Renewable Diesel'!F499*'RD Feedstock Breakdown'!AA$3*'Feedstock Conversion Rates'!B$7)/12+24</f>
        <v>128.26666666666665</v>
      </c>
      <c r="AB490" s="106">
        <f t="shared" si="471"/>
        <v>303.72666666666669</v>
      </c>
      <c r="AC490" s="104">
        <f>('Renewable Diesel'!G499*'RD Feedstock Breakdown'!AC$3*'Feedstock Conversion Rates'!B$5)/12</f>
        <v>11.796875</v>
      </c>
      <c r="AD490" s="104">
        <f>('Renewable Diesel'!G499*'RD Feedstock Breakdown'!AD$3*'Feedstock Conversion Rates'!B$4)/12</f>
        <v>5.859375</v>
      </c>
      <c r="AE490" s="104">
        <f>('Renewable Diesel'!G499*'RD Feedstock Breakdown'!AE$3*'Feedstock Conversion Rates'!B$6)/12</f>
        <v>7.3281250000000009</v>
      </c>
      <c r="AF490" s="106">
        <f t="shared" si="511"/>
        <v>24.984375</v>
      </c>
      <c r="AG490" s="104">
        <f t="shared" si="529"/>
        <v>148</v>
      </c>
      <c r="AH490" s="104"/>
      <c r="AI490" s="104">
        <f>('Renewable Diesel'!H499*'RD Feedstock Breakdown'!AI$3*'Feedstock Conversion Rates'!B$6)/12-130-20+51-49</f>
        <v>0.51666666666667993</v>
      </c>
      <c r="AJ490" s="106">
        <f t="shared" si="480"/>
        <v>148.51666666666668</v>
      </c>
      <c r="AK490" s="104">
        <f>('Renewable Diesel'!J499*'RD Feedstock Breakdown'!AK$3*'Feedstock Conversion Rates'!B$4)/12</f>
        <v>95.8125</v>
      </c>
      <c r="AL490" s="106">
        <f t="shared" si="482"/>
        <v>95.8125</v>
      </c>
      <c r="AM490" s="104">
        <f>('Renewable Diesel'!K499*'RD Feedstock Breakdown'!AM$3*'Feedstock Conversion Rates'!B$4)/12+5+15-10+10</f>
        <v>78.59375</v>
      </c>
      <c r="AN490" s="104">
        <f>('Renewable Diesel'!K499*'RD Feedstock Breakdown'!AN$3*'Feedstock Conversion Rates'!B$6)/12-5-15+10-10</f>
        <v>4.4270833333333321</v>
      </c>
      <c r="AO490" s="106">
        <f t="shared" si="496"/>
        <v>83.020833333333329</v>
      </c>
      <c r="AP490" s="104">
        <f>('Renewable Diesel'!L499*'RD Feedstock Breakdown'!AP$3*'Feedstock Conversion Rates'!B$4)/12+15-10+15</f>
        <v>78.59375</v>
      </c>
      <c r="AQ490" s="104">
        <f>('Renewable Diesel'!L499*'RD Feedstock Breakdown'!AQ$3*'Feedstock Conversion Rates'!B$6)/12-15+10-15</f>
        <v>4.4270833333333321</v>
      </c>
      <c r="AR490" s="106">
        <f t="shared" si="486"/>
        <v>83.020833333333329</v>
      </c>
      <c r="AS490" s="104">
        <f>('Renewable Diesel'!M499*'RD Feedstock Breakdown'!AS$3*'Feedstock Conversion Rates'!B$4)/12</f>
        <v>456.25</v>
      </c>
      <c r="AT490" s="104">
        <f>('Renewable Diesel'!M499*'RD Feedstock Breakdown'!AT$3*'Feedstock Conversion Rates'!B$5)/12</f>
        <v>0</v>
      </c>
      <c r="AU490" s="106">
        <f t="shared" si="514"/>
        <v>456.25</v>
      </c>
      <c r="AV490" s="104">
        <f>'Renewable Diesel'!N499*'RD Feedstock Breakdown'!$AV$3*'Feedstock Conversion Rates'!$B$4/12-15-10+25+25-22+25</f>
        <v>106.74999999999999</v>
      </c>
      <c r="AW490" s="104">
        <f>'Renewable Diesel'!N499*'RD Feedstock Breakdown'!$AW$3*'Feedstock Conversion Rates'!$B$7/12+15+10-25-25+22-25</f>
        <v>13.400000000000006</v>
      </c>
      <c r="AX490" s="106">
        <f t="shared" si="475"/>
        <v>120.14999999999999</v>
      </c>
      <c r="AY490" s="104">
        <f>('Renewable Diesel'!O499*'RD Feedstock Breakdown'!AY$3*'Feedstock Conversion Rates'!B$4)/12</f>
        <v>210.9375</v>
      </c>
      <c r="AZ490" s="104">
        <f>('Renewable Diesel'!O499*'RD Feedstock Breakdown'!AZ$3*'Feedstock Conversion Rates'!B$3)/12</f>
        <v>25.03125</v>
      </c>
      <c r="BA490" s="106">
        <f t="shared" si="528"/>
        <v>235.96875</v>
      </c>
      <c r="BB490" s="104">
        <f>('Renewable Diesel'!Q499*'RD Feedstock Breakdown'!BB$3*'Feedstock Conversion Rates'!B$4)/12</f>
        <v>11.156249999999998</v>
      </c>
      <c r="BC490" s="104">
        <f>('Renewable Diesel'!Q499*'RD Feedstock Breakdown'!BC$3*'Feedstock Conversion Rates'!B$3)/12</f>
        <v>1.4017500000000001</v>
      </c>
      <c r="BD490" s="104">
        <f>('Renewable Diesel'!Q499*'RD Feedstock Breakdown'!BD$3*'Feedstock Conversion Rates'!B$6)/12</f>
        <v>0.8207500000000002</v>
      </c>
      <c r="BE490" s="106">
        <f t="shared" si="505"/>
        <v>13.378749999999998</v>
      </c>
      <c r="BF490" s="104">
        <f>('Renewable Diesel'!R499*'RD Feedstock Breakdown'!BF$3*'Feedstock Conversion Rates'!B$4)/12</f>
        <v>62.5</v>
      </c>
      <c r="BG490" s="106">
        <f t="shared" si="490"/>
        <v>62.5</v>
      </c>
      <c r="BH490" s="104">
        <f>('Renewable Diesel'!T499*'RD Feedstock Breakdown'!BH$3*'Feedstock Conversion Rates'!B$7)/12</f>
        <v>27.599999999999998</v>
      </c>
      <c r="BI490" s="106">
        <f t="shared" si="479"/>
        <v>27.599999999999998</v>
      </c>
      <c r="BJ490" s="104">
        <f>('Renewable Diesel'!W499*'RD Feedstock Breakdown'!BJ$3*'Feedstock Conversion Rates'!B$4)/12</f>
        <v>7.5</v>
      </c>
      <c r="BK490" s="104">
        <f>('Renewable Diesel'!W499*'RD Feedstock Breakdown'!BK$3*'Feedstock Conversion Rates'!B$3)/12</f>
        <v>1.335</v>
      </c>
      <c r="BL490" s="104">
        <f>('Renewable Diesel'!W499*'RD Feedstock Breakdown'!BL$3*'Feedstock Conversion Rates'!B$6)/12</f>
        <v>3.1266666666666669</v>
      </c>
      <c r="BM490" s="104">
        <f>('Renewable Diesel'!W499*'RD Feedstock Breakdown'!BM$3*'Feedstock Conversion Rates'!B$7)/12</f>
        <v>1.5333333333333332</v>
      </c>
      <c r="BN490" s="106">
        <f t="shared" si="518"/>
        <v>13.495000000000001</v>
      </c>
      <c r="BO490" s="104">
        <f>('Renewable Diesel'!P499*'Feedstock Conversion Rates'!B$4)/12</f>
        <v>31.25</v>
      </c>
      <c r="BP490" s="106">
        <f t="shared" si="512"/>
        <v>31.25</v>
      </c>
      <c r="BQ490" s="104">
        <f>('Renewable Diesel'!$S499*'RD Feedstock Breakdown'!BQ$3*'Feedstock Conversion Rates'!B$4)/12+10+15-15</f>
        <v>38.125</v>
      </c>
      <c r="BR490" s="104">
        <f>('Renewable Diesel'!$S499*'RD Feedstock Breakdown'!BR$3*'Feedstock Conversion Rates'!B$7)/12-10-15+15</f>
        <v>1.5</v>
      </c>
      <c r="BS490" s="106">
        <f t="shared" si="530"/>
        <v>39.625</v>
      </c>
      <c r="BT490" s="106"/>
      <c r="BU490" s="104">
        <f>('Renewable Diesel'!Y499*'Feedstock Conversion Rates'!B$7)/12</f>
        <v>2.6833333333333331</v>
      </c>
      <c r="BV490" s="106">
        <f t="shared" si="507"/>
        <v>2.6833333333333331</v>
      </c>
      <c r="BW490" s="104">
        <f>('Renewable Diesel'!$Z499*'RD Feedstock Breakdown'!BW$3*'Feedstock Conversion Rates'!$B$4)/12-250+180</f>
        <v>1.875</v>
      </c>
      <c r="BX490" s="104">
        <f>('Renewable Diesel'!$Z499*'RD Feedstock Breakdown'!BX$3*'Feedstock Conversion Rates'!$B$5)/12</f>
        <v>7.2354166666666666</v>
      </c>
      <c r="BY490" s="104">
        <f>('Renewable Diesel'!$Z499*'RD Feedstock Breakdown'!BY$3*'Feedstock Conversion Rates'!$B$7)/12</f>
        <v>61.716666666666661</v>
      </c>
      <c r="BZ490" s="104">
        <f>('Renewable Diesel'!$Z499*'RD Feedstock Breakdown'!BZ$3*'Feedstock Conversion Rates'!$B$3)/12+250-180</f>
        <v>85.35250000000002</v>
      </c>
      <c r="CA490" s="106">
        <f t="shared" si="534"/>
        <v>156.17958333333334</v>
      </c>
      <c r="CB490" s="104">
        <f>('Renewable Diesel'!AA499*'Feedstock Conversion Rates'!B$4)/12</f>
        <v>191.25</v>
      </c>
      <c r="CC490" s="106">
        <f t="shared" si="520"/>
        <v>191.25</v>
      </c>
      <c r="CD490" s="104">
        <f>('Renewable Diesel'!$AB499*'RD Feedstock Breakdown'!CD$3*'Feedstock Conversion Rates'!$B$6)/12-15-5</f>
        <v>12.830000000000005</v>
      </c>
      <c r="CE490" s="104">
        <f>('Renewable Diesel'!$AB499*'RD Feedstock Breakdown'!CE$3*'Feedstock Conversion Rates'!$B$4)/12+15+5</f>
        <v>31.25</v>
      </c>
      <c r="CF490" s="106">
        <f t="shared" si="516"/>
        <v>44.080000000000005</v>
      </c>
      <c r="CG490" s="104">
        <f>('Renewable Diesel'!AD499*'Feedstock Conversion Rates'!B$4)/12</f>
        <v>112.5</v>
      </c>
      <c r="CH490" s="106">
        <f t="shared" si="504"/>
        <v>112.5</v>
      </c>
      <c r="CI490" s="104">
        <f>('Renewable Diesel'!$AE499*'RD Feedstock Breakdown'!CI$3*'Feedstock Conversion Rates'!$B$5)/12</f>
        <v>0.34604166666666664</v>
      </c>
      <c r="CJ490" s="104">
        <f>('Renewable Diesel'!$AE499*'RD Feedstock Breakdown'!CJ$3*'Feedstock Conversion Rates'!$B$4)/12</f>
        <v>0.34375</v>
      </c>
      <c r="CK490" s="106">
        <f t="shared" si="513"/>
        <v>0.68979166666666658</v>
      </c>
      <c r="CL490" s="104">
        <f>(((CL$3*'Renewable Diesel'!$AF499)*'Feedstock Conversion Rates'!$B$3)/12)</f>
        <v>91.78125</v>
      </c>
      <c r="CM490" s="104">
        <f>(((CM$3*'Renewable Diesel'!$AF499)*'Feedstock Conversion Rates'!$B$6)/12)</f>
        <v>53.739583333333336</v>
      </c>
      <c r="CN490" s="104">
        <f>(((CN$3*'Renewable Diesel'!$AF499)*'Feedstock Conversion Rates'!$B$4)/12)</f>
        <v>42.96875</v>
      </c>
      <c r="CO490" s="106">
        <f t="shared" si="506"/>
        <v>188.48958333333334</v>
      </c>
      <c r="CP490" s="104">
        <f>('Renewable Diesel'!$AG499*'RD Feedstock Breakdown'!CP$3*'Feedstock Conversion Rates'!$B$3)/12</f>
        <v>6.0075000000000003</v>
      </c>
      <c r="CQ490" s="104">
        <f>('Renewable Diesel'!$AG499*'RD Feedstock Breakdown'!CQ$3*'Feedstock Conversion Rates'!$B$6)/12</f>
        <v>3.5175000000000001</v>
      </c>
      <c r="CR490" s="104">
        <f>('Renewable Diesel'!$AG499*'RD Feedstock Breakdown'!CR$3*'Feedstock Conversion Rates'!$B$4)/12</f>
        <v>2.8125</v>
      </c>
      <c r="CS490" s="106">
        <f t="shared" si="467"/>
        <v>12.3375</v>
      </c>
      <c r="CT490" s="104">
        <f>('Renewable Diesel'!AI499*'Feedstock Conversion Rates'!$B$4*'RD Feedstock Breakdown'!$CT$3)/12</f>
        <v>29.375</v>
      </c>
      <c r="CU490" s="106">
        <f t="shared" si="508"/>
        <v>29.375</v>
      </c>
      <c r="CV490" s="104">
        <f>('Renewable Diesel'!AN499*'Feedstock Conversion Rates'!$B$3*'RD Feedstock Breakdown'!$CV$3)/12</f>
        <v>0.50062499999999999</v>
      </c>
      <c r="CW490" s="106">
        <f t="shared" si="485"/>
        <v>0.50062499999999999</v>
      </c>
      <c r="CX490" s="104">
        <f>('Renewable Diesel'!AO499*'RD Feedstock Breakdown'!$CX$3*'Feedstock Conversion Rates'!$B$3)/12</f>
        <v>6.3412499999999996</v>
      </c>
      <c r="CY490" s="104">
        <f>('Renewable Diesel'!AO499*'RD Feedstock Breakdown'!$CY$3*'Feedstock Conversion Rates'!$B$6)/12</f>
        <v>7.4258333333333342</v>
      </c>
      <c r="CZ490" s="106">
        <f t="shared" si="468"/>
        <v>13.767083333333334</v>
      </c>
      <c r="DA490" s="104">
        <f>('Renewable Diesel'!$AP499*'RD Feedstock Breakdown'!DA$3*'Feedstock Conversion Rates'!$B$3)/12</f>
        <v>6.3412499999999996</v>
      </c>
      <c r="DB490" s="104">
        <f>('Renewable Diesel'!$AP499*'RD Feedstock Breakdown'!DB$3*'Feedstock Conversion Rates'!$B$8)/12</f>
        <v>7.421875</v>
      </c>
      <c r="DC490" s="106">
        <f t="shared" si="488"/>
        <v>13.763124999999999</v>
      </c>
      <c r="DD490" s="104">
        <f>('Renewable Diesel'!AQ499*$DD$3*'Feedstock Conversion Rates'!$B$14)/12</f>
        <v>3.1041666666666665</v>
      </c>
      <c r="DE490" s="106">
        <f t="shared" si="489"/>
        <v>3.1041666666666665</v>
      </c>
      <c r="DF490" s="104">
        <f>('Renewable Diesel'!AR499*'Feedstock Conversion Rates'!$B$4*$DF$3)/12</f>
        <v>75</v>
      </c>
      <c r="DG490" s="106">
        <f t="shared" si="469"/>
        <v>75</v>
      </c>
      <c r="DH490" s="104">
        <f>('Renewable Diesel'!AS499*'Feedstock Conversion Rates'!$B$4*$DH$3)/12</f>
        <v>75</v>
      </c>
      <c r="DI490" s="106">
        <f t="shared" si="478"/>
        <v>75</v>
      </c>
      <c r="DJ490" s="104">
        <f>('Renewable Diesel'!AT499*'Feedstock Conversion Rates'!$B$4*0.25)/12</f>
        <v>8.59375</v>
      </c>
      <c r="DK490" s="104">
        <f>('Renewable Diesel'!$AT499*'RD Feedstock Breakdown'!DK$3*'Feedstock Conversion Rates'!$B$3)/12*0.5</f>
        <v>9.1781249999999996</v>
      </c>
      <c r="DL490" s="104">
        <f>('Renewable Diesel'!$AT499*'RD Feedstock Breakdown'!$DL$3*'Feedstock Conversion Rates'!$B$6)/12</f>
        <v>10.747916666666669</v>
      </c>
      <c r="DM490" s="104">
        <f>('Renewable Diesel'!$AT499*'RD Feedstock Breakdown'!$DM$3*'Feedstock Conversion Rates'!$B$8)/12</f>
        <v>10.7421875</v>
      </c>
      <c r="DN490" s="106">
        <f t="shared" si="519"/>
        <v>39.26197916666667</v>
      </c>
      <c r="DP490" s="104">
        <f t="shared" si="491"/>
        <v>103.22025000000001</v>
      </c>
      <c r="DQ490" s="104">
        <f t="shared" si="492"/>
        <v>349.11776750000007</v>
      </c>
      <c r="DR490" s="104">
        <f t="shared" si="497"/>
        <v>1891.953125</v>
      </c>
      <c r="DS490" s="104">
        <f t="shared" si="510"/>
        <v>228.90125</v>
      </c>
      <c r="DT490" s="104">
        <f t="shared" si="493"/>
        <v>243.03923333333344</v>
      </c>
      <c r="DU490" s="104">
        <f t="shared" si="494"/>
        <v>402.90610000000009</v>
      </c>
      <c r="DV490" s="104">
        <f t="shared" si="498"/>
        <v>78.75</v>
      </c>
      <c r="DW490" s="104">
        <f t="shared" si="495"/>
        <v>3</v>
      </c>
      <c r="DX490" s="106">
        <f t="shared" si="499"/>
        <v>3300.8877258333337</v>
      </c>
      <c r="DY490" s="109">
        <f t="shared" si="487"/>
        <v>-5.631051180898794E-13</v>
      </c>
      <c r="EA490" s="110">
        <f t="shared" si="509"/>
        <v>3.1270451640078516E-2</v>
      </c>
      <c r="EB490" s="110">
        <f t="shared" si="522"/>
        <v>0.10576481131658687</v>
      </c>
      <c r="EC490" s="110">
        <f t="shared" si="523"/>
        <v>0.57316494293133291</v>
      </c>
      <c r="ED490" s="110">
        <f t="shared" si="524"/>
        <v>6.9345360706629972E-2</v>
      </c>
      <c r="EE490" s="110">
        <f t="shared" si="521"/>
        <v>7.3628445896921982E-2</v>
      </c>
      <c r="EF490" s="110">
        <f t="shared" si="521"/>
        <v>0.1220599225010852</v>
      </c>
      <c r="EG490" s="110">
        <f t="shared" si="521"/>
        <v>2.3857218585075921E-2</v>
      </c>
      <c r="EH490" s="111">
        <f t="shared" si="500"/>
        <v>9.0884642228860647E-4</v>
      </c>
      <c r="EI490" s="110">
        <f t="shared" si="476"/>
        <v>0.99909115357771139</v>
      </c>
      <c r="EK490" s="132">
        <f>(EA490*'Renewable Diesel'!BF499*'Feedstock Conversion Rates'!B$2)+FB490</f>
        <v>840.57004892123859</v>
      </c>
      <c r="EL490" s="132">
        <f>(EB490*'Renewable Diesel'!BF499*'Feedstock Conversion Rates'!B$3)+FC490</f>
        <v>2679.1346837501324</v>
      </c>
      <c r="EM490" s="132">
        <f>(EC490*'Renewable Diesel'!BF499*'Feedstock Conversion Rates'!B$4)+FD490</f>
        <v>13594.452275634525</v>
      </c>
      <c r="EN490" s="132">
        <f>(ED490*'Renewable Diesel'!BF499*'Feedstock Conversion Rates'!B$5)+FE490</f>
        <v>1655.713519021677</v>
      </c>
      <c r="EO490" s="132">
        <f>(EE490*'Renewable Diesel'!BF499*'Feedstock Conversion Rates'!B$6)+FF490</f>
        <v>2184.0838314427647</v>
      </c>
      <c r="EP490" s="132">
        <f>(EF490*'Renewable Diesel'!BF499*'Feedstock Conversion Rates'!B$7)+FG490</f>
        <v>3551.2541063764957</v>
      </c>
      <c r="EQ490" s="132">
        <f>(EG490*'Renewable Diesel'!BF499*'Feedstock Conversion Rates'!B$8)+FH490</f>
        <v>707.31345200889882</v>
      </c>
      <c r="ER490" s="132">
        <f>(EH490*'Renewable Diesel'!BF499*'Feedstock Conversion Rates'!B$9)+FI490</f>
        <v>26.586004037413851</v>
      </c>
      <c r="ES490" s="132">
        <f t="shared" si="501"/>
        <v>25239.107921193146</v>
      </c>
      <c r="ET490" s="133">
        <f>ES490/'Renewable Diesel'!BF499</f>
        <v>21.247687418300444</v>
      </c>
      <c r="EW490" s="73">
        <f t="shared" si="531"/>
        <v>24772.159385861891</v>
      </c>
      <c r="EX490" s="73">
        <f t="shared" si="532"/>
        <v>16225.900084406379</v>
      </c>
      <c r="EY490" s="92">
        <f t="shared" si="477"/>
        <v>0.98149900793683909</v>
      </c>
      <c r="EZ490" s="92">
        <f t="shared" si="477"/>
        <v>0.64288722624707251</v>
      </c>
      <c r="FB490" s="102">
        <f>IF('Renewable Diesel'!$BG499&lt;1,0,(((('Renewable Diesel'!$BG499-1)*'Renewable Diesel'!$BF499)*'RD Feedstock Breakdown'!EA490)*'Feedstock Conversion Rates'!$B$2))</f>
        <v>524.84036741371858</v>
      </c>
      <c r="FC490" s="102">
        <f>IF('Renewable Diesel'!$BG499&lt;1,0,(((('Renewable Diesel'!$BG499-1)*'Renewable Diesel'!$BF499)*'RD Feedstock Breakdown'!EB490)*'Feedstock Conversion Rates'!$B$3))</f>
        <v>1672.8148160582502</v>
      </c>
      <c r="FD490" s="102">
        <f>IF('Renewable Diesel'!$BG499&lt;1,0,(((('Renewable Diesel'!$BG499-1)*'Renewable Diesel'!$BF499)*'RD Feedstock Breakdown'!EC490)*'Feedstock Conversion Rates'!$B$4))</f>
        <v>8488.1888621763501</v>
      </c>
      <c r="FE490" s="102">
        <f>IF('Renewable Diesel'!$BG499&lt;1,0,(((('Renewable Diesel'!$BG499-1)*'Renewable Diesel'!$BF499)*'RD Feedstock Breakdown'!ED490)*'Feedstock Conversion Rates'!$B$5))</f>
        <v>1033.8047290293373</v>
      </c>
      <c r="FF490" s="102">
        <f>IF('Renewable Diesel'!$BG499&lt;1,0,(((('Renewable Diesel'!$BG499-1)*'Renewable Diesel'!$BF499)*'RD Feedstock Breakdown'!EE490)*'Feedstock Conversion Rates'!$B$6))</f>
        <v>1363.7118786565172</v>
      </c>
      <c r="FG490" s="102">
        <f>IF('Renewable Diesel'!$BG499&lt;1,0,(((('Renewable Diesel'!$BG499-1)*'Renewable Diesel'!$BF499)*'RD Feedstock Breakdown'!EF490)*'Feedstock Conversion Rates'!$B$7))</f>
        <v>2217.3541781105728</v>
      </c>
      <c r="FH490" s="102">
        <f>IF('Renewable Diesel'!$BG499&lt;1,0,(((('Renewable Diesel'!$BG499-1)*'Renewable Diesel'!$BF499)*'RD Feedstock Breakdown'!EG490)*'Feedstock Conversion Rates'!$B$8))</f>
        <v>441.63678268745929</v>
      </c>
      <c r="FI490" s="102">
        <f>IF('Renewable Diesel'!$BG499&lt;1,0,(((('Renewable Diesel'!$BG499-1)*'Renewable Diesel'!$BF499)*'RD Feedstock Breakdown'!EH490)*'Feedstock Conversion Rates'!$B$9))</f>
        <v>16.599934942919106</v>
      </c>
      <c r="FJ490" s="102">
        <f t="shared" si="533"/>
        <v>15758.951549075124</v>
      </c>
      <c r="GD490" s="91">
        <f>'Renewable Diesel'!BB499*0.32</f>
        <v>0</v>
      </c>
      <c r="GE490" s="91">
        <f>'Renewable Diesel'!BC499</f>
        <v>626.0436167513858</v>
      </c>
      <c r="GF490" s="91">
        <f>'Renewable Diesel'!BD499</f>
        <v>0</v>
      </c>
      <c r="GG490" s="91">
        <f t="shared" si="517"/>
        <v>626.0436167513858</v>
      </c>
      <c r="GH490" s="124">
        <v>1</v>
      </c>
      <c r="GI490" s="102">
        <f>$GG490*EA490*'Feedstock Conversion Rates'!$B$2</f>
        <v>166.40166645873447</v>
      </c>
      <c r="GJ490" s="102">
        <f>$GG490*EB490*'Feedstock Conversion Rates'!$B$3</f>
        <v>530.36921386332813</v>
      </c>
      <c r="GK490" s="102">
        <f>$GG490*EC490*'Feedstock Conversion Rates'!$B$4</f>
        <v>2691.1969040087497</v>
      </c>
      <c r="GL490" s="102">
        <f>$GG490*ED490*'Feedstock Conversion Rates'!$B$5</f>
        <v>327.76981418389585</v>
      </c>
      <c r="GM490" s="102">
        <f>$GG490*EE490*'Feedstock Conversion Rates'!$B$6</f>
        <v>432.3675221405702</v>
      </c>
      <c r="GN490" s="102">
        <f>$GG490*EF490*'Feedstock Conversion Rates'!$B$7</f>
        <v>703.01648515535373</v>
      </c>
      <c r="GO490" s="102">
        <f>$GG490*EG490*'Feedstock Conversion Rates'!$B$8</f>
        <v>140.02180695589976</v>
      </c>
      <c r="GP490" s="102">
        <f>$GG490*EH490*'Feedstock Conversion Rates'!B$9</f>
        <v>5.2630418868503277</v>
      </c>
      <c r="GQ490" s="102">
        <f t="shared" si="502"/>
        <v>4996.4064546533818</v>
      </c>
      <c r="GT490" s="103">
        <f t="shared" si="484"/>
        <v>3.3304269372191886E-2</v>
      </c>
      <c r="GU490" s="103">
        <f t="shared" si="484"/>
        <v>0.10615013383656388</v>
      </c>
      <c r="GV490" s="103">
        <f t="shared" si="484"/>
        <v>0.53862649654979822</v>
      </c>
      <c r="GW490" s="103">
        <f t="shared" si="484"/>
        <v>6.5601110950176761E-2</v>
      </c>
      <c r="GX490" s="103">
        <f t="shared" si="484"/>
        <v>8.6535698419388296E-2</v>
      </c>
      <c r="GY490" s="103">
        <f t="shared" si="484"/>
        <v>0.14070442257566979</v>
      </c>
      <c r="GZ490" s="103">
        <f t="shared" si="484"/>
        <v>2.8024502855545513E-2</v>
      </c>
      <c r="HA490" s="103">
        <f t="shared" si="535"/>
        <v>1.0533654406655838E-3</v>
      </c>
    </row>
    <row r="491" spans="1:209" x14ac:dyDescent="0.25">
      <c r="A491" s="96">
        <v>55366</v>
      </c>
      <c r="B491" s="104">
        <f t="shared" si="473"/>
        <v>44.25</v>
      </c>
      <c r="C491" s="104">
        <f t="shared" si="466"/>
        <v>49</v>
      </c>
      <c r="D491" s="104">
        <f t="shared" si="474"/>
        <v>2</v>
      </c>
      <c r="E491" s="104">
        <f>('Renewable Diesel'!B500*E$3*'Feedstock Conversion Rates'!$B$2)/12+26+13-100+27.5+39</f>
        <v>95.43</v>
      </c>
      <c r="F491" s="104">
        <f>('Renewable Diesel'!B500*'RD Feedstock Breakdown'!F$3*'Feedstock Conversion Rates'!B$8)/12+77+23-10-12-115.75+24+8</f>
        <v>48.15625</v>
      </c>
      <c r="G491" s="104">
        <f>('Renewable Diesel'!B500*'RD Feedstock Breakdown'!G$3*'Feedstock Conversion Rates'!B$7)/12+116.75-39-57.5-145-31.5+32+70-40+10+60</f>
        <v>151.90700000000004</v>
      </c>
      <c r="H491" s="104">
        <f>('Renewable Diesel'!B500*'RD Feedstock Breakdown'!H$3*'Feedstock Conversion Rates'!B$3)/12+67+10+12+3-235+20+47-20+25</f>
        <v>105.40022499999998</v>
      </c>
      <c r="I491" s="106">
        <f t="shared" si="515"/>
        <v>496.14347500000002</v>
      </c>
      <c r="J491" s="104">
        <f t="shared" si="483"/>
        <v>4</v>
      </c>
      <c r="K491" s="104"/>
      <c r="L491" s="104">
        <v>1</v>
      </c>
      <c r="M491" s="104">
        <f>('Renewable Diesel'!C500*'RD Feedstock Breakdown'!M$3*'Feedstock Conversion Rates'!B$2)/12</f>
        <v>7.7902500000000003</v>
      </c>
      <c r="N491" s="104">
        <f>('Renewable Diesel'!C500*'RD Feedstock Breakdown'!N$3*'Feedstock Conversion Rates'!B$8)/12</f>
        <v>3.671875</v>
      </c>
      <c r="O491" s="104">
        <f>('Renewable Diesel'!C500*'RD Feedstock Breakdown'!O$3*'Feedstock Conversion Rates'!B$7)/12</f>
        <v>11.9991</v>
      </c>
      <c r="P491" s="104">
        <f>('Renewable Diesel'!C500*'RD Feedstock Breakdown'!P$3*'Feedstock Conversion Rates'!B$3)/12</f>
        <v>10.4470425</v>
      </c>
      <c r="Q491" s="106">
        <f t="shared" si="525"/>
        <v>38.908267500000001</v>
      </c>
      <c r="R491" s="104">
        <f>('Renewable Diesel'!D500*'RD Feedstock Breakdown'!R$3*'Feedstock Conversion Rates'!B$7)/12</f>
        <v>2.2999999999999998</v>
      </c>
      <c r="S491" s="106">
        <f t="shared" si="481"/>
        <v>2.2999999999999998</v>
      </c>
      <c r="T491" s="104">
        <f t="shared" si="526"/>
        <v>0.82499999999999929</v>
      </c>
      <c r="U491" s="104"/>
      <c r="V491" s="104">
        <f>('Renewable Diesel'!E500*'RD Feedstock Breakdown'!V$3*'Feedstock Conversion Rates'!B$6)/12-20+25</f>
        <v>49.250150000000012</v>
      </c>
      <c r="W491" s="104">
        <f>('Renewable Diesel'!E500*'RD Feedstock Breakdown'!W$3*'Feedstock Conversion Rates'!B$8)/12-6</f>
        <v>16.1796875</v>
      </c>
      <c r="X491" s="106">
        <f t="shared" si="503"/>
        <v>66.254837500000008</v>
      </c>
      <c r="Y491" s="104">
        <f t="shared" si="527"/>
        <v>98</v>
      </c>
      <c r="Z491" s="104">
        <f>('Renewable Diesel'!F500*'RD Feedstock Breakdown'!Z$3*'Feedstock Conversion Rates'!B$6)/12-142+15+5+20+5+15</f>
        <v>77.460000000000008</v>
      </c>
      <c r="AA491" s="104">
        <f>('Renewable Diesel'!F500*'RD Feedstock Breakdown'!AA$3*'Feedstock Conversion Rates'!B$7)/12+24</f>
        <v>128.26666666666665</v>
      </c>
      <c r="AB491" s="106">
        <f t="shared" si="471"/>
        <v>303.72666666666669</v>
      </c>
      <c r="AC491" s="104">
        <f>('Renewable Diesel'!G500*'RD Feedstock Breakdown'!AC$3*'Feedstock Conversion Rates'!B$5)/12</f>
        <v>11.796875</v>
      </c>
      <c r="AD491" s="104">
        <f>('Renewable Diesel'!G500*'RD Feedstock Breakdown'!AD$3*'Feedstock Conversion Rates'!B$4)/12</f>
        <v>5.859375</v>
      </c>
      <c r="AE491" s="104">
        <f>('Renewable Diesel'!G500*'RD Feedstock Breakdown'!AE$3*'Feedstock Conversion Rates'!B$6)/12</f>
        <v>7.3281250000000009</v>
      </c>
      <c r="AF491" s="106">
        <f t="shared" si="511"/>
        <v>24.984375</v>
      </c>
      <c r="AG491" s="104">
        <f t="shared" si="529"/>
        <v>148</v>
      </c>
      <c r="AH491" s="104"/>
      <c r="AI491" s="104">
        <f>('Renewable Diesel'!H500*'RD Feedstock Breakdown'!AI$3*'Feedstock Conversion Rates'!B$6)/12-130-20+51-49</f>
        <v>0.51666666666667993</v>
      </c>
      <c r="AJ491" s="106">
        <f t="shared" si="480"/>
        <v>148.51666666666668</v>
      </c>
      <c r="AK491" s="104">
        <f>('Renewable Diesel'!J500*'RD Feedstock Breakdown'!AK$3*'Feedstock Conversion Rates'!B$4)/12</f>
        <v>95.8125</v>
      </c>
      <c r="AL491" s="106">
        <f t="shared" si="482"/>
        <v>95.8125</v>
      </c>
      <c r="AM491" s="104">
        <f>('Renewable Diesel'!K500*'RD Feedstock Breakdown'!AM$3*'Feedstock Conversion Rates'!B$4)/12+5+15-10+10</f>
        <v>78.59375</v>
      </c>
      <c r="AN491" s="104">
        <f>('Renewable Diesel'!K500*'RD Feedstock Breakdown'!AN$3*'Feedstock Conversion Rates'!B$6)/12-5-15+10-10</f>
        <v>4.4270833333333321</v>
      </c>
      <c r="AO491" s="106">
        <f t="shared" si="496"/>
        <v>83.020833333333329</v>
      </c>
      <c r="AP491" s="104">
        <f>('Renewable Diesel'!L500*'RD Feedstock Breakdown'!AP$3*'Feedstock Conversion Rates'!B$4)/12+15-10+15</f>
        <v>78.59375</v>
      </c>
      <c r="AQ491" s="104">
        <f>('Renewable Diesel'!L500*'RD Feedstock Breakdown'!AQ$3*'Feedstock Conversion Rates'!B$6)/12-15+10-15</f>
        <v>4.4270833333333321</v>
      </c>
      <c r="AR491" s="106">
        <f t="shared" si="486"/>
        <v>83.020833333333329</v>
      </c>
      <c r="AS491" s="104">
        <f>('Renewable Diesel'!M500*'RD Feedstock Breakdown'!AS$3*'Feedstock Conversion Rates'!B$4)/12</f>
        <v>456.25</v>
      </c>
      <c r="AT491" s="104">
        <f>('Renewable Diesel'!M500*'RD Feedstock Breakdown'!AT$3*'Feedstock Conversion Rates'!B$5)/12</f>
        <v>0</v>
      </c>
      <c r="AU491" s="106">
        <f t="shared" si="514"/>
        <v>456.25</v>
      </c>
      <c r="AV491" s="104">
        <f>'Renewable Diesel'!N500*'RD Feedstock Breakdown'!$AV$3*'Feedstock Conversion Rates'!$B$4/12-15-10+25+25-22+25</f>
        <v>106.74999999999999</v>
      </c>
      <c r="AW491" s="104">
        <f>'Renewable Diesel'!N500*'RD Feedstock Breakdown'!$AW$3*'Feedstock Conversion Rates'!$B$7/12+15+10-25-25+22-25</f>
        <v>13.400000000000006</v>
      </c>
      <c r="AX491" s="106">
        <f t="shared" si="475"/>
        <v>120.14999999999999</v>
      </c>
      <c r="AY491" s="104">
        <f>('Renewable Diesel'!O500*'RD Feedstock Breakdown'!AY$3*'Feedstock Conversion Rates'!B$4)/12</f>
        <v>210.9375</v>
      </c>
      <c r="AZ491" s="104">
        <f>('Renewable Diesel'!O500*'RD Feedstock Breakdown'!AZ$3*'Feedstock Conversion Rates'!B$3)/12</f>
        <v>25.03125</v>
      </c>
      <c r="BA491" s="106">
        <f t="shared" si="528"/>
        <v>235.96875</v>
      </c>
      <c r="BB491" s="104">
        <f>('Renewable Diesel'!Q500*'RD Feedstock Breakdown'!BB$3*'Feedstock Conversion Rates'!B$4)/12</f>
        <v>11.156249999999998</v>
      </c>
      <c r="BC491" s="104">
        <f>('Renewable Diesel'!Q500*'RD Feedstock Breakdown'!BC$3*'Feedstock Conversion Rates'!B$3)/12</f>
        <v>1.4017500000000001</v>
      </c>
      <c r="BD491" s="104">
        <f>('Renewable Diesel'!Q500*'RD Feedstock Breakdown'!BD$3*'Feedstock Conversion Rates'!B$6)/12</f>
        <v>0.8207500000000002</v>
      </c>
      <c r="BE491" s="106">
        <f t="shared" si="505"/>
        <v>13.378749999999998</v>
      </c>
      <c r="BF491" s="104">
        <f>('Renewable Diesel'!R500*'RD Feedstock Breakdown'!BF$3*'Feedstock Conversion Rates'!B$4)/12</f>
        <v>62.5</v>
      </c>
      <c r="BG491" s="106">
        <f t="shared" si="490"/>
        <v>62.5</v>
      </c>
      <c r="BH491" s="104">
        <f>('Renewable Diesel'!T500*'RD Feedstock Breakdown'!BH$3*'Feedstock Conversion Rates'!B$7)/12</f>
        <v>27.599999999999998</v>
      </c>
      <c r="BI491" s="106">
        <f t="shared" si="479"/>
        <v>27.599999999999998</v>
      </c>
      <c r="BJ491" s="104">
        <f>('Renewable Diesel'!W500*'RD Feedstock Breakdown'!BJ$3*'Feedstock Conversion Rates'!B$4)/12</f>
        <v>7.5</v>
      </c>
      <c r="BK491" s="104">
        <f>('Renewable Diesel'!W500*'RD Feedstock Breakdown'!BK$3*'Feedstock Conversion Rates'!B$3)/12</f>
        <v>1.335</v>
      </c>
      <c r="BL491" s="104">
        <f>('Renewable Diesel'!W500*'RD Feedstock Breakdown'!BL$3*'Feedstock Conversion Rates'!B$6)/12</f>
        <v>3.1266666666666669</v>
      </c>
      <c r="BM491" s="104">
        <f>('Renewable Diesel'!W500*'RD Feedstock Breakdown'!BM$3*'Feedstock Conversion Rates'!B$7)/12</f>
        <v>1.5333333333333332</v>
      </c>
      <c r="BN491" s="106">
        <f t="shared" si="518"/>
        <v>13.495000000000001</v>
      </c>
      <c r="BO491" s="104">
        <f>('Renewable Diesel'!P500*'Feedstock Conversion Rates'!B$4)/12</f>
        <v>31.25</v>
      </c>
      <c r="BP491" s="106">
        <f t="shared" si="512"/>
        <v>31.25</v>
      </c>
      <c r="BQ491" s="104">
        <f>('Renewable Diesel'!$S500*'RD Feedstock Breakdown'!BQ$3*'Feedstock Conversion Rates'!B$4)/12+10+15-15</f>
        <v>38.125</v>
      </c>
      <c r="BR491" s="104">
        <f>('Renewable Diesel'!$S500*'RD Feedstock Breakdown'!BR$3*'Feedstock Conversion Rates'!B$7)/12-10-15+15</f>
        <v>1.5</v>
      </c>
      <c r="BS491" s="106">
        <f t="shared" si="530"/>
        <v>39.625</v>
      </c>
      <c r="BT491" s="106"/>
      <c r="BU491" s="104">
        <f>('Renewable Diesel'!Y500*'Feedstock Conversion Rates'!B$7)/12</f>
        <v>2.6833333333333331</v>
      </c>
      <c r="BV491" s="106">
        <f t="shared" si="507"/>
        <v>2.6833333333333331</v>
      </c>
      <c r="BW491" s="104">
        <f>('Renewable Diesel'!$Z500*'RD Feedstock Breakdown'!BW$3*'Feedstock Conversion Rates'!$B$4)/12-250+180</f>
        <v>1.875</v>
      </c>
      <c r="BX491" s="104">
        <f>('Renewable Diesel'!$Z500*'RD Feedstock Breakdown'!BX$3*'Feedstock Conversion Rates'!$B$5)/12</f>
        <v>7.2354166666666666</v>
      </c>
      <c r="BY491" s="104">
        <f>('Renewable Diesel'!$Z500*'RD Feedstock Breakdown'!BY$3*'Feedstock Conversion Rates'!$B$7)/12</f>
        <v>61.716666666666661</v>
      </c>
      <c r="BZ491" s="104">
        <f>('Renewable Diesel'!$Z500*'RD Feedstock Breakdown'!BZ$3*'Feedstock Conversion Rates'!$B$3)/12+250-180</f>
        <v>85.35250000000002</v>
      </c>
      <c r="CA491" s="106">
        <f t="shared" si="534"/>
        <v>156.17958333333334</v>
      </c>
      <c r="CB491" s="104">
        <f>('Renewable Diesel'!AA500*'Feedstock Conversion Rates'!B$4)/12</f>
        <v>191.25</v>
      </c>
      <c r="CC491" s="106">
        <f t="shared" si="520"/>
        <v>191.25</v>
      </c>
      <c r="CD491" s="104">
        <f>('Renewable Diesel'!$AB500*'RD Feedstock Breakdown'!CD$3*'Feedstock Conversion Rates'!$B$6)/12-15-5</f>
        <v>12.830000000000005</v>
      </c>
      <c r="CE491" s="104">
        <f>('Renewable Diesel'!$AB500*'RD Feedstock Breakdown'!CE$3*'Feedstock Conversion Rates'!$B$4)/12+15+5</f>
        <v>31.25</v>
      </c>
      <c r="CF491" s="106">
        <f t="shared" si="516"/>
        <v>44.080000000000005</v>
      </c>
      <c r="CG491" s="104">
        <f>('Renewable Diesel'!AD500*'Feedstock Conversion Rates'!B$4)/12</f>
        <v>112.5</v>
      </c>
      <c r="CH491" s="106">
        <f t="shared" si="504"/>
        <v>112.5</v>
      </c>
      <c r="CI491" s="104">
        <f>('Renewable Diesel'!$AE500*'RD Feedstock Breakdown'!CI$3*'Feedstock Conversion Rates'!$B$5)/12</f>
        <v>0.34604166666666664</v>
      </c>
      <c r="CJ491" s="104">
        <f>('Renewable Diesel'!$AE500*'RD Feedstock Breakdown'!CJ$3*'Feedstock Conversion Rates'!$B$4)/12</f>
        <v>0.34375</v>
      </c>
      <c r="CK491" s="106">
        <f t="shared" si="513"/>
        <v>0.68979166666666658</v>
      </c>
      <c r="CL491" s="104">
        <f>(((CL$3*'Renewable Diesel'!$AF500)*'Feedstock Conversion Rates'!$B$3)/12)</f>
        <v>91.78125</v>
      </c>
      <c r="CM491" s="104">
        <f>(((CM$3*'Renewable Diesel'!$AF500)*'Feedstock Conversion Rates'!$B$6)/12)</f>
        <v>53.739583333333336</v>
      </c>
      <c r="CN491" s="104">
        <f>(((CN$3*'Renewable Diesel'!$AF500)*'Feedstock Conversion Rates'!$B$4)/12)</f>
        <v>42.96875</v>
      </c>
      <c r="CO491" s="106">
        <f t="shared" si="506"/>
        <v>188.48958333333334</v>
      </c>
      <c r="CP491" s="104">
        <f>('Renewable Diesel'!$AG500*'RD Feedstock Breakdown'!CP$3*'Feedstock Conversion Rates'!$B$3)/12</f>
        <v>6.0075000000000003</v>
      </c>
      <c r="CQ491" s="104">
        <f>('Renewable Diesel'!$AG500*'RD Feedstock Breakdown'!CQ$3*'Feedstock Conversion Rates'!$B$6)/12</f>
        <v>3.5175000000000001</v>
      </c>
      <c r="CR491" s="104">
        <f>('Renewable Diesel'!$AG500*'RD Feedstock Breakdown'!CR$3*'Feedstock Conversion Rates'!$B$4)/12</f>
        <v>2.8125</v>
      </c>
      <c r="CS491" s="106">
        <f t="shared" si="467"/>
        <v>12.3375</v>
      </c>
      <c r="CT491" s="104">
        <f>('Renewable Diesel'!AI500*'Feedstock Conversion Rates'!$B$4*'RD Feedstock Breakdown'!$CT$3)/12</f>
        <v>29.375</v>
      </c>
      <c r="CU491" s="106">
        <f t="shared" si="508"/>
        <v>29.375</v>
      </c>
      <c r="CV491" s="104">
        <f>('Renewable Diesel'!AN500*'Feedstock Conversion Rates'!$B$3*'RD Feedstock Breakdown'!$CV$3)/12</f>
        <v>0.50062499999999999</v>
      </c>
      <c r="CW491" s="106">
        <f t="shared" si="485"/>
        <v>0.50062499999999999</v>
      </c>
      <c r="CX491" s="104">
        <f>('Renewable Diesel'!AO500*'RD Feedstock Breakdown'!$CX$3*'Feedstock Conversion Rates'!$B$3)/12</f>
        <v>6.3412499999999996</v>
      </c>
      <c r="CY491" s="104">
        <f>('Renewable Diesel'!AO500*'RD Feedstock Breakdown'!$CY$3*'Feedstock Conversion Rates'!$B$6)/12</f>
        <v>7.4258333333333342</v>
      </c>
      <c r="CZ491" s="106">
        <f t="shared" si="468"/>
        <v>13.767083333333334</v>
      </c>
      <c r="DA491" s="104">
        <f>('Renewable Diesel'!$AP500*'RD Feedstock Breakdown'!DA$3*'Feedstock Conversion Rates'!$B$3)/12</f>
        <v>6.3412499999999996</v>
      </c>
      <c r="DB491" s="104">
        <f>('Renewable Diesel'!$AP500*'RD Feedstock Breakdown'!DB$3*'Feedstock Conversion Rates'!$B$8)/12</f>
        <v>7.421875</v>
      </c>
      <c r="DC491" s="106">
        <f t="shared" si="488"/>
        <v>13.763124999999999</v>
      </c>
      <c r="DD491" s="104">
        <f>('Renewable Diesel'!AQ500*$DD$3*'Feedstock Conversion Rates'!$B$14)/12</f>
        <v>3.1041666666666665</v>
      </c>
      <c r="DE491" s="106">
        <f t="shared" si="489"/>
        <v>3.1041666666666665</v>
      </c>
      <c r="DF491" s="104">
        <f>('Renewable Diesel'!AR500*'Feedstock Conversion Rates'!$B$4*$DF$3)/12</f>
        <v>75</v>
      </c>
      <c r="DG491" s="106">
        <f t="shared" si="469"/>
        <v>75</v>
      </c>
      <c r="DH491" s="104">
        <f>('Renewable Diesel'!AS500*'Feedstock Conversion Rates'!$B$4*$DH$3)/12</f>
        <v>75</v>
      </c>
      <c r="DI491" s="106">
        <f t="shared" si="478"/>
        <v>75</v>
      </c>
      <c r="DJ491" s="104">
        <f>('Renewable Diesel'!AT500*'Feedstock Conversion Rates'!$B$4*0.25)/12</f>
        <v>8.59375</v>
      </c>
      <c r="DK491" s="104">
        <f>('Renewable Diesel'!$AT500*'RD Feedstock Breakdown'!DK$3*'Feedstock Conversion Rates'!$B$3)/12*0.5</f>
        <v>9.1781249999999996</v>
      </c>
      <c r="DL491" s="104">
        <f>('Renewable Diesel'!$AT500*'RD Feedstock Breakdown'!$DL$3*'Feedstock Conversion Rates'!$B$6)/12</f>
        <v>10.747916666666669</v>
      </c>
      <c r="DM491" s="104">
        <f>('Renewable Diesel'!$AT500*'RD Feedstock Breakdown'!$DM$3*'Feedstock Conversion Rates'!$B$8)/12</f>
        <v>10.7421875</v>
      </c>
      <c r="DN491" s="106">
        <f t="shared" si="519"/>
        <v>39.26197916666667</v>
      </c>
      <c r="DP491" s="104">
        <f t="shared" si="491"/>
        <v>103.22025000000001</v>
      </c>
      <c r="DQ491" s="104">
        <f t="shared" si="492"/>
        <v>349.11776750000007</v>
      </c>
      <c r="DR491" s="104">
        <f t="shared" si="497"/>
        <v>1891.953125</v>
      </c>
      <c r="DS491" s="104">
        <f t="shared" si="510"/>
        <v>228.90125</v>
      </c>
      <c r="DT491" s="104">
        <f t="shared" si="493"/>
        <v>243.03923333333344</v>
      </c>
      <c r="DU491" s="104">
        <f t="shared" si="494"/>
        <v>402.90610000000009</v>
      </c>
      <c r="DV491" s="104">
        <f t="shared" si="498"/>
        <v>78.75</v>
      </c>
      <c r="DW491" s="104">
        <f t="shared" si="495"/>
        <v>3</v>
      </c>
      <c r="DX491" s="106">
        <f t="shared" si="499"/>
        <v>3300.8877258333337</v>
      </c>
      <c r="DY491" s="109">
        <f t="shared" si="487"/>
        <v>-5.631051180898794E-13</v>
      </c>
      <c r="EA491" s="110">
        <f t="shared" si="509"/>
        <v>3.1270451640078516E-2</v>
      </c>
      <c r="EB491" s="110">
        <f t="shared" si="522"/>
        <v>0.10576481131658687</v>
      </c>
      <c r="EC491" s="110">
        <f t="shared" si="523"/>
        <v>0.57316494293133291</v>
      </c>
      <c r="ED491" s="110">
        <f t="shared" si="524"/>
        <v>6.9345360706629972E-2</v>
      </c>
      <c r="EE491" s="110">
        <f t="shared" si="521"/>
        <v>7.3628445896921982E-2</v>
      </c>
      <c r="EF491" s="110">
        <f t="shared" si="521"/>
        <v>0.1220599225010852</v>
      </c>
      <c r="EG491" s="110">
        <f t="shared" si="521"/>
        <v>2.3857218585075921E-2</v>
      </c>
      <c r="EH491" s="111">
        <f t="shared" si="500"/>
        <v>9.0884642228860647E-4</v>
      </c>
      <c r="EI491" s="110">
        <f t="shared" si="476"/>
        <v>0.99909115357771139</v>
      </c>
      <c r="EK491" s="132">
        <f>(EA491*'Renewable Diesel'!BF500*'Feedstock Conversion Rates'!B$2)+FB491</f>
        <v>902.97242201439781</v>
      </c>
      <c r="EL491" s="132">
        <f>(EB491*'Renewable Diesel'!BF500*'Feedstock Conversion Rates'!B$3)+FC491</f>
        <v>2878.0287108651337</v>
      </c>
      <c r="EM491" s="132">
        <f>(EC491*'Renewable Diesel'!BF500*'Feedstock Conversion Rates'!B$4)+FD491</f>
        <v>14603.679387628355</v>
      </c>
      <c r="EN491" s="132">
        <f>(ED491*'Renewable Diesel'!BF500*'Feedstock Conversion Rates'!B$5)+FE491</f>
        <v>1778.6306428021121</v>
      </c>
      <c r="EO491" s="132">
        <f>(EE491*'Renewable Diesel'!BF500*'Feedstock Conversion Rates'!B$6)+FF491</f>
        <v>2346.2261945823284</v>
      </c>
      <c r="EP491" s="132">
        <f>(EF491*'Renewable Diesel'!BF500*'Feedstock Conversion Rates'!B$7)+FG491</f>
        <v>3814.892674011784</v>
      </c>
      <c r="EQ491" s="132">
        <f>(EG491*'Renewable Diesel'!BF500*'Feedstock Conversion Rates'!B$8)+FH491</f>
        <v>759.82310064878925</v>
      </c>
      <c r="ER491" s="132">
        <f>(EH491*'Renewable Diesel'!BF500*'Feedstock Conversion Rates'!B$9)+FI491</f>
        <v>28.559700037084646</v>
      </c>
      <c r="ES491" s="132">
        <f t="shared" si="501"/>
        <v>27112.812832589978</v>
      </c>
      <c r="ET491" s="133">
        <f>ES491/'Renewable Diesel'!BF500</f>
        <v>21.664154129844391</v>
      </c>
      <c r="EW491" s="73">
        <f t="shared" si="531"/>
        <v>26729.490849387708</v>
      </c>
      <c r="EX491" s="73">
        <f t="shared" si="532"/>
        <v>17507.962914074782</v>
      </c>
      <c r="EY491" s="92">
        <f t="shared" si="477"/>
        <v>0.98586196181233132</v>
      </c>
      <c r="EZ491" s="92">
        <f t="shared" si="477"/>
        <v>0.64574498493310029</v>
      </c>
      <c r="FB491" s="102">
        <f>IF('Renewable Diesel'!$BG500&lt;1,0,(((('Renewable Diesel'!$BG500-1)*'Renewable Diesel'!$BF500)*'RD Feedstock Breakdown'!EA491)*'Feedstock Conversion Rates'!$B$2))</f>
        <v>570.32365446384097</v>
      </c>
      <c r="FC491" s="102">
        <f>IF('Renewable Diesel'!$BG500&lt;1,0,(((('Renewable Diesel'!$BG500-1)*'Renewable Diesel'!$BF500)*'RD Feedstock Breakdown'!EB491)*'Feedstock Conversion Rates'!$B$3))</f>
        <v>1817.7829267152169</v>
      </c>
      <c r="FD491" s="102">
        <f>IF('Renewable Diesel'!$BG500&lt;1,0,(((('Renewable Diesel'!$BG500-1)*'Renewable Diesel'!$BF500)*'RD Feedstock Breakdown'!EC491)*'Feedstock Conversion Rates'!$B$4))</f>
        <v>9223.7853492691374</v>
      </c>
      <c r="FE491" s="102">
        <f>IF('Renewable Diesel'!$BG500&lt;1,0,(((('Renewable Diesel'!$BG500-1)*'Renewable Diesel'!$BF500)*'RD Feedstock Breakdown'!ED491)*'Feedstock Conversion Rates'!$B$5))</f>
        <v>1123.395469688106</v>
      </c>
      <c r="FF491" s="102">
        <f>IF('Renewable Diesel'!$BG500&lt;1,0,(((('Renewable Diesel'!$BG500-1)*'Renewable Diesel'!$BF500)*'RD Feedstock Breakdown'!EE491)*'Feedstock Conversion Rates'!$B$6))</f>
        <v>1481.8927631342967</v>
      </c>
      <c r="FG491" s="102">
        <f>IF('Renewable Diesel'!$BG500&lt;1,0,(((('Renewable Diesel'!$BG500-1)*'Renewable Diesel'!$BF500)*'RD Feedstock Breakdown'!EF491)*'Feedstock Conversion Rates'!$B$7))</f>
        <v>2409.5127139940973</v>
      </c>
      <c r="FH491" s="102">
        <f>IF('Renewable Diesel'!$BG500&lt;1,0,(((('Renewable Diesel'!$BG500-1)*'Renewable Diesel'!$BF500)*'RD Feedstock Breakdown'!EG491)*'Feedstock Conversion Rates'!$B$8))</f>
        <v>479.9095486674284</v>
      </c>
      <c r="FI491" s="102">
        <f>IF('Renewable Diesel'!$BG500&lt;1,0,(((('Renewable Diesel'!$BG500-1)*'Renewable Diesel'!$BF500)*'RD Feedstock Breakdown'!EH491)*'Feedstock Conversion Rates'!$B$9))</f>
        <v>18.038504940388417</v>
      </c>
      <c r="FJ491" s="102">
        <f t="shared" si="533"/>
        <v>17124.640930872509</v>
      </c>
      <c r="GD491" s="91">
        <f>'Renewable Diesel'!BB500*0.32</f>
        <v>0</v>
      </c>
      <c r="GE491" s="91">
        <f>'Renewable Diesel'!BC500</f>
        <v>681.65756317546652</v>
      </c>
      <c r="GF491" s="91">
        <f>'Renewable Diesel'!BD500</f>
        <v>0</v>
      </c>
      <c r="GG491" s="91">
        <f t="shared" si="517"/>
        <v>681.65756317546652</v>
      </c>
      <c r="GH491" s="124">
        <v>1</v>
      </c>
      <c r="GI491" s="102">
        <f>$GG491*EA491*'Feedstock Conversion Rates'!$B$2</f>
        <v>181.18378884716361</v>
      </c>
      <c r="GJ491" s="102">
        <f>$GG491*EB491*'Feedstock Conversion Rates'!$B$3</f>
        <v>577.4840222497387</v>
      </c>
      <c r="GK491" s="102">
        <f>$GG491*EC491*'Feedstock Conversion Rates'!$B$4</f>
        <v>2930.266637221333</v>
      </c>
      <c r="GL491" s="102">
        <f>$GG491*ED491*'Feedstock Conversion Rates'!$B$5</f>
        <v>356.88691145587876</v>
      </c>
      <c r="GM491" s="102">
        <f>$GG491*EE491*'Feedstock Conversion Rates'!$B$6</f>
        <v>470.77645015841983</v>
      </c>
      <c r="GN491" s="102">
        <f>$GG491*EF491*'Feedstock Conversion Rates'!$B$7</f>
        <v>765.4682378679795</v>
      </c>
      <c r="GO491" s="102">
        <f>$GG491*EG491*'Feedstock Conversion Rates'!$B$8</f>
        <v>152.46050142044345</v>
      </c>
      <c r="GP491" s="102">
        <f>$GG491*EH491*'Feedstock Conversion Rates'!B$9</f>
        <v>5.7305788470414303</v>
      </c>
      <c r="GQ491" s="102">
        <f t="shared" si="502"/>
        <v>5440.2571280679986</v>
      </c>
      <c r="GT491" s="103">
        <f t="shared" si="484"/>
        <v>3.3304269372191893E-2</v>
      </c>
      <c r="GU491" s="103">
        <f t="shared" si="484"/>
        <v>0.10615013383656391</v>
      </c>
      <c r="GV491" s="103">
        <f t="shared" si="484"/>
        <v>0.53862649654979833</v>
      </c>
      <c r="GW491" s="103">
        <f t="shared" si="484"/>
        <v>6.5601110950176789E-2</v>
      </c>
      <c r="GX491" s="103">
        <f t="shared" si="484"/>
        <v>8.6535698419388324E-2</v>
      </c>
      <c r="GY491" s="103">
        <f t="shared" si="484"/>
        <v>0.14070442257566984</v>
      </c>
      <c r="GZ491" s="103">
        <f t="shared" si="484"/>
        <v>2.8024502855545527E-2</v>
      </c>
      <c r="HA491" s="103">
        <f t="shared" si="535"/>
        <v>1.053365440665584E-3</v>
      </c>
    </row>
    <row r="492" spans="1:209" x14ac:dyDescent="0.25">
      <c r="A492" s="96">
        <v>55397</v>
      </c>
      <c r="B492" s="104">
        <f t="shared" si="473"/>
        <v>44.25</v>
      </c>
      <c r="C492" s="104">
        <f t="shared" si="466"/>
        <v>49</v>
      </c>
      <c r="D492" s="104">
        <f t="shared" si="474"/>
        <v>2</v>
      </c>
      <c r="E492" s="104">
        <f>('Renewable Diesel'!B501*E$3*'Feedstock Conversion Rates'!$B$2)/12+26+13-100+27.5+39</f>
        <v>95.43</v>
      </c>
      <c r="F492" s="104">
        <f>('Renewable Diesel'!B501*'RD Feedstock Breakdown'!F$3*'Feedstock Conversion Rates'!B$8)/12+77+23-10-12-115.75+24+8</f>
        <v>48.15625</v>
      </c>
      <c r="G492" s="104">
        <f>('Renewable Diesel'!B501*'RD Feedstock Breakdown'!G$3*'Feedstock Conversion Rates'!B$7)/12+116.75-39-57.5-145-31.5+32+70-40+10+60</f>
        <v>151.90700000000004</v>
      </c>
      <c r="H492" s="104">
        <f>('Renewable Diesel'!B501*'RD Feedstock Breakdown'!H$3*'Feedstock Conversion Rates'!B$3)/12+67+10+12+3-235+20+47-20+25</f>
        <v>105.40022499999998</v>
      </c>
      <c r="I492" s="106">
        <f t="shared" si="515"/>
        <v>496.14347500000002</v>
      </c>
      <c r="J492" s="104">
        <f t="shared" si="483"/>
        <v>4</v>
      </c>
      <c r="K492" s="104"/>
      <c r="L492" s="104">
        <v>1</v>
      </c>
      <c r="M492" s="104">
        <f>('Renewable Diesel'!C501*'RD Feedstock Breakdown'!M$3*'Feedstock Conversion Rates'!B$2)/12</f>
        <v>7.7902500000000003</v>
      </c>
      <c r="N492" s="104">
        <f>('Renewable Diesel'!C501*'RD Feedstock Breakdown'!N$3*'Feedstock Conversion Rates'!B$8)/12</f>
        <v>3.671875</v>
      </c>
      <c r="O492" s="104">
        <f>('Renewable Diesel'!C501*'RD Feedstock Breakdown'!O$3*'Feedstock Conversion Rates'!B$7)/12</f>
        <v>11.9991</v>
      </c>
      <c r="P492" s="104">
        <f>('Renewable Diesel'!C501*'RD Feedstock Breakdown'!P$3*'Feedstock Conversion Rates'!B$3)/12</f>
        <v>10.4470425</v>
      </c>
      <c r="Q492" s="106">
        <f t="shared" si="525"/>
        <v>38.908267500000001</v>
      </c>
      <c r="R492" s="104">
        <f>('Renewable Diesel'!D501*'RD Feedstock Breakdown'!R$3*'Feedstock Conversion Rates'!B$7)/12</f>
        <v>2.2999999999999998</v>
      </c>
      <c r="S492" s="106">
        <f t="shared" si="481"/>
        <v>2.2999999999999998</v>
      </c>
      <c r="T492" s="104">
        <f t="shared" si="526"/>
        <v>0.82499999999999929</v>
      </c>
      <c r="U492" s="104"/>
      <c r="V492" s="104">
        <f>('Renewable Diesel'!E501*'RD Feedstock Breakdown'!V$3*'Feedstock Conversion Rates'!B$6)/12-20+25</f>
        <v>49.250150000000012</v>
      </c>
      <c r="W492" s="104">
        <f>('Renewable Diesel'!E501*'RD Feedstock Breakdown'!W$3*'Feedstock Conversion Rates'!B$8)/12-6</f>
        <v>16.1796875</v>
      </c>
      <c r="X492" s="106">
        <f t="shared" si="503"/>
        <v>66.254837500000008</v>
      </c>
      <c r="Y492" s="104">
        <f t="shared" si="527"/>
        <v>98</v>
      </c>
      <c r="Z492" s="104">
        <f>('Renewable Diesel'!F501*'RD Feedstock Breakdown'!Z$3*'Feedstock Conversion Rates'!B$6)/12-142+15+5+20+5+15</f>
        <v>77.460000000000008</v>
      </c>
      <c r="AA492" s="104">
        <f>('Renewable Diesel'!F501*'RD Feedstock Breakdown'!AA$3*'Feedstock Conversion Rates'!B$7)/12+24</f>
        <v>128.26666666666665</v>
      </c>
      <c r="AB492" s="106">
        <f t="shared" si="471"/>
        <v>303.72666666666669</v>
      </c>
      <c r="AC492" s="104">
        <f>('Renewable Diesel'!G501*'RD Feedstock Breakdown'!AC$3*'Feedstock Conversion Rates'!B$5)/12</f>
        <v>11.796875</v>
      </c>
      <c r="AD492" s="104">
        <f>('Renewable Diesel'!G501*'RD Feedstock Breakdown'!AD$3*'Feedstock Conversion Rates'!B$4)/12</f>
        <v>5.859375</v>
      </c>
      <c r="AE492" s="104">
        <f>('Renewable Diesel'!G501*'RD Feedstock Breakdown'!AE$3*'Feedstock Conversion Rates'!B$6)/12</f>
        <v>7.3281250000000009</v>
      </c>
      <c r="AF492" s="106">
        <f t="shared" si="511"/>
        <v>24.984375</v>
      </c>
      <c r="AG492" s="104">
        <f t="shared" si="529"/>
        <v>148</v>
      </c>
      <c r="AH492" s="104"/>
      <c r="AI492" s="104">
        <f>('Renewable Diesel'!H501*'RD Feedstock Breakdown'!AI$3*'Feedstock Conversion Rates'!B$6)/12-130-20+51-49</f>
        <v>0.51666666666667993</v>
      </c>
      <c r="AJ492" s="106">
        <f t="shared" si="480"/>
        <v>148.51666666666668</v>
      </c>
      <c r="AK492" s="104">
        <f>('Renewable Diesel'!J501*'RD Feedstock Breakdown'!AK$3*'Feedstock Conversion Rates'!B$4)/12</f>
        <v>95.8125</v>
      </c>
      <c r="AL492" s="106">
        <f t="shared" si="482"/>
        <v>95.8125</v>
      </c>
      <c r="AM492" s="104">
        <f>('Renewable Diesel'!K501*'RD Feedstock Breakdown'!AM$3*'Feedstock Conversion Rates'!B$4)/12+5+15-10+10</f>
        <v>78.59375</v>
      </c>
      <c r="AN492" s="104">
        <f>('Renewable Diesel'!K501*'RD Feedstock Breakdown'!AN$3*'Feedstock Conversion Rates'!B$6)/12-5-15+10-10</f>
        <v>4.4270833333333321</v>
      </c>
      <c r="AO492" s="106">
        <f t="shared" si="496"/>
        <v>83.020833333333329</v>
      </c>
      <c r="AP492" s="104">
        <f>('Renewable Diesel'!L501*'RD Feedstock Breakdown'!AP$3*'Feedstock Conversion Rates'!B$4)/12+15-10+15</f>
        <v>78.59375</v>
      </c>
      <c r="AQ492" s="104">
        <f>('Renewable Diesel'!L501*'RD Feedstock Breakdown'!AQ$3*'Feedstock Conversion Rates'!B$6)/12-15+10-15</f>
        <v>4.4270833333333321</v>
      </c>
      <c r="AR492" s="106">
        <f t="shared" si="486"/>
        <v>83.020833333333329</v>
      </c>
      <c r="AS492" s="104">
        <f>('Renewable Diesel'!M501*'RD Feedstock Breakdown'!AS$3*'Feedstock Conversion Rates'!B$4)/12</f>
        <v>456.25</v>
      </c>
      <c r="AT492" s="104">
        <f>('Renewable Diesel'!M501*'RD Feedstock Breakdown'!AT$3*'Feedstock Conversion Rates'!B$5)/12</f>
        <v>0</v>
      </c>
      <c r="AU492" s="106">
        <f t="shared" si="514"/>
        <v>456.25</v>
      </c>
      <c r="AV492" s="104">
        <f>'Renewable Diesel'!N501*'RD Feedstock Breakdown'!$AV$3*'Feedstock Conversion Rates'!$B$4/12-15-10+25+25-22+25</f>
        <v>106.74999999999999</v>
      </c>
      <c r="AW492" s="104">
        <f>'Renewable Diesel'!N501*'RD Feedstock Breakdown'!$AW$3*'Feedstock Conversion Rates'!$B$7/12+15+10-25-25+22-25</f>
        <v>13.400000000000006</v>
      </c>
      <c r="AX492" s="106">
        <f t="shared" si="475"/>
        <v>120.14999999999999</v>
      </c>
      <c r="AY492" s="104">
        <f>('Renewable Diesel'!O501*'RD Feedstock Breakdown'!AY$3*'Feedstock Conversion Rates'!B$4)/12</f>
        <v>210.9375</v>
      </c>
      <c r="AZ492" s="104">
        <f>('Renewable Diesel'!O501*'RD Feedstock Breakdown'!AZ$3*'Feedstock Conversion Rates'!B$3)/12</f>
        <v>25.03125</v>
      </c>
      <c r="BA492" s="106">
        <f t="shared" si="528"/>
        <v>235.96875</v>
      </c>
      <c r="BB492" s="104">
        <f>('Renewable Diesel'!Q501*'RD Feedstock Breakdown'!BB$3*'Feedstock Conversion Rates'!B$4)/12</f>
        <v>11.156249999999998</v>
      </c>
      <c r="BC492" s="104">
        <f>('Renewable Diesel'!Q501*'RD Feedstock Breakdown'!BC$3*'Feedstock Conversion Rates'!B$3)/12</f>
        <v>1.4017500000000001</v>
      </c>
      <c r="BD492" s="104">
        <f>('Renewable Diesel'!Q501*'RD Feedstock Breakdown'!BD$3*'Feedstock Conversion Rates'!B$6)/12</f>
        <v>0.8207500000000002</v>
      </c>
      <c r="BE492" s="106">
        <f t="shared" si="505"/>
        <v>13.378749999999998</v>
      </c>
      <c r="BF492" s="104">
        <f>('Renewable Diesel'!R501*'RD Feedstock Breakdown'!BF$3*'Feedstock Conversion Rates'!B$4)/12</f>
        <v>62.5</v>
      </c>
      <c r="BG492" s="106">
        <f t="shared" si="490"/>
        <v>62.5</v>
      </c>
      <c r="BH492" s="104">
        <f>('Renewable Diesel'!T501*'RD Feedstock Breakdown'!BH$3*'Feedstock Conversion Rates'!B$7)/12</f>
        <v>27.599999999999998</v>
      </c>
      <c r="BI492" s="106">
        <f t="shared" si="479"/>
        <v>27.599999999999998</v>
      </c>
      <c r="BJ492" s="104">
        <f>('Renewable Diesel'!W501*'RD Feedstock Breakdown'!BJ$3*'Feedstock Conversion Rates'!B$4)/12</f>
        <v>7.5</v>
      </c>
      <c r="BK492" s="104">
        <f>('Renewable Diesel'!W501*'RD Feedstock Breakdown'!BK$3*'Feedstock Conversion Rates'!B$3)/12</f>
        <v>1.335</v>
      </c>
      <c r="BL492" s="104">
        <f>('Renewable Diesel'!W501*'RD Feedstock Breakdown'!BL$3*'Feedstock Conversion Rates'!B$6)/12</f>
        <v>3.1266666666666669</v>
      </c>
      <c r="BM492" s="104">
        <f>('Renewable Diesel'!W501*'RD Feedstock Breakdown'!BM$3*'Feedstock Conversion Rates'!B$7)/12</f>
        <v>1.5333333333333332</v>
      </c>
      <c r="BN492" s="106">
        <f t="shared" si="518"/>
        <v>13.495000000000001</v>
      </c>
      <c r="BO492" s="104">
        <f>('Renewable Diesel'!P501*'Feedstock Conversion Rates'!B$4)/12</f>
        <v>31.25</v>
      </c>
      <c r="BP492" s="106">
        <f t="shared" si="512"/>
        <v>31.25</v>
      </c>
      <c r="BQ492" s="104">
        <f>('Renewable Diesel'!$S501*'RD Feedstock Breakdown'!BQ$3*'Feedstock Conversion Rates'!B$4)/12+10+15-15</f>
        <v>38.125</v>
      </c>
      <c r="BR492" s="104">
        <f>('Renewable Diesel'!$S501*'RD Feedstock Breakdown'!BR$3*'Feedstock Conversion Rates'!B$7)/12-10-15+15</f>
        <v>1.5</v>
      </c>
      <c r="BS492" s="106">
        <f t="shared" si="530"/>
        <v>39.625</v>
      </c>
      <c r="BT492" s="106"/>
      <c r="BU492" s="104">
        <f>('Renewable Diesel'!Y501*'Feedstock Conversion Rates'!B$7)/12</f>
        <v>2.6833333333333331</v>
      </c>
      <c r="BV492" s="106">
        <f t="shared" si="507"/>
        <v>2.6833333333333331</v>
      </c>
      <c r="BW492" s="104">
        <f>('Renewable Diesel'!$Z501*'RD Feedstock Breakdown'!BW$3*'Feedstock Conversion Rates'!$B$4)/12-250+180</f>
        <v>1.875</v>
      </c>
      <c r="BX492" s="104">
        <f>('Renewable Diesel'!$Z501*'RD Feedstock Breakdown'!BX$3*'Feedstock Conversion Rates'!$B$5)/12</f>
        <v>7.2354166666666666</v>
      </c>
      <c r="BY492" s="104">
        <f>('Renewable Diesel'!$Z501*'RD Feedstock Breakdown'!BY$3*'Feedstock Conversion Rates'!$B$7)/12</f>
        <v>61.716666666666661</v>
      </c>
      <c r="BZ492" s="104">
        <f>('Renewable Diesel'!$Z501*'RD Feedstock Breakdown'!BZ$3*'Feedstock Conversion Rates'!$B$3)/12+250-180</f>
        <v>85.35250000000002</v>
      </c>
      <c r="CA492" s="106">
        <f t="shared" si="534"/>
        <v>156.17958333333334</v>
      </c>
      <c r="CB492" s="104">
        <f>('Renewable Diesel'!AA501*'Feedstock Conversion Rates'!B$4)/12</f>
        <v>191.25</v>
      </c>
      <c r="CC492" s="106">
        <f t="shared" si="520"/>
        <v>191.25</v>
      </c>
      <c r="CD492" s="104">
        <f>('Renewable Diesel'!$AB501*'RD Feedstock Breakdown'!CD$3*'Feedstock Conversion Rates'!$B$6)/12-15-5</f>
        <v>12.830000000000005</v>
      </c>
      <c r="CE492" s="104">
        <f>('Renewable Diesel'!$AB501*'RD Feedstock Breakdown'!CE$3*'Feedstock Conversion Rates'!$B$4)/12+15+5</f>
        <v>31.25</v>
      </c>
      <c r="CF492" s="106">
        <f t="shared" si="516"/>
        <v>44.080000000000005</v>
      </c>
      <c r="CG492" s="104">
        <f>('Renewable Diesel'!AD501*'Feedstock Conversion Rates'!B$4)/12</f>
        <v>112.5</v>
      </c>
      <c r="CH492" s="106">
        <f t="shared" si="504"/>
        <v>112.5</v>
      </c>
      <c r="CI492" s="104">
        <f>('Renewable Diesel'!$AE501*'RD Feedstock Breakdown'!CI$3*'Feedstock Conversion Rates'!$B$5)/12</f>
        <v>0.34604166666666664</v>
      </c>
      <c r="CJ492" s="104">
        <f>('Renewable Diesel'!$AE501*'RD Feedstock Breakdown'!CJ$3*'Feedstock Conversion Rates'!$B$4)/12</f>
        <v>0.34375</v>
      </c>
      <c r="CK492" s="106">
        <f t="shared" si="513"/>
        <v>0.68979166666666658</v>
      </c>
      <c r="CL492" s="104">
        <f>(((CL$3*'Renewable Diesel'!$AF501)*'Feedstock Conversion Rates'!$B$3)/12)</f>
        <v>91.78125</v>
      </c>
      <c r="CM492" s="104">
        <f>(((CM$3*'Renewable Diesel'!$AF501)*'Feedstock Conversion Rates'!$B$6)/12)</f>
        <v>53.739583333333336</v>
      </c>
      <c r="CN492" s="104">
        <f>(((CN$3*'Renewable Diesel'!$AF501)*'Feedstock Conversion Rates'!$B$4)/12)</f>
        <v>42.96875</v>
      </c>
      <c r="CO492" s="106">
        <f t="shared" si="506"/>
        <v>188.48958333333334</v>
      </c>
      <c r="CP492" s="104">
        <f>('Renewable Diesel'!$AG501*'RD Feedstock Breakdown'!CP$3*'Feedstock Conversion Rates'!$B$3)/12</f>
        <v>6.0075000000000003</v>
      </c>
      <c r="CQ492" s="104">
        <f>('Renewable Diesel'!$AG501*'RD Feedstock Breakdown'!CQ$3*'Feedstock Conversion Rates'!$B$6)/12</f>
        <v>3.5175000000000001</v>
      </c>
      <c r="CR492" s="104">
        <f>('Renewable Diesel'!$AG501*'RD Feedstock Breakdown'!CR$3*'Feedstock Conversion Rates'!$B$4)/12</f>
        <v>2.8125</v>
      </c>
      <c r="CS492" s="106">
        <f t="shared" si="467"/>
        <v>12.3375</v>
      </c>
      <c r="CT492" s="104">
        <f>('Renewable Diesel'!AI501*'Feedstock Conversion Rates'!$B$4*'RD Feedstock Breakdown'!$CT$3)/12</f>
        <v>29.375</v>
      </c>
      <c r="CU492" s="106">
        <f t="shared" si="508"/>
        <v>29.375</v>
      </c>
      <c r="CV492" s="104">
        <f>('Renewable Diesel'!AN501*'Feedstock Conversion Rates'!$B$3*'RD Feedstock Breakdown'!$CV$3)/12</f>
        <v>0.50062499999999999</v>
      </c>
      <c r="CW492" s="106">
        <f t="shared" si="485"/>
        <v>0.50062499999999999</v>
      </c>
      <c r="CX492" s="104">
        <f>('Renewable Diesel'!AO501*'RD Feedstock Breakdown'!$CX$3*'Feedstock Conversion Rates'!$B$3)/12</f>
        <v>6.3412499999999996</v>
      </c>
      <c r="CY492" s="104">
        <f>('Renewable Diesel'!AO501*'RD Feedstock Breakdown'!$CY$3*'Feedstock Conversion Rates'!$B$6)/12</f>
        <v>7.4258333333333342</v>
      </c>
      <c r="CZ492" s="106">
        <f t="shared" si="468"/>
        <v>13.767083333333334</v>
      </c>
      <c r="DA492" s="104">
        <f>('Renewable Diesel'!$AP501*'RD Feedstock Breakdown'!DA$3*'Feedstock Conversion Rates'!$B$3)/12</f>
        <v>6.3412499999999996</v>
      </c>
      <c r="DB492" s="104">
        <f>('Renewable Diesel'!$AP501*'RD Feedstock Breakdown'!DB$3*'Feedstock Conversion Rates'!$B$8)/12</f>
        <v>7.421875</v>
      </c>
      <c r="DC492" s="106">
        <f t="shared" si="488"/>
        <v>13.763124999999999</v>
      </c>
      <c r="DD492" s="104">
        <f>('Renewable Diesel'!AQ501*$DD$3*'Feedstock Conversion Rates'!$B$14)/12</f>
        <v>3.1041666666666665</v>
      </c>
      <c r="DE492" s="106">
        <f t="shared" si="489"/>
        <v>3.1041666666666665</v>
      </c>
      <c r="DF492" s="104">
        <f>('Renewable Diesel'!AR501*'Feedstock Conversion Rates'!$B$4*$DF$3)/12</f>
        <v>75</v>
      </c>
      <c r="DG492" s="106">
        <f t="shared" si="469"/>
        <v>75</v>
      </c>
      <c r="DH492" s="104">
        <f>('Renewable Diesel'!AS501*'Feedstock Conversion Rates'!$B$4*$DH$3)/12</f>
        <v>75</v>
      </c>
      <c r="DI492" s="106">
        <f t="shared" si="478"/>
        <v>75</v>
      </c>
      <c r="DJ492" s="104">
        <f>('Renewable Diesel'!AT501*'Feedstock Conversion Rates'!$B$4*0.25)/12</f>
        <v>8.59375</v>
      </c>
      <c r="DK492" s="104">
        <f>('Renewable Diesel'!$AT501*'RD Feedstock Breakdown'!DK$3*'Feedstock Conversion Rates'!$B$3)/12*0.5</f>
        <v>9.1781249999999996</v>
      </c>
      <c r="DL492" s="104">
        <f>('Renewable Diesel'!$AT501*'RD Feedstock Breakdown'!$DL$3*'Feedstock Conversion Rates'!$B$6)/12</f>
        <v>10.747916666666669</v>
      </c>
      <c r="DM492" s="104">
        <f>('Renewable Diesel'!$AT501*'RD Feedstock Breakdown'!$DM$3*'Feedstock Conversion Rates'!$B$8)/12</f>
        <v>10.7421875</v>
      </c>
      <c r="DN492" s="106">
        <f t="shared" si="519"/>
        <v>39.26197916666667</v>
      </c>
      <c r="DP492" s="104">
        <f t="shared" si="491"/>
        <v>103.22025000000001</v>
      </c>
      <c r="DQ492" s="104">
        <f t="shared" si="492"/>
        <v>349.11776750000007</v>
      </c>
      <c r="DR492" s="104">
        <f t="shared" si="497"/>
        <v>1891.953125</v>
      </c>
      <c r="DS492" s="104">
        <f t="shared" si="510"/>
        <v>228.90125</v>
      </c>
      <c r="DT492" s="104">
        <f t="shared" si="493"/>
        <v>243.03923333333344</v>
      </c>
      <c r="DU492" s="104">
        <f t="shared" si="494"/>
        <v>402.90610000000009</v>
      </c>
      <c r="DV492" s="104">
        <f t="shared" si="498"/>
        <v>78.75</v>
      </c>
      <c r="DW492" s="104">
        <f t="shared" si="495"/>
        <v>3</v>
      </c>
      <c r="DX492" s="106">
        <f t="shared" si="499"/>
        <v>3300.8877258333337</v>
      </c>
      <c r="DY492" s="109">
        <f t="shared" si="487"/>
        <v>-5.631051180898794E-13</v>
      </c>
      <c r="EA492" s="110">
        <f t="shared" si="509"/>
        <v>3.1270451640078516E-2</v>
      </c>
      <c r="EB492" s="110">
        <f t="shared" si="522"/>
        <v>0.10576481131658687</v>
      </c>
      <c r="EC492" s="110">
        <f t="shared" si="523"/>
        <v>0.57316494293133291</v>
      </c>
      <c r="ED492" s="110">
        <f t="shared" si="524"/>
        <v>6.9345360706629972E-2</v>
      </c>
      <c r="EE492" s="110">
        <f t="shared" si="521"/>
        <v>7.3628445896921982E-2</v>
      </c>
      <c r="EF492" s="110">
        <f t="shared" si="521"/>
        <v>0.1220599225010852</v>
      </c>
      <c r="EG492" s="110">
        <f t="shared" si="521"/>
        <v>2.3857218585075921E-2</v>
      </c>
      <c r="EH492" s="111">
        <f t="shared" si="500"/>
        <v>9.0884642228860647E-4</v>
      </c>
      <c r="EI492" s="110">
        <f t="shared" si="476"/>
        <v>0.99909115357771139</v>
      </c>
      <c r="EK492" s="132">
        <f>(EA492*'Renewable Diesel'!BF501*'Feedstock Conversion Rates'!B$2)+FB492</f>
        <v>1145.0198720567028</v>
      </c>
      <c r="EL492" s="132">
        <f>(EB492*'Renewable Diesel'!BF501*'Feedstock Conversion Rates'!B$3)+FC492</f>
        <v>3649.5024498519706</v>
      </c>
      <c r="EM492" s="132">
        <f>(EC492*'Renewable Diesel'!BF501*'Feedstock Conversion Rates'!B$4)+FD492</f>
        <v>18518.287708805248</v>
      </c>
      <c r="EN492" s="132">
        <f>(ED492*'Renewable Diesel'!BF501*'Feedstock Conversion Rates'!B$5)+FE492</f>
        <v>2255.4037990596935</v>
      </c>
      <c r="EO492" s="132">
        <f>(EE492*'Renewable Diesel'!BF501*'Feedstock Conversion Rates'!B$6)+FF492</f>
        <v>2975.1469166063926</v>
      </c>
      <c r="EP492" s="132">
        <f>(EF492*'Renewable Diesel'!BF501*'Feedstock Conversion Rates'!B$7)+FG492</f>
        <v>4837.4987042930716</v>
      </c>
      <c r="EQ492" s="132">
        <f>(EG492*'Renewable Diesel'!BF501*'Feedstock Conversion Rates'!B$8)+FH492</f>
        <v>963.49847268838471</v>
      </c>
      <c r="ER492" s="132">
        <f>(EH492*'Renewable Diesel'!BF501*'Feedstock Conversion Rates'!B$9)+FI492</f>
        <v>36.215307671842773</v>
      </c>
      <c r="ES492" s="132">
        <f t="shared" si="501"/>
        <v>34380.573231033311</v>
      </c>
      <c r="ET492" s="133">
        <f>ES492/'Renewable Diesel'!BF501</f>
        <v>24.395572005968862</v>
      </c>
      <c r="EW492" s="73">
        <f t="shared" si="531"/>
        <v>34751.344344596284</v>
      </c>
      <c r="EX492" s="73">
        <f t="shared" si="532"/>
        <v>22762.32089222049</v>
      </c>
      <c r="EY492" s="92">
        <f t="shared" si="477"/>
        <v>1.0107843202924929</v>
      </c>
      <c r="EZ492" s="92">
        <f t="shared" si="477"/>
        <v>0.66206926624697138</v>
      </c>
      <c r="FB492" s="102">
        <f>IF('Renewable Diesel'!$BG501&lt;1,0,(((('Renewable Diesel'!$BG501-1)*'Renewable Diesel'!$BF501)*'RD Feedstock Breakdown'!EA492)*'Feedstock Conversion Rates'!$B$2))</f>
        <v>770.43072757231141</v>
      </c>
      <c r="FC492" s="102">
        <f>IF('Renewable Diesel'!$BG501&lt;1,0,(((('Renewable Diesel'!$BG501-1)*'Renewable Diesel'!$BF501)*'RD Feedstock Breakdown'!EB492)*'Feedstock Conversion Rates'!$B$3))</f>
        <v>2455.5808124674613</v>
      </c>
      <c r="FD492" s="102">
        <f>IF('Renewable Diesel'!$BG501&lt;1,0,(((('Renewable Diesel'!$BG501-1)*'Renewable Diesel'!$BF501)*'RD Feedstock Breakdown'!EC492)*'Feedstock Conversion Rates'!$B$4))</f>
        <v>12460.096301439296</v>
      </c>
      <c r="FE492" s="102">
        <f>IF('Renewable Diesel'!$BG501&lt;1,0,(((('Renewable Diesel'!$BG501-1)*'Renewable Diesel'!$BF501)*'RD Feedstock Breakdown'!ED492)*'Feedstock Conversion Rates'!$B$5))</f>
        <v>1517.5565352920487</v>
      </c>
      <c r="FF492" s="102">
        <f>IF('Renewable Diesel'!$BG501&lt;1,0,(((('Renewable Diesel'!$BG501-1)*'Renewable Diesel'!$BF501)*'RD Feedstock Breakdown'!EE492)*'Feedstock Conversion Rates'!$B$6))</f>
        <v>2001.838273320441</v>
      </c>
      <c r="FG492" s="102">
        <f>IF('Renewable Diesel'!$BG501&lt;1,0,(((('Renewable Diesel'!$BG501-1)*'Renewable Diesel'!$BF501)*'RD Feedstock Breakdown'!EF492)*'Feedstock Conversion Rates'!$B$7))</f>
        <v>3254.9283530636067</v>
      </c>
      <c r="FH492" s="102">
        <f>IF('Renewable Diesel'!$BG501&lt;1,0,(((('Renewable Diesel'!$BG501-1)*'Renewable Diesel'!$BF501)*'RD Feedstock Breakdown'!EG492)*'Feedstock Conversion Rates'!$B$8))</f>
        <v>648.29340297367617</v>
      </c>
      <c r="FI492" s="102">
        <f>IF('Renewable Diesel'!$BG501&lt;1,0,(((('Renewable Diesel'!$BG501-1)*'Renewable Diesel'!$BF501)*'RD Feedstock Breakdown'!EH492)*'Feedstock Conversion Rates'!$B$9))</f>
        <v>24.367599654629601</v>
      </c>
      <c r="FJ492" s="102">
        <f t="shared" si="533"/>
        <v>23133.09200578347</v>
      </c>
      <c r="GD492" s="91">
        <f>'Renewable Diesel'!BB501*0.32</f>
        <v>0</v>
      </c>
      <c r="GE492" s="91">
        <f>'Renewable Diesel'!BC501</f>
        <v>829.06154992710481</v>
      </c>
      <c r="GF492" s="91">
        <f>'Renewable Diesel'!BD501</f>
        <v>0</v>
      </c>
      <c r="GG492" s="91">
        <f t="shared" si="517"/>
        <v>829.06154992710481</v>
      </c>
      <c r="GH492" s="124">
        <v>1</v>
      </c>
      <c r="GI492" s="102">
        <f>$GG492*EA492*'Feedstock Conversion Rates'!$B$2</f>
        <v>220.3635973809746</v>
      </c>
      <c r="GJ492" s="102">
        <f>$GG492*EB492*'Feedstock Conversion Rates'!$B$3</f>
        <v>702.36116256699722</v>
      </c>
      <c r="GK492" s="102">
        <f>$GG492*EC492*'Feedstock Conversion Rates'!$B$4</f>
        <v>3563.9176196289859</v>
      </c>
      <c r="GL492" s="102">
        <f>$GG492*ED492*'Feedstock Conversion Rates'!$B$5</f>
        <v>434.06137031908065</v>
      </c>
      <c r="GM492" s="102">
        <f>$GG492*EE492*'Feedstock Conversion Rates'!$B$6</f>
        <v>572.57877638636501</v>
      </c>
      <c r="GN492" s="102">
        <f>$GG492*EF492*'Feedstock Conversion Rates'!$B$7</f>
        <v>930.99573450113428</v>
      </c>
      <c r="GO492" s="102">
        <f>$GG492*EG492*'Feedstock Conversion Rates'!$B$8</f>
        <v>185.42908703524478</v>
      </c>
      <c r="GP492" s="102">
        <f>$GG492*EH492*'Feedstock Conversion Rates'!B$9</f>
        <v>6.9697790174517387</v>
      </c>
      <c r="GQ492" s="102">
        <f t="shared" si="502"/>
        <v>6616.6771268362336</v>
      </c>
      <c r="GT492" s="103">
        <f t="shared" si="484"/>
        <v>3.3304269372191879E-2</v>
      </c>
      <c r="GU492" s="103">
        <f t="shared" si="484"/>
        <v>0.10615013383656385</v>
      </c>
      <c r="GV492" s="103">
        <f t="shared" si="484"/>
        <v>0.53862649654979822</v>
      </c>
      <c r="GW492" s="103">
        <f t="shared" si="484"/>
        <v>6.5601110950176761E-2</v>
      </c>
      <c r="GX492" s="103">
        <f t="shared" si="484"/>
        <v>8.6535698419388296E-2</v>
      </c>
      <c r="GY492" s="103">
        <f t="shared" si="484"/>
        <v>0.14070442257566979</v>
      </c>
      <c r="GZ492" s="103">
        <f t="shared" si="484"/>
        <v>2.8024502855545516E-2</v>
      </c>
      <c r="HA492" s="103">
        <f t="shared" si="535"/>
        <v>1.0533654406655836E-3</v>
      </c>
    </row>
    <row r="493" spans="1:209" x14ac:dyDescent="0.25">
      <c r="A493" s="96">
        <v>55427</v>
      </c>
      <c r="B493" s="104">
        <f t="shared" si="473"/>
        <v>44.25</v>
      </c>
      <c r="C493" s="104">
        <f t="shared" si="466"/>
        <v>49</v>
      </c>
      <c r="D493" s="104">
        <f t="shared" si="474"/>
        <v>2</v>
      </c>
      <c r="E493" s="104">
        <f>('Renewable Diesel'!B502*E$3*'Feedstock Conversion Rates'!$B$2)/12+26+13-100+27.5+39</f>
        <v>95.43</v>
      </c>
      <c r="F493" s="104">
        <f>('Renewable Diesel'!B502*'RD Feedstock Breakdown'!F$3*'Feedstock Conversion Rates'!B$8)/12+77+23-10-12-115.75+24+8</f>
        <v>48.15625</v>
      </c>
      <c r="G493" s="104">
        <f>('Renewable Diesel'!B502*'RD Feedstock Breakdown'!G$3*'Feedstock Conversion Rates'!B$7)/12+116.75-39-57.5-145-31.5+32+70-40+10+60</f>
        <v>151.90700000000004</v>
      </c>
      <c r="H493" s="104">
        <f>('Renewable Diesel'!B502*'RD Feedstock Breakdown'!H$3*'Feedstock Conversion Rates'!B$3)/12+67+10+12+3-235+20+47-20+25</f>
        <v>105.40022499999998</v>
      </c>
      <c r="I493" s="106">
        <f t="shared" si="515"/>
        <v>496.14347500000002</v>
      </c>
      <c r="J493" s="104">
        <f t="shared" si="483"/>
        <v>4</v>
      </c>
      <c r="K493" s="104"/>
      <c r="L493" s="104">
        <v>1</v>
      </c>
      <c r="M493" s="104">
        <f>('Renewable Diesel'!C502*'RD Feedstock Breakdown'!M$3*'Feedstock Conversion Rates'!B$2)/12</f>
        <v>7.7902500000000003</v>
      </c>
      <c r="N493" s="104">
        <f>('Renewable Diesel'!C502*'RD Feedstock Breakdown'!N$3*'Feedstock Conversion Rates'!B$8)/12</f>
        <v>3.671875</v>
      </c>
      <c r="O493" s="104">
        <f>('Renewable Diesel'!C502*'RD Feedstock Breakdown'!O$3*'Feedstock Conversion Rates'!B$7)/12</f>
        <v>11.9991</v>
      </c>
      <c r="P493" s="104">
        <f>('Renewable Diesel'!C502*'RD Feedstock Breakdown'!P$3*'Feedstock Conversion Rates'!B$3)/12</f>
        <v>10.4470425</v>
      </c>
      <c r="Q493" s="106">
        <f t="shared" si="525"/>
        <v>38.908267500000001</v>
      </c>
      <c r="R493" s="104">
        <f>('Renewable Diesel'!D502*'RD Feedstock Breakdown'!R$3*'Feedstock Conversion Rates'!B$7)/12</f>
        <v>2.2999999999999998</v>
      </c>
      <c r="S493" s="106">
        <f t="shared" si="481"/>
        <v>2.2999999999999998</v>
      </c>
      <c r="T493" s="104">
        <f t="shared" si="526"/>
        <v>0.82499999999999929</v>
      </c>
      <c r="U493" s="104"/>
      <c r="V493" s="104">
        <f>('Renewable Diesel'!E502*'RD Feedstock Breakdown'!V$3*'Feedstock Conversion Rates'!B$6)/12-20+25</f>
        <v>49.250150000000012</v>
      </c>
      <c r="W493" s="104">
        <f>('Renewable Diesel'!E502*'RD Feedstock Breakdown'!W$3*'Feedstock Conversion Rates'!B$8)/12-6</f>
        <v>16.1796875</v>
      </c>
      <c r="X493" s="106">
        <f t="shared" si="503"/>
        <v>66.254837500000008</v>
      </c>
      <c r="Y493" s="104">
        <f t="shared" si="527"/>
        <v>98</v>
      </c>
      <c r="Z493" s="104">
        <f>('Renewable Diesel'!F502*'RD Feedstock Breakdown'!Z$3*'Feedstock Conversion Rates'!B$6)/12-142+15+5+20+5+15</f>
        <v>77.460000000000008</v>
      </c>
      <c r="AA493" s="104">
        <f>('Renewable Diesel'!F502*'RD Feedstock Breakdown'!AA$3*'Feedstock Conversion Rates'!B$7)/12+24</f>
        <v>128.26666666666665</v>
      </c>
      <c r="AB493" s="106">
        <f t="shared" si="471"/>
        <v>303.72666666666669</v>
      </c>
      <c r="AC493" s="104">
        <f>('Renewable Diesel'!G502*'RD Feedstock Breakdown'!AC$3*'Feedstock Conversion Rates'!B$5)/12</f>
        <v>11.796875</v>
      </c>
      <c r="AD493" s="104">
        <f>('Renewable Diesel'!G502*'RD Feedstock Breakdown'!AD$3*'Feedstock Conversion Rates'!B$4)/12</f>
        <v>5.859375</v>
      </c>
      <c r="AE493" s="104">
        <f>('Renewable Diesel'!G502*'RD Feedstock Breakdown'!AE$3*'Feedstock Conversion Rates'!B$6)/12</f>
        <v>7.3281250000000009</v>
      </c>
      <c r="AF493" s="106">
        <f t="shared" si="511"/>
        <v>24.984375</v>
      </c>
      <c r="AG493" s="104">
        <f t="shared" si="529"/>
        <v>148</v>
      </c>
      <c r="AH493" s="104"/>
      <c r="AI493" s="104">
        <f>('Renewable Diesel'!H502*'RD Feedstock Breakdown'!AI$3*'Feedstock Conversion Rates'!B$6)/12-130-20+51-49</f>
        <v>0.51666666666667993</v>
      </c>
      <c r="AJ493" s="106">
        <f t="shared" si="480"/>
        <v>148.51666666666668</v>
      </c>
      <c r="AK493" s="104">
        <f>('Renewable Diesel'!J502*'RD Feedstock Breakdown'!AK$3*'Feedstock Conversion Rates'!B$4)/12</f>
        <v>95.8125</v>
      </c>
      <c r="AL493" s="106">
        <f t="shared" si="482"/>
        <v>95.8125</v>
      </c>
      <c r="AM493" s="104">
        <f>('Renewable Diesel'!K502*'RD Feedstock Breakdown'!AM$3*'Feedstock Conversion Rates'!B$4)/12+5+15-10+10</f>
        <v>78.59375</v>
      </c>
      <c r="AN493" s="104">
        <f>('Renewable Diesel'!K502*'RD Feedstock Breakdown'!AN$3*'Feedstock Conversion Rates'!B$6)/12-5-15+10-10</f>
        <v>4.4270833333333321</v>
      </c>
      <c r="AO493" s="106">
        <f t="shared" si="496"/>
        <v>83.020833333333329</v>
      </c>
      <c r="AP493" s="104">
        <f>('Renewable Diesel'!L502*'RD Feedstock Breakdown'!AP$3*'Feedstock Conversion Rates'!B$4)/12+15-10+15</f>
        <v>78.59375</v>
      </c>
      <c r="AQ493" s="104">
        <f>('Renewable Diesel'!L502*'RD Feedstock Breakdown'!AQ$3*'Feedstock Conversion Rates'!B$6)/12-15+10-15</f>
        <v>4.4270833333333321</v>
      </c>
      <c r="AR493" s="106">
        <f t="shared" si="486"/>
        <v>83.020833333333329</v>
      </c>
      <c r="AS493" s="104">
        <f>('Renewable Diesel'!M502*'RD Feedstock Breakdown'!AS$3*'Feedstock Conversion Rates'!B$4)/12</f>
        <v>456.25</v>
      </c>
      <c r="AT493" s="104">
        <f>('Renewable Diesel'!M502*'RD Feedstock Breakdown'!AT$3*'Feedstock Conversion Rates'!B$5)/12</f>
        <v>0</v>
      </c>
      <c r="AU493" s="106">
        <f t="shared" si="514"/>
        <v>456.25</v>
      </c>
      <c r="AV493" s="104">
        <f>'Renewable Diesel'!N502*'RD Feedstock Breakdown'!$AV$3*'Feedstock Conversion Rates'!$B$4/12-15-10+25+25-22+25</f>
        <v>106.74999999999999</v>
      </c>
      <c r="AW493" s="104">
        <f>'Renewable Diesel'!N502*'RD Feedstock Breakdown'!$AW$3*'Feedstock Conversion Rates'!$B$7/12+15+10-25-25+22-25</f>
        <v>13.400000000000006</v>
      </c>
      <c r="AX493" s="106">
        <f t="shared" si="475"/>
        <v>120.14999999999999</v>
      </c>
      <c r="AY493" s="104">
        <f>('Renewable Diesel'!O502*'RD Feedstock Breakdown'!AY$3*'Feedstock Conversion Rates'!B$4)/12</f>
        <v>210.9375</v>
      </c>
      <c r="AZ493" s="104">
        <f>('Renewable Diesel'!O502*'RD Feedstock Breakdown'!AZ$3*'Feedstock Conversion Rates'!B$3)/12</f>
        <v>25.03125</v>
      </c>
      <c r="BA493" s="106">
        <f t="shared" si="528"/>
        <v>235.96875</v>
      </c>
      <c r="BB493" s="104">
        <f>('Renewable Diesel'!Q502*'RD Feedstock Breakdown'!BB$3*'Feedstock Conversion Rates'!B$4)/12</f>
        <v>11.156249999999998</v>
      </c>
      <c r="BC493" s="104">
        <f>('Renewable Diesel'!Q502*'RD Feedstock Breakdown'!BC$3*'Feedstock Conversion Rates'!B$3)/12</f>
        <v>1.4017500000000001</v>
      </c>
      <c r="BD493" s="104">
        <f>('Renewable Diesel'!Q502*'RD Feedstock Breakdown'!BD$3*'Feedstock Conversion Rates'!B$6)/12</f>
        <v>0.8207500000000002</v>
      </c>
      <c r="BE493" s="106">
        <f t="shared" si="505"/>
        <v>13.378749999999998</v>
      </c>
      <c r="BF493" s="104">
        <f>('Renewable Diesel'!R502*'RD Feedstock Breakdown'!BF$3*'Feedstock Conversion Rates'!B$4)/12</f>
        <v>62.5</v>
      </c>
      <c r="BG493" s="106">
        <f t="shared" si="490"/>
        <v>62.5</v>
      </c>
      <c r="BH493" s="104">
        <f>('Renewable Diesel'!T502*'RD Feedstock Breakdown'!BH$3*'Feedstock Conversion Rates'!B$7)/12</f>
        <v>27.599999999999998</v>
      </c>
      <c r="BI493" s="106">
        <f t="shared" si="479"/>
        <v>27.599999999999998</v>
      </c>
      <c r="BJ493" s="104">
        <f>('Renewable Diesel'!W502*'RD Feedstock Breakdown'!BJ$3*'Feedstock Conversion Rates'!B$4)/12</f>
        <v>7.5</v>
      </c>
      <c r="BK493" s="104">
        <f>('Renewable Diesel'!W502*'RD Feedstock Breakdown'!BK$3*'Feedstock Conversion Rates'!B$3)/12</f>
        <v>1.335</v>
      </c>
      <c r="BL493" s="104">
        <f>('Renewable Diesel'!W502*'RD Feedstock Breakdown'!BL$3*'Feedstock Conversion Rates'!B$6)/12</f>
        <v>3.1266666666666669</v>
      </c>
      <c r="BM493" s="104">
        <f>('Renewable Diesel'!W502*'RD Feedstock Breakdown'!BM$3*'Feedstock Conversion Rates'!B$7)/12</f>
        <v>1.5333333333333332</v>
      </c>
      <c r="BN493" s="106">
        <f t="shared" si="518"/>
        <v>13.495000000000001</v>
      </c>
      <c r="BO493" s="104">
        <f>('Renewable Diesel'!P502*'Feedstock Conversion Rates'!B$4)/12</f>
        <v>31.25</v>
      </c>
      <c r="BP493" s="106">
        <f t="shared" si="512"/>
        <v>31.25</v>
      </c>
      <c r="BQ493" s="104">
        <f>('Renewable Diesel'!$S502*'RD Feedstock Breakdown'!BQ$3*'Feedstock Conversion Rates'!B$4)/12+10+15-15</f>
        <v>38.125</v>
      </c>
      <c r="BR493" s="104">
        <f>('Renewable Diesel'!$S502*'RD Feedstock Breakdown'!BR$3*'Feedstock Conversion Rates'!B$7)/12-10-15+15</f>
        <v>1.5</v>
      </c>
      <c r="BS493" s="106">
        <f t="shared" si="530"/>
        <v>39.625</v>
      </c>
      <c r="BT493" s="106"/>
      <c r="BU493" s="104">
        <f>('Renewable Diesel'!Y502*'Feedstock Conversion Rates'!B$7)/12</f>
        <v>2.6833333333333331</v>
      </c>
      <c r="BV493" s="106">
        <f t="shared" si="507"/>
        <v>2.6833333333333331</v>
      </c>
      <c r="BW493" s="104">
        <f>('Renewable Diesel'!$Z502*'RD Feedstock Breakdown'!BW$3*'Feedstock Conversion Rates'!$B$4)/12-250+180</f>
        <v>1.875</v>
      </c>
      <c r="BX493" s="104">
        <f>('Renewable Diesel'!$Z502*'RD Feedstock Breakdown'!BX$3*'Feedstock Conversion Rates'!$B$5)/12</f>
        <v>7.2354166666666666</v>
      </c>
      <c r="BY493" s="104">
        <f>('Renewable Diesel'!$Z502*'RD Feedstock Breakdown'!BY$3*'Feedstock Conversion Rates'!$B$7)/12</f>
        <v>61.716666666666661</v>
      </c>
      <c r="BZ493" s="104">
        <f>('Renewable Diesel'!$Z502*'RD Feedstock Breakdown'!BZ$3*'Feedstock Conversion Rates'!$B$3)/12+250-180</f>
        <v>85.35250000000002</v>
      </c>
      <c r="CA493" s="106">
        <f t="shared" si="534"/>
        <v>156.17958333333334</v>
      </c>
      <c r="CB493" s="104">
        <f>('Renewable Diesel'!AA502*'Feedstock Conversion Rates'!B$4)/12</f>
        <v>191.25</v>
      </c>
      <c r="CC493" s="106">
        <f t="shared" si="520"/>
        <v>191.25</v>
      </c>
      <c r="CD493" s="104">
        <f>('Renewable Diesel'!$AB502*'RD Feedstock Breakdown'!CD$3*'Feedstock Conversion Rates'!$B$6)/12-15-5</f>
        <v>12.830000000000005</v>
      </c>
      <c r="CE493" s="104">
        <f>('Renewable Diesel'!$AB502*'RD Feedstock Breakdown'!CE$3*'Feedstock Conversion Rates'!$B$4)/12+15+5</f>
        <v>31.25</v>
      </c>
      <c r="CF493" s="106">
        <f t="shared" si="516"/>
        <v>44.080000000000005</v>
      </c>
      <c r="CG493" s="104">
        <f>('Renewable Diesel'!AD502*'Feedstock Conversion Rates'!B$4)/12</f>
        <v>112.5</v>
      </c>
      <c r="CH493" s="106">
        <f t="shared" si="504"/>
        <v>112.5</v>
      </c>
      <c r="CI493" s="104">
        <f>('Renewable Diesel'!$AE502*'RD Feedstock Breakdown'!CI$3*'Feedstock Conversion Rates'!$B$5)/12</f>
        <v>0.34604166666666664</v>
      </c>
      <c r="CJ493" s="104">
        <f>('Renewable Diesel'!$AE502*'RD Feedstock Breakdown'!CJ$3*'Feedstock Conversion Rates'!$B$4)/12</f>
        <v>0.34375</v>
      </c>
      <c r="CK493" s="106">
        <f t="shared" si="513"/>
        <v>0.68979166666666658</v>
      </c>
      <c r="CL493" s="104">
        <f>(((CL$3*'Renewable Diesel'!$AF502)*'Feedstock Conversion Rates'!$B$3)/12)</f>
        <v>91.78125</v>
      </c>
      <c r="CM493" s="104">
        <f>(((CM$3*'Renewable Diesel'!$AF502)*'Feedstock Conversion Rates'!$B$6)/12)</f>
        <v>53.739583333333336</v>
      </c>
      <c r="CN493" s="104">
        <f>(((CN$3*'Renewable Diesel'!$AF502)*'Feedstock Conversion Rates'!$B$4)/12)</f>
        <v>42.96875</v>
      </c>
      <c r="CO493" s="106">
        <f t="shared" si="506"/>
        <v>188.48958333333334</v>
      </c>
      <c r="CP493" s="104">
        <f>('Renewable Diesel'!$AG502*'RD Feedstock Breakdown'!CP$3*'Feedstock Conversion Rates'!$B$3)/12</f>
        <v>6.0075000000000003</v>
      </c>
      <c r="CQ493" s="104">
        <f>('Renewable Diesel'!$AG502*'RD Feedstock Breakdown'!CQ$3*'Feedstock Conversion Rates'!$B$6)/12</f>
        <v>3.5175000000000001</v>
      </c>
      <c r="CR493" s="104">
        <f>('Renewable Diesel'!$AG502*'RD Feedstock Breakdown'!CR$3*'Feedstock Conversion Rates'!$B$4)/12</f>
        <v>2.8125</v>
      </c>
      <c r="CS493" s="106">
        <f t="shared" si="467"/>
        <v>12.3375</v>
      </c>
      <c r="CT493" s="104">
        <f>('Renewable Diesel'!AI502*'Feedstock Conversion Rates'!$B$4*'RD Feedstock Breakdown'!$CT$3)/12</f>
        <v>29.375</v>
      </c>
      <c r="CU493" s="106">
        <f t="shared" si="508"/>
        <v>29.375</v>
      </c>
      <c r="CV493" s="104">
        <f>('Renewable Diesel'!AN502*'Feedstock Conversion Rates'!$B$3*'RD Feedstock Breakdown'!$CV$3)/12</f>
        <v>0.50062499999999999</v>
      </c>
      <c r="CW493" s="106">
        <f t="shared" si="485"/>
        <v>0.50062499999999999</v>
      </c>
      <c r="CX493" s="104">
        <f>('Renewable Diesel'!AO502*'RD Feedstock Breakdown'!$CX$3*'Feedstock Conversion Rates'!$B$3)/12</f>
        <v>6.3412499999999996</v>
      </c>
      <c r="CY493" s="104">
        <f>('Renewable Diesel'!AO502*'RD Feedstock Breakdown'!$CY$3*'Feedstock Conversion Rates'!$B$6)/12</f>
        <v>7.4258333333333342</v>
      </c>
      <c r="CZ493" s="106">
        <f t="shared" si="468"/>
        <v>13.767083333333334</v>
      </c>
      <c r="DA493" s="104">
        <f>('Renewable Diesel'!$AP502*'RD Feedstock Breakdown'!DA$3*'Feedstock Conversion Rates'!$B$3)/12</f>
        <v>6.3412499999999996</v>
      </c>
      <c r="DB493" s="104">
        <f>('Renewable Diesel'!$AP502*'RD Feedstock Breakdown'!DB$3*'Feedstock Conversion Rates'!$B$8)/12</f>
        <v>7.421875</v>
      </c>
      <c r="DC493" s="106">
        <f t="shared" si="488"/>
        <v>13.763124999999999</v>
      </c>
      <c r="DD493" s="104">
        <f>('Renewable Diesel'!AQ502*$DD$3*'Feedstock Conversion Rates'!$B$14)/12</f>
        <v>3.1041666666666665</v>
      </c>
      <c r="DE493" s="106">
        <f t="shared" si="489"/>
        <v>3.1041666666666665</v>
      </c>
      <c r="DF493" s="104">
        <f>('Renewable Diesel'!AR502*'Feedstock Conversion Rates'!$B$4*$DF$3)/12</f>
        <v>75</v>
      </c>
      <c r="DG493" s="106">
        <f t="shared" si="469"/>
        <v>75</v>
      </c>
      <c r="DH493" s="104">
        <f>('Renewable Diesel'!AS502*'Feedstock Conversion Rates'!$B$4*$DH$3)/12</f>
        <v>75</v>
      </c>
      <c r="DI493" s="106">
        <f t="shared" si="478"/>
        <v>75</v>
      </c>
      <c r="DJ493" s="104">
        <f>('Renewable Diesel'!AT502*'Feedstock Conversion Rates'!$B$4*0.25)/12</f>
        <v>8.59375</v>
      </c>
      <c r="DK493" s="104">
        <f>('Renewable Diesel'!$AT502*'RD Feedstock Breakdown'!DK$3*'Feedstock Conversion Rates'!$B$3)/12*0.5</f>
        <v>9.1781249999999996</v>
      </c>
      <c r="DL493" s="104">
        <f>('Renewable Diesel'!$AT502*'RD Feedstock Breakdown'!$DL$3*'Feedstock Conversion Rates'!$B$6)/12</f>
        <v>10.747916666666669</v>
      </c>
      <c r="DM493" s="104">
        <f>('Renewable Diesel'!$AT502*'RD Feedstock Breakdown'!$DM$3*'Feedstock Conversion Rates'!$B$8)/12</f>
        <v>10.7421875</v>
      </c>
      <c r="DN493" s="106">
        <f t="shared" si="519"/>
        <v>39.26197916666667</v>
      </c>
      <c r="DP493" s="104">
        <f t="shared" si="491"/>
        <v>103.22025000000001</v>
      </c>
      <c r="DQ493" s="104">
        <f t="shared" si="492"/>
        <v>349.11776750000007</v>
      </c>
      <c r="DR493" s="104">
        <f t="shared" si="497"/>
        <v>1891.953125</v>
      </c>
      <c r="DS493" s="104">
        <f t="shared" si="510"/>
        <v>228.90125</v>
      </c>
      <c r="DT493" s="104">
        <f t="shared" si="493"/>
        <v>243.03923333333344</v>
      </c>
      <c r="DU493" s="104">
        <f t="shared" si="494"/>
        <v>402.90610000000009</v>
      </c>
      <c r="DV493" s="104">
        <f t="shared" si="498"/>
        <v>78.75</v>
      </c>
      <c r="DW493" s="104">
        <f t="shared" si="495"/>
        <v>3</v>
      </c>
      <c r="DX493" s="106">
        <f t="shared" si="499"/>
        <v>3300.8877258333337</v>
      </c>
      <c r="DY493" s="109">
        <f t="shared" si="487"/>
        <v>-5.631051180898794E-13</v>
      </c>
      <c r="EA493" s="110">
        <f t="shared" si="509"/>
        <v>3.1270451640078516E-2</v>
      </c>
      <c r="EB493" s="110">
        <f t="shared" si="522"/>
        <v>0.10576481131658687</v>
      </c>
      <c r="EC493" s="110">
        <f t="shared" si="523"/>
        <v>0.57316494293133291</v>
      </c>
      <c r="ED493" s="110">
        <f t="shared" si="524"/>
        <v>6.9345360706629972E-2</v>
      </c>
      <c r="EE493" s="110">
        <f t="shared" si="521"/>
        <v>7.3628445896921982E-2</v>
      </c>
      <c r="EF493" s="110">
        <f t="shared" si="521"/>
        <v>0.1220599225010852</v>
      </c>
      <c r="EG493" s="110">
        <f t="shared" si="521"/>
        <v>2.3857218585075921E-2</v>
      </c>
      <c r="EH493" s="111">
        <f t="shared" si="500"/>
        <v>9.0884642228860647E-4</v>
      </c>
      <c r="EI493" s="110">
        <f t="shared" si="476"/>
        <v>0.99909115357771139</v>
      </c>
      <c r="EK493" s="132">
        <f>(EA493*'Renewable Diesel'!BF502*'Feedstock Conversion Rates'!B$2)+FB493</f>
        <v>1247.5146711255406</v>
      </c>
      <c r="EL493" s="132">
        <f>(EB493*'Renewable Diesel'!BF502*'Feedstock Conversion Rates'!B$3)+FC493</f>
        <v>3976.1823874035576</v>
      </c>
      <c r="EM493" s="132">
        <f>(EC493*'Renewable Diesel'!BF502*'Feedstock Conversion Rates'!B$4)+FD493</f>
        <v>20175.925470500733</v>
      </c>
      <c r="EN493" s="132">
        <f>(ED493*'Renewable Diesel'!BF502*'Feedstock Conversion Rates'!B$5)+FE493</f>
        <v>2457.2930106316207</v>
      </c>
      <c r="EO493" s="132">
        <f>(EE493*'Renewable Diesel'!BF502*'Feedstock Conversion Rates'!B$6)+FF493</f>
        <v>3241.4628931755256</v>
      </c>
      <c r="EP493" s="132">
        <f>(EF493*'Renewable Diesel'!BF502*'Feedstock Conversion Rates'!B$7)+FG493</f>
        <v>5270.5204096733332</v>
      </c>
      <c r="EQ493" s="132">
        <f>(EG493*'Renewable Diesel'!BF502*'Feedstock Conversion Rates'!B$8)+FH493</f>
        <v>1049.7446460267961</v>
      </c>
      <c r="ER493" s="132">
        <f>(EH493*'Renewable Diesel'!BF502*'Feedstock Conversion Rates'!B$9)+FI493</f>
        <v>39.457068599864336</v>
      </c>
      <c r="ES493" s="132">
        <f t="shared" si="501"/>
        <v>37458.100557136968</v>
      </c>
      <c r="ET493" s="133">
        <f>ES493/'Renewable Diesel'!BF502</f>
        <v>25.884962726635774</v>
      </c>
      <c r="EW493" s="73">
        <f t="shared" si="531"/>
        <v>38288.099929201941</v>
      </c>
      <c r="EX493" s="73">
        <f t="shared" si="532"/>
        <v>25078.915172310986</v>
      </c>
      <c r="EY493" s="92">
        <f t="shared" ref="EY493:EZ495" si="536">EW493/$ES493</f>
        <v>1.022158074214119</v>
      </c>
      <c r="EZ493" s="92">
        <f t="shared" si="536"/>
        <v>0.66951913736407143</v>
      </c>
      <c r="FB493" s="102">
        <f>IF('Renewable Diesel'!$BG502&lt;1,0,(((('Renewable Diesel'!$BG502-1)*'Renewable Diesel'!$BF502)*'RD Feedstock Breakdown'!EA493)*'Feedstock Conversion Rates'!$B$2))</f>
        <v>862.8774691269972</v>
      </c>
      <c r="FC493" s="102">
        <f>IF('Renewable Diesel'!$BG502&lt;1,0,(((('Renewable Diesel'!$BG502-1)*'Renewable Diesel'!$BF502)*'RD Feedstock Breakdown'!EB493)*'Feedstock Conversion Rates'!$B$3))</f>
        <v>2750.2347464456047</v>
      </c>
      <c r="FD493" s="102">
        <f>IF('Renewable Diesel'!$BG502&lt;1,0,(((('Renewable Diesel'!$BG502-1)*'Renewable Diesel'!$BF502)*'RD Feedstock Breakdown'!EC493)*'Feedstock Conversion Rates'!$B$4))</f>
        <v>13955.227870445335</v>
      </c>
      <c r="FE493" s="102">
        <f>IF('Renewable Diesel'!$BG502&lt;1,0,(((('Renewable Diesel'!$BG502-1)*'Renewable Diesel'!$BF502)*'RD Feedstock Breakdown'!ED493)*'Feedstock Conversion Rates'!$B$5))</f>
        <v>1699.6535776242558</v>
      </c>
      <c r="FF493" s="102">
        <f>IF('Renewable Diesel'!$BG502&lt;1,0,(((('Renewable Diesel'!$BG502-1)*'Renewable Diesel'!$BF502)*'RD Feedstock Breakdown'!EE493)*'Feedstock Conversion Rates'!$B$6))</f>
        <v>2242.0460153858212</v>
      </c>
      <c r="FG493" s="102">
        <f>IF('Renewable Diesel'!$BG502&lt;1,0,(((('Renewable Diesel'!$BG502-1)*'Renewable Diesel'!$BF502)*'RD Feedstock Breakdown'!EF493)*'Feedstock Conversion Rates'!$B$7))</f>
        <v>3645.4988605287931</v>
      </c>
      <c r="FH493" s="102">
        <f>IF('Renewable Diesel'!$BG502&lt;1,0,(((('Renewable Diesel'!$BG502-1)*'Renewable Diesel'!$BF502)*'RD Feedstock Breakdown'!EG493)*'Feedstock Conversion Rates'!$B$8))</f>
        <v>726.08444963294892</v>
      </c>
      <c r="FI493" s="102">
        <f>IF('Renewable Diesel'!$BG502&lt;1,0,(((('Renewable Diesel'!$BG502-1)*'Renewable Diesel'!$BF502)*'RD Feedstock Breakdown'!EH493)*'Feedstock Conversion Rates'!$B$9))</f>
        <v>27.291555186203535</v>
      </c>
      <c r="FJ493" s="102">
        <f t="shared" si="533"/>
        <v>25908.914544375959</v>
      </c>
      <c r="GD493" s="91">
        <f>'Renewable Diesel'!BB502*0.32</f>
        <v>0</v>
      </c>
      <c r="GE493" s="91">
        <f>'Renewable Diesel'!BC502</f>
        <v>809.49851953192785</v>
      </c>
      <c r="GF493" s="91">
        <f>'Renewable Diesel'!BD502</f>
        <v>0</v>
      </c>
      <c r="GG493" s="91">
        <f t="shared" si="517"/>
        <v>809.49851953192785</v>
      </c>
      <c r="GH493" s="124">
        <v>1</v>
      </c>
      <c r="GI493" s="102">
        <f>$GG493*EA493*'Feedstock Conversion Rates'!$B$2</f>
        <v>215.16376661577559</v>
      </c>
      <c r="GJ493" s="102">
        <f>$GG493*EB493*'Feedstock Conversion Rates'!$B$3</f>
        <v>685.78783001659951</v>
      </c>
      <c r="GK493" s="102">
        <f>$GG493*EC493*'Feedstock Conversion Rates'!$B$4</f>
        <v>3479.8212956288694</v>
      </c>
      <c r="GL493" s="102">
        <f>$GG493*ED493*'Feedstock Conversion Rates'!$B$5</f>
        <v>423.81899955460483</v>
      </c>
      <c r="GM493" s="102">
        <f>$GG493*EE493*'Feedstock Conversion Rates'!$B$6</f>
        <v>559.06786636157312</v>
      </c>
      <c r="GN493" s="102">
        <f>$GG493*EF493*'Feedstock Conversion Rates'!$B$7</f>
        <v>909.02740434105488</v>
      </c>
      <c r="GO493" s="102">
        <f>$GG493*EG493*'Feedstock Conversion Rates'!$B$8</f>
        <v>181.05359179470517</v>
      </c>
      <c r="GP493" s="102">
        <f>$GG493*EH493*'Feedstock Conversion Rates'!B$9</f>
        <v>6.805315958251775</v>
      </c>
      <c r="GQ493" s="102">
        <f t="shared" si="502"/>
        <v>6460.5460702714336</v>
      </c>
      <c r="GT493" s="103">
        <f t="shared" si="484"/>
        <v>3.3304269372191886E-2</v>
      </c>
      <c r="GU493" s="103">
        <f t="shared" si="484"/>
        <v>0.1061501338365639</v>
      </c>
      <c r="GV493" s="103">
        <f t="shared" si="484"/>
        <v>0.53862649654979833</v>
      </c>
      <c r="GW493" s="103">
        <f t="shared" si="484"/>
        <v>6.5601110950176775E-2</v>
      </c>
      <c r="GX493" s="103">
        <f t="shared" si="484"/>
        <v>8.653569841938831E-2</v>
      </c>
      <c r="GY493" s="103">
        <f t="shared" si="484"/>
        <v>0.14070442257566981</v>
      </c>
      <c r="GZ493" s="103">
        <f t="shared" si="484"/>
        <v>2.802450285554552E-2</v>
      </c>
      <c r="HA493" s="103">
        <f t="shared" si="535"/>
        <v>1.053365440665584E-3</v>
      </c>
    </row>
    <row r="494" spans="1:209" x14ac:dyDescent="0.25">
      <c r="A494" s="96">
        <v>55458</v>
      </c>
      <c r="B494" s="104">
        <f t="shared" si="473"/>
        <v>44.25</v>
      </c>
      <c r="C494" s="104">
        <f>50-1</f>
        <v>49</v>
      </c>
      <c r="D494" s="104">
        <f t="shared" si="474"/>
        <v>2</v>
      </c>
      <c r="E494" s="104">
        <f>('Renewable Diesel'!B503*E$3*'Feedstock Conversion Rates'!$B$2)/12+26+13-100+27.5+39</f>
        <v>95.43</v>
      </c>
      <c r="F494" s="104">
        <f>('Renewable Diesel'!B503*'RD Feedstock Breakdown'!F$3*'Feedstock Conversion Rates'!B$8)/12+77+23-10-12-115.75+24+8</f>
        <v>48.15625</v>
      </c>
      <c r="G494" s="104">
        <f>('Renewable Diesel'!B503*'RD Feedstock Breakdown'!G$3*'Feedstock Conversion Rates'!B$7)/12+116.75-39-57.5-145-31.5+32+70-40+10+60</f>
        <v>151.90700000000004</v>
      </c>
      <c r="H494" s="104">
        <f>('Renewable Diesel'!B503*'RD Feedstock Breakdown'!H$3*'Feedstock Conversion Rates'!B$3)/12+67+10+12+3-235+20+47-20+25</f>
        <v>105.40022499999998</v>
      </c>
      <c r="I494" s="106">
        <f t="shared" si="515"/>
        <v>496.14347500000002</v>
      </c>
      <c r="J494" s="104">
        <f t="shared" si="483"/>
        <v>4</v>
      </c>
      <c r="K494" s="104"/>
      <c r="L494" s="104">
        <v>1</v>
      </c>
      <c r="M494" s="104">
        <f>('Renewable Diesel'!C503*'RD Feedstock Breakdown'!M$3*'Feedstock Conversion Rates'!B$2)/12</f>
        <v>7.7902500000000003</v>
      </c>
      <c r="N494" s="104">
        <f>('Renewable Diesel'!C503*'RD Feedstock Breakdown'!N$3*'Feedstock Conversion Rates'!B$8)/12</f>
        <v>3.671875</v>
      </c>
      <c r="O494" s="104">
        <f>('Renewable Diesel'!C503*'RD Feedstock Breakdown'!O$3*'Feedstock Conversion Rates'!B$7)/12</f>
        <v>11.9991</v>
      </c>
      <c r="P494" s="104">
        <f>('Renewable Diesel'!C503*'RD Feedstock Breakdown'!P$3*'Feedstock Conversion Rates'!B$3)/12</f>
        <v>10.4470425</v>
      </c>
      <c r="Q494" s="106">
        <f t="shared" si="525"/>
        <v>38.908267500000001</v>
      </c>
      <c r="R494" s="104">
        <f>('Renewable Diesel'!D503*'RD Feedstock Breakdown'!R$3*'Feedstock Conversion Rates'!B$7)/12</f>
        <v>2.2999999999999998</v>
      </c>
      <c r="S494" s="106">
        <f t="shared" si="481"/>
        <v>2.2999999999999998</v>
      </c>
      <c r="T494" s="104">
        <f t="shared" si="526"/>
        <v>0.82499999999999929</v>
      </c>
      <c r="U494" s="104"/>
      <c r="V494" s="104">
        <f>('Renewable Diesel'!E503*'RD Feedstock Breakdown'!V$3*'Feedstock Conversion Rates'!B$6)/12-20+25</f>
        <v>49.250150000000012</v>
      </c>
      <c r="W494" s="104">
        <f>('Renewable Diesel'!E503*'RD Feedstock Breakdown'!W$3*'Feedstock Conversion Rates'!B$8)/12-6</f>
        <v>16.1796875</v>
      </c>
      <c r="X494" s="106">
        <f t="shared" si="503"/>
        <v>66.254837500000008</v>
      </c>
      <c r="Y494" s="104">
        <f t="shared" si="527"/>
        <v>98</v>
      </c>
      <c r="Z494" s="104">
        <f>('Renewable Diesel'!F503*'RD Feedstock Breakdown'!Z$3*'Feedstock Conversion Rates'!B$6)/12-142+15+5+20+5+15</f>
        <v>77.460000000000008</v>
      </c>
      <c r="AA494" s="104">
        <f>('Renewable Diesel'!F503*'RD Feedstock Breakdown'!AA$3*'Feedstock Conversion Rates'!B$7)/12+24</f>
        <v>128.26666666666665</v>
      </c>
      <c r="AB494" s="106">
        <f t="shared" si="471"/>
        <v>303.72666666666669</v>
      </c>
      <c r="AC494" s="104">
        <f>('Renewable Diesel'!G503*'RD Feedstock Breakdown'!AC$3*'Feedstock Conversion Rates'!B$5)/12</f>
        <v>11.796875</v>
      </c>
      <c r="AD494" s="104">
        <f>('Renewable Diesel'!G503*'RD Feedstock Breakdown'!AD$3*'Feedstock Conversion Rates'!B$4)/12</f>
        <v>5.859375</v>
      </c>
      <c r="AE494" s="104">
        <f>('Renewable Diesel'!G503*'RD Feedstock Breakdown'!AE$3*'Feedstock Conversion Rates'!B$6)/12</f>
        <v>7.3281250000000009</v>
      </c>
      <c r="AF494" s="106">
        <f t="shared" si="511"/>
        <v>24.984375</v>
      </c>
      <c r="AG494" s="104">
        <f t="shared" si="529"/>
        <v>148</v>
      </c>
      <c r="AH494" s="104"/>
      <c r="AI494" s="104">
        <f>('Renewable Diesel'!H503*'RD Feedstock Breakdown'!AI$3*'Feedstock Conversion Rates'!B$6)/12-130-20+51-49</f>
        <v>0.51666666666667993</v>
      </c>
      <c r="AJ494" s="106">
        <f t="shared" si="480"/>
        <v>148.51666666666668</v>
      </c>
      <c r="AK494" s="104">
        <f>('Renewable Diesel'!J503*'RD Feedstock Breakdown'!AK$3*'Feedstock Conversion Rates'!B$4)/12</f>
        <v>95.8125</v>
      </c>
      <c r="AL494" s="106">
        <f t="shared" si="482"/>
        <v>95.8125</v>
      </c>
      <c r="AM494" s="104">
        <f>('Renewable Diesel'!K503*'RD Feedstock Breakdown'!AM$3*'Feedstock Conversion Rates'!B$4)/12+5+15-10+10</f>
        <v>78.59375</v>
      </c>
      <c r="AN494" s="104">
        <f>('Renewable Diesel'!K503*'RD Feedstock Breakdown'!AN$3*'Feedstock Conversion Rates'!B$6)/12-5-15+10-10</f>
        <v>4.4270833333333321</v>
      </c>
      <c r="AO494" s="106">
        <f t="shared" si="496"/>
        <v>83.020833333333329</v>
      </c>
      <c r="AP494" s="104">
        <f>('Renewable Diesel'!L503*'RD Feedstock Breakdown'!AP$3*'Feedstock Conversion Rates'!B$4)/12+15-10+15</f>
        <v>78.59375</v>
      </c>
      <c r="AQ494" s="104">
        <f>('Renewable Diesel'!L503*'RD Feedstock Breakdown'!AQ$3*'Feedstock Conversion Rates'!B$6)/12-15+10-15</f>
        <v>4.4270833333333321</v>
      </c>
      <c r="AR494" s="106">
        <f t="shared" si="486"/>
        <v>83.020833333333329</v>
      </c>
      <c r="AS494" s="104">
        <f>('Renewable Diesel'!M503*'RD Feedstock Breakdown'!AS$3*'Feedstock Conversion Rates'!B$4)/12</f>
        <v>456.25</v>
      </c>
      <c r="AT494" s="104">
        <f>('Renewable Diesel'!M503*'RD Feedstock Breakdown'!AT$3*'Feedstock Conversion Rates'!B$5)/12</f>
        <v>0</v>
      </c>
      <c r="AU494" s="106">
        <f t="shared" si="514"/>
        <v>456.25</v>
      </c>
      <c r="AV494" s="104">
        <f>'Renewable Diesel'!N503*'RD Feedstock Breakdown'!$AV$3*'Feedstock Conversion Rates'!$B$4/12-15-10+25+25-22+25</f>
        <v>106.74999999999999</v>
      </c>
      <c r="AW494" s="104">
        <f>'Renewable Diesel'!N503*'RD Feedstock Breakdown'!$AW$3*'Feedstock Conversion Rates'!$B$7/12+15+10-25-25+22-25</f>
        <v>13.400000000000006</v>
      </c>
      <c r="AX494" s="106">
        <f t="shared" si="475"/>
        <v>120.14999999999999</v>
      </c>
      <c r="AY494" s="104">
        <f>('Renewable Diesel'!O503*'RD Feedstock Breakdown'!AY$3*'Feedstock Conversion Rates'!B$4)/12</f>
        <v>210.9375</v>
      </c>
      <c r="AZ494" s="104">
        <f>('Renewable Diesel'!O503*'RD Feedstock Breakdown'!AZ$3*'Feedstock Conversion Rates'!B$3)/12</f>
        <v>25.03125</v>
      </c>
      <c r="BA494" s="106">
        <f t="shared" si="528"/>
        <v>235.96875</v>
      </c>
      <c r="BB494" s="104">
        <f>('Renewable Diesel'!Q503*'RD Feedstock Breakdown'!BB$3*'Feedstock Conversion Rates'!B$4)/12</f>
        <v>11.156249999999998</v>
      </c>
      <c r="BC494" s="104">
        <f>('Renewable Diesel'!Q503*'RD Feedstock Breakdown'!BC$3*'Feedstock Conversion Rates'!B$3)/12</f>
        <v>1.4017500000000001</v>
      </c>
      <c r="BD494" s="104">
        <f>('Renewable Diesel'!Q503*'RD Feedstock Breakdown'!BD$3*'Feedstock Conversion Rates'!B$6)/12</f>
        <v>0.8207500000000002</v>
      </c>
      <c r="BE494" s="106">
        <f t="shared" si="505"/>
        <v>13.378749999999998</v>
      </c>
      <c r="BF494" s="104">
        <f>('Renewable Diesel'!R503*'RD Feedstock Breakdown'!BF$3*'Feedstock Conversion Rates'!B$4)/12</f>
        <v>62.5</v>
      </c>
      <c r="BG494" s="106">
        <f t="shared" si="490"/>
        <v>62.5</v>
      </c>
      <c r="BH494" s="104">
        <f>('Renewable Diesel'!T503*'RD Feedstock Breakdown'!BH$3*'Feedstock Conversion Rates'!B$7)/12</f>
        <v>27.599999999999998</v>
      </c>
      <c r="BI494" s="106">
        <f t="shared" si="479"/>
        <v>27.599999999999998</v>
      </c>
      <c r="BJ494" s="104">
        <f>('Renewable Diesel'!W503*'RD Feedstock Breakdown'!BJ$3*'Feedstock Conversion Rates'!B$4)/12</f>
        <v>7.5</v>
      </c>
      <c r="BK494" s="104">
        <f>('Renewable Diesel'!W503*'RD Feedstock Breakdown'!BK$3*'Feedstock Conversion Rates'!B$3)/12</f>
        <v>1.335</v>
      </c>
      <c r="BL494" s="104">
        <f>('Renewable Diesel'!W503*'RD Feedstock Breakdown'!BL$3*'Feedstock Conversion Rates'!B$6)/12</f>
        <v>3.1266666666666669</v>
      </c>
      <c r="BM494" s="104">
        <f>('Renewable Diesel'!W503*'RD Feedstock Breakdown'!BM$3*'Feedstock Conversion Rates'!B$7)/12</f>
        <v>1.5333333333333332</v>
      </c>
      <c r="BN494" s="106">
        <f t="shared" si="518"/>
        <v>13.495000000000001</v>
      </c>
      <c r="BO494" s="104">
        <f>('Renewable Diesel'!P503*'Feedstock Conversion Rates'!B$4)/12</f>
        <v>31.25</v>
      </c>
      <c r="BP494" s="106">
        <f t="shared" si="512"/>
        <v>31.25</v>
      </c>
      <c r="BQ494" s="104">
        <f>('Renewable Diesel'!$S503*'RD Feedstock Breakdown'!BQ$3*'Feedstock Conversion Rates'!B$4)/12+10+15-15</f>
        <v>38.125</v>
      </c>
      <c r="BR494" s="104">
        <f>('Renewable Diesel'!$S503*'RD Feedstock Breakdown'!BR$3*'Feedstock Conversion Rates'!B$7)/12-10-15+15</f>
        <v>1.5</v>
      </c>
      <c r="BS494" s="106">
        <f t="shared" si="530"/>
        <v>39.625</v>
      </c>
      <c r="BT494" s="106"/>
      <c r="BU494" s="104">
        <f>('Renewable Diesel'!Y503*'Feedstock Conversion Rates'!B$7)/12</f>
        <v>2.6833333333333331</v>
      </c>
      <c r="BV494" s="106">
        <f t="shared" si="507"/>
        <v>2.6833333333333331</v>
      </c>
      <c r="BW494" s="104">
        <f>('Renewable Diesel'!$Z503*'RD Feedstock Breakdown'!BW$3*'Feedstock Conversion Rates'!$B$4)/12-250+180</f>
        <v>1.875</v>
      </c>
      <c r="BX494" s="104">
        <f>('Renewable Diesel'!$Z503*'RD Feedstock Breakdown'!BX$3*'Feedstock Conversion Rates'!$B$5)/12</f>
        <v>7.2354166666666666</v>
      </c>
      <c r="BY494" s="104">
        <f>('Renewable Diesel'!$Z503*'RD Feedstock Breakdown'!BY$3*'Feedstock Conversion Rates'!$B$7)/12</f>
        <v>61.716666666666661</v>
      </c>
      <c r="BZ494" s="104">
        <f>('Renewable Diesel'!$Z503*'RD Feedstock Breakdown'!BZ$3*'Feedstock Conversion Rates'!$B$3)/12+250-180</f>
        <v>85.35250000000002</v>
      </c>
      <c r="CA494" s="106">
        <f t="shared" si="534"/>
        <v>156.17958333333334</v>
      </c>
      <c r="CB494" s="104">
        <f>('Renewable Diesel'!AA503*'Feedstock Conversion Rates'!B$4)/12</f>
        <v>191.25</v>
      </c>
      <c r="CC494" s="106">
        <f t="shared" si="520"/>
        <v>191.25</v>
      </c>
      <c r="CD494" s="104">
        <f>('Renewable Diesel'!$AB503*'RD Feedstock Breakdown'!CD$3*'Feedstock Conversion Rates'!$B$6)/12-15-5</f>
        <v>12.830000000000005</v>
      </c>
      <c r="CE494" s="104">
        <f>('Renewable Diesel'!$AB503*'RD Feedstock Breakdown'!CE$3*'Feedstock Conversion Rates'!$B$4)/12+15+5</f>
        <v>31.25</v>
      </c>
      <c r="CF494" s="106">
        <f t="shared" si="516"/>
        <v>44.080000000000005</v>
      </c>
      <c r="CG494" s="104">
        <f>('Renewable Diesel'!AD503*'Feedstock Conversion Rates'!B$4)/12</f>
        <v>112.5</v>
      </c>
      <c r="CH494" s="106">
        <f t="shared" si="504"/>
        <v>112.5</v>
      </c>
      <c r="CI494" s="104">
        <f>('Renewable Diesel'!$AE503*'RD Feedstock Breakdown'!CI$3*'Feedstock Conversion Rates'!$B$5)/12</f>
        <v>0.34604166666666664</v>
      </c>
      <c r="CJ494" s="104">
        <f>('Renewable Diesel'!$AE503*'RD Feedstock Breakdown'!CJ$3*'Feedstock Conversion Rates'!$B$4)/12</f>
        <v>0.34375</v>
      </c>
      <c r="CK494" s="106">
        <f t="shared" si="513"/>
        <v>0.68979166666666658</v>
      </c>
      <c r="CL494" s="104">
        <f>(((CL$3*'Renewable Diesel'!$AF503)*'Feedstock Conversion Rates'!$B$3)/12)</f>
        <v>91.78125</v>
      </c>
      <c r="CM494" s="104">
        <f>(((CM$3*'Renewable Diesel'!$AF503)*'Feedstock Conversion Rates'!$B$6)/12)</f>
        <v>53.739583333333336</v>
      </c>
      <c r="CN494" s="104">
        <f>(((CN$3*'Renewable Diesel'!$AF503)*'Feedstock Conversion Rates'!$B$4)/12)</f>
        <v>42.96875</v>
      </c>
      <c r="CO494" s="106">
        <f t="shared" si="506"/>
        <v>188.48958333333334</v>
      </c>
      <c r="CP494" s="104">
        <f>('Renewable Diesel'!$AG503*'RD Feedstock Breakdown'!CP$3*'Feedstock Conversion Rates'!$B$3)/12</f>
        <v>6.0075000000000003</v>
      </c>
      <c r="CQ494" s="104">
        <f>('Renewable Diesel'!$AG503*'RD Feedstock Breakdown'!CQ$3*'Feedstock Conversion Rates'!$B$6)/12</f>
        <v>3.5175000000000001</v>
      </c>
      <c r="CR494" s="104">
        <f>('Renewable Diesel'!$AG503*'RD Feedstock Breakdown'!CR$3*'Feedstock Conversion Rates'!$B$4)/12</f>
        <v>2.8125</v>
      </c>
      <c r="CS494" s="106">
        <f t="shared" si="467"/>
        <v>12.3375</v>
      </c>
      <c r="CT494" s="104">
        <f>('Renewable Diesel'!AI503*'Feedstock Conversion Rates'!$B$4*'RD Feedstock Breakdown'!$CT$3)/12</f>
        <v>29.375</v>
      </c>
      <c r="CU494" s="106">
        <f t="shared" si="508"/>
        <v>29.375</v>
      </c>
      <c r="CV494" s="104">
        <f>('Renewable Diesel'!AN503*'Feedstock Conversion Rates'!$B$3*'RD Feedstock Breakdown'!$CV$3)/12</f>
        <v>0.50062499999999999</v>
      </c>
      <c r="CW494" s="106">
        <f t="shared" si="485"/>
        <v>0.50062499999999999</v>
      </c>
      <c r="CX494" s="104">
        <f>('Renewable Diesel'!AO503*'RD Feedstock Breakdown'!$CX$3*'Feedstock Conversion Rates'!$B$3)/12</f>
        <v>6.3412499999999996</v>
      </c>
      <c r="CY494" s="104">
        <f>('Renewable Diesel'!AO503*'RD Feedstock Breakdown'!$CY$3*'Feedstock Conversion Rates'!$B$6)/12</f>
        <v>7.4258333333333342</v>
      </c>
      <c r="CZ494" s="106">
        <f t="shared" si="468"/>
        <v>13.767083333333334</v>
      </c>
      <c r="DA494" s="104">
        <f>('Renewable Diesel'!$AP503*'RD Feedstock Breakdown'!DA$3*'Feedstock Conversion Rates'!$B$3)/12</f>
        <v>6.3412499999999996</v>
      </c>
      <c r="DB494" s="104">
        <f>('Renewable Diesel'!$AP503*'RD Feedstock Breakdown'!DB$3*'Feedstock Conversion Rates'!$B$8)/12</f>
        <v>7.421875</v>
      </c>
      <c r="DC494" s="106">
        <f t="shared" si="488"/>
        <v>13.763124999999999</v>
      </c>
      <c r="DD494" s="104">
        <f>('Renewable Diesel'!AQ503*$DD$3*'Feedstock Conversion Rates'!$B$14)/12</f>
        <v>3.1041666666666665</v>
      </c>
      <c r="DE494" s="106">
        <f t="shared" si="489"/>
        <v>3.1041666666666665</v>
      </c>
      <c r="DF494" s="104">
        <f>('Renewable Diesel'!AR503*'Feedstock Conversion Rates'!$B$4*$DF$3)/12</f>
        <v>75</v>
      </c>
      <c r="DG494" s="106">
        <f t="shared" si="469"/>
        <v>75</v>
      </c>
      <c r="DH494" s="104">
        <f>('Renewable Diesel'!AS503*'Feedstock Conversion Rates'!$B$4*$DH$3)/12</f>
        <v>75</v>
      </c>
      <c r="DI494" s="106">
        <f t="shared" si="478"/>
        <v>75</v>
      </c>
      <c r="DJ494" s="104">
        <f>('Renewable Diesel'!AT503*'Feedstock Conversion Rates'!$B$4*0.25)/12</f>
        <v>8.59375</v>
      </c>
      <c r="DK494" s="104">
        <f>('Renewable Diesel'!$AT503*'RD Feedstock Breakdown'!DK$3*'Feedstock Conversion Rates'!$B$3)/12*0.5</f>
        <v>9.1781249999999996</v>
      </c>
      <c r="DL494" s="104">
        <f>('Renewable Diesel'!$AT503*'RD Feedstock Breakdown'!$DL$3*'Feedstock Conversion Rates'!$B$6)/12</f>
        <v>10.747916666666669</v>
      </c>
      <c r="DM494" s="104">
        <f>('Renewable Diesel'!$AT503*'RD Feedstock Breakdown'!$DM$3*'Feedstock Conversion Rates'!$B$8)/12</f>
        <v>10.7421875</v>
      </c>
      <c r="DN494" s="106">
        <f t="shared" si="519"/>
        <v>39.26197916666667</v>
      </c>
      <c r="DP494" s="104">
        <f t="shared" si="491"/>
        <v>103.22025000000001</v>
      </c>
      <c r="DQ494" s="104">
        <f t="shared" si="492"/>
        <v>349.11776750000007</v>
      </c>
      <c r="DR494" s="104">
        <f t="shared" si="497"/>
        <v>1891.953125</v>
      </c>
      <c r="DS494" s="104">
        <f t="shared" si="510"/>
        <v>228.90125</v>
      </c>
      <c r="DT494" s="104">
        <f t="shared" si="493"/>
        <v>243.03923333333344</v>
      </c>
      <c r="DU494" s="104">
        <f t="shared" si="494"/>
        <v>402.90610000000009</v>
      </c>
      <c r="DV494" s="104">
        <f t="shared" si="498"/>
        <v>78.75</v>
      </c>
      <c r="DW494" s="104">
        <f t="shared" si="495"/>
        <v>3</v>
      </c>
      <c r="DX494" s="106">
        <f t="shared" si="499"/>
        <v>3300.8877258333337</v>
      </c>
      <c r="DY494" s="109">
        <f t="shared" si="487"/>
        <v>-5.631051180898794E-13</v>
      </c>
      <c r="EA494" s="110">
        <f t="shared" si="509"/>
        <v>3.1270451640078516E-2</v>
      </c>
      <c r="EB494" s="110">
        <f t="shared" si="522"/>
        <v>0.10576481131658687</v>
      </c>
      <c r="EC494" s="110">
        <f t="shared" si="523"/>
        <v>0.57316494293133291</v>
      </c>
      <c r="ED494" s="110">
        <f t="shared" si="524"/>
        <v>6.9345360706629972E-2</v>
      </c>
      <c r="EE494" s="110">
        <f t="shared" si="521"/>
        <v>7.3628445896921982E-2</v>
      </c>
      <c r="EF494" s="110">
        <f t="shared" si="521"/>
        <v>0.1220599225010852</v>
      </c>
      <c r="EG494" s="110">
        <f t="shared" si="521"/>
        <v>2.3857218585075921E-2</v>
      </c>
      <c r="EH494" s="111">
        <f t="shared" si="500"/>
        <v>9.0884642228860647E-4</v>
      </c>
      <c r="EI494" s="110">
        <f t="shared" si="476"/>
        <v>0.99909115357771139</v>
      </c>
      <c r="EK494" s="132">
        <f>(EA494*'Renewable Diesel'!BF503*'Feedstock Conversion Rates'!B$2)+FB494</f>
        <v>1254.4999110935764</v>
      </c>
      <c r="EL494" s="132">
        <f>(EB494*'Renewable Diesel'!BF503*'Feedstock Conversion Rates'!B$3)+FC494</f>
        <v>3998.4463244742392</v>
      </c>
      <c r="EM494" s="132">
        <f>(EC494*'Renewable Diesel'!BF503*'Feedstock Conversion Rates'!B$4)+FD494</f>
        <v>20288.897032479636</v>
      </c>
      <c r="EN494" s="132">
        <f>(ED494*'Renewable Diesel'!BF503*'Feedstock Conversion Rates'!B$5)+FE494</f>
        <v>2471.0521925862122</v>
      </c>
      <c r="EO494" s="132">
        <f>(EE494*'Renewable Diesel'!BF503*'Feedstock Conversion Rates'!B$6)+FF494</f>
        <v>3259.6128970836048</v>
      </c>
      <c r="EP494" s="132">
        <f>(EF494*'Renewable Diesel'!BF503*'Feedstock Conversion Rates'!B$7)+FG494</f>
        <v>5300.0317658682725</v>
      </c>
      <c r="EQ494" s="132">
        <f>(EG494*'Renewable Diesel'!BF503*'Feedstock Conversion Rates'!B$8)+FH494</f>
        <v>1055.622507367731</v>
      </c>
      <c r="ER494" s="132">
        <f>(EH494*'Renewable Diesel'!BF503*'Feedstock Conversion Rates'!B$9)+FI494</f>
        <v>39.678001546774397</v>
      </c>
      <c r="ES494" s="132">
        <f t="shared" si="501"/>
        <v>37667.840632500047</v>
      </c>
      <c r="ET494" s="133">
        <f>ES494/'Renewable Diesel'!BF503</f>
        <v>25.535232174495572</v>
      </c>
      <c r="EW494" s="73">
        <f t="shared" si="531"/>
        <v>38406.376976161453</v>
      </c>
      <c r="EX494" s="73">
        <f t="shared" si="532"/>
        <v>25156.387285918452</v>
      </c>
      <c r="EY494" s="92">
        <f t="shared" si="536"/>
        <v>1.0196065484843373</v>
      </c>
      <c r="EZ494" s="92">
        <f t="shared" si="536"/>
        <v>0.66784787403537449</v>
      </c>
      <c r="FB494" s="102">
        <f>IF('Renewable Diesel'!$BG503&lt;1,0,(((('Renewable Diesel'!$BG503-1)*'Renewable Diesel'!$BF503)*'RD Feedstock Breakdown'!EA494)*'Feedstock Conversion Rates'!$B$2))</f>
        <v>862.41151193186454</v>
      </c>
      <c r="FC494" s="102">
        <f>IF('Renewable Diesel'!$BG503&lt;1,0,(((('Renewable Diesel'!$BG503-1)*'Renewable Diesel'!$BF503)*'RD Feedstock Breakdown'!EB494)*'Feedstock Conversion Rates'!$B$3))</f>
        <v>2748.7496089675028</v>
      </c>
      <c r="FD494" s="102">
        <f>IF('Renewable Diesel'!$BG503&lt;1,0,(((('Renewable Diesel'!$BG503-1)*'Renewable Diesel'!$BF503)*'RD Feedstock Breakdown'!EC494)*'Feedstock Conversion Rates'!$B$4))</f>
        <v>13947.691993025186</v>
      </c>
      <c r="FE494" s="102">
        <f>IF('Renewable Diesel'!$BG503&lt;1,0,(((('Renewable Diesel'!$BG503-1)*'Renewable Diesel'!$BF503)*'RD Feedstock Breakdown'!ED494)*'Feedstock Conversion Rates'!$B$5))</f>
        <v>1698.7357580704224</v>
      </c>
      <c r="FF494" s="102">
        <f>IF('Renewable Diesel'!$BG503&lt;1,0,(((('Renewable Diesel'!$BG503-1)*'Renewable Diesel'!$BF503)*'RD Feedstock Breakdown'!EE494)*'Feedstock Conversion Rates'!$B$6))</f>
        <v>2240.835301802415</v>
      </c>
      <c r="FG494" s="102">
        <f>IF('Renewable Diesel'!$BG503&lt;1,0,(((('Renewable Diesel'!$BG503-1)*'Renewable Diesel'!$BF503)*'RD Feedstock Breakdown'!EF494)*'Feedstock Conversion Rates'!$B$7))</f>
        <v>3643.5302769411023</v>
      </c>
      <c r="FH494" s="102">
        <f>IF('Renewable Diesel'!$BG503&lt;1,0,(((('Renewable Diesel'!$BG503-1)*'Renewable Diesel'!$BF503)*'RD Feedstock Breakdown'!EG494)*'Feedstock Conversion Rates'!$B$8))</f>
        <v>725.69236120129392</v>
      </c>
      <c r="FI494" s="102">
        <f>IF('Renewable Diesel'!$BG503&lt;1,0,(((('Renewable Diesel'!$BG503-1)*'Renewable Diesel'!$BF503)*'RD Feedstock Breakdown'!EH494)*'Feedstock Conversion Rates'!$B$9))</f>
        <v>27.276817640074029</v>
      </c>
      <c r="FJ494" s="102">
        <f t="shared" si="533"/>
        <v>25894.923629579862</v>
      </c>
      <c r="GD494" s="91">
        <f>'Renewable Diesel'!BB503*0.32</f>
        <v>0</v>
      </c>
      <c r="GE494" s="91">
        <f>'Renewable Diesel'!BC503</f>
        <v>700.4617814759705</v>
      </c>
      <c r="GF494" s="91">
        <f>'Renewable Diesel'!BD503</f>
        <v>0</v>
      </c>
      <c r="GG494" s="91">
        <f t="shared" si="517"/>
        <v>700.4617814759705</v>
      </c>
      <c r="GH494" s="124">
        <v>1</v>
      </c>
      <c r="GI494" s="102">
        <f>$GG494*EA494*'Feedstock Conversion Rates'!$B$2</f>
        <v>186.18192823862444</v>
      </c>
      <c r="GJ494" s="102">
        <f>$GG494*EB494*'Feedstock Conversion Rates'!$B$3</f>
        <v>593.41450729981341</v>
      </c>
      <c r="GK494" s="102">
        <f>$GG494*EC494*'Feedstock Conversion Rates'!$B$4</f>
        <v>3011.1010275394078</v>
      </c>
      <c r="GL494" s="102">
        <f>$GG494*ED494*'Feedstock Conversion Rates'!$B$5</f>
        <v>366.73200047733144</v>
      </c>
      <c r="GM494" s="102">
        <f>$GG494*EE494*'Feedstock Conversion Rates'!$B$6</f>
        <v>483.76329812688653</v>
      </c>
      <c r="GN494" s="102">
        <f>$GG494*EF494*'Feedstock Conversion Rates'!$B$7</f>
        <v>786.58445900974709</v>
      </c>
      <c r="GO494" s="102">
        <f>$GG494*EG494*'Feedstock Conversion Rates'!$B$8</f>
        <v>156.66627966716166</v>
      </c>
      <c r="GP494" s="102">
        <f>$GG494*EH494*'Feedstock Conversion Rates'!B$9</f>
        <v>5.8886627024101408</v>
      </c>
      <c r="GQ494" s="102">
        <f t="shared" si="502"/>
        <v>5590.3321630613827</v>
      </c>
      <c r="GT494" s="103">
        <f t="shared" si="484"/>
        <v>3.3304269372191886E-2</v>
      </c>
      <c r="GU494" s="103">
        <f t="shared" si="484"/>
        <v>0.10615013383656387</v>
      </c>
      <c r="GV494" s="103">
        <f t="shared" si="484"/>
        <v>0.53862649654979822</v>
      </c>
      <c r="GW494" s="103">
        <f t="shared" si="484"/>
        <v>6.5601110950176761E-2</v>
      </c>
      <c r="GX494" s="103">
        <f t="shared" si="484"/>
        <v>8.6535698419388296E-2</v>
      </c>
      <c r="GY494" s="103">
        <f t="shared" si="484"/>
        <v>0.14070442257566981</v>
      </c>
      <c r="GZ494" s="103">
        <f t="shared" si="484"/>
        <v>2.8024502855545513E-2</v>
      </c>
      <c r="HA494" s="103">
        <f t="shared" si="535"/>
        <v>1.0533654406655838E-3</v>
      </c>
    </row>
    <row r="495" spans="1:209" x14ac:dyDescent="0.25">
      <c r="A495" s="96">
        <v>55488</v>
      </c>
      <c r="B495" s="104">
        <f t="shared" si="473"/>
        <v>44.25</v>
      </c>
      <c r="C495" s="104">
        <f>50-1</f>
        <v>49</v>
      </c>
      <c r="D495" s="104">
        <f t="shared" si="474"/>
        <v>2</v>
      </c>
      <c r="E495" s="104">
        <f>('Renewable Diesel'!B504*E$3*'Feedstock Conversion Rates'!$B$2)/12+26+13-100+27.5+39</f>
        <v>95.43</v>
      </c>
      <c r="F495" s="104">
        <f>('Renewable Diesel'!B504*'RD Feedstock Breakdown'!F$3*'Feedstock Conversion Rates'!B$8)/12+77+23-10-12-115.75+24+8</f>
        <v>48.15625</v>
      </c>
      <c r="G495" s="104">
        <f>('Renewable Diesel'!B504*'RD Feedstock Breakdown'!G$3*'Feedstock Conversion Rates'!B$7)/12+116.75-39-57.5-145-31.5+32+70-40+10+60</f>
        <v>151.90700000000004</v>
      </c>
      <c r="H495" s="104">
        <f>('Renewable Diesel'!B504*'RD Feedstock Breakdown'!H$3*'Feedstock Conversion Rates'!B$3)/12+67+10+12+3-235+20+47-20+25</f>
        <v>105.40022499999998</v>
      </c>
      <c r="I495" s="106">
        <f t="shared" si="515"/>
        <v>496.14347500000002</v>
      </c>
      <c r="J495" s="104">
        <f t="shared" si="483"/>
        <v>4</v>
      </c>
      <c r="K495" s="104"/>
      <c r="L495" s="104">
        <v>1</v>
      </c>
      <c r="M495" s="104">
        <f>('Renewable Diesel'!C504*'RD Feedstock Breakdown'!M$3*'Feedstock Conversion Rates'!B$2)/12</f>
        <v>7.7902500000000003</v>
      </c>
      <c r="N495" s="104">
        <f>('Renewable Diesel'!C504*'RD Feedstock Breakdown'!N$3*'Feedstock Conversion Rates'!B$8)/12</f>
        <v>3.671875</v>
      </c>
      <c r="O495" s="104">
        <f>('Renewable Diesel'!C504*'RD Feedstock Breakdown'!O$3*'Feedstock Conversion Rates'!B$7)/12</f>
        <v>11.9991</v>
      </c>
      <c r="P495" s="104">
        <f>('Renewable Diesel'!C504*'RD Feedstock Breakdown'!P$3*'Feedstock Conversion Rates'!B$3)/12</f>
        <v>10.4470425</v>
      </c>
      <c r="Q495" s="106">
        <f t="shared" si="525"/>
        <v>38.908267500000001</v>
      </c>
      <c r="R495" s="104">
        <f>('Renewable Diesel'!D504*'RD Feedstock Breakdown'!R$3*'Feedstock Conversion Rates'!B$7)/12</f>
        <v>2.2999999999999998</v>
      </c>
      <c r="S495" s="106">
        <f t="shared" si="481"/>
        <v>2.2999999999999998</v>
      </c>
      <c r="T495" s="104">
        <f t="shared" si="526"/>
        <v>0.82499999999999929</v>
      </c>
      <c r="U495" s="104"/>
      <c r="V495" s="104">
        <f>('Renewable Diesel'!E504*'RD Feedstock Breakdown'!V$3*'Feedstock Conversion Rates'!B$6)/12-20+25</f>
        <v>49.250150000000012</v>
      </c>
      <c r="W495" s="104">
        <f>('Renewable Diesel'!E504*'RD Feedstock Breakdown'!W$3*'Feedstock Conversion Rates'!B$8)/12-6</f>
        <v>16.1796875</v>
      </c>
      <c r="X495" s="106">
        <f t="shared" si="503"/>
        <v>66.254837500000008</v>
      </c>
      <c r="Y495" s="104">
        <f t="shared" si="527"/>
        <v>98</v>
      </c>
      <c r="Z495" s="104">
        <f>('Renewable Diesel'!F504*'RD Feedstock Breakdown'!Z$3*'Feedstock Conversion Rates'!B$6)/12-142+15+5+20+5+15</f>
        <v>77.460000000000008</v>
      </c>
      <c r="AA495" s="104">
        <f>('Renewable Diesel'!F504*'RD Feedstock Breakdown'!AA$3*'Feedstock Conversion Rates'!B$7)/12+24</f>
        <v>128.26666666666665</v>
      </c>
      <c r="AB495" s="106">
        <f t="shared" si="471"/>
        <v>303.72666666666669</v>
      </c>
      <c r="AC495" s="104">
        <f>('Renewable Diesel'!G504*'RD Feedstock Breakdown'!AC$3*'Feedstock Conversion Rates'!B$5)/12</f>
        <v>11.796875</v>
      </c>
      <c r="AD495" s="104">
        <f>('Renewable Diesel'!G504*'RD Feedstock Breakdown'!AD$3*'Feedstock Conversion Rates'!B$4)/12</f>
        <v>5.859375</v>
      </c>
      <c r="AE495" s="104">
        <f>('Renewable Diesel'!G504*'RD Feedstock Breakdown'!AE$3*'Feedstock Conversion Rates'!B$6)/12</f>
        <v>7.3281250000000009</v>
      </c>
      <c r="AF495" s="106">
        <f t="shared" si="511"/>
        <v>24.984375</v>
      </c>
      <c r="AG495" s="104">
        <f t="shared" si="529"/>
        <v>148</v>
      </c>
      <c r="AH495" s="104"/>
      <c r="AI495" s="104">
        <f>('Renewable Diesel'!H504*'RD Feedstock Breakdown'!AI$3*'Feedstock Conversion Rates'!B$6)/12-130-20+51-49</f>
        <v>0.51666666666667993</v>
      </c>
      <c r="AJ495" s="106">
        <f t="shared" si="480"/>
        <v>148.51666666666668</v>
      </c>
      <c r="AK495" s="104">
        <f>('Renewable Diesel'!J504*'RD Feedstock Breakdown'!AK$3*'Feedstock Conversion Rates'!B$4)/12</f>
        <v>95.8125</v>
      </c>
      <c r="AL495" s="106">
        <f t="shared" si="482"/>
        <v>95.8125</v>
      </c>
      <c r="AM495" s="104">
        <f>('Renewable Diesel'!K504*'RD Feedstock Breakdown'!AM$3*'Feedstock Conversion Rates'!B$4)/12+5+15-10+10</f>
        <v>78.59375</v>
      </c>
      <c r="AN495" s="104">
        <f>('Renewable Diesel'!K504*'RD Feedstock Breakdown'!AN$3*'Feedstock Conversion Rates'!B$6)/12-5-15+10-10</f>
        <v>4.4270833333333321</v>
      </c>
      <c r="AO495" s="106">
        <f t="shared" si="496"/>
        <v>83.020833333333329</v>
      </c>
      <c r="AP495" s="104">
        <f>('Renewable Diesel'!L504*'RD Feedstock Breakdown'!AP$3*'Feedstock Conversion Rates'!B$4)/12+15-10+15</f>
        <v>78.59375</v>
      </c>
      <c r="AQ495" s="104">
        <f>('Renewable Diesel'!L504*'RD Feedstock Breakdown'!AQ$3*'Feedstock Conversion Rates'!B$6)/12-15+10-15</f>
        <v>4.4270833333333321</v>
      </c>
      <c r="AR495" s="106">
        <f t="shared" si="486"/>
        <v>83.020833333333329</v>
      </c>
      <c r="AS495" s="104">
        <f>('Renewable Diesel'!M504*'RD Feedstock Breakdown'!AS$3*'Feedstock Conversion Rates'!B$4)/12</f>
        <v>456.25</v>
      </c>
      <c r="AT495" s="104">
        <f>('Renewable Diesel'!M504*'RD Feedstock Breakdown'!AT$3*'Feedstock Conversion Rates'!B$5)/12</f>
        <v>0</v>
      </c>
      <c r="AU495" s="106">
        <f t="shared" si="514"/>
        <v>456.25</v>
      </c>
      <c r="AV495" s="104">
        <f>'Renewable Diesel'!N504*'RD Feedstock Breakdown'!$AV$3*'Feedstock Conversion Rates'!$B$4/12-15-10+25+25-22+25</f>
        <v>106.74999999999999</v>
      </c>
      <c r="AW495" s="104">
        <f>'Renewable Diesel'!N504*'RD Feedstock Breakdown'!$AW$3*'Feedstock Conversion Rates'!$B$7/12+15+10-25-25+22-25</f>
        <v>13.400000000000006</v>
      </c>
      <c r="AX495" s="106">
        <f t="shared" si="475"/>
        <v>120.14999999999999</v>
      </c>
      <c r="AY495" s="104">
        <f>('Renewable Diesel'!O504*'RD Feedstock Breakdown'!AY$3*'Feedstock Conversion Rates'!B$4)/12</f>
        <v>210.9375</v>
      </c>
      <c r="AZ495" s="104">
        <f>('Renewable Diesel'!O504*'RD Feedstock Breakdown'!AZ$3*'Feedstock Conversion Rates'!B$3)/12</f>
        <v>25.03125</v>
      </c>
      <c r="BA495" s="106">
        <f t="shared" si="528"/>
        <v>235.96875</v>
      </c>
      <c r="BB495" s="104">
        <f>('Renewable Diesel'!Q504*'RD Feedstock Breakdown'!BB$3*'Feedstock Conversion Rates'!B$4)/12</f>
        <v>11.156249999999998</v>
      </c>
      <c r="BC495" s="104">
        <f>('Renewable Diesel'!Q504*'RD Feedstock Breakdown'!BC$3*'Feedstock Conversion Rates'!B$3)/12</f>
        <v>1.4017500000000001</v>
      </c>
      <c r="BD495" s="104">
        <f>('Renewable Diesel'!Q504*'RD Feedstock Breakdown'!BD$3*'Feedstock Conversion Rates'!B$6)/12</f>
        <v>0.8207500000000002</v>
      </c>
      <c r="BE495" s="106">
        <f t="shared" si="505"/>
        <v>13.378749999999998</v>
      </c>
      <c r="BF495" s="104">
        <f>('Renewable Diesel'!R504*'RD Feedstock Breakdown'!BF$3*'Feedstock Conversion Rates'!B$4)/12</f>
        <v>62.5</v>
      </c>
      <c r="BG495" s="106">
        <f t="shared" si="490"/>
        <v>62.5</v>
      </c>
      <c r="BH495" s="104">
        <f>('Renewable Diesel'!T504*'RD Feedstock Breakdown'!BH$3*'Feedstock Conversion Rates'!B$7)/12</f>
        <v>27.599999999999998</v>
      </c>
      <c r="BI495" s="106">
        <f t="shared" si="479"/>
        <v>27.599999999999998</v>
      </c>
      <c r="BJ495" s="104">
        <f>('Renewable Diesel'!W504*'RD Feedstock Breakdown'!BJ$3*'Feedstock Conversion Rates'!B$4)/12</f>
        <v>7.5</v>
      </c>
      <c r="BK495" s="104">
        <f>('Renewable Diesel'!W504*'RD Feedstock Breakdown'!BK$3*'Feedstock Conversion Rates'!B$3)/12</f>
        <v>1.335</v>
      </c>
      <c r="BL495" s="104">
        <f>('Renewable Diesel'!W504*'RD Feedstock Breakdown'!BL$3*'Feedstock Conversion Rates'!B$6)/12</f>
        <v>3.1266666666666669</v>
      </c>
      <c r="BM495" s="104">
        <f>('Renewable Diesel'!W504*'RD Feedstock Breakdown'!BM$3*'Feedstock Conversion Rates'!B$7)/12</f>
        <v>1.5333333333333332</v>
      </c>
      <c r="BN495" s="106">
        <f t="shared" si="518"/>
        <v>13.495000000000001</v>
      </c>
      <c r="BO495" s="104">
        <f>('Renewable Diesel'!P504*'Feedstock Conversion Rates'!B$4)/12</f>
        <v>31.25</v>
      </c>
      <c r="BP495" s="106">
        <f t="shared" si="512"/>
        <v>31.25</v>
      </c>
      <c r="BQ495" s="104">
        <f>('Renewable Diesel'!$S504*'RD Feedstock Breakdown'!BQ$3*'Feedstock Conversion Rates'!B$4)/12+10+15-15</f>
        <v>38.125</v>
      </c>
      <c r="BR495" s="104">
        <f>('Renewable Diesel'!$S504*'RD Feedstock Breakdown'!BR$3*'Feedstock Conversion Rates'!B$7)/12-10-15+15</f>
        <v>1.5</v>
      </c>
      <c r="BS495" s="106">
        <f t="shared" si="530"/>
        <v>39.625</v>
      </c>
      <c r="BT495" s="106"/>
      <c r="BU495" s="104">
        <f>('Renewable Diesel'!Y504*'Feedstock Conversion Rates'!B$7)/12</f>
        <v>2.6833333333333331</v>
      </c>
      <c r="BV495" s="106">
        <f t="shared" si="507"/>
        <v>2.6833333333333331</v>
      </c>
      <c r="BW495" s="104">
        <f>('Renewable Diesel'!$Z504*'RD Feedstock Breakdown'!BW$3*'Feedstock Conversion Rates'!$B$4)/12-250+180</f>
        <v>1.875</v>
      </c>
      <c r="BX495" s="104">
        <f>('Renewable Diesel'!$Z504*'RD Feedstock Breakdown'!BX$3*'Feedstock Conversion Rates'!$B$5)/12</f>
        <v>7.2354166666666666</v>
      </c>
      <c r="BY495" s="104">
        <f>('Renewable Diesel'!$Z504*'RD Feedstock Breakdown'!BY$3*'Feedstock Conversion Rates'!$B$7)/12</f>
        <v>61.716666666666661</v>
      </c>
      <c r="BZ495" s="104">
        <f>('Renewable Diesel'!$Z504*'RD Feedstock Breakdown'!BZ$3*'Feedstock Conversion Rates'!$B$3)/12+250-180</f>
        <v>85.35250000000002</v>
      </c>
      <c r="CA495" s="106">
        <f t="shared" si="534"/>
        <v>156.17958333333334</v>
      </c>
      <c r="CB495" s="104">
        <f>('Renewable Diesel'!AA504*'Feedstock Conversion Rates'!B$4)/12</f>
        <v>191.25</v>
      </c>
      <c r="CC495" s="106">
        <f t="shared" si="520"/>
        <v>191.25</v>
      </c>
      <c r="CD495" s="104">
        <f>('Renewable Diesel'!$AB504*'RD Feedstock Breakdown'!CD$3*'Feedstock Conversion Rates'!$B$6)/12-15-5</f>
        <v>12.830000000000005</v>
      </c>
      <c r="CE495" s="104">
        <f>('Renewable Diesel'!$AB504*'RD Feedstock Breakdown'!CE$3*'Feedstock Conversion Rates'!$B$4)/12+15+5</f>
        <v>31.25</v>
      </c>
      <c r="CF495" s="106">
        <f t="shared" si="516"/>
        <v>44.080000000000005</v>
      </c>
      <c r="CG495" s="104">
        <f>('Renewable Diesel'!AD504*'Feedstock Conversion Rates'!B$4)/12</f>
        <v>112.5</v>
      </c>
      <c r="CH495" s="106">
        <f t="shared" si="504"/>
        <v>112.5</v>
      </c>
      <c r="CI495" s="104">
        <f>('Renewable Diesel'!$AE504*'RD Feedstock Breakdown'!CI$3*'Feedstock Conversion Rates'!$B$5)/12</f>
        <v>0.34604166666666664</v>
      </c>
      <c r="CJ495" s="104">
        <f>('Renewable Diesel'!$AE504*'RD Feedstock Breakdown'!CJ$3*'Feedstock Conversion Rates'!$B$4)/12</f>
        <v>0.34375</v>
      </c>
      <c r="CK495" s="106">
        <f t="shared" si="513"/>
        <v>0.68979166666666658</v>
      </c>
      <c r="CL495" s="104">
        <f>(((CL$3*'Renewable Diesel'!$AF504)*'Feedstock Conversion Rates'!$B$3)/12)</f>
        <v>91.78125</v>
      </c>
      <c r="CM495" s="104">
        <f>(((CM$3*'Renewable Diesel'!$AF504)*'Feedstock Conversion Rates'!$B$6)/12)</f>
        <v>53.739583333333336</v>
      </c>
      <c r="CN495" s="104">
        <f>(((CN$3*'Renewable Diesel'!$AF504)*'Feedstock Conversion Rates'!$B$4)/12)</f>
        <v>42.96875</v>
      </c>
      <c r="CO495" s="106">
        <f t="shared" si="506"/>
        <v>188.48958333333334</v>
      </c>
      <c r="CP495" s="104">
        <f>('Renewable Diesel'!$AG504*'RD Feedstock Breakdown'!CP$3*'Feedstock Conversion Rates'!$B$3)/12</f>
        <v>6.0075000000000003</v>
      </c>
      <c r="CQ495" s="104">
        <f>('Renewable Diesel'!$AG504*'RD Feedstock Breakdown'!CQ$3*'Feedstock Conversion Rates'!$B$6)/12</f>
        <v>3.5175000000000001</v>
      </c>
      <c r="CR495" s="104">
        <f>('Renewable Diesel'!$AG504*'RD Feedstock Breakdown'!CR$3*'Feedstock Conversion Rates'!$B$4)/12</f>
        <v>2.8125</v>
      </c>
      <c r="CS495" s="106">
        <f t="shared" si="467"/>
        <v>12.3375</v>
      </c>
      <c r="CT495" s="104">
        <f>('Renewable Diesel'!AI504*'Feedstock Conversion Rates'!$B$4*'RD Feedstock Breakdown'!$CT$3)/12</f>
        <v>29.375</v>
      </c>
      <c r="CU495" s="106">
        <f t="shared" si="508"/>
        <v>29.375</v>
      </c>
      <c r="CV495" s="104">
        <f>('Renewable Diesel'!AN504*'Feedstock Conversion Rates'!$B$3*'RD Feedstock Breakdown'!$CV$3)/12</f>
        <v>0.50062499999999999</v>
      </c>
      <c r="CW495" s="106">
        <f t="shared" si="485"/>
        <v>0.50062499999999999</v>
      </c>
      <c r="CX495" s="104">
        <f>('Renewable Diesel'!AO504*'RD Feedstock Breakdown'!$CX$3*'Feedstock Conversion Rates'!$B$3)/12</f>
        <v>6.3412499999999996</v>
      </c>
      <c r="CY495" s="104">
        <f>('Renewable Diesel'!AO504*'RD Feedstock Breakdown'!$CY$3*'Feedstock Conversion Rates'!$B$6)/12</f>
        <v>7.4258333333333342</v>
      </c>
      <c r="CZ495" s="106">
        <f t="shared" si="468"/>
        <v>13.767083333333334</v>
      </c>
      <c r="DA495" s="104">
        <f>('Renewable Diesel'!$AP504*'RD Feedstock Breakdown'!DA$3*'Feedstock Conversion Rates'!$B$3)/12</f>
        <v>6.3412499999999996</v>
      </c>
      <c r="DB495" s="104">
        <f>('Renewable Diesel'!$AP504*'RD Feedstock Breakdown'!DB$3*'Feedstock Conversion Rates'!$B$8)/12</f>
        <v>7.421875</v>
      </c>
      <c r="DC495" s="106">
        <f t="shared" si="488"/>
        <v>13.763124999999999</v>
      </c>
      <c r="DD495" s="104">
        <f>('Renewable Diesel'!AQ504*$DD$3*'Feedstock Conversion Rates'!$B$14)/12</f>
        <v>3.1041666666666665</v>
      </c>
      <c r="DE495" s="106">
        <f t="shared" si="489"/>
        <v>3.1041666666666665</v>
      </c>
      <c r="DF495" s="104">
        <f>('Renewable Diesel'!AR504*'Feedstock Conversion Rates'!$B$4*$DF$3)/12</f>
        <v>75</v>
      </c>
      <c r="DG495" s="106">
        <f t="shared" si="469"/>
        <v>75</v>
      </c>
      <c r="DH495" s="104">
        <f>('Renewable Diesel'!AS504*'Feedstock Conversion Rates'!$B$4*$DH$3)/12</f>
        <v>75</v>
      </c>
      <c r="DI495" s="106">
        <f t="shared" si="478"/>
        <v>75</v>
      </c>
      <c r="DJ495" s="104">
        <f>('Renewable Diesel'!AT504*'Feedstock Conversion Rates'!$B$4*0.25)/12</f>
        <v>8.59375</v>
      </c>
      <c r="DK495" s="104">
        <f>('Renewable Diesel'!$AT504*'RD Feedstock Breakdown'!DK$3*'Feedstock Conversion Rates'!$B$3)/12*0.5</f>
        <v>9.1781249999999996</v>
      </c>
      <c r="DL495" s="104">
        <f>('Renewable Diesel'!$AT504*'RD Feedstock Breakdown'!$DL$3*'Feedstock Conversion Rates'!$B$6)/12</f>
        <v>10.747916666666669</v>
      </c>
      <c r="DM495" s="104">
        <f>('Renewable Diesel'!$AT504*'RD Feedstock Breakdown'!$DM$3*'Feedstock Conversion Rates'!$B$8)/12</f>
        <v>10.7421875</v>
      </c>
      <c r="DN495" s="106">
        <f t="shared" si="519"/>
        <v>39.26197916666667</v>
      </c>
      <c r="DP495" s="104">
        <f t="shared" si="491"/>
        <v>103.22025000000001</v>
      </c>
      <c r="DQ495" s="104">
        <f t="shared" si="492"/>
        <v>349.11776750000007</v>
      </c>
      <c r="DR495" s="104">
        <f t="shared" si="497"/>
        <v>1891.953125</v>
      </c>
      <c r="DS495" s="104">
        <f t="shared" si="510"/>
        <v>228.90125</v>
      </c>
      <c r="DT495" s="104">
        <f t="shared" si="493"/>
        <v>243.03923333333344</v>
      </c>
      <c r="DU495" s="104">
        <f t="shared" si="494"/>
        <v>402.90610000000009</v>
      </c>
      <c r="DV495" s="104">
        <f t="shared" si="498"/>
        <v>78.75</v>
      </c>
      <c r="DW495" s="104">
        <f t="shared" si="495"/>
        <v>3</v>
      </c>
      <c r="DX495" s="106">
        <f t="shared" si="499"/>
        <v>3300.8877258333337</v>
      </c>
      <c r="DY495" s="109">
        <f t="shared" si="487"/>
        <v>-5.631051180898794E-13</v>
      </c>
      <c r="EA495" s="110">
        <f t="shared" si="509"/>
        <v>3.1270451640078516E-2</v>
      </c>
      <c r="EB495" s="110">
        <f t="shared" si="522"/>
        <v>0.10576481131658687</v>
      </c>
      <c r="EC495" s="110">
        <f t="shared" si="523"/>
        <v>0.57316494293133291</v>
      </c>
      <c r="ED495" s="110">
        <f t="shared" si="524"/>
        <v>6.9345360706629972E-2</v>
      </c>
      <c r="EE495" s="110">
        <f t="shared" si="521"/>
        <v>7.3628445896921982E-2</v>
      </c>
      <c r="EF495" s="110">
        <f t="shared" si="521"/>
        <v>0.1220599225010852</v>
      </c>
      <c r="EG495" s="110">
        <f t="shared" si="521"/>
        <v>2.3857218585075921E-2</v>
      </c>
      <c r="EH495" s="111">
        <f t="shared" si="500"/>
        <v>9.0884642228860647E-4</v>
      </c>
      <c r="EI495" s="110">
        <f t="shared" si="476"/>
        <v>0.99909115357771139</v>
      </c>
      <c r="EK495" s="132">
        <f>(EA495*'Renewable Diesel'!BF504*'Feedstock Conversion Rates'!B$2)+FB495</f>
        <v>1355.4305986571553</v>
      </c>
      <c r="EL495" s="132">
        <f>(EB495*'Renewable Diesel'!BF504*'Feedstock Conversion Rates'!B$3)+FC495</f>
        <v>4320.1409959098492</v>
      </c>
      <c r="EM495" s="132">
        <f>(EC495*'Renewable Diesel'!BF504*'Feedstock Conversion Rates'!B$4)+FD495</f>
        <v>21921.238580921621</v>
      </c>
      <c r="EN495" s="132">
        <f>(ED495*'Renewable Diesel'!BF504*'Feedstock Conversion Rates'!B$5)+FE495</f>
        <v>2669.8604942829443</v>
      </c>
      <c r="EO495" s="132">
        <f>(EE495*'Renewable Diesel'!BF504*'Feedstock Conversion Rates'!B$6)+FF495</f>
        <v>3521.8647856524649</v>
      </c>
      <c r="EP495" s="132">
        <f>(EF495*'Renewable Diesel'!BF504*'Feedstock Conversion Rates'!B$7)+FG495</f>
        <v>5726.4453873499806</v>
      </c>
      <c r="EQ495" s="132">
        <f>(EG495*'Renewable Diesel'!BF504*'Feedstock Conversion Rates'!B$8)+FH495</f>
        <v>1140.5525297089339</v>
      </c>
      <c r="ER495" s="132">
        <f>(EH495*'Renewable Diesel'!BF504*'Feedstock Conversion Rates'!B$9)+FI495</f>
        <v>42.870291910329442</v>
      </c>
      <c r="ES495" s="132">
        <f t="shared" si="501"/>
        <v>40698.403664393278</v>
      </c>
      <c r="ET495" s="133">
        <f>ES495/'Renewable Diesel'!BF504</f>
        <v>26.981330134192245</v>
      </c>
      <c r="EW495" s="73">
        <f t="shared" si="531"/>
        <v>41908.291007287007</v>
      </c>
      <c r="EX495" s="73">
        <f t="shared" si="532"/>
        <v>27450.160157638853</v>
      </c>
      <c r="EY495" s="92">
        <f t="shared" si="536"/>
        <v>1.0297281277386379</v>
      </c>
      <c r="EZ495" s="92">
        <f t="shared" si="536"/>
        <v>0.67447756388673274</v>
      </c>
      <c r="FB495" s="102">
        <f>IF('Renewable Diesel'!$BG504&lt;1,0,(((('Renewable Diesel'!$BG504-1)*'Renewable Diesel'!$BF504)*'RD Feedstock Breakdown'!EA495)*'Feedstock Conversion Rates'!$B$2))</f>
        <v>954.50194217755177</v>
      </c>
      <c r="FC495" s="102">
        <f>IF('Renewable Diesel'!$BG504&lt;1,0,(((('Renewable Diesel'!$BG504-1)*'Renewable Diesel'!$BF504)*'RD Feedstock Breakdown'!EB495)*'Feedstock Conversion Rates'!$B$3))</f>
        <v>3042.2678779438115</v>
      </c>
      <c r="FD495" s="102">
        <f>IF('Renewable Diesel'!$BG504&lt;1,0,(((('Renewable Diesel'!$BG504-1)*'Renewable Diesel'!$BF504)*'RD Feedstock Breakdown'!EC495)*'Feedstock Conversion Rates'!$B$4))</f>
        <v>15437.060976162664</v>
      </c>
      <c r="FE495" s="102">
        <f>IF('Renewable Diesel'!$BG504&lt;1,0,(((('Renewable Diesel'!$BG504-1)*'Renewable Diesel'!$BF504)*'RD Feedstock Breakdown'!ED495)*'Feedstock Conversion Rates'!$B$5))</f>
        <v>1880.1309559197739</v>
      </c>
      <c r="FF495" s="102">
        <f>IF('Renewable Diesel'!$BG504&lt;1,0,(((('Renewable Diesel'!$BG504-1)*'Renewable Diesel'!$BF504)*'RD Feedstock Breakdown'!EE495)*'Feedstock Conversion Rates'!$B$6))</f>
        <v>2480.1172271914306</v>
      </c>
      <c r="FG495" s="102">
        <f>IF('Renewable Diesel'!$BG504&lt;1,0,(((('Renewable Diesel'!$BG504-1)*'Renewable Diesel'!$BF504)*'RD Feedstock Breakdown'!EF495)*'Feedstock Conversion Rates'!$B$7))</f>
        <v>4032.5954345537052</v>
      </c>
      <c r="FH495" s="102">
        <f>IF('Renewable Diesel'!$BG504&lt;1,0,(((('Renewable Diesel'!$BG504-1)*'Renewable Diesel'!$BF504)*'RD Feedstock Breakdown'!EG495)*'Feedstock Conversion Rates'!$B$8))</f>
        <v>803.18358301874548</v>
      </c>
      <c r="FI495" s="102">
        <f>IF('Renewable Diesel'!$BG504&lt;1,0,(((('Renewable Diesel'!$BG504-1)*'Renewable Diesel'!$BF504)*'RD Feedstock Breakdown'!EH495)*'Feedstock Conversion Rates'!$B$9))</f>
        <v>30.189503564895066</v>
      </c>
      <c r="FJ495" s="102">
        <f t="shared" si="533"/>
        <v>28660.047500532575</v>
      </c>
      <c r="GD495" s="91">
        <f>'Renewable Diesel'!BB504*0.32</f>
        <v>0</v>
      </c>
      <c r="GE495" s="91">
        <f>'Renewable Diesel'!BC504</f>
        <v>629.39553728380679</v>
      </c>
      <c r="GF495" s="91">
        <f>'Renewable Diesel'!BD504</f>
        <v>0</v>
      </c>
      <c r="GG495" s="91">
        <f t="shared" si="517"/>
        <v>629.39553728380679</v>
      </c>
      <c r="GH495" s="124">
        <v>1</v>
      </c>
      <c r="GI495" s="102">
        <f>$GG495*EA495*'Feedstock Conversion Rates'!$B$2</f>
        <v>167.2926030444734</v>
      </c>
      <c r="GJ495" s="102">
        <f>$GG495*EB495*'Feedstock Conversion Rates'!$B$3</f>
        <v>533.20888095703231</v>
      </c>
      <c r="GK495" s="102">
        <f>$GG495*EC495*'Feedstock Conversion Rates'!$B$4</f>
        <v>2705.6059290638154</v>
      </c>
      <c r="GL495" s="102">
        <f>$GG495*ED495*'Feedstock Conversion Rates'!$B$5</f>
        <v>329.52473722867012</v>
      </c>
      <c r="GM495" s="102">
        <f>$GG495*EE495*'Feedstock Conversion Rates'!$B$6</f>
        <v>434.68247518255691</v>
      </c>
      <c r="GN495" s="102">
        <f>$GG495*EF495*'Feedstock Conversion Rates'!$B$7</f>
        <v>706.78052863119115</v>
      </c>
      <c r="GO495" s="102">
        <f>$GG495*EG495*'Feedstock Conversion Rates'!$B$8</f>
        <v>140.77150227610389</v>
      </c>
      <c r="GP495" s="102">
        <f>$GG495*EH495*'Feedstock Conversion Rates'!B$9</f>
        <v>5.2912209109494279</v>
      </c>
      <c r="GQ495" s="102">
        <f t="shared" si="502"/>
        <v>5023.1578772947923</v>
      </c>
      <c r="GT495" s="103">
        <f t="shared" si="484"/>
        <v>3.3304269372191893E-2</v>
      </c>
      <c r="GU495" s="103">
        <f t="shared" si="484"/>
        <v>0.10615013383656391</v>
      </c>
      <c r="GV495" s="103">
        <f t="shared" si="484"/>
        <v>0.53862649654979822</v>
      </c>
      <c r="GW495" s="103">
        <f t="shared" si="484"/>
        <v>6.5601110950176761E-2</v>
      </c>
      <c r="GX495" s="103">
        <f t="shared" si="484"/>
        <v>8.653569841938831E-2</v>
      </c>
      <c r="GY495" s="103">
        <f t="shared" si="484"/>
        <v>0.14070442257566981</v>
      </c>
      <c r="GZ495" s="103">
        <f t="shared" si="484"/>
        <v>2.802450285554552E-2</v>
      </c>
      <c r="HA495" s="103">
        <f t="shared" si="535"/>
        <v>1.053365440665584E-3</v>
      </c>
    </row>
  </sheetData>
  <mergeCells count="49">
    <mergeCell ref="GI1:GQ1"/>
    <mergeCell ref="GT1:HB1"/>
    <mergeCell ref="GA82:GA84"/>
    <mergeCell ref="FR81:FT81"/>
    <mergeCell ref="FR82:FR84"/>
    <mergeCell ref="FS82:FS84"/>
    <mergeCell ref="FT82:FT84"/>
    <mergeCell ref="FY82:FY84"/>
    <mergeCell ref="FZ82:FZ84"/>
    <mergeCell ref="GD2:GG2"/>
    <mergeCell ref="DP1:DX1"/>
    <mergeCell ref="EA1:EI1"/>
    <mergeCell ref="EK1:ES1"/>
    <mergeCell ref="FB1:FJ1"/>
    <mergeCell ref="CX1:CZ1"/>
    <mergeCell ref="DA1:DC1"/>
    <mergeCell ref="DD1:DE1"/>
    <mergeCell ref="DF1:DG1"/>
    <mergeCell ref="DH1:DI1"/>
    <mergeCell ref="DJ1:DN1"/>
    <mergeCell ref="CP1:CS1"/>
    <mergeCell ref="CT1:CU1"/>
    <mergeCell ref="BQ1:BS1"/>
    <mergeCell ref="BT1:BV1"/>
    <mergeCell ref="BW1:CA1"/>
    <mergeCell ref="CB1:CC1"/>
    <mergeCell ref="CD1:CF1"/>
    <mergeCell ref="CV1:CW1"/>
    <mergeCell ref="BO1:BP1"/>
    <mergeCell ref="AG1:AJ1"/>
    <mergeCell ref="AK1:AL1"/>
    <mergeCell ref="AM1:AO1"/>
    <mergeCell ref="AP1:AR1"/>
    <mergeCell ref="AS1:AU1"/>
    <mergeCell ref="AV1:AX1"/>
    <mergeCell ref="AY1:BA1"/>
    <mergeCell ref="BB1:BE1"/>
    <mergeCell ref="BF1:BG1"/>
    <mergeCell ref="BH1:BI1"/>
    <mergeCell ref="BJ1:BN1"/>
    <mergeCell ref="CG1:CH1"/>
    <mergeCell ref="CI1:CK1"/>
    <mergeCell ref="CL1:CO1"/>
    <mergeCell ref="AC1:AF1"/>
    <mergeCell ref="B1:I1"/>
    <mergeCell ref="J1:Q1"/>
    <mergeCell ref="R1:S1"/>
    <mergeCell ref="T1:X1"/>
    <mergeCell ref="Y1:A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EB39-2F0A-43F8-B51E-C4BB50BF225D}">
  <dimension ref="A1:Y553"/>
  <sheetViews>
    <sheetView zoomScale="115" zoomScaleNormal="115" workbookViewId="0">
      <pane xSplit="1" ySplit="2" topLeftCell="B518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2" max="5" width="12.33203125" customWidth="1"/>
    <col min="9" max="12" width="12.33203125" customWidth="1"/>
    <col min="15" max="18" width="12.33203125" customWidth="1"/>
    <col min="19" max="19" width="9.33203125" customWidth="1"/>
  </cols>
  <sheetData>
    <row r="1" spans="1:25" ht="74.25" customHeight="1" x14ac:dyDescent="0.35">
      <c r="B1" s="171" t="s">
        <v>160</v>
      </c>
      <c r="C1" s="171"/>
      <c r="D1" s="171"/>
      <c r="E1" s="171"/>
      <c r="F1" s="171"/>
      <c r="G1" s="171"/>
      <c r="H1" s="4"/>
      <c r="I1" s="171" t="s">
        <v>368</v>
      </c>
      <c r="J1" s="171"/>
      <c r="K1" s="171"/>
      <c r="L1" s="171"/>
      <c r="M1" s="171"/>
      <c r="N1" s="135"/>
      <c r="O1" s="172"/>
      <c r="P1" s="172"/>
      <c r="Q1" s="172"/>
      <c r="R1" s="172"/>
      <c r="S1" s="172"/>
      <c r="T1" s="136"/>
      <c r="U1" s="173"/>
      <c r="V1" s="173"/>
      <c r="W1" s="173"/>
      <c r="X1" s="173"/>
      <c r="Y1" s="173"/>
    </row>
    <row r="2" spans="1:25" ht="45" customHeight="1" x14ac:dyDescent="0.2">
      <c r="B2" s="7" t="s">
        <v>369</v>
      </c>
      <c r="C2" s="7" t="s">
        <v>370</v>
      </c>
      <c r="D2" s="7" t="s">
        <v>371</v>
      </c>
      <c r="E2" s="7" t="s">
        <v>372</v>
      </c>
      <c r="G2" s="7" t="s">
        <v>177</v>
      </c>
      <c r="I2" s="7" t="s">
        <v>179</v>
      </c>
      <c r="J2" s="7" t="s">
        <v>180</v>
      </c>
      <c r="K2" s="7" t="s">
        <v>373</v>
      </c>
      <c r="L2" s="7" t="s">
        <v>181</v>
      </c>
      <c r="M2" s="8"/>
      <c r="O2" s="8"/>
      <c r="P2" s="8"/>
      <c r="Q2" s="8"/>
      <c r="R2" s="8"/>
      <c r="S2" s="8"/>
      <c r="U2" s="8"/>
      <c r="V2" s="8"/>
      <c r="W2" s="8"/>
      <c r="X2" s="8"/>
      <c r="Y2" s="8"/>
    </row>
    <row r="3" spans="1:25" ht="38.25" x14ac:dyDescent="0.2">
      <c r="A3" s="7" t="s">
        <v>149</v>
      </c>
      <c r="B3" s="7" t="s">
        <v>374</v>
      </c>
      <c r="C3" s="7" t="s">
        <v>375</v>
      </c>
      <c r="D3" s="7" t="s">
        <v>251</v>
      </c>
      <c r="E3" s="7" t="s">
        <v>376</v>
      </c>
      <c r="G3" s="8"/>
      <c r="I3" s="8"/>
      <c r="J3" s="8"/>
      <c r="K3" s="8"/>
      <c r="L3" s="8"/>
      <c r="M3" s="8"/>
      <c r="O3" s="8"/>
      <c r="P3" s="8"/>
      <c r="Q3" s="8"/>
      <c r="R3" s="8"/>
      <c r="S3" s="8"/>
      <c r="U3" s="8"/>
      <c r="V3" s="8"/>
      <c r="W3" s="8"/>
      <c r="X3" s="8"/>
      <c r="Y3" s="8"/>
    </row>
    <row r="4" spans="1:25" x14ac:dyDescent="0.2">
      <c r="A4" s="7" t="s">
        <v>150</v>
      </c>
      <c r="B4" s="7">
        <v>2018</v>
      </c>
      <c r="C4" s="7">
        <v>2020</v>
      </c>
      <c r="D4" s="137">
        <v>43862</v>
      </c>
      <c r="E4" s="7"/>
      <c r="G4" s="8"/>
      <c r="I4" s="8"/>
      <c r="J4" s="8"/>
      <c r="K4" s="8"/>
      <c r="L4" s="8"/>
      <c r="M4" s="8"/>
      <c r="O4" s="8"/>
      <c r="P4" s="8"/>
      <c r="Q4" s="8"/>
      <c r="R4" s="8"/>
      <c r="S4" s="8"/>
      <c r="U4" s="8"/>
      <c r="V4" s="8"/>
      <c r="W4" s="8"/>
      <c r="X4" s="8"/>
      <c r="Y4" s="8"/>
    </row>
    <row r="5" spans="1:25" ht="38.25" x14ac:dyDescent="0.2">
      <c r="A5" s="7" t="s">
        <v>151</v>
      </c>
      <c r="B5" s="138">
        <v>66</v>
      </c>
      <c r="C5" s="7">
        <v>70</v>
      </c>
      <c r="D5" s="138">
        <v>31</v>
      </c>
      <c r="E5" s="138">
        <v>6</v>
      </c>
      <c r="G5" s="8"/>
      <c r="I5" s="8"/>
      <c r="J5" s="8"/>
      <c r="K5" s="8"/>
      <c r="L5" s="8"/>
      <c r="M5" s="8"/>
      <c r="O5" s="8"/>
      <c r="P5" s="8"/>
      <c r="Q5" s="8"/>
      <c r="R5" s="8"/>
      <c r="S5" s="8"/>
      <c r="U5" s="8"/>
      <c r="V5" s="8"/>
      <c r="W5" s="8"/>
      <c r="X5" s="8"/>
      <c r="Y5" s="8"/>
    </row>
    <row r="6" spans="1:25" x14ac:dyDescent="0.2">
      <c r="A6" s="15">
        <v>38838</v>
      </c>
      <c r="B6" s="73"/>
      <c r="C6" s="73"/>
      <c r="D6" s="73"/>
      <c r="E6" s="73">
        <v>1</v>
      </c>
      <c r="G6" s="73">
        <f t="shared" ref="G6:G69" si="0">SUM(B6:E6)</f>
        <v>1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V6" s="100"/>
      <c r="W6" s="100"/>
      <c r="Y6" s="100"/>
    </row>
    <row r="7" spans="1:25" x14ac:dyDescent="0.2">
      <c r="A7" s="15">
        <v>38869</v>
      </c>
      <c r="B7" s="73"/>
      <c r="C7" s="73"/>
      <c r="D7" s="73"/>
      <c r="E7" s="73">
        <v>1</v>
      </c>
      <c r="G7" s="73">
        <f t="shared" si="0"/>
        <v>1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V7" s="100"/>
      <c r="W7" s="100"/>
      <c r="Y7" s="100"/>
    </row>
    <row r="8" spans="1:25" x14ac:dyDescent="0.2">
      <c r="A8" s="15">
        <v>38899</v>
      </c>
      <c r="B8" s="73"/>
      <c r="C8" s="73"/>
      <c r="D8" s="73"/>
      <c r="E8" s="73">
        <v>1</v>
      </c>
      <c r="G8" s="73">
        <f t="shared" si="0"/>
        <v>1</v>
      </c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V8" s="100"/>
      <c r="W8" s="100"/>
      <c r="Y8" s="100"/>
    </row>
    <row r="9" spans="1:25" x14ac:dyDescent="0.2">
      <c r="A9" s="15">
        <v>38930</v>
      </c>
      <c r="B9" s="73"/>
      <c r="C9" s="73"/>
      <c r="D9" s="73"/>
      <c r="E9" s="73">
        <v>3</v>
      </c>
      <c r="G9" s="73">
        <f t="shared" si="0"/>
        <v>3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V9" s="100"/>
      <c r="W9" s="100"/>
      <c r="Y9" s="100"/>
    </row>
    <row r="10" spans="1:25" x14ac:dyDescent="0.2">
      <c r="A10" s="15">
        <v>38961</v>
      </c>
      <c r="B10" s="73"/>
      <c r="C10" s="73"/>
      <c r="D10" s="73"/>
      <c r="E10" s="73">
        <v>3</v>
      </c>
      <c r="G10" s="73">
        <f t="shared" si="0"/>
        <v>3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V10" s="100"/>
      <c r="W10" s="100"/>
      <c r="Y10" s="100"/>
    </row>
    <row r="11" spans="1:25" x14ac:dyDescent="0.2">
      <c r="A11" s="15">
        <v>38991</v>
      </c>
      <c r="B11" s="73"/>
      <c r="C11" s="73"/>
      <c r="D11" s="73"/>
      <c r="E11" s="73">
        <v>3</v>
      </c>
      <c r="G11" s="73">
        <f t="shared" si="0"/>
        <v>3</v>
      </c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V11" s="100"/>
      <c r="W11" s="100"/>
      <c r="Y11" s="100"/>
    </row>
    <row r="12" spans="1:25" x14ac:dyDescent="0.2">
      <c r="A12" s="15">
        <v>39022</v>
      </c>
      <c r="B12" s="73"/>
      <c r="C12" s="73"/>
      <c r="D12" s="73"/>
      <c r="E12" s="73">
        <v>4</v>
      </c>
      <c r="G12" s="73">
        <f t="shared" si="0"/>
        <v>4</v>
      </c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V12" s="100"/>
      <c r="W12" s="100"/>
      <c r="Y12" s="100"/>
    </row>
    <row r="13" spans="1:25" x14ac:dyDescent="0.2">
      <c r="A13" s="15">
        <v>39052</v>
      </c>
      <c r="B13" s="73"/>
      <c r="C13" s="73"/>
      <c r="D13" s="73"/>
      <c r="E13" s="73">
        <v>4</v>
      </c>
      <c r="G13" s="73">
        <f t="shared" si="0"/>
        <v>4</v>
      </c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V13" s="100"/>
      <c r="W13" s="100"/>
      <c r="Y13" s="100"/>
    </row>
    <row r="14" spans="1:25" x14ac:dyDescent="0.2">
      <c r="A14" s="15">
        <v>39083</v>
      </c>
      <c r="B14" s="73"/>
      <c r="C14" s="73"/>
      <c r="D14" s="73"/>
      <c r="E14" s="73">
        <v>4</v>
      </c>
      <c r="G14" s="73">
        <f t="shared" si="0"/>
        <v>4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V14" s="100"/>
      <c r="W14" s="100"/>
      <c r="Y14" s="100"/>
    </row>
    <row r="15" spans="1:25" x14ac:dyDescent="0.2">
      <c r="A15" s="15">
        <v>39114</v>
      </c>
      <c r="B15" s="73"/>
      <c r="C15" s="73"/>
      <c r="D15" s="73"/>
      <c r="E15" s="73">
        <v>4</v>
      </c>
      <c r="G15" s="73">
        <f t="shared" si="0"/>
        <v>4</v>
      </c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V15" s="100"/>
      <c r="W15" s="100"/>
      <c r="Y15" s="100"/>
    </row>
    <row r="16" spans="1:25" x14ac:dyDescent="0.2">
      <c r="A16" s="15">
        <v>39142</v>
      </c>
      <c r="B16" s="73"/>
      <c r="C16" s="73"/>
      <c r="D16" s="73"/>
      <c r="E16" s="73">
        <v>4</v>
      </c>
      <c r="G16" s="73">
        <f t="shared" si="0"/>
        <v>4</v>
      </c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V16" s="100"/>
      <c r="W16" s="100"/>
      <c r="Y16" s="100"/>
    </row>
    <row r="17" spans="1:25" x14ac:dyDescent="0.2">
      <c r="A17" s="15">
        <v>39173</v>
      </c>
      <c r="B17" s="73"/>
      <c r="C17" s="73"/>
      <c r="D17" s="73"/>
      <c r="E17" s="73">
        <v>4</v>
      </c>
      <c r="G17" s="73">
        <f t="shared" si="0"/>
        <v>4</v>
      </c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V17" s="100"/>
      <c r="W17" s="100"/>
      <c r="Y17" s="100"/>
    </row>
    <row r="18" spans="1:25" x14ac:dyDescent="0.2">
      <c r="A18" s="15">
        <v>39203</v>
      </c>
      <c r="B18" s="73"/>
      <c r="C18" s="73"/>
      <c r="D18" s="73"/>
      <c r="E18" s="73">
        <v>4</v>
      </c>
      <c r="G18" s="73">
        <f t="shared" si="0"/>
        <v>4</v>
      </c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V18" s="100"/>
      <c r="W18" s="100"/>
      <c r="Y18" s="100"/>
    </row>
    <row r="19" spans="1:25" x14ac:dyDescent="0.2">
      <c r="A19" s="15">
        <v>39234</v>
      </c>
      <c r="B19" s="73"/>
      <c r="C19" s="73"/>
      <c r="D19" s="73"/>
      <c r="E19" s="73">
        <v>4</v>
      </c>
      <c r="G19" s="73">
        <f t="shared" si="0"/>
        <v>4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V19" s="100"/>
      <c r="W19" s="100"/>
      <c r="Y19" s="100"/>
    </row>
    <row r="20" spans="1:25" x14ac:dyDescent="0.2">
      <c r="A20" s="15">
        <v>39264</v>
      </c>
      <c r="B20" s="73"/>
      <c r="C20" s="73"/>
      <c r="D20" s="73"/>
      <c r="E20" s="73">
        <v>4</v>
      </c>
      <c r="G20" s="73">
        <f t="shared" si="0"/>
        <v>4</v>
      </c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V20" s="100"/>
      <c r="W20" s="100"/>
      <c r="Y20" s="100"/>
    </row>
    <row r="21" spans="1:25" x14ac:dyDescent="0.2">
      <c r="A21" s="15">
        <v>39295</v>
      </c>
      <c r="B21" s="73"/>
      <c r="C21" s="73"/>
      <c r="D21" s="73"/>
      <c r="E21" s="73">
        <v>4</v>
      </c>
      <c r="G21" s="73">
        <f t="shared" si="0"/>
        <v>4</v>
      </c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V21" s="100"/>
      <c r="W21" s="100"/>
      <c r="Y21" s="100"/>
    </row>
    <row r="22" spans="1:25" x14ac:dyDescent="0.2">
      <c r="A22" s="15">
        <v>39326</v>
      </c>
      <c r="B22" s="73"/>
      <c r="C22" s="73"/>
      <c r="D22" s="73"/>
      <c r="E22" s="73">
        <v>4</v>
      </c>
      <c r="G22" s="73">
        <f t="shared" si="0"/>
        <v>4</v>
      </c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V22" s="100"/>
      <c r="W22" s="100"/>
      <c r="Y22" s="100"/>
    </row>
    <row r="23" spans="1:25" x14ac:dyDescent="0.2">
      <c r="A23" s="15">
        <v>39356</v>
      </c>
      <c r="B23" s="73"/>
      <c r="C23" s="73"/>
      <c r="D23" s="73"/>
      <c r="E23" s="73">
        <v>4</v>
      </c>
      <c r="G23" s="73">
        <f t="shared" si="0"/>
        <v>4</v>
      </c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V23" s="100"/>
      <c r="W23" s="100"/>
      <c r="Y23" s="100"/>
    </row>
    <row r="24" spans="1:25" x14ac:dyDescent="0.2">
      <c r="A24" s="15">
        <v>39387</v>
      </c>
      <c r="B24" s="73"/>
      <c r="C24" s="73"/>
      <c r="D24" s="73"/>
      <c r="E24" s="73">
        <v>4</v>
      </c>
      <c r="G24" s="73">
        <f t="shared" si="0"/>
        <v>4</v>
      </c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V24" s="100"/>
      <c r="W24" s="100"/>
      <c r="Y24" s="100"/>
    </row>
    <row r="25" spans="1:25" x14ac:dyDescent="0.2">
      <c r="A25" s="15">
        <v>39417</v>
      </c>
      <c r="B25" s="73"/>
      <c r="C25" s="73"/>
      <c r="D25" s="73"/>
      <c r="E25" s="73">
        <v>4</v>
      </c>
      <c r="G25" s="73">
        <f t="shared" si="0"/>
        <v>4</v>
      </c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V25" s="100"/>
      <c r="W25" s="100"/>
      <c r="Y25" s="100"/>
    </row>
    <row r="26" spans="1:25" x14ac:dyDescent="0.2">
      <c r="A26" s="15">
        <v>39448</v>
      </c>
      <c r="B26" s="73"/>
      <c r="C26" s="73"/>
      <c r="D26" s="73"/>
      <c r="E26" s="73">
        <v>4</v>
      </c>
      <c r="G26" s="73">
        <f t="shared" si="0"/>
        <v>4</v>
      </c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V26" s="100"/>
      <c r="W26" s="100"/>
      <c r="Y26" s="100"/>
    </row>
    <row r="27" spans="1:25" x14ac:dyDescent="0.2">
      <c r="A27" s="15">
        <v>39479</v>
      </c>
      <c r="B27" s="73"/>
      <c r="C27" s="73"/>
      <c r="D27" s="73"/>
      <c r="E27" s="73">
        <v>4</v>
      </c>
      <c r="G27" s="73">
        <f t="shared" si="0"/>
        <v>4</v>
      </c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V27" s="100"/>
      <c r="W27" s="100"/>
      <c r="Y27" s="100"/>
    </row>
    <row r="28" spans="1:25" x14ac:dyDescent="0.2">
      <c r="A28" s="15">
        <v>39508</v>
      </c>
      <c r="B28" s="73"/>
      <c r="C28" s="73"/>
      <c r="D28" s="73"/>
      <c r="E28" s="73">
        <v>4</v>
      </c>
      <c r="G28" s="73">
        <f t="shared" si="0"/>
        <v>4</v>
      </c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V28" s="100"/>
      <c r="W28" s="100"/>
      <c r="Y28" s="100"/>
    </row>
    <row r="29" spans="1:25" x14ac:dyDescent="0.2">
      <c r="A29" s="15">
        <v>39539</v>
      </c>
      <c r="B29" s="73"/>
      <c r="C29" s="73"/>
      <c r="D29" s="73"/>
      <c r="E29" s="73">
        <v>4</v>
      </c>
      <c r="G29" s="73">
        <f t="shared" si="0"/>
        <v>4</v>
      </c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V29" s="100"/>
      <c r="W29" s="100"/>
      <c r="Y29" s="100"/>
    </row>
    <row r="30" spans="1:25" x14ac:dyDescent="0.2">
      <c r="A30" s="15">
        <v>39569</v>
      </c>
      <c r="B30" s="73"/>
      <c r="C30" s="73"/>
      <c r="D30" s="73"/>
      <c r="E30" s="73">
        <v>4</v>
      </c>
      <c r="G30" s="73">
        <f t="shared" si="0"/>
        <v>4</v>
      </c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V30" s="100"/>
      <c r="W30" s="100"/>
      <c r="Y30" s="100"/>
    </row>
    <row r="31" spans="1:25" x14ac:dyDescent="0.2">
      <c r="A31" s="15">
        <v>39600</v>
      </c>
      <c r="B31" s="73"/>
      <c r="C31" s="73"/>
      <c r="D31" s="73"/>
      <c r="E31" s="73">
        <v>4</v>
      </c>
      <c r="G31" s="73">
        <f t="shared" si="0"/>
        <v>4</v>
      </c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V31" s="100"/>
      <c r="W31" s="100"/>
      <c r="Y31" s="100"/>
    </row>
    <row r="32" spans="1:25" x14ac:dyDescent="0.2">
      <c r="A32" s="15">
        <v>39630</v>
      </c>
      <c r="B32" s="73"/>
      <c r="C32" s="73"/>
      <c r="D32" s="73"/>
      <c r="E32" s="73">
        <v>4</v>
      </c>
      <c r="G32" s="73">
        <f t="shared" si="0"/>
        <v>4</v>
      </c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V32" s="100"/>
      <c r="W32" s="100"/>
      <c r="Y32" s="100"/>
    </row>
    <row r="33" spans="1:25" x14ac:dyDescent="0.2">
      <c r="A33" s="15">
        <v>39661</v>
      </c>
      <c r="B33" s="73"/>
      <c r="C33" s="73"/>
      <c r="D33" s="73"/>
      <c r="E33" s="73">
        <v>4</v>
      </c>
      <c r="G33" s="73">
        <f t="shared" si="0"/>
        <v>4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V33" s="100"/>
      <c r="W33" s="100"/>
      <c r="Y33" s="100"/>
    </row>
    <row r="34" spans="1:25" x14ac:dyDescent="0.2">
      <c r="A34" s="15">
        <v>39692</v>
      </c>
      <c r="B34" s="73"/>
      <c r="C34" s="73"/>
      <c r="D34" s="73"/>
      <c r="E34" s="73">
        <v>4</v>
      </c>
      <c r="G34" s="73">
        <f t="shared" si="0"/>
        <v>4</v>
      </c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V34" s="100"/>
      <c r="W34" s="100"/>
      <c r="Y34" s="100"/>
    </row>
    <row r="35" spans="1:25" x14ac:dyDescent="0.2">
      <c r="A35" s="15">
        <v>39722</v>
      </c>
      <c r="B35" s="73"/>
      <c r="C35" s="73"/>
      <c r="D35" s="73"/>
      <c r="E35" s="73">
        <v>4</v>
      </c>
      <c r="G35" s="73">
        <f t="shared" si="0"/>
        <v>4</v>
      </c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V35" s="100"/>
      <c r="W35" s="100"/>
      <c r="Y35" s="100"/>
    </row>
    <row r="36" spans="1:25" x14ac:dyDescent="0.2">
      <c r="A36" s="15">
        <v>39753</v>
      </c>
      <c r="B36" s="73"/>
      <c r="C36" s="73"/>
      <c r="D36" s="73"/>
      <c r="E36" s="73">
        <v>4</v>
      </c>
      <c r="G36" s="73">
        <f t="shared" si="0"/>
        <v>4</v>
      </c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V36" s="100"/>
      <c r="W36" s="100"/>
      <c r="Y36" s="100"/>
    </row>
    <row r="37" spans="1:25" x14ac:dyDescent="0.2">
      <c r="A37" s="15">
        <v>39783</v>
      </c>
      <c r="B37" s="73"/>
      <c r="C37" s="73"/>
      <c r="D37" s="73"/>
      <c r="E37" s="73">
        <v>4</v>
      </c>
      <c r="G37" s="73">
        <f t="shared" si="0"/>
        <v>4</v>
      </c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V37" s="100"/>
      <c r="W37" s="100"/>
      <c r="Y37" s="100"/>
    </row>
    <row r="38" spans="1:25" x14ac:dyDescent="0.2">
      <c r="A38" s="15">
        <v>39814</v>
      </c>
      <c r="B38" s="73"/>
      <c r="C38" s="73"/>
      <c r="D38" s="73"/>
      <c r="E38" s="73">
        <v>4</v>
      </c>
      <c r="G38" s="73">
        <f t="shared" si="0"/>
        <v>4</v>
      </c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V38" s="100"/>
      <c r="W38" s="100"/>
      <c r="Y38" s="100"/>
    </row>
    <row r="39" spans="1:25" x14ac:dyDescent="0.2">
      <c r="A39" s="15">
        <v>39845</v>
      </c>
      <c r="B39" s="73"/>
      <c r="C39" s="73"/>
      <c r="D39" s="73"/>
      <c r="E39" s="73">
        <v>4</v>
      </c>
      <c r="G39" s="73">
        <f t="shared" si="0"/>
        <v>4</v>
      </c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V39" s="100"/>
      <c r="W39" s="100"/>
      <c r="Y39" s="100"/>
    </row>
    <row r="40" spans="1:25" x14ac:dyDescent="0.2">
      <c r="A40" s="15">
        <v>39873</v>
      </c>
      <c r="B40" s="73"/>
      <c r="C40" s="73"/>
      <c r="D40" s="73"/>
      <c r="E40" s="73">
        <v>4</v>
      </c>
      <c r="G40" s="73">
        <f t="shared" si="0"/>
        <v>4</v>
      </c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V40" s="100"/>
      <c r="W40" s="100"/>
      <c r="Y40" s="100"/>
    </row>
    <row r="41" spans="1:25" x14ac:dyDescent="0.2">
      <c r="A41" s="15">
        <v>39904</v>
      </c>
      <c r="B41" s="73"/>
      <c r="C41" s="73"/>
      <c r="D41" s="73"/>
      <c r="E41" s="73">
        <v>4</v>
      </c>
      <c r="G41" s="73">
        <f t="shared" si="0"/>
        <v>4</v>
      </c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V41" s="100"/>
      <c r="W41" s="100"/>
      <c r="Y41" s="100"/>
    </row>
    <row r="42" spans="1:25" x14ac:dyDescent="0.2">
      <c r="A42" s="15">
        <v>39934</v>
      </c>
      <c r="B42" s="73"/>
      <c r="C42" s="73"/>
      <c r="D42" s="73"/>
      <c r="E42" s="73">
        <v>4</v>
      </c>
      <c r="G42" s="73">
        <f t="shared" si="0"/>
        <v>4</v>
      </c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V42" s="100"/>
      <c r="W42" s="100"/>
      <c r="Y42" s="100"/>
    </row>
    <row r="43" spans="1:25" x14ac:dyDescent="0.2">
      <c r="A43" s="15">
        <v>39965</v>
      </c>
      <c r="B43" s="73"/>
      <c r="C43" s="73"/>
      <c r="D43" s="73"/>
      <c r="E43" s="73">
        <v>4</v>
      </c>
      <c r="G43" s="73">
        <f t="shared" si="0"/>
        <v>4</v>
      </c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V43" s="100"/>
      <c r="W43" s="100"/>
      <c r="Y43" s="100"/>
    </row>
    <row r="44" spans="1:25" x14ac:dyDescent="0.2">
      <c r="A44" s="15">
        <v>39995</v>
      </c>
      <c r="B44" s="73"/>
      <c r="C44" s="73"/>
      <c r="D44" s="73"/>
      <c r="E44" s="73">
        <v>4</v>
      </c>
      <c r="G44" s="73">
        <f t="shared" si="0"/>
        <v>4</v>
      </c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V44" s="100"/>
      <c r="W44" s="100"/>
      <c r="Y44" s="100"/>
    </row>
    <row r="45" spans="1:25" x14ac:dyDescent="0.2">
      <c r="A45" s="15">
        <v>40026</v>
      </c>
      <c r="B45" s="73"/>
      <c r="C45" s="73"/>
      <c r="D45" s="73"/>
      <c r="E45" s="73">
        <v>4</v>
      </c>
      <c r="G45" s="73">
        <f t="shared" si="0"/>
        <v>4</v>
      </c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V45" s="100"/>
      <c r="W45" s="100"/>
      <c r="Y45" s="100"/>
    </row>
    <row r="46" spans="1:25" x14ac:dyDescent="0.2">
      <c r="A46" s="15">
        <v>40057</v>
      </c>
      <c r="B46" s="73"/>
      <c r="C46" s="73"/>
      <c r="D46" s="73"/>
      <c r="E46" s="73">
        <v>4</v>
      </c>
      <c r="G46" s="73">
        <f t="shared" si="0"/>
        <v>4</v>
      </c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V46" s="100"/>
      <c r="W46" s="100"/>
      <c r="Y46" s="100"/>
    </row>
    <row r="47" spans="1:25" x14ac:dyDescent="0.2">
      <c r="A47" s="15">
        <v>40087</v>
      </c>
      <c r="B47" s="73"/>
      <c r="C47" s="73"/>
      <c r="D47" s="73"/>
      <c r="E47" s="73">
        <v>4</v>
      </c>
      <c r="G47" s="73">
        <f t="shared" si="0"/>
        <v>4</v>
      </c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V47" s="100"/>
      <c r="W47" s="100"/>
      <c r="Y47" s="100"/>
    </row>
    <row r="48" spans="1:25" x14ac:dyDescent="0.2">
      <c r="A48" s="15">
        <v>40118</v>
      </c>
      <c r="B48" s="73"/>
      <c r="C48" s="73"/>
      <c r="D48" s="73"/>
      <c r="E48" s="73">
        <v>4</v>
      </c>
      <c r="G48" s="73">
        <f t="shared" si="0"/>
        <v>4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V48" s="100"/>
      <c r="W48" s="100"/>
      <c r="Y48" s="100"/>
    </row>
    <row r="49" spans="1:25" x14ac:dyDescent="0.2">
      <c r="A49" s="15">
        <v>40148</v>
      </c>
      <c r="B49" s="73"/>
      <c r="C49" s="73"/>
      <c r="D49" s="73"/>
      <c r="E49" s="73">
        <v>4</v>
      </c>
      <c r="G49" s="73">
        <f t="shared" si="0"/>
        <v>4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V49" s="100"/>
      <c r="W49" s="100"/>
      <c r="Y49" s="100"/>
    </row>
    <row r="50" spans="1:25" x14ac:dyDescent="0.2">
      <c r="A50" s="15">
        <v>40179</v>
      </c>
      <c r="B50" s="73"/>
      <c r="C50" s="73"/>
      <c r="D50" s="73"/>
      <c r="E50" s="73">
        <v>4</v>
      </c>
      <c r="G50" s="73">
        <f t="shared" si="0"/>
        <v>4</v>
      </c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V50" s="100"/>
      <c r="W50" s="100"/>
      <c r="Y50" s="100"/>
    </row>
    <row r="51" spans="1:25" x14ac:dyDescent="0.2">
      <c r="A51" s="15">
        <v>40210</v>
      </c>
      <c r="B51" s="73"/>
      <c r="C51" s="73"/>
      <c r="D51" s="73"/>
      <c r="E51" s="73">
        <v>4</v>
      </c>
      <c r="G51" s="73">
        <f t="shared" si="0"/>
        <v>4</v>
      </c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V51" s="100"/>
      <c r="W51" s="100"/>
      <c r="Y51" s="100"/>
    </row>
    <row r="52" spans="1:25" x14ac:dyDescent="0.2">
      <c r="A52" s="15">
        <v>40238</v>
      </c>
      <c r="B52" s="73"/>
      <c r="C52" s="73"/>
      <c r="D52" s="73"/>
      <c r="E52" s="73">
        <v>4</v>
      </c>
      <c r="G52" s="73">
        <f t="shared" si="0"/>
        <v>4</v>
      </c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V52" s="100"/>
      <c r="W52" s="100"/>
      <c r="Y52" s="100"/>
    </row>
    <row r="53" spans="1:25" x14ac:dyDescent="0.2">
      <c r="A53" s="15">
        <v>40269</v>
      </c>
      <c r="B53" s="73"/>
      <c r="C53" s="73"/>
      <c r="D53" s="73"/>
      <c r="E53" s="73">
        <v>4</v>
      </c>
      <c r="G53" s="73">
        <f t="shared" si="0"/>
        <v>4</v>
      </c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V53" s="100"/>
      <c r="W53" s="100"/>
      <c r="Y53" s="100"/>
    </row>
    <row r="54" spans="1:25" x14ac:dyDescent="0.2">
      <c r="A54" s="15">
        <v>40299</v>
      </c>
      <c r="B54" s="73"/>
      <c r="C54" s="73"/>
      <c r="D54" s="73"/>
      <c r="E54" s="73">
        <v>4</v>
      </c>
      <c r="G54" s="73">
        <f t="shared" si="0"/>
        <v>4</v>
      </c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V54" s="100"/>
      <c r="W54" s="100"/>
      <c r="Y54" s="100"/>
    </row>
    <row r="55" spans="1:25" x14ac:dyDescent="0.2">
      <c r="A55" s="15">
        <v>40330</v>
      </c>
      <c r="B55" s="73"/>
      <c r="C55" s="73"/>
      <c r="D55" s="73"/>
      <c r="E55" s="73">
        <v>4</v>
      </c>
      <c r="G55" s="73">
        <f t="shared" si="0"/>
        <v>4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V55" s="100"/>
      <c r="W55" s="100"/>
      <c r="Y55" s="100"/>
    </row>
    <row r="56" spans="1:25" x14ac:dyDescent="0.2">
      <c r="A56" s="15">
        <v>40360</v>
      </c>
      <c r="B56" s="73"/>
      <c r="C56" s="73"/>
      <c r="D56" s="73"/>
      <c r="E56" s="73">
        <v>4</v>
      </c>
      <c r="G56" s="73">
        <f t="shared" si="0"/>
        <v>4</v>
      </c>
      <c r="H56" s="73"/>
      <c r="I56" s="73">
        <f>'[1]D5 Gallon Forecast'!$B142/1000000</f>
        <v>3.7763999999999999E-2</v>
      </c>
      <c r="J56" s="73">
        <f>'[1]D5 Gallon Forecast'!$B158/1000000</f>
        <v>0.27722799999999997</v>
      </c>
      <c r="K56" s="73">
        <f>SUM(I56:J56)</f>
        <v>0.31499199999999999</v>
      </c>
      <c r="L56" s="23">
        <f>(K56*12)/G56</f>
        <v>0.94497600000000004</v>
      </c>
      <c r="M56" s="73"/>
      <c r="N56" s="73"/>
      <c r="O56" s="73"/>
      <c r="P56" s="73"/>
      <c r="Q56" s="73"/>
      <c r="R56" s="73"/>
      <c r="S56" s="73"/>
      <c r="V56" s="100"/>
      <c r="W56" s="100"/>
      <c r="Y56" s="100"/>
    </row>
    <row r="57" spans="1:25" x14ac:dyDescent="0.2">
      <c r="A57" s="15">
        <v>40391</v>
      </c>
      <c r="B57" s="73"/>
      <c r="C57" s="73"/>
      <c r="D57" s="73"/>
      <c r="E57" s="73">
        <v>4</v>
      </c>
      <c r="G57" s="73">
        <f t="shared" si="0"/>
        <v>4</v>
      </c>
      <c r="H57" s="73"/>
      <c r="I57" s="73">
        <f>'[1]D5 Gallon Forecast'!$B143/1000000</f>
        <v>0.157694</v>
      </c>
      <c r="J57" s="73">
        <f>'[1]D5 Gallon Forecast'!$B159/1000000</f>
        <v>0.57280399999999998</v>
      </c>
      <c r="K57" s="73">
        <f t="shared" ref="K57:K120" si="1">SUM(I57:J57)</f>
        <v>0.73049799999999998</v>
      </c>
      <c r="L57" s="23">
        <f t="shared" ref="L57:L120" si="2">(K57*12)/G57</f>
        <v>2.1914940000000001</v>
      </c>
      <c r="M57" s="73"/>
      <c r="N57" s="73"/>
      <c r="O57" s="73"/>
      <c r="P57" s="73"/>
      <c r="Q57" s="73"/>
      <c r="R57" s="73"/>
      <c r="S57" s="73"/>
      <c r="V57" s="100"/>
      <c r="W57" s="100"/>
      <c r="Y57" s="100"/>
    </row>
    <row r="58" spans="1:25" x14ac:dyDescent="0.2">
      <c r="A58" s="15">
        <v>40422</v>
      </c>
      <c r="B58" s="73"/>
      <c r="C58" s="73"/>
      <c r="D58" s="73"/>
      <c r="E58" s="73">
        <v>4</v>
      </c>
      <c r="G58" s="73">
        <f t="shared" si="0"/>
        <v>4</v>
      </c>
      <c r="H58" s="73"/>
      <c r="I58" s="73">
        <f>'[1]D5 Gallon Forecast'!$B144/1000000</f>
        <v>0.49798900000000001</v>
      </c>
      <c r="J58" s="73">
        <f>'[1]D5 Gallon Forecast'!$B160/1000000</f>
        <v>0.47574699999999998</v>
      </c>
      <c r="K58" s="73">
        <f t="shared" si="1"/>
        <v>0.97373599999999993</v>
      </c>
      <c r="L58" s="23">
        <f t="shared" si="2"/>
        <v>2.921208</v>
      </c>
      <c r="M58" s="73"/>
      <c r="N58" s="73"/>
      <c r="O58" s="73"/>
      <c r="P58" s="73"/>
      <c r="Q58" s="73"/>
      <c r="R58" s="73"/>
      <c r="S58" s="73"/>
      <c r="V58" s="100"/>
      <c r="W58" s="100"/>
      <c r="Y58" s="100"/>
    </row>
    <row r="59" spans="1:25" x14ac:dyDescent="0.2">
      <c r="A59" s="15">
        <v>40452</v>
      </c>
      <c r="B59" s="73"/>
      <c r="C59" s="73"/>
      <c r="D59" s="73"/>
      <c r="E59" s="73">
        <v>4</v>
      </c>
      <c r="G59" s="73">
        <f t="shared" si="0"/>
        <v>4</v>
      </c>
      <c r="H59" s="73"/>
      <c r="I59" s="73">
        <f>'[1]D5 Gallon Forecast'!$B145/1000000</f>
        <v>1.167125</v>
      </c>
      <c r="J59" s="73">
        <f>'[1]D5 Gallon Forecast'!$B161/1000000</f>
        <v>0.28673100000000001</v>
      </c>
      <c r="K59" s="73">
        <f t="shared" si="1"/>
        <v>1.453856</v>
      </c>
      <c r="L59" s="23">
        <f t="shared" si="2"/>
        <v>4.3615680000000001</v>
      </c>
      <c r="M59" s="73"/>
      <c r="N59" s="73"/>
      <c r="O59" s="73"/>
      <c r="P59" s="73"/>
      <c r="Q59" s="73"/>
      <c r="R59" s="73"/>
      <c r="S59" s="73"/>
      <c r="V59" s="100"/>
      <c r="W59" s="100"/>
      <c r="Y59" s="100"/>
    </row>
    <row r="60" spans="1:25" x14ac:dyDescent="0.2">
      <c r="A60" s="15">
        <v>40483</v>
      </c>
      <c r="B60" s="73"/>
      <c r="C60" s="73"/>
      <c r="D60" s="73"/>
      <c r="E60" s="73">
        <v>4</v>
      </c>
      <c r="G60" s="73">
        <f t="shared" si="0"/>
        <v>4</v>
      </c>
      <c r="H60" s="73"/>
      <c r="I60" s="73">
        <f>'[1]D5 Gallon Forecast'!$B146/1000000</f>
        <v>1.441986</v>
      </c>
      <c r="J60" s="73">
        <f>'[1]D5 Gallon Forecast'!$B162/1000000</f>
        <v>0.442052</v>
      </c>
      <c r="K60" s="73">
        <f t="shared" si="1"/>
        <v>1.8840379999999999</v>
      </c>
      <c r="L60" s="23">
        <f t="shared" si="2"/>
        <v>5.6521139999999992</v>
      </c>
      <c r="M60" s="73"/>
      <c r="N60" s="73"/>
      <c r="O60" s="73"/>
      <c r="P60" s="73"/>
      <c r="Q60" s="73"/>
      <c r="R60" s="73"/>
      <c r="S60" s="73"/>
      <c r="V60" s="100"/>
      <c r="W60" s="100"/>
      <c r="Y60" s="100"/>
    </row>
    <row r="61" spans="1:25" x14ac:dyDescent="0.2">
      <c r="A61" s="15">
        <v>40513</v>
      </c>
      <c r="B61" s="73"/>
      <c r="C61" s="73"/>
      <c r="D61" s="73"/>
      <c r="E61" s="73">
        <v>4</v>
      </c>
      <c r="G61" s="73">
        <f t="shared" si="0"/>
        <v>4</v>
      </c>
      <c r="H61" s="73"/>
      <c r="I61" s="73">
        <f>'[1]D5 Gallon Forecast'!$B147/1000000</f>
        <v>1.8725160000000001</v>
      </c>
      <c r="J61" s="73">
        <f>'[1]D5 Gallon Forecast'!$B163/1000000</f>
        <v>0.58740000000000003</v>
      </c>
      <c r="K61" s="73">
        <f t="shared" si="1"/>
        <v>2.4599160000000002</v>
      </c>
      <c r="L61" s="23">
        <f t="shared" si="2"/>
        <v>7.3797480000000011</v>
      </c>
      <c r="M61" s="73"/>
      <c r="N61" s="73"/>
      <c r="O61" s="73"/>
      <c r="P61" s="73"/>
      <c r="Q61" s="73"/>
      <c r="R61" s="73"/>
      <c r="S61" s="73"/>
      <c r="V61" s="100"/>
      <c r="W61" s="100"/>
      <c r="Y61" s="100"/>
    </row>
    <row r="62" spans="1:25" x14ac:dyDescent="0.2">
      <c r="A62" s="15">
        <v>40544</v>
      </c>
      <c r="B62" s="73"/>
      <c r="C62" s="73"/>
      <c r="D62" s="73"/>
      <c r="E62" s="73">
        <v>4</v>
      </c>
      <c r="G62" s="73">
        <f t="shared" si="0"/>
        <v>4</v>
      </c>
      <c r="H62" s="73"/>
      <c r="I62" s="73">
        <f>'[1]D5 Gallon Forecast'!$C136/1000000</f>
        <v>1.8330040000000001</v>
      </c>
      <c r="J62" s="73">
        <f>'[1]D5 Gallon Forecast'!$C152/1000000</f>
        <v>0.44212899999999999</v>
      </c>
      <c r="K62" s="73">
        <f t="shared" si="1"/>
        <v>2.2751330000000003</v>
      </c>
      <c r="L62" s="23">
        <f t="shared" si="2"/>
        <v>6.8253990000000009</v>
      </c>
      <c r="M62" s="73"/>
      <c r="N62" s="73"/>
      <c r="O62" s="73"/>
      <c r="P62" s="73"/>
      <c r="Q62" s="73"/>
      <c r="R62" s="73"/>
      <c r="S62" s="73"/>
      <c r="V62" s="100"/>
      <c r="W62" s="100"/>
      <c r="Y62" s="100"/>
    </row>
    <row r="63" spans="1:25" x14ac:dyDescent="0.2">
      <c r="A63" s="15">
        <v>40575</v>
      </c>
      <c r="B63" s="73"/>
      <c r="C63" s="73"/>
      <c r="D63" s="73"/>
      <c r="E63" s="73">
        <v>4</v>
      </c>
      <c r="G63" s="73">
        <f t="shared" si="0"/>
        <v>4</v>
      </c>
      <c r="H63" s="73"/>
      <c r="I63" s="73">
        <f>'[1]D5 Gallon Forecast'!$C137/1000000</f>
        <v>0.59102100000000002</v>
      </c>
      <c r="J63" s="73">
        <f>'[1]D5 Gallon Forecast'!$C153/1000000</f>
        <v>0.13453000000000001</v>
      </c>
      <c r="K63" s="73">
        <f t="shared" si="1"/>
        <v>0.72555100000000006</v>
      </c>
      <c r="L63" s="23">
        <f t="shared" si="2"/>
        <v>2.1766529999999999</v>
      </c>
      <c r="M63" s="73"/>
      <c r="N63" s="73"/>
      <c r="O63" s="73"/>
      <c r="P63" s="73"/>
      <c r="Q63" s="73"/>
      <c r="R63" s="73"/>
      <c r="S63" s="73"/>
      <c r="V63" s="100"/>
      <c r="W63" s="100"/>
      <c r="Y63" s="100"/>
    </row>
    <row r="64" spans="1:25" x14ac:dyDescent="0.2">
      <c r="A64" s="15">
        <v>40603</v>
      </c>
      <c r="B64" s="73"/>
      <c r="C64" s="73"/>
      <c r="D64" s="73"/>
      <c r="E64" s="73">
        <v>4</v>
      </c>
      <c r="G64" s="73">
        <f t="shared" si="0"/>
        <v>4</v>
      </c>
      <c r="H64" s="73"/>
      <c r="I64" s="73">
        <f>'[1]D5 Gallon Forecast'!$C138/1000000</f>
        <v>0.55714399999999997</v>
      </c>
      <c r="J64" s="73">
        <f>'[1]D5 Gallon Forecast'!$C154/1000000</f>
        <v>0.20787</v>
      </c>
      <c r="K64" s="73">
        <f t="shared" si="1"/>
        <v>0.76501399999999997</v>
      </c>
      <c r="L64" s="23">
        <f t="shared" si="2"/>
        <v>2.295042</v>
      </c>
      <c r="M64" s="73"/>
      <c r="N64" s="73"/>
      <c r="O64" s="73"/>
      <c r="P64" s="73"/>
      <c r="Q64" s="73"/>
      <c r="R64" s="73"/>
      <c r="S64" s="73"/>
      <c r="V64" s="100"/>
      <c r="W64" s="100"/>
      <c r="Y64" s="100"/>
    </row>
    <row r="65" spans="1:25" x14ac:dyDescent="0.2">
      <c r="A65" s="15">
        <v>40634</v>
      </c>
      <c r="B65" s="73"/>
      <c r="C65" s="73"/>
      <c r="D65" s="73"/>
      <c r="E65" s="73">
        <v>4</v>
      </c>
      <c r="G65" s="73">
        <f t="shared" si="0"/>
        <v>4</v>
      </c>
      <c r="H65" s="73"/>
      <c r="I65" s="73">
        <f>'[1]D5 Gallon Forecast'!$C139/1000000</f>
        <v>0.18975500000000001</v>
      </c>
      <c r="J65" s="73">
        <f>'[1]D5 Gallon Forecast'!$C155/1000000</f>
        <v>8.9893000000000001E-2</v>
      </c>
      <c r="K65" s="73">
        <f t="shared" si="1"/>
        <v>0.27964800000000001</v>
      </c>
      <c r="L65" s="23">
        <f t="shared" si="2"/>
        <v>0.83894400000000002</v>
      </c>
      <c r="M65" s="73"/>
      <c r="N65" s="73"/>
      <c r="O65" s="73"/>
      <c r="P65" s="73"/>
      <c r="Q65" s="73"/>
      <c r="R65" s="73"/>
      <c r="S65" s="73"/>
      <c r="V65" s="100"/>
      <c r="W65" s="100"/>
      <c r="Y65" s="100"/>
    </row>
    <row r="66" spans="1:25" x14ac:dyDescent="0.2">
      <c r="A66" s="15">
        <v>40664</v>
      </c>
      <c r="B66" s="73"/>
      <c r="C66" s="73"/>
      <c r="D66" s="73"/>
      <c r="E66" s="73">
        <v>4</v>
      </c>
      <c r="G66" s="73">
        <f t="shared" si="0"/>
        <v>4</v>
      </c>
      <c r="H66" s="73"/>
      <c r="I66" s="73">
        <f>'[1]D5 Gallon Forecast'!$C140/1000000</f>
        <v>4.116009</v>
      </c>
      <c r="J66" s="73">
        <f>'[1]D5 Gallon Forecast'!$C156/1000000</f>
        <v>0.26461000000000001</v>
      </c>
      <c r="K66" s="73">
        <f t="shared" si="1"/>
        <v>4.3806190000000003</v>
      </c>
      <c r="L66" s="23">
        <f t="shared" si="2"/>
        <v>13.141857000000002</v>
      </c>
      <c r="M66" s="73"/>
      <c r="N66" s="73"/>
      <c r="O66" s="73"/>
      <c r="P66" s="73"/>
      <c r="Q66" s="73"/>
      <c r="R66" s="73"/>
      <c r="S66" s="73"/>
      <c r="V66" s="100"/>
      <c r="W66" s="100"/>
      <c r="Y66" s="100"/>
    </row>
    <row r="67" spans="1:25" x14ac:dyDescent="0.2">
      <c r="A67" s="15">
        <v>40695</v>
      </c>
      <c r="B67" s="73"/>
      <c r="C67" s="73"/>
      <c r="D67" s="73"/>
      <c r="E67" s="73">
        <v>4</v>
      </c>
      <c r="G67" s="73">
        <f t="shared" si="0"/>
        <v>4</v>
      </c>
      <c r="H67" s="73"/>
      <c r="I67" s="73">
        <f>'[1]D5 Gallon Forecast'!$C141/1000000</f>
        <v>0.39143800000000001</v>
      </c>
      <c r="J67" s="73">
        <f>'[1]D5 Gallon Forecast'!$C157/1000000</f>
        <v>0.42888900000000002</v>
      </c>
      <c r="K67" s="73">
        <f t="shared" si="1"/>
        <v>0.82032700000000003</v>
      </c>
      <c r="L67" s="23">
        <f t="shared" si="2"/>
        <v>2.4609810000000003</v>
      </c>
      <c r="M67" s="73"/>
      <c r="N67" s="73"/>
      <c r="O67" s="73"/>
      <c r="P67" s="73"/>
      <c r="Q67" s="73"/>
      <c r="R67" s="73"/>
      <c r="S67" s="73"/>
      <c r="V67" s="100"/>
      <c r="W67" s="100"/>
      <c r="Y67" s="100"/>
    </row>
    <row r="68" spans="1:25" x14ac:dyDescent="0.2">
      <c r="A68" s="15">
        <v>40725</v>
      </c>
      <c r="B68" s="73"/>
      <c r="C68" s="73"/>
      <c r="D68" s="73"/>
      <c r="E68" s="73">
        <v>4</v>
      </c>
      <c r="G68" s="73">
        <f t="shared" si="0"/>
        <v>4</v>
      </c>
      <c r="H68" s="73"/>
      <c r="I68" s="73">
        <f>'[1]D5 Gallon Forecast'!$C142/1000000</f>
        <v>0.27427299999999999</v>
      </c>
      <c r="J68" s="73">
        <f>'[1]D5 Gallon Forecast'!$C158/1000000</f>
        <v>0.53615800000000002</v>
      </c>
      <c r="K68" s="73">
        <f t="shared" si="1"/>
        <v>0.81043100000000001</v>
      </c>
      <c r="L68" s="23">
        <f t="shared" si="2"/>
        <v>2.4312930000000001</v>
      </c>
      <c r="M68" s="73"/>
      <c r="N68" s="73"/>
      <c r="O68" s="73"/>
      <c r="P68" s="73"/>
      <c r="Q68" s="73"/>
      <c r="R68" s="73"/>
      <c r="S68" s="73"/>
      <c r="V68" s="100"/>
      <c r="W68" s="100"/>
      <c r="Y68" s="100"/>
    </row>
    <row r="69" spans="1:25" x14ac:dyDescent="0.2">
      <c r="A69" s="15">
        <v>40756</v>
      </c>
      <c r="B69" s="73"/>
      <c r="C69" s="73"/>
      <c r="D69" s="73"/>
      <c r="E69" s="73">
        <v>4</v>
      </c>
      <c r="G69" s="73">
        <f t="shared" si="0"/>
        <v>4</v>
      </c>
      <c r="H69" s="73"/>
      <c r="I69" s="73">
        <f>'[1]D5 Gallon Forecast'!$C143/1000000</f>
        <v>0.58023400000000003</v>
      </c>
      <c r="J69" s="73">
        <f>'[1]D5 Gallon Forecast'!$C159/1000000</f>
        <v>0.56570399999999998</v>
      </c>
      <c r="K69" s="73">
        <f t="shared" si="1"/>
        <v>1.1459380000000001</v>
      </c>
      <c r="L69" s="23">
        <f t="shared" si="2"/>
        <v>3.4378140000000004</v>
      </c>
      <c r="M69" s="73"/>
      <c r="N69" s="73"/>
      <c r="O69" s="73"/>
      <c r="P69" s="73"/>
      <c r="Q69" s="73"/>
      <c r="R69" s="73"/>
      <c r="S69" s="73"/>
      <c r="V69" s="100"/>
      <c r="W69" s="100"/>
      <c r="Y69" s="100"/>
    </row>
    <row r="70" spans="1:25" x14ac:dyDescent="0.2">
      <c r="A70" s="15">
        <v>40787</v>
      </c>
      <c r="B70" s="73"/>
      <c r="C70" s="73"/>
      <c r="D70" s="73"/>
      <c r="E70" s="73">
        <v>4</v>
      </c>
      <c r="G70" s="73">
        <f t="shared" ref="G70:G133" si="3">SUM(B70:E70)</f>
        <v>4</v>
      </c>
      <c r="H70" s="73"/>
      <c r="I70" s="73">
        <f>'[1]D5 Gallon Forecast'!$C144/1000000</f>
        <v>1.2633019999999999</v>
      </c>
      <c r="J70" s="73">
        <f>'[1]D5 Gallon Forecast'!$C160/1000000</f>
        <v>0.62626000000000004</v>
      </c>
      <c r="K70" s="73">
        <f t="shared" si="1"/>
        <v>1.889562</v>
      </c>
      <c r="L70" s="23">
        <f t="shared" si="2"/>
        <v>5.6686860000000001</v>
      </c>
      <c r="M70" s="73"/>
      <c r="N70" s="73"/>
      <c r="O70" s="73"/>
      <c r="P70" s="73"/>
      <c r="Q70" s="73"/>
      <c r="R70" s="73"/>
      <c r="S70" s="73"/>
      <c r="V70" s="100"/>
      <c r="W70" s="100"/>
      <c r="Y70" s="100"/>
    </row>
    <row r="71" spans="1:25" x14ac:dyDescent="0.2">
      <c r="A71" s="15">
        <v>40817</v>
      </c>
      <c r="B71" s="73"/>
      <c r="C71" s="73"/>
      <c r="D71" s="73"/>
      <c r="E71" s="73">
        <v>4</v>
      </c>
      <c r="G71" s="73">
        <f t="shared" si="3"/>
        <v>4</v>
      </c>
      <c r="H71" s="73"/>
      <c r="I71" s="73">
        <f>'[1]D5 Gallon Forecast'!$C145/1000000</f>
        <v>0.687473</v>
      </c>
      <c r="J71" s="73">
        <f>'[1]D5 Gallon Forecast'!$C161/1000000</f>
        <v>0.462449</v>
      </c>
      <c r="K71" s="73">
        <f t="shared" si="1"/>
        <v>1.1499220000000001</v>
      </c>
      <c r="L71" s="23">
        <f t="shared" si="2"/>
        <v>3.4497660000000003</v>
      </c>
      <c r="M71" s="73"/>
      <c r="N71" s="73"/>
      <c r="O71" s="73"/>
      <c r="P71" s="73"/>
      <c r="Q71" s="73"/>
      <c r="R71" s="73"/>
      <c r="S71" s="73"/>
      <c r="V71" s="100"/>
      <c r="W71" s="100"/>
      <c r="Y71" s="100"/>
    </row>
    <row r="72" spans="1:25" x14ac:dyDescent="0.2">
      <c r="A72" s="15">
        <v>40848</v>
      </c>
      <c r="B72" s="73"/>
      <c r="C72" s="73"/>
      <c r="D72" s="73"/>
      <c r="E72" s="73">
        <v>4</v>
      </c>
      <c r="G72" s="73">
        <f t="shared" si="3"/>
        <v>4</v>
      </c>
      <c r="H72" s="73"/>
      <c r="I72" s="73">
        <f>'[1]D5 Gallon Forecast'!$C146/1000000</f>
        <v>1.2805439999999999</v>
      </c>
      <c r="J72" s="73">
        <f>'[1]D5 Gallon Forecast'!$C162/1000000</f>
        <v>0.25297700000000001</v>
      </c>
      <c r="K72" s="73">
        <f t="shared" si="1"/>
        <v>1.5335209999999999</v>
      </c>
      <c r="L72" s="23">
        <f t="shared" si="2"/>
        <v>4.6005629999999993</v>
      </c>
      <c r="M72" s="73"/>
      <c r="N72" s="73"/>
      <c r="O72" s="73"/>
      <c r="P72" s="73"/>
      <c r="Q72" s="73"/>
      <c r="R72" s="73"/>
      <c r="S72" s="73"/>
      <c r="V72" s="100"/>
      <c r="W72" s="100"/>
      <c r="Y72" s="100"/>
    </row>
    <row r="73" spans="1:25" x14ac:dyDescent="0.2">
      <c r="A73" s="15">
        <v>40878</v>
      </c>
      <c r="B73" s="73"/>
      <c r="C73" s="73"/>
      <c r="D73" s="73"/>
      <c r="E73" s="73">
        <v>4</v>
      </c>
      <c r="G73" s="73">
        <f t="shared" si="3"/>
        <v>4</v>
      </c>
      <c r="H73" s="73"/>
      <c r="I73" s="73">
        <f>'[1]D5 Gallon Forecast'!$C147/1000000</f>
        <v>0.419381</v>
      </c>
      <c r="J73" s="73">
        <f>'[1]D5 Gallon Forecast'!$C163/1000000</f>
        <v>0.52456899999999995</v>
      </c>
      <c r="K73" s="73">
        <f t="shared" si="1"/>
        <v>0.94394999999999996</v>
      </c>
      <c r="L73" s="23">
        <f t="shared" si="2"/>
        <v>2.8318499999999998</v>
      </c>
      <c r="M73" s="73"/>
      <c r="N73" s="73"/>
      <c r="O73" s="73"/>
      <c r="P73" s="73"/>
      <c r="Q73" s="73"/>
      <c r="R73" s="73"/>
      <c r="S73" s="73"/>
      <c r="V73" s="100"/>
      <c r="W73" s="100"/>
      <c r="Y73" s="100"/>
    </row>
    <row r="74" spans="1:25" x14ac:dyDescent="0.2">
      <c r="A74" s="15">
        <v>40909</v>
      </c>
      <c r="B74" s="73"/>
      <c r="C74" s="73"/>
      <c r="D74" s="73"/>
      <c r="E74" s="73">
        <v>4</v>
      </c>
      <c r="G74" s="73">
        <f t="shared" si="3"/>
        <v>4</v>
      </c>
      <c r="H74" s="73"/>
      <c r="I74" s="73">
        <f>'[1]D5 Gallon Forecast'!$D136/1000000</f>
        <v>5.0472000000000003E-2</v>
      </c>
      <c r="J74" s="73">
        <f>'[1]D5 Gallon Forecast'!$D152/1000000</f>
        <v>0.46226099999999998</v>
      </c>
      <c r="K74" s="73">
        <f t="shared" si="1"/>
        <v>0.51273299999999999</v>
      </c>
      <c r="L74" s="23">
        <f t="shared" si="2"/>
        <v>1.5381990000000001</v>
      </c>
      <c r="M74" s="73"/>
      <c r="N74" s="73"/>
      <c r="O74" s="73"/>
      <c r="P74" s="73"/>
      <c r="Q74" s="73"/>
      <c r="R74" s="73"/>
      <c r="S74" s="73"/>
      <c r="V74" s="100"/>
      <c r="W74" s="100"/>
      <c r="Y74" s="100"/>
    </row>
    <row r="75" spans="1:25" x14ac:dyDescent="0.2">
      <c r="A75" s="15">
        <v>40940</v>
      </c>
      <c r="B75" s="73"/>
      <c r="C75" s="73"/>
      <c r="D75" s="73"/>
      <c r="E75" s="73">
        <v>4</v>
      </c>
      <c r="G75" s="73">
        <f t="shared" si="3"/>
        <v>4</v>
      </c>
      <c r="H75" s="73"/>
      <c r="I75" s="73">
        <f>'[1]D5 Gallon Forecast'!$D137/1000000</f>
        <v>1.3908879999999999</v>
      </c>
      <c r="J75" s="73">
        <f>'[1]D5 Gallon Forecast'!$D153/1000000</f>
        <v>0.33199299999999998</v>
      </c>
      <c r="K75" s="73">
        <f t="shared" si="1"/>
        <v>1.7228809999999999</v>
      </c>
      <c r="L75" s="23">
        <f t="shared" si="2"/>
        <v>5.1686429999999994</v>
      </c>
      <c r="M75" s="73"/>
      <c r="N75" s="73"/>
      <c r="O75" s="73"/>
      <c r="P75" s="73"/>
      <c r="Q75" s="73"/>
      <c r="R75" s="73"/>
      <c r="S75" s="73"/>
      <c r="V75" s="100"/>
      <c r="W75" s="100"/>
      <c r="Y75" s="100"/>
    </row>
    <row r="76" spans="1:25" x14ac:dyDescent="0.2">
      <c r="A76" s="15">
        <v>40969</v>
      </c>
      <c r="B76" s="73"/>
      <c r="C76" s="73"/>
      <c r="D76" s="73"/>
      <c r="E76" s="73">
        <v>4</v>
      </c>
      <c r="G76" s="73">
        <f t="shared" si="3"/>
        <v>4</v>
      </c>
      <c r="H76" s="73"/>
      <c r="I76" s="73">
        <f>'[1]D5 Gallon Forecast'!$D138/1000000</f>
        <v>0.36244100000000001</v>
      </c>
      <c r="J76" s="73">
        <f>'[1]D5 Gallon Forecast'!$D154/1000000</f>
        <v>0.287273</v>
      </c>
      <c r="K76" s="73">
        <f t="shared" si="1"/>
        <v>0.64971400000000001</v>
      </c>
      <c r="L76" s="23">
        <f t="shared" si="2"/>
        <v>1.9491420000000002</v>
      </c>
      <c r="M76" s="73"/>
      <c r="N76" s="73"/>
      <c r="O76" s="73"/>
      <c r="P76" s="73"/>
      <c r="Q76" s="73"/>
      <c r="R76" s="73"/>
      <c r="S76" s="73"/>
      <c r="V76" s="100"/>
      <c r="W76" s="100"/>
      <c r="Y76" s="100"/>
    </row>
    <row r="77" spans="1:25" x14ac:dyDescent="0.2">
      <c r="A77" s="15">
        <v>41000</v>
      </c>
      <c r="B77" s="73"/>
      <c r="C77" s="73"/>
      <c r="D77" s="73"/>
      <c r="E77" s="73">
        <v>4</v>
      </c>
      <c r="G77" s="73">
        <f t="shared" si="3"/>
        <v>4</v>
      </c>
      <c r="H77" s="73"/>
      <c r="I77" s="73">
        <f>'[1]D5 Gallon Forecast'!$D139/1000000</f>
        <v>1.2999999999999999E-3</v>
      </c>
      <c r="J77" s="73">
        <f>'[1]D5 Gallon Forecast'!$D155/1000000</f>
        <v>0.369002</v>
      </c>
      <c r="K77" s="73">
        <f t="shared" si="1"/>
        <v>0.37030200000000002</v>
      </c>
      <c r="L77" s="23">
        <f t="shared" si="2"/>
        <v>1.1109059999999999</v>
      </c>
      <c r="M77" s="73"/>
      <c r="N77" s="73"/>
      <c r="O77" s="73"/>
      <c r="P77" s="73"/>
      <c r="Q77" s="73"/>
      <c r="R77" s="73"/>
      <c r="S77" s="73"/>
      <c r="V77" s="100"/>
      <c r="W77" s="100"/>
      <c r="Y77" s="100"/>
    </row>
    <row r="78" spans="1:25" x14ac:dyDescent="0.2">
      <c r="A78" s="15">
        <v>41030</v>
      </c>
      <c r="B78" s="73"/>
      <c r="C78" s="73"/>
      <c r="D78" s="73"/>
      <c r="E78" s="73">
        <v>4</v>
      </c>
      <c r="G78" s="73">
        <f t="shared" si="3"/>
        <v>4</v>
      </c>
      <c r="H78" s="73"/>
      <c r="I78" s="73">
        <f>'[1]D5 Gallon Forecast'!$D140/1000000</f>
        <v>1.25E-3</v>
      </c>
      <c r="J78" s="73">
        <f>'[1]D5 Gallon Forecast'!$D156/1000000</f>
        <v>0.407252</v>
      </c>
      <c r="K78" s="73">
        <f t="shared" si="1"/>
        <v>0.40850199999999998</v>
      </c>
      <c r="L78" s="23">
        <f t="shared" si="2"/>
        <v>1.225506</v>
      </c>
      <c r="M78" s="73"/>
      <c r="N78" s="73"/>
      <c r="O78" s="73"/>
      <c r="P78" s="73"/>
      <c r="Q78" s="73"/>
      <c r="R78" s="73"/>
      <c r="S78" s="73"/>
      <c r="V78" s="100"/>
      <c r="W78" s="100"/>
      <c r="Y78" s="100"/>
    </row>
    <row r="79" spans="1:25" x14ac:dyDescent="0.2">
      <c r="A79" s="15">
        <v>41061</v>
      </c>
      <c r="B79" s="73"/>
      <c r="C79" s="73"/>
      <c r="D79" s="73"/>
      <c r="E79" s="73">
        <v>4</v>
      </c>
      <c r="G79" s="73">
        <f t="shared" si="3"/>
        <v>4</v>
      </c>
      <c r="H79" s="73"/>
      <c r="I79" s="73">
        <f>'[1]D5 Gallon Forecast'!$D141/1000000</f>
        <v>6.1047999999999998E-2</v>
      </c>
      <c r="J79" s="73">
        <f>'[1]D5 Gallon Forecast'!$D157/1000000</f>
        <v>0.44938600000000001</v>
      </c>
      <c r="K79" s="73">
        <f t="shared" si="1"/>
        <v>0.51043400000000005</v>
      </c>
      <c r="L79" s="23">
        <f t="shared" si="2"/>
        <v>1.5313020000000002</v>
      </c>
      <c r="M79" s="73"/>
      <c r="N79" s="73"/>
      <c r="O79" s="73"/>
      <c r="P79" s="73"/>
      <c r="Q79" s="73"/>
      <c r="R79" s="73"/>
      <c r="S79" s="73"/>
      <c r="V79" s="100"/>
      <c r="W79" s="100"/>
      <c r="Y79" s="100"/>
    </row>
    <row r="80" spans="1:25" x14ac:dyDescent="0.2">
      <c r="A80" s="15">
        <v>41091</v>
      </c>
      <c r="B80" s="73"/>
      <c r="C80" s="73"/>
      <c r="D80" s="73"/>
      <c r="E80" s="73">
        <v>4</v>
      </c>
      <c r="G80" s="73">
        <f t="shared" si="3"/>
        <v>4</v>
      </c>
      <c r="H80" s="73"/>
      <c r="I80" s="73">
        <f>'[1]D5 Gallon Forecast'!$D142/1000000</f>
        <v>0.29482700000000001</v>
      </c>
      <c r="J80" s="73">
        <f>'[1]D5 Gallon Forecast'!$D158/1000000</f>
        <v>0.259627</v>
      </c>
      <c r="K80" s="73">
        <f t="shared" si="1"/>
        <v>0.554454</v>
      </c>
      <c r="L80" s="23">
        <f t="shared" si="2"/>
        <v>1.663362</v>
      </c>
      <c r="M80" s="73"/>
      <c r="N80" s="73"/>
      <c r="O80" s="73"/>
      <c r="P80" s="73"/>
      <c r="Q80" s="73"/>
      <c r="R80" s="73"/>
      <c r="S80" s="73"/>
      <c r="V80" s="100"/>
      <c r="W80" s="100"/>
      <c r="Y80" s="100"/>
    </row>
    <row r="81" spans="1:25" x14ac:dyDescent="0.2">
      <c r="A81" s="15">
        <v>41122</v>
      </c>
      <c r="B81" s="73"/>
      <c r="C81" s="73"/>
      <c r="D81" s="73"/>
      <c r="E81" s="73">
        <v>4</v>
      </c>
      <c r="G81" s="73">
        <f t="shared" si="3"/>
        <v>4</v>
      </c>
      <c r="H81" s="73"/>
      <c r="I81" s="73">
        <f>'[1]D5 Gallon Forecast'!$D143/1000000</f>
        <v>8.0999999999999996E-4</v>
      </c>
      <c r="J81" s="73">
        <f>'[1]D5 Gallon Forecast'!$D159/1000000</f>
        <v>1.2327379999999999</v>
      </c>
      <c r="K81" s="73">
        <f t="shared" si="1"/>
        <v>1.2335479999999999</v>
      </c>
      <c r="L81" s="23">
        <f t="shared" si="2"/>
        <v>3.7006439999999996</v>
      </c>
      <c r="M81" s="73"/>
      <c r="N81" s="73"/>
      <c r="O81" s="73"/>
      <c r="P81" s="73"/>
      <c r="Q81" s="73"/>
      <c r="R81" s="73"/>
      <c r="S81" s="73"/>
      <c r="V81" s="100"/>
      <c r="W81" s="100"/>
      <c r="Y81" s="100"/>
    </row>
    <row r="82" spans="1:25" x14ac:dyDescent="0.2">
      <c r="A82" s="15">
        <v>41153</v>
      </c>
      <c r="B82" s="73"/>
      <c r="C82" s="73"/>
      <c r="D82" s="73"/>
      <c r="E82" s="73">
        <v>4</v>
      </c>
      <c r="G82" s="73">
        <f t="shared" si="3"/>
        <v>4</v>
      </c>
      <c r="H82" s="73"/>
      <c r="I82" s="73">
        <f>'[1]D5 Gallon Forecast'!$D144/1000000</f>
        <v>1E-3</v>
      </c>
      <c r="J82" s="73">
        <f>'[1]D5 Gallon Forecast'!$D160/1000000</f>
        <v>1.0391250000000001</v>
      </c>
      <c r="K82" s="73">
        <f t="shared" si="1"/>
        <v>1.040125</v>
      </c>
      <c r="L82" s="23">
        <f t="shared" si="2"/>
        <v>3.1203750000000001</v>
      </c>
      <c r="M82" s="73"/>
      <c r="N82" s="73"/>
      <c r="O82" s="73"/>
      <c r="P82" s="73"/>
      <c r="Q82" s="73"/>
      <c r="R82" s="73"/>
      <c r="S82" s="73"/>
      <c r="V82" s="100"/>
      <c r="W82" s="100"/>
      <c r="Y82" s="100"/>
    </row>
    <row r="83" spans="1:25" x14ac:dyDescent="0.2">
      <c r="A83" s="15">
        <v>41183</v>
      </c>
      <c r="B83" s="73"/>
      <c r="C83" s="73"/>
      <c r="D83" s="73"/>
      <c r="E83" s="73">
        <v>4</v>
      </c>
      <c r="G83" s="73">
        <f t="shared" si="3"/>
        <v>4</v>
      </c>
      <c r="H83" s="73"/>
      <c r="I83" s="73">
        <f>'[1]D5 Gallon Forecast'!$D145/1000000</f>
        <v>1.0499999999999999E-3</v>
      </c>
      <c r="J83" s="73">
        <f>'[1]D5 Gallon Forecast'!$D161/1000000</f>
        <v>1.11839</v>
      </c>
      <c r="K83" s="73">
        <f t="shared" si="1"/>
        <v>1.11944</v>
      </c>
      <c r="L83" s="23">
        <f t="shared" si="2"/>
        <v>3.35832</v>
      </c>
      <c r="M83" s="73"/>
      <c r="N83" s="73"/>
      <c r="O83" s="73"/>
      <c r="P83" s="73"/>
      <c r="Q83" s="73"/>
      <c r="R83" s="73"/>
      <c r="S83" s="73"/>
      <c r="V83" s="100"/>
      <c r="W83" s="100"/>
      <c r="Y83" s="100"/>
    </row>
    <row r="84" spans="1:25" x14ac:dyDescent="0.2">
      <c r="A84" s="15">
        <v>41214</v>
      </c>
      <c r="B84" s="73"/>
      <c r="C84" s="73"/>
      <c r="D84" s="73"/>
      <c r="E84" s="73">
        <v>4</v>
      </c>
      <c r="G84" s="73">
        <f t="shared" si="3"/>
        <v>4</v>
      </c>
      <c r="H84" s="73"/>
      <c r="I84" s="73">
        <f>'[1]D5 Gallon Forecast'!$D146/1000000</f>
        <v>1.1999999999999999E-3</v>
      </c>
      <c r="J84" s="73">
        <f>'[1]D5 Gallon Forecast'!$D162/1000000</f>
        <v>1.903918</v>
      </c>
      <c r="K84" s="73">
        <f t="shared" si="1"/>
        <v>1.9051180000000001</v>
      </c>
      <c r="L84" s="23">
        <f t="shared" si="2"/>
        <v>5.7153540000000005</v>
      </c>
      <c r="M84" s="73"/>
      <c r="N84" s="73"/>
      <c r="O84" s="73"/>
      <c r="P84" s="73"/>
      <c r="Q84" s="73"/>
      <c r="R84" s="73"/>
      <c r="S84" s="73"/>
      <c r="V84" s="100"/>
      <c r="W84" s="100"/>
      <c r="Y84" s="100"/>
    </row>
    <row r="85" spans="1:25" x14ac:dyDescent="0.2">
      <c r="A85" s="15">
        <v>41244</v>
      </c>
      <c r="B85" s="73"/>
      <c r="C85" s="73"/>
      <c r="D85" s="73"/>
      <c r="E85" s="73">
        <v>4</v>
      </c>
      <c r="G85" s="73">
        <f t="shared" si="3"/>
        <v>4</v>
      </c>
      <c r="H85" s="73"/>
      <c r="I85" s="73">
        <f>'[1]D5 Gallon Forecast'!$D147/1000000</f>
        <v>1E-3</v>
      </c>
      <c r="J85" s="73">
        <f>'[1]D5 Gallon Forecast'!$D163/1000000</f>
        <v>2.1773669999999998</v>
      </c>
      <c r="K85" s="73">
        <f t="shared" si="1"/>
        <v>2.1783669999999997</v>
      </c>
      <c r="L85" s="23">
        <f t="shared" si="2"/>
        <v>6.5351009999999992</v>
      </c>
      <c r="M85" s="73"/>
      <c r="N85" s="73"/>
      <c r="O85" s="73"/>
      <c r="P85" s="73"/>
      <c r="Q85" s="73"/>
      <c r="R85" s="73"/>
      <c r="S85" s="73"/>
      <c r="V85" s="100"/>
      <c r="W85" s="100"/>
      <c r="Y85" s="100"/>
    </row>
    <row r="86" spans="1:25" x14ac:dyDescent="0.2">
      <c r="A86" s="15">
        <v>41275</v>
      </c>
      <c r="B86" s="73"/>
      <c r="C86" s="73"/>
      <c r="D86" s="73"/>
      <c r="E86" s="73">
        <v>4</v>
      </c>
      <c r="G86" s="73">
        <f t="shared" si="3"/>
        <v>4</v>
      </c>
      <c r="H86" s="73"/>
      <c r="I86" s="73">
        <f>'[1]D5 Gallon Forecast'!$E136/1000000</f>
        <v>1.243E-3</v>
      </c>
      <c r="J86" s="73">
        <f>'[1]D5 Gallon Forecast'!$E152/1000000</f>
        <v>0.40253499999999998</v>
      </c>
      <c r="K86" s="73">
        <f t="shared" si="1"/>
        <v>0.40377799999999997</v>
      </c>
      <c r="L86" s="23">
        <f t="shared" si="2"/>
        <v>1.2113339999999999</v>
      </c>
      <c r="M86" s="73"/>
      <c r="N86" s="73"/>
      <c r="O86" s="73"/>
      <c r="P86" s="73"/>
      <c r="Q86" s="73"/>
      <c r="R86" s="73"/>
      <c r="S86" s="73"/>
      <c r="V86" s="100"/>
      <c r="W86" s="100"/>
      <c r="Y86" s="100"/>
    </row>
    <row r="87" spans="1:25" x14ac:dyDescent="0.2">
      <c r="A87" s="15">
        <v>41306</v>
      </c>
      <c r="B87" s="73"/>
      <c r="C87" s="73"/>
      <c r="D87" s="73"/>
      <c r="E87" s="73">
        <v>4</v>
      </c>
      <c r="G87" s="73">
        <f t="shared" si="3"/>
        <v>4</v>
      </c>
      <c r="H87" s="73"/>
      <c r="I87" s="73">
        <f>'[1]D5 Gallon Forecast'!$E137/1000000</f>
        <v>1.7420000000000001E-3</v>
      </c>
      <c r="J87" s="73">
        <f>'[1]D5 Gallon Forecast'!$E153/1000000</f>
        <v>0.58137799999999995</v>
      </c>
      <c r="K87" s="73">
        <f t="shared" si="1"/>
        <v>0.58311999999999997</v>
      </c>
      <c r="L87" s="23">
        <f t="shared" si="2"/>
        <v>1.7493599999999998</v>
      </c>
      <c r="M87" s="73"/>
      <c r="N87" s="73"/>
      <c r="O87" s="73"/>
      <c r="P87" s="73"/>
      <c r="Q87" s="73"/>
      <c r="R87" s="73"/>
      <c r="S87" s="73"/>
      <c r="V87" s="100"/>
      <c r="W87" s="100"/>
      <c r="Y87" s="100"/>
    </row>
    <row r="88" spans="1:25" x14ac:dyDescent="0.2">
      <c r="A88" s="15">
        <v>41334</v>
      </c>
      <c r="B88" s="73"/>
      <c r="C88" s="73"/>
      <c r="D88" s="73"/>
      <c r="E88" s="73">
        <v>4</v>
      </c>
      <c r="G88" s="73">
        <f t="shared" si="3"/>
        <v>4</v>
      </c>
      <c r="H88" s="73"/>
      <c r="I88" s="73">
        <f>'[1]D5 Gallon Forecast'!$E138/1000000</f>
        <v>1.6770000000000001E-3</v>
      </c>
      <c r="J88" s="73">
        <f>'[1]D5 Gallon Forecast'!$E154/1000000</f>
        <v>0.69278899999999999</v>
      </c>
      <c r="K88" s="73">
        <f t="shared" si="1"/>
        <v>0.69446600000000003</v>
      </c>
      <c r="L88" s="23">
        <f t="shared" si="2"/>
        <v>2.0833979999999999</v>
      </c>
      <c r="M88" s="73"/>
      <c r="N88" s="73"/>
      <c r="O88" s="73"/>
      <c r="P88" s="73"/>
      <c r="Q88" s="73"/>
      <c r="R88" s="73"/>
      <c r="S88" s="73"/>
      <c r="V88" s="100"/>
      <c r="W88" s="100"/>
      <c r="Y88" s="100"/>
    </row>
    <row r="89" spans="1:25" x14ac:dyDescent="0.2">
      <c r="A89" s="15">
        <v>41365</v>
      </c>
      <c r="B89" s="73"/>
      <c r="C89" s="73"/>
      <c r="D89" s="73"/>
      <c r="E89" s="73">
        <v>4</v>
      </c>
      <c r="G89" s="73">
        <f t="shared" si="3"/>
        <v>4</v>
      </c>
      <c r="H89" s="73"/>
      <c r="I89" s="73">
        <f>'[1]D5 Gallon Forecast'!$E139/1000000</f>
        <v>1.2999999999999999E-3</v>
      </c>
      <c r="J89" s="73">
        <f>'[1]D5 Gallon Forecast'!$E155/1000000</f>
        <v>0.64869600000000005</v>
      </c>
      <c r="K89" s="73">
        <f t="shared" si="1"/>
        <v>0.64999600000000002</v>
      </c>
      <c r="L89" s="23">
        <f t="shared" si="2"/>
        <v>1.9499880000000001</v>
      </c>
      <c r="M89" s="73"/>
      <c r="N89" s="73"/>
      <c r="O89" s="73"/>
      <c r="P89" s="73"/>
      <c r="Q89" s="73"/>
      <c r="R89" s="73"/>
      <c r="S89" s="73"/>
      <c r="V89" s="100"/>
      <c r="W89" s="100"/>
      <c r="Y89" s="100"/>
    </row>
    <row r="90" spans="1:25" x14ac:dyDescent="0.2">
      <c r="A90" s="15">
        <v>41395</v>
      </c>
      <c r="B90" s="73"/>
      <c r="C90" s="73"/>
      <c r="D90" s="73"/>
      <c r="E90" s="73">
        <v>4</v>
      </c>
      <c r="G90" s="73">
        <f t="shared" si="3"/>
        <v>4</v>
      </c>
      <c r="H90" s="73"/>
      <c r="I90" s="73">
        <f>'[1]D5 Gallon Forecast'!$E140/1000000</f>
        <v>1.0499999999999999E-3</v>
      </c>
      <c r="J90" s="73">
        <f>'[1]D5 Gallon Forecast'!$E156/1000000</f>
        <v>1.824678</v>
      </c>
      <c r="K90" s="73">
        <f t="shared" si="1"/>
        <v>1.825728</v>
      </c>
      <c r="L90" s="23">
        <f t="shared" si="2"/>
        <v>5.4771840000000003</v>
      </c>
      <c r="M90" s="73"/>
      <c r="N90" s="73"/>
      <c r="O90" s="73"/>
      <c r="P90" s="73"/>
      <c r="Q90" s="73"/>
      <c r="R90" s="73"/>
      <c r="S90" s="73"/>
      <c r="V90" s="100"/>
      <c r="W90" s="100"/>
      <c r="Y90" s="100"/>
    </row>
    <row r="91" spans="1:25" x14ac:dyDescent="0.2">
      <c r="A91" s="15">
        <v>41426</v>
      </c>
      <c r="B91" s="73"/>
      <c r="C91" s="73"/>
      <c r="D91" s="73"/>
      <c r="E91" s="73">
        <v>4</v>
      </c>
      <c r="G91" s="73">
        <f t="shared" si="3"/>
        <v>4</v>
      </c>
      <c r="H91" s="73"/>
      <c r="I91" s="73">
        <f>'[1]D5 Gallon Forecast'!$E141/1000000</f>
        <v>1.25E-3</v>
      </c>
      <c r="J91" s="73">
        <f>'[1]D5 Gallon Forecast'!$E157/1000000</f>
        <v>5.6550659999999997</v>
      </c>
      <c r="K91" s="73">
        <f t="shared" si="1"/>
        <v>5.6563159999999995</v>
      </c>
      <c r="L91" s="23">
        <f t="shared" si="2"/>
        <v>16.968947999999997</v>
      </c>
      <c r="M91" s="73"/>
      <c r="N91" s="73"/>
      <c r="O91" s="73"/>
      <c r="P91" s="73"/>
      <c r="Q91" s="73"/>
      <c r="R91" s="73"/>
      <c r="S91" s="73"/>
      <c r="V91" s="100"/>
      <c r="W91" s="100"/>
      <c r="Y91" s="100"/>
    </row>
    <row r="92" spans="1:25" x14ac:dyDescent="0.2">
      <c r="A92" s="15">
        <v>41456</v>
      </c>
      <c r="B92" s="73"/>
      <c r="C92" s="73"/>
      <c r="D92" s="73"/>
      <c r="E92" s="73">
        <v>4</v>
      </c>
      <c r="G92" s="73">
        <f t="shared" si="3"/>
        <v>4</v>
      </c>
      <c r="H92" s="73"/>
      <c r="I92" s="73">
        <f>'[1]D5 Gallon Forecast'!$E142/1000000</f>
        <v>1.25E-3</v>
      </c>
      <c r="J92" s="73">
        <f>'[1]D5 Gallon Forecast'!$E158/1000000</f>
        <v>4.3562919999999998</v>
      </c>
      <c r="K92" s="73">
        <f t="shared" si="1"/>
        <v>4.3575419999999996</v>
      </c>
      <c r="L92" s="23">
        <f t="shared" si="2"/>
        <v>13.072626</v>
      </c>
      <c r="M92" s="73"/>
      <c r="N92" s="73"/>
      <c r="O92" s="73"/>
      <c r="P92" s="73"/>
      <c r="Q92" s="73"/>
      <c r="R92" s="73"/>
      <c r="S92" s="73"/>
      <c r="V92" s="100"/>
      <c r="W92" s="100"/>
      <c r="Y92" s="100"/>
    </row>
    <row r="93" spans="1:25" x14ac:dyDescent="0.2">
      <c r="A93" s="15">
        <v>41487</v>
      </c>
      <c r="B93" s="73"/>
      <c r="C93" s="73"/>
      <c r="D93" s="73"/>
      <c r="E93" s="73">
        <v>4</v>
      </c>
      <c r="G93" s="73">
        <f t="shared" si="3"/>
        <v>4</v>
      </c>
      <c r="H93" s="73"/>
      <c r="I93" s="73">
        <f>'[1]D5 Gallon Forecast'!$E143/1000000</f>
        <v>2.5000000000000001E-4</v>
      </c>
      <c r="J93" s="73">
        <f>'[1]D5 Gallon Forecast'!$E159/1000000</f>
        <v>6.3661820000000002</v>
      </c>
      <c r="K93" s="73">
        <f t="shared" si="1"/>
        <v>6.3664320000000005</v>
      </c>
      <c r="L93" s="23">
        <f t="shared" si="2"/>
        <v>19.099296000000002</v>
      </c>
      <c r="M93" s="73"/>
      <c r="N93" s="73"/>
      <c r="O93" s="73"/>
      <c r="P93" s="73"/>
      <c r="Q93" s="73"/>
      <c r="R93" s="73"/>
      <c r="S93" s="73"/>
      <c r="V93" s="100"/>
      <c r="W93" s="100"/>
      <c r="Y93" s="100"/>
    </row>
    <row r="94" spans="1:25" x14ac:dyDescent="0.2">
      <c r="A94" s="15">
        <v>41518</v>
      </c>
      <c r="B94" s="73"/>
      <c r="C94" s="73"/>
      <c r="D94" s="73"/>
      <c r="E94" s="73">
        <v>4</v>
      </c>
      <c r="G94" s="73">
        <f t="shared" si="3"/>
        <v>4</v>
      </c>
      <c r="H94" s="73"/>
      <c r="I94" s="73">
        <f>'[1]D5 Gallon Forecast'!$E144/1000000</f>
        <v>6.9999999999999999E-4</v>
      </c>
      <c r="J94" s="73">
        <f>'[1]D5 Gallon Forecast'!$E160/1000000</f>
        <v>7.8724059999999998</v>
      </c>
      <c r="K94" s="73">
        <f t="shared" si="1"/>
        <v>7.8731059999999999</v>
      </c>
      <c r="L94" s="23">
        <f t="shared" si="2"/>
        <v>23.619318</v>
      </c>
      <c r="M94" s="73"/>
      <c r="N94" s="73"/>
      <c r="O94" s="73"/>
      <c r="P94" s="73"/>
      <c r="Q94" s="73"/>
      <c r="R94" s="73"/>
      <c r="S94" s="73"/>
      <c r="V94" s="100"/>
      <c r="W94" s="100"/>
      <c r="Y94" s="100"/>
    </row>
    <row r="95" spans="1:25" x14ac:dyDescent="0.2">
      <c r="A95" s="15">
        <v>41548</v>
      </c>
      <c r="B95" s="73"/>
      <c r="C95" s="73"/>
      <c r="D95" s="73"/>
      <c r="E95" s="73">
        <v>4</v>
      </c>
      <c r="G95" s="73">
        <f t="shared" si="3"/>
        <v>4</v>
      </c>
      <c r="H95" s="73"/>
      <c r="I95" s="73">
        <f>'[1]D5 Gallon Forecast'!$E145/1000000</f>
        <v>5.0000000000000001E-4</v>
      </c>
      <c r="J95" s="73">
        <f>'[1]D5 Gallon Forecast'!$E161/1000000</f>
        <v>7.8781980000000003</v>
      </c>
      <c r="K95" s="73">
        <f t="shared" si="1"/>
        <v>7.878698</v>
      </c>
      <c r="L95" s="23">
        <f t="shared" si="2"/>
        <v>23.636094</v>
      </c>
      <c r="M95" s="73"/>
      <c r="N95" s="73"/>
      <c r="O95" s="73"/>
      <c r="P95" s="73"/>
      <c r="Q95" s="73"/>
      <c r="R95" s="73"/>
      <c r="S95" s="73"/>
      <c r="V95" s="100"/>
      <c r="W95" s="100"/>
      <c r="Y95" s="100"/>
    </row>
    <row r="96" spans="1:25" x14ac:dyDescent="0.2">
      <c r="A96" s="15">
        <v>41579</v>
      </c>
      <c r="B96" s="73"/>
      <c r="C96" s="73"/>
      <c r="D96" s="73"/>
      <c r="E96" s="73">
        <v>4</v>
      </c>
      <c r="G96" s="73">
        <f t="shared" si="3"/>
        <v>4</v>
      </c>
      <c r="H96" s="73"/>
      <c r="I96" s="73">
        <f>'[1]D5 Gallon Forecast'!$E146/1000000</f>
        <v>0</v>
      </c>
      <c r="J96" s="73">
        <f>'[1]D5 Gallon Forecast'!$E162/1000000</f>
        <v>4.4204559999999997</v>
      </c>
      <c r="K96" s="73">
        <f t="shared" si="1"/>
        <v>4.4204559999999997</v>
      </c>
      <c r="L96" s="23">
        <f t="shared" si="2"/>
        <v>13.261367999999999</v>
      </c>
      <c r="M96" s="73"/>
      <c r="N96" s="73"/>
      <c r="O96" s="73"/>
      <c r="P96" s="73"/>
      <c r="Q96" s="73"/>
      <c r="R96" s="73"/>
      <c r="S96" s="73"/>
      <c r="V96" s="100"/>
      <c r="W96" s="100"/>
      <c r="Y96" s="100"/>
    </row>
    <row r="97" spans="1:25" x14ac:dyDescent="0.2">
      <c r="A97" s="15">
        <v>41609</v>
      </c>
      <c r="B97" s="73"/>
      <c r="C97" s="73"/>
      <c r="D97" s="73"/>
      <c r="E97" s="73">
        <v>4</v>
      </c>
      <c r="G97" s="73">
        <f t="shared" si="3"/>
        <v>4</v>
      </c>
      <c r="H97" s="73"/>
      <c r="I97" s="73">
        <f>'[1]D5 Gallon Forecast'!$E147/1000000</f>
        <v>6.4999999999999997E-4</v>
      </c>
      <c r="J97" s="73">
        <f>'[1]D5 Gallon Forecast'!$E163/1000000</f>
        <v>0.56815400000000005</v>
      </c>
      <c r="K97" s="73">
        <f t="shared" si="1"/>
        <v>0.56880400000000009</v>
      </c>
      <c r="L97" s="23">
        <f t="shared" si="2"/>
        <v>1.7064120000000003</v>
      </c>
      <c r="M97" s="73"/>
      <c r="N97" s="73"/>
      <c r="O97" s="73"/>
      <c r="P97" s="73"/>
      <c r="Q97" s="73"/>
      <c r="R97" s="73"/>
      <c r="S97" s="73"/>
      <c r="V97" s="100"/>
      <c r="W97" s="100"/>
      <c r="Y97" s="100"/>
    </row>
    <row r="98" spans="1:25" x14ac:dyDescent="0.2">
      <c r="A98" s="15">
        <v>41640</v>
      </c>
      <c r="B98" s="73"/>
      <c r="C98" s="73"/>
      <c r="D98" s="73"/>
      <c r="E98" s="73">
        <v>4</v>
      </c>
      <c r="G98" s="73">
        <f t="shared" si="3"/>
        <v>4</v>
      </c>
      <c r="H98" s="73"/>
      <c r="I98" s="73">
        <f>'[1]D5 Gallon Forecast'!$F136/1000000</f>
        <v>0</v>
      </c>
      <c r="J98" s="73">
        <f>'[1]D5 Gallon Forecast'!$F152/1000000</f>
        <v>0.23425799999999999</v>
      </c>
      <c r="K98" s="73">
        <f t="shared" si="1"/>
        <v>0.23425799999999999</v>
      </c>
      <c r="L98" s="23">
        <f t="shared" si="2"/>
        <v>0.70277400000000001</v>
      </c>
      <c r="M98" s="73"/>
      <c r="N98" s="73"/>
      <c r="O98" s="73"/>
      <c r="P98" s="73"/>
      <c r="Q98" s="73"/>
      <c r="R98" s="73"/>
      <c r="S98" s="73"/>
      <c r="V98" s="100"/>
      <c r="W98" s="100"/>
      <c r="Y98" s="100"/>
    </row>
    <row r="99" spans="1:25" x14ac:dyDescent="0.2">
      <c r="A99" s="15">
        <v>41671</v>
      </c>
      <c r="B99" s="73"/>
      <c r="C99" s="73"/>
      <c r="D99" s="73"/>
      <c r="E99" s="73">
        <v>4</v>
      </c>
      <c r="G99" s="73">
        <f t="shared" si="3"/>
        <v>4</v>
      </c>
      <c r="H99" s="73"/>
      <c r="I99" s="73">
        <f>'[1]D5 Gallon Forecast'!$F137/1000000</f>
        <v>2.9999999999999997E-4</v>
      </c>
      <c r="J99" s="73">
        <f>'[1]D5 Gallon Forecast'!$F153/1000000</f>
        <v>0.52300100000000005</v>
      </c>
      <c r="K99" s="73">
        <f t="shared" si="1"/>
        <v>0.52330100000000002</v>
      </c>
      <c r="L99" s="23">
        <f t="shared" si="2"/>
        <v>1.569903</v>
      </c>
      <c r="M99" s="73"/>
      <c r="N99" s="73"/>
      <c r="O99" s="73"/>
      <c r="P99" s="73"/>
      <c r="Q99" s="73"/>
      <c r="R99" s="73"/>
      <c r="S99" s="73"/>
      <c r="V99" s="100"/>
      <c r="W99" s="100"/>
      <c r="Y99" s="100"/>
    </row>
    <row r="100" spans="1:25" x14ac:dyDescent="0.2">
      <c r="A100" s="15">
        <v>41699</v>
      </c>
      <c r="B100" s="73"/>
      <c r="C100" s="73"/>
      <c r="D100" s="73"/>
      <c r="E100" s="73">
        <v>4</v>
      </c>
      <c r="G100" s="73">
        <f t="shared" si="3"/>
        <v>4</v>
      </c>
      <c r="H100" s="73"/>
      <c r="I100" s="73">
        <f>'[1]D5 Gallon Forecast'!$F138/1000000</f>
        <v>0</v>
      </c>
      <c r="J100" s="73">
        <f>'[1]D5 Gallon Forecast'!$F154/1000000</f>
        <v>0.73851599999999995</v>
      </c>
      <c r="K100" s="73">
        <f t="shared" si="1"/>
        <v>0.73851599999999995</v>
      </c>
      <c r="L100" s="23">
        <f t="shared" si="2"/>
        <v>2.2155480000000001</v>
      </c>
      <c r="M100" s="73"/>
      <c r="N100" s="73"/>
      <c r="O100" s="73"/>
      <c r="P100" s="73"/>
      <c r="Q100" s="73"/>
      <c r="R100" s="73"/>
      <c r="S100" s="73"/>
      <c r="V100" s="100"/>
      <c r="W100" s="100"/>
      <c r="Y100" s="100"/>
    </row>
    <row r="101" spans="1:25" x14ac:dyDescent="0.2">
      <c r="A101" s="15">
        <v>41730</v>
      </c>
      <c r="B101" s="73"/>
      <c r="C101" s="73"/>
      <c r="D101" s="73"/>
      <c r="E101" s="73">
        <v>4</v>
      </c>
      <c r="G101" s="73">
        <f t="shared" si="3"/>
        <v>4</v>
      </c>
      <c r="H101" s="73"/>
      <c r="I101" s="73">
        <f>'[1]D5 Gallon Forecast'!$F139/1000000</f>
        <v>0</v>
      </c>
      <c r="J101" s="73">
        <f>'[1]D5 Gallon Forecast'!$F155/1000000</f>
        <v>0.91891100000000003</v>
      </c>
      <c r="K101" s="73">
        <f t="shared" si="1"/>
        <v>0.91891100000000003</v>
      </c>
      <c r="L101" s="23">
        <f t="shared" si="2"/>
        <v>2.7567330000000001</v>
      </c>
      <c r="M101" s="73"/>
      <c r="N101" s="73"/>
      <c r="O101" s="73"/>
      <c r="P101" s="73"/>
      <c r="Q101" s="73"/>
      <c r="R101" s="73"/>
      <c r="S101" s="73"/>
      <c r="V101" s="100"/>
      <c r="W101" s="100"/>
      <c r="Y101" s="100"/>
    </row>
    <row r="102" spans="1:25" x14ac:dyDescent="0.2">
      <c r="A102" s="15">
        <v>41760</v>
      </c>
      <c r="B102" s="73"/>
      <c r="C102" s="73"/>
      <c r="D102" s="73"/>
      <c r="E102" s="73">
        <v>4</v>
      </c>
      <c r="G102" s="73">
        <f t="shared" si="3"/>
        <v>4</v>
      </c>
      <c r="H102" s="73"/>
      <c r="I102" s="73">
        <f>'[1]D5 Gallon Forecast'!$F140/1000000</f>
        <v>0</v>
      </c>
      <c r="J102" s="73">
        <f>'[1]D5 Gallon Forecast'!$F156/1000000</f>
        <v>0.76166</v>
      </c>
      <c r="K102" s="73">
        <f t="shared" si="1"/>
        <v>0.76166</v>
      </c>
      <c r="L102" s="23">
        <f t="shared" si="2"/>
        <v>2.28498</v>
      </c>
      <c r="M102" s="73"/>
      <c r="N102" s="73"/>
      <c r="O102" s="73"/>
      <c r="P102" s="73"/>
      <c r="Q102" s="73"/>
      <c r="R102" s="73"/>
      <c r="S102" s="73"/>
      <c r="V102" s="100"/>
      <c r="W102" s="100"/>
      <c r="Y102" s="100"/>
    </row>
    <row r="103" spans="1:25" x14ac:dyDescent="0.2">
      <c r="A103" s="15">
        <v>41791</v>
      </c>
      <c r="B103" s="73"/>
      <c r="C103" s="73"/>
      <c r="D103" s="73"/>
      <c r="E103" s="73">
        <v>4</v>
      </c>
      <c r="G103" s="73">
        <f t="shared" si="3"/>
        <v>4</v>
      </c>
      <c r="H103" s="73"/>
      <c r="I103" s="73">
        <f>'[1]D5 Gallon Forecast'!$F141/1000000</f>
        <v>0</v>
      </c>
      <c r="J103" s="73">
        <f>'[1]D5 Gallon Forecast'!$F157/1000000</f>
        <v>0.77690300000000001</v>
      </c>
      <c r="K103" s="73">
        <f t="shared" si="1"/>
        <v>0.77690300000000001</v>
      </c>
      <c r="L103" s="23">
        <f t="shared" si="2"/>
        <v>2.3307090000000001</v>
      </c>
      <c r="M103" s="73"/>
      <c r="N103" s="73"/>
      <c r="O103" s="73"/>
      <c r="P103" s="73"/>
      <c r="Q103" s="73"/>
      <c r="R103" s="73"/>
      <c r="S103" s="73"/>
      <c r="V103" s="100"/>
      <c r="W103" s="100"/>
      <c r="Y103" s="100"/>
    </row>
    <row r="104" spans="1:25" x14ac:dyDescent="0.2">
      <c r="A104" s="15">
        <v>41821</v>
      </c>
      <c r="B104" s="73"/>
      <c r="C104" s="73"/>
      <c r="D104" s="73"/>
      <c r="E104" s="73">
        <v>4</v>
      </c>
      <c r="G104" s="73">
        <f t="shared" si="3"/>
        <v>4</v>
      </c>
      <c r="H104" s="73"/>
      <c r="I104" s="73">
        <f>'[1]D5 Gallon Forecast'!$F142/1000000</f>
        <v>0</v>
      </c>
      <c r="J104" s="73">
        <f>'[1]D5 Gallon Forecast'!$F158/1000000</f>
        <v>1.384274</v>
      </c>
      <c r="K104" s="73">
        <f t="shared" si="1"/>
        <v>1.384274</v>
      </c>
      <c r="L104" s="23">
        <f t="shared" si="2"/>
        <v>4.1528220000000005</v>
      </c>
      <c r="M104" s="73"/>
      <c r="N104" s="73"/>
      <c r="O104" s="73"/>
      <c r="P104" s="73"/>
      <c r="Q104" s="73"/>
      <c r="R104" s="73"/>
      <c r="S104" s="73"/>
      <c r="V104" s="100"/>
      <c r="W104" s="100"/>
      <c r="Y104" s="100"/>
    </row>
    <row r="105" spans="1:25" x14ac:dyDescent="0.2">
      <c r="A105" s="15">
        <v>41852</v>
      </c>
      <c r="B105" s="73"/>
      <c r="C105" s="73"/>
      <c r="D105" s="73"/>
      <c r="E105" s="73">
        <v>4</v>
      </c>
      <c r="G105" s="73">
        <f t="shared" si="3"/>
        <v>4</v>
      </c>
      <c r="H105" s="73"/>
      <c r="I105" s="73">
        <f>'[1]D5 Gallon Forecast'!$F143/1000000</f>
        <v>0</v>
      </c>
      <c r="J105" s="73">
        <f>'[1]D5 Gallon Forecast'!$F159/1000000</f>
        <v>0.48860100000000001</v>
      </c>
      <c r="K105" s="73">
        <f t="shared" si="1"/>
        <v>0.48860100000000001</v>
      </c>
      <c r="L105" s="23">
        <f t="shared" si="2"/>
        <v>1.465803</v>
      </c>
      <c r="M105" s="73"/>
      <c r="N105" s="73"/>
      <c r="O105" s="73"/>
      <c r="P105" s="73"/>
      <c r="Q105" s="73"/>
      <c r="R105" s="73"/>
      <c r="S105" s="73"/>
      <c r="V105" s="100"/>
      <c r="W105" s="100"/>
      <c r="Y105" s="100"/>
    </row>
    <row r="106" spans="1:25" x14ac:dyDescent="0.2">
      <c r="A106" s="15">
        <v>41883</v>
      </c>
      <c r="B106" s="73"/>
      <c r="C106" s="73"/>
      <c r="D106" s="73"/>
      <c r="E106" s="73">
        <v>4</v>
      </c>
      <c r="G106" s="73">
        <f t="shared" si="3"/>
        <v>4</v>
      </c>
      <c r="H106" s="73"/>
      <c r="I106" s="73">
        <f>'[1]D5 Gallon Forecast'!$F144/1000000</f>
        <v>0</v>
      </c>
      <c r="J106" s="73">
        <f>'[1]D5 Gallon Forecast'!$F160/1000000</f>
        <v>0.62600599999999995</v>
      </c>
      <c r="K106" s="73">
        <f t="shared" si="1"/>
        <v>0.62600599999999995</v>
      </c>
      <c r="L106" s="23">
        <f t="shared" si="2"/>
        <v>1.878018</v>
      </c>
      <c r="M106" s="73"/>
      <c r="N106" s="73"/>
      <c r="O106" s="73"/>
      <c r="P106" s="73"/>
      <c r="Q106" s="73"/>
      <c r="R106" s="73"/>
      <c r="S106" s="73"/>
      <c r="V106" s="100"/>
      <c r="W106" s="100"/>
      <c r="Y106" s="100"/>
    </row>
    <row r="107" spans="1:25" x14ac:dyDescent="0.2">
      <c r="A107" s="15">
        <v>41913</v>
      </c>
      <c r="B107" s="73"/>
      <c r="C107" s="73"/>
      <c r="D107" s="73"/>
      <c r="E107" s="73">
        <v>4</v>
      </c>
      <c r="G107" s="73">
        <f t="shared" si="3"/>
        <v>4</v>
      </c>
      <c r="H107" s="73"/>
      <c r="I107" s="73">
        <f>'[1]D5 Gallon Forecast'!$F145/1000000</f>
        <v>0</v>
      </c>
      <c r="J107" s="73">
        <f>'[1]D5 Gallon Forecast'!$F161/1000000</f>
        <v>0.84254399999999996</v>
      </c>
      <c r="K107" s="73">
        <f t="shared" si="1"/>
        <v>0.84254399999999996</v>
      </c>
      <c r="L107" s="23">
        <f t="shared" si="2"/>
        <v>2.5276319999999997</v>
      </c>
      <c r="M107" s="73"/>
      <c r="N107" s="73"/>
      <c r="O107" s="73"/>
      <c r="P107" s="73"/>
      <c r="Q107" s="73"/>
      <c r="R107" s="73"/>
      <c r="S107" s="73"/>
      <c r="V107" s="100"/>
      <c r="W107" s="100"/>
      <c r="Y107" s="100"/>
    </row>
    <row r="108" spans="1:25" x14ac:dyDescent="0.2">
      <c r="A108" s="15">
        <v>41944</v>
      </c>
      <c r="B108" s="73"/>
      <c r="C108" s="73"/>
      <c r="D108" s="73"/>
      <c r="E108" s="73">
        <v>4</v>
      </c>
      <c r="G108" s="73">
        <f t="shared" si="3"/>
        <v>4</v>
      </c>
      <c r="H108" s="73"/>
      <c r="I108" s="73">
        <f>'[1]D5 Gallon Forecast'!$F146/1000000</f>
        <v>0</v>
      </c>
      <c r="J108" s="73">
        <f>'[1]D5 Gallon Forecast'!$F162/1000000</f>
        <v>0.51940600000000003</v>
      </c>
      <c r="K108" s="73">
        <f t="shared" si="1"/>
        <v>0.51940600000000003</v>
      </c>
      <c r="L108" s="23">
        <f t="shared" si="2"/>
        <v>1.5582180000000001</v>
      </c>
      <c r="M108" s="73"/>
      <c r="N108" s="73"/>
      <c r="O108" s="73"/>
      <c r="P108" s="73"/>
      <c r="Q108" s="73"/>
      <c r="R108" s="73"/>
      <c r="S108" s="73"/>
      <c r="V108" s="100"/>
      <c r="W108" s="100"/>
      <c r="Y108" s="100"/>
    </row>
    <row r="109" spans="1:25" x14ac:dyDescent="0.2">
      <c r="A109" s="15">
        <v>41974</v>
      </c>
      <c r="B109" s="73"/>
      <c r="C109" s="73"/>
      <c r="D109" s="73"/>
      <c r="E109" s="73">
        <v>4</v>
      </c>
      <c r="G109" s="73">
        <f t="shared" si="3"/>
        <v>4</v>
      </c>
      <c r="H109" s="73"/>
      <c r="I109" s="73">
        <f>'[1]D5 Gallon Forecast'!$F147/1000000</f>
        <v>0</v>
      </c>
      <c r="J109" s="73">
        <f>'[1]D5 Gallon Forecast'!$F163/1000000</f>
        <v>0.79063799999999995</v>
      </c>
      <c r="K109" s="73">
        <f t="shared" si="1"/>
        <v>0.79063799999999995</v>
      </c>
      <c r="L109" s="23">
        <f t="shared" si="2"/>
        <v>2.3719139999999999</v>
      </c>
      <c r="M109" s="73"/>
      <c r="N109" s="73"/>
      <c r="O109" s="73"/>
      <c r="P109" s="73"/>
      <c r="Q109" s="73"/>
      <c r="R109" s="73"/>
      <c r="S109" s="73"/>
      <c r="V109" s="100"/>
      <c r="W109" s="100"/>
      <c r="Y109" s="100"/>
    </row>
    <row r="110" spans="1:25" x14ac:dyDescent="0.2">
      <c r="A110" s="15">
        <v>42005</v>
      </c>
      <c r="B110" s="73"/>
      <c r="C110" s="73"/>
      <c r="D110" s="73"/>
      <c r="E110" s="73">
        <v>4</v>
      </c>
      <c r="G110" s="73">
        <f t="shared" si="3"/>
        <v>4</v>
      </c>
      <c r="H110" s="73"/>
      <c r="I110" s="73">
        <f>'[1]D5 Gallon Forecast'!$G136/1000000</f>
        <v>0</v>
      </c>
      <c r="J110" s="73">
        <f>'[1]D5 Gallon Forecast'!$G152/1000000</f>
        <v>0.16605</v>
      </c>
      <c r="K110" s="73">
        <f t="shared" si="1"/>
        <v>0.16605</v>
      </c>
      <c r="L110" s="23">
        <f t="shared" si="2"/>
        <v>0.49814999999999998</v>
      </c>
      <c r="M110" s="73"/>
      <c r="N110" s="73"/>
      <c r="O110" s="73"/>
      <c r="P110" s="73"/>
      <c r="Q110" s="73"/>
      <c r="R110" s="73"/>
      <c r="S110" s="73"/>
      <c r="V110" s="100"/>
      <c r="W110" s="100"/>
      <c r="Y110" s="100"/>
    </row>
    <row r="111" spans="1:25" x14ac:dyDescent="0.2">
      <c r="A111" s="15">
        <v>42036</v>
      </c>
      <c r="B111" s="73"/>
      <c r="C111" s="73"/>
      <c r="D111" s="73"/>
      <c r="E111" s="73">
        <v>4</v>
      </c>
      <c r="G111" s="73">
        <f t="shared" si="3"/>
        <v>4</v>
      </c>
      <c r="H111" s="73"/>
      <c r="I111" s="73">
        <f>'[1]D5 Gallon Forecast'!$G137/1000000</f>
        <v>0</v>
      </c>
      <c r="J111" s="73">
        <f>'[1]D5 Gallon Forecast'!$G153/1000000</f>
        <v>0.39069799999999999</v>
      </c>
      <c r="K111" s="73">
        <f t="shared" si="1"/>
        <v>0.39069799999999999</v>
      </c>
      <c r="L111" s="23">
        <f t="shared" si="2"/>
        <v>1.172094</v>
      </c>
      <c r="M111" s="73"/>
      <c r="N111" s="73"/>
      <c r="O111" s="73"/>
      <c r="P111" s="73"/>
      <c r="Q111" s="73"/>
      <c r="R111" s="73"/>
      <c r="S111" s="73"/>
      <c r="V111" s="100"/>
      <c r="W111" s="100"/>
      <c r="Y111" s="100"/>
    </row>
    <row r="112" spans="1:25" x14ac:dyDescent="0.2">
      <c r="A112" s="15">
        <v>42064</v>
      </c>
      <c r="B112" s="73"/>
      <c r="C112" s="73"/>
      <c r="D112" s="73"/>
      <c r="E112" s="73">
        <v>4</v>
      </c>
      <c r="G112" s="73">
        <f t="shared" si="3"/>
        <v>4</v>
      </c>
      <c r="H112" s="73"/>
      <c r="I112" s="73">
        <f>'[1]D5 Gallon Forecast'!$G138/1000000</f>
        <v>0</v>
      </c>
      <c r="J112" s="73">
        <f>'[1]D5 Gallon Forecast'!$G154/1000000</f>
        <v>0.70144300000000004</v>
      </c>
      <c r="K112" s="73">
        <f t="shared" si="1"/>
        <v>0.70144300000000004</v>
      </c>
      <c r="L112" s="23">
        <f t="shared" si="2"/>
        <v>2.1043289999999999</v>
      </c>
      <c r="M112" s="73"/>
      <c r="N112" s="73"/>
      <c r="O112" s="73"/>
      <c r="P112" s="73"/>
      <c r="Q112" s="73"/>
      <c r="R112" s="73"/>
      <c r="S112" s="73"/>
      <c r="V112" s="100"/>
      <c r="W112" s="100"/>
      <c r="Y112" s="100"/>
    </row>
    <row r="113" spans="1:25" x14ac:dyDescent="0.2">
      <c r="A113" s="15">
        <v>42095</v>
      </c>
      <c r="B113" s="73"/>
      <c r="C113" s="73"/>
      <c r="D113" s="73"/>
      <c r="E113" s="73">
        <v>4</v>
      </c>
      <c r="G113" s="73">
        <f t="shared" si="3"/>
        <v>4</v>
      </c>
      <c r="H113" s="73"/>
      <c r="I113" s="73">
        <f>'[1]D5 Gallon Forecast'!$G139/1000000</f>
        <v>0</v>
      </c>
      <c r="J113" s="73">
        <f>'[1]D5 Gallon Forecast'!$G155/1000000</f>
        <v>0.55807200000000001</v>
      </c>
      <c r="K113" s="73">
        <f t="shared" si="1"/>
        <v>0.55807200000000001</v>
      </c>
      <c r="L113" s="23">
        <f t="shared" si="2"/>
        <v>1.6742159999999999</v>
      </c>
      <c r="M113" s="73"/>
      <c r="N113" s="73"/>
      <c r="O113" s="73"/>
      <c r="P113" s="73"/>
      <c r="Q113" s="73"/>
      <c r="R113" s="73"/>
      <c r="S113" s="73"/>
      <c r="V113" s="100"/>
      <c r="W113" s="100"/>
      <c r="Y113" s="100"/>
    </row>
    <row r="114" spans="1:25" x14ac:dyDescent="0.2">
      <c r="A114" s="15">
        <v>42125</v>
      </c>
      <c r="B114" s="73"/>
      <c r="C114" s="73"/>
      <c r="D114" s="73"/>
      <c r="E114" s="73">
        <v>4</v>
      </c>
      <c r="G114" s="73">
        <f t="shared" si="3"/>
        <v>4</v>
      </c>
      <c r="H114" s="73"/>
      <c r="I114" s="73">
        <f>'[1]D5 Gallon Forecast'!$G140/1000000</f>
        <v>0</v>
      </c>
      <c r="J114" s="73">
        <f>'[1]D5 Gallon Forecast'!$G156/1000000</f>
        <v>0.34106900000000001</v>
      </c>
      <c r="K114" s="73">
        <f t="shared" si="1"/>
        <v>0.34106900000000001</v>
      </c>
      <c r="L114" s="23">
        <f t="shared" si="2"/>
        <v>1.023207</v>
      </c>
      <c r="M114" s="73"/>
      <c r="N114" s="73"/>
      <c r="O114" s="73"/>
      <c r="P114" s="73"/>
      <c r="Q114" s="73"/>
      <c r="R114" s="73"/>
      <c r="S114" s="73"/>
      <c r="V114" s="100"/>
      <c r="W114" s="100"/>
      <c r="Y114" s="100"/>
    </row>
    <row r="115" spans="1:25" x14ac:dyDescent="0.2">
      <c r="A115" s="15">
        <v>42156</v>
      </c>
      <c r="B115" s="73"/>
      <c r="C115" s="73"/>
      <c r="D115" s="73"/>
      <c r="E115" s="73">
        <v>4</v>
      </c>
      <c r="G115" s="73">
        <f t="shared" si="3"/>
        <v>4</v>
      </c>
      <c r="H115" s="73"/>
      <c r="I115" s="73">
        <f>'[1]D5 Gallon Forecast'!$G141/1000000</f>
        <v>0</v>
      </c>
      <c r="J115" s="73">
        <f>'[1]D5 Gallon Forecast'!$G157/1000000</f>
        <v>0.54404699999999995</v>
      </c>
      <c r="K115" s="73">
        <f t="shared" si="1"/>
        <v>0.54404699999999995</v>
      </c>
      <c r="L115" s="23">
        <f t="shared" si="2"/>
        <v>1.6321409999999998</v>
      </c>
      <c r="M115" s="73"/>
      <c r="N115" s="73"/>
      <c r="O115" s="73"/>
      <c r="P115" s="73"/>
      <c r="Q115" s="73"/>
      <c r="R115" s="73"/>
      <c r="S115" s="73"/>
      <c r="V115" s="100"/>
      <c r="W115" s="100"/>
      <c r="Y115" s="100"/>
    </row>
    <row r="116" spans="1:25" x14ac:dyDescent="0.2">
      <c r="A116" s="15">
        <v>42186</v>
      </c>
      <c r="B116" s="73"/>
      <c r="C116" s="73"/>
      <c r="D116" s="73"/>
      <c r="E116" s="73">
        <v>4</v>
      </c>
      <c r="G116" s="73">
        <f t="shared" si="3"/>
        <v>4</v>
      </c>
      <c r="H116" s="73"/>
      <c r="I116" s="73">
        <f>'[1]D5 Gallon Forecast'!$G142/1000000</f>
        <v>0</v>
      </c>
      <c r="J116" s="73">
        <f>'[1]D5 Gallon Forecast'!$G158/1000000</f>
        <v>0.47618199999999999</v>
      </c>
      <c r="K116" s="73">
        <f t="shared" si="1"/>
        <v>0.47618199999999999</v>
      </c>
      <c r="L116" s="23">
        <f t="shared" si="2"/>
        <v>1.4285459999999999</v>
      </c>
      <c r="M116" s="73"/>
      <c r="N116" s="73"/>
      <c r="O116" s="73"/>
      <c r="P116" s="73"/>
      <c r="Q116" s="73"/>
      <c r="R116" s="73"/>
      <c r="S116" s="73"/>
      <c r="V116" s="100"/>
      <c r="W116" s="100"/>
      <c r="Y116" s="100"/>
    </row>
    <row r="117" spans="1:25" x14ac:dyDescent="0.2">
      <c r="A117" s="15">
        <v>42217</v>
      </c>
      <c r="B117" s="73"/>
      <c r="C117" s="73"/>
      <c r="D117" s="73"/>
      <c r="E117" s="73">
        <v>4</v>
      </c>
      <c r="G117" s="73">
        <f t="shared" si="3"/>
        <v>4</v>
      </c>
      <c r="H117" s="73"/>
      <c r="I117" s="73">
        <f>'[1]D5 Gallon Forecast'!$G143/1000000</f>
        <v>0</v>
      </c>
      <c r="J117" s="73">
        <f>'[1]D5 Gallon Forecast'!$G159/1000000</f>
        <v>0.44503599999999999</v>
      </c>
      <c r="K117" s="73">
        <f t="shared" si="1"/>
        <v>0.44503599999999999</v>
      </c>
      <c r="L117" s="23">
        <f t="shared" si="2"/>
        <v>1.335108</v>
      </c>
      <c r="M117" s="73"/>
      <c r="N117" s="73"/>
      <c r="O117" s="73"/>
      <c r="P117" s="73"/>
      <c r="Q117" s="73"/>
      <c r="R117" s="73"/>
      <c r="S117" s="73"/>
      <c r="V117" s="100"/>
      <c r="W117" s="100"/>
      <c r="Y117" s="100"/>
    </row>
    <row r="118" spans="1:25" x14ac:dyDescent="0.2">
      <c r="A118" s="15">
        <v>42248</v>
      </c>
      <c r="B118" s="73"/>
      <c r="C118" s="73"/>
      <c r="D118" s="73"/>
      <c r="E118" s="73">
        <v>4</v>
      </c>
      <c r="G118" s="73">
        <f t="shared" si="3"/>
        <v>4</v>
      </c>
      <c r="H118" s="73"/>
      <c r="I118" s="73">
        <f>'[1]D5 Gallon Forecast'!$G144/1000000</f>
        <v>0</v>
      </c>
      <c r="J118" s="73">
        <f>'[1]D5 Gallon Forecast'!$G160/1000000</f>
        <v>0.37035099999999999</v>
      </c>
      <c r="K118" s="73">
        <f t="shared" si="1"/>
        <v>0.37035099999999999</v>
      </c>
      <c r="L118" s="23">
        <f t="shared" si="2"/>
        <v>1.1110530000000001</v>
      </c>
      <c r="M118" s="73"/>
      <c r="N118" s="73"/>
      <c r="O118" s="73"/>
      <c r="P118" s="73"/>
      <c r="Q118" s="73"/>
      <c r="R118" s="73"/>
      <c r="S118" s="73"/>
      <c r="V118" s="100"/>
      <c r="W118" s="100"/>
      <c r="Y118" s="100"/>
    </row>
    <row r="119" spans="1:25" x14ac:dyDescent="0.2">
      <c r="A119" s="15">
        <v>42278</v>
      </c>
      <c r="B119" s="73"/>
      <c r="C119" s="73"/>
      <c r="D119" s="73"/>
      <c r="E119" s="73">
        <v>4</v>
      </c>
      <c r="G119" s="73">
        <f t="shared" si="3"/>
        <v>4</v>
      </c>
      <c r="H119" s="73"/>
      <c r="I119" s="73">
        <f>'[1]D5 Gallon Forecast'!$G145/1000000</f>
        <v>0</v>
      </c>
      <c r="J119" s="73">
        <f>'[1]D5 Gallon Forecast'!$G161/1000000</f>
        <v>0.376668</v>
      </c>
      <c r="K119" s="73">
        <f t="shared" si="1"/>
        <v>0.376668</v>
      </c>
      <c r="L119" s="23">
        <f t="shared" si="2"/>
        <v>1.130004</v>
      </c>
      <c r="M119" s="73"/>
      <c r="N119" s="73"/>
      <c r="O119" s="73"/>
      <c r="P119" s="73"/>
      <c r="Q119" s="73"/>
      <c r="R119" s="73"/>
      <c r="S119" s="73"/>
      <c r="V119" s="100"/>
      <c r="W119" s="100"/>
      <c r="Y119" s="100"/>
    </row>
    <row r="120" spans="1:25" x14ac:dyDescent="0.2">
      <c r="A120" s="15">
        <v>42309</v>
      </c>
      <c r="B120" s="73"/>
      <c r="C120" s="73"/>
      <c r="D120" s="73"/>
      <c r="E120" s="73">
        <v>4</v>
      </c>
      <c r="G120" s="73">
        <f t="shared" si="3"/>
        <v>4</v>
      </c>
      <c r="H120" s="73"/>
      <c r="I120" s="73">
        <f>'[1]D5 Gallon Forecast'!$G146/1000000</f>
        <v>0</v>
      </c>
      <c r="J120" s="73">
        <f>'[1]D5 Gallon Forecast'!$G162/1000000</f>
        <v>0.31131399999999998</v>
      </c>
      <c r="K120" s="73">
        <f t="shared" si="1"/>
        <v>0.31131399999999998</v>
      </c>
      <c r="L120" s="23">
        <f t="shared" si="2"/>
        <v>0.93394199999999994</v>
      </c>
      <c r="M120" s="73"/>
      <c r="N120" s="73"/>
      <c r="O120" s="73"/>
      <c r="P120" s="73"/>
      <c r="Q120" s="73"/>
      <c r="R120" s="73"/>
      <c r="S120" s="73"/>
      <c r="V120" s="100"/>
      <c r="W120" s="100"/>
      <c r="Y120" s="100"/>
    </row>
    <row r="121" spans="1:25" x14ac:dyDescent="0.2">
      <c r="A121" s="15">
        <v>42339</v>
      </c>
      <c r="B121" s="73"/>
      <c r="C121" s="73"/>
      <c r="D121" s="73"/>
      <c r="E121" s="73">
        <v>4</v>
      </c>
      <c r="G121" s="73">
        <f t="shared" si="3"/>
        <v>4</v>
      </c>
      <c r="H121" s="73"/>
      <c r="I121" s="73">
        <f>'[1]D5 Gallon Forecast'!$G147/1000000</f>
        <v>0</v>
      </c>
      <c r="J121" s="73">
        <f>'[1]D5 Gallon Forecast'!$G163/1000000</f>
        <v>0.29884500000000003</v>
      </c>
      <c r="K121" s="73">
        <f t="shared" ref="K121:K184" si="4">SUM(I121:J121)</f>
        <v>0.29884500000000003</v>
      </c>
      <c r="L121" s="23">
        <f t="shared" ref="L121:L184" si="5">(K121*12)/G121</f>
        <v>0.89653500000000008</v>
      </c>
      <c r="M121" s="73"/>
      <c r="N121" s="73"/>
      <c r="O121" s="73"/>
      <c r="P121" s="73"/>
      <c r="Q121" s="73"/>
      <c r="R121" s="73"/>
      <c r="S121" s="73"/>
      <c r="V121" s="100"/>
      <c r="W121" s="100"/>
      <c r="Y121" s="100"/>
    </row>
    <row r="122" spans="1:25" x14ac:dyDescent="0.2">
      <c r="A122" s="15">
        <v>42370</v>
      </c>
      <c r="B122" s="73"/>
      <c r="C122" s="73"/>
      <c r="D122" s="73"/>
      <c r="E122" s="73">
        <v>4</v>
      </c>
      <c r="G122" s="73">
        <f t="shared" si="3"/>
        <v>4</v>
      </c>
      <c r="H122" s="73"/>
      <c r="I122" s="73">
        <f>'[1]D5 Gallon Forecast'!$H136/1000000</f>
        <v>0</v>
      </c>
      <c r="J122" s="73">
        <f>'[1]D5 Gallon Forecast'!$H152/1000000</f>
        <v>0.23531099999999999</v>
      </c>
      <c r="K122" s="73">
        <f t="shared" si="4"/>
        <v>0.23531099999999999</v>
      </c>
      <c r="L122" s="23">
        <f t="shared" si="5"/>
        <v>0.70593299999999992</v>
      </c>
      <c r="M122" s="73"/>
      <c r="N122" s="73"/>
      <c r="O122" s="73"/>
      <c r="P122" s="73"/>
      <c r="Q122" s="73"/>
      <c r="R122" s="73"/>
      <c r="S122" s="73"/>
      <c r="V122" s="100"/>
      <c r="W122" s="100"/>
      <c r="Y122" s="100"/>
    </row>
    <row r="123" spans="1:25" x14ac:dyDescent="0.2">
      <c r="A123" s="15">
        <v>42401</v>
      </c>
      <c r="B123" s="73"/>
      <c r="C123" s="73"/>
      <c r="D123" s="73"/>
      <c r="E123" s="73">
        <v>4</v>
      </c>
      <c r="G123" s="73">
        <f t="shared" si="3"/>
        <v>4</v>
      </c>
      <c r="H123" s="73"/>
      <c r="I123" s="73">
        <f>'[1]D5 Gallon Forecast'!$H137/1000000</f>
        <v>0</v>
      </c>
      <c r="J123" s="73">
        <f>'[1]D5 Gallon Forecast'!$H153/1000000</f>
        <v>0.302371</v>
      </c>
      <c r="K123" s="73">
        <f t="shared" si="4"/>
        <v>0.302371</v>
      </c>
      <c r="L123" s="23">
        <f t="shared" si="5"/>
        <v>0.90711300000000006</v>
      </c>
      <c r="M123" s="73"/>
      <c r="N123" s="73"/>
      <c r="O123" s="73"/>
      <c r="P123" s="73"/>
      <c r="Q123" s="73"/>
      <c r="R123" s="73"/>
      <c r="S123" s="73"/>
      <c r="V123" s="100"/>
      <c r="W123" s="100"/>
      <c r="Y123" s="100"/>
    </row>
    <row r="124" spans="1:25" x14ac:dyDescent="0.2">
      <c r="A124" s="15">
        <v>42430</v>
      </c>
      <c r="B124" s="73"/>
      <c r="C124" s="73"/>
      <c r="D124" s="73"/>
      <c r="E124" s="73">
        <v>4</v>
      </c>
      <c r="G124" s="73">
        <f t="shared" si="3"/>
        <v>4</v>
      </c>
      <c r="H124" s="73"/>
      <c r="I124" s="73">
        <f>'[1]D5 Gallon Forecast'!$H138/1000000</f>
        <v>0</v>
      </c>
      <c r="J124" s="73">
        <f>'[1]D5 Gallon Forecast'!$H154/1000000</f>
        <v>0.45372299999999999</v>
      </c>
      <c r="K124" s="73">
        <f t="shared" si="4"/>
        <v>0.45372299999999999</v>
      </c>
      <c r="L124" s="23">
        <f t="shared" si="5"/>
        <v>1.3611689999999999</v>
      </c>
      <c r="M124" s="73"/>
      <c r="N124" s="73"/>
      <c r="O124" s="73"/>
      <c r="P124" s="73"/>
      <c r="Q124" s="73"/>
      <c r="R124" s="73"/>
      <c r="S124" s="73"/>
      <c r="V124" s="100"/>
      <c r="W124" s="100"/>
      <c r="Y124" s="100"/>
    </row>
    <row r="125" spans="1:25" x14ac:dyDescent="0.2">
      <c r="A125" s="15">
        <v>42461</v>
      </c>
      <c r="B125" s="73"/>
      <c r="C125" s="73"/>
      <c r="D125" s="73"/>
      <c r="E125" s="73">
        <v>4</v>
      </c>
      <c r="G125" s="73">
        <f t="shared" si="3"/>
        <v>4</v>
      </c>
      <c r="H125" s="73"/>
      <c r="I125" s="73">
        <f>'[1]D5 Gallon Forecast'!$H139/1000000</f>
        <v>0</v>
      </c>
      <c r="J125" s="73">
        <f>'[1]D5 Gallon Forecast'!$H155/1000000</f>
        <v>0.39097399999999999</v>
      </c>
      <c r="K125" s="73">
        <f t="shared" si="4"/>
        <v>0.39097399999999999</v>
      </c>
      <c r="L125" s="23">
        <f t="shared" si="5"/>
        <v>1.172922</v>
      </c>
      <c r="M125" s="73"/>
      <c r="N125" s="73"/>
      <c r="O125" s="73"/>
      <c r="P125" s="73"/>
      <c r="Q125" s="73"/>
      <c r="R125" s="73"/>
      <c r="S125" s="73"/>
      <c r="V125" s="100"/>
      <c r="W125" s="100"/>
      <c r="Y125" s="100"/>
    </row>
    <row r="126" spans="1:25" x14ac:dyDescent="0.2">
      <c r="A126" s="15">
        <v>42491</v>
      </c>
      <c r="B126" s="73"/>
      <c r="C126" s="73"/>
      <c r="D126" s="73"/>
      <c r="E126" s="73">
        <v>4</v>
      </c>
      <c r="G126" s="73">
        <f t="shared" si="3"/>
        <v>4</v>
      </c>
      <c r="H126" s="73"/>
      <c r="I126" s="73">
        <f>'[1]D5 Gallon Forecast'!$H140/1000000</f>
        <v>0</v>
      </c>
      <c r="J126" s="73">
        <f>'[1]D5 Gallon Forecast'!$H156/1000000</f>
        <v>0.30910500000000002</v>
      </c>
      <c r="K126" s="73">
        <f t="shared" si="4"/>
        <v>0.30910500000000002</v>
      </c>
      <c r="L126" s="23">
        <f t="shared" si="5"/>
        <v>0.92731500000000011</v>
      </c>
      <c r="M126" s="73"/>
      <c r="N126" s="73"/>
      <c r="O126" s="73"/>
      <c r="P126" s="73"/>
      <c r="Q126" s="73"/>
      <c r="R126" s="73"/>
      <c r="S126" s="73"/>
      <c r="V126" s="100"/>
      <c r="W126" s="100"/>
      <c r="Y126" s="100"/>
    </row>
    <row r="127" spans="1:25" x14ac:dyDescent="0.2">
      <c r="A127" s="15">
        <v>42522</v>
      </c>
      <c r="B127" s="73"/>
      <c r="C127" s="73"/>
      <c r="D127" s="73"/>
      <c r="E127" s="73">
        <v>4</v>
      </c>
      <c r="G127" s="73">
        <f t="shared" si="3"/>
        <v>4</v>
      </c>
      <c r="H127" s="73"/>
      <c r="I127" s="73">
        <f>'[1]D5 Gallon Forecast'!$H141/1000000</f>
        <v>0</v>
      </c>
      <c r="J127" s="73">
        <f>'[1]D5 Gallon Forecast'!$H157/1000000</f>
        <v>0.526111</v>
      </c>
      <c r="K127" s="73">
        <f t="shared" si="4"/>
        <v>0.526111</v>
      </c>
      <c r="L127" s="23">
        <f t="shared" si="5"/>
        <v>1.578333</v>
      </c>
      <c r="M127" s="73"/>
      <c r="N127" s="73"/>
      <c r="O127" s="73"/>
      <c r="P127" s="73"/>
      <c r="Q127" s="73"/>
      <c r="R127" s="73"/>
      <c r="S127" s="73"/>
      <c r="V127" s="100"/>
      <c r="W127" s="100"/>
      <c r="Y127" s="100"/>
    </row>
    <row r="128" spans="1:25" x14ac:dyDescent="0.2">
      <c r="A128" s="15">
        <v>42552</v>
      </c>
      <c r="B128" s="73"/>
      <c r="C128" s="73"/>
      <c r="D128" s="73"/>
      <c r="E128" s="73">
        <v>4</v>
      </c>
      <c r="G128" s="73">
        <f t="shared" si="3"/>
        <v>4</v>
      </c>
      <c r="H128" s="73"/>
      <c r="I128" s="73">
        <f>'[1]D5 Gallon Forecast'!$H142/1000000</f>
        <v>0</v>
      </c>
      <c r="J128" s="73">
        <f>'[1]D5 Gallon Forecast'!$H158/1000000</f>
        <v>0.42519299999999999</v>
      </c>
      <c r="K128" s="73">
        <f t="shared" si="4"/>
        <v>0.42519299999999999</v>
      </c>
      <c r="L128" s="23">
        <f t="shared" si="5"/>
        <v>1.275579</v>
      </c>
      <c r="M128" s="73"/>
      <c r="N128" s="73"/>
      <c r="O128" s="73"/>
      <c r="P128" s="73"/>
      <c r="Q128" s="73"/>
      <c r="R128" s="73"/>
      <c r="S128" s="73"/>
      <c r="V128" s="100"/>
      <c r="W128" s="100"/>
      <c r="Y128" s="100"/>
    </row>
    <row r="129" spans="1:25" x14ac:dyDescent="0.2">
      <c r="A129" s="15">
        <v>42583</v>
      </c>
      <c r="B129" s="73"/>
      <c r="C129" s="73"/>
      <c r="D129" s="73"/>
      <c r="E129" s="73">
        <v>4</v>
      </c>
      <c r="G129" s="73">
        <f t="shared" si="3"/>
        <v>4</v>
      </c>
      <c r="H129" s="73"/>
      <c r="I129" s="73">
        <f>'[1]D5 Gallon Forecast'!$H143/1000000</f>
        <v>0</v>
      </c>
      <c r="J129" s="73">
        <f>'[1]D5 Gallon Forecast'!$H159/1000000</f>
        <v>0.47481499999999999</v>
      </c>
      <c r="K129" s="73">
        <f t="shared" si="4"/>
        <v>0.47481499999999999</v>
      </c>
      <c r="L129" s="23">
        <f t="shared" si="5"/>
        <v>1.424445</v>
      </c>
      <c r="M129" s="73"/>
      <c r="N129" s="73"/>
      <c r="O129" s="73"/>
      <c r="P129" s="73"/>
      <c r="Q129" s="73"/>
      <c r="R129" s="73"/>
      <c r="S129" s="73"/>
      <c r="V129" s="100"/>
      <c r="W129" s="100"/>
      <c r="Y129" s="100"/>
    </row>
    <row r="130" spans="1:25" x14ac:dyDescent="0.2">
      <c r="A130" s="15">
        <v>42614</v>
      </c>
      <c r="B130" s="73"/>
      <c r="C130" s="73"/>
      <c r="D130" s="73"/>
      <c r="E130" s="73">
        <v>4</v>
      </c>
      <c r="G130" s="73">
        <f t="shared" si="3"/>
        <v>4</v>
      </c>
      <c r="H130" s="73"/>
      <c r="I130" s="73">
        <f>'[1]D5 Gallon Forecast'!$H144/1000000</f>
        <v>0</v>
      </c>
      <c r="J130" s="73">
        <f>'[1]D5 Gallon Forecast'!$H160/1000000</f>
        <v>0.354877</v>
      </c>
      <c r="K130" s="73">
        <f t="shared" si="4"/>
        <v>0.354877</v>
      </c>
      <c r="L130" s="23">
        <f t="shared" si="5"/>
        <v>1.0646309999999999</v>
      </c>
      <c r="M130" s="73"/>
      <c r="N130" s="73"/>
      <c r="O130" s="73"/>
      <c r="P130" s="73"/>
      <c r="Q130" s="73"/>
      <c r="R130" s="73"/>
      <c r="S130" s="73"/>
      <c r="V130" s="100"/>
      <c r="W130" s="100"/>
      <c r="Y130" s="100"/>
    </row>
    <row r="131" spans="1:25" x14ac:dyDescent="0.2">
      <c r="A131" s="15">
        <v>42644</v>
      </c>
      <c r="B131" s="73"/>
      <c r="C131" s="73"/>
      <c r="D131" s="73"/>
      <c r="E131" s="73">
        <v>4</v>
      </c>
      <c r="G131" s="73">
        <f t="shared" si="3"/>
        <v>4</v>
      </c>
      <c r="H131" s="73"/>
      <c r="I131" s="73">
        <f>'[1]D5 Gallon Forecast'!$H145/1000000</f>
        <v>0</v>
      </c>
      <c r="J131" s="73">
        <f>'[1]D5 Gallon Forecast'!$H161/1000000</f>
        <v>0.53122000000000003</v>
      </c>
      <c r="K131" s="73">
        <f t="shared" si="4"/>
        <v>0.53122000000000003</v>
      </c>
      <c r="L131" s="23">
        <f t="shared" si="5"/>
        <v>1.5936600000000001</v>
      </c>
      <c r="M131" s="73"/>
      <c r="N131" s="73"/>
      <c r="O131" s="73"/>
      <c r="P131" s="73"/>
      <c r="Q131" s="73"/>
      <c r="R131" s="73"/>
      <c r="S131" s="73"/>
      <c r="V131" s="100"/>
      <c r="W131" s="100"/>
      <c r="Y131" s="100"/>
    </row>
    <row r="132" spans="1:25" x14ac:dyDescent="0.2">
      <c r="A132" s="15">
        <v>42675</v>
      </c>
      <c r="B132" s="73"/>
      <c r="C132" s="73"/>
      <c r="D132" s="73"/>
      <c r="E132" s="73">
        <v>4</v>
      </c>
      <c r="G132" s="73">
        <f t="shared" si="3"/>
        <v>4</v>
      </c>
      <c r="H132" s="73"/>
      <c r="I132" s="73">
        <f>'[1]D5 Gallon Forecast'!$H146/1000000</f>
        <v>0</v>
      </c>
      <c r="J132" s="73">
        <f>'[1]D5 Gallon Forecast'!$H162/1000000</f>
        <v>0.38352399999999998</v>
      </c>
      <c r="K132" s="73">
        <f t="shared" si="4"/>
        <v>0.38352399999999998</v>
      </c>
      <c r="L132" s="23">
        <f t="shared" si="5"/>
        <v>1.1505719999999999</v>
      </c>
      <c r="M132" s="73"/>
      <c r="N132" s="73"/>
      <c r="O132" s="73"/>
      <c r="P132" s="73"/>
      <c r="Q132" s="73"/>
      <c r="R132" s="73"/>
      <c r="S132" s="73"/>
      <c r="V132" s="100"/>
      <c r="W132" s="100"/>
      <c r="Y132" s="100"/>
    </row>
    <row r="133" spans="1:25" x14ac:dyDescent="0.2">
      <c r="A133" s="15">
        <v>42705</v>
      </c>
      <c r="B133" s="73"/>
      <c r="C133" s="73"/>
      <c r="D133" s="73"/>
      <c r="E133" s="73">
        <v>4</v>
      </c>
      <c r="G133" s="73">
        <f t="shared" si="3"/>
        <v>4</v>
      </c>
      <c r="H133" s="73"/>
      <c r="I133" s="73">
        <f>'[1]D5 Gallon Forecast'!$H147/1000000</f>
        <v>0</v>
      </c>
      <c r="J133" s="73">
        <f>'[1]D5 Gallon Forecast'!$H163/1000000</f>
        <v>0.27879199999999998</v>
      </c>
      <c r="K133" s="73">
        <f t="shared" si="4"/>
        <v>0.27879199999999998</v>
      </c>
      <c r="L133" s="23">
        <f t="shared" si="5"/>
        <v>0.83637600000000001</v>
      </c>
      <c r="M133" s="73"/>
      <c r="N133" s="73"/>
      <c r="O133" s="73"/>
      <c r="P133" s="73"/>
      <c r="Q133" s="73"/>
      <c r="R133" s="73"/>
      <c r="S133" s="73"/>
      <c r="V133" s="100"/>
      <c r="W133" s="100"/>
      <c r="Y133" s="100"/>
    </row>
    <row r="134" spans="1:25" x14ac:dyDescent="0.2">
      <c r="A134" s="15">
        <v>42736</v>
      </c>
      <c r="B134" s="73"/>
      <c r="C134" s="73"/>
      <c r="D134" s="73"/>
      <c r="E134" s="73">
        <v>4</v>
      </c>
      <c r="G134" s="73">
        <f t="shared" ref="G134:G197" si="6">SUM(B134:E134)</f>
        <v>4</v>
      </c>
      <c r="H134" s="73"/>
      <c r="I134" s="73">
        <f>'[1]D5 Gallon Forecast'!$I136/1000000</f>
        <v>0</v>
      </c>
      <c r="J134" s="73">
        <f>'[1]D5 Gallon Forecast'!$I152/1000000</f>
        <v>0.44960099999999997</v>
      </c>
      <c r="K134" s="73">
        <f t="shared" si="4"/>
        <v>0.44960099999999997</v>
      </c>
      <c r="L134" s="23">
        <f t="shared" si="5"/>
        <v>1.348803</v>
      </c>
      <c r="M134" s="73"/>
      <c r="N134" s="73"/>
      <c r="O134" s="73"/>
      <c r="P134" s="73"/>
      <c r="Q134" s="73"/>
      <c r="R134" s="73"/>
      <c r="S134" s="73"/>
      <c r="V134" s="100"/>
      <c r="W134" s="100"/>
      <c r="Y134" s="100"/>
    </row>
    <row r="135" spans="1:25" x14ac:dyDescent="0.2">
      <c r="A135" s="15">
        <v>42767</v>
      </c>
      <c r="B135" s="73"/>
      <c r="C135" s="73"/>
      <c r="D135" s="73"/>
      <c r="E135" s="73">
        <v>4</v>
      </c>
      <c r="G135" s="73">
        <f t="shared" si="6"/>
        <v>4</v>
      </c>
      <c r="H135" s="73"/>
      <c r="I135" s="73">
        <f>'[1]D5 Gallon Forecast'!$I137/1000000</f>
        <v>0</v>
      </c>
      <c r="J135" s="73">
        <f>'[1]D5 Gallon Forecast'!$I153/1000000</f>
        <v>0.35749999999999998</v>
      </c>
      <c r="K135" s="73">
        <f t="shared" si="4"/>
        <v>0.35749999999999998</v>
      </c>
      <c r="L135" s="23">
        <f t="shared" si="5"/>
        <v>1.0725</v>
      </c>
      <c r="M135" s="73"/>
      <c r="N135" s="73"/>
      <c r="O135" s="73"/>
      <c r="P135" s="73"/>
      <c r="Q135" s="73"/>
      <c r="R135" s="73"/>
      <c r="S135" s="73"/>
      <c r="V135" s="100"/>
      <c r="W135" s="100"/>
      <c r="Y135" s="100"/>
    </row>
    <row r="136" spans="1:25" x14ac:dyDescent="0.2">
      <c r="A136" s="15">
        <v>42795</v>
      </c>
      <c r="B136" s="73"/>
      <c r="C136" s="73"/>
      <c r="D136" s="73"/>
      <c r="E136" s="73">
        <v>4</v>
      </c>
      <c r="G136" s="73">
        <f t="shared" si="6"/>
        <v>4</v>
      </c>
      <c r="H136" s="73"/>
      <c r="I136" s="73">
        <f>'[1]D5 Gallon Forecast'!$I138/1000000</f>
        <v>0</v>
      </c>
      <c r="J136" s="73">
        <f>'[1]D5 Gallon Forecast'!$I154/1000000</f>
        <v>0.45793699999999998</v>
      </c>
      <c r="K136" s="73">
        <f t="shared" si="4"/>
        <v>0.45793699999999998</v>
      </c>
      <c r="L136" s="23">
        <f t="shared" si="5"/>
        <v>1.3738109999999999</v>
      </c>
      <c r="M136" s="73"/>
      <c r="N136" s="73"/>
      <c r="O136" s="73"/>
      <c r="P136" s="73"/>
      <c r="Q136" s="73"/>
      <c r="R136" s="73"/>
      <c r="S136" s="73"/>
      <c r="V136" s="100"/>
      <c r="W136" s="100"/>
      <c r="Y136" s="100"/>
    </row>
    <row r="137" spans="1:25" x14ac:dyDescent="0.2">
      <c r="A137" s="15">
        <v>42826</v>
      </c>
      <c r="B137" s="73"/>
      <c r="C137" s="73"/>
      <c r="D137" s="73"/>
      <c r="E137" s="73">
        <v>4</v>
      </c>
      <c r="G137" s="73">
        <f t="shared" si="6"/>
        <v>4</v>
      </c>
      <c r="H137" s="73"/>
      <c r="I137" s="73">
        <f>'[1]D5 Gallon Forecast'!$I139/1000000</f>
        <v>0</v>
      </c>
      <c r="J137" s="73">
        <f>'[1]D5 Gallon Forecast'!$I155/1000000</f>
        <v>0.33506399999999997</v>
      </c>
      <c r="K137" s="73">
        <f t="shared" si="4"/>
        <v>0.33506399999999997</v>
      </c>
      <c r="L137" s="23">
        <f t="shared" si="5"/>
        <v>1.0051919999999999</v>
      </c>
      <c r="M137" s="73"/>
      <c r="N137" s="73"/>
      <c r="O137" s="73"/>
      <c r="P137" s="73"/>
      <c r="Q137" s="73"/>
      <c r="R137" s="73"/>
      <c r="S137" s="73"/>
      <c r="V137" s="100"/>
      <c r="W137" s="100"/>
      <c r="Y137" s="100"/>
    </row>
    <row r="138" spans="1:25" x14ac:dyDescent="0.2">
      <c r="A138" s="15">
        <v>42856</v>
      </c>
      <c r="B138" s="73"/>
      <c r="C138" s="73"/>
      <c r="D138" s="73"/>
      <c r="E138" s="73">
        <v>4</v>
      </c>
      <c r="G138" s="73">
        <f t="shared" si="6"/>
        <v>4</v>
      </c>
      <c r="H138" s="73"/>
      <c r="I138" s="73">
        <f>'[1]D5 Gallon Forecast'!$I140/1000000</f>
        <v>0</v>
      </c>
      <c r="J138" s="73">
        <f>'[1]D5 Gallon Forecast'!$I156/1000000</f>
        <v>0.367344</v>
      </c>
      <c r="K138" s="73">
        <f t="shared" si="4"/>
        <v>0.367344</v>
      </c>
      <c r="L138" s="23">
        <f t="shared" si="5"/>
        <v>1.1020319999999999</v>
      </c>
      <c r="M138" s="73"/>
      <c r="N138" s="73"/>
      <c r="O138" s="73"/>
      <c r="P138" s="73"/>
      <c r="Q138" s="73"/>
      <c r="R138" s="73"/>
      <c r="S138" s="73"/>
      <c r="V138" s="100"/>
      <c r="W138" s="100"/>
      <c r="Y138" s="100"/>
    </row>
    <row r="139" spans="1:25" x14ac:dyDescent="0.2">
      <c r="A139" s="15">
        <v>42887</v>
      </c>
      <c r="B139" s="73"/>
      <c r="C139" s="73"/>
      <c r="D139" s="73"/>
      <c r="E139" s="73">
        <v>4</v>
      </c>
      <c r="G139" s="73">
        <f t="shared" si="6"/>
        <v>4</v>
      </c>
      <c r="H139" s="73"/>
      <c r="I139" s="73">
        <f>'[1]D5 Gallon Forecast'!$I141/1000000</f>
        <v>0</v>
      </c>
      <c r="J139" s="73">
        <f>'[1]D5 Gallon Forecast'!$I157/1000000</f>
        <v>0.37216700000000003</v>
      </c>
      <c r="K139" s="73">
        <f t="shared" si="4"/>
        <v>0.37216700000000003</v>
      </c>
      <c r="L139" s="23">
        <f t="shared" si="5"/>
        <v>1.116501</v>
      </c>
      <c r="M139" s="73"/>
      <c r="N139" s="73"/>
      <c r="O139" s="73"/>
      <c r="P139" s="73"/>
      <c r="Q139" s="73"/>
      <c r="R139" s="73"/>
      <c r="S139" s="73"/>
      <c r="V139" s="100"/>
      <c r="W139" s="100"/>
      <c r="Y139" s="100"/>
    </row>
    <row r="140" spans="1:25" x14ac:dyDescent="0.2">
      <c r="A140" s="15">
        <v>42917</v>
      </c>
      <c r="B140" s="73"/>
      <c r="C140" s="73"/>
      <c r="D140" s="73"/>
      <c r="E140" s="73">
        <v>4</v>
      </c>
      <c r="G140" s="73">
        <f t="shared" si="6"/>
        <v>4</v>
      </c>
      <c r="H140" s="73"/>
      <c r="I140" s="73">
        <f>'[1]D5 Gallon Forecast'!$I142/1000000</f>
        <v>0</v>
      </c>
      <c r="J140" s="73">
        <f>'[1]D5 Gallon Forecast'!$I158/1000000</f>
        <v>0.51639400000000002</v>
      </c>
      <c r="K140" s="73">
        <f t="shared" si="4"/>
        <v>0.51639400000000002</v>
      </c>
      <c r="L140" s="23">
        <f t="shared" si="5"/>
        <v>1.5491820000000001</v>
      </c>
      <c r="M140" s="73"/>
      <c r="N140" s="73"/>
      <c r="O140" s="73"/>
      <c r="P140" s="73"/>
      <c r="Q140" s="73"/>
      <c r="R140" s="73"/>
      <c r="S140" s="73"/>
      <c r="V140" s="100"/>
      <c r="W140" s="100"/>
      <c r="Y140" s="100"/>
    </row>
    <row r="141" spans="1:25" x14ac:dyDescent="0.2">
      <c r="A141" s="15">
        <v>42948</v>
      </c>
      <c r="B141" s="73"/>
      <c r="C141" s="73"/>
      <c r="D141" s="73"/>
      <c r="E141" s="73">
        <v>4</v>
      </c>
      <c r="G141" s="73">
        <f t="shared" si="6"/>
        <v>4</v>
      </c>
      <c r="H141" s="73"/>
      <c r="I141" s="73">
        <f>'[1]D5 Gallon Forecast'!$I143/1000000</f>
        <v>0</v>
      </c>
      <c r="J141" s="73">
        <f>'[1]D5 Gallon Forecast'!$I159/1000000</f>
        <v>0.44023000000000001</v>
      </c>
      <c r="K141" s="73">
        <f t="shared" si="4"/>
        <v>0.44023000000000001</v>
      </c>
      <c r="L141" s="23">
        <f t="shared" si="5"/>
        <v>1.3206899999999999</v>
      </c>
      <c r="M141" s="73"/>
      <c r="N141" s="73"/>
      <c r="O141" s="73"/>
      <c r="P141" s="73"/>
      <c r="Q141" s="73"/>
      <c r="R141" s="73"/>
      <c r="S141" s="73"/>
      <c r="V141" s="100"/>
      <c r="W141" s="100"/>
      <c r="Y141" s="100"/>
    </row>
    <row r="142" spans="1:25" x14ac:dyDescent="0.2">
      <c r="A142" s="15">
        <v>42979</v>
      </c>
      <c r="B142" s="73"/>
      <c r="C142" s="73"/>
      <c r="D142" s="73"/>
      <c r="E142" s="73">
        <v>4</v>
      </c>
      <c r="G142" s="73">
        <f t="shared" si="6"/>
        <v>4</v>
      </c>
      <c r="H142" s="73"/>
      <c r="I142" s="73">
        <f>'[1]D5 Gallon Forecast'!$I144/1000000</f>
        <v>0</v>
      </c>
      <c r="J142" s="73">
        <f>'[1]D5 Gallon Forecast'!$I160/1000000</f>
        <v>0.383102</v>
      </c>
      <c r="K142" s="73">
        <f t="shared" si="4"/>
        <v>0.383102</v>
      </c>
      <c r="L142" s="23">
        <f t="shared" si="5"/>
        <v>1.1493059999999999</v>
      </c>
      <c r="M142" s="73"/>
      <c r="N142" s="73"/>
      <c r="O142" s="73"/>
      <c r="P142" s="73"/>
      <c r="Q142" s="73"/>
      <c r="R142" s="73"/>
      <c r="S142" s="73"/>
      <c r="V142" s="100"/>
      <c r="W142" s="100"/>
      <c r="Y142" s="100"/>
    </row>
    <row r="143" spans="1:25" x14ac:dyDescent="0.2">
      <c r="A143" s="15">
        <v>43009</v>
      </c>
      <c r="B143" s="73"/>
      <c r="C143" s="73"/>
      <c r="D143" s="73"/>
      <c r="E143" s="73">
        <v>4</v>
      </c>
      <c r="G143" s="73">
        <f t="shared" si="6"/>
        <v>4</v>
      </c>
      <c r="H143" s="73"/>
      <c r="I143" s="73">
        <f>'[1]D5 Gallon Forecast'!$I145/1000000</f>
        <v>0</v>
      </c>
      <c r="J143" s="73">
        <f>'[1]D5 Gallon Forecast'!$I161/1000000</f>
        <v>0.32514700000000002</v>
      </c>
      <c r="K143" s="73">
        <f t="shared" si="4"/>
        <v>0.32514700000000002</v>
      </c>
      <c r="L143" s="23">
        <f t="shared" si="5"/>
        <v>0.975441</v>
      </c>
      <c r="M143" s="73"/>
      <c r="N143" s="73"/>
      <c r="O143" s="73"/>
      <c r="P143" s="73"/>
      <c r="Q143" s="73"/>
      <c r="R143" s="73"/>
      <c r="S143" s="73"/>
      <c r="V143" s="100"/>
      <c r="W143" s="100"/>
      <c r="Y143" s="100"/>
    </row>
    <row r="144" spans="1:25" x14ac:dyDescent="0.2">
      <c r="A144" s="15">
        <v>43040</v>
      </c>
      <c r="B144" s="73"/>
      <c r="C144" s="73"/>
      <c r="D144" s="73"/>
      <c r="E144" s="73">
        <v>4</v>
      </c>
      <c r="G144" s="73">
        <f t="shared" si="6"/>
        <v>4</v>
      </c>
      <c r="H144" s="73"/>
      <c r="I144" s="73">
        <f>'[1]D5 Gallon Forecast'!$I146/1000000</f>
        <v>0</v>
      </c>
      <c r="J144" s="73">
        <f>'[1]D5 Gallon Forecast'!$I162/1000000</f>
        <v>0.59747499999999998</v>
      </c>
      <c r="K144" s="73">
        <f t="shared" si="4"/>
        <v>0.59747499999999998</v>
      </c>
      <c r="L144" s="23">
        <f t="shared" si="5"/>
        <v>1.7924249999999999</v>
      </c>
      <c r="M144" s="73"/>
      <c r="N144" s="73"/>
      <c r="O144" s="73"/>
      <c r="P144" s="73"/>
      <c r="Q144" s="73"/>
      <c r="R144" s="73"/>
      <c r="S144" s="73"/>
      <c r="V144" s="100"/>
      <c r="W144" s="100"/>
      <c r="Y144" s="100"/>
    </row>
    <row r="145" spans="1:25" x14ac:dyDescent="0.2">
      <c r="A145" s="15">
        <v>43070</v>
      </c>
      <c r="B145" s="73"/>
      <c r="C145" s="73"/>
      <c r="D145" s="73"/>
      <c r="E145" s="73">
        <v>4</v>
      </c>
      <c r="G145" s="73">
        <f t="shared" si="6"/>
        <v>4</v>
      </c>
      <c r="H145" s="73"/>
      <c r="I145" s="73">
        <f>'[1]D5 Gallon Forecast'!$I147/1000000</f>
        <v>0</v>
      </c>
      <c r="J145" s="73">
        <f>'[1]D5 Gallon Forecast'!$I163/1000000</f>
        <v>0.54527599999999998</v>
      </c>
      <c r="K145" s="73">
        <f t="shared" si="4"/>
        <v>0.54527599999999998</v>
      </c>
      <c r="L145" s="23">
        <f t="shared" si="5"/>
        <v>1.6358280000000001</v>
      </c>
      <c r="M145" s="73"/>
      <c r="N145" s="73"/>
      <c r="O145" s="73"/>
      <c r="P145" s="73"/>
      <c r="Q145" s="73"/>
      <c r="R145" s="73"/>
      <c r="S145" s="73"/>
      <c r="V145" s="100"/>
      <c r="W145" s="100"/>
      <c r="Y145" s="100"/>
    </row>
    <row r="146" spans="1:25" x14ac:dyDescent="0.2">
      <c r="A146" s="15">
        <v>43101</v>
      </c>
      <c r="B146" s="73"/>
      <c r="C146" s="73"/>
      <c r="D146" s="73"/>
      <c r="E146" s="73">
        <v>4</v>
      </c>
      <c r="G146" s="73">
        <f t="shared" si="6"/>
        <v>4</v>
      </c>
      <c r="H146" s="73"/>
      <c r="I146" s="73">
        <f>'[1]D5 Gallon Forecast'!$J136/1000000</f>
        <v>0</v>
      </c>
      <c r="J146" s="73">
        <f>'[1]D5 Gallon Forecast'!$J152/1000000</f>
        <v>0.32177299999999998</v>
      </c>
      <c r="K146" s="73">
        <f t="shared" si="4"/>
        <v>0.32177299999999998</v>
      </c>
      <c r="L146" s="23">
        <f t="shared" si="5"/>
        <v>0.96531899999999993</v>
      </c>
      <c r="M146" s="73"/>
      <c r="N146" s="73"/>
      <c r="O146" s="73"/>
      <c r="P146" s="73"/>
      <c r="Q146" s="73"/>
      <c r="R146" s="73"/>
      <c r="S146" s="73"/>
      <c r="V146" s="100"/>
      <c r="W146" s="100"/>
      <c r="Y146" s="100"/>
    </row>
    <row r="147" spans="1:25" x14ac:dyDescent="0.2">
      <c r="A147" s="15">
        <v>43132</v>
      </c>
      <c r="B147" s="73"/>
      <c r="C147" s="73"/>
      <c r="D147" s="73"/>
      <c r="E147" s="73">
        <v>4</v>
      </c>
      <c r="G147" s="73">
        <f t="shared" si="6"/>
        <v>4</v>
      </c>
      <c r="H147" s="73"/>
      <c r="I147" s="73">
        <f>'[1]D5 Gallon Forecast'!$J137/1000000</f>
        <v>0</v>
      </c>
      <c r="J147" s="73">
        <f>'[1]D5 Gallon Forecast'!$J153/1000000</f>
        <v>1.4402349999999999</v>
      </c>
      <c r="K147" s="73">
        <f t="shared" si="4"/>
        <v>1.4402349999999999</v>
      </c>
      <c r="L147" s="23">
        <f t="shared" si="5"/>
        <v>4.3207050000000002</v>
      </c>
      <c r="M147" s="73"/>
      <c r="N147" s="73"/>
      <c r="O147" s="73"/>
      <c r="P147" s="73"/>
      <c r="Q147" s="73"/>
      <c r="R147" s="73"/>
      <c r="S147" s="73"/>
      <c r="V147" s="100"/>
      <c r="W147" s="100"/>
      <c r="Y147" s="100"/>
    </row>
    <row r="148" spans="1:25" x14ac:dyDescent="0.2">
      <c r="A148" s="15">
        <v>43160</v>
      </c>
      <c r="B148" s="73"/>
      <c r="C148" s="73"/>
      <c r="D148" s="73"/>
      <c r="E148" s="73">
        <v>4</v>
      </c>
      <c r="G148" s="73">
        <f t="shared" si="6"/>
        <v>4</v>
      </c>
      <c r="H148" s="73"/>
      <c r="I148" s="73">
        <f>'[1]D5 Gallon Forecast'!$J138/1000000</f>
        <v>0</v>
      </c>
      <c r="J148" s="73">
        <f>'[1]D5 Gallon Forecast'!$J154/1000000</f>
        <v>2.2719770000000001</v>
      </c>
      <c r="K148" s="73">
        <f t="shared" si="4"/>
        <v>2.2719770000000001</v>
      </c>
      <c r="L148" s="23">
        <f t="shared" si="5"/>
        <v>6.8159310000000009</v>
      </c>
      <c r="M148" s="73"/>
      <c r="N148" s="73" t="s">
        <v>377</v>
      </c>
      <c r="O148" s="73"/>
      <c r="P148" s="73"/>
      <c r="Q148" s="73"/>
      <c r="R148" s="73"/>
      <c r="S148" s="73"/>
      <c r="V148" s="100"/>
      <c r="W148" s="100"/>
      <c r="Y148" s="100"/>
    </row>
    <row r="149" spans="1:25" x14ac:dyDescent="0.2">
      <c r="A149" s="15">
        <v>43191</v>
      </c>
      <c r="B149" s="73">
        <v>10.5</v>
      </c>
      <c r="C149" s="73"/>
      <c r="D149" s="73"/>
      <c r="E149" s="73">
        <v>4</v>
      </c>
      <c r="G149" s="73">
        <f t="shared" si="6"/>
        <v>14.5</v>
      </c>
      <c r="H149" s="73"/>
      <c r="I149" s="73">
        <f>'[1]D5 Gallon Forecast'!$J139/1000000</f>
        <v>0</v>
      </c>
      <c r="J149" s="73">
        <f>'[1]D5 Gallon Forecast'!$J155/1000000</f>
        <v>1.0307409999999999</v>
      </c>
      <c r="K149" s="73">
        <f t="shared" si="4"/>
        <v>1.0307409999999999</v>
      </c>
      <c r="L149" s="23">
        <f t="shared" si="5"/>
        <v>0.85302703448275852</v>
      </c>
      <c r="M149" s="73"/>
      <c r="N149" s="73">
        <v>10.5</v>
      </c>
      <c r="O149" s="73"/>
      <c r="P149" s="73"/>
      <c r="Q149" s="73"/>
      <c r="R149" s="73"/>
      <c r="S149" s="73"/>
      <c r="V149" s="100"/>
      <c r="W149" s="100"/>
      <c r="X149" s="100"/>
      <c r="Y149" s="100"/>
    </row>
    <row r="150" spans="1:25" x14ac:dyDescent="0.2">
      <c r="A150" s="15">
        <v>43221</v>
      </c>
      <c r="B150" s="73">
        <v>10.5</v>
      </c>
      <c r="C150" s="73"/>
      <c r="D150" s="73"/>
      <c r="E150" s="73">
        <v>4</v>
      </c>
      <c r="G150" s="73">
        <f t="shared" si="6"/>
        <v>14.5</v>
      </c>
      <c r="H150" s="73"/>
      <c r="I150" s="73">
        <f>'[1]D5 Gallon Forecast'!$J140/1000000</f>
        <v>0</v>
      </c>
      <c r="J150" s="73">
        <f>'[1]D5 Gallon Forecast'!$J156/1000000</f>
        <v>0.430228</v>
      </c>
      <c r="K150" s="73">
        <f t="shared" si="4"/>
        <v>0.430228</v>
      </c>
      <c r="L150" s="23">
        <f t="shared" si="5"/>
        <v>0.35605075862068963</v>
      </c>
      <c r="M150" s="73"/>
      <c r="N150" s="73">
        <v>10.5</v>
      </c>
      <c r="O150" s="73"/>
      <c r="P150" s="73"/>
      <c r="Q150" s="73"/>
      <c r="R150" s="73"/>
      <c r="S150" s="73"/>
      <c r="V150" s="100"/>
      <c r="W150" s="100"/>
      <c r="X150" s="100"/>
      <c r="Y150" s="100"/>
    </row>
    <row r="151" spans="1:25" x14ac:dyDescent="0.2">
      <c r="A151" s="15">
        <v>43252</v>
      </c>
      <c r="B151" s="73">
        <v>10.5</v>
      </c>
      <c r="C151" s="73"/>
      <c r="D151" s="73"/>
      <c r="E151" s="73">
        <v>4</v>
      </c>
      <c r="G151" s="73">
        <f t="shared" si="6"/>
        <v>14.5</v>
      </c>
      <c r="H151" s="73"/>
      <c r="I151" s="73">
        <f>'[1]D5 Gallon Forecast'!$J141/1000000</f>
        <v>0</v>
      </c>
      <c r="J151" s="73">
        <f>'[1]D5 Gallon Forecast'!$J157/1000000</f>
        <v>0.93070600000000003</v>
      </c>
      <c r="K151" s="73">
        <f t="shared" si="4"/>
        <v>0.93070600000000003</v>
      </c>
      <c r="L151" s="23">
        <f t="shared" si="5"/>
        <v>0.7702394482758621</v>
      </c>
      <c r="M151" s="73"/>
      <c r="N151" s="73">
        <v>10.5</v>
      </c>
      <c r="O151" s="73"/>
      <c r="P151" s="73"/>
      <c r="Q151" s="73"/>
      <c r="R151" s="73"/>
      <c r="S151" s="73"/>
      <c r="V151" s="100"/>
      <c r="W151" s="100"/>
      <c r="X151" s="100"/>
      <c r="Y151" s="100"/>
    </row>
    <row r="152" spans="1:25" x14ac:dyDescent="0.2">
      <c r="A152" s="15">
        <v>43282</v>
      </c>
      <c r="B152" s="73">
        <v>31.5</v>
      </c>
      <c r="C152" s="73"/>
      <c r="D152" s="73"/>
      <c r="E152" s="73">
        <v>4</v>
      </c>
      <c r="G152" s="73">
        <f t="shared" si="6"/>
        <v>35.5</v>
      </c>
      <c r="H152" s="73"/>
      <c r="I152" s="73">
        <f>'[1]D5 Gallon Forecast'!$J142/1000000</f>
        <v>0</v>
      </c>
      <c r="J152" s="73">
        <f>'[1]D5 Gallon Forecast'!$J158/1000000</f>
        <v>2.4898199999999999</v>
      </c>
      <c r="K152" s="73">
        <f t="shared" si="4"/>
        <v>2.4898199999999999</v>
      </c>
      <c r="L152" s="23">
        <f t="shared" si="5"/>
        <v>0.84162929577464785</v>
      </c>
      <c r="M152" s="73"/>
      <c r="N152" s="73">
        <v>31.5</v>
      </c>
      <c r="O152" s="73"/>
      <c r="P152" s="73"/>
      <c r="Q152" s="73"/>
      <c r="R152" s="73"/>
      <c r="S152" s="73"/>
      <c r="V152" s="100"/>
      <c r="W152" s="100"/>
      <c r="X152" s="100"/>
      <c r="Y152" s="100"/>
    </row>
    <row r="153" spans="1:25" x14ac:dyDescent="0.2">
      <c r="A153" s="15">
        <v>43313</v>
      </c>
      <c r="B153" s="73">
        <v>31.5</v>
      </c>
      <c r="C153" s="73"/>
      <c r="D153" s="73"/>
      <c r="E153" s="73">
        <v>4</v>
      </c>
      <c r="G153" s="73">
        <f t="shared" si="6"/>
        <v>35.5</v>
      </c>
      <c r="H153" s="73"/>
      <c r="I153" s="73">
        <f>'[1]D5 Gallon Forecast'!$J143/1000000</f>
        <v>0</v>
      </c>
      <c r="J153" s="73">
        <f>'[1]D5 Gallon Forecast'!$J159/1000000</f>
        <v>2.1384509999999999</v>
      </c>
      <c r="K153" s="73">
        <f t="shared" si="4"/>
        <v>2.1384509999999999</v>
      </c>
      <c r="L153" s="23">
        <f t="shared" si="5"/>
        <v>0.72285667605633797</v>
      </c>
      <c r="M153" s="73"/>
      <c r="N153" s="73">
        <v>31.5</v>
      </c>
      <c r="O153" s="73"/>
      <c r="P153" s="73"/>
      <c r="Q153" s="73"/>
      <c r="R153" s="73"/>
      <c r="S153" s="73"/>
      <c r="V153" s="100"/>
      <c r="W153" s="100"/>
      <c r="X153" s="100"/>
      <c r="Y153" s="100"/>
    </row>
    <row r="154" spans="1:25" x14ac:dyDescent="0.2">
      <c r="A154" s="15">
        <v>43344</v>
      </c>
      <c r="B154" s="73">
        <v>55</v>
      </c>
      <c r="C154" s="73"/>
      <c r="D154" s="73"/>
      <c r="E154" s="73">
        <v>4</v>
      </c>
      <c r="G154" s="73">
        <f t="shared" si="6"/>
        <v>59</v>
      </c>
      <c r="H154" s="73"/>
      <c r="I154" s="73">
        <f>'[1]D5 Gallon Forecast'!$J144/1000000</f>
        <v>0</v>
      </c>
      <c r="J154" s="73">
        <f>'[1]D5 Gallon Forecast'!$J160/1000000</f>
        <v>3.6301730000000001</v>
      </c>
      <c r="K154" s="73">
        <f t="shared" si="4"/>
        <v>3.6301730000000001</v>
      </c>
      <c r="L154" s="23">
        <f t="shared" si="5"/>
        <v>0.73834027118644074</v>
      </c>
      <c r="M154" s="73"/>
      <c r="N154" s="73">
        <v>31.5</v>
      </c>
      <c r="O154" s="73"/>
      <c r="P154" s="73"/>
      <c r="Q154" s="73"/>
      <c r="R154" s="73"/>
      <c r="S154" s="73"/>
      <c r="V154" s="100"/>
      <c r="W154" s="100"/>
      <c r="X154" s="100"/>
      <c r="Y154" s="100"/>
    </row>
    <row r="155" spans="1:25" x14ac:dyDescent="0.2">
      <c r="A155" s="15">
        <v>43374</v>
      </c>
      <c r="B155" s="73">
        <v>55</v>
      </c>
      <c r="C155" s="73"/>
      <c r="D155" s="73"/>
      <c r="E155" s="73">
        <v>4</v>
      </c>
      <c r="G155" s="73">
        <f t="shared" si="6"/>
        <v>59</v>
      </c>
      <c r="H155" s="73"/>
      <c r="I155" s="73">
        <f>'[1]D5 Gallon Forecast'!$J145/1000000</f>
        <v>0</v>
      </c>
      <c r="J155" s="73">
        <f>'[1]D5 Gallon Forecast'!$J161/1000000</f>
        <v>3.09958</v>
      </c>
      <c r="K155" s="73">
        <f t="shared" si="4"/>
        <v>3.09958</v>
      </c>
      <c r="L155" s="23">
        <f t="shared" si="5"/>
        <v>0.63042305084745764</v>
      </c>
      <c r="M155" s="73"/>
      <c r="N155" s="73">
        <v>42</v>
      </c>
      <c r="O155" s="73"/>
      <c r="P155" s="73"/>
      <c r="Q155" s="73"/>
      <c r="R155" s="73"/>
      <c r="S155" s="73"/>
      <c r="V155" s="100"/>
      <c r="W155" s="100"/>
      <c r="X155" s="100"/>
      <c r="Y155" s="100"/>
    </row>
    <row r="156" spans="1:25" x14ac:dyDescent="0.2">
      <c r="A156" s="15">
        <v>43405</v>
      </c>
      <c r="B156" s="73">
        <v>55</v>
      </c>
      <c r="C156" s="73"/>
      <c r="D156" s="73"/>
      <c r="E156" s="73">
        <v>4</v>
      </c>
      <c r="G156" s="73">
        <f t="shared" si="6"/>
        <v>59</v>
      </c>
      <c r="H156" s="73"/>
      <c r="I156" s="73">
        <f>'[1]D5 Gallon Forecast'!$J146/1000000</f>
        <v>0</v>
      </c>
      <c r="J156" s="73">
        <f>'[1]D5 Gallon Forecast'!$J162/1000000</f>
        <v>3.4537010000000001</v>
      </c>
      <c r="K156" s="73">
        <f t="shared" si="4"/>
        <v>3.4537010000000001</v>
      </c>
      <c r="L156" s="23">
        <f t="shared" si="5"/>
        <v>0.70244766101694911</v>
      </c>
      <c r="M156" s="73"/>
      <c r="N156" s="73">
        <v>42</v>
      </c>
      <c r="O156" s="73"/>
      <c r="P156" s="73"/>
      <c r="Q156" s="73"/>
      <c r="R156" s="73"/>
      <c r="S156" s="73"/>
      <c r="V156" s="100"/>
      <c r="W156" s="100"/>
      <c r="X156" s="100"/>
      <c r="Y156" s="100"/>
    </row>
    <row r="157" spans="1:25" x14ac:dyDescent="0.2">
      <c r="A157" s="15">
        <v>43435</v>
      </c>
      <c r="B157" s="73">
        <v>55</v>
      </c>
      <c r="C157" s="73"/>
      <c r="D157" s="73"/>
      <c r="E157" s="73">
        <v>4</v>
      </c>
      <c r="G157" s="73">
        <f t="shared" si="6"/>
        <v>59</v>
      </c>
      <c r="H157" s="73"/>
      <c r="I157" s="73">
        <f>'[1]D5 Gallon Forecast'!$J147/1000000</f>
        <v>0</v>
      </c>
      <c r="J157" s="73">
        <f>'[1]D5 Gallon Forecast'!$J163/1000000</f>
        <v>2.3704999999999998</v>
      </c>
      <c r="K157" s="73">
        <f t="shared" si="4"/>
        <v>2.3704999999999998</v>
      </c>
      <c r="L157" s="23">
        <f t="shared" si="5"/>
        <v>0.48213559322033894</v>
      </c>
      <c r="M157" s="73"/>
      <c r="N157" s="73">
        <v>42</v>
      </c>
      <c r="O157" s="73"/>
      <c r="P157" s="73"/>
      <c r="Q157" s="73"/>
      <c r="R157" s="73"/>
      <c r="S157" s="73"/>
      <c r="V157" s="100"/>
      <c r="W157" s="100"/>
      <c r="X157" s="100"/>
      <c r="Y157" s="100"/>
    </row>
    <row r="158" spans="1:25" x14ac:dyDescent="0.2">
      <c r="A158" s="15">
        <v>43466</v>
      </c>
      <c r="B158" s="73">
        <v>55</v>
      </c>
      <c r="C158" s="73"/>
      <c r="D158" s="73"/>
      <c r="E158" s="73">
        <v>4</v>
      </c>
      <c r="G158" s="73">
        <f t="shared" si="6"/>
        <v>59</v>
      </c>
      <c r="H158" s="73"/>
      <c r="I158" s="73">
        <f>'[1]D5 Gallon Forecast'!$K136/1000000</f>
        <v>0</v>
      </c>
      <c r="J158" s="73">
        <f>'[1]D5 Gallon Forecast'!$K152/1000000</f>
        <v>2.9815499999999999</v>
      </c>
      <c r="K158" s="73">
        <f t="shared" si="4"/>
        <v>2.9815499999999999</v>
      </c>
      <c r="L158" s="23">
        <f t="shared" si="5"/>
        <v>0.6064169491525423</v>
      </c>
      <c r="M158" s="73"/>
      <c r="N158" s="73">
        <v>42</v>
      </c>
      <c r="O158" s="73"/>
      <c r="P158" s="73"/>
      <c r="Q158" s="73"/>
      <c r="R158" s="73"/>
      <c r="S158" s="73"/>
      <c r="V158" s="100"/>
      <c r="W158" s="100"/>
      <c r="X158" s="100"/>
      <c r="Y158" s="100"/>
    </row>
    <row r="159" spans="1:25" x14ac:dyDescent="0.2">
      <c r="A159" s="15">
        <v>43497</v>
      </c>
      <c r="B159" s="73">
        <v>55</v>
      </c>
      <c r="C159" s="73"/>
      <c r="D159" s="73"/>
      <c r="E159" s="73">
        <v>4</v>
      </c>
      <c r="G159" s="73">
        <f t="shared" si="6"/>
        <v>59</v>
      </c>
      <c r="H159" s="73"/>
      <c r="I159" s="73">
        <f>'[1]D5 Gallon Forecast'!$K137/1000000</f>
        <v>0</v>
      </c>
      <c r="J159" s="73">
        <f>'[1]D5 Gallon Forecast'!$K153/1000000</f>
        <v>2.3480919999999998</v>
      </c>
      <c r="K159" s="73">
        <f t="shared" si="4"/>
        <v>2.3480919999999998</v>
      </c>
      <c r="L159" s="23">
        <f t="shared" si="5"/>
        <v>0.47757803389830511</v>
      </c>
      <c r="M159" s="73"/>
      <c r="N159" s="73">
        <v>42</v>
      </c>
      <c r="O159" s="73"/>
      <c r="P159" s="73"/>
      <c r="Q159" s="73"/>
      <c r="R159" s="73"/>
      <c r="S159" s="73"/>
      <c r="V159" s="100"/>
      <c r="W159" s="100"/>
      <c r="X159" s="100"/>
      <c r="Y159" s="100"/>
    </row>
    <row r="160" spans="1:25" x14ac:dyDescent="0.2">
      <c r="A160" s="15">
        <v>43525</v>
      </c>
      <c r="B160" s="73">
        <v>55</v>
      </c>
      <c r="C160" s="73"/>
      <c r="D160" s="73"/>
      <c r="E160" s="73">
        <v>4</v>
      </c>
      <c r="G160" s="73">
        <f t="shared" si="6"/>
        <v>59</v>
      </c>
      <c r="H160" s="73"/>
      <c r="I160" s="73">
        <f>'[1]D5 Gallon Forecast'!$K138/1000000</f>
        <v>0</v>
      </c>
      <c r="J160" s="73">
        <f>'[1]D5 Gallon Forecast'!$K154/1000000</f>
        <v>2.8752339999999998</v>
      </c>
      <c r="K160" s="73">
        <f t="shared" si="4"/>
        <v>2.8752339999999998</v>
      </c>
      <c r="L160" s="23">
        <f t="shared" si="5"/>
        <v>0.58479335593220338</v>
      </c>
      <c r="M160" s="73"/>
      <c r="N160" s="73">
        <v>42</v>
      </c>
      <c r="O160" s="73"/>
      <c r="P160" s="73"/>
      <c r="Q160" s="73"/>
      <c r="R160" s="73"/>
      <c r="S160" s="73"/>
      <c r="V160" s="100"/>
      <c r="W160" s="100"/>
      <c r="X160" s="100"/>
      <c r="Y160" s="100"/>
    </row>
    <row r="161" spans="1:25" x14ac:dyDescent="0.2">
      <c r="A161" s="15">
        <v>43556</v>
      </c>
      <c r="B161" s="73">
        <v>55</v>
      </c>
      <c r="C161" s="73"/>
      <c r="D161" s="73"/>
      <c r="E161" s="73">
        <v>4</v>
      </c>
      <c r="G161" s="73">
        <f t="shared" si="6"/>
        <v>59</v>
      </c>
      <c r="H161" s="73"/>
      <c r="I161" s="73">
        <f>'[1]D5 Gallon Forecast'!$K139/1000000</f>
        <v>0</v>
      </c>
      <c r="J161" s="73">
        <f>'[1]D5 Gallon Forecast'!$K155/1000000</f>
        <v>2.9956740000000002</v>
      </c>
      <c r="K161" s="73">
        <f t="shared" si="4"/>
        <v>2.9956740000000002</v>
      </c>
      <c r="L161" s="23">
        <f t="shared" si="5"/>
        <v>0.60928962711864409</v>
      </c>
      <c r="M161" s="73"/>
      <c r="N161" s="73">
        <v>42</v>
      </c>
      <c r="O161" s="73"/>
      <c r="P161" s="73"/>
      <c r="Q161" s="73"/>
      <c r="R161" s="73"/>
      <c r="S161" s="73"/>
      <c r="V161" s="100"/>
      <c r="W161" s="100"/>
      <c r="X161" s="100"/>
      <c r="Y161" s="100"/>
    </row>
    <row r="162" spans="1:25" x14ac:dyDescent="0.2">
      <c r="A162" s="15">
        <v>43586</v>
      </c>
      <c r="B162" s="73">
        <v>55</v>
      </c>
      <c r="C162" s="73"/>
      <c r="D162" s="73"/>
      <c r="E162" s="73">
        <v>4</v>
      </c>
      <c r="G162" s="73">
        <f t="shared" si="6"/>
        <v>59</v>
      </c>
      <c r="H162" s="73"/>
      <c r="I162" s="73">
        <f>'[1]D5 Gallon Forecast'!$K140/1000000</f>
        <v>0</v>
      </c>
      <c r="J162" s="73">
        <f>'[1]D5 Gallon Forecast'!$K156/1000000</f>
        <v>3.4682360000000001</v>
      </c>
      <c r="K162" s="73">
        <f t="shared" si="4"/>
        <v>3.4682360000000001</v>
      </c>
      <c r="L162" s="23">
        <f t="shared" si="5"/>
        <v>0.70540393220338982</v>
      </c>
      <c r="M162" s="73"/>
      <c r="N162" s="73">
        <v>42</v>
      </c>
      <c r="O162" s="73"/>
      <c r="P162" s="73"/>
      <c r="Q162" s="73"/>
      <c r="R162" s="73"/>
      <c r="S162" s="73"/>
      <c r="V162" s="100"/>
      <c r="W162" s="100"/>
      <c r="X162" s="100"/>
      <c r="Y162" s="100"/>
    </row>
    <row r="163" spans="1:25" x14ac:dyDescent="0.2">
      <c r="A163" s="15">
        <v>43617</v>
      </c>
      <c r="B163" s="73">
        <v>55</v>
      </c>
      <c r="C163" s="73"/>
      <c r="D163" s="73"/>
      <c r="E163" s="73">
        <v>4</v>
      </c>
      <c r="G163" s="73">
        <f t="shared" si="6"/>
        <v>59</v>
      </c>
      <c r="H163" s="73"/>
      <c r="I163" s="73">
        <f>'[1]D5 Gallon Forecast'!$K141/1000000</f>
        <v>0</v>
      </c>
      <c r="J163" s="73">
        <f>'[1]D5 Gallon Forecast'!$K157/1000000</f>
        <v>2.475387</v>
      </c>
      <c r="K163" s="73">
        <f t="shared" si="4"/>
        <v>2.475387</v>
      </c>
      <c r="L163" s="23">
        <f t="shared" si="5"/>
        <v>0.50346854237288141</v>
      </c>
      <c r="M163" s="73"/>
      <c r="N163" s="73">
        <v>42</v>
      </c>
      <c r="O163" s="73"/>
      <c r="P163" s="73"/>
      <c r="Q163" s="73"/>
      <c r="R163" s="73"/>
      <c r="S163" s="73"/>
      <c r="V163" s="100"/>
      <c r="W163" s="100"/>
      <c r="X163" s="100"/>
      <c r="Y163" s="100"/>
    </row>
    <row r="164" spans="1:25" x14ac:dyDescent="0.2">
      <c r="A164" s="15">
        <v>43647</v>
      </c>
      <c r="B164" s="73">
        <v>55</v>
      </c>
      <c r="C164" s="73"/>
      <c r="D164" s="73"/>
      <c r="E164" s="73">
        <v>4</v>
      </c>
      <c r="G164" s="73">
        <f t="shared" si="6"/>
        <v>59</v>
      </c>
      <c r="H164" s="73"/>
      <c r="I164" s="73">
        <f>'[1]D5 Gallon Forecast'!$K142/1000000</f>
        <v>0</v>
      </c>
      <c r="J164" s="73">
        <f>'[1]D5 Gallon Forecast'!$K158/1000000</f>
        <v>3.1030359999999999</v>
      </c>
      <c r="K164" s="73">
        <f t="shared" si="4"/>
        <v>3.1030359999999999</v>
      </c>
      <c r="L164" s="23">
        <f t="shared" si="5"/>
        <v>0.63112596610169491</v>
      </c>
      <c r="M164" s="73"/>
      <c r="N164" s="73">
        <v>42</v>
      </c>
      <c r="O164" s="73"/>
      <c r="P164" s="73"/>
      <c r="Q164" s="73"/>
      <c r="R164" s="73"/>
      <c r="S164" s="73"/>
      <c r="V164" s="100"/>
      <c r="W164" s="100"/>
      <c r="X164" s="100"/>
      <c r="Y164" s="100"/>
    </row>
    <row r="165" spans="1:25" x14ac:dyDescent="0.2">
      <c r="A165" s="15">
        <v>43678</v>
      </c>
      <c r="B165" s="73">
        <v>55</v>
      </c>
      <c r="C165" s="73"/>
      <c r="D165" s="73"/>
      <c r="E165" s="73">
        <v>4</v>
      </c>
      <c r="G165" s="73">
        <f t="shared" si="6"/>
        <v>59</v>
      </c>
      <c r="H165" s="73"/>
      <c r="I165" s="73">
        <f>'[1]D5 Gallon Forecast'!$K143/1000000</f>
        <v>0</v>
      </c>
      <c r="J165" s="73">
        <f>'[1]D5 Gallon Forecast'!$K159/1000000</f>
        <v>3.6132870000000001</v>
      </c>
      <c r="K165" s="73">
        <f t="shared" si="4"/>
        <v>3.6132870000000001</v>
      </c>
      <c r="L165" s="23">
        <f t="shared" si="5"/>
        <v>0.73490583050847469</v>
      </c>
      <c r="M165" s="73"/>
      <c r="N165" s="73">
        <v>42</v>
      </c>
      <c r="O165" s="73"/>
      <c r="P165" s="73"/>
      <c r="Q165" s="73"/>
      <c r="R165" s="73"/>
      <c r="S165" s="73"/>
      <c r="V165" s="100"/>
      <c r="W165" s="100"/>
      <c r="X165" s="100"/>
      <c r="Y165" s="100"/>
    </row>
    <row r="166" spans="1:25" x14ac:dyDescent="0.2">
      <c r="A166" s="15">
        <v>43709</v>
      </c>
      <c r="B166" s="73">
        <v>55</v>
      </c>
      <c r="C166" s="73"/>
      <c r="D166" s="73"/>
      <c r="E166" s="73">
        <v>4</v>
      </c>
      <c r="G166" s="73">
        <f t="shared" si="6"/>
        <v>59</v>
      </c>
      <c r="H166" s="73"/>
      <c r="I166" s="73">
        <f>'[1]D5 Gallon Forecast'!$K144/1000000</f>
        <v>0</v>
      </c>
      <c r="J166" s="73">
        <f>'[1]D5 Gallon Forecast'!$K160/1000000</f>
        <v>3.0392109999999999</v>
      </c>
      <c r="K166" s="73">
        <f t="shared" si="4"/>
        <v>3.0392109999999999</v>
      </c>
      <c r="L166" s="23">
        <f t="shared" si="5"/>
        <v>0.61814461016949152</v>
      </c>
      <c r="M166" s="73"/>
      <c r="N166" s="73"/>
      <c r="O166" s="73"/>
      <c r="P166" s="73"/>
      <c r="Q166" s="73"/>
      <c r="R166" s="73"/>
      <c r="S166" s="73"/>
      <c r="V166" s="100"/>
      <c r="W166" s="100"/>
      <c r="X166" s="100"/>
      <c r="Y166" s="100"/>
    </row>
    <row r="167" spans="1:25" x14ac:dyDescent="0.2">
      <c r="A167" s="15">
        <v>43739</v>
      </c>
      <c r="B167" s="73">
        <v>55</v>
      </c>
      <c r="C167" s="73"/>
      <c r="D167" s="73"/>
      <c r="E167" s="73">
        <v>4</v>
      </c>
      <c r="G167" s="73">
        <f t="shared" si="6"/>
        <v>59</v>
      </c>
      <c r="H167" s="73"/>
      <c r="I167" s="73">
        <f>'[1]D5 Gallon Forecast'!$K145/1000000</f>
        <v>0</v>
      </c>
      <c r="J167" s="73">
        <f>'[1]D5 Gallon Forecast'!$K161/1000000</f>
        <v>1.9767939999999999</v>
      </c>
      <c r="K167" s="73">
        <f t="shared" si="4"/>
        <v>1.9767939999999999</v>
      </c>
      <c r="L167" s="23">
        <f t="shared" si="5"/>
        <v>0.4020597966101695</v>
      </c>
      <c r="M167" s="73"/>
      <c r="N167" s="73"/>
      <c r="O167" s="73"/>
      <c r="P167" s="73"/>
      <c r="Q167" s="73"/>
      <c r="R167" s="73"/>
      <c r="S167" s="73"/>
      <c r="V167" s="100"/>
      <c r="W167" s="100"/>
      <c r="X167" s="100"/>
      <c r="Y167" s="100"/>
    </row>
    <row r="168" spans="1:25" x14ac:dyDescent="0.2">
      <c r="A168" s="15">
        <v>43770</v>
      </c>
      <c r="B168" s="73">
        <v>55</v>
      </c>
      <c r="C168" s="73"/>
      <c r="D168" s="73"/>
      <c r="E168" s="73">
        <v>4</v>
      </c>
      <c r="G168" s="73">
        <f t="shared" si="6"/>
        <v>59</v>
      </c>
      <c r="H168" s="73"/>
      <c r="I168" s="73">
        <f>'[1]D5 Gallon Forecast'!$K146/1000000</f>
        <v>0</v>
      </c>
      <c r="J168" s="73">
        <f>'[1]D5 Gallon Forecast'!$K162/1000000</f>
        <v>2.3947029999999998</v>
      </c>
      <c r="K168" s="73">
        <f t="shared" si="4"/>
        <v>2.3947029999999998</v>
      </c>
      <c r="L168" s="23">
        <f t="shared" si="5"/>
        <v>0.48705823728813558</v>
      </c>
      <c r="M168" s="73"/>
      <c r="N168" s="73"/>
      <c r="O168" s="73"/>
      <c r="P168" s="73"/>
      <c r="Q168" s="73"/>
      <c r="R168" s="73"/>
      <c r="S168" s="73"/>
      <c r="V168" s="100"/>
      <c r="W168" s="100"/>
      <c r="X168" s="100"/>
      <c r="Y168" s="100"/>
    </row>
    <row r="169" spans="1:25" x14ac:dyDescent="0.2">
      <c r="A169" s="15">
        <v>43800</v>
      </c>
      <c r="B169" s="73">
        <v>55</v>
      </c>
      <c r="C169" s="73"/>
      <c r="D169" s="73"/>
      <c r="E169" s="73">
        <v>4</v>
      </c>
      <c r="G169" s="73">
        <f t="shared" si="6"/>
        <v>59</v>
      </c>
      <c r="H169" s="73"/>
      <c r="I169" s="73">
        <f>'[1]D5 Gallon Forecast'!$K147/1000000</f>
        <v>0</v>
      </c>
      <c r="J169" s="73">
        <f>'[1]D5 Gallon Forecast'!$K163/1000000</f>
        <v>3.022605</v>
      </c>
      <c r="K169" s="73">
        <f t="shared" si="4"/>
        <v>3.022605</v>
      </c>
      <c r="L169" s="23">
        <f t="shared" si="5"/>
        <v>0.61476711864406774</v>
      </c>
      <c r="M169" s="73"/>
      <c r="N169" s="73"/>
      <c r="O169" s="73"/>
      <c r="P169" s="73"/>
      <c r="Q169" s="73"/>
      <c r="R169" s="73"/>
      <c r="S169" s="73"/>
      <c r="V169" s="100"/>
      <c r="W169" s="100"/>
      <c r="X169" s="100"/>
      <c r="Y169" s="100"/>
    </row>
    <row r="170" spans="1:25" x14ac:dyDescent="0.2">
      <c r="A170" s="15">
        <v>43831</v>
      </c>
      <c r="B170" s="73">
        <v>55</v>
      </c>
      <c r="C170" s="73"/>
      <c r="D170" s="73"/>
      <c r="E170" s="73">
        <v>4</v>
      </c>
      <c r="G170" s="73">
        <f t="shared" si="6"/>
        <v>59</v>
      </c>
      <c r="H170" s="73"/>
      <c r="I170" s="73">
        <f>'[1]D5 Gallon Forecast'!$L136/1000000</f>
        <v>0</v>
      </c>
      <c r="J170" s="73">
        <f>'[1]D5 Gallon Forecast'!$L152/1000000</f>
        <v>4.0252920000000003</v>
      </c>
      <c r="K170" s="73">
        <f t="shared" si="4"/>
        <v>4.0252920000000003</v>
      </c>
      <c r="L170" s="23">
        <f t="shared" si="5"/>
        <v>0.81870345762711871</v>
      </c>
      <c r="M170" s="73"/>
      <c r="N170" s="73" t="s">
        <v>378</v>
      </c>
      <c r="O170" s="73">
        <f>B169/12</f>
        <v>4.583333333333333</v>
      </c>
      <c r="P170" s="73">
        <f t="shared" ref="P170:R185" si="7">C169/12</f>
        <v>0</v>
      </c>
      <c r="Q170" s="73">
        <f t="shared" si="7"/>
        <v>0</v>
      </c>
      <c r="R170" s="73">
        <f t="shared" si="7"/>
        <v>0.33333333333333331</v>
      </c>
      <c r="S170" s="73"/>
      <c r="V170" s="100"/>
      <c r="W170" s="100"/>
      <c r="X170" s="100"/>
      <c r="Y170" s="100"/>
    </row>
    <row r="171" spans="1:25" x14ac:dyDescent="0.2">
      <c r="A171" s="15">
        <v>43862</v>
      </c>
      <c r="B171" s="73">
        <v>55</v>
      </c>
      <c r="C171" s="73"/>
      <c r="D171" s="73"/>
      <c r="E171" s="73">
        <v>4</v>
      </c>
      <c r="G171" s="73">
        <f t="shared" si="6"/>
        <v>59</v>
      </c>
      <c r="H171" s="73"/>
      <c r="I171" s="73">
        <f>'[1]D5 Gallon Forecast'!$L137/1000000</f>
        <v>0</v>
      </c>
      <c r="J171" s="73">
        <f>'[1]D5 Gallon Forecast'!$L153/1000000</f>
        <v>3.3528090000000002</v>
      </c>
      <c r="K171" s="73">
        <f t="shared" si="4"/>
        <v>3.3528090000000002</v>
      </c>
      <c r="L171" s="23">
        <f t="shared" si="5"/>
        <v>0.68192725423728817</v>
      </c>
      <c r="M171" s="73"/>
      <c r="N171" s="73">
        <v>7.5</v>
      </c>
      <c r="O171" s="73">
        <f t="shared" ref="O171:O181" si="8">B170/12</f>
        <v>4.583333333333333</v>
      </c>
      <c r="P171" s="73">
        <f t="shared" si="7"/>
        <v>0</v>
      </c>
      <c r="Q171" s="73">
        <f t="shared" si="7"/>
        <v>0</v>
      </c>
      <c r="R171" s="73">
        <f t="shared" si="7"/>
        <v>0.33333333333333331</v>
      </c>
      <c r="S171" s="73"/>
      <c r="V171" s="100"/>
      <c r="W171" s="100"/>
      <c r="X171" s="100"/>
      <c r="Y171" s="100"/>
    </row>
    <row r="172" spans="1:25" x14ac:dyDescent="0.2">
      <c r="A172" s="15">
        <v>43891</v>
      </c>
      <c r="B172" s="73">
        <v>55</v>
      </c>
      <c r="C172" s="73"/>
      <c r="D172" s="73"/>
      <c r="E172" s="73">
        <v>4</v>
      </c>
      <c r="G172" s="73">
        <f t="shared" si="6"/>
        <v>59</v>
      </c>
      <c r="H172" s="73"/>
      <c r="I172" s="73">
        <f>'[1]D5 Gallon Forecast'!$L138/1000000</f>
        <v>0</v>
      </c>
      <c r="J172" s="73">
        <f>'[1]D5 Gallon Forecast'!$L154/1000000</f>
        <v>3.5626850000000001</v>
      </c>
      <c r="K172" s="73">
        <f t="shared" si="4"/>
        <v>3.5626850000000001</v>
      </c>
      <c r="L172" s="23">
        <f t="shared" si="5"/>
        <v>0.72461389830508471</v>
      </c>
      <c r="M172" s="73" t="s">
        <v>379</v>
      </c>
      <c r="N172" s="73">
        <v>7.5</v>
      </c>
      <c r="O172" s="73">
        <f t="shared" si="8"/>
        <v>4.583333333333333</v>
      </c>
      <c r="P172" s="73">
        <f t="shared" si="7"/>
        <v>0</v>
      </c>
      <c r="Q172" s="73">
        <f t="shared" si="7"/>
        <v>0</v>
      </c>
      <c r="R172" s="73">
        <f t="shared" si="7"/>
        <v>0.33333333333333331</v>
      </c>
      <c r="S172" s="73"/>
      <c r="V172" s="100"/>
      <c r="W172" s="100"/>
      <c r="X172" s="100"/>
      <c r="Y172" s="100"/>
    </row>
    <row r="173" spans="1:25" x14ac:dyDescent="0.2">
      <c r="A173" s="15">
        <v>43922</v>
      </c>
      <c r="B173" s="73">
        <v>55</v>
      </c>
      <c r="C173" s="73"/>
      <c r="D173" s="73"/>
      <c r="E173" s="73">
        <v>4</v>
      </c>
      <c r="G173" s="73">
        <f t="shared" si="6"/>
        <v>59</v>
      </c>
      <c r="H173" s="73"/>
      <c r="I173" s="73">
        <f>'[1]D5 Gallon Forecast'!$L139/1000000</f>
        <v>0</v>
      </c>
      <c r="J173" s="73">
        <f>'[1]D5 Gallon Forecast'!$L155/1000000</f>
        <v>3.0822349999999998</v>
      </c>
      <c r="K173" s="73">
        <f t="shared" si="4"/>
        <v>3.0822349999999998</v>
      </c>
      <c r="L173" s="23">
        <f t="shared" si="5"/>
        <v>0.62689525423728809</v>
      </c>
      <c r="M173" s="73">
        <v>17.5</v>
      </c>
      <c r="N173" s="73">
        <v>7.5</v>
      </c>
      <c r="O173" s="73">
        <f t="shared" si="8"/>
        <v>4.583333333333333</v>
      </c>
      <c r="P173" s="73">
        <f t="shared" si="7"/>
        <v>0</v>
      </c>
      <c r="Q173" s="73">
        <f t="shared" si="7"/>
        <v>0</v>
      </c>
      <c r="R173" s="73">
        <f t="shared" si="7"/>
        <v>0.33333333333333331</v>
      </c>
      <c r="S173" s="73"/>
      <c r="U173" s="100"/>
      <c r="V173" s="100"/>
      <c r="W173" s="100"/>
      <c r="X173" s="100"/>
      <c r="Y173" s="100"/>
    </row>
    <row r="174" spans="1:25" x14ac:dyDescent="0.2">
      <c r="A174" s="15">
        <v>43952</v>
      </c>
      <c r="B174" s="73">
        <v>55</v>
      </c>
      <c r="C174" s="73"/>
      <c r="D174" s="73"/>
      <c r="E174" s="73">
        <v>4</v>
      </c>
      <c r="G174" s="73">
        <f t="shared" si="6"/>
        <v>59</v>
      </c>
      <c r="H174" s="73"/>
      <c r="I174" s="73">
        <f>'[1]D5 Gallon Forecast'!$L140/1000000</f>
        <v>0</v>
      </c>
      <c r="J174" s="73">
        <f>'[1]D5 Gallon Forecast'!$L156/1000000</f>
        <v>4.2561210000000003</v>
      </c>
      <c r="K174" s="73">
        <f t="shared" si="4"/>
        <v>4.2561210000000003</v>
      </c>
      <c r="L174" s="23">
        <f t="shared" si="5"/>
        <v>0.86565172881355934</v>
      </c>
      <c r="M174" s="73">
        <v>17.5</v>
      </c>
      <c r="N174" s="73">
        <v>22.5</v>
      </c>
      <c r="O174" s="73">
        <f t="shared" si="8"/>
        <v>4.583333333333333</v>
      </c>
      <c r="P174" s="73">
        <f t="shared" si="7"/>
        <v>0</v>
      </c>
      <c r="Q174" s="73">
        <f t="shared" si="7"/>
        <v>0</v>
      </c>
      <c r="R174" s="73">
        <f t="shared" si="7"/>
        <v>0.33333333333333331</v>
      </c>
      <c r="S174" s="73"/>
      <c r="U174" s="100"/>
      <c r="V174" s="100"/>
      <c r="W174" s="100"/>
      <c r="X174" s="100"/>
      <c r="Y174" s="100"/>
    </row>
    <row r="175" spans="1:25" x14ac:dyDescent="0.2">
      <c r="A175" s="15">
        <v>43983</v>
      </c>
      <c r="B175" s="73">
        <v>55</v>
      </c>
      <c r="C175" s="73"/>
      <c r="D175" s="73"/>
      <c r="E175" s="73">
        <v>4</v>
      </c>
      <c r="G175" s="73">
        <f t="shared" si="6"/>
        <v>59</v>
      </c>
      <c r="H175" s="73"/>
      <c r="I175" s="73">
        <f>'[1]D5 Gallon Forecast'!$L141/1000000</f>
        <v>0</v>
      </c>
      <c r="J175" s="73">
        <f>'[1]D5 Gallon Forecast'!$L157/1000000</f>
        <v>3.353056</v>
      </c>
      <c r="K175" s="73">
        <f t="shared" si="4"/>
        <v>3.353056</v>
      </c>
      <c r="L175" s="23">
        <f t="shared" si="5"/>
        <v>0.68197749152542375</v>
      </c>
      <c r="M175" s="73">
        <v>17.5</v>
      </c>
      <c r="N175" s="73">
        <v>22.5</v>
      </c>
      <c r="O175" s="73">
        <f t="shared" si="8"/>
        <v>4.583333333333333</v>
      </c>
      <c r="P175" s="73">
        <f t="shared" si="7"/>
        <v>0</v>
      </c>
      <c r="Q175" s="73">
        <f t="shared" si="7"/>
        <v>0</v>
      </c>
      <c r="R175" s="73">
        <f t="shared" si="7"/>
        <v>0.33333333333333331</v>
      </c>
      <c r="S175" s="73"/>
      <c r="U175" s="100"/>
      <c r="V175" s="100"/>
      <c r="W175" s="100"/>
      <c r="X175" s="100"/>
      <c r="Y175" s="100"/>
    </row>
    <row r="176" spans="1:25" x14ac:dyDescent="0.2">
      <c r="A176" s="15">
        <v>44013</v>
      </c>
      <c r="B176" s="73">
        <v>55</v>
      </c>
      <c r="C176" s="73"/>
      <c r="D176" s="73"/>
      <c r="E176" s="73">
        <v>4</v>
      </c>
      <c r="G176" s="73">
        <f t="shared" si="6"/>
        <v>59</v>
      </c>
      <c r="H176" s="73"/>
      <c r="I176" s="73">
        <f>'[1]D5 Gallon Forecast'!$L142/1000000</f>
        <v>0</v>
      </c>
      <c r="J176" s="73">
        <f>'[1]D5 Gallon Forecast'!$L158/1000000</f>
        <v>3.6246399999999999</v>
      </c>
      <c r="K176" s="73">
        <f t="shared" si="4"/>
        <v>3.6246399999999999</v>
      </c>
      <c r="L176" s="23">
        <f t="shared" si="5"/>
        <v>0.73721491525423732</v>
      </c>
      <c r="M176" s="73">
        <v>52.5</v>
      </c>
      <c r="N176" s="73">
        <v>22.5</v>
      </c>
      <c r="O176" s="73">
        <f t="shared" si="8"/>
        <v>4.583333333333333</v>
      </c>
      <c r="P176" s="73">
        <f t="shared" si="7"/>
        <v>0</v>
      </c>
      <c r="Q176" s="73">
        <f t="shared" si="7"/>
        <v>0</v>
      </c>
      <c r="R176" s="73">
        <f t="shared" si="7"/>
        <v>0.33333333333333331</v>
      </c>
      <c r="S176" s="73"/>
      <c r="U176" s="100"/>
      <c r="V176" s="100"/>
      <c r="W176" s="100"/>
      <c r="X176" s="100"/>
      <c r="Y176" s="100"/>
    </row>
    <row r="177" spans="1:25" x14ac:dyDescent="0.2">
      <c r="A177" s="15">
        <v>44044</v>
      </c>
      <c r="B177" s="73">
        <v>55</v>
      </c>
      <c r="C177" s="73"/>
      <c r="D177" s="73"/>
      <c r="E177" s="73">
        <v>4</v>
      </c>
      <c r="G177" s="73">
        <f t="shared" si="6"/>
        <v>59</v>
      </c>
      <c r="H177" s="73"/>
      <c r="I177" s="73">
        <f>'[1]D5 Gallon Forecast'!$L143/1000000</f>
        <v>0</v>
      </c>
      <c r="J177" s="73">
        <f>'[1]D5 Gallon Forecast'!$L159/1000000</f>
        <v>3.6746669999999999</v>
      </c>
      <c r="K177" s="73">
        <f t="shared" si="4"/>
        <v>3.6746669999999999</v>
      </c>
      <c r="L177" s="23">
        <f t="shared" si="5"/>
        <v>0.74738989830508473</v>
      </c>
      <c r="M177" s="73">
        <v>52.5</v>
      </c>
      <c r="N177" s="73">
        <v>30</v>
      </c>
      <c r="O177" s="73">
        <f t="shared" si="8"/>
        <v>4.583333333333333</v>
      </c>
      <c r="P177" s="73">
        <f t="shared" si="7"/>
        <v>0</v>
      </c>
      <c r="Q177" s="73">
        <f t="shared" si="7"/>
        <v>0</v>
      </c>
      <c r="R177" s="73">
        <f t="shared" si="7"/>
        <v>0.33333333333333331</v>
      </c>
      <c r="S177" s="73"/>
      <c r="U177" s="100"/>
      <c r="V177" s="100"/>
      <c r="W177" s="100"/>
      <c r="X177" s="100"/>
      <c r="Y177" s="100"/>
    </row>
    <row r="178" spans="1:25" x14ac:dyDescent="0.2">
      <c r="A178" s="15">
        <v>44075</v>
      </c>
      <c r="B178" s="73">
        <v>55</v>
      </c>
      <c r="C178" s="73"/>
      <c r="D178" s="73"/>
      <c r="E178" s="73">
        <v>4</v>
      </c>
      <c r="G178" s="73">
        <f t="shared" si="6"/>
        <v>59</v>
      </c>
      <c r="H178" s="73"/>
      <c r="I178" s="73">
        <f>'[1]D5 Gallon Forecast'!$L144/1000000</f>
        <v>0</v>
      </c>
      <c r="J178" s="73">
        <f>'[1]D5 Gallon Forecast'!$L160/1000000</f>
        <v>3.2815349999999999</v>
      </c>
      <c r="K178" s="73">
        <f t="shared" si="4"/>
        <v>3.2815349999999999</v>
      </c>
      <c r="L178" s="23">
        <f t="shared" si="5"/>
        <v>0.66743084745762704</v>
      </c>
      <c r="M178" s="73"/>
      <c r="N178" s="73">
        <v>30</v>
      </c>
      <c r="O178" s="73">
        <f t="shared" si="8"/>
        <v>4.583333333333333</v>
      </c>
      <c r="P178" s="73">
        <f t="shared" si="7"/>
        <v>0</v>
      </c>
      <c r="Q178" s="73">
        <f t="shared" si="7"/>
        <v>0</v>
      </c>
      <c r="R178" s="73">
        <f t="shared" si="7"/>
        <v>0.33333333333333331</v>
      </c>
      <c r="S178" s="73"/>
      <c r="U178" s="100"/>
      <c r="V178" s="100"/>
      <c r="W178" s="100"/>
      <c r="X178" s="100"/>
      <c r="Y178" s="100"/>
    </row>
    <row r="179" spans="1:25" x14ac:dyDescent="0.2">
      <c r="A179" s="15">
        <v>44105</v>
      </c>
      <c r="B179" s="73">
        <v>55</v>
      </c>
      <c r="C179" s="73"/>
      <c r="D179" s="73"/>
      <c r="E179" s="73">
        <v>4</v>
      </c>
      <c r="G179" s="73">
        <f t="shared" si="6"/>
        <v>59</v>
      </c>
      <c r="H179" s="73"/>
      <c r="I179" s="73">
        <f>'[1]D5 Gallon Forecast'!$L145/1000000</f>
        <v>0</v>
      </c>
      <c r="J179" s="73">
        <f>'[1]D5 Gallon Forecast'!$L161/1000000</f>
        <v>4.3482500000000002</v>
      </c>
      <c r="K179" s="73">
        <f t="shared" si="4"/>
        <v>4.3482500000000002</v>
      </c>
      <c r="L179" s="23">
        <f t="shared" si="5"/>
        <v>0.88438983050847464</v>
      </c>
      <c r="M179" s="73"/>
      <c r="N179" s="73"/>
      <c r="O179" s="73">
        <f t="shared" si="8"/>
        <v>4.583333333333333</v>
      </c>
      <c r="P179" s="73">
        <f t="shared" si="7"/>
        <v>0</v>
      </c>
      <c r="Q179" s="73">
        <f t="shared" si="7"/>
        <v>0</v>
      </c>
      <c r="R179" s="73">
        <f t="shared" si="7"/>
        <v>0.33333333333333331</v>
      </c>
      <c r="S179" s="73"/>
      <c r="U179" s="100"/>
      <c r="V179" s="100"/>
      <c r="W179" s="100"/>
      <c r="X179" s="100"/>
      <c r="Y179" s="100"/>
    </row>
    <row r="180" spans="1:25" x14ac:dyDescent="0.2">
      <c r="A180" s="15">
        <v>44136</v>
      </c>
      <c r="B180" s="73">
        <v>55</v>
      </c>
      <c r="C180" s="73"/>
      <c r="D180" s="73"/>
      <c r="E180" s="73">
        <v>4</v>
      </c>
      <c r="G180" s="73">
        <f t="shared" si="6"/>
        <v>59</v>
      </c>
      <c r="H180" s="73"/>
      <c r="I180" s="73">
        <f>'[1]D5 Gallon Forecast'!$L146/1000000</f>
        <v>0</v>
      </c>
      <c r="J180" s="73">
        <f>'[1]D5 Gallon Forecast'!$L162/1000000</f>
        <v>5.9319189999999997</v>
      </c>
      <c r="K180" s="73">
        <f t="shared" si="4"/>
        <v>5.9319189999999997</v>
      </c>
      <c r="L180" s="23">
        <f t="shared" si="5"/>
        <v>1.2064919999999999</v>
      </c>
      <c r="M180" s="73"/>
      <c r="N180" s="73"/>
      <c r="O180" s="73">
        <f t="shared" si="8"/>
        <v>4.583333333333333</v>
      </c>
      <c r="P180" s="73">
        <f t="shared" si="7"/>
        <v>0</v>
      </c>
      <c r="Q180" s="73">
        <f t="shared" si="7"/>
        <v>0</v>
      </c>
      <c r="R180" s="73">
        <f t="shared" si="7"/>
        <v>0.33333333333333331</v>
      </c>
      <c r="S180" s="73"/>
      <c r="U180" s="100"/>
      <c r="V180" s="100"/>
      <c r="W180" s="100"/>
      <c r="X180" s="100"/>
      <c r="Y180" s="100"/>
    </row>
    <row r="181" spans="1:25" x14ac:dyDescent="0.2">
      <c r="A181" s="15">
        <v>44166</v>
      </c>
      <c r="B181" s="73">
        <v>55</v>
      </c>
      <c r="C181" s="73"/>
      <c r="D181" s="73"/>
      <c r="E181" s="73">
        <v>4</v>
      </c>
      <c r="G181" s="73">
        <f t="shared" si="6"/>
        <v>59</v>
      </c>
      <c r="H181" s="73"/>
      <c r="I181" s="73">
        <f>'[1]D5 Gallon Forecast'!$L147/1000000</f>
        <v>0</v>
      </c>
      <c r="J181" s="73">
        <f>'[1]D5 Gallon Forecast'!$L163/1000000</f>
        <v>8.1034620000000004</v>
      </c>
      <c r="K181" s="73">
        <f t="shared" si="4"/>
        <v>8.1034620000000004</v>
      </c>
      <c r="L181" s="23">
        <f t="shared" si="5"/>
        <v>1.6481617627118645</v>
      </c>
      <c r="M181" s="73"/>
      <c r="N181" s="73"/>
      <c r="O181" s="73">
        <f t="shared" si="8"/>
        <v>4.583333333333333</v>
      </c>
      <c r="P181" s="73">
        <f t="shared" si="7"/>
        <v>0</v>
      </c>
      <c r="Q181" s="73">
        <f t="shared" si="7"/>
        <v>0</v>
      </c>
      <c r="R181" s="73">
        <f t="shared" si="7"/>
        <v>0.33333333333333331</v>
      </c>
      <c r="S181" s="73"/>
      <c r="U181" s="100"/>
      <c r="V181" s="100"/>
      <c r="W181" s="100"/>
      <c r="X181" s="100"/>
      <c r="Y181" s="100"/>
    </row>
    <row r="182" spans="1:25" x14ac:dyDescent="0.2">
      <c r="A182" s="15">
        <v>44197</v>
      </c>
      <c r="B182" s="73">
        <v>55</v>
      </c>
      <c r="C182" s="73"/>
      <c r="D182" s="73"/>
      <c r="E182" s="73">
        <v>4</v>
      </c>
      <c r="G182" s="73">
        <f t="shared" si="6"/>
        <v>59</v>
      </c>
      <c r="H182" s="73"/>
      <c r="I182" s="73">
        <f>'[1]D5 Gallon Forecast'!$M136/1000000</f>
        <v>0</v>
      </c>
      <c r="J182" s="73">
        <f>'[1]D5 Gallon Forecast'!$M152/1000000</f>
        <v>8.7033480000000001</v>
      </c>
      <c r="K182" s="73">
        <f t="shared" si="4"/>
        <v>8.7033480000000001</v>
      </c>
      <c r="L182" s="23">
        <f t="shared" si="5"/>
        <v>1.7701724745762712</v>
      </c>
      <c r="M182" s="73"/>
      <c r="N182" s="73"/>
      <c r="O182" s="73">
        <f>B181/12</f>
        <v>4.583333333333333</v>
      </c>
      <c r="P182" s="73">
        <f t="shared" si="7"/>
        <v>0</v>
      </c>
      <c r="Q182" s="73">
        <f t="shared" si="7"/>
        <v>0</v>
      </c>
      <c r="R182" s="73">
        <f t="shared" si="7"/>
        <v>0.33333333333333331</v>
      </c>
      <c r="S182" s="73"/>
      <c r="U182" s="100"/>
      <c r="V182" s="100"/>
      <c r="W182" s="100"/>
      <c r="X182" s="100"/>
      <c r="Y182" s="100"/>
    </row>
    <row r="183" spans="1:25" x14ac:dyDescent="0.2">
      <c r="A183" s="15">
        <v>44228</v>
      </c>
      <c r="B183" s="73">
        <v>55</v>
      </c>
      <c r="C183" s="73"/>
      <c r="D183" s="73"/>
      <c r="E183" s="73">
        <v>4</v>
      </c>
      <c r="G183" s="73">
        <f t="shared" si="6"/>
        <v>59</v>
      </c>
      <c r="H183" s="73"/>
      <c r="I183" s="73">
        <f>'[1]D5 Gallon Forecast'!$M137/1000000</f>
        <v>0</v>
      </c>
      <c r="J183" s="73">
        <f>'[1]D5 Gallon Forecast'!$M153/1000000</f>
        <v>4.481922</v>
      </c>
      <c r="K183" s="73">
        <f t="shared" si="4"/>
        <v>4.481922</v>
      </c>
      <c r="L183" s="23">
        <f t="shared" si="5"/>
        <v>0.91157735593220335</v>
      </c>
      <c r="M183" s="73"/>
      <c r="N183" s="73"/>
      <c r="O183" s="73">
        <f t="shared" ref="O183:R193" si="9">B182/12</f>
        <v>4.583333333333333</v>
      </c>
      <c r="P183" s="73">
        <f t="shared" si="7"/>
        <v>0</v>
      </c>
      <c r="Q183" s="73">
        <f t="shared" si="7"/>
        <v>0</v>
      </c>
      <c r="R183" s="73">
        <f t="shared" si="7"/>
        <v>0.33333333333333331</v>
      </c>
      <c r="S183" s="73"/>
      <c r="U183" s="100"/>
      <c r="V183" s="100"/>
      <c r="W183" s="100"/>
      <c r="X183" s="100"/>
      <c r="Y183" s="100"/>
    </row>
    <row r="184" spans="1:25" x14ac:dyDescent="0.2">
      <c r="A184" s="15">
        <v>44256</v>
      </c>
      <c r="B184" s="73">
        <v>55</v>
      </c>
      <c r="C184" s="73"/>
      <c r="D184" s="73"/>
      <c r="E184" s="73">
        <v>4</v>
      </c>
      <c r="G184" s="73">
        <f t="shared" si="6"/>
        <v>59</v>
      </c>
      <c r="H184" s="73"/>
      <c r="I184" s="73">
        <f>'[1]D5 Gallon Forecast'!$M138/1000000</f>
        <v>0</v>
      </c>
      <c r="J184" s="73">
        <f>'[1]D5 Gallon Forecast'!$M154/1000000</f>
        <v>4.0660920000000003</v>
      </c>
      <c r="K184" s="73">
        <f t="shared" si="4"/>
        <v>4.0660920000000003</v>
      </c>
      <c r="L184" s="23">
        <f t="shared" si="5"/>
        <v>0.82700176271186443</v>
      </c>
      <c r="M184" s="73"/>
      <c r="N184" s="73"/>
      <c r="O184" s="73">
        <f t="shared" si="9"/>
        <v>4.583333333333333</v>
      </c>
      <c r="P184" s="73">
        <f t="shared" si="7"/>
        <v>0</v>
      </c>
      <c r="Q184" s="73">
        <f t="shared" si="7"/>
        <v>0</v>
      </c>
      <c r="R184" s="73">
        <f t="shared" si="7"/>
        <v>0.33333333333333331</v>
      </c>
      <c r="S184" s="73"/>
      <c r="U184" s="100"/>
      <c r="V184" s="100"/>
      <c r="W184" s="100"/>
      <c r="X184" s="100"/>
      <c r="Y184" s="100"/>
    </row>
    <row r="185" spans="1:25" x14ac:dyDescent="0.2">
      <c r="A185" s="15">
        <v>44287</v>
      </c>
      <c r="B185" s="73">
        <v>55</v>
      </c>
      <c r="C185" s="73"/>
      <c r="D185" s="73"/>
      <c r="E185" s="73">
        <v>4</v>
      </c>
      <c r="G185" s="73">
        <f t="shared" si="6"/>
        <v>59</v>
      </c>
      <c r="H185" s="73"/>
      <c r="I185" s="73">
        <f>'[1]D5 Gallon Forecast'!$M139/1000000</f>
        <v>0</v>
      </c>
      <c r="J185" s="73">
        <f>'[1]D5 Gallon Forecast'!$M155/1000000</f>
        <v>3.0559620000000001</v>
      </c>
      <c r="K185" s="73">
        <f t="shared" ref="K185:K248" si="10">SUM(I185:J185)</f>
        <v>3.0559620000000001</v>
      </c>
      <c r="L185" s="23">
        <f t="shared" ref="L185:L248" si="11">(K185*12)/G185</f>
        <v>0.62155159322033893</v>
      </c>
      <c r="M185" s="73"/>
      <c r="N185" s="73"/>
      <c r="O185" s="73">
        <f t="shared" si="9"/>
        <v>4.583333333333333</v>
      </c>
      <c r="P185" s="73">
        <f t="shared" si="7"/>
        <v>0</v>
      </c>
      <c r="Q185" s="73">
        <f t="shared" si="7"/>
        <v>0</v>
      </c>
      <c r="R185" s="73">
        <f t="shared" si="7"/>
        <v>0.33333333333333331</v>
      </c>
      <c r="S185" s="73"/>
      <c r="U185" s="100"/>
      <c r="V185" s="100"/>
      <c r="W185" s="100"/>
      <c r="X185" s="100"/>
      <c r="Y185" s="100"/>
    </row>
    <row r="186" spans="1:25" x14ac:dyDescent="0.2">
      <c r="A186" s="15">
        <v>44317</v>
      </c>
      <c r="B186" s="73">
        <v>55</v>
      </c>
      <c r="C186" s="73"/>
      <c r="D186" s="73"/>
      <c r="E186" s="73">
        <v>4</v>
      </c>
      <c r="G186" s="73">
        <f t="shared" si="6"/>
        <v>59</v>
      </c>
      <c r="H186" s="73"/>
      <c r="I186" s="73">
        <f>'[1]D5 Gallon Forecast'!$M140/1000000</f>
        <v>0</v>
      </c>
      <c r="J186" s="73">
        <f>'[1]D5 Gallon Forecast'!$M156/1000000</f>
        <v>2.2291050000000001</v>
      </c>
      <c r="K186" s="73">
        <f t="shared" si="10"/>
        <v>2.2291050000000001</v>
      </c>
      <c r="L186" s="23">
        <f t="shared" si="11"/>
        <v>0.45337728813559319</v>
      </c>
      <c r="M186" s="73"/>
      <c r="N186" s="73"/>
      <c r="O186" s="73">
        <f t="shared" si="9"/>
        <v>4.583333333333333</v>
      </c>
      <c r="P186" s="73">
        <f t="shared" si="9"/>
        <v>0</v>
      </c>
      <c r="Q186" s="73">
        <f t="shared" si="9"/>
        <v>0</v>
      </c>
      <c r="R186" s="73">
        <f t="shared" si="9"/>
        <v>0.33333333333333331</v>
      </c>
      <c r="S186" s="73"/>
      <c r="U186" s="100"/>
      <c r="V186" s="100"/>
      <c r="W186" s="100"/>
      <c r="X186" s="100"/>
      <c r="Y186" s="100"/>
    </row>
    <row r="187" spans="1:25" x14ac:dyDescent="0.2">
      <c r="A187" s="15">
        <v>44348</v>
      </c>
      <c r="B187" s="73">
        <v>55</v>
      </c>
      <c r="C187" s="73"/>
      <c r="D187" s="73"/>
      <c r="E187" s="73">
        <v>4</v>
      </c>
      <c r="G187" s="73">
        <f t="shared" si="6"/>
        <v>59</v>
      </c>
      <c r="H187" s="73"/>
      <c r="I187" s="73">
        <f>'[1]D5 Gallon Forecast'!$M141/1000000</f>
        <v>0</v>
      </c>
      <c r="J187" s="73">
        <f>'[1]D5 Gallon Forecast'!$M157/1000000</f>
        <v>4.2015399999999996</v>
      </c>
      <c r="K187" s="73">
        <f t="shared" si="10"/>
        <v>4.2015399999999996</v>
      </c>
      <c r="L187" s="23">
        <f t="shared" si="11"/>
        <v>0.85455050847457614</v>
      </c>
      <c r="M187" s="73"/>
      <c r="N187" s="73"/>
      <c r="O187" s="73">
        <f t="shared" si="9"/>
        <v>4.583333333333333</v>
      </c>
      <c r="P187" s="73">
        <f t="shared" si="9"/>
        <v>0</v>
      </c>
      <c r="Q187" s="73">
        <f t="shared" si="9"/>
        <v>0</v>
      </c>
      <c r="R187" s="73">
        <f t="shared" si="9"/>
        <v>0.33333333333333331</v>
      </c>
      <c r="S187" s="73"/>
      <c r="U187" s="100"/>
      <c r="V187" s="100"/>
      <c r="W187" s="100"/>
      <c r="X187" s="100"/>
      <c r="Y187" s="100"/>
    </row>
    <row r="188" spans="1:25" x14ac:dyDescent="0.2">
      <c r="A188" s="15">
        <v>44378</v>
      </c>
      <c r="B188" s="73">
        <v>55</v>
      </c>
      <c r="C188" s="73"/>
      <c r="D188" s="73"/>
      <c r="E188" s="73">
        <v>4</v>
      </c>
      <c r="G188" s="73">
        <f t="shared" si="6"/>
        <v>59</v>
      </c>
      <c r="H188" s="73"/>
      <c r="I188" s="73">
        <f>'[1]D5 Gallon Forecast'!$M142/1000000</f>
        <v>0</v>
      </c>
      <c r="J188" s="73">
        <f>'[1]D5 Gallon Forecast'!$M158/1000000</f>
        <v>5.2445690000000003</v>
      </c>
      <c r="K188" s="73">
        <f t="shared" si="10"/>
        <v>5.2445690000000003</v>
      </c>
      <c r="L188" s="23">
        <f t="shared" si="11"/>
        <v>1.066692</v>
      </c>
      <c r="M188" s="73"/>
      <c r="N188" s="73"/>
      <c r="O188" s="73">
        <f t="shared" si="9"/>
        <v>4.583333333333333</v>
      </c>
      <c r="P188" s="73">
        <f t="shared" si="9"/>
        <v>0</v>
      </c>
      <c r="Q188" s="73">
        <f t="shared" si="9"/>
        <v>0</v>
      </c>
      <c r="R188" s="73">
        <f t="shared" si="9"/>
        <v>0.33333333333333331</v>
      </c>
      <c r="S188" s="73"/>
      <c r="U188" s="100"/>
      <c r="V188" s="100"/>
      <c r="W188" s="100"/>
      <c r="X188" s="100"/>
      <c r="Y188" s="100"/>
    </row>
    <row r="189" spans="1:25" x14ac:dyDescent="0.2">
      <c r="A189" s="15">
        <v>44409</v>
      </c>
      <c r="B189" s="73">
        <v>55</v>
      </c>
      <c r="C189" s="73"/>
      <c r="D189" s="73"/>
      <c r="E189" s="73">
        <v>4</v>
      </c>
      <c r="G189" s="73">
        <f t="shared" si="6"/>
        <v>59</v>
      </c>
      <c r="H189" s="73"/>
      <c r="I189" s="73">
        <f>'[1]D5 Gallon Forecast'!$M143/1000000</f>
        <v>0</v>
      </c>
      <c r="J189" s="73">
        <f>'[1]D5 Gallon Forecast'!$M159/1000000</f>
        <v>7.7406969999999999</v>
      </c>
      <c r="K189" s="73">
        <f t="shared" si="10"/>
        <v>7.7406969999999999</v>
      </c>
      <c r="L189" s="23">
        <f t="shared" si="11"/>
        <v>1.5743790508474576</v>
      </c>
      <c r="M189" s="73"/>
      <c r="N189" s="73"/>
      <c r="O189" s="73">
        <f t="shared" si="9"/>
        <v>4.583333333333333</v>
      </c>
      <c r="P189" s="73">
        <f t="shared" si="9"/>
        <v>0</v>
      </c>
      <c r="Q189" s="73">
        <f t="shared" si="9"/>
        <v>0</v>
      </c>
      <c r="R189" s="73">
        <f t="shared" si="9"/>
        <v>0.33333333333333331</v>
      </c>
      <c r="S189" s="73"/>
      <c r="U189" s="100"/>
      <c r="V189" s="100"/>
      <c r="W189" s="100"/>
      <c r="X189" s="100"/>
      <c r="Y189" s="100"/>
    </row>
    <row r="190" spans="1:25" x14ac:dyDescent="0.2">
      <c r="A190" s="15">
        <v>44440</v>
      </c>
      <c r="B190" s="73">
        <v>55</v>
      </c>
      <c r="C190" s="73"/>
      <c r="D190" s="73"/>
      <c r="E190" s="73">
        <v>4</v>
      </c>
      <c r="G190" s="73">
        <f t="shared" si="6"/>
        <v>59</v>
      </c>
      <c r="H190" s="73"/>
      <c r="I190" s="73">
        <f>'[1]D5 Gallon Forecast'!$M144/1000000</f>
        <v>0</v>
      </c>
      <c r="J190" s="73">
        <f>'[1]D5 Gallon Forecast'!$M160/1000000</f>
        <v>5.8246570000000002</v>
      </c>
      <c r="K190" s="73">
        <f t="shared" si="10"/>
        <v>5.8246570000000002</v>
      </c>
      <c r="L190" s="23">
        <f t="shared" si="11"/>
        <v>1.1846759999999998</v>
      </c>
      <c r="M190" s="73"/>
      <c r="N190" s="73"/>
      <c r="O190" s="73">
        <f t="shared" si="9"/>
        <v>4.583333333333333</v>
      </c>
      <c r="P190" s="73">
        <f t="shared" si="9"/>
        <v>0</v>
      </c>
      <c r="Q190" s="73">
        <f t="shared" si="9"/>
        <v>0</v>
      </c>
      <c r="R190" s="73">
        <f t="shared" si="9"/>
        <v>0.33333333333333331</v>
      </c>
      <c r="S190" s="73"/>
      <c r="U190" s="100"/>
      <c r="V190" s="100"/>
      <c r="W190" s="100"/>
      <c r="X190" s="100"/>
      <c r="Y190" s="100"/>
    </row>
    <row r="191" spans="1:25" x14ac:dyDescent="0.2">
      <c r="A191" s="15">
        <v>44470</v>
      </c>
      <c r="B191" s="73">
        <v>55</v>
      </c>
      <c r="C191" s="73"/>
      <c r="D191" s="73"/>
      <c r="E191" s="73">
        <v>4</v>
      </c>
      <c r="G191" s="73">
        <f t="shared" si="6"/>
        <v>59</v>
      </c>
      <c r="H191" s="73"/>
      <c r="I191" s="73">
        <f>'[1]D5 Gallon Forecast'!$M145/1000000</f>
        <v>0</v>
      </c>
      <c r="J191" s="73">
        <f>'[1]D5 Gallon Forecast'!$M161/1000000</f>
        <v>5.0904870000000004</v>
      </c>
      <c r="K191" s="73">
        <f t="shared" si="10"/>
        <v>5.0904870000000004</v>
      </c>
      <c r="L191" s="23">
        <f t="shared" si="11"/>
        <v>1.0353532881355934</v>
      </c>
      <c r="M191" s="73"/>
      <c r="N191" s="73"/>
      <c r="O191" s="73">
        <f t="shared" si="9"/>
        <v>4.583333333333333</v>
      </c>
      <c r="P191" s="73">
        <f t="shared" si="9"/>
        <v>0</v>
      </c>
      <c r="Q191" s="73">
        <f t="shared" si="9"/>
        <v>0</v>
      </c>
      <c r="R191" s="73">
        <f t="shared" si="9"/>
        <v>0.33333333333333331</v>
      </c>
      <c r="S191" s="73"/>
      <c r="U191" s="100"/>
      <c r="V191" s="100"/>
      <c r="W191" s="100"/>
      <c r="X191" s="100"/>
      <c r="Y191" s="100"/>
    </row>
    <row r="192" spans="1:25" x14ac:dyDescent="0.2">
      <c r="A192" s="15">
        <v>44501</v>
      </c>
      <c r="B192" s="73">
        <v>55</v>
      </c>
      <c r="C192" s="73"/>
      <c r="D192" s="73"/>
      <c r="E192" s="73">
        <v>4</v>
      </c>
      <c r="G192" s="73">
        <f t="shared" si="6"/>
        <v>59</v>
      </c>
      <c r="H192" s="73"/>
      <c r="I192" s="73">
        <f>'[1]D5 Gallon Forecast'!$M146/1000000</f>
        <v>0</v>
      </c>
      <c r="J192" s="73">
        <f>'[1]D5 Gallon Forecast'!$M162/1000000</f>
        <v>0.75369799999999998</v>
      </c>
      <c r="K192" s="73">
        <f t="shared" si="10"/>
        <v>0.75369799999999998</v>
      </c>
      <c r="L192" s="23">
        <f t="shared" si="11"/>
        <v>0.15329450847457626</v>
      </c>
      <c r="M192" s="73"/>
      <c r="N192" s="73"/>
      <c r="O192" s="73">
        <f t="shared" si="9"/>
        <v>4.583333333333333</v>
      </c>
      <c r="P192" s="73">
        <f t="shared" si="9"/>
        <v>0</v>
      </c>
      <c r="Q192" s="73">
        <f t="shared" si="9"/>
        <v>0</v>
      </c>
      <c r="R192" s="73">
        <f t="shared" si="9"/>
        <v>0.33333333333333331</v>
      </c>
      <c r="S192" s="73"/>
      <c r="U192" s="100"/>
      <c r="V192" s="100"/>
      <c r="W192" s="100"/>
      <c r="X192" s="100"/>
      <c r="Y192" s="100"/>
    </row>
    <row r="193" spans="1:25" x14ac:dyDescent="0.2">
      <c r="A193" s="15">
        <v>44531</v>
      </c>
      <c r="B193" s="73">
        <v>55</v>
      </c>
      <c r="C193" s="73"/>
      <c r="D193" s="73"/>
      <c r="E193" s="73">
        <v>4</v>
      </c>
      <c r="G193" s="73">
        <f t="shared" si="6"/>
        <v>59</v>
      </c>
      <c r="H193" s="73"/>
      <c r="I193" s="73">
        <f>'[1]D5 Gallon Forecast'!$M147/1000000</f>
        <v>0</v>
      </c>
      <c r="J193" s="73">
        <f>'[1]D5 Gallon Forecast'!$M163/1000000</f>
        <v>11.05273</v>
      </c>
      <c r="K193" s="73">
        <f t="shared" si="10"/>
        <v>11.05273</v>
      </c>
      <c r="L193" s="23">
        <f t="shared" si="11"/>
        <v>2.2480128813559324</v>
      </c>
      <c r="M193" s="73"/>
      <c r="N193" s="73"/>
      <c r="O193" s="73">
        <f t="shared" si="9"/>
        <v>4.583333333333333</v>
      </c>
      <c r="P193" s="73">
        <f t="shared" si="9"/>
        <v>0</v>
      </c>
      <c r="Q193" s="73">
        <f t="shared" si="9"/>
        <v>0</v>
      </c>
      <c r="R193" s="73">
        <f t="shared" si="9"/>
        <v>0.33333333333333331</v>
      </c>
      <c r="S193" s="73"/>
      <c r="U193" s="100"/>
      <c r="V193" s="100"/>
      <c r="W193" s="100"/>
      <c r="X193" s="100"/>
      <c r="Y193" s="100"/>
    </row>
    <row r="194" spans="1:25" x14ac:dyDescent="0.2">
      <c r="A194" s="15">
        <v>44562</v>
      </c>
      <c r="B194" s="73">
        <v>55</v>
      </c>
      <c r="C194" s="73"/>
      <c r="D194" s="73"/>
      <c r="E194" s="73">
        <v>4</v>
      </c>
      <c r="G194" s="73">
        <f t="shared" si="6"/>
        <v>59</v>
      </c>
      <c r="H194" s="73"/>
      <c r="I194" s="73">
        <f>'[1]D5 Gallon Forecast'!$N136/1000000</f>
        <v>0</v>
      </c>
      <c r="J194" s="73">
        <f>'[1]D5 Gallon Forecast'!$N152/1000000</f>
        <v>4.0205539999999997</v>
      </c>
      <c r="K194" s="73">
        <f t="shared" si="10"/>
        <v>4.0205539999999997</v>
      </c>
      <c r="L194" s="23">
        <f t="shared" si="11"/>
        <v>0.81773979661016938</v>
      </c>
      <c r="M194" s="73"/>
      <c r="N194" s="73"/>
      <c r="O194" s="73"/>
      <c r="P194" s="73"/>
      <c r="Q194" s="73"/>
      <c r="R194" s="73"/>
      <c r="S194" s="73"/>
      <c r="U194" s="100"/>
      <c r="V194" s="100"/>
      <c r="W194" s="100"/>
      <c r="X194" s="100"/>
      <c r="Y194" s="100"/>
    </row>
    <row r="195" spans="1:25" x14ac:dyDescent="0.2">
      <c r="A195" s="15">
        <v>44593</v>
      </c>
      <c r="B195" s="73">
        <v>55</v>
      </c>
      <c r="C195" s="73"/>
      <c r="D195" s="73"/>
      <c r="E195" s="73">
        <v>4</v>
      </c>
      <c r="G195" s="73">
        <f t="shared" si="6"/>
        <v>59</v>
      </c>
      <c r="H195" s="73"/>
      <c r="I195" s="73">
        <f>'[1]D5 Gallon Forecast'!$N137/1000000</f>
        <v>0</v>
      </c>
      <c r="J195" s="73">
        <f>'[1]D5 Gallon Forecast'!$N153/1000000</f>
        <v>4.7148219999999998</v>
      </c>
      <c r="K195" s="73">
        <f t="shared" si="10"/>
        <v>4.7148219999999998</v>
      </c>
      <c r="L195" s="23">
        <f t="shared" si="11"/>
        <v>0.95894684745762704</v>
      </c>
      <c r="M195" s="73"/>
      <c r="N195" s="73"/>
      <c r="O195" s="73"/>
      <c r="P195" s="73"/>
      <c r="Q195" s="73"/>
      <c r="R195" s="73"/>
      <c r="S195" s="73"/>
      <c r="U195" s="100"/>
      <c r="V195" s="100"/>
      <c r="W195" s="100"/>
      <c r="X195" s="100"/>
      <c r="Y195" s="100"/>
    </row>
    <row r="196" spans="1:25" x14ac:dyDescent="0.2">
      <c r="A196" s="15">
        <v>44621</v>
      </c>
      <c r="B196" s="73">
        <v>55</v>
      </c>
      <c r="C196" s="73"/>
      <c r="D196" s="73"/>
      <c r="E196" s="73">
        <v>4</v>
      </c>
      <c r="G196" s="73">
        <f t="shared" si="6"/>
        <v>59</v>
      </c>
      <c r="H196" s="73"/>
      <c r="I196" s="73">
        <f>'[1]D5 Gallon Forecast'!$N138/1000000</f>
        <v>0</v>
      </c>
      <c r="J196" s="73">
        <f>'[1]D5 Gallon Forecast'!$N154/1000000</f>
        <v>4.7786600000000004</v>
      </c>
      <c r="K196" s="73">
        <f t="shared" si="10"/>
        <v>4.7786600000000004</v>
      </c>
      <c r="L196" s="23">
        <f t="shared" si="11"/>
        <v>0.97193084745762715</v>
      </c>
      <c r="M196" s="73"/>
      <c r="N196" s="73"/>
      <c r="O196" s="73"/>
      <c r="P196" s="73"/>
      <c r="Q196" s="73"/>
      <c r="R196" s="73"/>
      <c r="S196" s="73"/>
      <c r="U196" s="100"/>
      <c r="V196" s="100"/>
      <c r="W196" s="100"/>
      <c r="X196" s="100"/>
      <c r="Y196" s="100"/>
    </row>
    <row r="197" spans="1:25" x14ac:dyDescent="0.2">
      <c r="A197" s="15">
        <v>44652</v>
      </c>
      <c r="B197" s="73">
        <v>55</v>
      </c>
      <c r="C197" s="73"/>
      <c r="D197" s="73"/>
      <c r="E197" s="73">
        <v>4</v>
      </c>
      <c r="G197" s="73">
        <f t="shared" si="6"/>
        <v>59</v>
      </c>
      <c r="H197" s="73"/>
      <c r="I197" s="73">
        <f>'[1]D5 Gallon Forecast'!$N139/1000000</f>
        <v>0</v>
      </c>
      <c r="J197" s="73">
        <f>'[1]D5 Gallon Forecast'!$N155/1000000</f>
        <v>5.2924199999999999</v>
      </c>
      <c r="K197" s="73">
        <f t="shared" si="10"/>
        <v>5.2924199999999999</v>
      </c>
      <c r="L197" s="23">
        <f t="shared" si="11"/>
        <v>1.0764244067796609</v>
      </c>
      <c r="M197" s="73"/>
      <c r="N197" s="73"/>
      <c r="O197" s="73"/>
      <c r="P197" s="73"/>
      <c r="Q197" s="73"/>
      <c r="R197" s="73"/>
      <c r="S197" s="73"/>
      <c r="U197" s="100"/>
      <c r="V197" s="100"/>
      <c r="W197" s="100"/>
      <c r="X197" s="100"/>
      <c r="Y197" s="100"/>
    </row>
    <row r="198" spans="1:25" x14ac:dyDescent="0.2">
      <c r="A198" s="15">
        <v>44682</v>
      </c>
      <c r="B198" s="73">
        <v>55</v>
      </c>
      <c r="C198" s="73"/>
      <c r="D198" s="73"/>
      <c r="E198" s="73">
        <v>4</v>
      </c>
      <c r="G198" s="73">
        <f t="shared" ref="G198:G261" si="12">SUM(B198:E198)</f>
        <v>59</v>
      </c>
      <c r="H198" s="73"/>
      <c r="I198" s="73">
        <f>'[1]D5 Gallon Forecast'!$N140/1000000</f>
        <v>0</v>
      </c>
      <c r="J198" s="73">
        <f>'[1]D5 Gallon Forecast'!$N156/1000000</f>
        <v>8.68337</v>
      </c>
      <c r="K198" s="73">
        <f t="shared" si="10"/>
        <v>8.68337</v>
      </c>
      <c r="L198" s="23">
        <f t="shared" si="11"/>
        <v>1.7661091525423729</v>
      </c>
      <c r="M198" s="73"/>
      <c r="N198" s="73"/>
      <c r="O198" s="73"/>
      <c r="P198" s="73"/>
      <c r="Q198" s="73"/>
      <c r="R198" s="73"/>
      <c r="S198" s="73"/>
      <c r="U198" s="100"/>
      <c r="V198" s="100"/>
      <c r="W198" s="100"/>
      <c r="X198" s="100"/>
      <c r="Y198" s="100"/>
    </row>
    <row r="199" spans="1:25" x14ac:dyDescent="0.2">
      <c r="A199" s="15">
        <v>44713</v>
      </c>
      <c r="B199" s="73">
        <v>55</v>
      </c>
      <c r="C199" s="73"/>
      <c r="D199" s="73"/>
      <c r="E199" s="73">
        <v>4</v>
      </c>
      <c r="G199" s="73">
        <f t="shared" si="12"/>
        <v>59</v>
      </c>
      <c r="H199" s="73"/>
      <c r="I199" s="73">
        <f>'[1]D5 Gallon Forecast'!$N141/1000000</f>
        <v>0</v>
      </c>
      <c r="J199" s="73">
        <f>'[1]D5 Gallon Forecast'!$N157/1000000</f>
        <v>4.5776349999999999</v>
      </c>
      <c r="K199" s="73">
        <f t="shared" si="10"/>
        <v>4.5776349999999999</v>
      </c>
      <c r="L199" s="23">
        <f t="shared" si="11"/>
        <v>0.93104440677966094</v>
      </c>
      <c r="M199" s="73"/>
      <c r="N199" s="73"/>
      <c r="O199" s="73"/>
      <c r="P199" s="73"/>
      <c r="Q199" s="73"/>
      <c r="R199" s="73"/>
      <c r="S199" s="73"/>
      <c r="U199" s="100"/>
      <c r="V199" s="100"/>
      <c r="W199" s="100"/>
      <c r="X199" s="100"/>
      <c r="Y199" s="100"/>
    </row>
    <row r="200" spans="1:25" x14ac:dyDescent="0.2">
      <c r="A200" s="15">
        <v>44743</v>
      </c>
      <c r="B200" s="73">
        <v>55</v>
      </c>
      <c r="C200" s="73"/>
      <c r="D200" s="73"/>
      <c r="E200" s="73">
        <v>4</v>
      </c>
      <c r="G200" s="73">
        <f t="shared" si="12"/>
        <v>59</v>
      </c>
      <c r="H200" s="73"/>
      <c r="I200" s="73">
        <f>'[1]D5 Gallon Forecast'!$N142/1000000</f>
        <v>0</v>
      </c>
      <c r="J200" s="73">
        <f>'[1]D5 Gallon Forecast'!$N158/1000000</f>
        <v>4.7867309999999996</v>
      </c>
      <c r="K200" s="73">
        <f t="shared" si="10"/>
        <v>4.7867309999999996</v>
      </c>
      <c r="L200" s="23">
        <f t="shared" si="11"/>
        <v>0.97357240677966095</v>
      </c>
      <c r="M200" s="73"/>
      <c r="N200" s="73"/>
      <c r="O200" s="73"/>
      <c r="P200" s="73"/>
      <c r="Q200" s="73"/>
      <c r="R200" s="73"/>
      <c r="S200" s="73"/>
      <c r="U200" s="100"/>
      <c r="V200" s="100"/>
      <c r="W200" s="100"/>
      <c r="X200" s="100"/>
      <c r="Y200" s="100"/>
    </row>
    <row r="201" spans="1:25" x14ac:dyDescent="0.2">
      <c r="A201" s="15">
        <v>44774</v>
      </c>
      <c r="B201" s="73">
        <v>55</v>
      </c>
      <c r="C201" s="73"/>
      <c r="D201" s="73"/>
      <c r="E201" s="73">
        <v>4</v>
      </c>
      <c r="G201" s="73">
        <f t="shared" si="12"/>
        <v>59</v>
      </c>
      <c r="H201" s="73"/>
      <c r="I201" s="73">
        <f>'[1]D5 Gallon Forecast'!$N143/1000000</f>
        <v>0</v>
      </c>
      <c r="J201" s="73">
        <f>'[1]D5 Gallon Forecast'!$N159/1000000</f>
        <v>7.2517420000000001</v>
      </c>
      <c r="K201" s="73">
        <f t="shared" si="10"/>
        <v>7.2517420000000001</v>
      </c>
      <c r="L201" s="23">
        <f t="shared" si="11"/>
        <v>1.4749305762711864</v>
      </c>
      <c r="M201" s="73"/>
      <c r="N201" s="73"/>
      <c r="O201" s="73"/>
      <c r="P201" s="73"/>
      <c r="Q201" s="73"/>
      <c r="R201" s="73"/>
      <c r="S201" s="73"/>
      <c r="U201" s="100"/>
      <c r="V201" s="100"/>
      <c r="W201" s="100"/>
      <c r="X201" s="100"/>
      <c r="Y201" s="100"/>
    </row>
    <row r="202" spans="1:25" x14ac:dyDescent="0.2">
      <c r="A202" s="15">
        <v>44805</v>
      </c>
      <c r="B202" s="73">
        <v>55</v>
      </c>
      <c r="C202" s="73"/>
      <c r="D202" s="73"/>
      <c r="E202" s="73">
        <v>4</v>
      </c>
      <c r="G202" s="73">
        <f t="shared" si="12"/>
        <v>59</v>
      </c>
      <c r="H202" s="73"/>
      <c r="I202" s="73">
        <f>'[1]D5 Gallon Forecast'!$N144/1000000</f>
        <v>0</v>
      </c>
      <c r="J202" s="73">
        <f>'[1]D5 Gallon Forecast'!$N160/1000000</f>
        <v>8.8956300000000006</v>
      </c>
      <c r="K202" s="73">
        <f t="shared" si="10"/>
        <v>8.8956300000000006</v>
      </c>
      <c r="L202" s="23">
        <f t="shared" si="11"/>
        <v>1.8092806779661019</v>
      </c>
      <c r="M202" s="73"/>
      <c r="N202" s="73"/>
      <c r="O202" s="73"/>
      <c r="P202" s="73"/>
      <c r="Q202" s="73"/>
      <c r="R202" s="73"/>
      <c r="S202" s="73"/>
      <c r="U202" s="100"/>
      <c r="V202" s="100"/>
      <c r="W202" s="100"/>
      <c r="X202" s="100"/>
      <c r="Y202" s="100"/>
    </row>
    <row r="203" spans="1:25" x14ac:dyDescent="0.2">
      <c r="A203" s="15">
        <v>44835</v>
      </c>
      <c r="B203" s="73">
        <v>55</v>
      </c>
      <c r="C203" s="73"/>
      <c r="D203" s="73"/>
      <c r="E203" s="73">
        <v>4</v>
      </c>
      <c r="G203" s="73">
        <f t="shared" si="12"/>
        <v>59</v>
      </c>
      <c r="H203" s="73"/>
      <c r="I203" s="73">
        <f>'[1]D5 Gallon Forecast'!$N145/1000000</f>
        <v>0</v>
      </c>
      <c r="J203" s="73">
        <f>'[1]D5 Gallon Forecast'!$N161/1000000</f>
        <v>5.6908599999999998</v>
      </c>
      <c r="K203" s="73">
        <f t="shared" si="10"/>
        <v>5.6908599999999998</v>
      </c>
      <c r="L203" s="23">
        <f t="shared" si="11"/>
        <v>1.1574630508474575</v>
      </c>
      <c r="M203" s="73"/>
      <c r="N203" s="73"/>
      <c r="O203" s="73"/>
      <c r="P203" s="73"/>
      <c r="Q203" s="73"/>
      <c r="R203" s="73"/>
      <c r="S203" s="73"/>
      <c r="U203" s="100"/>
      <c r="V203" s="100"/>
      <c r="W203" s="100"/>
      <c r="X203" s="100"/>
      <c r="Y203" s="100"/>
    </row>
    <row r="204" spans="1:25" x14ac:dyDescent="0.2">
      <c r="A204" s="15">
        <v>44866</v>
      </c>
      <c r="B204" s="73">
        <v>55</v>
      </c>
      <c r="C204" s="73">
        <v>17.5</v>
      </c>
      <c r="D204" s="73"/>
      <c r="E204" s="73">
        <v>4</v>
      </c>
      <c r="G204" s="73">
        <f t="shared" si="12"/>
        <v>76.5</v>
      </c>
      <c r="H204" s="73"/>
      <c r="I204" s="73">
        <f>'[1]D5 Gallon Forecast'!$N146/1000000</f>
        <v>0</v>
      </c>
      <c r="J204" s="73">
        <f>'[1]D5 Gallon Forecast'!$N162/1000000</f>
        <v>8.1022499999999997</v>
      </c>
      <c r="K204" s="73">
        <f t="shared" si="10"/>
        <v>8.1022499999999997</v>
      </c>
      <c r="L204" s="23">
        <f t="shared" si="11"/>
        <v>1.2709411764705882</v>
      </c>
      <c r="M204" s="73"/>
      <c r="N204" s="73"/>
      <c r="O204" s="73"/>
      <c r="P204" s="73"/>
      <c r="Q204" s="73"/>
      <c r="R204" s="73"/>
      <c r="S204" s="73"/>
      <c r="U204" s="100"/>
      <c r="V204" s="100"/>
      <c r="W204" s="100"/>
      <c r="X204" s="100"/>
      <c r="Y204" s="100"/>
    </row>
    <row r="205" spans="1:25" x14ac:dyDescent="0.2">
      <c r="A205" s="15">
        <v>44896</v>
      </c>
      <c r="B205" s="73">
        <v>55</v>
      </c>
      <c r="C205" s="73">
        <v>55</v>
      </c>
      <c r="D205" s="73"/>
      <c r="E205" s="73">
        <v>4</v>
      </c>
      <c r="G205" s="73">
        <f t="shared" si="12"/>
        <v>114</v>
      </c>
      <c r="H205" s="73"/>
      <c r="I205" s="73">
        <f>'[1]D5 Gallon Forecast'!$N147/1000000</f>
        <v>0</v>
      </c>
      <c r="J205" s="73">
        <f>'[1]D5 Gallon Forecast'!$N163/1000000</f>
        <v>9.17239</v>
      </c>
      <c r="K205" s="73">
        <f t="shared" si="10"/>
        <v>9.17239</v>
      </c>
      <c r="L205" s="23">
        <f t="shared" si="11"/>
        <v>0.96551473684210531</v>
      </c>
      <c r="M205" s="73"/>
      <c r="N205" s="73"/>
      <c r="O205" s="73"/>
      <c r="P205" s="73"/>
      <c r="Q205" s="73"/>
      <c r="R205" s="73"/>
      <c r="S205" s="73"/>
      <c r="U205" s="100"/>
      <c r="V205" s="100"/>
      <c r="W205" s="100"/>
      <c r="X205" s="100"/>
      <c r="Y205" s="100"/>
    </row>
    <row r="206" spans="1:25" x14ac:dyDescent="0.2">
      <c r="A206" s="15">
        <v>44927</v>
      </c>
      <c r="B206" s="73">
        <v>55</v>
      </c>
      <c r="C206" s="73">
        <v>55</v>
      </c>
      <c r="D206" s="73"/>
      <c r="E206" s="73">
        <v>4</v>
      </c>
      <c r="G206" s="73">
        <f t="shared" si="12"/>
        <v>114</v>
      </c>
      <c r="H206" s="73"/>
      <c r="I206" s="73">
        <f>'[1]D5 Gallon Forecast'!$O136/1000000</f>
        <v>0</v>
      </c>
      <c r="J206" s="73">
        <f>'[1]D5 Gallon Forecast'!$O152/1000000</f>
        <v>3.6584759999999998</v>
      </c>
      <c r="K206" s="73">
        <f t="shared" si="10"/>
        <v>3.6584759999999998</v>
      </c>
      <c r="L206" s="23">
        <f t="shared" si="11"/>
        <v>0.38510273684210522</v>
      </c>
      <c r="M206" s="73"/>
      <c r="N206" s="73"/>
      <c r="O206" s="73"/>
      <c r="P206" s="73"/>
      <c r="Q206" s="73"/>
      <c r="R206" s="73"/>
      <c r="S206" s="73"/>
      <c r="U206" s="100"/>
      <c r="V206" s="100"/>
      <c r="W206" s="100"/>
      <c r="X206" s="100"/>
      <c r="Y206" s="100"/>
    </row>
    <row r="207" spans="1:25" x14ac:dyDescent="0.2">
      <c r="A207" s="15">
        <v>44958</v>
      </c>
      <c r="B207" s="73">
        <v>55</v>
      </c>
      <c r="C207" s="73">
        <v>55</v>
      </c>
      <c r="D207" s="73"/>
      <c r="E207" s="73">
        <v>4</v>
      </c>
      <c r="G207" s="73">
        <f t="shared" si="12"/>
        <v>114</v>
      </c>
      <c r="H207" s="73"/>
      <c r="I207" s="73">
        <f>'[1]D5 Gallon Forecast'!$O137/1000000</f>
        <v>0</v>
      </c>
      <c r="J207" s="73">
        <f>'[1]D5 Gallon Forecast'!$O153/1000000</f>
        <v>2.0985800000000001</v>
      </c>
      <c r="K207" s="73">
        <f t="shared" si="10"/>
        <v>2.0985800000000001</v>
      </c>
      <c r="L207" s="23">
        <f t="shared" si="11"/>
        <v>0.22090315789473686</v>
      </c>
      <c r="M207" s="73"/>
      <c r="N207" s="73"/>
      <c r="O207" s="73"/>
      <c r="P207" s="73"/>
      <c r="Q207" s="73"/>
      <c r="R207" s="73"/>
      <c r="S207" s="73"/>
      <c r="U207" s="100"/>
      <c r="V207" s="100"/>
      <c r="W207" s="100"/>
      <c r="X207" s="100"/>
      <c r="Y207" s="100"/>
    </row>
    <row r="208" spans="1:25" x14ac:dyDescent="0.2">
      <c r="A208" s="15">
        <v>44986</v>
      </c>
      <c r="B208" s="73">
        <v>55</v>
      </c>
      <c r="C208" s="73">
        <v>55</v>
      </c>
      <c r="D208" s="73"/>
      <c r="E208" s="73">
        <v>4</v>
      </c>
      <c r="G208" s="73">
        <f t="shared" si="12"/>
        <v>114</v>
      </c>
      <c r="H208" s="73"/>
      <c r="I208" s="73">
        <f>'[1]D5 Gallon Forecast'!$O138/1000000</f>
        <v>0</v>
      </c>
      <c r="J208" s="73">
        <f>'[1]D5 Gallon Forecast'!$O154/1000000</f>
        <v>9.7867479999999993</v>
      </c>
      <c r="K208" s="73">
        <f t="shared" si="10"/>
        <v>9.7867479999999993</v>
      </c>
      <c r="L208" s="23">
        <f t="shared" si="11"/>
        <v>1.030184</v>
      </c>
      <c r="M208" s="73"/>
      <c r="N208" s="73"/>
      <c r="O208" s="73"/>
      <c r="P208" s="73"/>
      <c r="Q208" s="73"/>
      <c r="R208" s="73"/>
      <c r="S208" s="73"/>
      <c r="U208" s="100"/>
      <c r="V208" s="100"/>
      <c r="W208" s="100"/>
      <c r="X208" s="100"/>
      <c r="Y208" s="100"/>
    </row>
    <row r="209" spans="1:25" x14ac:dyDescent="0.2">
      <c r="A209" s="15">
        <v>45017</v>
      </c>
      <c r="B209" s="73">
        <v>55</v>
      </c>
      <c r="C209" s="73">
        <v>55</v>
      </c>
      <c r="D209" s="73"/>
      <c r="E209" s="73">
        <v>4</v>
      </c>
      <c r="G209" s="73">
        <f t="shared" si="12"/>
        <v>114</v>
      </c>
      <c r="H209" s="73"/>
      <c r="I209" s="73">
        <f>'[1]D5 Gallon Forecast'!$O139/1000000</f>
        <v>0</v>
      </c>
      <c r="J209" s="73">
        <f>'[1]D5 Gallon Forecast'!$O155/1000000</f>
        <v>4.8868070000000001</v>
      </c>
      <c r="K209" s="73">
        <f t="shared" si="10"/>
        <v>4.8868070000000001</v>
      </c>
      <c r="L209" s="23">
        <f t="shared" si="11"/>
        <v>0.5144007368421053</v>
      </c>
      <c r="M209" s="73"/>
      <c r="N209" s="73"/>
      <c r="O209" s="73"/>
      <c r="P209" s="73"/>
      <c r="Q209" s="73"/>
      <c r="R209" s="73"/>
      <c r="S209" s="73"/>
      <c r="U209" s="100"/>
      <c r="V209" s="100"/>
      <c r="W209" s="100"/>
      <c r="X209" s="100"/>
      <c r="Y209" s="100"/>
    </row>
    <row r="210" spans="1:25" x14ac:dyDescent="0.2">
      <c r="A210" s="15">
        <v>45047</v>
      </c>
      <c r="B210" s="73">
        <v>55</v>
      </c>
      <c r="C210" s="73">
        <v>55</v>
      </c>
      <c r="D210" s="73"/>
      <c r="E210" s="73">
        <v>4</v>
      </c>
      <c r="G210" s="73">
        <f t="shared" si="12"/>
        <v>114</v>
      </c>
      <c r="H210" s="73"/>
      <c r="I210" s="73">
        <f>'[1]D5 Gallon Forecast'!$O140/1000000</f>
        <v>0</v>
      </c>
      <c r="J210" s="73">
        <f>'[1]D5 Gallon Forecast'!$O156/1000000</f>
        <v>7.1409380000000002</v>
      </c>
      <c r="K210" s="73">
        <f t="shared" si="10"/>
        <v>7.1409380000000002</v>
      </c>
      <c r="L210" s="23">
        <f t="shared" si="11"/>
        <v>0.75167768421052639</v>
      </c>
      <c r="M210" s="73"/>
      <c r="N210" s="73"/>
      <c r="O210" s="73"/>
      <c r="P210" s="73"/>
      <c r="Q210" s="73"/>
      <c r="R210" s="73"/>
      <c r="S210" s="73"/>
      <c r="U210" s="100"/>
      <c r="V210" s="100"/>
      <c r="W210" s="100"/>
      <c r="X210" s="100"/>
      <c r="Y210" s="100"/>
    </row>
    <row r="211" spans="1:25" x14ac:dyDescent="0.2">
      <c r="A211" s="15">
        <v>45078</v>
      </c>
      <c r="B211" s="73">
        <v>55</v>
      </c>
      <c r="C211" s="73">
        <v>55</v>
      </c>
      <c r="D211" s="73"/>
      <c r="E211" s="73">
        <v>4</v>
      </c>
      <c r="G211" s="73">
        <f t="shared" si="12"/>
        <v>114</v>
      </c>
      <c r="H211" s="73"/>
      <c r="I211" s="73">
        <f>'[1]D5 Gallon Forecast'!$O141/1000000</f>
        <v>0</v>
      </c>
      <c r="J211" s="73">
        <f>'[1]D5 Gallon Forecast'!$O157/1000000</f>
        <v>9.7953639999999993</v>
      </c>
      <c r="K211" s="73">
        <f t="shared" si="10"/>
        <v>9.7953639999999993</v>
      </c>
      <c r="L211" s="23">
        <f t="shared" si="11"/>
        <v>1.0310909473684209</v>
      </c>
      <c r="M211" s="73"/>
      <c r="N211" s="73"/>
      <c r="O211" s="73"/>
      <c r="P211" s="73"/>
      <c r="Q211" s="73"/>
      <c r="R211" s="73"/>
      <c r="S211" s="73"/>
      <c r="U211" s="100"/>
      <c r="V211" s="100"/>
      <c r="W211" s="100"/>
      <c r="X211" s="100"/>
      <c r="Y211" s="100"/>
    </row>
    <row r="212" spans="1:25" x14ac:dyDescent="0.2">
      <c r="A212" s="15">
        <v>45108</v>
      </c>
      <c r="B212" s="73">
        <v>55</v>
      </c>
      <c r="C212" s="73">
        <v>55</v>
      </c>
      <c r="D212" s="73"/>
      <c r="E212" s="73">
        <v>4</v>
      </c>
      <c r="G212" s="73">
        <f t="shared" si="12"/>
        <v>114</v>
      </c>
      <c r="H212" s="73"/>
      <c r="I212" s="73">
        <f>'[1]D5 Gallon Forecast'!$O142/1000000</f>
        <v>0</v>
      </c>
      <c r="J212" s="73">
        <f>'[1]D5 Gallon Forecast'!$O158/1000000</f>
        <v>4.4370039999999999</v>
      </c>
      <c r="K212" s="73">
        <f t="shared" si="10"/>
        <v>4.4370039999999999</v>
      </c>
      <c r="L212" s="23">
        <f t="shared" si="11"/>
        <v>0.46705305263157892</v>
      </c>
      <c r="M212" s="73"/>
      <c r="N212" s="73"/>
      <c r="O212" s="73"/>
      <c r="P212" s="73"/>
      <c r="Q212" s="73"/>
      <c r="R212" s="73"/>
      <c r="S212" s="73"/>
      <c r="U212" s="100"/>
      <c r="V212" s="100"/>
      <c r="W212" s="100"/>
      <c r="X212" s="100"/>
      <c r="Y212" s="100"/>
    </row>
    <row r="213" spans="1:25" x14ac:dyDescent="0.2">
      <c r="A213" s="15">
        <v>45139</v>
      </c>
      <c r="B213" s="73">
        <v>55</v>
      </c>
      <c r="C213" s="73">
        <v>55</v>
      </c>
      <c r="D213" s="73">
        <f>('[1]D6 Gallon Forecast'!$O280+'[1]D6 Gallon Forecast'!$O216+'[1]D6 Gallon Forecast'!$O72)/1000000</f>
        <v>1.1199680000000001</v>
      </c>
      <c r="E213" s="73">
        <v>4</v>
      </c>
      <c r="G213" s="73">
        <f t="shared" si="12"/>
        <v>115.119968</v>
      </c>
      <c r="H213" s="73"/>
      <c r="I213" s="73">
        <f>'[1]D5 Gallon Forecast'!$O143/1000000</f>
        <v>0</v>
      </c>
      <c r="J213" s="73">
        <f>'[1]D5 Gallon Forecast'!$O159/1000000</f>
        <v>8.0737799999999993</v>
      </c>
      <c r="K213" s="73">
        <f t="shared" si="10"/>
        <v>8.0737799999999993</v>
      </c>
      <c r="L213" s="23">
        <f t="shared" si="11"/>
        <v>0.8416034306055401</v>
      </c>
      <c r="M213" s="73"/>
      <c r="N213" s="73"/>
      <c r="O213" s="73"/>
      <c r="P213" s="102">
        <v>4360000</v>
      </c>
      <c r="Q213" s="73" t="s">
        <v>380</v>
      </c>
      <c r="R213" s="73"/>
      <c r="S213" s="73"/>
      <c r="U213" s="100"/>
      <c r="V213" s="100"/>
      <c r="W213" s="100"/>
      <c r="X213" s="100"/>
      <c r="Y213" s="100"/>
    </row>
    <row r="214" spans="1:25" x14ac:dyDescent="0.2">
      <c r="A214" s="15">
        <v>45170</v>
      </c>
      <c r="B214" s="73">
        <v>55</v>
      </c>
      <c r="C214" s="73">
        <v>55</v>
      </c>
      <c r="D214" s="73">
        <f>('[1]D6 Gallon Forecast'!$O281+'[1]D6 Gallon Forecast'!$O217+'[1]D6 Gallon Forecast'!$O73)/1000000</f>
        <v>1.015738</v>
      </c>
      <c r="E214" s="73">
        <v>4</v>
      </c>
      <c r="G214" s="73">
        <f t="shared" si="12"/>
        <v>115.015738</v>
      </c>
      <c r="H214" s="73"/>
      <c r="I214" s="73">
        <f>'[1]D5 Gallon Forecast'!$O144/1000000</f>
        <v>0</v>
      </c>
      <c r="J214" s="73">
        <f>'[1]D5 Gallon Forecast'!$O160/1000000</f>
        <v>7.4024999999999999</v>
      </c>
      <c r="K214" s="73">
        <f t="shared" si="10"/>
        <v>7.4024999999999999</v>
      </c>
      <c r="L214" s="23">
        <f t="shared" si="11"/>
        <v>0.77232908769406838</v>
      </c>
      <c r="M214" s="73"/>
      <c r="N214" s="73"/>
      <c r="O214" s="73">
        <f>2600000/350</f>
        <v>7428.5714285714284</v>
      </c>
      <c r="P214" s="102">
        <f>P213*350</f>
        <v>1526000000</v>
      </c>
      <c r="Q214" s="73" t="s">
        <v>381</v>
      </c>
      <c r="R214" s="73"/>
      <c r="S214" s="73"/>
      <c r="U214" s="100"/>
      <c r="V214" s="100"/>
      <c r="W214" s="100"/>
      <c r="X214" s="100"/>
      <c r="Y214" s="100"/>
    </row>
    <row r="215" spans="1:25" x14ac:dyDescent="0.2">
      <c r="A215" s="15">
        <v>45200</v>
      </c>
      <c r="B215" s="73">
        <v>55</v>
      </c>
      <c r="C215" s="73">
        <v>55</v>
      </c>
      <c r="D215" s="73">
        <f>('[1]D6 Gallon Forecast'!$O282+'[1]D6 Gallon Forecast'!$O218+'[1]D6 Gallon Forecast'!$O74)/1000000</f>
        <v>1.191438</v>
      </c>
      <c r="E215" s="73">
        <v>4</v>
      </c>
      <c r="G215" s="73">
        <f t="shared" si="12"/>
        <v>115.19143800000001</v>
      </c>
      <c r="H215" s="73"/>
      <c r="I215" s="73">
        <f>'[1]D5 Gallon Forecast'!$O145/1000000</f>
        <v>0</v>
      </c>
      <c r="J215" s="73">
        <f>'[1]D5 Gallon Forecast'!$O161/1000000</f>
        <v>6.9043200000000002</v>
      </c>
      <c r="K215" s="73">
        <f t="shared" si="10"/>
        <v>6.9043200000000002</v>
      </c>
      <c r="L215" s="23">
        <f t="shared" si="11"/>
        <v>0.71925345701474797</v>
      </c>
      <c r="M215" s="73"/>
      <c r="N215" s="73"/>
      <c r="O215" s="73"/>
      <c r="P215" s="73">
        <f>P214*42/1000000</f>
        <v>64092</v>
      </c>
      <c r="Q215" s="73" t="s">
        <v>382</v>
      </c>
      <c r="R215" s="73"/>
      <c r="S215" s="73"/>
      <c r="U215" s="100"/>
      <c r="V215" s="100"/>
      <c r="W215" s="100"/>
      <c r="X215" s="100"/>
      <c r="Y215" s="100"/>
    </row>
    <row r="216" spans="1:25" x14ac:dyDescent="0.2">
      <c r="A216" s="15">
        <v>45231</v>
      </c>
      <c r="B216" s="73">
        <v>55</v>
      </c>
      <c r="C216" s="73">
        <v>55</v>
      </c>
      <c r="D216" s="73">
        <f>('[1]D6 Gallon Forecast'!$O283+'[1]D6 Gallon Forecast'!$O219+'[1]D6 Gallon Forecast'!$O75)/1000000</f>
        <v>1.805879</v>
      </c>
      <c r="E216" s="73">
        <v>4</v>
      </c>
      <c r="G216" s="73">
        <f t="shared" si="12"/>
        <v>115.805879</v>
      </c>
      <c r="H216" s="73"/>
      <c r="I216" s="73">
        <f>'[1]D5 Gallon Forecast'!$O146/1000000</f>
        <v>0</v>
      </c>
      <c r="J216" s="73">
        <f>'[1]D5 Gallon Forecast'!$O162/1000000</f>
        <v>4.4087719999999999</v>
      </c>
      <c r="K216" s="73">
        <f t="shared" si="10"/>
        <v>4.4087719999999999</v>
      </c>
      <c r="L216" s="23">
        <f t="shared" si="11"/>
        <v>0.45684437143299089</v>
      </c>
      <c r="M216" s="73"/>
      <c r="N216" s="73"/>
      <c r="O216" s="73"/>
      <c r="P216" s="73"/>
      <c r="Q216" s="73"/>
      <c r="R216" s="73"/>
      <c r="S216" s="73"/>
      <c r="U216" s="100"/>
      <c r="V216" s="100"/>
      <c r="W216" s="100"/>
      <c r="X216" s="100"/>
      <c r="Y216" s="100"/>
    </row>
    <row r="217" spans="1:25" x14ac:dyDescent="0.2">
      <c r="A217" s="15">
        <v>45261</v>
      </c>
      <c r="B217" s="73">
        <v>55</v>
      </c>
      <c r="C217" s="73">
        <v>55</v>
      </c>
      <c r="D217" s="73">
        <f>('[1]D6 Gallon Forecast'!$O284+'[1]D6 Gallon Forecast'!$O220+'[1]D6 Gallon Forecast'!$O76)/1000000</f>
        <v>0.14476900000000001</v>
      </c>
      <c r="E217" s="73">
        <v>4</v>
      </c>
      <c r="G217" s="73">
        <f t="shared" si="12"/>
        <v>114.144769</v>
      </c>
      <c r="H217" s="73"/>
      <c r="I217" s="73">
        <f>'[1]D5 Gallon Forecast'!$O147/1000000</f>
        <v>0</v>
      </c>
      <c r="J217" s="73">
        <f>'[1]D5 Gallon Forecast'!$O163/1000000</f>
        <v>3.567815</v>
      </c>
      <c r="K217" s="73">
        <f t="shared" si="10"/>
        <v>3.567815</v>
      </c>
      <c r="L217" s="23">
        <f t="shared" si="11"/>
        <v>0.37508315427052119</v>
      </c>
      <c r="M217" s="73"/>
      <c r="N217" s="73"/>
      <c r="O217" s="73"/>
      <c r="P217" s="73"/>
      <c r="Q217" s="73"/>
      <c r="R217" s="73"/>
      <c r="S217" s="73"/>
      <c r="U217" s="100"/>
      <c r="V217" s="100"/>
      <c r="W217" s="100"/>
      <c r="X217" s="100"/>
      <c r="Y217" s="100"/>
    </row>
    <row r="218" spans="1:25" x14ac:dyDescent="0.2">
      <c r="A218" s="15">
        <v>45292</v>
      </c>
      <c r="B218" s="73">
        <v>55</v>
      </c>
      <c r="C218" s="73">
        <v>55</v>
      </c>
      <c r="D218" s="73">
        <f>('[1]D6 Gallon Forecast'!$P273+'[1]D6 Gallon Forecast'!$P209+'[1]D6 Gallon Forecast'!$P65)/1000000</f>
        <v>1.089558</v>
      </c>
      <c r="E218" s="73">
        <v>4</v>
      </c>
      <c r="G218" s="73">
        <f t="shared" si="12"/>
        <v>115.089558</v>
      </c>
      <c r="H218" s="73"/>
      <c r="I218" s="73">
        <f>'[1]D5 Gallon Forecast'!$P136/1000000</f>
        <v>0</v>
      </c>
      <c r="J218" s="73">
        <f>'[1]D5 Gallon Forecast'!$P152/1000000</f>
        <v>5.2007779999999997</v>
      </c>
      <c r="K218" s="73">
        <f t="shared" si="10"/>
        <v>5.2007779999999997</v>
      </c>
      <c r="L218" s="23">
        <f t="shared" si="11"/>
        <v>0.54226757913172274</v>
      </c>
      <c r="M218" s="73"/>
      <c r="N218" s="73"/>
      <c r="O218" s="73"/>
      <c r="P218" s="73"/>
      <c r="Q218" s="73"/>
      <c r="R218" s="73"/>
      <c r="S218" s="73"/>
      <c r="U218" s="100"/>
      <c r="V218" s="100"/>
      <c r="W218" s="100"/>
      <c r="X218" s="100"/>
      <c r="Y218" s="100"/>
    </row>
    <row r="219" spans="1:25" x14ac:dyDescent="0.2">
      <c r="A219" s="15">
        <v>45323</v>
      </c>
      <c r="B219" s="73">
        <v>55</v>
      </c>
      <c r="C219" s="73">
        <v>55</v>
      </c>
      <c r="D219" s="73">
        <f>('[1]D6 Gallon Forecast'!$P274+'[1]D6 Gallon Forecast'!$P210+'[1]D6 Gallon Forecast'!$P66)/1000000</f>
        <v>0.64680300000000002</v>
      </c>
      <c r="E219" s="73">
        <v>4</v>
      </c>
      <c r="G219" s="73">
        <f t="shared" si="12"/>
        <v>114.64680300000001</v>
      </c>
      <c r="H219" s="73"/>
      <c r="I219" s="73">
        <f>'[1]D5 Gallon Forecast'!$P137/1000000</f>
        <v>0</v>
      </c>
      <c r="J219" s="73">
        <f>'[1]D5 Gallon Forecast'!$P153/1000000</f>
        <v>3.9352040000000001</v>
      </c>
      <c r="K219" s="73">
        <f t="shared" si="10"/>
        <v>3.9352040000000001</v>
      </c>
      <c r="L219" s="23">
        <f t="shared" si="11"/>
        <v>0.41189502685042162</v>
      </c>
      <c r="M219" s="73"/>
      <c r="N219" s="73"/>
      <c r="O219" s="73"/>
      <c r="P219" s="73"/>
      <c r="Q219" s="73"/>
      <c r="R219" s="73"/>
      <c r="S219" s="73"/>
      <c r="U219" s="100"/>
      <c r="V219" s="100"/>
      <c r="W219" s="100"/>
      <c r="X219" s="100"/>
      <c r="Y219" s="100"/>
    </row>
    <row r="220" spans="1:25" x14ac:dyDescent="0.2">
      <c r="A220" s="15">
        <v>45352</v>
      </c>
      <c r="B220" s="73">
        <v>55</v>
      </c>
      <c r="C220" s="73">
        <v>55</v>
      </c>
      <c r="D220" s="73">
        <v>1.3</v>
      </c>
      <c r="E220" s="73">
        <v>4</v>
      </c>
      <c r="G220" s="73">
        <f t="shared" si="12"/>
        <v>115.3</v>
      </c>
      <c r="H220" s="73"/>
      <c r="I220" s="73">
        <f>'[1]D5 Gallon Forecast'!$P138/1000000</f>
        <v>0</v>
      </c>
      <c r="J220" s="73">
        <f>'[1]D5 Gallon Forecast'!$P154/1000000</f>
        <v>5.2849640000000004</v>
      </c>
      <c r="K220" s="73">
        <f t="shared" si="10"/>
        <v>5.2849640000000004</v>
      </c>
      <c r="L220" s="23">
        <f t="shared" si="11"/>
        <v>0.55003961838681703</v>
      </c>
      <c r="M220" s="73"/>
      <c r="N220" s="73"/>
      <c r="O220" s="73"/>
      <c r="P220" s="73"/>
      <c r="Q220" s="73"/>
      <c r="R220" s="73"/>
      <c r="S220" s="73"/>
      <c r="U220" s="100"/>
      <c r="V220" s="100"/>
      <c r="W220" s="100"/>
      <c r="X220" s="100"/>
      <c r="Y220" s="100"/>
    </row>
    <row r="221" spans="1:25" x14ac:dyDescent="0.2">
      <c r="A221" s="15">
        <v>45383</v>
      </c>
      <c r="B221" s="73">
        <v>55</v>
      </c>
      <c r="C221" s="73">
        <v>55</v>
      </c>
      <c r="D221" s="139">
        <v>2</v>
      </c>
      <c r="E221" s="73">
        <v>4</v>
      </c>
      <c r="G221" s="73">
        <f t="shared" si="12"/>
        <v>116</v>
      </c>
      <c r="H221" s="73"/>
      <c r="I221" s="73">
        <f>'[1]D5 Gallon Forecast'!$P139/1000000</f>
        <v>0</v>
      </c>
      <c r="J221" s="73">
        <f>'[1]D5 Gallon Forecast'!$P155/1000000</f>
        <v>3.922034</v>
      </c>
      <c r="K221" s="73">
        <f t="shared" si="10"/>
        <v>3.922034</v>
      </c>
      <c r="L221" s="23">
        <f t="shared" si="11"/>
        <v>0.40572765517241377</v>
      </c>
      <c r="M221" s="73"/>
      <c r="N221" s="73"/>
      <c r="O221" s="73"/>
      <c r="P221" s="73"/>
      <c r="Q221" s="73"/>
      <c r="R221" s="73"/>
      <c r="S221" s="73"/>
      <c r="U221" s="100"/>
      <c r="V221" s="100"/>
      <c r="W221" s="100"/>
      <c r="X221" s="100"/>
      <c r="Y221" s="100"/>
    </row>
    <row r="222" spans="1:25" x14ac:dyDescent="0.2">
      <c r="A222" s="15">
        <v>45413</v>
      </c>
      <c r="B222" s="73">
        <v>55</v>
      </c>
      <c r="C222" s="73">
        <v>55</v>
      </c>
      <c r="D222" s="139">
        <v>2</v>
      </c>
      <c r="E222" s="73">
        <v>4</v>
      </c>
      <c r="G222" s="73">
        <f t="shared" si="12"/>
        <v>116</v>
      </c>
      <c r="H222" s="73"/>
      <c r="I222" s="73">
        <f>'[1]D5 Gallon Forecast'!$P140/1000000</f>
        <v>0</v>
      </c>
      <c r="J222" s="73">
        <f>'[1]D5 Gallon Forecast'!$P156/1000000</f>
        <v>1.4277010000000001</v>
      </c>
      <c r="K222" s="73">
        <f t="shared" si="10"/>
        <v>1.4277010000000001</v>
      </c>
      <c r="L222" s="23">
        <f t="shared" si="11"/>
        <v>0.14769320689655174</v>
      </c>
      <c r="M222" s="73"/>
      <c r="N222" s="73"/>
      <c r="O222" s="73"/>
      <c r="P222" s="73"/>
      <c r="Q222" s="73"/>
      <c r="R222" s="73"/>
      <c r="S222" s="73"/>
      <c r="U222" s="100"/>
      <c r="V222" s="100"/>
      <c r="W222" s="100"/>
      <c r="X222" s="100"/>
      <c r="Y222" s="100"/>
    </row>
    <row r="223" spans="1:25" x14ac:dyDescent="0.2">
      <c r="A223" s="15">
        <v>45444</v>
      </c>
      <c r="B223" s="73">
        <v>55</v>
      </c>
      <c r="C223" s="73">
        <v>55</v>
      </c>
      <c r="D223" s="139">
        <v>2</v>
      </c>
      <c r="E223" s="73">
        <v>4</v>
      </c>
      <c r="G223" s="73">
        <f t="shared" si="12"/>
        <v>116</v>
      </c>
      <c r="H223" s="73"/>
      <c r="I223" s="73">
        <f>'[1]D5 Gallon Forecast'!$P141/1000000</f>
        <v>0</v>
      </c>
      <c r="J223" s="73">
        <f>'[1]D5 Gallon Forecast'!$P157/1000000</f>
        <v>6.1898229999999996</v>
      </c>
      <c r="K223" s="73">
        <f t="shared" si="10"/>
        <v>6.1898229999999996</v>
      </c>
      <c r="L223" s="23">
        <f t="shared" si="11"/>
        <v>0.64032651724137923</v>
      </c>
      <c r="M223" s="73"/>
      <c r="N223" s="73"/>
      <c r="O223" s="73"/>
      <c r="P223" s="73"/>
      <c r="Q223" s="73"/>
      <c r="R223" s="73"/>
      <c r="S223" s="73"/>
      <c r="U223" s="100"/>
      <c r="V223" s="100"/>
      <c r="W223" s="100"/>
      <c r="X223" s="100"/>
      <c r="Y223" s="100"/>
    </row>
    <row r="224" spans="1:25" x14ac:dyDescent="0.2">
      <c r="A224" s="15">
        <v>45474</v>
      </c>
      <c r="B224" s="73">
        <v>55</v>
      </c>
      <c r="C224" s="73">
        <v>55</v>
      </c>
      <c r="D224" s="139">
        <v>50</v>
      </c>
      <c r="E224" s="73">
        <v>4</v>
      </c>
      <c r="G224" s="73">
        <f t="shared" si="12"/>
        <v>164</v>
      </c>
      <c r="H224" s="73"/>
      <c r="I224" s="73">
        <f>'[1]D5 Gallon Forecast'!$P142/1000000</f>
        <v>0</v>
      </c>
      <c r="J224" s="73">
        <f>'[1]D5 Gallon Forecast'!$P158/1000000</f>
        <v>6.7867030000000002</v>
      </c>
      <c r="K224" s="73">
        <f t="shared" si="10"/>
        <v>6.7867030000000002</v>
      </c>
      <c r="L224" s="23">
        <f t="shared" si="11"/>
        <v>0.49658802439024391</v>
      </c>
      <c r="M224" s="73"/>
      <c r="N224" s="73"/>
      <c r="O224" s="73"/>
      <c r="P224" s="73"/>
      <c r="Q224" s="73"/>
      <c r="R224" s="73"/>
      <c r="S224" s="73"/>
      <c r="U224" s="100"/>
      <c r="V224" s="100"/>
      <c r="W224" s="100"/>
      <c r="X224" s="100"/>
      <c r="Y224" s="100"/>
    </row>
    <row r="225" spans="1:25" x14ac:dyDescent="0.2">
      <c r="A225" s="15">
        <v>45505</v>
      </c>
      <c r="B225" s="73">
        <v>55</v>
      </c>
      <c r="C225" s="73">
        <v>55</v>
      </c>
      <c r="D225" s="139">
        <v>50</v>
      </c>
      <c r="E225" s="73">
        <v>4</v>
      </c>
      <c r="G225" s="73">
        <f t="shared" si="12"/>
        <v>164</v>
      </c>
      <c r="H225" s="73"/>
      <c r="I225" s="73">
        <f>'[1]D5 Gallon Forecast'!$P143/1000000</f>
        <v>0</v>
      </c>
      <c r="J225" s="73">
        <f>'[1]D5 Gallon Forecast'!$P159/1000000</f>
        <v>8.8642470000000007</v>
      </c>
      <c r="K225" s="73">
        <f t="shared" si="10"/>
        <v>8.8642470000000007</v>
      </c>
      <c r="L225" s="23">
        <f t="shared" si="11"/>
        <v>0.64860343902439033</v>
      </c>
      <c r="M225" s="73"/>
      <c r="N225" s="73"/>
      <c r="O225" s="73"/>
      <c r="P225" s="73"/>
      <c r="Q225" s="73"/>
      <c r="R225" s="73"/>
      <c r="S225" s="73"/>
      <c r="U225" s="100"/>
      <c r="V225" s="100"/>
      <c r="W225" s="100"/>
      <c r="X225" s="100"/>
      <c r="Y225" s="100"/>
    </row>
    <row r="226" spans="1:25" x14ac:dyDescent="0.2">
      <c r="A226" s="15">
        <v>45536</v>
      </c>
      <c r="B226" s="73">
        <v>55</v>
      </c>
      <c r="C226" s="73">
        <v>55</v>
      </c>
      <c r="D226" s="139">
        <v>50</v>
      </c>
      <c r="E226" s="73">
        <v>4</v>
      </c>
      <c r="G226" s="73">
        <f t="shared" si="12"/>
        <v>164</v>
      </c>
      <c r="H226" s="73"/>
      <c r="I226" s="73">
        <f>'[1]D5 Gallon Forecast'!$P144/1000000</f>
        <v>0</v>
      </c>
      <c r="J226" s="73">
        <f>'[1]D5 Gallon Forecast'!$P160/1000000</f>
        <v>6.8111360000000003</v>
      </c>
      <c r="K226" s="73">
        <f t="shared" si="10"/>
        <v>6.8111360000000003</v>
      </c>
      <c r="L226" s="23">
        <f t="shared" si="11"/>
        <v>0.49837580487804878</v>
      </c>
      <c r="M226" s="73"/>
      <c r="N226" s="73"/>
      <c r="O226" s="73"/>
      <c r="P226" s="73"/>
      <c r="Q226" s="73"/>
      <c r="R226" s="73"/>
      <c r="S226" s="73"/>
      <c r="U226" s="100"/>
      <c r="V226" s="100"/>
      <c r="W226" s="100"/>
      <c r="X226" s="100"/>
      <c r="Y226" s="100"/>
    </row>
    <row r="227" spans="1:25" x14ac:dyDescent="0.2">
      <c r="A227" s="15">
        <v>45566</v>
      </c>
      <c r="B227" s="73">
        <v>55</v>
      </c>
      <c r="C227" s="73">
        <v>55</v>
      </c>
      <c r="D227" s="139">
        <v>50</v>
      </c>
      <c r="E227" s="73">
        <v>4</v>
      </c>
      <c r="G227" s="73">
        <f t="shared" si="12"/>
        <v>164</v>
      </c>
      <c r="I227" s="73">
        <f>'[1]D5 Gallon Forecast'!$P145/1000000</f>
        <v>0</v>
      </c>
      <c r="J227" s="73">
        <f>'[1]D5 Gallon Forecast'!$P161/1000000</f>
        <v>5.111224</v>
      </c>
      <c r="K227" s="73">
        <f t="shared" si="10"/>
        <v>5.111224</v>
      </c>
      <c r="L227" s="23">
        <f t="shared" si="11"/>
        <v>0.37399199999999999</v>
      </c>
    </row>
    <row r="228" spans="1:25" x14ac:dyDescent="0.2">
      <c r="A228" s="15">
        <v>45597</v>
      </c>
      <c r="B228" s="73">
        <v>55</v>
      </c>
      <c r="C228" s="73">
        <v>55</v>
      </c>
      <c r="D228" s="73">
        <v>50</v>
      </c>
      <c r="E228" s="73">
        <v>4</v>
      </c>
      <c r="G228" s="73">
        <f t="shared" si="12"/>
        <v>164</v>
      </c>
      <c r="I228" s="73">
        <f>'[1]D5 Gallon Forecast'!$P146/1000000</f>
        <v>0</v>
      </c>
      <c r="J228" s="73">
        <f>'[1]D5 Gallon Forecast'!$P162/1000000</f>
        <v>7.182048</v>
      </c>
      <c r="K228" s="73">
        <f t="shared" si="10"/>
        <v>7.182048</v>
      </c>
      <c r="L228" s="23">
        <f t="shared" si="11"/>
        <v>0.52551570731707309</v>
      </c>
    </row>
    <row r="229" spans="1:25" x14ac:dyDescent="0.2">
      <c r="A229" s="15">
        <v>45627</v>
      </c>
      <c r="B229" s="73">
        <v>55</v>
      </c>
      <c r="C229" s="73">
        <v>55</v>
      </c>
      <c r="D229" s="73">
        <v>50</v>
      </c>
      <c r="E229" s="73">
        <v>4</v>
      </c>
      <c r="G229" s="73">
        <f t="shared" si="12"/>
        <v>164</v>
      </c>
      <c r="I229" s="73">
        <f>'[1]D5 Gallon Forecast'!$P147/1000000</f>
        <v>0</v>
      </c>
      <c r="J229" s="73">
        <f>'[1]D5 Gallon Forecast'!$P163/1000000</f>
        <v>6.4207609999999997</v>
      </c>
      <c r="K229" s="73">
        <f t="shared" si="10"/>
        <v>6.4207609999999997</v>
      </c>
      <c r="L229" s="23">
        <f t="shared" si="11"/>
        <v>0.46981178048780486</v>
      </c>
    </row>
    <row r="230" spans="1:25" x14ac:dyDescent="0.2">
      <c r="A230" s="15">
        <v>45658</v>
      </c>
      <c r="B230" s="73">
        <v>55</v>
      </c>
      <c r="C230" s="73">
        <v>55</v>
      </c>
      <c r="D230" s="73">
        <v>50</v>
      </c>
      <c r="E230" s="73">
        <v>4</v>
      </c>
      <c r="G230" s="73">
        <f t="shared" si="12"/>
        <v>164</v>
      </c>
      <c r="I230" s="73">
        <f>'[1]D5 Gallon Forecast'!$Q136/1000000</f>
        <v>0</v>
      </c>
      <c r="J230" s="73">
        <f>'[1]D5 Gallon Forecast'!$Q152/1000000</f>
        <v>5.4160079999999997</v>
      </c>
      <c r="K230" s="73">
        <f t="shared" si="10"/>
        <v>5.4160079999999997</v>
      </c>
      <c r="L230" s="23">
        <f t="shared" si="11"/>
        <v>0.39629326829268297</v>
      </c>
    </row>
    <row r="231" spans="1:25" x14ac:dyDescent="0.2">
      <c r="A231" s="15">
        <v>45689</v>
      </c>
      <c r="B231" s="73">
        <v>55</v>
      </c>
      <c r="C231" s="73">
        <v>55</v>
      </c>
      <c r="D231" s="73">
        <v>50</v>
      </c>
      <c r="E231" s="73">
        <v>4</v>
      </c>
      <c r="G231" s="73">
        <f t="shared" si="12"/>
        <v>164</v>
      </c>
      <c r="I231" s="73">
        <f>'[1]D5 Gallon Forecast'!$Q137/1000000</f>
        <v>0</v>
      </c>
      <c r="J231" s="73">
        <f>'[1]D5 Gallon Forecast'!$Q153/1000000</f>
        <v>4.635669</v>
      </c>
      <c r="K231" s="73">
        <f t="shared" si="10"/>
        <v>4.635669</v>
      </c>
      <c r="L231" s="23">
        <f t="shared" si="11"/>
        <v>0.33919529268292681</v>
      </c>
    </row>
    <row r="232" spans="1:25" x14ac:dyDescent="0.2">
      <c r="A232" s="15">
        <v>45717</v>
      </c>
      <c r="B232" s="73">
        <v>55</v>
      </c>
      <c r="C232" s="73">
        <v>55</v>
      </c>
      <c r="D232" s="73">
        <v>50</v>
      </c>
      <c r="E232" s="73">
        <v>4</v>
      </c>
      <c r="G232" s="73">
        <f t="shared" si="12"/>
        <v>164</v>
      </c>
      <c r="I232" s="73">
        <f>'[1]D5 Gallon Forecast'!$Q138/1000000</f>
        <v>0</v>
      </c>
      <c r="J232" s="73">
        <f>'[1]D5 Gallon Forecast'!$Q154/1000000</f>
        <v>6.5703230000000001</v>
      </c>
      <c r="K232" s="73">
        <f t="shared" si="10"/>
        <v>6.5703230000000001</v>
      </c>
      <c r="L232" s="23">
        <f t="shared" si="11"/>
        <v>0.48075534146341459</v>
      </c>
    </row>
    <row r="233" spans="1:25" x14ac:dyDescent="0.2">
      <c r="A233" s="15">
        <v>45748</v>
      </c>
      <c r="B233" s="73">
        <v>55</v>
      </c>
      <c r="C233" s="73">
        <v>55</v>
      </c>
      <c r="D233" s="73">
        <v>50</v>
      </c>
      <c r="E233" s="73">
        <v>4</v>
      </c>
      <c r="G233" s="73">
        <f t="shared" si="12"/>
        <v>164</v>
      </c>
      <c r="I233" s="73">
        <f>'[1]D5 Gallon Forecast'!$Q139/1000000</f>
        <v>0</v>
      </c>
      <c r="J233" s="73">
        <f>'[1]D5 Gallon Forecast'!$Q155/1000000</f>
        <v>3.8045450782076746</v>
      </c>
      <c r="K233" s="73">
        <f t="shared" si="10"/>
        <v>3.8045450782076746</v>
      </c>
      <c r="L233" s="23">
        <f t="shared" si="11"/>
        <v>0.27838134718592744</v>
      </c>
    </row>
    <row r="234" spans="1:25" x14ac:dyDescent="0.2">
      <c r="A234" s="15">
        <v>45778</v>
      </c>
      <c r="B234" s="73">
        <v>55</v>
      </c>
      <c r="C234" s="73">
        <v>55</v>
      </c>
      <c r="D234" s="73">
        <v>50</v>
      </c>
      <c r="E234" s="73">
        <v>4</v>
      </c>
      <c r="G234" s="73">
        <f t="shared" si="12"/>
        <v>164</v>
      </c>
      <c r="I234" s="73">
        <f>'[1]D5 Gallon Forecast'!$Q140/1000000</f>
        <v>0</v>
      </c>
      <c r="J234" s="73">
        <f>'[1]D5 Gallon Forecast'!$Q156/1000000</f>
        <v>4.4620454060335488</v>
      </c>
      <c r="K234" s="73">
        <f t="shared" si="10"/>
        <v>4.4620454060335488</v>
      </c>
      <c r="L234" s="23">
        <f t="shared" si="11"/>
        <v>0.32649112727074747</v>
      </c>
    </row>
    <row r="235" spans="1:25" x14ac:dyDescent="0.2">
      <c r="A235" s="15">
        <v>45809</v>
      </c>
      <c r="B235" s="73">
        <v>55</v>
      </c>
      <c r="C235" s="73">
        <v>55</v>
      </c>
      <c r="D235" s="73">
        <v>50</v>
      </c>
      <c r="E235" s="73">
        <v>4</v>
      </c>
      <c r="G235" s="73">
        <f t="shared" si="12"/>
        <v>164</v>
      </c>
      <c r="I235" s="73">
        <f>'[1]D5 Gallon Forecast'!$Q141/1000000</f>
        <v>0</v>
      </c>
      <c r="J235" s="73">
        <f>'[1]D5 Gallon Forecast'!$Q157/1000000</f>
        <v>5.2854174387381256</v>
      </c>
      <c r="K235" s="73">
        <f t="shared" si="10"/>
        <v>5.2854174387381256</v>
      </c>
      <c r="L235" s="23">
        <f t="shared" si="11"/>
        <v>0.38673786137108235</v>
      </c>
    </row>
    <row r="236" spans="1:25" x14ac:dyDescent="0.2">
      <c r="A236" s="15">
        <v>45839</v>
      </c>
      <c r="B236" s="73">
        <v>55</v>
      </c>
      <c r="C236" s="73">
        <v>55</v>
      </c>
      <c r="D236" s="73">
        <v>50</v>
      </c>
      <c r="E236" s="73">
        <v>4</v>
      </c>
      <c r="G236" s="73">
        <f t="shared" si="12"/>
        <v>164</v>
      </c>
      <c r="I236" s="73">
        <f>'[1]D5 Gallon Forecast'!$Q142/1000000</f>
        <v>0</v>
      </c>
      <c r="J236" s="73">
        <f>'[1]D5 Gallon Forecast'!$Q158/1000000</f>
        <v>4.6767921621910196</v>
      </c>
      <c r="K236" s="73">
        <f t="shared" si="10"/>
        <v>4.6767921621910196</v>
      </c>
      <c r="L236" s="23">
        <f t="shared" si="11"/>
        <v>0.34220430455056239</v>
      </c>
    </row>
    <row r="237" spans="1:25" x14ac:dyDescent="0.2">
      <c r="A237" s="15">
        <v>45870</v>
      </c>
      <c r="B237" s="73">
        <v>55</v>
      </c>
      <c r="C237" s="73">
        <v>55</v>
      </c>
      <c r="D237" s="73">
        <v>50</v>
      </c>
      <c r="E237" s="73">
        <v>4</v>
      </c>
      <c r="G237" s="73">
        <f t="shared" si="12"/>
        <v>164</v>
      </c>
      <c r="I237" s="73">
        <f>'[1]D5 Gallon Forecast'!$Q143/1000000</f>
        <v>0</v>
      </c>
      <c r="J237" s="73">
        <f>'[1]D5 Gallon Forecast'!$Q159/1000000</f>
        <v>6.692932859866092</v>
      </c>
      <c r="K237" s="73">
        <f t="shared" si="10"/>
        <v>6.692932859866092</v>
      </c>
      <c r="L237" s="23">
        <f t="shared" si="11"/>
        <v>0.48972679462434826</v>
      </c>
    </row>
    <row r="238" spans="1:25" x14ac:dyDescent="0.2">
      <c r="A238" s="15">
        <v>45901</v>
      </c>
      <c r="B238" s="73">
        <v>55</v>
      </c>
      <c r="C238" s="73">
        <v>55</v>
      </c>
      <c r="D238" s="73">
        <v>50</v>
      </c>
      <c r="E238" s="73">
        <v>4</v>
      </c>
      <c r="G238" s="73">
        <f t="shared" si="12"/>
        <v>164</v>
      </c>
      <c r="I238" s="73">
        <f>'[1]D5 Gallon Forecast'!$Q144/1000000</f>
        <v>0</v>
      </c>
      <c r="J238" s="73">
        <f>'[1]D5 Gallon Forecast'!$Q160/1000000</f>
        <v>6.0557531815380656</v>
      </c>
      <c r="K238" s="73">
        <f t="shared" si="10"/>
        <v>6.0557531815380656</v>
      </c>
      <c r="L238" s="23">
        <f t="shared" si="11"/>
        <v>0.44310389133205358</v>
      </c>
    </row>
    <row r="239" spans="1:25" x14ac:dyDescent="0.2">
      <c r="A239" s="15">
        <v>45931</v>
      </c>
      <c r="B239" s="73">
        <v>55</v>
      </c>
      <c r="C239" s="73">
        <v>55</v>
      </c>
      <c r="D239" s="73">
        <v>50</v>
      </c>
      <c r="E239" s="73">
        <v>4</v>
      </c>
      <c r="G239" s="73">
        <f t="shared" si="12"/>
        <v>164</v>
      </c>
      <c r="I239" s="73">
        <f>'[1]D5 Gallon Forecast'!$Q145/1000000</f>
        <v>0</v>
      </c>
      <c r="J239" s="73">
        <f>'[1]D5 Gallon Forecast'!$Q161/1000000</f>
        <v>5.1026520862763887</v>
      </c>
      <c r="K239" s="73">
        <f t="shared" si="10"/>
        <v>5.1026520862763887</v>
      </c>
      <c r="L239" s="23">
        <f t="shared" si="11"/>
        <v>0.37336478680071133</v>
      </c>
    </row>
    <row r="240" spans="1:25" x14ac:dyDescent="0.2">
      <c r="A240" s="15">
        <v>45962</v>
      </c>
      <c r="B240" s="73">
        <v>55</v>
      </c>
      <c r="C240" s="73">
        <v>55</v>
      </c>
      <c r="D240" s="73">
        <v>50</v>
      </c>
      <c r="E240" s="73">
        <v>4</v>
      </c>
      <c r="G240" s="73">
        <f t="shared" si="12"/>
        <v>164</v>
      </c>
      <c r="I240" s="73">
        <f>'[1]D5 Gallon Forecast'!$Q146/1000000</f>
        <v>0</v>
      </c>
      <c r="J240" s="73">
        <f>'[1]D5 Gallon Forecast'!$Q162/1000000</f>
        <v>4.9585766474295294</v>
      </c>
      <c r="K240" s="73">
        <f t="shared" si="10"/>
        <v>4.9585766474295294</v>
      </c>
      <c r="L240" s="23">
        <f t="shared" si="11"/>
        <v>0.36282268151923386</v>
      </c>
    </row>
    <row r="241" spans="1:12" x14ac:dyDescent="0.2">
      <c r="A241" s="15">
        <v>45992</v>
      </c>
      <c r="B241" s="73">
        <v>55</v>
      </c>
      <c r="C241" s="73">
        <v>55</v>
      </c>
      <c r="D241" s="73">
        <v>50</v>
      </c>
      <c r="E241" s="73">
        <v>4</v>
      </c>
      <c r="G241" s="73">
        <f t="shared" si="12"/>
        <v>164</v>
      </c>
      <c r="I241" s="73">
        <f>'[1]D5 Gallon Forecast'!$Q147/1000000</f>
        <v>0</v>
      </c>
      <c r="J241" s="73">
        <f>'[1]D5 Gallon Forecast'!$Q163/1000000</f>
        <v>4.0531907131135982</v>
      </c>
      <c r="K241" s="73">
        <f t="shared" si="10"/>
        <v>4.0531907131135982</v>
      </c>
      <c r="L241" s="23">
        <f t="shared" si="11"/>
        <v>0.29657493022782427</v>
      </c>
    </row>
    <row r="242" spans="1:12" x14ac:dyDescent="0.2">
      <c r="A242" s="15">
        <v>46023</v>
      </c>
      <c r="B242" s="73">
        <v>55</v>
      </c>
      <c r="C242" s="73">
        <v>55</v>
      </c>
      <c r="D242" s="73">
        <v>50</v>
      </c>
      <c r="E242" s="73">
        <v>4</v>
      </c>
      <c r="G242" s="73">
        <f t="shared" si="12"/>
        <v>164</v>
      </c>
      <c r="I242" s="73">
        <f>'[1]D5 Gallon Forecast'!$R136/1000000</f>
        <v>0</v>
      </c>
      <c r="J242" s="73">
        <f>'[1]D5 Gallon Forecast'!$R152/1000000</f>
        <v>5.9375338844495644</v>
      </c>
      <c r="K242" s="73">
        <f t="shared" si="10"/>
        <v>5.9375338844495644</v>
      </c>
      <c r="L242" s="23">
        <f t="shared" si="11"/>
        <v>0.43445369886216323</v>
      </c>
    </row>
    <row r="243" spans="1:12" x14ac:dyDescent="0.2">
      <c r="A243" s="15">
        <v>46054</v>
      </c>
      <c r="B243" s="73">
        <v>55</v>
      </c>
      <c r="C243" s="73">
        <v>55</v>
      </c>
      <c r="D243" s="73">
        <v>50</v>
      </c>
      <c r="E243" s="73">
        <v>4</v>
      </c>
      <c r="G243" s="73">
        <f t="shared" si="12"/>
        <v>164</v>
      </c>
      <c r="I243" s="73">
        <f>'[1]D5 Gallon Forecast'!$R137/1000000</f>
        <v>0</v>
      </c>
      <c r="J243" s="73">
        <f>'[1]D5 Gallon Forecast'!$R153/1000000</f>
        <v>4.3688840825830866</v>
      </c>
      <c r="K243" s="73">
        <f t="shared" si="10"/>
        <v>4.3688840825830866</v>
      </c>
      <c r="L243" s="23">
        <f t="shared" si="11"/>
        <v>0.31967444506705511</v>
      </c>
    </row>
    <row r="244" spans="1:12" x14ac:dyDescent="0.2">
      <c r="A244" s="15">
        <v>46082</v>
      </c>
      <c r="B244" s="73">
        <v>55</v>
      </c>
      <c r="C244" s="73">
        <v>55</v>
      </c>
      <c r="D244" s="73">
        <v>50</v>
      </c>
      <c r="E244" s="73">
        <v>4</v>
      </c>
      <c r="G244" s="73">
        <f t="shared" si="12"/>
        <v>164</v>
      </c>
      <c r="I244" s="73">
        <f>'[1]D5 Gallon Forecast'!$R138/1000000</f>
        <v>0</v>
      </c>
      <c r="J244" s="73">
        <f>'[1]D5 Gallon Forecast'!$R154/1000000</f>
        <v>6.704516141332987</v>
      </c>
      <c r="K244" s="73">
        <f t="shared" si="10"/>
        <v>6.704516141332987</v>
      </c>
      <c r="L244" s="23">
        <f t="shared" si="11"/>
        <v>0.4905743518048527</v>
      </c>
    </row>
    <row r="245" spans="1:12" x14ac:dyDescent="0.2">
      <c r="A245" s="15">
        <v>46113</v>
      </c>
      <c r="B245" s="73">
        <v>55</v>
      </c>
      <c r="C245" s="73">
        <v>55</v>
      </c>
      <c r="D245" s="73">
        <v>50</v>
      </c>
      <c r="E245" s="73">
        <v>4</v>
      </c>
      <c r="G245" s="73">
        <f t="shared" si="12"/>
        <v>164</v>
      </c>
      <c r="I245" s="73">
        <f>'[1]D5 Gallon Forecast'!$R139/1000000</f>
        <v>0</v>
      </c>
      <c r="J245" s="73">
        <f>'[1]D5 Gallon Forecast'!$R155/1000000</f>
        <v>4.6098171129421379</v>
      </c>
      <c r="K245" s="73">
        <f t="shared" si="10"/>
        <v>4.6098171129421379</v>
      </c>
      <c r="L245" s="23">
        <f t="shared" si="11"/>
        <v>0.3373036911908881</v>
      </c>
    </row>
    <row r="246" spans="1:12" x14ac:dyDescent="0.2">
      <c r="A246" s="15">
        <v>46143</v>
      </c>
      <c r="B246" s="73">
        <v>55</v>
      </c>
      <c r="C246" s="73">
        <v>55</v>
      </c>
      <c r="D246" s="73">
        <v>50</v>
      </c>
      <c r="E246" s="73">
        <v>4</v>
      </c>
      <c r="G246" s="73">
        <f t="shared" si="12"/>
        <v>164</v>
      </c>
      <c r="I246" s="73">
        <f>'[1]D5 Gallon Forecast'!$R140/1000000</f>
        <v>0</v>
      </c>
      <c r="J246" s="73">
        <f>'[1]D5 Gallon Forecast'!$R156/1000000</f>
        <v>5.2654711928895841</v>
      </c>
      <c r="K246" s="73">
        <f t="shared" si="10"/>
        <v>5.2654711928895841</v>
      </c>
      <c r="L246" s="23">
        <f t="shared" si="11"/>
        <v>0.3852783799675305</v>
      </c>
    </row>
    <row r="247" spans="1:12" x14ac:dyDescent="0.2">
      <c r="A247" s="15">
        <v>46174</v>
      </c>
      <c r="B247" s="73">
        <v>55</v>
      </c>
      <c r="C247" s="73">
        <v>55</v>
      </c>
      <c r="D247" s="73">
        <v>50</v>
      </c>
      <c r="E247" s="73">
        <v>4</v>
      </c>
      <c r="G247" s="73">
        <f t="shared" si="12"/>
        <v>164</v>
      </c>
      <c r="I247" s="73">
        <f>'[1]D5 Gallon Forecast'!$R141/1000000</f>
        <v>0</v>
      </c>
      <c r="J247" s="73">
        <f>'[1]D5 Gallon Forecast'!$R157/1000000</f>
        <v>6.6084114173958666</v>
      </c>
      <c r="K247" s="73">
        <f t="shared" si="10"/>
        <v>6.6084114173958666</v>
      </c>
      <c r="L247" s="23">
        <f t="shared" si="11"/>
        <v>0.48354229883384386</v>
      </c>
    </row>
    <row r="248" spans="1:12" x14ac:dyDescent="0.2">
      <c r="A248" s="15">
        <v>46204</v>
      </c>
      <c r="B248" s="73">
        <v>55</v>
      </c>
      <c r="C248" s="73">
        <v>55</v>
      </c>
      <c r="D248" s="73">
        <v>50</v>
      </c>
      <c r="E248" s="73">
        <v>4</v>
      </c>
      <c r="G248" s="73">
        <f t="shared" si="12"/>
        <v>164</v>
      </c>
      <c r="I248" s="73">
        <f>'[1]D5 Gallon Forecast'!$R142/1000000</f>
        <v>0</v>
      </c>
      <c r="J248" s="73">
        <f>'[1]D5 Gallon Forecast'!$R158/1000000</f>
        <v>5.7028038427504644</v>
      </c>
      <c r="K248" s="73">
        <f t="shared" si="10"/>
        <v>5.7028038427504644</v>
      </c>
      <c r="L248" s="23">
        <f t="shared" si="11"/>
        <v>0.41727832995735109</v>
      </c>
    </row>
    <row r="249" spans="1:12" x14ac:dyDescent="0.2">
      <c r="A249" s="15">
        <v>46235</v>
      </c>
      <c r="B249" s="73">
        <v>55</v>
      </c>
      <c r="C249" s="73">
        <v>55</v>
      </c>
      <c r="D249" s="73">
        <v>50</v>
      </c>
      <c r="E249" s="73">
        <v>4</v>
      </c>
      <c r="G249" s="73">
        <f t="shared" si="12"/>
        <v>164</v>
      </c>
      <c r="I249" s="73">
        <f>'[1]D5 Gallon Forecast'!$R143/1000000</f>
        <v>0</v>
      </c>
      <c r="J249" s="73">
        <f>'[1]D5 Gallon Forecast'!$R159/1000000</f>
        <v>8.4938829758975363</v>
      </c>
      <c r="K249" s="73">
        <f t="shared" ref="K249:K312" si="13">SUM(I249:J249)</f>
        <v>8.4938829758975363</v>
      </c>
      <c r="L249" s="23">
        <f t="shared" ref="L249:L312" si="14">(K249*12)/G249</f>
        <v>0.62150363238274664</v>
      </c>
    </row>
    <row r="250" spans="1:12" x14ac:dyDescent="0.2">
      <c r="A250" s="15">
        <v>46266</v>
      </c>
      <c r="B250" s="73">
        <v>55</v>
      </c>
      <c r="C250" s="73">
        <v>55</v>
      </c>
      <c r="D250" s="73">
        <v>50</v>
      </c>
      <c r="E250" s="73">
        <v>4</v>
      </c>
      <c r="G250" s="73">
        <f t="shared" si="12"/>
        <v>164</v>
      </c>
      <c r="I250" s="73">
        <f>'[1]D5 Gallon Forecast'!$R144/1000000</f>
        <v>0</v>
      </c>
      <c r="J250" s="73">
        <f>'[1]D5 Gallon Forecast'!$R160/1000000</f>
        <v>7.6947711393508378</v>
      </c>
      <c r="K250" s="73">
        <f t="shared" si="13"/>
        <v>7.6947711393508378</v>
      </c>
      <c r="L250" s="23">
        <f t="shared" si="14"/>
        <v>0.56303203458664663</v>
      </c>
    </row>
    <row r="251" spans="1:12" x14ac:dyDescent="0.2">
      <c r="A251" s="15">
        <v>46296</v>
      </c>
      <c r="B251" s="73">
        <v>55</v>
      </c>
      <c r="C251" s="73">
        <v>55</v>
      </c>
      <c r="D251" s="73">
        <v>50</v>
      </c>
      <c r="E251" s="73">
        <v>4</v>
      </c>
      <c r="G251" s="73">
        <f t="shared" si="12"/>
        <v>164</v>
      </c>
      <c r="I251" s="73">
        <f>'[1]D5 Gallon Forecast'!$R145/1000000</f>
        <v>0</v>
      </c>
      <c r="J251" s="73">
        <f>'[1]D5 Gallon Forecast'!$R161/1000000</f>
        <v>6.1355411758462832</v>
      </c>
      <c r="K251" s="73">
        <f t="shared" si="13"/>
        <v>6.1355411758462832</v>
      </c>
      <c r="L251" s="23">
        <f t="shared" si="14"/>
        <v>0.44894203725704507</v>
      </c>
    </row>
    <row r="252" spans="1:12" x14ac:dyDescent="0.2">
      <c r="A252" s="15">
        <v>46327</v>
      </c>
      <c r="B252" s="73">
        <v>55</v>
      </c>
      <c r="C252" s="73">
        <v>55</v>
      </c>
      <c r="D252" s="73">
        <v>50</v>
      </c>
      <c r="E252" s="73">
        <v>4</v>
      </c>
      <c r="G252" s="73">
        <f t="shared" si="12"/>
        <v>164</v>
      </c>
      <c r="I252" s="73">
        <f>'[1]D5 Gallon Forecast'!$R146/1000000</f>
        <v>0</v>
      </c>
      <c r="J252" s="73">
        <f>'[1]D5 Gallon Forecast'!$R162/1000000</f>
        <v>5.5870283498493594</v>
      </c>
      <c r="K252" s="73">
        <f t="shared" si="13"/>
        <v>5.5870283498493594</v>
      </c>
      <c r="L252" s="23">
        <f t="shared" si="14"/>
        <v>0.40880695242800191</v>
      </c>
    </row>
    <row r="253" spans="1:12" x14ac:dyDescent="0.2">
      <c r="A253" s="15">
        <v>46357</v>
      </c>
      <c r="B253" s="73">
        <v>55</v>
      </c>
      <c r="C253" s="73">
        <v>55</v>
      </c>
      <c r="D253" s="73">
        <v>50</v>
      </c>
      <c r="E253" s="73">
        <v>4</v>
      </c>
      <c r="G253" s="73">
        <f t="shared" si="12"/>
        <v>164</v>
      </c>
      <c r="I253" s="73">
        <f>'[1]D5 Gallon Forecast'!$R147/1000000</f>
        <v>0</v>
      </c>
      <c r="J253" s="73">
        <f>'[1]D5 Gallon Forecast'!$R163/1000000</f>
        <v>7.5358185525191201</v>
      </c>
      <c r="K253" s="73">
        <f t="shared" si="13"/>
        <v>7.5358185525191201</v>
      </c>
      <c r="L253" s="23">
        <f t="shared" si="14"/>
        <v>0.55140135750139896</v>
      </c>
    </row>
    <row r="254" spans="1:12" x14ac:dyDescent="0.2">
      <c r="A254" s="15">
        <v>46388</v>
      </c>
      <c r="B254" s="73">
        <v>55</v>
      </c>
      <c r="C254" s="73">
        <v>55</v>
      </c>
      <c r="D254" s="73">
        <v>50</v>
      </c>
      <c r="E254" s="73">
        <v>4</v>
      </c>
      <c r="G254" s="73">
        <f t="shared" si="12"/>
        <v>164</v>
      </c>
      <c r="I254" s="73">
        <f>'[1]D5 Gallon Forecast'!$S136/1000000</f>
        <v>0</v>
      </c>
      <c r="J254" s="73">
        <f>'[1]D5 Gallon Forecast'!$S152/1000000</f>
        <v>6.2147073119492156</v>
      </c>
      <c r="K254" s="73">
        <f t="shared" si="13"/>
        <v>6.2147073119492156</v>
      </c>
      <c r="L254" s="23">
        <f t="shared" si="14"/>
        <v>0.45473468136213774</v>
      </c>
    </row>
    <row r="255" spans="1:12" x14ac:dyDescent="0.2">
      <c r="A255" s="15">
        <v>46419</v>
      </c>
      <c r="B255" s="73">
        <v>55</v>
      </c>
      <c r="C255" s="73">
        <v>55</v>
      </c>
      <c r="D255" s="73">
        <v>50</v>
      </c>
      <c r="E255" s="73">
        <v>4</v>
      </c>
      <c r="G255" s="73">
        <f t="shared" si="12"/>
        <v>164</v>
      </c>
      <c r="I255" s="73">
        <f>'[1]D5 Gallon Forecast'!$S137/1000000</f>
        <v>0</v>
      </c>
      <c r="J255" s="73">
        <f>'[1]D5 Gallon Forecast'!$S153/1000000</f>
        <v>5.065750412962915</v>
      </c>
      <c r="K255" s="73">
        <f t="shared" si="13"/>
        <v>5.065750412962915</v>
      </c>
      <c r="L255" s="23">
        <f t="shared" si="14"/>
        <v>0.37066466436314011</v>
      </c>
    </row>
    <row r="256" spans="1:12" x14ac:dyDescent="0.2">
      <c r="A256" s="15">
        <v>46447</v>
      </c>
      <c r="B256" s="73">
        <v>55</v>
      </c>
      <c r="C256" s="73">
        <v>55</v>
      </c>
      <c r="D256" s="73">
        <v>50</v>
      </c>
      <c r="E256" s="73">
        <v>4</v>
      </c>
      <c r="G256" s="73">
        <f t="shared" si="12"/>
        <v>164</v>
      </c>
      <c r="I256" s="73">
        <f>'[1]D5 Gallon Forecast'!$S138/1000000</f>
        <v>0</v>
      </c>
      <c r="J256" s="73">
        <f>'[1]D5 Gallon Forecast'!$S154/1000000</f>
        <v>8.4950488839351728</v>
      </c>
      <c r="K256" s="73">
        <f t="shared" si="13"/>
        <v>8.4950488839351728</v>
      </c>
      <c r="L256" s="23">
        <f t="shared" si="14"/>
        <v>0.62158894272696386</v>
      </c>
    </row>
    <row r="257" spans="1:12" x14ac:dyDescent="0.2">
      <c r="A257" s="15">
        <v>46478</v>
      </c>
      <c r="B257" s="73">
        <v>55</v>
      </c>
      <c r="C257" s="73">
        <v>55</v>
      </c>
      <c r="D257" s="73">
        <v>50</v>
      </c>
      <c r="E257" s="73">
        <v>4</v>
      </c>
      <c r="G257" s="73">
        <f t="shared" si="12"/>
        <v>164</v>
      </c>
      <c r="I257" s="73">
        <f>'[1]D5 Gallon Forecast'!$S139/1000000</f>
        <v>0</v>
      </c>
      <c r="J257" s="73">
        <f>'[1]D5 Gallon Forecast'!$S155/1000000</f>
        <v>5.7741917129221703</v>
      </c>
      <c r="K257" s="73">
        <f t="shared" si="13"/>
        <v>5.7741917129221703</v>
      </c>
      <c r="L257" s="23">
        <f t="shared" si="14"/>
        <v>0.42250183265284169</v>
      </c>
    </row>
    <row r="258" spans="1:12" x14ac:dyDescent="0.2">
      <c r="A258" s="15">
        <v>46508</v>
      </c>
      <c r="B258" s="73">
        <v>55</v>
      </c>
      <c r="C258" s="73">
        <v>55</v>
      </c>
      <c r="D258" s="73">
        <v>50</v>
      </c>
      <c r="E258" s="73">
        <v>4</v>
      </c>
      <c r="G258" s="73">
        <f t="shared" si="12"/>
        <v>164</v>
      </c>
      <c r="I258" s="73">
        <f>'[1]D5 Gallon Forecast'!$S140/1000000</f>
        <v>0</v>
      </c>
      <c r="J258" s="73">
        <f>'[1]D5 Gallon Forecast'!$S156/1000000</f>
        <v>6.9189714097324071</v>
      </c>
      <c r="K258" s="73">
        <f t="shared" si="13"/>
        <v>6.9189714097324071</v>
      </c>
      <c r="L258" s="23">
        <f t="shared" si="14"/>
        <v>0.50626620071212736</v>
      </c>
    </row>
    <row r="259" spans="1:12" x14ac:dyDescent="0.2">
      <c r="A259" s="15">
        <v>46539</v>
      </c>
      <c r="B259" s="73">
        <v>55</v>
      </c>
      <c r="C259" s="73">
        <v>55</v>
      </c>
      <c r="D259" s="73">
        <v>50</v>
      </c>
      <c r="E259" s="73">
        <v>4</v>
      </c>
      <c r="G259" s="73">
        <f t="shared" si="12"/>
        <v>164</v>
      </c>
      <c r="I259" s="73">
        <f>'[1]D5 Gallon Forecast'!$S141/1000000</f>
        <v>0</v>
      </c>
      <c r="J259" s="73">
        <f>'[1]D5 Gallon Forecast'!$S157/1000000</f>
        <v>8.3235948128836394</v>
      </c>
      <c r="K259" s="73">
        <f t="shared" si="13"/>
        <v>8.3235948128836394</v>
      </c>
      <c r="L259" s="23">
        <f t="shared" si="14"/>
        <v>0.60904352289392483</v>
      </c>
    </row>
    <row r="260" spans="1:12" x14ac:dyDescent="0.2">
      <c r="A260" s="15">
        <v>46569</v>
      </c>
      <c r="B260" s="73">
        <v>55</v>
      </c>
      <c r="C260" s="73">
        <v>55</v>
      </c>
      <c r="D260" s="73">
        <v>50</v>
      </c>
      <c r="E260" s="73">
        <v>4</v>
      </c>
      <c r="G260" s="73">
        <f t="shared" si="12"/>
        <v>164</v>
      </c>
      <c r="I260" s="73">
        <f>'[1]D5 Gallon Forecast'!$S142/1000000</f>
        <v>0</v>
      </c>
      <c r="J260" s="73">
        <f>'[1]D5 Gallon Forecast'!$S158/1000000</f>
        <v>6.7677947157582388</v>
      </c>
      <c r="K260" s="73">
        <f t="shared" si="13"/>
        <v>6.7677947157582388</v>
      </c>
      <c r="L260" s="23">
        <f t="shared" si="14"/>
        <v>0.49520449139694428</v>
      </c>
    </row>
    <row r="261" spans="1:12" x14ac:dyDescent="0.2">
      <c r="A261" s="15">
        <v>46600</v>
      </c>
      <c r="B261" s="73">
        <v>55</v>
      </c>
      <c r="C261" s="73">
        <v>55</v>
      </c>
      <c r="D261" s="73">
        <v>50</v>
      </c>
      <c r="E261" s="73">
        <v>4</v>
      </c>
      <c r="G261" s="73">
        <f t="shared" si="12"/>
        <v>164</v>
      </c>
      <c r="I261" s="73">
        <f>'[1]D5 Gallon Forecast'!$S143/1000000</f>
        <v>0</v>
      </c>
      <c r="J261" s="73">
        <f>'[1]D5 Gallon Forecast'!$S159/1000000</f>
        <v>10.098230367046396</v>
      </c>
      <c r="K261" s="73">
        <f t="shared" si="13"/>
        <v>10.098230367046396</v>
      </c>
      <c r="L261" s="23">
        <f t="shared" si="14"/>
        <v>0.73889490490583376</v>
      </c>
    </row>
    <row r="262" spans="1:12" x14ac:dyDescent="0.2">
      <c r="A262" s="15">
        <v>46631</v>
      </c>
      <c r="B262" s="73">
        <v>55</v>
      </c>
      <c r="C262" s="73">
        <v>55</v>
      </c>
      <c r="D262" s="73">
        <v>50</v>
      </c>
      <c r="E262" s="73">
        <v>4</v>
      </c>
      <c r="G262" s="73">
        <f t="shared" ref="G262:G325" si="15">SUM(B262:E262)</f>
        <v>164</v>
      </c>
      <c r="I262" s="73">
        <f>'[1]D5 Gallon Forecast'!$S144/1000000</f>
        <v>0</v>
      </c>
      <c r="J262" s="73">
        <f>'[1]D5 Gallon Forecast'!$S160/1000000</f>
        <v>9.4527916906419236</v>
      </c>
      <c r="K262" s="73">
        <f t="shared" si="13"/>
        <v>9.4527916906419236</v>
      </c>
      <c r="L262" s="23">
        <f t="shared" si="14"/>
        <v>0.69166768468111639</v>
      </c>
    </row>
    <row r="263" spans="1:12" x14ac:dyDescent="0.2">
      <c r="A263" s="15">
        <v>46661</v>
      </c>
      <c r="B263" s="73">
        <v>55</v>
      </c>
      <c r="C263" s="73">
        <v>55</v>
      </c>
      <c r="D263" s="73">
        <v>50</v>
      </c>
      <c r="E263" s="73">
        <v>4</v>
      </c>
      <c r="G263" s="73">
        <f t="shared" si="15"/>
        <v>164</v>
      </c>
      <c r="I263" s="73">
        <f>'[1]D5 Gallon Forecast'!$S145/1000000</f>
        <v>0</v>
      </c>
      <c r="J263" s="73">
        <f>'[1]D5 Gallon Forecast'!$S161/1000000</f>
        <v>7.4229192870181224</v>
      </c>
      <c r="K263" s="73">
        <f t="shared" si="13"/>
        <v>7.4229192870181224</v>
      </c>
      <c r="L263" s="23">
        <f t="shared" si="14"/>
        <v>0.54314043563547243</v>
      </c>
    </row>
    <row r="264" spans="1:12" x14ac:dyDescent="0.2">
      <c r="A264" s="15">
        <v>46692</v>
      </c>
      <c r="B264" s="73">
        <v>55</v>
      </c>
      <c r="C264" s="73">
        <v>55</v>
      </c>
      <c r="D264" s="73">
        <v>50</v>
      </c>
      <c r="E264" s="73">
        <v>4</v>
      </c>
      <c r="G264" s="73">
        <f t="shared" si="15"/>
        <v>164</v>
      </c>
      <c r="I264" s="73">
        <f>'[1]D5 Gallon Forecast'!$S146/1000000</f>
        <v>0</v>
      </c>
      <c r="J264" s="73">
        <f>'[1]D5 Gallon Forecast'!$S162/1000000</f>
        <v>7.7547889790439335</v>
      </c>
      <c r="K264" s="73">
        <f t="shared" si="13"/>
        <v>7.7547889790439335</v>
      </c>
      <c r="L264" s="23">
        <f t="shared" si="14"/>
        <v>0.56742358383248293</v>
      </c>
    </row>
    <row r="265" spans="1:12" x14ac:dyDescent="0.2">
      <c r="A265" s="15">
        <v>46722</v>
      </c>
      <c r="B265" s="73">
        <v>55</v>
      </c>
      <c r="C265" s="73">
        <v>55</v>
      </c>
      <c r="D265" s="73">
        <v>50</v>
      </c>
      <c r="E265" s="73">
        <v>4</v>
      </c>
      <c r="G265" s="73">
        <f t="shared" si="15"/>
        <v>164</v>
      </c>
      <c r="I265" s="73">
        <f>'[1]D5 Gallon Forecast'!$S147/1000000</f>
        <v>0</v>
      </c>
      <c r="J265" s="73">
        <f>'[1]D5 Gallon Forecast'!$S163/1000000</f>
        <v>7.8859132986898723</v>
      </c>
      <c r="K265" s="73">
        <f t="shared" si="13"/>
        <v>7.8859132986898723</v>
      </c>
      <c r="L265" s="23">
        <f t="shared" si="14"/>
        <v>0.57701804624560049</v>
      </c>
    </row>
    <row r="266" spans="1:12" x14ac:dyDescent="0.2">
      <c r="A266" s="15">
        <v>46753</v>
      </c>
      <c r="B266" s="73">
        <v>55</v>
      </c>
      <c r="C266" s="73">
        <v>55</v>
      </c>
      <c r="D266" s="73">
        <v>125</v>
      </c>
      <c r="E266" s="73">
        <v>4</v>
      </c>
      <c r="G266" s="73">
        <f t="shared" si="15"/>
        <v>239</v>
      </c>
      <c r="I266" s="73">
        <f>'[1]D5 Gallon Forecast'!$T136/1000000</f>
        <v>0</v>
      </c>
      <c r="J266" s="73">
        <f>'[1]D5 Gallon Forecast'!$T152/1000000</f>
        <v>6.8097073183952972</v>
      </c>
      <c r="K266" s="73">
        <f t="shared" si="13"/>
        <v>6.8097073183952972</v>
      </c>
      <c r="L266" s="23">
        <f t="shared" si="14"/>
        <v>0.34190999088177226</v>
      </c>
    </row>
    <row r="267" spans="1:12" x14ac:dyDescent="0.2">
      <c r="A267" s="15">
        <v>46784</v>
      </c>
      <c r="B267" s="73">
        <v>55</v>
      </c>
      <c r="C267" s="73">
        <v>55</v>
      </c>
      <c r="D267" s="73">
        <v>125</v>
      </c>
      <c r="E267" s="73">
        <v>4</v>
      </c>
      <c r="G267" s="73">
        <f t="shared" si="15"/>
        <v>239</v>
      </c>
      <c r="I267" s="73">
        <f>'[1]D5 Gallon Forecast'!$T137/1000000</f>
        <v>0</v>
      </c>
      <c r="J267" s="73">
        <f>'[1]D5 Gallon Forecast'!$T153/1000000</f>
        <v>5.1803210742486812</v>
      </c>
      <c r="K267" s="73">
        <f t="shared" si="13"/>
        <v>5.1803210742486812</v>
      </c>
      <c r="L267" s="23">
        <f t="shared" si="14"/>
        <v>0.26009980289114715</v>
      </c>
    </row>
    <row r="268" spans="1:12" x14ac:dyDescent="0.2">
      <c r="A268" s="15">
        <v>46813</v>
      </c>
      <c r="B268" s="73">
        <v>55</v>
      </c>
      <c r="C268" s="73">
        <v>55</v>
      </c>
      <c r="D268" s="73">
        <v>125</v>
      </c>
      <c r="E268" s="73">
        <v>4</v>
      </c>
      <c r="G268" s="73">
        <f t="shared" si="15"/>
        <v>239</v>
      </c>
      <c r="I268" s="73">
        <f>'[1]D5 Gallon Forecast'!$T138/1000000</f>
        <v>0</v>
      </c>
      <c r="J268" s="73">
        <f>'[1]D5 Gallon Forecast'!$T154/1000000</f>
        <v>9.4931598891130928</v>
      </c>
      <c r="K268" s="73">
        <f t="shared" si="13"/>
        <v>9.4931598891130928</v>
      </c>
      <c r="L268" s="23">
        <f t="shared" si="14"/>
        <v>0.47664401116885818</v>
      </c>
    </row>
    <row r="269" spans="1:12" x14ac:dyDescent="0.2">
      <c r="A269" s="15">
        <v>46844</v>
      </c>
      <c r="B269" s="73">
        <v>55</v>
      </c>
      <c r="C269" s="73">
        <v>55</v>
      </c>
      <c r="D269" s="73">
        <v>125</v>
      </c>
      <c r="E269" s="73">
        <v>4</v>
      </c>
      <c r="G269" s="73">
        <f t="shared" si="15"/>
        <v>239</v>
      </c>
      <c r="I269" s="73">
        <f>'[1]D5 Gallon Forecast'!$T139/1000000</f>
        <v>0</v>
      </c>
      <c r="J269" s="73">
        <f>'[1]D5 Gallon Forecast'!$T155/1000000</f>
        <v>5.9258541080651916</v>
      </c>
      <c r="K269" s="73">
        <f t="shared" si="13"/>
        <v>5.9258541080651916</v>
      </c>
      <c r="L269" s="23">
        <f t="shared" si="14"/>
        <v>0.29753242383590922</v>
      </c>
    </row>
    <row r="270" spans="1:12" x14ac:dyDescent="0.2">
      <c r="A270" s="15">
        <v>46874</v>
      </c>
      <c r="B270" s="73">
        <v>55</v>
      </c>
      <c r="C270" s="73">
        <v>55</v>
      </c>
      <c r="D270" s="73">
        <v>125</v>
      </c>
      <c r="E270" s="73">
        <v>4</v>
      </c>
      <c r="G270" s="73">
        <f t="shared" si="15"/>
        <v>239</v>
      </c>
      <c r="I270" s="73">
        <f>'[1]D5 Gallon Forecast'!$T140/1000000</f>
        <v>0</v>
      </c>
      <c r="J270" s="73">
        <f>'[1]D5 Gallon Forecast'!$T156/1000000</f>
        <v>6.4973082643882449</v>
      </c>
      <c r="K270" s="73">
        <f t="shared" si="13"/>
        <v>6.4973082643882449</v>
      </c>
      <c r="L270" s="23">
        <f t="shared" si="14"/>
        <v>0.32622468273079053</v>
      </c>
    </row>
    <row r="271" spans="1:12" x14ac:dyDescent="0.2">
      <c r="A271" s="15">
        <v>46905</v>
      </c>
      <c r="B271" s="73">
        <v>55</v>
      </c>
      <c r="C271" s="73">
        <v>55</v>
      </c>
      <c r="D271" s="73">
        <v>125</v>
      </c>
      <c r="E271" s="73">
        <v>4</v>
      </c>
      <c r="G271" s="73">
        <f t="shared" si="15"/>
        <v>239</v>
      </c>
      <c r="I271" s="73">
        <f>'[1]D5 Gallon Forecast'!$T141/1000000</f>
        <v>0</v>
      </c>
      <c r="J271" s="73">
        <f>'[1]D5 Gallon Forecast'!$T157/1000000</f>
        <v>9.3285082962895665</v>
      </c>
      <c r="K271" s="73">
        <f t="shared" si="13"/>
        <v>9.3285082962895665</v>
      </c>
      <c r="L271" s="23">
        <f t="shared" si="14"/>
        <v>0.46837698558776064</v>
      </c>
    </row>
    <row r="272" spans="1:12" x14ac:dyDescent="0.2">
      <c r="A272" s="15">
        <v>46935</v>
      </c>
      <c r="B272" s="73">
        <v>55</v>
      </c>
      <c r="C272" s="73">
        <v>55</v>
      </c>
      <c r="D272" s="73">
        <v>125</v>
      </c>
      <c r="E272" s="73">
        <v>4</v>
      </c>
      <c r="G272" s="73">
        <f t="shared" si="15"/>
        <v>239</v>
      </c>
      <c r="I272" s="73">
        <f>'[1]D5 Gallon Forecast'!$T142/1000000</f>
        <v>0</v>
      </c>
      <c r="J272" s="73">
        <f>'[1]D5 Gallon Forecast'!$T158/1000000</f>
        <v>7.3105230692350771</v>
      </c>
      <c r="K272" s="73">
        <f t="shared" si="13"/>
        <v>7.3105230692350771</v>
      </c>
      <c r="L272" s="23">
        <f t="shared" si="14"/>
        <v>0.36705555159339298</v>
      </c>
    </row>
    <row r="273" spans="1:12" x14ac:dyDescent="0.2">
      <c r="A273" s="15">
        <v>46966</v>
      </c>
      <c r="B273" s="73">
        <v>55</v>
      </c>
      <c r="C273" s="73">
        <v>55</v>
      </c>
      <c r="D273" s="73">
        <v>125</v>
      </c>
      <c r="E273" s="73">
        <v>4</v>
      </c>
      <c r="G273" s="73">
        <f t="shared" si="15"/>
        <v>239</v>
      </c>
      <c r="I273" s="73">
        <f>'[1]D5 Gallon Forecast'!$T143/1000000</f>
        <v>0</v>
      </c>
      <c r="J273" s="73">
        <f>'[1]D5 Gallon Forecast'!$T159/1000000</f>
        <v>10.87983107815862</v>
      </c>
      <c r="K273" s="73">
        <f t="shared" si="13"/>
        <v>10.87983107815862</v>
      </c>
      <c r="L273" s="23">
        <f t="shared" si="14"/>
        <v>0.54626766919624881</v>
      </c>
    </row>
    <row r="274" spans="1:12" x14ac:dyDescent="0.2">
      <c r="A274" s="15">
        <v>46997</v>
      </c>
      <c r="B274" s="73">
        <v>55</v>
      </c>
      <c r="C274" s="73">
        <v>55</v>
      </c>
      <c r="D274" s="73">
        <v>125</v>
      </c>
      <c r="E274" s="73">
        <v>4</v>
      </c>
      <c r="G274" s="73">
        <f t="shared" si="15"/>
        <v>239</v>
      </c>
      <c r="I274" s="73">
        <f>'[1]D5 Gallon Forecast'!$T144/1000000</f>
        <v>0</v>
      </c>
      <c r="J274" s="73">
        <f>'[1]D5 Gallon Forecast'!$T160/1000000</f>
        <v>9.6414137215841098</v>
      </c>
      <c r="K274" s="73">
        <f t="shared" si="13"/>
        <v>9.6414137215841098</v>
      </c>
      <c r="L274" s="23">
        <f t="shared" si="14"/>
        <v>0.48408771823853275</v>
      </c>
    </row>
    <row r="275" spans="1:12" x14ac:dyDescent="0.2">
      <c r="A275" s="15">
        <v>47027</v>
      </c>
      <c r="B275" s="73">
        <v>55</v>
      </c>
      <c r="C275" s="73">
        <v>55</v>
      </c>
      <c r="D275" s="73">
        <v>125</v>
      </c>
      <c r="E275" s="73">
        <v>4</v>
      </c>
      <c r="G275" s="73">
        <f t="shared" si="15"/>
        <v>239</v>
      </c>
      <c r="I275" s="73">
        <f>'[1]D5 Gallon Forecast'!$T145/1000000</f>
        <v>0</v>
      </c>
      <c r="J275" s="73">
        <f>'[1]D5 Gallon Forecast'!$T161/1000000</f>
        <v>7.9046079780646599</v>
      </c>
      <c r="K275" s="73">
        <f t="shared" si="13"/>
        <v>7.9046079780646599</v>
      </c>
      <c r="L275" s="23">
        <f t="shared" si="14"/>
        <v>0.39688408258065239</v>
      </c>
    </row>
    <row r="276" spans="1:12" x14ac:dyDescent="0.2">
      <c r="A276" s="15">
        <v>47058</v>
      </c>
      <c r="B276" s="73">
        <v>55</v>
      </c>
      <c r="C276" s="73">
        <v>55</v>
      </c>
      <c r="D276" s="73">
        <v>125</v>
      </c>
      <c r="E276" s="73">
        <v>4</v>
      </c>
      <c r="G276" s="73">
        <f t="shared" si="15"/>
        <v>239</v>
      </c>
      <c r="I276" s="73">
        <f>'[1]D5 Gallon Forecast'!$T146/1000000</f>
        <v>0</v>
      </c>
      <c r="J276" s="73">
        <f>'[1]D5 Gallon Forecast'!$T162/1000000</f>
        <v>7.7022190502666437</v>
      </c>
      <c r="K276" s="73">
        <f t="shared" si="13"/>
        <v>7.7022190502666437</v>
      </c>
      <c r="L276" s="23">
        <f t="shared" si="14"/>
        <v>0.38672229541087755</v>
      </c>
    </row>
    <row r="277" spans="1:12" x14ac:dyDescent="0.2">
      <c r="A277" s="15">
        <v>47088</v>
      </c>
      <c r="B277" s="73">
        <v>55</v>
      </c>
      <c r="C277" s="73">
        <v>55</v>
      </c>
      <c r="D277" s="73">
        <v>125</v>
      </c>
      <c r="E277" s="73">
        <v>4</v>
      </c>
      <c r="G277" s="73">
        <f t="shared" si="15"/>
        <v>239</v>
      </c>
      <c r="I277" s="73">
        <f>'[1]D5 Gallon Forecast'!$T147/1000000</f>
        <v>0</v>
      </c>
      <c r="J277" s="73">
        <f>'[1]D5 Gallon Forecast'!$T163/1000000</f>
        <v>7.59200747448355</v>
      </c>
      <c r="K277" s="73">
        <f t="shared" si="13"/>
        <v>7.59200747448355</v>
      </c>
      <c r="L277" s="23">
        <f t="shared" si="14"/>
        <v>0.38118865980670541</v>
      </c>
    </row>
    <row r="278" spans="1:12" x14ac:dyDescent="0.2">
      <c r="A278" s="15">
        <v>47119</v>
      </c>
      <c r="B278" s="73">
        <v>55</v>
      </c>
      <c r="C278" s="73">
        <v>55</v>
      </c>
      <c r="D278" s="73">
        <v>150</v>
      </c>
      <c r="E278" s="73">
        <v>4</v>
      </c>
      <c r="G278" s="73">
        <f t="shared" si="15"/>
        <v>264</v>
      </c>
      <c r="I278" s="73">
        <f>'[1]D5 Gallon Forecast'!$U136/1000000</f>
        <v>0</v>
      </c>
      <c r="J278" s="73">
        <f>'[1]D5 Gallon Forecast'!$U152/1000000</f>
        <v>7.7057818718978277</v>
      </c>
      <c r="K278" s="73">
        <f t="shared" si="13"/>
        <v>7.7057818718978277</v>
      </c>
      <c r="L278" s="23">
        <f t="shared" si="14"/>
        <v>0.3502628123589922</v>
      </c>
    </row>
    <row r="279" spans="1:12" x14ac:dyDescent="0.2">
      <c r="A279" s="15">
        <v>47150</v>
      </c>
      <c r="B279" s="73">
        <v>55</v>
      </c>
      <c r="C279" s="73">
        <v>55</v>
      </c>
      <c r="D279" s="73">
        <v>150</v>
      </c>
      <c r="E279" s="73">
        <v>4</v>
      </c>
      <c r="G279" s="73">
        <f t="shared" si="15"/>
        <v>264</v>
      </c>
      <c r="I279" s="73">
        <f>'[1]D5 Gallon Forecast'!$U137/1000000</f>
        <v>0</v>
      </c>
      <c r="J279" s="73">
        <f>'[1]D5 Gallon Forecast'!$U153/1000000</f>
        <v>6.0403171538219018</v>
      </c>
      <c r="K279" s="73">
        <f t="shared" si="13"/>
        <v>6.0403171538219018</v>
      </c>
      <c r="L279" s="23">
        <f t="shared" si="14"/>
        <v>0.27455987062826825</v>
      </c>
    </row>
    <row r="280" spans="1:12" x14ac:dyDescent="0.2">
      <c r="A280" s="15">
        <v>47178</v>
      </c>
      <c r="B280" s="73">
        <v>55</v>
      </c>
      <c r="C280" s="73">
        <v>55</v>
      </c>
      <c r="D280" s="73">
        <v>150</v>
      </c>
      <c r="E280" s="73">
        <v>4</v>
      </c>
      <c r="G280" s="73">
        <f t="shared" si="15"/>
        <v>264</v>
      </c>
      <c r="I280" s="73">
        <f>'[1]D5 Gallon Forecast'!$U138/1000000</f>
        <v>0</v>
      </c>
      <c r="J280" s="73">
        <f>'[1]D5 Gallon Forecast'!$U154/1000000</f>
        <v>9.5214015164470442</v>
      </c>
      <c r="K280" s="73">
        <f t="shared" si="13"/>
        <v>9.5214015164470442</v>
      </c>
      <c r="L280" s="23">
        <f t="shared" si="14"/>
        <v>0.43279097802032024</v>
      </c>
    </row>
    <row r="281" spans="1:12" x14ac:dyDescent="0.2">
      <c r="A281" s="15">
        <v>47209</v>
      </c>
      <c r="B281" s="73">
        <v>55</v>
      </c>
      <c r="C281" s="73">
        <v>55</v>
      </c>
      <c r="D281" s="73">
        <v>150</v>
      </c>
      <c r="E281" s="73">
        <v>4</v>
      </c>
      <c r="G281" s="73">
        <f t="shared" si="15"/>
        <v>264</v>
      </c>
      <c r="I281" s="73">
        <f>'[1]D5 Gallon Forecast'!$U139/1000000</f>
        <v>0</v>
      </c>
      <c r="J281" s="73">
        <f>'[1]D5 Gallon Forecast'!$U155/1000000</f>
        <v>6.2619169535265522</v>
      </c>
      <c r="K281" s="73">
        <f t="shared" si="13"/>
        <v>6.2619169535265522</v>
      </c>
      <c r="L281" s="23">
        <f t="shared" si="14"/>
        <v>0.28463258879666148</v>
      </c>
    </row>
    <row r="282" spans="1:12" x14ac:dyDescent="0.2">
      <c r="A282" s="15">
        <v>47239</v>
      </c>
      <c r="B282" s="73">
        <v>55</v>
      </c>
      <c r="C282" s="73">
        <v>55</v>
      </c>
      <c r="D282" s="73">
        <v>150</v>
      </c>
      <c r="E282" s="73">
        <v>4</v>
      </c>
      <c r="G282" s="73">
        <f t="shared" si="15"/>
        <v>264</v>
      </c>
      <c r="I282" s="73">
        <f>'[1]D5 Gallon Forecast'!$U140/1000000</f>
        <v>0</v>
      </c>
      <c r="J282" s="73">
        <f>'[1]D5 Gallon Forecast'!$U156/1000000</f>
        <v>6.4013082830607999</v>
      </c>
      <c r="K282" s="73">
        <f t="shared" si="13"/>
        <v>6.4013082830607999</v>
      </c>
      <c r="L282" s="23">
        <f t="shared" si="14"/>
        <v>0.29096855832094543</v>
      </c>
    </row>
    <row r="283" spans="1:12" x14ac:dyDescent="0.2">
      <c r="A283" s="15">
        <v>47270</v>
      </c>
      <c r="B283" s="73">
        <v>55</v>
      </c>
      <c r="C283" s="73">
        <v>55</v>
      </c>
      <c r="D283" s="73">
        <v>150</v>
      </c>
      <c r="E283" s="73">
        <v>4</v>
      </c>
      <c r="G283" s="73">
        <f t="shared" si="15"/>
        <v>264</v>
      </c>
      <c r="I283" s="73">
        <f>'[1]D5 Gallon Forecast'!$U141/1000000</f>
        <v>0</v>
      </c>
      <c r="J283" s="73">
        <f>'[1]D5 Gallon Forecast'!$U157/1000000</f>
        <v>9.3097942595386307</v>
      </c>
      <c r="K283" s="73">
        <f t="shared" si="13"/>
        <v>9.3097942595386307</v>
      </c>
      <c r="L283" s="23">
        <f t="shared" si="14"/>
        <v>0.42317246634266503</v>
      </c>
    </row>
    <row r="284" spans="1:12" x14ac:dyDescent="0.2">
      <c r="A284" s="15">
        <v>47300</v>
      </c>
      <c r="B284" s="73">
        <v>55</v>
      </c>
      <c r="C284" s="73">
        <v>55</v>
      </c>
      <c r="D284" s="73">
        <v>150</v>
      </c>
      <c r="E284" s="73">
        <v>4</v>
      </c>
      <c r="G284" s="73">
        <f t="shared" si="15"/>
        <v>264</v>
      </c>
      <c r="I284" s="73">
        <f>'[1]D5 Gallon Forecast'!$U142/1000000</f>
        <v>0</v>
      </c>
      <c r="J284" s="73">
        <f>'[1]D5 Gallon Forecast'!$U158/1000000</f>
        <v>8.1397735773264266</v>
      </c>
      <c r="K284" s="73">
        <f t="shared" si="13"/>
        <v>8.1397735773264266</v>
      </c>
      <c r="L284" s="23">
        <f t="shared" si="14"/>
        <v>0.36998970806029213</v>
      </c>
    </row>
    <row r="285" spans="1:12" x14ac:dyDescent="0.2">
      <c r="A285" s="15">
        <v>47331</v>
      </c>
      <c r="B285" s="73">
        <v>55</v>
      </c>
      <c r="C285" s="73">
        <v>55</v>
      </c>
      <c r="D285" s="73">
        <v>150</v>
      </c>
      <c r="E285" s="73">
        <v>4</v>
      </c>
      <c r="G285" s="73">
        <f t="shared" si="15"/>
        <v>264</v>
      </c>
      <c r="I285" s="73">
        <f>'[1]D5 Gallon Forecast'!$U143/1000000</f>
        <v>0</v>
      </c>
      <c r="J285" s="73">
        <f>'[1]D5 Gallon Forecast'!$U159/1000000</f>
        <v>11.730880826499687</v>
      </c>
      <c r="K285" s="73">
        <f t="shared" si="13"/>
        <v>11.730880826499687</v>
      </c>
      <c r="L285" s="23">
        <f t="shared" si="14"/>
        <v>0.53322185574998582</v>
      </c>
    </row>
    <row r="286" spans="1:12" x14ac:dyDescent="0.2">
      <c r="A286" s="15">
        <v>47362</v>
      </c>
      <c r="B286" s="73">
        <v>55</v>
      </c>
      <c r="C286" s="73">
        <v>55</v>
      </c>
      <c r="D286" s="73">
        <v>150</v>
      </c>
      <c r="E286" s="73">
        <v>4</v>
      </c>
      <c r="G286" s="73">
        <f t="shared" si="15"/>
        <v>264</v>
      </c>
      <c r="I286" s="73">
        <f>'[1]D5 Gallon Forecast'!$U144/1000000</f>
        <v>0</v>
      </c>
      <c r="J286" s="73">
        <f>'[1]D5 Gallon Forecast'!$U160/1000000</f>
        <v>10.331052233753034</v>
      </c>
      <c r="K286" s="73">
        <f t="shared" si="13"/>
        <v>10.331052233753034</v>
      </c>
      <c r="L286" s="23">
        <f t="shared" si="14"/>
        <v>0.46959328335241063</v>
      </c>
    </row>
    <row r="287" spans="1:12" x14ac:dyDescent="0.2">
      <c r="A287" s="15">
        <v>47392</v>
      </c>
      <c r="B287" s="73">
        <v>55</v>
      </c>
      <c r="C287" s="73">
        <v>55</v>
      </c>
      <c r="D287" s="73">
        <v>150</v>
      </c>
      <c r="E287" s="73">
        <v>4</v>
      </c>
      <c r="G287" s="73">
        <f t="shared" si="15"/>
        <v>264</v>
      </c>
      <c r="I287" s="73">
        <f>'[1]D5 Gallon Forecast'!$U145/1000000</f>
        <v>0</v>
      </c>
      <c r="J287" s="73">
        <f>'[1]D5 Gallon Forecast'!$U161/1000000</f>
        <v>8.25240257566686</v>
      </c>
      <c r="K287" s="73">
        <f t="shared" si="13"/>
        <v>8.25240257566686</v>
      </c>
      <c r="L287" s="23">
        <f t="shared" si="14"/>
        <v>0.37510920798485725</v>
      </c>
    </row>
    <row r="288" spans="1:12" x14ac:dyDescent="0.2">
      <c r="A288" s="15">
        <v>47423</v>
      </c>
      <c r="B288" s="73">
        <v>55</v>
      </c>
      <c r="C288" s="73">
        <v>55</v>
      </c>
      <c r="D288" s="73">
        <v>150</v>
      </c>
      <c r="E288" s="73">
        <v>4</v>
      </c>
      <c r="G288" s="73">
        <f t="shared" si="15"/>
        <v>264</v>
      </c>
      <c r="I288" s="73">
        <f>'[1]D5 Gallon Forecast'!$U146/1000000</f>
        <v>0</v>
      </c>
      <c r="J288" s="73">
        <f>'[1]D5 Gallon Forecast'!$U162/1000000</f>
        <v>8.6451893077396491</v>
      </c>
      <c r="K288" s="73">
        <f t="shared" si="13"/>
        <v>8.6451893077396491</v>
      </c>
      <c r="L288" s="23">
        <f t="shared" si="14"/>
        <v>0.39296315035180224</v>
      </c>
    </row>
    <row r="289" spans="1:12" x14ac:dyDescent="0.2">
      <c r="A289" s="15">
        <v>47453</v>
      </c>
      <c r="B289" s="73">
        <v>55</v>
      </c>
      <c r="C289" s="73">
        <v>55</v>
      </c>
      <c r="D289" s="73">
        <v>150</v>
      </c>
      <c r="E289" s="73">
        <v>4</v>
      </c>
      <c r="G289" s="73">
        <f t="shared" si="15"/>
        <v>264</v>
      </c>
      <c r="I289" s="73">
        <f>'[1]D5 Gallon Forecast'!$U147/1000000</f>
        <v>0</v>
      </c>
      <c r="J289" s="73">
        <f>'[1]D5 Gallon Forecast'!$U163/1000000</f>
        <v>8.7241339689324047</v>
      </c>
      <c r="K289" s="73">
        <f t="shared" si="13"/>
        <v>8.7241339689324047</v>
      </c>
      <c r="L289" s="23">
        <f t="shared" si="14"/>
        <v>0.39655154404238202</v>
      </c>
    </row>
    <row r="290" spans="1:12" x14ac:dyDescent="0.2">
      <c r="A290" s="15">
        <v>47484</v>
      </c>
      <c r="B290" s="73">
        <v>55</v>
      </c>
      <c r="C290" s="73">
        <v>55</v>
      </c>
      <c r="D290" s="73">
        <v>150</v>
      </c>
      <c r="E290" s="73">
        <v>4</v>
      </c>
      <c r="G290" s="73">
        <f t="shared" si="15"/>
        <v>264</v>
      </c>
      <c r="I290" s="73">
        <f>'[1]D5 Gallon Forecast'!$V136/1000000</f>
        <v>0</v>
      </c>
      <c r="J290" s="73">
        <f>'[1]D5 Gallon Forecast'!$V152/1000000</f>
        <v>8.2218298078431094</v>
      </c>
      <c r="K290" s="73">
        <f t="shared" si="13"/>
        <v>8.2218298078431094</v>
      </c>
      <c r="L290" s="23">
        <f t="shared" si="14"/>
        <v>0.37371953672014135</v>
      </c>
    </row>
    <row r="291" spans="1:12" x14ac:dyDescent="0.2">
      <c r="A291" s="15">
        <v>47515</v>
      </c>
      <c r="B291" s="73">
        <v>55</v>
      </c>
      <c r="C291" s="73">
        <v>55</v>
      </c>
      <c r="D291" s="73">
        <v>150</v>
      </c>
      <c r="E291" s="73">
        <v>4</v>
      </c>
      <c r="G291" s="73">
        <f t="shared" si="15"/>
        <v>264</v>
      </c>
      <c r="I291" s="73">
        <f>'[1]D5 Gallon Forecast'!$V137/1000000</f>
        <v>0</v>
      </c>
      <c r="J291" s="73">
        <f>'[1]D5 Gallon Forecast'!$V153/1000000</f>
        <v>6.4810969353217542</v>
      </c>
      <c r="K291" s="73">
        <f t="shared" si="13"/>
        <v>6.4810969353217542</v>
      </c>
      <c r="L291" s="23">
        <f t="shared" si="14"/>
        <v>0.29459531524189791</v>
      </c>
    </row>
    <row r="292" spans="1:12" x14ac:dyDescent="0.2">
      <c r="A292" s="15">
        <v>47543</v>
      </c>
      <c r="B292" s="73">
        <v>55</v>
      </c>
      <c r="C292" s="73">
        <v>55</v>
      </c>
      <c r="D292" s="73">
        <v>150</v>
      </c>
      <c r="E292" s="73">
        <v>4</v>
      </c>
      <c r="G292" s="73">
        <f t="shared" si="15"/>
        <v>264</v>
      </c>
      <c r="I292" s="73">
        <f>'[1]D5 Gallon Forecast'!$V138/1000000</f>
        <v>0</v>
      </c>
      <c r="J292" s="73">
        <f>'[1]D5 Gallon Forecast'!$V154/1000000</f>
        <v>10.451487852984844</v>
      </c>
      <c r="K292" s="73">
        <f t="shared" si="13"/>
        <v>10.451487852984844</v>
      </c>
      <c r="L292" s="23">
        <f t="shared" si="14"/>
        <v>0.47506762968112926</v>
      </c>
    </row>
    <row r="293" spans="1:12" x14ac:dyDescent="0.2">
      <c r="A293" s="15">
        <v>47574</v>
      </c>
      <c r="B293" s="73">
        <v>55</v>
      </c>
      <c r="C293" s="73">
        <v>55</v>
      </c>
      <c r="D293" s="73">
        <v>150</v>
      </c>
      <c r="E293" s="73">
        <v>4</v>
      </c>
      <c r="G293" s="73">
        <f t="shared" si="15"/>
        <v>264</v>
      </c>
      <c r="I293" s="73">
        <f>'[1]D5 Gallon Forecast'!$V139/1000000</f>
        <v>0</v>
      </c>
      <c r="J293" s="73">
        <f>'[1]D5 Gallon Forecast'!$V155/1000000</f>
        <v>6.7592389705435023</v>
      </c>
      <c r="K293" s="73">
        <f t="shared" si="13"/>
        <v>6.7592389705435023</v>
      </c>
      <c r="L293" s="23">
        <f t="shared" si="14"/>
        <v>0.30723813502470465</v>
      </c>
    </row>
    <row r="294" spans="1:12" x14ac:dyDescent="0.2">
      <c r="A294" s="15">
        <v>47604</v>
      </c>
      <c r="B294" s="73">
        <v>55</v>
      </c>
      <c r="C294" s="73">
        <v>55</v>
      </c>
      <c r="D294" s="73">
        <v>150</v>
      </c>
      <c r="E294" s="73">
        <v>4</v>
      </c>
      <c r="G294" s="73">
        <f t="shared" si="15"/>
        <v>264</v>
      </c>
      <c r="I294" s="73">
        <f>'[1]D5 Gallon Forecast'!$V140/1000000</f>
        <v>0</v>
      </c>
      <c r="J294" s="73">
        <f>'[1]D5 Gallon Forecast'!$V156/1000000</f>
        <v>7.5712754663272399</v>
      </c>
      <c r="K294" s="73">
        <f t="shared" si="13"/>
        <v>7.5712754663272399</v>
      </c>
      <c r="L294" s="23">
        <f t="shared" si="14"/>
        <v>0.34414888483305633</v>
      </c>
    </row>
    <row r="295" spans="1:12" x14ac:dyDescent="0.2">
      <c r="A295" s="15">
        <v>47635</v>
      </c>
      <c r="B295" s="73">
        <v>55</v>
      </c>
      <c r="C295" s="73">
        <v>55</v>
      </c>
      <c r="D295" s="73">
        <v>150</v>
      </c>
      <c r="E295" s="73">
        <v>4</v>
      </c>
      <c r="G295" s="73">
        <f t="shared" si="15"/>
        <v>264</v>
      </c>
      <c r="I295" s="73">
        <f>'[1]D5 Gallon Forecast'!$V141/1000000</f>
        <v>0</v>
      </c>
      <c r="J295" s="73">
        <f>'[1]D5 Gallon Forecast'!$V157/1000000</f>
        <v>9.9572301778068475</v>
      </c>
      <c r="K295" s="73">
        <f t="shared" si="13"/>
        <v>9.9572301778068475</v>
      </c>
      <c r="L295" s="23">
        <f t="shared" si="14"/>
        <v>0.45260137171849302</v>
      </c>
    </row>
    <row r="296" spans="1:12" x14ac:dyDescent="0.2">
      <c r="A296" s="15">
        <v>47665</v>
      </c>
      <c r="B296" s="73">
        <v>55</v>
      </c>
      <c r="C296" s="73">
        <v>55</v>
      </c>
      <c r="D296" s="73">
        <v>150</v>
      </c>
      <c r="E296" s="73">
        <v>4</v>
      </c>
      <c r="G296" s="73">
        <f t="shared" si="15"/>
        <v>264</v>
      </c>
      <c r="I296" s="73">
        <f>'[1]D5 Gallon Forecast'!$V142/1000000</f>
        <v>0</v>
      </c>
      <c r="J296" s="73">
        <f>'[1]D5 Gallon Forecast'!$V158/1000000</f>
        <v>8.3535351907142079</v>
      </c>
      <c r="K296" s="73">
        <f t="shared" si="13"/>
        <v>8.3535351907142079</v>
      </c>
      <c r="L296" s="23">
        <f t="shared" si="14"/>
        <v>0.37970614503246397</v>
      </c>
    </row>
    <row r="297" spans="1:12" x14ac:dyDescent="0.2">
      <c r="A297" s="15">
        <v>47696</v>
      </c>
      <c r="B297" s="73">
        <v>55</v>
      </c>
      <c r="C297" s="73">
        <v>55</v>
      </c>
      <c r="D297" s="73">
        <v>150</v>
      </c>
      <c r="E297" s="73">
        <v>4</v>
      </c>
      <c r="G297" s="73">
        <f t="shared" si="15"/>
        <v>264</v>
      </c>
      <c r="I297" s="73">
        <f>'[1]D5 Gallon Forecast'!$V143/1000000</f>
        <v>0</v>
      </c>
      <c r="J297" s="73">
        <f>'[1]D5 Gallon Forecast'!$V159/1000000</f>
        <v>12.273843120493957</v>
      </c>
      <c r="K297" s="73">
        <f t="shared" si="13"/>
        <v>12.273843120493957</v>
      </c>
      <c r="L297" s="23">
        <f t="shared" si="14"/>
        <v>0.55790196002245263</v>
      </c>
    </row>
    <row r="298" spans="1:12" x14ac:dyDescent="0.2">
      <c r="A298" s="15">
        <v>47727</v>
      </c>
      <c r="B298" s="73">
        <v>55</v>
      </c>
      <c r="C298" s="73">
        <v>55</v>
      </c>
      <c r="D298" s="73">
        <v>150</v>
      </c>
      <c r="E298" s="73">
        <v>4</v>
      </c>
      <c r="G298" s="73">
        <f t="shared" si="15"/>
        <v>264</v>
      </c>
      <c r="I298" s="73">
        <f>'[1]D5 Gallon Forecast'!$V144/1000000</f>
        <v>0</v>
      </c>
      <c r="J298" s="73">
        <f>'[1]D5 Gallon Forecast'!$V160/1000000</f>
        <v>11.0642945305705</v>
      </c>
      <c r="K298" s="73">
        <f t="shared" si="13"/>
        <v>11.0642945305705</v>
      </c>
      <c r="L298" s="23">
        <f t="shared" si="14"/>
        <v>0.50292247866229545</v>
      </c>
    </row>
    <row r="299" spans="1:12" x14ac:dyDescent="0.2">
      <c r="A299" s="15">
        <v>47757</v>
      </c>
      <c r="B299" s="73">
        <v>55</v>
      </c>
      <c r="C299" s="73">
        <v>55</v>
      </c>
      <c r="D299" s="73">
        <v>150</v>
      </c>
      <c r="E299" s="73">
        <v>4</v>
      </c>
      <c r="G299" s="73">
        <f t="shared" si="15"/>
        <v>264</v>
      </c>
      <c r="I299" s="73">
        <f>'[1]D5 Gallon Forecast'!$V145/1000000</f>
        <v>0</v>
      </c>
      <c r="J299" s="73">
        <f>'[1]D5 Gallon Forecast'!$V161/1000000</f>
        <v>8.9225475825188916</v>
      </c>
      <c r="K299" s="73">
        <f t="shared" si="13"/>
        <v>8.9225475825188916</v>
      </c>
      <c r="L299" s="23">
        <f t="shared" si="14"/>
        <v>0.40557034465994962</v>
      </c>
    </row>
    <row r="300" spans="1:12" x14ac:dyDescent="0.2">
      <c r="A300" s="15">
        <v>47788</v>
      </c>
      <c r="B300" s="73">
        <v>55</v>
      </c>
      <c r="C300" s="73">
        <v>55</v>
      </c>
      <c r="D300" s="73">
        <v>150</v>
      </c>
      <c r="E300" s="73">
        <v>4</v>
      </c>
      <c r="G300" s="73">
        <f t="shared" si="15"/>
        <v>264</v>
      </c>
      <c r="I300" s="73">
        <f>'[1]D5 Gallon Forecast'!$V146/1000000</f>
        <v>0</v>
      </c>
      <c r="J300" s="73">
        <f>'[1]D5 Gallon Forecast'!$V162/1000000</f>
        <v>8.8789009115846813</v>
      </c>
      <c r="K300" s="73">
        <f t="shared" si="13"/>
        <v>8.8789009115846813</v>
      </c>
      <c r="L300" s="23">
        <f t="shared" si="14"/>
        <v>0.40358640507203097</v>
      </c>
    </row>
    <row r="301" spans="1:12" x14ac:dyDescent="0.2">
      <c r="A301" s="15">
        <v>47818</v>
      </c>
      <c r="B301" s="73">
        <v>55</v>
      </c>
      <c r="C301" s="73">
        <v>55</v>
      </c>
      <c r="D301" s="73">
        <v>150</v>
      </c>
      <c r="E301" s="73">
        <v>4</v>
      </c>
      <c r="G301" s="73">
        <f t="shared" si="15"/>
        <v>264</v>
      </c>
      <c r="I301" s="73">
        <f>'[1]D5 Gallon Forecast'!$V147/1000000</f>
        <v>0</v>
      </c>
      <c r="J301" s="73">
        <f>'[1]D5 Gallon Forecast'!$V163/1000000</f>
        <v>9.1718749656463423</v>
      </c>
      <c r="K301" s="73">
        <f t="shared" si="13"/>
        <v>9.1718749656463423</v>
      </c>
      <c r="L301" s="23">
        <f t="shared" si="14"/>
        <v>0.41690340752937921</v>
      </c>
    </row>
    <row r="302" spans="1:12" x14ac:dyDescent="0.2">
      <c r="A302" s="15">
        <v>47849</v>
      </c>
      <c r="B302" s="73">
        <v>55</v>
      </c>
      <c r="C302" s="73">
        <v>55</v>
      </c>
      <c r="D302" s="73">
        <v>150</v>
      </c>
      <c r="E302" s="73">
        <v>4</v>
      </c>
      <c r="G302" s="73">
        <f t="shared" si="15"/>
        <v>264</v>
      </c>
      <c r="I302" s="73">
        <f>'[1]D5 Gallon Forecast'!$W136/1000000</f>
        <v>0</v>
      </c>
      <c r="J302" s="73">
        <f>'[1]D5 Gallon Forecast'!$W152/1000000</f>
        <v>8.3733443202624613</v>
      </c>
      <c r="K302" s="73">
        <f t="shared" si="13"/>
        <v>8.3733443202624613</v>
      </c>
      <c r="L302" s="23">
        <f t="shared" si="14"/>
        <v>0.38060656001193005</v>
      </c>
    </row>
    <row r="303" spans="1:12" x14ac:dyDescent="0.2">
      <c r="A303" s="15">
        <v>47880</v>
      </c>
      <c r="B303" s="73">
        <v>55</v>
      </c>
      <c r="C303" s="73">
        <v>55</v>
      </c>
      <c r="D303" s="73">
        <v>150</v>
      </c>
      <c r="E303" s="73">
        <v>4</v>
      </c>
      <c r="G303" s="73">
        <f t="shared" si="15"/>
        <v>264</v>
      </c>
      <c r="I303" s="73">
        <f>'[1]D5 Gallon Forecast'!$W137/1000000</f>
        <v>0</v>
      </c>
      <c r="J303" s="73">
        <f>'[1]D5 Gallon Forecast'!$W153/1000000</f>
        <v>6.5126119529533444</v>
      </c>
      <c r="K303" s="73">
        <f t="shared" si="13"/>
        <v>6.5126119529533444</v>
      </c>
      <c r="L303" s="23">
        <f t="shared" si="14"/>
        <v>0.29602781604333384</v>
      </c>
    </row>
    <row r="304" spans="1:12" x14ac:dyDescent="0.2">
      <c r="A304" s="15">
        <v>47908</v>
      </c>
      <c r="B304" s="73">
        <v>55</v>
      </c>
      <c r="C304" s="73">
        <v>55</v>
      </c>
      <c r="D304" s="73">
        <v>150</v>
      </c>
      <c r="E304" s="73">
        <v>4</v>
      </c>
      <c r="G304" s="73">
        <f t="shared" si="15"/>
        <v>264</v>
      </c>
      <c r="I304" s="73">
        <f>'[1]D5 Gallon Forecast'!$W138/1000000</f>
        <v>0</v>
      </c>
      <c r="J304" s="73">
        <f>'[1]D5 Gallon Forecast'!$W154/1000000</f>
        <v>10.719555236267576</v>
      </c>
      <c r="K304" s="73">
        <f t="shared" si="13"/>
        <v>10.719555236267576</v>
      </c>
      <c r="L304" s="23">
        <f t="shared" si="14"/>
        <v>0.48725251073943532</v>
      </c>
    </row>
    <row r="305" spans="1:12" x14ac:dyDescent="0.2">
      <c r="A305" s="15">
        <v>47939</v>
      </c>
      <c r="B305" s="73">
        <v>55</v>
      </c>
      <c r="C305" s="73">
        <v>55</v>
      </c>
      <c r="D305" s="73">
        <v>150</v>
      </c>
      <c r="E305" s="73">
        <v>4</v>
      </c>
      <c r="G305" s="73">
        <f t="shared" si="15"/>
        <v>264</v>
      </c>
      <c r="I305" s="73">
        <f>'[1]D5 Gallon Forecast'!$W139/1000000</f>
        <v>0</v>
      </c>
      <c r="J305" s="73">
        <f>'[1]D5 Gallon Forecast'!$W155/1000000</f>
        <v>7.0393183173633567</v>
      </c>
      <c r="K305" s="73">
        <f t="shared" si="13"/>
        <v>7.0393183173633567</v>
      </c>
      <c r="L305" s="23">
        <f t="shared" si="14"/>
        <v>0.3199690144256071</v>
      </c>
    </row>
    <row r="306" spans="1:12" x14ac:dyDescent="0.2">
      <c r="A306" s="15">
        <v>47969</v>
      </c>
      <c r="B306" s="73">
        <v>55</v>
      </c>
      <c r="C306" s="73">
        <v>55</v>
      </c>
      <c r="D306" s="73">
        <v>150</v>
      </c>
      <c r="E306" s="73">
        <v>4</v>
      </c>
      <c r="G306" s="73">
        <f t="shared" si="15"/>
        <v>264</v>
      </c>
      <c r="I306" s="73">
        <f>'[1]D5 Gallon Forecast'!$W140/1000000</f>
        <v>0</v>
      </c>
      <c r="J306" s="73">
        <f>'[1]D5 Gallon Forecast'!$W156/1000000</f>
        <v>7.8368997994705856</v>
      </c>
      <c r="K306" s="73">
        <f t="shared" si="13"/>
        <v>7.8368997994705856</v>
      </c>
      <c r="L306" s="23">
        <f t="shared" si="14"/>
        <v>0.35622271815775386</v>
      </c>
    </row>
    <row r="307" spans="1:12" x14ac:dyDescent="0.2">
      <c r="A307" s="15">
        <v>48000</v>
      </c>
      <c r="B307" s="73">
        <v>55</v>
      </c>
      <c r="C307" s="73">
        <v>55</v>
      </c>
      <c r="D307" s="73">
        <v>150</v>
      </c>
      <c r="E307" s="73">
        <v>4</v>
      </c>
      <c r="G307" s="73">
        <f t="shared" si="15"/>
        <v>264</v>
      </c>
      <c r="I307" s="73">
        <f>'[1]D5 Gallon Forecast'!$W141/1000000</f>
        <v>0</v>
      </c>
      <c r="J307" s="73">
        <f>'[1]D5 Gallon Forecast'!$W157/1000000</f>
        <v>10.44642205652069</v>
      </c>
      <c r="K307" s="73">
        <f t="shared" si="13"/>
        <v>10.44642205652069</v>
      </c>
      <c r="L307" s="23">
        <f t="shared" si="14"/>
        <v>0.47483736620548594</v>
      </c>
    </row>
    <row r="308" spans="1:12" x14ac:dyDescent="0.2">
      <c r="A308" s="15">
        <v>48030</v>
      </c>
      <c r="B308" s="73">
        <v>55</v>
      </c>
      <c r="C308" s="73">
        <v>55</v>
      </c>
      <c r="D308" s="73">
        <v>150</v>
      </c>
      <c r="E308" s="73">
        <v>4</v>
      </c>
      <c r="G308" s="73">
        <f t="shared" si="15"/>
        <v>264</v>
      </c>
      <c r="I308" s="73">
        <f>'[1]D5 Gallon Forecast'!$W142/1000000</f>
        <v>0</v>
      </c>
      <c r="J308" s="73">
        <f>'[1]D5 Gallon Forecast'!$W158/1000000</f>
        <v>8.7057072095988772</v>
      </c>
      <c r="K308" s="73">
        <f t="shared" si="13"/>
        <v>8.7057072095988772</v>
      </c>
      <c r="L308" s="23">
        <f t="shared" si="14"/>
        <v>0.39571396407267623</v>
      </c>
    </row>
    <row r="309" spans="1:12" x14ac:dyDescent="0.2">
      <c r="A309" s="15">
        <v>48061</v>
      </c>
      <c r="B309" s="73">
        <v>55</v>
      </c>
      <c r="C309" s="73">
        <v>55</v>
      </c>
      <c r="D309" s="73">
        <v>150</v>
      </c>
      <c r="E309" s="73">
        <v>4</v>
      </c>
      <c r="G309" s="73">
        <f t="shared" si="15"/>
        <v>264</v>
      </c>
      <c r="I309" s="73">
        <f>'[1]D5 Gallon Forecast'!$W143/1000000</f>
        <v>0</v>
      </c>
      <c r="J309" s="73">
        <f>'[1]D5 Gallon Forecast'!$W159/1000000</f>
        <v>12.834170303376196</v>
      </c>
      <c r="K309" s="73">
        <f t="shared" si="13"/>
        <v>12.834170303376196</v>
      </c>
      <c r="L309" s="23">
        <f t="shared" si="14"/>
        <v>0.58337137742619072</v>
      </c>
    </row>
    <row r="310" spans="1:12" x14ac:dyDescent="0.2">
      <c r="A310" s="15">
        <v>48092</v>
      </c>
      <c r="B310" s="73">
        <v>55</v>
      </c>
      <c r="C310" s="73">
        <v>55</v>
      </c>
      <c r="D310" s="73">
        <v>150</v>
      </c>
      <c r="E310" s="73">
        <v>4</v>
      </c>
      <c r="G310" s="73">
        <f t="shared" si="15"/>
        <v>264</v>
      </c>
      <c r="I310" s="73">
        <f>'[1]D5 Gallon Forecast'!$W144/1000000</f>
        <v>0</v>
      </c>
      <c r="J310" s="73">
        <f>'[1]D5 Gallon Forecast'!$W160/1000000</f>
        <v>11.56403026330157</v>
      </c>
      <c r="K310" s="73">
        <f t="shared" si="13"/>
        <v>11.56403026330157</v>
      </c>
      <c r="L310" s="23">
        <f t="shared" si="14"/>
        <v>0.52563773924098045</v>
      </c>
    </row>
    <row r="311" spans="1:12" x14ac:dyDescent="0.2">
      <c r="A311" s="15">
        <v>48122</v>
      </c>
      <c r="B311" s="73">
        <v>55</v>
      </c>
      <c r="C311" s="73">
        <v>55</v>
      </c>
      <c r="D311" s="73">
        <v>150</v>
      </c>
      <c r="E311" s="73">
        <v>4</v>
      </c>
      <c r="G311" s="73">
        <f t="shared" si="15"/>
        <v>264</v>
      </c>
      <c r="I311" s="73">
        <f>'[1]D5 Gallon Forecast'!$W145/1000000</f>
        <v>0</v>
      </c>
      <c r="J311" s="73">
        <f>'[1]D5 Gallon Forecast'!$W161/1000000</f>
        <v>9.2729582081051856</v>
      </c>
      <c r="K311" s="73">
        <f t="shared" si="13"/>
        <v>9.2729582081051856</v>
      </c>
      <c r="L311" s="23">
        <f t="shared" si="14"/>
        <v>0.42149810036841751</v>
      </c>
    </row>
    <row r="312" spans="1:12" x14ac:dyDescent="0.2">
      <c r="A312" s="15">
        <v>48153</v>
      </c>
      <c r="B312" s="73">
        <v>55</v>
      </c>
      <c r="C312" s="73">
        <v>55</v>
      </c>
      <c r="D312" s="73">
        <v>150</v>
      </c>
      <c r="E312" s="73">
        <v>4</v>
      </c>
      <c r="G312" s="73">
        <f t="shared" si="15"/>
        <v>264</v>
      </c>
      <c r="I312" s="73">
        <f>'[1]D5 Gallon Forecast'!$W146/1000000</f>
        <v>0</v>
      </c>
      <c r="J312" s="73">
        <f>'[1]D5 Gallon Forecast'!$W162/1000000</f>
        <v>9.2561844286924178</v>
      </c>
      <c r="K312" s="73">
        <f t="shared" si="13"/>
        <v>9.2561844286924178</v>
      </c>
      <c r="L312" s="23">
        <f t="shared" si="14"/>
        <v>0.42073565584965533</v>
      </c>
    </row>
    <row r="313" spans="1:12" x14ac:dyDescent="0.2">
      <c r="A313" s="15">
        <v>48183</v>
      </c>
      <c r="B313" s="73">
        <v>55</v>
      </c>
      <c r="C313" s="73">
        <v>55</v>
      </c>
      <c r="D313" s="73">
        <v>150</v>
      </c>
      <c r="E313" s="73">
        <v>4</v>
      </c>
      <c r="G313" s="73">
        <f t="shared" si="15"/>
        <v>264</v>
      </c>
      <c r="I313" s="73">
        <f>'[1]D5 Gallon Forecast'!$W147/1000000</f>
        <v>0</v>
      </c>
      <c r="J313" s="73">
        <f>'[1]D5 Gallon Forecast'!$W163/1000000</f>
        <v>9.8181635517482313</v>
      </c>
      <c r="K313" s="73">
        <f t="shared" ref="K313:K376" si="16">SUM(I313:J313)</f>
        <v>9.8181635517482313</v>
      </c>
      <c r="L313" s="23">
        <f t="shared" ref="L313:L376" si="17">(K313*12)/G313</f>
        <v>0.4462801614431014</v>
      </c>
    </row>
    <row r="314" spans="1:12" x14ac:dyDescent="0.2">
      <c r="A314" s="15">
        <v>48214</v>
      </c>
      <c r="B314" s="73">
        <v>55</v>
      </c>
      <c r="C314" s="73">
        <v>55</v>
      </c>
      <c r="D314" s="73">
        <v>150</v>
      </c>
      <c r="E314" s="73">
        <v>4</v>
      </c>
      <c r="G314" s="73">
        <f t="shared" si="15"/>
        <v>264</v>
      </c>
      <c r="I314" s="73">
        <f>'[1]D5 Gallon Forecast'!$X136/1000000</f>
        <v>0</v>
      </c>
      <c r="J314" s="73">
        <f>'[1]D5 Gallon Forecast'!$X152/1000000</f>
        <v>9.4000066353150107</v>
      </c>
      <c r="K314" s="73">
        <f t="shared" si="16"/>
        <v>9.4000066353150107</v>
      </c>
      <c r="L314" s="23">
        <f t="shared" si="17"/>
        <v>0.42727302887795504</v>
      </c>
    </row>
    <row r="315" spans="1:12" x14ac:dyDescent="0.2">
      <c r="A315" s="15">
        <v>48245</v>
      </c>
      <c r="B315" s="73">
        <v>55</v>
      </c>
      <c r="C315" s="73">
        <v>55</v>
      </c>
      <c r="D315" s="73">
        <v>150</v>
      </c>
      <c r="E315" s="73">
        <v>4</v>
      </c>
      <c r="G315" s="73">
        <f t="shared" si="15"/>
        <v>264</v>
      </c>
      <c r="I315" s="73">
        <f>'[1]D5 Gallon Forecast'!$X137/1000000</f>
        <v>0</v>
      </c>
      <c r="J315" s="73">
        <f>'[1]D5 Gallon Forecast'!$X153/1000000</f>
        <v>7.3738882269634951</v>
      </c>
      <c r="K315" s="73">
        <f t="shared" si="16"/>
        <v>7.3738882269634951</v>
      </c>
      <c r="L315" s="23">
        <f t="shared" si="17"/>
        <v>0.33517673758924982</v>
      </c>
    </row>
    <row r="316" spans="1:12" x14ac:dyDescent="0.2">
      <c r="A316" s="15">
        <v>48274</v>
      </c>
      <c r="B316" s="73">
        <v>55</v>
      </c>
      <c r="C316" s="73">
        <v>55</v>
      </c>
      <c r="D316" s="73">
        <v>150</v>
      </c>
      <c r="E316" s="73">
        <v>4</v>
      </c>
      <c r="G316" s="73">
        <f t="shared" si="15"/>
        <v>264</v>
      </c>
      <c r="I316" s="73">
        <f>'[1]D5 Gallon Forecast'!$X138/1000000</f>
        <v>0</v>
      </c>
      <c r="J316" s="73">
        <f>'[1]D5 Gallon Forecast'!$X154/1000000</f>
        <v>12.259716569288186</v>
      </c>
      <c r="K316" s="73">
        <f t="shared" si="16"/>
        <v>12.259716569288186</v>
      </c>
      <c r="L316" s="23">
        <f t="shared" si="17"/>
        <v>0.55725984405855389</v>
      </c>
    </row>
    <row r="317" spans="1:12" x14ac:dyDescent="0.2">
      <c r="A317" s="15">
        <v>48305</v>
      </c>
      <c r="B317" s="73">
        <v>55</v>
      </c>
      <c r="C317" s="73">
        <v>55</v>
      </c>
      <c r="D317" s="73">
        <v>150</v>
      </c>
      <c r="E317" s="73">
        <v>4</v>
      </c>
      <c r="G317" s="73">
        <f t="shared" si="15"/>
        <v>264</v>
      </c>
      <c r="I317" s="73">
        <f>'[1]D5 Gallon Forecast'!$X139/1000000</f>
        <v>0</v>
      </c>
      <c r="J317" s="73">
        <f>'[1]D5 Gallon Forecast'!$X155/1000000</f>
        <v>7.99855686054652</v>
      </c>
      <c r="K317" s="73">
        <f t="shared" si="16"/>
        <v>7.99855686054652</v>
      </c>
      <c r="L317" s="23">
        <f t="shared" si="17"/>
        <v>0.36357076638847818</v>
      </c>
    </row>
    <row r="318" spans="1:12" x14ac:dyDescent="0.2">
      <c r="A318" s="15">
        <v>48335</v>
      </c>
      <c r="B318" s="73">
        <v>55</v>
      </c>
      <c r="C318" s="73">
        <v>55</v>
      </c>
      <c r="D318" s="73">
        <v>150</v>
      </c>
      <c r="E318" s="73">
        <v>4</v>
      </c>
      <c r="G318" s="73">
        <f t="shared" si="15"/>
        <v>264</v>
      </c>
      <c r="I318" s="73">
        <f>'[1]D5 Gallon Forecast'!$X140/1000000</f>
        <v>0</v>
      </c>
      <c r="J318" s="73">
        <f>'[1]D5 Gallon Forecast'!$X156/1000000</f>
        <v>8.8712423329781238</v>
      </c>
      <c r="K318" s="73">
        <f t="shared" si="16"/>
        <v>8.8712423329781238</v>
      </c>
      <c r="L318" s="23">
        <f t="shared" si="17"/>
        <v>0.40323828786264199</v>
      </c>
    </row>
    <row r="319" spans="1:12" x14ac:dyDescent="0.2">
      <c r="A319" s="15">
        <v>48366</v>
      </c>
      <c r="B319" s="73">
        <v>55</v>
      </c>
      <c r="C319" s="73">
        <v>55</v>
      </c>
      <c r="D319" s="73">
        <v>150</v>
      </c>
      <c r="E319" s="73">
        <v>4</v>
      </c>
      <c r="G319" s="73">
        <f t="shared" si="15"/>
        <v>264</v>
      </c>
      <c r="I319" s="73">
        <f>'[1]D5 Gallon Forecast'!$X141/1000000</f>
        <v>0</v>
      </c>
      <c r="J319" s="73">
        <f>'[1]D5 Gallon Forecast'!$X157/1000000</f>
        <v>11.928521352495473</v>
      </c>
      <c r="K319" s="73">
        <f t="shared" si="16"/>
        <v>11.928521352495473</v>
      </c>
      <c r="L319" s="23">
        <f t="shared" si="17"/>
        <v>0.54220551602252154</v>
      </c>
    </row>
    <row r="320" spans="1:12" x14ac:dyDescent="0.2">
      <c r="A320" s="15">
        <v>48396</v>
      </c>
      <c r="B320" s="73">
        <v>55</v>
      </c>
      <c r="C320" s="73">
        <v>55</v>
      </c>
      <c r="D320" s="73">
        <v>150</v>
      </c>
      <c r="E320" s="73">
        <v>4</v>
      </c>
      <c r="G320" s="73">
        <f t="shared" si="15"/>
        <v>264</v>
      </c>
      <c r="I320" s="73">
        <f>'[1]D5 Gallon Forecast'!$X142/1000000</f>
        <v>0</v>
      </c>
      <c r="J320" s="73">
        <f>'[1]D5 Gallon Forecast'!$X158/1000000</f>
        <v>9.8915882615788941</v>
      </c>
      <c r="K320" s="73">
        <f t="shared" si="16"/>
        <v>9.8915882615788941</v>
      </c>
      <c r="L320" s="23">
        <f t="shared" si="17"/>
        <v>0.44961764825358608</v>
      </c>
    </row>
    <row r="321" spans="1:12" x14ac:dyDescent="0.2">
      <c r="A321" s="15">
        <v>48427</v>
      </c>
      <c r="B321" s="73">
        <v>55</v>
      </c>
      <c r="C321" s="73">
        <v>55</v>
      </c>
      <c r="D321" s="73">
        <v>150</v>
      </c>
      <c r="E321" s="73">
        <v>4</v>
      </c>
      <c r="G321" s="73">
        <f t="shared" si="15"/>
        <v>264</v>
      </c>
      <c r="I321" s="73">
        <f>'[1]D5 Gallon Forecast'!$X143/1000000</f>
        <v>0</v>
      </c>
      <c r="J321" s="73">
        <f>'[1]D5 Gallon Forecast'!$X159/1000000</f>
        <v>14.560599345535605</v>
      </c>
      <c r="K321" s="73">
        <f t="shared" si="16"/>
        <v>14.560599345535605</v>
      </c>
      <c r="L321" s="23">
        <f t="shared" si="17"/>
        <v>0.66184542479707298</v>
      </c>
    </row>
    <row r="322" spans="1:12" x14ac:dyDescent="0.2">
      <c r="A322" s="15">
        <v>48458</v>
      </c>
      <c r="B322" s="73">
        <v>55</v>
      </c>
      <c r="C322" s="73">
        <v>55</v>
      </c>
      <c r="D322" s="73">
        <v>150</v>
      </c>
      <c r="E322" s="73">
        <v>4</v>
      </c>
      <c r="G322" s="73">
        <f t="shared" si="15"/>
        <v>264</v>
      </c>
      <c r="I322" s="73">
        <f>'[1]D5 Gallon Forecast'!$X144/1000000</f>
        <v>0</v>
      </c>
      <c r="J322" s="73">
        <f>'[1]D5 Gallon Forecast'!$X160/1000000</f>
        <v>13.109153695279913</v>
      </c>
      <c r="K322" s="73">
        <f t="shared" si="16"/>
        <v>13.109153695279913</v>
      </c>
      <c r="L322" s="23">
        <f t="shared" si="17"/>
        <v>0.59587062251272327</v>
      </c>
    </row>
    <row r="323" spans="1:12" x14ac:dyDescent="0.2">
      <c r="A323" s="15">
        <v>48488</v>
      </c>
      <c r="B323" s="73">
        <v>55</v>
      </c>
      <c r="C323" s="73">
        <v>55</v>
      </c>
      <c r="D323" s="73">
        <v>150</v>
      </c>
      <c r="E323" s="73">
        <v>4</v>
      </c>
      <c r="G323" s="73">
        <f t="shared" si="15"/>
        <v>264</v>
      </c>
      <c r="I323" s="73">
        <f>'[1]D5 Gallon Forecast'!$X145/1000000</f>
        <v>0</v>
      </c>
      <c r="J323" s="73">
        <f>'[1]D5 Gallon Forecast'!$X161/1000000</f>
        <v>10.520709252081923</v>
      </c>
      <c r="K323" s="73">
        <f t="shared" si="16"/>
        <v>10.520709252081923</v>
      </c>
      <c r="L323" s="23">
        <f t="shared" si="17"/>
        <v>0.47821405691281471</v>
      </c>
    </row>
    <row r="324" spans="1:12" x14ac:dyDescent="0.2">
      <c r="A324" s="15">
        <v>48519</v>
      </c>
      <c r="B324" s="73">
        <v>55</v>
      </c>
      <c r="C324" s="73">
        <v>55</v>
      </c>
      <c r="D324" s="73">
        <v>150</v>
      </c>
      <c r="E324" s="73">
        <v>4</v>
      </c>
      <c r="G324" s="73">
        <f t="shared" si="15"/>
        <v>264</v>
      </c>
      <c r="I324" s="73">
        <f>'[1]D5 Gallon Forecast'!$X146/1000000</f>
        <v>0</v>
      </c>
      <c r="J324" s="73">
        <f>'[1]D5 Gallon Forecast'!$X162/1000000</f>
        <v>10.637020630191445</v>
      </c>
      <c r="K324" s="73">
        <f t="shared" si="16"/>
        <v>10.637020630191445</v>
      </c>
      <c r="L324" s="23">
        <f t="shared" si="17"/>
        <v>0.4835009377359748</v>
      </c>
    </row>
    <row r="325" spans="1:12" x14ac:dyDescent="0.2">
      <c r="A325" s="15">
        <v>48549</v>
      </c>
      <c r="B325" s="73">
        <v>55</v>
      </c>
      <c r="C325" s="73">
        <v>55</v>
      </c>
      <c r="D325" s="73">
        <v>150</v>
      </c>
      <c r="E325" s="73">
        <v>4</v>
      </c>
      <c r="G325" s="73">
        <f t="shared" si="15"/>
        <v>264</v>
      </c>
      <c r="I325" s="73">
        <f>'[1]D5 Gallon Forecast'!$X147/1000000</f>
        <v>0</v>
      </c>
      <c r="J325" s="73">
        <f>'[1]D5 Gallon Forecast'!$X163/1000000</f>
        <v>10.877479751060799</v>
      </c>
      <c r="K325" s="73">
        <f t="shared" si="16"/>
        <v>10.877479751060799</v>
      </c>
      <c r="L325" s="23">
        <f t="shared" si="17"/>
        <v>0.49443089777549087</v>
      </c>
    </row>
    <row r="326" spans="1:12" x14ac:dyDescent="0.2">
      <c r="A326" s="15">
        <v>48580</v>
      </c>
      <c r="B326" s="73">
        <v>55</v>
      </c>
      <c r="C326" s="73">
        <v>55</v>
      </c>
      <c r="D326" s="73">
        <v>150</v>
      </c>
      <c r="E326" s="73">
        <v>4</v>
      </c>
      <c r="G326" s="73">
        <f t="shared" ref="G326:G389" si="18">SUM(B326:E326)</f>
        <v>264</v>
      </c>
      <c r="I326" s="73">
        <f>'[1]D5 Gallon Forecast'!$Y136/1000000</f>
        <v>0</v>
      </c>
      <c r="J326" s="73">
        <f>'[1]D5 Gallon Forecast'!$Y152/1000000</f>
        <v>9.7508702102608282</v>
      </c>
      <c r="K326" s="73">
        <f t="shared" si="16"/>
        <v>9.7508702102608282</v>
      </c>
      <c r="L326" s="23">
        <f t="shared" si="17"/>
        <v>0.443221373193674</v>
      </c>
    </row>
    <row r="327" spans="1:12" x14ac:dyDescent="0.2">
      <c r="A327" s="15">
        <v>48611</v>
      </c>
      <c r="B327" s="73">
        <v>55</v>
      </c>
      <c r="C327" s="73">
        <v>55</v>
      </c>
      <c r="D327" s="73">
        <v>150</v>
      </c>
      <c r="E327" s="73">
        <v>4</v>
      </c>
      <c r="G327" s="73">
        <f t="shared" si="18"/>
        <v>264</v>
      </c>
      <c r="I327" s="73">
        <f>'[1]D5 Gallon Forecast'!$Y137/1000000</f>
        <v>0</v>
      </c>
      <c r="J327" s="73">
        <f>'[1]D5 Gallon Forecast'!$Y153/1000000</f>
        <v>7.6032507819719575</v>
      </c>
      <c r="K327" s="73">
        <f t="shared" si="16"/>
        <v>7.6032507819719575</v>
      </c>
      <c r="L327" s="23">
        <f t="shared" si="17"/>
        <v>0.34560230827145261</v>
      </c>
    </row>
    <row r="328" spans="1:12" x14ac:dyDescent="0.2">
      <c r="A328" s="15">
        <v>48639</v>
      </c>
      <c r="B328" s="73">
        <v>55</v>
      </c>
      <c r="C328" s="73">
        <v>55</v>
      </c>
      <c r="D328" s="73">
        <v>150</v>
      </c>
      <c r="E328" s="73">
        <v>4</v>
      </c>
      <c r="G328" s="73">
        <f t="shared" si="18"/>
        <v>264</v>
      </c>
      <c r="I328" s="73">
        <f>'[1]D5 Gallon Forecast'!$Y138/1000000</f>
        <v>0</v>
      </c>
      <c r="J328" s="73">
        <f>'[1]D5 Gallon Forecast'!$Y154/1000000</f>
        <v>12.623526577462206</v>
      </c>
      <c r="K328" s="73">
        <f t="shared" si="16"/>
        <v>12.623526577462206</v>
      </c>
      <c r="L328" s="23">
        <f t="shared" si="17"/>
        <v>0.57379666261191842</v>
      </c>
    </row>
    <row r="329" spans="1:12" x14ac:dyDescent="0.2">
      <c r="A329" s="15">
        <v>48670</v>
      </c>
      <c r="B329" s="73">
        <v>55</v>
      </c>
      <c r="C329" s="73">
        <v>55</v>
      </c>
      <c r="D329" s="73">
        <v>150</v>
      </c>
      <c r="E329" s="73">
        <v>4</v>
      </c>
      <c r="G329" s="73">
        <f t="shared" si="18"/>
        <v>264</v>
      </c>
      <c r="I329" s="73">
        <f>'[1]D5 Gallon Forecast'!$Y139/1000000</f>
        <v>0</v>
      </c>
      <c r="J329" s="73">
        <f>'[1]D5 Gallon Forecast'!$Y155/1000000</f>
        <v>8.1801215623535786</v>
      </c>
      <c r="K329" s="73">
        <f t="shared" si="16"/>
        <v>8.1801215623535786</v>
      </c>
      <c r="L329" s="23">
        <f t="shared" si="17"/>
        <v>0.37182370737970816</v>
      </c>
    </row>
    <row r="330" spans="1:12" x14ac:dyDescent="0.2">
      <c r="A330" s="15">
        <v>48700</v>
      </c>
      <c r="B330" s="73">
        <v>55</v>
      </c>
      <c r="C330" s="73">
        <v>55</v>
      </c>
      <c r="D330" s="73">
        <v>150</v>
      </c>
      <c r="E330" s="73">
        <v>4</v>
      </c>
      <c r="G330" s="73">
        <f t="shared" si="18"/>
        <v>264</v>
      </c>
      <c r="I330" s="73">
        <f>'[1]D5 Gallon Forecast'!$Y140/1000000</f>
        <v>0</v>
      </c>
      <c r="J330" s="73">
        <f>'[1]D5 Gallon Forecast'!$Y156/1000000</f>
        <v>8.9487087240642431</v>
      </c>
      <c r="K330" s="73">
        <f t="shared" si="16"/>
        <v>8.9487087240642431</v>
      </c>
      <c r="L330" s="23">
        <f t="shared" si="17"/>
        <v>0.4067594874574656</v>
      </c>
    </row>
    <row r="331" spans="1:12" x14ac:dyDescent="0.2">
      <c r="A331" s="15">
        <v>48731</v>
      </c>
      <c r="B331" s="73">
        <v>55</v>
      </c>
      <c r="C331" s="73">
        <v>55</v>
      </c>
      <c r="D331" s="73">
        <v>150</v>
      </c>
      <c r="E331" s="73">
        <v>4</v>
      </c>
      <c r="G331" s="73">
        <f t="shared" si="18"/>
        <v>264</v>
      </c>
      <c r="I331" s="73">
        <f>'[1]D5 Gallon Forecast'!$Y141/1000000</f>
        <v>0</v>
      </c>
      <c r="J331" s="73">
        <f>'[1]D5 Gallon Forecast'!$Y157/1000000</f>
        <v>12.268533154106139</v>
      </c>
      <c r="K331" s="73">
        <f t="shared" si="16"/>
        <v>12.268533154106139</v>
      </c>
      <c r="L331" s="23">
        <f t="shared" si="17"/>
        <v>0.55766059791391542</v>
      </c>
    </row>
    <row r="332" spans="1:12" x14ac:dyDescent="0.2">
      <c r="A332" s="15">
        <v>48761</v>
      </c>
      <c r="B332" s="73">
        <v>55</v>
      </c>
      <c r="C332" s="73">
        <v>55</v>
      </c>
      <c r="D332" s="73">
        <v>150</v>
      </c>
      <c r="E332" s="73">
        <v>4</v>
      </c>
      <c r="G332" s="73">
        <f t="shared" si="18"/>
        <v>264</v>
      </c>
      <c r="I332" s="73">
        <f>'[1]D5 Gallon Forecast'!$Y142/1000000</f>
        <v>0</v>
      </c>
      <c r="J332" s="73">
        <f>'[1]D5 Gallon Forecast'!$Y158/1000000</f>
        <v>10.205901053373573</v>
      </c>
      <c r="K332" s="73">
        <f t="shared" si="16"/>
        <v>10.205901053373573</v>
      </c>
      <c r="L332" s="23">
        <f t="shared" si="17"/>
        <v>0.46390459333516243</v>
      </c>
    </row>
    <row r="333" spans="1:12" x14ac:dyDescent="0.2">
      <c r="A333" s="15">
        <v>48792</v>
      </c>
      <c r="B333" s="73">
        <v>55</v>
      </c>
      <c r="C333" s="73">
        <v>55</v>
      </c>
      <c r="D333" s="73">
        <v>150</v>
      </c>
      <c r="E333" s="73">
        <v>4</v>
      </c>
      <c r="G333" s="73">
        <f t="shared" si="18"/>
        <v>264</v>
      </c>
      <c r="I333" s="73">
        <f>'[1]D5 Gallon Forecast'!$Y143/1000000</f>
        <v>0</v>
      </c>
      <c r="J333" s="73">
        <f>'[1]D5 Gallon Forecast'!$Y159/1000000</f>
        <v>14.990559582780312</v>
      </c>
      <c r="K333" s="73">
        <f t="shared" si="16"/>
        <v>14.990559582780312</v>
      </c>
      <c r="L333" s="23">
        <f t="shared" si="17"/>
        <v>0.68138907194455967</v>
      </c>
    </row>
    <row r="334" spans="1:12" x14ac:dyDescent="0.2">
      <c r="A334" s="15">
        <v>48823</v>
      </c>
      <c r="B334" s="73">
        <v>55</v>
      </c>
      <c r="C334" s="73">
        <v>55</v>
      </c>
      <c r="D334" s="73">
        <v>150</v>
      </c>
      <c r="E334" s="73">
        <v>4</v>
      </c>
      <c r="G334" s="73">
        <f t="shared" si="18"/>
        <v>264</v>
      </c>
      <c r="I334" s="73">
        <f>'[1]D5 Gallon Forecast'!$Y144/1000000</f>
        <v>0</v>
      </c>
      <c r="J334" s="73">
        <f>'[1]D5 Gallon Forecast'!$Y160/1000000</f>
        <v>13.40931755312174</v>
      </c>
      <c r="K334" s="73">
        <f t="shared" si="16"/>
        <v>13.40931755312174</v>
      </c>
      <c r="L334" s="23">
        <f t="shared" si="17"/>
        <v>0.60951443423280638</v>
      </c>
    </row>
    <row r="335" spans="1:12" x14ac:dyDescent="0.2">
      <c r="A335" s="15">
        <v>48853</v>
      </c>
      <c r="B335" s="73">
        <v>55</v>
      </c>
      <c r="C335" s="73">
        <v>55</v>
      </c>
      <c r="D335" s="73">
        <v>150</v>
      </c>
      <c r="E335" s="73">
        <v>4</v>
      </c>
      <c r="G335" s="73">
        <f t="shared" si="18"/>
        <v>264</v>
      </c>
      <c r="I335" s="73">
        <f>'[1]D5 Gallon Forecast'!$Y145/1000000</f>
        <v>0</v>
      </c>
      <c r="J335" s="73">
        <f>'[1]D5 Gallon Forecast'!$Y161/1000000</f>
        <v>10.800932179264164</v>
      </c>
      <c r="K335" s="73">
        <f t="shared" si="16"/>
        <v>10.800932179264164</v>
      </c>
      <c r="L335" s="23">
        <f t="shared" si="17"/>
        <v>0.49095146269382561</v>
      </c>
    </row>
    <row r="336" spans="1:12" x14ac:dyDescent="0.2">
      <c r="A336" s="15">
        <v>48884</v>
      </c>
      <c r="B336" s="73">
        <v>55</v>
      </c>
      <c r="C336" s="73">
        <v>55</v>
      </c>
      <c r="D336" s="73">
        <v>150</v>
      </c>
      <c r="E336" s="73">
        <v>4</v>
      </c>
      <c r="G336" s="73">
        <f t="shared" si="18"/>
        <v>264</v>
      </c>
      <c r="I336" s="73">
        <f>'[1]D5 Gallon Forecast'!$Y146/1000000</f>
        <v>0</v>
      </c>
      <c r="J336" s="73">
        <f>'[1]D5 Gallon Forecast'!$Y162/1000000</f>
        <v>10.860213584955293</v>
      </c>
      <c r="K336" s="73">
        <f t="shared" si="16"/>
        <v>10.860213584955293</v>
      </c>
      <c r="L336" s="23">
        <f t="shared" si="17"/>
        <v>0.49364607204342248</v>
      </c>
    </row>
    <row r="337" spans="1:12" x14ac:dyDescent="0.2">
      <c r="A337" s="15">
        <v>48914</v>
      </c>
      <c r="B337" s="73">
        <v>55</v>
      </c>
      <c r="C337" s="73">
        <v>55</v>
      </c>
      <c r="D337" s="73">
        <v>150</v>
      </c>
      <c r="E337" s="73">
        <v>4</v>
      </c>
      <c r="G337" s="73">
        <f t="shared" si="18"/>
        <v>264</v>
      </c>
      <c r="I337" s="73">
        <f>'[1]D5 Gallon Forecast'!$Y147/1000000</f>
        <v>0</v>
      </c>
      <c r="J337" s="73">
        <f>'[1]D5 Gallon Forecast'!$Y163/1000000</f>
        <v>11.116352116611347</v>
      </c>
      <c r="K337" s="73">
        <f t="shared" si="16"/>
        <v>11.116352116611347</v>
      </c>
      <c r="L337" s="23">
        <f t="shared" si="17"/>
        <v>0.50528873257324314</v>
      </c>
    </row>
    <row r="338" spans="1:12" x14ac:dyDescent="0.2">
      <c r="A338" s="15">
        <v>48945</v>
      </c>
      <c r="B338" s="73">
        <v>55</v>
      </c>
      <c r="C338" s="73">
        <v>55</v>
      </c>
      <c r="D338" s="73">
        <v>150</v>
      </c>
      <c r="E338" s="73">
        <v>4</v>
      </c>
      <c r="G338" s="73">
        <f t="shared" si="18"/>
        <v>264</v>
      </c>
      <c r="I338" s="73">
        <f>'[1]D5 Gallon Forecast'!$Z136/1000000</f>
        <v>0</v>
      </c>
      <c r="J338" s="73">
        <f>'[1]D5 Gallon Forecast'!$Z152/1000000</f>
        <v>10.270938943144886</v>
      </c>
      <c r="K338" s="73">
        <f t="shared" si="16"/>
        <v>10.270938943144886</v>
      </c>
      <c r="L338" s="23">
        <f t="shared" si="17"/>
        <v>0.46686086105204028</v>
      </c>
    </row>
    <row r="339" spans="1:12" x14ac:dyDescent="0.2">
      <c r="A339" s="15">
        <v>48976</v>
      </c>
      <c r="B339" s="73">
        <v>55</v>
      </c>
      <c r="C339" s="73">
        <v>55</v>
      </c>
      <c r="D339" s="73">
        <v>150</v>
      </c>
      <c r="E339" s="73">
        <v>4</v>
      </c>
      <c r="G339" s="73">
        <f t="shared" si="18"/>
        <v>264</v>
      </c>
      <c r="I339" s="73">
        <f>'[1]D5 Gallon Forecast'!$Z137/1000000</f>
        <v>0</v>
      </c>
      <c r="J339" s="73">
        <f>'[1]D5 Gallon Forecast'!$Z153/1000000</f>
        <v>8.0393984959352043</v>
      </c>
      <c r="K339" s="73">
        <f t="shared" si="16"/>
        <v>8.0393984959352043</v>
      </c>
      <c r="L339" s="23">
        <f t="shared" si="17"/>
        <v>0.36542720436069115</v>
      </c>
    </row>
    <row r="340" spans="1:12" x14ac:dyDescent="0.2">
      <c r="A340" s="15">
        <v>49004</v>
      </c>
      <c r="B340" s="73">
        <v>55</v>
      </c>
      <c r="C340" s="73">
        <v>55</v>
      </c>
      <c r="D340" s="73">
        <v>150</v>
      </c>
      <c r="E340" s="73">
        <v>4</v>
      </c>
      <c r="G340" s="73">
        <f t="shared" si="18"/>
        <v>264</v>
      </c>
      <c r="I340" s="73">
        <f>'[1]D5 Gallon Forecast'!$Z138/1000000</f>
        <v>0</v>
      </c>
      <c r="J340" s="73">
        <f>'[1]D5 Gallon Forecast'!$Z154/1000000</f>
        <v>13.136718482216381</v>
      </c>
      <c r="K340" s="73">
        <f t="shared" si="16"/>
        <v>13.136718482216381</v>
      </c>
      <c r="L340" s="23">
        <f t="shared" si="17"/>
        <v>0.59712356737347183</v>
      </c>
    </row>
    <row r="341" spans="1:12" x14ac:dyDescent="0.2">
      <c r="A341" s="15">
        <v>49035</v>
      </c>
      <c r="B341" s="73">
        <v>55</v>
      </c>
      <c r="C341" s="73">
        <v>55</v>
      </c>
      <c r="D341" s="73">
        <v>150</v>
      </c>
      <c r="E341" s="73">
        <v>4</v>
      </c>
      <c r="G341" s="73">
        <f t="shared" si="18"/>
        <v>264</v>
      </c>
      <c r="I341" s="73">
        <f>'[1]D5 Gallon Forecast'!$Z139/1000000</f>
        <v>0</v>
      </c>
      <c r="J341" s="73">
        <f>'[1]D5 Gallon Forecast'!$Z155/1000000</f>
        <v>8.5660396809830814</v>
      </c>
      <c r="K341" s="73">
        <f t="shared" si="16"/>
        <v>8.5660396809830814</v>
      </c>
      <c r="L341" s="23">
        <f t="shared" si="17"/>
        <v>0.38936544004468554</v>
      </c>
    </row>
    <row r="342" spans="1:12" x14ac:dyDescent="0.2">
      <c r="A342" s="15">
        <v>49065</v>
      </c>
      <c r="B342" s="73">
        <v>55</v>
      </c>
      <c r="C342" s="73">
        <v>55</v>
      </c>
      <c r="D342" s="73">
        <v>150</v>
      </c>
      <c r="E342" s="73">
        <v>4</v>
      </c>
      <c r="G342" s="73">
        <f t="shared" si="18"/>
        <v>264</v>
      </c>
      <c r="I342" s="73">
        <f>'[1]D5 Gallon Forecast'!$Z140/1000000</f>
        <v>0</v>
      </c>
      <c r="J342" s="73">
        <f>'[1]D5 Gallon Forecast'!$Z156/1000000</f>
        <v>9.3674185076400818</v>
      </c>
      <c r="K342" s="73">
        <f t="shared" si="16"/>
        <v>9.3674185076400818</v>
      </c>
      <c r="L342" s="23">
        <f t="shared" si="17"/>
        <v>0.42579175034727645</v>
      </c>
    </row>
    <row r="343" spans="1:12" x14ac:dyDescent="0.2">
      <c r="A343" s="15">
        <v>49096</v>
      </c>
      <c r="B343" s="73">
        <v>55</v>
      </c>
      <c r="C343" s="73">
        <v>55</v>
      </c>
      <c r="D343" s="73">
        <v>150</v>
      </c>
      <c r="E343" s="73">
        <v>4</v>
      </c>
      <c r="G343" s="73">
        <f t="shared" si="18"/>
        <v>264</v>
      </c>
      <c r="I343" s="73">
        <f>'[1]D5 Gallon Forecast'!$Z141/1000000</f>
        <v>0</v>
      </c>
      <c r="J343" s="73">
        <f>'[1]D5 Gallon Forecast'!$Z157/1000000</f>
        <v>12.743109505597992</v>
      </c>
      <c r="K343" s="73">
        <f t="shared" si="16"/>
        <v>12.743109505597992</v>
      </c>
      <c r="L343" s="23">
        <f t="shared" si="17"/>
        <v>0.57923225025445424</v>
      </c>
    </row>
    <row r="344" spans="1:12" x14ac:dyDescent="0.2">
      <c r="A344" s="15">
        <v>49126</v>
      </c>
      <c r="B344" s="73">
        <v>55</v>
      </c>
      <c r="C344" s="73">
        <v>55</v>
      </c>
      <c r="D344" s="73">
        <v>150</v>
      </c>
      <c r="E344" s="73">
        <v>4</v>
      </c>
      <c r="G344" s="73">
        <f t="shared" si="18"/>
        <v>264</v>
      </c>
      <c r="I344" s="73">
        <f>'[1]D5 Gallon Forecast'!$Z142/1000000</f>
        <v>0</v>
      </c>
      <c r="J344" s="73">
        <f>'[1]D5 Gallon Forecast'!$Z158/1000000</f>
        <v>10.706973900305437</v>
      </c>
      <c r="K344" s="73">
        <f t="shared" si="16"/>
        <v>10.706973900305437</v>
      </c>
      <c r="L344" s="23">
        <f t="shared" si="17"/>
        <v>0.48668063183206534</v>
      </c>
    </row>
    <row r="345" spans="1:12" x14ac:dyDescent="0.2">
      <c r="A345" s="15">
        <v>49157</v>
      </c>
      <c r="B345" s="73">
        <v>55</v>
      </c>
      <c r="C345" s="73">
        <v>55</v>
      </c>
      <c r="D345" s="73">
        <v>150</v>
      </c>
      <c r="E345" s="73">
        <v>4</v>
      </c>
      <c r="G345" s="73">
        <f t="shared" si="18"/>
        <v>264</v>
      </c>
      <c r="I345" s="73">
        <f>'[1]D5 Gallon Forecast'!$Z143/1000000</f>
        <v>0</v>
      </c>
      <c r="J345" s="73">
        <f>'[1]D5 Gallon Forecast'!$Z159/1000000</f>
        <v>15.692967085042037</v>
      </c>
      <c r="K345" s="73">
        <f t="shared" si="16"/>
        <v>15.692967085042037</v>
      </c>
      <c r="L345" s="23">
        <f t="shared" si="17"/>
        <v>0.71331668568372897</v>
      </c>
    </row>
    <row r="346" spans="1:12" x14ac:dyDescent="0.2">
      <c r="A346" s="15">
        <v>49188</v>
      </c>
      <c r="B346" s="73">
        <v>55</v>
      </c>
      <c r="C346" s="73">
        <v>55</v>
      </c>
      <c r="D346" s="73">
        <v>150</v>
      </c>
      <c r="E346" s="73">
        <v>4</v>
      </c>
      <c r="G346" s="73">
        <f t="shared" si="18"/>
        <v>264</v>
      </c>
      <c r="I346" s="73">
        <f>'[1]D5 Gallon Forecast'!$Z144/1000000</f>
        <v>0</v>
      </c>
      <c r="J346" s="73">
        <f>'[1]D5 Gallon Forecast'!$Z160/1000000</f>
        <v>14.059092749521568</v>
      </c>
      <c r="K346" s="73">
        <f t="shared" si="16"/>
        <v>14.059092749521568</v>
      </c>
      <c r="L346" s="23">
        <f t="shared" si="17"/>
        <v>0.63904967043279859</v>
      </c>
    </row>
    <row r="347" spans="1:12" x14ac:dyDescent="0.2">
      <c r="A347" s="15">
        <v>49218</v>
      </c>
      <c r="B347" s="73">
        <v>55</v>
      </c>
      <c r="C347" s="73">
        <v>55</v>
      </c>
      <c r="D347" s="73">
        <v>150</v>
      </c>
      <c r="E347" s="73">
        <v>4</v>
      </c>
      <c r="G347" s="73">
        <f t="shared" si="18"/>
        <v>264</v>
      </c>
      <c r="I347" s="73">
        <f>'[1]D5 Gallon Forecast'!$Z145/1000000</f>
        <v>0</v>
      </c>
      <c r="J347" s="73">
        <f>'[1]D5 Gallon Forecast'!$Z161/1000000</f>
        <v>11.291540475558243</v>
      </c>
      <c r="K347" s="73">
        <f t="shared" si="16"/>
        <v>11.291540475558243</v>
      </c>
      <c r="L347" s="23">
        <f t="shared" si="17"/>
        <v>0.51325183979810196</v>
      </c>
    </row>
    <row r="348" spans="1:12" x14ac:dyDescent="0.2">
      <c r="A348" s="15">
        <v>49249</v>
      </c>
      <c r="B348" s="73">
        <v>55</v>
      </c>
      <c r="C348" s="73">
        <v>55</v>
      </c>
      <c r="D348" s="73">
        <v>150</v>
      </c>
      <c r="E348" s="73">
        <v>4</v>
      </c>
      <c r="G348" s="73">
        <f t="shared" si="18"/>
        <v>264</v>
      </c>
      <c r="I348" s="73">
        <f>'[1]D5 Gallon Forecast'!$Z146/1000000</f>
        <v>0</v>
      </c>
      <c r="J348" s="73">
        <f>'[1]D5 Gallon Forecast'!$Z162/1000000</f>
        <v>11.411609439419452</v>
      </c>
      <c r="K348" s="73">
        <f t="shared" si="16"/>
        <v>11.411609439419452</v>
      </c>
      <c r="L348" s="23">
        <f t="shared" si="17"/>
        <v>0.51870951997361148</v>
      </c>
    </row>
    <row r="349" spans="1:12" x14ac:dyDescent="0.2">
      <c r="A349" s="15">
        <v>49279</v>
      </c>
      <c r="B349" s="73">
        <v>55</v>
      </c>
      <c r="C349" s="73">
        <v>55</v>
      </c>
      <c r="D349" s="73">
        <v>150</v>
      </c>
      <c r="E349" s="73">
        <v>4</v>
      </c>
      <c r="G349" s="73">
        <f t="shared" si="18"/>
        <v>264</v>
      </c>
      <c r="I349" s="73">
        <f>'[1]D5 Gallon Forecast'!$Z147/1000000</f>
        <v>0</v>
      </c>
      <c r="J349" s="73">
        <f>'[1]D5 Gallon Forecast'!$Z163/1000000</f>
        <v>11.749743204617172</v>
      </c>
      <c r="K349" s="73">
        <f t="shared" si="16"/>
        <v>11.749743204617172</v>
      </c>
      <c r="L349" s="23">
        <f t="shared" si="17"/>
        <v>0.53407923657350775</v>
      </c>
    </row>
    <row r="350" spans="1:12" x14ac:dyDescent="0.2">
      <c r="A350" s="15">
        <v>49310</v>
      </c>
      <c r="B350" s="73">
        <v>55</v>
      </c>
      <c r="C350" s="73">
        <v>55</v>
      </c>
      <c r="D350" s="73">
        <v>150</v>
      </c>
      <c r="E350" s="73">
        <v>4</v>
      </c>
      <c r="G350" s="73">
        <f t="shared" si="18"/>
        <v>264</v>
      </c>
      <c r="I350" s="73">
        <f>'[1]D5 Gallon Forecast'!$AA136/1000000</f>
        <v>0</v>
      </c>
      <c r="J350" s="73">
        <f>'[1]D5 Gallon Forecast'!$AA152/1000000</f>
        <v>10.853958908365149</v>
      </c>
      <c r="K350" s="73">
        <f t="shared" si="16"/>
        <v>10.853958908365149</v>
      </c>
      <c r="L350" s="23">
        <f t="shared" si="17"/>
        <v>0.49336176856205222</v>
      </c>
    </row>
    <row r="351" spans="1:12" x14ac:dyDescent="0.2">
      <c r="A351" s="15">
        <v>49341</v>
      </c>
      <c r="B351" s="73">
        <v>55</v>
      </c>
      <c r="C351" s="73">
        <v>55</v>
      </c>
      <c r="D351" s="73">
        <v>150</v>
      </c>
      <c r="E351" s="73">
        <v>4</v>
      </c>
      <c r="G351" s="73">
        <f t="shared" si="18"/>
        <v>264</v>
      </c>
      <c r="I351" s="73">
        <f>'[1]D5 Gallon Forecast'!$AA137/1000000</f>
        <v>0</v>
      </c>
      <c r="J351" s="73">
        <f>'[1]D5 Gallon Forecast'!$AA153/1000000</f>
        <v>8.4936832100004658</v>
      </c>
      <c r="K351" s="73">
        <f t="shared" si="16"/>
        <v>8.4936832100004658</v>
      </c>
      <c r="L351" s="23">
        <f t="shared" si="17"/>
        <v>0.38607650954547573</v>
      </c>
    </row>
    <row r="352" spans="1:12" x14ac:dyDescent="0.2">
      <c r="A352" s="15">
        <v>49369</v>
      </c>
      <c r="B352" s="73">
        <v>55</v>
      </c>
      <c r="C352" s="73">
        <v>55</v>
      </c>
      <c r="D352" s="73">
        <v>150</v>
      </c>
      <c r="E352" s="73">
        <v>4</v>
      </c>
      <c r="G352" s="73">
        <f t="shared" si="18"/>
        <v>264</v>
      </c>
      <c r="I352" s="73">
        <f>'[1]D5 Gallon Forecast'!$AA138/1000000</f>
        <v>0</v>
      </c>
      <c r="J352" s="73">
        <f>'[1]D5 Gallon Forecast'!$AA154/1000000</f>
        <v>13.961294168036874</v>
      </c>
      <c r="K352" s="73">
        <f t="shared" si="16"/>
        <v>13.961294168036874</v>
      </c>
      <c r="L352" s="23">
        <f t="shared" si="17"/>
        <v>0.63460428036531247</v>
      </c>
    </row>
    <row r="353" spans="1:12" x14ac:dyDescent="0.2">
      <c r="A353" s="15">
        <v>49400</v>
      </c>
      <c r="B353" s="73">
        <v>55</v>
      </c>
      <c r="C353" s="73">
        <v>55</v>
      </c>
      <c r="D353" s="73">
        <v>150</v>
      </c>
      <c r="E353" s="73">
        <v>4</v>
      </c>
      <c r="G353" s="73">
        <f t="shared" si="18"/>
        <v>264</v>
      </c>
      <c r="I353" s="73">
        <f>'[1]D5 Gallon Forecast'!$AA139/1000000</f>
        <v>0</v>
      </c>
      <c r="J353" s="73">
        <f>'[1]D5 Gallon Forecast'!$AA155/1000000</f>
        <v>9.0911449891102123</v>
      </c>
      <c r="K353" s="73">
        <f t="shared" si="16"/>
        <v>9.0911449891102123</v>
      </c>
      <c r="L353" s="23">
        <f t="shared" si="17"/>
        <v>0.41323386314137328</v>
      </c>
    </row>
    <row r="354" spans="1:12" x14ac:dyDescent="0.2">
      <c r="A354" s="15">
        <v>49430</v>
      </c>
      <c r="B354" s="73">
        <v>55</v>
      </c>
      <c r="C354" s="73">
        <v>55</v>
      </c>
      <c r="D354" s="73">
        <v>150</v>
      </c>
      <c r="E354" s="73">
        <v>4</v>
      </c>
      <c r="G354" s="73">
        <f t="shared" si="18"/>
        <v>264</v>
      </c>
      <c r="I354" s="73">
        <f>'[1]D5 Gallon Forecast'!$AA140/1000000</f>
        <v>0</v>
      </c>
      <c r="J354" s="73">
        <f>'[1]D5 Gallon Forecast'!$AA156/1000000</f>
        <v>10.046947749192206</v>
      </c>
      <c r="K354" s="73">
        <f t="shared" si="16"/>
        <v>10.046947749192206</v>
      </c>
      <c r="L354" s="23">
        <f t="shared" si="17"/>
        <v>0.45667944314510028</v>
      </c>
    </row>
    <row r="355" spans="1:12" x14ac:dyDescent="0.2">
      <c r="A355" s="15">
        <v>49461</v>
      </c>
      <c r="B355" s="73">
        <v>55</v>
      </c>
      <c r="C355" s="73">
        <v>55</v>
      </c>
      <c r="D355" s="73">
        <v>150</v>
      </c>
      <c r="E355" s="73">
        <v>4</v>
      </c>
      <c r="G355" s="73">
        <f t="shared" si="18"/>
        <v>264</v>
      </c>
      <c r="I355" s="73">
        <f>'[1]D5 Gallon Forecast'!$AA141/1000000</f>
        <v>0</v>
      </c>
      <c r="J355" s="73">
        <f>'[1]D5 Gallon Forecast'!$AA157/1000000</f>
        <v>13.525600573040993</v>
      </c>
      <c r="K355" s="73">
        <f t="shared" si="16"/>
        <v>13.525600573040993</v>
      </c>
      <c r="L355" s="23">
        <f t="shared" si="17"/>
        <v>0.61480002604731787</v>
      </c>
    </row>
    <row r="356" spans="1:12" x14ac:dyDescent="0.2">
      <c r="A356" s="15">
        <v>49491</v>
      </c>
      <c r="B356" s="73">
        <v>55</v>
      </c>
      <c r="C356" s="73">
        <v>55</v>
      </c>
      <c r="D356" s="73">
        <v>150</v>
      </c>
      <c r="E356" s="73">
        <v>4</v>
      </c>
      <c r="G356" s="73">
        <f t="shared" si="18"/>
        <v>264</v>
      </c>
      <c r="I356" s="73">
        <f>'[1]D5 Gallon Forecast'!$AA142/1000000</f>
        <v>0</v>
      </c>
      <c r="J356" s="73">
        <f>'[1]D5 Gallon Forecast'!$AA158/1000000</f>
        <v>11.289540991109732</v>
      </c>
      <c r="K356" s="73">
        <f t="shared" si="16"/>
        <v>11.289540991109732</v>
      </c>
      <c r="L356" s="23">
        <f t="shared" si="17"/>
        <v>0.51316095414135143</v>
      </c>
    </row>
    <row r="357" spans="1:12" x14ac:dyDescent="0.2">
      <c r="A357" s="15">
        <v>49522</v>
      </c>
      <c r="B357" s="73">
        <v>55</v>
      </c>
      <c r="C357" s="73">
        <v>55</v>
      </c>
      <c r="D357" s="73">
        <v>150</v>
      </c>
      <c r="E357" s="73">
        <v>4</v>
      </c>
      <c r="G357" s="73">
        <f t="shared" si="18"/>
        <v>264</v>
      </c>
      <c r="I357" s="73">
        <f>'[1]D5 Gallon Forecast'!$AA143/1000000</f>
        <v>0</v>
      </c>
      <c r="J357" s="73">
        <f>'[1]D5 Gallon Forecast'!$AA159/1000000</f>
        <v>16.593854399156079</v>
      </c>
      <c r="K357" s="73">
        <f t="shared" si="16"/>
        <v>16.593854399156079</v>
      </c>
      <c r="L357" s="23">
        <f t="shared" si="17"/>
        <v>0.75426610905254909</v>
      </c>
    </row>
    <row r="358" spans="1:12" x14ac:dyDescent="0.2">
      <c r="A358" s="15">
        <v>49553</v>
      </c>
      <c r="B358" s="73">
        <v>55</v>
      </c>
      <c r="C358" s="73">
        <v>55</v>
      </c>
      <c r="D358" s="73">
        <v>150</v>
      </c>
      <c r="E358" s="73">
        <v>4</v>
      </c>
      <c r="G358" s="73">
        <f t="shared" si="18"/>
        <v>264</v>
      </c>
      <c r="I358" s="73">
        <f>'[1]D5 Gallon Forecast'!$AA144/1000000</f>
        <v>0</v>
      </c>
      <c r="J358" s="73">
        <f>'[1]D5 Gallon Forecast'!$AA160/1000000</f>
        <v>14.908278897703221</v>
      </c>
      <c r="K358" s="73">
        <f t="shared" si="16"/>
        <v>14.908278897703221</v>
      </c>
      <c r="L358" s="23">
        <f t="shared" si="17"/>
        <v>0.6776490408046919</v>
      </c>
    </row>
    <row r="359" spans="1:12" x14ac:dyDescent="0.2">
      <c r="A359" s="15">
        <v>49583</v>
      </c>
      <c r="B359" s="73">
        <v>55</v>
      </c>
      <c r="C359" s="73">
        <v>55</v>
      </c>
      <c r="D359" s="73">
        <v>150</v>
      </c>
      <c r="E359" s="73">
        <v>4</v>
      </c>
      <c r="G359" s="73">
        <f t="shared" si="18"/>
        <v>264</v>
      </c>
      <c r="I359" s="73">
        <f>'[1]D5 Gallon Forecast'!$AA145/1000000</f>
        <v>0</v>
      </c>
      <c r="J359" s="73">
        <f>'[1]D5 Gallon Forecast'!$AA161/1000000</f>
        <v>11.984169530725476</v>
      </c>
      <c r="K359" s="73">
        <f t="shared" si="16"/>
        <v>11.984169530725476</v>
      </c>
      <c r="L359" s="23">
        <f t="shared" si="17"/>
        <v>0.54473497866933984</v>
      </c>
    </row>
    <row r="360" spans="1:12" x14ac:dyDescent="0.2">
      <c r="A360" s="15">
        <v>49614</v>
      </c>
      <c r="B360" s="73">
        <v>55</v>
      </c>
      <c r="C360" s="73">
        <v>55</v>
      </c>
      <c r="D360" s="73">
        <v>150</v>
      </c>
      <c r="E360" s="73">
        <v>4</v>
      </c>
      <c r="G360" s="73">
        <f t="shared" si="18"/>
        <v>264</v>
      </c>
      <c r="I360" s="73">
        <f>'[1]D5 Gallon Forecast'!$AA146/1000000</f>
        <v>0</v>
      </c>
      <c r="J360" s="73">
        <f>'[1]D5 Gallon Forecast'!$AA162/1000000</f>
        <v>12.039655545330543</v>
      </c>
      <c r="K360" s="73">
        <f t="shared" si="16"/>
        <v>12.039655545330543</v>
      </c>
      <c r="L360" s="23">
        <f t="shared" si="17"/>
        <v>0.54725707024229742</v>
      </c>
    </row>
    <row r="361" spans="1:12" x14ac:dyDescent="0.2">
      <c r="A361" s="15">
        <v>49644</v>
      </c>
      <c r="B361" s="73">
        <v>55</v>
      </c>
      <c r="C361" s="73">
        <v>55</v>
      </c>
      <c r="D361" s="73">
        <v>150</v>
      </c>
      <c r="E361" s="73">
        <v>4</v>
      </c>
      <c r="G361" s="73">
        <f t="shared" si="18"/>
        <v>264</v>
      </c>
      <c r="I361" s="73">
        <f>'[1]D5 Gallon Forecast'!$AA147/1000000</f>
        <v>0</v>
      </c>
      <c r="J361" s="73">
        <f>'[1]D5 Gallon Forecast'!$AA163/1000000</f>
        <v>12.43819893536204</v>
      </c>
      <c r="K361" s="73">
        <f t="shared" si="16"/>
        <v>12.43819893536204</v>
      </c>
      <c r="L361" s="23">
        <f t="shared" si="17"/>
        <v>0.56537267888009279</v>
      </c>
    </row>
    <row r="362" spans="1:12" x14ac:dyDescent="0.2">
      <c r="A362" s="15">
        <v>49675</v>
      </c>
      <c r="B362" s="73">
        <v>55</v>
      </c>
      <c r="C362" s="73">
        <v>55</v>
      </c>
      <c r="D362" s="73">
        <v>150</v>
      </c>
      <c r="E362" s="73">
        <v>4</v>
      </c>
      <c r="G362" s="73">
        <f t="shared" si="18"/>
        <v>264</v>
      </c>
      <c r="I362" s="73">
        <f>'[1]D5 Gallon Forecast'!$AB136/1000000</f>
        <v>0</v>
      </c>
      <c r="J362" s="73">
        <f>'[1]D5 Gallon Forecast'!$AB152/1000000</f>
        <v>10.583586781363339</v>
      </c>
      <c r="K362" s="73">
        <f t="shared" si="16"/>
        <v>10.583586781363339</v>
      </c>
      <c r="L362" s="23">
        <f t="shared" si="17"/>
        <v>0.48107212642560632</v>
      </c>
    </row>
    <row r="363" spans="1:12" x14ac:dyDescent="0.2">
      <c r="A363" s="15">
        <v>49706</v>
      </c>
      <c r="B363" s="73">
        <v>55</v>
      </c>
      <c r="C363" s="73">
        <v>55</v>
      </c>
      <c r="D363" s="73">
        <v>150</v>
      </c>
      <c r="E363" s="73">
        <v>4</v>
      </c>
      <c r="G363" s="73">
        <f t="shared" si="18"/>
        <v>264</v>
      </c>
      <c r="I363" s="73">
        <f>'[1]D5 Gallon Forecast'!$AB137/1000000</f>
        <v>0</v>
      </c>
      <c r="J363" s="73">
        <f>'[1]D5 Gallon Forecast'!$AB153/1000000</f>
        <v>8.2718445337041846</v>
      </c>
      <c r="K363" s="73">
        <f t="shared" si="16"/>
        <v>8.2718445337041846</v>
      </c>
      <c r="L363" s="23">
        <f t="shared" si="17"/>
        <v>0.37599293335019024</v>
      </c>
    </row>
    <row r="364" spans="1:12" x14ac:dyDescent="0.2">
      <c r="A364" s="15">
        <v>49735</v>
      </c>
      <c r="B364" s="73">
        <v>55</v>
      </c>
      <c r="C364" s="73">
        <v>55</v>
      </c>
      <c r="D364" s="73">
        <v>150</v>
      </c>
      <c r="E364" s="73">
        <v>4</v>
      </c>
      <c r="G364" s="73">
        <f t="shared" si="18"/>
        <v>264</v>
      </c>
      <c r="I364" s="73">
        <f>'[1]D5 Gallon Forecast'!$AB138/1000000</f>
        <v>0</v>
      </c>
      <c r="J364" s="73">
        <f>'[1]D5 Gallon Forecast'!$AB154/1000000</f>
        <v>13.64052398555973</v>
      </c>
      <c r="K364" s="73">
        <f t="shared" si="16"/>
        <v>13.64052398555973</v>
      </c>
      <c r="L364" s="23">
        <f t="shared" si="17"/>
        <v>0.62002381752544222</v>
      </c>
    </row>
    <row r="365" spans="1:12" x14ac:dyDescent="0.2">
      <c r="A365" s="15">
        <v>49766</v>
      </c>
      <c r="B365" s="73">
        <v>55</v>
      </c>
      <c r="C365" s="73">
        <v>55</v>
      </c>
      <c r="D365" s="73">
        <v>150</v>
      </c>
      <c r="E365" s="73">
        <v>4</v>
      </c>
      <c r="G365" s="73">
        <f t="shared" si="18"/>
        <v>264</v>
      </c>
      <c r="I365" s="73">
        <f>'[1]D5 Gallon Forecast'!$AB139/1000000</f>
        <v>0</v>
      </c>
      <c r="J365" s="73">
        <f>'[1]D5 Gallon Forecast'!$AB155/1000000</f>
        <v>8.892371298773412</v>
      </c>
      <c r="K365" s="73">
        <f t="shared" si="16"/>
        <v>8.892371298773412</v>
      </c>
      <c r="L365" s="23">
        <f t="shared" si="17"/>
        <v>0.40419869539879144</v>
      </c>
    </row>
    <row r="366" spans="1:12" x14ac:dyDescent="0.2">
      <c r="A366" s="15">
        <v>49796</v>
      </c>
      <c r="B366" s="73">
        <v>55</v>
      </c>
      <c r="C366" s="73">
        <v>55</v>
      </c>
      <c r="D366" s="73">
        <v>150</v>
      </c>
      <c r="E366" s="73">
        <v>4</v>
      </c>
      <c r="G366" s="73">
        <f t="shared" si="18"/>
        <v>264</v>
      </c>
      <c r="I366" s="73">
        <f>'[1]D5 Gallon Forecast'!$AB140/1000000</f>
        <v>0</v>
      </c>
      <c r="J366" s="73">
        <f>'[1]D5 Gallon Forecast'!$AB156/1000000</f>
        <v>9.8052163594299344</v>
      </c>
      <c r="K366" s="73">
        <f t="shared" si="16"/>
        <v>9.8052163594299344</v>
      </c>
      <c r="L366" s="23">
        <f t="shared" si="17"/>
        <v>0.44569165270136063</v>
      </c>
    </row>
    <row r="367" spans="1:12" x14ac:dyDescent="0.2">
      <c r="A367" s="15">
        <v>49827</v>
      </c>
      <c r="B367" s="73">
        <v>55</v>
      </c>
      <c r="C367" s="73">
        <v>55</v>
      </c>
      <c r="D367" s="73">
        <v>150</v>
      </c>
      <c r="E367" s="73">
        <v>4</v>
      </c>
      <c r="G367" s="73">
        <f t="shared" si="18"/>
        <v>264</v>
      </c>
      <c r="I367" s="73">
        <f>'[1]D5 Gallon Forecast'!$AB141/1000000</f>
        <v>0</v>
      </c>
      <c r="J367" s="73">
        <f>'[1]D5 Gallon Forecast'!$AB157/1000000</f>
        <v>13.251409817632904</v>
      </c>
      <c r="K367" s="73">
        <f t="shared" si="16"/>
        <v>13.251409817632904</v>
      </c>
      <c r="L367" s="23">
        <f t="shared" si="17"/>
        <v>0.60233680989240479</v>
      </c>
    </row>
    <row r="368" spans="1:12" x14ac:dyDescent="0.2">
      <c r="A368" s="15">
        <v>49857</v>
      </c>
      <c r="B368" s="73">
        <v>55</v>
      </c>
      <c r="C368" s="73">
        <v>55</v>
      </c>
      <c r="D368" s="73">
        <v>150</v>
      </c>
      <c r="E368" s="73">
        <v>4</v>
      </c>
      <c r="G368" s="73">
        <f t="shared" si="18"/>
        <v>264</v>
      </c>
      <c r="I368" s="73">
        <f>'[1]D5 Gallon Forecast'!$AB142/1000000</f>
        <v>0</v>
      </c>
      <c r="J368" s="73">
        <f>'[1]D5 Gallon Forecast'!$AB158/1000000</f>
        <v>11.051446873012669</v>
      </c>
      <c r="K368" s="73">
        <f t="shared" si="16"/>
        <v>11.051446873012669</v>
      </c>
      <c r="L368" s="23">
        <f t="shared" si="17"/>
        <v>0.5023384942278486</v>
      </c>
    </row>
    <row r="369" spans="1:12" x14ac:dyDescent="0.2">
      <c r="A369" s="15">
        <v>49888</v>
      </c>
      <c r="B369" s="73">
        <v>55</v>
      </c>
      <c r="C369" s="73">
        <v>55</v>
      </c>
      <c r="D369" s="73">
        <v>150</v>
      </c>
      <c r="E369" s="73">
        <v>4</v>
      </c>
      <c r="G369" s="73">
        <f t="shared" si="18"/>
        <v>264</v>
      </c>
      <c r="I369" s="73">
        <f>'[1]D5 Gallon Forecast'!$AB143/1000000</f>
        <v>0</v>
      </c>
      <c r="J369" s="73">
        <f>'[1]D5 Gallon Forecast'!$AB159/1000000</f>
        <v>16.244881782357567</v>
      </c>
      <c r="K369" s="73">
        <f t="shared" si="16"/>
        <v>16.244881782357567</v>
      </c>
      <c r="L369" s="23">
        <f t="shared" si="17"/>
        <v>0.73840371737988941</v>
      </c>
    </row>
    <row r="370" spans="1:12" x14ac:dyDescent="0.2">
      <c r="A370" s="15">
        <v>49919</v>
      </c>
      <c r="B370" s="73">
        <v>55</v>
      </c>
      <c r="C370" s="73">
        <v>55</v>
      </c>
      <c r="D370" s="73">
        <v>150</v>
      </c>
      <c r="E370" s="73">
        <v>4</v>
      </c>
      <c r="G370" s="73">
        <f t="shared" si="18"/>
        <v>264</v>
      </c>
      <c r="I370" s="73">
        <f>'[1]D5 Gallon Forecast'!$AB144/1000000</f>
        <v>0</v>
      </c>
      <c r="J370" s="73">
        <f>'[1]D5 Gallon Forecast'!$AB160/1000000</f>
        <v>14.58665985305643</v>
      </c>
      <c r="K370" s="73">
        <f t="shared" si="16"/>
        <v>14.58665985305643</v>
      </c>
      <c r="L370" s="23">
        <f t="shared" si="17"/>
        <v>0.66302999332074675</v>
      </c>
    </row>
    <row r="371" spans="1:12" x14ac:dyDescent="0.2">
      <c r="A371" s="15">
        <v>49949</v>
      </c>
      <c r="B371" s="73">
        <v>55</v>
      </c>
      <c r="C371" s="73">
        <v>55</v>
      </c>
      <c r="D371" s="73">
        <v>150</v>
      </c>
      <c r="E371" s="73">
        <v>4</v>
      </c>
      <c r="G371" s="73">
        <f t="shared" si="18"/>
        <v>264</v>
      </c>
      <c r="I371" s="73">
        <f>'[1]D5 Gallon Forecast'!$AB145/1000000</f>
        <v>0</v>
      </c>
      <c r="J371" s="73">
        <f>'[1]D5 Gallon Forecast'!$AB161/1000000</f>
        <v>11.719453683657413</v>
      </c>
      <c r="K371" s="73">
        <f t="shared" si="16"/>
        <v>11.719453683657413</v>
      </c>
      <c r="L371" s="23">
        <f t="shared" si="17"/>
        <v>0.53270244016624602</v>
      </c>
    </row>
    <row r="372" spans="1:12" x14ac:dyDescent="0.2">
      <c r="A372" s="15">
        <v>49980</v>
      </c>
      <c r="B372" s="73">
        <v>55</v>
      </c>
      <c r="C372" s="73">
        <v>55</v>
      </c>
      <c r="D372" s="73">
        <v>150</v>
      </c>
      <c r="E372" s="73">
        <v>4</v>
      </c>
      <c r="G372" s="73">
        <f t="shared" si="18"/>
        <v>264</v>
      </c>
      <c r="I372" s="73">
        <f>'[1]D5 Gallon Forecast'!$AB146/1000000</f>
        <v>0</v>
      </c>
      <c r="J372" s="73">
        <f>'[1]D5 Gallon Forecast'!$AB162/1000000</f>
        <v>11.792196543886909</v>
      </c>
      <c r="K372" s="73">
        <f t="shared" si="16"/>
        <v>11.792196543886909</v>
      </c>
      <c r="L372" s="23">
        <f t="shared" si="17"/>
        <v>0.53600893381304138</v>
      </c>
    </row>
    <row r="373" spans="1:12" x14ac:dyDescent="0.2">
      <c r="A373" s="15">
        <v>50010</v>
      </c>
      <c r="B373" s="73">
        <v>55</v>
      </c>
      <c r="C373" s="73">
        <v>55</v>
      </c>
      <c r="D373" s="73">
        <v>150</v>
      </c>
      <c r="E373" s="73">
        <v>4</v>
      </c>
      <c r="G373" s="73">
        <f t="shared" si="18"/>
        <v>264</v>
      </c>
      <c r="I373" s="73">
        <f>'[1]D5 Gallon Forecast'!$AB147/1000000</f>
        <v>0</v>
      </c>
      <c r="J373" s="73">
        <f>'[1]D5 Gallon Forecast'!$AB163/1000000</f>
        <v>12.18275296412833</v>
      </c>
      <c r="K373" s="73">
        <f t="shared" si="16"/>
        <v>12.18275296412833</v>
      </c>
      <c r="L373" s="23">
        <f t="shared" si="17"/>
        <v>0.55376149836946964</v>
      </c>
    </row>
    <row r="374" spans="1:12" x14ac:dyDescent="0.2">
      <c r="A374" s="15">
        <v>50041</v>
      </c>
      <c r="B374" s="73">
        <v>55</v>
      </c>
      <c r="C374" s="73">
        <v>55</v>
      </c>
      <c r="D374" s="73">
        <v>150</v>
      </c>
      <c r="E374" s="73">
        <v>4</v>
      </c>
      <c r="G374" s="73">
        <f t="shared" si="18"/>
        <v>264</v>
      </c>
      <c r="I374" s="73">
        <f>'[1]D5 Gallon Forecast'!$AC136/1000000</f>
        <v>0</v>
      </c>
      <c r="J374" s="73">
        <f>'[1]D5 Gallon Forecast'!$AC152/1000000</f>
        <v>11.443625784014062</v>
      </c>
      <c r="K374" s="73">
        <f t="shared" si="16"/>
        <v>11.443625784014062</v>
      </c>
      <c r="L374" s="23">
        <f t="shared" si="17"/>
        <v>0.52016480836427559</v>
      </c>
    </row>
    <row r="375" spans="1:12" x14ac:dyDescent="0.2">
      <c r="A375" s="15">
        <v>50072</v>
      </c>
      <c r="B375" s="73">
        <v>55</v>
      </c>
      <c r="C375" s="73">
        <v>55</v>
      </c>
      <c r="D375" s="73">
        <v>150</v>
      </c>
      <c r="E375" s="73">
        <v>4</v>
      </c>
      <c r="G375" s="73">
        <f t="shared" si="18"/>
        <v>264</v>
      </c>
      <c r="I375" s="73">
        <f>'[1]D5 Gallon Forecast'!$AC137/1000000</f>
        <v>0</v>
      </c>
      <c r="J375" s="73">
        <f>'[1]D5 Gallon Forecast'!$AC153/1000000</f>
        <v>8.9511754451111436</v>
      </c>
      <c r="K375" s="73">
        <f t="shared" si="16"/>
        <v>8.9511754451111436</v>
      </c>
      <c r="L375" s="23">
        <f t="shared" si="17"/>
        <v>0.40687161114141562</v>
      </c>
    </row>
    <row r="376" spans="1:12" x14ac:dyDescent="0.2">
      <c r="A376" s="15">
        <v>50100</v>
      </c>
      <c r="B376" s="73">
        <v>55</v>
      </c>
      <c r="C376" s="73">
        <v>55</v>
      </c>
      <c r="D376" s="73">
        <v>150</v>
      </c>
      <c r="E376" s="73">
        <v>4</v>
      </c>
      <c r="G376" s="73">
        <f t="shared" si="18"/>
        <v>264</v>
      </c>
      <c r="I376" s="73">
        <f>'[1]D5 Gallon Forecast'!$AC138/1000000</f>
        <v>0</v>
      </c>
      <c r="J376" s="73">
        <f>'[1]D5 Gallon Forecast'!$AC154/1000000</f>
        <v>14.76524811328663</v>
      </c>
      <c r="K376" s="73">
        <f t="shared" si="16"/>
        <v>14.76524811328663</v>
      </c>
      <c r="L376" s="23">
        <f t="shared" si="17"/>
        <v>0.67114764151302864</v>
      </c>
    </row>
    <row r="377" spans="1:12" x14ac:dyDescent="0.2">
      <c r="A377" s="15">
        <v>50131</v>
      </c>
      <c r="B377" s="73">
        <v>55</v>
      </c>
      <c r="C377" s="73">
        <v>55</v>
      </c>
      <c r="D377" s="73">
        <v>150</v>
      </c>
      <c r="E377" s="73">
        <v>4</v>
      </c>
      <c r="G377" s="73">
        <f t="shared" si="18"/>
        <v>264</v>
      </c>
      <c r="I377" s="73">
        <f>'[1]D5 Gallon Forecast'!$AC139/1000000</f>
        <v>0</v>
      </c>
      <c r="J377" s="73">
        <f>'[1]D5 Gallon Forecast'!$AC155/1000000</f>
        <v>9.6140791110444841</v>
      </c>
      <c r="K377" s="73">
        <f t="shared" ref="K377:K440" si="19">SUM(I377:J377)</f>
        <v>9.6140791110444841</v>
      </c>
      <c r="L377" s="23">
        <f t="shared" ref="L377:L440" si="20">(K377*12)/G377</f>
        <v>0.43700359595656746</v>
      </c>
    </row>
    <row r="378" spans="1:12" x14ac:dyDescent="0.2">
      <c r="A378" s="15">
        <v>50161</v>
      </c>
      <c r="B378" s="73">
        <v>55</v>
      </c>
      <c r="C378" s="73">
        <v>55</v>
      </c>
      <c r="D378" s="73">
        <v>150</v>
      </c>
      <c r="E378" s="73">
        <v>4</v>
      </c>
      <c r="G378" s="73">
        <f t="shared" si="18"/>
        <v>264</v>
      </c>
      <c r="I378" s="73">
        <f>'[1]D5 Gallon Forecast'!$AC140/1000000</f>
        <v>0</v>
      </c>
      <c r="J378" s="73">
        <f>'[1]D5 Gallon Forecast'!$AC156/1000000</f>
        <v>10.58414429052403</v>
      </c>
      <c r="K378" s="73">
        <f t="shared" si="19"/>
        <v>10.58414429052403</v>
      </c>
      <c r="L378" s="23">
        <f t="shared" si="20"/>
        <v>0.48109746775109224</v>
      </c>
    </row>
    <row r="379" spans="1:12" x14ac:dyDescent="0.2">
      <c r="A379" s="15">
        <v>50192</v>
      </c>
      <c r="B379" s="73">
        <v>55</v>
      </c>
      <c r="C379" s="73">
        <v>55</v>
      </c>
      <c r="D379" s="73">
        <v>150</v>
      </c>
      <c r="E379" s="73">
        <v>4</v>
      </c>
      <c r="G379" s="73">
        <f t="shared" si="18"/>
        <v>264</v>
      </c>
      <c r="I379" s="73">
        <f>'[1]D5 Gallon Forecast'!$AC141/1000000</f>
        <v>0</v>
      </c>
      <c r="J379" s="73">
        <f>'[1]D5 Gallon Forecast'!$AC157/1000000</f>
        <v>14.336701812314557</v>
      </c>
      <c r="K379" s="73">
        <f t="shared" si="19"/>
        <v>14.336701812314557</v>
      </c>
      <c r="L379" s="23">
        <f t="shared" si="20"/>
        <v>0.65166826419611623</v>
      </c>
    </row>
    <row r="380" spans="1:12" x14ac:dyDescent="0.2">
      <c r="A380" s="15">
        <v>50222</v>
      </c>
      <c r="B380" s="73">
        <v>55</v>
      </c>
      <c r="C380" s="73">
        <v>55</v>
      </c>
      <c r="D380" s="73">
        <v>150</v>
      </c>
      <c r="E380" s="73">
        <v>4</v>
      </c>
      <c r="G380" s="73">
        <f t="shared" si="18"/>
        <v>264</v>
      </c>
      <c r="I380" s="73">
        <f>'[1]D5 Gallon Forecast'!$AC142/1000000</f>
        <v>0</v>
      </c>
      <c r="J380" s="73">
        <f>'[1]D5 Gallon Forecast'!$AC158/1000000</f>
        <v>11.958008055857308</v>
      </c>
      <c r="K380" s="73">
        <f t="shared" si="19"/>
        <v>11.958008055857308</v>
      </c>
      <c r="L380" s="23">
        <f t="shared" si="20"/>
        <v>0.54354582072078672</v>
      </c>
    </row>
    <row r="381" spans="1:12" x14ac:dyDescent="0.2">
      <c r="A381" s="15">
        <v>50253</v>
      </c>
      <c r="B381" s="73">
        <v>55</v>
      </c>
      <c r="C381" s="73">
        <v>55</v>
      </c>
      <c r="D381" s="73">
        <v>150</v>
      </c>
      <c r="E381" s="73">
        <v>4</v>
      </c>
      <c r="G381" s="73">
        <f t="shared" si="18"/>
        <v>264</v>
      </c>
      <c r="I381" s="73">
        <f>'[1]D5 Gallon Forecast'!$AC143/1000000</f>
        <v>0</v>
      </c>
      <c r="J381" s="73">
        <f>'[1]D5 Gallon Forecast'!$AC159/1000000</f>
        <v>17.569057674494726</v>
      </c>
      <c r="K381" s="73">
        <f t="shared" si="19"/>
        <v>17.569057674494726</v>
      </c>
      <c r="L381" s="23">
        <f t="shared" si="20"/>
        <v>0.79859353065885108</v>
      </c>
    </row>
    <row r="382" spans="1:12" x14ac:dyDescent="0.2">
      <c r="A382" s="15">
        <v>50284</v>
      </c>
      <c r="B382" s="73">
        <v>55</v>
      </c>
      <c r="C382" s="73">
        <v>55</v>
      </c>
      <c r="D382" s="73">
        <v>150</v>
      </c>
      <c r="E382" s="73">
        <v>4</v>
      </c>
      <c r="G382" s="73">
        <f t="shared" si="18"/>
        <v>264</v>
      </c>
      <c r="I382" s="73">
        <f>'[1]D5 Gallon Forecast'!$AC144/1000000</f>
        <v>0</v>
      </c>
      <c r="J382" s="73">
        <f>'[1]D5 Gallon Forecast'!$AC160/1000000</f>
        <v>15.766684360459545</v>
      </c>
      <c r="K382" s="73">
        <f t="shared" si="19"/>
        <v>15.766684360459545</v>
      </c>
      <c r="L382" s="23">
        <f t="shared" si="20"/>
        <v>0.71666747092997929</v>
      </c>
    </row>
    <row r="383" spans="1:12" x14ac:dyDescent="0.2">
      <c r="A383" s="15">
        <v>50314</v>
      </c>
      <c r="B383" s="73">
        <v>55</v>
      </c>
      <c r="C383" s="73">
        <v>55</v>
      </c>
      <c r="D383" s="73">
        <v>150</v>
      </c>
      <c r="E383" s="73">
        <v>4</v>
      </c>
      <c r="G383" s="73">
        <f t="shared" si="18"/>
        <v>264</v>
      </c>
      <c r="I383" s="73">
        <f>'[1]D5 Gallon Forecast'!$AC145/1000000</f>
        <v>0</v>
      </c>
      <c r="J383" s="73">
        <f>'[1]D5 Gallon Forecast'!$AC161/1000000</f>
        <v>12.671579517024414</v>
      </c>
      <c r="K383" s="73">
        <f t="shared" si="19"/>
        <v>12.671579517024414</v>
      </c>
      <c r="L383" s="23">
        <f t="shared" si="20"/>
        <v>0.57598088713747342</v>
      </c>
    </row>
    <row r="384" spans="1:12" x14ac:dyDescent="0.2">
      <c r="A384" s="15">
        <v>50345</v>
      </c>
      <c r="B384" s="73">
        <v>55</v>
      </c>
      <c r="C384" s="73">
        <v>55</v>
      </c>
      <c r="D384" s="73">
        <v>150</v>
      </c>
      <c r="E384" s="73">
        <v>4</v>
      </c>
      <c r="G384" s="73">
        <f t="shared" si="18"/>
        <v>264</v>
      </c>
      <c r="I384" s="73">
        <f>'[1]D5 Gallon Forecast'!$AC146/1000000</f>
        <v>0</v>
      </c>
      <c r="J384" s="73">
        <f>'[1]D5 Gallon Forecast'!$AC162/1000000</f>
        <v>12.766957152845844</v>
      </c>
      <c r="K384" s="73">
        <f t="shared" si="19"/>
        <v>12.766957152845844</v>
      </c>
      <c r="L384" s="23">
        <f t="shared" si="20"/>
        <v>0.58031623422026557</v>
      </c>
    </row>
    <row r="385" spans="1:12" x14ac:dyDescent="0.2">
      <c r="A385" s="15">
        <v>50375</v>
      </c>
      <c r="B385" s="73">
        <v>55</v>
      </c>
      <c r="C385" s="73">
        <v>55</v>
      </c>
      <c r="D385" s="73">
        <v>150</v>
      </c>
      <c r="E385" s="73">
        <v>4</v>
      </c>
      <c r="G385" s="73">
        <f t="shared" si="18"/>
        <v>264</v>
      </c>
      <c r="I385" s="73">
        <f>'[1]D5 Gallon Forecast'!$AC147/1000000</f>
        <v>0</v>
      </c>
      <c r="J385" s="73">
        <f>'[1]D5 Gallon Forecast'!$AC163/1000000</f>
        <v>13.132327782153785</v>
      </c>
      <c r="K385" s="73">
        <f t="shared" si="19"/>
        <v>13.132327782153785</v>
      </c>
      <c r="L385" s="23">
        <f t="shared" si="20"/>
        <v>0.59692399009789932</v>
      </c>
    </row>
    <row r="386" spans="1:12" x14ac:dyDescent="0.2">
      <c r="A386" s="15">
        <v>50406</v>
      </c>
      <c r="B386" s="73">
        <v>55</v>
      </c>
      <c r="C386" s="73">
        <v>55</v>
      </c>
      <c r="D386" s="73">
        <v>150</v>
      </c>
      <c r="E386" s="73">
        <v>4</v>
      </c>
      <c r="G386" s="73">
        <f t="shared" si="18"/>
        <v>264</v>
      </c>
      <c r="I386" s="73">
        <f>'[1]D5 Gallon Forecast'!$AD136/1000000</f>
        <v>0</v>
      </c>
      <c r="J386" s="73">
        <f>'[1]D5 Gallon Forecast'!$AD152/1000000</f>
        <v>12.64158061631845</v>
      </c>
      <c r="K386" s="73">
        <f t="shared" si="19"/>
        <v>12.64158061631845</v>
      </c>
      <c r="L386" s="23">
        <f t="shared" si="20"/>
        <v>0.57461730074174777</v>
      </c>
    </row>
    <row r="387" spans="1:12" x14ac:dyDescent="0.2">
      <c r="A387" s="15">
        <v>50437</v>
      </c>
      <c r="B387" s="73">
        <v>55</v>
      </c>
      <c r="C387" s="73">
        <v>55</v>
      </c>
      <c r="D387" s="73">
        <v>150</v>
      </c>
      <c r="E387" s="73">
        <v>4</v>
      </c>
      <c r="G387" s="73">
        <f t="shared" si="18"/>
        <v>264</v>
      </c>
      <c r="I387" s="73">
        <f>'[1]D5 Gallon Forecast'!$AD137/1000000</f>
        <v>0</v>
      </c>
      <c r="J387" s="73">
        <f>'[1]D5 Gallon Forecast'!$AD153/1000000</f>
        <v>9.8831404629495943</v>
      </c>
      <c r="K387" s="73">
        <f t="shared" si="19"/>
        <v>9.8831404629495943</v>
      </c>
      <c r="L387" s="23">
        <f t="shared" si="20"/>
        <v>0.44923365740679971</v>
      </c>
    </row>
    <row r="388" spans="1:12" x14ac:dyDescent="0.2">
      <c r="A388" s="15">
        <v>50465</v>
      </c>
      <c r="B388" s="73">
        <v>55</v>
      </c>
      <c r="C388" s="73">
        <v>55</v>
      </c>
      <c r="D388" s="73">
        <v>150</v>
      </c>
      <c r="E388" s="73">
        <v>4</v>
      </c>
      <c r="G388" s="73">
        <f t="shared" si="18"/>
        <v>264</v>
      </c>
      <c r="I388" s="73">
        <f>'[1]D5 Gallon Forecast'!$AD138/1000000</f>
        <v>0</v>
      </c>
      <c r="J388" s="73">
        <f>'[1]D5 Gallon Forecast'!$AD154/1000000</f>
        <v>16.279553403193216</v>
      </c>
      <c r="K388" s="73">
        <f t="shared" si="19"/>
        <v>16.279553403193216</v>
      </c>
      <c r="L388" s="23">
        <f t="shared" si="20"/>
        <v>0.73997970014514614</v>
      </c>
    </row>
    <row r="389" spans="1:12" x14ac:dyDescent="0.2">
      <c r="A389" s="15">
        <v>50496</v>
      </c>
      <c r="B389" s="73">
        <v>55</v>
      </c>
      <c r="C389" s="73">
        <v>55</v>
      </c>
      <c r="D389" s="73">
        <v>150</v>
      </c>
      <c r="E389" s="73">
        <v>4</v>
      </c>
      <c r="G389" s="73">
        <f t="shared" si="18"/>
        <v>264</v>
      </c>
      <c r="I389" s="73">
        <f>'[1]D5 Gallon Forecast'!$AD139/1000000</f>
        <v>0</v>
      </c>
      <c r="J389" s="73">
        <f>'[1]D5 Gallon Forecast'!$AD155/1000000</f>
        <v>10.596287161482277</v>
      </c>
      <c r="K389" s="73">
        <f t="shared" si="19"/>
        <v>10.596287161482277</v>
      </c>
      <c r="L389" s="23">
        <f t="shared" si="20"/>
        <v>0.48164941643101256</v>
      </c>
    </row>
    <row r="390" spans="1:12" x14ac:dyDescent="0.2">
      <c r="A390" s="15">
        <v>50526</v>
      </c>
      <c r="B390" s="73">
        <v>55</v>
      </c>
      <c r="C390" s="73">
        <v>55</v>
      </c>
      <c r="D390" s="73">
        <v>150</v>
      </c>
      <c r="E390" s="73">
        <v>4</v>
      </c>
      <c r="G390" s="73">
        <f t="shared" ref="G390:G453" si="21">SUM(B390:E390)</f>
        <v>264</v>
      </c>
      <c r="I390" s="73">
        <f>'[1]D5 Gallon Forecast'!$AD140/1000000</f>
        <v>0</v>
      </c>
      <c r="J390" s="73">
        <f>'[1]D5 Gallon Forecast'!$AD156/1000000</f>
        <v>11.649775456186704</v>
      </c>
      <c r="K390" s="73">
        <f t="shared" si="19"/>
        <v>11.649775456186704</v>
      </c>
      <c r="L390" s="23">
        <f t="shared" si="20"/>
        <v>0.52953524800848661</v>
      </c>
    </row>
    <row r="391" spans="1:12" x14ac:dyDescent="0.2">
      <c r="A391" s="15">
        <v>50557</v>
      </c>
      <c r="B391" s="73">
        <v>55</v>
      </c>
      <c r="C391" s="73">
        <v>55</v>
      </c>
      <c r="D391" s="73">
        <v>150</v>
      </c>
      <c r="E391" s="73">
        <v>4</v>
      </c>
      <c r="G391" s="73">
        <f t="shared" si="21"/>
        <v>264</v>
      </c>
      <c r="I391" s="73">
        <f>'[1]D5 Gallon Forecast'!$AD141/1000000</f>
        <v>0</v>
      </c>
      <c r="J391" s="73">
        <f>'[1]D5 Gallon Forecast'!$AD157/1000000</f>
        <v>15.801170262425991</v>
      </c>
      <c r="K391" s="73">
        <f t="shared" si="19"/>
        <v>15.801170262425991</v>
      </c>
      <c r="L391" s="23">
        <f t="shared" si="20"/>
        <v>0.71823501192845418</v>
      </c>
    </row>
    <row r="392" spans="1:12" x14ac:dyDescent="0.2">
      <c r="A392" s="15">
        <v>50587</v>
      </c>
      <c r="B392" s="73">
        <v>55</v>
      </c>
      <c r="C392" s="73">
        <v>55</v>
      </c>
      <c r="D392" s="73">
        <v>150</v>
      </c>
      <c r="E392" s="73">
        <v>4</v>
      </c>
      <c r="G392" s="73">
        <f t="shared" si="21"/>
        <v>264</v>
      </c>
      <c r="I392" s="73">
        <f>'[1]D5 Gallon Forecast'!$AD142/1000000</f>
        <v>0</v>
      </c>
      <c r="J392" s="73">
        <f>'[1]D5 Gallon Forecast'!$AD158/1000000</f>
        <v>13.193307982895501</v>
      </c>
      <c r="K392" s="73">
        <f t="shared" si="19"/>
        <v>13.193307982895501</v>
      </c>
      <c r="L392" s="23">
        <f t="shared" si="20"/>
        <v>0.59969581740434086</v>
      </c>
    </row>
    <row r="393" spans="1:12" x14ac:dyDescent="0.2">
      <c r="A393" s="15">
        <v>50618</v>
      </c>
      <c r="B393" s="73">
        <v>55</v>
      </c>
      <c r="C393" s="73">
        <v>55</v>
      </c>
      <c r="D393" s="73">
        <v>150</v>
      </c>
      <c r="E393" s="73">
        <v>4</v>
      </c>
      <c r="G393" s="73">
        <f t="shared" si="21"/>
        <v>264</v>
      </c>
      <c r="I393" s="73">
        <f>'[1]D5 Gallon Forecast'!$AD143/1000000</f>
        <v>0</v>
      </c>
      <c r="J393" s="73">
        <f>'[1]D5 Gallon Forecast'!$AD159/1000000</f>
        <v>19.377404704483926</v>
      </c>
      <c r="K393" s="73">
        <f t="shared" si="19"/>
        <v>19.377404704483926</v>
      </c>
      <c r="L393" s="23">
        <f t="shared" si="20"/>
        <v>0.88079112293108763</v>
      </c>
    </row>
    <row r="394" spans="1:12" x14ac:dyDescent="0.2">
      <c r="A394" s="15">
        <v>50649</v>
      </c>
      <c r="B394" s="73">
        <v>55</v>
      </c>
      <c r="C394" s="73">
        <v>55</v>
      </c>
      <c r="D394" s="73">
        <v>150</v>
      </c>
      <c r="E394" s="73">
        <v>4</v>
      </c>
      <c r="G394" s="73">
        <f t="shared" si="21"/>
        <v>264</v>
      </c>
      <c r="I394" s="73">
        <f>'[1]D5 Gallon Forecast'!$AD144/1000000</f>
        <v>0</v>
      </c>
      <c r="J394" s="73">
        <f>'[1]D5 Gallon Forecast'!$AD160/1000000</f>
        <v>17.37940981263079</v>
      </c>
      <c r="K394" s="73">
        <f t="shared" si="19"/>
        <v>17.37940981263079</v>
      </c>
      <c r="L394" s="23">
        <f t="shared" si="20"/>
        <v>0.7899731733013996</v>
      </c>
    </row>
    <row r="395" spans="1:12" x14ac:dyDescent="0.2">
      <c r="A395" s="15">
        <v>50679</v>
      </c>
      <c r="B395" s="73">
        <v>55</v>
      </c>
      <c r="C395" s="73">
        <v>55</v>
      </c>
      <c r="D395" s="73">
        <v>150</v>
      </c>
      <c r="E395" s="73">
        <v>4</v>
      </c>
      <c r="G395" s="73">
        <f t="shared" si="21"/>
        <v>264</v>
      </c>
      <c r="I395" s="73">
        <f>'[1]D5 Gallon Forecast'!$AD145/1000000</f>
        <v>0</v>
      </c>
      <c r="J395" s="73">
        <f>'[1]D5 Gallon Forecast'!$AD161/1000000</f>
        <v>13.971307912742899</v>
      </c>
      <c r="K395" s="73">
        <f t="shared" si="19"/>
        <v>13.971307912742899</v>
      </c>
      <c r="L395" s="23">
        <f t="shared" si="20"/>
        <v>0.63505945057922264</v>
      </c>
    </row>
    <row r="396" spans="1:12" x14ac:dyDescent="0.2">
      <c r="A396" s="15">
        <v>50710</v>
      </c>
      <c r="B396" s="73">
        <v>55</v>
      </c>
      <c r="C396" s="73">
        <v>55</v>
      </c>
      <c r="D396" s="73">
        <v>150</v>
      </c>
      <c r="E396" s="73">
        <v>4</v>
      </c>
      <c r="G396" s="73">
        <f t="shared" si="21"/>
        <v>264</v>
      </c>
      <c r="I396" s="73">
        <f>'[1]D5 Gallon Forecast'!$AD146/1000000</f>
        <v>0</v>
      </c>
      <c r="J396" s="73">
        <f>'[1]D5 Gallon Forecast'!$AD162/1000000</f>
        <v>14.067597608061876</v>
      </c>
      <c r="K396" s="73">
        <f t="shared" si="19"/>
        <v>14.067597608061876</v>
      </c>
      <c r="L396" s="23">
        <f t="shared" si="20"/>
        <v>0.63943625491190348</v>
      </c>
    </row>
    <row r="397" spans="1:12" x14ac:dyDescent="0.2">
      <c r="A397" s="15">
        <v>50740</v>
      </c>
      <c r="B397" s="73">
        <v>55</v>
      </c>
      <c r="C397" s="73">
        <v>55</v>
      </c>
      <c r="D397" s="73">
        <v>150</v>
      </c>
      <c r="E397" s="73">
        <v>4</v>
      </c>
      <c r="G397" s="73">
        <f t="shared" si="21"/>
        <v>264</v>
      </c>
      <c r="I397" s="73">
        <f>'[1]D5 Gallon Forecast'!$AD147/1000000</f>
        <v>0</v>
      </c>
      <c r="J397" s="73">
        <f>'[1]D5 Gallon Forecast'!$AD163/1000000</f>
        <v>14.485473349991143</v>
      </c>
      <c r="K397" s="73">
        <f t="shared" si="19"/>
        <v>14.485473349991143</v>
      </c>
      <c r="L397" s="23">
        <f t="shared" si="20"/>
        <v>0.65843060681777921</v>
      </c>
    </row>
    <row r="398" spans="1:12" x14ac:dyDescent="0.2">
      <c r="A398" s="15">
        <v>50771</v>
      </c>
      <c r="B398" s="73">
        <v>55</v>
      </c>
      <c r="C398" s="73">
        <v>55</v>
      </c>
      <c r="D398" s="73">
        <v>150</v>
      </c>
      <c r="E398" s="73">
        <v>4</v>
      </c>
      <c r="G398" s="73">
        <f t="shared" si="21"/>
        <v>264</v>
      </c>
      <c r="I398" s="73">
        <f>'[1]D5 Gallon Forecast'!$AE136/1000000</f>
        <v>0</v>
      </c>
      <c r="J398" s="73">
        <f>'[1]D5 Gallon Forecast'!$AE152/1000000</f>
        <v>13.811853323497228</v>
      </c>
      <c r="K398" s="73">
        <f t="shared" si="19"/>
        <v>13.811853323497228</v>
      </c>
      <c r="L398" s="23">
        <f t="shared" si="20"/>
        <v>0.62781151470441943</v>
      </c>
    </row>
    <row r="399" spans="1:12" x14ac:dyDescent="0.2">
      <c r="A399" s="15">
        <v>50802</v>
      </c>
      <c r="B399" s="73">
        <v>55</v>
      </c>
      <c r="C399" s="73">
        <v>55</v>
      </c>
      <c r="D399" s="73">
        <v>150</v>
      </c>
      <c r="E399" s="73">
        <v>4</v>
      </c>
      <c r="G399" s="73">
        <f t="shared" si="21"/>
        <v>264</v>
      </c>
      <c r="I399" s="73">
        <f>'[1]D5 Gallon Forecast'!$AE137/1000000</f>
        <v>0</v>
      </c>
      <c r="J399" s="73">
        <f>'[1]D5 Gallon Forecast'!$AE153/1000000</f>
        <v>10.802992247526623</v>
      </c>
      <c r="K399" s="73">
        <f t="shared" si="19"/>
        <v>10.802992247526623</v>
      </c>
      <c r="L399" s="23">
        <f t="shared" si="20"/>
        <v>0.49104510216030101</v>
      </c>
    </row>
    <row r="400" spans="1:12" x14ac:dyDescent="0.2">
      <c r="A400" s="15">
        <v>50830</v>
      </c>
      <c r="B400" s="73">
        <v>55</v>
      </c>
      <c r="C400" s="73">
        <v>55</v>
      </c>
      <c r="D400" s="73">
        <v>150</v>
      </c>
      <c r="E400" s="73">
        <v>4</v>
      </c>
      <c r="G400" s="73">
        <f t="shared" si="21"/>
        <v>264</v>
      </c>
      <c r="I400" s="73">
        <f>'[1]D5 Gallon Forecast'!$AE138/1000000</f>
        <v>0</v>
      </c>
      <c r="J400" s="73">
        <f>'[1]D5 Gallon Forecast'!$AE154/1000000</f>
        <v>17.770126321995768</v>
      </c>
      <c r="K400" s="73">
        <f t="shared" si="19"/>
        <v>17.770126321995768</v>
      </c>
      <c r="L400" s="23">
        <f t="shared" si="20"/>
        <v>0.80773301463617131</v>
      </c>
    </row>
    <row r="401" spans="1:12" x14ac:dyDescent="0.2">
      <c r="A401" s="15">
        <v>50861</v>
      </c>
      <c r="B401" s="73">
        <v>55</v>
      </c>
      <c r="C401" s="73">
        <v>55</v>
      </c>
      <c r="D401" s="73">
        <v>150</v>
      </c>
      <c r="E401" s="73">
        <v>4</v>
      </c>
      <c r="G401" s="73">
        <f t="shared" si="21"/>
        <v>264</v>
      </c>
      <c r="I401" s="73">
        <f>'[1]D5 Gallon Forecast'!$AE139/1000000</f>
        <v>0</v>
      </c>
      <c r="J401" s="73">
        <f>'[1]D5 Gallon Forecast'!$AE155/1000000</f>
        <v>11.575523602335016</v>
      </c>
      <c r="K401" s="73">
        <f t="shared" si="19"/>
        <v>11.575523602335016</v>
      </c>
      <c r="L401" s="23">
        <f t="shared" si="20"/>
        <v>0.52616016374250074</v>
      </c>
    </row>
    <row r="402" spans="1:12" x14ac:dyDescent="0.2">
      <c r="A402" s="15">
        <v>50891</v>
      </c>
      <c r="B402" s="73">
        <v>55</v>
      </c>
      <c r="C402" s="73">
        <v>55</v>
      </c>
      <c r="D402" s="73">
        <v>150</v>
      </c>
      <c r="E402" s="73">
        <v>4</v>
      </c>
      <c r="G402" s="73">
        <f t="shared" si="21"/>
        <v>264</v>
      </c>
      <c r="I402" s="73">
        <f>'[1]D5 Gallon Forecast'!$AE140/1000000</f>
        <v>0</v>
      </c>
      <c r="J402" s="73">
        <f>'[1]D5 Gallon Forecast'!$AE156/1000000</f>
        <v>12.737429886017809</v>
      </c>
      <c r="K402" s="73">
        <f t="shared" si="19"/>
        <v>12.737429886017809</v>
      </c>
      <c r="L402" s="23">
        <f t="shared" si="20"/>
        <v>0.57897408572808229</v>
      </c>
    </row>
    <row r="403" spans="1:12" x14ac:dyDescent="0.2">
      <c r="A403" s="15">
        <v>50922</v>
      </c>
      <c r="B403" s="73">
        <v>55</v>
      </c>
      <c r="C403" s="73">
        <v>55</v>
      </c>
      <c r="D403" s="73">
        <v>150</v>
      </c>
      <c r="E403" s="73">
        <v>4</v>
      </c>
      <c r="G403" s="73">
        <f t="shared" si="21"/>
        <v>264</v>
      </c>
      <c r="I403" s="73">
        <f>'[1]D5 Gallon Forecast'!$AE141/1000000</f>
        <v>0</v>
      </c>
      <c r="J403" s="73">
        <f>'[1]D5 Gallon Forecast'!$AE157/1000000</f>
        <v>17.243992109078597</v>
      </c>
      <c r="K403" s="73">
        <f t="shared" si="19"/>
        <v>17.243992109078597</v>
      </c>
      <c r="L403" s="23">
        <f t="shared" si="20"/>
        <v>0.7838178231399362</v>
      </c>
    </row>
    <row r="404" spans="1:12" x14ac:dyDescent="0.2">
      <c r="A404" s="15">
        <v>50952</v>
      </c>
      <c r="B404" s="73">
        <v>55</v>
      </c>
      <c r="C404" s="73">
        <v>55</v>
      </c>
      <c r="D404" s="73">
        <v>150</v>
      </c>
      <c r="E404" s="73">
        <v>4</v>
      </c>
      <c r="G404" s="73">
        <f t="shared" si="21"/>
        <v>264</v>
      </c>
      <c r="I404" s="73">
        <f>'[1]D5 Gallon Forecast'!$AE142/1000000</f>
        <v>0</v>
      </c>
      <c r="J404" s="73">
        <f>'[1]D5 Gallon Forecast'!$AE158/1000000</f>
        <v>14.407361722539381</v>
      </c>
      <c r="K404" s="73">
        <f t="shared" si="19"/>
        <v>14.407361722539381</v>
      </c>
      <c r="L404" s="23">
        <f t="shared" si="20"/>
        <v>0.65488007829724459</v>
      </c>
    </row>
    <row r="405" spans="1:12" x14ac:dyDescent="0.2">
      <c r="A405" s="15">
        <v>50983</v>
      </c>
      <c r="B405" s="73">
        <v>55</v>
      </c>
      <c r="C405" s="73">
        <v>55</v>
      </c>
      <c r="D405" s="73">
        <v>150</v>
      </c>
      <c r="E405" s="73">
        <v>4</v>
      </c>
      <c r="G405" s="73">
        <f t="shared" si="21"/>
        <v>264</v>
      </c>
      <c r="I405" s="73">
        <f>'[1]D5 Gallon Forecast'!$AE143/1000000</f>
        <v>0</v>
      </c>
      <c r="J405" s="73">
        <f>'[1]D5 Gallon Forecast'!$AE159/1000000</f>
        <v>21.160311576358573</v>
      </c>
      <c r="K405" s="73">
        <f t="shared" si="19"/>
        <v>21.160311576358573</v>
      </c>
      <c r="L405" s="23">
        <f t="shared" si="20"/>
        <v>0.96183234437993514</v>
      </c>
    </row>
    <row r="406" spans="1:12" x14ac:dyDescent="0.2">
      <c r="A406" s="15">
        <v>51014</v>
      </c>
      <c r="B406" s="73">
        <v>55</v>
      </c>
      <c r="C406" s="73">
        <v>55</v>
      </c>
      <c r="D406" s="73">
        <v>150</v>
      </c>
      <c r="E406" s="73">
        <v>4</v>
      </c>
      <c r="G406" s="73">
        <f t="shared" si="21"/>
        <v>264</v>
      </c>
      <c r="I406" s="73">
        <f>'[1]D5 Gallon Forecast'!$AE144/1000000</f>
        <v>0</v>
      </c>
      <c r="J406" s="73">
        <f>'[1]D5 Gallon Forecast'!$AE160/1000000</f>
        <v>18.987288097930684</v>
      </c>
      <c r="K406" s="73">
        <f t="shared" si="19"/>
        <v>18.987288097930684</v>
      </c>
      <c r="L406" s="23">
        <f t="shared" si="20"/>
        <v>0.86305854990594011</v>
      </c>
    </row>
    <row r="407" spans="1:12" x14ac:dyDescent="0.2">
      <c r="A407" s="15">
        <v>51044</v>
      </c>
      <c r="B407" s="73">
        <v>55</v>
      </c>
      <c r="C407" s="73">
        <v>55</v>
      </c>
      <c r="D407" s="73">
        <v>150</v>
      </c>
      <c r="E407" s="73">
        <v>4</v>
      </c>
      <c r="G407" s="73">
        <f t="shared" si="21"/>
        <v>264</v>
      </c>
      <c r="I407" s="73">
        <f>'[1]D5 Gallon Forecast'!$AE145/1000000</f>
        <v>0</v>
      </c>
      <c r="J407" s="73">
        <f>'[1]D5 Gallon Forecast'!$AE161/1000000</f>
        <v>15.258637767932591</v>
      </c>
      <c r="K407" s="73">
        <f t="shared" si="19"/>
        <v>15.258637767932591</v>
      </c>
      <c r="L407" s="23">
        <f t="shared" si="20"/>
        <v>0.69357444399693591</v>
      </c>
    </row>
    <row r="408" spans="1:12" x14ac:dyDescent="0.2">
      <c r="A408" s="15">
        <v>51075</v>
      </c>
      <c r="B408" s="73">
        <v>55</v>
      </c>
      <c r="C408" s="73">
        <v>55</v>
      </c>
      <c r="D408" s="73">
        <v>150</v>
      </c>
      <c r="E408" s="73">
        <v>4</v>
      </c>
      <c r="G408" s="73">
        <f t="shared" si="21"/>
        <v>264</v>
      </c>
      <c r="I408" s="73">
        <f>'[1]D5 Gallon Forecast'!$AE146/1000000</f>
        <v>0</v>
      </c>
      <c r="J408" s="73">
        <f>'[1]D5 Gallon Forecast'!$AE162/1000000</f>
        <v>15.367552132275472</v>
      </c>
      <c r="K408" s="73">
        <f t="shared" si="19"/>
        <v>15.367552132275472</v>
      </c>
      <c r="L408" s="23">
        <f t="shared" si="20"/>
        <v>0.69852509692161235</v>
      </c>
    </row>
    <row r="409" spans="1:12" x14ac:dyDescent="0.2">
      <c r="A409" s="15">
        <v>51105</v>
      </c>
      <c r="B409" s="73">
        <v>55</v>
      </c>
      <c r="C409" s="73">
        <v>55</v>
      </c>
      <c r="D409" s="73">
        <v>150</v>
      </c>
      <c r="E409" s="73">
        <v>4</v>
      </c>
      <c r="G409" s="73">
        <f t="shared" si="21"/>
        <v>264</v>
      </c>
      <c r="I409" s="73">
        <f>'[1]D5 Gallon Forecast'!$AE147/1000000</f>
        <v>0</v>
      </c>
      <c r="J409" s="73">
        <f>'[1]D5 Gallon Forecast'!$AE163/1000000</f>
        <v>15.840495727021842</v>
      </c>
      <c r="K409" s="73">
        <f t="shared" si="19"/>
        <v>15.840495727021842</v>
      </c>
      <c r="L409" s="23">
        <f t="shared" si="20"/>
        <v>0.72002253304644737</v>
      </c>
    </row>
    <row r="410" spans="1:12" x14ac:dyDescent="0.2">
      <c r="A410" s="15">
        <v>51136</v>
      </c>
      <c r="B410" s="73">
        <v>55</v>
      </c>
      <c r="C410" s="73">
        <v>55</v>
      </c>
      <c r="D410" s="73">
        <v>150</v>
      </c>
      <c r="E410" s="73">
        <v>4</v>
      </c>
      <c r="G410" s="73">
        <f t="shared" si="21"/>
        <v>264</v>
      </c>
      <c r="I410" s="73">
        <f>'[1]D5 Gallon Forecast'!$AF136/1000000</f>
        <v>0</v>
      </c>
      <c r="J410" s="73">
        <f>'[1]D5 Gallon Forecast'!$AF152/1000000</f>
        <v>13.794033974486617</v>
      </c>
      <c r="K410" s="73">
        <f t="shared" si="19"/>
        <v>13.794033974486617</v>
      </c>
      <c r="L410" s="23">
        <f t="shared" si="20"/>
        <v>0.62700154429484622</v>
      </c>
    </row>
    <row r="411" spans="1:12" x14ac:dyDescent="0.2">
      <c r="A411" s="15">
        <v>51167</v>
      </c>
      <c r="B411" s="73">
        <v>55</v>
      </c>
      <c r="C411" s="73">
        <v>55</v>
      </c>
      <c r="D411" s="73">
        <v>150</v>
      </c>
      <c r="E411" s="73">
        <v>4</v>
      </c>
      <c r="G411" s="73">
        <f t="shared" si="21"/>
        <v>264</v>
      </c>
      <c r="I411" s="73">
        <f>'[1]D5 Gallon Forecast'!$AF137/1000000</f>
        <v>0</v>
      </c>
      <c r="J411" s="73">
        <f>'[1]D5 Gallon Forecast'!$AF153/1000000</f>
        <v>10.787672563861012</v>
      </c>
      <c r="K411" s="73">
        <f t="shared" si="19"/>
        <v>10.787672563861012</v>
      </c>
      <c r="L411" s="23">
        <f t="shared" si="20"/>
        <v>0.4903487529027733</v>
      </c>
    </row>
    <row r="412" spans="1:12" x14ac:dyDescent="0.2">
      <c r="A412" s="15">
        <v>51196</v>
      </c>
      <c r="B412" s="73">
        <v>55</v>
      </c>
      <c r="C412" s="73">
        <v>55</v>
      </c>
      <c r="D412" s="73">
        <v>150</v>
      </c>
      <c r="E412" s="73">
        <v>4</v>
      </c>
      <c r="G412" s="73">
        <f t="shared" si="21"/>
        <v>264</v>
      </c>
      <c r="I412" s="73">
        <f>'[1]D5 Gallon Forecast'!$AF138/1000000</f>
        <v>0</v>
      </c>
      <c r="J412" s="73">
        <f>'[1]D5 Gallon Forecast'!$AF154/1000000</f>
        <v>17.765268397546173</v>
      </c>
      <c r="K412" s="73">
        <f t="shared" si="19"/>
        <v>17.765268397546173</v>
      </c>
      <c r="L412" s="23">
        <f t="shared" si="20"/>
        <v>0.80751219988846235</v>
      </c>
    </row>
    <row r="413" spans="1:12" x14ac:dyDescent="0.2">
      <c r="A413" s="15">
        <v>51227</v>
      </c>
      <c r="B413" s="73">
        <v>55</v>
      </c>
      <c r="C413" s="73">
        <v>55</v>
      </c>
      <c r="D413" s="73">
        <v>150</v>
      </c>
      <c r="E413" s="73">
        <v>4</v>
      </c>
      <c r="G413" s="73">
        <f t="shared" si="21"/>
        <v>264</v>
      </c>
      <c r="I413" s="73">
        <f>'[1]D5 Gallon Forecast'!$AF139/1000000</f>
        <v>0</v>
      </c>
      <c r="J413" s="73">
        <f>'[1]D5 Gallon Forecast'!$AF155/1000000</f>
        <v>11.570328558080549</v>
      </c>
      <c r="K413" s="73">
        <f t="shared" si="19"/>
        <v>11.570328558080549</v>
      </c>
      <c r="L413" s="23">
        <f t="shared" si="20"/>
        <v>0.52592402536729765</v>
      </c>
    </row>
    <row r="414" spans="1:12" x14ac:dyDescent="0.2">
      <c r="A414" s="15">
        <v>51257</v>
      </c>
      <c r="B414" s="73">
        <v>55</v>
      </c>
      <c r="C414" s="73">
        <v>55</v>
      </c>
      <c r="D414" s="73">
        <v>150</v>
      </c>
      <c r="E414" s="73">
        <v>4</v>
      </c>
      <c r="G414" s="73">
        <f t="shared" si="21"/>
        <v>264</v>
      </c>
      <c r="I414" s="73">
        <f>'[1]D5 Gallon Forecast'!$AF140/1000000</f>
        <v>0</v>
      </c>
      <c r="J414" s="73">
        <f>'[1]D5 Gallon Forecast'!$AF156/1000000</f>
        <v>12.745301091631115</v>
      </c>
      <c r="K414" s="73">
        <f t="shared" si="19"/>
        <v>12.745301091631115</v>
      </c>
      <c r="L414" s="23">
        <f t="shared" si="20"/>
        <v>0.57933186780141432</v>
      </c>
    </row>
    <row r="415" spans="1:12" x14ac:dyDescent="0.2">
      <c r="A415" s="15">
        <v>51288</v>
      </c>
      <c r="B415" s="73">
        <v>55</v>
      </c>
      <c r="C415" s="73">
        <v>55</v>
      </c>
      <c r="D415" s="73">
        <v>150</v>
      </c>
      <c r="E415" s="73">
        <v>4</v>
      </c>
      <c r="G415" s="73">
        <f t="shared" si="21"/>
        <v>264</v>
      </c>
      <c r="I415" s="73">
        <f>'[1]D5 Gallon Forecast'!$AF141/1000000</f>
        <v>0</v>
      </c>
      <c r="J415" s="73">
        <f>'[1]D5 Gallon Forecast'!$AF157/1000000</f>
        <v>17.240361307880207</v>
      </c>
      <c r="K415" s="73">
        <f t="shared" si="19"/>
        <v>17.240361307880207</v>
      </c>
      <c r="L415" s="23">
        <f t="shared" si="20"/>
        <v>0.78365278672182759</v>
      </c>
    </row>
    <row r="416" spans="1:12" x14ac:dyDescent="0.2">
      <c r="A416" s="15">
        <v>51318</v>
      </c>
      <c r="B416" s="73">
        <v>55</v>
      </c>
      <c r="C416" s="73">
        <v>55</v>
      </c>
      <c r="D416" s="73">
        <v>150</v>
      </c>
      <c r="E416" s="73">
        <v>4</v>
      </c>
      <c r="G416" s="73">
        <f t="shared" si="21"/>
        <v>264</v>
      </c>
      <c r="I416" s="73">
        <f>'[1]D5 Gallon Forecast'!$AF142/1000000</f>
        <v>0</v>
      </c>
      <c r="J416" s="73">
        <f>'[1]D5 Gallon Forecast'!$AF158/1000000</f>
        <v>14.390355926277426</v>
      </c>
      <c r="K416" s="73">
        <f t="shared" si="19"/>
        <v>14.390355926277426</v>
      </c>
      <c r="L416" s="23">
        <f t="shared" si="20"/>
        <v>0.6541070875580649</v>
      </c>
    </row>
    <row r="417" spans="1:12" x14ac:dyDescent="0.2">
      <c r="A417" s="15">
        <v>51349</v>
      </c>
      <c r="B417" s="73">
        <v>55</v>
      </c>
      <c r="C417" s="73">
        <v>55</v>
      </c>
      <c r="D417" s="73">
        <v>150</v>
      </c>
      <c r="E417" s="73">
        <v>4</v>
      </c>
      <c r="G417" s="73">
        <f t="shared" si="21"/>
        <v>264</v>
      </c>
      <c r="I417" s="73">
        <f>'[1]D5 Gallon Forecast'!$AF143/1000000</f>
        <v>0</v>
      </c>
      <c r="J417" s="73">
        <f>'[1]D5 Gallon Forecast'!$AF159/1000000</f>
        <v>21.142897098765868</v>
      </c>
      <c r="K417" s="73">
        <f t="shared" si="19"/>
        <v>21.142897098765868</v>
      </c>
      <c r="L417" s="23">
        <f t="shared" si="20"/>
        <v>0.96104077721663028</v>
      </c>
    </row>
    <row r="418" spans="1:12" x14ac:dyDescent="0.2">
      <c r="A418" s="15">
        <v>51380</v>
      </c>
      <c r="B418" s="73">
        <v>55</v>
      </c>
      <c r="C418" s="73">
        <v>55</v>
      </c>
      <c r="D418" s="73">
        <v>150</v>
      </c>
      <c r="E418" s="73">
        <v>4</v>
      </c>
      <c r="G418" s="73">
        <f t="shared" si="21"/>
        <v>264</v>
      </c>
      <c r="I418" s="73">
        <f>'[1]D5 Gallon Forecast'!$AF144/1000000</f>
        <v>0</v>
      </c>
      <c r="J418" s="73">
        <f>'[1]D5 Gallon Forecast'!$AF160/1000000</f>
        <v>18.976848764843226</v>
      </c>
      <c r="K418" s="73">
        <f t="shared" si="19"/>
        <v>18.976848764843226</v>
      </c>
      <c r="L418" s="23">
        <f t="shared" si="20"/>
        <v>0.86258403476560119</v>
      </c>
    </row>
    <row r="419" spans="1:12" x14ac:dyDescent="0.2">
      <c r="A419" s="15">
        <v>51410</v>
      </c>
      <c r="B419" s="73">
        <v>55</v>
      </c>
      <c r="C419" s="73">
        <v>55</v>
      </c>
      <c r="D419" s="73">
        <v>150</v>
      </c>
      <c r="E419" s="73">
        <v>4</v>
      </c>
      <c r="G419" s="73">
        <f t="shared" si="21"/>
        <v>264</v>
      </c>
      <c r="I419" s="73">
        <f>'[1]D5 Gallon Forecast'!$AF145/1000000</f>
        <v>0</v>
      </c>
      <c r="J419" s="73">
        <f>'[1]D5 Gallon Forecast'!$AF161/1000000</f>
        <v>15.251801874976644</v>
      </c>
      <c r="K419" s="73">
        <f t="shared" si="19"/>
        <v>15.251801874976644</v>
      </c>
      <c r="L419" s="23">
        <f t="shared" si="20"/>
        <v>0.6932637215898475</v>
      </c>
    </row>
    <row r="420" spans="1:12" x14ac:dyDescent="0.2">
      <c r="A420" s="15">
        <v>51441</v>
      </c>
      <c r="B420" s="73">
        <v>55</v>
      </c>
      <c r="C420" s="73">
        <v>55</v>
      </c>
      <c r="D420" s="73">
        <v>150</v>
      </c>
      <c r="E420" s="73">
        <v>4</v>
      </c>
      <c r="G420" s="73">
        <f t="shared" si="21"/>
        <v>264</v>
      </c>
      <c r="I420" s="73">
        <f>'[1]D5 Gallon Forecast'!$AF146/1000000</f>
        <v>0</v>
      </c>
      <c r="J420" s="73">
        <f>'[1]D5 Gallon Forecast'!$AF162/1000000</f>
        <v>15.351491213674629</v>
      </c>
      <c r="K420" s="73">
        <f t="shared" si="19"/>
        <v>15.351491213674629</v>
      </c>
      <c r="L420" s="23">
        <f t="shared" si="20"/>
        <v>0.69779505516702867</v>
      </c>
    </row>
    <row r="421" spans="1:12" x14ac:dyDescent="0.2">
      <c r="A421" s="15">
        <v>51471</v>
      </c>
      <c r="B421" s="73">
        <v>55</v>
      </c>
      <c r="C421" s="73">
        <v>55</v>
      </c>
      <c r="D421" s="73">
        <v>150</v>
      </c>
      <c r="E421" s="73">
        <v>4</v>
      </c>
      <c r="G421" s="73">
        <f t="shared" si="21"/>
        <v>264</v>
      </c>
      <c r="I421" s="73">
        <f>'[1]D5 Gallon Forecast'!$AF147/1000000</f>
        <v>0</v>
      </c>
      <c r="J421" s="73">
        <f>'[1]D5 Gallon Forecast'!$AF163/1000000</f>
        <v>15.826977592402697</v>
      </c>
      <c r="K421" s="73">
        <f t="shared" si="19"/>
        <v>15.826977592402697</v>
      </c>
      <c r="L421" s="23">
        <f t="shared" si="20"/>
        <v>0.71940807238194071</v>
      </c>
    </row>
    <row r="422" spans="1:12" x14ac:dyDescent="0.2">
      <c r="A422" s="15">
        <v>51502</v>
      </c>
      <c r="B422" s="73">
        <v>55</v>
      </c>
      <c r="C422" s="73">
        <v>55</v>
      </c>
      <c r="D422" s="73">
        <v>150</v>
      </c>
      <c r="E422" s="73">
        <v>4</v>
      </c>
      <c r="G422" s="73">
        <f t="shared" si="21"/>
        <v>264</v>
      </c>
      <c r="I422" s="73">
        <f>'[1]D5 Gallon Forecast'!$AG136/1000000</f>
        <v>0</v>
      </c>
      <c r="J422" s="73">
        <f>'[1]D5 Gallon Forecast'!$AG152/1000000</f>
        <v>13.840996832624484</v>
      </c>
      <c r="K422" s="73">
        <f t="shared" si="19"/>
        <v>13.840996832624484</v>
      </c>
      <c r="L422" s="23">
        <f t="shared" si="20"/>
        <v>0.62913621966474931</v>
      </c>
    </row>
    <row r="423" spans="1:12" x14ac:dyDescent="0.2">
      <c r="A423" s="15">
        <v>51533</v>
      </c>
      <c r="B423" s="73">
        <v>55</v>
      </c>
      <c r="C423" s="73">
        <v>55</v>
      </c>
      <c r="D423" s="73">
        <v>150</v>
      </c>
      <c r="E423" s="73">
        <v>4</v>
      </c>
      <c r="G423" s="73">
        <f t="shared" si="21"/>
        <v>264</v>
      </c>
      <c r="I423" s="73">
        <f>'[1]D5 Gallon Forecast'!$AG137/1000000</f>
        <v>0</v>
      </c>
      <c r="J423" s="73">
        <f>'[1]D5 Gallon Forecast'!$AG153/1000000</f>
        <v>10.823220591355481</v>
      </c>
      <c r="K423" s="73">
        <f t="shared" si="19"/>
        <v>10.823220591355481</v>
      </c>
      <c r="L423" s="23">
        <f t="shared" si="20"/>
        <v>0.4919645723343401</v>
      </c>
    </row>
    <row r="424" spans="1:12" x14ac:dyDescent="0.2">
      <c r="A424" s="15">
        <v>51561</v>
      </c>
      <c r="B424" s="73">
        <v>55</v>
      </c>
      <c r="C424" s="73">
        <v>55</v>
      </c>
      <c r="D424" s="73">
        <v>150</v>
      </c>
      <c r="E424" s="73">
        <v>4</v>
      </c>
      <c r="G424" s="73">
        <f t="shared" si="21"/>
        <v>264</v>
      </c>
      <c r="I424" s="73">
        <f>'[1]D5 Gallon Forecast'!$AG138/1000000</f>
        <v>0</v>
      </c>
      <c r="J424" s="73">
        <f>'[1]D5 Gallon Forecast'!$AG154/1000000</f>
        <v>17.829633583749469</v>
      </c>
      <c r="K424" s="73">
        <f t="shared" si="19"/>
        <v>17.829633583749469</v>
      </c>
      <c r="L424" s="23">
        <f t="shared" si="20"/>
        <v>0.81043789017043044</v>
      </c>
    </row>
    <row r="425" spans="1:12" x14ac:dyDescent="0.2">
      <c r="A425" s="15">
        <v>51592</v>
      </c>
      <c r="B425" s="73">
        <v>55</v>
      </c>
      <c r="C425" s="73">
        <v>55</v>
      </c>
      <c r="D425" s="73">
        <v>150</v>
      </c>
      <c r="E425" s="73">
        <v>4</v>
      </c>
      <c r="G425" s="73">
        <f t="shared" si="21"/>
        <v>264</v>
      </c>
      <c r="I425" s="73">
        <f>'[1]D5 Gallon Forecast'!$AG139/1000000</f>
        <v>0</v>
      </c>
      <c r="J425" s="73">
        <f>'[1]D5 Gallon Forecast'!$AG155/1000000</f>
        <v>11.612625860388729</v>
      </c>
      <c r="K425" s="73">
        <f t="shared" si="19"/>
        <v>11.612625860388729</v>
      </c>
      <c r="L425" s="23">
        <f t="shared" si="20"/>
        <v>0.5278466300176694</v>
      </c>
    </row>
    <row r="426" spans="1:12" x14ac:dyDescent="0.2">
      <c r="A426" s="15">
        <v>51622</v>
      </c>
      <c r="B426" s="73">
        <v>55</v>
      </c>
      <c r="C426" s="73">
        <v>55</v>
      </c>
      <c r="D426" s="73">
        <v>150</v>
      </c>
      <c r="E426" s="73">
        <v>4</v>
      </c>
      <c r="G426" s="73">
        <f t="shared" si="21"/>
        <v>264</v>
      </c>
      <c r="I426" s="73">
        <f>'[1]D5 Gallon Forecast'!$AG140/1000000</f>
        <v>0</v>
      </c>
      <c r="J426" s="73">
        <f>'[1]D5 Gallon Forecast'!$AG156/1000000</f>
        <v>12.784649780309453</v>
      </c>
      <c r="K426" s="73">
        <f t="shared" si="19"/>
        <v>12.784649780309453</v>
      </c>
      <c r="L426" s="23">
        <f t="shared" si="20"/>
        <v>0.58112044455952061</v>
      </c>
    </row>
    <row r="427" spans="1:12" x14ac:dyDescent="0.2">
      <c r="A427" s="15">
        <v>51653</v>
      </c>
      <c r="B427" s="73">
        <v>55</v>
      </c>
      <c r="C427" s="73">
        <v>55</v>
      </c>
      <c r="D427" s="73">
        <v>150</v>
      </c>
      <c r="E427" s="73">
        <v>4</v>
      </c>
      <c r="G427" s="73">
        <f t="shared" si="21"/>
        <v>264</v>
      </c>
      <c r="I427" s="73">
        <f>'[1]D5 Gallon Forecast'!$AG141/1000000</f>
        <v>0</v>
      </c>
      <c r="J427" s="73">
        <f>'[1]D5 Gallon Forecast'!$AG157/1000000</f>
        <v>17.307977035917915</v>
      </c>
      <c r="K427" s="73">
        <f t="shared" si="19"/>
        <v>17.307977035917915</v>
      </c>
      <c r="L427" s="23">
        <f t="shared" si="20"/>
        <v>0.78672622890535981</v>
      </c>
    </row>
    <row r="428" spans="1:12" x14ac:dyDescent="0.2">
      <c r="A428" s="15">
        <v>51683</v>
      </c>
      <c r="B428" s="73">
        <v>55</v>
      </c>
      <c r="C428" s="73">
        <v>55</v>
      </c>
      <c r="D428" s="73">
        <v>150</v>
      </c>
      <c r="E428" s="73">
        <v>4</v>
      </c>
      <c r="G428" s="73">
        <f t="shared" si="21"/>
        <v>264</v>
      </c>
      <c r="I428" s="73">
        <f>'[1]D5 Gallon Forecast'!$AG142/1000000</f>
        <v>0</v>
      </c>
      <c r="J428" s="73">
        <f>'[1]D5 Gallon Forecast'!$AG158/1000000</f>
        <v>14.446825557806795</v>
      </c>
      <c r="K428" s="73">
        <f t="shared" si="19"/>
        <v>14.446825557806795</v>
      </c>
      <c r="L428" s="23">
        <f t="shared" si="20"/>
        <v>0.65667388899121792</v>
      </c>
    </row>
    <row r="429" spans="1:12" x14ac:dyDescent="0.2">
      <c r="A429" s="15">
        <v>51714</v>
      </c>
      <c r="B429" s="73">
        <v>55</v>
      </c>
      <c r="C429" s="73">
        <v>55</v>
      </c>
      <c r="D429" s="73">
        <v>150</v>
      </c>
      <c r="E429" s="73">
        <v>4</v>
      </c>
      <c r="G429" s="73">
        <f t="shared" si="21"/>
        <v>264</v>
      </c>
      <c r="I429" s="73">
        <f>'[1]D5 Gallon Forecast'!$AG143/1000000</f>
        <v>0</v>
      </c>
      <c r="J429" s="73">
        <f>'[1]D5 Gallon Forecast'!$AG159/1000000</f>
        <v>21.224353030179394</v>
      </c>
      <c r="K429" s="73">
        <f t="shared" si="19"/>
        <v>21.224353030179394</v>
      </c>
      <c r="L429" s="23">
        <f t="shared" si="20"/>
        <v>0.96474331955360881</v>
      </c>
    </row>
    <row r="430" spans="1:12" x14ac:dyDescent="0.2">
      <c r="A430" s="15">
        <v>51745</v>
      </c>
      <c r="B430" s="73">
        <v>55</v>
      </c>
      <c r="C430" s="73">
        <v>55</v>
      </c>
      <c r="D430" s="73">
        <v>150</v>
      </c>
      <c r="E430" s="73">
        <v>4</v>
      </c>
      <c r="G430" s="73">
        <f t="shared" si="21"/>
        <v>264</v>
      </c>
      <c r="I430" s="73">
        <f>'[1]D5 Gallon Forecast'!$AG144/1000000</f>
        <v>0</v>
      </c>
      <c r="J430" s="73">
        <f>'[1]D5 Gallon Forecast'!$AG160/1000000</f>
        <v>19.046752006160077</v>
      </c>
      <c r="K430" s="73">
        <f t="shared" si="19"/>
        <v>19.046752006160077</v>
      </c>
      <c r="L430" s="23">
        <f t="shared" si="20"/>
        <v>0.86576145482545808</v>
      </c>
    </row>
    <row r="431" spans="1:12" x14ac:dyDescent="0.2">
      <c r="A431" s="15">
        <v>51775</v>
      </c>
      <c r="B431" s="73">
        <v>55</v>
      </c>
      <c r="C431" s="73">
        <v>55</v>
      </c>
      <c r="D431" s="73">
        <v>150</v>
      </c>
      <c r="E431" s="73">
        <v>4</v>
      </c>
      <c r="G431" s="73">
        <f t="shared" si="21"/>
        <v>264</v>
      </c>
      <c r="I431" s="73">
        <f>'[1]D5 Gallon Forecast'!$AG145/1000000</f>
        <v>0</v>
      </c>
      <c r="J431" s="73">
        <f>'[1]D5 Gallon Forecast'!$AG161/1000000</f>
        <v>15.307472201539619</v>
      </c>
      <c r="K431" s="73">
        <f t="shared" si="19"/>
        <v>15.307472201539619</v>
      </c>
      <c r="L431" s="23">
        <f t="shared" si="20"/>
        <v>0.69579419097907369</v>
      </c>
    </row>
    <row r="432" spans="1:12" x14ac:dyDescent="0.2">
      <c r="A432" s="15">
        <v>51806</v>
      </c>
      <c r="B432" s="73">
        <v>55</v>
      </c>
      <c r="C432" s="73">
        <v>55</v>
      </c>
      <c r="D432" s="73">
        <v>150</v>
      </c>
      <c r="E432" s="73">
        <v>4</v>
      </c>
      <c r="G432" s="73">
        <f t="shared" si="21"/>
        <v>264</v>
      </c>
      <c r="I432" s="73">
        <f>'[1]D5 Gallon Forecast'!$AG146/1000000</f>
        <v>0</v>
      </c>
      <c r="J432" s="73">
        <f>'[1]D5 Gallon Forecast'!$AG162/1000000</f>
        <v>15.412602950728495</v>
      </c>
      <c r="K432" s="73">
        <f t="shared" si="19"/>
        <v>15.412602950728495</v>
      </c>
      <c r="L432" s="23">
        <f t="shared" si="20"/>
        <v>0.70057286139674968</v>
      </c>
    </row>
    <row r="433" spans="1:12" x14ac:dyDescent="0.2">
      <c r="A433" s="15">
        <v>51836</v>
      </c>
      <c r="B433" s="73">
        <v>55</v>
      </c>
      <c r="C433" s="73">
        <v>55</v>
      </c>
      <c r="D433" s="73">
        <v>150</v>
      </c>
      <c r="E433" s="73">
        <v>4</v>
      </c>
      <c r="G433" s="73">
        <f t="shared" si="21"/>
        <v>264</v>
      </c>
      <c r="I433" s="73">
        <f>'[1]D5 Gallon Forecast'!$AG147/1000000</f>
        <v>0</v>
      </c>
      <c r="J433" s="73">
        <f>'[1]D5 Gallon Forecast'!$AG163/1000000</f>
        <v>15.884284487294435</v>
      </c>
      <c r="K433" s="73">
        <f t="shared" si="19"/>
        <v>15.884284487294435</v>
      </c>
      <c r="L433" s="23">
        <f t="shared" si="20"/>
        <v>0.72201293124065613</v>
      </c>
    </row>
    <row r="434" spans="1:12" x14ac:dyDescent="0.2">
      <c r="A434" s="15">
        <v>51867</v>
      </c>
      <c r="B434" s="73">
        <v>55</v>
      </c>
      <c r="C434" s="73">
        <v>55</v>
      </c>
      <c r="D434" s="73">
        <v>150</v>
      </c>
      <c r="E434" s="73">
        <v>4</v>
      </c>
      <c r="G434" s="73">
        <f t="shared" si="21"/>
        <v>264</v>
      </c>
      <c r="I434" s="73">
        <f>'[1]D5 Gallon Forecast'!$AH136/1000000</f>
        <v>0</v>
      </c>
      <c r="J434" s="73">
        <f>'[1]D5 Gallon Forecast'!$AH152/1000000</f>
        <v>14.544871159587309</v>
      </c>
      <c r="K434" s="73">
        <f t="shared" si="19"/>
        <v>14.544871159587309</v>
      </c>
      <c r="L434" s="23">
        <f t="shared" si="20"/>
        <v>0.6611305072539686</v>
      </c>
    </row>
    <row r="435" spans="1:12" x14ac:dyDescent="0.2">
      <c r="A435" s="15">
        <v>51898</v>
      </c>
      <c r="B435" s="73">
        <v>55</v>
      </c>
      <c r="C435" s="73">
        <v>55</v>
      </c>
      <c r="D435" s="73">
        <v>150</v>
      </c>
      <c r="E435" s="73">
        <v>4</v>
      </c>
      <c r="G435" s="73">
        <f t="shared" si="21"/>
        <v>264</v>
      </c>
      <c r="I435" s="73">
        <f>'[1]D5 Gallon Forecast'!$AH137/1000000</f>
        <v>0</v>
      </c>
      <c r="J435" s="73">
        <f>'[1]D5 Gallon Forecast'!$AH153/1000000</f>
        <v>11.374556788697243</v>
      </c>
      <c r="K435" s="73">
        <f t="shared" si="19"/>
        <v>11.374556788697243</v>
      </c>
      <c r="L435" s="23">
        <f t="shared" si="20"/>
        <v>0.51702530857714746</v>
      </c>
    </row>
    <row r="436" spans="1:12" x14ac:dyDescent="0.2">
      <c r="A436" s="15">
        <v>51926</v>
      </c>
      <c r="B436" s="73">
        <v>55</v>
      </c>
      <c r="C436" s="73">
        <v>55</v>
      </c>
      <c r="D436" s="73">
        <v>150</v>
      </c>
      <c r="E436" s="73">
        <v>4</v>
      </c>
      <c r="G436" s="73">
        <f t="shared" si="21"/>
        <v>264</v>
      </c>
      <c r="I436" s="73">
        <f>'[1]D5 Gallon Forecast'!$AH138/1000000</f>
        <v>0</v>
      </c>
      <c r="J436" s="73">
        <f>'[1]D5 Gallon Forecast'!$AH154/1000000</f>
        <v>18.7347922122459</v>
      </c>
      <c r="K436" s="73">
        <f t="shared" si="19"/>
        <v>18.7347922122459</v>
      </c>
      <c r="L436" s="23">
        <f t="shared" si="20"/>
        <v>0.85158146419299541</v>
      </c>
    </row>
    <row r="437" spans="1:12" x14ac:dyDescent="0.2">
      <c r="A437" s="15">
        <v>51957</v>
      </c>
      <c r="B437" s="73">
        <v>55</v>
      </c>
      <c r="C437" s="73">
        <v>55</v>
      </c>
      <c r="D437" s="73">
        <v>150</v>
      </c>
      <c r="E437" s="73">
        <v>4</v>
      </c>
      <c r="G437" s="73">
        <f t="shared" si="21"/>
        <v>264</v>
      </c>
      <c r="I437" s="73">
        <f>'[1]D5 Gallon Forecast'!$AH139/1000000</f>
        <v>0</v>
      </c>
      <c r="J437" s="73">
        <f>'[1]D5 Gallon Forecast'!$AH155/1000000</f>
        <v>12.200354842341355</v>
      </c>
      <c r="K437" s="73">
        <f t="shared" si="19"/>
        <v>12.200354842341355</v>
      </c>
      <c r="L437" s="23">
        <f t="shared" si="20"/>
        <v>0.55456158374278886</v>
      </c>
    </row>
    <row r="438" spans="1:12" x14ac:dyDescent="0.2">
      <c r="A438" s="15">
        <v>51987</v>
      </c>
      <c r="B438" s="73">
        <v>55</v>
      </c>
      <c r="C438" s="73">
        <v>55</v>
      </c>
      <c r="D438" s="73">
        <v>150</v>
      </c>
      <c r="E438" s="73">
        <v>4</v>
      </c>
      <c r="G438" s="73">
        <f t="shared" si="21"/>
        <v>264</v>
      </c>
      <c r="I438" s="73">
        <f>'[1]D5 Gallon Forecast'!$AH140/1000000</f>
        <v>0</v>
      </c>
      <c r="J438" s="73">
        <f>'[1]D5 Gallon Forecast'!$AH156/1000000</f>
        <v>13.428285496437878</v>
      </c>
      <c r="K438" s="73">
        <f t="shared" si="19"/>
        <v>13.428285496437878</v>
      </c>
      <c r="L438" s="23">
        <f t="shared" si="20"/>
        <v>0.61037661347444894</v>
      </c>
    </row>
    <row r="439" spans="1:12" x14ac:dyDescent="0.2">
      <c r="A439" s="15">
        <v>52018</v>
      </c>
      <c r="B439" s="73">
        <v>55</v>
      </c>
      <c r="C439" s="73">
        <v>55</v>
      </c>
      <c r="D439" s="73">
        <v>150</v>
      </c>
      <c r="E439" s="73">
        <v>4</v>
      </c>
      <c r="G439" s="73">
        <f t="shared" si="21"/>
        <v>264</v>
      </c>
      <c r="I439" s="73">
        <f>'[1]D5 Gallon Forecast'!$AH141/1000000</f>
        <v>0</v>
      </c>
      <c r="J439" s="73">
        <f>'[1]D5 Gallon Forecast'!$AH157/1000000</f>
        <v>18.184438039260261</v>
      </c>
      <c r="K439" s="73">
        <f t="shared" si="19"/>
        <v>18.184438039260261</v>
      </c>
      <c r="L439" s="23">
        <f t="shared" si="20"/>
        <v>0.82656536542092096</v>
      </c>
    </row>
    <row r="440" spans="1:12" x14ac:dyDescent="0.2">
      <c r="A440" s="15">
        <v>52048</v>
      </c>
      <c r="B440" s="73">
        <v>55</v>
      </c>
      <c r="C440" s="73">
        <v>55</v>
      </c>
      <c r="D440" s="73">
        <v>150</v>
      </c>
      <c r="E440" s="73">
        <v>4</v>
      </c>
      <c r="G440" s="73">
        <f t="shared" si="21"/>
        <v>264</v>
      </c>
      <c r="I440" s="73">
        <f>'[1]D5 Gallon Forecast'!$AH142/1000000</f>
        <v>0</v>
      </c>
      <c r="J440" s="73">
        <f>'[1]D5 Gallon Forecast'!$AH158/1000000</f>
        <v>15.180485659977094</v>
      </c>
      <c r="K440" s="73">
        <f t="shared" si="19"/>
        <v>15.180485659977094</v>
      </c>
      <c r="L440" s="23">
        <f t="shared" si="20"/>
        <v>0.69002207545350425</v>
      </c>
    </row>
    <row r="441" spans="1:12" x14ac:dyDescent="0.2">
      <c r="A441" s="15">
        <v>52079</v>
      </c>
      <c r="B441" s="73">
        <v>55</v>
      </c>
      <c r="C441" s="73">
        <v>55</v>
      </c>
      <c r="D441" s="73">
        <v>150</v>
      </c>
      <c r="E441" s="73">
        <v>4</v>
      </c>
      <c r="G441" s="73">
        <f t="shared" si="21"/>
        <v>264</v>
      </c>
      <c r="I441" s="73">
        <f>'[1]D5 Gallon Forecast'!$AH143/1000000</f>
        <v>0</v>
      </c>
      <c r="J441" s="73">
        <f>'[1]D5 Gallon Forecast'!$AH159/1000000</f>
        <v>22.300245930673807</v>
      </c>
      <c r="K441" s="73">
        <f t="shared" ref="K441:K504" si="22">SUM(I441:J441)</f>
        <v>22.300245930673807</v>
      </c>
      <c r="L441" s="23">
        <f t="shared" ref="L441:L504" si="23">(K441*12)/G441</f>
        <v>1.0136475423033549</v>
      </c>
    </row>
    <row r="442" spans="1:12" x14ac:dyDescent="0.2">
      <c r="A442" s="15">
        <v>52110</v>
      </c>
      <c r="B442" s="73">
        <v>55</v>
      </c>
      <c r="C442" s="73">
        <v>55</v>
      </c>
      <c r="D442" s="73">
        <v>150</v>
      </c>
      <c r="E442" s="73">
        <v>4</v>
      </c>
      <c r="G442" s="73">
        <f t="shared" si="21"/>
        <v>264</v>
      </c>
      <c r="I442" s="73">
        <f>'[1]D5 Gallon Forecast'!$AH144/1000000</f>
        <v>0</v>
      </c>
      <c r="J442" s="73">
        <f>'[1]D5 Gallon Forecast'!$AH160/1000000</f>
        <v>20.010374945450643</v>
      </c>
      <c r="K442" s="73">
        <f t="shared" si="22"/>
        <v>20.010374945450643</v>
      </c>
      <c r="L442" s="23">
        <f t="shared" si="23"/>
        <v>0.90956249752048379</v>
      </c>
    </row>
    <row r="443" spans="1:12" x14ac:dyDescent="0.2">
      <c r="A443" s="15">
        <v>52140</v>
      </c>
      <c r="B443" s="73">
        <v>55</v>
      </c>
      <c r="C443" s="73">
        <v>55</v>
      </c>
      <c r="D443" s="73">
        <v>150</v>
      </c>
      <c r="E443" s="73">
        <v>4</v>
      </c>
      <c r="G443" s="73">
        <f t="shared" si="21"/>
        <v>264</v>
      </c>
      <c r="I443" s="73">
        <f>'[1]D5 Gallon Forecast'!$AH145/1000000</f>
        <v>0</v>
      </c>
      <c r="J443" s="73">
        <f>'[1]D5 Gallon Forecast'!$AH161/1000000</f>
        <v>16.08270056738964</v>
      </c>
      <c r="K443" s="73">
        <f t="shared" si="22"/>
        <v>16.08270056738964</v>
      </c>
      <c r="L443" s="23">
        <f t="shared" si="23"/>
        <v>0.7310318439722564</v>
      </c>
    </row>
    <row r="444" spans="1:12" x14ac:dyDescent="0.2">
      <c r="A444" s="15">
        <v>52171</v>
      </c>
      <c r="B444" s="73">
        <v>55</v>
      </c>
      <c r="C444" s="73">
        <v>55</v>
      </c>
      <c r="D444" s="73">
        <v>150</v>
      </c>
      <c r="E444" s="73">
        <v>4</v>
      </c>
      <c r="G444" s="73">
        <f t="shared" si="21"/>
        <v>264</v>
      </c>
      <c r="I444" s="73">
        <f>'[1]D5 Gallon Forecast'!$AH146/1000000</f>
        <v>0</v>
      </c>
      <c r="J444" s="73">
        <f>'[1]D5 Gallon Forecast'!$AH162/1000000</f>
        <v>16.194874675729338</v>
      </c>
      <c r="K444" s="73">
        <f t="shared" si="22"/>
        <v>16.194874675729338</v>
      </c>
      <c r="L444" s="23">
        <f t="shared" si="23"/>
        <v>0.7361306670786063</v>
      </c>
    </row>
    <row r="445" spans="1:12" x14ac:dyDescent="0.2">
      <c r="A445" s="15">
        <v>52201</v>
      </c>
      <c r="B445" s="73">
        <v>55</v>
      </c>
      <c r="C445" s="73">
        <v>55</v>
      </c>
      <c r="D445" s="73">
        <v>150</v>
      </c>
      <c r="E445" s="73">
        <v>4</v>
      </c>
      <c r="G445" s="73">
        <f t="shared" si="21"/>
        <v>264</v>
      </c>
      <c r="I445" s="73">
        <f>'[1]D5 Gallon Forecast'!$AH147/1000000</f>
        <v>0</v>
      </c>
      <c r="J445" s="73">
        <f>'[1]D5 Gallon Forecast'!$AH163/1000000</f>
        <v>16.683910753199072</v>
      </c>
      <c r="K445" s="73">
        <f t="shared" si="22"/>
        <v>16.683910753199072</v>
      </c>
      <c r="L445" s="23">
        <f t="shared" si="23"/>
        <v>0.75835957969086687</v>
      </c>
    </row>
    <row r="446" spans="1:12" x14ac:dyDescent="0.2">
      <c r="A446" s="15">
        <v>52232</v>
      </c>
      <c r="B446" s="73">
        <v>55</v>
      </c>
      <c r="C446" s="73">
        <v>55</v>
      </c>
      <c r="D446" s="73">
        <v>150</v>
      </c>
      <c r="E446" s="73">
        <v>4</v>
      </c>
      <c r="G446" s="73">
        <f t="shared" si="21"/>
        <v>264</v>
      </c>
      <c r="I446" s="73">
        <f>'[1]D5 Gallon Forecast'!$AI136/1000000</f>
        <v>0</v>
      </c>
      <c r="J446" s="73">
        <f>'[1]D5 Gallon Forecast'!$AI152/1000000</f>
        <v>15.7077925512866</v>
      </c>
      <c r="K446" s="73">
        <f t="shared" si="22"/>
        <v>15.7077925512866</v>
      </c>
      <c r="L446" s="23">
        <f t="shared" si="23"/>
        <v>0.71399057051302728</v>
      </c>
    </row>
    <row r="447" spans="1:12" x14ac:dyDescent="0.2">
      <c r="A447" s="15">
        <v>52263</v>
      </c>
      <c r="B447" s="73">
        <v>55</v>
      </c>
      <c r="C447" s="73">
        <v>55</v>
      </c>
      <c r="D447" s="73">
        <v>150</v>
      </c>
      <c r="E447" s="73">
        <v>4</v>
      </c>
      <c r="G447" s="73">
        <f t="shared" si="21"/>
        <v>264</v>
      </c>
      <c r="I447" s="73">
        <f>'[1]D5 Gallon Forecast'!$AI137/1000000</f>
        <v>0</v>
      </c>
      <c r="J447" s="73">
        <f>'[1]D5 Gallon Forecast'!$AI153/1000000</f>
        <v>12.283565633218382</v>
      </c>
      <c r="K447" s="73">
        <f t="shared" si="22"/>
        <v>12.283565633218382</v>
      </c>
      <c r="L447" s="23">
        <f t="shared" si="23"/>
        <v>0.55834389241901738</v>
      </c>
    </row>
    <row r="448" spans="1:12" x14ac:dyDescent="0.2">
      <c r="A448" s="15">
        <v>52291</v>
      </c>
      <c r="B448" s="73">
        <v>55</v>
      </c>
      <c r="C448" s="73">
        <v>55</v>
      </c>
      <c r="D448" s="73">
        <v>150</v>
      </c>
      <c r="E448" s="73">
        <v>4</v>
      </c>
      <c r="G448" s="73">
        <f t="shared" si="21"/>
        <v>264</v>
      </c>
      <c r="I448" s="73">
        <f>'[1]D5 Gallon Forecast'!$AI138/1000000</f>
        <v>0</v>
      </c>
      <c r="J448" s="73">
        <f>'[1]D5 Gallon Forecast'!$AI154/1000000</f>
        <v>20.22697648295787</v>
      </c>
      <c r="K448" s="73">
        <f t="shared" si="22"/>
        <v>20.22697648295787</v>
      </c>
      <c r="L448" s="23">
        <f t="shared" si="23"/>
        <v>0.91940802195263049</v>
      </c>
    </row>
    <row r="449" spans="1:12" x14ac:dyDescent="0.2">
      <c r="A449" s="15">
        <v>52322</v>
      </c>
      <c r="B449" s="73">
        <v>55</v>
      </c>
      <c r="C449" s="73">
        <v>55</v>
      </c>
      <c r="D449" s="73">
        <v>150</v>
      </c>
      <c r="E449" s="73">
        <v>4</v>
      </c>
      <c r="G449" s="73">
        <f t="shared" si="21"/>
        <v>264</v>
      </c>
      <c r="I449" s="73">
        <f>'[1]D5 Gallon Forecast'!$AI139/1000000</f>
        <v>0</v>
      </c>
      <c r="J449" s="73">
        <f>'[1]D5 Gallon Forecast'!$AI155/1000000</f>
        <v>13.172372778771644</v>
      </c>
      <c r="K449" s="73">
        <f t="shared" si="22"/>
        <v>13.172372778771644</v>
      </c>
      <c r="L449" s="23">
        <f t="shared" si="23"/>
        <v>0.59874421721689286</v>
      </c>
    </row>
    <row r="450" spans="1:12" x14ac:dyDescent="0.2">
      <c r="A450" s="15">
        <v>52352</v>
      </c>
      <c r="B450" s="73">
        <v>55</v>
      </c>
      <c r="C450" s="73">
        <v>55</v>
      </c>
      <c r="D450" s="73">
        <v>150</v>
      </c>
      <c r="E450" s="73">
        <v>4</v>
      </c>
      <c r="G450" s="73">
        <f t="shared" si="21"/>
        <v>264</v>
      </c>
      <c r="I450" s="73">
        <f>'[1]D5 Gallon Forecast'!$AI140/1000000</f>
        <v>0</v>
      </c>
      <c r="J450" s="73">
        <f>'[1]D5 Gallon Forecast'!$AI156/1000000</f>
        <v>14.497576787099108</v>
      </c>
      <c r="K450" s="73">
        <f t="shared" si="22"/>
        <v>14.497576787099108</v>
      </c>
      <c r="L450" s="23">
        <f t="shared" si="23"/>
        <v>0.65898076304995945</v>
      </c>
    </row>
    <row r="451" spans="1:12" x14ac:dyDescent="0.2">
      <c r="A451" s="15">
        <v>52383</v>
      </c>
      <c r="B451" s="73">
        <v>55</v>
      </c>
      <c r="C451" s="73">
        <v>55</v>
      </c>
      <c r="D451" s="73">
        <v>150</v>
      </c>
      <c r="E451" s="73">
        <v>4</v>
      </c>
      <c r="G451" s="73">
        <f t="shared" si="21"/>
        <v>264</v>
      </c>
      <c r="I451" s="73">
        <f>'[1]D5 Gallon Forecast'!$AI141/1000000</f>
        <v>0</v>
      </c>
      <c r="J451" s="73">
        <f>'[1]D5 Gallon Forecast'!$AI157/1000000</f>
        <v>19.631598109538494</v>
      </c>
      <c r="K451" s="73">
        <f t="shared" si="22"/>
        <v>19.631598109538494</v>
      </c>
      <c r="L451" s="23">
        <f t="shared" si="23"/>
        <v>0.89234536861538605</v>
      </c>
    </row>
    <row r="452" spans="1:12" x14ac:dyDescent="0.2">
      <c r="A452" s="15">
        <v>52413</v>
      </c>
      <c r="B452" s="73">
        <v>55</v>
      </c>
      <c r="C452" s="73">
        <v>55</v>
      </c>
      <c r="D452" s="73">
        <v>150</v>
      </c>
      <c r="E452" s="73">
        <v>4</v>
      </c>
      <c r="G452" s="73">
        <f t="shared" si="21"/>
        <v>264</v>
      </c>
      <c r="I452" s="73">
        <f>'[1]D5 Gallon Forecast'!$AI142/1000000</f>
        <v>0</v>
      </c>
      <c r="J452" s="73">
        <f>'[1]D5 Gallon Forecast'!$AI158/1000000</f>
        <v>16.390955841522473</v>
      </c>
      <c r="K452" s="73">
        <f t="shared" si="22"/>
        <v>16.390955841522473</v>
      </c>
      <c r="L452" s="23">
        <f t="shared" si="23"/>
        <v>0.74504344734193062</v>
      </c>
    </row>
    <row r="453" spans="1:12" x14ac:dyDescent="0.2">
      <c r="A453" s="15">
        <v>52444</v>
      </c>
      <c r="B453" s="73">
        <v>55</v>
      </c>
      <c r="C453" s="73">
        <v>55</v>
      </c>
      <c r="D453" s="73">
        <v>150</v>
      </c>
      <c r="E453" s="73">
        <v>4</v>
      </c>
      <c r="G453" s="73">
        <f t="shared" si="21"/>
        <v>264</v>
      </c>
      <c r="I453" s="73">
        <f>'[1]D5 Gallon Forecast'!$AI143/1000000</f>
        <v>0</v>
      </c>
      <c r="J453" s="73">
        <f>'[1]D5 Gallon Forecast'!$AI159/1000000</f>
        <v>24.077827908714287</v>
      </c>
      <c r="K453" s="73">
        <f t="shared" si="22"/>
        <v>24.077827908714287</v>
      </c>
      <c r="L453" s="23">
        <f t="shared" si="23"/>
        <v>1.0944467231233768</v>
      </c>
    </row>
    <row r="454" spans="1:12" x14ac:dyDescent="0.2">
      <c r="A454" s="15">
        <v>52475</v>
      </c>
      <c r="B454" s="73">
        <v>55</v>
      </c>
      <c r="C454" s="73">
        <v>55</v>
      </c>
      <c r="D454" s="73">
        <v>150</v>
      </c>
      <c r="E454" s="73">
        <v>4</v>
      </c>
      <c r="G454" s="73">
        <f t="shared" ref="G454:G517" si="24">SUM(B454:E454)</f>
        <v>264</v>
      </c>
      <c r="I454" s="73">
        <f>'[1]D5 Gallon Forecast'!$AI144/1000000</f>
        <v>0</v>
      </c>
      <c r="J454" s="73">
        <f>'[1]D5 Gallon Forecast'!$AI160/1000000</f>
        <v>21.605043357569524</v>
      </c>
      <c r="K454" s="73">
        <f t="shared" si="22"/>
        <v>21.605043357569524</v>
      </c>
      <c r="L454" s="23">
        <f t="shared" si="23"/>
        <v>0.98204742534406919</v>
      </c>
    </row>
    <row r="455" spans="1:12" x14ac:dyDescent="0.2">
      <c r="A455" s="15">
        <v>52505</v>
      </c>
      <c r="B455" s="73">
        <v>55</v>
      </c>
      <c r="C455" s="73">
        <v>55</v>
      </c>
      <c r="D455" s="73">
        <v>150</v>
      </c>
      <c r="E455" s="73">
        <v>4</v>
      </c>
      <c r="G455" s="73">
        <f t="shared" si="24"/>
        <v>264</v>
      </c>
      <c r="I455" s="73">
        <f>'[1]D5 Gallon Forecast'!$AI145/1000000</f>
        <v>0</v>
      </c>
      <c r="J455" s="73">
        <f>'[1]D5 Gallon Forecast'!$AI161/1000000</f>
        <v>17.364453718956657</v>
      </c>
      <c r="K455" s="73">
        <f t="shared" si="22"/>
        <v>17.364453718956657</v>
      </c>
      <c r="L455" s="23">
        <f t="shared" si="23"/>
        <v>0.7892933508616663</v>
      </c>
    </row>
    <row r="456" spans="1:12" x14ac:dyDescent="0.2">
      <c r="A456" s="15">
        <v>52536</v>
      </c>
      <c r="B456" s="73">
        <v>55</v>
      </c>
      <c r="C456" s="73">
        <v>55</v>
      </c>
      <c r="D456" s="73">
        <v>150</v>
      </c>
      <c r="E456" s="73">
        <v>4</v>
      </c>
      <c r="G456" s="73">
        <f t="shared" si="24"/>
        <v>264</v>
      </c>
      <c r="I456" s="73">
        <f>'[1]D5 Gallon Forecast'!$AI146/1000000</f>
        <v>0</v>
      </c>
      <c r="J456" s="73">
        <f>'[1]D5 Gallon Forecast'!$AI162/1000000</f>
        <v>17.483966806376909</v>
      </c>
      <c r="K456" s="73">
        <f t="shared" si="22"/>
        <v>17.483966806376909</v>
      </c>
      <c r="L456" s="23">
        <f t="shared" si="23"/>
        <v>0.79472576392622307</v>
      </c>
    </row>
    <row r="457" spans="1:12" x14ac:dyDescent="0.2">
      <c r="A457" s="15">
        <v>52566</v>
      </c>
      <c r="B457" s="73">
        <v>55</v>
      </c>
      <c r="C457" s="73">
        <v>55</v>
      </c>
      <c r="D457" s="73">
        <v>150</v>
      </c>
      <c r="E457" s="73">
        <v>4</v>
      </c>
      <c r="G457" s="73">
        <f t="shared" si="24"/>
        <v>264</v>
      </c>
      <c r="I457" s="73">
        <f>'[1]D5 Gallon Forecast'!$AI147/1000000</f>
        <v>0</v>
      </c>
      <c r="J457" s="73">
        <f>'[1]D5 Gallon Forecast'!$AI163/1000000</f>
        <v>18.016541818767784</v>
      </c>
      <c r="K457" s="73">
        <f t="shared" si="22"/>
        <v>18.016541818767784</v>
      </c>
      <c r="L457" s="23">
        <f t="shared" si="23"/>
        <v>0.81893371903489931</v>
      </c>
    </row>
    <row r="458" spans="1:12" x14ac:dyDescent="0.2">
      <c r="A458" s="15">
        <v>52597</v>
      </c>
      <c r="B458" s="73">
        <v>55</v>
      </c>
      <c r="C458" s="73">
        <v>55</v>
      </c>
      <c r="D458" s="73">
        <v>150</v>
      </c>
      <c r="E458" s="73">
        <v>4</v>
      </c>
      <c r="G458" s="73">
        <f t="shared" si="24"/>
        <v>264</v>
      </c>
      <c r="I458" s="73">
        <f>'[1]D5 Gallon Forecast'!$AJ136/1000000</f>
        <v>0</v>
      </c>
      <c r="J458" s="73">
        <f>'[1]D5 Gallon Forecast'!$AJ152/1000000</f>
        <v>16.099231313213821</v>
      </c>
      <c r="K458" s="73">
        <f t="shared" si="22"/>
        <v>16.099231313213821</v>
      </c>
      <c r="L458" s="23">
        <f t="shared" si="23"/>
        <v>0.73178324150971907</v>
      </c>
    </row>
    <row r="459" spans="1:12" x14ac:dyDescent="0.2">
      <c r="A459" s="15">
        <v>52628</v>
      </c>
      <c r="B459" s="73">
        <v>55</v>
      </c>
      <c r="C459" s="73">
        <v>55</v>
      </c>
      <c r="D459" s="73">
        <v>150</v>
      </c>
      <c r="E459" s="73">
        <v>4</v>
      </c>
      <c r="G459" s="73">
        <f t="shared" si="24"/>
        <v>264</v>
      </c>
      <c r="I459" s="73">
        <f>'[1]D5 Gallon Forecast'!$AJ137/1000000</f>
        <v>0</v>
      </c>
      <c r="J459" s="73">
        <f>'[1]D5 Gallon Forecast'!$AJ153/1000000</f>
        <v>12.590263834875172</v>
      </c>
      <c r="K459" s="73">
        <f t="shared" si="22"/>
        <v>12.590263834875172</v>
      </c>
      <c r="L459" s="23">
        <f t="shared" si="23"/>
        <v>0.5722847197670532</v>
      </c>
    </row>
    <row r="460" spans="1:12" x14ac:dyDescent="0.2">
      <c r="A460" s="15">
        <v>52657</v>
      </c>
      <c r="B460" s="73">
        <v>55</v>
      </c>
      <c r="C460" s="73">
        <v>55</v>
      </c>
      <c r="D460" s="73">
        <v>150</v>
      </c>
      <c r="E460" s="73">
        <v>4</v>
      </c>
      <c r="G460" s="73">
        <f t="shared" si="24"/>
        <v>264</v>
      </c>
      <c r="I460" s="73">
        <f>'[1]D5 Gallon Forecast'!$AJ138/1000000</f>
        <v>0</v>
      </c>
      <c r="J460" s="73">
        <f>'[1]D5 Gallon Forecast'!$AJ154/1000000</f>
        <v>20.730820570488284</v>
      </c>
      <c r="K460" s="73">
        <f t="shared" si="22"/>
        <v>20.730820570488284</v>
      </c>
      <c r="L460" s="23">
        <f t="shared" si="23"/>
        <v>0.94231002593128566</v>
      </c>
    </row>
    <row r="461" spans="1:12" x14ac:dyDescent="0.2">
      <c r="A461" s="15">
        <v>52688</v>
      </c>
      <c r="B461" s="73">
        <v>55</v>
      </c>
      <c r="C461" s="73">
        <v>55</v>
      </c>
      <c r="D461" s="73">
        <v>150</v>
      </c>
      <c r="E461" s="73">
        <v>4</v>
      </c>
      <c r="G461" s="73">
        <f t="shared" si="24"/>
        <v>264</v>
      </c>
      <c r="I461" s="73">
        <f>'[1]D5 Gallon Forecast'!$AJ139/1000000</f>
        <v>0</v>
      </c>
      <c r="J461" s="73">
        <f>'[1]D5 Gallon Forecast'!$AJ155/1000000</f>
        <v>13.5017056301654</v>
      </c>
      <c r="K461" s="73">
        <f t="shared" si="22"/>
        <v>13.5017056301654</v>
      </c>
      <c r="L461" s="23">
        <f t="shared" si="23"/>
        <v>0.61371389228024542</v>
      </c>
    </row>
    <row r="462" spans="1:12" x14ac:dyDescent="0.2">
      <c r="A462" s="15">
        <v>52718</v>
      </c>
      <c r="B462" s="73">
        <v>55</v>
      </c>
      <c r="C462" s="73">
        <v>55</v>
      </c>
      <c r="D462" s="73">
        <v>150</v>
      </c>
      <c r="E462" s="73">
        <v>4</v>
      </c>
      <c r="G462" s="73">
        <f t="shared" si="24"/>
        <v>264</v>
      </c>
      <c r="I462" s="73">
        <f>'[1]D5 Gallon Forecast'!$AJ140/1000000</f>
        <v>0</v>
      </c>
      <c r="J462" s="73">
        <f>'[1]D5 Gallon Forecast'!$AJ156/1000000</f>
        <v>14.862859853075252</v>
      </c>
      <c r="K462" s="73">
        <f t="shared" si="22"/>
        <v>14.862859853075252</v>
      </c>
      <c r="L462" s="23">
        <f t="shared" si="23"/>
        <v>0.67558453877614788</v>
      </c>
    </row>
    <row r="463" spans="1:12" x14ac:dyDescent="0.2">
      <c r="A463" s="15">
        <v>52749</v>
      </c>
      <c r="B463" s="73">
        <v>55</v>
      </c>
      <c r="C463" s="73">
        <v>55</v>
      </c>
      <c r="D463" s="73">
        <v>150</v>
      </c>
      <c r="E463" s="73">
        <v>4</v>
      </c>
      <c r="G463" s="73">
        <f t="shared" si="24"/>
        <v>264</v>
      </c>
      <c r="I463" s="73">
        <f>'[1]D5 Gallon Forecast'!$AJ141/1000000</f>
        <v>0</v>
      </c>
      <c r="J463" s="73">
        <f>'[1]D5 Gallon Forecast'!$AJ157/1000000</f>
        <v>20.120431229344469</v>
      </c>
      <c r="K463" s="73">
        <f t="shared" si="22"/>
        <v>20.120431229344469</v>
      </c>
      <c r="L463" s="23">
        <f t="shared" si="23"/>
        <v>0.91456505587929404</v>
      </c>
    </row>
    <row r="464" spans="1:12" x14ac:dyDescent="0.2">
      <c r="A464" s="15">
        <v>52779</v>
      </c>
      <c r="B464" s="73">
        <v>55</v>
      </c>
      <c r="C464" s="73">
        <v>55</v>
      </c>
      <c r="D464" s="73">
        <v>150</v>
      </c>
      <c r="E464" s="73">
        <v>4</v>
      </c>
      <c r="G464" s="73">
        <f t="shared" si="24"/>
        <v>264</v>
      </c>
      <c r="I464" s="73">
        <f>'[1]D5 Gallon Forecast'!$AJ142/1000000</f>
        <v>0</v>
      </c>
      <c r="J464" s="73">
        <f>'[1]D5 Gallon Forecast'!$AJ158/1000000</f>
        <v>16.798987999267172</v>
      </c>
      <c r="K464" s="73">
        <f t="shared" si="22"/>
        <v>16.798987999267172</v>
      </c>
      <c r="L464" s="23">
        <f t="shared" si="23"/>
        <v>0.76359036360305332</v>
      </c>
    </row>
    <row r="465" spans="1:12" x14ac:dyDescent="0.2">
      <c r="A465" s="15">
        <v>52810</v>
      </c>
      <c r="B465" s="73">
        <v>55</v>
      </c>
      <c r="C465" s="73">
        <v>55</v>
      </c>
      <c r="D465" s="73">
        <v>150</v>
      </c>
      <c r="E465" s="73">
        <v>4</v>
      </c>
      <c r="G465" s="73">
        <f t="shared" si="24"/>
        <v>264</v>
      </c>
      <c r="I465" s="73">
        <f>'[1]D5 Gallon Forecast'!$AJ143/1000000</f>
        <v>0</v>
      </c>
      <c r="J465" s="73">
        <f>'[1]D5 Gallon Forecast'!$AJ159/1000000</f>
        <v>24.677927581519192</v>
      </c>
      <c r="K465" s="73">
        <f t="shared" si="22"/>
        <v>24.677927581519192</v>
      </c>
      <c r="L465" s="23">
        <f t="shared" si="23"/>
        <v>1.1217239809781452</v>
      </c>
    </row>
    <row r="466" spans="1:12" x14ac:dyDescent="0.2">
      <c r="A466" s="15">
        <v>52841</v>
      </c>
      <c r="B466" s="73">
        <v>55</v>
      </c>
      <c r="C466" s="73">
        <v>55</v>
      </c>
      <c r="D466" s="73">
        <v>150</v>
      </c>
      <c r="E466" s="73">
        <v>4</v>
      </c>
      <c r="G466" s="73">
        <f t="shared" si="24"/>
        <v>264</v>
      </c>
      <c r="I466" s="73">
        <f>'[1]D5 Gallon Forecast'!$AJ144/1000000</f>
        <v>0</v>
      </c>
      <c r="J466" s="73">
        <f>'[1]D5 Gallon Forecast'!$AJ160/1000000</f>
        <v>22.145296316788375</v>
      </c>
      <c r="K466" s="73">
        <f t="shared" si="22"/>
        <v>22.145296316788375</v>
      </c>
      <c r="L466" s="23">
        <f t="shared" si="23"/>
        <v>1.0066043780358351</v>
      </c>
    </row>
    <row r="467" spans="1:12" x14ac:dyDescent="0.2">
      <c r="A467" s="15">
        <v>52871</v>
      </c>
      <c r="B467" s="73">
        <v>55</v>
      </c>
      <c r="C467" s="73">
        <v>55</v>
      </c>
      <c r="D467" s="73">
        <v>150</v>
      </c>
      <c r="E467" s="73">
        <v>4</v>
      </c>
      <c r="G467" s="73">
        <f t="shared" si="24"/>
        <v>264</v>
      </c>
      <c r="I467" s="73">
        <f>'[1]D5 Gallon Forecast'!$AJ145/1000000</f>
        <v>0</v>
      </c>
      <c r="J467" s="73">
        <f>'[1]D5 Gallon Forecast'!$AJ161/1000000</f>
        <v>17.797973252469543</v>
      </c>
      <c r="K467" s="73">
        <f t="shared" si="22"/>
        <v>17.797973252469543</v>
      </c>
      <c r="L467" s="23">
        <f t="shared" si="23"/>
        <v>0.80899878420316096</v>
      </c>
    </row>
    <row r="468" spans="1:12" x14ac:dyDescent="0.2">
      <c r="A468" s="15">
        <v>52902</v>
      </c>
      <c r="B468" s="73">
        <v>55</v>
      </c>
      <c r="C468" s="73">
        <v>55</v>
      </c>
      <c r="D468" s="73">
        <v>150</v>
      </c>
      <c r="E468" s="73">
        <v>4</v>
      </c>
      <c r="G468" s="73">
        <f t="shared" si="24"/>
        <v>264</v>
      </c>
      <c r="I468" s="73">
        <f>'[1]D5 Gallon Forecast'!$AJ146/1000000</f>
        <v>0</v>
      </c>
      <c r="J468" s="73">
        <f>'[1]D5 Gallon Forecast'!$AJ162/1000000</f>
        <v>17.920440820795548</v>
      </c>
      <c r="K468" s="73">
        <f t="shared" si="22"/>
        <v>17.920440820795548</v>
      </c>
      <c r="L468" s="23">
        <f t="shared" si="23"/>
        <v>0.81456549185434313</v>
      </c>
    </row>
    <row r="469" spans="1:12" x14ac:dyDescent="0.2">
      <c r="A469" s="15">
        <v>52932</v>
      </c>
      <c r="B469" s="73">
        <v>55</v>
      </c>
      <c r="C469" s="73">
        <v>55</v>
      </c>
      <c r="D469" s="73">
        <v>150</v>
      </c>
      <c r="E469" s="73">
        <v>4</v>
      </c>
      <c r="G469" s="73">
        <f t="shared" si="24"/>
        <v>264</v>
      </c>
      <c r="I469" s="73">
        <f>'[1]D5 Gallon Forecast'!$AJ147/1000000</f>
        <v>0</v>
      </c>
      <c r="J469" s="73">
        <f>'[1]D5 Gallon Forecast'!$AJ163/1000000</f>
        <v>18.468698907797993</v>
      </c>
      <c r="K469" s="73">
        <f t="shared" si="22"/>
        <v>18.468698907797993</v>
      </c>
      <c r="L469" s="23">
        <f t="shared" si="23"/>
        <v>0.83948631399081786</v>
      </c>
    </row>
    <row r="470" spans="1:12" x14ac:dyDescent="0.2">
      <c r="A470" s="15">
        <v>52963</v>
      </c>
      <c r="B470" s="73">
        <v>55</v>
      </c>
      <c r="C470" s="73">
        <v>55</v>
      </c>
      <c r="D470" s="73">
        <v>150</v>
      </c>
      <c r="E470" s="73">
        <v>4</v>
      </c>
      <c r="G470" s="73">
        <f t="shared" si="24"/>
        <v>264</v>
      </c>
      <c r="I470" s="73">
        <f>'[1]D5 Gallon Forecast'!$AK136/1000000</f>
        <v>0</v>
      </c>
      <c r="J470" s="73">
        <f>'[1]D5 Gallon Forecast'!$AK152/1000000</f>
        <v>16.066784200494087</v>
      </c>
      <c r="K470" s="73">
        <f t="shared" si="22"/>
        <v>16.066784200494087</v>
      </c>
      <c r="L470" s="23">
        <f t="shared" si="23"/>
        <v>0.73030837274973126</v>
      </c>
    </row>
    <row r="471" spans="1:12" x14ac:dyDescent="0.2">
      <c r="A471" s="15">
        <v>52994</v>
      </c>
      <c r="B471" s="73">
        <v>55</v>
      </c>
      <c r="C471" s="73">
        <v>55</v>
      </c>
      <c r="D471" s="73">
        <v>150</v>
      </c>
      <c r="E471" s="73">
        <v>4</v>
      </c>
      <c r="G471" s="73">
        <f t="shared" si="24"/>
        <v>264</v>
      </c>
      <c r="I471" s="73">
        <f>'[1]D5 Gallon Forecast'!$AK137/1000000</f>
        <v>0</v>
      </c>
      <c r="J471" s="73">
        <f>'[1]D5 Gallon Forecast'!$AK153/1000000</f>
        <v>12.564551721336858</v>
      </c>
      <c r="K471" s="73">
        <f t="shared" si="22"/>
        <v>12.564551721336858</v>
      </c>
      <c r="L471" s="23">
        <f t="shared" si="23"/>
        <v>0.57111598733349367</v>
      </c>
    </row>
    <row r="472" spans="1:12" x14ac:dyDescent="0.2">
      <c r="A472" s="15">
        <v>53022</v>
      </c>
      <c r="B472" s="73">
        <v>55</v>
      </c>
      <c r="C472" s="73">
        <v>55</v>
      </c>
      <c r="D472" s="73">
        <v>150</v>
      </c>
      <c r="E472" s="73">
        <v>4</v>
      </c>
      <c r="G472" s="73">
        <f t="shared" si="24"/>
        <v>264</v>
      </c>
      <c r="I472" s="73">
        <f>'[1]D5 Gallon Forecast'!$AK138/1000000</f>
        <v>0</v>
      </c>
      <c r="J472" s="73">
        <f>'[1]D5 Gallon Forecast'!$AK154/1000000</f>
        <v>20.692352624093534</v>
      </c>
      <c r="K472" s="73">
        <f t="shared" si="22"/>
        <v>20.692352624093534</v>
      </c>
      <c r="L472" s="23">
        <f t="shared" si="23"/>
        <v>0.94056148291334252</v>
      </c>
    </row>
    <row r="473" spans="1:12" x14ac:dyDescent="0.2">
      <c r="A473" s="15">
        <v>53053</v>
      </c>
      <c r="B473" s="73">
        <v>55</v>
      </c>
      <c r="C473" s="73">
        <v>55</v>
      </c>
      <c r="D473" s="73">
        <v>150</v>
      </c>
      <c r="E473" s="73">
        <v>4</v>
      </c>
      <c r="G473" s="73">
        <f t="shared" si="24"/>
        <v>264</v>
      </c>
      <c r="I473" s="73">
        <f>'[1]D5 Gallon Forecast'!$AK139/1000000</f>
        <v>0</v>
      </c>
      <c r="J473" s="73">
        <f>'[1]D5 Gallon Forecast'!$AK155/1000000</f>
        <v>13.476200619701881</v>
      </c>
      <c r="K473" s="73">
        <f t="shared" si="22"/>
        <v>13.476200619701881</v>
      </c>
      <c r="L473" s="23">
        <f t="shared" si="23"/>
        <v>0.61255457362281274</v>
      </c>
    </row>
    <row r="474" spans="1:12" x14ac:dyDescent="0.2">
      <c r="A474" s="15">
        <v>53083</v>
      </c>
      <c r="B474" s="73">
        <v>55</v>
      </c>
      <c r="C474" s="73">
        <v>55</v>
      </c>
      <c r="D474" s="73">
        <v>150</v>
      </c>
      <c r="E474" s="73">
        <v>4</v>
      </c>
      <c r="G474" s="73">
        <f t="shared" si="24"/>
        <v>264</v>
      </c>
      <c r="I474" s="73">
        <f>'[1]D5 Gallon Forecast'!$AK140/1000000</f>
        <v>0</v>
      </c>
      <c r="J474" s="73">
        <f>'[1]D5 Gallon Forecast'!$AK156/1000000</f>
        <v>14.835883012585937</v>
      </c>
      <c r="K474" s="73">
        <f t="shared" si="22"/>
        <v>14.835883012585937</v>
      </c>
      <c r="L474" s="23">
        <f t="shared" si="23"/>
        <v>0.67435831875390617</v>
      </c>
    </row>
    <row r="475" spans="1:12" x14ac:dyDescent="0.2">
      <c r="A475" s="15">
        <v>53114</v>
      </c>
      <c r="B475" s="73">
        <v>55</v>
      </c>
      <c r="C475" s="73">
        <v>55</v>
      </c>
      <c r="D475" s="73">
        <v>150</v>
      </c>
      <c r="E475" s="73">
        <v>4</v>
      </c>
      <c r="G475" s="73">
        <f t="shared" si="24"/>
        <v>264</v>
      </c>
      <c r="I475" s="73">
        <f>'[1]D5 Gallon Forecast'!$AK141/1000000</f>
        <v>0</v>
      </c>
      <c r="J475" s="73">
        <f>'[1]D5 Gallon Forecast'!$AK157/1000000</f>
        <v>20.083729640953184</v>
      </c>
      <c r="K475" s="73">
        <f t="shared" si="22"/>
        <v>20.083729640953184</v>
      </c>
      <c r="L475" s="23">
        <f t="shared" si="23"/>
        <v>0.91289680186150846</v>
      </c>
    </row>
    <row r="476" spans="1:12" x14ac:dyDescent="0.2">
      <c r="A476" s="15">
        <v>53144</v>
      </c>
      <c r="B476" s="73">
        <v>55</v>
      </c>
      <c r="C476" s="73">
        <v>55</v>
      </c>
      <c r="D476" s="73">
        <v>150</v>
      </c>
      <c r="E476" s="73">
        <v>4</v>
      </c>
      <c r="G476" s="73">
        <f t="shared" si="24"/>
        <v>264</v>
      </c>
      <c r="I476" s="73">
        <f>'[1]D5 Gallon Forecast'!$AK142/1000000</f>
        <v>0</v>
      </c>
      <c r="J476" s="73">
        <f>'[1]D5 Gallon Forecast'!$AK158/1000000</f>
        <v>16.766178759196563</v>
      </c>
      <c r="K476" s="73">
        <f t="shared" si="22"/>
        <v>16.766178759196563</v>
      </c>
      <c r="L476" s="23">
        <f t="shared" si="23"/>
        <v>0.76209903450893468</v>
      </c>
    </row>
    <row r="477" spans="1:12" x14ac:dyDescent="0.2">
      <c r="A477" s="15">
        <v>53175</v>
      </c>
      <c r="B477" s="73">
        <v>55</v>
      </c>
      <c r="C477" s="73">
        <v>55</v>
      </c>
      <c r="D477" s="73">
        <v>150</v>
      </c>
      <c r="E477" s="73">
        <v>4</v>
      </c>
      <c r="G477" s="73">
        <f t="shared" si="24"/>
        <v>264</v>
      </c>
      <c r="I477" s="73">
        <f>'[1]D5 Gallon Forecast'!$AK143/1000000</f>
        <v>0</v>
      </c>
      <c r="J477" s="73">
        <f>'[1]D5 Gallon Forecast'!$AK159/1000000</f>
        <v>24.630661235033909</v>
      </c>
      <c r="K477" s="73">
        <f t="shared" si="22"/>
        <v>24.630661235033909</v>
      </c>
      <c r="L477" s="23">
        <f t="shared" si="23"/>
        <v>1.1195755106833594</v>
      </c>
    </row>
    <row r="478" spans="1:12" x14ac:dyDescent="0.2">
      <c r="A478" s="15">
        <v>53206</v>
      </c>
      <c r="B478" s="73">
        <v>55</v>
      </c>
      <c r="C478" s="73">
        <v>55</v>
      </c>
      <c r="D478" s="73">
        <v>150</v>
      </c>
      <c r="E478" s="73">
        <v>4</v>
      </c>
      <c r="G478" s="73">
        <f t="shared" si="24"/>
        <v>264</v>
      </c>
      <c r="I478" s="73">
        <f>'[1]D5 Gallon Forecast'!$AK144/1000000</f>
        <v>0</v>
      </c>
      <c r="J478" s="73">
        <f>'[1]D5 Gallon Forecast'!$AK160/1000000</f>
        <v>22.103183934283827</v>
      </c>
      <c r="K478" s="73">
        <f t="shared" si="22"/>
        <v>22.103183934283827</v>
      </c>
      <c r="L478" s="23">
        <f t="shared" si="23"/>
        <v>1.0046901788310829</v>
      </c>
    </row>
    <row r="479" spans="1:12" x14ac:dyDescent="0.2">
      <c r="A479" s="15">
        <v>53236</v>
      </c>
      <c r="B479" s="73">
        <v>55</v>
      </c>
      <c r="C479" s="73">
        <v>55</v>
      </c>
      <c r="D479" s="73">
        <v>150</v>
      </c>
      <c r="E479" s="73">
        <v>4</v>
      </c>
      <c r="G479" s="73">
        <f t="shared" si="24"/>
        <v>264</v>
      </c>
      <c r="I479" s="73">
        <f>'[1]D5 Gallon Forecast'!$AK145/1000000</f>
        <v>0</v>
      </c>
      <c r="J479" s="73">
        <f>'[1]D5 Gallon Forecast'!$AK161/1000000</f>
        <v>17.764404354395577</v>
      </c>
      <c r="K479" s="73">
        <f t="shared" si="22"/>
        <v>17.764404354395577</v>
      </c>
      <c r="L479" s="23">
        <f t="shared" si="23"/>
        <v>0.80747292519979885</v>
      </c>
    </row>
    <row r="480" spans="1:12" x14ac:dyDescent="0.2">
      <c r="A480" s="15">
        <v>53267</v>
      </c>
      <c r="B480" s="73">
        <v>55</v>
      </c>
      <c r="C480" s="73">
        <v>55</v>
      </c>
      <c r="D480" s="73">
        <v>150</v>
      </c>
      <c r="E480" s="73">
        <v>4</v>
      </c>
      <c r="G480" s="73">
        <f t="shared" si="24"/>
        <v>264</v>
      </c>
      <c r="I480" s="73">
        <f>'[1]D5 Gallon Forecast'!$AK146/1000000</f>
        <v>0</v>
      </c>
      <c r="J480" s="73">
        <f>'[1]D5 Gallon Forecast'!$AK162/1000000</f>
        <v>17.885789696728093</v>
      </c>
      <c r="K480" s="73">
        <f t="shared" si="22"/>
        <v>17.885789696728093</v>
      </c>
      <c r="L480" s="23">
        <f t="shared" si="23"/>
        <v>0.81299044076036786</v>
      </c>
    </row>
    <row r="481" spans="1:12" x14ac:dyDescent="0.2">
      <c r="A481" s="15">
        <v>53297</v>
      </c>
      <c r="B481" s="73">
        <v>55</v>
      </c>
      <c r="C481" s="73">
        <v>55</v>
      </c>
      <c r="D481" s="73">
        <v>150</v>
      </c>
      <c r="E481" s="73">
        <v>4</v>
      </c>
      <c r="G481" s="73">
        <f t="shared" si="24"/>
        <v>264</v>
      </c>
      <c r="I481" s="73">
        <f>'[1]D5 Gallon Forecast'!$AK147/1000000</f>
        <v>0</v>
      </c>
      <c r="J481" s="73">
        <f>'[1]D5 Gallon Forecast'!$AK163/1000000</f>
        <v>18.43238210248089</v>
      </c>
      <c r="K481" s="73">
        <f t="shared" si="22"/>
        <v>18.43238210248089</v>
      </c>
      <c r="L481" s="23">
        <f t="shared" si="23"/>
        <v>0.83783555011276778</v>
      </c>
    </row>
    <row r="482" spans="1:12" x14ac:dyDescent="0.2">
      <c r="A482" s="15">
        <v>53328</v>
      </c>
      <c r="B482" s="73">
        <v>55</v>
      </c>
      <c r="C482" s="73">
        <v>55</v>
      </c>
      <c r="D482" s="73">
        <v>150</v>
      </c>
      <c r="E482" s="73">
        <v>4</v>
      </c>
      <c r="G482" s="73">
        <f t="shared" si="24"/>
        <v>264</v>
      </c>
      <c r="I482" s="73">
        <f>'[1]D5 Gallon Forecast'!$AL136/1000000</f>
        <v>0</v>
      </c>
      <c r="J482" s="73">
        <f>'[1]D5 Gallon Forecast'!$AL152/1000000</f>
        <v>15.994169829607673</v>
      </c>
      <c r="K482" s="73">
        <f t="shared" si="22"/>
        <v>15.994169829607673</v>
      </c>
      <c r="L482" s="23">
        <f t="shared" si="23"/>
        <v>0.72700771952762155</v>
      </c>
    </row>
    <row r="483" spans="1:12" x14ac:dyDescent="0.2">
      <c r="A483" s="15">
        <v>53359</v>
      </c>
      <c r="B483" s="73">
        <v>55</v>
      </c>
      <c r="C483" s="73">
        <v>55</v>
      </c>
      <c r="D483" s="73">
        <v>150</v>
      </c>
      <c r="E483" s="73">
        <v>4</v>
      </c>
      <c r="G483" s="73">
        <f t="shared" si="24"/>
        <v>264</v>
      </c>
      <c r="I483" s="73">
        <f>'[1]D5 Gallon Forecast'!$AL137/1000000</f>
        <v>0</v>
      </c>
      <c r="J483" s="73">
        <f>'[1]D5 Gallon Forecast'!$AL153/1000000</f>
        <v>12.507669812683295</v>
      </c>
      <c r="K483" s="73">
        <f t="shared" si="22"/>
        <v>12.507669812683295</v>
      </c>
      <c r="L483" s="23">
        <f t="shared" si="23"/>
        <v>0.56853044603105884</v>
      </c>
    </row>
    <row r="484" spans="1:12" x14ac:dyDescent="0.2">
      <c r="A484" s="15">
        <v>53387</v>
      </c>
      <c r="B484" s="73">
        <v>55</v>
      </c>
      <c r="C484" s="73">
        <v>55</v>
      </c>
      <c r="D484" s="73">
        <v>150</v>
      </c>
      <c r="E484" s="73">
        <v>4</v>
      </c>
      <c r="G484" s="73">
        <f t="shared" si="24"/>
        <v>264</v>
      </c>
      <c r="I484" s="73">
        <f>'[1]D5 Gallon Forecast'!$AL138/1000000</f>
        <v>0</v>
      </c>
      <c r="J484" s="73">
        <f>'[1]D5 Gallon Forecast'!$AL154/1000000</f>
        <v>20.598836516013481</v>
      </c>
      <c r="K484" s="73">
        <f t="shared" si="22"/>
        <v>20.598836516013481</v>
      </c>
      <c r="L484" s="23">
        <f t="shared" si="23"/>
        <v>0.93631075072788561</v>
      </c>
    </row>
    <row r="485" spans="1:12" x14ac:dyDescent="0.2">
      <c r="A485" s="15">
        <v>53418</v>
      </c>
      <c r="B485" s="73">
        <v>55</v>
      </c>
      <c r="C485" s="73">
        <v>55</v>
      </c>
      <c r="D485" s="73">
        <v>150</v>
      </c>
      <c r="E485" s="73">
        <v>4</v>
      </c>
      <c r="G485" s="73">
        <f t="shared" si="24"/>
        <v>264</v>
      </c>
      <c r="I485" s="73">
        <f>'[1]D5 Gallon Forecast'!$AL139/1000000</f>
        <v>0</v>
      </c>
      <c r="J485" s="73">
        <f>'[1]D5 Gallon Forecast'!$AL155/1000000</f>
        <v>13.41520567477086</v>
      </c>
      <c r="K485" s="73">
        <f t="shared" si="22"/>
        <v>13.41520567477086</v>
      </c>
      <c r="L485" s="23">
        <f t="shared" si="23"/>
        <v>0.60978207612594815</v>
      </c>
    </row>
    <row r="486" spans="1:12" x14ac:dyDescent="0.2">
      <c r="A486" s="15">
        <v>53448</v>
      </c>
      <c r="B486" s="73">
        <v>55</v>
      </c>
      <c r="C486" s="73">
        <v>55</v>
      </c>
      <c r="D486" s="73">
        <v>150</v>
      </c>
      <c r="E486" s="73">
        <v>4</v>
      </c>
      <c r="G486" s="73">
        <f t="shared" si="24"/>
        <v>264</v>
      </c>
      <c r="I486" s="73">
        <f>'[1]D5 Gallon Forecast'!$AL140/1000000</f>
        <v>0</v>
      </c>
      <c r="J486" s="73">
        <f>'[1]D5 Gallon Forecast'!$AL156/1000000</f>
        <v>14.767143517288384</v>
      </c>
      <c r="K486" s="73">
        <f t="shared" si="22"/>
        <v>14.767143517288384</v>
      </c>
      <c r="L486" s="23">
        <f t="shared" si="23"/>
        <v>0.67123379624038115</v>
      </c>
    </row>
    <row r="487" spans="1:12" x14ac:dyDescent="0.2">
      <c r="A487" s="15">
        <v>53479</v>
      </c>
      <c r="B487" s="73">
        <v>55</v>
      </c>
      <c r="C487" s="73">
        <v>55</v>
      </c>
      <c r="D487" s="73">
        <v>150</v>
      </c>
      <c r="E487" s="73">
        <v>4</v>
      </c>
      <c r="G487" s="73">
        <f t="shared" si="24"/>
        <v>264</v>
      </c>
      <c r="I487" s="73">
        <f>'[1]D5 Gallon Forecast'!$AL141/1000000</f>
        <v>0</v>
      </c>
      <c r="J487" s="73">
        <f>'[1]D5 Gallon Forecast'!$AL157/1000000</f>
        <v>19.993462917919391</v>
      </c>
      <c r="K487" s="73">
        <f t="shared" si="22"/>
        <v>19.993462917919391</v>
      </c>
      <c r="L487" s="23">
        <f t="shared" si="23"/>
        <v>0.90879376899633602</v>
      </c>
    </row>
    <row r="488" spans="1:12" x14ac:dyDescent="0.2">
      <c r="A488" s="15">
        <v>53509</v>
      </c>
      <c r="B488" s="73">
        <v>55</v>
      </c>
      <c r="C488" s="73">
        <v>55</v>
      </c>
      <c r="D488" s="73">
        <v>150</v>
      </c>
      <c r="E488" s="73">
        <v>4</v>
      </c>
      <c r="G488" s="73">
        <f t="shared" si="24"/>
        <v>264</v>
      </c>
      <c r="I488" s="73">
        <f>'[1]D5 Gallon Forecast'!$AL142/1000000</f>
        <v>0</v>
      </c>
      <c r="J488" s="73">
        <f>'[1]D5 Gallon Forecast'!$AL158/1000000</f>
        <v>16.691271480748377</v>
      </c>
      <c r="K488" s="73">
        <f t="shared" si="22"/>
        <v>16.691271480748377</v>
      </c>
      <c r="L488" s="23">
        <f t="shared" si="23"/>
        <v>0.7586941582158353</v>
      </c>
    </row>
    <row r="489" spans="1:12" x14ac:dyDescent="0.2">
      <c r="A489" s="15">
        <v>53540</v>
      </c>
      <c r="B489" s="73">
        <v>55</v>
      </c>
      <c r="C489" s="73">
        <v>55</v>
      </c>
      <c r="D489" s="73">
        <v>150</v>
      </c>
      <c r="E489" s="73">
        <v>4</v>
      </c>
      <c r="G489" s="73">
        <f t="shared" si="24"/>
        <v>264</v>
      </c>
      <c r="I489" s="73">
        <f>'[1]D5 Gallon Forecast'!$AL143/1000000</f>
        <v>0</v>
      </c>
      <c r="J489" s="73">
        <f>'[1]D5 Gallon Forecast'!$AL159/1000000</f>
        <v>24.520096812803601</v>
      </c>
      <c r="K489" s="73">
        <f t="shared" si="22"/>
        <v>24.520096812803601</v>
      </c>
      <c r="L489" s="23">
        <f t="shared" si="23"/>
        <v>1.1145498551274364</v>
      </c>
    </row>
    <row r="490" spans="1:12" x14ac:dyDescent="0.2">
      <c r="A490" s="15">
        <v>53571</v>
      </c>
      <c r="B490" s="73">
        <v>55</v>
      </c>
      <c r="C490" s="73">
        <v>55</v>
      </c>
      <c r="D490" s="73">
        <v>150</v>
      </c>
      <c r="E490" s="73">
        <v>4</v>
      </c>
      <c r="G490" s="73">
        <f t="shared" si="24"/>
        <v>264</v>
      </c>
      <c r="I490" s="73">
        <f>'[1]D5 Gallon Forecast'!$AL144/1000000</f>
        <v>0</v>
      </c>
      <c r="J490" s="73">
        <f>'[1]D5 Gallon Forecast'!$AL160/1000000</f>
        <v>22.003224361149655</v>
      </c>
      <c r="K490" s="73">
        <f t="shared" si="22"/>
        <v>22.003224361149655</v>
      </c>
      <c r="L490" s="23">
        <f t="shared" si="23"/>
        <v>1.000146561870439</v>
      </c>
    </row>
    <row r="491" spans="1:12" x14ac:dyDescent="0.2">
      <c r="A491" s="15">
        <v>53601</v>
      </c>
      <c r="B491" s="73">
        <v>55</v>
      </c>
      <c r="C491" s="73">
        <v>55</v>
      </c>
      <c r="D491" s="73">
        <v>150</v>
      </c>
      <c r="E491" s="73">
        <v>4</v>
      </c>
      <c r="G491" s="73">
        <f t="shared" si="24"/>
        <v>264</v>
      </c>
      <c r="I491" s="73">
        <f>'[1]D5 Gallon Forecast'!$AL145/1000000</f>
        <v>0</v>
      </c>
      <c r="J491" s="73">
        <f>'[1]D5 Gallon Forecast'!$AL161/1000000</f>
        <v>17.684057325440698</v>
      </c>
      <c r="K491" s="73">
        <f t="shared" si="22"/>
        <v>17.684057325440698</v>
      </c>
      <c r="L491" s="23">
        <f t="shared" si="23"/>
        <v>0.80382078752003172</v>
      </c>
    </row>
    <row r="492" spans="1:12" x14ac:dyDescent="0.2">
      <c r="A492" s="15">
        <v>53632</v>
      </c>
      <c r="B492" s="73">
        <v>55</v>
      </c>
      <c r="C492" s="73">
        <v>55</v>
      </c>
      <c r="D492" s="73">
        <v>150</v>
      </c>
      <c r="E492" s="73">
        <v>4</v>
      </c>
      <c r="G492" s="73">
        <f t="shared" si="24"/>
        <v>264</v>
      </c>
      <c r="I492" s="73">
        <f>'[1]D5 Gallon Forecast'!$AL146/1000000</f>
        <v>0</v>
      </c>
      <c r="J492" s="73">
        <f>'[1]D5 Gallon Forecast'!$AL162/1000000</f>
        <v>17.805843159840528</v>
      </c>
      <c r="K492" s="73">
        <f t="shared" si="22"/>
        <v>17.805843159840528</v>
      </c>
      <c r="L492" s="23">
        <f t="shared" si="23"/>
        <v>0.80935650726547859</v>
      </c>
    </row>
    <row r="493" spans="1:12" x14ac:dyDescent="0.2">
      <c r="A493" s="15">
        <v>53662</v>
      </c>
      <c r="B493" s="73">
        <v>55</v>
      </c>
      <c r="C493" s="73">
        <v>55</v>
      </c>
      <c r="D493" s="73">
        <v>150</v>
      </c>
      <c r="E493" s="73">
        <v>4</v>
      </c>
      <c r="G493" s="73">
        <f t="shared" si="24"/>
        <v>264</v>
      </c>
      <c r="I493" s="73">
        <f>'[1]D5 Gallon Forecast'!$AL147/1000000</f>
        <v>0</v>
      </c>
      <c r="J493" s="73">
        <f>'[1]D5 Gallon Forecast'!$AL163/1000000</f>
        <v>18.348662153203041</v>
      </c>
      <c r="K493" s="73">
        <f t="shared" si="22"/>
        <v>18.348662153203041</v>
      </c>
      <c r="L493" s="23">
        <f t="shared" si="23"/>
        <v>0.83403009787286553</v>
      </c>
    </row>
    <row r="494" spans="1:12" x14ac:dyDescent="0.2">
      <c r="A494" s="15">
        <v>53693</v>
      </c>
      <c r="B494" s="73">
        <v>55</v>
      </c>
      <c r="C494" s="73">
        <v>55</v>
      </c>
      <c r="D494" s="73">
        <v>150</v>
      </c>
      <c r="E494" s="73">
        <v>4</v>
      </c>
      <c r="G494" s="73">
        <f t="shared" si="24"/>
        <v>264</v>
      </c>
      <c r="I494" s="73">
        <f>'[1]D5 Gallon Forecast'!$AM136/1000000</f>
        <v>0</v>
      </c>
      <c r="J494" s="73">
        <f>'[1]D5 Gallon Forecast'!$AM152/1000000</f>
        <v>15.720770112049596</v>
      </c>
      <c r="K494" s="73">
        <f t="shared" si="22"/>
        <v>15.720770112049596</v>
      </c>
      <c r="L494" s="23">
        <f t="shared" si="23"/>
        <v>0.71458045963861805</v>
      </c>
    </row>
    <row r="495" spans="1:12" x14ac:dyDescent="0.2">
      <c r="A495" s="15">
        <v>53724</v>
      </c>
      <c r="B495" s="73">
        <v>55</v>
      </c>
      <c r="C495" s="73">
        <v>55</v>
      </c>
      <c r="D495" s="73">
        <v>150</v>
      </c>
      <c r="E495" s="73">
        <v>4</v>
      </c>
      <c r="G495" s="73">
        <f t="shared" si="24"/>
        <v>264</v>
      </c>
      <c r="I495" s="73">
        <f>'[1]D5 Gallon Forecast'!$AM137/1000000</f>
        <v>0</v>
      </c>
      <c r="J495" s="73">
        <f>'[1]D5 Gallon Forecast'!$AM153/1000000</f>
        <v>12.293995051044389</v>
      </c>
      <c r="K495" s="73">
        <f t="shared" si="22"/>
        <v>12.293995051044389</v>
      </c>
      <c r="L495" s="23">
        <f t="shared" si="23"/>
        <v>0.55881795686565405</v>
      </c>
    </row>
    <row r="496" spans="1:12" x14ac:dyDescent="0.2">
      <c r="A496" s="15">
        <v>53752</v>
      </c>
      <c r="B496" s="73">
        <v>55</v>
      </c>
      <c r="C496" s="73">
        <v>55</v>
      </c>
      <c r="D496" s="73">
        <v>150</v>
      </c>
      <c r="E496" s="73">
        <v>4</v>
      </c>
      <c r="G496" s="73">
        <f t="shared" si="24"/>
        <v>264</v>
      </c>
      <c r="I496" s="73">
        <f>'[1]D5 Gallon Forecast'!$AM138/1000000</f>
        <v>0</v>
      </c>
      <c r="J496" s="73">
        <f>'[1]D5 Gallon Forecast'!$AM154/1000000</f>
        <v>20.24595183713587</v>
      </c>
      <c r="K496" s="73">
        <f t="shared" si="22"/>
        <v>20.24595183713587</v>
      </c>
      <c r="L496" s="23">
        <f t="shared" si="23"/>
        <v>0.92027053805163039</v>
      </c>
    </row>
    <row r="497" spans="1:12" x14ac:dyDescent="0.2">
      <c r="A497" s="15">
        <v>53783</v>
      </c>
      <c r="B497" s="73">
        <v>55</v>
      </c>
      <c r="C497" s="73">
        <v>55</v>
      </c>
      <c r="D497" s="73">
        <v>150</v>
      </c>
      <c r="E497" s="73">
        <v>4</v>
      </c>
      <c r="G497" s="73">
        <f t="shared" si="24"/>
        <v>264</v>
      </c>
      <c r="I497" s="73">
        <f>'[1]D5 Gallon Forecast'!$AM139/1000000</f>
        <v>0</v>
      </c>
      <c r="J497" s="73">
        <f>'[1]D5 Gallon Forecast'!$AM155/1000000</f>
        <v>13.185206980684944</v>
      </c>
      <c r="K497" s="73">
        <f t="shared" si="22"/>
        <v>13.185206980684944</v>
      </c>
      <c r="L497" s="23">
        <f t="shared" si="23"/>
        <v>0.59932759003113378</v>
      </c>
    </row>
    <row r="498" spans="1:12" x14ac:dyDescent="0.2">
      <c r="A498" s="15">
        <v>53813</v>
      </c>
      <c r="B498" s="73">
        <v>55</v>
      </c>
      <c r="C498" s="73">
        <v>55</v>
      </c>
      <c r="D498" s="73">
        <v>150</v>
      </c>
      <c r="E498" s="73">
        <v>4</v>
      </c>
      <c r="G498" s="73">
        <f t="shared" si="24"/>
        <v>264</v>
      </c>
      <c r="I498" s="73">
        <f>'[1]D5 Gallon Forecast'!$AM140/1000000</f>
        <v>0</v>
      </c>
      <c r="J498" s="73">
        <f>'[1]D5 Gallon Forecast'!$AM156/1000000</f>
        <v>14.513616741672307</v>
      </c>
      <c r="K498" s="73">
        <f t="shared" si="22"/>
        <v>14.513616741672307</v>
      </c>
      <c r="L498" s="23">
        <f t="shared" si="23"/>
        <v>0.65970985189419573</v>
      </c>
    </row>
    <row r="499" spans="1:12" x14ac:dyDescent="0.2">
      <c r="A499" s="15">
        <v>53844</v>
      </c>
      <c r="B499" s="73">
        <v>55</v>
      </c>
      <c r="C499" s="73">
        <v>55</v>
      </c>
      <c r="D499" s="73">
        <v>150</v>
      </c>
      <c r="E499" s="73">
        <v>4</v>
      </c>
      <c r="G499" s="73">
        <f t="shared" si="24"/>
        <v>264</v>
      </c>
      <c r="I499" s="73">
        <f>'[1]D5 Gallon Forecast'!$AM141/1000000</f>
        <v>0</v>
      </c>
      <c r="J499" s="73">
        <f>'[1]D5 Gallon Forecast'!$AM157/1000000</f>
        <v>19.650481194039784</v>
      </c>
      <c r="K499" s="73">
        <f t="shared" si="22"/>
        <v>19.650481194039784</v>
      </c>
      <c r="L499" s="23">
        <f t="shared" si="23"/>
        <v>0.89320369063817207</v>
      </c>
    </row>
    <row r="500" spans="1:12" x14ac:dyDescent="0.2">
      <c r="A500" s="15">
        <v>53874</v>
      </c>
      <c r="B500" s="73">
        <v>55</v>
      </c>
      <c r="C500" s="73">
        <v>55</v>
      </c>
      <c r="D500" s="73">
        <v>150</v>
      </c>
      <c r="E500" s="73">
        <v>4</v>
      </c>
      <c r="G500" s="73">
        <f t="shared" si="24"/>
        <v>264</v>
      </c>
      <c r="I500" s="73">
        <f>'[1]D5 Gallon Forecast'!$AM142/1000000</f>
        <v>0</v>
      </c>
      <c r="J500" s="73">
        <f>'[1]D5 Gallon Forecast'!$AM158/1000000</f>
        <v>16.405439946088002</v>
      </c>
      <c r="K500" s="73">
        <f t="shared" si="22"/>
        <v>16.405439946088002</v>
      </c>
      <c r="L500" s="23">
        <f t="shared" si="23"/>
        <v>0.74570181573127281</v>
      </c>
    </row>
    <row r="501" spans="1:12" x14ac:dyDescent="0.2">
      <c r="A501" s="15">
        <v>53905</v>
      </c>
      <c r="B501" s="73">
        <v>55</v>
      </c>
      <c r="C501" s="73">
        <v>55</v>
      </c>
      <c r="D501" s="73">
        <v>150</v>
      </c>
      <c r="E501" s="73">
        <v>4</v>
      </c>
      <c r="G501" s="73">
        <f t="shared" si="24"/>
        <v>264</v>
      </c>
      <c r="I501" s="73">
        <f>'[1]D5 Gallon Forecast'!$AM143/1000000</f>
        <v>0</v>
      </c>
      <c r="J501" s="73">
        <f>'[1]D5 Gallon Forecast'!$AM159/1000000</f>
        <v>24.099912888213208</v>
      </c>
      <c r="K501" s="73">
        <f t="shared" si="22"/>
        <v>24.099912888213208</v>
      </c>
      <c r="L501" s="23">
        <f t="shared" si="23"/>
        <v>1.0954505858278729</v>
      </c>
    </row>
    <row r="502" spans="1:12" x14ac:dyDescent="0.2">
      <c r="A502" s="15">
        <v>53936</v>
      </c>
      <c r="B502" s="73">
        <v>55</v>
      </c>
      <c r="C502" s="73">
        <v>55</v>
      </c>
      <c r="D502" s="73">
        <v>150</v>
      </c>
      <c r="E502" s="73">
        <v>4</v>
      </c>
      <c r="G502" s="73">
        <f t="shared" si="24"/>
        <v>264</v>
      </c>
      <c r="I502" s="73">
        <f>'[1]D5 Gallon Forecast'!$AM144/1000000</f>
        <v>0</v>
      </c>
      <c r="J502" s="73">
        <f>'[1]D5 Gallon Forecast'!$AM160/1000000</f>
        <v>21.625974090379199</v>
      </c>
      <c r="K502" s="73">
        <f t="shared" si="22"/>
        <v>21.625974090379199</v>
      </c>
      <c r="L502" s="23">
        <f t="shared" si="23"/>
        <v>0.98299882228996349</v>
      </c>
    </row>
    <row r="503" spans="1:12" x14ac:dyDescent="0.2">
      <c r="A503" s="15">
        <v>53966</v>
      </c>
      <c r="B503" s="73">
        <v>55</v>
      </c>
      <c r="C503" s="73">
        <v>55</v>
      </c>
      <c r="D503" s="73">
        <v>150</v>
      </c>
      <c r="E503" s="73">
        <v>4</v>
      </c>
      <c r="G503" s="73">
        <f t="shared" si="24"/>
        <v>264</v>
      </c>
      <c r="I503" s="73">
        <f>'[1]D5 Gallon Forecast'!$AM145/1000000</f>
        <v>0</v>
      </c>
      <c r="J503" s="73">
        <f>'[1]D5 Gallon Forecast'!$AM161/1000000</f>
        <v>17.380952263997276</v>
      </c>
      <c r="K503" s="73">
        <f t="shared" si="22"/>
        <v>17.380952263997276</v>
      </c>
      <c r="L503" s="23">
        <f t="shared" si="23"/>
        <v>0.79004328472714902</v>
      </c>
    </row>
    <row r="504" spans="1:12" x14ac:dyDescent="0.2">
      <c r="A504" s="15">
        <v>53997</v>
      </c>
      <c r="B504" s="73">
        <v>55</v>
      </c>
      <c r="C504" s="73">
        <v>55</v>
      </c>
      <c r="D504" s="73">
        <v>150</v>
      </c>
      <c r="E504" s="73">
        <v>4</v>
      </c>
      <c r="G504" s="73">
        <f t="shared" si="24"/>
        <v>264</v>
      </c>
      <c r="I504" s="73">
        <f>'[1]D5 Gallon Forecast'!$AM146/1000000</f>
        <v>0</v>
      </c>
      <c r="J504" s="73">
        <f>'[1]D5 Gallon Forecast'!$AM162/1000000</f>
        <v>17.500708450780881</v>
      </c>
      <c r="K504" s="73">
        <f t="shared" si="22"/>
        <v>17.500708450780881</v>
      </c>
      <c r="L504" s="23">
        <f t="shared" si="23"/>
        <v>0.7954867477627674</v>
      </c>
    </row>
    <row r="505" spans="1:12" x14ac:dyDescent="0.2">
      <c r="A505" s="15">
        <v>54027</v>
      </c>
      <c r="B505" s="73">
        <v>55</v>
      </c>
      <c r="C505" s="73">
        <v>55</v>
      </c>
      <c r="D505" s="73">
        <v>150</v>
      </c>
      <c r="E505" s="73">
        <v>4</v>
      </c>
      <c r="G505" s="73">
        <f t="shared" si="24"/>
        <v>264</v>
      </c>
      <c r="I505" s="73">
        <f>'[1]D5 Gallon Forecast'!$AM147/1000000</f>
        <v>0</v>
      </c>
      <c r="J505" s="73">
        <f>'[1]D5 Gallon Forecast'!$AM163/1000000</f>
        <v>18.033860084762484</v>
      </c>
      <c r="K505" s="73">
        <f t="shared" ref="K505:K553" si="25">SUM(I505:J505)</f>
        <v>18.033860084762484</v>
      </c>
      <c r="L505" s="23">
        <f t="shared" ref="L505:L553" si="26">(K505*12)/G505</f>
        <v>0.81972091294374927</v>
      </c>
    </row>
    <row r="506" spans="1:12" x14ac:dyDescent="0.2">
      <c r="A506" s="15">
        <v>54058</v>
      </c>
      <c r="B506" s="73">
        <v>55</v>
      </c>
      <c r="C506" s="73">
        <v>55</v>
      </c>
      <c r="D506" s="73">
        <v>150</v>
      </c>
      <c r="E506" s="73">
        <v>4</v>
      </c>
      <c r="G506" s="73">
        <f t="shared" si="24"/>
        <v>264</v>
      </c>
      <c r="I506" s="73">
        <f>'[1]D5 Gallon Forecast'!$AN136/1000000</f>
        <v>0</v>
      </c>
      <c r="J506" s="73">
        <f>'[1]D5 Gallon Forecast'!$AN152/1000000</f>
        <v>16.322664884684357</v>
      </c>
      <c r="K506" s="73">
        <f t="shared" si="25"/>
        <v>16.322664884684357</v>
      </c>
      <c r="L506" s="23">
        <f t="shared" si="26"/>
        <v>0.7419393129401981</v>
      </c>
    </row>
    <row r="507" spans="1:12" x14ac:dyDescent="0.2">
      <c r="A507" s="15">
        <v>54089</v>
      </c>
      <c r="B507" s="73">
        <v>55</v>
      </c>
      <c r="C507" s="73">
        <v>55</v>
      </c>
      <c r="D507" s="73">
        <v>150</v>
      </c>
      <c r="E507" s="73">
        <v>4</v>
      </c>
      <c r="G507" s="73">
        <f t="shared" si="24"/>
        <v>264</v>
      </c>
      <c r="I507" s="73">
        <f>'[1]D5 Gallon Forecast'!$AN137/1000000</f>
        <v>0</v>
      </c>
      <c r="J507" s="73">
        <f>'[1]D5 Gallon Forecast'!$AN153/1000000</f>
        <v>12.76466133187713</v>
      </c>
      <c r="K507" s="73">
        <f t="shared" si="25"/>
        <v>12.76466133187713</v>
      </c>
      <c r="L507" s="23">
        <f t="shared" si="26"/>
        <v>0.58021187872168778</v>
      </c>
    </row>
    <row r="508" spans="1:12" x14ac:dyDescent="0.2">
      <c r="A508" s="15">
        <v>54118</v>
      </c>
      <c r="B508" s="73">
        <v>55</v>
      </c>
      <c r="C508" s="73">
        <v>55</v>
      </c>
      <c r="D508" s="73">
        <v>150</v>
      </c>
      <c r="E508" s="73">
        <v>4</v>
      </c>
      <c r="G508" s="73">
        <f t="shared" si="24"/>
        <v>264</v>
      </c>
      <c r="I508" s="73">
        <f>'[1]D5 Gallon Forecast'!$AN138/1000000</f>
        <v>0</v>
      </c>
      <c r="J508" s="73">
        <f>'[1]D5 Gallon Forecast'!$AN154/1000000</f>
        <v>21.020440297812002</v>
      </c>
      <c r="K508" s="73">
        <f t="shared" si="25"/>
        <v>21.020440297812002</v>
      </c>
      <c r="L508" s="23">
        <f t="shared" si="26"/>
        <v>0.95547455899145461</v>
      </c>
    </row>
    <row r="509" spans="1:12" x14ac:dyDescent="0.2">
      <c r="A509" s="15">
        <v>54149</v>
      </c>
      <c r="B509" s="73">
        <v>55</v>
      </c>
      <c r="C509" s="73">
        <v>55</v>
      </c>
      <c r="D509" s="73">
        <v>150</v>
      </c>
      <c r="E509" s="73">
        <v>4</v>
      </c>
      <c r="G509" s="73">
        <f t="shared" si="24"/>
        <v>264</v>
      </c>
      <c r="I509" s="73">
        <f>'[1]D5 Gallon Forecast'!$AN139/1000000</f>
        <v>0</v>
      </c>
      <c r="J509" s="73">
        <f>'[1]D5 Gallon Forecast'!$AN155/1000000</f>
        <v>13.689738794349477</v>
      </c>
      <c r="K509" s="73">
        <f t="shared" si="25"/>
        <v>13.689738794349477</v>
      </c>
      <c r="L509" s="23">
        <f t="shared" si="26"/>
        <v>0.62226085428861255</v>
      </c>
    </row>
    <row r="510" spans="1:12" x14ac:dyDescent="0.2">
      <c r="A510" s="15">
        <v>54179</v>
      </c>
      <c r="B510" s="73">
        <v>55</v>
      </c>
      <c r="C510" s="73">
        <v>55</v>
      </c>
      <c r="D510" s="73">
        <v>150</v>
      </c>
      <c r="E510" s="73">
        <v>4</v>
      </c>
      <c r="G510" s="73">
        <f t="shared" si="24"/>
        <v>264</v>
      </c>
      <c r="I510" s="73">
        <f>'[1]D5 Gallon Forecast'!$AN140/1000000</f>
        <v>0</v>
      </c>
      <c r="J510" s="73">
        <f>'[1]D5 Gallon Forecast'!$AN156/1000000</f>
        <v>15.069237576195539</v>
      </c>
      <c r="K510" s="73">
        <f t="shared" si="25"/>
        <v>15.069237576195539</v>
      </c>
      <c r="L510" s="23">
        <f t="shared" si="26"/>
        <v>0.68496534437252443</v>
      </c>
    </row>
    <row r="511" spans="1:12" x14ac:dyDescent="0.2">
      <c r="A511" s="15">
        <v>54210</v>
      </c>
      <c r="B511" s="73">
        <v>55</v>
      </c>
      <c r="C511" s="73">
        <v>55</v>
      </c>
      <c r="D511" s="73">
        <v>150</v>
      </c>
      <c r="E511" s="73">
        <v>4</v>
      </c>
      <c r="G511" s="73">
        <f t="shared" si="24"/>
        <v>264</v>
      </c>
      <c r="I511" s="73">
        <f>'[1]D5 Gallon Forecast'!$AN141/1000000</f>
        <v>0</v>
      </c>
      <c r="J511" s="73">
        <f>'[1]D5 Gallon Forecast'!$AN157/1000000</f>
        <v>20.402053017086839</v>
      </c>
      <c r="K511" s="73">
        <f t="shared" si="25"/>
        <v>20.402053017086839</v>
      </c>
      <c r="L511" s="23">
        <f t="shared" si="26"/>
        <v>0.92736604623121988</v>
      </c>
    </row>
    <row r="512" spans="1:12" x14ac:dyDescent="0.2">
      <c r="A512" s="15">
        <v>54240</v>
      </c>
      <c r="B512" s="73">
        <v>55</v>
      </c>
      <c r="C512" s="73">
        <v>55</v>
      </c>
      <c r="D512" s="73">
        <v>150</v>
      </c>
      <c r="E512" s="73">
        <v>4</v>
      </c>
      <c r="G512" s="73">
        <f t="shared" si="24"/>
        <v>264</v>
      </c>
      <c r="I512" s="73">
        <f>'[1]D5 Gallon Forecast'!$AN142/1000000</f>
        <v>0</v>
      </c>
      <c r="J512" s="73">
        <f>'[1]D5 Gallon Forecast'!$AN158/1000000</f>
        <v>17.033105953995342</v>
      </c>
      <c r="K512" s="73">
        <f t="shared" si="25"/>
        <v>17.033105953995342</v>
      </c>
      <c r="L512" s="23">
        <f t="shared" si="26"/>
        <v>0.77423208881797001</v>
      </c>
    </row>
    <row r="513" spans="1:12" x14ac:dyDescent="0.2">
      <c r="A513" s="15">
        <v>54271</v>
      </c>
      <c r="B513" s="73">
        <v>55</v>
      </c>
      <c r="C513" s="73">
        <v>55</v>
      </c>
      <c r="D513" s="73">
        <v>150</v>
      </c>
      <c r="E513" s="73">
        <v>4</v>
      </c>
      <c r="G513" s="73">
        <f t="shared" si="24"/>
        <v>264</v>
      </c>
      <c r="I513" s="73">
        <f>'[1]D5 Gallon Forecast'!$AN143/1000000</f>
        <v>0</v>
      </c>
      <c r="J513" s="73">
        <f>'[1]D5 Gallon Forecast'!$AN159/1000000</f>
        <v>25.022004519630013</v>
      </c>
      <c r="K513" s="73">
        <f t="shared" si="25"/>
        <v>25.022004519630013</v>
      </c>
      <c r="L513" s="23">
        <f t="shared" si="26"/>
        <v>1.1373638418013641</v>
      </c>
    </row>
    <row r="514" spans="1:12" x14ac:dyDescent="0.2">
      <c r="A514" s="15">
        <v>54302</v>
      </c>
      <c r="B514" s="73">
        <v>55</v>
      </c>
      <c r="C514" s="73">
        <v>55</v>
      </c>
      <c r="D514" s="73">
        <v>150</v>
      </c>
      <c r="E514" s="73">
        <v>4</v>
      </c>
      <c r="G514" s="73">
        <f t="shared" si="24"/>
        <v>264</v>
      </c>
      <c r="I514" s="73">
        <f>'[1]D5 Gallon Forecast'!$AN144/1000000</f>
        <v>0</v>
      </c>
      <c r="J514" s="73">
        <f>'[1]D5 Gallon Forecast'!$AN160/1000000</f>
        <v>22.453548115895078</v>
      </c>
      <c r="K514" s="73">
        <f t="shared" si="25"/>
        <v>22.453548115895078</v>
      </c>
      <c r="L514" s="23">
        <f t="shared" si="26"/>
        <v>1.0206158234497764</v>
      </c>
    </row>
    <row r="515" spans="1:12" x14ac:dyDescent="0.2">
      <c r="A515" s="15">
        <v>54332</v>
      </c>
      <c r="B515" s="73">
        <v>55</v>
      </c>
      <c r="C515" s="73">
        <v>55</v>
      </c>
      <c r="D515" s="73">
        <v>150</v>
      </c>
      <c r="E515" s="73">
        <v>4</v>
      </c>
      <c r="G515" s="73">
        <f t="shared" si="24"/>
        <v>264</v>
      </c>
      <c r="I515" s="73">
        <f>'[1]D5 Gallon Forecast'!$AN145/1000000</f>
        <v>0</v>
      </c>
      <c r="J515" s="73">
        <f>'[1]D5 Gallon Forecast'!$AN161/1000000</f>
        <v>18.046034996381707</v>
      </c>
      <c r="K515" s="73">
        <f t="shared" si="25"/>
        <v>18.046034996381707</v>
      </c>
      <c r="L515" s="23">
        <f t="shared" si="26"/>
        <v>0.82027431801735029</v>
      </c>
    </row>
    <row r="516" spans="1:12" x14ac:dyDescent="0.2">
      <c r="A516" s="15">
        <v>54363</v>
      </c>
      <c r="B516" s="73">
        <v>55</v>
      </c>
      <c r="C516" s="73">
        <v>55</v>
      </c>
      <c r="D516" s="73">
        <v>150</v>
      </c>
      <c r="E516" s="73">
        <v>4</v>
      </c>
      <c r="G516" s="73">
        <f t="shared" si="24"/>
        <v>264</v>
      </c>
      <c r="I516" s="73">
        <f>'[1]D5 Gallon Forecast'!$AN146/1000000</f>
        <v>0</v>
      </c>
      <c r="J516" s="73">
        <f>'[1]D5 Gallon Forecast'!$AN162/1000000</f>
        <v>18.170094126997132</v>
      </c>
      <c r="K516" s="73">
        <f t="shared" si="25"/>
        <v>18.170094126997132</v>
      </c>
      <c r="L516" s="23">
        <f t="shared" si="26"/>
        <v>0.82591336940896054</v>
      </c>
    </row>
    <row r="517" spans="1:12" x14ac:dyDescent="0.2">
      <c r="A517" s="15">
        <v>54393</v>
      </c>
      <c r="B517" s="73">
        <v>55</v>
      </c>
      <c r="C517" s="73">
        <v>55</v>
      </c>
      <c r="D517" s="73">
        <v>150</v>
      </c>
      <c r="E517" s="73">
        <v>4</v>
      </c>
      <c r="G517" s="73">
        <f t="shared" si="24"/>
        <v>264</v>
      </c>
      <c r="I517" s="73">
        <f>'[1]D5 Gallon Forecast'!$AN147/1000000</f>
        <v>0</v>
      </c>
      <c r="J517" s="73">
        <f>'[1]D5 Gallon Forecast'!$AN163/1000000</f>
        <v>18.72452713701886</v>
      </c>
      <c r="K517" s="73">
        <f t="shared" si="25"/>
        <v>18.72452713701886</v>
      </c>
      <c r="L517" s="23">
        <f t="shared" si="26"/>
        <v>0.85111486986449369</v>
      </c>
    </row>
    <row r="518" spans="1:12" x14ac:dyDescent="0.2">
      <c r="A518" s="15">
        <v>54424</v>
      </c>
      <c r="B518" s="73">
        <v>55</v>
      </c>
      <c r="C518" s="73">
        <v>55</v>
      </c>
      <c r="D518" s="73">
        <v>150</v>
      </c>
      <c r="E518" s="73">
        <v>4</v>
      </c>
      <c r="G518" s="73">
        <f t="shared" ref="G518:G553" si="27">SUM(B518:E518)</f>
        <v>264</v>
      </c>
      <c r="I518" s="73">
        <f>'[1]D5 Gallon Forecast'!$AO136/1000000</f>
        <v>0</v>
      </c>
      <c r="J518" s="73">
        <f>'[1]D5 Gallon Forecast'!$AO152/1000000</f>
        <v>16.911485189109399</v>
      </c>
      <c r="K518" s="73">
        <f t="shared" si="25"/>
        <v>16.911485189109399</v>
      </c>
      <c r="L518" s="23">
        <f t="shared" si="26"/>
        <v>0.76870387223224546</v>
      </c>
    </row>
    <row r="519" spans="1:12" x14ac:dyDescent="0.2">
      <c r="A519" s="15">
        <v>54455</v>
      </c>
      <c r="B519" s="73">
        <v>55</v>
      </c>
      <c r="C519" s="73">
        <v>55</v>
      </c>
      <c r="D519" s="73">
        <v>150</v>
      </c>
      <c r="E519" s="73">
        <v>4</v>
      </c>
      <c r="G519" s="73">
        <f t="shared" si="27"/>
        <v>264</v>
      </c>
      <c r="I519" s="73">
        <f>'[1]D5 Gallon Forecast'!$AO137/1000000</f>
        <v>0</v>
      </c>
      <c r="J519" s="73">
        <f>'[1]D5 Gallon Forecast'!$AO153/1000000</f>
        <v>13.225184290717353</v>
      </c>
      <c r="K519" s="73">
        <f t="shared" si="25"/>
        <v>13.225184290717353</v>
      </c>
      <c r="L519" s="23">
        <f t="shared" si="26"/>
        <v>0.60114474048715238</v>
      </c>
    </row>
    <row r="520" spans="1:12" x14ac:dyDescent="0.2">
      <c r="A520" s="15">
        <v>54483</v>
      </c>
      <c r="B520" s="73">
        <v>55</v>
      </c>
      <c r="C520" s="73">
        <v>55</v>
      </c>
      <c r="D520" s="73">
        <v>150</v>
      </c>
      <c r="E520" s="73">
        <v>4</v>
      </c>
      <c r="G520" s="73">
        <f t="shared" si="27"/>
        <v>264</v>
      </c>
      <c r="I520" s="73">
        <f>'[1]D5 Gallon Forecast'!$AO138/1000000</f>
        <v>0</v>
      </c>
      <c r="J520" s="73">
        <f>'[1]D5 Gallon Forecast'!$AO154/1000000</f>
        <v>21.779070204209244</v>
      </c>
      <c r="K520" s="73">
        <f t="shared" si="25"/>
        <v>21.779070204209244</v>
      </c>
      <c r="L520" s="23">
        <f t="shared" si="26"/>
        <v>0.98995773655496555</v>
      </c>
    </row>
    <row r="521" spans="1:12" x14ac:dyDescent="0.2">
      <c r="A521" s="15">
        <v>54514</v>
      </c>
      <c r="B521" s="73">
        <v>55</v>
      </c>
      <c r="C521" s="73">
        <v>55</v>
      </c>
      <c r="D521" s="73">
        <v>150</v>
      </c>
      <c r="E521" s="73">
        <v>4</v>
      </c>
      <c r="G521" s="73">
        <f t="shared" si="27"/>
        <v>264</v>
      </c>
      <c r="I521" s="73">
        <f>'[1]D5 Gallon Forecast'!$AO139/1000000</f>
        <v>0</v>
      </c>
      <c r="J521" s="73">
        <f>'[1]D5 Gallon Forecast'!$AO155/1000000</f>
        <v>14.183932803343907</v>
      </c>
      <c r="K521" s="73">
        <f t="shared" si="25"/>
        <v>14.183932803343907</v>
      </c>
      <c r="L521" s="23">
        <f t="shared" si="26"/>
        <v>0.64472421833381399</v>
      </c>
    </row>
    <row r="522" spans="1:12" x14ac:dyDescent="0.2">
      <c r="A522" s="15">
        <v>54544</v>
      </c>
      <c r="B522" s="73">
        <v>55</v>
      </c>
      <c r="C522" s="73">
        <v>55</v>
      </c>
      <c r="D522" s="73">
        <v>150</v>
      </c>
      <c r="E522" s="73">
        <v>4</v>
      </c>
      <c r="G522" s="73">
        <f t="shared" si="27"/>
        <v>264</v>
      </c>
      <c r="I522" s="73">
        <f>'[1]D5 Gallon Forecast'!$AO140/1000000</f>
        <v>0</v>
      </c>
      <c r="J522" s="73">
        <f>'[1]D5 Gallon Forecast'!$AO156/1000000</f>
        <v>15.613686468573981</v>
      </c>
      <c r="K522" s="73">
        <f t="shared" si="25"/>
        <v>15.613686468573981</v>
      </c>
      <c r="L522" s="23">
        <f t="shared" si="26"/>
        <v>0.7097130212988173</v>
      </c>
    </row>
    <row r="523" spans="1:12" x14ac:dyDescent="0.2">
      <c r="A523" s="15">
        <v>54575</v>
      </c>
      <c r="B523" s="73">
        <v>55</v>
      </c>
      <c r="C523" s="73">
        <v>55</v>
      </c>
      <c r="D523" s="73">
        <v>150</v>
      </c>
      <c r="E523" s="73">
        <v>4</v>
      </c>
      <c r="G523" s="73">
        <f t="shared" si="27"/>
        <v>264</v>
      </c>
      <c r="I523" s="73">
        <f>'[1]D5 Gallon Forecast'!$AO141/1000000</f>
        <v>0</v>
      </c>
      <c r="J523" s="73">
        <f>'[1]D5 Gallon Forecast'!$AO157/1000000</f>
        <v>21.13843558462402</v>
      </c>
      <c r="K523" s="73">
        <f t="shared" si="25"/>
        <v>21.13843558462402</v>
      </c>
      <c r="L523" s="23">
        <f t="shared" si="26"/>
        <v>0.96083798111927365</v>
      </c>
    </row>
    <row r="524" spans="1:12" x14ac:dyDescent="0.2">
      <c r="A524" s="15">
        <v>54605</v>
      </c>
      <c r="B524" s="73">
        <v>55</v>
      </c>
      <c r="C524" s="73">
        <v>55</v>
      </c>
      <c r="D524" s="73">
        <v>150</v>
      </c>
      <c r="E524" s="73">
        <v>4</v>
      </c>
      <c r="G524" s="73">
        <f t="shared" si="27"/>
        <v>264</v>
      </c>
      <c r="I524" s="73">
        <f>'[1]D5 Gallon Forecast'!$AO142/1000000</f>
        <v>0</v>
      </c>
      <c r="J524" s="73">
        <f>'[1]D5 Gallon Forecast'!$AO158/1000000</f>
        <v>17.647663268482916</v>
      </c>
      <c r="K524" s="73">
        <f t="shared" si="25"/>
        <v>17.647663268482916</v>
      </c>
      <c r="L524" s="23">
        <f t="shared" si="26"/>
        <v>0.80216651220376889</v>
      </c>
    </row>
    <row r="525" spans="1:12" x14ac:dyDescent="0.2">
      <c r="A525" s="15">
        <v>54636</v>
      </c>
      <c r="B525" s="73">
        <v>55</v>
      </c>
      <c r="C525" s="73">
        <v>55</v>
      </c>
      <c r="D525" s="73">
        <v>150</v>
      </c>
      <c r="E525" s="73">
        <v>4</v>
      </c>
      <c r="G525" s="73">
        <f t="shared" si="27"/>
        <v>264</v>
      </c>
      <c r="I525" s="73">
        <f>'[1]D5 Gallon Forecast'!$AO143/1000000</f>
        <v>0</v>
      </c>
      <c r="J525" s="73">
        <f>'[1]D5 Gallon Forecast'!$AO159/1000000</f>
        <v>25.924980611098327</v>
      </c>
      <c r="K525" s="73">
        <f t="shared" si="25"/>
        <v>25.924980611098327</v>
      </c>
      <c r="L525" s="23">
        <f t="shared" si="26"/>
        <v>1.1784082095953785</v>
      </c>
    </row>
    <row r="526" spans="1:12" x14ac:dyDescent="0.2">
      <c r="A526" s="15">
        <v>54667</v>
      </c>
      <c r="B526" s="73">
        <v>55</v>
      </c>
      <c r="C526" s="73">
        <v>55</v>
      </c>
      <c r="D526" s="73">
        <v>150</v>
      </c>
      <c r="E526" s="73">
        <v>4</v>
      </c>
      <c r="G526" s="73">
        <f t="shared" si="27"/>
        <v>264</v>
      </c>
      <c r="I526" s="73">
        <f>'[1]D5 Gallon Forecast'!$AO144/1000000</f>
        <v>0</v>
      </c>
      <c r="J526" s="73">
        <f>'[1]D5 Gallon Forecast'!$AO160/1000000</f>
        <v>23.264098307860934</v>
      </c>
      <c r="K526" s="73">
        <f t="shared" si="25"/>
        <v>23.264098307860934</v>
      </c>
      <c r="L526" s="23">
        <f t="shared" si="26"/>
        <v>1.0574590139936788</v>
      </c>
    </row>
    <row r="527" spans="1:12" x14ac:dyDescent="0.2">
      <c r="A527" s="15">
        <v>54697</v>
      </c>
      <c r="B527" s="73">
        <v>55</v>
      </c>
      <c r="C527" s="73">
        <v>55</v>
      </c>
      <c r="D527" s="73">
        <v>150</v>
      </c>
      <c r="E527" s="73">
        <v>4</v>
      </c>
      <c r="G527" s="73">
        <f t="shared" si="27"/>
        <v>264</v>
      </c>
      <c r="I527" s="73">
        <f>'[1]D5 Gallon Forecast'!$AO145/1000000</f>
        <v>0</v>
      </c>
      <c r="J527" s="73">
        <f>'[1]D5 Gallon Forecast'!$AO161/1000000</f>
        <v>18.697401186145854</v>
      </c>
      <c r="K527" s="73">
        <f t="shared" si="25"/>
        <v>18.697401186145854</v>
      </c>
      <c r="L527" s="23">
        <f t="shared" si="26"/>
        <v>0.84988187209753885</v>
      </c>
    </row>
    <row r="528" spans="1:12" x14ac:dyDescent="0.2">
      <c r="A528" s="15">
        <v>54728</v>
      </c>
      <c r="B528" s="73">
        <v>55</v>
      </c>
      <c r="C528" s="73">
        <v>55</v>
      </c>
      <c r="D528" s="73">
        <v>150</v>
      </c>
      <c r="E528" s="73">
        <v>4</v>
      </c>
      <c r="G528" s="73">
        <f t="shared" si="27"/>
        <v>264</v>
      </c>
      <c r="I528" s="73">
        <f>'[1]D5 Gallon Forecast'!$AO146/1000000</f>
        <v>0</v>
      </c>
      <c r="J528" s="73">
        <f>'[1]D5 Gallon Forecast'!$AO162/1000000</f>
        <v>18.82590876855911</v>
      </c>
      <c r="K528" s="73">
        <f t="shared" si="25"/>
        <v>18.82590876855911</v>
      </c>
      <c r="L528" s="23">
        <f t="shared" si="26"/>
        <v>0.85572312584359589</v>
      </c>
    </row>
    <row r="529" spans="1:12" x14ac:dyDescent="0.2">
      <c r="A529" s="15">
        <v>54758</v>
      </c>
      <c r="B529" s="73">
        <v>55</v>
      </c>
      <c r="C529" s="73">
        <v>55</v>
      </c>
      <c r="D529" s="73">
        <v>150</v>
      </c>
      <c r="E529" s="73">
        <v>4</v>
      </c>
      <c r="G529" s="73">
        <f t="shared" si="27"/>
        <v>264</v>
      </c>
      <c r="I529" s="73">
        <f>'[1]D5 Gallon Forecast'!$AO147/1000000</f>
        <v>0</v>
      </c>
      <c r="J529" s="73">
        <f>'[1]D5 Gallon Forecast'!$AO163/1000000</f>
        <v>19.4005473529858</v>
      </c>
      <c r="K529" s="73">
        <f t="shared" si="25"/>
        <v>19.4005473529858</v>
      </c>
      <c r="L529" s="23">
        <f t="shared" si="26"/>
        <v>0.88184306149935465</v>
      </c>
    </row>
    <row r="530" spans="1:12" x14ac:dyDescent="0.2">
      <c r="A530" s="15">
        <v>54789</v>
      </c>
      <c r="B530" s="73">
        <v>55</v>
      </c>
      <c r="C530" s="73">
        <v>55</v>
      </c>
      <c r="D530" s="73">
        <v>150</v>
      </c>
      <c r="E530" s="73">
        <v>4</v>
      </c>
      <c r="G530" s="73">
        <f t="shared" si="27"/>
        <v>264</v>
      </c>
      <c r="I530" s="73">
        <f>'[1]D5 Gallon Forecast'!$AP136/1000000</f>
        <v>0</v>
      </c>
      <c r="J530" s="73">
        <f>'[1]D5 Gallon Forecast'!$AP152/1000000</f>
        <v>17.062823486536875</v>
      </c>
      <c r="K530" s="73">
        <f t="shared" si="25"/>
        <v>17.062823486536875</v>
      </c>
      <c r="L530" s="23">
        <f t="shared" si="26"/>
        <v>0.77558288575167622</v>
      </c>
    </row>
    <row r="531" spans="1:12" x14ac:dyDescent="0.2">
      <c r="A531" s="15">
        <v>54820</v>
      </c>
      <c r="B531" s="73">
        <v>55</v>
      </c>
      <c r="C531" s="73">
        <v>55</v>
      </c>
      <c r="D531" s="73">
        <v>150</v>
      </c>
      <c r="E531" s="73">
        <v>4</v>
      </c>
      <c r="G531" s="73">
        <f t="shared" si="27"/>
        <v>264</v>
      </c>
      <c r="I531" s="73">
        <f>'[1]D5 Gallon Forecast'!$AP137/1000000</f>
        <v>0</v>
      </c>
      <c r="J531" s="73">
        <f>'[1]D5 Gallon Forecast'!$AP153/1000000</f>
        <v>13.343475173394754</v>
      </c>
      <c r="K531" s="73">
        <f t="shared" si="25"/>
        <v>13.343475173394754</v>
      </c>
      <c r="L531" s="23">
        <f t="shared" si="26"/>
        <v>0.60652159879067069</v>
      </c>
    </row>
    <row r="532" spans="1:12" x14ac:dyDescent="0.2">
      <c r="A532" s="15">
        <v>54848</v>
      </c>
      <c r="B532" s="73">
        <v>55</v>
      </c>
      <c r="C532" s="73">
        <v>55</v>
      </c>
      <c r="D532" s="73">
        <v>150</v>
      </c>
      <c r="E532" s="73">
        <v>4</v>
      </c>
      <c r="G532" s="73">
        <f t="shared" si="27"/>
        <v>264</v>
      </c>
      <c r="I532" s="73">
        <f>'[1]D5 Gallon Forecast'!$AP138/1000000</f>
        <v>0</v>
      </c>
      <c r="J532" s="73">
        <f>'[1]D5 Gallon Forecast'!$AP154/1000000</f>
        <v>21.974432598501984</v>
      </c>
      <c r="K532" s="73">
        <f t="shared" si="25"/>
        <v>21.974432598501984</v>
      </c>
      <c r="L532" s="23">
        <f t="shared" si="26"/>
        <v>0.99883784538645393</v>
      </c>
    </row>
    <row r="533" spans="1:12" x14ac:dyDescent="0.2">
      <c r="A533" s="15">
        <v>54879</v>
      </c>
      <c r="B533" s="73">
        <v>55</v>
      </c>
      <c r="C533" s="73">
        <v>55</v>
      </c>
      <c r="D533" s="73">
        <v>150</v>
      </c>
      <c r="E533" s="73">
        <v>4</v>
      </c>
      <c r="G533" s="73">
        <f t="shared" si="27"/>
        <v>264</v>
      </c>
      <c r="I533" s="73">
        <f>'[1]D5 Gallon Forecast'!$AP139/1000000</f>
        <v>0</v>
      </c>
      <c r="J533" s="73">
        <f>'[1]D5 Gallon Forecast'!$AP155/1000000</f>
        <v>14.311068390806341</v>
      </c>
      <c r="K533" s="73">
        <f t="shared" si="25"/>
        <v>14.311068390806341</v>
      </c>
      <c r="L533" s="23">
        <f t="shared" si="26"/>
        <v>0.65050310867301553</v>
      </c>
    </row>
    <row r="534" spans="1:12" x14ac:dyDescent="0.2">
      <c r="A534" s="15">
        <v>54909</v>
      </c>
      <c r="B534" s="73">
        <v>55</v>
      </c>
      <c r="C534" s="73">
        <v>55</v>
      </c>
      <c r="D534" s="73">
        <v>150</v>
      </c>
      <c r="E534" s="73">
        <v>4</v>
      </c>
      <c r="G534" s="73">
        <f t="shared" si="27"/>
        <v>264</v>
      </c>
      <c r="I534" s="73">
        <f>'[1]D5 Gallon Forecast'!$AP140/1000000</f>
        <v>0</v>
      </c>
      <c r="J534" s="73">
        <f>'[1]D5 Gallon Forecast'!$AP156/1000000</f>
        <v>15.753601702620919</v>
      </c>
      <c r="K534" s="73">
        <f t="shared" si="25"/>
        <v>15.753601702620919</v>
      </c>
      <c r="L534" s="23">
        <f t="shared" si="26"/>
        <v>0.71607280466458723</v>
      </c>
    </row>
    <row r="535" spans="1:12" x14ac:dyDescent="0.2">
      <c r="A535" s="15">
        <v>54940</v>
      </c>
      <c r="B535" s="73">
        <v>55</v>
      </c>
      <c r="C535" s="73">
        <v>55</v>
      </c>
      <c r="D535" s="73">
        <v>150</v>
      </c>
      <c r="E535" s="73">
        <v>4</v>
      </c>
      <c r="G535" s="73">
        <f t="shared" si="27"/>
        <v>264</v>
      </c>
      <c r="I535" s="73">
        <f>'[1]D5 Gallon Forecast'!$AP141/1000000</f>
        <v>0</v>
      </c>
      <c r="J535" s="73">
        <f>'[1]D5 Gallon Forecast'!$AP157/1000000</f>
        <v>21.328175444446593</v>
      </c>
      <c r="K535" s="73">
        <f t="shared" si="25"/>
        <v>21.328175444446593</v>
      </c>
      <c r="L535" s="23">
        <f t="shared" si="26"/>
        <v>0.96946252020211787</v>
      </c>
    </row>
    <row r="536" spans="1:12" x14ac:dyDescent="0.2">
      <c r="A536" s="15">
        <v>54970</v>
      </c>
      <c r="B536" s="73">
        <v>55</v>
      </c>
      <c r="C536" s="73">
        <v>55</v>
      </c>
      <c r="D536" s="73">
        <v>150</v>
      </c>
      <c r="E536" s="73">
        <v>4</v>
      </c>
      <c r="G536" s="73">
        <f t="shared" si="27"/>
        <v>264</v>
      </c>
      <c r="I536" s="73">
        <f>'[1]D5 Gallon Forecast'!$AP142/1000000</f>
        <v>0</v>
      </c>
      <c r="J536" s="73">
        <f>'[1]D5 Gallon Forecast'!$AP158/1000000</f>
        <v>17.805813383538155</v>
      </c>
      <c r="K536" s="73">
        <f t="shared" si="25"/>
        <v>17.805813383538155</v>
      </c>
      <c r="L536" s="23">
        <f t="shared" si="26"/>
        <v>0.80935515379718892</v>
      </c>
    </row>
    <row r="537" spans="1:12" x14ac:dyDescent="0.2">
      <c r="A537" s="15">
        <v>55001</v>
      </c>
      <c r="B537" s="73">
        <v>55</v>
      </c>
      <c r="C537" s="73">
        <v>55</v>
      </c>
      <c r="D537" s="73">
        <v>150</v>
      </c>
      <c r="E537" s="73">
        <v>4</v>
      </c>
      <c r="G537" s="73">
        <f t="shared" si="27"/>
        <v>264</v>
      </c>
      <c r="I537" s="73">
        <f>'[1]D5 Gallon Forecast'!$AP143/1000000</f>
        <v>0</v>
      </c>
      <c r="J537" s="73">
        <f>'[1]D5 Gallon Forecast'!$AP159/1000000</f>
        <v>26.157375988568727</v>
      </c>
      <c r="K537" s="73">
        <f t="shared" si="25"/>
        <v>26.157375988568727</v>
      </c>
      <c r="L537" s="23">
        <f t="shared" si="26"/>
        <v>1.188971635844033</v>
      </c>
    </row>
    <row r="538" spans="1:12" x14ac:dyDescent="0.2">
      <c r="A538" s="15">
        <v>55032</v>
      </c>
      <c r="B538" s="73">
        <v>55</v>
      </c>
      <c r="C538" s="73">
        <v>55</v>
      </c>
      <c r="D538" s="73">
        <v>150</v>
      </c>
      <c r="E538" s="73">
        <v>4</v>
      </c>
      <c r="G538" s="73">
        <f t="shared" si="27"/>
        <v>264</v>
      </c>
      <c r="I538" s="73">
        <f>'[1]D5 Gallon Forecast'!$AP144/1000000</f>
        <v>0</v>
      </c>
      <c r="J538" s="73">
        <f>'[1]D5 Gallon Forecast'!$AP160/1000000</f>
        <v>23.472587163329614</v>
      </c>
      <c r="K538" s="73">
        <f t="shared" si="25"/>
        <v>23.472587163329614</v>
      </c>
      <c r="L538" s="23">
        <f t="shared" si="26"/>
        <v>1.0669357801513459</v>
      </c>
    </row>
    <row r="539" spans="1:12" x14ac:dyDescent="0.2">
      <c r="A539" s="15">
        <v>55062</v>
      </c>
      <c r="B539" s="73">
        <v>55</v>
      </c>
      <c r="C539" s="73">
        <v>55</v>
      </c>
      <c r="D539" s="73">
        <v>150</v>
      </c>
      <c r="E539" s="73">
        <v>4</v>
      </c>
      <c r="G539" s="73">
        <f t="shared" si="27"/>
        <v>264</v>
      </c>
      <c r="I539" s="73">
        <f>'[1]D5 Gallon Forecast'!$AP145/1000000</f>
        <v>0</v>
      </c>
      <c r="J539" s="73">
        <f>'[1]D5 Gallon Forecast'!$AP161/1000000</f>
        <v>18.86501559951466</v>
      </c>
      <c r="K539" s="73">
        <f t="shared" si="25"/>
        <v>18.86501559951466</v>
      </c>
      <c r="L539" s="23">
        <f t="shared" si="26"/>
        <v>0.85750070906884812</v>
      </c>
    </row>
    <row r="540" spans="1:12" x14ac:dyDescent="0.2">
      <c r="A540" s="15">
        <v>55093</v>
      </c>
      <c r="B540" s="73">
        <v>55</v>
      </c>
      <c r="C540" s="73">
        <v>55</v>
      </c>
      <c r="D540" s="73">
        <v>150</v>
      </c>
      <c r="E540" s="73">
        <v>4</v>
      </c>
      <c r="G540" s="73">
        <f t="shared" si="27"/>
        <v>264</v>
      </c>
      <c r="I540" s="73">
        <f>'[1]D5 Gallon Forecast'!$AP146/1000000</f>
        <v>0</v>
      </c>
      <c r="J540" s="73">
        <f>'[1]D5 Gallon Forecast'!$AP162/1000000</f>
        <v>18.994645340435518</v>
      </c>
      <c r="K540" s="73">
        <f t="shared" si="25"/>
        <v>18.994645340435518</v>
      </c>
      <c r="L540" s="23">
        <f t="shared" si="26"/>
        <v>0.86339297001979631</v>
      </c>
    </row>
    <row r="541" spans="1:12" x14ac:dyDescent="0.2">
      <c r="A541" s="15">
        <v>55123</v>
      </c>
      <c r="B541" s="73">
        <v>55</v>
      </c>
      <c r="C541" s="73">
        <v>55</v>
      </c>
      <c r="D541" s="73">
        <v>150</v>
      </c>
      <c r="E541" s="73">
        <v>4</v>
      </c>
      <c r="G541" s="73">
        <f t="shared" si="27"/>
        <v>264</v>
      </c>
      <c r="I541" s="73">
        <f>'[1]D5 Gallon Forecast'!$AP147/1000000</f>
        <v>0</v>
      </c>
      <c r="J541" s="73">
        <f>'[1]D5 Gallon Forecast'!$AP163/1000000</f>
        <v>19.574169494234145</v>
      </c>
      <c r="K541" s="73">
        <f t="shared" si="25"/>
        <v>19.574169494234145</v>
      </c>
      <c r="L541" s="23">
        <f t="shared" si="26"/>
        <v>0.88973497701064297</v>
      </c>
    </row>
    <row r="542" spans="1:12" x14ac:dyDescent="0.2">
      <c r="A542" s="15">
        <v>55154</v>
      </c>
      <c r="B542" s="73">
        <v>55</v>
      </c>
      <c r="C542" s="73">
        <v>55</v>
      </c>
      <c r="D542" s="73">
        <v>150</v>
      </c>
      <c r="E542" s="73">
        <v>4</v>
      </c>
      <c r="G542" s="73">
        <f t="shared" si="27"/>
        <v>264</v>
      </c>
      <c r="I542" s="73">
        <f>I530</f>
        <v>0</v>
      </c>
      <c r="J542" s="73">
        <f>J530</f>
        <v>17.062823486536875</v>
      </c>
      <c r="K542" s="73">
        <f t="shared" si="25"/>
        <v>17.062823486536875</v>
      </c>
      <c r="L542" s="23">
        <f t="shared" si="26"/>
        <v>0.77558288575167622</v>
      </c>
    </row>
    <row r="543" spans="1:12" x14ac:dyDescent="0.2">
      <c r="A543" s="15">
        <v>55185</v>
      </c>
      <c r="B543" s="73">
        <v>55</v>
      </c>
      <c r="C543" s="73">
        <v>55</v>
      </c>
      <c r="D543" s="73">
        <v>150</v>
      </c>
      <c r="E543" s="73">
        <v>4</v>
      </c>
      <c r="G543" s="73">
        <f t="shared" si="27"/>
        <v>264</v>
      </c>
      <c r="I543" s="73">
        <f t="shared" ref="I543:J553" si="28">I531</f>
        <v>0</v>
      </c>
      <c r="J543" s="73">
        <f t="shared" si="28"/>
        <v>13.343475173394754</v>
      </c>
      <c r="K543" s="73">
        <f t="shared" si="25"/>
        <v>13.343475173394754</v>
      </c>
      <c r="L543" s="23">
        <f t="shared" si="26"/>
        <v>0.60652159879067069</v>
      </c>
    </row>
    <row r="544" spans="1:12" x14ac:dyDescent="0.2">
      <c r="A544" s="15">
        <v>55213</v>
      </c>
      <c r="B544" s="73">
        <v>55</v>
      </c>
      <c r="C544" s="73">
        <v>55</v>
      </c>
      <c r="D544" s="73">
        <v>150</v>
      </c>
      <c r="E544" s="73">
        <v>4</v>
      </c>
      <c r="G544" s="73">
        <f t="shared" si="27"/>
        <v>264</v>
      </c>
      <c r="I544" s="73">
        <f t="shared" si="28"/>
        <v>0</v>
      </c>
      <c r="J544" s="73">
        <f t="shared" si="28"/>
        <v>21.974432598501984</v>
      </c>
      <c r="K544" s="73">
        <f t="shared" si="25"/>
        <v>21.974432598501984</v>
      </c>
      <c r="L544" s="23">
        <f t="shared" si="26"/>
        <v>0.99883784538645393</v>
      </c>
    </row>
    <row r="545" spans="1:12" x14ac:dyDescent="0.2">
      <c r="A545" s="15">
        <v>55244</v>
      </c>
      <c r="B545" s="73">
        <v>55</v>
      </c>
      <c r="C545" s="73">
        <v>55</v>
      </c>
      <c r="D545" s="73">
        <v>150</v>
      </c>
      <c r="E545" s="73">
        <v>4</v>
      </c>
      <c r="G545" s="73">
        <f t="shared" si="27"/>
        <v>264</v>
      </c>
      <c r="I545" s="73">
        <f t="shared" si="28"/>
        <v>0</v>
      </c>
      <c r="J545" s="73">
        <f t="shared" si="28"/>
        <v>14.311068390806341</v>
      </c>
      <c r="K545" s="73">
        <f t="shared" si="25"/>
        <v>14.311068390806341</v>
      </c>
      <c r="L545" s="23">
        <f t="shared" si="26"/>
        <v>0.65050310867301553</v>
      </c>
    </row>
    <row r="546" spans="1:12" x14ac:dyDescent="0.2">
      <c r="A546" s="15">
        <v>55274</v>
      </c>
      <c r="B546" s="73">
        <v>55</v>
      </c>
      <c r="C546" s="73">
        <v>55</v>
      </c>
      <c r="D546" s="73">
        <v>150</v>
      </c>
      <c r="E546" s="73">
        <v>4</v>
      </c>
      <c r="G546" s="73">
        <f t="shared" si="27"/>
        <v>264</v>
      </c>
      <c r="I546" s="73">
        <f t="shared" si="28"/>
        <v>0</v>
      </c>
      <c r="J546" s="73">
        <f t="shared" si="28"/>
        <v>15.753601702620919</v>
      </c>
      <c r="K546" s="73">
        <f t="shared" si="25"/>
        <v>15.753601702620919</v>
      </c>
      <c r="L546" s="23">
        <f t="shared" si="26"/>
        <v>0.71607280466458723</v>
      </c>
    </row>
    <row r="547" spans="1:12" x14ac:dyDescent="0.2">
      <c r="A547" s="15">
        <v>55305</v>
      </c>
      <c r="B547" s="73">
        <v>55</v>
      </c>
      <c r="C547" s="73">
        <v>55</v>
      </c>
      <c r="D547" s="73">
        <v>150</v>
      </c>
      <c r="E547" s="73">
        <v>4</v>
      </c>
      <c r="G547" s="73">
        <f t="shared" si="27"/>
        <v>264</v>
      </c>
      <c r="I547" s="73">
        <f t="shared" si="28"/>
        <v>0</v>
      </c>
      <c r="J547" s="73">
        <f t="shared" si="28"/>
        <v>21.328175444446593</v>
      </c>
      <c r="K547" s="73">
        <f t="shared" si="25"/>
        <v>21.328175444446593</v>
      </c>
      <c r="L547" s="23">
        <f t="shared" si="26"/>
        <v>0.96946252020211787</v>
      </c>
    </row>
    <row r="548" spans="1:12" x14ac:dyDescent="0.2">
      <c r="A548" s="15">
        <v>55335</v>
      </c>
      <c r="B548" s="73">
        <v>55</v>
      </c>
      <c r="C548" s="73">
        <v>55</v>
      </c>
      <c r="D548" s="73">
        <v>150</v>
      </c>
      <c r="E548" s="73">
        <v>4</v>
      </c>
      <c r="G548" s="73">
        <f t="shared" si="27"/>
        <v>264</v>
      </c>
      <c r="I548" s="73">
        <f t="shared" si="28"/>
        <v>0</v>
      </c>
      <c r="J548" s="73">
        <f t="shared" si="28"/>
        <v>17.805813383538155</v>
      </c>
      <c r="K548" s="73">
        <f t="shared" si="25"/>
        <v>17.805813383538155</v>
      </c>
      <c r="L548" s="23">
        <f t="shared" si="26"/>
        <v>0.80935515379718892</v>
      </c>
    </row>
    <row r="549" spans="1:12" x14ac:dyDescent="0.2">
      <c r="A549" s="15">
        <v>55366</v>
      </c>
      <c r="B549" s="73">
        <v>55</v>
      </c>
      <c r="C549" s="73">
        <v>55</v>
      </c>
      <c r="D549" s="73">
        <v>150</v>
      </c>
      <c r="E549" s="73">
        <v>4</v>
      </c>
      <c r="G549" s="73">
        <f t="shared" si="27"/>
        <v>264</v>
      </c>
      <c r="I549" s="73">
        <f t="shared" si="28"/>
        <v>0</v>
      </c>
      <c r="J549" s="73">
        <f t="shared" si="28"/>
        <v>26.157375988568727</v>
      </c>
      <c r="K549" s="73">
        <f t="shared" si="25"/>
        <v>26.157375988568727</v>
      </c>
      <c r="L549" s="23">
        <f t="shared" si="26"/>
        <v>1.188971635844033</v>
      </c>
    </row>
    <row r="550" spans="1:12" x14ac:dyDescent="0.2">
      <c r="A550" s="15">
        <v>55397</v>
      </c>
      <c r="B550" s="73">
        <v>55</v>
      </c>
      <c r="C550" s="73">
        <v>55</v>
      </c>
      <c r="D550" s="73">
        <v>150</v>
      </c>
      <c r="E550" s="73">
        <v>4</v>
      </c>
      <c r="G550" s="73">
        <f t="shared" si="27"/>
        <v>264</v>
      </c>
      <c r="I550" s="73">
        <f t="shared" si="28"/>
        <v>0</v>
      </c>
      <c r="J550" s="73">
        <f t="shared" si="28"/>
        <v>23.472587163329614</v>
      </c>
      <c r="K550" s="73">
        <f t="shared" si="25"/>
        <v>23.472587163329614</v>
      </c>
      <c r="L550" s="23">
        <f t="shared" si="26"/>
        <v>1.0669357801513459</v>
      </c>
    </row>
    <row r="551" spans="1:12" x14ac:dyDescent="0.2">
      <c r="A551" s="15">
        <v>55427</v>
      </c>
      <c r="B551" s="73">
        <v>55</v>
      </c>
      <c r="C551" s="73">
        <v>55</v>
      </c>
      <c r="D551" s="73">
        <v>150</v>
      </c>
      <c r="E551" s="73">
        <v>4</v>
      </c>
      <c r="G551" s="73">
        <f t="shared" si="27"/>
        <v>264</v>
      </c>
      <c r="I551" s="73">
        <f t="shared" si="28"/>
        <v>0</v>
      </c>
      <c r="J551" s="73">
        <f t="shared" si="28"/>
        <v>18.86501559951466</v>
      </c>
      <c r="K551" s="73">
        <f t="shared" si="25"/>
        <v>18.86501559951466</v>
      </c>
      <c r="L551" s="23">
        <f t="shared" si="26"/>
        <v>0.85750070906884812</v>
      </c>
    </row>
    <row r="552" spans="1:12" x14ac:dyDescent="0.2">
      <c r="A552" s="15">
        <v>55458</v>
      </c>
      <c r="B552" s="73">
        <v>55</v>
      </c>
      <c r="C552" s="73">
        <v>55</v>
      </c>
      <c r="D552" s="73">
        <v>150</v>
      </c>
      <c r="E552" s="73">
        <v>4</v>
      </c>
      <c r="G552" s="73">
        <f t="shared" si="27"/>
        <v>264</v>
      </c>
      <c r="I552" s="73">
        <f t="shared" si="28"/>
        <v>0</v>
      </c>
      <c r="J552" s="73">
        <f t="shared" si="28"/>
        <v>18.994645340435518</v>
      </c>
      <c r="K552" s="73">
        <f t="shared" si="25"/>
        <v>18.994645340435518</v>
      </c>
      <c r="L552" s="23">
        <f t="shared" si="26"/>
        <v>0.86339297001979631</v>
      </c>
    </row>
    <row r="553" spans="1:12" x14ac:dyDescent="0.2">
      <c r="A553" s="15">
        <v>55488</v>
      </c>
      <c r="B553" s="73">
        <v>55</v>
      </c>
      <c r="C553" s="73">
        <v>55</v>
      </c>
      <c r="D553" s="73">
        <v>150</v>
      </c>
      <c r="E553" s="73">
        <v>4</v>
      </c>
      <c r="G553" s="73">
        <f t="shared" si="27"/>
        <v>264</v>
      </c>
      <c r="I553" s="73">
        <f t="shared" si="28"/>
        <v>0</v>
      </c>
      <c r="J553" s="73">
        <f t="shared" si="28"/>
        <v>19.574169494234145</v>
      </c>
      <c r="K553" s="73">
        <f t="shared" si="25"/>
        <v>19.574169494234145</v>
      </c>
      <c r="L553" s="23">
        <f t="shared" si="26"/>
        <v>0.88973497701064297</v>
      </c>
    </row>
  </sheetData>
  <mergeCells count="4">
    <mergeCell ref="B1:G1"/>
    <mergeCell ref="I1:M1"/>
    <mergeCell ref="O1:S1"/>
    <mergeCell ref="U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DED0-2250-4381-A2D5-33D8D45129A2}">
  <dimension ref="A1:AL551"/>
  <sheetViews>
    <sheetView zoomScale="85" zoomScaleNormal="85" workbookViewId="0">
      <pane xSplit="1" ySplit="3" topLeftCell="B379" activePane="bottomRight" state="frozen"/>
      <selection pane="topRight"/>
      <selection pane="bottomLeft"/>
      <selection pane="bottomRight"/>
    </sheetView>
  </sheetViews>
  <sheetFormatPr defaultColWidth="9" defaultRowHeight="15.75" x14ac:dyDescent="0.25"/>
  <cols>
    <col min="1" max="1" width="12.6640625" customWidth="1"/>
    <col min="2" max="2" width="10" style="104" customWidth="1"/>
    <col min="3" max="12" width="10" customWidth="1"/>
    <col min="25" max="28" width="10.83203125" customWidth="1"/>
  </cols>
  <sheetData>
    <row r="1" spans="1:34" ht="51" customHeight="1" x14ac:dyDescent="0.2">
      <c r="A1" s="90" t="s">
        <v>325</v>
      </c>
      <c r="B1" s="179" t="s">
        <v>369</v>
      </c>
      <c r="C1" s="179"/>
      <c r="D1" s="179"/>
      <c r="E1" s="179" t="s">
        <v>370</v>
      </c>
      <c r="F1" s="179"/>
      <c r="G1" s="179"/>
      <c r="H1" s="179" t="s">
        <v>371</v>
      </c>
      <c r="I1" s="179"/>
      <c r="J1" s="179" t="s">
        <v>372</v>
      </c>
      <c r="K1" s="179"/>
      <c r="L1" s="179"/>
      <c r="N1" s="179" t="s">
        <v>332</v>
      </c>
      <c r="O1" s="179"/>
      <c r="P1" s="179"/>
      <c r="Q1" s="179"/>
      <c r="T1" s="180" t="s">
        <v>333</v>
      </c>
      <c r="U1" s="180"/>
      <c r="V1" s="180"/>
      <c r="W1" s="180"/>
      <c r="Y1" s="179" t="s">
        <v>383</v>
      </c>
      <c r="Z1" s="179"/>
      <c r="AA1" s="179"/>
      <c r="AB1" s="179"/>
    </row>
    <row r="2" spans="1:34" ht="38.25" x14ac:dyDescent="0.2">
      <c r="A2" s="7" t="s">
        <v>149</v>
      </c>
      <c r="B2" s="8" t="s">
        <v>338</v>
      </c>
      <c r="C2" s="8" t="s">
        <v>345</v>
      </c>
      <c r="D2" s="8" t="s">
        <v>177</v>
      </c>
      <c r="E2" s="8" t="s">
        <v>338</v>
      </c>
      <c r="F2" s="8" t="s">
        <v>345</v>
      </c>
      <c r="G2" s="8" t="s">
        <v>177</v>
      </c>
      <c r="H2" s="8" t="s">
        <v>338</v>
      </c>
      <c r="I2" s="8" t="s">
        <v>177</v>
      </c>
      <c r="J2" s="8" t="s">
        <v>338</v>
      </c>
      <c r="K2" s="8" t="s">
        <v>345</v>
      </c>
      <c r="L2" s="8" t="s">
        <v>177</v>
      </c>
      <c r="N2" s="8" t="s">
        <v>338</v>
      </c>
      <c r="O2" s="8" t="s">
        <v>345</v>
      </c>
      <c r="P2" s="8" t="s">
        <v>339</v>
      </c>
      <c r="Q2" s="8" t="s">
        <v>177</v>
      </c>
      <c r="T2" s="8" t="s">
        <v>338</v>
      </c>
      <c r="U2" s="8" t="s">
        <v>345</v>
      </c>
      <c r="V2" s="8" t="s">
        <v>339</v>
      </c>
      <c r="W2" s="8" t="s">
        <v>177</v>
      </c>
      <c r="Y2" s="8" t="s">
        <v>338</v>
      </c>
      <c r="Z2" s="8" t="s">
        <v>345</v>
      </c>
      <c r="AA2" s="8" t="s">
        <v>339</v>
      </c>
      <c r="AB2" s="8" t="s">
        <v>177</v>
      </c>
      <c r="AD2" s="8" t="s">
        <v>343</v>
      </c>
      <c r="AE2" s="8" t="s">
        <v>341</v>
      </c>
      <c r="AF2" s="8" t="s">
        <v>344</v>
      </c>
      <c r="AG2" s="8" t="s">
        <v>342</v>
      </c>
      <c r="AH2" s="8" t="s">
        <v>340</v>
      </c>
    </row>
    <row r="3" spans="1:34" ht="12.75" x14ac:dyDescent="0.2">
      <c r="A3" s="7" t="s">
        <v>354</v>
      </c>
      <c r="B3" s="93" t="s">
        <v>355</v>
      </c>
      <c r="C3" s="93">
        <v>1</v>
      </c>
      <c r="D3" s="93">
        <f>C3</f>
        <v>1</v>
      </c>
      <c r="E3" s="93">
        <v>0.75</v>
      </c>
      <c r="F3" s="93">
        <v>0.25</v>
      </c>
      <c r="G3" s="140">
        <f>SUM(E3:F3)</f>
        <v>1</v>
      </c>
      <c r="H3" s="93">
        <v>1</v>
      </c>
      <c r="I3" s="93">
        <f>H3</f>
        <v>1</v>
      </c>
      <c r="J3" s="93">
        <v>0.5</v>
      </c>
      <c r="K3" s="93">
        <v>0.5</v>
      </c>
      <c r="L3" s="100">
        <f>SUM(J3:K3)</f>
        <v>1</v>
      </c>
      <c r="R3" t="s">
        <v>358</v>
      </c>
    </row>
    <row r="4" spans="1:34" x14ac:dyDescent="0.25">
      <c r="A4" s="96">
        <v>38838</v>
      </c>
      <c r="J4" s="104">
        <f>('Co-Processing'!E6*'Co-Pro Feedstock Breakdown'!J$3*'Feedstock Conversion Rates'!B$13)/12</f>
        <v>0.3125</v>
      </c>
      <c r="K4" s="104">
        <f>('Co-Processing'!E6*'Co-Pro Feedstock Breakdown'!K$3*'Feedstock Conversion Rates'!B$12)/12</f>
        <v>0.32291666666666669</v>
      </c>
      <c r="L4" s="106">
        <f>SUM(J4:K4)</f>
        <v>0.63541666666666674</v>
      </c>
      <c r="N4" s="104">
        <f>E4+H4+J4+B4</f>
        <v>0.3125</v>
      </c>
      <c r="O4" s="104">
        <f t="shared" ref="O4:O67" si="0">C4+K4+F4</f>
        <v>0.32291666666666669</v>
      </c>
      <c r="P4" s="104"/>
      <c r="Q4" s="106">
        <f>SUM(N4:P4)</f>
        <v>0.63541666666666674</v>
      </c>
      <c r="R4" s="141">
        <f>D4+G4+I4+L4-Q4</f>
        <v>0</v>
      </c>
      <c r="T4" s="110">
        <f t="shared" ref="T4:V67" si="1">N4/$Q4</f>
        <v>0.49180327868852453</v>
      </c>
      <c r="U4" s="110">
        <f t="shared" si="1"/>
        <v>0.50819672131147542</v>
      </c>
      <c r="V4" s="110">
        <f t="shared" si="1"/>
        <v>0</v>
      </c>
      <c r="W4" s="110">
        <f t="shared" ref="W4:W67" si="2">SUM(T4:V4)</f>
        <v>1</v>
      </c>
    </row>
    <row r="5" spans="1:34" x14ac:dyDescent="0.25">
      <c r="A5" s="96">
        <v>38869</v>
      </c>
      <c r="J5" s="104">
        <f>('Co-Processing'!E7*'Co-Pro Feedstock Breakdown'!J$3*'Feedstock Conversion Rates'!B$13)/12</f>
        <v>0.3125</v>
      </c>
      <c r="K5" s="104">
        <f>('Co-Processing'!E7*'Co-Pro Feedstock Breakdown'!K$3*'Feedstock Conversion Rates'!B$12)/12</f>
        <v>0.32291666666666669</v>
      </c>
      <c r="L5" s="106">
        <f t="shared" ref="L5:L68" si="3">SUM(J5:K5)</f>
        <v>0.63541666666666674</v>
      </c>
      <c r="N5" s="104">
        <f t="shared" ref="N5:N68" si="4">E5+H5+J5+B5</f>
        <v>0.3125</v>
      </c>
      <c r="O5" s="104">
        <f t="shared" si="0"/>
        <v>0.32291666666666669</v>
      </c>
      <c r="P5" s="104"/>
      <c r="Q5" s="106">
        <f t="shared" ref="Q5:Q68" si="5">SUM(N5:P5)</f>
        <v>0.63541666666666674</v>
      </c>
      <c r="R5" s="141">
        <f t="shared" ref="R5:R68" si="6">D5+G5+I5+L5-Q5</f>
        <v>0</v>
      </c>
      <c r="T5" s="110">
        <f t="shared" si="1"/>
        <v>0.49180327868852453</v>
      </c>
      <c r="U5" s="110">
        <f t="shared" si="1"/>
        <v>0.50819672131147542</v>
      </c>
      <c r="V5" s="110">
        <f t="shared" si="1"/>
        <v>0</v>
      </c>
      <c r="W5" s="110">
        <f t="shared" si="2"/>
        <v>1</v>
      </c>
    </row>
    <row r="6" spans="1:34" x14ac:dyDescent="0.25">
      <c r="A6" s="96">
        <v>38899</v>
      </c>
      <c r="J6" s="104">
        <f>('Co-Processing'!E8*'Co-Pro Feedstock Breakdown'!J$3*'Feedstock Conversion Rates'!B$13)/12</f>
        <v>0.3125</v>
      </c>
      <c r="K6" s="104">
        <f>('Co-Processing'!E8*'Co-Pro Feedstock Breakdown'!K$3*'Feedstock Conversion Rates'!B$12)/12</f>
        <v>0.32291666666666669</v>
      </c>
      <c r="L6" s="106">
        <f t="shared" si="3"/>
        <v>0.63541666666666674</v>
      </c>
      <c r="N6" s="104">
        <f t="shared" si="4"/>
        <v>0.3125</v>
      </c>
      <c r="O6" s="104">
        <f t="shared" si="0"/>
        <v>0.32291666666666669</v>
      </c>
      <c r="P6" s="104"/>
      <c r="Q6" s="106">
        <f t="shared" si="5"/>
        <v>0.63541666666666674</v>
      </c>
      <c r="R6" s="141">
        <f t="shared" si="6"/>
        <v>0</v>
      </c>
      <c r="T6" s="110">
        <f t="shared" si="1"/>
        <v>0.49180327868852453</v>
      </c>
      <c r="U6" s="110">
        <f t="shared" si="1"/>
        <v>0.50819672131147542</v>
      </c>
      <c r="V6" s="110">
        <f t="shared" si="1"/>
        <v>0</v>
      </c>
      <c r="W6" s="110">
        <f t="shared" si="2"/>
        <v>1</v>
      </c>
    </row>
    <row r="7" spans="1:34" x14ac:dyDescent="0.25">
      <c r="A7" s="96">
        <v>38930</v>
      </c>
      <c r="J7" s="104">
        <f>('Co-Processing'!E9*'Co-Pro Feedstock Breakdown'!J$3*'Feedstock Conversion Rates'!B$13)/12</f>
        <v>0.9375</v>
      </c>
      <c r="K7" s="104">
        <f>('Co-Processing'!E9*'Co-Pro Feedstock Breakdown'!K$3*'Feedstock Conversion Rates'!B$12)/12</f>
        <v>0.96875</v>
      </c>
      <c r="L7" s="106">
        <f t="shared" si="3"/>
        <v>1.90625</v>
      </c>
      <c r="N7" s="104">
        <f t="shared" si="4"/>
        <v>0.9375</v>
      </c>
      <c r="O7" s="104">
        <f t="shared" si="0"/>
        <v>0.96875</v>
      </c>
      <c r="P7" s="104"/>
      <c r="Q7" s="106">
        <f t="shared" si="5"/>
        <v>1.90625</v>
      </c>
      <c r="R7" s="141">
        <f t="shared" si="6"/>
        <v>0</v>
      </c>
      <c r="T7" s="110">
        <f t="shared" si="1"/>
        <v>0.49180327868852458</v>
      </c>
      <c r="U7" s="110">
        <f t="shared" si="1"/>
        <v>0.50819672131147542</v>
      </c>
      <c r="V7" s="110">
        <f t="shared" si="1"/>
        <v>0</v>
      </c>
      <c r="W7" s="110">
        <f t="shared" si="2"/>
        <v>1</v>
      </c>
    </row>
    <row r="8" spans="1:34" x14ac:dyDescent="0.25">
      <c r="A8" s="96">
        <v>38961</v>
      </c>
      <c r="J8" s="104">
        <f>('Co-Processing'!E10*'Co-Pro Feedstock Breakdown'!J$3*'Feedstock Conversion Rates'!B$13)/12</f>
        <v>0.9375</v>
      </c>
      <c r="K8" s="104">
        <f>('Co-Processing'!E10*'Co-Pro Feedstock Breakdown'!K$3*'Feedstock Conversion Rates'!B$12)/12</f>
        <v>0.96875</v>
      </c>
      <c r="L8" s="106">
        <f t="shared" si="3"/>
        <v>1.90625</v>
      </c>
      <c r="N8" s="104">
        <f t="shared" si="4"/>
        <v>0.9375</v>
      </c>
      <c r="O8" s="104">
        <f t="shared" si="0"/>
        <v>0.96875</v>
      </c>
      <c r="P8" s="104"/>
      <c r="Q8" s="106">
        <f t="shared" si="5"/>
        <v>1.90625</v>
      </c>
      <c r="R8" s="141">
        <f t="shared" si="6"/>
        <v>0</v>
      </c>
      <c r="T8" s="110">
        <f t="shared" si="1"/>
        <v>0.49180327868852458</v>
      </c>
      <c r="U8" s="110">
        <f t="shared" si="1"/>
        <v>0.50819672131147542</v>
      </c>
      <c r="V8" s="110">
        <f t="shared" si="1"/>
        <v>0</v>
      </c>
      <c r="W8" s="110">
        <f t="shared" si="2"/>
        <v>1</v>
      </c>
    </row>
    <row r="9" spans="1:34" x14ac:dyDescent="0.25">
      <c r="A9" s="96">
        <v>38991</v>
      </c>
      <c r="J9" s="104">
        <f>('Co-Processing'!E11*'Co-Pro Feedstock Breakdown'!J$3*'Feedstock Conversion Rates'!B$13)/12</f>
        <v>0.9375</v>
      </c>
      <c r="K9" s="104">
        <f>('Co-Processing'!E11*'Co-Pro Feedstock Breakdown'!K$3*'Feedstock Conversion Rates'!B$12)/12</f>
        <v>0.96875</v>
      </c>
      <c r="L9" s="106">
        <f t="shared" si="3"/>
        <v>1.90625</v>
      </c>
      <c r="N9" s="104">
        <f t="shared" si="4"/>
        <v>0.9375</v>
      </c>
      <c r="O9" s="104">
        <f t="shared" si="0"/>
        <v>0.96875</v>
      </c>
      <c r="P9" s="104"/>
      <c r="Q9" s="106">
        <f t="shared" si="5"/>
        <v>1.90625</v>
      </c>
      <c r="R9" s="141">
        <f t="shared" si="6"/>
        <v>0</v>
      </c>
      <c r="T9" s="110">
        <f t="shared" si="1"/>
        <v>0.49180327868852458</v>
      </c>
      <c r="U9" s="110">
        <f t="shared" si="1"/>
        <v>0.50819672131147542</v>
      </c>
      <c r="V9" s="110">
        <f t="shared" si="1"/>
        <v>0</v>
      </c>
      <c r="W9" s="110">
        <f t="shared" si="2"/>
        <v>1</v>
      </c>
    </row>
    <row r="10" spans="1:34" x14ac:dyDescent="0.25">
      <c r="A10" s="96">
        <v>39022</v>
      </c>
      <c r="J10" s="104">
        <f>('Co-Processing'!E12*'Co-Pro Feedstock Breakdown'!J$3*'Feedstock Conversion Rates'!B$13)/12</f>
        <v>1.25</v>
      </c>
      <c r="K10" s="104">
        <f>('Co-Processing'!E12*'Co-Pro Feedstock Breakdown'!K$3*'Feedstock Conversion Rates'!B$12)/12</f>
        <v>1.2916666666666667</v>
      </c>
      <c r="L10" s="106">
        <f t="shared" si="3"/>
        <v>2.541666666666667</v>
      </c>
      <c r="N10" s="104">
        <f t="shared" si="4"/>
        <v>1.25</v>
      </c>
      <c r="O10" s="104">
        <f t="shared" si="0"/>
        <v>1.2916666666666667</v>
      </c>
      <c r="P10" s="104"/>
      <c r="Q10" s="106">
        <f t="shared" si="5"/>
        <v>2.541666666666667</v>
      </c>
      <c r="R10" s="141">
        <f t="shared" si="6"/>
        <v>0</v>
      </c>
      <c r="T10" s="110">
        <f t="shared" si="1"/>
        <v>0.49180327868852453</v>
      </c>
      <c r="U10" s="110">
        <f t="shared" si="1"/>
        <v>0.50819672131147542</v>
      </c>
      <c r="V10" s="110">
        <f t="shared" si="1"/>
        <v>0</v>
      </c>
      <c r="W10" s="110">
        <f t="shared" si="2"/>
        <v>1</v>
      </c>
    </row>
    <row r="11" spans="1:34" x14ac:dyDescent="0.25">
      <c r="A11" s="96">
        <v>39052</v>
      </c>
      <c r="J11" s="104">
        <f>('Co-Processing'!E13*'Co-Pro Feedstock Breakdown'!J$3*'Feedstock Conversion Rates'!B$13)/12</f>
        <v>1.25</v>
      </c>
      <c r="K11" s="104">
        <f>('Co-Processing'!E13*'Co-Pro Feedstock Breakdown'!K$3*'Feedstock Conversion Rates'!B$12)/12</f>
        <v>1.2916666666666667</v>
      </c>
      <c r="L11" s="106">
        <f t="shared" si="3"/>
        <v>2.541666666666667</v>
      </c>
      <c r="N11" s="104">
        <f t="shared" si="4"/>
        <v>1.25</v>
      </c>
      <c r="O11" s="104">
        <f t="shared" si="0"/>
        <v>1.2916666666666667</v>
      </c>
      <c r="P11" s="104"/>
      <c r="Q11" s="106">
        <f t="shared" si="5"/>
        <v>2.541666666666667</v>
      </c>
      <c r="R11" s="141">
        <f t="shared" si="6"/>
        <v>0</v>
      </c>
      <c r="T11" s="110">
        <f t="shared" si="1"/>
        <v>0.49180327868852453</v>
      </c>
      <c r="U11" s="110">
        <f t="shared" si="1"/>
        <v>0.50819672131147542</v>
      </c>
      <c r="V11" s="110">
        <f t="shared" si="1"/>
        <v>0</v>
      </c>
      <c r="W11" s="110">
        <f t="shared" si="2"/>
        <v>1</v>
      </c>
    </row>
    <row r="12" spans="1:34" x14ac:dyDescent="0.25">
      <c r="A12" s="96">
        <v>39083</v>
      </c>
      <c r="J12" s="104">
        <f>('Co-Processing'!E14*'Co-Pro Feedstock Breakdown'!J$3*'Feedstock Conversion Rates'!B$13)/12</f>
        <v>1.25</v>
      </c>
      <c r="K12" s="104">
        <f>('Co-Processing'!E14*'Co-Pro Feedstock Breakdown'!K$3*'Feedstock Conversion Rates'!B$12)/12</f>
        <v>1.2916666666666667</v>
      </c>
      <c r="L12" s="106">
        <f t="shared" si="3"/>
        <v>2.541666666666667</v>
      </c>
      <c r="N12" s="104">
        <f t="shared" si="4"/>
        <v>1.25</v>
      </c>
      <c r="O12" s="104">
        <f t="shared" si="0"/>
        <v>1.2916666666666667</v>
      </c>
      <c r="P12" s="104"/>
      <c r="Q12" s="106">
        <f t="shared" si="5"/>
        <v>2.541666666666667</v>
      </c>
      <c r="R12" s="141">
        <f t="shared" si="6"/>
        <v>0</v>
      </c>
      <c r="T12" s="110">
        <f t="shared" si="1"/>
        <v>0.49180327868852453</v>
      </c>
      <c r="U12" s="110">
        <f t="shared" si="1"/>
        <v>0.50819672131147542</v>
      </c>
      <c r="V12" s="110">
        <f t="shared" si="1"/>
        <v>0</v>
      </c>
      <c r="W12" s="110">
        <f t="shared" si="2"/>
        <v>1</v>
      </c>
    </row>
    <row r="13" spans="1:34" x14ac:dyDescent="0.25">
      <c r="A13" s="96">
        <v>39114</v>
      </c>
      <c r="J13" s="104">
        <f>('Co-Processing'!E15*'Co-Pro Feedstock Breakdown'!J$3*'Feedstock Conversion Rates'!B$13)/12</f>
        <v>1.25</v>
      </c>
      <c r="K13" s="104">
        <f>('Co-Processing'!E15*'Co-Pro Feedstock Breakdown'!K$3*'Feedstock Conversion Rates'!B$12)/12</f>
        <v>1.2916666666666667</v>
      </c>
      <c r="L13" s="106">
        <f t="shared" si="3"/>
        <v>2.541666666666667</v>
      </c>
      <c r="N13" s="104">
        <f t="shared" si="4"/>
        <v>1.25</v>
      </c>
      <c r="O13" s="104">
        <f t="shared" si="0"/>
        <v>1.2916666666666667</v>
      </c>
      <c r="P13" s="104"/>
      <c r="Q13" s="106">
        <f t="shared" si="5"/>
        <v>2.541666666666667</v>
      </c>
      <c r="R13" s="141">
        <f t="shared" si="6"/>
        <v>0</v>
      </c>
      <c r="T13" s="110">
        <f t="shared" si="1"/>
        <v>0.49180327868852453</v>
      </c>
      <c r="U13" s="110">
        <f t="shared" si="1"/>
        <v>0.50819672131147542</v>
      </c>
      <c r="V13" s="110">
        <f t="shared" si="1"/>
        <v>0</v>
      </c>
      <c r="W13" s="110">
        <f t="shared" si="2"/>
        <v>1</v>
      </c>
    </row>
    <row r="14" spans="1:34" x14ac:dyDescent="0.25">
      <c r="A14" s="96">
        <v>39142</v>
      </c>
      <c r="J14" s="104">
        <f>('Co-Processing'!E16*'Co-Pro Feedstock Breakdown'!J$3*'Feedstock Conversion Rates'!B$13)/12</f>
        <v>1.25</v>
      </c>
      <c r="K14" s="104">
        <f>('Co-Processing'!E16*'Co-Pro Feedstock Breakdown'!K$3*'Feedstock Conversion Rates'!B$12)/12</f>
        <v>1.2916666666666667</v>
      </c>
      <c r="L14" s="106">
        <f t="shared" si="3"/>
        <v>2.541666666666667</v>
      </c>
      <c r="N14" s="104">
        <f t="shared" si="4"/>
        <v>1.25</v>
      </c>
      <c r="O14" s="104">
        <f t="shared" si="0"/>
        <v>1.2916666666666667</v>
      </c>
      <c r="P14" s="104"/>
      <c r="Q14" s="106">
        <f t="shared" si="5"/>
        <v>2.541666666666667</v>
      </c>
      <c r="R14" s="141">
        <f t="shared" si="6"/>
        <v>0</v>
      </c>
      <c r="T14" s="110">
        <f t="shared" si="1"/>
        <v>0.49180327868852453</v>
      </c>
      <c r="U14" s="110">
        <f t="shared" si="1"/>
        <v>0.50819672131147542</v>
      </c>
      <c r="V14" s="110">
        <f t="shared" si="1"/>
        <v>0</v>
      </c>
      <c r="W14" s="110">
        <f t="shared" si="2"/>
        <v>1</v>
      </c>
    </row>
    <row r="15" spans="1:34" x14ac:dyDescent="0.25">
      <c r="A15" s="96">
        <v>39173</v>
      </c>
      <c r="J15" s="104">
        <f>('Co-Processing'!E17*'Co-Pro Feedstock Breakdown'!J$3*'Feedstock Conversion Rates'!B$13)/12</f>
        <v>1.25</v>
      </c>
      <c r="K15" s="104">
        <f>('Co-Processing'!E17*'Co-Pro Feedstock Breakdown'!K$3*'Feedstock Conversion Rates'!B$12)/12</f>
        <v>1.2916666666666667</v>
      </c>
      <c r="L15" s="106">
        <f t="shared" si="3"/>
        <v>2.541666666666667</v>
      </c>
      <c r="N15" s="104">
        <f t="shared" si="4"/>
        <v>1.25</v>
      </c>
      <c r="O15" s="104">
        <f t="shared" si="0"/>
        <v>1.2916666666666667</v>
      </c>
      <c r="P15" s="104"/>
      <c r="Q15" s="106">
        <f t="shared" si="5"/>
        <v>2.541666666666667</v>
      </c>
      <c r="R15" s="141">
        <f t="shared" si="6"/>
        <v>0</v>
      </c>
      <c r="T15" s="110">
        <f t="shared" si="1"/>
        <v>0.49180327868852453</v>
      </c>
      <c r="U15" s="110">
        <f t="shared" si="1"/>
        <v>0.50819672131147542</v>
      </c>
      <c r="V15" s="110">
        <f t="shared" si="1"/>
        <v>0</v>
      </c>
      <c r="W15" s="110">
        <f t="shared" si="2"/>
        <v>1</v>
      </c>
    </row>
    <row r="16" spans="1:34" x14ac:dyDescent="0.25">
      <c r="A16" s="96">
        <v>39203</v>
      </c>
      <c r="J16" s="104">
        <f>('Co-Processing'!E18*'Co-Pro Feedstock Breakdown'!J$3*'Feedstock Conversion Rates'!B$13)/12</f>
        <v>1.25</v>
      </c>
      <c r="K16" s="104">
        <f>('Co-Processing'!E18*'Co-Pro Feedstock Breakdown'!K$3*'Feedstock Conversion Rates'!B$12)/12</f>
        <v>1.2916666666666667</v>
      </c>
      <c r="L16" s="106">
        <f t="shared" si="3"/>
        <v>2.541666666666667</v>
      </c>
      <c r="N16" s="104">
        <f t="shared" si="4"/>
        <v>1.25</v>
      </c>
      <c r="O16" s="104">
        <f t="shared" si="0"/>
        <v>1.2916666666666667</v>
      </c>
      <c r="P16" s="104"/>
      <c r="Q16" s="106">
        <f t="shared" si="5"/>
        <v>2.541666666666667</v>
      </c>
      <c r="R16" s="141">
        <f t="shared" si="6"/>
        <v>0</v>
      </c>
      <c r="T16" s="110">
        <f t="shared" si="1"/>
        <v>0.49180327868852453</v>
      </c>
      <c r="U16" s="110">
        <f t="shared" si="1"/>
        <v>0.50819672131147542</v>
      </c>
      <c r="V16" s="110">
        <f t="shared" si="1"/>
        <v>0</v>
      </c>
      <c r="W16" s="110">
        <f t="shared" si="2"/>
        <v>1</v>
      </c>
    </row>
    <row r="17" spans="1:23" x14ac:dyDescent="0.25">
      <c r="A17" s="96">
        <v>39234</v>
      </c>
      <c r="J17" s="104">
        <f>('Co-Processing'!E19*'Co-Pro Feedstock Breakdown'!J$3*'Feedstock Conversion Rates'!B$13)/12</f>
        <v>1.25</v>
      </c>
      <c r="K17" s="104">
        <f>('Co-Processing'!E19*'Co-Pro Feedstock Breakdown'!K$3*'Feedstock Conversion Rates'!B$12)/12</f>
        <v>1.2916666666666667</v>
      </c>
      <c r="L17" s="106">
        <f t="shared" si="3"/>
        <v>2.541666666666667</v>
      </c>
      <c r="N17" s="104">
        <f t="shared" si="4"/>
        <v>1.25</v>
      </c>
      <c r="O17" s="104">
        <f t="shared" si="0"/>
        <v>1.2916666666666667</v>
      </c>
      <c r="P17" s="104"/>
      <c r="Q17" s="106">
        <f t="shared" si="5"/>
        <v>2.541666666666667</v>
      </c>
      <c r="R17" s="141">
        <f t="shared" si="6"/>
        <v>0</v>
      </c>
      <c r="T17" s="110">
        <f t="shared" si="1"/>
        <v>0.49180327868852453</v>
      </c>
      <c r="U17" s="110">
        <f t="shared" si="1"/>
        <v>0.50819672131147542</v>
      </c>
      <c r="V17" s="110">
        <f t="shared" si="1"/>
        <v>0</v>
      </c>
      <c r="W17" s="110">
        <f t="shared" si="2"/>
        <v>1</v>
      </c>
    </row>
    <row r="18" spans="1:23" x14ac:dyDescent="0.25">
      <c r="A18" s="96">
        <v>39264</v>
      </c>
      <c r="J18" s="104">
        <f>('Co-Processing'!E20*'Co-Pro Feedstock Breakdown'!J$3*'Feedstock Conversion Rates'!B$13)/12</f>
        <v>1.25</v>
      </c>
      <c r="K18" s="104">
        <f>('Co-Processing'!E20*'Co-Pro Feedstock Breakdown'!K$3*'Feedstock Conversion Rates'!B$12)/12</f>
        <v>1.2916666666666667</v>
      </c>
      <c r="L18" s="106">
        <f t="shared" si="3"/>
        <v>2.541666666666667</v>
      </c>
      <c r="N18" s="104">
        <f t="shared" si="4"/>
        <v>1.25</v>
      </c>
      <c r="O18" s="104">
        <f t="shared" si="0"/>
        <v>1.2916666666666667</v>
      </c>
      <c r="P18" s="104"/>
      <c r="Q18" s="106">
        <f t="shared" si="5"/>
        <v>2.541666666666667</v>
      </c>
      <c r="R18" s="141">
        <f t="shared" si="6"/>
        <v>0</v>
      </c>
      <c r="T18" s="110">
        <f t="shared" si="1"/>
        <v>0.49180327868852453</v>
      </c>
      <c r="U18" s="110">
        <f t="shared" si="1"/>
        <v>0.50819672131147542</v>
      </c>
      <c r="V18" s="110">
        <f t="shared" si="1"/>
        <v>0</v>
      </c>
      <c r="W18" s="110">
        <f t="shared" si="2"/>
        <v>1</v>
      </c>
    </row>
    <row r="19" spans="1:23" x14ac:dyDescent="0.25">
      <c r="A19" s="96">
        <v>39295</v>
      </c>
      <c r="J19" s="104">
        <f>('Co-Processing'!E21*'Co-Pro Feedstock Breakdown'!J$3*'Feedstock Conversion Rates'!B$13)/12</f>
        <v>1.25</v>
      </c>
      <c r="K19" s="104">
        <f>('Co-Processing'!E21*'Co-Pro Feedstock Breakdown'!K$3*'Feedstock Conversion Rates'!B$12)/12</f>
        <v>1.2916666666666667</v>
      </c>
      <c r="L19" s="106">
        <f t="shared" si="3"/>
        <v>2.541666666666667</v>
      </c>
      <c r="N19" s="104">
        <f t="shared" si="4"/>
        <v>1.25</v>
      </c>
      <c r="O19" s="104">
        <f t="shared" si="0"/>
        <v>1.2916666666666667</v>
      </c>
      <c r="P19" s="104"/>
      <c r="Q19" s="106">
        <f t="shared" si="5"/>
        <v>2.541666666666667</v>
      </c>
      <c r="R19" s="141">
        <f t="shared" si="6"/>
        <v>0</v>
      </c>
      <c r="T19" s="110">
        <f t="shared" si="1"/>
        <v>0.49180327868852453</v>
      </c>
      <c r="U19" s="110">
        <f t="shared" si="1"/>
        <v>0.50819672131147542</v>
      </c>
      <c r="V19" s="110">
        <f t="shared" si="1"/>
        <v>0</v>
      </c>
      <c r="W19" s="110">
        <f t="shared" si="2"/>
        <v>1</v>
      </c>
    </row>
    <row r="20" spans="1:23" x14ac:dyDescent="0.25">
      <c r="A20" s="96">
        <v>39326</v>
      </c>
      <c r="J20" s="104">
        <f>('Co-Processing'!E22*'Co-Pro Feedstock Breakdown'!J$3*'Feedstock Conversion Rates'!B$13)/12</f>
        <v>1.25</v>
      </c>
      <c r="K20" s="104">
        <f>('Co-Processing'!E22*'Co-Pro Feedstock Breakdown'!K$3*'Feedstock Conversion Rates'!B$12)/12</f>
        <v>1.2916666666666667</v>
      </c>
      <c r="L20" s="106">
        <f t="shared" si="3"/>
        <v>2.541666666666667</v>
      </c>
      <c r="N20" s="104">
        <f t="shared" si="4"/>
        <v>1.25</v>
      </c>
      <c r="O20" s="104">
        <f t="shared" si="0"/>
        <v>1.2916666666666667</v>
      </c>
      <c r="P20" s="104"/>
      <c r="Q20" s="106">
        <f t="shared" si="5"/>
        <v>2.541666666666667</v>
      </c>
      <c r="R20" s="141">
        <f t="shared" si="6"/>
        <v>0</v>
      </c>
      <c r="T20" s="110">
        <f t="shared" si="1"/>
        <v>0.49180327868852453</v>
      </c>
      <c r="U20" s="110">
        <f t="shared" si="1"/>
        <v>0.50819672131147542</v>
      </c>
      <c r="V20" s="110">
        <f t="shared" si="1"/>
        <v>0</v>
      </c>
      <c r="W20" s="110">
        <f t="shared" si="2"/>
        <v>1</v>
      </c>
    </row>
    <row r="21" spans="1:23" x14ac:dyDescent="0.25">
      <c r="A21" s="96">
        <v>39356</v>
      </c>
      <c r="J21" s="104">
        <f>('Co-Processing'!E23*'Co-Pro Feedstock Breakdown'!J$3*'Feedstock Conversion Rates'!B$13)/12</f>
        <v>1.25</v>
      </c>
      <c r="K21" s="104">
        <f>('Co-Processing'!E23*'Co-Pro Feedstock Breakdown'!K$3*'Feedstock Conversion Rates'!B$12)/12</f>
        <v>1.2916666666666667</v>
      </c>
      <c r="L21" s="106">
        <f t="shared" si="3"/>
        <v>2.541666666666667</v>
      </c>
      <c r="N21" s="104">
        <f t="shared" si="4"/>
        <v>1.25</v>
      </c>
      <c r="O21" s="104">
        <f t="shared" si="0"/>
        <v>1.2916666666666667</v>
      </c>
      <c r="P21" s="104"/>
      <c r="Q21" s="106">
        <f t="shared" si="5"/>
        <v>2.541666666666667</v>
      </c>
      <c r="R21" s="141">
        <f t="shared" si="6"/>
        <v>0</v>
      </c>
      <c r="T21" s="110">
        <f t="shared" si="1"/>
        <v>0.49180327868852453</v>
      </c>
      <c r="U21" s="110">
        <f t="shared" si="1"/>
        <v>0.50819672131147542</v>
      </c>
      <c r="V21" s="110">
        <f t="shared" si="1"/>
        <v>0</v>
      </c>
      <c r="W21" s="110">
        <f t="shared" si="2"/>
        <v>1</v>
      </c>
    </row>
    <row r="22" spans="1:23" x14ac:dyDescent="0.25">
      <c r="A22" s="96">
        <v>39387</v>
      </c>
      <c r="J22" s="104">
        <f>('Co-Processing'!E24*'Co-Pro Feedstock Breakdown'!J$3*'Feedstock Conversion Rates'!B$13)/12</f>
        <v>1.25</v>
      </c>
      <c r="K22" s="104">
        <f>('Co-Processing'!E24*'Co-Pro Feedstock Breakdown'!K$3*'Feedstock Conversion Rates'!B$12)/12</f>
        <v>1.2916666666666667</v>
      </c>
      <c r="L22" s="106">
        <f t="shared" si="3"/>
        <v>2.541666666666667</v>
      </c>
      <c r="N22" s="104">
        <f t="shared" si="4"/>
        <v>1.25</v>
      </c>
      <c r="O22" s="104">
        <f t="shared" si="0"/>
        <v>1.2916666666666667</v>
      </c>
      <c r="P22" s="104"/>
      <c r="Q22" s="106">
        <f t="shared" si="5"/>
        <v>2.541666666666667</v>
      </c>
      <c r="R22" s="141">
        <f t="shared" si="6"/>
        <v>0</v>
      </c>
      <c r="T22" s="110">
        <f t="shared" si="1"/>
        <v>0.49180327868852453</v>
      </c>
      <c r="U22" s="110">
        <f t="shared" si="1"/>
        <v>0.50819672131147542</v>
      </c>
      <c r="V22" s="110">
        <f t="shared" si="1"/>
        <v>0</v>
      </c>
      <c r="W22" s="110">
        <f t="shared" si="2"/>
        <v>1</v>
      </c>
    </row>
    <row r="23" spans="1:23" x14ac:dyDescent="0.25">
      <c r="A23" s="96">
        <v>39417</v>
      </c>
      <c r="J23" s="104">
        <f>('Co-Processing'!E25*'Co-Pro Feedstock Breakdown'!J$3*'Feedstock Conversion Rates'!B$13)/12</f>
        <v>1.25</v>
      </c>
      <c r="K23" s="104">
        <f>('Co-Processing'!E25*'Co-Pro Feedstock Breakdown'!K$3*'Feedstock Conversion Rates'!B$12)/12</f>
        <v>1.2916666666666667</v>
      </c>
      <c r="L23" s="106">
        <f t="shared" si="3"/>
        <v>2.541666666666667</v>
      </c>
      <c r="N23" s="104">
        <f t="shared" si="4"/>
        <v>1.25</v>
      </c>
      <c r="O23" s="104">
        <f t="shared" si="0"/>
        <v>1.2916666666666667</v>
      </c>
      <c r="P23" s="104"/>
      <c r="Q23" s="106">
        <f t="shared" si="5"/>
        <v>2.541666666666667</v>
      </c>
      <c r="R23" s="141">
        <f t="shared" si="6"/>
        <v>0</v>
      </c>
      <c r="T23" s="110">
        <f t="shared" si="1"/>
        <v>0.49180327868852453</v>
      </c>
      <c r="U23" s="110">
        <f t="shared" si="1"/>
        <v>0.50819672131147542</v>
      </c>
      <c r="V23" s="110">
        <f t="shared" si="1"/>
        <v>0</v>
      </c>
      <c r="W23" s="110">
        <f t="shared" si="2"/>
        <v>1</v>
      </c>
    </row>
    <row r="24" spans="1:23" x14ac:dyDescent="0.25">
      <c r="A24" s="96">
        <v>39448</v>
      </c>
      <c r="J24" s="104">
        <f>('Co-Processing'!E26*'Co-Pro Feedstock Breakdown'!J$3*'Feedstock Conversion Rates'!B$13)/12</f>
        <v>1.25</v>
      </c>
      <c r="K24" s="104">
        <f>('Co-Processing'!E26*'Co-Pro Feedstock Breakdown'!K$3*'Feedstock Conversion Rates'!B$12)/12</f>
        <v>1.2916666666666667</v>
      </c>
      <c r="L24" s="106">
        <f t="shared" si="3"/>
        <v>2.541666666666667</v>
      </c>
      <c r="N24" s="104">
        <f t="shared" si="4"/>
        <v>1.25</v>
      </c>
      <c r="O24" s="104">
        <f t="shared" si="0"/>
        <v>1.2916666666666667</v>
      </c>
      <c r="P24" s="104"/>
      <c r="Q24" s="106">
        <f t="shared" si="5"/>
        <v>2.541666666666667</v>
      </c>
      <c r="R24" s="141">
        <f t="shared" si="6"/>
        <v>0</v>
      </c>
      <c r="T24" s="110">
        <f t="shared" si="1"/>
        <v>0.49180327868852453</v>
      </c>
      <c r="U24" s="110">
        <f t="shared" si="1"/>
        <v>0.50819672131147542</v>
      </c>
      <c r="V24" s="110">
        <f t="shared" si="1"/>
        <v>0</v>
      </c>
      <c r="W24" s="110">
        <f t="shared" si="2"/>
        <v>1</v>
      </c>
    </row>
    <row r="25" spans="1:23" x14ac:dyDescent="0.25">
      <c r="A25" s="96">
        <v>39479</v>
      </c>
      <c r="J25" s="104">
        <f>('Co-Processing'!E27*'Co-Pro Feedstock Breakdown'!J$3*'Feedstock Conversion Rates'!B$13)/12</f>
        <v>1.25</v>
      </c>
      <c r="K25" s="104">
        <f>('Co-Processing'!E27*'Co-Pro Feedstock Breakdown'!K$3*'Feedstock Conversion Rates'!B$12)/12</f>
        <v>1.2916666666666667</v>
      </c>
      <c r="L25" s="106">
        <f t="shared" si="3"/>
        <v>2.541666666666667</v>
      </c>
      <c r="N25" s="104">
        <f t="shared" si="4"/>
        <v>1.25</v>
      </c>
      <c r="O25" s="104">
        <f t="shared" si="0"/>
        <v>1.2916666666666667</v>
      </c>
      <c r="P25" s="104"/>
      <c r="Q25" s="106">
        <f t="shared" si="5"/>
        <v>2.541666666666667</v>
      </c>
      <c r="R25" s="141">
        <f t="shared" si="6"/>
        <v>0</v>
      </c>
      <c r="T25" s="110">
        <f t="shared" si="1"/>
        <v>0.49180327868852453</v>
      </c>
      <c r="U25" s="110">
        <f t="shared" si="1"/>
        <v>0.50819672131147542</v>
      </c>
      <c r="V25" s="110">
        <f t="shared" si="1"/>
        <v>0</v>
      </c>
      <c r="W25" s="110">
        <f t="shared" si="2"/>
        <v>1</v>
      </c>
    </row>
    <row r="26" spans="1:23" x14ac:dyDescent="0.25">
      <c r="A26" s="96">
        <v>39508</v>
      </c>
      <c r="J26" s="104">
        <f>('Co-Processing'!E28*'Co-Pro Feedstock Breakdown'!J$3*'Feedstock Conversion Rates'!B$13)/12</f>
        <v>1.25</v>
      </c>
      <c r="K26" s="104">
        <f>('Co-Processing'!E28*'Co-Pro Feedstock Breakdown'!K$3*'Feedstock Conversion Rates'!B$12)/12</f>
        <v>1.2916666666666667</v>
      </c>
      <c r="L26" s="106">
        <f t="shared" si="3"/>
        <v>2.541666666666667</v>
      </c>
      <c r="N26" s="104">
        <f t="shared" si="4"/>
        <v>1.25</v>
      </c>
      <c r="O26" s="104">
        <f t="shared" si="0"/>
        <v>1.2916666666666667</v>
      </c>
      <c r="P26" s="104"/>
      <c r="Q26" s="106">
        <f t="shared" si="5"/>
        <v>2.541666666666667</v>
      </c>
      <c r="R26" s="141">
        <f t="shared" si="6"/>
        <v>0</v>
      </c>
      <c r="T26" s="110">
        <f t="shared" si="1"/>
        <v>0.49180327868852453</v>
      </c>
      <c r="U26" s="110">
        <f t="shared" si="1"/>
        <v>0.50819672131147542</v>
      </c>
      <c r="V26" s="110">
        <f t="shared" si="1"/>
        <v>0</v>
      </c>
      <c r="W26" s="110">
        <f t="shared" si="2"/>
        <v>1</v>
      </c>
    </row>
    <row r="27" spans="1:23" x14ac:dyDescent="0.25">
      <c r="A27" s="96">
        <v>39539</v>
      </c>
      <c r="J27" s="104">
        <f>('Co-Processing'!E29*'Co-Pro Feedstock Breakdown'!J$3*'Feedstock Conversion Rates'!B$13)/12</f>
        <v>1.25</v>
      </c>
      <c r="K27" s="104">
        <f>('Co-Processing'!E29*'Co-Pro Feedstock Breakdown'!K$3*'Feedstock Conversion Rates'!B$12)/12</f>
        <v>1.2916666666666667</v>
      </c>
      <c r="L27" s="106">
        <f t="shared" si="3"/>
        <v>2.541666666666667</v>
      </c>
      <c r="N27" s="104">
        <f t="shared" si="4"/>
        <v>1.25</v>
      </c>
      <c r="O27" s="104">
        <f t="shared" si="0"/>
        <v>1.2916666666666667</v>
      </c>
      <c r="P27" s="104"/>
      <c r="Q27" s="106">
        <f t="shared" si="5"/>
        <v>2.541666666666667</v>
      </c>
      <c r="R27" s="141">
        <f t="shared" si="6"/>
        <v>0</v>
      </c>
      <c r="T27" s="110">
        <f t="shared" si="1"/>
        <v>0.49180327868852453</v>
      </c>
      <c r="U27" s="110">
        <f t="shared" si="1"/>
        <v>0.50819672131147542</v>
      </c>
      <c r="V27" s="110">
        <f t="shared" si="1"/>
        <v>0</v>
      </c>
      <c r="W27" s="110">
        <f t="shared" si="2"/>
        <v>1</v>
      </c>
    </row>
    <row r="28" spans="1:23" x14ac:dyDescent="0.25">
      <c r="A28" s="96">
        <v>39569</v>
      </c>
      <c r="J28" s="104">
        <f>('Co-Processing'!E30*'Co-Pro Feedstock Breakdown'!J$3*'Feedstock Conversion Rates'!B$13)/12</f>
        <v>1.25</v>
      </c>
      <c r="K28" s="104">
        <f>('Co-Processing'!E30*'Co-Pro Feedstock Breakdown'!K$3*'Feedstock Conversion Rates'!B$12)/12</f>
        <v>1.2916666666666667</v>
      </c>
      <c r="L28" s="106">
        <f t="shared" si="3"/>
        <v>2.541666666666667</v>
      </c>
      <c r="N28" s="104">
        <f t="shared" si="4"/>
        <v>1.25</v>
      </c>
      <c r="O28" s="104">
        <f t="shared" si="0"/>
        <v>1.2916666666666667</v>
      </c>
      <c r="P28" s="104"/>
      <c r="Q28" s="106">
        <f t="shared" si="5"/>
        <v>2.541666666666667</v>
      </c>
      <c r="R28" s="141">
        <f t="shared" si="6"/>
        <v>0</v>
      </c>
      <c r="T28" s="110">
        <f t="shared" si="1"/>
        <v>0.49180327868852453</v>
      </c>
      <c r="U28" s="110">
        <f t="shared" si="1"/>
        <v>0.50819672131147542</v>
      </c>
      <c r="V28" s="110">
        <f t="shared" si="1"/>
        <v>0</v>
      </c>
      <c r="W28" s="110">
        <f t="shared" si="2"/>
        <v>1</v>
      </c>
    </row>
    <row r="29" spans="1:23" x14ac:dyDescent="0.25">
      <c r="A29" s="96">
        <v>39600</v>
      </c>
      <c r="J29" s="104">
        <f>('Co-Processing'!E31*'Co-Pro Feedstock Breakdown'!J$3*'Feedstock Conversion Rates'!B$13)/12</f>
        <v>1.25</v>
      </c>
      <c r="K29" s="104">
        <f>('Co-Processing'!E31*'Co-Pro Feedstock Breakdown'!K$3*'Feedstock Conversion Rates'!B$12)/12</f>
        <v>1.2916666666666667</v>
      </c>
      <c r="L29" s="106">
        <f t="shared" si="3"/>
        <v>2.541666666666667</v>
      </c>
      <c r="N29" s="104">
        <f t="shared" si="4"/>
        <v>1.25</v>
      </c>
      <c r="O29" s="104">
        <f t="shared" si="0"/>
        <v>1.2916666666666667</v>
      </c>
      <c r="P29" s="104"/>
      <c r="Q29" s="106">
        <f t="shared" si="5"/>
        <v>2.541666666666667</v>
      </c>
      <c r="R29" s="141">
        <f t="shared" si="6"/>
        <v>0</v>
      </c>
      <c r="T29" s="110">
        <f t="shared" si="1"/>
        <v>0.49180327868852453</v>
      </c>
      <c r="U29" s="110">
        <f t="shared" si="1"/>
        <v>0.50819672131147542</v>
      </c>
      <c r="V29" s="110">
        <f t="shared" si="1"/>
        <v>0</v>
      </c>
      <c r="W29" s="110">
        <f t="shared" si="2"/>
        <v>1</v>
      </c>
    </row>
    <row r="30" spans="1:23" x14ac:dyDescent="0.25">
      <c r="A30" s="96">
        <v>39630</v>
      </c>
      <c r="J30" s="104">
        <f>('Co-Processing'!E32*'Co-Pro Feedstock Breakdown'!J$3*'Feedstock Conversion Rates'!B$13)/12</f>
        <v>1.25</v>
      </c>
      <c r="K30" s="104">
        <f>('Co-Processing'!E32*'Co-Pro Feedstock Breakdown'!K$3*'Feedstock Conversion Rates'!B$12)/12</f>
        <v>1.2916666666666667</v>
      </c>
      <c r="L30" s="106">
        <f t="shared" si="3"/>
        <v>2.541666666666667</v>
      </c>
      <c r="N30" s="104">
        <f t="shared" si="4"/>
        <v>1.25</v>
      </c>
      <c r="O30" s="104">
        <f t="shared" si="0"/>
        <v>1.2916666666666667</v>
      </c>
      <c r="P30" s="104"/>
      <c r="Q30" s="106">
        <f t="shared" si="5"/>
        <v>2.541666666666667</v>
      </c>
      <c r="R30" s="141">
        <f t="shared" si="6"/>
        <v>0</v>
      </c>
      <c r="T30" s="110">
        <f t="shared" si="1"/>
        <v>0.49180327868852453</v>
      </c>
      <c r="U30" s="110">
        <f t="shared" si="1"/>
        <v>0.50819672131147542</v>
      </c>
      <c r="V30" s="110">
        <f t="shared" si="1"/>
        <v>0</v>
      </c>
      <c r="W30" s="110">
        <f t="shared" si="2"/>
        <v>1</v>
      </c>
    </row>
    <row r="31" spans="1:23" x14ac:dyDescent="0.25">
      <c r="A31" s="96">
        <v>39661</v>
      </c>
      <c r="J31" s="104">
        <f>('Co-Processing'!E33*'Co-Pro Feedstock Breakdown'!J$3*'Feedstock Conversion Rates'!B$13)/12</f>
        <v>1.25</v>
      </c>
      <c r="K31" s="104">
        <f>('Co-Processing'!E33*'Co-Pro Feedstock Breakdown'!K$3*'Feedstock Conversion Rates'!B$12)/12</f>
        <v>1.2916666666666667</v>
      </c>
      <c r="L31" s="106">
        <f t="shared" si="3"/>
        <v>2.541666666666667</v>
      </c>
      <c r="N31" s="104">
        <f t="shared" si="4"/>
        <v>1.25</v>
      </c>
      <c r="O31" s="104">
        <f t="shared" si="0"/>
        <v>1.2916666666666667</v>
      </c>
      <c r="P31" s="104"/>
      <c r="Q31" s="106">
        <f t="shared" si="5"/>
        <v>2.541666666666667</v>
      </c>
      <c r="R31" s="141">
        <f t="shared" si="6"/>
        <v>0</v>
      </c>
      <c r="T31" s="110">
        <f t="shared" si="1"/>
        <v>0.49180327868852453</v>
      </c>
      <c r="U31" s="110">
        <f t="shared" si="1"/>
        <v>0.50819672131147542</v>
      </c>
      <c r="V31" s="110">
        <f t="shared" si="1"/>
        <v>0</v>
      </c>
      <c r="W31" s="110">
        <f t="shared" si="2"/>
        <v>1</v>
      </c>
    </row>
    <row r="32" spans="1:23" x14ac:dyDescent="0.25">
      <c r="A32" s="96">
        <v>39692</v>
      </c>
      <c r="J32" s="104">
        <f>('Co-Processing'!E34*'Co-Pro Feedstock Breakdown'!J$3*'Feedstock Conversion Rates'!B$13)/12</f>
        <v>1.25</v>
      </c>
      <c r="K32" s="104">
        <f>('Co-Processing'!E34*'Co-Pro Feedstock Breakdown'!K$3*'Feedstock Conversion Rates'!B$12)/12</f>
        <v>1.2916666666666667</v>
      </c>
      <c r="L32" s="106">
        <f t="shared" si="3"/>
        <v>2.541666666666667</v>
      </c>
      <c r="N32" s="104">
        <f t="shared" si="4"/>
        <v>1.25</v>
      </c>
      <c r="O32" s="104">
        <f t="shared" si="0"/>
        <v>1.2916666666666667</v>
      </c>
      <c r="P32" s="104"/>
      <c r="Q32" s="106">
        <f t="shared" si="5"/>
        <v>2.541666666666667</v>
      </c>
      <c r="R32" s="141">
        <f t="shared" si="6"/>
        <v>0</v>
      </c>
      <c r="T32" s="110">
        <f t="shared" si="1"/>
        <v>0.49180327868852453</v>
      </c>
      <c r="U32" s="110">
        <f t="shared" si="1"/>
        <v>0.50819672131147542</v>
      </c>
      <c r="V32" s="110">
        <f t="shared" si="1"/>
        <v>0</v>
      </c>
      <c r="W32" s="110">
        <f t="shared" si="2"/>
        <v>1</v>
      </c>
    </row>
    <row r="33" spans="1:23" x14ac:dyDescent="0.25">
      <c r="A33" s="96">
        <v>39722</v>
      </c>
      <c r="J33" s="104">
        <f>('Co-Processing'!E35*'Co-Pro Feedstock Breakdown'!J$3*'Feedstock Conversion Rates'!B$13)/12</f>
        <v>1.25</v>
      </c>
      <c r="K33" s="104">
        <f>('Co-Processing'!E35*'Co-Pro Feedstock Breakdown'!K$3*'Feedstock Conversion Rates'!B$12)/12</f>
        <v>1.2916666666666667</v>
      </c>
      <c r="L33" s="106">
        <f t="shared" si="3"/>
        <v>2.541666666666667</v>
      </c>
      <c r="N33" s="104">
        <f t="shared" si="4"/>
        <v>1.25</v>
      </c>
      <c r="O33" s="104">
        <f t="shared" si="0"/>
        <v>1.2916666666666667</v>
      </c>
      <c r="P33" s="104"/>
      <c r="Q33" s="106">
        <f t="shared" si="5"/>
        <v>2.541666666666667</v>
      </c>
      <c r="R33" s="141">
        <f t="shared" si="6"/>
        <v>0</v>
      </c>
      <c r="T33" s="110">
        <f t="shared" si="1"/>
        <v>0.49180327868852453</v>
      </c>
      <c r="U33" s="110">
        <f t="shared" si="1"/>
        <v>0.50819672131147542</v>
      </c>
      <c r="V33" s="110">
        <f t="shared" si="1"/>
        <v>0</v>
      </c>
      <c r="W33" s="110">
        <f t="shared" si="2"/>
        <v>1</v>
      </c>
    </row>
    <row r="34" spans="1:23" x14ac:dyDescent="0.25">
      <c r="A34" s="96">
        <v>39753</v>
      </c>
      <c r="J34" s="104">
        <f>('Co-Processing'!E36*'Co-Pro Feedstock Breakdown'!J$3*'Feedstock Conversion Rates'!B$13)/12</f>
        <v>1.25</v>
      </c>
      <c r="K34" s="104">
        <f>('Co-Processing'!E36*'Co-Pro Feedstock Breakdown'!K$3*'Feedstock Conversion Rates'!B$12)/12</f>
        <v>1.2916666666666667</v>
      </c>
      <c r="L34" s="106">
        <f t="shared" si="3"/>
        <v>2.541666666666667</v>
      </c>
      <c r="N34" s="104">
        <f t="shared" si="4"/>
        <v>1.25</v>
      </c>
      <c r="O34" s="104">
        <f t="shared" si="0"/>
        <v>1.2916666666666667</v>
      </c>
      <c r="P34" s="104"/>
      <c r="Q34" s="106">
        <f t="shared" si="5"/>
        <v>2.541666666666667</v>
      </c>
      <c r="R34" s="141">
        <f t="shared" si="6"/>
        <v>0</v>
      </c>
      <c r="T34" s="110">
        <f t="shared" si="1"/>
        <v>0.49180327868852453</v>
      </c>
      <c r="U34" s="110">
        <f t="shared" si="1"/>
        <v>0.50819672131147542</v>
      </c>
      <c r="V34" s="110">
        <f t="shared" si="1"/>
        <v>0</v>
      </c>
      <c r="W34" s="110">
        <f t="shared" si="2"/>
        <v>1</v>
      </c>
    </row>
    <row r="35" spans="1:23" x14ac:dyDescent="0.25">
      <c r="A35" s="96">
        <v>39783</v>
      </c>
      <c r="J35" s="104">
        <f>('Co-Processing'!E37*'Co-Pro Feedstock Breakdown'!J$3*'Feedstock Conversion Rates'!B$13)/12</f>
        <v>1.25</v>
      </c>
      <c r="K35" s="104">
        <f>('Co-Processing'!E37*'Co-Pro Feedstock Breakdown'!K$3*'Feedstock Conversion Rates'!B$12)/12</f>
        <v>1.2916666666666667</v>
      </c>
      <c r="L35" s="106">
        <f t="shared" si="3"/>
        <v>2.541666666666667</v>
      </c>
      <c r="N35" s="104">
        <f t="shared" si="4"/>
        <v>1.25</v>
      </c>
      <c r="O35" s="104">
        <f t="shared" si="0"/>
        <v>1.2916666666666667</v>
      </c>
      <c r="P35" s="104"/>
      <c r="Q35" s="106">
        <f t="shared" si="5"/>
        <v>2.541666666666667</v>
      </c>
      <c r="R35" s="141">
        <f t="shared" si="6"/>
        <v>0</v>
      </c>
      <c r="T35" s="110">
        <f t="shared" si="1"/>
        <v>0.49180327868852453</v>
      </c>
      <c r="U35" s="110">
        <f t="shared" si="1"/>
        <v>0.50819672131147542</v>
      </c>
      <c r="V35" s="110">
        <f t="shared" si="1"/>
        <v>0</v>
      </c>
      <c r="W35" s="110">
        <f t="shared" si="2"/>
        <v>1</v>
      </c>
    </row>
    <row r="36" spans="1:23" x14ac:dyDescent="0.25">
      <c r="A36" s="96">
        <v>39814</v>
      </c>
      <c r="J36" s="104">
        <f>('Co-Processing'!E38*'Co-Pro Feedstock Breakdown'!J$3*'Feedstock Conversion Rates'!B$13)/12</f>
        <v>1.25</v>
      </c>
      <c r="K36" s="104">
        <f>('Co-Processing'!E38*'Co-Pro Feedstock Breakdown'!K$3*'Feedstock Conversion Rates'!B$12)/12</f>
        <v>1.2916666666666667</v>
      </c>
      <c r="L36" s="106">
        <f t="shared" si="3"/>
        <v>2.541666666666667</v>
      </c>
      <c r="N36" s="104">
        <f t="shared" si="4"/>
        <v>1.25</v>
      </c>
      <c r="O36" s="104">
        <f t="shared" si="0"/>
        <v>1.2916666666666667</v>
      </c>
      <c r="P36" s="104"/>
      <c r="Q36" s="106">
        <f t="shared" si="5"/>
        <v>2.541666666666667</v>
      </c>
      <c r="R36" s="141">
        <f t="shared" si="6"/>
        <v>0</v>
      </c>
      <c r="T36" s="110">
        <f t="shared" si="1"/>
        <v>0.49180327868852453</v>
      </c>
      <c r="U36" s="110">
        <f t="shared" si="1"/>
        <v>0.50819672131147542</v>
      </c>
      <c r="V36" s="110">
        <f t="shared" si="1"/>
        <v>0</v>
      </c>
      <c r="W36" s="110">
        <f t="shared" si="2"/>
        <v>1</v>
      </c>
    </row>
    <row r="37" spans="1:23" x14ac:dyDescent="0.25">
      <c r="A37" s="96">
        <v>39845</v>
      </c>
      <c r="J37" s="104">
        <f>('Co-Processing'!E39*'Co-Pro Feedstock Breakdown'!J$3*'Feedstock Conversion Rates'!B$13)/12</f>
        <v>1.25</v>
      </c>
      <c r="K37" s="104">
        <f>('Co-Processing'!E39*'Co-Pro Feedstock Breakdown'!K$3*'Feedstock Conversion Rates'!B$12)/12</f>
        <v>1.2916666666666667</v>
      </c>
      <c r="L37" s="106">
        <f t="shared" si="3"/>
        <v>2.541666666666667</v>
      </c>
      <c r="N37" s="104">
        <f t="shared" si="4"/>
        <v>1.25</v>
      </c>
      <c r="O37" s="104">
        <f t="shared" si="0"/>
        <v>1.2916666666666667</v>
      </c>
      <c r="P37" s="104"/>
      <c r="Q37" s="106">
        <f t="shared" si="5"/>
        <v>2.541666666666667</v>
      </c>
      <c r="R37" s="141">
        <f t="shared" si="6"/>
        <v>0</v>
      </c>
      <c r="T37" s="110">
        <f t="shared" si="1"/>
        <v>0.49180327868852453</v>
      </c>
      <c r="U37" s="110">
        <f t="shared" si="1"/>
        <v>0.50819672131147542</v>
      </c>
      <c r="V37" s="110">
        <f t="shared" si="1"/>
        <v>0</v>
      </c>
      <c r="W37" s="110">
        <f t="shared" si="2"/>
        <v>1</v>
      </c>
    </row>
    <row r="38" spans="1:23" x14ac:dyDescent="0.25">
      <c r="A38" s="96">
        <v>39873</v>
      </c>
      <c r="J38" s="104">
        <f>('Co-Processing'!E40*'Co-Pro Feedstock Breakdown'!J$3*'Feedstock Conversion Rates'!B$13)/12</f>
        <v>1.25</v>
      </c>
      <c r="K38" s="104">
        <f>('Co-Processing'!E40*'Co-Pro Feedstock Breakdown'!K$3*'Feedstock Conversion Rates'!B$12)/12</f>
        <v>1.2916666666666667</v>
      </c>
      <c r="L38" s="106">
        <f t="shared" si="3"/>
        <v>2.541666666666667</v>
      </c>
      <c r="N38" s="104">
        <f t="shared" si="4"/>
        <v>1.25</v>
      </c>
      <c r="O38" s="104">
        <f t="shared" si="0"/>
        <v>1.2916666666666667</v>
      </c>
      <c r="P38" s="104"/>
      <c r="Q38" s="106">
        <f t="shared" si="5"/>
        <v>2.541666666666667</v>
      </c>
      <c r="R38" s="141">
        <f t="shared" si="6"/>
        <v>0</v>
      </c>
      <c r="T38" s="110">
        <f t="shared" si="1"/>
        <v>0.49180327868852453</v>
      </c>
      <c r="U38" s="110">
        <f t="shared" si="1"/>
        <v>0.50819672131147542</v>
      </c>
      <c r="V38" s="110">
        <f t="shared" si="1"/>
        <v>0</v>
      </c>
      <c r="W38" s="110">
        <f t="shared" si="2"/>
        <v>1</v>
      </c>
    </row>
    <row r="39" spans="1:23" x14ac:dyDescent="0.25">
      <c r="A39" s="96">
        <v>39904</v>
      </c>
      <c r="J39" s="104">
        <f>('Co-Processing'!E41*'Co-Pro Feedstock Breakdown'!J$3*'Feedstock Conversion Rates'!B$13)/12</f>
        <v>1.25</v>
      </c>
      <c r="K39" s="104">
        <f>('Co-Processing'!E41*'Co-Pro Feedstock Breakdown'!K$3*'Feedstock Conversion Rates'!B$12)/12</f>
        <v>1.2916666666666667</v>
      </c>
      <c r="L39" s="106">
        <f t="shared" si="3"/>
        <v>2.541666666666667</v>
      </c>
      <c r="N39" s="104">
        <f t="shared" si="4"/>
        <v>1.25</v>
      </c>
      <c r="O39" s="104">
        <f t="shared" si="0"/>
        <v>1.2916666666666667</v>
      </c>
      <c r="P39" s="104"/>
      <c r="Q39" s="106">
        <f t="shared" si="5"/>
        <v>2.541666666666667</v>
      </c>
      <c r="R39" s="141">
        <f t="shared" si="6"/>
        <v>0</v>
      </c>
      <c r="T39" s="110">
        <f t="shared" si="1"/>
        <v>0.49180327868852453</v>
      </c>
      <c r="U39" s="110">
        <f t="shared" si="1"/>
        <v>0.50819672131147542</v>
      </c>
      <c r="V39" s="110">
        <f t="shared" si="1"/>
        <v>0</v>
      </c>
      <c r="W39" s="110">
        <f t="shared" si="2"/>
        <v>1</v>
      </c>
    </row>
    <row r="40" spans="1:23" x14ac:dyDescent="0.25">
      <c r="A40" s="96">
        <v>39934</v>
      </c>
      <c r="J40" s="104">
        <f>('Co-Processing'!E42*'Co-Pro Feedstock Breakdown'!J$3*'Feedstock Conversion Rates'!B$13)/12</f>
        <v>1.25</v>
      </c>
      <c r="K40" s="104">
        <f>('Co-Processing'!E42*'Co-Pro Feedstock Breakdown'!K$3*'Feedstock Conversion Rates'!B$12)/12</f>
        <v>1.2916666666666667</v>
      </c>
      <c r="L40" s="106">
        <f t="shared" si="3"/>
        <v>2.541666666666667</v>
      </c>
      <c r="N40" s="104">
        <f t="shared" si="4"/>
        <v>1.25</v>
      </c>
      <c r="O40" s="104">
        <f t="shared" si="0"/>
        <v>1.2916666666666667</v>
      </c>
      <c r="P40" s="104"/>
      <c r="Q40" s="106">
        <f t="shared" si="5"/>
        <v>2.541666666666667</v>
      </c>
      <c r="R40" s="141">
        <f t="shared" si="6"/>
        <v>0</v>
      </c>
      <c r="T40" s="110">
        <f t="shared" si="1"/>
        <v>0.49180327868852453</v>
      </c>
      <c r="U40" s="110">
        <f t="shared" si="1"/>
        <v>0.50819672131147542</v>
      </c>
      <c r="V40" s="110">
        <f t="shared" si="1"/>
        <v>0</v>
      </c>
      <c r="W40" s="110">
        <f t="shared" si="2"/>
        <v>1</v>
      </c>
    </row>
    <row r="41" spans="1:23" x14ac:dyDescent="0.25">
      <c r="A41" s="96">
        <v>39965</v>
      </c>
      <c r="J41" s="104">
        <f>('Co-Processing'!E43*'Co-Pro Feedstock Breakdown'!J$3*'Feedstock Conversion Rates'!B$13)/12</f>
        <v>1.25</v>
      </c>
      <c r="K41" s="104">
        <f>('Co-Processing'!E43*'Co-Pro Feedstock Breakdown'!K$3*'Feedstock Conversion Rates'!B$12)/12</f>
        <v>1.2916666666666667</v>
      </c>
      <c r="L41" s="106">
        <f t="shared" si="3"/>
        <v>2.541666666666667</v>
      </c>
      <c r="N41" s="104">
        <f t="shared" si="4"/>
        <v>1.25</v>
      </c>
      <c r="O41" s="104">
        <f t="shared" si="0"/>
        <v>1.2916666666666667</v>
      </c>
      <c r="P41" s="104"/>
      <c r="Q41" s="106">
        <f t="shared" si="5"/>
        <v>2.541666666666667</v>
      </c>
      <c r="R41" s="141">
        <f t="shared" si="6"/>
        <v>0</v>
      </c>
      <c r="T41" s="110">
        <f t="shared" si="1"/>
        <v>0.49180327868852453</v>
      </c>
      <c r="U41" s="110">
        <f t="shared" si="1"/>
        <v>0.50819672131147542</v>
      </c>
      <c r="V41" s="110">
        <f t="shared" si="1"/>
        <v>0</v>
      </c>
      <c r="W41" s="110">
        <f t="shared" si="2"/>
        <v>1</v>
      </c>
    </row>
    <row r="42" spans="1:23" x14ac:dyDescent="0.25">
      <c r="A42" s="96">
        <v>39995</v>
      </c>
      <c r="J42" s="104">
        <f>('Co-Processing'!E44*'Co-Pro Feedstock Breakdown'!J$3*'Feedstock Conversion Rates'!B$13)/12</f>
        <v>1.25</v>
      </c>
      <c r="K42" s="104">
        <f>('Co-Processing'!E44*'Co-Pro Feedstock Breakdown'!K$3*'Feedstock Conversion Rates'!B$12)/12</f>
        <v>1.2916666666666667</v>
      </c>
      <c r="L42" s="106">
        <f t="shared" si="3"/>
        <v>2.541666666666667</v>
      </c>
      <c r="N42" s="104">
        <f t="shared" si="4"/>
        <v>1.25</v>
      </c>
      <c r="O42" s="104">
        <f t="shared" si="0"/>
        <v>1.2916666666666667</v>
      </c>
      <c r="P42" s="104"/>
      <c r="Q42" s="106">
        <f t="shared" si="5"/>
        <v>2.541666666666667</v>
      </c>
      <c r="R42" s="141">
        <f t="shared" si="6"/>
        <v>0</v>
      </c>
      <c r="T42" s="110">
        <f t="shared" si="1"/>
        <v>0.49180327868852453</v>
      </c>
      <c r="U42" s="110">
        <f t="shared" si="1"/>
        <v>0.50819672131147542</v>
      </c>
      <c r="V42" s="110">
        <f t="shared" si="1"/>
        <v>0</v>
      </c>
      <c r="W42" s="110">
        <f t="shared" si="2"/>
        <v>1</v>
      </c>
    </row>
    <row r="43" spans="1:23" x14ac:dyDescent="0.25">
      <c r="A43" s="96">
        <v>40026</v>
      </c>
      <c r="J43" s="104">
        <f>('Co-Processing'!E45*'Co-Pro Feedstock Breakdown'!J$3*'Feedstock Conversion Rates'!B$13)/12</f>
        <v>1.25</v>
      </c>
      <c r="K43" s="104">
        <f>('Co-Processing'!E45*'Co-Pro Feedstock Breakdown'!K$3*'Feedstock Conversion Rates'!B$12)/12</f>
        <v>1.2916666666666667</v>
      </c>
      <c r="L43" s="106">
        <f t="shared" si="3"/>
        <v>2.541666666666667</v>
      </c>
      <c r="N43" s="104">
        <f t="shared" si="4"/>
        <v>1.25</v>
      </c>
      <c r="O43" s="104">
        <f t="shared" si="0"/>
        <v>1.2916666666666667</v>
      </c>
      <c r="P43" s="104"/>
      <c r="Q43" s="106">
        <f t="shared" si="5"/>
        <v>2.541666666666667</v>
      </c>
      <c r="R43" s="141">
        <f t="shared" si="6"/>
        <v>0</v>
      </c>
      <c r="T43" s="110">
        <f t="shared" si="1"/>
        <v>0.49180327868852453</v>
      </c>
      <c r="U43" s="110">
        <f t="shared" si="1"/>
        <v>0.50819672131147542</v>
      </c>
      <c r="V43" s="110">
        <f t="shared" si="1"/>
        <v>0</v>
      </c>
      <c r="W43" s="110">
        <f t="shared" si="2"/>
        <v>1</v>
      </c>
    </row>
    <row r="44" spans="1:23" x14ac:dyDescent="0.25">
      <c r="A44" s="96">
        <v>40057</v>
      </c>
      <c r="J44" s="104">
        <f>('Co-Processing'!E46*'Co-Pro Feedstock Breakdown'!J$3*'Feedstock Conversion Rates'!B$13)/12</f>
        <v>1.25</v>
      </c>
      <c r="K44" s="104">
        <f>('Co-Processing'!E46*'Co-Pro Feedstock Breakdown'!K$3*'Feedstock Conversion Rates'!B$12)/12</f>
        <v>1.2916666666666667</v>
      </c>
      <c r="L44" s="106">
        <f t="shared" si="3"/>
        <v>2.541666666666667</v>
      </c>
      <c r="N44" s="104">
        <f t="shared" si="4"/>
        <v>1.25</v>
      </c>
      <c r="O44" s="104">
        <f t="shared" si="0"/>
        <v>1.2916666666666667</v>
      </c>
      <c r="P44" s="104"/>
      <c r="Q44" s="106">
        <f t="shared" si="5"/>
        <v>2.541666666666667</v>
      </c>
      <c r="R44" s="141">
        <f t="shared" si="6"/>
        <v>0</v>
      </c>
      <c r="T44" s="110">
        <f t="shared" si="1"/>
        <v>0.49180327868852453</v>
      </c>
      <c r="U44" s="110">
        <f t="shared" si="1"/>
        <v>0.50819672131147542</v>
      </c>
      <c r="V44" s="110">
        <f t="shared" si="1"/>
        <v>0</v>
      </c>
      <c r="W44" s="110">
        <f t="shared" si="2"/>
        <v>1</v>
      </c>
    </row>
    <row r="45" spans="1:23" x14ac:dyDescent="0.25">
      <c r="A45" s="96">
        <v>40087</v>
      </c>
      <c r="J45" s="104">
        <f>('Co-Processing'!E47*'Co-Pro Feedstock Breakdown'!J$3*'Feedstock Conversion Rates'!B$13)/12</f>
        <v>1.25</v>
      </c>
      <c r="K45" s="104">
        <f>('Co-Processing'!E47*'Co-Pro Feedstock Breakdown'!K$3*'Feedstock Conversion Rates'!B$12)/12</f>
        <v>1.2916666666666667</v>
      </c>
      <c r="L45" s="106">
        <f t="shared" si="3"/>
        <v>2.541666666666667</v>
      </c>
      <c r="N45" s="104">
        <f t="shared" si="4"/>
        <v>1.25</v>
      </c>
      <c r="O45" s="104">
        <f t="shared" si="0"/>
        <v>1.2916666666666667</v>
      </c>
      <c r="P45" s="104"/>
      <c r="Q45" s="106">
        <f t="shared" si="5"/>
        <v>2.541666666666667</v>
      </c>
      <c r="R45" s="141">
        <f t="shared" si="6"/>
        <v>0</v>
      </c>
      <c r="T45" s="110">
        <f t="shared" si="1"/>
        <v>0.49180327868852453</v>
      </c>
      <c r="U45" s="110">
        <f t="shared" si="1"/>
        <v>0.50819672131147542</v>
      </c>
      <c r="V45" s="110">
        <f t="shared" si="1"/>
        <v>0</v>
      </c>
      <c r="W45" s="110">
        <f t="shared" si="2"/>
        <v>1</v>
      </c>
    </row>
    <row r="46" spans="1:23" x14ac:dyDescent="0.25">
      <c r="A46" s="96">
        <v>40118</v>
      </c>
      <c r="J46" s="104">
        <f>('Co-Processing'!E48*'Co-Pro Feedstock Breakdown'!J$3*'Feedstock Conversion Rates'!B$13)/12</f>
        <v>1.25</v>
      </c>
      <c r="K46" s="104">
        <f>('Co-Processing'!E48*'Co-Pro Feedstock Breakdown'!K$3*'Feedstock Conversion Rates'!B$12)/12</f>
        <v>1.2916666666666667</v>
      </c>
      <c r="L46" s="106">
        <f t="shared" si="3"/>
        <v>2.541666666666667</v>
      </c>
      <c r="N46" s="104">
        <f t="shared" si="4"/>
        <v>1.25</v>
      </c>
      <c r="O46" s="104">
        <f t="shared" si="0"/>
        <v>1.2916666666666667</v>
      </c>
      <c r="P46" s="104"/>
      <c r="Q46" s="106">
        <f t="shared" si="5"/>
        <v>2.541666666666667</v>
      </c>
      <c r="R46" s="141">
        <f t="shared" si="6"/>
        <v>0</v>
      </c>
      <c r="T46" s="110">
        <f t="shared" si="1"/>
        <v>0.49180327868852453</v>
      </c>
      <c r="U46" s="110">
        <f t="shared" si="1"/>
        <v>0.50819672131147542</v>
      </c>
      <c r="V46" s="110">
        <f t="shared" si="1"/>
        <v>0</v>
      </c>
      <c r="W46" s="110">
        <f t="shared" si="2"/>
        <v>1</v>
      </c>
    </row>
    <row r="47" spans="1:23" x14ac:dyDescent="0.25">
      <c r="A47" s="96">
        <v>40148</v>
      </c>
      <c r="J47" s="104">
        <f>('Co-Processing'!E49*'Co-Pro Feedstock Breakdown'!J$3*'Feedstock Conversion Rates'!B$13)/12</f>
        <v>1.25</v>
      </c>
      <c r="K47" s="104">
        <f>('Co-Processing'!E49*'Co-Pro Feedstock Breakdown'!K$3*'Feedstock Conversion Rates'!B$12)/12</f>
        <v>1.2916666666666667</v>
      </c>
      <c r="L47" s="106">
        <f t="shared" si="3"/>
        <v>2.541666666666667</v>
      </c>
      <c r="N47" s="104">
        <f t="shared" si="4"/>
        <v>1.25</v>
      </c>
      <c r="O47" s="104">
        <f t="shared" si="0"/>
        <v>1.2916666666666667</v>
      </c>
      <c r="P47" s="104"/>
      <c r="Q47" s="106">
        <f t="shared" si="5"/>
        <v>2.541666666666667</v>
      </c>
      <c r="R47" s="141">
        <f t="shared" si="6"/>
        <v>0</v>
      </c>
      <c r="T47" s="110">
        <f t="shared" si="1"/>
        <v>0.49180327868852453</v>
      </c>
      <c r="U47" s="110">
        <f t="shared" si="1"/>
        <v>0.50819672131147542</v>
      </c>
      <c r="V47" s="110">
        <f t="shared" si="1"/>
        <v>0</v>
      </c>
      <c r="W47" s="110">
        <f t="shared" si="2"/>
        <v>1</v>
      </c>
    </row>
    <row r="48" spans="1:23" x14ac:dyDescent="0.25">
      <c r="A48" s="96">
        <v>40179</v>
      </c>
      <c r="J48" s="104">
        <f>('Co-Processing'!E50*'Co-Pro Feedstock Breakdown'!J$3*'Feedstock Conversion Rates'!B$13)/12</f>
        <v>1.25</v>
      </c>
      <c r="K48" s="104">
        <f>('Co-Processing'!E50*'Co-Pro Feedstock Breakdown'!K$3*'Feedstock Conversion Rates'!B$12)/12</f>
        <v>1.2916666666666667</v>
      </c>
      <c r="L48" s="106">
        <f t="shared" si="3"/>
        <v>2.541666666666667</v>
      </c>
      <c r="N48" s="104">
        <f t="shared" si="4"/>
        <v>1.25</v>
      </c>
      <c r="O48" s="104">
        <f t="shared" si="0"/>
        <v>1.2916666666666667</v>
      </c>
      <c r="P48" s="104"/>
      <c r="Q48" s="106">
        <f t="shared" si="5"/>
        <v>2.541666666666667</v>
      </c>
      <c r="R48" s="141">
        <f t="shared" si="6"/>
        <v>0</v>
      </c>
      <c r="T48" s="110">
        <f t="shared" si="1"/>
        <v>0.49180327868852453</v>
      </c>
      <c r="U48" s="110">
        <f t="shared" si="1"/>
        <v>0.50819672131147542</v>
      </c>
      <c r="V48" s="110">
        <f t="shared" si="1"/>
        <v>0</v>
      </c>
      <c r="W48" s="110">
        <f t="shared" si="2"/>
        <v>1</v>
      </c>
    </row>
    <row r="49" spans="1:34" x14ac:dyDescent="0.25">
      <c r="A49" s="96">
        <v>40210</v>
      </c>
      <c r="J49" s="104">
        <f>('Co-Processing'!E51*'Co-Pro Feedstock Breakdown'!J$3*'Feedstock Conversion Rates'!B$13)/12</f>
        <v>1.25</v>
      </c>
      <c r="K49" s="104">
        <f>('Co-Processing'!E51*'Co-Pro Feedstock Breakdown'!K$3*'Feedstock Conversion Rates'!B$12)/12</f>
        <v>1.2916666666666667</v>
      </c>
      <c r="L49" s="106">
        <f t="shared" si="3"/>
        <v>2.541666666666667</v>
      </c>
      <c r="N49" s="104">
        <f t="shared" si="4"/>
        <v>1.25</v>
      </c>
      <c r="O49" s="104">
        <f t="shared" si="0"/>
        <v>1.2916666666666667</v>
      </c>
      <c r="P49" s="104"/>
      <c r="Q49" s="106">
        <f t="shared" si="5"/>
        <v>2.541666666666667</v>
      </c>
      <c r="R49" s="141">
        <f t="shared" si="6"/>
        <v>0</v>
      </c>
      <c r="T49" s="110">
        <f t="shared" si="1"/>
        <v>0.49180327868852453</v>
      </c>
      <c r="U49" s="110">
        <f t="shared" si="1"/>
        <v>0.50819672131147542</v>
      </c>
      <c r="V49" s="110">
        <f t="shared" si="1"/>
        <v>0</v>
      </c>
      <c r="W49" s="110">
        <f t="shared" si="2"/>
        <v>1</v>
      </c>
    </row>
    <row r="50" spans="1:34" x14ac:dyDescent="0.25">
      <c r="A50" s="96">
        <v>40238</v>
      </c>
      <c r="J50" s="104">
        <f>('Co-Processing'!E52*'Co-Pro Feedstock Breakdown'!J$3*'Feedstock Conversion Rates'!B$13)/12</f>
        <v>1.25</v>
      </c>
      <c r="K50" s="104">
        <f>('Co-Processing'!E52*'Co-Pro Feedstock Breakdown'!K$3*'Feedstock Conversion Rates'!B$12)/12</f>
        <v>1.2916666666666667</v>
      </c>
      <c r="L50" s="106">
        <f t="shared" si="3"/>
        <v>2.541666666666667</v>
      </c>
      <c r="N50" s="104">
        <f t="shared" si="4"/>
        <v>1.25</v>
      </c>
      <c r="O50" s="104">
        <f t="shared" si="0"/>
        <v>1.2916666666666667</v>
      </c>
      <c r="P50" s="104"/>
      <c r="Q50" s="106">
        <f t="shared" si="5"/>
        <v>2.541666666666667</v>
      </c>
      <c r="R50" s="141">
        <f t="shared" si="6"/>
        <v>0</v>
      </c>
      <c r="T50" s="110">
        <f t="shared" si="1"/>
        <v>0.49180327868852453</v>
      </c>
      <c r="U50" s="110">
        <f t="shared" si="1"/>
        <v>0.50819672131147542</v>
      </c>
      <c r="V50" s="110">
        <f t="shared" si="1"/>
        <v>0</v>
      </c>
      <c r="W50" s="110">
        <f t="shared" si="2"/>
        <v>1</v>
      </c>
    </row>
    <row r="51" spans="1:34" x14ac:dyDescent="0.25">
      <c r="A51" s="96">
        <v>40269</v>
      </c>
      <c r="J51" s="104">
        <f>('Co-Processing'!E53*'Co-Pro Feedstock Breakdown'!J$3*'Feedstock Conversion Rates'!B$13)/12</f>
        <v>1.25</v>
      </c>
      <c r="K51" s="104">
        <f>('Co-Processing'!E53*'Co-Pro Feedstock Breakdown'!K$3*'Feedstock Conversion Rates'!B$12)/12</f>
        <v>1.2916666666666667</v>
      </c>
      <c r="L51" s="106">
        <f t="shared" si="3"/>
        <v>2.541666666666667</v>
      </c>
      <c r="N51" s="104">
        <f t="shared" si="4"/>
        <v>1.25</v>
      </c>
      <c r="O51" s="104">
        <f t="shared" si="0"/>
        <v>1.2916666666666667</v>
      </c>
      <c r="P51" s="104"/>
      <c r="Q51" s="106">
        <f t="shared" si="5"/>
        <v>2.541666666666667</v>
      </c>
      <c r="R51" s="141">
        <f t="shared" si="6"/>
        <v>0</v>
      </c>
      <c r="T51" s="110">
        <f t="shared" si="1"/>
        <v>0.49180327868852453</v>
      </c>
      <c r="U51" s="110">
        <f t="shared" si="1"/>
        <v>0.50819672131147542</v>
      </c>
      <c r="V51" s="110">
        <f t="shared" si="1"/>
        <v>0</v>
      </c>
      <c r="W51" s="110">
        <f t="shared" si="2"/>
        <v>1</v>
      </c>
    </row>
    <row r="52" spans="1:34" x14ac:dyDescent="0.25">
      <c r="A52" s="96">
        <v>40299</v>
      </c>
      <c r="J52" s="104">
        <f>('Co-Processing'!E54*'Co-Pro Feedstock Breakdown'!J$3*'Feedstock Conversion Rates'!B$13)/12</f>
        <v>1.25</v>
      </c>
      <c r="K52" s="104">
        <f>('Co-Processing'!E54*'Co-Pro Feedstock Breakdown'!K$3*'Feedstock Conversion Rates'!B$12)/12</f>
        <v>1.2916666666666667</v>
      </c>
      <c r="L52" s="106">
        <f t="shared" si="3"/>
        <v>2.541666666666667</v>
      </c>
      <c r="N52" s="104">
        <f t="shared" si="4"/>
        <v>1.25</v>
      </c>
      <c r="O52" s="104">
        <f t="shared" si="0"/>
        <v>1.2916666666666667</v>
      </c>
      <c r="P52" s="104"/>
      <c r="Q52" s="106">
        <f t="shared" si="5"/>
        <v>2.541666666666667</v>
      </c>
      <c r="R52" s="141">
        <f t="shared" si="6"/>
        <v>0</v>
      </c>
      <c r="T52" s="110">
        <f t="shared" si="1"/>
        <v>0.49180327868852453</v>
      </c>
      <c r="U52" s="110">
        <f t="shared" si="1"/>
        <v>0.50819672131147542</v>
      </c>
      <c r="V52" s="110">
        <f t="shared" si="1"/>
        <v>0</v>
      </c>
      <c r="W52" s="110">
        <f t="shared" si="2"/>
        <v>1</v>
      </c>
    </row>
    <row r="53" spans="1:34" x14ac:dyDescent="0.25">
      <c r="A53" s="96">
        <v>40330</v>
      </c>
      <c r="J53" s="104">
        <f>('Co-Processing'!E55*'Co-Pro Feedstock Breakdown'!J$3*'Feedstock Conversion Rates'!B$13)/12</f>
        <v>1.25</v>
      </c>
      <c r="K53" s="104">
        <f>('Co-Processing'!E55*'Co-Pro Feedstock Breakdown'!K$3*'Feedstock Conversion Rates'!B$12)/12</f>
        <v>1.2916666666666667</v>
      </c>
      <c r="L53" s="106">
        <f t="shared" si="3"/>
        <v>2.541666666666667</v>
      </c>
      <c r="N53" s="104">
        <f t="shared" si="4"/>
        <v>1.25</v>
      </c>
      <c r="O53" s="104">
        <f t="shared" si="0"/>
        <v>1.2916666666666667</v>
      </c>
      <c r="P53" s="104"/>
      <c r="Q53" s="106">
        <f t="shared" si="5"/>
        <v>2.541666666666667</v>
      </c>
      <c r="R53" s="141">
        <f t="shared" si="6"/>
        <v>0</v>
      </c>
      <c r="T53" s="110">
        <f t="shared" si="1"/>
        <v>0.49180327868852453</v>
      </c>
      <c r="U53" s="110">
        <f t="shared" si="1"/>
        <v>0.50819672131147542</v>
      </c>
      <c r="V53" s="110">
        <f t="shared" si="1"/>
        <v>0</v>
      </c>
      <c r="W53" s="110">
        <f t="shared" si="2"/>
        <v>1</v>
      </c>
    </row>
    <row r="54" spans="1:34" x14ac:dyDescent="0.25">
      <c r="A54" s="96">
        <v>40360</v>
      </c>
      <c r="J54" s="104">
        <f>('Co-Processing'!E56*'Co-Pro Feedstock Breakdown'!J$3*'Feedstock Conversion Rates'!B$13)/12</f>
        <v>1.25</v>
      </c>
      <c r="K54" s="104">
        <f>('Co-Processing'!E56*'Co-Pro Feedstock Breakdown'!K$3*'Feedstock Conversion Rates'!B$12)/12</f>
        <v>1.2916666666666667</v>
      </c>
      <c r="L54" s="106">
        <f t="shared" si="3"/>
        <v>2.541666666666667</v>
      </c>
      <c r="N54" s="104">
        <f t="shared" si="4"/>
        <v>1.25</v>
      </c>
      <c r="O54" s="104">
        <f t="shared" si="0"/>
        <v>1.2916666666666667</v>
      </c>
      <c r="P54" s="104"/>
      <c r="Q54" s="106">
        <f t="shared" si="5"/>
        <v>2.541666666666667</v>
      </c>
      <c r="R54" s="141">
        <f t="shared" si="6"/>
        <v>0</v>
      </c>
      <c r="T54" s="110">
        <f t="shared" si="1"/>
        <v>0.49180327868852453</v>
      </c>
      <c r="U54" s="110">
        <f t="shared" si="1"/>
        <v>0.50819672131147542</v>
      </c>
      <c r="V54" s="110">
        <f t="shared" si="1"/>
        <v>0</v>
      </c>
      <c r="W54" s="110">
        <f t="shared" si="2"/>
        <v>1</v>
      </c>
      <c r="Y54" s="142">
        <f>T54*'Co-Processing'!K56*'Feedstock Conversion Rates'!B$13</f>
        <v>1.1618557377049179</v>
      </c>
      <c r="Z54" s="142">
        <f>U54*'Co-Processing'!K56*'Feedstock Conversion Rates'!B$12</f>
        <v>1.2406037377049182</v>
      </c>
      <c r="AA54" s="142">
        <f>V54*'Co-Processing'!K56*'Feedstock Conversion Rates'!B$14</f>
        <v>0</v>
      </c>
      <c r="AB54" s="142">
        <f>SUM(Y54:AA54)</f>
        <v>2.4024594754098363</v>
      </c>
      <c r="AD54" s="142">
        <v>0</v>
      </c>
      <c r="AE54" s="142">
        <v>0</v>
      </c>
      <c r="AF54" s="142">
        <v>0</v>
      </c>
      <c r="AG54" s="142">
        <v>0</v>
      </c>
      <c r="AH54" s="142">
        <v>0</v>
      </c>
    </row>
    <row r="55" spans="1:34" x14ac:dyDescent="0.25">
      <c r="A55" s="96">
        <v>40391</v>
      </c>
      <c r="J55" s="104">
        <f>('Co-Processing'!E57*'Co-Pro Feedstock Breakdown'!J$3*'Feedstock Conversion Rates'!B$13)/12</f>
        <v>1.25</v>
      </c>
      <c r="K55" s="104">
        <f>('Co-Processing'!E57*'Co-Pro Feedstock Breakdown'!K$3*'Feedstock Conversion Rates'!B$12)/12</f>
        <v>1.2916666666666667</v>
      </c>
      <c r="L55" s="106">
        <f t="shared" si="3"/>
        <v>2.541666666666667</v>
      </c>
      <c r="N55" s="104">
        <f t="shared" si="4"/>
        <v>1.25</v>
      </c>
      <c r="O55" s="104">
        <f t="shared" si="0"/>
        <v>1.2916666666666667</v>
      </c>
      <c r="P55" s="104"/>
      <c r="Q55" s="106">
        <f t="shared" si="5"/>
        <v>2.541666666666667</v>
      </c>
      <c r="R55" s="141">
        <f t="shared" si="6"/>
        <v>0</v>
      </c>
      <c r="T55" s="110">
        <f t="shared" si="1"/>
        <v>0.49180327868852453</v>
      </c>
      <c r="U55" s="110">
        <f t="shared" si="1"/>
        <v>0.50819672131147542</v>
      </c>
      <c r="V55" s="110">
        <f t="shared" si="1"/>
        <v>0</v>
      </c>
      <c r="W55" s="110">
        <f t="shared" si="2"/>
        <v>1</v>
      </c>
      <c r="Y55" s="142">
        <f>T55*'Co-Processing'!K57*'Feedstock Conversion Rates'!B$13</f>
        <v>2.6944598360655734</v>
      </c>
      <c r="Z55" s="142">
        <f>U55*'Co-Processing'!K57*'Feedstock Conversion Rates'!B$12</f>
        <v>2.877084336065574</v>
      </c>
      <c r="AA55" s="142">
        <f>V55*'Co-Processing'!K57*'Feedstock Conversion Rates'!B$14</f>
        <v>0</v>
      </c>
      <c r="AB55" s="142">
        <f t="shared" ref="AB55:AB118" si="7">SUM(Y55:AA55)</f>
        <v>5.5715441721311478</v>
      </c>
      <c r="AD55" s="142">
        <v>0</v>
      </c>
      <c r="AE55" s="142">
        <v>0</v>
      </c>
      <c r="AF55" s="142">
        <v>0</v>
      </c>
      <c r="AG55" s="142">
        <v>0</v>
      </c>
      <c r="AH55" s="142">
        <v>0</v>
      </c>
    </row>
    <row r="56" spans="1:34" x14ac:dyDescent="0.25">
      <c r="A56" s="96">
        <v>40422</v>
      </c>
      <c r="J56" s="104">
        <f>('Co-Processing'!E58*'Co-Pro Feedstock Breakdown'!J$3*'Feedstock Conversion Rates'!B$13)/12</f>
        <v>1.25</v>
      </c>
      <c r="K56" s="104">
        <f>('Co-Processing'!E58*'Co-Pro Feedstock Breakdown'!K$3*'Feedstock Conversion Rates'!B$12)/12</f>
        <v>1.2916666666666667</v>
      </c>
      <c r="L56" s="106">
        <f t="shared" si="3"/>
        <v>2.541666666666667</v>
      </c>
      <c r="N56" s="104">
        <f t="shared" si="4"/>
        <v>1.25</v>
      </c>
      <c r="O56" s="104">
        <f t="shared" si="0"/>
        <v>1.2916666666666667</v>
      </c>
      <c r="P56" s="104"/>
      <c r="Q56" s="106">
        <f t="shared" si="5"/>
        <v>2.541666666666667</v>
      </c>
      <c r="R56" s="141">
        <f t="shared" si="6"/>
        <v>0</v>
      </c>
      <c r="T56" s="110">
        <f t="shared" si="1"/>
        <v>0.49180327868852453</v>
      </c>
      <c r="U56" s="110">
        <f t="shared" si="1"/>
        <v>0.50819672131147542</v>
      </c>
      <c r="V56" s="110">
        <f t="shared" si="1"/>
        <v>0</v>
      </c>
      <c r="W56" s="110">
        <f t="shared" si="2"/>
        <v>1</v>
      </c>
      <c r="Y56" s="142">
        <f>T56*'Co-Processing'!K58*'Feedstock Conversion Rates'!B$13</f>
        <v>3.5916491803278685</v>
      </c>
      <c r="Z56" s="142">
        <f>U56*'Co-Processing'!K58*'Feedstock Conversion Rates'!B$12</f>
        <v>3.8350831803278687</v>
      </c>
      <c r="AA56" s="142">
        <f>V56*'Co-Processing'!K58*'Feedstock Conversion Rates'!B$14</f>
        <v>0</v>
      </c>
      <c r="AB56" s="142">
        <f t="shared" si="7"/>
        <v>7.4267323606557376</v>
      </c>
      <c r="AD56" s="142">
        <v>0</v>
      </c>
      <c r="AE56" s="142">
        <v>0</v>
      </c>
      <c r="AF56" s="142">
        <v>0</v>
      </c>
      <c r="AG56" s="142">
        <v>0</v>
      </c>
      <c r="AH56" s="142">
        <v>0</v>
      </c>
    </row>
    <row r="57" spans="1:34" x14ac:dyDescent="0.25">
      <c r="A57" s="96">
        <v>40452</v>
      </c>
      <c r="J57" s="104">
        <f>('Co-Processing'!E59*'Co-Pro Feedstock Breakdown'!J$3*'Feedstock Conversion Rates'!B$13)/12</f>
        <v>1.25</v>
      </c>
      <c r="K57" s="104">
        <f>('Co-Processing'!E59*'Co-Pro Feedstock Breakdown'!K$3*'Feedstock Conversion Rates'!B$12)/12</f>
        <v>1.2916666666666667</v>
      </c>
      <c r="L57" s="106">
        <f t="shared" si="3"/>
        <v>2.541666666666667</v>
      </c>
      <c r="N57" s="104">
        <f t="shared" si="4"/>
        <v>1.25</v>
      </c>
      <c r="O57" s="104">
        <f t="shared" si="0"/>
        <v>1.2916666666666667</v>
      </c>
      <c r="P57" s="104"/>
      <c r="Q57" s="106">
        <f t="shared" si="5"/>
        <v>2.541666666666667</v>
      </c>
      <c r="R57" s="141">
        <f t="shared" si="6"/>
        <v>0</v>
      </c>
      <c r="T57" s="110">
        <f t="shared" si="1"/>
        <v>0.49180327868852453</v>
      </c>
      <c r="U57" s="110">
        <f t="shared" si="1"/>
        <v>0.50819672131147542</v>
      </c>
      <c r="V57" s="110">
        <f t="shared" si="1"/>
        <v>0</v>
      </c>
      <c r="W57" s="110">
        <f t="shared" si="2"/>
        <v>1</v>
      </c>
      <c r="Y57" s="142">
        <f>T57*'Co-Processing'!K59*'Feedstock Conversion Rates'!B$13</f>
        <v>5.3625836065573758</v>
      </c>
      <c r="Z57" s="142">
        <f>U57*'Co-Processing'!K59*'Feedstock Conversion Rates'!B$12</f>
        <v>5.7260476065573771</v>
      </c>
      <c r="AA57" s="142">
        <f>V57*'Co-Processing'!K59*'Feedstock Conversion Rates'!B$14</f>
        <v>0</v>
      </c>
      <c r="AB57" s="142">
        <f t="shared" si="7"/>
        <v>11.088631213114752</v>
      </c>
      <c r="AD57" s="142">
        <v>0</v>
      </c>
      <c r="AE57" s="142">
        <v>0</v>
      </c>
      <c r="AF57" s="142">
        <v>0</v>
      </c>
      <c r="AG57" s="142">
        <v>0</v>
      </c>
      <c r="AH57" s="142">
        <v>0</v>
      </c>
    </row>
    <row r="58" spans="1:34" x14ac:dyDescent="0.25">
      <c r="A58" s="96">
        <v>40483</v>
      </c>
      <c r="J58" s="104">
        <f>('Co-Processing'!E60*'Co-Pro Feedstock Breakdown'!J$3*'Feedstock Conversion Rates'!B$13)/12</f>
        <v>1.25</v>
      </c>
      <c r="K58" s="104">
        <f>('Co-Processing'!E60*'Co-Pro Feedstock Breakdown'!K$3*'Feedstock Conversion Rates'!B$12)/12</f>
        <v>1.2916666666666667</v>
      </c>
      <c r="L58" s="106">
        <f t="shared" si="3"/>
        <v>2.541666666666667</v>
      </c>
      <c r="N58" s="104">
        <f t="shared" si="4"/>
        <v>1.25</v>
      </c>
      <c r="O58" s="104">
        <f t="shared" si="0"/>
        <v>1.2916666666666667</v>
      </c>
      <c r="P58" s="104"/>
      <c r="Q58" s="106">
        <f t="shared" si="5"/>
        <v>2.541666666666667</v>
      </c>
      <c r="R58" s="141">
        <f t="shared" si="6"/>
        <v>0</v>
      </c>
      <c r="T58" s="110">
        <f t="shared" si="1"/>
        <v>0.49180327868852453</v>
      </c>
      <c r="U58" s="110">
        <f t="shared" si="1"/>
        <v>0.50819672131147542</v>
      </c>
      <c r="V58" s="110">
        <f t="shared" si="1"/>
        <v>0</v>
      </c>
      <c r="W58" s="110">
        <f t="shared" si="2"/>
        <v>1</v>
      </c>
      <c r="Y58" s="142">
        <f>T58*'Co-Processing'!K60*'Feedstock Conversion Rates'!B$13</f>
        <v>6.9493204918032774</v>
      </c>
      <c r="Z58" s="142">
        <f>U58*'Co-Processing'!K60*'Feedstock Conversion Rates'!B$12</f>
        <v>7.4203299918032783</v>
      </c>
      <c r="AA58" s="142">
        <f>V58*'Co-Processing'!K60*'Feedstock Conversion Rates'!B$14</f>
        <v>0</v>
      </c>
      <c r="AB58" s="142">
        <f t="shared" si="7"/>
        <v>14.369650483606556</v>
      </c>
      <c r="AD58" s="142">
        <v>0</v>
      </c>
      <c r="AE58" s="142">
        <v>0</v>
      </c>
      <c r="AF58" s="142">
        <v>0</v>
      </c>
      <c r="AG58" s="142">
        <v>0</v>
      </c>
      <c r="AH58" s="142">
        <v>0</v>
      </c>
    </row>
    <row r="59" spans="1:34" x14ac:dyDescent="0.25">
      <c r="A59" s="96">
        <v>40513</v>
      </c>
      <c r="J59" s="104">
        <f>('Co-Processing'!E61*'Co-Pro Feedstock Breakdown'!J$3*'Feedstock Conversion Rates'!B$13)/12</f>
        <v>1.25</v>
      </c>
      <c r="K59" s="104">
        <f>('Co-Processing'!E61*'Co-Pro Feedstock Breakdown'!K$3*'Feedstock Conversion Rates'!B$12)/12</f>
        <v>1.2916666666666667</v>
      </c>
      <c r="L59" s="106">
        <f t="shared" si="3"/>
        <v>2.541666666666667</v>
      </c>
      <c r="N59" s="104">
        <f t="shared" si="4"/>
        <v>1.25</v>
      </c>
      <c r="O59" s="104">
        <f t="shared" si="0"/>
        <v>1.2916666666666667</v>
      </c>
      <c r="P59" s="104"/>
      <c r="Q59" s="106">
        <f t="shared" si="5"/>
        <v>2.541666666666667</v>
      </c>
      <c r="R59" s="141">
        <f t="shared" si="6"/>
        <v>0</v>
      </c>
      <c r="T59" s="110">
        <f t="shared" si="1"/>
        <v>0.49180327868852453</v>
      </c>
      <c r="U59" s="110">
        <f t="shared" si="1"/>
        <v>0.50819672131147542</v>
      </c>
      <c r="V59" s="110">
        <f t="shared" si="1"/>
        <v>0</v>
      </c>
      <c r="W59" s="110">
        <f t="shared" si="2"/>
        <v>1</v>
      </c>
      <c r="Y59" s="142">
        <f>T59*'Co-Processing'!K61*'Feedstock Conversion Rates'!B$13</f>
        <v>9.0734606557377049</v>
      </c>
      <c r="Z59" s="142">
        <f>U59*'Co-Processing'!K61*'Feedstock Conversion Rates'!B$12</f>
        <v>9.6884396557377066</v>
      </c>
      <c r="AA59" s="142">
        <f>V59*'Co-Processing'!K61*'Feedstock Conversion Rates'!B$14</f>
        <v>0</v>
      </c>
      <c r="AB59" s="142">
        <f t="shared" si="7"/>
        <v>18.761900311475411</v>
      </c>
      <c r="AD59" s="142">
        <v>0</v>
      </c>
      <c r="AE59" s="142">
        <v>0</v>
      </c>
      <c r="AF59" s="142">
        <v>0</v>
      </c>
      <c r="AG59" s="142">
        <v>0</v>
      </c>
      <c r="AH59" s="142">
        <v>0</v>
      </c>
    </row>
    <row r="60" spans="1:34" x14ac:dyDescent="0.25">
      <c r="A60" s="96">
        <v>40544</v>
      </c>
      <c r="J60" s="104">
        <f>('Co-Processing'!E62*'Co-Pro Feedstock Breakdown'!J$3*'Feedstock Conversion Rates'!B$13)/12</f>
        <v>1.25</v>
      </c>
      <c r="K60" s="104">
        <f>('Co-Processing'!E62*'Co-Pro Feedstock Breakdown'!K$3*'Feedstock Conversion Rates'!B$12)/12</f>
        <v>1.2916666666666667</v>
      </c>
      <c r="L60" s="106">
        <f t="shared" si="3"/>
        <v>2.541666666666667</v>
      </c>
      <c r="N60" s="104">
        <f t="shared" si="4"/>
        <v>1.25</v>
      </c>
      <c r="O60" s="104">
        <f t="shared" si="0"/>
        <v>1.2916666666666667</v>
      </c>
      <c r="P60" s="104"/>
      <c r="Q60" s="106">
        <f t="shared" si="5"/>
        <v>2.541666666666667</v>
      </c>
      <c r="R60" s="141">
        <f t="shared" si="6"/>
        <v>0</v>
      </c>
      <c r="T60" s="110">
        <f t="shared" si="1"/>
        <v>0.49180327868852453</v>
      </c>
      <c r="U60" s="110">
        <f t="shared" si="1"/>
        <v>0.50819672131147542</v>
      </c>
      <c r="V60" s="110">
        <f t="shared" si="1"/>
        <v>0</v>
      </c>
      <c r="W60" s="110">
        <f t="shared" si="2"/>
        <v>1</v>
      </c>
      <c r="Y60" s="142">
        <f>T60*'Co-Processing'!K62*'Feedstock Conversion Rates'!B$13</f>
        <v>8.3918840163934423</v>
      </c>
      <c r="Z60" s="142">
        <f>U60*'Co-Processing'!K62*'Feedstock Conversion Rates'!B$12</f>
        <v>8.960667266393445</v>
      </c>
      <c r="AA60" s="142">
        <f>V60*'Co-Processing'!K62*'Feedstock Conversion Rates'!B$14</f>
        <v>0</v>
      </c>
      <c r="AB60" s="142">
        <f t="shared" si="7"/>
        <v>17.352551282786887</v>
      </c>
      <c r="AD60" s="142">
        <v>0</v>
      </c>
      <c r="AE60" s="142">
        <v>0</v>
      </c>
      <c r="AF60" s="142">
        <v>0</v>
      </c>
      <c r="AG60" s="142">
        <v>0</v>
      </c>
      <c r="AH60" s="142">
        <v>0</v>
      </c>
    </row>
    <row r="61" spans="1:34" x14ac:dyDescent="0.25">
      <c r="A61" s="96">
        <v>40575</v>
      </c>
      <c r="J61" s="104">
        <f>('Co-Processing'!E63*'Co-Pro Feedstock Breakdown'!J$3*'Feedstock Conversion Rates'!B$13)/12</f>
        <v>1.25</v>
      </c>
      <c r="K61" s="104">
        <f>('Co-Processing'!E63*'Co-Pro Feedstock Breakdown'!K$3*'Feedstock Conversion Rates'!B$12)/12</f>
        <v>1.2916666666666667</v>
      </c>
      <c r="L61" s="106">
        <f t="shared" si="3"/>
        <v>2.541666666666667</v>
      </c>
      <c r="N61" s="104">
        <f t="shared" si="4"/>
        <v>1.25</v>
      </c>
      <c r="O61" s="104">
        <f t="shared" si="0"/>
        <v>1.2916666666666667</v>
      </c>
      <c r="P61" s="104"/>
      <c r="Q61" s="106">
        <f t="shared" si="5"/>
        <v>2.541666666666667</v>
      </c>
      <c r="R61" s="141">
        <f t="shared" si="6"/>
        <v>0</v>
      </c>
      <c r="T61" s="110">
        <f t="shared" si="1"/>
        <v>0.49180327868852453</v>
      </c>
      <c r="U61" s="110">
        <f t="shared" si="1"/>
        <v>0.50819672131147542</v>
      </c>
      <c r="V61" s="110">
        <f t="shared" si="1"/>
        <v>0</v>
      </c>
      <c r="W61" s="110">
        <f t="shared" si="2"/>
        <v>1</v>
      </c>
      <c r="Y61" s="142">
        <f>T61*'Co-Processing'!K63*'Feedstock Conversion Rates'!B$13</f>
        <v>2.6762127049180329</v>
      </c>
      <c r="Z61" s="142">
        <f>U61*'Co-Processing'!K63*'Feedstock Conversion Rates'!B$12</f>
        <v>2.8576004549180327</v>
      </c>
      <c r="AA61" s="142">
        <f>V61*'Co-Processing'!K63*'Feedstock Conversion Rates'!B$14</f>
        <v>0</v>
      </c>
      <c r="AB61" s="142">
        <f t="shared" si="7"/>
        <v>5.5338131598360656</v>
      </c>
      <c r="AD61" s="142">
        <v>0</v>
      </c>
      <c r="AE61" s="142">
        <v>0</v>
      </c>
      <c r="AF61" s="142">
        <v>0</v>
      </c>
      <c r="AG61" s="142">
        <v>0</v>
      </c>
      <c r="AH61" s="142">
        <v>0</v>
      </c>
    </row>
    <row r="62" spans="1:34" x14ac:dyDescent="0.25">
      <c r="A62" s="96">
        <v>40603</v>
      </c>
      <c r="J62" s="104">
        <f>('Co-Processing'!E64*'Co-Pro Feedstock Breakdown'!J$3*'Feedstock Conversion Rates'!B$13)/12</f>
        <v>1.25</v>
      </c>
      <c r="K62" s="104">
        <f>('Co-Processing'!E64*'Co-Pro Feedstock Breakdown'!K$3*'Feedstock Conversion Rates'!B$12)/12</f>
        <v>1.2916666666666667</v>
      </c>
      <c r="L62" s="106">
        <f t="shared" si="3"/>
        <v>2.541666666666667</v>
      </c>
      <c r="N62" s="104">
        <f t="shared" si="4"/>
        <v>1.25</v>
      </c>
      <c r="O62" s="104">
        <f t="shared" si="0"/>
        <v>1.2916666666666667</v>
      </c>
      <c r="P62" s="104"/>
      <c r="Q62" s="106">
        <f t="shared" si="5"/>
        <v>2.541666666666667</v>
      </c>
      <c r="R62" s="141">
        <f t="shared" si="6"/>
        <v>0</v>
      </c>
      <c r="T62" s="110">
        <f t="shared" si="1"/>
        <v>0.49180327868852453</v>
      </c>
      <c r="U62" s="110">
        <f t="shared" si="1"/>
        <v>0.50819672131147542</v>
      </c>
      <c r="V62" s="110">
        <f t="shared" si="1"/>
        <v>0</v>
      </c>
      <c r="W62" s="110">
        <f t="shared" si="2"/>
        <v>1</v>
      </c>
      <c r="Y62" s="142">
        <f>T62*'Co-Processing'!K64*'Feedstock Conversion Rates'!B$13</f>
        <v>2.8217729508196716</v>
      </c>
      <c r="Z62" s="142">
        <f>U62*'Co-Processing'!K64*'Feedstock Conversion Rates'!B$12</f>
        <v>3.0130264508196718</v>
      </c>
      <c r="AA62" s="142">
        <f>V62*'Co-Processing'!K64*'Feedstock Conversion Rates'!B$14</f>
        <v>0</v>
      </c>
      <c r="AB62" s="142">
        <f t="shared" si="7"/>
        <v>5.8347994016393434</v>
      </c>
      <c r="AD62" s="142">
        <v>0</v>
      </c>
      <c r="AE62" s="142">
        <v>0</v>
      </c>
      <c r="AF62" s="142">
        <v>0</v>
      </c>
      <c r="AG62" s="142">
        <v>0</v>
      </c>
      <c r="AH62" s="142">
        <v>0</v>
      </c>
    </row>
    <row r="63" spans="1:34" x14ac:dyDescent="0.25">
      <c r="A63" s="96">
        <v>40634</v>
      </c>
      <c r="J63" s="104">
        <f>('Co-Processing'!E65*'Co-Pro Feedstock Breakdown'!J$3*'Feedstock Conversion Rates'!B$13)/12</f>
        <v>1.25</v>
      </c>
      <c r="K63" s="104">
        <f>('Co-Processing'!E65*'Co-Pro Feedstock Breakdown'!K$3*'Feedstock Conversion Rates'!B$12)/12</f>
        <v>1.2916666666666667</v>
      </c>
      <c r="L63" s="106">
        <f t="shared" si="3"/>
        <v>2.541666666666667</v>
      </c>
      <c r="N63" s="104">
        <f t="shared" si="4"/>
        <v>1.25</v>
      </c>
      <c r="O63" s="104">
        <f t="shared" si="0"/>
        <v>1.2916666666666667</v>
      </c>
      <c r="P63" s="104"/>
      <c r="Q63" s="106">
        <f t="shared" si="5"/>
        <v>2.541666666666667</v>
      </c>
      <c r="R63" s="141">
        <f t="shared" si="6"/>
        <v>0</v>
      </c>
      <c r="T63" s="110">
        <f t="shared" si="1"/>
        <v>0.49180327868852453</v>
      </c>
      <c r="U63" s="110">
        <f t="shared" si="1"/>
        <v>0.50819672131147542</v>
      </c>
      <c r="V63" s="110">
        <f t="shared" si="1"/>
        <v>0</v>
      </c>
      <c r="W63" s="110">
        <f t="shared" si="2"/>
        <v>1</v>
      </c>
      <c r="Y63" s="142">
        <f>T63*'Co-Processing'!K65*'Feedstock Conversion Rates'!B$13</f>
        <v>1.0314885245901637</v>
      </c>
      <c r="Z63" s="142">
        <f>U63*'Co-Processing'!K65*'Feedstock Conversion Rates'!B$12</f>
        <v>1.1014005245901639</v>
      </c>
      <c r="AA63" s="142">
        <f>V63*'Co-Processing'!K65*'Feedstock Conversion Rates'!B$14</f>
        <v>0</v>
      </c>
      <c r="AB63" s="142">
        <f t="shared" si="7"/>
        <v>2.1328890491803278</v>
      </c>
      <c r="AD63" s="142">
        <v>0</v>
      </c>
      <c r="AE63" s="142">
        <v>0</v>
      </c>
      <c r="AF63" s="142">
        <v>0</v>
      </c>
      <c r="AG63" s="142">
        <v>0</v>
      </c>
      <c r="AH63" s="142">
        <v>0</v>
      </c>
    </row>
    <row r="64" spans="1:34" x14ac:dyDescent="0.25">
      <c r="A64" s="96">
        <v>40664</v>
      </c>
      <c r="J64" s="104">
        <f>('Co-Processing'!E66*'Co-Pro Feedstock Breakdown'!J$3*'Feedstock Conversion Rates'!B$13)/12</f>
        <v>1.25</v>
      </c>
      <c r="K64" s="104">
        <f>('Co-Processing'!E66*'Co-Pro Feedstock Breakdown'!K$3*'Feedstock Conversion Rates'!B$12)/12</f>
        <v>1.2916666666666667</v>
      </c>
      <c r="L64" s="106">
        <f t="shared" si="3"/>
        <v>2.541666666666667</v>
      </c>
      <c r="N64" s="104">
        <f t="shared" si="4"/>
        <v>1.25</v>
      </c>
      <c r="O64" s="104">
        <f t="shared" si="0"/>
        <v>1.2916666666666667</v>
      </c>
      <c r="P64" s="104"/>
      <c r="Q64" s="106">
        <f t="shared" si="5"/>
        <v>2.541666666666667</v>
      </c>
      <c r="R64" s="141">
        <f t="shared" si="6"/>
        <v>0</v>
      </c>
      <c r="T64" s="110">
        <f t="shared" si="1"/>
        <v>0.49180327868852453</v>
      </c>
      <c r="U64" s="110">
        <f t="shared" si="1"/>
        <v>0.50819672131147542</v>
      </c>
      <c r="V64" s="110">
        <f t="shared" si="1"/>
        <v>0</v>
      </c>
      <c r="W64" s="110">
        <f t="shared" si="2"/>
        <v>1</v>
      </c>
      <c r="Y64" s="142">
        <f>T64*'Co-Processing'!K66*'Feedstock Conversion Rates'!B$13</f>
        <v>16.158020901639343</v>
      </c>
      <c r="Z64" s="142">
        <f>U64*'Co-Processing'!K66*'Feedstock Conversion Rates'!B$12</f>
        <v>17.253175651639346</v>
      </c>
      <c r="AA64" s="142">
        <f>V64*'Co-Processing'!K66*'Feedstock Conversion Rates'!B$14</f>
        <v>0</v>
      </c>
      <c r="AB64" s="142">
        <f t="shared" si="7"/>
        <v>33.411196553278685</v>
      </c>
      <c r="AD64" s="142">
        <v>0</v>
      </c>
      <c r="AE64" s="142">
        <v>0</v>
      </c>
      <c r="AF64" s="142">
        <v>0</v>
      </c>
      <c r="AG64" s="142">
        <v>0</v>
      </c>
      <c r="AH64" s="142">
        <v>0</v>
      </c>
    </row>
    <row r="65" spans="1:34" x14ac:dyDescent="0.25">
      <c r="A65" s="96">
        <v>40695</v>
      </c>
      <c r="J65" s="104">
        <f>('Co-Processing'!E67*'Co-Pro Feedstock Breakdown'!J$3*'Feedstock Conversion Rates'!B$13)/12</f>
        <v>1.25</v>
      </c>
      <c r="K65" s="104">
        <f>('Co-Processing'!E67*'Co-Pro Feedstock Breakdown'!K$3*'Feedstock Conversion Rates'!B$12)/12</f>
        <v>1.2916666666666667</v>
      </c>
      <c r="L65" s="106">
        <f t="shared" si="3"/>
        <v>2.541666666666667</v>
      </c>
      <c r="N65" s="104">
        <f t="shared" si="4"/>
        <v>1.25</v>
      </c>
      <c r="O65" s="104">
        <f t="shared" si="0"/>
        <v>1.2916666666666667</v>
      </c>
      <c r="P65" s="104"/>
      <c r="Q65" s="106">
        <f t="shared" si="5"/>
        <v>2.541666666666667</v>
      </c>
      <c r="R65" s="141">
        <f t="shared" si="6"/>
        <v>0</v>
      </c>
      <c r="T65" s="110">
        <f t="shared" si="1"/>
        <v>0.49180327868852453</v>
      </c>
      <c r="U65" s="110">
        <f t="shared" si="1"/>
        <v>0.50819672131147542</v>
      </c>
      <c r="V65" s="110">
        <f t="shared" si="1"/>
        <v>0</v>
      </c>
      <c r="W65" s="110">
        <f t="shared" si="2"/>
        <v>1</v>
      </c>
      <c r="Y65" s="142">
        <f>T65*'Co-Processing'!K67*'Feedstock Conversion Rates'!B$13</f>
        <v>3.0257963114754096</v>
      </c>
      <c r="Z65" s="142">
        <f>U65*'Co-Processing'!K67*'Feedstock Conversion Rates'!B$12</f>
        <v>3.2308780614754102</v>
      </c>
      <c r="AA65" s="142">
        <f>V65*'Co-Processing'!K67*'Feedstock Conversion Rates'!B$14</f>
        <v>0</v>
      </c>
      <c r="AB65" s="142">
        <f t="shared" si="7"/>
        <v>6.2566743729508199</v>
      </c>
      <c r="AD65" s="142">
        <v>0</v>
      </c>
      <c r="AE65" s="142">
        <v>0</v>
      </c>
      <c r="AF65" s="142">
        <v>0</v>
      </c>
      <c r="AG65" s="142">
        <v>0</v>
      </c>
      <c r="AH65" s="142">
        <v>0</v>
      </c>
    </row>
    <row r="66" spans="1:34" x14ac:dyDescent="0.25">
      <c r="A66" s="96">
        <v>40725</v>
      </c>
      <c r="J66" s="104">
        <f>('Co-Processing'!E68*'Co-Pro Feedstock Breakdown'!J$3*'Feedstock Conversion Rates'!B$13)/12</f>
        <v>1.25</v>
      </c>
      <c r="K66" s="104">
        <f>('Co-Processing'!E68*'Co-Pro Feedstock Breakdown'!K$3*'Feedstock Conversion Rates'!B$12)/12</f>
        <v>1.2916666666666667</v>
      </c>
      <c r="L66" s="106">
        <f t="shared" si="3"/>
        <v>2.541666666666667</v>
      </c>
      <c r="N66" s="104">
        <f t="shared" si="4"/>
        <v>1.25</v>
      </c>
      <c r="O66" s="104">
        <f t="shared" si="0"/>
        <v>1.2916666666666667</v>
      </c>
      <c r="P66" s="104"/>
      <c r="Q66" s="106">
        <f t="shared" si="5"/>
        <v>2.541666666666667</v>
      </c>
      <c r="R66" s="141">
        <f t="shared" si="6"/>
        <v>0</v>
      </c>
      <c r="T66" s="110">
        <f t="shared" si="1"/>
        <v>0.49180327868852453</v>
      </c>
      <c r="U66" s="110">
        <f t="shared" si="1"/>
        <v>0.50819672131147542</v>
      </c>
      <c r="V66" s="110">
        <f t="shared" si="1"/>
        <v>0</v>
      </c>
      <c r="W66" s="110">
        <f t="shared" si="2"/>
        <v>1</v>
      </c>
      <c r="Y66" s="142">
        <f>T66*'Co-Processing'!K68*'Feedstock Conversion Rates'!B$13</f>
        <v>2.9892946721311473</v>
      </c>
      <c r="Z66" s="142">
        <f>U66*'Co-Processing'!K68*'Feedstock Conversion Rates'!B$12</f>
        <v>3.1919024221311476</v>
      </c>
      <c r="AA66" s="142">
        <f>V66*'Co-Processing'!K68*'Feedstock Conversion Rates'!B$14</f>
        <v>0</v>
      </c>
      <c r="AB66" s="142">
        <f t="shared" si="7"/>
        <v>6.1811970942622949</v>
      </c>
      <c r="AD66" s="142">
        <v>0</v>
      </c>
      <c r="AE66" s="142">
        <v>0</v>
      </c>
      <c r="AF66" s="142">
        <v>0</v>
      </c>
      <c r="AG66" s="142">
        <v>0</v>
      </c>
      <c r="AH66" s="142">
        <v>0</v>
      </c>
    </row>
    <row r="67" spans="1:34" x14ac:dyDescent="0.25">
      <c r="A67" s="96">
        <v>40756</v>
      </c>
      <c r="J67" s="104">
        <f>('Co-Processing'!E69*'Co-Pro Feedstock Breakdown'!J$3*'Feedstock Conversion Rates'!B$13)/12</f>
        <v>1.25</v>
      </c>
      <c r="K67" s="104">
        <f>('Co-Processing'!E69*'Co-Pro Feedstock Breakdown'!K$3*'Feedstock Conversion Rates'!B$12)/12</f>
        <v>1.2916666666666667</v>
      </c>
      <c r="L67" s="106">
        <f t="shared" si="3"/>
        <v>2.541666666666667</v>
      </c>
      <c r="N67" s="104">
        <f t="shared" si="4"/>
        <v>1.25</v>
      </c>
      <c r="O67" s="104">
        <f t="shared" si="0"/>
        <v>1.2916666666666667</v>
      </c>
      <c r="P67" s="104"/>
      <c r="Q67" s="106">
        <f t="shared" si="5"/>
        <v>2.541666666666667</v>
      </c>
      <c r="R67" s="141">
        <f t="shared" si="6"/>
        <v>0</v>
      </c>
      <c r="T67" s="110">
        <f t="shared" si="1"/>
        <v>0.49180327868852453</v>
      </c>
      <c r="U67" s="110">
        <f t="shared" si="1"/>
        <v>0.50819672131147542</v>
      </c>
      <c r="V67" s="110">
        <f t="shared" si="1"/>
        <v>0</v>
      </c>
      <c r="W67" s="110">
        <f t="shared" si="2"/>
        <v>1</v>
      </c>
      <c r="Y67" s="142">
        <f>T67*'Co-Processing'!K69*'Feedstock Conversion Rates'!B$13</f>
        <v>4.226820491803279</v>
      </c>
      <c r="Z67" s="142">
        <f>U67*'Co-Processing'!K69*'Feedstock Conversion Rates'!B$12</f>
        <v>4.5133049918032793</v>
      </c>
      <c r="AA67" s="142">
        <f>V67*'Co-Processing'!K69*'Feedstock Conversion Rates'!B$14</f>
        <v>0</v>
      </c>
      <c r="AB67" s="142">
        <f t="shared" si="7"/>
        <v>8.7401254836065583</v>
      </c>
      <c r="AD67" s="142">
        <v>0</v>
      </c>
      <c r="AE67" s="142">
        <v>0</v>
      </c>
      <c r="AF67" s="142">
        <v>0</v>
      </c>
      <c r="AG67" s="142">
        <v>0</v>
      </c>
      <c r="AH67" s="142">
        <v>0</v>
      </c>
    </row>
    <row r="68" spans="1:34" x14ac:dyDescent="0.25">
      <c r="A68" s="96">
        <v>40787</v>
      </c>
      <c r="J68" s="104">
        <f>('Co-Processing'!E70*'Co-Pro Feedstock Breakdown'!J$3*'Feedstock Conversion Rates'!B$13)/12</f>
        <v>1.25</v>
      </c>
      <c r="K68" s="104">
        <f>('Co-Processing'!E70*'Co-Pro Feedstock Breakdown'!K$3*'Feedstock Conversion Rates'!B$12)/12</f>
        <v>1.2916666666666667</v>
      </c>
      <c r="L68" s="106">
        <f t="shared" si="3"/>
        <v>2.541666666666667</v>
      </c>
      <c r="N68" s="104">
        <f t="shared" si="4"/>
        <v>1.25</v>
      </c>
      <c r="O68" s="104">
        <f t="shared" ref="O68:O131" si="8">C68+K68+F68</f>
        <v>1.2916666666666667</v>
      </c>
      <c r="P68" s="104"/>
      <c r="Q68" s="106">
        <f t="shared" si="5"/>
        <v>2.541666666666667</v>
      </c>
      <c r="R68" s="141">
        <f t="shared" si="6"/>
        <v>0</v>
      </c>
      <c r="T68" s="110">
        <f t="shared" ref="T68:V131" si="9">N68/$Q68</f>
        <v>0.49180327868852453</v>
      </c>
      <c r="U68" s="110">
        <f t="shared" si="9"/>
        <v>0.50819672131147542</v>
      </c>
      <c r="V68" s="110">
        <f t="shared" si="9"/>
        <v>0</v>
      </c>
      <c r="W68" s="110">
        <f t="shared" ref="W68:W131" si="10">SUM(T68:V68)</f>
        <v>1</v>
      </c>
      <c r="Y68" s="142">
        <f>T68*'Co-Processing'!K70*'Feedstock Conversion Rates'!B$13</f>
        <v>6.9696959016393434</v>
      </c>
      <c r="Z68" s="142">
        <f>U68*'Co-Processing'!K70*'Feedstock Conversion Rates'!B$12</f>
        <v>7.4420864016393447</v>
      </c>
      <c r="AA68" s="142">
        <f>V68*'Co-Processing'!K70*'Feedstock Conversion Rates'!B$14</f>
        <v>0</v>
      </c>
      <c r="AB68" s="142">
        <f t="shared" si="7"/>
        <v>14.411782303278688</v>
      </c>
      <c r="AD68" s="142">
        <v>0</v>
      </c>
      <c r="AE68" s="142">
        <v>0</v>
      </c>
      <c r="AF68" s="142">
        <v>0</v>
      </c>
      <c r="AG68" s="142">
        <v>0</v>
      </c>
      <c r="AH68" s="142">
        <v>0</v>
      </c>
    </row>
    <row r="69" spans="1:34" x14ac:dyDescent="0.25">
      <c r="A69" s="96">
        <v>40817</v>
      </c>
      <c r="J69" s="104">
        <f>('Co-Processing'!E71*'Co-Pro Feedstock Breakdown'!J$3*'Feedstock Conversion Rates'!B$13)/12</f>
        <v>1.25</v>
      </c>
      <c r="K69" s="104">
        <f>('Co-Processing'!E71*'Co-Pro Feedstock Breakdown'!K$3*'Feedstock Conversion Rates'!B$12)/12</f>
        <v>1.2916666666666667</v>
      </c>
      <c r="L69" s="106">
        <f t="shared" ref="L69:L132" si="11">SUM(J69:K69)</f>
        <v>2.541666666666667</v>
      </c>
      <c r="N69" s="104">
        <f t="shared" ref="N69:N132" si="12">E69+H69+J69+B69</f>
        <v>1.25</v>
      </c>
      <c r="O69" s="104">
        <f t="shared" si="8"/>
        <v>1.2916666666666667</v>
      </c>
      <c r="P69" s="104"/>
      <c r="Q69" s="106">
        <f t="shared" ref="Q69:Q132" si="13">SUM(N69:P69)</f>
        <v>2.541666666666667</v>
      </c>
      <c r="R69" s="141">
        <f t="shared" ref="R69:R132" si="14">D69+G69+I69+L69-Q69</f>
        <v>0</v>
      </c>
      <c r="T69" s="110">
        <f t="shared" si="9"/>
        <v>0.49180327868852453</v>
      </c>
      <c r="U69" s="110">
        <f t="shared" si="9"/>
        <v>0.50819672131147542</v>
      </c>
      <c r="V69" s="110">
        <f t="shared" si="9"/>
        <v>0</v>
      </c>
      <c r="W69" s="110">
        <f t="shared" si="10"/>
        <v>1</v>
      </c>
      <c r="Y69" s="142">
        <f>T69*'Co-Processing'!K71*'Feedstock Conversion Rates'!B$13</f>
        <v>4.2415155737704913</v>
      </c>
      <c r="Z69" s="142">
        <f>U69*'Co-Processing'!K71*'Feedstock Conversion Rates'!B$12</f>
        <v>4.5289960737704922</v>
      </c>
      <c r="AA69" s="142">
        <f>V69*'Co-Processing'!K71*'Feedstock Conversion Rates'!B$14</f>
        <v>0</v>
      </c>
      <c r="AB69" s="142">
        <f t="shared" si="7"/>
        <v>8.7705116475409834</v>
      </c>
      <c r="AD69" s="142">
        <v>0</v>
      </c>
      <c r="AE69" s="142">
        <v>0</v>
      </c>
      <c r="AF69" s="142">
        <v>0</v>
      </c>
      <c r="AG69" s="142">
        <v>0</v>
      </c>
      <c r="AH69" s="142">
        <v>0</v>
      </c>
    </row>
    <row r="70" spans="1:34" x14ac:dyDescent="0.25">
      <c r="A70" s="96">
        <v>40848</v>
      </c>
      <c r="J70" s="104">
        <f>('Co-Processing'!E72*'Co-Pro Feedstock Breakdown'!J$3*'Feedstock Conversion Rates'!B$13)/12</f>
        <v>1.25</v>
      </c>
      <c r="K70" s="104">
        <f>('Co-Processing'!E72*'Co-Pro Feedstock Breakdown'!K$3*'Feedstock Conversion Rates'!B$12)/12</f>
        <v>1.2916666666666667</v>
      </c>
      <c r="L70" s="106">
        <f t="shared" si="11"/>
        <v>2.541666666666667</v>
      </c>
      <c r="N70" s="104">
        <f t="shared" si="12"/>
        <v>1.25</v>
      </c>
      <c r="O70" s="104">
        <f t="shared" si="8"/>
        <v>1.2916666666666667</v>
      </c>
      <c r="P70" s="104"/>
      <c r="Q70" s="106">
        <f t="shared" si="13"/>
        <v>2.541666666666667</v>
      </c>
      <c r="R70" s="141">
        <f t="shared" si="14"/>
        <v>0</v>
      </c>
      <c r="T70" s="110">
        <f t="shared" si="9"/>
        <v>0.49180327868852453</v>
      </c>
      <c r="U70" s="110">
        <f t="shared" si="9"/>
        <v>0.50819672131147542</v>
      </c>
      <c r="V70" s="110">
        <f t="shared" si="9"/>
        <v>0</v>
      </c>
      <c r="W70" s="110">
        <f t="shared" si="10"/>
        <v>1</v>
      </c>
      <c r="Y70" s="142">
        <f>T70*'Co-Processing'!K72*'Feedstock Conversion Rates'!B$13</f>
        <v>5.6564299180327859</v>
      </c>
      <c r="Z70" s="142">
        <f>U70*'Co-Processing'!K72*'Feedstock Conversion Rates'!B$12</f>
        <v>6.0398101680327869</v>
      </c>
      <c r="AA70" s="142">
        <f>V70*'Co-Processing'!K72*'Feedstock Conversion Rates'!B$14</f>
        <v>0</v>
      </c>
      <c r="AB70" s="142">
        <f t="shared" si="7"/>
        <v>11.696240086065572</v>
      </c>
      <c r="AD70" s="142">
        <v>0</v>
      </c>
      <c r="AE70" s="142">
        <v>0</v>
      </c>
      <c r="AF70" s="142">
        <v>0</v>
      </c>
      <c r="AG70" s="142">
        <v>0</v>
      </c>
      <c r="AH70" s="142">
        <v>0</v>
      </c>
    </row>
    <row r="71" spans="1:34" x14ac:dyDescent="0.25">
      <c r="A71" s="96">
        <v>40878</v>
      </c>
      <c r="J71" s="104">
        <f>('Co-Processing'!E73*'Co-Pro Feedstock Breakdown'!J$3*'Feedstock Conversion Rates'!B$13)/12</f>
        <v>1.25</v>
      </c>
      <c r="K71" s="104">
        <f>('Co-Processing'!E73*'Co-Pro Feedstock Breakdown'!K$3*'Feedstock Conversion Rates'!B$12)/12</f>
        <v>1.2916666666666667</v>
      </c>
      <c r="L71" s="106">
        <f t="shared" si="11"/>
        <v>2.541666666666667</v>
      </c>
      <c r="N71" s="104">
        <f t="shared" si="12"/>
        <v>1.25</v>
      </c>
      <c r="O71" s="104">
        <f t="shared" si="8"/>
        <v>1.2916666666666667</v>
      </c>
      <c r="P71" s="104"/>
      <c r="Q71" s="106">
        <f t="shared" si="13"/>
        <v>2.541666666666667</v>
      </c>
      <c r="R71" s="141">
        <f t="shared" si="14"/>
        <v>0</v>
      </c>
      <c r="T71" s="110">
        <f t="shared" si="9"/>
        <v>0.49180327868852453</v>
      </c>
      <c r="U71" s="110">
        <f t="shared" si="9"/>
        <v>0.50819672131147542</v>
      </c>
      <c r="V71" s="110">
        <f t="shared" si="9"/>
        <v>0</v>
      </c>
      <c r="W71" s="110">
        <f t="shared" si="10"/>
        <v>1</v>
      </c>
      <c r="Y71" s="142">
        <f>T71*'Co-Processing'!K73*'Feedstock Conversion Rates'!B$13</f>
        <v>3.4817827868852449</v>
      </c>
      <c r="Z71" s="142">
        <f>U71*'Co-Processing'!K73*'Feedstock Conversion Rates'!B$12</f>
        <v>3.717770286885246</v>
      </c>
      <c r="AA71" s="142">
        <f>V71*'Co-Processing'!K73*'Feedstock Conversion Rates'!B$14</f>
        <v>0</v>
      </c>
      <c r="AB71" s="142">
        <f t="shared" si="7"/>
        <v>7.1995530737704909</v>
      </c>
      <c r="AD71" s="142">
        <v>0</v>
      </c>
      <c r="AE71" s="142">
        <v>0</v>
      </c>
      <c r="AF71" s="142">
        <v>0</v>
      </c>
      <c r="AG71" s="142">
        <v>0</v>
      </c>
      <c r="AH71" s="142">
        <v>0</v>
      </c>
    </row>
    <row r="72" spans="1:34" x14ac:dyDescent="0.25">
      <c r="A72" s="96">
        <v>40909</v>
      </c>
      <c r="J72" s="104">
        <f>('Co-Processing'!E74*'Co-Pro Feedstock Breakdown'!J$3*'Feedstock Conversion Rates'!B$13)/12</f>
        <v>1.25</v>
      </c>
      <c r="K72" s="104">
        <f>('Co-Processing'!E74*'Co-Pro Feedstock Breakdown'!K$3*'Feedstock Conversion Rates'!B$12)/12</f>
        <v>1.2916666666666667</v>
      </c>
      <c r="L72" s="106">
        <f t="shared" si="11"/>
        <v>2.541666666666667</v>
      </c>
      <c r="N72" s="104">
        <f t="shared" si="12"/>
        <v>1.25</v>
      </c>
      <c r="O72" s="104">
        <f t="shared" si="8"/>
        <v>1.2916666666666667</v>
      </c>
      <c r="P72" s="104"/>
      <c r="Q72" s="106">
        <f t="shared" si="13"/>
        <v>2.541666666666667</v>
      </c>
      <c r="R72" s="141">
        <f t="shared" si="14"/>
        <v>0</v>
      </c>
      <c r="T72" s="110">
        <f t="shared" si="9"/>
        <v>0.49180327868852453</v>
      </c>
      <c r="U72" s="110">
        <f t="shared" si="9"/>
        <v>0.50819672131147542</v>
      </c>
      <c r="V72" s="110">
        <f t="shared" si="9"/>
        <v>0</v>
      </c>
      <c r="W72" s="110">
        <f t="shared" si="10"/>
        <v>1</v>
      </c>
      <c r="Y72" s="142">
        <f>T72*'Co-Processing'!K74*'Feedstock Conversion Rates'!B$13</f>
        <v>1.8912282786885242</v>
      </c>
      <c r="Z72" s="142">
        <f>U72*'Co-Processing'!K74*'Feedstock Conversion Rates'!B$12</f>
        <v>2.0194115286885248</v>
      </c>
      <c r="AA72" s="142">
        <f>V72*'Co-Processing'!K74*'Feedstock Conversion Rates'!B$14</f>
        <v>0</v>
      </c>
      <c r="AB72" s="142">
        <f t="shared" si="7"/>
        <v>3.910639807377049</v>
      </c>
      <c r="AD72" s="142">
        <v>0</v>
      </c>
      <c r="AE72" s="142">
        <v>0</v>
      </c>
      <c r="AF72" s="142">
        <v>0</v>
      </c>
      <c r="AG72" s="142">
        <v>0</v>
      </c>
      <c r="AH72" s="142">
        <v>0</v>
      </c>
    </row>
    <row r="73" spans="1:34" x14ac:dyDescent="0.25">
      <c r="A73" s="96">
        <v>40940</v>
      </c>
      <c r="J73" s="104">
        <f>('Co-Processing'!E75*'Co-Pro Feedstock Breakdown'!J$3*'Feedstock Conversion Rates'!B$13)/12</f>
        <v>1.25</v>
      </c>
      <c r="K73" s="104">
        <f>('Co-Processing'!E75*'Co-Pro Feedstock Breakdown'!K$3*'Feedstock Conversion Rates'!B$12)/12</f>
        <v>1.2916666666666667</v>
      </c>
      <c r="L73" s="106">
        <f t="shared" si="11"/>
        <v>2.541666666666667</v>
      </c>
      <c r="N73" s="104">
        <f t="shared" si="12"/>
        <v>1.25</v>
      </c>
      <c r="O73" s="104">
        <f t="shared" si="8"/>
        <v>1.2916666666666667</v>
      </c>
      <c r="P73" s="104"/>
      <c r="Q73" s="106">
        <f t="shared" si="13"/>
        <v>2.541666666666667</v>
      </c>
      <c r="R73" s="141">
        <f t="shared" si="14"/>
        <v>0</v>
      </c>
      <c r="T73" s="110">
        <f t="shared" si="9"/>
        <v>0.49180327868852453</v>
      </c>
      <c r="U73" s="110">
        <f t="shared" si="9"/>
        <v>0.50819672131147542</v>
      </c>
      <c r="V73" s="110">
        <f t="shared" si="9"/>
        <v>0</v>
      </c>
      <c r="W73" s="110">
        <f t="shared" si="10"/>
        <v>1</v>
      </c>
      <c r="Y73" s="142">
        <f>T73*'Co-Processing'!K75*'Feedstock Conversion Rates'!B$13</f>
        <v>6.3548889344262278</v>
      </c>
      <c r="Z73" s="142">
        <f>U73*'Co-Processing'!K75*'Feedstock Conversion Rates'!B$12</f>
        <v>6.785609184426229</v>
      </c>
      <c r="AA73" s="142">
        <f>V73*'Co-Processing'!K75*'Feedstock Conversion Rates'!B$14</f>
        <v>0</v>
      </c>
      <c r="AB73" s="142">
        <f t="shared" si="7"/>
        <v>13.140498118852456</v>
      </c>
      <c r="AD73" s="142">
        <v>0</v>
      </c>
      <c r="AE73" s="142">
        <v>0</v>
      </c>
      <c r="AF73" s="142">
        <v>0</v>
      </c>
      <c r="AG73" s="142">
        <v>0</v>
      </c>
      <c r="AH73" s="142">
        <v>0</v>
      </c>
    </row>
    <row r="74" spans="1:34" x14ac:dyDescent="0.25">
      <c r="A74" s="96">
        <v>40969</v>
      </c>
      <c r="J74" s="104">
        <f>('Co-Processing'!E76*'Co-Pro Feedstock Breakdown'!J$3*'Feedstock Conversion Rates'!B$13)/12</f>
        <v>1.25</v>
      </c>
      <c r="K74" s="104">
        <f>('Co-Processing'!E76*'Co-Pro Feedstock Breakdown'!K$3*'Feedstock Conversion Rates'!B$12)/12</f>
        <v>1.2916666666666667</v>
      </c>
      <c r="L74" s="106">
        <f t="shared" si="11"/>
        <v>2.541666666666667</v>
      </c>
      <c r="N74" s="104">
        <f t="shared" si="12"/>
        <v>1.25</v>
      </c>
      <c r="O74" s="104">
        <f t="shared" si="8"/>
        <v>1.2916666666666667</v>
      </c>
      <c r="P74" s="104"/>
      <c r="Q74" s="106">
        <f t="shared" si="13"/>
        <v>2.541666666666667</v>
      </c>
      <c r="R74" s="141">
        <f t="shared" si="14"/>
        <v>0</v>
      </c>
      <c r="T74" s="110">
        <f t="shared" si="9"/>
        <v>0.49180327868852453</v>
      </c>
      <c r="U74" s="110">
        <f t="shared" si="9"/>
        <v>0.50819672131147542</v>
      </c>
      <c r="V74" s="110">
        <f t="shared" si="9"/>
        <v>0</v>
      </c>
      <c r="W74" s="110">
        <f t="shared" si="10"/>
        <v>1</v>
      </c>
      <c r="Y74" s="142">
        <f>T74*'Co-Processing'!K76*'Feedstock Conversion Rates'!B$13</f>
        <v>2.3964860655737699</v>
      </c>
      <c r="Z74" s="142">
        <f>U74*'Co-Processing'!K76*'Feedstock Conversion Rates'!B$12</f>
        <v>2.5589145655737706</v>
      </c>
      <c r="AA74" s="142">
        <f>V74*'Co-Processing'!K76*'Feedstock Conversion Rates'!B$14</f>
        <v>0</v>
      </c>
      <c r="AB74" s="142">
        <f t="shared" si="7"/>
        <v>4.9554006311475405</v>
      </c>
      <c r="AD74" s="142">
        <v>0</v>
      </c>
      <c r="AE74" s="142">
        <v>0</v>
      </c>
      <c r="AF74" s="142">
        <v>0</v>
      </c>
      <c r="AG74" s="142">
        <v>0</v>
      </c>
      <c r="AH74" s="142">
        <v>0</v>
      </c>
    </row>
    <row r="75" spans="1:34" x14ac:dyDescent="0.25">
      <c r="A75" s="96">
        <v>41000</v>
      </c>
      <c r="J75" s="104">
        <f>('Co-Processing'!E77*'Co-Pro Feedstock Breakdown'!J$3*'Feedstock Conversion Rates'!B$13)/12</f>
        <v>1.25</v>
      </c>
      <c r="K75" s="104">
        <f>('Co-Processing'!E77*'Co-Pro Feedstock Breakdown'!K$3*'Feedstock Conversion Rates'!B$12)/12</f>
        <v>1.2916666666666667</v>
      </c>
      <c r="L75" s="106">
        <f t="shared" si="11"/>
        <v>2.541666666666667</v>
      </c>
      <c r="N75" s="104">
        <f t="shared" si="12"/>
        <v>1.25</v>
      </c>
      <c r="O75" s="104">
        <f t="shared" si="8"/>
        <v>1.2916666666666667</v>
      </c>
      <c r="P75" s="104"/>
      <c r="Q75" s="106">
        <f t="shared" si="13"/>
        <v>2.541666666666667</v>
      </c>
      <c r="R75" s="141">
        <f t="shared" si="14"/>
        <v>0</v>
      </c>
      <c r="T75" s="110">
        <f t="shared" si="9"/>
        <v>0.49180327868852453</v>
      </c>
      <c r="U75" s="110">
        <f t="shared" si="9"/>
        <v>0.50819672131147542</v>
      </c>
      <c r="V75" s="110">
        <f t="shared" si="9"/>
        <v>0</v>
      </c>
      <c r="W75" s="110">
        <f t="shared" si="10"/>
        <v>1</v>
      </c>
      <c r="Y75" s="142">
        <f>T75*'Co-Processing'!K77*'Feedstock Conversion Rates'!B$13</f>
        <v>1.3658680327868851</v>
      </c>
      <c r="Z75" s="142">
        <f>U75*'Co-Processing'!K77*'Feedstock Conversion Rates'!B$12</f>
        <v>1.4584435327868854</v>
      </c>
      <c r="AA75" s="142">
        <f>V75*'Co-Processing'!K77*'Feedstock Conversion Rates'!B$14</f>
        <v>0</v>
      </c>
      <c r="AB75" s="142">
        <f t="shared" si="7"/>
        <v>2.8243115655737707</v>
      </c>
      <c r="AD75" s="142">
        <v>0</v>
      </c>
      <c r="AE75" s="142">
        <v>0</v>
      </c>
      <c r="AF75" s="142">
        <v>0</v>
      </c>
      <c r="AG75" s="142">
        <v>0</v>
      </c>
      <c r="AH75" s="142">
        <v>0</v>
      </c>
    </row>
    <row r="76" spans="1:34" x14ac:dyDescent="0.25">
      <c r="A76" s="96">
        <v>41030</v>
      </c>
      <c r="J76" s="104">
        <f>('Co-Processing'!E78*'Co-Pro Feedstock Breakdown'!J$3*'Feedstock Conversion Rates'!B$13)/12</f>
        <v>1.25</v>
      </c>
      <c r="K76" s="104">
        <f>('Co-Processing'!E78*'Co-Pro Feedstock Breakdown'!K$3*'Feedstock Conversion Rates'!B$12)/12</f>
        <v>1.2916666666666667</v>
      </c>
      <c r="L76" s="106">
        <f t="shared" si="11"/>
        <v>2.541666666666667</v>
      </c>
      <c r="N76" s="104">
        <f t="shared" si="12"/>
        <v>1.25</v>
      </c>
      <c r="O76" s="104">
        <f t="shared" si="8"/>
        <v>1.2916666666666667</v>
      </c>
      <c r="P76" s="104"/>
      <c r="Q76" s="106">
        <f t="shared" si="13"/>
        <v>2.541666666666667</v>
      </c>
      <c r="R76" s="141">
        <f t="shared" si="14"/>
        <v>0</v>
      </c>
      <c r="T76" s="110">
        <f t="shared" si="9"/>
        <v>0.49180327868852453</v>
      </c>
      <c r="U76" s="110">
        <f t="shared" si="9"/>
        <v>0.50819672131147542</v>
      </c>
      <c r="V76" s="110">
        <f t="shared" si="9"/>
        <v>0</v>
      </c>
      <c r="W76" s="110">
        <f t="shared" si="10"/>
        <v>1</v>
      </c>
      <c r="Y76" s="142">
        <f>T76*'Co-Processing'!K78*'Feedstock Conversion Rates'!B$13</f>
        <v>1.5067696721311472</v>
      </c>
      <c r="Z76" s="142">
        <f>U76*'Co-Processing'!K78*'Feedstock Conversion Rates'!B$12</f>
        <v>1.6088951721311475</v>
      </c>
      <c r="AA76" s="142">
        <f>V76*'Co-Processing'!K78*'Feedstock Conversion Rates'!B$14</f>
        <v>0</v>
      </c>
      <c r="AB76" s="142">
        <f t="shared" si="7"/>
        <v>3.1156648442622945</v>
      </c>
      <c r="AD76" s="142">
        <v>0</v>
      </c>
      <c r="AE76" s="142">
        <v>0</v>
      </c>
      <c r="AF76" s="142">
        <v>0</v>
      </c>
      <c r="AG76" s="142">
        <v>0</v>
      </c>
      <c r="AH76" s="142">
        <v>0</v>
      </c>
    </row>
    <row r="77" spans="1:34" x14ac:dyDescent="0.25">
      <c r="A77" s="96">
        <v>41061</v>
      </c>
      <c r="J77" s="104">
        <f>('Co-Processing'!E79*'Co-Pro Feedstock Breakdown'!J$3*'Feedstock Conversion Rates'!B$13)/12</f>
        <v>1.25</v>
      </c>
      <c r="K77" s="104">
        <f>('Co-Processing'!E79*'Co-Pro Feedstock Breakdown'!K$3*'Feedstock Conversion Rates'!B$12)/12</f>
        <v>1.2916666666666667</v>
      </c>
      <c r="L77" s="106">
        <f t="shared" si="11"/>
        <v>2.541666666666667</v>
      </c>
      <c r="N77" s="104">
        <f t="shared" si="12"/>
        <v>1.25</v>
      </c>
      <c r="O77" s="104">
        <f t="shared" si="8"/>
        <v>1.2916666666666667</v>
      </c>
      <c r="P77" s="104"/>
      <c r="Q77" s="106">
        <f t="shared" si="13"/>
        <v>2.541666666666667</v>
      </c>
      <c r="R77" s="141">
        <f t="shared" si="14"/>
        <v>0</v>
      </c>
      <c r="T77" s="110">
        <f t="shared" si="9"/>
        <v>0.49180327868852453</v>
      </c>
      <c r="U77" s="110">
        <f t="shared" si="9"/>
        <v>0.50819672131147542</v>
      </c>
      <c r="V77" s="110">
        <f t="shared" si="9"/>
        <v>0</v>
      </c>
      <c r="W77" s="110">
        <f t="shared" si="10"/>
        <v>1</v>
      </c>
      <c r="Y77" s="142">
        <f>T77*'Co-Processing'!K79*'Feedstock Conversion Rates'!B$13</f>
        <v>1.8827483606557376</v>
      </c>
      <c r="Z77" s="142">
        <f>U77*'Co-Processing'!K79*'Feedstock Conversion Rates'!B$12</f>
        <v>2.010356860655738</v>
      </c>
      <c r="AA77" s="142">
        <f>V77*'Co-Processing'!K79*'Feedstock Conversion Rates'!B$14</f>
        <v>0</v>
      </c>
      <c r="AB77" s="142">
        <f t="shared" si="7"/>
        <v>3.8931052213114756</v>
      </c>
      <c r="AD77" s="142">
        <v>0</v>
      </c>
      <c r="AE77" s="142">
        <v>0</v>
      </c>
      <c r="AF77" s="142">
        <v>0</v>
      </c>
      <c r="AG77" s="142">
        <v>0</v>
      </c>
      <c r="AH77" s="142">
        <v>0</v>
      </c>
    </row>
    <row r="78" spans="1:34" x14ac:dyDescent="0.25">
      <c r="A78" s="96">
        <v>41091</v>
      </c>
      <c r="J78" s="104">
        <f>('Co-Processing'!E80*'Co-Pro Feedstock Breakdown'!J$3*'Feedstock Conversion Rates'!B$13)/12</f>
        <v>1.25</v>
      </c>
      <c r="K78" s="104">
        <f>('Co-Processing'!E80*'Co-Pro Feedstock Breakdown'!K$3*'Feedstock Conversion Rates'!B$12)/12</f>
        <v>1.2916666666666667</v>
      </c>
      <c r="L78" s="106">
        <f t="shared" si="11"/>
        <v>2.541666666666667</v>
      </c>
      <c r="N78" s="104">
        <f t="shared" si="12"/>
        <v>1.25</v>
      </c>
      <c r="O78" s="104">
        <f t="shared" si="8"/>
        <v>1.2916666666666667</v>
      </c>
      <c r="P78" s="104"/>
      <c r="Q78" s="106">
        <f t="shared" si="13"/>
        <v>2.541666666666667</v>
      </c>
      <c r="R78" s="141">
        <f t="shared" si="14"/>
        <v>0</v>
      </c>
      <c r="T78" s="110">
        <f t="shared" si="9"/>
        <v>0.49180327868852453</v>
      </c>
      <c r="U78" s="110">
        <f t="shared" si="9"/>
        <v>0.50819672131147542</v>
      </c>
      <c r="V78" s="110">
        <f t="shared" si="9"/>
        <v>0</v>
      </c>
      <c r="W78" s="110">
        <f t="shared" si="10"/>
        <v>1</v>
      </c>
      <c r="Y78" s="142">
        <f>T78*'Co-Processing'!K80*'Feedstock Conversion Rates'!B$13</f>
        <v>2.0451172131147537</v>
      </c>
      <c r="Z78" s="142">
        <f>U78*'Co-Processing'!K80*'Feedstock Conversion Rates'!B$12</f>
        <v>2.1837307131147541</v>
      </c>
      <c r="AA78" s="142">
        <f>V78*'Co-Processing'!K80*'Feedstock Conversion Rates'!B$14</f>
        <v>0</v>
      </c>
      <c r="AB78" s="142">
        <f t="shared" si="7"/>
        <v>4.2288479262295073</v>
      </c>
      <c r="AD78" s="142">
        <v>0</v>
      </c>
      <c r="AE78" s="142">
        <v>0</v>
      </c>
      <c r="AF78" s="142">
        <v>0</v>
      </c>
      <c r="AG78" s="142">
        <v>0</v>
      </c>
      <c r="AH78" s="142">
        <v>0</v>
      </c>
    </row>
    <row r="79" spans="1:34" x14ac:dyDescent="0.25">
      <c r="A79" s="96">
        <v>41122</v>
      </c>
      <c r="J79" s="104">
        <f>('Co-Processing'!E81*'Co-Pro Feedstock Breakdown'!J$3*'Feedstock Conversion Rates'!B$13)/12</f>
        <v>1.25</v>
      </c>
      <c r="K79" s="104">
        <f>('Co-Processing'!E81*'Co-Pro Feedstock Breakdown'!K$3*'Feedstock Conversion Rates'!B$12)/12</f>
        <v>1.2916666666666667</v>
      </c>
      <c r="L79" s="106">
        <f t="shared" si="11"/>
        <v>2.541666666666667</v>
      </c>
      <c r="N79" s="104">
        <f t="shared" si="12"/>
        <v>1.25</v>
      </c>
      <c r="O79" s="104">
        <f t="shared" si="8"/>
        <v>1.2916666666666667</v>
      </c>
      <c r="P79" s="104"/>
      <c r="Q79" s="106">
        <f t="shared" si="13"/>
        <v>2.541666666666667</v>
      </c>
      <c r="R79" s="141">
        <f t="shared" si="14"/>
        <v>0</v>
      </c>
      <c r="T79" s="110">
        <f t="shared" si="9"/>
        <v>0.49180327868852453</v>
      </c>
      <c r="U79" s="110">
        <f t="shared" si="9"/>
        <v>0.50819672131147542</v>
      </c>
      <c r="V79" s="110">
        <f t="shared" si="9"/>
        <v>0</v>
      </c>
      <c r="W79" s="110">
        <f t="shared" si="10"/>
        <v>1</v>
      </c>
      <c r="Y79" s="142">
        <f>T79*'Co-Processing'!K81*'Feedstock Conversion Rates'!B$13</f>
        <v>4.5499721311475403</v>
      </c>
      <c r="Z79" s="142">
        <f>U79*'Co-Processing'!K81*'Feedstock Conversion Rates'!B$12</f>
        <v>4.8583591311475409</v>
      </c>
      <c r="AA79" s="142">
        <f>V79*'Co-Processing'!K81*'Feedstock Conversion Rates'!B$14</f>
        <v>0</v>
      </c>
      <c r="AB79" s="142">
        <f t="shared" si="7"/>
        <v>9.4083312622950821</v>
      </c>
      <c r="AD79" s="142">
        <v>0</v>
      </c>
      <c r="AE79" s="142">
        <v>0</v>
      </c>
      <c r="AF79" s="142">
        <v>0</v>
      </c>
      <c r="AG79" s="142">
        <v>0</v>
      </c>
      <c r="AH79" s="142">
        <v>0</v>
      </c>
    </row>
    <row r="80" spans="1:34" x14ac:dyDescent="0.25">
      <c r="A80" s="96">
        <v>41153</v>
      </c>
      <c r="J80" s="104">
        <f>('Co-Processing'!E82*'Co-Pro Feedstock Breakdown'!J$3*'Feedstock Conversion Rates'!B$13)/12</f>
        <v>1.25</v>
      </c>
      <c r="K80" s="104">
        <f>('Co-Processing'!E82*'Co-Pro Feedstock Breakdown'!K$3*'Feedstock Conversion Rates'!B$12)/12</f>
        <v>1.2916666666666667</v>
      </c>
      <c r="L80" s="106">
        <f t="shared" si="11"/>
        <v>2.541666666666667</v>
      </c>
      <c r="N80" s="104">
        <f t="shared" si="12"/>
        <v>1.25</v>
      </c>
      <c r="O80" s="104">
        <f t="shared" si="8"/>
        <v>1.2916666666666667</v>
      </c>
      <c r="P80" s="104"/>
      <c r="Q80" s="106">
        <f t="shared" si="13"/>
        <v>2.541666666666667</v>
      </c>
      <c r="R80" s="141">
        <f t="shared" si="14"/>
        <v>0</v>
      </c>
      <c r="T80" s="110">
        <f t="shared" si="9"/>
        <v>0.49180327868852453</v>
      </c>
      <c r="U80" s="110">
        <f t="shared" si="9"/>
        <v>0.50819672131147542</v>
      </c>
      <c r="V80" s="110">
        <f t="shared" si="9"/>
        <v>0</v>
      </c>
      <c r="W80" s="110">
        <f t="shared" si="10"/>
        <v>1</v>
      </c>
      <c r="Y80" s="142">
        <f>T80*'Co-Processing'!K82*'Feedstock Conversion Rates'!B$13</f>
        <v>3.8365266393442616</v>
      </c>
      <c r="Z80" s="142">
        <f>U80*'Co-Processing'!K82*'Feedstock Conversion Rates'!B$12</f>
        <v>4.0965578893442629</v>
      </c>
      <c r="AA80" s="142">
        <f>V80*'Co-Processing'!K82*'Feedstock Conversion Rates'!B$14</f>
        <v>0</v>
      </c>
      <c r="AB80" s="142">
        <f t="shared" si="7"/>
        <v>7.933084528688525</v>
      </c>
      <c r="AD80" s="142">
        <v>0</v>
      </c>
      <c r="AE80" s="142">
        <v>0</v>
      </c>
      <c r="AF80" s="142">
        <v>0</v>
      </c>
      <c r="AG80" s="142">
        <v>0</v>
      </c>
      <c r="AH80" s="142">
        <v>0</v>
      </c>
    </row>
    <row r="81" spans="1:34" x14ac:dyDescent="0.25">
      <c r="A81" s="96">
        <v>41183</v>
      </c>
      <c r="J81" s="104">
        <f>('Co-Processing'!E83*'Co-Pro Feedstock Breakdown'!J$3*'Feedstock Conversion Rates'!B$13)/12</f>
        <v>1.25</v>
      </c>
      <c r="K81" s="104">
        <f>('Co-Processing'!E83*'Co-Pro Feedstock Breakdown'!K$3*'Feedstock Conversion Rates'!B$12)/12</f>
        <v>1.2916666666666667</v>
      </c>
      <c r="L81" s="106">
        <f t="shared" si="11"/>
        <v>2.541666666666667</v>
      </c>
      <c r="N81" s="104">
        <f t="shared" si="12"/>
        <v>1.25</v>
      </c>
      <c r="O81" s="104">
        <f t="shared" si="8"/>
        <v>1.2916666666666667</v>
      </c>
      <c r="P81" s="104"/>
      <c r="Q81" s="106">
        <f t="shared" si="13"/>
        <v>2.541666666666667</v>
      </c>
      <c r="R81" s="141">
        <f t="shared" si="14"/>
        <v>0</v>
      </c>
      <c r="T81" s="110">
        <f t="shared" si="9"/>
        <v>0.49180327868852453</v>
      </c>
      <c r="U81" s="110">
        <f t="shared" si="9"/>
        <v>0.50819672131147542</v>
      </c>
      <c r="V81" s="110">
        <f t="shared" si="9"/>
        <v>0</v>
      </c>
      <c r="W81" s="110">
        <f t="shared" si="10"/>
        <v>1</v>
      </c>
      <c r="Y81" s="142">
        <f>T81*'Co-Processing'!K83*'Feedstock Conversion Rates'!B$13</f>
        <v>4.1290819672131143</v>
      </c>
      <c r="Z81" s="142">
        <f>U81*'Co-Processing'!K83*'Feedstock Conversion Rates'!B$12</f>
        <v>4.4089419672131154</v>
      </c>
      <c r="AA81" s="142">
        <f>V81*'Co-Processing'!K83*'Feedstock Conversion Rates'!B$14</f>
        <v>0</v>
      </c>
      <c r="AB81" s="142">
        <f t="shared" si="7"/>
        <v>8.5380239344262296</v>
      </c>
      <c r="AD81" s="142">
        <v>0</v>
      </c>
      <c r="AE81" s="142">
        <v>0</v>
      </c>
      <c r="AF81" s="142">
        <v>0</v>
      </c>
      <c r="AG81" s="142">
        <v>0</v>
      </c>
      <c r="AH81" s="142">
        <v>0</v>
      </c>
    </row>
    <row r="82" spans="1:34" x14ac:dyDescent="0.25">
      <c r="A82" s="96">
        <v>41214</v>
      </c>
      <c r="J82" s="104">
        <f>('Co-Processing'!E84*'Co-Pro Feedstock Breakdown'!J$3*'Feedstock Conversion Rates'!B$13)/12</f>
        <v>1.25</v>
      </c>
      <c r="K82" s="104">
        <f>('Co-Processing'!E84*'Co-Pro Feedstock Breakdown'!K$3*'Feedstock Conversion Rates'!B$12)/12</f>
        <v>1.2916666666666667</v>
      </c>
      <c r="L82" s="106">
        <f t="shared" si="11"/>
        <v>2.541666666666667</v>
      </c>
      <c r="N82" s="104">
        <f t="shared" si="12"/>
        <v>1.25</v>
      </c>
      <c r="O82" s="104">
        <f t="shared" si="8"/>
        <v>1.2916666666666667</v>
      </c>
      <c r="P82" s="104"/>
      <c r="Q82" s="106">
        <f t="shared" si="13"/>
        <v>2.541666666666667</v>
      </c>
      <c r="R82" s="141">
        <f t="shared" si="14"/>
        <v>0</v>
      </c>
      <c r="T82" s="110">
        <f t="shared" si="9"/>
        <v>0.49180327868852453</v>
      </c>
      <c r="U82" s="110">
        <f t="shared" si="9"/>
        <v>0.50819672131147542</v>
      </c>
      <c r="V82" s="110">
        <f t="shared" si="9"/>
        <v>0</v>
      </c>
      <c r="W82" s="110">
        <f t="shared" si="10"/>
        <v>1</v>
      </c>
      <c r="Y82" s="142">
        <f>T82*'Co-Processing'!K84*'Feedstock Conversion Rates'!B$13</f>
        <v>7.0270745901639344</v>
      </c>
      <c r="Z82" s="142">
        <f>U82*'Co-Processing'!K84*'Feedstock Conversion Rates'!B$12</f>
        <v>7.5033540901639357</v>
      </c>
      <c r="AA82" s="142">
        <f>V82*'Co-Processing'!K84*'Feedstock Conversion Rates'!B$14</f>
        <v>0</v>
      </c>
      <c r="AB82" s="142">
        <f t="shared" si="7"/>
        <v>14.530428680327869</v>
      </c>
      <c r="AD82" s="142">
        <v>0</v>
      </c>
      <c r="AE82" s="142">
        <v>0</v>
      </c>
      <c r="AF82" s="142">
        <v>0</v>
      </c>
      <c r="AG82" s="142">
        <v>0</v>
      </c>
      <c r="AH82" s="142">
        <v>0</v>
      </c>
    </row>
    <row r="83" spans="1:34" x14ac:dyDescent="0.25">
      <c r="A83" s="96">
        <v>41244</v>
      </c>
      <c r="J83" s="104">
        <f>('Co-Processing'!E85*'Co-Pro Feedstock Breakdown'!J$3*'Feedstock Conversion Rates'!B$13)/12</f>
        <v>1.25</v>
      </c>
      <c r="K83" s="104">
        <f>('Co-Processing'!E85*'Co-Pro Feedstock Breakdown'!K$3*'Feedstock Conversion Rates'!B$12)/12</f>
        <v>1.2916666666666667</v>
      </c>
      <c r="L83" s="106">
        <f t="shared" si="11"/>
        <v>2.541666666666667</v>
      </c>
      <c r="N83" s="104">
        <f t="shared" si="12"/>
        <v>1.25</v>
      </c>
      <c r="O83" s="104">
        <f t="shared" si="8"/>
        <v>1.2916666666666667</v>
      </c>
      <c r="P83" s="104"/>
      <c r="Q83" s="106">
        <f t="shared" si="13"/>
        <v>2.541666666666667</v>
      </c>
      <c r="R83" s="141">
        <f t="shared" si="14"/>
        <v>0</v>
      </c>
      <c r="T83" s="110">
        <f t="shared" si="9"/>
        <v>0.49180327868852453</v>
      </c>
      <c r="U83" s="110">
        <f t="shared" si="9"/>
        <v>0.50819672131147542</v>
      </c>
      <c r="V83" s="110">
        <f t="shared" si="9"/>
        <v>0</v>
      </c>
      <c r="W83" s="110">
        <f t="shared" si="10"/>
        <v>1</v>
      </c>
      <c r="Y83" s="142">
        <f>T83*'Co-Processing'!K85*'Feedstock Conversion Rates'!B$13</f>
        <v>8.0349602459016385</v>
      </c>
      <c r="Z83" s="142">
        <f>U83*'Co-Processing'!K85*'Feedstock Conversion Rates'!B$12</f>
        <v>8.5795519959016389</v>
      </c>
      <c r="AA83" s="142">
        <f>V83*'Co-Processing'!K85*'Feedstock Conversion Rates'!B$14</f>
        <v>0</v>
      </c>
      <c r="AB83" s="142">
        <f t="shared" si="7"/>
        <v>16.614512241803276</v>
      </c>
      <c r="AD83" s="142">
        <v>0</v>
      </c>
      <c r="AE83" s="142">
        <v>0</v>
      </c>
      <c r="AF83" s="142">
        <v>0</v>
      </c>
      <c r="AG83" s="142">
        <v>0</v>
      </c>
      <c r="AH83" s="142">
        <v>0</v>
      </c>
    </row>
    <row r="84" spans="1:34" x14ac:dyDescent="0.25">
      <c r="A84" s="96">
        <v>41275</v>
      </c>
      <c r="J84" s="104">
        <f>('Co-Processing'!E86*'Co-Pro Feedstock Breakdown'!J$3*'Feedstock Conversion Rates'!B$13)/12</f>
        <v>1.25</v>
      </c>
      <c r="K84" s="104">
        <f>('Co-Processing'!E86*'Co-Pro Feedstock Breakdown'!K$3*'Feedstock Conversion Rates'!B$12)/12</f>
        <v>1.2916666666666667</v>
      </c>
      <c r="L84" s="106">
        <f t="shared" si="11"/>
        <v>2.541666666666667</v>
      </c>
      <c r="N84" s="104">
        <f t="shared" si="12"/>
        <v>1.25</v>
      </c>
      <c r="O84" s="104">
        <f t="shared" si="8"/>
        <v>1.2916666666666667</v>
      </c>
      <c r="P84" s="104"/>
      <c r="Q84" s="106">
        <f t="shared" si="13"/>
        <v>2.541666666666667</v>
      </c>
      <c r="R84" s="141">
        <f t="shared" si="14"/>
        <v>0</v>
      </c>
      <c r="T84" s="110">
        <f t="shared" si="9"/>
        <v>0.49180327868852453</v>
      </c>
      <c r="U84" s="110">
        <f t="shared" si="9"/>
        <v>0.50819672131147542</v>
      </c>
      <c r="V84" s="110">
        <f t="shared" si="9"/>
        <v>0</v>
      </c>
      <c r="W84" s="110">
        <f t="shared" si="10"/>
        <v>1</v>
      </c>
      <c r="Y84" s="142">
        <f>T84*'Co-Processing'!K86*'Feedstock Conversion Rates'!B$13</f>
        <v>1.4893450819672127</v>
      </c>
      <c r="Z84" s="142">
        <f>U84*'Co-Processing'!K86*'Feedstock Conversion Rates'!B$12</f>
        <v>1.5902895819672129</v>
      </c>
      <c r="AA84" s="142">
        <f>V84*'Co-Processing'!K86*'Feedstock Conversion Rates'!B$14</f>
        <v>0</v>
      </c>
      <c r="AB84" s="142">
        <f t="shared" si="7"/>
        <v>3.0796346639344256</v>
      </c>
      <c r="AD84" s="142">
        <v>0</v>
      </c>
      <c r="AE84" s="142">
        <v>0</v>
      </c>
      <c r="AF84" s="142">
        <v>0</v>
      </c>
      <c r="AG84" s="142">
        <v>0</v>
      </c>
      <c r="AH84" s="142">
        <v>0</v>
      </c>
    </row>
    <row r="85" spans="1:34" x14ac:dyDescent="0.25">
      <c r="A85" s="96">
        <v>41306</v>
      </c>
      <c r="J85" s="104">
        <f>('Co-Processing'!E87*'Co-Pro Feedstock Breakdown'!J$3*'Feedstock Conversion Rates'!B$13)/12</f>
        <v>1.25</v>
      </c>
      <c r="K85" s="104">
        <f>('Co-Processing'!E87*'Co-Pro Feedstock Breakdown'!K$3*'Feedstock Conversion Rates'!B$12)/12</f>
        <v>1.2916666666666667</v>
      </c>
      <c r="L85" s="106">
        <f t="shared" si="11"/>
        <v>2.541666666666667</v>
      </c>
      <c r="N85" s="104">
        <f t="shared" si="12"/>
        <v>1.25</v>
      </c>
      <c r="O85" s="104">
        <f t="shared" si="8"/>
        <v>1.2916666666666667</v>
      </c>
      <c r="P85" s="104"/>
      <c r="Q85" s="106">
        <f t="shared" si="13"/>
        <v>2.541666666666667</v>
      </c>
      <c r="R85" s="141">
        <f t="shared" si="14"/>
        <v>0</v>
      </c>
      <c r="T85" s="110">
        <f t="shared" si="9"/>
        <v>0.49180327868852453</v>
      </c>
      <c r="U85" s="110">
        <f t="shared" si="9"/>
        <v>0.50819672131147542</v>
      </c>
      <c r="V85" s="110">
        <f t="shared" si="9"/>
        <v>0</v>
      </c>
      <c r="W85" s="110">
        <f t="shared" si="10"/>
        <v>1</v>
      </c>
      <c r="Y85" s="142">
        <f>T85*'Co-Processing'!K87*'Feedstock Conversion Rates'!B$13</f>
        <v>2.1508524590163929</v>
      </c>
      <c r="Z85" s="142">
        <f>U85*'Co-Processing'!K87*'Feedstock Conversion Rates'!B$12</f>
        <v>2.2966324590163936</v>
      </c>
      <c r="AA85" s="142">
        <f>V85*'Co-Processing'!K87*'Feedstock Conversion Rates'!B$14</f>
        <v>0</v>
      </c>
      <c r="AB85" s="142">
        <f t="shared" si="7"/>
        <v>4.4474849180327869</v>
      </c>
      <c r="AD85" s="142">
        <v>0</v>
      </c>
      <c r="AE85" s="142">
        <v>0</v>
      </c>
      <c r="AF85" s="142">
        <v>0</v>
      </c>
      <c r="AG85" s="142">
        <v>0</v>
      </c>
      <c r="AH85" s="142">
        <v>0</v>
      </c>
    </row>
    <row r="86" spans="1:34" x14ac:dyDescent="0.25">
      <c r="A86" s="96">
        <v>41334</v>
      </c>
      <c r="J86" s="104">
        <f>('Co-Processing'!E88*'Co-Pro Feedstock Breakdown'!J$3*'Feedstock Conversion Rates'!B$13)/12</f>
        <v>1.25</v>
      </c>
      <c r="K86" s="104">
        <f>('Co-Processing'!E88*'Co-Pro Feedstock Breakdown'!K$3*'Feedstock Conversion Rates'!B$12)/12</f>
        <v>1.2916666666666667</v>
      </c>
      <c r="L86" s="106">
        <f t="shared" si="11"/>
        <v>2.541666666666667</v>
      </c>
      <c r="N86" s="104">
        <f t="shared" si="12"/>
        <v>1.25</v>
      </c>
      <c r="O86" s="104">
        <f t="shared" si="8"/>
        <v>1.2916666666666667</v>
      </c>
      <c r="P86" s="104"/>
      <c r="Q86" s="106">
        <f t="shared" si="13"/>
        <v>2.541666666666667</v>
      </c>
      <c r="R86" s="141">
        <f t="shared" si="14"/>
        <v>0</v>
      </c>
      <c r="T86" s="110">
        <f t="shared" si="9"/>
        <v>0.49180327868852453</v>
      </c>
      <c r="U86" s="110">
        <f t="shared" si="9"/>
        <v>0.50819672131147542</v>
      </c>
      <c r="V86" s="110">
        <f t="shared" si="9"/>
        <v>0</v>
      </c>
      <c r="W86" s="110">
        <f t="shared" si="10"/>
        <v>1</v>
      </c>
      <c r="Y86" s="142">
        <f>T86*'Co-Processing'!K88*'Feedstock Conversion Rates'!B$13</f>
        <v>2.5615549180327863</v>
      </c>
      <c r="Z86" s="142">
        <f>U86*'Co-Processing'!K88*'Feedstock Conversion Rates'!B$12</f>
        <v>2.7351714180327868</v>
      </c>
      <c r="AA86" s="142">
        <f>V86*'Co-Processing'!K88*'Feedstock Conversion Rates'!B$14</f>
        <v>0</v>
      </c>
      <c r="AB86" s="142">
        <f t="shared" si="7"/>
        <v>5.2967263360655732</v>
      </c>
      <c r="AD86" s="142">
        <v>0</v>
      </c>
      <c r="AE86" s="142">
        <v>0</v>
      </c>
      <c r="AF86" s="142">
        <v>0</v>
      </c>
      <c r="AG86" s="142">
        <v>0</v>
      </c>
      <c r="AH86" s="142">
        <v>0</v>
      </c>
    </row>
    <row r="87" spans="1:34" x14ac:dyDescent="0.25">
      <c r="A87" s="96">
        <v>41365</v>
      </c>
      <c r="J87" s="104">
        <f>('Co-Processing'!E89*'Co-Pro Feedstock Breakdown'!J$3*'Feedstock Conversion Rates'!B$13)/12</f>
        <v>1.25</v>
      </c>
      <c r="K87" s="104">
        <f>('Co-Processing'!E89*'Co-Pro Feedstock Breakdown'!K$3*'Feedstock Conversion Rates'!B$12)/12</f>
        <v>1.2916666666666667</v>
      </c>
      <c r="L87" s="106">
        <f t="shared" si="11"/>
        <v>2.541666666666667</v>
      </c>
      <c r="N87" s="104">
        <f t="shared" si="12"/>
        <v>1.25</v>
      </c>
      <c r="O87" s="104">
        <f t="shared" si="8"/>
        <v>1.2916666666666667</v>
      </c>
      <c r="P87" s="104"/>
      <c r="Q87" s="106">
        <f t="shared" si="13"/>
        <v>2.541666666666667</v>
      </c>
      <c r="R87" s="141">
        <f t="shared" si="14"/>
        <v>0</v>
      </c>
      <c r="T87" s="110">
        <f t="shared" si="9"/>
        <v>0.49180327868852453</v>
      </c>
      <c r="U87" s="110">
        <f t="shared" si="9"/>
        <v>0.50819672131147542</v>
      </c>
      <c r="V87" s="110">
        <f t="shared" si="9"/>
        <v>0</v>
      </c>
      <c r="W87" s="110">
        <f t="shared" si="10"/>
        <v>1</v>
      </c>
      <c r="Y87" s="142">
        <f>T87*'Co-Processing'!K89*'Feedstock Conversion Rates'!B$13</f>
        <v>2.3975262295081965</v>
      </c>
      <c r="Z87" s="142">
        <f>U87*'Co-Processing'!K89*'Feedstock Conversion Rates'!B$12</f>
        <v>2.5600252295081969</v>
      </c>
      <c r="AA87" s="142">
        <f>V87*'Co-Processing'!K89*'Feedstock Conversion Rates'!B$14</f>
        <v>0</v>
      </c>
      <c r="AB87" s="142">
        <f t="shared" si="7"/>
        <v>4.9575514590163934</v>
      </c>
      <c r="AD87" s="142">
        <v>0</v>
      </c>
      <c r="AE87" s="142">
        <v>0</v>
      </c>
      <c r="AF87" s="142">
        <v>0</v>
      </c>
      <c r="AG87" s="142">
        <v>0</v>
      </c>
      <c r="AH87" s="142">
        <v>0</v>
      </c>
    </row>
    <row r="88" spans="1:34" x14ac:dyDescent="0.25">
      <c r="A88" s="96">
        <v>41395</v>
      </c>
      <c r="J88" s="104">
        <f>('Co-Processing'!E90*'Co-Pro Feedstock Breakdown'!J$3*'Feedstock Conversion Rates'!B$13)/12</f>
        <v>1.25</v>
      </c>
      <c r="K88" s="104">
        <f>('Co-Processing'!E90*'Co-Pro Feedstock Breakdown'!K$3*'Feedstock Conversion Rates'!B$12)/12</f>
        <v>1.2916666666666667</v>
      </c>
      <c r="L88" s="106">
        <f t="shared" si="11"/>
        <v>2.541666666666667</v>
      </c>
      <c r="N88" s="104">
        <f t="shared" si="12"/>
        <v>1.25</v>
      </c>
      <c r="O88" s="104">
        <f t="shared" si="8"/>
        <v>1.2916666666666667</v>
      </c>
      <c r="P88" s="104"/>
      <c r="Q88" s="106">
        <f t="shared" si="13"/>
        <v>2.541666666666667</v>
      </c>
      <c r="R88" s="141">
        <f t="shared" si="14"/>
        <v>0</v>
      </c>
      <c r="T88" s="110">
        <f t="shared" si="9"/>
        <v>0.49180327868852453</v>
      </c>
      <c r="U88" s="110">
        <f t="shared" si="9"/>
        <v>0.50819672131147542</v>
      </c>
      <c r="V88" s="110">
        <f t="shared" si="9"/>
        <v>0</v>
      </c>
      <c r="W88" s="110">
        <f t="shared" si="10"/>
        <v>1</v>
      </c>
      <c r="Y88" s="142">
        <f>T88*'Co-Processing'!K90*'Feedstock Conversion Rates'!B$13</f>
        <v>6.734242622950819</v>
      </c>
      <c r="Z88" s="142">
        <f>U88*'Co-Processing'!K90*'Feedstock Conversion Rates'!B$12</f>
        <v>7.1906746229508203</v>
      </c>
      <c r="AA88" s="142">
        <f>V88*'Co-Processing'!K90*'Feedstock Conversion Rates'!B$14</f>
        <v>0</v>
      </c>
      <c r="AB88" s="142">
        <f t="shared" si="7"/>
        <v>13.924917245901639</v>
      </c>
      <c r="AD88" s="142">
        <v>0</v>
      </c>
      <c r="AE88" s="142">
        <v>0</v>
      </c>
      <c r="AF88" s="142">
        <v>0</v>
      </c>
      <c r="AG88" s="142">
        <v>0</v>
      </c>
      <c r="AH88" s="142">
        <v>0</v>
      </c>
    </row>
    <row r="89" spans="1:34" x14ac:dyDescent="0.25">
      <c r="A89" s="96">
        <v>41426</v>
      </c>
      <c r="J89" s="104">
        <f>('Co-Processing'!E91*'Co-Pro Feedstock Breakdown'!J$3*'Feedstock Conversion Rates'!B$13)/12</f>
        <v>1.25</v>
      </c>
      <c r="K89" s="104">
        <f>('Co-Processing'!E91*'Co-Pro Feedstock Breakdown'!K$3*'Feedstock Conversion Rates'!B$12)/12</f>
        <v>1.2916666666666667</v>
      </c>
      <c r="L89" s="106">
        <f t="shared" si="11"/>
        <v>2.541666666666667</v>
      </c>
      <c r="N89" s="104">
        <f t="shared" si="12"/>
        <v>1.25</v>
      </c>
      <c r="O89" s="104">
        <f t="shared" si="8"/>
        <v>1.2916666666666667</v>
      </c>
      <c r="P89" s="104"/>
      <c r="Q89" s="106">
        <f t="shared" si="13"/>
        <v>2.541666666666667</v>
      </c>
      <c r="R89" s="141">
        <f t="shared" si="14"/>
        <v>0</v>
      </c>
      <c r="T89" s="110">
        <f t="shared" si="9"/>
        <v>0.49180327868852453</v>
      </c>
      <c r="U89" s="110">
        <f t="shared" si="9"/>
        <v>0.50819672131147542</v>
      </c>
      <c r="V89" s="110">
        <f t="shared" si="9"/>
        <v>0</v>
      </c>
      <c r="W89" s="110">
        <f t="shared" si="10"/>
        <v>1</v>
      </c>
      <c r="Y89" s="142">
        <f>T89*'Co-Processing'!K91*'Feedstock Conversion Rates'!B$13</f>
        <v>20.8634606557377</v>
      </c>
      <c r="Z89" s="142">
        <f>U89*'Co-Processing'!K91*'Feedstock Conversion Rates'!B$12</f>
        <v>22.277539655737705</v>
      </c>
      <c r="AA89" s="142">
        <f>V89*'Co-Processing'!K91*'Feedstock Conversion Rates'!B$14</f>
        <v>0</v>
      </c>
      <c r="AB89" s="142">
        <f t="shared" si="7"/>
        <v>43.141000311475409</v>
      </c>
      <c r="AD89" s="142">
        <v>0</v>
      </c>
      <c r="AE89" s="142">
        <v>0</v>
      </c>
      <c r="AF89" s="142">
        <v>0</v>
      </c>
      <c r="AG89" s="142">
        <v>0</v>
      </c>
      <c r="AH89" s="142">
        <v>0</v>
      </c>
    </row>
    <row r="90" spans="1:34" x14ac:dyDescent="0.25">
      <c r="A90" s="96">
        <v>41456</v>
      </c>
      <c r="J90" s="104">
        <f>('Co-Processing'!E92*'Co-Pro Feedstock Breakdown'!J$3*'Feedstock Conversion Rates'!B$13)/12</f>
        <v>1.25</v>
      </c>
      <c r="K90" s="104">
        <f>('Co-Processing'!E92*'Co-Pro Feedstock Breakdown'!K$3*'Feedstock Conversion Rates'!B$12)/12</f>
        <v>1.2916666666666667</v>
      </c>
      <c r="L90" s="106">
        <f t="shared" si="11"/>
        <v>2.541666666666667</v>
      </c>
      <c r="N90" s="104">
        <f t="shared" si="12"/>
        <v>1.25</v>
      </c>
      <c r="O90" s="104">
        <f t="shared" si="8"/>
        <v>1.2916666666666667</v>
      </c>
      <c r="P90" s="104"/>
      <c r="Q90" s="106">
        <f t="shared" si="13"/>
        <v>2.541666666666667</v>
      </c>
      <c r="R90" s="141">
        <f t="shared" si="14"/>
        <v>0</v>
      </c>
      <c r="T90" s="110">
        <f t="shared" si="9"/>
        <v>0.49180327868852453</v>
      </c>
      <c r="U90" s="110">
        <f t="shared" si="9"/>
        <v>0.50819672131147542</v>
      </c>
      <c r="V90" s="110">
        <f t="shared" si="9"/>
        <v>0</v>
      </c>
      <c r="W90" s="110">
        <f t="shared" si="10"/>
        <v>1</v>
      </c>
      <c r="Y90" s="142">
        <f>T90*'Co-Processing'!K92*'Feedstock Conversion Rates'!B$13</f>
        <v>16.072900819672128</v>
      </c>
      <c r="Z90" s="142">
        <f>U90*'Co-Processing'!K92*'Feedstock Conversion Rates'!B$12</f>
        <v>17.16228631967213</v>
      </c>
      <c r="AA90" s="142">
        <f>V90*'Co-Processing'!K92*'Feedstock Conversion Rates'!B$14</f>
        <v>0</v>
      </c>
      <c r="AB90" s="142">
        <f t="shared" si="7"/>
        <v>33.235187139344262</v>
      </c>
      <c r="AD90" s="142">
        <v>0</v>
      </c>
      <c r="AE90" s="142">
        <v>0</v>
      </c>
      <c r="AF90" s="142">
        <v>0</v>
      </c>
      <c r="AG90" s="142">
        <v>0</v>
      </c>
      <c r="AH90" s="142">
        <v>0</v>
      </c>
    </row>
    <row r="91" spans="1:34" x14ac:dyDescent="0.25">
      <c r="A91" s="96">
        <v>41487</v>
      </c>
      <c r="J91" s="104">
        <f>('Co-Processing'!E93*'Co-Pro Feedstock Breakdown'!J$3*'Feedstock Conversion Rates'!B$13)/12</f>
        <v>1.25</v>
      </c>
      <c r="K91" s="104">
        <f>('Co-Processing'!E93*'Co-Pro Feedstock Breakdown'!K$3*'Feedstock Conversion Rates'!B$12)/12</f>
        <v>1.2916666666666667</v>
      </c>
      <c r="L91" s="106">
        <f t="shared" si="11"/>
        <v>2.541666666666667</v>
      </c>
      <c r="N91" s="104">
        <f t="shared" si="12"/>
        <v>1.25</v>
      </c>
      <c r="O91" s="104">
        <f t="shared" si="8"/>
        <v>1.2916666666666667</v>
      </c>
      <c r="P91" s="104"/>
      <c r="Q91" s="106">
        <f t="shared" si="13"/>
        <v>2.541666666666667</v>
      </c>
      <c r="R91" s="141">
        <f t="shared" si="14"/>
        <v>0</v>
      </c>
      <c r="T91" s="110">
        <f t="shared" si="9"/>
        <v>0.49180327868852453</v>
      </c>
      <c r="U91" s="110">
        <f t="shared" si="9"/>
        <v>0.50819672131147542</v>
      </c>
      <c r="V91" s="110">
        <f t="shared" si="9"/>
        <v>0</v>
      </c>
      <c r="W91" s="110">
        <f t="shared" si="10"/>
        <v>1</v>
      </c>
      <c r="Y91" s="142">
        <f>T91*'Co-Processing'!K93*'Feedstock Conversion Rates'!B$13</f>
        <v>23.482740983606554</v>
      </c>
      <c r="Z91" s="142">
        <f>U91*'Co-Processing'!K93*'Feedstock Conversion Rates'!B$12</f>
        <v>25.074348983606562</v>
      </c>
      <c r="AA91" s="142">
        <f>V91*'Co-Processing'!K93*'Feedstock Conversion Rates'!B$14</f>
        <v>0</v>
      </c>
      <c r="AB91" s="142">
        <f t="shared" si="7"/>
        <v>48.557089967213116</v>
      </c>
      <c r="AD91" s="142">
        <v>0</v>
      </c>
      <c r="AE91" s="142">
        <v>0</v>
      </c>
      <c r="AF91" s="142">
        <v>0</v>
      </c>
      <c r="AG91" s="142">
        <v>0</v>
      </c>
      <c r="AH91" s="142">
        <v>0</v>
      </c>
    </row>
    <row r="92" spans="1:34" x14ac:dyDescent="0.25">
      <c r="A92" s="96">
        <v>41518</v>
      </c>
      <c r="J92" s="104">
        <f>('Co-Processing'!E94*'Co-Pro Feedstock Breakdown'!J$3*'Feedstock Conversion Rates'!B$13)/12</f>
        <v>1.25</v>
      </c>
      <c r="K92" s="104">
        <f>('Co-Processing'!E94*'Co-Pro Feedstock Breakdown'!K$3*'Feedstock Conversion Rates'!B$12)/12</f>
        <v>1.2916666666666667</v>
      </c>
      <c r="L92" s="106">
        <f t="shared" si="11"/>
        <v>2.541666666666667</v>
      </c>
      <c r="N92" s="104">
        <f t="shared" si="12"/>
        <v>1.25</v>
      </c>
      <c r="O92" s="104">
        <f t="shared" si="8"/>
        <v>1.2916666666666667</v>
      </c>
      <c r="P92" s="104"/>
      <c r="Q92" s="106">
        <f t="shared" si="13"/>
        <v>2.541666666666667</v>
      </c>
      <c r="R92" s="141">
        <f t="shared" si="14"/>
        <v>0</v>
      </c>
      <c r="T92" s="110">
        <f t="shared" si="9"/>
        <v>0.49180327868852453</v>
      </c>
      <c r="U92" s="110">
        <f t="shared" si="9"/>
        <v>0.50819672131147542</v>
      </c>
      <c r="V92" s="110">
        <f t="shared" si="9"/>
        <v>0</v>
      </c>
      <c r="W92" s="110">
        <f t="shared" si="10"/>
        <v>1</v>
      </c>
      <c r="Y92" s="142">
        <f>T92*'Co-Processing'!K94*'Feedstock Conversion Rates'!B$13</f>
        <v>29.040145081967211</v>
      </c>
      <c r="Z92" s="142">
        <f>U92*'Co-Processing'!K94*'Feedstock Conversion Rates'!B$12</f>
        <v>31.008421581967212</v>
      </c>
      <c r="AA92" s="142">
        <f>V92*'Co-Processing'!K94*'Feedstock Conversion Rates'!B$14</f>
        <v>0</v>
      </c>
      <c r="AB92" s="142">
        <f t="shared" si="7"/>
        <v>60.048566663934423</v>
      </c>
      <c r="AD92" s="142">
        <v>0</v>
      </c>
      <c r="AE92" s="142">
        <v>0</v>
      </c>
      <c r="AF92" s="142">
        <v>0</v>
      </c>
      <c r="AG92" s="142">
        <v>0</v>
      </c>
      <c r="AH92" s="142">
        <v>0</v>
      </c>
    </row>
    <row r="93" spans="1:34" x14ac:dyDescent="0.25">
      <c r="A93" s="96">
        <v>41548</v>
      </c>
      <c r="J93" s="104">
        <f>('Co-Processing'!E95*'Co-Pro Feedstock Breakdown'!J$3*'Feedstock Conversion Rates'!B$13)/12</f>
        <v>1.25</v>
      </c>
      <c r="K93" s="104">
        <f>('Co-Processing'!E95*'Co-Pro Feedstock Breakdown'!K$3*'Feedstock Conversion Rates'!B$12)/12</f>
        <v>1.2916666666666667</v>
      </c>
      <c r="L93" s="106">
        <f t="shared" si="11"/>
        <v>2.541666666666667</v>
      </c>
      <c r="N93" s="104">
        <f t="shared" si="12"/>
        <v>1.25</v>
      </c>
      <c r="O93" s="104">
        <f t="shared" si="8"/>
        <v>1.2916666666666667</v>
      </c>
      <c r="P93" s="104"/>
      <c r="Q93" s="106">
        <f t="shared" si="13"/>
        <v>2.541666666666667</v>
      </c>
      <c r="R93" s="141">
        <f t="shared" si="14"/>
        <v>0</v>
      </c>
      <c r="T93" s="110">
        <f t="shared" si="9"/>
        <v>0.49180327868852453</v>
      </c>
      <c r="U93" s="110">
        <f t="shared" si="9"/>
        <v>0.50819672131147542</v>
      </c>
      <c r="V93" s="110">
        <f t="shared" si="9"/>
        <v>0</v>
      </c>
      <c r="W93" s="110">
        <f t="shared" si="10"/>
        <v>1</v>
      </c>
      <c r="Y93" s="142">
        <f>T93*'Co-Processing'!K95*'Feedstock Conversion Rates'!B$13</f>
        <v>29.060771311475406</v>
      </c>
      <c r="Z93" s="142">
        <f>U93*'Co-Processing'!K95*'Feedstock Conversion Rates'!B$12</f>
        <v>31.030445811475413</v>
      </c>
      <c r="AA93" s="142">
        <f>V93*'Co-Processing'!K95*'Feedstock Conversion Rates'!B$14</f>
        <v>0</v>
      </c>
      <c r="AB93" s="142">
        <f t="shared" si="7"/>
        <v>60.091217122950823</v>
      </c>
      <c r="AD93" s="142">
        <v>0</v>
      </c>
      <c r="AE93" s="142">
        <v>0</v>
      </c>
      <c r="AF93" s="142">
        <v>0</v>
      </c>
      <c r="AG93" s="142">
        <v>0</v>
      </c>
      <c r="AH93" s="142">
        <v>0</v>
      </c>
    </row>
    <row r="94" spans="1:34" x14ac:dyDescent="0.25">
      <c r="A94" s="96">
        <v>41579</v>
      </c>
      <c r="J94" s="104">
        <f>('Co-Processing'!E96*'Co-Pro Feedstock Breakdown'!J$3*'Feedstock Conversion Rates'!B$13)/12</f>
        <v>1.25</v>
      </c>
      <c r="K94" s="104">
        <f>('Co-Processing'!E96*'Co-Pro Feedstock Breakdown'!K$3*'Feedstock Conversion Rates'!B$12)/12</f>
        <v>1.2916666666666667</v>
      </c>
      <c r="L94" s="106">
        <f t="shared" si="11"/>
        <v>2.541666666666667</v>
      </c>
      <c r="N94" s="104">
        <f t="shared" si="12"/>
        <v>1.25</v>
      </c>
      <c r="O94" s="104">
        <f t="shared" si="8"/>
        <v>1.2916666666666667</v>
      </c>
      <c r="P94" s="104"/>
      <c r="Q94" s="106">
        <f t="shared" si="13"/>
        <v>2.541666666666667</v>
      </c>
      <c r="R94" s="141">
        <f t="shared" si="14"/>
        <v>0</v>
      </c>
      <c r="T94" s="110">
        <f t="shared" si="9"/>
        <v>0.49180327868852453</v>
      </c>
      <c r="U94" s="110">
        <f t="shared" si="9"/>
        <v>0.50819672131147542</v>
      </c>
      <c r="V94" s="110">
        <f t="shared" si="9"/>
        <v>0</v>
      </c>
      <c r="W94" s="110">
        <f t="shared" si="10"/>
        <v>1</v>
      </c>
      <c r="Y94" s="142">
        <f>T94*'Co-Processing'!K96*'Feedstock Conversion Rates'!B$13</f>
        <v>16.304960655737702</v>
      </c>
      <c r="Z94" s="142">
        <f>U94*'Co-Processing'!K96*'Feedstock Conversion Rates'!B$12</f>
        <v>17.410074655737702</v>
      </c>
      <c r="AA94" s="142">
        <f>V94*'Co-Processing'!K96*'Feedstock Conversion Rates'!B$14</f>
        <v>0</v>
      </c>
      <c r="AB94" s="142">
        <f t="shared" si="7"/>
        <v>33.715035311475404</v>
      </c>
      <c r="AD94" s="142">
        <v>0</v>
      </c>
      <c r="AE94" s="142">
        <v>0</v>
      </c>
      <c r="AF94" s="142">
        <v>0</v>
      </c>
      <c r="AG94" s="142">
        <v>0</v>
      </c>
      <c r="AH94" s="142">
        <v>0</v>
      </c>
    </row>
    <row r="95" spans="1:34" x14ac:dyDescent="0.25">
      <c r="A95" s="96">
        <v>41609</v>
      </c>
      <c r="J95" s="104">
        <f>('Co-Processing'!E97*'Co-Pro Feedstock Breakdown'!J$3*'Feedstock Conversion Rates'!B$13)/12</f>
        <v>1.25</v>
      </c>
      <c r="K95" s="104">
        <f>('Co-Processing'!E97*'Co-Pro Feedstock Breakdown'!K$3*'Feedstock Conversion Rates'!B$12)/12</f>
        <v>1.2916666666666667</v>
      </c>
      <c r="L95" s="106">
        <f t="shared" si="11"/>
        <v>2.541666666666667</v>
      </c>
      <c r="N95" s="104">
        <f t="shared" si="12"/>
        <v>1.25</v>
      </c>
      <c r="O95" s="104">
        <f t="shared" si="8"/>
        <v>1.2916666666666667</v>
      </c>
      <c r="P95" s="104"/>
      <c r="Q95" s="106">
        <f t="shared" si="13"/>
        <v>2.541666666666667</v>
      </c>
      <c r="R95" s="141">
        <f t="shared" si="14"/>
        <v>0</v>
      </c>
      <c r="T95" s="110">
        <f t="shared" si="9"/>
        <v>0.49180327868852453</v>
      </c>
      <c r="U95" s="110">
        <f t="shared" si="9"/>
        <v>0.50819672131147542</v>
      </c>
      <c r="V95" s="110">
        <f t="shared" si="9"/>
        <v>0</v>
      </c>
      <c r="W95" s="110">
        <f t="shared" si="10"/>
        <v>1</v>
      </c>
      <c r="Y95" s="142">
        <f>T95*'Co-Processing'!K97*'Feedstock Conversion Rates'!B$13</f>
        <v>2.0980475409836066</v>
      </c>
      <c r="Z95" s="142">
        <f>U95*'Co-Processing'!K97*'Feedstock Conversion Rates'!B$12</f>
        <v>2.240248540983607</v>
      </c>
      <c r="AA95" s="142">
        <f>V95*'Co-Processing'!K97*'Feedstock Conversion Rates'!B$14</f>
        <v>0</v>
      </c>
      <c r="AB95" s="142">
        <f t="shared" si="7"/>
        <v>4.3382960819672132</v>
      </c>
      <c r="AD95" s="142">
        <v>0</v>
      </c>
      <c r="AE95" s="142">
        <v>0</v>
      </c>
      <c r="AF95" s="142">
        <v>0</v>
      </c>
      <c r="AG95" s="142">
        <v>0</v>
      </c>
      <c r="AH95" s="142">
        <v>0</v>
      </c>
    </row>
    <row r="96" spans="1:34" x14ac:dyDescent="0.25">
      <c r="A96" s="96">
        <v>41640</v>
      </c>
      <c r="J96" s="104">
        <f>('Co-Processing'!E98*'Co-Pro Feedstock Breakdown'!J$3*'Feedstock Conversion Rates'!B$13)/12</f>
        <v>1.25</v>
      </c>
      <c r="K96" s="104">
        <f>('Co-Processing'!E98*'Co-Pro Feedstock Breakdown'!K$3*'Feedstock Conversion Rates'!B$12)/12</f>
        <v>1.2916666666666667</v>
      </c>
      <c r="L96" s="106">
        <f t="shared" si="11"/>
        <v>2.541666666666667</v>
      </c>
      <c r="N96" s="104">
        <f t="shared" si="12"/>
        <v>1.25</v>
      </c>
      <c r="O96" s="104">
        <f t="shared" si="8"/>
        <v>1.2916666666666667</v>
      </c>
      <c r="P96" s="104"/>
      <c r="Q96" s="106">
        <f t="shared" si="13"/>
        <v>2.541666666666667</v>
      </c>
      <c r="R96" s="141">
        <f t="shared" si="14"/>
        <v>0</v>
      </c>
      <c r="T96" s="110">
        <f t="shared" si="9"/>
        <v>0.49180327868852453</v>
      </c>
      <c r="U96" s="110">
        <f t="shared" si="9"/>
        <v>0.50819672131147542</v>
      </c>
      <c r="V96" s="110">
        <f t="shared" si="9"/>
        <v>0</v>
      </c>
      <c r="W96" s="110">
        <f t="shared" si="10"/>
        <v>1</v>
      </c>
      <c r="Y96" s="142">
        <f>T96*'Co-Processing'!K98*'Feedstock Conversion Rates'!B$13</f>
        <v>0.86406639344262282</v>
      </c>
      <c r="Z96" s="142">
        <f>U96*'Co-Processing'!K98*'Feedstock Conversion Rates'!B$12</f>
        <v>0.92263089344262295</v>
      </c>
      <c r="AA96" s="142">
        <f>V96*'Co-Processing'!K98*'Feedstock Conversion Rates'!B$14</f>
        <v>0</v>
      </c>
      <c r="AB96" s="142">
        <f t="shared" si="7"/>
        <v>1.7866972868852458</v>
      </c>
      <c r="AD96" s="142">
        <v>0</v>
      </c>
      <c r="AE96" s="142">
        <v>0</v>
      </c>
      <c r="AF96" s="142">
        <v>0</v>
      </c>
      <c r="AG96" s="142">
        <v>0</v>
      </c>
      <c r="AH96" s="142">
        <v>0</v>
      </c>
    </row>
    <row r="97" spans="1:34" x14ac:dyDescent="0.25">
      <c r="A97" s="96">
        <v>41671</v>
      </c>
      <c r="J97" s="104">
        <f>('Co-Processing'!E99*'Co-Pro Feedstock Breakdown'!J$3*'Feedstock Conversion Rates'!B$13)/12</f>
        <v>1.25</v>
      </c>
      <c r="K97" s="104">
        <f>('Co-Processing'!E99*'Co-Pro Feedstock Breakdown'!K$3*'Feedstock Conversion Rates'!B$12)/12</f>
        <v>1.2916666666666667</v>
      </c>
      <c r="L97" s="106">
        <f t="shared" si="11"/>
        <v>2.541666666666667</v>
      </c>
      <c r="N97" s="104">
        <f t="shared" si="12"/>
        <v>1.25</v>
      </c>
      <c r="O97" s="104">
        <f t="shared" si="8"/>
        <v>1.2916666666666667</v>
      </c>
      <c r="P97" s="104"/>
      <c r="Q97" s="106">
        <f t="shared" si="13"/>
        <v>2.541666666666667</v>
      </c>
      <c r="R97" s="141">
        <f t="shared" si="14"/>
        <v>0</v>
      </c>
      <c r="T97" s="110">
        <f t="shared" si="9"/>
        <v>0.49180327868852453</v>
      </c>
      <c r="U97" s="110">
        <f t="shared" si="9"/>
        <v>0.50819672131147542</v>
      </c>
      <c r="V97" s="110">
        <f t="shared" si="9"/>
        <v>0</v>
      </c>
      <c r="W97" s="110">
        <f t="shared" si="10"/>
        <v>1</v>
      </c>
      <c r="Y97" s="142">
        <f>T97*'Co-Processing'!K99*'Feedstock Conversion Rates'!B$13</f>
        <v>1.9302086065573771</v>
      </c>
      <c r="Z97" s="142">
        <f>U97*'Co-Processing'!K99*'Feedstock Conversion Rates'!B$12</f>
        <v>2.0610338565573771</v>
      </c>
      <c r="AA97" s="142">
        <f>V97*'Co-Processing'!K99*'Feedstock Conversion Rates'!B$14</f>
        <v>0</v>
      </c>
      <c r="AB97" s="142">
        <f t="shared" si="7"/>
        <v>3.9912424631147543</v>
      </c>
      <c r="AD97" s="142">
        <v>0</v>
      </c>
      <c r="AE97" s="142">
        <v>0</v>
      </c>
      <c r="AF97" s="142">
        <v>0</v>
      </c>
      <c r="AG97" s="142">
        <v>0</v>
      </c>
      <c r="AH97" s="142">
        <v>0</v>
      </c>
    </row>
    <row r="98" spans="1:34" x14ac:dyDescent="0.25">
      <c r="A98" s="96">
        <v>41699</v>
      </c>
      <c r="J98" s="104">
        <f>('Co-Processing'!E100*'Co-Pro Feedstock Breakdown'!J$3*'Feedstock Conversion Rates'!B$13)/12</f>
        <v>1.25</v>
      </c>
      <c r="K98" s="104">
        <f>('Co-Processing'!E100*'Co-Pro Feedstock Breakdown'!K$3*'Feedstock Conversion Rates'!B$12)/12</f>
        <v>1.2916666666666667</v>
      </c>
      <c r="L98" s="106">
        <f t="shared" si="11"/>
        <v>2.541666666666667</v>
      </c>
      <c r="N98" s="104">
        <f t="shared" si="12"/>
        <v>1.25</v>
      </c>
      <c r="O98" s="104">
        <f t="shared" si="8"/>
        <v>1.2916666666666667</v>
      </c>
      <c r="P98" s="104"/>
      <c r="Q98" s="106">
        <f t="shared" si="13"/>
        <v>2.541666666666667</v>
      </c>
      <c r="R98" s="141">
        <f t="shared" si="14"/>
        <v>0</v>
      </c>
      <c r="T98" s="110">
        <f t="shared" si="9"/>
        <v>0.49180327868852453</v>
      </c>
      <c r="U98" s="110">
        <f t="shared" si="9"/>
        <v>0.50819672131147542</v>
      </c>
      <c r="V98" s="110">
        <f t="shared" si="9"/>
        <v>0</v>
      </c>
      <c r="W98" s="110">
        <f t="shared" si="10"/>
        <v>1</v>
      </c>
      <c r="Y98" s="142">
        <f>T98*'Co-Processing'!K100*'Feedstock Conversion Rates'!B$13</f>
        <v>2.7240344262295078</v>
      </c>
      <c r="Z98" s="142">
        <f>U98*'Co-Processing'!K100*'Feedstock Conversion Rates'!B$12</f>
        <v>2.9086634262295079</v>
      </c>
      <c r="AA98" s="142">
        <f>V98*'Co-Processing'!K100*'Feedstock Conversion Rates'!B$14</f>
        <v>0</v>
      </c>
      <c r="AB98" s="142">
        <f t="shared" si="7"/>
        <v>5.6326978524590157</v>
      </c>
      <c r="AD98" s="142">
        <v>0</v>
      </c>
      <c r="AE98" s="142">
        <v>0</v>
      </c>
      <c r="AF98" s="142">
        <v>0</v>
      </c>
      <c r="AG98" s="142">
        <v>0</v>
      </c>
      <c r="AH98" s="142">
        <v>0</v>
      </c>
    </row>
    <row r="99" spans="1:34" x14ac:dyDescent="0.25">
      <c r="A99" s="96">
        <v>41730</v>
      </c>
      <c r="J99" s="104">
        <f>('Co-Processing'!E101*'Co-Pro Feedstock Breakdown'!J$3*'Feedstock Conversion Rates'!B$13)/12</f>
        <v>1.25</v>
      </c>
      <c r="K99" s="104">
        <f>('Co-Processing'!E101*'Co-Pro Feedstock Breakdown'!K$3*'Feedstock Conversion Rates'!B$12)/12</f>
        <v>1.2916666666666667</v>
      </c>
      <c r="L99" s="106">
        <f t="shared" si="11"/>
        <v>2.541666666666667</v>
      </c>
      <c r="N99" s="104">
        <f t="shared" si="12"/>
        <v>1.25</v>
      </c>
      <c r="O99" s="104">
        <f t="shared" si="8"/>
        <v>1.2916666666666667</v>
      </c>
      <c r="P99" s="104"/>
      <c r="Q99" s="106">
        <f t="shared" si="13"/>
        <v>2.541666666666667</v>
      </c>
      <c r="R99" s="141">
        <f t="shared" si="14"/>
        <v>0</v>
      </c>
      <c r="T99" s="110">
        <f t="shared" si="9"/>
        <v>0.49180327868852453</v>
      </c>
      <c r="U99" s="110">
        <f t="shared" si="9"/>
        <v>0.50819672131147542</v>
      </c>
      <c r="V99" s="110">
        <f t="shared" si="9"/>
        <v>0</v>
      </c>
      <c r="W99" s="110">
        <f t="shared" si="10"/>
        <v>1</v>
      </c>
      <c r="Y99" s="142">
        <f>T99*'Co-Processing'!K101*'Feedstock Conversion Rates'!B$13</f>
        <v>3.3894258196721307</v>
      </c>
      <c r="Z99" s="142">
        <f>U99*'Co-Processing'!K101*'Feedstock Conversion Rates'!B$12</f>
        <v>3.6191535696721315</v>
      </c>
      <c r="AA99" s="142">
        <f>V99*'Co-Processing'!K101*'Feedstock Conversion Rates'!B$14</f>
        <v>0</v>
      </c>
      <c r="AB99" s="142">
        <f t="shared" si="7"/>
        <v>7.0085793893442627</v>
      </c>
      <c r="AD99" s="142">
        <v>0</v>
      </c>
      <c r="AE99" s="142">
        <v>0</v>
      </c>
      <c r="AF99" s="142">
        <v>0</v>
      </c>
      <c r="AG99" s="142">
        <v>0</v>
      </c>
      <c r="AH99" s="142">
        <v>0</v>
      </c>
    </row>
    <row r="100" spans="1:34" x14ac:dyDescent="0.25">
      <c r="A100" s="96">
        <v>41760</v>
      </c>
      <c r="J100" s="104">
        <f>('Co-Processing'!E102*'Co-Pro Feedstock Breakdown'!J$3*'Feedstock Conversion Rates'!B$13)/12</f>
        <v>1.25</v>
      </c>
      <c r="K100" s="104">
        <f>('Co-Processing'!E102*'Co-Pro Feedstock Breakdown'!K$3*'Feedstock Conversion Rates'!B$12)/12</f>
        <v>1.2916666666666667</v>
      </c>
      <c r="L100" s="106">
        <f t="shared" si="11"/>
        <v>2.541666666666667</v>
      </c>
      <c r="N100" s="104">
        <f t="shared" si="12"/>
        <v>1.25</v>
      </c>
      <c r="O100" s="104">
        <f t="shared" si="8"/>
        <v>1.2916666666666667</v>
      </c>
      <c r="P100" s="104"/>
      <c r="Q100" s="106">
        <f t="shared" si="13"/>
        <v>2.541666666666667</v>
      </c>
      <c r="R100" s="141">
        <f t="shared" si="14"/>
        <v>0</v>
      </c>
      <c r="T100" s="110">
        <f t="shared" si="9"/>
        <v>0.49180327868852453</v>
      </c>
      <c r="U100" s="110">
        <f t="shared" si="9"/>
        <v>0.50819672131147542</v>
      </c>
      <c r="V100" s="110">
        <f t="shared" si="9"/>
        <v>0</v>
      </c>
      <c r="W100" s="110">
        <f t="shared" si="10"/>
        <v>1</v>
      </c>
      <c r="Y100" s="142">
        <f>T100*'Co-Processing'!K102*'Feedstock Conversion Rates'!B$13</f>
        <v>2.8094016393442622</v>
      </c>
      <c r="Z100" s="142">
        <f>U100*'Co-Processing'!K102*'Feedstock Conversion Rates'!B$12</f>
        <v>2.9998166393442625</v>
      </c>
      <c r="AA100" s="142">
        <f>V100*'Co-Processing'!K102*'Feedstock Conversion Rates'!B$14</f>
        <v>0</v>
      </c>
      <c r="AB100" s="142">
        <f t="shared" si="7"/>
        <v>5.8092182786885243</v>
      </c>
      <c r="AD100" s="142">
        <v>0</v>
      </c>
      <c r="AE100" s="142">
        <v>0</v>
      </c>
      <c r="AF100" s="142">
        <v>0</v>
      </c>
      <c r="AG100" s="142">
        <v>0</v>
      </c>
      <c r="AH100" s="142">
        <v>0</v>
      </c>
    </row>
    <row r="101" spans="1:34" x14ac:dyDescent="0.25">
      <c r="A101" s="96">
        <v>41791</v>
      </c>
      <c r="J101" s="104">
        <f>('Co-Processing'!E103*'Co-Pro Feedstock Breakdown'!J$3*'Feedstock Conversion Rates'!B$13)/12</f>
        <v>1.25</v>
      </c>
      <c r="K101" s="104">
        <f>('Co-Processing'!E103*'Co-Pro Feedstock Breakdown'!K$3*'Feedstock Conversion Rates'!B$12)/12</f>
        <v>1.2916666666666667</v>
      </c>
      <c r="L101" s="106">
        <f t="shared" si="11"/>
        <v>2.541666666666667</v>
      </c>
      <c r="N101" s="104">
        <f t="shared" si="12"/>
        <v>1.25</v>
      </c>
      <c r="O101" s="104">
        <f t="shared" si="8"/>
        <v>1.2916666666666667</v>
      </c>
      <c r="P101" s="104"/>
      <c r="Q101" s="106">
        <f t="shared" si="13"/>
        <v>2.541666666666667</v>
      </c>
      <c r="R101" s="141">
        <f t="shared" si="14"/>
        <v>0</v>
      </c>
      <c r="T101" s="110">
        <f t="shared" si="9"/>
        <v>0.49180327868852453</v>
      </c>
      <c r="U101" s="110">
        <f t="shared" si="9"/>
        <v>0.50819672131147542</v>
      </c>
      <c r="V101" s="110">
        <f t="shared" si="9"/>
        <v>0</v>
      </c>
      <c r="W101" s="110">
        <f t="shared" si="10"/>
        <v>1</v>
      </c>
      <c r="Y101" s="142">
        <f>T101*'Co-Processing'!K103*'Feedstock Conversion Rates'!B$13</f>
        <v>2.8656258196721311</v>
      </c>
      <c r="Z101" s="142">
        <f>U101*'Co-Processing'!K103*'Feedstock Conversion Rates'!B$12</f>
        <v>3.0598515696721313</v>
      </c>
      <c r="AA101" s="142">
        <f>V101*'Co-Processing'!K103*'Feedstock Conversion Rates'!B$14</f>
        <v>0</v>
      </c>
      <c r="AB101" s="142">
        <f t="shared" si="7"/>
        <v>5.9254773893442625</v>
      </c>
      <c r="AD101" s="142">
        <v>0</v>
      </c>
      <c r="AE101" s="142">
        <v>0</v>
      </c>
      <c r="AF101" s="142">
        <v>0</v>
      </c>
      <c r="AG101" s="142">
        <v>0</v>
      </c>
      <c r="AH101" s="142">
        <v>0</v>
      </c>
    </row>
    <row r="102" spans="1:34" x14ac:dyDescent="0.25">
      <c r="A102" s="96">
        <v>41821</v>
      </c>
      <c r="J102" s="104">
        <f>('Co-Processing'!E104*'Co-Pro Feedstock Breakdown'!J$3*'Feedstock Conversion Rates'!B$13)/12</f>
        <v>1.25</v>
      </c>
      <c r="K102" s="104">
        <f>('Co-Processing'!E104*'Co-Pro Feedstock Breakdown'!K$3*'Feedstock Conversion Rates'!B$12)/12</f>
        <v>1.2916666666666667</v>
      </c>
      <c r="L102" s="106">
        <f t="shared" si="11"/>
        <v>2.541666666666667</v>
      </c>
      <c r="N102" s="104">
        <f t="shared" si="12"/>
        <v>1.25</v>
      </c>
      <c r="O102" s="104">
        <f t="shared" si="8"/>
        <v>1.2916666666666667</v>
      </c>
      <c r="P102" s="104"/>
      <c r="Q102" s="106">
        <f t="shared" si="13"/>
        <v>2.541666666666667</v>
      </c>
      <c r="R102" s="141">
        <f t="shared" si="14"/>
        <v>0</v>
      </c>
      <c r="T102" s="110">
        <f t="shared" si="9"/>
        <v>0.49180327868852453</v>
      </c>
      <c r="U102" s="110">
        <f t="shared" si="9"/>
        <v>0.50819672131147542</v>
      </c>
      <c r="V102" s="110">
        <f t="shared" si="9"/>
        <v>0</v>
      </c>
      <c r="W102" s="110">
        <f t="shared" si="10"/>
        <v>1</v>
      </c>
      <c r="Y102" s="142">
        <f>T102*'Co-Processing'!K104*'Feedstock Conversion Rates'!B$13</f>
        <v>5.1059286885245889</v>
      </c>
      <c r="Z102" s="142">
        <f>U102*'Co-Processing'!K104*'Feedstock Conversion Rates'!B$12</f>
        <v>5.4519971885245901</v>
      </c>
      <c r="AA102" s="142">
        <f>V102*'Co-Processing'!K104*'Feedstock Conversion Rates'!B$14</f>
        <v>0</v>
      </c>
      <c r="AB102" s="142">
        <f t="shared" si="7"/>
        <v>10.557925877049179</v>
      </c>
      <c r="AD102" s="142">
        <v>0</v>
      </c>
      <c r="AE102" s="142">
        <v>0</v>
      </c>
      <c r="AF102" s="142">
        <v>0</v>
      </c>
      <c r="AG102" s="142">
        <v>0</v>
      </c>
      <c r="AH102" s="142">
        <v>0</v>
      </c>
    </row>
    <row r="103" spans="1:34" x14ac:dyDescent="0.25">
      <c r="A103" s="96">
        <v>41852</v>
      </c>
      <c r="J103" s="104">
        <f>('Co-Processing'!E105*'Co-Pro Feedstock Breakdown'!J$3*'Feedstock Conversion Rates'!B$13)/12</f>
        <v>1.25</v>
      </c>
      <c r="K103" s="104">
        <f>('Co-Processing'!E105*'Co-Pro Feedstock Breakdown'!K$3*'Feedstock Conversion Rates'!B$12)/12</f>
        <v>1.2916666666666667</v>
      </c>
      <c r="L103" s="106">
        <f t="shared" si="11"/>
        <v>2.541666666666667</v>
      </c>
      <c r="N103" s="104">
        <f t="shared" si="12"/>
        <v>1.25</v>
      </c>
      <c r="O103" s="104">
        <f t="shared" si="8"/>
        <v>1.2916666666666667</v>
      </c>
      <c r="P103" s="104"/>
      <c r="Q103" s="106">
        <f t="shared" si="13"/>
        <v>2.541666666666667</v>
      </c>
      <c r="R103" s="141">
        <f t="shared" si="14"/>
        <v>0</v>
      </c>
      <c r="T103" s="110">
        <f t="shared" si="9"/>
        <v>0.49180327868852453</v>
      </c>
      <c r="U103" s="110">
        <f t="shared" si="9"/>
        <v>0.50819672131147542</v>
      </c>
      <c r="V103" s="110">
        <f t="shared" si="9"/>
        <v>0</v>
      </c>
      <c r="W103" s="110">
        <f t="shared" si="10"/>
        <v>1</v>
      </c>
      <c r="Y103" s="142">
        <f>T103*'Co-Processing'!K105*'Feedstock Conversion Rates'!B$13</f>
        <v>1.8022168032786883</v>
      </c>
      <c r="Z103" s="142">
        <f>U103*'Co-Processing'!K105*'Feedstock Conversion Rates'!B$12</f>
        <v>1.9243670532786887</v>
      </c>
      <c r="AA103" s="142">
        <f>V103*'Co-Processing'!K105*'Feedstock Conversion Rates'!B$14</f>
        <v>0</v>
      </c>
      <c r="AB103" s="142">
        <f t="shared" si="7"/>
        <v>3.7265838565573768</v>
      </c>
      <c r="AD103" s="142">
        <v>0</v>
      </c>
      <c r="AE103" s="142">
        <v>0</v>
      </c>
      <c r="AF103" s="142">
        <v>0</v>
      </c>
      <c r="AG103" s="142">
        <v>0</v>
      </c>
      <c r="AH103" s="142">
        <v>0</v>
      </c>
    </row>
    <row r="104" spans="1:34" x14ac:dyDescent="0.25">
      <c r="A104" s="96">
        <v>41883</v>
      </c>
      <c r="J104" s="104">
        <f>('Co-Processing'!E106*'Co-Pro Feedstock Breakdown'!J$3*'Feedstock Conversion Rates'!B$13)/12</f>
        <v>1.25</v>
      </c>
      <c r="K104" s="104">
        <f>('Co-Processing'!E106*'Co-Pro Feedstock Breakdown'!K$3*'Feedstock Conversion Rates'!B$12)/12</f>
        <v>1.2916666666666667</v>
      </c>
      <c r="L104" s="106">
        <f t="shared" si="11"/>
        <v>2.541666666666667</v>
      </c>
      <c r="N104" s="104">
        <f t="shared" si="12"/>
        <v>1.25</v>
      </c>
      <c r="O104" s="104">
        <f t="shared" si="8"/>
        <v>1.2916666666666667</v>
      </c>
      <c r="P104" s="104"/>
      <c r="Q104" s="106">
        <f t="shared" si="13"/>
        <v>2.541666666666667</v>
      </c>
      <c r="R104" s="141">
        <f t="shared" si="14"/>
        <v>0</v>
      </c>
      <c r="T104" s="110">
        <f t="shared" si="9"/>
        <v>0.49180327868852453</v>
      </c>
      <c r="U104" s="110">
        <f t="shared" si="9"/>
        <v>0.50819672131147542</v>
      </c>
      <c r="V104" s="110">
        <f t="shared" si="9"/>
        <v>0</v>
      </c>
      <c r="W104" s="110">
        <f t="shared" si="10"/>
        <v>1</v>
      </c>
      <c r="Y104" s="142">
        <f>T104*'Co-Processing'!K106*'Feedstock Conversion Rates'!B$13</f>
        <v>2.3090385245901635</v>
      </c>
      <c r="Z104" s="142">
        <f>U104*'Co-Processing'!K106*'Feedstock Conversion Rates'!B$12</f>
        <v>2.4655400245901635</v>
      </c>
      <c r="AA104" s="142">
        <f>V104*'Co-Processing'!K106*'Feedstock Conversion Rates'!B$14</f>
        <v>0</v>
      </c>
      <c r="AB104" s="142">
        <f t="shared" si="7"/>
        <v>4.774578549180327</v>
      </c>
      <c r="AD104" s="142">
        <v>0</v>
      </c>
      <c r="AE104" s="142">
        <v>0</v>
      </c>
      <c r="AF104" s="142">
        <v>0</v>
      </c>
      <c r="AG104" s="142">
        <v>0</v>
      </c>
      <c r="AH104" s="142">
        <v>0</v>
      </c>
    </row>
    <row r="105" spans="1:34" x14ac:dyDescent="0.25">
      <c r="A105" s="96">
        <v>41913</v>
      </c>
      <c r="J105" s="104">
        <f>('Co-Processing'!E107*'Co-Pro Feedstock Breakdown'!J$3*'Feedstock Conversion Rates'!B$13)/12</f>
        <v>1.25</v>
      </c>
      <c r="K105" s="104">
        <f>('Co-Processing'!E107*'Co-Pro Feedstock Breakdown'!K$3*'Feedstock Conversion Rates'!B$12)/12</f>
        <v>1.2916666666666667</v>
      </c>
      <c r="L105" s="106">
        <f t="shared" si="11"/>
        <v>2.541666666666667</v>
      </c>
      <c r="N105" s="104">
        <f t="shared" si="12"/>
        <v>1.25</v>
      </c>
      <c r="O105" s="104">
        <f t="shared" si="8"/>
        <v>1.2916666666666667</v>
      </c>
      <c r="P105" s="104"/>
      <c r="Q105" s="106">
        <f t="shared" si="13"/>
        <v>2.541666666666667</v>
      </c>
      <c r="R105" s="141">
        <f t="shared" si="14"/>
        <v>0</v>
      </c>
      <c r="T105" s="110">
        <f t="shared" si="9"/>
        <v>0.49180327868852453</v>
      </c>
      <c r="U105" s="110">
        <f t="shared" si="9"/>
        <v>0.50819672131147542</v>
      </c>
      <c r="V105" s="110">
        <f t="shared" si="9"/>
        <v>0</v>
      </c>
      <c r="W105" s="110">
        <f t="shared" si="10"/>
        <v>1</v>
      </c>
      <c r="Y105" s="142">
        <f>T105*'Co-Processing'!K107*'Feedstock Conversion Rates'!B$13</f>
        <v>3.1077442622950811</v>
      </c>
      <c r="Z105" s="142">
        <f>U105*'Co-Processing'!K107*'Feedstock Conversion Rates'!B$12</f>
        <v>3.318380262295082</v>
      </c>
      <c r="AA105" s="142">
        <f>V105*'Co-Processing'!K107*'Feedstock Conversion Rates'!B$14</f>
        <v>0</v>
      </c>
      <c r="AB105" s="142">
        <f t="shared" si="7"/>
        <v>6.426124524590163</v>
      </c>
      <c r="AD105" s="142">
        <v>0</v>
      </c>
      <c r="AE105" s="142">
        <v>0</v>
      </c>
      <c r="AF105" s="142">
        <v>0</v>
      </c>
      <c r="AG105" s="142">
        <v>0</v>
      </c>
      <c r="AH105" s="142">
        <v>0</v>
      </c>
    </row>
    <row r="106" spans="1:34" x14ac:dyDescent="0.25">
      <c r="A106" s="96">
        <v>41944</v>
      </c>
      <c r="J106" s="104">
        <f>('Co-Processing'!E108*'Co-Pro Feedstock Breakdown'!J$3*'Feedstock Conversion Rates'!B$13)/12</f>
        <v>1.25</v>
      </c>
      <c r="K106" s="104">
        <f>('Co-Processing'!E108*'Co-Pro Feedstock Breakdown'!K$3*'Feedstock Conversion Rates'!B$12)/12</f>
        <v>1.2916666666666667</v>
      </c>
      <c r="L106" s="106">
        <f t="shared" si="11"/>
        <v>2.541666666666667</v>
      </c>
      <c r="N106" s="104">
        <f t="shared" si="12"/>
        <v>1.25</v>
      </c>
      <c r="O106" s="104">
        <f t="shared" si="8"/>
        <v>1.2916666666666667</v>
      </c>
      <c r="P106" s="104"/>
      <c r="Q106" s="106">
        <f t="shared" si="13"/>
        <v>2.541666666666667</v>
      </c>
      <c r="R106" s="141">
        <f t="shared" si="14"/>
        <v>0</v>
      </c>
      <c r="T106" s="110">
        <f t="shared" si="9"/>
        <v>0.49180327868852453</v>
      </c>
      <c r="U106" s="110">
        <f t="shared" si="9"/>
        <v>0.50819672131147542</v>
      </c>
      <c r="V106" s="110">
        <f t="shared" si="9"/>
        <v>0</v>
      </c>
      <c r="W106" s="110">
        <f t="shared" si="10"/>
        <v>1</v>
      </c>
      <c r="Y106" s="142">
        <f>T106*'Co-Processing'!K108*'Feedstock Conversion Rates'!B$13</f>
        <v>1.9158418032786881</v>
      </c>
      <c r="Z106" s="142">
        <f>U106*'Co-Processing'!K108*'Feedstock Conversion Rates'!B$12</f>
        <v>2.0456933032786888</v>
      </c>
      <c r="AA106" s="142">
        <f>V106*'Co-Processing'!K108*'Feedstock Conversion Rates'!B$14</f>
        <v>0</v>
      </c>
      <c r="AB106" s="142">
        <f t="shared" si="7"/>
        <v>3.9615351065573767</v>
      </c>
      <c r="AD106" s="142">
        <v>0</v>
      </c>
      <c r="AE106" s="142">
        <v>0</v>
      </c>
      <c r="AF106" s="142">
        <v>0</v>
      </c>
      <c r="AG106" s="142">
        <v>0</v>
      </c>
      <c r="AH106" s="142">
        <v>0</v>
      </c>
    </row>
    <row r="107" spans="1:34" x14ac:dyDescent="0.25">
      <c r="A107" s="96">
        <v>41974</v>
      </c>
      <c r="J107" s="104">
        <f>('Co-Processing'!E109*'Co-Pro Feedstock Breakdown'!J$3*'Feedstock Conversion Rates'!B$13)/12</f>
        <v>1.25</v>
      </c>
      <c r="K107" s="104">
        <f>('Co-Processing'!E109*'Co-Pro Feedstock Breakdown'!K$3*'Feedstock Conversion Rates'!B$12)/12</f>
        <v>1.2916666666666667</v>
      </c>
      <c r="L107" s="106">
        <f t="shared" si="11"/>
        <v>2.541666666666667</v>
      </c>
      <c r="N107" s="104">
        <f t="shared" si="12"/>
        <v>1.25</v>
      </c>
      <c r="O107" s="104">
        <f t="shared" si="8"/>
        <v>1.2916666666666667</v>
      </c>
      <c r="P107" s="104"/>
      <c r="Q107" s="106">
        <f t="shared" si="13"/>
        <v>2.541666666666667</v>
      </c>
      <c r="R107" s="141">
        <f t="shared" si="14"/>
        <v>0</v>
      </c>
      <c r="T107" s="110">
        <f t="shared" si="9"/>
        <v>0.49180327868852453</v>
      </c>
      <c r="U107" s="110">
        <f t="shared" si="9"/>
        <v>0.50819672131147542</v>
      </c>
      <c r="V107" s="110">
        <f t="shared" si="9"/>
        <v>0</v>
      </c>
      <c r="W107" s="110">
        <f t="shared" si="10"/>
        <v>1</v>
      </c>
      <c r="Y107" s="142">
        <f>T107*'Co-Processing'!K109*'Feedstock Conversion Rates'!B$13</f>
        <v>2.916287704918032</v>
      </c>
      <c r="Z107" s="142">
        <f>U107*'Co-Processing'!K109*'Feedstock Conversion Rates'!B$12</f>
        <v>3.1139472049180328</v>
      </c>
      <c r="AA107" s="142">
        <f>V107*'Co-Processing'!K109*'Feedstock Conversion Rates'!B$14</f>
        <v>0</v>
      </c>
      <c r="AB107" s="142">
        <f t="shared" si="7"/>
        <v>6.0302349098360644</v>
      </c>
      <c r="AD107" s="142">
        <v>0</v>
      </c>
      <c r="AE107" s="142">
        <v>0</v>
      </c>
      <c r="AF107" s="142">
        <v>0</v>
      </c>
      <c r="AG107" s="142">
        <v>0</v>
      </c>
      <c r="AH107" s="142">
        <v>0</v>
      </c>
    </row>
    <row r="108" spans="1:34" x14ac:dyDescent="0.25">
      <c r="A108" s="96">
        <v>42005</v>
      </c>
      <c r="J108" s="104">
        <f>('Co-Processing'!E110*'Co-Pro Feedstock Breakdown'!J$3*'Feedstock Conversion Rates'!B$13)/12</f>
        <v>1.25</v>
      </c>
      <c r="K108" s="104">
        <f>('Co-Processing'!E110*'Co-Pro Feedstock Breakdown'!K$3*'Feedstock Conversion Rates'!B$12)/12</f>
        <v>1.2916666666666667</v>
      </c>
      <c r="L108" s="106">
        <f t="shared" si="11"/>
        <v>2.541666666666667</v>
      </c>
      <c r="N108" s="104">
        <f t="shared" si="12"/>
        <v>1.25</v>
      </c>
      <c r="O108" s="104">
        <f t="shared" si="8"/>
        <v>1.2916666666666667</v>
      </c>
      <c r="P108" s="104"/>
      <c r="Q108" s="106">
        <f t="shared" si="13"/>
        <v>2.541666666666667</v>
      </c>
      <c r="R108" s="141">
        <f t="shared" si="14"/>
        <v>0</v>
      </c>
      <c r="T108" s="110">
        <f t="shared" si="9"/>
        <v>0.49180327868852453</v>
      </c>
      <c r="U108" s="110">
        <f t="shared" si="9"/>
        <v>0.50819672131147542</v>
      </c>
      <c r="V108" s="110">
        <f t="shared" si="9"/>
        <v>0</v>
      </c>
      <c r="W108" s="110">
        <f t="shared" si="10"/>
        <v>1</v>
      </c>
      <c r="Y108" s="142">
        <f>T108*'Co-Processing'!K110*'Feedstock Conversion Rates'!B$13</f>
        <v>0.61247950819672126</v>
      </c>
      <c r="Z108" s="142">
        <f>U108*'Co-Processing'!K110*'Feedstock Conversion Rates'!B$12</f>
        <v>0.65399200819672132</v>
      </c>
      <c r="AA108" s="142">
        <f>V108*'Co-Processing'!K110*'Feedstock Conversion Rates'!B$14</f>
        <v>0</v>
      </c>
      <c r="AB108" s="142">
        <f t="shared" si="7"/>
        <v>1.2664715163934426</v>
      </c>
      <c r="AD108" s="142">
        <v>0</v>
      </c>
      <c r="AE108" s="142">
        <v>0</v>
      </c>
      <c r="AF108" s="142">
        <v>0</v>
      </c>
      <c r="AG108" s="142">
        <v>0</v>
      </c>
      <c r="AH108" s="142">
        <v>0</v>
      </c>
    </row>
    <row r="109" spans="1:34" x14ac:dyDescent="0.25">
      <c r="A109" s="96">
        <v>42036</v>
      </c>
      <c r="J109" s="104">
        <f>('Co-Processing'!E111*'Co-Pro Feedstock Breakdown'!J$3*'Feedstock Conversion Rates'!B$13)/12</f>
        <v>1.25</v>
      </c>
      <c r="K109" s="104">
        <f>('Co-Processing'!E111*'Co-Pro Feedstock Breakdown'!K$3*'Feedstock Conversion Rates'!B$12)/12</f>
        <v>1.2916666666666667</v>
      </c>
      <c r="L109" s="106">
        <f t="shared" si="11"/>
        <v>2.541666666666667</v>
      </c>
      <c r="N109" s="104">
        <f t="shared" si="12"/>
        <v>1.25</v>
      </c>
      <c r="O109" s="104">
        <f t="shared" si="8"/>
        <v>1.2916666666666667</v>
      </c>
      <c r="P109" s="104"/>
      <c r="Q109" s="106">
        <f t="shared" si="13"/>
        <v>2.541666666666667</v>
      </c>
      <c r="R109" s="141">
        <f t="shared" si="14"/>
        <v>0</v>
      </c>
      <c r="T109" s="110">
        <f t="shared" si="9"/>
        <v>0.49180327868852453</v>
      </c>
      <c r="U109" s="110">
        <f t="shared" si="9"/>
        <v>0.50819672131147542</v>
      </c>
      <c r="V109" s="110">
        <f t="shared" si="9"/>
        <v>0</v>
      </c>
      <c r="W109" s="110">
        <f t="shared" si="10"/>
        <v>1</v>
      </c>
      <c r="Y109" s="142">
        <f>T109*'Co-Processing'!K111*'Feedstock Conversion Rates'!B$13</f>
        <v>1.4410991803278685</v>
      </c>
      <c r="Z109" s="142">
        <f>U109*'Co-Processing'!K111*'Feedstock Conversion Rates'!B$12</f>
        <v>1.5387736803278689</v>
      </c>
      <c r="AA109" s="142">
        <f>V109*'Co-Processing'!K111*'Feedstock Conversion Rates'!B$14</f>
        <v>0</v>
      </c>
      <c r="AB109" s="142">
        <f t="shared" si="7"/>
        <v>2.9798728606557372</v>
      </c>
      <c r="AD109" s="142">
        <v>0</v>
      </c>
      <c r="AE109" s="142">
        <v>0</v>
      </c>
      <c r="AF109" s="142">
        <v>0</v>
      </c>
      <c r="AG109" s="142">
        <v>0</v>
      </c>
      <c r="AH109" s="142">
        <v>0</v>
      </c>
    </row>
    <row r="110" spans="1:34" x14ac:dyDescent="0.25">
      <c r="A110" s="96">
        <v>42064</v>
      </c>
      <c r="J110" s="104">
        <f>('Co-Processing'!E112*'Co-Pro Feedstock Breakdown'!J$3*'Feedstock Conversion Rates'!B$13)/12</f>
        <v>1.25</v>
      </c>
      <c r="K110" s="104">
        <f>('Co-Processing'!E112*'Co-Pro Feedstock Breakdown'!K$3*'Feedstock Conversion Rates'!B$12)/12</f>
        <v>1.2916666666666667</v>
      </c>
      <c r="L110" s="106">
        <f t="shared" si="11"/>
        <v>2.541666666666667</v>
      </c>
      <c r="N110" s="104">
        <f t="shared" si="12"/>
        <v>1.25</v>
      </c>
      <c r="O110" s="104">
        <f t="shared" si="8"/>
        <v>1.2916666666666667</v>
      </c>
      <c r="P110" s="104"/>
      <c r="Q110" s="106">
        <f t="shared" si="13"/>
        <v>2.541666666666667</v>
      </c>
      <c r="R110" s="141">
        <f t="shared" si="14"/>
        <v>0</v>
      </c>
      <c r="T110" s="110">
        <f t="shared" si="9"/>
        <v>0.49180327868852453</v>
      </c>
      <c r="U110" s="110">
        <f t="shared" si="9"/>
        <v>0.50819672131147542</v>
      </c>
      <c r="V110" s="110">
        <f t="shared" si="9"/>
        <v>0</v>
      </c>
      <c r="W110" s="110">
        <f t="shared" si="10"/>
        <v>1</v>
      </c>
      <c r="Y110" s="142">
        <f>T110*'Co-Processing'!K112*'Feedstock Conversion Rates'!B$13</f>
        <v>2.5872897540983604</v>
      </c>
      <c r="Z110" s="142">
        <f>U110*'Co-Processing'!K112*'Feedstock Conversion Rates'!B$12</f>
        <v>2.7626505040983607</v>
      </c>
      <c r="AA110" s="142">
        <f>V110*'Co-Processing'!K112*'Feedstock Conversion Rates'!B$14</f>
        <v>0</v>
      </c>
      <c r="AB110" s="142">
        <f t="shared" si="7"/>
        <v>5.349940258196721</v>
      </c>
      <c r="AD110" s="142">
        <v>0</v>
      </c>
      <c r="AE110" s="142">
        <v>0</v>
      </c>
      <c r="AF110" s="142">
        <v>0</v>
      </c>
      <c r="AG110" s="142">
        <v>0</v>
      </c>
      <c r="AH110" s="142">
        <v>0</v>
      </c>
    </row>
    <row r="111" spans="1:34" x14ac:dyDescent="0.25">
      <c r="A111" s="96">
        <v>42095</v>
      </c>
      <c r="J111" s="104">
        <f>('Co-Processing'!E113*'Co-Pro Feedstock Breakdown'!J$3*'Feedstock Conversion Rates'!B$13)/12</f>
        <v>1.25</v>
      </c>
      <c r="K111" s="104">
        <f>('Co-Processing'!E113*'Co-Pro Feedstock Breakdown'!K$3*'Feedstock Conversion Rates'!B$12)/12</f>
        <v>1.2916666666666667</v>
      </c>
      <c r="L111" s="106">
        <f t="shared" si="11"/>
        <v>2.541666666666667</v>
      </c>
      <c r="N111" s="104">
        <f t="shared" si="12"/>
        <v>1.25</v>
      </c>
      <c r="O111" s="104">
        <f t="shared" si="8"/>
        <v>1.2916666666666667</v>
      </c>
      <c r="P111" s="104"/>
      <c r="Q111" s="106">
        <f t="shared" si="13"/>
        <v>2.541666666666667</v>
      </c>
      <c r="R111" s="141">
        <f t="shared" si="14"/>
        <v>0</v>
      </c>
      <c r="T111" s="110">
        <f t="shared" si="9"/>
        <v>0.49180327868852453</v>
      </c>
      <c r="U111" s="110">
        <f t="shared" si="9"/>
        <v>0.50819672131147542</v>
      </c>
      <c r="V111" s="110">
        <f t="shared" si="9"/>
        <v>0</v>
      </c>
      <c r="W111" s="110">
        <f t="shared" si="10"/>
        <v>1</v>
      </c>
      <c r="Y111" s="142">
        <f>T111*'Co-Processing'!K113*'Feedstock Conversion Rates'!B$13</f>
        <v>2.0584622950819669</v>
      </c>
      <c r="Z111" s="142">
        <f>U111*'Co-Processing'!K113*'Feedstock Conversion Rates'!B$12</f>
        <v>2.1979802950819671</v>
      </c>
      <c r="AA111" s="142">
        <f>V111*'Co-Processing'!K113*'Feedstock Conversion Rates'!B$14</f>
        <v>0</v>
      </c>
      <c r="AB111" s="142">
        <f t="shared" si="7"/>
        <v>4.2564425901639336</v>
      </c>
      <c r="AD111" s="142">
        <v>0</v>
      </c>
      <c r="AE111" s="142">
        <v>0</v>
      </c>
      <c r="AF111" s="142">
        <v>0</v>
      </c>
      <c r="AG111" s="142">
        <v>0</v>
      </c>
      <c r="AH111" s="142">
        <v>0</v>
      </c>
    </row>
    <row r="112" spans="1:34" x14ac:dyDescent="0.25">
      <c r="A112" s="96">
        <v>42125</v>
      </c>
      <c r="J112" s="104">
        <f>('Co-Processing'!E114*'Co-Pro Feedstock Breakdown'!J$3*'Feedstock Conversion Rates'!B$13)/12</f>
        <v>1.25</v>
      </c>
      <c r="K112" s="104">
        <f>('Co-Processing'!E114*'Co-Pro Feedstock Breakdown'!K$3*'Feedstock Conversion Rates'!B$12)/12</f>
        <v>1.2916666666666667</v>
      </c>
      <c r="L112" s="106">
        <f t="shared" si="11"/>
        <v>2.541666666666667</v>
      </c>
      <c r="N112" s="104">
        <f t="shared" si="12"/>
        <v>1.25</v>
      </c>
      <c r="O112" s="104">
        <f t="shared" si="8"/>
        <v>1.2916666666666667</v>
      </c>
      <c r="P112" s="104"/>
      <c r="Q112" s="106">
        <f t="shared" si="13"/>
        <v>2.541666666666667</v>
      </c>
      <c r="R112" s="141">
        <f t="shared" si="14"/>
        <v>0</v>
      </c>
      <c r="T112" s="110">
        <f t="shared" si="9"/>
        <v>0.49180327868852453</v>
      </c>
      <c r="U112" s="110">
        <f t="shared" si="9"/>
        <v>0.50819672131147542</v>
      </c>
      <c r="V112" s="110">
        <f t="shared" si="9"/>
        <v>0</v>
      </c>
      <c r="W112" s="110">
        <f t="shared" si="10"/>
        <v>1</v>
      </c>
      <c r="Y112" s="142">
        <f>T112*'Co-Processing'!K114*'Feedstock Conversion Rates'!B$13</f>
        <v>1.2580413934426229</v>
      </c>
      <c r="Z112" s="142">
        <f>U112*'Co-Processing'!K114*'Feedstock Conversion Rates'!B$12</f>
        <v>1.3433086434426229</v>
      </c>
      <c r="AA112" s="142">
        <f>V112*'Co-Processing'!K114*'Feedstock Conversion Rates'!B$14</f>
        <v>0</v>
      </c>
      <c r="AB112" s="142">
        <f t="shared" si="7"/>
        <v>2.601350036885246</v>
      </c>
      <c r="AD112" s="142">
        <v>0</v>
      </c>
      <c r="AE112" s="142">
        <v>0</v>
      </c>
      <c r="AF112" s="142">
        <v>0</v>
      </c>
      <c r="AG112" s="142">
        <v>0</v>
      </c>
      <c r="AH112" s="142">
        <v>0</v>
      </c>
    </row>
    <row r="113" spans="1:34" x14ac:dyDescent="0.25">
      <c r="A113" s="96">
        <v>42156</v>
      </c>
      <c r="J113" s="104">
        <f>('Co-Processing'!E115*'Co-Pro Feedstock Breakdown'!J$3*'Feedstock Conversion Rates'!B$13)/12</f>
        <v>1.25</v>
      </c>
      <c r="K113" s="104">
        <f>('Co-Processing'!E115*'Co-Pro Feedstock Breakdown'!K$3*'Feedstock Conversion Rates'!B$12)/12</f>
        <v>1.2916666666666667</v>
      </c>
      <c r="L113" s="106">
        <f t="shared" si="11"/>
        <v>2.541666666666667</v>
      </c>
      <c r="N113" s="104">
        <f t="shared" si="12"/>
        <v>1.25</v>
      </c>
      <c r="O113" s="104">
        <f t="shared" si="8"/>
        <v>1.2916666666666667</v>
      </c>
      <c r="P113" s="104"/>
      <c r="Q113" s="106">
        <f t="shared" si="13"/>
        <v>2.541666666666667</v>
      </c>
      <c r="R113" s="141">
        <f t="shared" si="14"/>
        <v>0</v>
      </c>
      <c r="T113" s="110">
        <f t="shared" si="9"/>
        <v>0.49180327868852453</v>
      </c>
      <c r="U113" s="110">
        <f t="shared" si="9"/>
        <v>0.50819672131147542</v>
      </c>
      <c r="V113" s="110">
        <f t="shared" si="9"/>
        <v>0</v>
      </c>
      <c r="W113" s="110">
        <f t="shared" si="10"/>
        <v>1</v>
      </c>
      <c r="Y113" s="142">
        <f>T113*'Co-Processing'!K115*'Feedstock Conversion Rates'!B$13</f>
        <v>2.0067307377049177</v>
      </c>
      <c r="Z113" s="142">
        <f>U113*'Co-Processing'!K115*'Feedstock Conversion Rates'!B$12</f>
        <v>2.1427424877049179</v>
      </c>
      <c r="AA113" s="142">
        <f>V113*'Co-Processing'!K115*'Feedstock Conversion Rates'!B$14</f>
        <v>0</v>
      </c>
      <c r="AB113" s="142">
        <f t="shared" si="7"/>
        <v>4.1494732254098352</v>
      </c>
      <c r="AD113" s="142">
        <v>0</v>
      </c>
      <c r="AE113" s="142">
        <v>0</v>
      </c>
      <c r="AF113" s="142">
        <v>0</v>
      </c>
      <c r="AG113" s="142">
        <v>0</v>
      </c>
      <c r="AH113" s="142">
        <v>0</v>
      </c>
    </row>
    <row r="114" spans="1:34" x14ac:dyDescent="0.25">
      <c r="A114" s="96">
        <v>42186</v>
      </c>
      <c r="J114" s="104">
        <f>('Co-Processing'!E116*'Co-Pro Feedstock Breakdown'!J$3*'Feedstock Conversion Rates'!B$13)/12</f>
        <v>1.25</v>
      </c>
      <c r="K114" s="104">
        <f>('Co-Processing'!E116*'Co-Pro Feedstock Breakdown'!K$3*'Feedstock Conversion Rates'!B$12)/12</f>
        <v>1.2916666666666667</v>
      </c>
      <c r="L114" s="106">
        <f t="shared" si="11"/>
        <v>2.541666666666667</v>
      </c>
      <c r="N114" s="104">
        <f t="shared" si="12"/>
        <v>1.25</v>
      </c>
      <c r="O114" s="104">
        <f t="shared" si="8"/>
        <v>1.2916666666666667</v>
      </c>
      <c r="P114" s="104"/>
      <c r="Q114" s="106">
        <f t="shared" si="13"/>
        <v>2.541666666666667</v>
      </c>
      <c r="R114" s="141">
        <f t="shared" si="14"/>
        <v>0</v>
      </c>
      <c r="T114" s="110">
        <f t="shared" si="9"/>
        <v>0.49180327868852453</v>
      </c>
      <c r="U114" s="110">
        <f t="shared" si="9"/>
        <v>0.50819672131147542</v>
      </c>
      <c r="V114" s="110">
        <f t="shared" si="9"/>
        <v>0</v>
      </c>
      <c r="W114" s="110">
        <f t="shared" si="10"/>
        <v>1</v>
      </c>
      <c r="Y114" s="142">
        <f>T114*'Co-Processing'!K116*'Feedstock Conversion Rates'!B$13</f>
        <v>1.7564090163934425</v>
      </c>
      <c r="Z114" s="142">
        <f>U114*'Co-Processing'!K116*'Feedstock Conversion Rates'!B$12</f>
        <v>1.8754545163934426</v>
      </c>
      <c r="AA114" s="142">
        <f>V114*'Co-Processing'!K116*'Feedstock Conversion Rates'!B$14</f>
        <v>0</v>
      </c>
      <c r="AB114" s="142">
        <f t="shared" si="7"/>
        <v>3.6318635327868849</v>
      </c>
      <c r="AD114" s="142">
        <v>0</v>
      </c>
      <c r="AE114" s="142">
        <v>0</v>
      </c>
      <c r="AF114" s="142">
        <v>0</v>
      </c>
      <c r="AG114" s="142">
        <v>0</v>
      </c>
      <c r="AH114" s="142">
        <v>0</v>
      </c>
    </row>
    <row r="115" spans="1:34" x14ac:dyDescent="0.25">
      <c r="A115" s="96">
        <v>42217</v>
      </c>
      <c r="J115" s="104">
        <f>('Co-Processing'!E117*'Co-Pro Feedstock Breakdown'!J$3*'Feedstock Conversion Rates'!B$13)/12</f>
        <v>1.25</v>
      </c>
      <c r="K115" s="104">
        <f>('Co-Processing'!E117*'Co-Pro Feedstock Breakdown'!K$3*'Feedstock Conversion Rates'!B$12)/12</f>
        <v>1.2916666666666667</v>
      </c>
      <c r="L115" s="106">
        <f t="shared" si="11"/>
        <v>2.541666666666667</v>
      </c>
      <c r="N115" s="104">
        <f t="shared" si="12"/>
        <v>1.25</v>
      </c>
      <c r="O115" s="104">
        <f t="shared" si="8"/>
        <v>1.2916666666666667</v>
      </c>
      <c r="P115" s="104"/>
      <c r="Q115" s="106">
        <f t="shared" si="13"/>
        <v>2.541666666666667</v>
      </c>
      <c r="R115" s="141">
        <f t="shared" si="14"/>
        <v>0</v>
      </c>
      <c r="T115" s="110">
        <f t="shared" si="9"/>
        <v>0.49180327868852453</v>
      </c>
      <c r="U115" s="110">
        <f t="shared" si="9"/>
        <v>0.50819672131147542</v>
      </c>
      <c r="V115" s="110">
        <f t="shared" si="9"/>
        <v>0</v>
      </c>
      <c r="W115" s="110">
        <f t="shared" si="10"/>
        <v>1</v>
      </c>
      <c r="Y115" s="142">
        <f>T115*'Co-Processing'!K117*'Feedstock Conversion Rates'!B$13</f>
        <v>1.6415262295081963</v>
      </c>
      <c r="Z115" s="142">
        <f>U115*'Co-Processing'!K117*'Feedstock Conversion Rates'!B$12</f>
        <v>1.7527852295081967</v>
      </c>
      <c r="AA115" s="142">
        <f>V115*'Co-Processing'!K117*'Feedstock Conversion Rates'!B$14</f>
        <v>0</v>
      </c>
      <c r="AB115" s="142">
        <f t="shared" si="7"/>
        <v>3.394311459016393</v>
      </c>
      <c r="AD115" s="142">
        <v>0</v>
      </c>
      <c r="AE115" s="142">
        <v>0</v>
      </c>
      <c r="AF115" s="142">
        <v>0</v>
      </c>
      <c r="AG115" s="142">
        <v>0</v>
      </c>
      <c r="AH115" s="142">
        <v>0</v>
      </c>
    </row>
    <row r="116" spans="1:34" x14ac:dyDescent="0.25">
      <c r="A116" s="96">
        <v>42248</v>
      </c>
      <c r="J116" s="104">
        <f>('Co-Processing'!E118*'Co-Pro Feedstock Breakdown'!J$3*'Feedstock Conversion Rates'!B$13)/12</f>
        <v>1.25</v>
      </c>
      <c r="K116" s="104">
        <f>('Co-Processing'!E118*'Co-Pro Feedstock Breakdown'!K$3*'Feedstock Conversion Rates'!B$12)/12</f>
        <v>1.2916666666666667</v>
      </c>
      <c r="L116" s="106">
        <f t="shared" si="11"/>
        <v>2.541666666666667</v>
      </c>
      <c r="N116" s="104">
        <f t="shared" si="12"/>
        <v>1.25</v>
      </c>
      <c r="O116" s="104">
        <f t="shared" si="8"/>
        <v>1.2916666666666667</v>
      </c>
      <c r="P116" s="104"/>
      <c r="Q116" s="106">
        <f t="shared" si="13"/>
        <v>2.541666666666667</v>
      </c>
      <c r="R116" s="141">
        <f t="shared" si="14"/>
        <v>0</v>
      </c>
      <c r="T116" s="110">
        <f t="shared" si="9"/>
        <v>0.49180327868852453</v>
      </c>
      <c r="U116" s="110">
        <f t="shared" si="9"/>
        <v>0.50819672131147542</v>
      </c>
      <c r="V116" s="110">
        <f t="shared" si="9"/>
        <v>0</v>
      </c>
      <c r="W116" s="110">
        <f t="shared" si="10"/>
        <v>1</v>
      </c>
      <c r="Y116" s="142">
        <f>T116*'Co-Processing'!K118*'Feedstock Conversion Rates'!B$13</f>
        <v>1.366048770491803</v>
      </c>
      <c r="Z116" s="142">
        <f>U116*'Co-Processing'!K118*'Feedstock Conversion Rates'!B$12</f>
        <v>1.4586365204918033</v>
      </c>
      <c r="AA116" s="142">
        <f>V116*'Co-Processing'!K118*'Feedstock Conversion Rates'!B$14</f>
        <v>0</v>
      </c>
      <c r="AB116" s="142">
        <f t="shared" si="7"/>
        <v>2.8246852909836062</v>
      </c>
      <c r="AD116" s="142">
        <v>0</v>
      </c>
      <c r="AE116" s="142">
        <v>0</v>
      </c>
      <c r="AF116" s="142">
        <v>0</v>
      </c>
      <c r="AG116" s="142">
        <v>0</v>
      </c>
      <c r="AH116" s="142">
        <v>0</v>
      </c>
    </row>
    <row r="117" spans="1:34" x14ac:dyDescent="0.25">
      <c r="A117" s="96">
        <v>42278</v>
      </c>
      <c r="J117" s="104">
        <f>('Co-Processing'!E119*'Co-Pro Feedstock Breakdown'!J$3*'Feedstock Conversion Rates'!B$13)/12</f>
        <v>1.25</v>
      </c>
      <c r="K117" s="104">
        <f>('Co-Processing'!E119*'Co-Pro Feedstock Breakdown'!K$3*'Feedstock Conversion Rates'!B$12)/12</f>
        <v>1.2916666666666667</v>
      </c>
      <c r="L117" s="106">
        <f t="shared" si="11"/>
        <v>2.541666666666667</v>
      </c>
      <c r="N117" s="104">
        <f t="shared" si="12"/>
        <v>1.25</v>
      </c>
      <c r="O117" s="104">
        <f t="shared" si="8"/>
        <v>1.2916666666666667</v>
      </c>
      <c r="P117" s="104"/>
      <c r="Q117" s="106">
        <f t="shared" si="13"/>
        <v>2.541666666666667</v>
      </c>
      <c r="R117" s="141">
        <f t="shared" si="14"/>
        <v>0</v>
      </c>
      <c r="T117" s="110">
        <f t="shared" si="9"/>
        <v>0.49180327868852453</v>
      </c>
      <c r="U117" s="110">
        <f t="shared" si="9"/>
        <v>0.50819672131147542</v>
      </c>
      <c r="V117" s="110">
        <f t="shared" si="9"/>
        <v>0</v>
      </c>
      <c r="W117" s="110">
        <f t="shared" si="10"/>
        <v>1</v>
      </c>
      <c r="Y117" s="142">
        <f>T117*'Co-Processing'!K119*'Feedstock Conversion Rates'!B$13</f>
        <v>1.3893491803278686</v>
      </c>
      <c r="Z117" s="142">
        <f>U117*'Co-Processing'!K119*'Feedstock Conversion Rates'!B$12</f>
        <v>1.4835161803278689</v>
      </c>
      <c r="AA117" s="142">
        <f>V117*'Co-Processing'!K119*'Feedstock Conversion Rates'!B$14</f>
        <v>0</v>
      </c>
      <c r="AB117" s="142">
        <f t="shared" si="7"/>
        <v>2.8728653606557373</v>
      </c>
      <c r="AD117" s="142">
        <v>0</v>
      </c>
      <c r="AE117" s="142">
        <v>0</v>
      </c>
      <c r="AF117" s="142">
        <v>0</v>
      </c>
      <c r="AG117" s="142">
        <v>0</v>
      </c>
      <c r="AH117" s="142">
        <v>0</v>
      </c>
    </row>
    <row r="118" spans="1:34" x14ac:dyDescent="0.25">
      <c r="A118" s="96">
        <v>42309</v>
      </c>
      <c r="J118" s="104">
        <f>('Co-Processing'!E120*'Co-Pro Feedstock Breakdown'!J$3*'Feedstock Conversion Rates'!B$13)/12</f>
        <v>1.25</v>
      </c>
      <c r="K118" s="104">
        <f>('Co-Processing'!E120*'Co-Pro Feedstock Breakdown'!K$3*'Feedstock Conversion Rates'!B$12)/12</f>
        <v>1.2916666666666667</v>
      </c>
      <c r="L118" s="106">
        <f t="shared" si="11"/>
        <v>2.541666666666667</v>
      </c>
      <c r="N118" s="104">
        <f t="shared" si="12"/>
        <v>1.25</v>
      </c>
      <c r="O118" s="104">
        <f t="shared" si="8"/>
        <v>1.2916666666666667</v>
      </c>
      <c r="P118" s="104"/>
      <c r="Q118" s="106">
        <f t="shared" si="13"/>
        <v>2.541666666666667</v>
      </c>
      <c r="R118" s="141">
        <f t="shared" si="14"/>
        <v>0</v>
      </c>
      <c r="T118" s="110">
        <f t="shared" si="9"/>
        <v>0.49180327868852453</v>
      </c>
      <c r="U118" s="110">
        <f t="shared" si="9"/>
        <v>0.50819672131147542</v>
      </c>
      <c r="V118" s="110">
        <f t="shared" si="9"/>
        <v>0</v>
      </c>
      <c r="W118" s="110">
        <f t="shared" si="10"/>
        <v>1</v>
      </c>
      <c r="Y118" s="142">
        <f>T118*'Co-Processing'!K120*'Feedstock Conversion Rates'!B$13</f>
        <v>1.1482893442622948</v>
      </c>
      <c r="Z118" s="142">
        <f>U118*'Co-Processing'!K120*'Feedstock Conversion Rates'!B$12</f>
        <v>1.2261178442622951</v>
      </c>
      <c r="AA118" s="142">
        <f>V118*'Co-Processing'!K120*'Feedstock Conversion Rates'!B$14</f>
        <v>0</v>
      </c>
      <c r="AB118" s="142">
        <f t="shared" si="7"/>
        <v>2.3744071885245899</v>
      </c>
      <c r="AD118" s="142">
        <v>0</v>
      </c>
      <c r="AE118" s="142">
        <v>0</v>
      </c>
      <c r="AF118" s="142">
        <v>0</v>
      </c>
      <c r="AG118" s="142">
        <v>0</v>
      </c>
      <c r="AH118" s="142">
        <v>0</v>
      </c>
    </row>
    <row r="119" spans="1:34" x14ac:dyDescent="0.25">
      <c r="A119" s="96">
        <v>42339</v>
      </c>
      <c r="J119" s="104">
        <f>('Co-Processing'!E121*'Co-Pro Feedstock Breakdown'!J$3*'Feedstock Conversion Rates'!B$13)/12</f>
        <v>1.25</v>
      </c>
      <c r="K119" s="104">
        <f>('Co-Processing'!E121*'Co-Pro Feedstock Breakdown'!K$3*'Feedstock Conversion Rates'!B$12)/12</f>
        <v>1.2916666666666667</v>
      </c>
      <c r="L119" s="106">
        <f t="shared" si="11"/>
        <v>2.541666666666667</v>
      </c>
      <c r="N119" s="104">
        <f t="shared" si="12"/>
        <v>1.25</v>
      </c>
      <c r="O119" s="104">
        <f t="shared" si="8"/>
        <v>1.2916666666666667</v>
      </c>
      <c r="P119" s="104"/>
      <c r="Q119" s="106">
        <f t="shared" si="13"/>
        <v>2.541666666666667</v>
      </c>
      <c r="R119" s="141">
        <f t="shared" si="14"/>
        <v>0</v>
      </c>
      <c r="T119" s="110">
        <f t="shared" si="9"/>
        <v>0.49180327868852453</v>
      </c>
      <c r="U119" s="110">
        <f t="shared" si="9"/>
        <v>0.50819672131147542</v>
      </c>
      <c r="V119" s="110">
        <f t="shared" si="9"/>
        <v>0</v>
      </c>
      <c r="W119" s="110">
        <f t="shared" si="10"/>
        <v>1</v>
      </c>
      <c r="Y119" s="142">
        <f>T119*'Co-Processing'!K121*'Feedstock Conversion Rates'!B$13</f>
        <v>1.1022971311475409</v>
      </c>
      <c r="Z119" s="142">
        <f>U119*'Co-Processing'!K121*'Feedstock Conversion Rates'!B$12</f>
        <v>1.1770083811475409</v>
      </c>
      <c r="AA119" s="142">
        <f>V119*'Co-Processing'!K121*'Feedstock Conversion Rates'!B$14</f>
        <v>0</v>
      </c>
      <c r="AB119" s="142">
        <f t="shared" ref="AB119:AB182" si="15">SUM(Y119:AA119)</f>
        <v>2.2793055122950818</v>
      </c>
      <c r="AD119" s="142">
        <v>0</v>
      </c>
      <c r="AE119" s="142">
        <v>0</v>
      </c>
      <c r="AF119" s="142">
        <v>0</v>
      </c>
      <c r="AG119" s="142">
        <v>0</v>
      </c>
      <c r="AH119" s="142">
        <v>0</v>
      </c>
    </row>
    <row r="120" spans="1:34" x14ac:dyDescent="0.25">
      <c r="A120" s="96">
        <v>42370</v>
      </c>
      <c r="J120" s="104">
        <f>('Co-Processing'!E122*'Co-Pro Feedstock Breakdown'!J$3*'Feedstock Conversion Rates'!B$13)/12</f>
        <v>1.25</v>
      </c>
      <c r="K120" s="104">
        <f>('Co-Processing'!E122*'Co-Pro Feedstock Breakdown'!K$3*'Feedstock Conversion Rates'!B$12)/12</f>
        <v>1.2916666666666667</v>
      </c>
      <c r="L120" s="106">
        <f t="shared" si="11"/>
        <v>2.541666666666667</v>
      </c>
      <c r="N120" s="104">
        <f t="shared" si="12"/>
        <v>1.25</v>
      </c>
      <c r="O120" s="104">
        <f t="shared" si="8"/>
        <v>1.2916666666666667</v>
      </c>
      <c r="P120" s="104"/>
      <c r="Q120" s="106">
        <f t="shared" si="13"/>
        <v>2.541666666666667</v>
      </c>
      <c r="R120" s="141">
        <f t="shared" si="14"/>
        <v>0</v>
      </c>
      <c r="T120" s="110">
        <f t="shared" si="9"/>
        <v>0.49180327868852453</v>
      </c>
      <c r="U120" s="110">
        <f t="shared" si="9"/>
        <v>0.50819672131147542</v>
      </c>
      <c r="V120" s="110">
        <f t="shared" si="9"/>
        <v>0</v>
      </c>
      <c r="W120" s="110">
        <f t="shared" si="10"/>
        <v>1</v>
      </c>
      <c r="Y120" s="142">
        <f>T120*'Co-Processing'!K122*'Feedstock Conversion Rates'!B$13</f>
        <v>0.86795040983606542</v>
      </c>
      <c r="Z120" s="142">
        <f>U120*'Co-Processing'!K122*'Feedstock Conversion Rates'!B$12</f>
        <v>0.9267781598360656</v>
      </c>
      <c r="AA120" s="142">
        <f>V120*'Co-Processing'!K122*'Feedstock Conversion Rates'!B$14</f>
        <v>0</v>
      </c>
      <c r="AB120" s="142">
        <f t="shared" si="15"/>
        <v>1.7947285696721309</v>
      </c>
      <c r="AD120" s="142">
        <v>0</v>
      </c>
      <c r="AE120" s="142">
        <v>0</v>
      </c>
      <c r="AF120" s="142">
        <v>0</v>
      </c>
      <c r="AG120" s="142">
        <v>0</v>
      </c>
      <c r="AH120" s="142">
        <v>0</v>
      </c>
    </row>
    <row r="121" spans="1:34" x14ac:dyDescent="0.25">
      <c r="A121" s="96">
        <v>42401</v>
      </c>
      <c r="J121" s="104">
        <f>('Co-Processing'!E123*'Co-Pro Feedstock Breakdown'!J$3*'Feedstock Conversion Rates'!B$13)/12</f>
        <v>1.25</v>
      </c>
      <c r="K121" s="104">
        <f>('Co-Processing'!E123*'Co-Pro Feedstock Breakdown'!K$3*'Feedstock Conversion Rates'!B$12)/12</f>
        <v>1.2916666666666667</v>
      </c>
      <c r="L121" s="106">
        <f t="shared" si="11"/>
        <v>2.541666666666667</v>
      </c>
      <c r="N121" s="104">
        <f t="shared" si="12"/>
        <v>1.25</v>
      </c>
      <c r="O121" s="104">
        <f t="shared" si="8"/>
        <v>1.2916666666666667</v>
      </c>
      <c r="P121" s="104"/>
      <c r="Q121" s="106">
        <f t="shared" si="13"/>
        <v>2.541666666666667</v>
      </c>
      <c r="R121" s="141">
        <f t="shared" si="14"/>
        <v>0</v>
      </c>
      <c r="T121" s="110">
        <f t="shared" si="9"/>
        <v>0.49180327868852453</v>
      </c>
      <c r="U121" s="110">
        <f t="shared" si="9"/>
        <v>0.50819672131147542</v>
      </c>
      <c r="V121" s="110">
        <f t="shared" si="9"/>
        <v>0</v>
      </c>
      <c r="W121" s="110">
        <f t="shared" si="10"/>
        <v>1</v>
      </c>
      <c r="Y121" s="142">
        <f>T121*'Co-Processing'!K123*'Feedstock Conversion Rates'!B$13</f>
        <v>1.1153028688524589</v>
      </c>
      <c r="Z121" s="142">
        <f>U121*'Co-Processing'!K123*'Feedstock Conversion Rates'!B$12</f>
        <v>1.1908956188524591</v>
      </c>
      <c r="AA121" s="142">
        <f>V121*'Co-Processing'!K123*'Feedstock Conversion Rates'!B$14</f>
        <v>0</v>
      </c>
      <c r="AB121" s="142">
        <f t="shared" si="15"/>
        <v>2.306198487704918</v>
      </c>
      <c r="AD121" s="142">
        <v>0</v>
      </c>
      <c r="AE121" s="142">
        <v>0</v>
      </c>
      <c r="AF121" s="142">
        <v>0</v>
      </c>
      <c r="AG121" s="142">
        <v>0</v>
      </c>
      <c r="AH121" s="142">
        <v>0</v>
      </c>
    </row>
    <row r="122" spans="1:34" x14ac:dyDescent="0.25">
      <c r="A122" s="96">
        <v>42430</v>
      </c>
      <c r="J122" s="104">
        <f>('Co-Processing'!E124*'Co-Pro Feedstock Breakdown'!J$3*'Feedstock Conversion Rates'!B$13)/12</f>
        <v>1.25</v>
      </c>
      <c r="K122" s="104">
        <f>('Co-Processing'!E124*'Co-Pro Feedstock Breakdown'!K$3*'Feedstock Conversion Rates'!B$12)/12</f>
        <v>1.2916666666666667</v>
      </c>
      <c r="L122" s="106">
        <f t="shared" si="11"/>
        <v>2.541666666666667</v>
      </c>
      <c r="N122" s="104">
        <f t="shared" si="12"/>
        <v>1.25</v>
      </c>
      <c r="O122" s="104">
        <f t="shared" si="8"/>
        <v>1.2916666666666667</v>
      </c>
      <c r="P122" s="104"/>
      <c r="Q122" s="106">
        <f t="shared" si="13"/>
        <v>2.541666666666667</v>
      </c>
      <c r="R122" s="141">
        <f t="shared" si="14"/>
        <v>0</v>
      </c>
      <c r="T122" s="110">
        <f t="shared" si="9"/>
        <v>0.49180327868852453</v>
      </c>
      <c r="U122" s="110">
        <f t="shared" si="9"/>
        <v>0.50819672131147542</v>
      </c>
      <c r="V122" s="110">
        <f t="shared" si="9"/>
        <v>0</v>
      </c>
      <c r="W122" s="110">
        <f t="shared" si="10"/>
        <v>1</v>
      </c>
      <c r="Y122" s="142">
        <f>T122*'Co-Processing'!K124*'Feedstock Conversion Rates'!B$13</f>
        <v>1.6735684426229505</v>
      </c>
      <c r="Z122" s="142">
        <f>U122*'Co-Processing'!K124*'Feedstock Conversion Rates'!B$12</f>
        <v>1.7869991926229509</v>
      </c>
      <c r="AA122" s="142">
        <f>V122*'Co-Processing'!K124*'Feedstock Conversion Rates'!B$14</f>
        <v>0</v>
      </c>
      <c r="AB122" s="142">
        <f t="shared" si="15"/>
        <v>3.4605676352459014</v>
      </c>
      <c r="AD122" s="142">
        <v>0</v>
      </c>
      <c r="AE122" s="142">
        <v>0</v>
      </c>
      <c r="AF122" s="142">
        <v>0</v>
      </c>
      <c r="AG122" s="142">
        <v>0</v>
      </c>
      <c r="AH122" s="142">
        <v>0</v>
      </c>
    </row>
    <row r="123" spans="1:34" x14ac:dyDescent="0.25">
      <c r="A123" s="96">
        <v>42461</v>
      </c>
      <c r="J123" s="104">
        <f>('Co-Processing'!E125*'Co-Pro Feedstock Breakdown'!J$3*'Feedstock Conversion Rates'!B$13)/12</f>
        <v>1.25</v>
      </c>
      <c r="K123" s="104">
        <f>('Co-Processing'!E125*'Co-Pro Feedstock Breakdown'!K$3*'Feedstock Conversion Rates'!B$12)/12</f>
        <v>1.2916666666666667</v>
      </c>
      <c r="L123" s="106">
        <f t="shared" si="11"/>
        <v>2.541666666666667</v>
      </c>
      <c r="N123" s="104">
        <f t="shared" si="12"/>
        <v>1.25</v>
      </c>
      <c r="O123" s="104">
        <f t="shared" si="8"/>
        <v>1.2916666666666667</v>
      </c>
      <c r="P123" s="104"/>
      <c r="Q123" s="106">
        <f t="shared" si="13"/>
        <v>2.541666666666667</v>
      </c>
      <c r="R123" s="141">
        <f t="shared" si="14"/>
        <v>0</v>
      </c>
      <c r="T123" s="110">
        <f t="shared" si="9"/>
        <v>0.49180327868852453</v>
      </c>
      <c r="U123" s="110">
        <f t="shared" si="9"/>
        <v>0.50819672131147542</v>
      </c>
      <c r="V123" s="110">
        <f t="shared" si="9"/>
        <v>0</v>
      </c>
      <c r="W123" s="110">
        <f t="shared" si="10"/>
        <v>1</v>
      </c>
      <c r="Y123" s="142">
        <f>T123*'Co-Processing'!K125*'Feedstock Conversion Rates'!B$13</f>
        <v>1.4421172131147537</v>
      </c>
      <c r="Z123" s="142">
        <f>U123*'Co-Processing'!K125*'Feedstock Conversion Rates'!B$12</f>
        <v>1.5398607131147541</v>
      </c>
      <c r="AA123" s="142">
        <f>V123*'Co-Processing'!K125*'Feedstock Conversion Rates'!B$14</f>
        <v>0</v>
      </c>
      <c r="AB123" s="142">
        <f t="shared" si="15"/>
        <v>2.9819779262295079</v>
      </c>
      <c r="AD123" s="142">
        <v>0</v>
      </c>
      <c r="AE123" s="142">
        <v>0</v>
      </c>
      <c r="AF123" s="142">
        <v>0</v>
      </c>
      <c r="AG123" s="142">
        <v>0</v>
      </c>
      <c r="AH123" s="142">
        <v>0</v>
      </c>
    </row>
    <row r="124" spans="1:34" x14ac:dyDescent="0.25">
      <c r="A124" s="96">
        <v>42491</v>
      </c>
      <c r="J124" s="104">
        <f>('Co-Processing'!E126*'Co-Pro Feedstock Breakdown'!J$3*'Feedstock Conversion Rates'!B$13)/12</f>
        <v>1.25</v>
      </c>
      <c r="K124" s="104">
        <f>('Co-Processing'!E126*'Co-Pro Feedstock Breakdown'!K$3*'Feedstock Conversion Rates'!B$12)/12</f>
        <v>1.2916666666666667</v>
      </c>
      <c r="L124" s="106">
        <f t="shared" si="11"/>
        <v>2.541666666666667</v>
      </c>
      <c r="N124" s="104">
        <f t="shared" si="12"/>
        <v>1.25</v>
      </c>
      <c r="O124" s="104">
        <f t="shared" si="8"/>
        <v>1.2916666666666667</v>
      </c>
      <c r="P124" s="104"/>
      <c r="Q124" s="106">
        <f t="shared" si="13"/>
        <v>2.541666666666667</v>
      </c>
      <c r="R124" s="141">
        <f t="shared" si="14"/>
        <v>0</v>
      </c>
      <c r="T124" s="110">
        <f t="shared" si="9"/>
        <v>0.49180327868852453</v>
      </c>
      <c r="U124" s="110">
        <f t="shared" si="9"/>
        <v>0.50819672131147542</v>
      </c>
      <c r="V124" s="110">
        <f t="shared" si="9"/>
        <v>0</v>
      </c>
      <c r="W124" s="110">
        <f t="shared" si="10"/>
        <v>1</v>
      </c>
      <c r="Y124" s="142">
        <f>T124*'Co-Processing'!K126*'Feedstock Conversion Rates'!B$13</f>
        <v>1.140141393442623</v>
      </c>
      <c r="Z124" s="142">
        <f>U124*'Co-Processing'!K126*'Feedstock Conversion Rates'!B$12</f>
        <v>1.2174176434426232</v>
      </c>
      <c r="AA124" s="142">
        <f>V124*'Co-Processing'!K126*'Feedstock Conversion Rates'!B$14</f>
        <v>0</v>
      </c>
      <c r="AB124" s="142">
        <f t="shared" si="15"/>
        <v>2.3575590368852462</v>
      </c>
      <c r="AD124" s="142">
        <v>0</v>
      </c>
      <c r="AE124" s="142">
        <v>0</v>
      </c>
      <c r="AF124" s="142">
        <v>0</v>
      </c>
      <c r="AG124" s="142">
        <v>0</v>
      </c>
      <c r="AH124" s="142">
        <v>0</v>
      </c>
    </row>
    <row r="125" spans="1:34" x14ac:dyDescent="0.25">
      <c r="A125" s="96">
        <v>42522</v>
      </c>
      <c r="J125" s="104">
        <f>('Co-Processing'!E127*'Co-Pro Feedstock Breakdown'!J$3*'Feedstock Conversion Rates'!B$13)/12</f>
        <v>1.25</v>
      </c>
      <c r="K125" s="104">
        <f>('Co-Processing'!E127*'Co-Pro Feedstock Breakdown'!K$3*'Feedstock Conversion Rates'!B$12)/12</f>
        <v>1.2916666666666667</v>
      </c>
      <c r="L125" s="106">
        <f t="shared" si="11"/>
        <v>2.541666666666667</v>
      </c>
      <c r="N125" s="104">
        <f t="shared" si="12"/>
        <v>1.25</v>
      </c>
      <c r="O125" s="104">
        <f t="shared" si="8"/>
        <v>1.2916666666666667</v>
      </c>
      <c r="P125" s="104"/>
      <c r="Q125" s="106">
        <f t="shared" si="13"/>
        <v>2.541666666666667</v>
      </c>
      <c r="R125" s="141">
        <f t="shared" si="14"/>
        <v>0</v>
      </c>
      <c r="T125" s="110">
        <f t="shared" si="9"/>
        <v>0.49180327868852453</v>
      </c>
      <c r="U125" s="110">
        <f t="shared" si="9"/>
        <v>0.50819672131147542</v>
      </c>
      <c r="V125" s="110">
        <f t="shared" si="9"/>
        <v>0</v>
      </c>
      <c r="W125" s="110">
        <f t="shared" si="10"/>
        <v>1</v>
      </c>
      <c r="Y125" s="142">
        <f>T125*'Co-Processing'!K127*'Feedstock Conversion Rates'!B$13</f>
        <v>1.9405733606557376</v>
      </c>
      <c r="Z125" s="142">
        <f>U125*'Co-Processing'!K127*'Feedstock Conversion Rates'!B$12</f>
        <v>2.0721011106557379</v>
      </c>
      <c r="AA125" s="142">
        <f>V125*'Co-Processing'!K127*'Feedstock Conversion Rates'!B$14</f>
        <v>0</v>
      </c>
      <c r="AB125" s="142">
        <f t="shared" si="15"/>
        <v>4.0126744713114757</v>
      </c>
      <c r="AD125" s="142">
        <v>0</v>
      </c>
      <c r="AE125" s="142">
        <v>0</v>
      </c>
      <c r="AF125" s="142">
        <v>0</v>
      </c>
      <c r="AG125" s="142">
        <v>0</v>
      </c>
      <c r="AH125" s="142">
        <v>0</v>
      </c>
    </row>
    <row r="126" spans="1:34" x14ac:dyDescent="0.25">
      <c r="A126" s="96">
        <v>42552</v>
      </c>
      <c r="J126" s="104">
        <f>('Co-Processing'!E128*'Co-Pro Feedstock Breakdown'!J$3*'Feedstock Conversion Rates'!B$13)/12</f>
        <v>1.25</v>
      </c>
      <c r="K126" s="104">
        <f>('Co-Processing'!E128*'Co-Pro Feedstock Breakdown'!K$3*'Feedstock Conversion Rates'!B$12)/12</f>
        <v>1.2916666666666667</v>
      </c>
      <c r="L126" s="106">
        <f t="shared" si="11"/>
        <v>2.541666666666667</v>
      </c>
      <c r="N126" s="104">
        <f t="shared" si="12"/>
        <v>1.25</v>
      </c>
      <c r="O126" s="104">
        <f t="shared" si="8"/>
        <v>1.2916666666666667</v>
      </c>
      <c r="P126" s="104"/>
      <c r="Q126" s="106">
        <f t="shared" si="13"/>
        <v>2.541666666666667</v>
      </c>
      <c r="R126" s="141">
        <f t="shared" si="14"/>
        <v>0</v>
      </c>
      <c r="T126" s="110">
        <f t="shared" si="9"/>
        <v>0.49180327868852453</v>
      </c>
      <c r="U126" s="110">
        <f t="shared" si="9"/>
        <v>0.50819672131147542</v>
      </c>
      <c r="V126" s="110">
        <f t="shared" si="9"/>
        <v>0</v>
      </c>
      <c r="W126" s="110">
        <f t="shared" si="10"/>
        <v>1</v>
      </c>
      <c r="Y126" s="142">
        <f>T126*'Co-Processing'!K128*'Feedstock Conversion Rates'!B$13</f>
        <v>1.5683348360655733</v>
      </c>
      <c r="Z126" s="142">
        <f>U126*'Co-Processing'!K128*'Feedstock Conversion Rates'!B$12</f>
        <v>1.6746330860655738</v>
      </c>
      <c r="AA126" s="142">
        <f>V126*'Co-Processing'!K128*'Feedstock Conversion Rates'!B$14</f>
        <v>0</v>
      </c>
      <c r="AB126" s="142">
        <f t="shared" si="15"/>
        <v>3.2429679221311472</v>
      </c>
      <c r="AD126" s="142">
        <v>0</v>
      </c>
      <c r="AE126" s="142">
        <v>0</v>
      </c>
      <c r="AF126" s="142">
        <v>0</v>
      </c>
      <c r="AG126" s="142">
        <v>0</v>
      </c>
      <c r="AH126" s="142">
        <v>0</v>
      </c>
    </row>
    <row r="127" spans="1:34" x14ac:dyDescent="0.25">
      <c r="A127" s="96">
        <v>42583</v>
      </c>
      <c r="J127" s="104">
        <f>('Co-Processing'!E129*'Co-Pro Feedstock Breakdown'!J$3*'Feedstock Conversion Rates'!B$13)/12</f>
        <v>1.25</v>
      </c>
      <c r="K127" s="104">
        <f>('Co-Processing'!E129*'Co-Pro Feedstock Breakdown'!K$3*'Feedstock Conversion Rates'!B$12)/12</f>
        <v>1.2916666666666667</v>
      </c>
      <c r="L127" s="106">
        <f t="shared" si="11"/>
        <v>2.541666666666667</v>
      </c>
      <c r="N127" s="104">
        <f t="shared" si="12"/>
        <v>1.25</v>
      </c>
      <c r="O127" s="104">
        <f t="shared" si="8"/>
        <v>1.2916666666666667</v>
      </c>
      <c r="P127" s="104"/>
      <c r="Q127" s="106">
        <f t="shared" si="13"/>
        <v>2.541666666666667</v>
      </c>
      <c r="R127" s="141">
        <f t="shared" si="14"/>
        <v>0</v>
      </c>
      <c r="T127" s="110">
        <f t="shared" si="9"/>
        <v>0.49180327868852453</v>
      </c>
      <c r="U127" s="110">
        <f t="shared" si="9"/>
        <v>0.50819672131147542</v>
      </c>
      <c r="V127" s="110">
        <f t="shared" si="9"/>
        <v>0</v>
      </c>
      <c r="W127" s="110">
        <f t="shared" si="10"/>
        <v>1</v>
      </c>
      <c r="Y127" s="142">
        <f>T127*'Co-Processing'!K129*'Feedstock Conversion Rates'!B$13</f>
        <v>1.7513668032786882</v>
      </c>
      <c r="Z127" s="142">
        <f>U127*'Co-Processing'!K129*'Feedstock Conversion Rates'!B$12</f>
        <v>1.8700705532786885</v>
      </c>
      <c r="AA127" s="142">
        <f>V127*'Co-Processing'!K129*'Feedstock Conversion Rates'!B$14</f>
        <v>0</v>
      </c>
      <c r="AB127" s="142">
        <f t="shared" si="15"/>
        <v>3.6214373565573768</v>
      </c>
      <c r="AD127" s="142">
        <v>0</v>
      </c>
      <c r="AE127" s="142">
        <v>0</v>
      </c>
      <c r="AF127" s="142">
        <v>0</v>
      </c>
      <c r="AG127" s="142">
        <v>0</v>
      </c>
      <c r="AH127" s="142">
        <v>0</v>
      </c>
    </row>
    <row r="128" spans="1:34" x14ac:dyDescent="0.25">
      <c r="A128" s="96">
        <v>42614</v>
      </c>
      <c r="J128" s="104">
        <f>('Co-Processing'!E130*'Co-Pro Feedstock Breakdown'!J$3*'Feedstock Conversion Rates'!B$13)/12</f>
        <v>1.25</v>
      </c>
      <c r="K128" s="104">
        <f>('Co-Processing'!E130*'Co-Pro Feedstock Breakdown'!K$3*'Feedstock Conversion Rates'!B$12)/12</f>
        <v>1.2916666666666667</v>
      </c>
      <c r="L128" s="106">
        <f t="shared" si="11"/>
        <v>2.541666666666667</v>
      </c>
      <c r="N128" s="104">
        <f t="shared" si="12"/>
        <v>1.25</v>
      </c>
      <c r="O128" s="104">
        <f t="shared" si="8"/>
        <v>1.2916666666666667</v>
      </c>
      <c r="P128" s="104"/>
      <c r="Q128" s="106">
        <f t="shared" si="13"/>
        <v>2.541666666666667</v>
      </c>
      <c r="R128" s="141">
        <f t="shared" si="14"/>
        <v>0</v>
      </c>
      <c r="T128" s="110">
        <f t="shared" si="9"/>
        <v>0.49180327868852453</v>
      </c>
      <c r="U128" s="110">
        <f t="shared" si="9"/>
        <v>0.50819672131147542</v>
      </c>
      <c r="V128" s="110">
        <f t="shared" si="9"/>
        <v>0</v>
      </c>
      <c r="W128" s="110">
        <f t="shared" si="10"/>
        <v>1</v>
      </c>
      <c r="Y128" s="142">
        <f>T128*'Co-Processing'!K130*'Feedstock Conversion Rates'!B$13</f>
        <v>1.3089725409836064</v>
      </c>
      <c r="Z128" s="142">
        <f>U128*'Co-Processing'!K130*'Feedstock Conversion Rates'!B$12</f>
        <v>1.3976917909836066</v>
      </c>
      <c r="AA128" s="142">
        <f>V128*'Co-Processing'!K130*'Feedstock Conversion Rates'!B$14</f>
        <v>0</v>
      </c>
      <c r="AB128" s="142">
        <f t="shared" si="15"/>
        <v>2.7066643319672128</v>
      </c>
      <c r="AD128" s="142">
        <v>0</v>
      </c>
      <c r="AE128" s="142">
        <v>0</v>
      </c>
      <c r="AF128" s="142">
        <v>0</v>
      </c>
      <c r="AG128" s="142">
        <v>0</v>
      </c>
      <c r="AH128" s="142">
        <v>0</v>
      </c>
    </row>
    <row r="129" spans="1:34" x14ac:dyDescent="0.25">
      <c r="A129" s="96">
        <v>42644</v>
      </c>
      <c r="J129" s="104">
        <f>('Co-Processing'!E131*'Co-Pro Feedstock Breakdown'!J$3*'Feedstock Conversion Rates'!B$13)/12</f>
        <v>1.25</v>
      </c>
      <c r="K129" s="104">
        <f>('Co-Processing'!E131*'Co-Pro Feedstock Breakdown'!K$3*'Feedstock Conversion Rates'!B$12)/12</f>
        <v>1.2916666666666667</v>
      </c>
      <c r="L129" s="106">
        <f t="shared" si="11"/>
        <v>2.541666666666667</v>
      </c>
      <c r="N129" s="104">
        <f t="shared" si="12"/>
        <v>1.25</v>
      </c>
      <c r="O129" s="104">
        <f t="shared" si="8"/>
        <v>1.2916666666666667</v>
      </c>
      <c r="P129" s="104"/>
      <c r="Q129" s="106">
        <f t="shared" si="13"/>
        <v>2.541666666666667</v>
      </c>
      <c r="R129" s="141">
        <f t="shared" si="14"/>
        <v>0</v>
      </c>
      <c r="T129" s="110">
        <f t="shared" si="9"/>
        <v>0.49180327868852453</v>
      </c>
      <c r="U129" s="110">
        <f t="shared" si="9"/>
        <v>0.50819672131147542</v>
      </c>
      <c r="V129" s="110">
        <f t="shared" si="9"/>
        <v>0</v>
      </c>
      <c r="W129" s="110">
        <f t="shared" si="10"/>
        <v>1</v>
      </c>
      <c r="Y129" s="142">
        <f>T129*'Co-Processing'!K131*'Feedstock Conversion Rates'!B$13</f>
        <v>1.9594180327868851</v>
      </c>
      <c r="Z129" s="142">
        <f>U129*'Co-Processing'!K131*'Feedstock Conversion Rates'!B$12</f>
        <v>2.0922230327868854</v>
      </c>
      <c r="AA129" s="142">
        <f>V129*'Co-Processing'!K131*'Feedstock Conversion Rates'!B$14</f>
        <v>0</v>
      </c>
      <c r="AB129" s="142">
        <f t="shared" si="15"/>
        <v>4.0516410655737705</v>
      </c>
      <c r="AD129" s="142">
        <v>0</v>
      </c>
      <c r="AE129" s="142">
        <v>0</v>
      </c>
      <c r="AF129" s="142">
        <v>0</v>
      </c>
      <c r="AG129" s="142">
        <v>0</v>
      </c>
      <c r="AH129" s="142">
        <v>0</v>
      </c>
    </row>
    <row r="130" spans="1:34" x14ac:dyDescent="0.25">
      <c r="A130" s="96">
        <v>42675</v>
      </c>
      <c r="J130" s="104">
        <f>('Co-Processing'!E132*'Co-Pro Feedstock Breakdown'!J$3*'Feedstock Conversion Rates'!B$13)/12</f>
        <v>1.25</v>
      </c>
      <c r="K130" s="104">
        <f>('Co-Processing'!E132*'Co-Pro Feedstock Breakdown'!K$3*'Feedstock Conversion Rates'!B$12)/12</f>
        <v>1.2916666666666667</v>
      </c>
      <c r="L130" s="106">
        <f t="shared" si="11"/>
        <v>2.541666666666667</v>
      </c>
      <c r="N130" s="104">
        <f t="shared" si="12"/>
        <v>1.25</v>
      </c>
      <c r="O130" s="104">
        <f t="shared" si="8"/>
        <v>1.2916666666666667</v>
      </c>
      <c r="P130" s="104"/>
      <c r="Q130" s="106">
        <f t="shared" si="13"/>
        <v>2.541666666666667</v>
      </c>
      <c r="R130" s="141">
        <f t="shared" si="14"/>
        <v>0</v>
      </c>
      <c r="T130" s="110">
        <f t="shared" si="9"/>
        <v>0.49180327868852453</v>
      </c>
      <c r="U130" s="110">
        <f t="shared" si="9"/>
        <v>0.50819672131147542</v>
      </c>
      <c r="V130" s="110">
        <f t="shared" si="9"/>
        <v>0</v>
      </c>
      <c r="W130" s="110">
        <f t="shared" si="10"/>
        <v>1</v>
      </c>
      <c r="Y130" s="142">
        <f>T130*'Co-Processing'!K132*'Feedstock Conversion Rates'!B$13</f>
        <v>1.4146377049180325</v>
      </c>
      <c r="Z130" s="142">
        <f>U130*'Co-Processing'!K132*'Feedstock Conversion Rates'!B$12</f>
        <v>1.5105187049180326</v>
      </c>
      <c r="AA130" s="142">
        <f>V130*'Co-Processing'!K132*'Feedstock Conversion Rates'!B$14</f>
        <v>0</v>
      </c>
      <c r="AB130" s="142">
        <f t="shared" si="15"/>
        <v>2.925156409836065</v>
      </c>
      <c r="AD130" s="142">
        <v>0</v>
      </c>
      <c r="AE130" s="142">
        <v>0</v>
      </c>
      <c r="AF130" s="142">
        <v>0</v>
      </c>
      <c r="AG130" s="142">
        <v>0</v>
      </c>
      <c r="AH130" s="142">
        <v>0</v>
      </c>
    </row>
    <row r="131" spans="1:34" x14ac:dyDescent="0.25">
      <c r="A131" s="96">
        <v>42705</v>
      </c>
      <c r="J131" s="104">
        <f>('Co-Processing'!E133*'Co-Pro Feedstock Breakdown'!J$3*'Feedstock Conversion Rates'!B$13)/12</f>
        <v>1.25</v>
      </c>
      <c r="K131" s="104">
        <f>('Co-Processing'!E133*'Co-Pro Feedstock Breakdown'!K$3*'Feedstock Conversion Rates'!B$12)/12</f>
        <v>1.2916666666666667</v>
      </c>
      <c r="L131" s="106">
        <f t="shared" si="11"/>
        <v>2.541666666666667</v>
      </c>
      <c r="N131" s="104">
        <f t="shared" si="12"/>
        <v>1.25</v>
      </c>
      <c r="O131" s="104">
        <f t="shared" si="8"/>
        <v>1.2916666666666667</v>
      </c>
      <c r="P131" s="104"/>
      <c r="Q131" s="106">
        <f t="shared" si="13"/>
        <v>2.541666666666667</v>
      </c>
      <c r="R131" s="141">
        <f t="shared" si="14"/>
        <v>0</v>
      </c>
      <c r="T131" s="110">
        <f t="shared" si="9"/>
        <v>0.49180327868852453</v>
      </c>
      <c r="U131" s="110">
        <f t="shared" si="9"/>
        <v>0.50819672131147542</v>
      </c>
      <c r="V131" s="110">
        <f t="shared" si="9"/>
        <v>0</v>
      </c>
      <c r="W131" s="110">
        <f t="shared" si="10"/>
        <v>1</v>
      </c>
      <c r="Y131" s="142">
        <f>T131*'Co-Processing'!K133*'Feedstock Conversion Rates'!B$13</f>
        <v>1.0283311475409835</v>
      </c>
      <c r="Z131" s="142">
        <f>U131*'Co-Processing'!K133*'Feedstock Conversion Rates'!B$12</f>
        <v>1.0980291475409836</v>
      </c>
      <c r="AA131" s="142">
        <f>V131*'Co-Processing'!K133*'Feedstock Conversion Rates'!B$14</f>
        <v>0</v>
      </c>
      <c r="AB131" s="142">
        <f t="shared" si="15"/>
        <v>2.1263602950819669</v>
      </c>
      <c r="AD131" s="142">
        <v>0</v>
      </c>
      <c r="AE131" s="142">
        <v>0</v>
      </c>
      <c r="AF131" s="142">
        <v>0</v>
      </c>
      <c r="AG131" s="142">
        <v>0</v>
      </c>
      <c r="AH131" s="142">
        <v>0</v>
      </c>
    </row>
    <row r="132" spans="1:34" x14ac:dyDescent="0.25">
      <c r="A132" s="96">
        <v>42736</v>
      </c>
      <c r="J132" s="104">
        <f>('Co-Processing'!E134*'Co-Pro Feedstock Breakdown'!J$3*'Feedstock Conversion Rates'!B$13)/12</f>
        <v>1.25</v>
      </c>
      <c r="K132" s="104">
        <f>('Co-Processing'!E134*'Co-Pro Feedstock Breakdown'!K$3*'Feedstock Conversion Rates'!B$12)/12</f>
        <v>1.2916666666666667</v>
      </c>
      <c r="L132" s="106">
        <f t="shared" si="11"/>
        <v>2.541666666666667</v>
      </c>
      <c r="N132" s="104">
        <f t="shared" si="12"/>
        <v>1.25</v>
      </c>
      <c r="O132" s="104">
        <f t="shared" ref="O132:O195" si="16">C132+K132+F132</f>
        <v>1.2916666666666667</v>
      </c>
      <c r="P132" s="104"/>
      <c r="Q132" s="106">
        <f t="shared" si="13"/>
        <v>2.541666666666667</v>
      </c>
      <c r="R132" s="141">
        <f t="shared" si="14"/>
        <v>0</v>
      </c>
      <c r="T132" s="110">
        <f t="shared" ref="T132:V195" si="17">N132/$Q132</f>
        <v>0.49180327868852453</v>
      </c>
      <c r="U132" s="110">
        <f t="shared" si="17"/>
        <v>0.50819672131147542</v>
      </c>
      <c r="V132" s="110">
        <f t="shared" si="17"/>
        <v>0</v>
      </c>
      <c r="W132" s="110">
        <f t="shared" ref="W132:W195" si="18">SUM(T132:V132)</f>
        <v>1</v>
      </c>
      <c r="Y132" s="142">
        <f>T132*'Co-Processing'!K134*'Feedstock Conversion Rates'!B$13</f>
        <v>1.6583643442622948</v>
      </c>
      <c r="Z132" s="142">
        <f>U132*'Co-Processing'!K134*'Feedstock Conversion Rates'!B$12</f>
        <v>1.7707645942622949</v>
      </c>
      <c r="AA132" s="142">
        <f>V132*'Co-Processing'!K134*'Feedstock Conversion Rates'!B$14</f>
        <v>0</v>
      </c>
      <c r="AB132" s="142">
        <f t="shared" si="15"/>
        <v>3.42912893852459</v>
      </c>
      <c r="AD132" s="142">
        <v>0</v>
      </c>
      <c r="AE132" s="142">
        <v>0</v>
      </c>
      <c r="AF132" s="142">
        <v>0</v>
      </c>
      <c r="AG132" s="142">
        <v>0</v>
      </c>
      <c r="AH132" s="142">
        <v>0</v>
      </c>
    </row>
    <row r="133" spans="1:34" x14ac:dyDescent="0.25">
      <c r="A133" s="96">
        <v>42767</v>
      </c>
      <c r="J133" s="104">
        <f>('Co-Processing'!E135*'Co-Pro Feedstock Breakdown'!J$3*'Feedstock Conversion Rates'!B$13)/12</f>
        <v>1.25</v>
      </c>
      <c r="K133" s="104">
        <f>('Co-Processing'!E135*'Co-Pro Feedstock Breakdown'!K$3*'Feedstock Conversion Rates'!B$12)/12</f>
        <v>1.2916666666666667</v>
      </c>
      <c r="L133" s="106">
        <f t="shared" ref="L133:L196" si="19">SUM(J133:K133)</f>
        <v>2.541666666666667</v>
      </c>
      <c r="N133" s="104">
        <f t="shared" ref="N133:N196" si="20">E133+H133+J133+B133</f>
        <v>1.25</v>
      </c>
      <c r="O133" s="104">
        <f t="shared" si="16"/>
        <v>1.2916666666666667</v>
      </c>
      <c r="P133" s="104"/>
      <c r="Q133" s="106">
        <f t="shared" ref="Q133:Q196" si="21">SUM(N133:P133)</f>
        <v>2.541666666666667</v>
      </c>
      <c r="R133" s="141">
        <f t="shared" ref="R133:R196" si="22">D133+G133+I133+L133-Q133</f>
        <v>0</v>
      </c>
      <c r="T133" s="110">
        <f t="shared" si="17"/>
        <v>0.49180327868852453</v>
      </c>
      <c r="U133" s="110">
        <f t="shared" si="17"/>
        <v>0.50819672131147542</v>
      </c>
      <c r="V133" s="110">
        <f t="shared" si="17"/>
        <v>0</v>
      </c>
      <c r="W133" s="110">
        <f t="shared" si="18"/>
        <v>1</v>
      </c>
      <c r="Y133" s="142">
        <f>T133*'Co-Processing'!K135*'Feedstock Conversion Rates'!B$13</f>
        <v>1.3186475409836065</v>
      </c>
      <c r="Z133" s="142">
        <f>U133*'Co-Processing'!K135*'Feedstock Conversion Rates'!B$12</f>
        <v>1.4080225409836067</v>
      </c>
      <c r="AA133" s="142">
        <f>V133*'Co-Processing'!K135*'Feedstock Conversion Rates'!B$14</f>
        <v>0</v>
      </c>
      <c r="AB133" s="142">
        <f t="shared" si="15"/>
        <v>2.7266700819672129</v>
      </c>
      <c r="AD133" s="142">
        <v>0</v>
      </c>
      <c r="AE133" s="142">
        <v>0</v>
      </c>
      <c r="AF133" s="142">
        <v>0</v>
      </c>
      <c r="AG133" s="142">
        <v>0</v>
      </c>
      <c r="AH133" s="142">
        <v>0</v>
      </c>
    </row>
    <row r="134" spans="1:34" x14ac:dyDescent="0.25">
      <c r="A134" s="96">
        <v>42795</v>
      </c>
      <c r="J134" s="104">
        <f>('Co-Processing'!E136*'Co-Pro Feedstock Breakdown'!J$3*'Feedstock Conversion Rates'!B$13)/12</f>
        <v>1.25</v>
      </c>
      <c r="K134" s="104">
        <f>('Co-Processing'!E136*'Co-Pro Feedstock Breakdown'!K$3*'Feedstock Conversion Rates'!B$12)/12</f>
        <v>1.2916666666666667</v>
      </c>
      <c r="L134" s="106">
        <f t="shared" si="19"/>
        <v>2.541666666666667</v>
      </c>
      <c r="N134" s="104">
        <f t="shared" si="20"/>
        <v>1.25</v>
      </c>
      <c r="O134" s="104">
        <f t="shared" si="16"/>
        <v>1.2916666666666667</v>
      </c>
      <c r="P134" s="104"/>
      <c r="Q134" s="106">
        <f t="shared" si="21"/>
        <v>2.541666666666667</v>
      </c>
      <c r="R134" s="141">
        <f t="shared" si="22"/>
        <v>0</v>
      </c>
      <c r="T134" s="110">
        <f t="shared" si="17"/>
        <v>0.49180327868852453</v>
      </c>
      <c r="U134" s="110">
        <f t="shared" si="17"/>
        <v>0.50819672131147542</v>
      </c>
      <c r="V134" s="110">
        <f t="shared" si="17"/>
        <v>0</v>
      </c>
      <c r="W134" s="110">
        <f t="shared" si="18"/>
        <v>1</v>
      </c>
      <c r="Y134" s="142">
        <f>T134*'Co-Processing'!K136*'Feedstock Conversion Rates'!B$13</f>
        <v>1.6891118852459013</v>
      </c>
      <c r="Z134" s="142">
        <f>U134*'Co-Processing'!K136*'Feedstock Conversion Rates'!B$12</f>
        <v>1.8035961352459016</v>
      </c>
      <c r="AA134" s="142">
        <f>V134*'Co-Processing'!K136*'Feedstock Conversion Rates'!B$14</f>
        <v>0</v>
      </c>
      <c r="AB134" s="142">
        <f t="shared" si="15"/>
        <v>3.4927080204918028</v>
      </c>
      <c r="AD134" s="142">
        <v>0</v>
      </c>
      <c r="AE134" s="142">
        <v>0</v>
      </c>
      <c r="AF134" s="142">
        <v>0</v>
      </c>
      <c r="AG134" s="142">
        <v>0</v>
      </c>
      <c r="AH134" s="142">
        <v>0</v>
      </c>
    </row>
    <row r="135" spans="1:34" x14ac:dyDescent="0.25">
      <c r="A135" s="96">
        <v>42826</v>
      </c>
      <c r="J135" s="104">
        <f>('Co-Processing'!E137*'Co-Pro Feedstock Breakdown'!J$3*'Feedstock Conversion Rates'!B$13)/12</f>
        <v>1.25</v>
      </c>
      <c r="K135" s="104">
        <f>('Co-Processing'!E137*'Co-Pro Feedstock Breakdown'!K$3*'Feedstock Conversion Rates'!B$12)/12</f>
        <v>1.2916666666666667</v>
      </c>
      <c r="L135" s="106">
        <f t="shared" si="19"/>
        <v>2.541666666666667</v>
      </c>
      <c r="N135" s="104">
        <f t="shared" si="20"/>
        <v>1.25</v>
      </c>
      <c r="O135" s="104">
        <f t="shared" si="16"/>
        <v>1.2916666666666667</v>
      </c>
      <c r="P135" s="104"/>
      <c r="Q135" s="106">
        <f t="shared" si="21"/>
        <v>2.541666666666667</v>
      </c>
      <c r="R135" s="141">
        <f t="shared" si="22"/>
        <v>0</v>
      </c>
      <c r="T135" s="110">
        <f t="shared" si="17"/>
        <v>0.49180327868852453</v>
      </c>
      <c r="U135" s="110">
        <f t="shared" si="17"/>
        <v>0.50819672131147542</v>
      </c>
      <c r="V135" s="110">
        <f t="shared" si="17"/>
        <v>0</v>
      </c>
      <c r="W135" s="110">
        <f t="shared" si="18"/>
        <v>1</v>
      </c>
      <c r="Y135" s="142">
        <f>T135*'Co-Processing'!K137*'Feedstock Conversion Rates'!B$13</f>
        <v>1.2358918032786883</v>
      </c>
      <c r="Z135" s="142">
        <f>U135*'Co-Processing'!K137*'Feedstock Conversion Rates'!B$12</f>
        <v>1.3196578032786883</v>
      </c>
      <c r="AA135" s="142">
        <f>V135*'Co-Processing'!K137*'Feedstock Conversion Rates'!B$14</f>
        <v>0</v>
      </c>
      <c r="AB135" s="142">
        <f t="shared" si="15"/>
        <v>2.5555496065573768</v>
      </c>
      <c r="AD135" s="142">
        <v>0</v>
      </c>
      <c r="AE135" s="142">
        <v>0</v>
      </c>
      <c r="AF135" s="142">
        <v>0</v>
      </c>
      <c r="AG135" s="142">
        <v>0</v>
      </c>
      <c r="AH135" s="142">
        <v>0</v>
      </c>
    </row>
    <row r="136" spans="1:34" x14ac:dyDescent="0.25">
      <c r="A136" s="96">
        <v>42856</v>
      </c>
      <c r="J136" s="104">
        <f>('Co-Processing'!E138*'Co-Pro Feedstock Breakdown'!J$3*'Feedstock Conversion Rates'!B$13)/12</f>
        <v>1.25</v>
      </c>
      <c r="K136" s="104">
        <f>('Co-Processing'!E138*'Co-Pro Feedstock Breakdown'!K$3*'Feedstock Conversion Rates'!B$12)/12</f>
        <v>1.2916666666666667</v>
      </c>
      <c r="L136" s="106">
        <f t="shared" si="19"/>
        <v>2.541666666666667</v>
      </c>
      <c r="N136" s="104">
        <f t="shared" si="20"/>
        <v>1.25</v>
      </c>
      <c r="O136" s="104">
        <f t="shared" si="16"/>
        <v>1.2916666666666667</v>
      </c>
      <c r="P136" s="104"/>
      <c r="Q136" s="106">
        <f t="shared" si="21"/>
        <v>2.541666666666667</v>
      </c>
      <c r="R136" s="141">
        <f t="shared" si="22"/>
        <v>0</v>
      </c>
      <c r="T136" s="110">
        <f t="shared" si="17"/>
        <v>0.49180327868852453</v>
      </c>
      <c r="U136" s="110">
        <f t="shared" si="17"/>
        <v>0.50819672131147542</v>
      </c>
      <c r="V136" s="110">
        <f t="shared" si="17"/>
        <v>0</v>
      </c>
      <c r="W136" s="110">
        <f t="shared" si="18"/>
        <v>1</v>
      </c>
      <c r="Y136" s="142">
        <f>T136*'Co-Processing'!K138*'Feedstock Conversion Rates'!B$13</f>
        <v>1.3549573770491801</v>
      </c>
      <c r="Z136" s="142">
        <f>U136*'Co-Processing'!K138*'Feedstock Conversion Rates'!B$12</f>
        <v>1.4467933770491803</v>
      </c>
      <c r="AA136" s="142">
        <f>V136*'Co-Processing'!K138*'Feedstock Conversion Rates'!B$14</f>
        <v>0</v>
      </c>
      <c r="AB136" s="142">
        <f t="shared" si="15"/>
        <v>2.8017507540983604</v>
      </c>
      <c r="AD136" s="142">
        <v>0</v>
      </c>
      <c r="AE136" s="142">
        <v>0</v>
      </c>
      <c r="AF136" s="142">
        <v>0</v>
      </c>
      <c r="AG136" s="142">
        <v>0</v>
      </c>
      <c r="AH136" s="142">
        <v>0</v>
      </c>
    </row>
    <row r="137" spans="1:34" x14ac:dyDescent="0.25">
      <c r="A137" s="96">
        <v>42887</v>
      </c>
      <c r="J137" s="104">
        <f>('Co-Processing'!E139*'Co-Pro Feedstock Breakdown'!J$3*'Feedstock Conversion Rates'!B$13)/12</f>
        <v>1.25</v>
      </c>
      <c r="K137" s="104">
        <f>('Co-Processing'!E139*'Co-Pro Feedstock Breakdown'!K$3*'Feedstock Conversion Rates'!B$12)/12</f>
        <v>1.2916666666666667</v>
      </c>
      <c r="L137" s="106">
        <f t="shared" si="19"/>
        <v>2.541666666666667</v>
      </c>
      <c r="N137" s="104">
        <f t="shared" si="20"/>
        <v>1.25</v>
      </c>
      <c r="O137" s="104">
        <f t="shared" si="16"/>
        <v>1.2916666666666667</v>
      </c>
      <c r="P137" s="104"/>
      <c r="Q137" s="106">
        <f t="shared" si="21"/>
        <v>2.541666666666667</v>
      </c>
      <c r="R137" s="141">
        <f t="shared" si="22"/>
        <v>0</v>
      </c>
      <c r="T137" s="110">
        <f t="shared" si="17"/>
        <v>0.49180327868852453</v>
      </c>
      <c r="U137" s="110">
        <f t="shared" si="17"/>
        <v>0.50819672131147542</v>
      </c>
      <c r="V137" s="110">
        <f t="shared" si="17"/>
        <v>0</v>
      </c>
      <c r="W137" s="110">
        <f t="shared" si="18"/>
        <v>1</v>
      </c>
      <c r="Y137" s="142">
        <f>T137*'Co-Processing'!K139*'Feedstock Conversion Rates'!B$13</f>
        <v>1.3727471311475408</v>
      </c>
      <c r="Z137" s="142">
        <f>U137*'Co-Processing'!K139*'Feedstock Conversion Rates'!B$12</f>
        <v>1.4657888811475412</v>
      </c>
      <c r="AA137" s="142">
        <f>V137*'Co-Processing'!K139*'Feedstock Conversion Rates'!B$14</f>
        <v>0</v>
      </c>
      <c r="AB137" s="142">
        <f t="shared" si="15"/>
        <v>2.8385360122950818</v>
      </c>
      <c r="AD137" s="142">
        <v>0</v>
      </c>
      <c r="AE137" s="142">
        <v>0</v>
      </c>
      <c r="AF137" s="142">
        <v>0</v>
      </c>
      <c r="AG137" s="142">
        <v>0</v>
      </c>
      <c r="AH137" s="142">
        <v>0</v>
      </c>
    </row>
    <row r="138" spans="1:34" x14ac:dyDescent="0.25">
      <c r="A138" s="96">
        <v>42917</v>
      </c>
      <c r="J138" s="104">
        <f>('Co-Processing'!E140*'Co-Pro Feedstock Breakdown'!J$3*'Feedstock Conversion Rates'!B$13)/12</f>
        <v>1.25</v>
      </c>
      <c r="K138" s="104">
        <f>('Co-Processing'!E140*'Co-Pro Feedstock Breakdown'!K$3*'Feedstock Conversion Rates'!B$12)/12</f>
        <v>1.2916666666666667</v>
      </c>
      <c r="L138" s="106">
        <f t="shared" si="19"/>
        <v>2.541666666666667</v>
      </c>
      <c r="N138" s="104">
        <f t="shared" si="20"/>
        <v>1.25</v>
      </c>
      <c r="O138" s="104">
        <f t="shared" si="16"/>
        <v>1.2916666666666667</v>
      </c>
      <c r="P138" s="104"/>
      <c r="Q138" s="106">
        <f t="shared" si="21"/>
        <v>2.541666666666667</v>
      </c>
      <c r="R138" s="141">
        <f t="shared" si="22"/>
        <v>0</v>
      </c>
      <c r="T138" s="110">
        <f t="shared" si="17"/>
        <v>0.49180327868852453</v>
      </c>
      <c r="U138" s="110">
        <f t="shared" si="17"/>
        <v>0.50819672131147542</v>
      </c>
      <c r="V138" s="110">
        <f t="shared" si="17"/>
        <v>0</v>
      </c>
      <c r="W138" s="110">
        <f t="shared" si="18"/>
        <v>1</v>
      </c>
      <c r="Y138" s="142">
        <f>T138*'Co-Processing'!K140*'Feedstock Conversion Rates'!B$13</f>
        <v>1.9047319672131147</v>
      </c>
      <c r="Z138" s="142">
        <f>U138*'Co-Processing'!K140*'Feedstock Conversion Rates'!B$12</f>
        <v>2.0338304672131149</v>
      </c>
      <c r="AA138" s="142">
        <f>V138*'Co-Processing'!K140*'Feedstock Conversion Rates'!B$14</f>
        <v>0</v>
      </c>
      <c r="AB138" s="142">
        <f t="shared" si="15"/>
        <v>3.9385624344262293</v>
      </c>
      <c r="AD138" s="142">
        <v>0</v>
      </c>
      <c r="AE138" s="142">
        <v>0</v>
      </c>
      <c r="AF138" s="142">
        <v>0</v>
      </c>
      <c r="AG138" s="142">
        <v>0</v>
      </c>
      <c r="AH138" s="142">
        <v>0</v>
      </c>
    </row>
    <row r="139" spans="1:34" x14ac:dyDescent="0.25">
      <c r="A139" s="96">
        <v>42948</v>
      </c>
      <c r="J139" s="104">
        <f>('Co-Processing'!E141*'Co-Pro Feedstock Breakdown'!J$3*'Feedstock Conversion Rates'!B$13)/12</f>
        <v>1.25</v>
      </c>
      <c r="K139" s="104">
        <f>('Co-Processing'!E141*'Co-Pro Feedstock Breakdown'!K$3*'Feedstock Conversion Rates'!B$12)/12</f>
        <v>1.2916666666666667</v>
      </c>
      <c r="L139" s="106">
        <f t="shared" si="19"/>
        <v>2.541666666666667</v>
      </c>
      <c r="N139" s="104">
        <f t="shared" si="20"/>
        <v>1.25</v>
      </c>
      <c r="O139" s="104">
        <f t="shared" si="16"/>
        <v>1.2916666666666667</v>
      </c>
      <c r="P139" s="104"/>
      <c r="Q139" s="106">
        <f t="shared" si="21"/>
        <v>2.541666666666667</v>
      </c>
      <c r="R139" s="141">
        <f t="shared" si="22"/>
        <v>0</v>
      </c>
      <c r="T139" s="110">
        <f t="shared" si="17"/>
        <v>0.49180327868852453</v>
      </c>
      <c r="U139" s="110">
        <f t="shared" si="17"/>
        <v>0.50819672131147542</v>
      </c>
      <c r="V139" s="110">
        <f t="shared" si="17"/>
        <v>0</v>
      </c>
      <c r="W139" s="110">
        <f t="shared" si="18"/>
        <v>1</v>
      </c>
      <c r="Y139" s="142">
        <f>T139*'Co-Processing'!K141*'Feedstock Conversion Rates'!B$13</f>
        <v>1.6237991803278686</v>
      </c>
      <c r="Z139" s="142">
        <f>U139*'Co-Processing'!K141*'Feedstock Conversion Rates'!B$12</f>
        <v>1.733856680327869</v>
      </c>
      <c r="AA139" s="142">
        <f>V139*'Co-Processing'!K141*'Feedstock Conversion Rates'!B$14</f>
        <v>0</v>
      </c>
      <c r="AB139" s="142">
        <f t="shared" si="15"/>
        <v>3.3576558606557376</v>
      </c>
      <c r="AD139" s="142">
        <v>0</v>
      </c>
      <c r="AE139" s="142">
        <v>0</v>
      </c>
      <c r="AF139" s="142">
        <v>0</v>
      </c>
      <c r="AG139" s="142">
        <v>0</v>
      </c>
      <c r="AH139" s="142">
        <v>0</v>
      </c>
    </row>
    <row r="140" spans="1:34" x14ac:dyDescent="0.25">
      <c r="A140" s="96">
        <v>42979</v>
      </c>
      <c r="J140" s="104">
        <f>('Co-Processing'!E142*'Co-Pro Feedstock Breakdown'!J$3*'Feedstock Conversion Rates'!B$13)/12</f>
        <v>1.25</v>
      </c>
      <c r="K140" s="104">
        <f>('Co-Processing'!E142*'Co-Pro Feedstock Breakdown'!K$3*'Feedstock Conversion Rates'!B$12)/12</f>
        <v>1.2916666666666667</v>
      </c>
      <c r="L140" s="106">
        <f t="shared" si="19"/>
        <v>2.541666666666667</v>
      </c>
      <c r="N140" s="104">
        <f t="shared" si="20"/>
        <v>1.25</v>
      </c>
      <c r="O140" s="104">
        <f t="shared" si="16"/>
        <v>1.2916666666666667</v>
      </c>
      <c r="P140" s="104"/>
      <c r="Q140" s="106">
        <f t="shared" si="21"/>
        <v>2.541666666666667</v>
      </c>
      <c r="R140" s="141">
        <f t="shared" si="22"/>
        <v>0</v>
      </c>
      <c r="T140" s="110">
        <f t="shared" si="17"/>
        <v>0.49180327868852453</v>
      </c>
      <c r="U140" s="110">
        <f t="shared" si="17"/>
        <v>0.50819672131147542</v>
      </c>
      <c r="V140" s="110">
        <f t="shared" si="17"/>
        <v>0</v>
      </c>
      <c r="W140" s="110">
        <f t="shared" si="18"/>
        <v>1</v>
      </c>
      <c r="Y140" s="142">
        <f>T140*'Co-Processing'!K142*'Feedstock Conversion Rates'!B$13</f>
        <v>1.4130811475409835</v>
      </c>
      <c r="Z140" s="142">
        <f>U140*'Co-Processing'!K142*'Feedstock Conversion Rates'!B$12</f>
        <v>1.5088566475409837</v>
      </c>
      <c r="AA140" s="142">
        <f>V140*'Co-Processing'!K142*'Feedstock Conversion Rates'!B$14</f>
        <v>0</v>
      </c>
      <c r="AB140" s="142">
        <f t="shared" si="15"/>
        <v>2.9219377950819672</v>
      </c>
      <c r="AD140" s="142">
        <v>0</v>
      </c>
      <c r="AE140" s="142">
        <v>0</v>
      </c>
      <c r="AF140" s="142">
        <v>0</v>
      </c>
      <c r="AG140" s="142">
        <v>0</v>
      </c>
      <c r="AH140" s="142">
        <v>0</v>
      </c>
    </row>
    <row r="141" spans="1:34" x14ac:dyDescent="0.25">
      <c r="A141" s="96">
        <v>43009</v>
      </c>
      <c r="J141" s="104">
        <f>('Co-Processing'!E143*'Co-Pro Feedstock Breakdown'!J$3*'Feedstock Conversion Rates'!B$13)/12</f>
        <v>1.25</v>
      </c>
      <c r="K141" s="104">
        <f>('Co-Processing'!E143*'Co-Pro Feedstock Breakdown'!K$3*'Feedstock Conversion Rates'!B$12)/12</f>
        <v>1.2916666666666667</v>
      </c>
      <c r="L141" s="106">
        <f t="shared" si="19"/>
        <v>2.541666666666667</v>
      </c>
      <c r="N141" s="104">
        <f t="shared" si="20"/>
        <v>1.25</v>
      </c>
      <c r="O141" s="104">
        <f t="shared" si="16"/>
        <v>1.2916666666666667</v>
      </c>
      <c r="P141" s="104"/>
      <c r="Q141" s="106">
        <f t="shared" si="21"/>
        <v>2.541666666666667</v>
      </c>
      <c r="R141" s="141">
        <f t="shared" si="22"/>
        <v>0</v>
      </c>
      <c r="T141" s="110">
        <f t="shared" si="17"/>
        <v>0.49180327868852453</v>
      </c>
      <c r="U141" s="110">
        <f t="shared" si="17"/>
        <v>0.50819672131147542</v>
      </c>
      <c r="V141" s="110">
        <f t="shared" si="17"/>
        <v>0</v>
      </c>
      <c r="W141" s="110">
        <f t="shared" si="18"/>
        <v>1</v>
      </c>
      <c r="Y141" s="142">
        <f>T141*'Co-Processing'!K143*'Feedstock Conversion Rates'!B$13</f>
        <v>1.1993127049180325</v>
      </c>
      <c r="Z141" s="142">
        <f>U141*'Co-Processing'!K143*'Feedstock Conversion Rates'!B$12</f>
        <v>1.2805994549180328</v>
      </c>
      <c r="AA141" s="142">
        <f>V141*'Co-Processing'!K143*'Feedstock Conversion Rates'!B$14</f>
        <v>0</v>
      </c>
      <c r="AB141" s="142">
        <f t="shared" si="15"/>
        <v>2.4799121598360654</v>
      </c>
      <c r="AD141" s="142">
        <v>0</v>
      </c>
      <c r="AE141" s="142">
        <v>0</v>
      </c>
      <c r="AF141" s="142">
        <v>0</v>
      </c>
      <c r="AG141" s="142">
        <v>0</v>
      </c>
      <c r="AH141" s="142">
        <v>0</v>
      </c>
    </row>
    <row r="142" spans="1:34" x14ac:dyDescent="0.25">
      <c r="A142" s="96">
        <v>43040</v>
      </c>
      <c r="J142" s="104">
        <f>('Co-Processing'!E144*'Co-Pro Feedstock Breakdown'!J$3*'Feedstock Conversion Rates'!B$13)/12</f>
        <v>1.25</v>
      </c>
      <c r="K142" s="104">
        <f>('Co-Processing'!E144*'Co-Pro Feedstock Breakdown'!K$3*'Feedstock Conversion Rates'!B$12)/12</f>
        <v>1.2916666666666667</v>
      </c>
      <c r="L142" s="106">
        <f t="shared" si="19"/>
        <v>2.541666666666667</v>
      </c>
      <c r="N142" s="104">
        <f t="shared" si="20"/>
        <v>1.25</v>
      </c>
      <c r="O142" s="104">
        <f t="shared" si="16"/>
        <v>1.2916666666666667</v>
      </c>
      <c r="P142" s="104"/>
      <c r="Q142" s="106">
        <f t="shared" si="21"/>
        <v>2.541666666666667</v>
      </c>
      <c r="R142" s="141">
        <f t="shared" si="22"/>
        <v>0</v>
      </c>
      <c r="T142" s="110">
        <f t="shared" si="17"/>
        <v>0.49180327868852453</v>
      </c>
      <c r="U142" s="110">
        <f t="shared" si="17"/>
        <v>0.50819672131147542</v>
      </c>
      <c r="V142" s="110">
        <f t="shared" si="17"/>
        <v>0</v>
      </c>
      <c r="W142" s="110">
        <f t="shared" si="18"/>
        <v>1</v>
      </c>
      <c r="Y142" s="142">
        <f>T142*'Co-Processing'!K144*'Feedstock Conversion Rates'!B$13</f>
        <v>2.2038012295081963</v>
      </c>
      <c r="Z142" s="142">
        <f>U142*'Co-Processing'!K144*'Feedstock Conversion Rates'!B$12</f>
        <v>2.3531699795081971</v>
      </c>
      <c r="AA142" s="142">
        <f>V142*'Co-Processing'!K144*'Feedstock Conversion Rates'!B$14</f>
        <v>0</v>
      </c>
      <c r="AB142" s="142">
        <f t="shared" si="15"/>
        <v>4.5569712090163934</v>
      </c>
      <c r="AD142" s="142">
        <v>0</v>
      </c>
      <c r="AE142" s="142">
        <v>0</v>
      </c>
      <c r="AF142" s="142">
        <v>0</v>
      </c>
      <c r="AG142" s="142">
        <v>0</v>
      </c>
      <c r="AH142" s="142">
        <v>0</v>
      </c>
    </row>
    <row r="143" spans="1:34" x14ac:dyDescent="0.25">
      <c r="A143" s="96">
        <v>43070</v>
      </c>
      <c r="J143" s="104">
        <f>('Co-Processing'!E145*'Co-Pro Feedstock Breakdown'!J$3*'Feedstock Conversion Rates'!B$13)/12</f>
        <v>1.25</v>
      </c>
      <c r="K143" s="104">
        <f>('Co-Processing'!E145*'Co-Pro Feedstock Breakdown'!K$3*'Feedstock Conversion Rates'!B$12)/12</f>
        <v>1.2916666666666667</v>
      </c>
      <c r="L143" s="106">
        <f t="shared" si="19"/>
        <v>2.541666666666667</v>
      </c>
      <c r="N143" s="104">
        <f t="shared" si="20"/>
        <v>1.25</v>
      </c>
      <c r="O143" s="104">
        <f t="shared" si="16"/>
        <v>1.2916666666666667</v>
      </c>
      <c r="P143" s="104"/>
      <c r="Q143" s="106">
        <f t="shared" si="21"/>
        <v>2.541666666666667</v>
      </c>
      <c r="R143" s="141">
        <f t="shared" si="22"/>
        <v>0</v>
      </c>
      <c r="T143" s="110">
        <f t="shared" si="17"/>
        <v>0.49180327868852453</v>
      </c>
      <c r="U143" s="110">
        <f t="shared" si="17"/>
        <v>0.50819672131147542</v>
      </c>
      <c r="V143" s="110">
        <f t="shared" si="17"/>
        <v>0</v>
      </c>
      <c r="W143" s="110">
        <f t="shared" si="18"/>
        <v>1</v>
      </c>
      <c r="Y143" s="142">
        <f>T143*'Co-Processing'!K145*'Feedstock Conversion Rates'!B$13</f>
        <v>2.0112639344262293</v>
      </c>
      <c r="Z143" s="142">
        <f>U143*'Co-Processing'!K145*'Feedstock Conversion Rates'!B$12</f>
        <v>2.1475829344262292</v>
      </c>
      <c r="AA143" s="142">
        <f>V143*'Co-Processing'!K145*'Feedstock Conversion Rates'!B$14</f>
        <v>0</v>
      </c>
      <c r="AB143" s="142">
        <f t="shared" si="15"/>
        <v>4.1588468688524589</v>
      </c>
      <c r="AD143" s="142">
        <v>0</v>
      </c>
      <c r="AE143" s="142">
        <v>0</v>
      </c>
      <c r="AF143" s="142">
        <v>0</v>
      </c>
      <c r="AG143" s="142">
        <v>0</v>
      </c>
      <c r="AH143" s="142">
        <v>0</v>
      </c>
    </row>
    <row r="144" spans="1:34" x14ac:dyDescent="0.25">
      <c r="A144" s="96">
        <v>43101</v>
      </c>
      <c r="J144" s="104">
        <f>('Co-Processing'!E146*'Co-Pro Feedstock Breakdown'!J$3*'Feedstock Conversion Rates'!B$13)/12</f>
        <v>1.25</v>
      </c>
      <c r="K144" s="104">
        <f>('Co-Processing'!E146*'Co-Pro Feedstock Breakdown'!K$3*'Feedstock Conversion Rates'!B$12)/12</f>
        <v>1.2916666666666667</v>
      </c>
      <c r="L144" s="106">
        <f t="shared" si="19"/>
        <v>2.541666666666667</v>
      </c>
      <c r="N144" s="104">
        <f t="shared" si="20"/>
        <v>1.25</v>
      </c>
      <c r="O144" s="104">
        <f t="shared" si="16"/>
        <v>1.2916666666666667</v>
      </c>
      <c r="P144" s="104"/>
      <c r="Q144" s="106">
        <f t="shared" si="21"/>
        <v>2.541666666666667</v>
      </c>
      <c r="R144" s="141">
        <f t="shared" si="22"/>
        <v>0</v>
      </c>
      <c r="T144" s="110">
        <f t="shared" si="17"/>
        <v>0.49180327868852453</v>
      </c>
      <c r="U144" s="110">
        <f t="shared" si="17"/>
        <v>0.50819672131147542</v>
      </c>
      <c r="V144" s="110">
        <f t="shared" si="17"/>
        <v>0</v>
      </c>
      <c r="W144" s="110">
        <f t="shared" si="18"/>
        <v>1</v>
      </c>
      <c r="Y144" s="142">
        <f>T144*'Co-Processing'!K146*'Feedstock Conversion Rates'!B$13</f>
        <v>1.1868676229508193</v>
      </c>
      <c r="Z144" s="142">
        <f>U144*'Co-Processing'!K146*'Feedstock Conversion Rates'!B$12</f>
        <v>1.2673108729508196</v>
      </c>
      <c r="AA144" s="142">
        <f>V144*'Co-Processing'!K146*'Feedstock Conversion Rates'!B$14</f>
        <v>0</v>
      </c>
      <c r="AB144" s="142">
        <f t="shared" si="15"/>
        <v>2.4541784959016386</v>
      </c>
      <c r="AD144" s="142">
        <v>0</v>
      </c>
      <c r="AE144" s="142">
        <v>0</v>
      </c>
      <c r="AF144" s="142">
        <v>0</v>
      </c>
      <c r="AG144" s="142">
        <v>0</v>
      </c>
      <c r="AH144" s="142">
        <v>0</v>
      </c>
    </row>
    <row r="145" spans="1:34" x14ac:dyDescent="0.25">
      <c r="A145" s="96">
        <v>43132</v>
      </c>
      <c r="J145" s="104">
        <f>('Co-Processing'!E147*'Co-Pro Feedstock Breakdown'!J$3*'Feedstock Conversion Rates'!B$13)/12</f>
        <v>1.25</v>
      </c>
      <c r="K145" s="104">
        <f>('Co-Processing'!E147*'Co-Pro Feedstock Breakdown'!K$3*'Feedstock Conversion Rates'!B$12)/12</f>
        <v>1.2916666666666667</v>
      </c>
      <c r="L145" s="106">
        <f t="shared" si="19"/>
        <v>2.541666666666667</v>
      </c>
      <c r="N145" s="104">
        <f t="shared" si="20"/>
        <v>1.25</v>
      </c>
      <c r="O145" s="104">
        <f t="shared" si="16"/>
        <v>1.2916666666666667</v>
      </c>
      <c r="P145" s="104"/>
      <c r="Q145" s="106">
        <f t="shared" si="21"/>
        <v>2.541666666666667</v>
      </c>
      <c r="R145" s="141">
        <f t="shared" si="22"/>
        <v>0</v>
      </c>
      <c r="T145" s="110">
        <f t="shared" si="17"/>
        <v>0.49180327868852453</v>
      </c>
      <c r="U145" s="110">
        <f t="shared" si="17"/>
        <v>0.50819672131147542</v>
      </c>
      <c r="V145" s="110">
        <f t="shared" si="17"/>
        <v>0</v>
      </c>
      <c r="W145" s="110">
        <f t="shared" si="18"/>
        <v>1</v>
      </c>
      <c r="Y145" s="142">
        <f>T145*'Co-Processing'!K147*'Feedstock Conversion Rates'!B$13</f>
        <v>5.3123422131147535</v>
      </c>
      <c r="Z145" s="142">
        <f>U145*'Co-Processing'!K147*'Feedstock Conversion Rates'!B$12</f>
        <v>5.6724009631147538</v>
      </c>
      <c r="AA145" s="142">
        <f>V145*'Co-Processing'!K147*'Feedstock Conversion Rates'!B$14</f>
        <v>0</v>
      </c>
      <c r="AB145" s="142">
        <f t="shared" si="15"/>
        <v>10.984743176229507</v>
      </c>
      <c r="AD145" s="142">
        <v>0</v>
      </c>
      <c r="AE145" s="142">
        <v>0</v>
      </c>
      <c r="AF145" s="142">
        <v>0</v>
      </c>
      <c r="AG145" s="142">
        <v>0</v>
      </c>
      <c r="AH145" s="142">
        <v>0</v>
      </c>
    </row>
    <row r="146" spans="1:34" x14ac:dyDescent="0.25">
      <c r="A146" s="96">
        <v>43160</v>
      </c>
      <c r="J146" s="104">
        <f>('Co-Processing'!E148*'Co-Pro Feedstock Breakdown'!J$3*'Feedstock Conversion Rates'!B$13)/12</f>
        <v>1.25</v>
      </c>
      <c r="K146" s="104">
        <f>('Co-Processing'!E148*'Co-Pro Feedstock Breakdown'!K$3*'Feedstock Conversion Rates'!B$12)/12</f>
        <v>1.2916666666666667</v>
      </c>
      <c r="L146" s="106">
        <f t="shared" si="19"/>
        <v>2.541666666666667</v>
      </c>
      <c r="N146" s="104">
        <f t="shared" si="20"/>
        <v>1.25</v>
      </c>
      <c r="O146" s="104">
        <f t="shared" si="16"/>
        <v>1.2916666666666667</v>
      </c>
      <c r="P146" s="104"/>
      <c r="Q146" s="106">
        <f t="shared" si="21"/>
        <v>2.541666666666667</v>
      </c>
      <c r="R146" s="141">
        <f t="shared" si="22"/>
        <v>0</v>
      </c>
      <c r="T146" s="110">
        <f t="shared" si="17"/>
        <v>0.49180327868852453</v>
      </c>
      <c r="U146" s="110">
        <f t="shared" si="17"/>
        <v>0.50819672131147542</v>
      </c>
      <c r="V146" s="110">
        <f t="shared" si="17"/>
        <v>0</v>
      </c>
      <c r="W146" s="110">
        <f t="shared" si="18"/>
        <v>1</v>
      </c>
      <c r="Y146" s="142">
        <f>T146*'Co-Processing'!K148*'Feedstock Conversion Rates'!B$13</f>
        <v>8.3802430327868844</v>
      </c>
      <c r="Z146" s="142">
        <f>U146*'Co-Processing'!K148*'Feedstock Conversion Rates'!B$12</f>
        <v>8.9482372827868861</v>
      </c>
      <c r="AA146" s="142">
        <f>V146*'Co-Processing'!K148*'Feedstock Conversion Rates'!B$14</f>
        <v>0</v>
      </c>
      <c r="AB146" s="142">
        <f t="shared" si="15"/>
        <v>17.328480315573771</v>
      </c>
      <c r="AD146" s="142">
        <v>0</v>
      </c>
      <c r="AE146" s="142">
        <v>0</v>
      </c>
      <c r="AF146" s="142">
        <v>0</v>
      </c>
      <c r="AG146" s="142">
        <v>0</v>
      </c>
      <c r="AH146" s="142">
        <v>0</v>
      </c>
    </row>
    <row r="147" spans="1:34" x14ac:dyDescent="0.25">
      <c r="A147" s="96">
        <v>43191</v>
      </c>
      <c r="C147" s="104">
        <f>('Co-Processing'!B149*'Co-Pro Feedstock Breakdown'!C$3*'Feedstock Conversion Rates'!B$12)/12</f>
        <v>6.78125</v>
      </c>
      <c r="D147" s="106">
        <f>C147+B147</f>
        <v>6.78125</v>
      </c>
      <c r="J147" s="104">
        <f>('Co-Processing'!E149*'Co-Pro Feedstock Breakdown'!J$3*'Feedstock Conversion Rates'!B$13)/12</f>
        <v>1.25</v>
      </c>
      <c r="K147" s="104">
        <f>('Co-Processing'!E149*'Co-Pro Feedstock Breakdown'!K$3*'Feedstock Conversion Rates'!B$12)/12</f>
        <v>1.2916666666666667</v>
      </c>
      <c r="L147" s="106">
        <f t="shared" si="19"/>
        <v>2.541666666666667</v>
      </c>
      <c r="N147" s="104">
        <f t="shared" si="20"/>
        <v>1.25</v>
      </c>
      <c r="O147" s="104">
        <f t="shared" si="16"/>
        <v>8.0729166666666661</v>
      </c>
      <c r="P147" s="104"/>
      <c r="Q147" s="106">
        <f t="shared" si="21"/>
        <v>9.3229166666666661</v>
      </c>
      <c r="R147" s="141">
        <f t="shared" si="22"/>
        <v>0</v>
      </c>
      <c r="T147" s="110">
        <f t="shared" si="17"/>
        <v>0.13407821229050279</v>
      </c>
      <c r="U147" s="110">
        <f t="shared" si="17"/>
        <v>0.86592178770949724</v>
      </c>
      <c r="V147" s="110">
        <f t="shared" si="17"/>
        <v>0</v>
      </c>
      <c r="W147" s="110">
        <f t="shared" si="18"/>
        <v>1</v>
      </c>
      <c r="Y147" s="142">
        <f>T147*'Co-Processing'!K149*'Feedstock Conversion Rates'!B$13</f>
        <v>1.0364993296089384</v>
      </c>
      <c r="Z147" s="142">
        <f>U147*'Co-Processing'!K149*'Feedstock Conversion Rates'!B$12</f>
        <v>6.91719344273743</v>
      </c>
      <c r="AA147" s="142">
        <f>V147*'Co-Processing'!K149*'Feedstock Conversion Rates'!B$14</f>
        <v>0</v>
      </c>
      <c r="AB147" s="142">
        <f t="shared" si="15"/>
        <v>7.9536927723463684</v>
      </c>
      <c r="AD147" s="142">
        <v>0</v>
      </c>
      <c r="AE147" s="142">
        <v>0</v>
      </c>
      <c r="AF147" s="142">
        <v>0</v>
      </c>
      <c r="AG147" s="142">
        <v>0</v>
      </c>
      <c r="AH147" s="142">
        <v>0</v>
      </c>
    </row>
    <row r="148" spans="1:34" x14ac:dyDescent="0.25">
      <c r="A148" s="96">
        <v>43221</v>
      </c>
      <c r="C148" s="104">
        <f>('Co-Processing'!B150*'Co-Pro Feedstock Breakdown'!C$3*'Feedstock Conversion Rates'!B$12)/12</f>
        <v>6.78125</v>
      </c>
      <c r="D148" s="106">
        <f t="shared" ref="D148:D211" si="23">C148+B148</f>
        <v>6.78125</v>
      </c>
      <c r="J148" s="104">
        <f>('Co-Processing'!E150*'Co-Pro Feedstock Breakdown'!J$3*'Feedstock Conversion Rates'!B$13)/12</f>
        <v>1.25</v>
      </c>
      <c r="K148" s="104">
        <f>('Co-Processing'!E150*'Co-Pro Feedstock Breakdown'!K$3*'Feedstock Conversion Rates'!B$12)/12</f>
        <v>1.2916666666666667</v>
      </c>
      <c r="L148" s="106">
        <f t="shared" si="19"/>
        <v>2.541666666666667</v>
      </c>
      <c r="N148" s="104">
        <f t="shared" si="20"/>
        <v>1.25</v>
      </c>
      <c r="O148" s="104">
        <f t="shared" si="16"/>
        <v>8.0729166666666661</v>
      </c>
      <c r="P148" s="104"/>
      <c r="Q148" s="106">
        <f t="shared" si="21"/>
        <v>9.3229166666666661</v>
      </c>
      <c r="R148" s="141">
        <f t="shared" si="22"/>
        <v>0</v>
      </c>
      <c r="T148" s="110">
        <f t="shared" si="17"/>
        <v>0.13407821229050279</v>
      </c>
      <c r="U148" s="110">
        <f t="shared" si="17"/>
        <v>0.86592178770949724</v>
      </c>
      <c r="V148" s="110">
        <f t="shared" si="17"/>
        <v>0</v>
      </c>
      <c r="W148" s="110">
        <f t="shared" si="18"/>
        <v>1</v>
      </c>
      <c r="Y148" s="142">
        <f>T148*'Co-Processing'!K150*'Feedstock Conversion Rates'!B$13</f>
        <v>0.43263150837988829</v>
      </c>
      <c r="Z148" s="142">
        <f>U148*'Co-Processing'!K150*'Feedstock Conversion Rates'!B$12</f>
        <v>2.8872144413407823</v>
      </c>
      <c r="AA148" s="142">
        <f>V148*'Co-Processing'!K150*'Feedstock Conversion Rates'!B$14</f>
        <v>0</v>
      </c>
      <c r="AB148" s="142">
        <f t="shared" si="15"/>
        <v>3.3198459497206705</v>
      </c>
      <c r="AD148" s="142">
        <v>0</v>
      </c>
      <c r="AE148" s="142">
        <v>0</v>
      </c>
      <c r="AF148" s="142">
        <v>0</v>
      </c>
      <c r="AG148" s="142">
        <v>0</v>
      </c>
      <c r="AH148" s="142">
        <v>0</v>
      </c>
    </row>
    <row r="149" spans="1:34" x14ac:dyDescent="0.25">
      <c r="A149" s="96">
        <v>43252</v>
      </c>
      <c r="C149" s="104">
        <f>('Co-Processing'!B151*'Co-Pro Feedstock Breakdown'!C$3*'Feedstock Conversion Rates'!B$12)/12</f>
        <v>6.78125</v>
      </c>
      <c r="D149" s="106">
        <f t="shared" si="23"/>
        <v>6.78125</v>
      </c>
      <c r="J149" s="104">
        <f>('Co-Processing'!E151*'Co-Pro Feedstock Breakdown'!J$3*'Feedstock Conversion Rates'!B$13)/12</f>
        <v>1.25</v>
      </c>
      <c r="K149" s="104">
        <f>('Co-Processing'!E151*'Co-Pro Feedstock Breakdown'!K$3*'Feedstock Conversion Rates'!B$12)/12</f>
        <v>1.2916666666666667</v>
      </c>
      <c r="L149" s="106">
        <f t="shared" si="19"/>
        <v>2.541666666666667</v>
      </c>
      <c r="N149" s="104">
        <f t="shared" si="20"/>
        <v>1.25</v>
      </c>
      <c r="O149" s="104">
        <f t="shared" si="16"/>
        <v>8.0729166666666661</v>
      </c>
      <c r="P149" s="104"/>
      <c r="Q149" s="106">
        <f t="shared" si="21"/>
        <v>9.3229166666666661</v>
      </c>
      <c r="R149" s="141">
        <f t="shared" si="22"/>
        <v>0</v>
      </c>
      <c r="T149" s="110">
        <f t="shared" si="17"/>
        <v>0.13407821229050279</v>
      </c>
      <c r="U149" s="110">
        <f t="shared" si="17"/>
        <v>0.86592178770949724</v>
      </c>
      <c r="V149" s="110">
        <f t="shared" si="17"/>
        <v>0</v>
      </c>
      <c r="W149" s="110">
        <f t="shared" si="18"/>
        <v>1</v>
      </c>
      <c r="Y149" s="142">
        <f>T149*'Co-Processing'!K151*'Feedstock Conversion Rates'!B$13</f>
        <v>0.93590547486033526</v>
      </c>
      <c r="Z149" s="142">
        <f>U149*'Co-Processing'!K151*'Feedstock Conversion Rates'!B$12</f>
        <v>6.2458691759776537</v>
      </c>
      <c r="AA149" s="142">
        <f>V149*'Co-Processing'!K151*'Feedstock Conversion Rates'!B$14</f>
        <v>0</v>
      </c>
      <c r="AB149" s="142">
        <f t="shared" si="15"/>
        <v>7.1817746508379887</v>
      </c>
      <c r="AD149" s="142">
        <v>0</v>
      </c>
      <c r="AE149" s="142">
        <v>0</v>
      </c>
      <c r="AF149" s="142">
        <v>0</v>
      </c>
      <c r="AG149" s="142">
        <v>0</v>
      </c>
      <c r="AH149" s="142">
        <v>0</v>
      </c>
    </row>
    <row r="150" spans="1:34" x14ac:dyDescent="0.25">
      <c r="A150" s="96">
        <v>43282</v>
      </c>
      <c r="B150" s="104">
        <v>10</v>
      </c>
      <c r="C150" s="104">
        <f>('Co-Processing'!B152*'Co-Pro Feedstock Breakdown'!C$3*'Feedstock Conversion Rates'!B$12)/12-10</f>
        <v>10.34375</v>
      </c>
      <c r="D150" s="106">
        <f t="shared" si="23"/>
        <v>20.34375</v>
      </c>
      <c r="J150" s="104">
        <f>('Co-Processing'!E152*'Co-Pro Feedstock Breakdown'!J$3*'Feedstock Conversion Rates'!B$13)/12</f>
        <v>1.25</v>
      </c>
      <c r="K150" s="104">
        <f>('Co-Processing'!E152*'Co-Pro Feedstock Breakdown'!K$3*'Feedstock Conversion Rates'!B$12)/12</f>
        <v>1.2916666666666667</v>
      </c>
      <c r="L150" s="106">
        <f t="shared" si="19"/>
        <v>2.541666666666667</v>
      </c>
      <c r="N150" s="104">
        <f t="shared" si="20"/>
        <v>11.25</v>
      </c>
      <c r="O150" s="104">
        <f t="shared" si="16"/>
        <v>11.635416666666666</v>
      </c>
      <c r="P150" s="104"/>
      <c r="Q150" s="106">
        <f t="shared" si="21"/>
        <v>22.885416666666664</v>
      </c>
      <c r="R150" s="141">
        <f t="shared" si="22"/>
        <v>0</v>
      </c>
      <c r="T150" s="110">
        <f t="shared" si="17"/>
        <v>0.49157942649066916</v>
      </c>
      <c r="U150" s="110">
        <f t="shared" si="17"/>
        <v>0.5084205735093309</v>
      </c>
      <c r="V150" s="110">
        <f t="shared" si="17"/>
        <v>0</v>
      </c>
      <c r="W150" s="110">
        <f t="shared" si="18"/>
        <v>1</v>
      </c>
      <c r="Y150" s="142">
        <f>T150*'Co-Processing'!K152*'Feedstock Conversion Rates'!B$13</f>
        <v>9.1795821574874825</v>
      </c>
      <c r="Z150" s="142">
        <f>U150*'Co-Processing'!K152*'Feedstock Conversion Rates'!B$12</f>
        <v>9.8105367705962667</v>
      </c>
      <c r="AA150" s="142">
        <f>V150*'Co-Processing'!K152*'Feedstock Conversion Rates'!B$14</f>
        <v>0</v>
      </c>
      <c r="AB150" s="142">
        <f t="shared" si="15"/>
        <v>18.990118928083749</v>
      </c>
      <c r="AD150" s="142">
        <v>0</v>
      </c>
      <c r="AE150" s="142">
        <v>0</v>
      </c>
      <c r="AF150" s="142">
        <v>0</v>
      </c>
      <c r="AG150" s="142">
        <v>0</v>
      </c>
      <c r="AH150" s="142">
        <v>0</v>
      </c>
    </row>
    <row r="151" spans="1:34" x14ac:dyDescent="0.25">
      <c r="A151" s="96">
        <v>43313</v>
      </c>
      <c r="B151" s="104">
        <v>10</v>
      </c>
      <c r="C151" s="104">
        <f>('Co-Processing'!B153*'Co-Pro Feedstock Breakdown'!C$3*'Feedstock Conversion Rates'!B$12)/12-10</f>
        <v>10.34375</v>
      </c>
      <c r="D151" s="106">
        <f t="shared" si="23"/>
        <v>20.34375</v>
      </c>
      <c r="J151" s="104">
        <f>('Co-Processing'!E153*'Co-Pro Feedstock Breakdown'!J$3*'Feedstock Conversion Rates'!B$13)/12</f>
        <v>1.25</v>
      </c>
      <c r="K151" s="104">
        <f>('Co-Processing'!E153*'Co-Pro Feedstock Breakdown'!K$3*'Feedstock Conversion Rates'!B$12)/12</f>
        <v>1.2916666666666667</v>
      </c>
      <c r="L151" s="106">
        <f t="shared" si="19"/>
        <v>2.541666666666667</v>
      </c>
      <c r="N151" s="104">
        <f t="shared" si="20"/>
        <v>11.25</v>
      </c>
      <c r="O151" s="104">
        <f t="shared" si="16"/>
        <v>11.635416666666666</v>
      </c>
      <c r="P151" s="104"/>
      <c r="Q151" s="106">
        <f t="shared" si="21"/>
        <v>22.885416666666664</v>
      </c>
      <c r="R151" s="141">
        <f t="shared" si="22"/>
        <v>0</v>
      </c>
      <c r="T151" s="110">
        <f t="shared" si="17"/>
        <v>0.49157942649066916</v>
      </c>
      <c r="U151" s="110">
        <f t="shared" si="17"/>
        <v>0.5084205735093309</v>
      </c>
      <c r="V151" s="110">
        <f t="shared" si="17"/>
        <v>0</v>
      </c>
      <c r="W151" s="110">
        <f t="shared" si="18"/>
        <v>1</v>
      </c>
      <c r="Y151" s="142">
        <f>T151*'Co-Processing'!K153*'Feedstock Conversion Rates'!B$13</f>
        <v>7.8841388711879832</v>
      </c>
      <c r="Z151" s="142">
        <f>U151*'Co-Processing'!K153*'Feedstock Conversion Rates'!B$12</f>
        <v>8.4260517497724159</v>
      </c>
      <c r="AA151" s="142">
        <f>V151*'Co-Processing'!K153*'Feedstock Conversion Rates'!B$14</f>
        <v>0</v>
      </c>
      <c r="AB151" s="142">
        <f t="shared" si="15"/>
        <v>16.310190620960398</v>
      </c>
      <c r="AD151" s="142">
        <v>0</v>
      </c>
      <c r="AE151" s="142">
        <v>0</v>
      </c>
      <c r="AF151" s="142">
        <v>0</v>
      </c>
      <c r="AG151" s="142">
        <v>0</v>
      </c>
      <c r="AH151" s="142">
        <v>0</v>
      </c>
    </row>
    <row r="152" spans="1:34" x14ac:dyDescent="0.25">
      <c r="A152" s="96">
        <v>43344</v>
      </c>
      <c r="B152" s="104">
        <v>10</v>
      </c>
      <c r="C152" s="104">
        <f>('Co-Processing'!B154*'Co-Pro Feedstock Breakdown'!C$3*'Feedstock Conversion Rates'!B$12)/12-10</f>
        <v>25.520833333333336</v>
      </c>
      <c r="D152" s="106">
        <f t="shared" si="23"/>
        <v>35.520833333333336</v>
      </c>
      <c r="J152" s="104">
        <f>('Co-Processing'!E154*'Co-Pro Feedstock Breakdown'!J$3*'Feedstock Conversion Rates'!B$13)/12</f>
        <v>1.25</v>
      </c>
      <c r="K152" s="104">
        <f>('Co-Processing'!E154*'Co-Pro Feedstock Breakdown'!K$3*'Feedstock Conversion Rates'!B$12)/12</f>
        <v>1.2916666666666667</v>
      </c>
      <c r="L152" s="106">
        <f t="shared" si="19"/>
        <v>2.541666666666667</v>
      </c>
      <c r="N152" s="104">
        <f t="shared" si="20"/>
        <v>11.25</v>
      </c>
      <c r="O152" s="104">
        <f t="shared" si="16"/>
        <v>26.812500000000004</v>
      </c>
      <c r="P152" s="104"/>
      <c r="Q152" s="106">
        <f t="shared" si="21"/>
        <v>38.0625</v>
      </c>
      <c r="R152" s="141">
        <f t="shared" si="22"/>
        <v>0</v>
      </c>
      <c r="T152" s="110">
        <f t="shared" si="17"/>
        <v>0.29556650246305421</v>
      </c>
      <c r="U152" s="110">
        <f t="shared" si="17"/>
        <v>0.70443349753694595</v>
      </c>
      <c r="V152" s="110">
        <f t="shared" si="17"/>
        <v>0</v>
      </c>
      <c r="W152" s="110">
        <f t="shared" si="18"/>
        <v>1.0000000000000002</v>
      </c>
      <c r="Y152" s="142">
        <f>T152*'Co-Processing'!K154*'Feedstock Conversion Rates'!B$13</f>
        <v>8.0471815270935956</v>
      </c>
      <c r="Z152" s="142">
        <f>U152*'Co-Processing'!K154*'Feedstock Conversion Rates'!B$12</f>
        <v>19.818419838669953</v>
      </c>
      <c r="AA152" s="142">
        <f>V152*'Co-Processing'!K154*'Feedstock Conversion Rates'!B$14</f>
        <v>0</v>
      </c>
      <c r="AB152" s="142">
        <f t="shared" si="15"/>
        <v>27.865601365763549</v>
      </c>
      <c r="AD152" s="142">
        <v>0</v>
      </c>
      <c r="AE152" s="142">
        <v>0</v>
      </c>
      <c r="AF152" s="142">
        <v>0</v>
      </c>
      <c r="AG152" s="142">
        <v>0</v>
      </c>
      <c r="AH152" s="142">
        <v>0</v>
      </c>
    </row>
    <row r="153" spans="1:34" x14ac:dyDescent="0.25">
      <c r="A153" s="96">
        <v>43374</v>
      </c>
      <c r="B153" s="104">
        <v>10</v>
      </c>
      <c r="C153" s="104">
        <f>('Co-Processing'!B155*'Co-Pro Feedstock Breakdown'!C$3*'Feedstock Conversion Rates'!B$12)/12-10</f>
        <v>25.520833333333336</v>
      </c>
      <c r="D153" s="106">
        <f t="shared" si="23"/>
        <v>35.520833333333336</v>
      </c>
      <c r="J153" s="104">
        <f>('Co-Processing'!E155*'Co-Pro Feedstock Breakdown'!J$3*'Feedstock Conversion Rates'!B$13)/12</f>
        <v>1.25</v>
      </c>
      <c r="K153" s="104">
        <f>('Co-Processing'!E155*'Co-Pro Feedstock Breakdown'!K$3*'Feedstock Conversion Rates'!B$12)/12</f>
        <v>1.2916666666666667</v>
      </c>
      <c r="L153" s="106">
        <f t="shared" si="19"/>
        <v>2.541666666666667</v>
      </c>
      <c r="N153" s="104">
        <f t="shared" si="20"/>
        <v>11.25</v>
      </c>
      <c r="O153" s="104">
        <f t="shared" si="16"/>
        <v>26.812500000000004</v>
      </c>
      <c r="P153" s="104"/>
      <c r="Q153" s="106">
        <f t="shared" si="21"/>
        <v>38.0625</v>
      </c>
      <c r="R153" s="141">
        <f t="shared" si="22"/>
        <v>0</v>
      </c>
      <c r="T153" s="110">
        <f t="shared" si="17"/>
        <v>0.29556650246305421</v>
      </c>
      <c r="U153" s="110">
        <f t="shared" si="17"/>
        <v>0.70443349753694595</v>
      </c>
      <c r="V153" s="110">
        <f t="shared" si="17"/>
        <v>0</v>
      </c>
      <c r="W153" s="110">
        <f t="shared" si="18"/>
        <v>1.0000000000000002</v>
      </c>
      <c r="Y153" s="142">
        <f>T153*'Co-Processing'!K155*'Feedstock Conversion Rates'!B$13</f>
        <v>6.8709901477832522</v>
      </c>
      <c r="Z153" s="142">
        <f>U153*'Co-Processing'!K155*'Feedstock Conversion Rates'!B$12</f>
        <v>16.921721847290645</v>
      </c>
      <c r="AA153" s="142">
        <f>V153*'Co-Processing'!K155*'Feedstock Conversion Rates'!B$14</f>
        <v>0</v>
      </c>
      <c r="AB153" s="142">
        <f t="shared" si="15"/>
        <v>23.792711995073898</v>
      </c>
      <c r="AD153" s="142">
        <v>0</v>
      </c>
      <c r="AE153" s="142">
        <v>0</v>
      </c>
      <c r="AF153" s="142">
        <v>0</v>
      </c>
      <c r="AG153" s="142">
        <v>0</v>
      </c>
      <c r="AH153" s="142">
        <v>0</v>
      </c>
    </row>
    <row r="154" spans="1:34" x14ac:dyDescent="0.25">
      <c r="A154" s="96">
        <v>43405</v>
      </c>
      <c r="B154" s="104">
        <v>10</v>
      </c>
      <c r="C154" s="104">
        <f>('Co-Processing'!B156*'Co-Pro Feedstock Breakdown'!C$3*'Feedstock Conversion Rates'!B$12)/12-10</f>
        <v>25.520833333333336</v>
      </c>
      <c r="D154" s="106">
        <f t="shared" si="23"/>
        <v>35.520833333333336</v>
      </c>
      <c r="J154" s="104">
        <f>('Co-Processing'!E156*'Co-Pro Feedstock Breakdown'!J$3*'Feedstock Conversion Rates'!B$13)/12</f>
        <v>1.25</v>
      </c>
      <c r="K154" s="104">
        <f>('Co-Processing'!E156*'Co-Pro Feedstock Breakdown'!K$3*'Feedstock Conversion Rates'!B$12)/12</f>
        <v>1.2916666666666667</v>
      </c>
      <c r="L154" s="106">
        <f t="shared" si="19"/>
        <v>2.541666666666667</v>
      </c>
      <c r="N154" s="104">
        <f t="shared" si="20"/>
        <v>11.25</v>
      </c>
      <c r="O154" s="104">
        <f t="shared" si="16"/>
        <v>26.812500000000004</v>
      </c>
      <c r="P154" s="104"/>
      <c r="Q154" s="106">
        <f t="shared" si="21"/>
        <v>38.0625</v>
      </c>
      <c r="R154" s="141">
        <f t="shared" si="22"/>
        <v>0</v>
      </c>
      <c r="T154" s="110">
        <f t="shared" si="17"/>
        <v>0.29556650246305421</v>
      </c>
      <c r="U154" s="110">
        <f t="shared" si="17"/>
        <v>0.70443349753694595</v>
      </c>
      <c r="V154" s="110">
        <f t="shared" si="17"/>
        <v>0</v>
      </c>
      <c r="W154" s="110">
        <f t="shared" si="18"/>
        <v>1.0000000000000002</v>
      </c>
      <c r="Y154" s="142">
        <f>T154*'Co-Processing'!K156*'Feedstock Conversion Rates'!B$13</f>
        <v>7.6559874384236473</v>
      </c>
      <c r="Z154" s="142">
        <f>U154*'Co-Processing'!K156*'Feedstock Conversion Rates'!B$12</f>
        <v>18.854995730295574</v>
      </c>
      <c r="AA154" s="142">
        <f>V154*'Co-Processing'!K156*'Feedstock Conversion Rates'!B$14</f>
        <v>0</v>
      </c>
      <c r="AB154" s="142">
        <f t="shared" si="15"/>
        <v>26.510983168719221</v>
      </c>
      <c r="AD154" s="142">
        <v>0</v>
      </c>
      <c r="AE154" s="142">
        <v>0</v>
      </c>
      <c r="AF154" s="142">
        <v>0</v>
      </c>
      <c r="AG154" s="142">
        <v>0</v>
      </c>
      <c r="AH154" s="142">
        <v>0</v>
      </c>
    </row>
    <row r="155" spans="1:34" x14ac:dyDescent="0.25">
      <c r="A155" s="96">
        <v>43435</v>
      </c>
      <c r="B155" s="104">
        <v>10</v>
      </c>
      <c r="C155" s="104">
        <f>('Co-Processing'!B157*'Co-Pro Feedstock Breakdown'!C$3*'Feedstock Conversion Rates'!B$12)/12-10</f>
        <v>25.520833333333336</v>
      </c>
      <c r="D155" s="106">
        <f t="shared" si="23"/>
        <v>35.520833333333336</v>
      </c>
      <c r="J155" s="104">
        <f>('Co-Processing'!E157*'Co-Pro Feedstock Breakdown'!J$3*'Feedstock Conversion Rates'!B$13)/12</f>
        <v>1.25</v>
      </c>
      <c r="K155" s="104">
        <f>('Co-Processing'!E157*'Co-Pro Feedstock Breakdown'!K$3*'Feedstock Conversion Rates'!B$12)/12</f>
        <v>1.2916666666666667</v>
      </c>
      <c r="L155" s="106">
        <f t="shared" si="19"/>
        <v>2.541666666666667</v>
      </c>
      <c r="N155" s="104">
        <f t="shared" si="20"/>
        <v>11.25</v>
      </c>
      <c r="O155" s="104">
        <f t="shared" si="16"/>
        <v>26.812500000000004</v>
      </c>
      <c r="P155" s="104"/>
      <c r="Q155" s="106">
        <f t="shared" si="21"/>
        <v>38.0625</v>
      </c>
      <c r="R155" s="141">
        <f t="shared" si="22"/>
        <v>0</v>
      </c>
      <c r="T155" s="110">
        <f t="shared" si="17"/>
        <v>0.29556650246305421</v>
      </c>
      <c r="U155" s="110">
        <f t="shared" si="17"/>
        <v>0.70443349753694595</v>
      </c>
      <c r="V155" s="110">
        <f t="shared" si="17"/>
        <v>0</v>
      </c>
      <c r="W155" s="110">
        <f t="shared" si="18"/>
        <v>1.0000000000000002</v>
      </c>
      <c r="Y155" s="142">
        <f>T155*'Co-Processing'!K157*'Feedstock Conversion Rates'!B$13</f>
        <v>5.2548029556650251</v>
      </c>
      <c r="Z155" s="142">
        <f>U155*'Co-Processing'!K157*'Feedstock Conversion Rates'!B$12</f>
        <v>12.94141194581281</v>
      </c>
      <c r="AA155" s="142">
        <f>V155*'Co-Processing'!K157*'Feedstock Conversion Rates'!B$14</f>
        <v>0</v>
      </c>
      <c r="AB155" s="142">
        <f t="shared" si="15"/>
        <v>18.196214901477834</v>
      </c>
      <c r="AD155" s="142">
        <v>0</v>
      </c>
      <c r="AE155" s="142">
        <v>0</v>
      </c>
      <c r="AF155" s="142">
        <v>0</v>
      </c>
      <c r="AG155" s="142">
        <v>0</v>
      </c>
      <c r="AH155" s="142">
        <v>0</v>
      </c>
    </row>
    <row r="156" spans="1:34" x14ac:dyDescent="0.25">
      <c r="A156" s="96">
        <v>43466</v>
      </c>
      <c r="B156" s="104">
        <v>10</v>
      </c>
      <c r="C156" s="104">
        <f>('Co-Processing'!B158*'Co-Pro Feedstock Breakdown'!C$3*'Feedstock Conversion Rates'!B$12)/12-10</f>
        <v>25.520833333333336</v>
      </c>
      <c r="D156" s="106">
        <f t="shared" si="23"/>
        <v>35.520833333333336</v>
      </c>
      <c r="J156" s="104">
        <f>('Co-Processing'!E158*'Co-Pro Feedstock Breakdown'!J$3*'Feedstock Conversion Rates'!B$13)/12</f>
        <v>1.25</v>
      </c>
      <c r="K156" s="104">
        <f>('Co-Processing'!E158*'Co-Pro Feedstock Breakdown'!K$3*'Feedstock Conversion Rates'!B$12)/12</f>
        <v>1.2916666666666667</v>
      </c>
      <c r="L156" s="106">
        <f t="shared" si="19"/>
        <v>2.541666666666667</v>
      </c>
      <c r="N156" s="104">
        <f t="shared" si="20"/>
        <v>11.25</v>
      </c>
      <c r="O156" s="104">
        <f t="shared" si="16"/>
        <v>26.812500000000004</v>
      </c>
      <c r="P156" s="104"/>
      <c r="Q156" s="106">
        <f t="shared" si="21"/>
        <v>38.0625</v>
      </c>
      <c r="R156" s="141">
        <f t="shared" si="22"/>
        <v>0</v>
      </c>
      <c r="T156" s="110">
        <f t="shared" si="17"/>
        <v>0.29556650246305421</v>
      </c>
      <c r="U156" s="110">
        <f t="shared" si="17"/>
        <v>0.70443349753694595</v>
      </c>
      <c r="V156" s="110">
        <f t="shared" si="17"/>
        <v>0</v>
      </c>
      <c r="W156" s="110">
        <f t="shared" si="18"/>
        <v>1.0000000000000002</v>
      </c>
      <c r="Y156" s="142">
        <f>T156*'Co-Processing'!K158*'Feedstock Conversion Rates'!B$13</f>
        <v>6.6093472906403949</v>
      </c>
      <c r="Z156" s="142">
        <f>U156*'Co-Processing'!K158*'Feedstock Conversion Rates'!B$12</f>
        <v>16.277353633004928</v>
      </c>
      <c r="AA156" s="142">
        <f>V156*'Co-Processing'!K158*'Feedstock Conversion Rates'!B$14</f>
        <v>0</v>
      </c>
      <c r="AB156" s="142">
        <f t="shared" si="15"/>
        <v>22.886700923645321</v>
      </c>
      <c r="AD156" s="142">
        <v>0</v>
      </c>
      <c r="AE156" s="142">
        <v>0</v>
      </c>
      <c r="AF156" s="142">
        <v>0</v>
      </c>
      <c r="AG156" s="142">
        <v>0</v>
      </c>
      <c r="AH156" s="142">
        <v>0</v>
      </c>
    </row>
    <row r="157" spans="1:34" x14ac:dyDescent="0.25">
      <c r="A157" s="96">
        <v>43497</v>
      </c>
      <c r="B157" s="104">
        <v>10</v>
      </c>
      <c r="C157" s="104">
        <f>('Co-Processing'!B159*'Co-Pro Feedstock Breakdown'!C$3*'Feedstock Conversion Rates'!B$12)/12-10</f>
        <v>25.520833333333336</v>
      </c>
      <c r="D157" s="106">
        <f t="shared" si="23"/>
        <v>35.520833333333336</v>
      </c>
      <c r="J157" s="104">
        <f>('Co-Processing'!E159*'Co-Pro Feedstock Breakdown'!J$3*'Feedstock Conversion Rates'!B$13)/12</f>
        <v>1.25</v>
      </c>
      <c r="K157" s="104">
        <f>('Co-Processing'!E159*'Co-Pro Feedstock Breakdown'!K$3*'Feedstock Conversion Rates'!B$12)/12</f>
        <v>1.2916666666666667</v>
      </c>
      <c r="L157" s="106">
        <f t="shared" si="19"/>
        <v>2.541666666666667</v>
      </c>
      <c r="N157" s="104">
        <f t="shared" si="20"/>
        <v>11.25</v>
      </c>
      <c r="O157" s="104">
        <f t="shared" si="16"/>
        <v>26.812500000000004</v>
      </c>
      <c r="P157" s="104"/>
      <c r="Q157" s="106">
        <f t="shared" si="21"/>
        <v>38.0625</v>
      </c>
      <c r="R157" s="141">
        <f t="shared" si="22"/>
        <v>0</v>
      </c>
      <c r="T157" s="110">
        <f t="shared" si="17"/>
        <v>0.29556650246305421</v>
      </c>
      <c r="U157" s="110">
        <f t="shared" si="17"/>
        <v>0.70443349753694595</v>
      </c>
      <c r="V157" s="110">
        <f t="shared" si="17"/>
        <v>0</v>
      </c>
      <c r="W157" s="110">
        <f t="shared" si="18"/>
        <v>1.0000000000000002</v>
      </c>
      <c r="Y157" s="142">
        <f>T157*'Co-Processing'!K159*'Feedstock Conversion Rates'!B$13</f>
        <v>5.2051300492610837</v>
      </c>
      <c r="Z157" s="142">
        <f>U157*'Co-Processing'!K159*'Feedstock Conversion Rates'!B$12</f>
        <v>12.819078615763548</v>
      </c>
      <c r="AA157" s="142">
        <f>V157*'Co-Processing'!K159*'Feedstock Conversion Rates'!B$14</f>
        <v>0</v>
      </c>
      <c r="AB157" s="142">
        <f t="shared" si="15"/>
        <v>18.024208665024631</v>
      </c>
      <c r="AD157" s="142">
        <v>0</v>
      </c>
      <c r="AE157" s="142">
        <v>0</v>
      </c>
      <c r="AF157" s="142">
        <v>0</v>
      </c>
      <c r="AG157" s="142">
        <v>0</v>
      </c>
      <c r="AH157" s="142">
        <v>0</v>
      </c>
    </row>
    <row r="158" spans="1:34" x14ac:dyDescent="0.25">
      <c r="A158" s="96">
        <v>43525</v>
      </c>
      <c r="B158" s="104">
        <v>10</v>
      </c>
      <c r="C158" s="104">
        <f>('Co-Processing'!B160*'Co-Pro Feedstock Breakdown'!C$3*'Feedstock Conversion Rates'!B$12)/12-10</f>
        <v>25.520833333333336</v>
      </c>
      <c r="D158" s="106">
        <f t="shared" si="23"/>
        <v>35.520833333333336</v>
      </c>
      <c r="J158" s="104">
        <f>('Co-Processing'!E160*'Co-Pro Feedstock Breakdown'!J$3*'Feedstock Conversion Rates'!B$13)/12</f>
        <v>1.25</v>
      </c>
      <c r="K158" s="104">
        <f>('Co-Processing'!E160*'Co-Pro Feedstock Breakdown'!K$3*'Feedstock Conversion Rates'!B$12)/12</f>
        <v>1.2916666666666667</v>
      </c>
      <c r="L158" s="106">
        <f t="shared" si="19"/>
        <v>2.541666666666667</v>
      </c>
      <c r="N158" s="104">
        <f t="shared" si="20"/>
        <v>11.25</v>
      </c>
      <c r="O158" s="104">
        <f t="shared" si="16"/>
        <v>26.812500000000004</v>
      </c>
      <c r="P158" s="104"/>
      <c r="Q158" s="106">
        <f t="shared" si="21"/>
        <v>38.0625</v>
      </c>
      <c r="R158" s="141">
        <f t="shared" si="22"/>
        <v>0</v>
      </c>
      <c r="T158" s="110">
        <f t="shared" si="17"/>
        <v>0.29556650246305421</v>
      </c>
      <c r="U158" s="110">
        <f t="shared" si="17"/>
        <v>0.70443349753694595</v>
      </c>
      <c r="V158" s="110">
        <f t="shared" si="17"/>
        <v>0</v>
      </c>
      <c r="W158" s="110">
        <f t="shared" si="18"/>
        <v>1.0000000000000002</v>
      </c>
      <c r="Y158" s="142">
        <f>T158*'Co-Processing'!K160*'Feedstock Conversion Rates'!B$13</f>
        <v>6.3736714285714289</v>
      </c>
      <c r="Z158" s="142">
        <f>U158*'Co-Processing'!K160*'Feedstock Conversion Rates'!B$12</f>
        <v>15.696936357142858</v>
      </c>
      <c r="AA158" s="142">
        <f>V158*'Co-Processing'!K160*'Feedstock Conversion Rates'!B$14</f>
        <v>0</v>
      </c>
      <c r="AB158" s="142">
        <f t="shared" si="15"/>
        <v>22.070607785714287</v>
      </c>
      <c r="AD158" s="142">
        <v>0</v>
      </c>
      <c r="AE158" s="142">
        <v>0</v>
      </c>
      <c r="AF158" s="142">
        <v>0</v>
      </c>
      <c r="AG158" s="142">
        <v>0</v>
      </c>
      <c r="AH158" s="142">
        <v>0</v>
      </c>
    </row>
    <row r="159" spans="1:34" x14ac:dyDescent="0.25">
      <c r="A159" s="96">
        <v>43556</v>
      </c>
      <c r="B159" s="104">
        <v>10</v>
      </c>
      <c r="C159" s="104">
        <f>('Co-Processing'!B161*'Co-Pro Feedstock Breakdown'!C$3*'Feedstock Conversion Rates'!B$12)/12-10</f>
        <v>25.520833333333336</v>
      </c>
      <c r="D159" s="106">
        <f t="shared" si="23"/>
        <v>35.520833333333336</v>
      </c>
      <c r="J159" s="104">
        <f>('Co-Processing'!E161*'Co-Pro Feedstock Breakdown'!J$3*'Feedstock Conversion Rates'!B$13)/12</f>
        <v>1.25</v>
      </c>
      <c r="K159" s="104">
        <f>('Co-Processing'!E161*'Co-Pro Feedstock Breakdown'!K$3*'Feedstock Conversion Rates'!B$12)/12</f>
        <v>1.2916666666666667</v>
      </c>
      <c r="L159" s="106">
        <f t="shared" si="19"/>
        <v>2.541666666666667</v>
      </c>
      <c r="N159" s="104">
        <f t="shared" si="20"/>
        <v>11.25</v>
      </c>
      <c r="O159" s="104">
        <f t="shared" si="16"/>
        <v>26.812500000000004</v>
      </c>
      <c r="P159" s="104"/>
      <c r="Q159" s="106">
        <f t="shared" si="21"/>
        <v>38.0625</v>
      </c>
      <c r="R159" s="141">
        <f t="shared" si="22"/>
        <v>0</v>
      </c>
      <c r="T159" s="110">
        <f t="shared" si="17"/>
        <v>0.29556650246305421</v>
      </c>
      <c r="U159" s="110">
        <f t="shared" si="17"/>
        <v>0.70443349753694595</v>
      </c>
      <c r="V159" s="110">
        <f t="shared" si="17"/>
        <v>0</v>
      </c>
      <c r="W159" s="110">
        <f t="shared" si="18"/>
        <v>1.0000000000000002</v>
      </c>
      <c r="Y159" s="142">
        <f>T159*'Co-Processing'!K161*'Feedstock Conversion Rates'!B$13</f>
        <v>6.6406566502463065</v>
      </c>
      <c r="Z159" s="142">
        <f>U159*'Co-Processing'!K161*'Feedstock Conversion Rates'!B$12</f>
        <v>16.354461628078823</v>
      </c>
      <c r="AA159" s="142">
        <f>V159*'Co-Processing'!K161*'Feedstock Conversion Rates'!B$14</f>
        <v>0</v>
      </c>
      <c r="AB159" s="142">
        <f t="shared" si="15"/>
        <v>22.99511827832513</v>
      </c>
      <c r="AD159" s="142">
        <v>0</v>
      </c>
      <c r="AE159" s="142">
        <v>0</v>
      </c>
      <c r="AF159" s="142">
        <v>0</v>
      </c>
      <c r="AG159" s="142">
        <v>0</v>
      </c>
      <c r="AH159" s="142">
        <v>0</v>
      </c>
    </row>
    <row r="160" spans="1:34" x14ac:dyDescent="0.25">
      <c r="A160" s="96">
        <v>43586</v>
      </c>
      <c r="B160" s="104">
        <v>10</v>
      </c>
      <c r="C160" s="104">
        <f>('Co-Processing'!B162*'Co-Pro Feedstock Breakdown'!C$3*'Feedstock Conversion Rates'!B$12)/12-10</f>
        <v>25.520833333333336</v>
      </c>
      <c r="D160" s="106">
        <f t="shared" si="23"/>
        <v>35.520833333333336</v>
      </c>
      <c r="J160" s="104">
        <f>('Co-Processing'!E162*'Co-Pro Feedstock Breakdown'!J$3*'Feedstock Conversion Rates'!B$13)/12</f>
        <v>1.25</v>
      </c>
      <c r="K160" s="104">
        <f>('Co-Processing'!E162*'Co-Pro Feedstock Breakdown'!K$3*'Feedstock Conversion Rates'!B$12)/12</f>
        <v>1.2916666666666667</v>
      </c>
      <c r="L160" s="106">
        <f t="shared" si="19"/>
        <v>2.541666666666667</v>
      </c>
      <c r="N160" s="104">
        <f t="shared" si="20"/>
        <v>11.25</v>
      </c>
      <c r="O160" s="104">
        <f t="shared" si="16"/>
        <v>26.812500000000004</v>
      </c>
      <c r="P160" s="104"/>
      <c r="Q160" s="106">
        <f t="shared" si="21"/>
        <v>38.0625</v>
      </c>
      <c r="R160" s="141">
        <f t="shared" si="22"/>
        <v>0</v>
      </c>
      <c r="T160" s="110">
        <f t="shared" si="17"/>
        <v>0.29556650246305421</v>
      </c>
      <c r="U160" s="110">
        <f t="shared" si="17"/>
        <v>0.70443349753694595</v>
      </c>
      <c r="V160" s="110">
        <f t="shared" si="17"/>
        <v>0</v>
      </c>
      <c r="W160" s="110">
        <f t="shared" si="18"/>
        <v>1.0000000000000002</v>
      </c>
      <c r="Y160" s="142">
        <f>T160*'Co-Processing'!K162*'Feedstock Conversion Rates'!B$13</f>
        <v>7.6882078817733994</v>
      </c>
      <c r="Z160" s="142">
        <f>U160*'Co-Processing'!K162*'Feedstock Conversion Rates'!B$12</f>
        <v>18.934347522167492</v>
      </c>
      <c r="AA160" s="142">
        <f>V160*'Co-Processing'!K162*'Feedstock Conversion Rates'!B$14</f>
        <v>0</v>
      </c>
      <c r="AB160" s="142">
        <f t="shared" si="15"/>
        <v>26.622555403940893</v>
      </c>
      <c r="AD160" s="142">
        <v>0</v>
      </c>
      <c r="AE160" s="142">
        <v>0</v>
      </c>
      <c r="AF160" s="142">
        <v>0</v>
      </c>
      <c r="AG160" s="142">
        <v>0</v>
      </c>
      <c r="AH160" s="142">
        <v>0</v>
      </c>
    </row>
    <row r="161" spans="1:34" x14ac:dyDescent="0.25">
      <c r="A161" s="96">
        <v>43617</v>
      </c>
      <c r="B161" s="104">
        <v>10</v>
      </c>
      <c r="C161" s="104">
        <f>('Co-Processing'!B163*'Co-Pro Feedstock Breakdown'!C$3*'Feedstock Conversion Rates'!B$12)/12-10</f>
        <v>25.520833333333336</v>
      </c>
      <c r="D161" s="106">
        <f t="shared" si="23"/>
        <v>35.520833333333336</v>
      </c>
      <c r="J161" s="104">
        <f>('Co-Processing'!E163*'Co-Pro Feedstock Breakdown'!J$3*'Feedstock Conversion Rates'!B$13)/12</f>
        <v>1.25</v>
      </c>
      <c r="K161" s="104">
        <f>('Co-Processing'!E163*'Co-Pro Feedstock Breakdown'!K$3*'Feedstock Conversion Rates'!B$12)/12</f>
        <v>1.2916666666666667</v>
      </c>
      <c r="L161" s="106">
        <f t="shared" si="19"/>
        <v>2.541666666666667</v>
      </c>
      <c r="N161" s="104">
        <f t="shared" si="20"/>
        <v>11.25</v>
      </c>
      <c r="O161" s="104">
        <f t="shared" si="16"/>
        <v>26.812500000000004</v>
      </c>
      <c r="P161" s="104"/>
      <c r="Q161" s="106">
        <f t="shared" si="21"/>
        <v>38.0625</v>
      </c>
      <c r="R161" s="141">
        <f t="shared" si="22"/>
        <v>0</v>
      </c>
      <c r="T161" s="110">
        <f t="shared" si="17"/>
        <v>0.29556650246305421</v>
      </c>
      <c r="U161" s="110">
        <f t="shared" si="17"/>
        <v>0.70443349753694595</v>
      </c>
      <c r="V161" s="110">
        <f t="shared" si="17"/>
        <v>0</v>
      </c>
      <c r="W161" s="110">
        <f t="shared" si="18"/>
        <v>1.0000000000000002</v>
      </c>
      <c r="Y161" s="142">
        <f>T161*'Co-Processing'!K163*'Feedstock Conversion Rates'!B$13</f>
        <v>5.487311083743843</v>
      </c>
      <c r="Z161" s="142">
        <f>U161*'Co-Processing'!K163*'Feedstock Conversion Rates'!B$12</f>
        <v>13.514027796798032</v>
      </c>
      <c r="AA161" s="142">
        <f>V161*'Co-Processing'!K163*'Feedstock Conversion Rates'!B$14</f>
        <v>0</v>
      </c>
      <c r="AB161" s="142">
        <f t="shared" si="15"/>
        <v>19.001338880541876</v>
      </c>
      <c r="AD161" s="142">
        <v>0</v>
      </c>
      <c r="AE161" s="142">
        <v>0</v>
      </c>
      <c r="AF161" s="142">
        <v>0</v>
      </c>
      <c r="AG161" s="142">
        <v>0</v>
      </c>
      <c r="AH161" s="142">
        <v>0</v>
      </c>
    </row>
    <row r="162" spans="1:34" x14ac:dyDescent="0.25">
      <c r="A162" s="96">
        <v>43647</v>
      </c>
      <c r="B162" s="104">
        <v>10</v>
      </c>
      <c r="C162" s="104">
        <f>('Co-Processing'!B164*'Co-Pro Feedstock Breakdown'!C$3*'Feedstock Conversion Rates'!B$12)/12-10</f>
        <v>25.520833333333336</v>
      </c>
      <c r="D162" s="106">
        <f t="shared" si="23"/>
        <v>35.520833333333336</v>
      </c>
      <c r="J162" s="104">
        <f>('Co-Processing'!E164*'Co-Pro Feedstock Breakdown'!J$3*'Feedstock Conversion Rates'!B$13)/12</f>
        <v>1.25</v>
      </c>
      <c r="K162" s="104">
        <f>('Co-Processing'!E164*'Co-Pro Feedstock Breakdown'!K$3*'Feedstock Conversion Rates'!B$12)/12</f>
        <v>1.2916666666666667</v>
      </c>
      <c r="L162" s="106">
        <f t="shared" si="19"/>
        <v>2.541666666666667</v>
      </c>
      <c r="N162" s="104">
        <f t="shared" si="20"/>
        <v>11.25</v>
      </c>
      <c r="O162" s="104">
        <f t="shared" si="16"/>
        <v>26.812500000000004</v>
      </c>
      <c r="P162" s="104"/>
      <c r="Q162" s="106">
        <f t="shared" si="21"/>
        <v>38.0625</v>
      </c>
      <c r="R162" s="141">
        <f t="shared" si="22"/>
        <v>0</v>
      </c>
      <c r="T162" s="110">
        <f t="shared" si="17"/>
        <v>0.29556650246305421</v>
      </c>
      <c r="U162" s="110">
        <f t="shared" si="17"/>
        <v>0.70443349753694595</v>
      </c>
      <c r="V162" s="110">
        <f t="shared" si="17"/>
        <v>0</v>
      </c>
      <c r="W162" s="110">
        <f t="shared" si="18"/>
        <v>1.0000000000000002</v>
      </c>
      <c r="Y162" s="142">
        <f>T162*'Co-Processing'!K164*'Feedstock Conversion Rates'!B$13</f>
        <v>6.878651231527094</v>
      </c>
      <c r="Z162" s="142">
        <f>U162*'Co-Processing'!K164*'Feedstock Conversion Rates'!B$12</f>
        <v>16.940589394088672</v>
      </c>
      <c r="AA162" s="142">
        <f>V162*'Co-Processing'!K164*'Feedstock Conversion Rates'!B$14</f>
        <v>0</v>
      </c>
      <c r="AB162" s="142">
        <f t="shared" si="15"/>
        <v>23.819240625615766</v>
      </c>
      <c r="AD162" s="142">
        <v>0</v>
      </c>
      <c r="AE162" s="142">
        <v>0</v>
      </c>
      <c r="AF162" s="142">
        <v>0</v>
      </c>
      <c r="AG162" s="142">
        <v>0</v>
      </c>
      <c r="AH162" s="142">
        <v>0</v>
      </c>
    </row>
    <row r="163" spans="1:34" x14ac:dyDescent="0.25">
      <c r="A163" s="96">
        <v>43678</v>
      </c>
      <c r="B163" s="104">
        <v>10</v>
      </c>
      <c r="C163" s="104">
        <f>('Co-Processing'!B165*'Co-Pro Feedstock Breakdown'!C$3*'Feedstock Conversion Rates'!B$12)/12-10</f>
        <v>25.520833333333336</v>
      </c>
      <c r="D163" s="106">
        <f t="shared" si="23"/>
        <v>35.520833333333336</v>
      </c>
      <c r="J163" s="104">
        <f>('Co-Processing'!E165*'Co-Pro Feedstock Breakdown'!J$3*'Feedstock Conversion Rates'!B$13)/12</f>
        <v>1.25</v>
      </c>
      <c r="K163" s="104">
        <f>('Co-Processing'!E165*'Co-Pro Feedstock Breakdown'!K$3*'Feedstock Conversion Rates'!B$12)/12</f>
        <v>1.2916666666666667</v>
      </c>
      <c r="L163" s="106">
        <f t="shared" si="19"/>
        <v>2.541666666666667</v>
      </c>
      <c r="N163" s="104">
        <f t="shared" si="20"/>
        <v>11.25</v>
      </c>
      <c r="O163" s="104">
        <f t="shared" si="16"/>
        <v>26.812500000000004</v>
      </c>
      <c r="P163" s="104"/>
      <c r="Q163" s="106">
        <f t="shared" si="21"/>
        <v>38.0625</v>
      </c>
      <c r="R163" s="141">
        <f t="shared" si="22"/>
        <v>0</v>
      </c>
      <c r="T163" s="110">
        <f t="shared" si="17"/>
        <v>0.29556650246305421</v>
      </c>
      <c r="U163" s="110">
        <f t="shared" si="17"/>
        <v>0.70443349753694595</v>
      </c>
      <c r="V163" s="110">
        <f t="shared" si="17"/>
        <v>0</v>
      </c>
      <c r="W163" s="110">
        <f t="shared" si="18"/>
        <v>1.0000000000000002</v>
      </c>
      <c r="Y163" s="142">
        <f>T163*'Co-Processing'!K165*'Feedstock Conversion Rates'!B$13</f>
        <v>8.0097495073891629</v>
      </c>
      <c r="Z163" s="142">
        <f>U163*'Co-Processing'!K165*'Feedstock Conversion Rates'!B$12</f>
        <v>19.726233092364534</v>
      </c>
      <c r="AA163" s="142">
        <f>V163*'Co-Processing'!K165*'Feedstock Conversion Rates'!B$14</f>
        <v>0</v>
      </c>
      <c r="AB163" s="142">
        <f t="shared" si="15"/>
        <v>27.735982599753697</v>
      </c>
      <c r="AD163" s="142">
        <v>0</v>
      </c>
      <c r="AE163" s="142">
        <v>0</v>
      </c>
      <c r="AF163" s="142">
        <v>0</v>
      </c>
      <c r="AG163" s="142">
        <v>0</v>
      </c>
      <c r="AH163" s="142">
        <v>0</v>
      </c>
    </row>
    <row r="164" spans="1:34" x14ac:dyDescent="0.25">
      <c r="A164" s="96">
        <v>43709</v>
      </c>
      <c r="B164" s="104">
        <v>10</v>
      </c>
      <c r="C164" s="104">
        <f>('Co-Processing'!B166*'Co-Pro Feedstock Breakdown'!C$3*'Feedstock Conversion Rates'!B$12)/12-10</f>
        <v>25.520833333333336</v>
      </c>
      <c r="D164" s="106">
        <f t="shared" si="23"/>
        <v>35.520833333333336</v>
      </c>
      <c r="J164" s="104">
        <f>('Co-Processing'!E166*'Co-Pro Feedstock Breakdown'!J$3*'Feedstock Conversion Rates'!B$13)/12</f>
        <v>1.25</v>
      </c>
      <c r="K164" s="104">
        <f>('Co-Processing'!E166*'Co-Pro Feedstock Breakdown'!K$3*'Feedstock Conversion Rates'!B$12)/12</f>
        <v>1.2916666666666667</v>
      </c>
      <c r="L164" s="106">
        <f t="shared" si="19"/>
        <v>2.541666666666667</v>
      </c>
      <c r="N164" s="104">
        <f t="shared" si="20"/>
        <v>11.25</v>
      </c>
      <c r="O164" s="104">
        <f t="shared" si="16"/>
        <v>26.812500000000004</v>
      </c>
      <c r="P164" s="104"/>
      <c r="Q164" s="106">
        <f t="shared" si="21"/>
        <v>38.0625</v>
      </c>
      <c r="R164" s="141">
        <f t="shared" si="22"/>
        <v>0</v>
      </c>
      <c r="T164" s="110">
        <f t="shared" si="17"/>
        <v>0.29556650246305421</v>
      </c>
      <c r="U164" s="110">
        <f t="shared" si="17"/>
        <v>0.70443349753694595</v>
      </c>
      <c r="V164" s="110">
        <f t="shared" si="17"/>
        <v>0</v>
      </c>
      <c r="W164" s="110">
        <f t="shared" si="18"/>
        <v>1.0000000000000002</v>
      </c>
      <c r="Y164" s="142">
        <f>T164*'Co-Processing'!K166*'Feedstock Conversion Rates'!B$13</f>
        <v>6.7371672413793107</v>
      </c>
      <c r="Z164" s="142">
        <f>U164*'Co-Processing'!K166*'Feedstock Conversion Rates'!B$12</f>
        <v>16.592145767241384</v>
      </c>
      <c r="AA164" s="142">
        <f>V164*'Co-Processing'!K166*'Feedstock Conversion Rates'!B$14</f>
        <v>0</v>
      </c>
      <c r="AB164" s="142">
        <f t="shared" si="15"/>
        <v>23.329313008620694</v>
      </c>
      <c r="AD164" s="142">
        <v>0</v>
      </c>
      <c r="AE164" s="142">
        <v>0</v>
      </c>
      <c r="AF164" s="142">
        <v>0</v>
      </c>
      <c r="AG164" s="142">
        <v>0</v>
      </c>
      <c r="AH164" s="142">
        <v>0</v>
      </c>
    </row>
    <row r="165" spans="1:34" x14ac:dyDescent="0.25">
      <c r="A165" s="96">
        <v>43739</v>
      </c>
      <c r="B165" s="104">
        <v>10</v>
      </c>
      <c r="C165" s="104">
        <f>('Co-Processing'!B167*'Co-Pro Feedstock Breakdown'!C$3*'Feedstock Conversion Rates'!B$12)/12-10</f>
        <v>25.520833333333336</v>
      </c>
      <c r="D165" s="106">
        <f t="shared" si="23"/>
        <v>35.520833333333336</v>
      </c>
      <c r="J165" s="104">
        <f>('Co-Processing'!E167*'Co-Pro Feedstock Breakdown'!J$3*'Feedstock Conversion Rates'!B$13)/12</f>
        <v>1.25</v>
      </c>
      <c r="K165" s="104">
        <f>('Co-Processing'!E167*'Co-Pro Feedstock Breakdown'!K$3*'Feedstock Conversion Rates'!B$12)/12</f>
        <v>1.2916666666666667</v>
      </c>
      <c r="L165" s="106">
        <f t="shared" si="19"/>
        <v>2.541666666666667</v>
      </c>
      <c r="N165" s="104">
        <f t="shared" si="20"/>
        <v>11.25</v>
      </c>
      <c r="O165" s="104">
        <f t="shared" si="16"/>
        <v>26.812500000000004</v>
      </c>
      <c r="P165" s="104"/>
      <c r="Q165" s="106">
        <f t="shared" si="21"/>
        <v>38.0625</v>
      </c>
      <c r="R165" s="141">
        <f t="shared" si="22"/>
        <v>0</v>
      </c>
      <c r="T165" s="110">
        <f t="shared" si="17"/>
        <v>0.29556650246305421</v>
      </c>
      <c r="U165" s="110">
        <f t="shared" si="17"/>
        <v>0.70443349753694595</v>
      </c>
      <c r="V165" s="110">
        <f t="shared" si="17"/>
        <v>0</v>
      </c>
      <c r="W165" s="110">
        <f t="shared" si="18"/>
        <v>1.0000000000000002</v>
      </c>
      <c r="Y165" s="142">
        <f>T165*'Co-Processing'!K167*'Feedstock Conversion Rates'!B$13</f>
        <v>4.3820556650246312</v>
      </c>
      <c r="Z165" s="142">
        <f>U165*'Co-Processing'!K167*'Feedstock Conversion Rates'!B$12</f>
        <v>10.792029312807884</v>
      </c>
      <c r="AA165" s="142">
        <f>V165*'Co-Processing'!K167*'Feedstock Conversion Rates'!B$14</f>
        <v>0</v>
      </c>
      <c r="AB165" s="142">
        <f t="shared" si="15"/>
        <v>15.174084977832514</v>
      </c>
      <c r="AD165" s="142">
        <v>0</v>
      </c>
      <c r="AE165" s="142">
        <v>0</v>
      </c>
      <c r="AF165" s="142">
        <v>0</v>
      </c>
      <c r="AG165" s="142">
        <v>0</v>
      </c>
      <c r="AH165" s="142">
        <v>0</v>
      </c>
    </row>
    <row r="166" spans="1:34" x14ac:dyDescent="0.25">
      <c r="A166" s="96">
        <v>43770</v>
      </c>
      <c r="B166" s="104">
        <v>10</v>
      </c>
      <c r="C166" s="104">
        <f>('Co-Processing'!B168*'Co-Pro Feedstock Breakdown'!C$3*'Feedstock Conversion Rates'!B$12)/12-10</f>
        <v>25.520833333333336</v>
      </c>
      <c r="D166" s="106">
        <f t="shared" si="23"/>
        <v>35.520833333333336</v>
      </c>
      <c r="J166" s="104">
        <f>('Co-Processing'!E168*'Co-Pro Feedstock Breakdown'!J$3*'Feedstock Conversion Rates'!B$13)/12</f>
        <v>1.25</v>
      </c>
      <c r="K166" s="104">
        <f>('Co-Processing'!E168*'Co-Pro Feedstock Breakdown'!K$3*'Feedstock Conversion Rates'!B$12)/12</f>
        <v>1.2916666666666667</v>
      </c>
      <c r="L166" s="106">
        <f t="shared" si="19"/>
        <v>2.541666666666667</v>
      </c>
      <c r="N166" s="104">
        <f t="shared" si="20"/>
        <v>11.25</v>
      </c>
      <c r="O166" s="104">
        <f t="shared" si="16"/>
        <v>26.812500000000004</v>
      </c>
      <c r="P166" s="104"/>
      <c r="Q166" s="106">
        <f t="shared" si="21"/>
        <v>38.0625</v>
      </c>
      <c r="R166" s="141">
        <f t="shared" si="22"/>
        <v>0</v>
      </c>
      <c r="T166" s="110">
        <f t="shared" si="17"/>
        <v>0.29556650246305421</v>
      </c>
      <c r="U166" s="110">
        <f t="shared" si="17"/>
        <v>0.70443349753694595</v>
      </c>
      <c r="V166" s="110">
        <f t="shared" si="17"/>
        <v>0</v>
      </c>
      <c r="W166" s="110">
        <f t="shared" si="18"/>
        <v>1.0000000000000002</v>
      </c>
      <c r="Y166" s="142">
        <f>T166*'Co-Processing'!K168*'Feedstock Conversion Rates'!B$13</f>
        <v>5.3084549261083742</v>
      </c>
      <c r="Z166" s="142">
        <f>U166*'Co-Processing'!K168*'Feedstock Conversion Rates'!B$12</f>
        <v>13.073544826354683</v>
      </c>
      <c r="AA166" s="142">
        <f>V166*'Co-Processing'!K168*'Feedstock Conversion Rates'!B$14</f>
        <v>0</v>
      </c>
      <c r="AB166" s="142">
        <f t="shared" si="15"/>
        <v>18.381999752463056</v>
      </c>
      <c r="AD166" s="142">
        <v>0</v>
      </c>
      <c r="AE166" s="142">
        <v>0</v>
      </c>
      <c r="AF166" s="142">
        <v>0</v>
      </c>
      <c r="AG166" s="142">
        <v>0</v>
      </c>
      <c r="AH166" s="142">
        <v>0</v>
      </c>
    </row>
    <row r="167" spans="1:34" x14ac:dyDescent="0.25">
      <c r="A167" s="96">
        <v>43800</v>
      </c>
      <c r="B167" s="104">
        <v>10</v>
      </c>
      <c r="C167" s="104">
        <f>('Co-Processing'!B169*'Co-Pro Feedstock Breakdown'!C$3*'Feedstock Conversion Rates'!B$12)/12-10</f>
        <v>25.520833333333336</v>
      </c>
      <c r="D167" s="106">
        <f t="shared" si="23"/>
        <v>35.520833333333336</v>
      </c>
      <c r="J167" s="104">
        <f>('Co-Processing'!E169*'Co-Pro Feedstock Breakdown'!J$3*'Feedstock Conversion Rates'!B$13)/12</f>
        <v>1.25</v>
      </c>
      <c r="K167" s="104">
        <f>('Co-Processing'!E169*'Co-Pro Feedstock Breakdown'!K$3*'Feedstock Conversion Rates'!B$12)/12</f>
        <v>1.2916666666666667</v>
      </c>
      <c r="L167" s="106">
        <f t="shared" si="19"/>
        <v>2.541666666666667</v>
      </c>
      <c r="N167" s="104">
        <f t="shared" si="20"/>
        <v>11.25</v>
      </c>
      <c r="O167" s="104">
        <f t="shared" si="16"/>
        <v>26.812500000000004</v>
      </c>
      <c r="P167" s="104"/>
      <c r="Q167" s="106">
        <f t="shared" si="21"/>
        <v>38.0625</v>
      </c>
      <c r="R167" s="141">
        <f t="shared" si="22"/>
        <v>0</v>
      </c>
      <c r="T167" s="110">
        <f t="shared" si="17"/>
        <v>0.29556650246305421</v>
      </c>
      <c r="U167" s="110">
        <f t="shared" si="17"/>
        <v>0.70443349753694595</v>
      </c>
      <c r="V167" s="110">
        <f t="shared" si="17"/>
        <v>0</v>
      </c>
      <c r="W167" s="110">
        <f t="shared" si="18"/>
        <v>1.0000000000000002</v>
      </c>
      <c r="Y167" s="142">
        <f>T167*'Co-Processing'!K169*'Feedstock Conversion Rates'!B$13</f>
        <v>6.7003559113300497</v>
      </c>
      <c r="Z167" s="142">
        <f>U167*'Co-Processing'!K169*'Feedstock Conversion Rates'!B$12</f>
        <v>16.501487641625619</v>
      </c>
      <c r="AA167" s="142">
        <f>V167*'Co-Processing'!K169*'Feedstock Conversion Rates'!B$14</f>
        <v>0</v>
      </c>
      <c r="AB167" s="142">
        <f t="shared" si="15"/>
        <v>23.201843552955669</v>
      </c>
      <c r="AD167" s="142">
        <v>0</v>
      </c>
      <c r="AE167" s="142">
        <v>0</v>
      </c>
      <c r="AF167" s="142">
        <v>0</v>
      </c>
      <c r="AG167" s="142">
        <v>0</v>
      </c>
      <c r="AH167" s="142">
        <v>0</v>
      </c>
    </row>
    <row r="168" spans="1:34" x14ac:dyDescent="0.25">
      <c r="A168" s="96">
        <v>43831</v>
      </c>
      <c r="B168" s="104">
        <v>10</v>
      </c>
      <c r="C168" s="104">
        <f>('Co-Processing'!B170*'Co-Pro Feedstock Breakdown'!C$3*'Feedstock Conversion Rates'!B$12)/12-10</f>
        <v>25.520833333333336</v>
      </c>
      <c r="D168" s="106">
        <f t="shared" si="23"/>
        <v>35.520833333333336</v>
      </c>
      <c r="J168" s="104">
        <f>('Co-Processing'!E170*'Co-Pro Feedstock Breakdown'!J$3*'Feedstock Conversion Rates'!B$13)/12+0.29</f>
        <v>1.54</v>
      </c>
      <c r="K168" s="104">
        <f>('Co-Processing'!E170*'Co-Pro Feedstock Breakdown'!K$3*'Feedstock Conversion Rates'!B$12)/12-0.29</f>
        <v>1.0016666666666667</v>
      </c>
      <c r="L168" s="106">
        <f t="shared" si="19"/>
        <v>2.541666666666667</v>
      </c>
      <c r="N168" s="104">
        <f t="shared" si="20"/>
        <v>11.54</v>
      </c>
      <c r="O168" s="104">
        <f t="shared" si="16"/>
        <v>26.522500000000001</v>
      </c>
      <c r="P168" s="104"/>
      <c r="Q168" s="106">
        <f t="shared" si="21"/>
        <v>38.0625</v>
      </c>
      <c r="R168" s="141">
        <f t="shared" si="22"/>
        <v>0</v>
      </c>
      <c r="T168" s="110">
        <f t="shared" si="17"/>
        <v>0.3031855500821018</v>
      </c>
      <c r="U168" s="110">
        <f t="shared" si="17"/>
        <v>0.6968144499178982</v>
      </c>
      <c r="V168" s="110">
        <f t="shared" si="17"/>
        <v>0</v>
      </c>
      <c r="W168" s="110">
        <f t="shared" si="18"/>
        <v>1</v>
      </c>
      <c r="Y168" s="142">
        <f>T168*'Co-Processing'!K170*'Feedstock Conversion Rates'!B$13</f>
        <v>9.1530777694581271</v>
      </c>
      <c r="Z168" s="142">
        <f>U168*'Co-Processing'!K170*'Feedstock Conversion Rates'!B$12</f>
        <v>21.737832638226603</v>
      </c>
      <c r="AA168" s="142">
        <f>V168*'Co-Processing'!K170*'Feedstock Conversion Rates'!B$14</f>
        <v>0</v>
      </c>
      <c r="AB168" s="142">
        <f t="shared" si="15"/>
        <v>30.890910407684729</v>
      </c>
      <c r="AD168" s="142">
        <v>0</v>
      </c>
      <c r="AE168" s="142">
        <v>0</v>
      </c>
      <c r="AF168" s="142">
        <v>0</v>
      </c>
      <c r="AG168" s="142">
        <v>0</v>
      </c>
      <c r="AH168" s="142">
        <v>0</v>
      </c>
    </row>
    <row r="169" spans="1:34" x14ac:dyDescent="0.25">
      <c r="A169" s="96">
        <v>43862</v>
      </c>
      <c r="B169" s="104">
        <v>10</v>
      </c>
      <c r="C169" s="104">
        <f>('Co-Processing'!B171*'Co-Pro Feedstock Breakdown'!C$3*'Feedstock Conversion Rates'!B$12)/12-10</f>
        <v>25.520833333333336</v>
      </c>
      <c r="D169" s="106">
        <f t="shared" si="23"/>
        <v>35.520833333333336</v>
      </c>
      <c r="H169" s="104"/>
      <c r="I169" s="106"/>
      <c r="J169" s="104">
        <f>('Co-Processing'!E171*'Co-Pro Feedstock Breakdown'!J$3*'Feedstock Conversion Rates'!B$13)/12+0.29</f>
        <v>1.54</v>
      </c>
      <c r="K169" s="104">
        <f>('Co-Processing'!E171*'Co-Pro Feedstock Breakdown'!K$3*'Feedstock Conversion Rates'!B$12)/12-0.29</f>
        <v>1.0016666666666667</v>
      </c>
      <c r="L169" s="106">
        <f>SUM(J169:K169)</f>
        <v>2.541666666666667</v>
      </c>
      <c r="N169" s="104">
        <f t="shared" si="20"/>
        <v>11.54</v>
      </c>
      <c r="O169" s="104">
        <f t="shared" si="16"/>
        <v>26.522500000000001</v>
      </c>
      <c r="P169" s="104"/>
      <c r="Q169" s="106">
        <f t="shared" si="21"/>
        <v>38.0625</v>
      </c>
      <c r="R169" s="141">
        <f t="shared" si="22"/>
        <v>0</v>
      </c>
      <c r="T169" s="110">
        <f t="shared" si="17"/>
        <v>0.3031855500821018</v>
      </c>
      <c r="U169" s="110">
        <f t="shared" si="17"/>
        <v>0.6968144499178982</v>
      </c>
      <c r="V169" s="110">
        <f t="shared" si="17"/>
        <v>0</v>
      </c>
      <c r="W169" s="110">
        <f t="shared" si="18"/>
        <v>1</v>
      </c>
      <c r="Y169" s="142">
        <f>T169*'Co-Processing'!K171*'Feedstock Conversion Rates'!B$13</f>
        <v>7.6239243073891618</v>
      </c>
      <c r="Z169" s="142">
        <f>U169*'Co-Processing'!K171*'Feedstock Conversion Rates'!B$12</f>
        <v>18.106214632364534</v>
      </c>
      <c r="AA169" s="142">
        <f>V169*'Co-Processing'!K171*'Feedstock Conversion Rates'!B$14</f>
        <v>0</v>
      </c>
      <c r="AB169" s="142">
        <f t="shared" si="15"/>
        <v>25.730138939753694</v>
      </c>
      <c r="AD169" s="142">
        <v>0</v>
      </c>
      <c r="AE169" s="142">
        <v>0</v>
      </c>
      <c r="AF169" s="142">
        <v>0</v>
      </c>
      <c r="AG169" s="142">
        <v>0</v>
      </c>
      <c r="AH169" s="142">
        <v>0</v>
      </c>
    </row>
    <row r="170" spans="1:34" x14ac:dyDescent="0.25">
      <c r="A170" s="96">
        <v>43891</v>
      </c>
      <c r="B170" s="104">
        <v>10</v>
      </c>
      <c r="C170" s="104">
        <f>('Co-Processing'!B172*'Co-Pro Feedstock Breakdown'!C$3*'Feedstock Conversion Rates'!B$12)/12-10</f>
        <v>25.520833333333336</v>
      </c>
      <c r="D170" s="106">
        <f t="shared" si="23"/>
        <v>35.520833333333336</v>
      </c>
      <c r="H170" s="104"/>
      <c r="I170" s="106"/>
      <c r="J170" s="104">
        <f>('Co-Processing'!E172*'Co-Pro Feedstock Breakdown'!J$3*'Feedstock Conversion Rates'!B$13)/12+0.29</f>
        <v>1.54</v>
      </c>
      <c r="K170" s="104">
        <f>('Co-Processing'!E172*'Co-Pro Feedstock Breakdown'!K$3*'Feedstock Conversion Rates'!B$12)/12-0.29</f>
        <v>1.0016666666666667</v>
      </c>
      <c r="L170" s="106">
        <f t="shared" si="19"/>
        <v>2.541666666666667</v>
      </c>
      <c r="N170" s="104">
        <f t="shared" si="20"/>
        <v>11.54</v>
      </c>
      <c r="O170" s="104">
        <f t="shared" si="16"/>
        <v>26.522500000000001</v>
      </c>
      <c r="P170" s="104"/>
      <c r="Q170" s="106">
        <f t="shared" si="21"/>
        <v>38.0625</v>
      </c>
      <c r="R170" s="141">
        <f t="shared" si="22"/>
        <v>0</v>
      </c>
      <c r="T170" s="110">
        <f t="shared" si="17"/>
        <v>0.3031855500821018</v>
      </c>
      <c r="U170" s="110">
        <f t="shared" si="17"/>
        <v>0.6968144499178982</v>
      </c>
      <c r="V170" s="110">
        <f t="shared" si="17"/>
        <v>0</v>
      </c>
      <c r="W170" s="110">
        <f t="shared" si="18"/>
        <v>1</v>
      </c>
      <c r="Y170" s="142">
        <f>T170*'Co-Processing'!K172*'Feedstock Conversion Rates'!B$13</f>
        <v>8.1011595862068972</v>
      </c>
      <c r="Z170" s="142">
        <f>U170*'Co-Processing'!K172*'Feedstock Conversion Rates'!B$12</f>
        <v>19.23961051091954</v>
      </c>
      <c r="AA170" s="142">
        <f>V170*'Co-Processing'!K172*'Feedstock Conversion Rates'!B$14</f>
        <v>0</v>
      </c>
      <c r="AB170" s="142">
        <f t="shared" si="15"/>
        <v>27.340770097126438</v>
      </c>
      <c r="AD170" s="142">
        <v>0</v>
      </c>
      <c r="AE170" s="142">
        <v>0</v>
      </c>
      <c r="AF170" s="142">
        <v>0</v>
      </c>
      <c r="AG170" s="142">
        <v>0</v>
      </c>
      <c r="AH170" s="142">
        <v>0</v>
      </c>
    </row>
    <row r="171" spans="1:34" x14ac:dyDescent="0.25">
      <c r="A171" s="96">
        <v>43922</v>
      </c>
      <c r="B171" s="104">
        <v>10</v>
      </c>
      <c r="C171" s="104">
        <f>('Co-Processing'!B173*'Co-Pro Feedstock Breakdown'!C$3*'Feedstock Conversion Rates'!B$12)/12-10</f>
        <v>25.520833333333336</v>
      </c>
      <c r="D171" s="106">
        <f t="shared" si="23"/>
        <v>35.520833333333336</v>
      </c>
      <c r="E171" s="104"/>
      <c r="F171" s="104"/>
      <c r="G171" s="106"/>
      <c r="H171" s="104"/>
      <c r="I171" s="106"/>
      <c r="J171" s="104">
        <f>('Co-Processing'!E173*'Co-Pro Feedstock Breakdown'!J$3*'Feedstock Conversion Rates'!B$13)/12+0.29</f>
        <v>1.54</v>
      </c>
      <c r="K171" s="104">
        <f>('Co-Processing'!E173*'Co-Pro Feedstock Breakdown'!K$3*'Feedstock Conversion Rates'!B$12)/12-0.29</f>
        <v>1.0016666666666667</v>
      </c>
      <c r="L171" s="106">
        <f t="shared" si="19"/>
        <v>2.541666666666667</v>
      </c>
      <c r="N171" s="104">
        <f t="shared" si="20"/>
        <v>11.54</v>
      </c>
      <c r="O171" s="104">
        <f t="shared" si="16"/>
        <v>26.522500000000001</v>
      </c>
      <c r="P171" s="104"/>
      <c r="Q171" s="106">
        <f t="shared" si="21"/>
        <v>38.0625</v>
      </c>
      <c r="R171" s="141">
        <f t="shared" si="22"/>
        <v>0</v>
      </c>
      <c r="T171" s="110">
        <f t="shared" si="17"/>
        <v>0.3031855500821018</v>
      </c>
      <c r="U171" s="110">
        <f t="shared" si="17"/>
        <v>0.6968144499178982</v>
      </c>
      <c r="V171" s="110">
        <f t="shared" si="17"/>
        <v>0</v>
      </c>
      <c r="W171" s="110">
        <f t="shared" si="18"/>
        <v>1</v>
      </c>
      <c r="Y171" s="142">
        <f>T171*'Co-Processing'!K173*'Feedstock Conversion Rates'!B$13</f>
        <v>7.0086683546798021</v>
      </c>
      <c r="Z171" s="142">
        <f>U171*'Co-Processing'!K173*'Feedstock Conversion Rates'!B$12</f>
        <v>16.645030616830869</v>
      </c>
      <c r="AA171" s="142">
        <f>V171*'Co-Processing'!K173*'Feedstock Conversion Rates'!B$14</f>
        <v>0</v>
      </c>
      <c r="AB171" s="142">
        <f t="shared" si="15"/>
        <v>23.653698971510671</v>
      </c>
      <c r="AD171" s="142">
        <v>0</v>
      </c>
      <c r="AE171" s="142">
        <v>0</v>
      </c>
      <c r="AF171" s="142">
        <v>0</v>
      </c>
      <c r="AG171" s="142">
        <v>0</v>
      </c>
      <c r="AH171" s="142">
        <v>0</v>
      </c>
    </row>
    <row r="172" spans="1:34" x14ac:dyDescent="0.25">
      <c r="A172" s="96">
        <v>43952</v>
      </c>
      <c r="B172" s="104">
        <v>10</v>
      </c>
      <c r="C172" s="104">
        <f>('Co-Processing'!B174*'Co-Pro Feedstock Breakdown'!C$3*'Feedstock Conversion Rates'!B$12)/12-10</f>
        <v>25.520833333333336</v>
      </c>
      <c r="D172" s="106">
        <f t="shared" si="23"/>
        <v>35.520833333333336</v>
      </c>
      <c r="E172" s="104"/>
      <c r="F172" s="104"/>
      <c r="G172" s="106"/>
      <c r="H172" s="104"/>
      <c r="I172" s="106"/>
      <c r="J172" s="104">
        <f>('Co-Processing'!E174*'Co-Pro Feedstock Breakdown'!J$3*'Feedstock Conversion Rates'!B$13)/12+0.29</f>
        <v>1.54</v>
      </c>
      <c r="K172" s="104">
        <f>('Co-Processing'!E174*'Co-Pro Feedstock Breakdown'!K$3*'Feedstock Conversion Rates'!B$12)/12-0.29</f>
        <v>1.0016666666666667</v>
      </c>
      <c r="L172" s="106">
        <f t="shared" si="19"/>
        <v>2.541666666666667</v>
      </c>
      <c r="N172" s="104">
        <f t="shared" si="20"/>
        <v>11.54</v>
      </c>
      <c r="O172" s="104">
        <f t="shared" si="16"/>
        <v>26.522500000000001</v>
      </c>
      <c r="P172" s="104"/>
      <c r="Q172" s="106">
        <f t="shared" si="21"/>
        <v>38.0625</v>
      </c>
      <c r="R172" s="141">
        <f t="shared" si="22"/>
        <v>0</v>
      </c>
      <c r="T172" s="110">
        <f t="shared" si="17"/>
        <v>0.3031855500821018</v>
      </c>
      <c r="U172" s="110">
        <f t="shared" si="17"/>
        <v>0.6968144499178982</v>
      </c>
      <c r="V172" s="110">
        <f t="shared" si="17"/>
        <v>0</v>
      </c>
      <c r="W172" s="110">
        <f t="shared" si="18"/>
        <v>1</v>
      </c>
      <c r="Y172" s="142">
        <f>T172*'Co-Processing'!K174*'Feedstock Conversion Rates'!B$13</f>
        <v>9.6779578995073887</v>
      </c>
      <c r="Z172" s="142">
        <f>U172*'Co-Processing'!K174*'Feedstock Conversion Rates'!B$12</f>
        <v>22.984381253842368</v>
      </c>
      <c r="AA172" s="142">
        <f>V172*'Co-Processing'!K174*'Feedstock Conversion Rates'!B$14</f>
        <v>0</v>
      </c>
      <c r="AB172" s="142">
        <f t="shared" si="15"/>
        <v>32.662339153349755</v>
      </c>
      <c r="AD172" s="142">
        <v>0</v>
      </c>
      <c r="AE172" s="142">
        <v>0</v>
      </c>
      <c r="AF172" s="142">
        <v>0</v>
      </c>
      <c r="AG172" s="142">
        <v>0</v>
      </c>
      <c r="AH172" s="142">
        <v>0</v>
      </c>
    </row>
    <row r="173" spans="1:34" x14ac:dyDescent="0.25">
      <c r="A173" s="96">
        <v>43983</v>
      </c>
      <c r="B173" s="104">
        <v>10</v>
      </c>
      <c r="C173" s="104">
        <f>('Co-Processing'!B175*'Co-Pro Feedstock Breakdown'!C$3*'Feedstock Conversion Rates'!B$12)/12-10</f>
        <v>25.520833333333336</v>
      </c>
      <c r="D173" s="106">
        <f t="shared" si="23"/>
        <v>35.520833333333336</v>
      </c>
      <c r="E173" s="104"/>
      <c r="F173" s="104"/>
      <c r="G173" s="106"/>
      <c r="H173" s="104"/>
      <c r="I173" s="106"/>
      <c r="J173" s="104">
        <f>('Co-Processing'!E175*'Co-Pro Feedstock Breakdown'!J$3*'Feedstock Conversion Rates'!B$13)/12+0.29</f>
        <v>1.54</v>
      </c>
      <c r="K173" s="104">
        <f>('Co-Processing'!E175*'Co-Pro Feedstock Breakdown'!K$3*'Feedstock Conversion Rates'!B$12)/12-0.29</f>
        <v>1.0016666666666667</v>
      </c>
      <c r="L173" s="106">
        <f t="shared" si="19"/>
        <v>2.541666666666667</v>
      </c>
      <c r="N173" s="104">
        <f t="shared" si="20"/>
        <v>11.54</v>
      </c>
      <c r="O173" s="104">
        <f t="shared" si="16"/>
        <v>26.522500000000001</v>
      </c>
      <c r="P173" s="104"/>
      <c r="Q173" s="106">
        <f t="shared" si="21"/>
        <v>38.0625</v>
      </c>
      <c r="R173" s="141">
        <f t="shared" si="22"/>
        <v>0</v>
      </c>
      <c r="T173" s="110">
        <f t="shared" si="17"/>
        <v>0.3031855500821018</v>
      </c>
      <c r="U173" s="110">
        <f t="shared" si="17"/>
        <v>0.6968144499178982</v>
      </c>
      <c r="V173" s="110">
        <f t="shared" si="17"/>
        <v>0</v>
      </c>
      <c r="W173" s="110">
        <f t="shared" si="18"/>
        <v>1</v>
      </c>
      <c r="Y173" s="142">
        <f>T173*'Co-Processing'!K175*'Feedstock Conversion Rates'!B$13</f>
        <v>7.6244859586206886</v>
      </c>
      <c r="Z173" s="142">
        <f>U173*'Co-Processing'!K175*'Feedstock Conversion Rates'!B$12</f>
        <v>18.107548509425285</v>
      </c>
      <c r="AA173" s="142">
        <f>V173*'Co-Processing'!K175*'Feedstock Conversion Rates'!B$14</f>
        <v>0</v>
      </c>
      <c r="AB173" s="142">
        <f t="shared" si="15"/>
        <v>25.732034468045974</v>
      </c>
      <c r="AD173" s="142">
        <v>0</v>
      </c>
      <c r="AE173" s="142">
        <v>0</v>
      </c>
      <c r="AF173" s="142">
        <v>0</v>
      </c>
      <c r="AG173" s="142">
        <v>0</v>
      </c>
      <c r="AH173" s="142">
        <v>0</v>
      </c>
    </row>
    <row r="174" spans="1:34" x14ac:dyDescent="0.25">
      <c r="A174" s="96">
        <v>44013</v>
      </c>
      <c r="B174" s="104">
        <v>10</v>
      </c>
      <c r="C174" s="104">
        <f>('Co-Processing'!B176*'Co-Pro Feedstock Breakdown'!C$3*'Feedstock Conversion Rates'!B$12)/12-10</f>
        <v>25.520833333333336</v>
      </c>
      <c r="D174" s="106">
        <f t="shared" si="23"/>
        <v>35.520833333333336</v>
      </c>
      <c r="E174" s="104"/>
      <c r="F174" s="104"/>
      <c r="G174" s="106"/>
      <c r="H174" s="104"/>
      <c r="I174" s="106"/>
      <c r="J174" s="104">
        <f>('Co-Processing'!E176*'Co-Pro Feedstock Breakdown'!J$3*'Feedstock Conversion Rates'!B$13)/12+0.29</f>
        <v>1.54</v>
      </c>
      <c r="K174" s="104">
        <f>('Co-Processing'!E176*'Co-Pro Feedstock Breakdown'!K$3*'Feedstock Conversion Rates'!B$12)/12-0.29</f>
        <v>1.0016666666666667</v>
      </c>
      <c r="L174" s="106">
        <f t="shared" si="19"/>
        <v>2.541666666666667</v>
      </c>
      <c r="N174" s="104">
        <f t="shared" si="20"/>
        <v>11.54</v>
      </c>
      <c r="O174" s="104">
        <f t="shared" si="16"/>
        <v>26.522500000000001</v>
      </c>
      <c r="P174" s="104"/>
      <c r="Q174" s="106">
        <f t="shared" si="21"/>
        <v>38.0625</v>
      </c>
      <c r="R174" s="141">
        <f t="shared" si="22"/>
        <v>0</v>
      </c>
      <c r="T174" s="110">
        <f t="shared" si="17"/>
        <v>0.3031855500821018</v>
      </c>
      <c r="U174" s="110">
        <f t="shared" si="17"/>
        <v>0.6968144499178982</v>
      </c>
      <c r="V174" s="110">
        <f t="shared" si="17"/>
        <v>0</v>
      </c>
      <c r="W174" s="110">
        <f t="shared" si="18"/>
        <v>1</v>
      </c>
      <c r="Y174" s="142">
        <f>T174*'Co-Processing'!K176*'Feedstock Conversion Rates'!B$13</f>
        <v>8.2420385418719206</v>
      </c>
      <c r="Z174" s="142">
        <f>U174*'Co-Processing'!K176*'Feedstock Conversion Rates'!B$12</f>
        <v>19.574186840065678</v>
      </c>
      <c r="AA174" s="142">
        <f>V174*'Co-Processing'!K176*'Feedstock Conversion Rates'!B$14</f>
        <v>0</v>
      </c>
      <c r="AB174" s="142">
        <f t="shared" si="15"/>
        <v>27.816225381937599</v>
      </c>
      <c r="AD174" s="142">
        <v>0</v>
      </c>
      <c r="AE174" s="142">
        <v>0</v>
      </c>
      <c r="AF174" s="142">
        <v>0</v>
      </c>
      <c r="AG174" s="142">
        <v>0</v>
      </c>
      <c r="AH174" s="142">
        <v>0</v>
      </c>
    </row>
    <row r="175" spans="1:34" x14ac:dyDescent="0.25">
      <c r="A175" s="96">
        <v>44044</v>
      </c>
      <c r="B175" s="104">
        <v>10</v>
      </c>
      <c r="C175" s="104">
        <f>('Co-Processing'!B177*'Co-Pro Feedstock Breakdown'!C$3*'Feedstock Conversion Rates'!B$12)/12-10</f>
        <v>25.520833333333336</v>
      </c>
      <c r="D175" s="106">
        <f t="shared" si="23"/>
        <v>35.520833333333336</v>
      </c>
      <c r="E175" s="104"/>
      <c r="F175" s="104"/>
      <c r="G175" s="106"/>
      <c r="H175" s="104"/>
      <c r="I175" s="106"/>
      <c r="J175" s="104">
        <f>('Co-Processing'!E177*'Co-Pro Feedstock Breakdown'!J$3*'Feedstock Conversion Rates'!B$13)/12+0.29</f>
        <v>1.54</v>
      </c>
      <c r="K175" s="104">
        <f>('Co-Processing'!E177*'Co-Pro Feedstock Breakdown'!K$3*'Feedstock Conversion Rates'!B$12)/12-0.29</f>
        <v>1.0016666666666667</v>
      </c>
      <c r="L175" s="106">
        <f t="shared" si="19"/>
        <v>2.541666666666667</v>
      </c>
      <c r="N175" s="104">
        <f t="shared" si="20"/>
        <v>11.54</v>
      </c>
      <c r="O175" s="104">
        <f t="shared" si="16"/>
        <v>26.522500000000001</v>
      </c>
      <c r="P175" s="104"/>
      <c r="Q175" s="106">
        <f t="shared" si="21"/>
        <v>38.0625</v>
      </c>
      <c r="R175" s="141">
        <f t="shared" si="22"/>
        <v>0</v>
      </c>
      <c r="T175" s="110">
        <f t="shared" si="17"/>
        <v>0.3031855500821018</v>
      </c>
      <c r="U175" s="110">
        <f t="shared" si="17"/>
        <v>0.6968144499178982</v>
      </c>
      <c r="V175" s="110">
        <f t="shared" si="17"/>
        <v>0</v>
      </c>
      <c r="W175" s="110">
        <f t="shared" si="18"/>
        <v>1</v>
      </c>
      <c r="Y175" s="142">
        <f>T175*'Co-Processing'!K177*'Feedstock Conversion Rates'!B$13</f>
        <v>8.3557945182266007</v>
      </c>
      <c r="Z175" s="142">
        <f>U175*'Co-Processing'!K177*'Feedstock Conversion Rates'!B$12</f>
        <v>19.844348247832514</v>
      </c>
      <c r="AA175" s="142">
        <f>V175*'Co-Processing'!K177*'Feedstock Conversion Rates'!B$14</f>
        <v>0</v>
      </c>
      <c r="AB175" s="142">
        <f t="shared" si="15"/>
        <v>28.200142766059116</v>
      </c>
      <c r="AD175" s="142">
        <v>0</v>
      </c>
      <c r="AE175" s="142">
        <v>0</v>
      </c>
      <c r="AF175" s="142">
        <v>0</v>
      </c>
      <c r="AG175" s="142">
        <v>0</v>
      </c>
      <c r="AH175" s="142">
        <v>0</v>
      </c>
    </row>
    <row r="176" spans="1:34" x14ac:dyDescent="0.25">
      <c r="A176" s="96">
        <v>44075</v>
      </c>
      <c r="B176" s="104">
        <v>10</v>
      </c>
      <c r="C176" s="104">
        <f>('Co-Processing'!B178*'Co-Pro Feedstock Breakdown'!C$3*'Feedstock Conversion Rates'!B$12)/12-10</f>
        <v>25.520833333333336</v>
      </c>
      <c r="D176" s="106">
        <f t="shared" si="23"/>
        <v>35.520833333333336</v>
      </c>
      <c r="E176" s="104"/>
      <c r="F176" s="104"/>
      <c r="G176" s="106"/>
      <c r="H176" s="104"/>
      <c r="I176" s="106"/>
      <c r="J176" s="104">
        <f>('Co-Processing'!E178*'Co-Pro Feedstock Breakdown'!J$3*'Feedstock Conversion Rates'!B$13)/12+0.29</f>
        <v>1.54</v>
      </c>
      <c r="K176" s="104">
        <f>('Co-Processing'!E178*'Co-Pro Feedstock Breakdown'!K$3*'Feedstock Conversion Rates'!B$12)/12-0.29</f>
        <v>1.0016666666666667</v>
      </c>
      <c r="L176" s="106">
        <f t="shared" si="19"/>
        <v>2.541666666666667</v>
      </c>
      <c r="N176" s="104">
        <f t="shared" si="20"/>
        <v>11.54</v>
      </c>
      <c r="O176" s="104">
        <f t="shared" si="16"/>
        <v>26.522500000000001</v>
      </c>
      <c r="P176" s="104"/>
      <c r="Q176" s="106">
        <f t="shared" si="21"/>
        <v>38.0625</v>
      </c>
      <c r="R176" s="141">
        <f t="shared" si="22"/>
        <v>0</v>
      </c>
      <c r="T176" s="110">
        <f t="shared" si="17"/>
        <v>0.3031855500821018</v>
      </c>
      <c r="U176" s="110">
        <f t="shared" si="17"/>
        <v>0.6968144499178982</v>
      </c>
      <c r="V176" s="110">
        <f t="shared" si="17"/>
        <v>0</v>
      </c>
      <c r="W176" s="110">
        <f t="shared" si="18"/>
        <v>1</v>
      </c>
      <c r="Y176" s="142">
        <f>T176*'Co-Processing'!K178*'Feedstock Conversion Rates'!B$13</f>
        <v>7.4618549556650242</v>
      </c>
      <c r="Z176" s="142">
        <f>U176*'Co-Processing'!K178*'Feedstock Conversion Rates'!B$12</f>
        <v>17.721312795812807</v>
      </c>
      <c r="AA176" s="142">
        <f>V176*'Co-Processing'!K178*'Feedstock Conversion Rates'!B$14</f>
        <v>0</v>
      </c>
      <c r="AB176" s="142">
        <f t="shared" si="15"/>
        <v>25.183167751477832</v>
      </c>
      <c r="AD176" s="142">
        <v>0</v>
      </c>
      <c r="AE176" s="142">
        <v>0</v>
      </c>
      <c r="AF176" s="142">
        <v>0</v>
      </c>
      <c r="AG176" s="142">
        <v>0</v>
      </c>
      <c r="AH176" s="142">
        <v>0</v>
      </c>
    </row>
    <row r="177" spans="1:34" x14ac:dyDescent="0.25">
      <c r="A177" s="96">
        <v>44105</v>
      </c>
      <c r="B177" s="104">
        <v>10</v>
      </c>
      <c r="C177" s="104">
        <f>('Co-Processing'!B179*'Co-Pro Feedstock Breakdown'!C$3*'Feedstock Conversion Rates'!B$12)/12-10</f>
        <v>25.520833333333336</v>
      </c>
      <c r="D177" s="106">
        <f t="shared" si="23"/>
        <v>35.520833333333336</v>
      </c>
      <c r="E177" s="104"/>
      <c r="F177" s="104"/>
      <c r="G177" s="106"/>
      <c r="H177" s="104"/>
      <c r="I177" s="106"/>
      <c r="J177" s="104">
        <f>('Co-Processing'!E179*'Co-Pro Feedstock Breakdown'!J$3*'Feedstock Conversion Rates'!B$13)/12+0.29</f>
        <v>1.54</v>
      </c>
      <c r="K177" s="104">
        <f>('Co-Processing'!E179*'Co-Pro Feedstock Breakdown'!K$3*'Feedstock Conversion Rates'!B$12)/12-0.29</f>
        <v>1.0016666666666667</v>
      </c>
      <c r="L177" s="106">
        <f t="shared" si="19"/>
        <v>2.541666666666667</v>
      </c>
      <c r="N177" s="104">
        <f t="shared" si="20"/>
        <v>11.54</v>
      </c>
      <c r="O177" s="104">
        <f t="shared" si="16"/>
        <v>26.522500000000001</v>
      </c>
      <c r="P177" s="104"/>
      <c r="Q177" s="106">
        <f t="shared" si="21"/>
        <v>38.0625</v>
      </c>
      <c r="R177" s="141">
        <f t="shared" si="22"/>
        <v>0</v>
      </c>
      <c r="T177" s="110">
        <f t="shared" si="17"/>
        <v>0.3031855500821018</v>
      </c>
      <c r="U177" s="110">
        <f t="shared" si="17"/>
        <v>0.6968144499178982</v>
      </c>
      <c r="V177" s="110">
        <f t="shared" si="17"/>
        <v>0</v>
      </c>
      <c r="W177" s="110">
        <f t="shared" si="18"/>
        <v>1</v>
      </c>
      <c r="Y177" s="142">
        <f>T177*'Co-Processing'!K179*'Feedstock Conversion Rates'!B$13</f>
        <v>9.8874492610837432</v>
      </c>
      <c r="Z177" s="142">
        <f>U177*'Co-Processing'!K179*'Feedstock Conversion Rates'!B$12</f>
        <v>23.48190659688013</v>
      </c>
      <c r="AA177" s="142">
        <f>V177*'Co-Processing'!K179*'Feedstock Conversion Rates'!B$14</f>
        <v>0</v>
      </c>
      <c r="AB177" s="142">
        <f t="shared" si="15"/>
        <v>33.369355857963875</v>
      </c>
      <c r="AD177" s="142">
        <v>0</v>
      </c>
      <c r="AE177" s="142">
        <v>0</v>
      </c>
      <c r="AF177" s="142">
        <v>0</v>
      </c>
      <c r="AG177" s="142">
        <v>0</v>
      </c>
      <c r="AH177" s="142">
        <v>0</v>
      </c>
    </row>
    <row r="178" spans="1:34" x14ac:dyDescent="0.25">
      <c r="A178" s="96">
        <v>44136</v>
      </c>
      <c r="B178" s="104">
        <v>10</v>
      </c>
      <c r="C178" s="104">
        <f>('Co-Processing'!B180*'Co-Pro Feedstock Breakdown'!C$3*'Feedstock Conversion Rates'!B$12)/12-10</f>
        <v>25.520833333333336</v>
      </c>
      <c r="D178" s="106">
        <f t="shared" si="23"/>
        <v>35.520833333333336</v>
      </c>
      <c r="E178" s="104"/>
      <c r="F178" s="104"/>
      <c r="G178" s="106"/>
      <c r="H178" s="104"/>
      <c r="I178" s="106"/>
      <c r="J178" s="104">
        <f>('Co-Processing'!E180*'Co-Pro Feedstock Breakdown'!J$3*'Feedstock Conversion Rates'!B$13)/12+0.29</f>
        <v>1.54</v>
      </c>
      <c r="K178" s="104">
        <f>('Co-Processing'!E180*'Co-Pro Feedstock Breakdown'!K$3*'Feedstock Conversion Rates'!B$12)/12-0.29</f>
        <v>1.0016666666666667</v>
      </c>
      <c r="L178" s="106">
        <f t="shared" si="19"/>
        <v>2.541666666666667</v>
      </c>
      <c r="N178" s="104">
        <f t="shared" si="20"/>
        <v>11.54</v>
      </c>
      <c r="O178" s="104">
        <f t="shared" si="16"/>
        <v>26.522500000000001</v>
      </c>
      <c r="P178" s="104"/>
      <c r="Q178" s="106">
        <f t="shared" si="21"/>
        <v>38.0625</v>
      </c>
      <c r="R178" s="141">
        <f t="shared" si="22"/>
        <v>0</v>
      </c>
      <c r="T178" s="110">
        <f t="shared" si="17"/>
        <v>0.3031855500821018</v>
      </c>
      <c r="U178" s="110">
        <f t="shared" si="17"/>
        <v>0.6968144499178982</v>
      </c>
      <c r="V178" s="110">
        <f t="shared" si="17"/>
        <v>0</v>
      </c>
      <c r="W178" s="110">
        <f t="shared" si="18"/>
        <v>1</v>
      </c>
      <c r="Y178" s="142">
        <f>T178*'Co-Processing'!K180*'Feedstock Conversion Rates'!B$13</f>
        <v>13.488540937931033</v>
      </c>
      <c r="Z178" s="142">
        <f>U178*'Co-Processing'!K180*'Feedstock Conversion Rates'!B$12</f>
        <v>32.034213280804593</v>
      </c>
      <c r="AA178" s="142">
        <f>V178*'Co-Processing'!K180*'Feedstock Conversion Rates'!B$14</f>
        <v>0</v>
      </c>
      <c r="AB178" s="142">
        <f t="shared" si="15"/>
        <v>45.522754218735628</v>
      </c>
      <c r="AD178" s="142">
        <v>0</v>
      </c>
      <c r="AE178" s="142">
        <v>0</v>
      </c>
      <c r="AF178" s="142">
        <v>0</v>
      </c>
      <c r="AG178" s="142">
        <v>0</v>
      </c>
      <c r="AH178" s="142">
        <v>0</v>
      </c>
    </row>
    <row r="179" spans="1:34" x14ac:dyDescent="0.25">
      <c r="A179" s="96">
        <v>44166</v>
      </c>
      <c r="B179" s="104">
        <v>10</v>
      </c>
      <c r="C179" s="104">
        <f>('Co-Processing'!B181*'Co-Pro Feedstock Breakdown'!C$3*'Feedstock Conversion Rates'!B$12)/12-10</f>
        <v>25.520833333333336</v>
      </c>
      <c r="D179" s="106">
        <f t="shared" si="23"/>
        <v>35.520833333333336</v>
      </c>
      <c r="E179" s="104"/>
      <c r="F179" s="104"/>
      <c r="G179" s="106">
        <f t="shared" ref="G179:G235" si="24">SUM(E179:F179)</f>
        <v>0</v>
      </c>
      <c r="H179" s="104">
        <f>('Co-Processing'!D181*'Co-Pro Feedstock Breakdown'!H$3*'Feedstock Conversion Rates'!B$13)/12</f>
        <v>0</v>
      </c>
      <c r="I179" s="106">
        <f t="shared" ref="I179:I242" si="25">H179</f>
        <v>0</v>
      </c>
      <c r="J179" s="104">
        <f>('Co-Processing'!E181*'Co-Pro Feedstock Breakdown'!J$3*'Feedstock Conversion Rates'!B$13)/12+0.29</f>
        <v>1.54</v>
      </c>
      <c r="K179" s="104">
        <f>('Co-Processing'!E181*'Co-Pro Feedstock Breakdown'!K$3*'Feedstock Conversion Rates'!B$12)/12-0.29</f>
        <v>1.0016666666666667</v>
      </c>
      <c r="L179" s="106">
        <f t="shared" si="19"/>
        <v>2.541666666666667</v>
      </c>
      <c r="N179" s="104">
        <f t="shared" si="20"/>
        <v>11.54</v>
      </c>
      <c r="O179" s="104">
        <f t="shared" si="16"/>
        <v>26.522500000000001</v>
      </c>
      <c r="P179" s="104"/>
      <c r="Q179" s="106">
        <f t="shared" si="21"/>
        <v>38.0625</v>
      </c>
      <c r="R179" s="141">
        <f t="shared" si="22"/>
        <v>0</v>
      </c>
      <c r="T179" s="110">
        <f t="shared" si="17"/>
        <v>0.3031855500821018</v>
      </c>
      <c r="U179" s="110">
        <f t="shared" si="17"/>
        <v>0.6968144499178982</v>
      </c>
      <c r="V179" s="110">
        <f t="shared" si="17"/>
        <v>0</v>
      </c>
      <c r="W179" s="110">
        <f t="shared" si="18"/>
        <v>1</v>
      </c>
      <c r="Y179" s="142">
        <f>T179*'Co-Processing'!K181*'Feedstock Conversion Rates'!B$13</f>
        <v>18.426394380295566</v>
      </c>
      <c r="Z179" s="142">
        <f>U179*'Co-Processing'!K181*'Feedstock Conversion Rates'!B$12</f>
        <v>43.761222973694579</v>
      </c>
      <c r="AA179" s="142">
        <f>V179*'Co-Processing'!K181*'Feedstock Conversion Rates'!B$14</f>
        <v>0</v>
      </c>
      <c r="AB179" s="142">
        <f t="shared" si="15"/>
        <v>62.187617353990149</v>
      </c>
      <c r="AC179">
        <f>AB179/'Co-Processing'!K181</f>
        <v>7.6742036124794746</v>
      </c>
      <c r="AD179" s="142">
        <v>0</v>
      </c>
      <c r="AE179" s="142">
        <v>0</v>
      </c>
      <c r="AF179" s="142">
        <v>0</v>
      </c>
      <c r="AG179" s="142">
        <v>0</v>
      </c>
      <c r="AH179" s="142">
        <v>0</v>
      </c>
    </row>
    <row r="180" spans="1:34" x14ac:dyDescent="0.25">
      <c r="A180" s="96">
        <v>44197</v>
      </c>
      <c r="B180" s="104">
        <f>10+15</f>
        <v>25</v>
      </c>
      <c r="C180" s="104">
        <f>('Co-Processing'!B182*'Co-Pro Feedstock Breakdown'!C$3*'Feedstock Conversion Rates'!B$12)/12-10-15</f>
        <v>10.520833333333336</v>
      </c>
      <c r="D180" s="106">
        <f t="shared" si="23"/>
        <v>35.520833333333336</v>
      </c>
      <c r="E180" s="104"/>
      <c r="F180" s="104"/>
      <c r="G180" s="106">
        <f t="shared" si="24"/>
        <v>0</v>
      </c>
      <c r="H180" s="104">
        <f>('Co-Processing'!D182*'Co-Pro Feedstock Breakdown'!H$3*'Feedstock Conversion Rates'!B$13)/12</f>
        <v>0</v>
      </c>
      <c r="I180" s="106">
        <f t="shared" si="25"/>
        <v>0</v>
      </c>
      <c r="J180" s="104">
        <f>('Co-Processing'!E182*'Co-Pro Feedstock Breakdown'!J$3*'Feedstock Conversion Rates'!B$13)/12-1.25</f>
        <v>0</v>
      </c>
      <c r="K180" s="104">
        <f>('Co-Processing'!E182*'Co-Pro Feedstock Breakdown'!K$3*'Feedstock Conversion Rates'!B$12)/12+1.25</f>
        <v>2.541666666666667</v>
      </c>
      <c r="L180" s="106">
        <f t="shared" si="19"/>
        <v>2.541666666666667</v>
      </c>
      <c r="N180" s="104">
        <f t="shared" si="20"/>
        <v>25</v>
      </c>
      <c r="O180" s="104">
        <f>C180+K180+F180</f>
        <v>13.062500000000004</v>
      </c>
      <c r="P180" s="104"/>
      <c r="Q180" s="106">
        <f t="shared" si="21"/>
        <v>38.0625</v>
      </c>
      <c r="R180" s="141">
        <f t="shared" si="22"/>
        <v>0</v>
      </c>
      <c r="T180" s="110">
        <f t="shared" si="17"/>
        <v>0.65681444991789817</v>
      </c>
      <c r="U180" s="110">
        <f t="shared" si="17"/>
        <v>0.34318555008210189</v>
      </c>
      <c r="V180" s="110">
        <f t="shared" si="17"/>
        <v>0</v>
      </c>
      <c r="W180" s="110">
        <f t="shared" si="18"/>
        <v>1</v>
      </c>
      <c r="Y180" s="142">
        <f>T180*'Co-Processing'!K182*'Feedstock Conversion Rates'!B$13</f>
        <v>42.873635467980293</v>
      </c>
      <c r="Z180" s="142">
        <f>U180*'Co-Processing'!K182*'Feedstock Conversion Rates'!B$12</f>
        <v>23.148190349753701</v>
      </c>
      <c r="AA180" s="142">
        <f>V180*'Co-Processing'!K182*'Feedstock Conversion Rates'!B$14</f>
        <v>0</v>
      </c>
      <c r="AB180" s="142">
        <f t="shared" si="15"/>
        <v>66.021825817733998</v>
      </c>
      <c r="AD180" s="142">
        <v>0</v>
      </c>
      <c r="AE180" s="142">
        <v>0</v>
      </c>
      <c r="AF180" s="142">
        <v>0</v>
      </c>
      <c r="AG180" s="142">
        <v>0</v>
      </c>
      <c r="AH180" s="142">
        <v>0</v>
      </c>
    </row>
    <row r="181" spans="1:34" x14ac:dyDescent="0.25">
      <c r="A181" s="96">
        <v>44228</v>
      </c>
      <c r="B181" s="104">
        <v>10</v>
      </c>
      <c r="C181" s="104">
        <f>('Co-Processing'!B183*'Co-Pro Feedstock Breakdown'!C$3*'Feedstock Conversion Rates'!B$12)/12-10</f>
        <v>25.520833333333336</v>
      </c>
      <c r="D181" s="106">
        <f t="shared" si="23"/>
        <v>35.520833333333336</v>
      </c>
      <c r="E181" s="104"/>
      <c r="F181" s="104"/>
      <c r="G181" s="106">
        <f t="shared" si="24"/>
        <v>0</v>
      </c>
      <c r="H181" s="104">
        <f>('Co-Processing'!D183*'Co-Pro Feedstock Breakdown'!H$3*'Feedstock Conversion Rates'!B$13)/12</f>
        <v>0</v>
      </c>
      <c r="I181" s="106">
        <f t="shared" si="25"/>
        <v>0</v>
      </c>
      <c r="J181" s="104">
        <f>('Co-Processing'!E183*'Co-Pro Feedstock Breakdown'!J$3*'Feedstock Conversion Rates'!B$13)/12-1.25</f>
        <v>0</v>
      </c>
      <c r="K181" s="104">
        <f>('Co-Processing'!E183*'Co-Pro Feedstock Breakdown'!K$3*'Feedstock Conversion Rates'!B$12)/12+1.25</f>
        <v>2.541666666666667</v>
      </c>
      <c r="L181" s="106">
        <f t="shared" si="19"/>
        <v>2.541666666666667</v>
      </c>
      <c r="N181" s="104">
        <f t="shared" si="20"/>
        <v>10</v>
      </c>
      <c r="O181" s="104">
        <f t="shared" si="16"/>
        <v>28.062500000000004</v>
      </c>
      <c r="P181" s="104"/>
      <c r="Q181" s="106">
        <f t="shared" si="21"/>
        <v>38.0625</v>
      </c>
      <c r="R181" s="141">
        <f t="shared" si="22"/>
        <v>0</v>
      </c>
      <c r="T181" s="110">
        <f t="shared" si="17"/>
        <v>0.26272577996715929</v>
      </c>
      <c r="U181" s="110">
        <f t="shared" si="17"/>
        <v>0.73727422003284082</v>
      </c>
      <c r="V181" s="110">
        <f t="shared" si="17"/>
        <v>0</v>
      </c>
      <c r="W181" s="110">
        <f t="shared" si="18"/>
        <v>1</v>
      </c>
      <c r="Y181" s="142">
        <f>T181*'Co-Processing'!K183*'Feedstock Conversion Rates'!B$13</f>
        <v>8.8313733990147778</v>
      </c>
      <c r="Z181" s="142">
        <f>U181*'Co-Processing'!K183*'Feedstock Conversion Rates'!B$12</f>
        <v>25.609142987684734</v>
      </c>
      <c r="AA181" s="142">
        <f>V181*'Co-Processing'!K183*'Feedstock Conversion Rates'!B$14</f>
        <v>0</v>
      </c>
      <c r="AB181" s="142">
        <f t="shared" si="15"/>
        <v>34.440516386699514</v>
      </c>
      <c r="AD181" s="142">
        <v>0</v>
      </c>
      <c r="AE181" s="142">
        <v>0</v>
      </c>
      <c r="AF181" s="142">
        <v>0</v>
      </c>
      <c r="AG181" s="142">
        <v>0</v>
      </c>
      <c r="AH181" s="142">
        <v>0</v>
      </c>
    </row>
    <row r="182" spans="1:34" x14ac:dyDescent="0.25">
      <c r="A182" s="96">
        <v>44256</v>
      </c>
      <c r="B182" s="104">
        <v>10</v>
      </c>
      <c r="C182" s="104">
        <f>('Co-Processing'!B184*'Co-Pro Feedstock Breakdown'!C$3*'Feedstock Conversion Rates'!B$12)/12-10</f>
        <v>25.520833333333336</v>
      </c>
      <c r="D182" s="106">
        <f t="shared" si="23"/>
        <v>35.520833333333336</v>
      </c>
      <c r="E182" s="104"/>
      <c r="F182" s="104"/>
      <c r="G182" s="106">
        <f t="shared" si="24"/>
        <v>0</v>
      </c>
      <c r="H182" s="104">
        <f>('Co-Processing'!D184*'Co-Pro Feedstock Breakdown'!H$3*'Feedstock Conversion Rates'!B$13)/12</f>
        <v>0</v>
      </c>
      <c r="I182" s="106">
        <f t="shared" si="25"/>
        <v>0</v>
      </c>
      <c r="J182" s="104">
        <f>('Co-Processing'!E184*'Co-Pro Feedstock Breakdown'!J$3*'Feedstock Conversion Rates'!B$13)/12-1.25</f>
        <v>0</v>
      </c>
      <c r="K182" s="104">
        <f>('Co-Processing'!E184*'Co-Pro Feedstock Breakdown'!K$3*'Feedstock Conversion Rates'!B$12)/12+1.25</f>
        <v>2.541666666666667</v>
      </c>
      <c r="L182" s="106">
        <f t="shared" si="19"/>
        <v>2.541666666666667</v>
      </c>
      <c r="N182" s="104">
        <f t="shared" si="20"/>
        <v>10</v>
      </c>
      <c r="O182" s="104">
        <f t="shared" si="16"/>
        <v>28.062500000000004</v>
      </c>
      <c r="P182" s="104"/>
      <c r="Q182" s="106">
        <f t="shared" si="21"/>
        <v>38.0625</v>
      </c>
      <c r="R182" s="141">
        <f t="shared" si="22"/>
        <v>0</v>
      </c>
      <c r="T182" s="110">
        <f t="shared" si="17"/>
        <v>0.26272577996715929</v>
      </c>
      <c r="U182" s="110">
        <f t="shared" si="17"/>
        <v>0.73727422003284082</v>
      </c>
      <c r="V182" s="110">
        <f t="shared" si="17"/>
        <v>0</v>
      </c>
      <c r="W182" s="110">
        <f t="shared" si="18"/>
        <v>1</v>
      </c>
      <c r="Y182" s="142">
        <f>T182*'Co-Processing'!K184*'Feedstock Conversion Rates'!B$13</f>
        <v>8.0120039408867001</v>
      </c>
      <c r="Z182" s="142">
        <f>U182*'Co-Processing'!K184*'Feedstock Conversion Rates'!B$12</f>
        <v>23.233142261083749</v>
      </c>
      <c r="AA182" s="142">
        <f>V182*'Co-Processing'!K184*'Feedstock Conversion Rates'!B$14</f>
        <v>0</v>
      </c>
      <c r="AB182" s="142">
        <f t="shared" si="15"/>
        <v>31.245146201970449</v>
      </c>
      <c r="AD182" s="142">
        <v>0</v>
      </c>
      <c r="AE182" s="142">
        <v>0</v>
      </c>
      <c r="AF182" s="142">
        <v>0</v>
      </c>
      <c r="AG182" s="142">
        <v>0</v>
      </c>
      <c r="AH182" s="142">
        <v>0</v>
      </c>
    </row>
    <row r="183" spans="1:34" x14ac:dyDescent="0.25">
      <c r="A183" s="96">
        <v>44287</v>
      </c>
      <c r="B183" s="104">
        <v>10</v>
      </c>
      <c r="C183" s="104">
        <f>('Co-Processing'!B185*'Co-Pro Feedstock Breakdown'!C$3*'Feedstock Conversion Rates'!B$12)/12-10</f>
        <v>25.520833333333336</v>
      </c>
      <c r="D183" s="106">
        <f t="shared" si="23"/>
        <v>35.520833333333336</v>
      </c>
      <c r="E183" s="104"/>
      <c r="F183" s="104"/>
      <c r="G183" s="106">
        <f t="shared" si="24"/>
        <v>0</v>
      </c>
      <c r="H183" s="104">
        <f>('Co-Processing'!D185*'Co-Pro Feedstock Breakdown'!H$3*'Feedstock Conversion Rates'!B$13)/12</f>
        <v>0</v>
      </c>
      <c r="I183" s="106">
        <f t="shared" si="25"/>
        <v>0</v>
      </c>
      <c r="J183" s="104">
        <f>('Co-Processing'!E185*'Co-Pro Feedstock Breakdown'!J$3*'Feedstock Conversion Rates'!B$13)/12-1.25</f>
        <v>0</v>
      </c>
      <c r="K183" s="104">
        <f>('Co-Processing'!E185*'Co-Pro Feedstock Breakdown'!K$3*'Feedstock Conversion Rates'!B$12)/12+1.25</f>
        <v>2.541666666666667</v>
      </c>
      <c r="L183" s="106">
        <f t="shared" si="19"/>
        <v>2.541666666666667</v>
      </c>
      <c r="N183" s="104">
        <f t="shared" si="20"/>
        <v>10</v>
      </c>
      <c r="O183" s="104">
        <f t="shared" si="16"/>
        <v>28.062500000000004</v>
      </c>
      <c r="P183" s="104"/>
      <c r="Q183" s="106">
        <f t="shared" si="21"/>
        <v>38.0625</v>
      </c>
      <c r="R183" s="141">
        <f t="shared" si="22"/>
        <v>0</v>
      </c>
      <c r="T183" s="110">
        <f t="shared" si="17"/>
        <v>0.26272577996715929</v>
      </c>
      <c r="U183" s="110">
        <f t="shared" si="17"/>
        <v>0.73727422003284082</v>
      </c>
      <c r="V183" s="110">
        <f t="shared" si="17"/>
        <v>0</v>
      </c>
      <c r="W183" s="110">
        <f t="shared" si="18"/>
        <v>1</v>
      </c>
      <c r="Y183" s="142">
        <f>T183*'Co-Processing'!K185*'Feedstock Conversion Rates'!B$13</f>
        <v>6.0216000000000003</v>
      </c>
      <c r="Z183" s="142">
        <f>U183*'Co-Processing'!K185*'Feedstock Conversion Rates'!B$12</f>
        <v>17.461385500000002</v>
      </c>
      <c r="AA183" s="142">
        <f>V183*'Co-Processing'!K185*'Feedstock Conversion Rates'!B$14</f>
        <v>0</v>
      </c>
      <c r="AB183" s="142">
        <f t="shared" ref="AB183:AB246" si="26">SUM(Y183:AA183)</f>
        <v>23.482985500000002</v>
      </c>
      <c r="AD183" s="142">
        <v>0</v>
      </c>
      <c r="AE183" s="142">
        <v>0</v>
      </c>
      <c r="AF183" s="142">
        <v>0</v>
      </c>
      <c r="AG183" s="142">
        <v>0</v>
      </c>
      <c r="AH183" s="142">
        <v>0</v>
      </c>
    </row>
    <row r="184" spans="1:34" x14ac:dyDescent="0.25">
      <c r="A184" s="96">
        <v>44317</v>
      </c>
      <c r="B184" s="104">
        <v>10</v>
      </c>
      <c r="C184" s="104">
        <f>('Co-Processing'!B186*'Co-Pro Feedstock Breakdown'!C$3*'Feedstock Conversion Rates'!B$12)/12-10</f>
        <v>25.520833333333336</v>
      </c>
      <c r="D184" s="106">
        <f t="shared" si="23"/>
        <v>35.520833333333336</v>
      </c>
      <c r="E184" s="104"/>
      <c r="F184" s="104"/>
      <c r="G184" s="106">
        <f t="shared" si="24"/>
        <v>0</v>
      </c>
      <c r="H184" s="104">
        <f>('Co-Processing'!D186*'Co-Pro Feedstock Breakdown'!H$3*'Feedstock Conversion Rates'!B$13)/12</f>
        <v>0</v>
      </c>
      <c r="I184" s="106">
        <f t="shared" si="25"/>
        <v>0</v>
      </c>
      <c r="J184" s="104">
        <f>('Co-Processing'!E186*'Co-Pro Feedstock Breakdown'!J$3*'Feedstock Conversion Rates'!B$13)/12-1.25</f>
        <v>0</v>
      </c>
      <c r="K184" s="104">
        <f>('Co-Processing'!E186*'Co-Pro Feedstock Breakdown'!K$3*'Feedstock Conversion Rates'!B$12)/12+1.25</f>
        <v>2.541666666666667</v>
      </c>
      <c r="L184" s="106">
        <f t="shared" si="19"/>
        <v>2.541666666666667</v>
      </c>
      <c r="N184" s="104">
        <f t="shared" si="20"/>
        <v>10</v>
      </c>
      <c r="O184" s="104">
        <f t="shared" si="16"/>
        <v>28.062500000000004</v>
      </c>
      <c r="P184" s="104"/>
      <c r="Q184" s="106">
        <f t="shared" si="21"/>
        <v>38.0625</v>
      </c>
      <c r="R184" s="141">
        <f t="shared" si="22"/>
        <v>0</v>
      </c>
      <c r="T184" s="110">
        <f t="shared" si="17"/>
        <v>0.26272577996715929</v>
      </c>
      <c r="U184" s="110">
        <f t="shared" si="17"/>
        <v>0.73727422003284082</v>
      </c>
      <c r="V184" s="110">
        <f t="shared" si="17"/>
        <v>0</v>
      </c>
      <c r="W184" s="110">
        <f t="shared" si="18"/>
        <v>1</v>
      </c>
      <c r="Y184" s="142">
        <f>T184*'Co-Processing'!K186*'Feedstock Conversion Rates'!B$13</f>
        <v>4.392325123152709</v>
      </c>
      <c r="Z184" s="142">
        <f>U184*'Co-Processing'!K186*'Feedstock Conversion Rates'!B$12</f>
        <v>12.736827789408869</v>
      </c>
      <c r="AA184" s="142">
        <f>V184*'Co-Processing'!K186*'Feedstock Conversion Rates'!B$14</f>
        <v>0</v>
      </c>
      <c r="AB184" s="142">
        <f t="shared" si="26"/>
        <v>17.12915291256158</v>
      </c>
      <c r="AD184" s="142">
        <v>0</v>
      </c>
      <c r="AE184" s="142">
        <v>0</v>
      </c>
      <c r="AF184" s="142">
        <v>0</v>
      </c>
      <c r="AG184" s="142">
        <v>0</v>
      </c>
      <c r="AH184" s="142">
        <v>0</v>
      </c>
    </row>
    <row r="185" spans="1:34" x14ac:dyDescent="0.25">
      <c r="A185" s="96">
        <v>44348</v>
      </c>
      <c r="B185" s="104">
        <v>10</v>
      </c>
      <c r="C185" s="104">
        <f>('Co-Processing'!B187*'Co-Pro Feedstock Breakdown'!C$3*'Feedstock Conversion Rates'!B$12)/12-10</f>
        <v>25.520833333333336</v>
      </c>
      <c r="D185" s="106">
        <f t="shared" si="23"/>
        <v>35.520833333333336</v>
      </c>
      <c r="E185" s="104"/>
      <c r="F185" s="104"/>
      <c r="G185" s="106">
        <f t="shared" si="24"/>
        <v>0</v>
      </c>
      <c r="H185" s="104">
        <f>('Co-Processing'!D187*'Co-Pro Feedstock Breakdown'!H$3*'Feedstock Conversion Rates'!B$13)/12</f>
        <v>0</v>
      </c>
      <c r="I185" s="106">
        <f t="shared" si="25"/>
        <v>0</v>
      </c>
      <c r="J185" s="104">
        <f>('Co-Processing'!E187*'Co-Pro Feedstock Breakdown'!J$3*'Feedstock Conversion Rates'!B$13)/12-1.25</f>
        <v>0</v>
      </c>
      <c r="K185" s="104">
        <f>('Co-Processing'!E187*'Co-Pro Feedstock Breakdown'!K$3*'Feedstock Conversion Rates'!B$12)/12+1.25</f>
        <v>2.541666666666667</v>
      </c>
      <c r="L185" s="106">
        <f t="shared" si="19"/>
        <v>2.541666666666667</v>
      </c>
      <c r="N185" s="104">
        <f t="shared" si="20"/>
        <v>10</v>
      </c>
      <c r="O185" s="104">
        <f t="shared" si="16"/>
        <v>28.062500000000004</v>
      </c>
      <c r="P185" s="104"/>
      <c r="Q185" s="106">
        <f t="shared" si="21"/>
        <v>38.0625</v>
      </c>
      <c r="R185" s="141">
        <f t="shared" si="22"/>
        <v>0</v>
      </c>
      <c r="T185" s="110">
        <f t="shared" si="17"/>
        <v>0.26272577996715929</v>
      </c>
      <c r="U185" s="110">
        <f t="shared" si="17"/>
        <v>0.73727422003284082</v>
      </c>
      <c r="V185" s="110">
        <f t="shared" si="17"/>
        <v>0</v>
      </c>
      <c r="W185" s="110">
        <f t="shared" si="18"/>
        <v>1</v>
      </c>
      <c r="Y185" s="142">
        <f>T185*'Co-Processing'!K187*'Feedstock Conversion Rates'!B$13</f>
        <v>8.2788965517241362</v>
      </c>
      <c r="Z185" s="142">
        <f>U185*'Co-Processing'!K187*'Feedstock Conversion Rates'!B$12</f>
        <v>24.007075229885057</v>
      </c>
      <c r="AA185" s="142">
        <f>V185*'Co-Processing'!K187*'Feedstock Conversion Rates'!B$14</f>
        <v>0</v>
      </c>
      <c r="AB185" s="142">
        <f t="shared" si="26"/>
        <v>32.285971781609192</v>
      </c>
      <c r="AD185" s="142">
        <v>0</v>
      </c>
      <c r="AE185" s="142">
        <v>0</v>
      </c>
      <c r="AF185" s="142">
        <v>0</v>
      </c>
      <c r="AG185" s="142">
        <v>0</v>
      </c>
      <c r="AH185" s="142">
        <v>0</v>
      </c>
    </row>
    <row r="186" spans="1:34" x14ac:dyDescent="0.25">
      <c r="A186" s="96">
        <v>44378</v>
      </c>
      <c r="B186" s="104">
        <v>10</v>
      </c>
      <c r="C186" s="104">
        <f>('Co-Processing'!B188*'Co-Pro Feedstock Breakdown'!C$3*'Feedstock Conversion Rates'!B$12)/12-10</f>
        <v>25.520833333333336</v>
      </c>
      <c r="D186" s="106">
        <f t="shared" si="23"/>
        <v>35.520833333333336</v>
      </c>
      <c r="E186" s="104"/>
      <c r="F186" s="104"/>
      <c r="G186" s="106">
        <f t="shared" si="24"/>
        <v>0</v>
      </c>
      <c r="H186" s="104">
        <f>('Co-Processing'!D188*'Co-Pro Feedstock Breakdown'!H$3*'Feedstock Conversion Rates'!B$13)/12</f>
        <v>0</v>
      </c>
      <c r="I186" s="106">
        <f t="shared" si="25"/>
        <v>0</v>
      </c>
      <c r="J186" s="104">
        <f>('Co-Processing'!E188*'Co-Pro Feedstock Breakdown'!J$3*'Feedstock Conversion Rates'!B$13)/12-1.25</f>
        <v>0</v>
      </c>
      <c r="K186" s="104">
        <f>('Co-Processing'!E188*'Co-Pro Feedstock Breakdown'!K$3*'Feedstock Conversion Rates'!B$12)/12+1.25</f>
        <v>2.541666666666667</v>
      </c>
      <c r="L186" s="106">
        <f t="shared" si="19"/>
        <v>2.541666666666667</v>
      </c>
      <c r="N186" s="104">
        <f t="shared" si="20"/>
        <v>10</v>
      </c>
      <c r="O186" s="104">
        <f t="shared" si="16"/>
        <v>28.062500000000004</v>
      </c>
      <c r="P186" s="104"/>
      <c r="Q186" s="106">
        <f t="shared" si="21"/>
        <v>38.0625</v>
      </c>
      <c r="R186" s="141">
        <f t="shared" si="22"/>
        <v>0</v>
      </c>
      <c r="T186" s="110">
        <f t="shared" si="17"/>
        <v>0.26272577996715929</v>
      </c>
      <c r="U186" s="110">
        <f t="shared" si="17"/>
        <v>0.73727422003284082</v>
      </c>
      <c r="V186" s="110">
        <f t="shared" si="17"/>
        <v>0</v>
      </c>
      <c r="W186" s="110">
        <f t="shared" si="18"/>
        <v>1</v>
      </c>
      <c r="Y186" s="142">
        <f>T186*'Co-Processing'!K188*'Feedstock Conversion Rates'!B$13</f>
        <v>10.334126108374386</v>
      </c>
      <c r="Z186" s="142">
        <f>U186*'Co-Processing'!K188*'Feedstock Conversion Rates'!B$12</f>
        <v>29.966812771346476</v>
      </c>
      <c r="AA186" s="142">
        <f>V186*'Co-Processing'!K188*'Feedstock Conversion Rates'!B$14</f>
        <v>0</v>
      </c>
      <c r="AB186" s="142">
        <f t="shared" si="26"/>
        <v>40.30093887972086</v>
      </c>
      <c r="AD186" s="142">
        <v>0</v>
      </c>
      <c r="AE186" s="142">
        <v>0</v>
      </c>
      <c r="AF186" s="142">
        <v>0</v>
      </c>
      <c r="AG186" s="142">
        <v>0</v>
      </c>
      <c r="AH186" s="142">
        <v>0</v>
      </c>
    </row>
    <row r="187" spans="1:34" x14ac:dyDescent="0.25">
      <c r="A187" s="96">
        <v>44409</v>
      </c>
      <c r="B187" s="104">
        <v>10</v>
      </c>
      <c r="C187" s="104">
        <f>('Co-Processing'!B189*'Co-Pro Feedstock Breakdown'!C$3*'Feedstock Conversion Rates'!B$12)/12-10</f>
        <v>25.520833333333336</v>
      </c>
      <c r="D187" s="106">
        <f t="shared" si="23"/>
        <v>35.520833333333336</v>
      </c>
      <c r="E187" s="104"/>
      <c r="F187" s="104"/>
      <c r="G187" s="106">
        <f t="shared" si="24"/>
        <v>0</v>
      </c>
      <c r="H187" s="104">
        <f>('Co-Processing'!D189*'Co-Pro Feedstock Breakdown'!H$3*'Feedstock Conversion Rates'!B$13)/12</f>
        <v>0</v>
      </c>
      <c r="I187" s="106">
        <f t="shared" si="25"/>
        <v>0</v>
      </c>
      <c r="J187" s="104">
        <f>('Co-Processing'!E189*'Co-Pro Feedstock Breakdown'!J$3*'Feedstock Conversion Rates'!B$13)/12-1.25</f>
        <v>0</v>
      </c>
      <c r="K187" s="104">
        <f>('Co-Processing'!E189*'Co-Pro Feedstock Breakdown'!K$3*'Feedstock Conversion Rates'!B$12)/12+1.25</f>
        <v>2.541666666666667</v>
      </c>
      <c r="L187" s="106">
        <f t="shared" si="19"/>
        <v>2.541666666666667</v>
      </c>
      <c r="N187" s="104">
        <f t="shared" si="20"/>
        <v>10</v>
      </c>
      <c r="O187" s="104">
        <f t="shared" si="16"/>
        <v>28.062500000000004</v>
      </c>
      <c r="P187" s="104"/>
      <c r="Q187" s="106">
        <f t="shared" si="21"/>
        <v>38.0625</v>
      </c>
      <c r="R187" s="141">
        <f t="shared" si="22"/>
        <v>0</v>
      </c>
      <c r="T187" s="110">
        <f t="shared" si="17"/>
        <v>0.26272577996715929</v>
      </c>
      <c r="U187" s="110">
        <f t="shared" si="17"/>
        <v>0.73727422003284082</v>
      </c>
      <c r="V187" s="110">
        <f t="shared" si="17"/>
        <v>0</v>
      </c>
      <c r="W187" s="110">
        <f t="shared" si="18"/>
        <v>1</v>
      </c>
      <c r="Y187" s="142">
        <f>T187*'Co-Processing'!K189*'Feedstock Conversion Rates'!B$13</f>
        <v>15.252604926108374</v>
      </c>
      <c r="Z187" s="142">
        <f>U187*'Co-Processing'!K189*'Feedstock Conversion Rates'!B$12</f>
        <v>44.229376659688015</v>
      </c>
      <c r="AA187" s="142">
        <f>V187*'Co-Processing'!K189*'Feedstock Conversion Rates'!B$14</f>
        <v>0</v>
      </c>
      <c r="AB187" s="142">
        <f t="shared" si="26"/>
        <v>59.48198158579639</v>
      </c>
      <c r="AD187" s="142">
        <v>0</v>
      </c>
      <c r="AE187" s="142">
        <v>0</v>
      </c>
      <c r="AF187" s="142">
        <v>0</v>
      </c>
      <c r="AG187" s="142">
        <v>0</v>
      </c>
      <c r="AH187" s="142">
        <v>0</v>
      </c>
    </row>
    <row r="188" spans="1:34" x14ac:dyDescent="0.25">
      <c r="A188" s="96">
        <v>44440</v>
      </c>
      <c r="B188" s="104">
        <v>10</v>
      </c>
      <c r="C188" s="104">
        <f>('Co-Processing'!B190*'Co-Pro Feedstock Breakdown'!C$3*'Feedstock Conversion Rates'!B$12)/12-10</f>
        <v>25.520833333333336</v>
      </c>
      <c r="D188" s="106">
        <f t="shared" si="23"/>
        <v>35.520833333333336</v>
      </c>
      <c r="E188" s="104"/>
      <c r="F188" s="104"/>
      <c r="G188" s="106">
        <f t="shared" si="24"/>
        <v>0</v>
      </c>
      <c r="H188" s="104">
        <f>('Co-Processing'!D190*'Co-Pro Feedstock Breakdown'!H$3*'Feedstock Conversion Rates'!B$13)/12</f>
        <v>0</v>
      </c>
      <c r="I188" s="106">
        <f t="shared" si="25"/>
        <v>0</v>
      </c>
      <c r="J188" s="104">
        <f>('Co-Processing'!E190*'Co-Pro Feedstock Breakdown'!J$3*'Feedstock Conversion Rates'!B$13)/12-1.25</f>
        <v>0</v>
      </c>
      <c r="K188" s="104">
        <f>('Co-Processing'!E190*'Co-Pro Feedstock Breakdown'!K$3*'Feedstock Conversion Rates'!B$12)/12+1.25</f>
        <v>2.541666666666667</v>
      </c>
      <c r="L188" s="106">
        <f t="shared" si="19"/>
        <v>2.541666666666667</v>
      </c>
      <c r="N188" s="104">
        <f t="shared" si="20"/>
        <v>10</v>
      </c>
      <c r="O188" s="104">
        <f t="shared" si="16"/>
        <v>28.062500000000004</v>
      </c>
      <c r="P188" s="104"/>
      <c r="Q188" s="106">
        <f t="shared" si="21"/>
        <v>38.0625</v>
      </c>
      <c r="R188" s="141">
        <f t="shared" si="22"/>
        <v>0</v>
      </c>
      <c r="T188" s="110">
        <f t="shared" si="17"/>
        <v>0.26272577996715929</v>
      </c>
      <c r="U188" s="110">
        <f t="shared" si="17"/>
        <v>0.73727422003284082</v>
      </c>
      <c r="V188" s="110">
        <f t="shared" si="17"/>
        <v>0</v>
      </c>
      <c r="W188" s="110">
        <f t="shared" si="18"/>
        <v>1</v>
      </c>
      <c r="Y188" s="142">
        <f>T188*'Co-Processing'!K190*'Feedstock Conversion Rates'!B$13</f>
        <v>11.477156650246306</v>
      </c>
      <c r="Z188" s="142">
        <f>U188*'Co-Processing'!K190*'Feedstock Conversion Rates'!B$12</f>
        <v>33.281363211412156</v>
      </c>
      <c r="AA188" s="142">
        <f>V188*'Co-Processing'!K190*'Feedstock Conversion Rates'!B$14</f>
        <v>0</v>
      </c>
      <c r="AB188" s="142">
        <f t="shared" si="26"/>
        <v>44.758519861658463</v>
      </c>
      <c r="AD188" s="142">
        <v>0</v>
      </c>
      <c r="AE188" s="142">
        <v>0</v>
      </c>
      <c r="AF188" s="142">
        <v>0</v>
      </c>
      <c r="AG188" s="142">
        <v>0</v>
      </c>
      <c r="AH188" s="142">
        <v>0</v>
      </c>
    </row>
    <row r="189" spans="1:34" x14ac:dyDescent="0.25">
      <c r="A189" s="96">
        <v>44470</v>
      </c>
      <c r="B189" s="104">
        <v>10</v>
      </c>
      <c r="C189" s="104">
        <f>('Co-Processing'!B191*'Co-Pro Feedstock Breakdown'!C$3*'Feedstock Conversion Rates'!B$12)/12-10</f>
        <v>25.520833333333336</v>
      </c>
      <c r="D189" s="106">
        <f t="shared" si="23"/>
        <v>35.520833333333336</v>
      </c>
      <c r="E189" s="104"/>
      <c r="F189" s="104"/>
      <c r="G189" s="106">
        <f t="shared" si="24"/>
        <v>0</v>
      </c>
      <c r="H189" s="104">
        <f>('Co-Processing'!D191*'Co-Pro Feedstock Breakdown'!H$3*'Feedstock Conversion Rates'!B$13)/12</f>
        <v>0</v>
      </c>
      <c r="I189" s="106">
        <f t="shared" si="25"/>
        <v>0</v>
      </c>
      <c r="J189" s="104">
        <f>('Co-Processing'!E191*'Co-Pro Feedstock Breakdown'!J$3*'Feedstock Conversion Rates'!B$13)/12-1.25</f>
        <v>0</v>
      </c>
      <c r="K189" s="104">
        <f>('Co-Processing'!E191*'Co-Pro Feedstock Breakdown'!K$3*'Feedstock Conversion Rates'!B$12)/12+1.25</f>
        <v>2.541666666666667</v>
      </c>
      <c r="L189" s="106">
        <f t="shared" si="19"/>
        <v>2.541666666666667</v>
      </c>
      <c r="N189" s="104">
        <f t="shared" si="20"/>
        <v>10</v>
      </c>
      <c r="O189" s="104">
        <f t="shared" si="16"/>
        <v>28.062500000000004</v>
      </c>
      <c r="P189" s="104"/>
      <c r="Q189" s="106">
        <f t="shared" si="21"/>
        <v>38.0625</v>
      </c>
      <c r="R189" s="141">
        <f t="shared" si="22"/>
        <v>0</v>
      </c>
      <c r="T189" s="110">
        <f t="shared" si="17"/>
        <v>0.26272577996715929</v>
      </c>
      <c r="U189" s="110">
        <f t="shared" si="17"/>
        <v>0.73727422003284082</v>
      </c>
      <c r="V189" s="110">
        <f t="shared" si="17"/>
        <v>0</v>
      </c>
      <c r="W189" s="110">
        <f t="shared" si="18"/>
        <v>1</v>
      </c>
      <c r="Y189" s="142">
        <f>T189*'Co-Processing'!K191*'Feedstock Conversion Rates'!B$13</f>
        <v>10.030516256157636</v>
      </c>
      <c r="Z189" s="142">
        <f>U189*'Co-Processing'!K191*'Feedstock Conversion Rates'!B$12</f>
        <v>29.086407451970452</v>
      </c>
      <c r="AA189" s="142">
        <f>V189*'Co-Processing'!K191*'Feedstock Conversion Rates'!B$14</f>
        <v>0</v>
      </c>
      <c r="AB189" s="142">
        <f t="shared" si="26"/>
        <v>39.116923708128084</v>
      </c>
      <c r="AD189" s="142">
        <v>0</v>
      </c>
      <c r="AE189" s="142">
        <v>0</v>
      </c>
      <c r="AF189" s="142">
        <v>0</v>
      </c>
      <c r="AG189" s="142">
        <v>0</v>
      </c>
      <c r="AH189" s="142">
        <v>0</v>
      </c>
    </row>
    <row r="190" spans="1:34" x14ac:dyDescent="0.25">
      <c r="A190" s="96">
        <v>44501</v>
      </c>
      <c r="B190" s="104">
        <v>10</v>
      </c>
      <c r="C190" s="104">
        <f>('Co-Processing'!B192*'Co-Pro Feedstock Breakdown'!C$3*'Feedstock Conversion Rates'!B$12)/12-10</f>
        <v>25.520833333333336</v>
      </c>
      <c r="D190" s="106">
        <f t="shared" si="23"/>
        <v>35.520833333333336</v>
      </c>
      <c r="E190" s="104"/>
      <c r="F190" s="104"/>
      <c r="G190" s="106">
        <f t="shared" si="24"/>
        <v>0</v>
      </c>
      <c r="H190" s="104">
        <f>('Co-Processing'!D192*'Co-Pro Feedstock Breakdown'!H$3*'Feedstock Conversion Rates'!B$13)/12</f>
        <v>0</v>
      </c>
      <c r="I190" s="106">
        <f t="shared" si="25"/>
        <v>0</v>
      </c>
      <c r="J190" s="104">
        <f>('Co-Processing'!E192*'Co-Pro Feedstock Breakdown'!J$3*'Feedstock Conversion Rates'!B$13)/12-1.25</f>
        <v>0</v>
      </c>
      <c r="K190" s="104">
        <f>('Co-Processing'!E192*'Co-Pro Feedstock Breakdown'!K$3*'Feedstock Conversion Rates'!B$12)/12+1.25</f>
        <v>2.541666666666667</v>
      </c>
      <c r="L190" s="106">
        <f t="shared" si="19"/>
        <v>2.541666666666667</v>
      </c>
      <c r="N190" s="104">
        <f t="shared" si="20"/>
        <v>10</v>
      </c>
      <c r="O190" s="104">
        <f t="shared" si="16"/>
        <v>28.062500000000004</v>
      </c>
      <c r="P190" s="104"/>
      <c r="Q190" s="106">
        <f t="shared" si="21"/>
        <v>38.0625</v>
      </c>
      <c r="R190" s="141">
        <f t="shared" si="22"/>
        <v>0</v>
      </c>
      <c r="T190" s="110">
        <f t="shared" si="17"/>
        <v>0.26272577996715929</v>
      </c>
      <c r="U190" s="110">
        <f t="shared" si="17"/>
        <v>0.73727422003284082</v>
      </c>
      <c r="V190" s="110">
        <f t="shared" si="17"/>
        <v>0</v>
      </c>
      <c r="W190" s="110">
        <f t="shared" si="18"/>
        <v>1</v>
      </c>
      <c r="Y190" s="142">
        <f>T190*'Co-Processing'!K192*'Feedstock Conversion Rates'!B$13</f>
        <v>1.4851192118226602</v>
      </c>
      <c r="Z190" s="142">
        <f>U190*'Co-Processing'!K192*'Feedstock Conversion Rates'!B$12</f>
        <v>4.306536314449918</v>
      </c>
      <c r="AA190" s="142">
        <f>V190*'Co-Processing'!K192*'Feedstock Conversion Rates'!B$14</f>
        <v>0</v>
      </c>
      <c r="AB190" s="142">
        <f t="shared" si="26"/>
        <v>5.791655526272578</v>
      </c>
      <c r="AD190" s="142">
        <v>0</v>
      </c>
      <c r="AE190" s="142">
        <v>0</v>
      </c>
      <c r="AF190" s="142">
        <v>0</v>
      </c>
      <c r="AG190" s="142">
        <v>0</v>
      </c>
      <c r="AH190" s="142">
        <v>0</v>
      </c>
    </row>
    <row r="191" spans="1:34" x14ac:dyDescent="0.25">
      <c r="A191" s="96">
        <v>44531</v>
      </c>
      <c r="B191" s="104">
        <v>10</v>
      </c>
      <c r="C191" s="104">
        <f>('Co-Processing'!B193*'Co-Pro Feedstock Breakdown'!C$3*'Feedstock Conversion Rates'!B$12)/12-10</f>
        <v>25.520833333333336</v>
      </c>
      <c r="D191" s="106">
        <f t="shared" si="23"/>
        <v>35.520833333333336</v>
      </c>
      <c r="E191" s="104"/>
      <c r="F191" s="104"/>
      <c r="G191" s="106">
        <f t="shared" si="24"/>
        <v>0</v>
      </c>
      <c r="H191" s="104">
        <f>('Co-Processing'!D193*'Co-Pro Feedstock Breakdown'!H$3*'Feedstock Conversion Rates'!B$13)/12</f>
        <v>0</v>
      </c>
      <c r="I191" s="106">
        <f t="shared" si="25"/>
        <v>0</v>
      </c>
      <c r="J191" s="104">
        <f>('Co-Processing'!E193*'Co-Pro Feedstock Breakdown'!J$3*'Feedstock Conversion Rates'!B$13)/12-1.25</f>
        <v>0</v>
      </c>
      <c r="K191" s="104">
        <f>('Co-Processing'!E193*'Co-Pro Feedstock Breakdown'!K$3*'Feedstock Conversion Rates'!B$12)/12+1.25</f>
        <v>2.541666666666667</v>
      </c>
      <c r="L191" s="106">
        <f t="shared" si="19"/>
        <v>2.541666666666667</v>
      </c>
      <c r="N191" s="104">
        <f t="shared" si="20"/>
        <v>10</v>
      </c>
      <c r="O191" s="104">
        <f t="shared" si="16"/>
        <v>28.062500000000004</v>
      </c>
      <c r="P191" s="104"/>
      <c r="Q191" s="106">
        <f t="shared" si="21"/>
        <v>38.0625</v>
      </c>
      <c r="R191" s="141">
        <f t="shared" si="22"/>
        <v>0</v>
      </c>
      <c r="T191" s="110">
        <f t="shared" si="17"/>
        <v>0.26272577996715929</v>
      </c>
      <c r="U191" s="110">
        <f t="shared" si="17"/>
        <v>0.73727422003284082</v>
      </c>
      <c r="V191" s="110">
        <f t="shared" si="17"/>
        <v>0</v>
      </c>
      <c r="W191" s="110">
        <f t="shared" si="18"/>
        <v>1</v>
      </c>
      <c r="Y191" s="142">
        <f>T191*'Co-Processing'!K193*'Feedstock Conversion Rates'!B$13</f>
        <v>21.778778325123156</v>
      </c>
      <c r="Z191" s="142">
        <f>U191*'Co-Processing'!K193*'Feedstock Conversion Rates'!B$12</f>
        <v>63.153919897372745</v>
      </c>
      <c r="AA191" s="142">
        <f>V191*'Co-Processing'!K193*'Feedstock Conversion Rates'!B$14</f>
        <v>0</v>
      </c>
      <c r="AB191" s="142">
        <f t="shared" si="26"/>
        <v>84.932698222495901</v>
      </c>
      <c r="AD191" s="142">
        <v>0</v>
      </c>
      <c r="AE191" s="142">
        <v>0</v>
      </c>
      <c r="AF191" s="142">
        <v>0</v>
      </c>
      <c r="AG191" s="142">
        <v>0</v>
      </c>
      <c r="AH191" s="142">
        <v>0</v>
      </c>
    </row>
    <row r="192" spans="1:34" x14ac:dyDescent="0.25">
      <c r="A192" s="96">
        <v>44562</v>
      </c>
      <c r="B192" s="104">
        <v>10</v>
      </c>
      <c r="C192" s="104">
        <f>('Co-Processing'!B194*'Co-Pro Feedstock Breakdown'!C$3*'Feedstock Conversion Rates'!B$12)/12-10</f>
        <v>25.520833333333336</v>
      </c>
      <c r="D192" s="106">
        <f t="shared" si="23"/>
        <v>35.520833333333336</v>
      </c>
      <c r="E192" s="104"/>
      <c r="F192" s="104"/>
      <c r="G192" s="106">
        <f t="shared" si="24"/>
        <v>0</v>
      </c>
      <c r="H192" s="104">
        <f>('Co-Processing'!D194*'Co-Pro Feedstock Breakdown'!H$3*'Feedstock Conversion Rates'!B$13)/12</f>
        <v>0</v>
      </c>
      <c r="I192" s="106">
        <f t="shared" si="25"/>
        <v>0</v>
      </c>
      <c r="J192" s="104">
        <f>('Co-Processing'!E194*'Co-Pro Feedstock Breakdown'!J$3*'Feedstock Conversion Rates'!B$13)/12-1.25</f>
        <v>0</v>
      </c>
      <c r="K192" s="104">
        <f>('Co-Processing'!E194*'Co-Pro Feedstock Breakdown'!K$3*'Feedstock Conversion Rates'!B$12)/12+1.25</f>
        <v>2.541666666666667</v>
      </c>
      <c r="L192" s="106">
        <f t="shared" si="19"/>
        <v>2.541666666666667</v>
      </c>
      <c r="N192" s="104">
        <f t="shared" si="20"/>
        <v>10</v>
      </c>
      <c r="O192" s="104">
        <f t="shared" si="16"/>
        <v>28.062500000000004</v>
      </c>
      <c r="P192" s="104"/>
      <c r="Q192" s="106">
        <f t="shared" si="21"/>
        <v>38.0625</v>
      </c>
      <c r="R192" s="141">
        <f t="shared" si="22"/>
        <v>0</v>
      </c>
      <c r="T192" s="110">
        <f t="shared" si="17"/>
        <v>0.26272577996715929</v>
      </c>
      <c r="U192" s="110">
        <f t="shared" si="17"/>
        <v>0.73727422003284082</v>
      </c>
      <c r="V192" s="110">
        <f t="shared" si="17"/>
        <v>0</v>
      </c>
      <c r="W192" s="110">
        <f t="shared" si="18"/>
        <v>1</v>
      </c>
      <c r="Y192" s="142">
        <f>T192*'Co-Processing'!K194*'Feedstock Conversion Rates'!B$13</f>
        <v>7.9222738916256166</v>
      </c>
      <c r="Z192" s="142">
        <f>U192*'Co-Processing'!K194*'Feedstock Conversion Rates'!B$12</f>
        <v>22.972943811986866</v>
      </c>
      <c r="AA192" s="142">
        <f>V192*'Co-Processing'!K194*'Feedstock Conversion Rates'!B$14</f>
        <v>0</v>
      </c>
      <c r="AB192" s="142">
        <f t="shared" si="26"/>
        <v>30.895217703612481</v>
      </c>
      <c r="AD192" s="142">
        <v>0</v>
      </c>
      <c r="AE192" s="142">
        <v>0</v>
      </c>
      <c r="AF192" s="142">
        <v>0</v>
      </c>
      <c r="AG192" s="142">
        <v>0</v>
      </c>
      <c r="AH192" s="142">
        <v>0</v>
      </c>
    </row>
    <row r="193" spans="1:38" x14ac:dyDescent="0.25">
      <c r="A193" s="96">
        <v>44593</v>
      </c>
      <c r="B193" s="104">
        <v>10</v>
      </c>
      <c r="C193" s="104">
        <f>('Co-Processing'!B195*'Co-Pro Feedstock Breakdown'!C$3*'Feedstock Conversion Rates'!B$12)/12-10</f>
        <v>25.520833333333336</v>
      </c>
      <c r="D193" s="106">
        <f t="shared" si="23"/>
        <v>35.520833333333336</v>
      </c>
      <c r="E193" s="104"/>
      <c r="F193" s="104"/>
      <c r="G193" s="106">
        <f t="shared" si="24"/>
        <v>0</v>
      </c>
      <c r="H193" s="104">
        <f>('Co-Processing'!D195*'Co-Pro Feedstock Breakdown'!H$3*'Feedstock Conversion Rates'!B$13)/12</f>
        <v>0</v>
      </c>
      <c r="I193" s="106">
        <f t="shared" si="25"/>
        <v>0</v>
      </c>
      <c r="J193" s="104">
        <f>('Co-Processing'!E195*'Co-Pro Feedstock Breakdown'!J$3*'Feedstock Conversion Rates'!B$13)/12-1.25</f>
        <v>0</v>
      </c>
      <c r="K193" s="104">
        <f>('Co-Processing'!E195*'Co-Pro Feedstock Breakdown'!K$3*'Feedstock Conversion Rates'!B$12)/12+1.25</f>
        <v>2.541666666666667</v>
      </c>
      <c r="L193" s="106">
        <f t="shared" si="19"/>
        <v>2.541666666666667</v>
      </c>
      <c r="N193" s="104">
        <f t="shared" si="20"/>
        <v>10</v>
      </c>
      <c r="O193" s="104">
        <f t="shared" si="16"/>
        <v>28.062500000000004</v>
      </c>
      <c r="P193" s="104"/>
      <c r="Q193" s="106">
        <f t="shared" si="21"/>
        <v>38.0625</v>
      </c>
      <c r="R193" s="141">
        <f t="shared" si="22"/>
        <v>0</v>
      </c>
      <c r="T193" s="110">
        <f t="shared" si="17"/>
        <v>0.26272577996715929</v>
      </c>
      <c r="U193" s="110">
        <f t="shared" si="17"/>
        <v>0.73727422003284082</v>
      </c>
      <c r="V193" s="110">
        <f t="shared" si="17"/>
        <v>0</v>
      </c>
      <c r="W193" s="110">
        <f t="shared" si="18"/>
        <v>1</v>
      </c>
      <c r="Y193" s="142">
        <f>T193*'Co-Processing'!K195*'Feedstock Conversion Rates'!B$13</f>
        <v>9.2902896551724137</v>
      </c>
      <c r="Z193" s="142">
        <f>U193*'Co-Processing'!K195*'Feedstock Conversion Rates'!B$12</f>
        <v>26.93990452298851</v>
      </c>
      <c r="AA193" s="142">
        <f>V193*'Co-Processing'!K195*'Feedstock Conversion Rates'!B$14</f>
        <v>0</v>
      </c>
      <c r="AB193" s="142">
        <f t="shared" si="26"/>
        <v>36.230194178160922</v>
      </c>
      <c r="AD193" s="142">
        <v>0</v>
      </c>
      <c r="AE193" s="142">
        <v>0</v>
      </c>
      <c r="AF193" s="142">
        <v>0</v>
      </c>
      <c r="AG193" s="142">
        <v>0</v>
      </c>
      <c r="AH193" s="142">
        <v>0</v>
      </c>
    </row>
    <row r="194" spans="1:38" x14ac:dyDescent="0.25">
      <c r="A194" s="96">
        <v>44621</v>
      </c>
      <c r="B194" s="104">
        <v>10</v>
      </c>
      <c r="C194" s="104">
        <f>('Co-Processing'!B196*'Co-Pro Feedstock Breakdown'!C$3*'Feedstock Conversion Rates'!B$12)/12-10</f>
        <v>25.520833333333336</v>
      </c>
      <c r="D194" s="106">
        <f t="shared" si="23"/>
        <v>35.520833333333336</v>
      </c>
      <c r="E194" s="104"/>
      <c r="F194" s="104"/>
      <c r="G194" s="106">
        <f t="shared" si="24"/>
        <v>0</v>
      </c>
      <c r="H194" s="104">
        <f>('Co-Processing'!D196*'Co-Pro Feedstock Breakdown'!H$3*'Feedstock Conversion Rates'!B$13)/12</f>
        <v>0</v>
      </c>
      <c r="I194" s="106">
        <f t="shared" si="25"/>
        <v>0</v>
      </c>
      <c r="J194" s="104">
        <f>('Co-Processing'!E196*'Co-Pro Feedstock Breakdown'!J$3*'Feedstock Conversion Rates'!B$13)/12-1.25</f>
        <v>0</v>
      </c>
      <c r="K194" s="104">
        <f>('Co-Processing'!E196*'Co-Pro Feedstock Breakdown'!K$3*'Feedstock Conversion Rates'!B$12)/12+1.25</f>
        <v>2.541666666666667</v>
      </c>
      <c r="L194" s="106">
        <f t="shared" si="19"/>
        <v>2.541666666666667</v>
      </c>
      <c r="N194" s="104">
        <f t="shared" si="20"/>
        <v>10</v>
      </c>
      <c r="O194" s="104">
        <f t="shared" si="16"/>
        <v>28.062500000000004</v>
      </c>
      <c r="P194" s="104"/>
      <c r="Q194" s="106">
        <f t="shared" si="21"/>
        <v>38.0625</v>
      </c>
      <c r="R194" s="141">
        <f t="shared" si="22"/>
        <v>0</v>
      </c>
      <c r="T194" s="110">
        <f t="shared" si="17"/>
        <v>0.26272577996715929</v>
      </c>
      <c r="U194" s="110">
        <f t="shared" si="17"/>
        <v>0.73727422003284082</v>
      </c>
      <c r="V194" s="110">
        <f t="shared" si="17"/>
        <v>0</v>
      </c>
      <c r="W194" s="110">
        <f t="shared" si="18"/>
        <v>1</v>
      </c>
      <c r="Y194" s="142">
        <f>T194*'Co-Processing'!K196*'Feedstock Conversion Rates'!B$13</f>
        <v>9.4160788177339914</v>
      </c>
      <c r="Z194" s="142">
        <f>U194*'Co-Processing'!K196*'Feedstock Conversion Rates'!B$12</f>
        <v>27.304666888341547</v>
      </c>
      <c r="AA194" s="142">
        <f>V194*'Co-Processing'!K196*'Feedstock Conversion Rates'!B$14</f>
        <v>0</v>
      </c>
      <c r="AB194" s="142">
        <f t="shared" si="26"/>
        <v>36.72074570607554</v>
      </c>
      <c r="AD194" s="142">
        <v>0</v>
      </c>
      <c r="AE194" s="142">
        <v>0</v>
      </c>
      <c r="AF194" s="142">
        <v>0</v>
      </c>
      <c r="AG194" s="142">
        <v>0</v>
      </c>
      <c r="AH194" s="142">
        <v>0</v>
      </c>
    </row>
    <row r="195" spans="1:38" x14ac:dyDescent="0.25">
      <c r="A195" s="96">
        <v>44652</v>
      </c>
      <c r="B195" s="104">
        <v>10</v>
      </c>
      <c r="C195" s="104">
        <f>('Co-Processing'!B197*'Co-Pro Feedstock Breakdown'!C$3*'Feedstock Conversion Rates'!B$12)/12-10</f>
        <v>25.520833333333336</v>
      </c>
      <c r="D195" s="106">
        <f t="shared" si="23"/>
        <v>35.520833333333336</v>
      </c>
      <c r="E195" s="104"/>
      <c r="F195" s="104"/>
      <c r="G195" s="106">
        <f t="shared" si="24"/>
        <v>0</v>
      </c>
      <c r="H195" s="104">
        <f>('Co-Processing'!D197*'Co-Pro Feedstock Breakdown'!H$3*'Feedstock Conversion Rates'!B$13)/12</f>
        <v>0</v>
      </c>
      <c r="I195" s="106">
        <f t="shared" si="25"/>
        <v>0</v>
      </c>
      <c r="J195" s="104">
        <f>('Co-Processing'!E197*'Co-Pro Feedstock Breakdown'!J$3*'Feedstock Conversion Rates'!B$13)/12-1.25</f>
        <v>0</v>
      </c>
      <c r="K195" s="104">
        <f>('Co-Processing'!E197*'Co-Pro Feedstock Breakdown'!K$3*'Feedstock Conversion Rates'!B$12)/12+1.25</f>
        <v>2.541666666666667</v>
      </c>
      <c r="L195" s="106">
        <f t="shared" si="19"/>
        <v>2.541666666666667</v>
      </c>
      <c r="N195" s="104">
        <f t="shared" si="20"/>
        <v>10</v>
      </c>
      <c r="O195" s="104">
        <f t="shared" si="16"/>
        <v>28.062500000000004</v>
      </c>
      <c r="P195" s="104"/>
      <c r="Q195" s="106">
        <f t="shared" si="21"/>
        <v>38.0625</v>
      </c>
      <c r="R195" s="141">
        <f t="shared" si="22"/>
        <v>0</v>
      </c>
      <c r="T195" s="110">
        <f t="shared" si="17"/>
        <v>0.26272577996715929</v>
      </c>
      <c r="U195" s="110">
        <f t="shared" si="17"/>
        <v>0.73727422003284082</v>
      </c>
      <c r="V195" s="110">
        <f t="shared" si="17"/>
        <v>0</v>
      </c>
      <c r="W195" s="110">
        <f t="shared" si="18"/>
        <v>1</v>
      </c>
      <c r="Y195" s="142">
        <f>T195*'Co-Processing'!K197*'Feedstock Conversion Rates'!B$13</f>
        <v>10.428413793103449</v>
      </c>
      <c r="Z195" s="142">
        <f>U195*'Co-Processing'!K197*'Feedstock Conversion Rates'!B$12</f>
        <v>30.240227413793107</v>
      </c>
      <c r="AA195" s="142">
        <f>V195*'Co-Processing'!K197*'Feedstock Conversion Rates'!B$14</f>
        <v>0</v>
      </c>
      <c r="AB195" s="142">
        <f t="shared" si="26"/>
        <v>40.668641206896552</v>
      </c>
      <c r="AD195" s="142">
        <v>0</v>
      </c>
      <c r="AE195" s="142">
        <v>0</v>
      </c>
      <c r="AF195" s="142">
        <v>0</v>
      </c>
      <c r="AG195" s="142">
        <v>0</v>
      </c>
      <c r="AH195" s="142">
        <v>0</v>
      </c>
    </row>
    <row r="196" spans="1:38" x14ac:dyDescent="0.25">
      <c r="A196" s="96">
        <v>44682</v>
      </c>
      <c r="B196" s="104">
        <v>10</v>
      </c>
      <c r="C196" s="104">
        <f>('Co-Processing'!B198*'Co-Pro Feedstock Breakdown'!C$3*'Feedstock Conversion Rates'!B$12)/12-10</f>
        <v>25.520833333333336</v>
      </c>
      <c r="D196" s="106">
        <f t="shared" si="23"/>
        <v>35.520833333333336</v>
      </c>
      <c r="E196" s="104"/>
      <c r="F196" s="104"/>
      <c r="G196" s="106">
        <f t="shared" si="24"/>
        <v>0</v>
      </c>
      <c r="H196" s="104">
        <f>('Co-Processing'!D198*'Co-Pro Feedstock Breakdown'!H$3*'Feedstock Conversion Rates'!B$13)/12</f>
        <v>0</v>
      </c>
      <c r="I196" s="106">
        <f t="shared" si="25"/>
        <v>0</v>
      </c>
      <c r="J196" s="104">
        <f>('Co-Processing'!E198*'Co-Pro Feedstock Breakdown'!J$3*'Feedstock Conversion Rates'!B$13)/12-1.25</f>
        <v>0</v>
      </c>
      <c r="K196" s="104">
        <f>('Co-Processing'!E198*'Co-Pro Feedstock Breakdown'!K$3*'Feedstock Conversion Rates'!B$12)/12+1.25</f>
        <v>2.541666666666667</v>
      </c>
      <c r="L196" s="106">
        <f t="shared" si="19"/>
        <v>2.541666666666667</v>
      </c>
      <c r="N196" s="104">
        <f t="shared" si="20"/>
        <v>10</v>
      </c>
      <c r="O196" s="104">
        <f>C196+K196+F196</f>
        <v>28.062500000000004</v>
      </c>
      <c r="P196" s="104"/>
      <c r="Q196" s="106">
        <f t="shared" si="21"/>
        <v>38.0625</v>
      </c>
      <c r="R196" s="141">
        <f t="shared" si="22"/>
        <v>0</v>
      </c>
      <c r="T196" s="110">
        <f t="shared" ref="T196:V259" si="27">N196/$Q196</f>
        <v>0.26272577996715929</v>
      </c>
      <c r="U196" s="110">
        <f t="shared" si="27"/>
        <v>0.73727422003284082</v>
      </c>
      <c r="V196" s="110">
        <f t="shared" si="27"/>
        <v>0</v>
      </c>
      <c r="W196" s="110">
        <f t="shared" ref="W196:W259" si="28">SUM(T196:V196)</f>
        <v>1</v>
      </c>
      <c r="Y196" s="142">
        <f>T196*'Co-Processing'!K198*'Feedstock Conversion Rates'!B$13</f>
        <v>17.110088669950738</v>
      </c>
      <c r="Z196" s="142">
        <f>U196*'Co-Processing'!K198*'Feedstock Conversion Rates'!B$12</f>
        <v>49.615692541050912</v>
      </c>
      <c r="AA196" s="142">
        <f>V196*'Co-Processing'!K198*'Feedstock Conversion Rates'!B$14</f>
        <v>0</v>
      </c>
      <c r="AB196" s="142">
        <f t="shared" si="26"/>
        <v>66.725781211001646</v>
      </c>
      <c r="AD196" s="142">
        <v>0</v>
      </c>
      <c r="AE196" s="142">
        <v>0</v>
      </c>
      <c r="AF196" s="142">
        <v>0</v>
      </c>
      <c r="AG196" s="142">
        <v>0</v>
      </c>
      <c r="AH196" s="142">
        <v>0</v>
      </c>
    </row>
    <row r="197" spans="1:38" x14ac:dyDescent="0.25">
      <c r="A197" s="96">
        <v>44713</v>
      </c>
      <c r="B197" s="104">
        <v>10</v>
      </c>
      <c r="C197" s="104">
        <f>('Co-Processing'!B199*'Co-Pro Feedstock Breakdown'!C$3*'Feedstock Conversion Rates'!B$12)/12-10</f>
        <v>25.520833333333336</v>
      </c>
      <c r="D197" s="106">
        <f t="shared" si="23"/>
        <v>35.520833333333336</v>
      </c>
      <c r="E197" s="104"/>
      <c r="F197" s="104"/>
      <c r="G197" s="106">
        <f t="shared" si="24"/>
        <v>0</v>
      </c>
      <c r="H197" s="104">
        <f>('Co-Processing'!D199*'Co-Pro Feedstock Breakdown'!H$3*'Feedstock Conversion Rates'!B$13)/12</f>
        <v>0</v>
      </c>
      <c r="I197" s="106">
        <f t="shared" si="25"/>
        <v>0</v>
      </c>
      <c r="J197" s="104">
        <f>('Co-Processing'!E199*'Co-Pro Feedstock Breakdown'!J$3*'Feedstock Conversion Rates'!B$13)/12-1.25</f>
        <v>0</v>
      </c>
      <c r="K197" s="104">
        <f>('Co-Processing'!E199*'Co-Pro Feedstock Breakdown'!K$3*'Feedstock Conversion Rates'!B$12)/12+1.25</f>
        <v>2.541666666666667</v>
      </c>
      <c r="L197" s="106">
        <f t="shared" ref="L197:L260" si="29">SUM(J197:K197)</f>
        <v>2.541666666666667</v>
      </c>
      <c r="N197" s="104">
        <f t="shared" ref="N197:N260" si="30">E197+H197+J197+B197</f>
        <v>10</v>
      </c>
      <c r="O197" s="104">
        <f>C197+K197+F197</f>
        <v>28.062500000000004</v>
      </c>
      <c r="P197" s="104"/>
      <c r="Q197" s="106">
        <f t="shared" ref="Q197:Q260" si="31">SUM(N197:P197)</f>
        <v>38.0625</v>
      </c>
      <c r="R197" s="141">
        <f t="shared" ref="R197:R260" si="32">D197+G197+I197+L197-Q197</f>
        <v>0</v>
      </c>
      <c r="T197" s="110">
        <f t="shared" si="27"/>
        <v>0.26272577996715929</v>
      </c>
      <c r="U197" s="110">
        <f t="shared" si="27"/>
        <v>0.73727422003284082</v>
      </c>
      <c r="V197" s="110">
        <f t="shared" si="27"/>
        <v>0</v>
      </c>
      <c r="W197" s="110">
        <f t="shared" si="28"/>
        <v>1</v>
      </c>
      <c r="Y197" s="142">
        <f>T197*'Co-Processing'!K199*'Feedstock Conversion Rates'!B$13</f>
        <v>9.0199704433497541</v>
      </c>
      <c r="Z197" s="142">
        <f>U197*'Co-Processing'!K199*'Feedstock Conversion Rates'!B$12</f>
        <v>26.156035125205261</v>
      </c>
      <c r="AA197" s="142">
        <f>V197*'Co-Processing'!K199*'Feedstock Conversion Rates'!B$14</f>
        <v>0</v>
      </c>
      <c r="AB197" s="142">
        <f t="shared" si="26"/>
        <v>35.176005568555013</v>
      </c>
      <c r="AD197" s="142">
        <v>0</v>
      </c>
      <c r="AE197" s="142">
        <v>0</v>
      </c>
      <c r="AF197" s="142">
        <v>0</v>
      </c>
      <c r="AG197" s="142">
        <v>0</v>
      </c>
      <c r="AH197" s="142">
        <v>0</v>
      </c>
    </row>
    <row r="198" spans="1:38" x14ac:dyDescent="0.25">
      <c r="A198" s="96">
        <v>44743</v>
      </c>
      <c r="B198" s="104">
        <v>10</v>
      </c>
      <c r="C198" s="104">
        <f>('Co-Processing'!B200*'Co-Pro Feedstock Breakdown'!C$3*'Feedstock Conversion Rates'!B$12)/12-10</f>
        <v>25.520833333333336</v>
      </c>
      <c r="D198" s="106">
        <f t="shared" si="23"/>
        <v>35.520833333333336</v>
      </c>
      <c r="E198" s="104"/>
      <c r="F198" s="104"/>
      <c r="G198" s="106">
        <f t="shared" si="24"/>
        <v>0</v>
      </c>
      <c r="H198" s="104">
        <f>('Co-Processing'!D200*'Co-Pro Feedstock Breakdown'!H$3*'Feedstock Conversion Rates'!B$13)/12</f>
        <v>0</v>
      </c>
      <c r="I198" s="106">
        <f t="shared" si="25"/>
        <v>0</v>
      </c>
      <c r="J198" s="104">
        <f>('Co-Processing'!E200*'Co-Pro Feedstock Breakdown'!J$3*'Feedstock Conversion Rates'!B$13)/12-1.25</f>
        <v>0</v>
      </c>
      <c r="K198" s="104">
        <f>('Co-Processing'!E200*'Co-Pro Feedstock Breakdown'!K$3*'Feedstock Conversion Rates'!B$12)/12+1.25</f>
        <v>2.541666666666667</v>
      </c>
      <c r="L198" s="106">
        <f t="shared" si="29"/>
        <v>2.541666666666667</v>
      </c>
      <c r="N198" s="104">
        <f t="shared" si="30"/>
        <v>10</v>
      </c>
      <c r="O198" s="104">
        <f>C198+K198+F198</f>
        <v>28.062500000000004</v>
      </c>
      <c r="P198" s="104"/>
      <c r="Q198" s="106">
        <f t="shared" si="31"/>
        <v>38.0625</v>
      </c>
      <c r="R198" s="141">
        <f t="shared" si="32"/>
        <v>0</v>
      </c>
      <c r="T198" s="110">
        <f t="shared" si="27"/>
        <v>0.26272577996715929</v>
      </c>
      <c r="U198" s="110">
        <f t="shared" si="27"/>
        <v>0.73727422003284082</v>
      </c>
      <c r="V198" s="110">
        <f t="shared" si="27"/>
        <v>0</v>
      </c>
      <c r="W198" s="110">
        <f t="shared" si="28"/>
        <v>1</v>
      </c>
      <c r="Y198" s="142">
        <f>T198*'Co-Processing'!K200*'Feedstock Conversion Rates'!B$13</f>
        <v>9.431982266009852</v>
      </c>
      <c r="Z198" s="142">
        <f>U198*'Co-Processing'!K200*'Feedstock Conversion Rates'!B$12</f>
        <v>27.350783575123156</v>
      </c>
      <c r="AA198" s="142">
        <f>V198*'Co-Processing'!K200*'Feedstock Conversion Rates'!B$14</f>
        <v>0</v>
      </c>
      <c r="AB198" s="142">
        <f t="shared" si="26"/>
        <v>36.782765841133006</v>
      </c>
      <c r="AD198" s="142">
        <v>0</v>
      </c>
      <c r="AE198" s="142">
        <v>0</v>
      </c>
      <c r="AF198" s="142">
        <v>0</v>
      </c>
      <c r="AG198" s="142">
        <v>0</v>
      </c>
      <c r="AH198" s="142">
        <v>0</v>
      </c>
      <c r="AL198" t="s">
        <v>384</v>
      </c>
    </row>
    <row r="199" spans="1:38" x14ac:dyDescent="0.25">
      <c r="A199" s="96">
        <v>44774</v>
      </c>
      <c r="B199" s="104">
        <v>10</v>
      </c>
      <c r="C199" s="104">
        <f>('Co-Processing'!B201*'Co-Pro Feedstock Breakdown'!C$3*'Feedstock Conversion Rates'!B$12)/12-10</f>
        <v>25.520833333333336</v>
      </c>
      <c r="D199" s="106">
        <f t="shared" si="23"/>
        <v>35.520833333333336</v>
      </c>
      <c r="E199" s="104"/>
      <c r="F199" s="104"/>
      <c r="G199" s="106">
        <f t="shared" si="24"/>
        <v>0</v>
      </c>
      <c r="H199" s="104">
        <f>('Co-Processing'!D201*'Co-Pro Feedstock Breakdown'!H$3*'Feedstock Conversion Rates'!B$13)/12</f>
        <v>0</v>
      </c>
      <c r="I199" s="106">
        <f t="shared" si="25"/>
        <v>0</v>
      </c>
      <c r="J199" s="104">
        <f>('Co-Processing'!E201*'Co-Pro Feedstock Breakdown'!J$3*'Feedstock Conversion Rates'!B$13)/12-1.25</f>
        <v>0</v>
      </c>
      <c r="K199" s="104">
        <f>('Co-Processing'!E201*'Co-Pro Feedstock Breakdown'!K$3*'Feedstock Conversion Rates'!B$12)/12+1.25</f>
        <v>2.541666666666667</v>
      </c>
      <c r="L199" s="106">
        <f t="shared" si="29"/>
        <v>2.541666666666667</v>
      </c>
      <c r="N199" s="104">
        <f t="shared" si="30"/>
        <v>10</v>
      </c>
      <c r="O199" s="104">
        <f>C199+K199+F199</f>
        <v>28.062500000000004</v>
      </c>
      <c r="P199" s="104"/>
      <c r="Q199" s="106">
        <f t="shared" si="31"/>
        <v>38.0625</v>
      </c>
      <c r="R199" s="141">
        <f t="shared" si="32"/>
        <v>0</v>
      </c>
      <c r="T199" s="110">
        <f t="shared" si="27"/>
        <v>0.26272577996715929</v>
      </c>
      <c r="U199" s="110">
        <f t="shared" si="27"/>
        <v>0.73727422003284082</v>
      </c>
      <c r="V199" s="110">
        <f t="shared" si="27"/>
        <v>0</v>
      </c>
      <c r="W199" s="110">
        <f t="shared" si="28"/>
        <v>1</v>
      </c>
      <c r="Y199" s="142">
        <f>T199*'Co-Processing'!K201*'Feedstock Conversion Rates'!B$13</f>
        <v>14.289146798029558</v>
      </c>
      <c r="Z199" s="142">
        <f>U199*'Co-Processing'!K201*'Feedstock Conversion Rates'!B$12</f>
        <v>41.435548808702798</v>
      </c>
      <c r="AA199" s="142">
        <f>V199*'Co-Processing'!K201*'Feedstock Conversion Rates'!B$14</f>
        <v>0</v>
      </c>
      <c r="AB199" s="142">
        <f t="shared" si="26"/>
        <v>55.724695606732354</v>
      </c>
      <c r="AD199" s="142">
        <v>0</v>
      </c>
      <c r="AE199" s="142">
        <v>0</v>
      </c>
      <c r="AF199" s="142">
        <v>0</v>
      </c>
      <c r="AG199" s="142">
        <v>0</v>
      </c>
      <c r="AH199" s="142">
        <v>0</v>
      </c>
      <c r="AL199" s="100">
        <v>0.9</v>
      </c>
    </row>
    <row r="200" spans="1:38" x14ac:dyDescent="0.25">
      <c r="A200" s="96">
        <v>44805</v>
      </c>
      <c r="B200" s="104">
        <f>10+15</f>
        <v>25</v>
      </c>
      <c r="C200" s="104">
        <f>('Co-Processing'!B202*'Co-Pro Feedstock Breakdown'!C$3*'Feedstock Conversion Rates'!B$12)/12-10-15</f>
        <v>10.520833333333336</v>
      </c>
      <c r="D200" s="106">
        <f t="shared" si="23"/>
        <v>35.520833333333336</v>
      </c>
      <c r="E200" s="104">
        <f>('Co-Processing'!C202*'Co-Pro Feedstock Breakdown'!E$3*'Feedstock Conversion Rates'!B$13)/12</f>
        <v>0</v>
      </c>
      <c r="F200" s="104">
        <f>('Co-Processing'!C202*'Co-Pro Feedstock Breakdown'!F$3*'Feedstock Conversion Rates'!B$14)/12</f>
        <v>0</v>
      </c>
      <c r="G200" s="106">
        <f t="shared" si="24"/>
        <v>0</v>
      </c>
      <c r="H200" s="104">
        <f>('Co-Processing'!D202*'Co-Pro Feedstock Breakdown'!H$3*'Feedstock Conversion Rates'!B$13)/12</f>
        <v>0</v>
      </c>
      <c r="I200" s="106">
        <f t="shared" si="25"/>
        <v>0</v>
      </c>
      <c r="J200" s="104">
        <f>('Co-Processing'!E202*'Co-Pro Feedstock Breakdown'!J$3*'Feedstock Conversion Rates'!B$13)/12-1.25</f>
        <v>0</v>
      </c>
      <c r="K200" s="104">
        <f>('Co-Processing'!E202*'Co-Pro Feedstock Breakdown'!K$3*'Feedstock Conversion Rates'!B$12)/12+1.25</f>
        <v>2.541666666666667</v>
      </c>
      <c r="L200" s="106">
        <f t="shared" si="29"/>
        <v>2.541666666666667</v>
      </c>
      <c r="N200" s="104">
        <f t="shared" si="30"/>
        <v>25</v>
      </c>
      <c r="O200" s="104">
        <f>C200+K200+F200</f>
        <v>13.062500000000004</v>
      </c>
      <c r="P200" s="104"/>
      <c r="Q200" s="106">
        <f t="shared" si="31"/>
        <v>38.0625</v>
      </c>
      <c r="R200" s="141">
        <f t="shared" si="32"/>
        <v>0</v>
      </c>
      <c r="T200" s="110">
        <f t="shared" si="27"/>
        <v>0.65681444991789817</v>
      </c>
      <c r="U200" s="110">
        <f t="shared" si="27"/>
        <v>0.34318555008210189</v>
      </c>
      <c r="V200" s="110">
        <f t="shared" si="27"/>
        <v>0</v>
      </c>
      <c r="W200" s="110">
        <f t="shared" si="28"/>
        <v>1</v>
      </c>
      <c r="Y200" s="142">
        <f>T200*'Co-Processing'!K202*'Feedstock Conversion Rates'!B$13</f>
        <v>43.820837438423652</v>
      </c>
      <c r="Z200" s="142">
        <f>U200*'Co-Processing'!K202*'Feedstock Conversion Rates'!B$12</f>
        <v>23.659600480295573</v>
      </c>
      <c r="AA200" s="142">
        <f>V200*'Co-Processing'!K202*'Feedstock Conversion Rates'!B$14</f>
        <v>0</v>
      </c>
      <c r="AB200" s="142">
        <f t="shared" si="26"/>
        <v>67.480437918719218</v>
      </c>
      <c r="AD200" s="142">
        <v>0</v>
      </c>
      <c r="AE200" s="142">
        <v>0</v>
      </c>
      <c r="AF200" s="142">
        <v>0</v>
      </c>
      <c r="AG200" s="142">
        <v>0</v>
      </c>
      <c r="AH200" s="142">
        <v>0</v>
      </c>
    </row>
    <row r="201" spans="1:38" x14ac:dyDescent="0.25">
      <c r="A201" s="96">
        <v>44835</v>
      </c>
      <c r="B201" s="104">
        <f>10+15</f>
        <v>25</v>
      </c>
      <c r="C201" s="104">
        <f>('Co-Processing'!B203*'Co-Pro Feedstock Breakdown'!C$3*'Feedstock Conversion Rates'!B$12)/12-10-15</f>
        <v>10.520833333333336</v>
      </c>
      <c r="D201" s="106">
        <f t="shared" si="23"/>
        <v>35.520833333333336</v>
      </c>
      <c r="E201" s="104">
        <f>('Co-Processing'!C203*'Co-Pro Feedstock Breakdown'!E$3*'Feedstock Conversion Rates'!B$13)/12</f>
        <v>0</v>
      </c>
      <c r="F201" s="104">
        <f>('Co-Processing'!C203*'Co-Pro Feedstock Breakdown'!F$3*'Feedstock Conversion Rates'!B$14)/12</f>
        <v>0</v>
      </c>
      <c r="G201" s="106">
        <f t="shared" si="24"/>
        <v>0</v>
      </c>
      <c r="H201" s="104">
        <f>('Co-Processing'!D203*'Co-Pro Feedstock Breakdown'!H$3*'Feedstock Conversion Rates'!B$13)/12</f>
        <v>0</v>
      </c>
      <c r="I201" s="106">
        <f t="shared" si="25"/>
        <v>0</v>
      </c>
      <c r="J201" s="104">
        <f>('Co-Processing'!E203*'Co-Pro Feedstock Breakdown'!J$3*'Feedstock Conversion Rates'!B$13)/12-1.25</f>
        <v>0</v>
      </c>
      <c r="K201" s="104">
        <f>('Co-Processing'!E203*'Co-Pro Feedstock Breakdown'!K$3*'Feedstock Conversion Rates'!B$12)/12+1.25</f>
        <v>2.541666666666667</v>
      </c>
      <c r="L201" s="106">
        <f t="shared" si="29"/>
        <v>2.541666666666667</v>
      </c>
      <c r="N201" s="104">
        <f t="shared" si="30"/>
        <v>25</v>
      </c>
      <c r="O201" s="104">
        <f t="shared" ref="O201:O264" si="33">C201+K201+F201</f>
        <v>13.062500000000004</v>
      </c>
      <c r="P201" s="104"/>
      <c r="Q201" s="106">
        <f t="shared" si="31"/>
        <v>38.0625</v>
      </c>
      <c r="R201" s="141">
        <f t="shared" si="32"/>
        <v>0</v>
      </c>
      <c r="T201" s="110">
        <f t="shared" si="27"/>
        <v>0.65681444991789817</v>
      </c>
      <c r="U201" s="110">
        <f t="shared" si="27"/>
        <v>0.34318555008210189</v>
      </c>
      <c r="V201" s="110">
        <f t="shared" si="27"/>
        <v>0</v>
      </c>
      <c r="W201" s="110">
        <f t="shared" si="28"/>
        <v>1</v>
      </c>
      <c r="Y201" s="142">
        <f>T201*'Co-Processing'!K203*'Feedstock Conversion Rates'!B$13</f>
        <v>28.033793103448271</v>
      </c>
      <c r="Z201" s="142">
        <f>U201*'Co-Processing'!K203*'Feedstock Conversion Rates'!B$12</f>
        <v>15.135912126436786</v>
      </c>
      <c r="AA201" s="142">
        <f>V201*'Co-Processing'!K203*'Feedstock Conversion Rates'!B$14</f>
        <v>0</v>
      </c>
      <c r="AB201" s="142">
        <f t="shared" si="26"/>
        <v>43.169705229885054</v>
      </c>
      <c r="AD201" s="142">
        <v>0</v>
      </c>
      <c r="AE201" s="142">
        <v>0</v>
      </c>
      <c r="AF201" s="142">
        <v>0</v>
      </c>
      <c r="AG201" s="142">
        <v>0</v>
      </c>
      <c r="AH201" s="142">
        <v>0</v>
      </c>
      <c r="AK201" s="143">
        <f>('Co-Processing'!G191*'Co-Pro Feedstock Breakdown'!$AL$199)/12*'Co-Pro Feedstock Breakdown'!T201*7.5</f>
        <v>21.798029556650246</v>
      </c>
    </row>
    <row r="202" spans="1:38" x14ac:dyDescent="0.25">
      <c r="A202" s="96">
        <v>44866</v>
      </c>
      <c r="B202" s="104">
        <f t="shared" ref="B202:B265" si="34">10+15</f>
        <v>25</v>
      </c>
      <c r="C202" s="104">
        <f>('Co-Processing'!B204*'Co-Pro Feedstock Breakdown'!C$3*'Feedstock Conversion Rates'!B$12)/12-10-15</f>
        <v>10.520833333333336</v>
      </c>
      <c r="D202" s="106">
        <f t="shared" si="23"/>
        <v>35.520833333333336</v>
      </c>
      <c r="E202" s="104">
        <f>('Co-Processing'!C204*'Co-Pro Feedstock Breakdown'!E$3*'Feedstock Conversion Rates'!B$13)/12</f>
        <v>8.203125</v>
      </c>
      <c r="F202" s="104">
        <f>('Co-Processing'!C204*'Co-Pro Feedstock Breakdown'!F$3*'Feedstock Conversion Rates'!B$14)/12</f>
        <v>2.7161458333333335</v>
      </c>
      <c r="G202" s="106">
        <f t="shared" si="24"/>
        <v>10.919270833333334</v>
      </c>
      <c r="H202" s="104">
        <f>('Co-Processing'!D204*'Co-Pro Feedstock Breakdown'!H$3*'Feedstock Conversion Rates'!B$13)/12</f>
        <v>0</v>
      </c>
      <c r="I202" s="106">
        <f t="shared" si="25"/>
        <v>0</v>
      </c>
      <c r="J202" s="104">
        <f>('Co-Processing'!E204*'Co-Pro Feedstock Breakdown'!J$3*'Feedstock Conversion Rates'!B$13)/12-1.25</f>
        <v>0</v>
      </c>
      <c r="K202" s="104">
        <f>('Co-Processing'!E204*'Co-Pro Feedstock Breakdown'!K$3*'Feedstock Conversion Rates'!B$12)/12+1.25</f>
        <v>2.541666666666667</v>
      </c>
      <c r="L202" s="106">
        <f t="shared" si="29"/>
        <v>2.541666666666667</v>
      </c>
      <c r="N202" s="104">
        <f t="shared" si="30"/>
        <v>33.203125</v>
      </c>
      <c r="O202" s="104">
        <f t="shared" si="33"/>
        <v>15.778645833333337</v>
      </c>
      <c r="P202" s="104"/>
      <c r="Q202" s="106">
        <f t="shared" si="31"/>
        <v>48.981770833333336</v>
      </c>
      <c r="R202" s="141">
        <f t="shared" si="32"/>
        <v>0</v>
      </c>
      <c r="T202" s="110">
        <f t="shared" si="27"/>
        <v>0.67786697857408684</v>
      </c>
      <c r="U202" s="110">
        <f t="shared" si="27"/>
        <v>0.32213302142591321</v>
      </c>
      <c r="V202" s="110">
        <f t="shared" si="27"/>
        <v>0</v>
      </c>
      <c r="W202" s="110">
        <f t="shared" si="28"/>
        <v>1</v>
      </c>
      <c r="Y202" s="142">
        <f>T202*'Co-Processing'!K204*'Feedstock Conversion Rates'!B$13</f>
        <v>41.191857953639214</v>
      </c>
      <c r="Z202" s="142">
        <f>U202*'Co-Processing'!K204*'Feedstock Conversion Rates'!B$12</f>
        <v>20.227517614572815</v>
      </c>
      <c r="AA202" s="142">
        <f>V202*'Co-Processing'!K204*'Feedstock Conversion Rates'!B$14</f>
        <v>0</v>
      </c>
      <c r="AB202" s="142">
        <f t="shared" si="26"/>
        <v>61.419375568212033</v>
      </c>
      <c r="AD202" s="142">
        <v>0</v>
      </c>
      <c r="AE202" s="142">
        <v>0</v>
      </c>
      <c r="AF202" s="142">
        <v>0</v>
      </c>
      <c r="AG202" s="142">
        <v>0</v>
      </c>
      <c r="AH202" s="142">
        <v>0</v>
      </c>
      <c r="AK202" s="143">
        <f>('Co-Processing'!G192*'Co-Pro Feedstock Breakdown'!$AL$199)/12*'Co-Pro Feedstock Breakdown'!T202*7.5</f>
        <v>22.496710351427506</v>
      </c>
    </row>
    <row r="203" spans="1:38" x14ac:dyDescent="0.25">
      <c r="A203" s="96">
        <v>44896</v>
      </c>
      <c r="B203" s="104">
        <f t="shared" si="34"/>
        <v>25</v>
      </c>
      <c r="C203" s="104">
        <f>('Co-Processing'!B205*'Co-Pro Feedstock Breakdown'!C$3*'Feedstock Conversion Rates'!B$12)/12-10-15</f>
        <v>10.520833333333336</v>
      </c>
      <c r="D203" s="106">
        <f t="shared" si="23"/>
        <v>35.520833333333336</v>
      </c>
      <c r="E203" s="104">
        <f>('Co-Processing'!C205*'Co-Pro Feedstock Breakdown'!E$3*'Feedstock Conversion Rates'!B$13)/12</f>
        <v>25.78125</v>
      </c>
      <c r="F203" s="104">
        <f>('Co-Processing'!C205*'Co-Pro Feedstock Breakdown'!F$3*'Feedstock Conversion Rates'!B$14)/12</f>
        <v>8.5364583333333339</v>
      </c>
      <c r="G203" s="106">
        <f t="shared" si="24"/>
        <v>34.317708333333336</v>
      </c>
      <c r="H203" s="104">
        <f>('Co-Processing'!D205*'Co-Pro Feedstock Breakdown'!H$3*'Feedstock Conversion Rates'!B$13)/12</f>
        <v>0</v>
      </c>
      <c r="I203" s="106">
        <f t="shared" si="25"/>
        <v>0</v>
      </c>
      <c r="J203" s="104">
        <f>('Co-Processing'!E205*'Co-Pro Feedstock Breakdown'!J$3*'Feedstock Conversion Rates'!B$13)/12-1.25</f>
        <v>0</v>
      </c>
      <c r="K203" s="104">
        <f>('Co-Processing'!E205*'Co-Pro Feedstock Breakdown'!K$3*'Feedstock Conversion Rates'!B$12)/12+1.25</f>
        <v>2.541666666666667</v>
      </c>
      <c r="L203" s="106">
        <f t="shared" si="29"/>
        <v>2.541666666666667</v>
      </c>
      <c r="N203" s="104">
        <f t="shared" si="30"/>
        <v>50.78125</v>
      </c>
      <c r="O203" s="104">
        <f t="shared" si="33"/>
        <v>21.598958333333336</v>
      </c>
      <c r="P203" s="104"/>
      <c r="Q203" s="106">
        <f t="shared" si="31"/>
        <v>72.380208333333343</v>
      </c>
      <c r="R203" s="141">
        <f t="shared" si="32"/>
        <v>0</v>
      </c>
      <c r="T203" s="110">
        <f t="shared" si="27"/>
        <v>0.70159027128157148</v>
      </c>
      <c r="U203" s="110">
        <f t="shared" si="27"/>
        <v>0.29840972871842841</v>
      </c>
      <c r="V203" s="110">
        <f t="shared" si="27"/>
        <v>0</v>
      </c>
      <c r="W203" s="110">
        <f t="shared" si="28"/>
        <v>0.99999999999999989</v>
      </c>
      <c r="Y203" s="142">
        <f>T203*'Co-Processing'!K205*'Feedstock Conversion Rates'!B$13</f>
        <v>48.2644469130028</v>
      </c>
      <c r="Z203" s="142">
        <f>U203*'Co-Processing'!K205*'Feedstock Conversion Rates'!B$12</f>
        <v>21.212760689897099</v>
      </c>
      <c r="AA203" s="142">
        <f>V203*'Co-Processing'!K205*'Feedstock Conversion Rates'!B$14</f>
        <v>0</v>
      </c>
      <c r="AB203" s="142">
        <f t="shared" si="26"/>
        <v>69.477207602899895</v>
      </c>
      <c r="AD203" s="142">
        <v>0</v>
      </c>
      <c r="AE203" s="142">
        <v>0</v>
      </c>
      <c r="AF203" s="142">
        <v>0</v>
      </c>
      <c r="AG203" s="142">
        <v>0</v>
      </c>
      <c r="AH203" s="142">
        <v>0</v>
      </c>
      <c r="AK203" s="143">
        <f>('Co-Processing'!G193*'Co-Pro Feedstock Breakdown'!$AL$199)/12*'Co-Pro Feedstock Breakdown'!T203*7.5</f>
        <v>23.284027128157152</v>
      </c>
    </row>
    <row r="204" spans="1:38" x14ac:dyDescent="0.25">
      <c r="A204" s="96">
        <v>44927</v>
      </c>
      <c r="B204" s="104">
        <f t="shared" si="34"/>
        <v>25</v>
      </c>
      <c r="C204" s="104">
        <f>('Co-Processing'!B206*'Co-Pro Feedstock Breakdown'!C$3*'Feedstock Conversion Rates'!B$12)/12-10-15</f>
        <v>10.520833333333336</v>
      </c>
      <c r="D204" s="106">
        <f t="shared" si="23"/>
        <v>35.520833333333336</v>
      </c>
      <c r="E204" s="104">
        <f>('Co-Processing'!C206*'Co-Pro Feedstock Breakdown'!E$3*'Feedstock Conversion Rates'!B$13)/12</f>
        <v>25.78125</v>
      </c>
      <c r="F204" s="104">
        <f>('Co-Processing'!C206*'Co-Pro Feedstock Breakdown'!F$3*'Feedstock Conversion Rates'!B$14)/12</f>
        <v>8.5364583333333339</v>
      </c>
      <c r="G204" s="106">
        <f t="shared" si="24"/>
        <v>34.317708333333336</v>
      </c>
      <c r="H204" s="104">
        <f>('Co-Processing'!D206*'Co-Pro Feedstock Breakdown'!H$3*'Feedstock Conversion Rates'!B$13)/12</f>
        <v>0</v>
      </c>
      <c r="I204" s="106">
        <f t="shared" si="25"/>
        <v>0</v>
      </c>
      <c r="J204" s="104">
        <f>('Co-Processing'!E206*'Co-Pro Feedstock Breakdown'!J$3*'Feedstock Conversion Rates'!B$13)/12</f>
        <v>1.25</v>
      </c>
      <c r="K204" s="104">
        <f>('Co-Processing'!E206*'Co-Pro Feedstock Breakdown'!K$3*'Feedstock Conversion Rates'!B$12)/12</f>
        <v>1.2916666666666667</v>
      </c>
      <c r="L204" s="106">
        <f t="shared" si="29"/>
        <v>2.541666666666667</v>
      </c>
      <c r="N204" s="104">
        <f t="shared" si="30"/>
        <v>52.03125</v>
      </c>
      <c r="O204" s="104">
        <f t="shared" si="33"/>
        <v>20.348958333333336</v>
      </c>
      <c r="P204" s="104"/>
      <c r="Q204" s="106">
        <f t="shared" si="31"/>
        <v>72.380208333333343</v>
      </c>
      <c r="R204" s="141">
        <f t="shared" si="32"/>
        <v>0</v>
      </c>
      <c r="T204" s="110">
        <f t="shared" si="27"/>
        <v>0.71886018565157939</v>
      </c>
      <c r="U204" s="110">
        <f t="shared" si="27"/>
        <v>0.2811398143484205</v>
      </c>
      <c r="V204" s="110">
        <f t="shared" si="27"/>
        <v>0</v>
      </c>
      <c r="W204" s="110">
        <f t="shared" si="28"/>
        <v>0.99999999999999989</v>
      </c>
      <c r="Y204" s="142">
        <f>T204*'Co-Processing'!K206*'Feedstock Conversion Rates'!B$13</f>
        <v>19.724495524213854</v>
      </c>
      <c r="Z204" s="142">
        <f>U204*'Co-Processing'!K206*'Feedstock Conversion Rates'!B$12</f>
        <v>7.9712102916456775</v>
      </c>
      <c r="AA204" s="142">
        <f>V204*'Co-Processing'!K206*'Feedstock Conversion Rates'!B$14</f>
        <v>0</v>
      </c>
      <c r="AB204" s="142">
        <f t="shared" si="26"/>
        <v>27.695705815859533</v>
      </c>
      <c r="AD204" s="142">
        <v>0</v>
      </c>
      <c r="AE204" s="142">
        <v>0</v>
      </c>
      <c r="AF204" s="142">
        <v>0</v>
      </c>
      <c r="AG204" s="142">
        <v>0</v>
      </c>
      <c r="AH204" s="142">
        <v>0</v>
      </c>
      <c r="AK204" s="143">
        <f>('Co-Processing'!G194*'Co-Pro Feedstock Breakdown'!$AL$199)/12*'Co-Pro Feedstock Breakdown'!T204*7.5</f>
        <v>23.85717241131179</v>
      </c>
    </row>
    <row r="205" spans="1:38" x14ac:dyDescent="0.25">
      <c r="A205" s="96">
        <v>44958</v>
      </c>
      <c r="B205" s="104">
        <f t="shared" si="34"/>
        <v>25</v>
      </c>
      <c r="C205" s="104">
        <f>('Co-Processing'!B207*'Co-Pro Feedstock Breakdown'!C$3*'Feedstock Conversion Rates'!B$12)/12-10-15</f>
        <v>10.520833333333336</v>
      </c>
      <c r="D205" s="106">
        <f t="shared" si="23"/>
        <v>35.520833333333336</v>
      </c>
      <c r="E205" s="104">
        <f>('Co-Processing'!C207*'Co-Pro Feedstock Breakdown'!E$3*'Feedstock Conversion Rates'!B$13)/12</f>
        <v>25.78125</v>
      </c>
      <c r="F205" s="104">
        <f>('Co-Processing'!C207*'Co-Pro Feedstock Breakdown'!F$3*'Feedstock Conversion Rates'!B$14)/12</f>
        <v>8.5364583333333339</v>
      </c>
      <c r="G205" s="106">
        <f t="shared" si="24"/>
        <v>34.317708333333336</v>
      </c>
      <c r="H205" s="104">
        <f>('Co-Processing'!D207*'Co-Pro Feedstock Breakdown'!H$3*'Feedstock Conversion Rates'!B$13)/12</f>
        <v>0</v>
      </c>
      <c r="I205" s="106">
        <f t="shared" si="25"/>
        <v>0</v>
      </c>
      <c r="J205" s="104">
        <f>('Co-Processing'!E207*'Co-Pro Feedstock Breakdown'!J$3*'Feedstock Conversion Rates'!B$13)/12</f>
        <v>1.25</v>
      </c>
      <c r="K205" s="104">
        <f>('Co-Processing'!E207*'Co-Pro Feedstock Breakdown'!K$3*'Feedstock Conversion Rates'!B$12)/12</f>
        <v>1.2916666666666667</v>
      </c>
      <c r="L205" s="106">
        <f t="shared" si="29"/>
        <v>2.541666666666667</v>
      </c>
      <c r="N205" s="104">
        <f t="shared" si="30"/>
        <v>52.03125</v>
      </c>
      <c r="O205" s="104">
        <f t="shared" si="33"/>
        <v>20.348958333333336</v>
      </c>
      <c r="P205" s="104"/>
      <c r="Q205" s="106">
        <f t="shared" si="31"/>
        <v>72.380208333333343</v>
      </c>
      <c r="R205" s="141">
        <f t="shared" si="32"/>
        <v>0</v>
      </c>
      <c r="T205" s="110">
        <f t="shared" si="27"/>
        <v>0.71886018565157939</v>
      </c>
      <c r="U205" s="110">
        <f t="shared" si="27"/>
        <v>0.2811398143484205</v>
      </c>
      <c r="V205" s="110">
        <f t="shared" si="27"/>
        <v>0</v>
      </c>
      <c r="W205" s="110">
        <f t="shared" si="28"/>
        <v>0.99999999999999989</v>
      </c>
      <c r="Y205" s="142">
        <f>T205*'Co-Processing'!K207*'Feedstock Conversion Rates'!B$13</f>
        <v>11.314392063035188</v>
      </c>
      <c r="Z205" s="142">
        <f>U205*'Co-Processing'!K207*'Feedstock Conversion Rates'!B$12</f>
        <v>4.5724565348636395</v>
      </c>
      <c r="AA205" s="142">
        <f>V205*'Co-Processing'!K207*'Feedstock Conversion Rates'!B$14</f>
        <v>0</v>
      </c>
      <c r="AB205" s="142">
        <f t="shared" si="26"/>
        <v>15.886848597898826</v>
      </c>
      <c r="AD205" s="142">
        <v>0</v>
      </c>
      <c r="AE205" s="142">
        <v>0</v>
      </c>
      <c r="AF205" s="142">
        <v>0</v>
      </c>
      <c r="AG205" s="142">
        <v>0</v>
      </c>
      <c r="AH205" s="142">
        <v>0</v>
      </c>
      <c r="AK205" s="143">
        <f>('Co-Processing'!G195*'Co-Pro Feedstock Breakdown'!$AL$199)/12*'Co-Pro Feedstock Breakdown'!T205*7.5</f>
        <v>23.85717241131179</v>
      </c>
    </row>
    <row r="206" spans="1:38" x14ac:dyDescent="0.25">
      <c r="A206" s="96">
        <v>44986</v>
      </c>
      <c r="B206" s="104">
        <f t="shared" si="34"/>
        <v>25</v>
      </c>
      <c r="C206" s="104">
        <f>('Co-Processing'!B208*'Co-Pro Feedstock Breakdown'!C$3*'Feedstock Conversion Rates'!B$12)/12-10-15</f>
        <v>10.520833333333336</v>
      </c>
      <c r="D206" s="106">
        <f t="shared" si="23"/>
        <v>35.520833333333336</v>
      </c>
      <c r="E206" s="104">
        <f>('Co-Processing'!C208*'Co-Pro Feedstock Breakdown'!E$3*'Feedstock Conversion Rates'!B$13)/12</f>
        <v>25.78125</v>
      </c>
      <c r="F206" s="104">
        <f>('Co-Processing'!C208*'Co-Pro Feedstock Breakdown'!F$3*'Feedstock Conversion Rates'!B$14)/12</f>
        <v>8.5364583333333339</v>
      </c>
      <c r="G206" s="106">
        <f t="shared" si="24"/>
        <v>34.317708333333336</v>
      </c>
      <c r="H206" s="104">
        <f>('Co-Processing'!D208*'Co-Pro Feedstock Breakdown'!H$3*'Feedstock Conversion Rates'!B$13)/12</f>
        <v>0</v>
      </c>
      <c r="I206" s="106">
        <f t="shared" si="25"/>
        <v>0</v>
      </c>
      <c r="J206" s="104">
        <f>('Co-Processing'!E208*'Co-Pro Feedstock Breakdown'!J$3*'Feedstock Conversion Rates'!B$13)/12</f>
        <v>1.25</v>
      </c>
      <c r="K206" s="104">
        <f>('Co-Processing'!E208*'Co-Pro Feedstock Breakdown'!K$3*'Feedstock Conversion Rates'!B$12)/12</f>
        <v>1.2916666666666667</v>
      </c>
      <c r="L206" s="106">
        <f t="shared" si="29"/>
        <v>2.541666666666667</v>
      </c>
      <c r="N206" s="104">
        <f>E206+H206+J206+B206</f>
        <v>52.03125</v>
      </c>
      <c r="O206" s="104">
        <f t="shared" si="33"/>
        <v>20.348958333333336</v>
      </c>
      <c r="P206" s="104"/>
      <c r="Q206" s="106">
        <f t="shared" si="31"/>
        <v>72.380208333333343</v>
      </c>
      <c r="R206" s="141">
        <f t="shared" si="32"/>
        <v>0</v>
      </c>
      <c r="T206" s="110">
        <f t="shared" si="27"/>
        <v>0.71886018565157939</v>
      </c>
      <c r="U206" s="110">
        <f t="shared" si="27"/>
        <v>0.2811398143484205</v>
      </c>
      <c r="V206" s="110">
        <f t="shared" si="27"/>
        <v>0</v>
      </c>
      <c r="W206" s="110">
        <f t="shared" si="28"/>
        <v>0.99999999999999989</v>
      </c>
      <c r="Y206" s="142">
        <f>T206*'Co-Processing'!K208*'Feedstock Conversion Rates'!B$13</f>
        <v>52.764776131539165</v>
      </c>
      <c r="Z206" s="142">
        <f>U206*'Co-Processing'!K208*'Feedstock Conversion Rates'!B$12</f>
        <v>21.323694997409511</v>
      </c>
      <c r="AA206" s="142">
        <f>V206*'Co-Processing'!K208*'Feedstock Conversion Rates'!B$14</f>
        <v>0</v>
      </c>
      <c r="AB206" s="142">
        <f t="shared" si="26"/>
        <v>74.088471128948669</v>
      </c>
      <c r="AD206" s="142">
        <v>0</v>
      </c>
      <c r="AE206" s="142">
        <v>0</v>
      </c>
      <c r="AF206" s="142">
        <v>0</v>
      </c>
      <c r="AG206" s="142">
        <v>0</v>
      </c>
      <c r="AH206" s="142">
        <v>0</v>
      </c>
      <c r="AK206" s="143">
        <f>('Co-Processing'!G196*'Co-Pro Feedstock Breakdown'!$AL$199)/12*'Co-Pro Feedstock Breakdown'!T206*7.5</f>
        <v>23.85717241131179</v>
      </c>
    </row>
    <row r="207" spans="1:38" x14ac:dyDescent="0.25">
      <c r="A207" s="96">
        <v>45017</v>
      </c>
      <c r="B207" s="104">
        <f t="shared" si="34"/>
        <v>25</v>
      </c>
      <c r="C207" s="104">
        <f>('Co-Processing'!B209*'Co-Pro Feedstock Breakdown'!C$3*'Feedstock Conversion Rates'!B$12)/12-10-15</f>
        <v>10.520833333333336</v>
      </c>
      <c r="D207" s="106">
        <f t="shared" si="23"/>
        <v>35.520833333333336</v>
      </c>
      <c r="E207" s="104">
        <f>('Co-Processing'!C209*'Co-Pro Feedstock Breakdown'!E$3*'Feedstock Conversion Rates'!B$13)/12</f>
        <v>25.78125</v>
      </c>
      <c r="F207" s="104">
        <f>('Co-Processing'!C209*'Co-Pro Feedstock Breakdown'!F$3*'Feedstock Conversion Rates'!B$14)/12</f>
        <v>8.5364583333333339</v>
      </c>
      <c r="G207" s="106">
        <f t="shared" si="24"/>
        <v>34.317708333333336</v>
      </c>
      <c r="H207" s="104">
        <f>('Co-Processing'!D209*'Co-Pro Feedstock Breakdown'!H$3*'Feedstock Conversion Rates'!B$13)/12</f>
        <v>0</v>
      </c>
      <c r="I207" s="106">
        <f t="shared" si="25"/>
        <v>0</v>
      </c>
      <c r="J207" s="104">
        <f>('Co-Processing'!E209*'Co-Pro Feedstock Breakdown'!J$3*'Feedstock Conversion Rates'!B$13)/12</f>
        <v>1.25</v>
      </c>
      <c r="K207" s="104">
        <f>('Co-Processing'!E209*'Co-Pro Feedstock Breakdown'!K$3*'Feedstock Conversion Rates'!B$12)/12</f>
        <v>1.2916666666666667</v>
      </c>
      <c r="L207" s="106">
        <f t="shared" si="29"/>
        <v>2.541666666666667</v>
      </c>
      <c r="N207" s="104">
        <f t="shared" si="30"/>
        <v>52.03125</v>
      </c>
      <c r="O207" s="104">
        <f t="shared" si="33"/>
        <v>20.348958333333336</v>
      </c>
      <c r="P207" s="104"/>
      <c r="Q207" s="106">
        <f t="shared" si="31"/>
        <v>72.380208333333343</v>
      </c>
      <c r="R207" s="141">
        <f t="shared" si="32"/>
        <v>0</v>
      </c>
      <c r="T207" s="110">
        <f t="shared" si="27"/>
        <v>0.71886018565157939</v>
      </c>
      <c r="U207" s="110">
        <f t="shared" si="27"/>
        <v>0.2811398143484205</v>
      </c>
      <c r="V207" s="110">
        <f t="shared" si="27"/>
        <v>0</v>
      </c>
      <c r="W207" s="110">
        <f t="shared" si="28"/>
        <v>0.99999999999999989</v>
      </c>
      <c r="Y207" s="142">
        <f>T207*'Co-Processing'!K209*'Feedstock Conversion Rates'!B$13</f>
        <v>26.346982404475785</v>
      </c>
      <c r="Z207" s="142">
        <f>U207*'Co-Processing'!K209*'Feedstock Conversion Rates'!B$12</f>
        <v>10.647539098708354</v>
      </c>
      <c r="AA207" s="142">
        <f>V207*'Co-Processing'!K209*'Feedstock Conversion Rates'!B$14</f>
        <v>0</v>
      </c>
      <c r="AB207" s="142">
        <f t="shared" si="26"/>
        <v>36.994521503184139</v>
      </c>
      <c r="AD207" s="142">
        <v>0</v>
      </c>
      <c r="AE207" s="142">
        <v>0</v>
      </c>
      <c r="AF207" s="142">
        <v>0</v>
      </c>
      <c r="AG207" s="142">
        <v>0</v>
      </c>
      <c r="AH207" s="142">
        <v>0</v>
      </c>
      <c r="AK207" s="143">
        <f>('Co-Processing'!G197*'Co-Pro Feedstock Breakdown'!$AL$199)/12*'Co-Pro Feedstock Breakdown'!T207*7.5</f>
        <v>23.85717241131179</v>
      </c>
    </row>
    <row r="208" spans="1:38" x14ac:dyDescent="0.25">
      <c r="A208" s="96">
        <v>45047</v>
      </c>
      <c r="B208" s="104">
        <f t="shared" si="34"/>
        <v>25</v>
      </c>
      <c r="C208" s="104">
        <f>('Co-Processing'!B210*'Co-Pro Feedstock Breakdown'!C$3*'Feedstock Conversion Rates'!B$12)/12-10-15</f>
        <v>10.520833333333336</v>
      </c>
      <c r="D208" s="106">
        <f t="shared" si="23"/>
        <v>35.520833333333336</v>
      </c>
      <c r="E208" s="104">
        <f>('Co-Processing'!C210*'Co-Pro Feedstock Breakdown'!E$3*'Feedstock Conversion Rates'!B$13)/12</f>
        <v>25.78125</v>
      </c>
      <c r="F208" s="104">
        <f>('Co-Processing'!C210*'Co-Pro Feedstock Breakdown'!F$3*'Feedstock Conversion Rates'!B$14)/12</f>
        <v>8.5364583333333339</v>
      </c>
      <c r="G208" s="106">
        <f t="shared" si="24"/>
        <v>34.317708333333336</v>
      </c>
      <c r="H208" s="104">
        <f>('Co-Processing'!D210*'Co-Pro Feedstock Breakdown'!H$3*'Feedstock Conversion Rates'!B$13)/12</f>
        <v>0</v>
      </c>
      <c r="I208" s="106">
        <f t="shared" si="25"/>
        <v>0</v>
      </c>
      <c r="J208" s="104">
        <f>('Co-Processing'!E210*'Co-Pro Feedstock Breakdown'!J$3*'Feedstock Conversion Rates'!B$13)/12</f>
        <v>1.25</v>
      </c>
      <c r="K208" s="104">
        <f>('Co-Processing'!E210*'Co-Pro Feedstock Breakdown'!K$3*'Feedstock Conversion Rates'!B$12)/12</f>
        <v>1.2916666666666667</v>
      </c>
      <c r="L208" s="106">
        <f t="shared" si="29"/>
        <v>2.541666666666667</v>
      </c>
      <c r="N208" s="104">
        <f t="shared" si="30"/>
        <v>52.03125</v>
      </c>
      <c r="O208" s="104">
        <f t="shared" si="33"/>
        <v>20.348958333333336</v>
      </c>
      <c r="P208" s="104"/>
      <c r="Q208" s="106">
        <f t="shared" si="31"/>
        <v>72.380208333333343</v>
      </c>
      <c r="R208" s="141">
        <f t="shared" si="32"/>
        <v>0</v>
      </c>
      <c r="T208" s="110">
        <f t="shared" si="27"/>
        <v>0.71886018565157939</v>
      </c>
      <c r="U208" s="110">
        <f t="shared" si="27"/>
        <v>0.2811398143484205</v>
      </c>
      <c r="V208" s="110">
        <f t="shared" si="27"/>
        <v>0</v>
      </c>
      <c r="W208" s="110">
        <f t="shared" si="28"/>
        <v>0.99999999999999989</v>
      </c>
      <c r="Y208" s="142">
        <f>T208*'Co-Processing'!K210*'Feedstock Conversion Rates'!B$13</f>
        <v>38.500020123048138</v>
      </c>
      <c r="Z208" s="142">
        <f>U208*'Co-Processing'!K210*'Feedstock Conversion Rates'!B$12</f>
        <v>15.558915372850256</v>
      </c>
      <c r="AA208" s="142">
        <f>V208*'Co-Processing'!K210*'Feedstock Conversion Rates'!B$14</f>
        <v>0</v>
      </c>
      <c r="AB208" s="142">
        <f t="shared" si="26"/>
        <v>54.058935495898396</v>
      </c>
      <c r="AD208" s="142">
        <v>0</v>
      </c>
      <c r="AE208" s="142">
        <v>0</v>
      </c>
      <c r="AF208" s="142">
        <v>0</v>
      </c>
      <c r="AG208" s="142">
        <v>0</v>
      </c>
      <c r="AH208" s="142">
        <v>0</v>
      </c>
      <c r="AK208" s="143">
        <f>('Co-Processing'!G198*'Co-Pro Feedstock Breakdown'!$AL$199)/12*'Co-Pro Feedstock Breakdown'!T208*7.5</f>
        <v>23.85717241131179</v>
      </c>
    </row>
    <row r="209" spans="1:37" x14ac:dyDescent="0.25">
      <c r="A209" s="96">
        <v>45078</v>
      </c>
      <c r="B209" s="104">
        <f t="shared" si="34"/>
        <v>25</v>
      </c>
      <c r="C209" s="104">
        <f>('Co-Processing'!B211*'Co-Pro Feedstock Breakdown'!C$3*'Feedstock Conversion Rates'!B$12)/12-10-15</f>
        <v>10.520833333333336</v>
      </c>
      <c r="D209" s="106">
        <f t="shared" si="23"/>
        <v>35.520833333333336</v>
      </c>
      <c r="E209" s="104">
        <f>('Co-Processing'!C211*'Co-Pro Feedstock Breakdown'!E$3*'Feedstock Conversion Rates'!B$13)/12</f>
        <v>25.78125</v>
      </c>
      <c r="F209" s="104">
        <f>('Co-Processing'!C211*'Co-Pro Feedstock Breakdown'!F$3*'Feedstock Conversion Rates'!B$14)/12</f>
        <v>8.5364583333333339</v>
      </c>
      <c r="G209" s="106">
        <f t="shared" si="24"/>
        <v>34.317708333333336</v>
      </c>
      <c r="H209" s="104">
        <f>('Co-Processing'!D211*'Co-Pro Feedstock Breakdown'!H$3*'Feedstock Conversion Rates'!B$13)/12</f>
        <v>0</v>
      </c>
      <c r="I209" s="106">
        <f t="shared" si="25"/>
        <v>0</v>
      </c>
      <c r="J209" s="104">
        <f>('Co-Processing'!E211*'Co-Pro Feedstock Breakdown'!J$3*'Feedstock Conversion Rates'!B$13)/12</f>
        <v>1.25</v>
      </c>
      <c r="K209" s="104">
        <f>('Co-Processing'!E211*'Co-Pro Feedstock Breakdown'!K$3*'Feedstock Conversion Rates'!B$12)/12</f>
        <v>1.2916666666666667</v>
      </c>
      <c r="L209" s="106">
        <f t="shared" si="29"/>
        <v>2.541666666666667</v>
      </c>
      <c r="N209" s="104">
        <f t="shared" si="30"/>
        <v>52.03125</v>
      </c>
      <c r="O209" s="104">
        <f t="shared" si="33"/>
        <v>20.348958333333336</v>
      </c>
      <c r="P209" s="104"/>
      <c r="Q209" s="106">
        <f t="shared" si="31"/>
        <v>72.380208333333343</v>
      </c>
      <c r="R209" s="141">
        <f t="shared" si="32"/>
        <v>0</v>
      </c>
      <c r="T209" s="110">
        <f t="shared" si="27"/>
        <v>0.71886018565157939</v>
      </c>
      <c r="U209" s="110">
        <f t="shared" si="27"/>
        <v>0.2811398143484205</v>
      </c>
      <c r="V209" s="110">
        <f t="shared" si="27"/>
        <v>0</v>
      </c>
      <c r="W209" s="110">
        <f t="shared" si="28"/>
        <v>0.99999999999999989</v>
      </c>
      <c r="Y209" s="142">
        <f>T209*'Co-Processing'!K211*'Feedstock Conversion Rates'!B$13</f>
        <v>52.811228876735974</v>
      </c>
      <c r="Z209" s="142">
        <f>U209*'Co-Processing'!K211*'Feedstock Conversion Rates'!B$12</f>
        <v>21.342467827372811</v>
      </c>
      <c r="AA209" s="142">
        <f>V209*'Co-Processing'!K211*'Feedstock Conversion Rates'!B$14</f>
        <v>0</v>
      </c>
      <c r="AB209" s="142">
        <f t="shared" si="26"/>
        <v>74.153696704108782</v>
      </c>
      <c r="AD209" s="142">
        <v>0</v>
      </c>
      <c r="AE209" s="142">
        <v>0</v>
      </c>
      <c r="AF209" s="142">
        <v>0</v>
      </c>
      <c r="AG209" s="142">
        <v>0</v>
      </c>
      <c r="AH209" s="142">
        <v>0</v>
      </c>
      <c r="AK209" s="143">
        <f>('Co-Processing'!G199*'Co-Pro Feedstock Breakdown'!$AL$199)/12*'Co-Pro Feedstock Breakdown'!T209*7.5</f>
        <v>23.85717241131179</v>
      </c>
    </row>
    <row r="210" spans="1:37" x14ac:dyDescent="0.25">
      <c r="A210" s="96">
        <v>45108</v>
      </c>
      <c r="B210" s="104">
        <f t="shared" si="34"/>
        <v>25</v>
      </c>
      <c r="C210" s="104">
        <f>('Co-Processing'!B212*'Co-Pro Feedstock Breakdown'!C$3*'Feedstock Conversion Rates'!B$12)/12-10-15</f>
        <v>10.520833333333336</v>
      </c>
      <c r="D210" s="106">
        <f t="shared" si="23"/>
        <v>35.520833333333336</v>
      </c>
      <c r="E210" s="104">
        <f>('Co-Processing'!C212*'Co-Pro Feedstock Breakdown'!E$3*'Feedstock Conversion Rates'!B$13)/12</f>
        <v>25.78125</v>
      </c>
      <c r="F210" s="104">
        <f>('Co-Processing'!C212*'Co-Pro Feedstock Breakdown'!F$3*'Feedstock Conversion Rates'!B$14)/12</f>
        <v>8.5364583333333339</v>
      </c>
      <c r="G210" s="106">
        <f t="shared" si="24"/>
        <v>34.317708333333336</v>
      </c>
      <c r="H210" s="104">
        <f>('Co-Processing'!D212*'Co-Pro Feedstock Breakdown'!H$3*'Feedstock Conversion Rates'!B$13)/12</f>
        <v>0</v>
      </c>
      <c r="I210" s="106">
        <f t="shared" si="25"/>
        <v>0</v>
      </c>
      <c r="J210" s="104">
        <f>('Co-Processing'!E212*'Co-Pro Feedstock Breakdown'!J$3*'Feedstock Conversion Rates'!B$13)/12</f>
        <v>1.25</v>
      </c>
      <c r="K210" s="104">
        <f>('Co-Processing'!E212*'Co-Pro Feedstock Breakdown'!K$3*'Feedstock Conversion Rates'!B$12)/12</f>
        <v>1.2916666666666667</v>
      </c>
      <c r="L210" s="106">
        <f t="shared" si="29"/>
        <v>2.541666666666667</v>
      </c>
      <c r="N210" s="104">
        <f t="shared" si="30"/>
        <v>52.03125</v>
      </c>
      <c r="O210" s="104">
        <f t="shared" si="33"/>
        <v>20.348958333333336</v>
      </c>
      <c r="P210" s="104"/>
      <c r="Q210" s="106">
        <f t="shared" si="31"/>
        <v>72.380208333333343</v>
      </c>
      <c r="R210" s="141">
        <f t="shared" si="32"/>
        <v>0</v>
      </c>
      <c r="T210" s="110">
        <f t="shared" si="27"/>
        <v>0.71886018565157939</v>
      </c>
      <c r="U210" s="110">
        <f t="shared" si="27"/>
        <v>0.2811398143484205</v>
      </c>
      <c r="V210" s="110">
        <f t="shared" si="27"/>
        <v>0</v>
      </c>
      <c r="W210" s="110">
        <f t="shared" si="28"/>
        <v>0.99999999999999989</v>
      </c>
      <c r="Y210" s="142">
        <f>T210*'Co-Processing'!K212*'Feedstock Conversion Rates'!B$13</f>
        <v>23.921891393826002</v>
      </c>
      <c r="Z210" s="142">
        <f>U210*'Co-Processing'!K212*'Feedstock Conversion Rates'!B$12</f>
        <v>9.6674932263797935</v>
      </c>
      <c r="AA210" s="142">
        <f>V210*'Co-Processing'!K212*'Feedstock Conversion Rates'!B$14</f>
        <v>0</v>
      </c>
      <c r="AB210" s="142">
        <f t="shared" si="26"/>
        <v>33.589384620205792</v>
      </c>
      <c r="AD210" s="142">
        <v>0</v>
      </c>
      <c r="AE210" s="142">
        <v>0</v>
      </c>
      <c r="AF210" s="142">
        <v>0</v>
      </c>
      <c r="AG210" s="142">
        <v>0</v>
      </c>
      <c r="AH210" s="142">
        <v>0</v>
      </c>
      <c r="AK210" s="143">
        <f>('Co-Processing'!G200*'Co-Pro Feedstock Breakdown'!$AL$199)/12*'Co-Pro Feedstock Breakdown'!T210*7.5</f>
        <v>23.85717241131179</v>
      </c>
    </row>
    <row r="211" spans="1:37" x14ac:dyDescent="0.25">
      <c r="A211" s="96">
        <v>45139</v>
      </c>
      <c r="B211" s="104">
        <f t="shared" si="34"/>
        <v>25</v>
      </c>
      <c r="C211" s="104">
        <f>('Co-Processing'!B213*'Co-Pro Feedstock Breakdown'!C$3*'Feedstock Conversion Rates'!B$12)/12-10-15</f>
        <v>10.520833333333336</v>
      </c>
      <c r="D211" s="106">
        <f t="shared" si="23"/>
        <v>35.520833333333336</v>
      </c>
      <c r="E211" s="104">
        <f>('Co-Processing'!C213*'Co-Pro Feedstock Breakdown'!E$3*'Feedstock Conversion Rates'!B$13)/12</f>
        <v>25.78125</v>
      </c>
      <c r="F211" s="104">
        <f>('Co-Processing'!C213*'Co-Pro Feedstock Breakdown'!F$3*'Feedstock Conversion Rates'!B$14)/12</f>
        <v>8.5364583333333339</v>
      </c>
      <c r="G211" s="106">
        <f t="shared" si="24"/>
        <v>34.317708333333336</v>
      </c>
      <c r="H211" s="104">
        <f>('Co-Processing'!D213*'Co-Pro Feedstock Breakdown'!H$3*'Feedstock Conversion Rates'!B$13)/12</f>
        <v>0.69998000000000005</v>
      </c>
      <c r="I211" s="106">
        <f t="shared" si="25"/>
        <v>0.69998000000000005</v>
      </c>
      <c r="J211" s="104">
        <f>('Co-Processing'!E213*'Co-Pro Feedstock Breakdown'!J$3*'Feedstock Conversion Rates'!B$13)/12</f>
        <v>1.25</v>
      </c>
      <c r="K211" s="104">
        <f>('Co-Processing'!E213*'Co-Pro Feedstock Breakdown'!K$3*'Feedstock Conversion Rates'!B$12)/12</f>
        <v>1.2916666666666667</v>
      </c>
      <c r="L211" s="106">
        <f t="shared" si="29"/>
        <v>2.541666666666667</v>
      </c>
      <c r="N211" s="104">
        <f t="shared" si="30"/>
        <v>52.731229999999996</v>
      </c>
      <c r="O211" s="104">
        <f t="shared" si="33"/>
        <v>20.348958333333336</v>
      </c>
      <c r="P211" s="104"/>
      <c r="Q211" s="106">
        <f t="shared" si="31"/>
        <v>73.080188333333325</v>
      </c>
      <c r="R211" s="141">
        <f t="shared" si="32"/>
        <v>0</v>
      </c>
      <c r="T211" s="110">
        <f t="shared" si="27"/>
        <v>0.72155301187077314</v>
      </c>
      <c r="U211" s="110">
        <f t="shared" si="27"/>
        <v>0.27844698812922697</v>
      </c>
      <c r="V211" s="110">
        <f t="shared" si="27"/>
        <v>0</v>
      </c>
      <c r="W211" s="110">
        <f t="shared" si="28"/>
        <v>1</v>
      </c>
      <c r="Y211" s="142">
        <f>T211*'Co-Processing'!K213*'Feedstock Conversion Rates'!B$13</f>
        <v>43.692452071365082</v>
      </c>
      <c r="Z211" s="142">
        <f>U211*'Co-Processing'!K213*'Feedstock Conversion Rates'!B$12</f>
        <v>17.422927859589421</v>
      </c>
      <c r="AA211" s="142">
        <f>V211*'Co-Processing'!K213*'Feedstock Conversion Rates'!B$14</f>
        <v>0</v>
      </c>
      <c r="AB211" s="142">
        <f t="shared" si="26"/>
        <v>61.115379930954504</v>
      </c>
      <c r="AD211" s="142">
        <v>0</v>
      </c>
      <c r="AE211" s="142">
        <v>0</v>
      </c>
      <c r="AF211" s="142">
        <v>0</v>
      </c>
      <c r="AG211" s="142">
        <v>0</v>
      </c>
      <c r="AH211" s="142">
        <v>0</v>
      </c>
      <c r="AK211" s="143">
        <f>('Co-Processing'!G201*'Co-Pro Feedstock Breakdown'!$AL$199)/12*'Co-Pro Feedstock Breakdown'!T211*7.5</f>
        <v>23.946540581461282</v>
      </c>
    </row>
    <row r="212" spans="1:37" x14ac:dyDescent="0.25">
      <c r="A212" s="96">
        <v>45170</v>
      </c>
      <c r="B212" s="104">
        <f t="shared" si="34"/>
        <v>25</v>
      </c>
      <c r="C212" s="104">
        <f>('Co-Processing'!B214*'Co-Pro Feedstock Breakdown'!C$3*'Feedstock Conversion Rates'!B$12)/12-10-15</f>
        <v>10.520833333333336</v>
      </c>
      <c r="D212" s="106">
        <f t="shared" ref="D212:D275" si="35">C212+B212</f>
        <v>35.520833333333336</v>
      </c>
      <c r="E212" s="104">
        <f>('Co-Processing'!C214*'Co-Pro Feedstock Breakdown'!E$3*'Feedstock Conversion Rates'!B$13)/12</f>
        <v>25.78125</v>
      </c>
      <c r="F212" s="104">
        <f>('Co-Processing'!C214*'Co-Pro Feedstock Breakdown'!F$3*'Feedstock Conversion Rates'!B$14)/12</f>
        <v>8.5364583333333339</v>
      </c>
      <c r="G212" s="106">
        <f t="shared" si="24"/>
        <v>34.317708333333336</v>
      </c>
      <c r="H212" s="104">
        <f>('Co-Processing'!D214*'Co-Pro Feedstock Breakdown'!H$3*'Feedstock Conversion Rates'!B$13)/12</f>
        <v>0.63483624999999999</v>
      </c>
      <c r="I212" s="106">
        <f t="shared" si="25"/>
        <v>0.63483624999999999</v>
      </c>
      <c r="J212" s="104">
        <f>('Co-Processing'!E214*'Co-Pro Feedstock Breakdown'!J$3*'Feedstock Conversion Rates'!B$13)/12</f>
        <v>1.25</v>
      </c>
      <c r="K212" s="104">
        <f>('Co-Processing'!E214*'Co-Pro Feedstock Breakdown'!K$3*'Feedstock Conversion Rates'!B$12)/12</f>
        <v>1.2916666666666667</v>
      </c>
      <c r="L212" s="106">
        <f t="shared" si="29"/>
        <v>2.541666666666667</v>
      </c>
      <c r="N212" s="104">
        <f t="shared" si="30"/>
        <v>52.666086249999999</v>
      </c>
      <c r="O212" s="104">
        <f t="shared" si="33"/>
        <v>20.348958333333336</v>
      </c>
      <c r="P212" s="104"/>
      <c r="Q212" s="106">
        <f t="shared" si="31"/>
        <v>73.015044583333335</v>
      </c>
      <c r="R212" s="141">
        <f t="shared" si="32"/>
        <v>0</v>
      </c>
      <c r="T212" s="110">
        <f t="shared" si="27"/>
        <v>0.72130458250821561</v>
      </c>
      <c r="U212" s="110">
        <f t="shared" si="27"/>
        <v>0.27869541749178439</v>
      </c>
      <c r="V212" s="110">
        <f t="shared" si="27"/>
        <v>0</v>
      </c>
      <c r="W212" s="110">
        <f t="shared" si="28"/>
        <v>1</v>
      </c>
      <c r="Y212" s="142">
        <f>T212*'Co-Processing'!K214*'Feedstock Conversion Rates'!B$13</f>
        <v>40.045928790127995</v>
      </c>
      <c r="Z212" s="142">
        <f>U212*'Co-Processing'!K214*'Feedstock Conversion Rates'!B$12</f>
        <v>15.988581916867739</v>
      </c>
      <c r="AA212" s="142">
        <f>V212*'Co-Processing'!K214*'Feedstock Conversion Rates'!B$14</f>
        <v>0</v>
      </c>
      <c r="AB212" s="142">
        <f t="shared" si="26"/>
        <v>56.034510706995732</v>
      </c>
      <c r="AD212" s="142">
        <v>0</v>
      </c>
      <c r="AE212" s="142">
        <v>0</v>
      </c>
      <c r="AF212" s="142">
        <v>0</v>
      </c>
      <c r="AG212" s="142">
        <v>0</v>
      </c>
      <c r="AH212" s="142">
        <v>0</v>
      </c>
      <c r="AK212" s="143">
        <f>('Co-Processing'!G202*'Co-Pro Feedstock Breakdown'!$AL$199)/12*'Co-Pro Feedstock Breakdown'!T212*7.5</f>
        <v>23.938295831991404</v>
      </c>
    </row>
    <row r="213" spans="1:37" x14ac:dyDescent="0.25">
      <c r="A213" s="96">
        <v>45200</v>
      </c>
      <c r="B213" s="104">
        <f t="shared" si="34"/>
        <v>25</v>
      </c>
      <c r="C213" s="104">
        <f>('Co-Processing'!B215*'Co-Pro Feedstock Breakdown'!C$3*'Feedstock Conversion Rates'!B$12)/12-10-15</f>
        <v>10.520833333333336</v>
      </c>
      <c r="D213" s="106">
        <f t="shared" si="35"/>
        <v>35.520833333333336</v>
      </c>
      <c r="E213" s="104">
        <f>('Co-Processing'!C215*'Co-Pro Feedstock Breakdown'!E$3*'Feedstock Conversion Rates'!B$13)/12</f>
        <v>25.78125</v>
      </c>
      <c r="F213" s="104">
        <f>('Co-Processing'!C215*'Co-Pro Feedstock Breakdown'!F$3*'Feedstock Conversion Rates'!B$14)/12</f>
        <v>8.5364583333333339</v>
      </c>
      <c r="G213" s="106">
        <f t="shared" si="24"/>
        <v>34.317708333333336</v>
      </c>
      <c r="H213" s="104">
        <f>('Co-Processing'!D215*'Co-Pro Feedstock Breakdown'!H$3*'Feedstock Conversion Rates'!B$13)/12</f>
        <v>0.74464874999999997</v>
      </c>
      <c r="I213" s="106">
        <f t="shared" si="25"/>
        <v>0.74464874999999997</v>
      </c>
      <c r="J213" s="104">
        <f>('Co-Processing'!E215*'Co-Pro Feedstock Breakdown'!J$3*'Feedstock Conversion Rates'!B$13)/12</f>
        <v>1.25</v>
      </c>
      <c r="K213" s="104">
        <f>('Co-Processing'!E215*'Co-Pro Feedstock Breakdown'!K$3*'Feedstock Conversion Rates'!B$12)/12</f>
        <v>1.2916666666666667</v>
      </c>
      <c r="L213" s="106">
        <f t="shared" si="29"/>
        <v>2.541666666666667</v>
      </c>
      <c r="N213" s="104">
        <f t="shared" si="30"/>
        <v>52.775898749999996</v>
      </c>
      <c r="O213" s="104">
        <f t="shared" si="33"/>
        <v>20.348958333333336</v>
      </c>
      <c r="P213" s="104"/>
      <c r="Q213" s="106">
        <f t="shared" si="31"/>
        <v>73.124857083333325</v>
      </c>
      <c r="R213" s="141">
        <f t="shared" si="32"/>
        <v>0</v>
      </c>
      <c r="T213" s="110">
        <f t="shared" si="27"/>
        <v>0.7217231028548392</v>
      </c>
      <c r="U213" s="110">
        <f t="shared" si="27"/>
        <v>0.27827689714516085</v>
      </c>
      <c r="V213" s="110">
        <f t="shared" si="27"/>
        <v>0</v>
      </c>
      <c r="W213" s="110">
        <f t="shared" si="28"/>
        <v>1</v>
      </c>
      <c r="Y213" s="142">
        <f>T213*'Co-Processing'!K215*'Feedstock Conversion Rates'!B$13</f>
        <v>37.372554401270428</v>
      </c>
      <c r="Z213" s="142">
        <f>U213*'Co-Processing'!K215*'Feedstock Conversion Rates'!B$12</f>
        <v>14.890173785353896</v>
      </c>
      <c r="AA213" s="142">
        <f>V213*'Co-Processing'!K215*'Feedstock Conversion Rates'!B$14</f>
        <v>0</v>
      </c>
      <c r="AB213" s="142">
        <f t="shared" si="26"/>
        <v>52.262728186624322</v>
      </c>
      <c r="AD213" s="142">
        <v>0</v>
      </c>
      <c r="AE213" s="142">
        <v>0</v>
      </c>
      <c r="AF213" s="142">
        <v>0</v>
      </c>
      <c r="AG213" s="142">
        <v>0</v>
      </c>
      <c r="AH213" s="142">
        <v>0</v>
      </c>
      <c r="AK213" s="143">
        <f>('Co-Processing'!G203*'Co-Pro Feedstock Breakdown'!$AL$199)/12*'Co-Pro Feedstock Breakdown'!T213*7.5</f>
        <v>23.952185475994977</v>
      </c>
    </row>
    <row r="214" spans="1:37" x14ac:dyDescent="0.25">
      <c r="A214" s="96">
        <v>45231</v>
      </c>
      <c r="B214" s="104">
        <f t="shared" si="34"/>
        <v>25</v>
      </c>
      <c r="C214" s="104">
        <f>('Co-Processing'!B216*'Co-Pro Feedstock Breakdown'!C$3*'Feedstock Conversion Rates'!B$12)/12-10-15</f>
        <v>10.520833333333336</v>
      </c>
      <c r="D214" s="106">
        <f t="shared" si="35"/>
        <v>35.520833333333336</v>
      </c>
      <c r="E214" s="104">
        <f>('Co-Processing'!C216*'Co-Pro Feedstock Breakdown'!E$3*'Feedstock Conversion Rates'!B$13)/12</f>
        <v>25.78125</v>
      </c>
      <c r="F214" s="104">
        <f>('Co-Processing'!C216*'Co-Pro Feedstock Breakdown'!F$3*'Feedstock Conversion Rates'!B$14)/12</f>
        <v>8.5364583333333339</v>
      </c>
      <c r="G214" s="106">
        <f t="shared" si="24"/>
        <v>34.317708333333336</v>
      </c>
      <c r="H214" s="104">
        <f>('Co-Processing'!D216*'Co-Pro Feedstock Breakdown'!H$3*'Feedstock Conversion Rates'!B$13)/12</f>
        <v>1.1286743749999999</v>
      </c>
      <c r="I214" s="106">
        <f t="shared" si="25"/>
        <v>1.1286743749999999</v>
      </c>
      <c r="J214" s="104">
        <f>('Co-Processing'!E216*'Co-Pro Feedstock Breakdown'!J$3*'Feedstock Conversion Rates'!B$13)/12</f>
        <v>1.25</v>
      </c>
      <c r="K214" s="104">
        <f>('Co-Processing'!E216*'Co-Pro Feedstock Breakdown'!K$3*'Feedstock Conversion Rates'!B$12)/12</f>
        <v>1.2916666666666667</v>
      </c>
      <c r="L214" s="106">
        <f t="shared" si="29"/>
        <v>2.541666666666667</v>
      </c>
      <c r="N214" s="104">
        <f t="shared" si="30"/>
        <v>53.159924375000003</v>
      </c>
      <c r="O214" s="104">
        <f t="shared" si="33"/>
        <v>20.348958333333336</v>
      </c>
      <c r="P214" s="104"/>
      <c r="Q214" s="106">
        <f t="shared" si="31"/>
        <v>73.508882708333346</v>
      </c>
      <c r="R214" s="141">
        <f t="shared" si="32"/>
        <v>0</v>
      </c>
      <c r="T214" s="110">
        <f t="shared" si="27"/>
        <v>0.72317687898925875</v>
      </c>
      <c r="U214" s="110">
        <f t="shared" si="27"/>
        <v>0.27682312101074108</v>
      </c>
      <c r="V214" s="110">
        <f t="shared" si="27"/>
        <v>0</v>
      </c>
      <c r="W214" s="110">
        <f t="shared" si="28"/>
        <v>0.99999999999999978</v>
      </c>
      <c r="Y214" s="142">
        <f>T214*'Co-Processing'!K216*'Feedstock Conversion Rates'!B$13</f>
        <v>23.912414813514243</v>
      </c>
      <c r="Z214" s="142">
        <f>U214*'Co-Processing'!K216*'Feedstock Conversion Rates'!B$12</f>
        <v>9.4584876927019437</v>
      </c>
      <c r="AA214" s="142">
        <f>V214*'Co-Processing'!K216*'Feedstock Conversion Rates'!B$14</f>
        <v>0</v>
      </c>
      <c r="AB214" s="142">
        <f t="shared" si="26"/>
        <v>33.370902506216183</v>
      </c>
      <c r="AD214" s="142">
        <v>0</v>
      </c>
      <c r="AE214" s="142">
        <v>0</v>
      </c>
      <c r="AF214" s="142">
        <v>0</v>
      </c>
      <c r="AG214" s="142">
        <v>0</v>
      </c>
      <c r="AH214" s="142">
        <v>0</v>
      </c>
      <c r="AK214" s="143">
        <f>('Co-Processing'!G204*'Co-Pro Feedstock Breakdown'!$AL$199)/12*'Co-Pro Feedstock Breakdown'!T214*7.5</f>
        <v>31.119205074006548</v>
      </c>
    </row>
    <row r="215" spans="1:37" x14ac:dyDescent="0.25">
      <c r="A215" s="96">
        <v>45261</v>
      </c>
      <c r="B215" s="104">
        <f t="shared" si="34"/>
        <v>25</v>
      </c>
      <c r="C215" s="104">
        <f>('Co-Processing'!B217*'Co-Pro Feedstock Breakdown'!C$3*'Feedstock Conversion Rates'!B$12)/12-10-15</f>
        <v>10.520833333333336</v>
      </c>
      <c r="D215" s="106">
        <f t="shared" si="35"/>
        <v>35.520833333333336</v>
      </c>
      <c r="E215" s="104">
        <f>('Co-Processing'!C217*'Co-Pro Feedstock Breakdown'!E$3*'Feedstock Conversion Rates'!B$13)/12</f>
        <v>25.78125</v>
      </c>
      <c r="F215" s="104">
        <f>('Co-Processing'!C217*'Co-Pro Feedstock Breakdown'!F$3*'Feedstock Conversion Rates'!B$14)/12</f>
        <v>8.5364583333333339</v>
      </c>
      <c r="G215" s="106">
        <f t="shared" si="24"/>
        <v>34.317708333333336</v>
      </c>
      <c r="H215" s="104">
        <f>('Co-Processing'!D217*'Co-Pro Feedstock Breakdown'!H$3*'Feedstock Conversion Rates'!B$13)/12</f>
        <v>9.0480624999999995E-2</v>
      </c>
      <c r="I215" s="106">
        <f t="shared" si="25"/>
        <v>9.0480624999999995E-2</v>
      </c>
      <c r="J215" s="104">
        <f>('Co-Processing'!E217*'Co-Pro Feedstock Breakdown'!J$3*'Feedstock Conversion Rates'!B$13)/12</f>
        <v>1.25</v>
      </c>
      <c r="K215" s="104">
        <f>('Co-Processing'!E217*'Co-Pro Feedstock Breakdown'!K$3*'Feedstock Conversion Rates'!B$12)/12</f>
        <v>1.2916666666666667</v>
      </c>
      <c r="L215" s="106">
        <f t="shared" si="29"/>
        <v>2.541666666666667</v>
      </c>
      <c r="N215" s="104">
        <f t="shared" si="30"/>
        <v>52.121730624999998</v>
      </c>
      <c r="O215" s="104">
        <f t="shared" si="33"/>
        <v>20.348958333333336</v>
      </c>
      <c r="P215" s="104"/>
      <c r="Q215" s="106">
        <f t="shared" si="31"/>
        <v>72.470688958333341</v>
      </c>
      <c r="R215" s="141">
        <f t="shared" si="32"/>
        <v>0</v>
      </c>
      <c r="T215" s="110">
        <f t="shared" si="27"/>
        <v>0.7192111924721335</v>
      </c>
      <c r="U215" s="110">
        <f t="shared" si="27"/>
        <v>0.28078880752786645</v>
      </c>
      <c r="V215" s="110">
        <f t="shared" si="27"/>
        <v>0</v>
      </c>
      <c r="W215" s="110">
        <f t="shared" si="28"/>
        <v>1</v>
      </c>
      <c r="Y215" s="142">
        <f>T215*'Co-Processing'!K217*'Feedstock Conversion Rates'!B$13</f>
        <v>19.245093605024735</v>
      </c>
      <c r="Z215" s="142">
        <f>U215*'Co-Processing'!K217*'Feedstock Conversion Rates'!B$12</f>
        <v>7.76396952480777</v>
      </c>
      <c r="AA215" s="142">
        <f>V215*'Co-Processing'!K217*'Feedstock Conversion Rates'!B$14</f>
        <v>0</v>
      </c>
      <c r="AB215" s="142">
        <f t="shared" si="26"/>
        <v>27.009063129832505</v>
      </c>
      <c r="AD215" s="142">
        <v>0</v>
      </c>
      <c r="AE215" s="142">
        <v>0</v>
      </c>
      <c r="AF215" s="142">
        <v>0</v>
      </c>
      <c r="AG215" s="142">
        <v>0</v>
      </c>
      <c r="AH215" s="142">
        <v>0</v>
      </c>
      <c r="AK215" s="143">
        <f>('Co-Processing'!G205*'Co-Pro Feedstock Breakdown'!$AL$199)/12*'Co-Pro Feedstock Breakdown'!T215*7.5</f>
        <v>46.119417717275567</v>
      </c>
    </row>
    <row r="216" spans="1:37" x14ac:dyDescent="0.25">
      <c r="A216" s="96">
        <v>45292</v>
      </c>
      <c r="B216" s="104">
        <f t="shared" si="34"/>
        <v>25</v>
      </c>
      <c r="C216" s="104">
        <f>('Co-Processing'!B218*'Co-Pro Feedstock Breakdown'!C$3*'Feedstock Conversion Rates'!B$12)/12-10-15</f>
        <v>10.520833333333336</v>
      </c>
      <c r="D216" s="106">
        <f t="shared" si="35"/>
        <v>35.520833333333336</v>
      </c>
      <c r="E216" s="104">
        <f>('Co-Processing'!C218*'Co-Pro Feedstock Breakdown'!E$3*'Feedstock Conversion Rates'!B$13)/12</f>
        <v>25.78125</v>
      </c>
      <c r="F216" s="104">
        <f>('Co-Processing'!C218*'Co-Pro Feedstock Breakdown'!F$3*'Feedstock Conversion Rates'!B$14)/12</f>
        <v>8.5364583333333339</v>
      </c>
      <c r="G216" s="106">
        <f t="shared" si="24"/>
        <v>34.317708333333336</v>
      </c>
      <c r="H216" s="104">
        <f>('Co-Processing'!D218*'Co-Pro Feedstock Breakdown'!H$3*'Feedstock Conversion Rates'!B$13)/12</f>
        <v>0.68097375000000004</v>
      </c>
      <c r="I216" s="106">
        <f t="shared" si="25"/>
        <v>0.68097375000000004</v>
      </c>
      <c r="J216" s="104">
        <f>('Co-Processing'!E218*'Co-Pro Feedstock Breakdown'!J$3*'Feedstock Conversion Rates'!B$13)/12</f>
        <v>1.25</v>
      </c>
      <c r="K216" s="104">
        <f>('Co-Processing'!E218*'Co-Pro Feedstock Breakdown'!K$3*'Feedstock Conversion Rates'!B$12)/12</f>
        <v>1.2916666666666667</v>
      </c>
      <c r="L216" s="106">
        <f t="shared" si="29"/>
        <v>2.541666666666667</v>
      </c>
      <c r="N216" s="104">
        <f t="shared" si="30"/>
        <v>52.71222375</v>
      </c>
      <c r="O216" s="104">
        <f t="shared" si="33"/>
        <v>20.348958333333336</v>
      </c>
      <c r="P216" s="104"/>
      <c r="Q216" s="106">
        <f t="shared" si="31"/>
        <v>73.061182083333335</v>
      </c>
      <c r="R216" s="141">
        <f t="shared" si="32"/>
        <v>0</v>
      </c>
      <c r="T216" s="110">
        <f t="shared" si="27"/>
        <v>0.72148057623645645</v>
      </c>
      <c r="U216" s="110">
        <f t="shared" si="27"/>
        <v>0.27851942376354361</v>
      </c>
      <c r="V216" s="110">
        <f t="shared" si="27"/>
        <v>0</v>
      </c>
      <c r="W216" s="110">
        <f t="shared" si="28"/>
        <v>1</v>
      </c>
      <c r="Y216" s="142">
        <f>T216*'Co-Processing'!K218*'Feedstock Conversion Rates'!B$13</f>
        <v>28.141952312384138</v>
      </c>
      <c r="Z216" s="142">
        <f>U216*'Co-Processing'!K218*'Feedstock Conversion Rates'!B$12</f>
        <v>11.22601211053639</v>
      </c>
      <c r="AA216" s="142">
        <f>V216*'Co-Processing'!K218*'Feedstock Conversion Rates'!B$14</f>
        <v>0</v>
      </c>
      <c r="AB216" s="142">
        <f t="shared" si="26"/>
        <v>39.367964422920529</v>
      </c>
      <c r="AD216" s="142">
        <v>0</v>
      </c>
      <c r="AE216" s="142">
        <v>0</v>
      </c>
      <c r="AF216" s="142">
        <v>0</v>
      </c>
      <c r="AG216" s="142">
        <v>0</v>
      </c>
      <c r="AH216" s="142">
        <v>0</v>
      </c>
      <c r="AK216" s="143">
        <f>('Co-Processing'!G206*'Co-Pro Feedstock Breakdown'!$AL$199)/12*'Co-Pro Feedstock Breakdown'!T216*7.5</f>
        <v>46.264941951162776</v>
      </c>
    </row>
    <row r="217" spans="1:37" x14ac:dyDescent="0.25">
      <c r="A217" s="96">
        <v>45323</v>
      </c>
      <c r="B217" s="104">
        <f t="shared" si="34"/>
        <v>25</v>
      </c>
      <c r="C217" s="104">
        <f>('Co-Processing'!B219*'Co-Pro Feedstock Breakdown'!C$3*'Feedstock Conversion Rates'!B$12)/12-10-15</f>
        <v>10.520833333333336</v>
      </c>
      <c r="D217" s="106">
        <f t="shared" si="35"/>
        <v>35.520833333333336</v>
      </c>
      <c r="E217" s="104">
        <f>('Co-Processing'!C219*'Co-Pro Feedstock Breakdown'!E$3*'Feedstock Conversion Rates'!B$13)/12</f>
        <v>25.78125</v>
      </c>
      <c r="F217" s="104">
        <f>('Co-Processing'!C219*'Co-Pro Feedstock Breakdown'!F$3*'Feedstock Conversion Rates'!B$14)/12</f>
        <v>8.5364583333333339</v>
      </c>
      <c r="G217" s="106">
        <f t="shared" si="24"/>
        <v>34.317708333333336</v>
      </c>
      <c r="H217" s="104">
        <f>('Co-Processing'!D219*'Co-Pro Feedstock Breakdown'!H$3*'Feedstock Conversion Rates'!B$13)/12</f>
        <v>0.40425187499999998</v>
      </c>
      <c r="I217" s="106">
        <f t="shared" si="25"/>
        <v>0.40425187499999998</v>
      </c>
      <c r="J217" s="104">
        <f>('Co-Processing'!E219*'Co-Pro Feedstock Breakdown'!J$3*'Feedstock Conversion Rates'!B$13)/12</f>
        <v>1.25</v>
      </c>
      <c r="K217" s="104">
        <f>('Co-Processing'!E219*'Co-Pro Feedstock Breakdown'!K$3*'Feedstock Conversion Rates'!B$12)/12</f>
        <v>1.2916666666666667</v>
      </c>
      <c r="L217" s="106">
        <f t="shared" si="29"/>
        <v>2.541666666666667</v>
      </c>
      <c r="N217" s="104">
        <f t="shared" si="30"/>
        <v>52.435501875</v>
      </c>
      <c r="O217" s="104">
        <f t="shared" si="33"/>
        <v>20.348958333333336</v>
      </c>
      <c r="P217" s="104"/>
      <c r="Q217" s="106">
        <f t="shared" si="31"/>
        <v>72.784460208333343</v>
      </c>
      <c r="R217" s="141">
        <f t="shared" si="32"/>
        <v>0</v>
      </c>
      <c r="T217" s="110">
        <f t="shared" si="27"/>
        <v>0.72042166315326306</v>
      </c>
      <c r="U217" s="110">
        <f t="shared" si="27"/>
        <v>0.27957833684673689</v>
      </c>
      <c r="V217" s="110">
        <f t="shared" si="27"/>
        <v>0</v>
      </c>
      <c r="W217" s="110">
        <f t="shared" si="28"/>
        <v>1</v>
      </c>
      <c r="Y217" s="142">
        <f>T217*'Co-Processing'!K219*'Feedstock Conversion Rates'!B$13</f>
        <v>21.262546578955302</v>
      </c>
      <c r="Z217" s="142">
        <f>U217*'Co-Processing'!K219*'Feedstock Conversion Rates'!B$12</f>
        <v>8.5265328684128558</v>
      </c>
      <c r="AA217" s="142">
        <f>V217*'Co-Processing'!K219*'Feedstock Conversion Rates'!B$14</f>
        <v>0</v>
      </c>
      <c r="AB217" s="142">
        <f t="shared" si="26"/>
        <v>29.789079447368159</v>
      </c>
      <c r="AD217" s="142">
        <v>0</v>
      </c>
      <c r="AE217" s="142">
        <v>0</v>
      </c>
      <c r="AF217" s="142">
        <v>0</v>
      </c>
      <c r="AG217" s="142">
        <v>0</v>
      </c>
      <c r="AH217" s="142">
        <v>0</v>
      </c>
      <c r="AK217" s="143">
        <f>('Co-Processing'!G207*'Co-Pro Feedstock Breakdown'!$AL$199)/12*'Co-Pro Feedstock Breakdown'!T217*7.5</f>
        <v>46.197039149702995</v>
      </c>
    </row>
    <row r="218" spans="1:37" x14ac:dyDescent="0.25">
      <c r="A218" s="96">
        <v>45352</v>
      </c>
      <c r="B218" s="104">
        <f t="shared" si="34"/>
        <v>25</v>
      </c>
      <c r="C218" s="104">
        <f>('Co-Processing'!B220*'Co-Pro Feedstock Breakdown'!C$3*'Feedstock Conversion Rates'!B$12)/12-10-15</f>
        <v>10.520833333333336</v>
      </c>
      <c r="D218" s="106">
        <f t="shared" si="35"/>
        <v>35.520833333333336</v>
      </c>
      <c r="E218" s="104">
        <f>('Co-Processing'!C220*'Co-Pro Feedstock Breakdown'!E$3*'Feedstock Conversion Rates'!B$13)/12</f>
        <v>25.78125</v>
      </c>
      <c r="F218" s="104">
        <f>('Co-Processing'!C220*'Co-Pro Feedstock Breakdown'!F$3*'Feedstock Conversion Rates'!B$14)/12</f>
        <v>8.5364583333333339</v>
      </c>
      <c r="G218" s="106">
        <f t="shared" si="24"/>
        <v>34.317708333333336</v>
      </c>
      <c r="H218" s="104">
        <f>('Co-Processing'!D220*'Co-Pro Feedstock Breakdown'!H$3*'Feedstock Conversion Rates'!B$13)/12</f>
        <v>0.8125</v>
      </c>
      <c r="I218" s="106">
        <f t="shared" si="25"/>
        <v>0.8125</v>
      </c>
      <c r="J218" s="104">
        <f>('Co-Processing'!E220*'Co-Pro Feedstock Breakdown'!J$3*'Feedstock Conversion Rates'!B$13)/12</f>
        <v>1.25</v>
      </c>
      <c r="K218" s="104">
        <f>('Co-Processing'!E220*'Co-Pro Feedstock Breakdown'!K$3*'Feedstock Conversion Rates'!B$12)/12</f>
        <v>1.2916666666666667</v>
      </c>
      <c r="L218" s="106">
        <f t="shared" si="29"/>
        <v>2.541666666666667</v>
      </c>
      <c r="N218" s="104">
        <f t="shared" si="30"/>
        <v>52.84375</v>
      </c>
      <c r="O218" s="104">
        <f t="shared" si="33"/>
        <v>20.348958333333336</v>
      </c>
      <c r="P218" s="104"/>
      <c r="Q218" s="106">
        <f t="shared" si="31"/>
        <v>73.192708333333343</v>
      </c>
      <c r="R218" s="141">
        <f t="shared" si="32"/>
        <v>0</v>
      </c>
      <c r="T218" s="110">
        <f t="shared" si="27"/>
        <v>0.7219810716572973</v>
      </c>
      <c r="U218" s="110">
        <f t="shared" si="27"/>
        <v>0.27801892834270264</v>
      </c>
      <c r="V218" s="110">
        <f t="shared" si="27"/>
        <v>0</v>
      </c>
      <c r="W218" s="110">
        <f t="shared" si="28"/>
        <v>1</v>
      </c>
      <c r="Y218" s="142">
        <f>T218*'Co-Processing'!K220*'Feedstock Conversion Rates'!B$13</f>
        <v>28.617329792926778</v>
      </c>
      <c r="Z218" s="142">
        <f>U218*'Co-Processing'!K220*'Feedstock Conversion Rates'!B$12</f>
        <v>11.387230213975666</v>
      </c>
      <c r="AA218" s="142">
        <f>V218*'Co-Processing'!K220*'Feedstock Conversion Rates'!B$14</f>
        <v>0</v>
      </c>
      <c r="AB218" s="142">
        <f t="shared" si="26"/>
        <v>40.004560006902445</v>
      </c>
      <c r="AD218" s="142">
        <v>0</v>
      </c>
      <c r="AE218" s="142">
        <v>0</v>
      </c>
      <c r="AF218" s="142">
        <v>0</v>
      </c>
      <c r="AG218" s="142">
        <v>0</v>
      </c>
      <c r="AH218" s="142">
        <v>0</v>
      </c>
      <c r="AK218" s="143">
        <f>('Co-Processing'!G208*'Co-Pro Feedstock Breakdown'!$AL$199)/12*'Co-Pro Feedstock Breakdown'!T218*7.5</f>
        <v>46.297036220024189</v>
      </c>
    </row>
    <row r="219" spans="1:37" x14ac:dyDescent="0.25">
      <c r="A219" s="96">
        <v>45383</v>
      </c>
      <c r="B219" s="104">
        <f t="shared" si="34"/>
        <v>25</v>
      </c>
      <c r="C219" s="104">
        <f>('Co-Processing'!B221*'Co-Pro Feedstock Breakdown'!C$3*'Feedstock Conversion Rates'!B$12)/12-10-15</f>
        <v>10.520833333333336</v>
      </c>
      <c r="D219" s="106">
        <f t="shared" si="35"/>
        <v>35.520833333333336</v>
      </c>
      <c r="E219" s="104">
        <f>('Co-Processing'!C221*'Co-Pro Feedstock Breakdown'!E$3*'Feedstock Conversion Rates'!B$13)/12</f>
        <v>25.78125</v>
      </c>
      <c r="F219" s="104">
        <f>('Co-Processing'!C221*'Co-Pro Feedstock Breakdown'!F$3*'Feedstock Conversion Rates'!B$14)/12</f>
        <v>8.5364583333333339</v>
      </c>
      <c r="G219" s="106">
        <f t="shared" si="24"/>
        <v>34.317708333333336</v>
      </c>
      <c r="H219" s="104">
        <f>('Co-Processing'!D221*'Co-Pro Feedstock Breakdown'!H$3*'Feedstock Conversion Rates'!B$13)/12</f>
        <v>1.25</v>
      </c>
      <c r="I219" s="106">
        <f t="shared" si="25"/>
        <v>1.25</v>
      </c>
      <c r="J219" s="104">
        <f>('Co-Processing'!E221*'Co-Pro Feedstock Breakdown'!J$3*'Feedstock Conversion Rates'!B$13)/12</f>
        <v>1.25</v>
      </c>
      <c r="K219" s="104">
        <f>('Co-Processing'!E221*'Co-Pro Feedstock Breakdown'!K$3*'Feedstock Conversion Rates'!B$12)/12</f>
        <v>1.2916666666666667</v>
      </c>
      <c r="L219" s="106">
        <f t="shared" si="29"/>
        <v>2.541666666666667</v>
      </c>
      <c r="N219" s="104">
        <f t="shared" si="30"/>
        <v>53.28125</v>
      </c>
      <c r="O219" s="104">
        <f t="shared" si="33"/>
        <v>20.348958333333336</v>
      </c>
      <c r="P219" s="104"/>
      <c r="Q219" s="106">
        <f t="shared" si="31"/>
        <v>73.630208333333343</v>
      </c>
      <c r="R219" s="141">
        <f t="shared" si="32"/>
        <v>0</v>
      </c>
      <c r="T219" s="110">
        <f t="shared" si="27"/>
        <v>0.72363301973544591</v>
      </c>
      <c r="U219" s="110">
        <f t="shared" si="27"/>
        <v>0.27636698026455403</v>
      </c>
      <c r="V219" s="110">
        <f t="shared" si="27"/>
        <v>0</v>
      </c>
      <c r="W219" s="110">
        <f t="shared" si="28"/>
        <v>1</v>
      </c>
      <c r="Y219" s="142">
        <f>T219*'Co-Processing'!K221*'Feedstock Conversion Rates'!B$13</f>
        <v>21.285849801938177</v>
      </c>
      <c r="Z219" s="142">
        <f>U219*'Co-Processing'!K221*'Feedstock Conversion Rates'!B$12</f>
        <v>8.4003853713305521</v>
      </c>
      <c r="AA219" s="142">
        <f>V219*'Co-Processing'!K221*'Feedstock Conversion Rates'!B$14</f>
        <v>0</v>
      </c>
      <c r="AB219" s="142">
        <f t="shared" si="26"/>
        <v>29.686235173268727</v>
      </c>
      <c r="AD219" s="142">
        <v>0</v>
      </c>
      <c r="AE219" s="142">
        <v>0</v>
      </c>
      <c r="AF219" s="142">
        <v>0</v>
      </c>
      <c r="AG219" s="142">
        <v>0</v>
      </c>
      <c r="AH219" s="142">
        <v>0</v>
      </c>
      <c r="AK219" s="143">
        <f>('Co-Processing'!G209*'Co-Pro Feedstock Breakdown'!$AL$199)/12*'Co-Pro Feedstock Breakdown'!T219*7.5</f>
        <v>46.402967390535473</v>
      </c>
    </row>
    <row r="220" spans="1:37" x14ac:dyDescent="0.25">
      <c r="A220" s="96">
        <v>45413</v>
      </c>
      <c r="B220" s="104">
        <f t="shared" si="34"/>
        <v>25</v>
      </c>
      <c r="C220" s="104">
        <f>('Co-Processing'!B222*'Co-Pro Feedstock Breakdown'!C$3*'Feedstock Conversion Rates'!B$12)/12-10-15</f>
        <v>10.520833333333336</v>
      </c>
      <c r="D220" s="106">
        <f t="shared" si="35"/>
        <v>35.520833333333336</v>
      </c>
      <c r="E220" s="104">
        <f>('Co-Processing'!C222*'Co-Pro Feedstock Breakdown'!E$3*'Feedstock Conversion Rates'!B$13)/12</f>
        <v>25.78125</v>
      </c>
      <c r="F220" s="104">
        <f>('Co-Processing'!C222*'Co-Pro Feedstock Breakdown'!F$3*'Feedstock Conversion Rates'!B$14)/12</f>
        <v>8.5364583333333339</v>
      </c>
      <c r="G220" s="106">
        <f t="shared" si="24"/>
        <v>34.317708333333336</v>
      </c>
      <c r="H220" s="104">
        <f>('Co-Processing'!D222*'Co-Pro Feedstock Breakdown'!H$3*'Feedstock Conversion Rates'!B$13)/12</f>
        <v>1.25</v>
      </c>
      <c r="I220" s="106">
        <f t="shared" si="25"/>
        <v>1.25</v>
      </c>
      <c r="J220" s="104">
        <f>('Co-Processing'!E222*'Co-Pro Feedstock Breakdown'!J$3*'Feedstock Conversion Rates'!B$13)/12</f>
        <v>1.25</v>
      </c>
      <c r="K220" s="104">
        <f>('Co-Processing'!E222*'Co-Pro Feedstock Breakdown'!K$3*'Feedstock Conversion Rates'!B$12)/12</f>
        <v>1.2916666666666667</v>
      </c>
      <c r="L220" s="106">
        <f t="shared" si="29"/>
        <v>2.541666666666667</v>
      </c>
      <c r="N220" s="104">
        <f t="shared" si="30"/>
        <v>53.28125</v>
      </c>
      <c r="O220" s="104">
        <f t="shared" si="33"/>
        <v>20.348958333333336</v>
      </c>
      <c r="P220" s="104"/>
      <c r="Q220" s="106">
        <f t="shared" si="31"/>
        <v>73.630208333333343</v>
      </c>
      <c r="R220" s="141">
        <f t="shared" si="32"/>
        <v>0</v>
      </c>
      <c r="T220" s="110">
        <f t="shared" si="27"/>
        <v>0.72363301973544591</v>
      </c>
      <c r="U220" s="110">
        <f t="shared" si="27"/>
        <v>0.27636698026455403</v>
      </c>
      <c r="V220" s="110">
        <f t="shared" si="27"/>
        <v>0</v>
      </c>
      <c r="W220" s="110">
        <f t="shared" si="28"/>
        <v>1</v>
      </c>
      <c r="Y220" s="142">
        <f>T220*'Co-Processing'!K222*'Feedstock Conversion Rates'!B$13</f>
        <v>7.7484868943198695</v>
      </c>
      <c r="Z220" s="142">
        <f>U220*'Co-Processing'!K222*'Feedstock Conversion Rates'!B$12</f>
        <v>3.0579129592028016</v>
      </c>
      <c r="AA220" s="142">
        <f>V220*'Co-Processing'!K222*'Feedstock Conversion Rates'!B$14</f>
        <v>0</v>
      </c>
      <c r="AB220" s="142">
        <f t="shared" si="26"/>
        <v>10.80639985352267</v>
      </c>
      <c r="AD220" s="142">
        <v>0</v>
      </c>
      <c r="AE220" s="142">
        <v>0</v>
      </c>
      <c r="AF220" s="142">
        <v>0</v>
      </c>
      <c r="AG220" s="142">
        <v>0</v>
      </c>
      <c r="AH220" s="142">
        <v>0</v>
      </c>
      <c r="AK220" s="143">
        <f>('Co-Processing'!G210*'Co-Pro Feedstock Breakdown'!$AL$199)/12*'Co-Pro Feedstock Breakdown'!T220*7.5</f>
        <v>46.402967390535473</v>
      </c>
    </row>
    <row r="221" spans="1:37" x14ac:dyDescent="0.25">
      <c r="A221" s="96">
        <v>45444</v>
      </c>
      <c r="B221" s="104">
        <f t="shared" si="34"/>
        <v>25</v>
      </c>
      <c r="C221" s="104">
        <f>('Co-Processing'!B223*'Co-Pro Feedstock Breakdown'!C$3*'Feedstock Conversion Rates'!B$12)/12-10-15</f>
        <v>10.520833333333336</v>
      </c>
      <c r="D221" s="106">
        <f t="shared" si="35"/>
        <v>35.520833333333336</v>
      </c>
      <c r="E221" s="104">
        <f>('Co-Processing'!C223*'Co-Pro Feedstock Breakdown'!E$3*'Feedstock Conversion Rates'!B$13)/12</f>
        <v>25.78125</v>
      </c>
      <c r="F221" s="104">
        <f>('Co-Processing'!C223*'Co-Pro Feedstock Breakdown'!F$3*'Feedstock Conversion Rates'!B$14)/12</f>
        <v>8.5364583333333339</v>
      </c>
      <c r="G221" s="106">
        <f t="shared" si="24"/>
        <v>34.317708333333336</v>
      </c>
      <c r="H221" s="104">
        <f>('Co-Processing'!D223*'Co-Pro Feedstock Breakdown'!H$3*'Feedstock Conversion Rates'!B$13)/12</f>
        <v>1.25</v>
      </c>
      <c r="I221" s="106">
        <f t="shared" si="25"/>
        <v>1.25</v>
      </c>
      <c r="J221" s="104">
        <f>('Co-Processing'!E223*'Co-Pro Feedstock Breakdown'!J$3*'Feedstock Conversion Rates'!B$13)/12</f>
        <v>1.25</v>
      </c>
      <c r="K221" s="104">
        <f>('Co-Processing'!E223*'Co-Pro Feedstock Breakdown'!K$3*'Feedstock Conversion Rates'!B$12)/12</f>
        <v>1.2916666666666667</v>
      </c>
      <c r="L221" s="106">
        <f t="shared" si="29"/>
        <v>2.541666666666667</v>
      </c>
      <c r="N221" s="104">
        <f t="shared" si="30"/>
        <v>53.28125</v>
      </c>
      <c r="O221" s="104">
        <f t="shared" si="33"/>
        <v>20.348958333333336</v>
      </c>
      <c r="P221" s="104"/>
      <c r="Q221" s="106">
        <f t="shared" si="31"/>
        <v>73.630208333333343</v>
      </c>
      <c r="R221" s="141">
        <f t="shared" si="32"/>
        <v>0</v>
      </c>
      <c r="T221" s="110">
        <f t="shared" si="27"/>
        <v>0.72363301973544591</v>
      </c>
      <c r="U221" s="110">
        <f t="shared" si="27"/>
        <v>0.27636698026455403</v>
      </c>
      <c r="V221" s="110">
        <f t="shared" si="27"/>
        <v>0</v>
      </c>
      <c r="W221" s="110">
        <f t="shared" si="28"/>
        <v>1</v>
      </c>
      <c r="Y221" s="142">
        <f>T221*'Co-Processing'!K223*'Feedstock Conversion Rates'!B$13</f>
        <v>33.593702318384373</v>
      </c>
      <c r="Z221" s="142">
        <f>U221*'Co-Processing'!K223*'Feedstock Conversion Rates'!B$12</f>
        <v>13.25763585433614</v>
      </c>
      <c r="AA221" s="142">
        <f>V221*'Co-Processing'!K223*'Feedstock Conversion Rates'!B$14</f>
        <v>0</v>
      </c>
      <c r="AB221" s="142">
        <f t="shared" si="26"/>
        <v>46.851338172720517</v>
      </c>
      <c r="AD221" s="142">
        <v>0</v>
      </c>
      <c r="AE221" s="142">
        <v>0</v>
      </c>
      <c r="AF221" s="142">
        <v>0</v>
      </c>
      <c r="AG221" s="142">
        <v>0</v>
      </c>
      <c r="AH221" s="142">
        <v>0</v>
      </c>
      <c r="AK221" s="143">
        <f>('Co-Processing'!G211*'Co-Pro Feedstock Breakdown'!$AL$199)/12*'Co-Pro Feedstock Breakdown'!T221*7.5</f>
        <v>46.402967390535473</v>
      </c>
    </row>
    <row r="222" spans="1:37" x14ac:dyDescent="0.25">
      <c r="A222" s="96">
        <v>45474</v>
      </c>
      <c r="B222" s="104">
        <f t="shared" si="34"/>
        <v>25</v>
      </c>
      <c r="C222" s="104">
        <f>('Co-Processing'!B224*'Co-Pro Feedstock Breakdown'!C$3*'Feedstock Conversion Rates'!B$12)/12-10-15</f>
        <v>10.520833333333336</v>
      </c>
      <c r="D222" s="106">
        <f t="shared" si="35"/>
        <v>35.520833333333336</v>
      </c>
      <c r="E222" s="104">
        <f>('Co-Processing'!C224*'Co-Pro Feedstock Breakdown'!E$3*'Feedstock Conversion Rates'!B$13)/12</f>
        <v>25.78125</v>
      </c>
      <c r="F222" s="104">
        <f>('Co-Processing'!C224*'Co-Pro Feedstock Breakdown'!F$3*'Feedstock Conversion Rates'!B$14)/12</f>
        <v>8.5364583333333339</v>
      </c>
      <c r="G222" s="106">
        <f t="shared" si="24"/>
        <v>34.317708333333336</v>
      </c>
      <c r="H222" s="104">
        <f>('Co-Processing'!D224*'Co-Pro Feedstock Breakdown'!H$3*'Feedstock Conversion Rates'!B$13)/12</f>
        <v>31.25</v>
      </c>
      <c r="I222" s="106">
        <f t="shared" si="25"/>
        <v>31.25</v>
      </c>
      <c r="J222" s="104">
        <f>('Co-Processing'!E224*'Co-Pro Feedstock Breakdown'!J$3*'Feedstock Conversion Rates'!B$13)/12</f>
        <v>1.25</v>
      </c>
      <c r="K222" s="104">
        <f>('Co-Processing'!E224*'Co-Pro Feedstock Breakdown'!K$3*'Feedstock Conversion Rates'!B$12)/12</f>
        <v>1.2916666666666667</v>
      </c>
      <c r="L222" s="106">
        <f t="shared" si="29"/>
        <v>2.541666666666667</v>
      </c>
      <c r="N222" s="104">
        <f t="shared" si="30"/>
        <v>83.28125</v>
      </c>
      <c r="O222" s="104">
        <f t="shared" si="33"/>
        <v>20.348958333333336</v>
      </c>
      <c r="P222" s="104"/>
      <c r="Q222" s="106">
        <f t="shared" si="31"/>
        <v>103.63020833333334</v>
      </c>
      <c r="R222" s="141">
        <f t="shared" si="32"/>
        <v>0</v>
      </c>
      <c r="T222" s="110">
        <f t="shared" si="27"/>
        <v>0.80363873950846854</v>
      </c>
      <c r="U222" s="110">
        <f t="shared" si="27"/>
        <v>0.19636126049153138</v>
      </c>
      <c r="V222" s="110">
        <f t="shared" si="27"/>
        <v>0</v>
      </c>
      <c r="W222" s="110">
        <f t="shared" si="28"/>
        <v>0.99999999999999989</v>
      </c>
      <c r="Y222" s="142">
        <f>T222*'Co-Processing'!K224*'Feedstock Conversion Rates'!B$13</f>
        <v>40.905430832537562</v>
      </c>
      <c r="Z222" s="142">
        <f>U222*'Co-Processing'!K224*'Feedstock Conversion Rates'!B$12</f>
        <v>10.328003056377845</v>
      </c>
      <c r="AA222" s="142">
        <f>V222*'Co-Processing'!K224*'Feedstock Conversion Rates'!B$14</f>
        <v>0</v>
      </c>
      <c r="AB222" s="142">
        <f t="shared" si="26"/>
        <v>51.233433888915407</v>
      </c>
      <c r="AD222" s="142">
        <v>0</v>
      </c>
      <c r="AE222" s="142">
        <v>0</v>
      </c>
      <c r="AF222" s="142">
        <v>0</v>
      </c>
      <c r="AG222" s="142">
        <v>0</v>
      </c>
      <c r="AH222" s="142">
        <v>0</v>
      </c>
      <c r="AK222" s="143">
        <f>('Co-Processing'!G212*'Co-Pro Feedstock Breakdown'!$AL$199)/12*'Co-Pro Feedstock Breakdown'!T222*7.5</f>
        <v>51.533334170980545</v>
      </c>
    </row>
    <row r="223" spans="1:37" x14ac:dyDescent="0.25">
      <c r="A223" s="96">
        <v>45505</v>
      </c>
      <c r="B223" s="104">
        <f t="shared" si="34"/>
        <v>25</v>
      </c>
      <c r="C223" s="104">
        <f>('Co-Processing'!B225*'Co-Pro Feedstock Breakdown'!C$3*'Feedstock Conversion Rates'!B$12)/12-10-15</f>
        <v>10.520833333333336</v>
      </c>
      <c r="D223" s="106">
        <f t="shared" si="35"/>
        <v>35.520833333333336</v>
      </c>
      <c r="E223" s="104">
        <f>('Co-Processing'!C225*'Co-Pro Feedstock Breakdown'!E$3*'Feedstock Conversion Rates'!B$13)/12</f>
        <v>25.78125</v>
      </c>
      <c r="F223" s="104">
        <f>('Co-Processing'!C225*'Co-Pro Feedstock Breakdown'!F$3*'Feedstock Conversion Rates'!B$14)/12</f>
        <v>8.5364583333333339</v>
      </c>
      <c r="G223" s="106">
        <f t="shared" si="24"/>
        <v>34.317708333333336</v>
      </c>
      <c r="H223" s="104">
        <f>('Co-Processing'!D225*'Co-Pro Feedstock Breakdown'!H$3*'Feedstock Conversion Rates'!B$13)/12</f>
        <v>31.25</v>
      </c>
      <c r="I223" s="106">
        <f t="shared" si="25"/>
        <v>31.25</v>
      </c>
      <c r="J223" s="104">
        <f>('Co-Processing'!E225*'Co-Pro Feedstock Breakdown'!J$3*'Feedstock Conversion Rates'!B$13)/12</f>
        <v>1.25</v>
      </c>
      <c r="K223" s="104">
        <f>('Co-Processing'!E225*'Co-Pro Feedstock Breakdown'!K$3*'Feedstock Conversion Rates'!B$12)/12</f>
        <v>1.2916666666666667</v>
      </c>
      <c r="L223" s="106">
        <f t="shared" si="29"/>
        <v>2.541666666666667</v>
      </c>
      <c r="N223" s="104">
        <f t="shared" si="30"/>
        <v>83.28125</v>
      </c>
      <c r="O223" s="104">
        <f t="shared" si="33"/>
        <v>20.348958333333336</v>
      </c>
      <c r="P223" s="104"/>
      <c r="Q223" s="106">
        <f t="shared" si="31"/>
        <v>103.63020833333334</v>
      </c>
      <c r="R223" s="141">
        <f t="shared" si="32"/>
        <v>0</v>
      </c>
      <c r="T223" s="110">
        <f t="shared" si="27"/>
        <v>0.80363873950846854</v>
      </c>
      <c r="U223" s="110">
        <f t="shared" si="27"/>
        <v>0.19636126049153138</v>
      </c>
      <c r="V223" s="110">
        <f t="shared" si="27"/>
        <v>0</v>
      </c>
      <c r="W223" s="110">
        <f t="shared" si="28"/>
        <v>0.99999999999999989</v>
      </c>
      <c r="Y223" s="142">
        <f>T223*'Co-Processing'!K225*'Feedstock Conversion Rates'!B$13</f>
        <v>53.427392143287932</v>
      </c>
      <c r="Z223" s="142">
        <f>U223*'Co-Processing'!K225*'Feedstock Conversion Rates'!B$12</f>
        <v>13.489609035269137</v>
      </c>
      <c r="AA223" s="142">
        <f>V223*'Co-Processing'!K225*'Feedstock Conversion Rates'!B$14</f>
        <v>0</v>
      </c>
      <c r="AB223" s="142">
        <f t="shared" si="26"/>
        <v>66.917001178557072</v>
      </c>
      <c r="AD223" s="142">
        <v>0</v>
      </c>
      <c r="AE223" s="142">
        <v>0</v>
      </c>
      <c r="AF223" s="142">
        <v>0</v>
      </c>
      <c r="AG223" s="142">
        <v>0</v>
      </c>
      <c r="AH223" s="142">
        <v>0</v>
      </c>
      <c r="AK223" s="143">
        <f>('Co-Processing'!G213*'Co-Pro Feedstock Breakdown'!$AL$199)/12*'Co-Pro Feedstock Breakdown'!T223*7.5</f>
        <v>52.039612111373572</v>
      </c>
    </row>
    <row r="224" spans="1:37" x14ac:dyDescent="0.25">
      <c r="A224" s="96">
        <v>45536</v>
      </c>
      <c r="B224" s="104">
        <f t="shared" si="34"/>
        <v>25</v>
      </c>
      <c r="C224" s="104">
        <f>('Co-Processing'!B226*'Co-Pro Feedstock Breakdown'!C$3*'Feedstock Conversion Rates'!B$12)/12-10-15</f>
        <v>10.520833333333336</v>
      </c>
      <c r="D224" s="106">
        <f t="shared" si="35"/>
        <v>35.520833333333336</v>
      </c>
      <c r="E224" s="104">
        <f>('Co-Processing'!C226*'Co-Pro Feedstock Breakdown'!E$3*'Feedstock Conversion Rates'!B$13)/12</f>
        <v>25.78125</v>
      </c>
      <c r="F224" s="104">
        <f>('Co-Processing'!C226*'Co-Pro Feedstock Breakdown'!F$3*'Feedstock Conversion Rates'!B$14)/12</f>
        <v>8.5364583333333339</v>
      </c>
      <c r="G224" s="106">
        <f t="shared" si="24"/>
        <v>34.317708333333336</v>
      </c>
      <c r="H224" s="104">
        <f>('Co-Processing'!D226*'Co-Pro Feedstock Breakdown'!H$3*'Feedstock Conversion Rates'!B$13)/12</f>
        <v>31.25</v>
      </c>
      <c r="I224" s="106">
        <f t="shared" si="25"/>
        <v>31.25</v>
      </c>
      <c r="J224" s="104">
        <f>('Co-Processing'!E226*'Co-Pro Feedstock Breakdown'!J$3*'Feedstock Conversion Rates'!B$13)/12</f>
        <v>1.25</v>
      </c>
      <c r="K224" s="104">
        <f>('Co-Processing'!E226*'Co-Pro Feedstock Breakdown'!K$3*'Feedstock Conversion Rates'!B$12)/12</f>
        <v>1.2916666666666667</v>
      </c>
      <c r="L224" s="106">
        <f t="shared" si="29"/>
        <v>2.541666666666667</v>
      </c>
      <c r="N224" s="104">
        <f t="shared" si="30"/>
        <v>83.28125</v>
      </c>
      <c r="O224" s="104">
        <f t="shared" si="33"/>
        <v>20.348958333333336</v>
      </c>
      <c r="P224" s="104"/>
      <c r="Q224" s="106">
        <f t="shared" si="31"/>
        <v>103.63020833333334</v>
      </c>
      <c r="R224" s="141">
        <f t="shared" si="32"/>
        <v>0</v>
      </c>
      <c r="T224" s="110">
        <f t="shared" si="27"/>
        <v>0.80363873950846854</v>
      </c>
      <c r="U224" s="110">
        <f t="shared" si="27"/>
        <v>0.19636126049153138</v>
      </c>
      <c r="V224" s="110">
        <f t="shared" si="27"/>
        <v>0</v>
      </c>
      <c r="W224" s="110">
        <f t="shared" si="28"/>
        <v>0.99999999999999989</v>
      </c>
      <c r="Y224" s="142">
        <f>T224*'Co-Processing'!K226*'Feedstock Conversion Rates'!B$13</f>
        <v>41.052695622455644</v>
      </c>
      <c r="Z224" s="142">
        <f>U224*'Co-Processing'!K226*'Feedstock Conversion Rates'!B$12</f>
        <v>10.365185190129164</v>
      </c>
      <c r="AA224" s="142">
        <f>V224*'Co-Processing'!K226*'Feedstock Conversion Rates'!B$14</f>
        <v>0</v>
      </c>
      <c r="AB224" s="142">
        <f t="shared" si="26"/>
        <v>51.417880812584812</v>
      </c>
      <c r="AD224" s="142">
        <v>0</v>
      </c>
      <c r="AE224" s="142">
        <v>0</v>
      </c>
      <c r="AF224" s="142">
        <v>0</v>
      </c>
      <c r="AG224" s="142">
        <v>0</v>
      </c>
      <c r="AH224" s="142">
        <v>0</v>
      </c>
      <c r="AK224" s="143">
        <f>('Co-Processing'!G214*'Co-Pro Feedstock Breakdown'!$AL$199)/12*'Co-Pro Feedstock Breakdown'!T224*7.5</f>
        <v>51.992495274350404</v>
      </c>
    </row>
    <row r="225" spans="1:37" x14ac:dyDescent="0.25">
      <c r="A225" s="96">
        <v>45566</v>
      </c>
      <c r="B225" s="104">
        <f t="shared" si="34"/>
        <v>25</v>
      </c>
      <c r="C225" s="104">
        <f>('Co-Processing'!B227*'Co-Pro Feedstock Breakdown'!C$3*'Feedstock Conversion Rates'!B$12)/12-10-15</f>
        <v>10.520833333333336</v>
      </c>
      <c r="D225" s="106">
        <f t="shared" si="35"/>
        <v>35.520833333333336</v>
      </c>
      <c r="E225" s="104">
        <f>('Co-Processing'!C227*'Co-Pro Feedstock Breakdown'!E$3*'Feedstock Conversion Rates'!B$13)/12</f>
        <v>25.78125</v>
      </c>
      <c r="F225" s="104">
        <f>('Co-Processing'!C227*'Co-Pro Feedstock Breakdown'!F$3*'Feedstock Conversion Rates'!B$14)/12</f>
        <v>8.5364583333333339</v>
      </c>
      <c r="G225" s="106">
        <f t="shared" si="24"/>
        <v>34.317708333333336</v>
      </c>
      <c r="H225" s="104">
        <f>('Co-Processing'!D227*'Co-Pro Feedstock Breakdown'!H$3*'Feedstock Conversion Rates'!B$13)/12</f>
        <v>31.25</v>
      </c>
      <c r="I225" s="106">
        <f t="shared" si="25"/>
        <v>31.25</v>
      </c>
      <c r="J225" s="104">
        <f>('Co-Processing'!E227*'Co-Pro Feedstock Breakdown'!J$3*'Feedstock Conversion Rates'!B$13)/12</f>
        <v>1.25</v>
      </c>
      <c r="K225" s="104">
        <f>('Co-Processing'!E227*'Co-Pro Feedstock Breakdown'!K$3*'Feedstock Conversion Rates'!B$12)/12</f>
        <v>1.2916666666666667</v>
      </c>
      <c r="L225" s="106">
        <f t="shared" si="29"/>
        <v>2.541666666666667</v>
      </c>
      <c r="N225" s="104">
        <f t="shared" si="30"/>
        <v>83.28125</v>
      </c>
      <c r="O225" s="104">
        <f t="shared" si="33"/>
        <v>20.348958333333336</v>
      </c>
      <c r="P225" s="104"/>
      <c r="Q225" s="106">
        <f t="shared" si="31"/>
        <v>103.63020833333334</v>
      </c>
      <c r="R225" s="141">
        <f t="shared" si="32"/>
        <v>0</v>
      </c>
      <c r="T225" s="110">
        <f t="shared" si="27"/>
        <v>0.80363873950846854</v>
      </c>
      <c r="U225" s="110">
        <f t="shared" si="27"/>
        <v>0.19636126049153138</v>
      </c>
      <c r="V225" s="110">
        <f t="shared" si="27"/>
        <v>0</v>
      </c>
      <c r="W225" s="110">
        <f t="shared" si="28"/>
        <v>0.99999999999999989</v>
      </c>
      <c r="Y225" s="142">
        <f>T225*'Co-Processing'!K227*'Feedstock Conversion Rates'!B$13</f>
        <v>30.806832095290741</v>
      </c>
      <c r="Z225" s="142">
        <f>U225*'Co-Processing'!K227*'Feedstock Conversion Rates'!B$12</f>
        <v>7.7782595015328937</v>
      </c>
      <c r="AA225" s="142">
        <f>V225*'Co-Processing'!K227*'Feedstock Conversion Rates'!B$14</f>
        <v>0</v>
      </c>
      <c r="AB225" s="142">
        <f t="shared" si="26"/>
        <v>38.585091596823631</v>
      </c>
      <c r="AD225" s="142">
        <v>0</v>
      </c>
      <c r="AE225" s="142">
        <v>0</v>
      </c>
      <c r="AF225" s="142">
        <v>0</v>
      </c>
      <c r="AG225" s="142">
        <v>0</v>
      </c>
      <c r="AH225" s="142">
        <v>0</v>
      </c>
      <c r="AK225" s="143">
        <f>('Co-Processing'!G215*'Co-Pro Feedstock Breakdown'!$AL$199)/12*'Co-Pro Feedstock Breakdown'!T225*7.5</f>
        <v>52.071919895524452</v>
      </c>
    </row>
    <row r="226" spans="1:37" x14ac:dyDescent="0.25">
      <c r="A226" s="96">
        <v>45597</v>
      </c>
      <c r="B226" s="104">
        <f t="shared" si="34"/>
        <v>25</v>
      </c>
      <c r="C226" s="104">
        <f>('Co-Processing'!B228*'Co-Pro Feedstock Breakdown'!C$3*'Feedstock Conversion Rates'!B$12)/12-10-15</f>
        <v>10.520833333333336</v>
      </c>
      <c r="D226" s="106">
        <f t="shared" si="35"/>
        <v>35.520833333333336</v>
      </c>
      <c r="E226" s="104">
        <f>('Co-Processing'!C228*'Co-Pro Feedstock Breakdown'!E$3*'Feedstock Conversion Rates'!B$13)/12</f>
        <v>25.78125</v>
      </c>
      <c r="F226" s="104">
        <f>('Co-Processing'!C228*'Co-Pro Feedstock Breakdown'!F$3*'Feedstock Conversion Rates'!B$14)/12</f>
        <v>8.5364583333333339</v>
      </c>
      <c r="G226" s="106">
        <f t="shared" si="24"/>
        <v>34.317708333333336</v>
      </c>
      <c r="H226" s="104">
        <f>('Co-Processing'!D228*'Co-Pro Feedstock Breakdown'!H$3*'Feedstock Conversion Rates'!B$13)/12</f>
        <v>31.25</v>
      </c>
      <c r="I226" s="106">
        <f t="shared" si="25"/>
        <v>31.25</v>
      </c>
      <c r="J226" s="104">
        <f>('Co-Processing'!E228*'Co-Pro Feedstock Breakdown'!J$3*'Feedstock Conversion Rates'!B$13)/12</f>
        <v>1.25</v>
      </c>
      <c r="K226" s="104">
        <f>('Co-Processing'!E228*'Co-Pro Feedstock Breakdown'!K$3*'Feedstock Conversion Rates'!B$12)/12</f>
        <v>1.2916666666666667</v>
      </c>
      <c r="L226" s="106">
        <f t="shared" si="29"/>
        <v>2.541666666666667</v>
      </c>
      <c r="N226" s="104">
        <f t="shared" si="30"/>
        <v>83.28125</v>
      </c>
      <c r="O226" s="104">
        <f t="shared" si="33"/>
        <v>20.348958333333336</v>
      </c>
      <c r="P226" s="104"/>
      <c r="Q226" s="106">
        <f t="shared" si="31"/>
        <v>103.63020833333334</v>
      </c>
      <c r="R226" s="141">
        <f t="shared" si="32"/>
        <v>0</v>
      </c>
      <c r="T226" s="110">
        <f t="shared" si="27"/>
        <v>0.80363873950846854</v>
      </c>
      <c r="U226" s="110">
        <f t="shared" si="27"/>
        <v>0.19636126049153138</v>
      </c>
      <c r="V226" s="110">
        <f t="shared" si="27"/>
        <v>0</v>
      </c>
      <c r="W226" s="110">
        <f t="shared" si="28"/>
        <v>0.99999999999999989</v>
      </c>
      <c r="Y226" s="142">
        <f>T226*'Co-Processing'!K228*'Feedstock Conversion Rates'!B$13</f>
        <v>43.288290013569878</v>
      </c>
      <c r="Z226" s="142">
        <f>U226*'Co-Processing'!K228*'Feedstock Conversion Rates'!B$12</f>
        <v>10.929638985977785</v>
      </c>
      <c r="AA226" s="142">
        <f>V226*'Co-Processing'!K228*'Feedstock Conversion Rates'!B$14</f>
        <v>0</v>
      </c>
      <c r="AB226" s="142">
        <f t="shared" si="26"/>
        <v>54.217928999547667</v>
      </c>
      <c r="AD226" s="142">
        <v>0</v>
      </c>
      <c r="AE226" s="142">
        <v>0</v>
      </c>
      <c r="AF226" s="142">
        <v>0</v>
      </c>
      <c r="AG226" s="142">
        <v>0</v>
      </c>
      <c r="AH226" s="142">
        <v>0</v>
      </c>
      <c r="AK226" s="143">
        <f>('Co-Processing'!G216*'Co-Pro Feedstock Breakdown'!$AL$199)/12*'Co-Pro Feedstock Breakdown'!T226*7.5</f>
        <v>52.349675977817007</v>
      </c>
    </row>
    <row r="227" spans="1:37" x14ac:dyDescent="0.25">
      <c r="A227" s="96">
        <v>45627</v>
      </c>
      <c r="B227" s="104">
        <f t="shared" si="34"/>
        <v>25</v>
      </c>
      <c r="C227" s="104">
        <f>('Co-Processing'!B229*'Co-Pro Feedstock Breakdown'!C$3*'Feedstock Conversion Rates'!B$12)/12-10-15</f>
        <v>10.520833333333336</v>
      </c>
      <c r="D227" s="106">
        <f t="shared" si="35"/>
        <v>35.520833333333336</v>
      </c>
      <c r="E227" s="104">
        <f>('Co-Processing'!C229*'Co-Pro Feedstock Breakdown'!E$3*'Feedstock Conversion Rates'!B$13)/12</f>
        <v>25.78125</v>
      </c>
      <c r="F227" s="104">
        <f>('Co-Processing'!C229*'Co-Pro Feedstock Breakdown'!F$3*'Feedstock Conversion Rates'!B$14)/12</f>
        <v>8.5364583333333339</v>
      </c>
      <c r="G227" s="106">
        <f t="shared" si="24"/>
        <v>34.317708333333336</v>
      </c>
      <c r="H227" s="104">
        <f>('Co-Processing'!D229*'Co-Pro Feedstock Breakdown'!H$3*'Feedstock Conversion Rates'!B$13)/12</f>
        <v>31.25</v>
      </c>
      <c r="I227" s="106">
        <f t="shared" si="25"/>
        <v>31.25</v>
      </c>
      <c r="J227" s="104">
        <f>('Co-Processing'!E229*'Co-Pro Feedstock Breakdown'!J$3*'Feedstock Conversion Rates'!B$13)/12</f>
        <v>1.25</v>
      </c>
      <c r="K227" s="104">
        <f>('Co-Processing'!E229*'Co-Pro Feedstock Breakdown'!K$3*'Feedstock Conversion Rates'!B$12)/12</f>
        <v>1.2916666666666667</v>
      </c>
      <c r="L227" s="106">
        <f t="shared" si="29"/>
        <v>2.541666666666667</v>
      </c>
      <c r="N227" s="104">
        <f t="shared" si="30"/>
        <v>83.28125</v>
      </c>
      <c r="O227" s="104">
        <f t="shared" si="33"/>
        <v>20.348958333333336</v>
      </c>
      <c r="P227" s="104"/>
      <c r="Q227" s="106">
        <f t="shared" si="31"/>
        <v>103.63020833333334</v>
      </c>
      <c r="R227" s="141">
        <f t="shared" si="32"/>
        <v>0</v>
      </c>
      <c r="T227" s="110">
        <f t="shared" si="27"/>
        <v>0.80363873950846854</v>
      </c>
      <c r="U227" s="110">
        <f t="shared" si="27"/>
        <v>0.19636126049153138</v>
      </c>
      <c r="V227" s="110">
        <f t="shared" si="27"/>
        <v>0</v>
      </c>
      <c r="W227" s="110">
        <f t="shared" si="28"/>
        <v>0.99999999999999989</v>
      </c>
      <c r="Y227" s="142">
        <f>T227*'Co-Processing'!K229*'Feedstock Conversion Rates'!B$13</f>
        <v>38.699792075438509</v>
      </c>
      <c r="Z227" s="142">
        <f>U227*'Co-Processing'!K229*'Feedstock Conversion Rates'!B$12</f>
        <v>9.7711126053802086</v>
      </c>
      <c r="AA227" s="142">
        <f>V227*'Co-Processing'!K229*'Feedstock Conversion Rates'!B$14</f>
        <v>0</v>
      </c>
      <c r="AB227" s="142">
        <f t="shared" si="26"/>
        <v>48.47090468081872</v>
      </c>
      <c r="AD227" s="142">
        <v>0</v>
      </c>
      <c r="AE227" s="142">
        <v>0</v>
      </c>
      <c r="AF227" s="142">
        <v>0</v>
      </c>
      <c r="AG227" s="142">
        <v>0</v>
      </c>
      <c r="AH227" s="142">
        <v>0</v>
      </c>
      <c r="AK227" s="143">
        <f>('Co-Processing'!G217*'Co-Pro Feedstock Breakdown'!$AL$199)/12*'Co-Pro Feedstock Breakdown'!T227*7.5</f>
        <v>51.598776532862985</v>
      </c>
    </row>
    <row r="228" spans="1:37" x14ac:dyDescent="0.25">
      <c r="A228" s="96">
        <v>45658</v>
      </c>
      <c r="B228" s="104">
        <f t="shared" si="34"/>
        <v>25</v>
      </c>
      <c r="C228" s="104">
        <f>('Co-Processing'!B230*'Co-Pro Feedstock Breakdown'!C$3*'Feedstock Conversion Rates'!B$12)/12-10-15</f>
        <v>10.520833333333336</v>
      </c>
      <c r="D228" s="106">
        <f t="shared" si="35"/>
        <v>35.520833333333336</v>
      </c>
      <c r="E228" s="104">
        <f>('Co-Processing'!C230*'Co-Pro Feedstock Breakdown'!E$3*'Feedstock Conversion Rates'!B$13)/12</f>
        <v>25.78125</v>
      </c>
      <c r="F228" s="104">
        <f>('Co-Processing'!C230*'Co-Pro Feedstock Breakdown'!F$3*'Feedstock Conversion Rates'!B$14)/12</f>
        <v>8.5364583333333339</v>
      </c>
      <c r="G228" s="106">
        <f t="shared" si="24"/>
        <v>34.317708333333336</v>
      </c>
      <c r="H228" s="104">
        <f>('Co-Processing'!D230*'Co-Pro Feedstock Breakdown'!H$3*'Feedstock Conversion Rates'!B$13)/12</f>
        <v>31.25</v>
      </c>
      <c r="I228" s="106">
        <f t="shared" si="25"/>
        <v>31.25</v>
      </c>
      <c r="J228" s="104">
        <f>('Co-Processing'!E230*'Co-Pro Feedstock Breakdown'!J$3*'Feedstock Conversion Rates'!B$13)/12</f>
        <v>1.25</v>
      </c>
      <c r="K228" s="104">
        <f>('Co-Processing'!E230*'Co-Pro Feedstock Breakdown'!K$3*'Feedstock Conversion Rates'!B$12)/12</f>
        <v>1.2916666666666667</v>
      </c>
      <c r="L228" s="106">
        <f t="shared" si="29"/>
        <v>2.541666666666667</v>
      </c>
      <c r="N228" s="104">
        <f t="shared" si="30"/>
        <v>83.28125</v>
      </c>
      <c r="O228" s="104">
        <f t="shared" si="33"/>
        <v>20.348958333333336</v>
      </c>
      <c r="P228" s="104"/>
      <c r="Q228" s="106">
        <f t="shared" si="31"/>
        <v>103.63020833333334</v>
      </c>
      <c r="R228" s="141">
        <f t="shared" si="32"/>
        <v>0</v>
      </c>
      <c r="T228" s="110">
        <f t="shared" si="27"/>
        <v>0.80363873950846854</v>
      </c>
      <c r="U228" s="110">
        <f t="shared" si="27"/>
        <v>0.19636126049153138</v>
      </c>
      <c r="V228" s="110">
        <f t="shared" si="27"/>
        <v>0</v>
      </c>
      <c r="W228" s="110">
        <f t="shared" si="28"/>
        <v>0.99999999999999989</v>
      </c>
      <c r="Y228" s="142">
        <f>T228*'Co-Processing'!K230*'Feedstock Conversion Rates'!B$13</f>
        <v>32.643853817158366</v>
      </c>
      <c r="Z228" s="142">
        <f>U228*'Co-Processing'!K230*'Feedstock Conversion Rates'!B$12</f>
        <v>8.242079722269688</v>
      </c>
      <c r="AA228" s="142">
        <f>V228*'Co-Processing'!K230*'Feedstock Conversion Rates'!B$14</f>
        <v>0</v>
      </c>
      <c r="AB228" s="142">
        <f t="shared" si="26"/>
        <v>40.885933539428052</v>
      </c>
      <c r="AD228" s="142">
        <v>0</v>
      </c>
      <c r="AE228" s="142">
        <v>0</v>
      </c>
      <c r="AF228" s="142">
        <v>0</v>
      </c>
      <c r="AG228" s="142">
        <v>0</v>
      </c>
      <c r="AH228" s="142">
        <v>0</v>
      </c>
      <c r="AK228" s="143">
        <f>('Co-Processing'!G218*'Co-Pro Feedstock Breakdown'!$AL$199)/12*'Co-Pro Feedstock Breakdown'!T228*7.5</f>
        <v>52.02586536846006</v>
      </c>
    </row>
    <row r="229" spans="1:37" x14ac:dyDescent="0.25">
      <c r="A229" s="96">
        <v>45689</v>
      </c>
      <c r="B229" s="104">
        <f t="shared" si="34"/>
        <v>25</v>
      </c>
      <c r="C229" s="104">
        <f>('Co-Processing'!B231*'Co-Pro Feedstock Breakdown'!C$3*'Feedstock Conversion Rates'!B$12)/12-10-15</f>
        <v>10.520833333333336</v>
      </c>
      <c r="D229" s="106">
        <f t="shared" si="35"/>
        <v>35.520833333333336</v>
      </c>
      <c r="E229" s="104">
        <f>('Co-Processing'!C231*'Co-Pro Feedstock Breakdown'!E$3*'Feedstock Conversion Rates'!B$13)/12</f>
        <v>25.78125</v>
      </c>
      <c r="F229" s="104">
        <f>('Co-Processing'!C231*'Co-Pro Feedstock Breakdown'!F$3*'Feedstock Conversion Rates'!B$14)/12</f>
        <v>8.5364583333333339</v>
      </c>
      <c r="G229" s="106">
        <f t="shared" si="24"/>
        <v>34.317708333333336</v>
      </c>
      <c r="H229" s="104">
        <f>('Co-Processing'!D231*'Co-Pro Feedstock Breakdown'!H$3*'Feedstock Conversion Rates'!B$13)/12</f>
        <v>31.25</v>
      </c>
      <c r="I229" s="106">
        <f t="shared" si="25"/>
        <v>31.25</v>
      </c>
      <c r="J229" s="104">
        <f>('Co-Processing'!E231*'Co-Pro Feedstock Breakdown'!J$3*'Feedstock Conversion Rates'!B$13)/12</f>
        <v>1.25</v>
      </c>
      <c r="K229" s="104">
        <f>('Co-Processing'!E231*'Co-Pro Feedstock Breakdown'!K$3*'Feedstock Conversion Rates'!B$12)/12</f>
        <v>1.2916666666666667</v>
      </c>
      <c r="L229" s="106">
        <f t="shared" si="29"/>
        <v>2.541666666666667</v>
      </c>
      <c r="N229" s="104">
        <f t="shared" si="30"/>
        <v>83.28125</v>
      </c>
      <c r="O229" s="104">
        <f t="shared" si="33"/>
        <v>20.348958333333336</v>
      </c>
      <c r="P229" s="104"/>
      <c r="Q229" s="106">
        <f t="shared" si="31"/>
        <v>103.63020833333334</v>
      </c>
      <c r="R229" s="141">
        <f t="shared" si="32"/>
        <v>0</v>
      </c>
      <c r="T229" s="110">
        <f t="shared" si="27"/>
        <v>0.80363873950846854</v>
      </c>
      <c r="U229" s="110">
        <f t="shared" si="27"/>
        <v>0.19636126049153138</v>
      </c>
      <c r="V229" s="110">
        <f t="shared" si="27"/>
        <v>0</v>
      </c>
      <c r="W229" s="110">
        <f t="shared" si="28"/>
        <v>0.99999999999999989</v>
      </c>
      <c r="Y229" s="142">
        <f>T229*'Co-Processing'!K231*'Feedstock Conversion Rates'!B$13</f>
        <v>27.940523939538622</v>
      </c>
      <c r="Z229" s="142">
        <f>U229*'Co-Processing'!K231*'Feedstock Conversion Rates'!B$12</f>
        <v>7.0545600124767551</v>
      </c>
      <c r="AA229" s="142">
        <f>V229*'Co-Processing'!K231*'Feedstock Conversion Rates'!B$14</f>
        <v>0</v>
      </c>
      <c r="AB229" s="142">
        <f t="shared" si="26"/>
        <v>34.995083952015378</v>
      </c>
      <c r="AD229" s="142">
        <v>0</v>
      </c>
      <c r="AE229" s="142">
        <v>0</v>
      </c>
      <c r="AF229" s="142">
        <v>0</v>
      </c>
      <c r="AG229" s="142">
        <v>0</v>
      </c>
      <c r="AH229" s="142">
        <v>0</v>
      </c>
      <c r="AK229" s="143">
        <f>('Co-Processing'!G219*'Co-Pro Feedstock Breakdown'!$AL$199)/12*'Co-Pro Feedstock Breakdown'!T229*7.5</f>
        <v>51.82571939152259</v>
      </c>
    </row>
    <row r="230" spans="1:37" x14ac:dyDescent="0.25">
      <c r="A230" s="96">
        <v>45717</v>
      </c>
      <c r="B230" s="104">
        <f t="shared" si="34"/>
        <v>25</v>
      </c>
      <c r="C230" s="104">
        <f>('Co-Processing'!B232*'Co-Pro Feedstock Breakdown'!C$3*'Feedstock Conversion Rates'!B$12)/12-10-15</f>
        <v>10.520833333333336</v>
      </c>
      <c r="D230" s="106">
        <f t="shared" si="35"/>
        <v>35.520833333333336</v>
      </c>
      <c r="E230" s="104">
        <f>('Co-Processing'!C232*'Co-Pro Feedstock Breakdown'!E$3*'Feedstock Conversion Rates'!B$13)/12</f>
        <v>25.78125</v>
      </c>
      <c r="F230" s="104">
        <f>('Co-Processing'!C232*'Co-Pro Feedstock Breakdown'!F$3*'Feedstock Conversion Rates'!B$14)/12</f>
        <v>8.5364583333333339</v>
      </c>
      <c r="G230" s="106">
        <f t="shared" si="24"/>
        <v>34.317708333333336</v>
      </c>
      <c r="H230" s="104">
        <f>('Co-Processing'!D232*'Co-Pro Feedstock Breakdown'!H$3*'Feedstock Conversion Rates'!B$13)/12</f>
        <v>31.25</v>
      </c>
      <c r="I230" s="106">
        <f t="shared" si="25"/>
        <v>31.25</v>
      </c>
      <c r="J230" s="104">
        <f>('Co-Processing'!E232*'Co-Pro Feedstock Breakdown'!J$3*'Feedstock Conversion Rates'!B$13)/12</f>
        <v>1.25</v>
      </c>
      <c r="K230" s="104">
        <f>('Co-Processing'!E232*'Co-Pro Feedstock Breakdown'!K$3*'Feedstock Conversion Rates'!B$12)/12</f>
        <v>1.2916666666666667</v>
      </c>
      <c r="L230" s="106">
        <f t="shared" si="29"/>
        <v>2.541666666666667</v>
      </c>
      <c r="N230" s="104">
        <f t="shared" si="30"/>
        <v>83.28125</v>
      </c>
      <c r="O230" s="104">
        <f t="shared" si="33"/>
        <v>20.348958333333336</v>
      </c>
      <c r="P230" s="104"/>
      <c r="Q230" s="106">
        <f t="shared" si="31"/>
        <v>103.63020833333334</v>
      </c>
      <c r="R230" s="141">
        <f t="shared" si="32"/>
        <v>0</v>
      </c>
      <c r="T230" s="110">
        <f t="shared" si="27"/>
        <v>0.80363873950846854</v>
      </c>
      <c r="U230" s="110">
        <f t="shared" si="27"/>
        <v>0.19636126049153138</v>
      </c>
      <c r="V230" s="110">
        <f t="shared" si="27"/>
        <v>0</v>
      </c>
      <c r="W230" s="110">
        <f t="shared" si="28"/>
        <v>0.99999999999999989</v>
      </c>
      <c r="Y230" s="142">
        <f>T230*'Co-Processing'!K232*'Feedstock Conversion Rates'!B$13</f>
        <v>39.601245704126249</v>
      </c>
      <c r="Z230" s="142">
        <f>U230*'Co-Processing'!K232*'Feedstock Conversion Rates'!B$12</f>
        <v>9.9987160224028742</v>
      </c>
      <c r="AA230" s="142">
        <f>V230*'Co-Processing'!K232*'Feedstock Conversion Rates'!B$14</f>
        <v>0</v>
      </c>
      <c r="AB230" s="142">
        <f t="shared" si="26"/>
        <v>49.599961726529123</v>
      </c>
      <c r="AD230" s="142">
        <v>0</v>
      </c>
      <c r="AE230" s="142">
        <v>0</v>
      </c>
      <c r="AF230" s="142">
        <v>0</v>
      </c>
      <c r="AG230" s="142">
        <v>0</v>
      </c>
      <c r="AH230" s="142">
        <v>0</v>
      </c>
      <c r="AK230" s="143">
        <f>('Co-Processing'!G220*'Co-Pro Feedstock Breakdown'!$AL$199)/12*'Co-Pro Feedstock Breakdown'!T230*7.5</f>
        <v>52.120994999246108</v>
      </c>
    </row>
    <row r="231" spans="1:37" x14ac:dyDescent="0.25">
      <c r="A231" s="96">
        <v>45748</v>
      </c>
      <c r="B231" s="104">
        <f t="shared" si="34"/>
        <v>25</v>
      </c>
      <c r="C231" s="104">
        <f>('Co-Processing'!B233*'Co-Pro Feedstock Breakdown'!C$3*'Feedstock Conversion Rates'!B$12)/12-10-15</f>
        <v>10.520833333333336</v>
      </c>
      <c r="D231" s="106">
        <f t="shared" si="35"/>
        <v>35.520833333333336</v>
      </c>
      <c r="E231" s="104">
        <f>('Co-Processing'!C233*'Co-Pro Feedstock Breakdown'!E$3*'Feedstock Conversion Rates'!B$13)/12</f>
        <v>25.78125</v>
      </c>
      <c r="F231" s="104">
        <f>('Co-Processing'!C233*'Co-Pro Feedstock Breakdown'!F$3*'Feedstock Conversion Rates'!B$14)/12</f>
        <v>8.5364583333333339</v>
      </c>
      <c r="G231" s="106">
        <f t="shared" si="24"/>
        <v>34.317708333333336</v>
      </c>
      <c r="H231" s="104">
        <f>('Co-Processing'!D233*'Co-Pro Feedstock Breakdown'!H$3*'Feedstock Conversion Rates'!B$13)/12</f>
        <v>31.25</v>
      </c>
      <c r="I231" s="106">
        <f t="shared" si="25"/>
        <v>31.25</v>
      </c>
      <c r="J231" s="104">
        <f>('Co-Processing'!E233*'Co-Pro Feedstock Breakdown'!J$3*'Feedstock Conversion Rates'!B$13)/12</f>
        <v>1.25</v>
      </c>
      <c r="K231" s="104">
        <f>('Co-Processing'!E233*'Co-Pro Feedstock Breakdown'!K$3*'Feedstock Conversion Rates'!B$12)/12</f>
        <v>1.2916666666666667</v>
      </c>
      <c r="L231" s="106">
        <f t="shared" si="29"/>
        <v>2.541666666666667</v>
      </c>
      <c r="N231" s="104">
        <f t="shared" si="30"/>
        <v>83.28125</v>
      </c>
      <c r="O231" s="104">
        <f t="shared" si="33"/>
        <v>20.348958333333336</v>
      </c>
      <c r="P231" s="104"/>
      <c r="Q231" s="106">
        <f t="shared" si="31"/>
        <v>103.63020833333334</v>
      </c>
      <c r="R231" s="141">
        <f t="shared" si="32"/>
        <v>0</v>
      </c>
      <c r="T231" s="110">
        <f t="shared" si="27"/>
        <v>0.80363873950846854</v>
      </c>
      <c r="U231" s="110">
        <f t="shared" si="27"/>
        <v>0.19636126049153138</v>
      </c>
      <c r="V231" s="110">
        <f t="shared" si="27"/>
        <v>0</v>
      </c>
      <c r="W231" s="110">
        <f t="shared" si="28"/>
        <v>0.99999999999999989</v>
      </c>
      <c r="Y231" s="142">
        <f>T231*'Co-Processing'!K233*'Feedstock Conversion Rates'!B$13</f>
        <v>22.931098582904724</v>
      </c>
      <c r="Z231" s="142">
        <f>U231*'Co-Processing'!K233*'Feedstock Conversion Rates'!B$12</f>
        <v>5.7897558204412585</v>
      </c>
      <c r="AA231" s="142">
        <f>V231*'Co-Processing'!K233*'Feedstock Conversion Rates'!B$14</f>
        <v>0</v>
      </c>
      <c r="AB231" s="142">
        <f t="shared" si="26"/>
        <v>28.720854403345982</v>
      </c>
      <c r="AD231" s="142">
        <v>0</v>
      </c>
      <c r="AE231" s="142">
        <v>0</v>
      </c>
      <c r="AF231" s="142">
        <v>0</v>
      </c>
      <c r="AG231" s="142">
        <v>0</v>
      </c>
      <c r="AH231" s="142">
        <v>0</v>
      </c>
      <c r="AK231" s="143">
        <f>('Co-Processing'!G221*'Co-Pro Feedstock Breakdown'!$AL$199)/12*'Co-Pro Feedstock Breakdown'!T231*7.5</f>
        <v>52.437427752927576</v>
      </c>
    </row>
    <row r="232" spans="1:37" x14ac:dyDescent="0.25">
      <c r="A232" s="96">
        <v>45778</v>
      </c>
      <c r="B232" s="104">
        <f t="shared" si="34"/>
        <v>25</v>
      </c>
      <c r="C232" s="104">
        <f>('Co-Processing'!B234*'Co-Pro Feedstock Breakdown'!C$3*'Feedstock Conversion Rates'!B$12)/12-10-15</f>
        <v>10.520833333333336</v>
      </c>
      <c r="D232" s="106">
        <f t="shared" si="35"/>
        <v>35.520833333333336</v>
      </c>
      <c r="E232" s="104">
        <f>('Co-Processing'!C234*'Co-Pro Feedstock Breakdown'!E$3*'Feedstock Conversion Rates'!B$13)/12</f>
        <v>25.78125</v>
      </c>
      <c r="F232" s="104">
        <f>('Co-Processing'!C234*'Co-Pro Feedstock Breakdown'!F$3*'Feedstock Conversion Rates'!B$14)/12</f>
        <v>8.5364583333333339</v>
      </c>
      <c r="G232" s="106">
        <f t="shared" si="24"/>
        <v>34.317708333333336</v>
      </c>
      <c r="H232" s="104">
        <f>('Co-Processing'!D234*'Co-Pro Feedstock Breakdown'!H$3*'Feedstock Conversion Rates'!B$13)/12</f>
        <v>31.25</v>
      </c>
      <c r="I232" s="106">
        <f t="shared" si="25"/>
        <v>31.25</v>
      </c>
      <c r="J232" s="104">
        <f>('Co-Processing'!E234*'Co-Pro Feedstock Breakdown'!J$3*'Feedstock Conversion Rates'!B$13)/12</f>
        <v>1.25</v>
      </c>
      <c r="K232" s="104">
        <f>('Co-Processing'!E234*'Co-Pro Feedstock Breakdown'!K$3*'Feedstock Conversion Rates'!B$12)/12</f>
        <v>1.2916666666666667</v>
      </c>
      <c r="L232" s="106">
        <f t="shared" si="29"/>
        <v>2.541666666666667</v>
      </c>
      <c r="N232" s="104">
        <f t="shared" si="30"/>
        <v>83.28125</v>
      </c>
      <c r="O232" s="104">
        <f t="shared" si="33"/>
        <v>20.348958333333336</v>
      </c>
      <c r="P232" s="104"/>
      <c r="Q232" s="106">
        <f t="shared" si="31"/>
        <v>103.63020833333334</v>
      </c>
      <c r="R232" s="141">
        <f t="shared" si="32"/>
        <v>0</v>
      </c>
      <c r="T232" s="110">
        <f t="shared" si="27"/>
        <v>0.80363873950846854</v>
      </c>
      <c r="U232" s="110">
        <f t="shared" si="27"/>
        <v>0.19636126049153138</v>
      </c>
      <c r="V232" s="110">
        <f t="shared" si="27"/>
        <v>0</v>
      </c>
      <c r="W232" s="110">
        <f t="shared" si="28"/>
        <v>0.99999999999999989</v>
      </c>
      <c r="Y232" s="142">
        <f>T232*'Co-Processing'!K234*'Feedstock Conversion Rates'!B$13</f>
        <v>26.894044093007654</v>
      </c>
      <c r="Z232" s="142">
        <f>U232*'Co-Processing'!K234*'Feedstock Conversion Rates'!B$12</f>
        <v>6.7903396673187579</v>
      </c>
      <c r="AA232" s="142">
        <f>V232*'Co-Processing'!K234*'Feedstock Conversion Rates'!B$14</f>
        <v>0</v>
      </c>
      <c r="AB232" s="142">
        <f t="shared" si="26"/>
        <v>33.684383760326412</v>
      </c>
      <c r="AD232" s="142">
        <v>0</v>
      </c>
      <c r="AE232" s="142">
        <v>0</v>
      </c>
      <c r="AF232" s="142">
        <v>0</v>
      </c>
      <c r="AG232" s="142">
        <v>0</v>
      </c>
      <c r="AH232" s="142">
        <v>0</v>
      </c>
      <c r="AK232" s="143">
        <f>('Co-Processing'!G222*'Co-Pro Feedstock Breakdown'!$AL$199)/12*'Co-Pro Feedstock Breakdown'!T232*7.5</f>
        <v>52.437427752927576</v>
      </c>
    </row>
    <row r="233" spans="1:37" x14ac:dyDescent="0.25">
      <c r="A233" s="96">
        <v>45809</v>
      </c>
      <c r="B233" s="104">
        <f t="shared" si="34"/>
        <v>25</v>
      </c>
      <c r="C233" s="104">
        <f>('Co-Processing'!B235*'Co-Pro Feedstock Breakdown'!C$3*'Feedstock Conversion Rates'!B$12)/12-10-15</f>
        <v>10.520833333333336</v>
      </c>
      <c r="D233" s="106">
        <f t="shared" si="35"/>
        <v>35.520833333333336</v>
      </c>
      <c r="E233" s="104">
        <f>('Co-Processing'!C235*'Co-Pro Feedstock Breakdown'!E$3*'Feedstock Conversion Rates'!B$13)/12</f>
        <v>25.78125</v>
      </c>
      <c r="F233" s="104">
        <f>('Co-Processing'!C235*'Co-Pro Feedstock Breakdown'!F$3*'Feedstock Conversion Rates'!B$14)/12</f>
        <v>8.5364583333333339</v>
      </c>
      <c r="G233" s="106">
        <f t="shared" si="24"/>
        <v>34.317708333333336</v>
      </c>
      <c r="H233" s="104">
        <f>('Co-Processing'!D235*'Co-Pro Feedstock Breakdown'!H$3*'Feedstock Conversion Rates'!B$13)/12</f>
        <v>31.25</v>
      </c>
      <c r="I233" s="106">
        <f t="shared" si="25"/>
        <v>31.25</v>
      </c>
      <c r="J233" s="104">
        <f>('Co-Processing'!E235*'Co-Pro Feedstock Breakdown'!J$3*'Feedstock Conversion Rates'!B$13)/12</f>
        <v>1.25</v>
      </c>
      <c r="K233" s="104">
        <f>('Co-Processing'!E235*'Co-Pro Feedstock Breakdown'!K$3*'Feedstock Conversion Rates'!B$12)/12</f>
        <v>1.2916666666666667</v>
      </c>
      <c r="L233" s="106">
        <f t="shared" si="29"/>
        <v>2.541666666666667</v>
      </c>
      <c r="N233" s="104">
        <f t="shared" si="30"/>
        <v>83.28125</v>
      </c>
      <c r="O233" s="104">
        <f t="shared" si="33"/>
        <v>20.348958333333336</v>
      </c>
      <c r="P233" s="104"/>
      <c r="Q233" s="106">
        <f t="shared" si="31"/>
        <v>103.63020833333334</v>
      </c>
      <c r="R233" s="141">
        <f t="shared" si="32"/>
        <v>0</v>
      </c>
      <c r="T233" s="110">
        <f t="shared" si="27"/>
        <v>0.80363873950846854</v>
      </c>
      <c r="U233" s="110">
        <f t="shared" si="27"/>
        <v>0.19636126049153138</v>
      </c>
      <c r="V233" s="110">
        <f t="shared" si="27"/>
        <v>0</v>
      </c>
      <c r="W233" s="110">
        <f t="shared" si="28"/>
        <v>0.99999999999999989</v>
      </c>
      <c r="Y233" s="142">
        <f>T233*'Co-Processing'!K235*'Feedstock Conversion Rates'!B$13</f>
        <v>31.856746561826895</v>
      </c>
      <c r="Z233" s="142">
        <f>U233*'Co-Processing'!K235*'Feedstock Conversion Rates'!B$12</f>
        <v>8.0433470363326833</v>
      </c>
      <c r="AA233" s="142">
        <f>V233*'Co-Processing'!K235*'Feedstock Conversion Rates'!B$14</f>
        <v>0</v>
      </c>
      <c r="AB233" s="142">
        <f t="shared" si="26"/>
        <v>39.900093598159579</v>
      </c>
      <c r="AD233" s="142">
        <v>0</v>
      </c>
      <c r="AE233" s="142">
        <v>0</v>
      </c>
      <c r="AF233" s="142">
        <v>0</v>
      </c>
      <c r="AG233" s="142">
        <v>0</v>
      </c>
      <c r="AH233" s="142">
        <v>0</v>
      </c>
      <c r="AK233" s="143">
        <f>('Co-Processing'!G223*'Co-Pro Feedstock Breakdown'!$AL$199)/12*'Co-Pro Feedstock Breakdown'!T233*7.5</f>
        <v>52.437427752927576</v>
      </c>
    </row>
    <row r="234" spans="1:37" x14ac:dyDescent="0.25">
      <c r="A234" s="96">
        <v>45839</v>
      </c>
      <c r="B234" s="104">
        <f t="shared" si="34"/>
        <v>25</v>
      </c>
      <c r="C234" s="104">
        <f>('Co-Processing'!B236*'Co-Pro Feedstock Breakdown'!C$3*'Feedstock Conversion Rates'!B$12)/12-10-15</f>
        <v>10.520833333333336</v>
      </c>
      <c r="D234" s="106">
        <f t="shared" si="35"/>
        <v>35.520833333333336</v>
      </c>
      <c r="E234" s="104">
        <f>('Co-Processing'!C236*'Co-Pro Feedstock Breakdown'!E$3*'Feedstock Conversion Rates'!B$13)/12</f>
        <v>25.78125</v>
      </c>
      <c r="F234" s="104">
        <f>('Co-Processing'!C236*'Co-Pro Feedstock Breakdown'!F$3*'Feedstock Conversion Rates'!B$14)/12</f>
        <v>8.5364583333333339</v>
      </c>
      <c r="G234" s="106">
        <f t="shared" si="24"/>
        <v>34.317708333333336</v>
      </c>
      <c r="H234" s="104">
        <f>('Co-Processing'!D236*'Co-Pro Feedstock Breakdown'!H$3*'Feedstock Conversion Rates'!B$13)/12</f>
        <v>31.25</v>
      </c>
      <c r="I234" s="106">
        <f t="shared" si="25"/>
        <v>31.25</v>
      </c>
      <c r="J234" s="104">
        <f>('Co-Processing'!E236*'Co-Pro Feedstock Breakdown'!J$3*'Feedstock Conversion Rates'!B$13)/12</f>
        <v>1.25</v>
      </c>
      <c r="K234" s="104">
        <f>('Co-Processing'!E236*'Co-Pro Feedstock Breakdown'!K$3*'Feedstock Conversion Rates'!B$12)/12</f>
        <v>1.2916666666666667</v>
      </c>
      <c r="L234" s="106">
        <f t="shared" si="29"/>
        <v>2.541666666666667</v>
      </c>
      <c r="N234" s="104">
        <f t="shared" si="30"/>
        <v>83.28125</v>
      </c>
      <c r="O234" s="104">
        <f t="shared" si="33"/>
        <v>20.348958333333336</v>
      </c>
      <c r="P234" s="104"/>
      <c r="Q234" s="106">
        <f t="shared" si="31"/>
        <v>103.63020833333334</v>
      </c>
      <c r="R234" s="141">
        <f t="shared" si="32"/>
        <v>0</v>
      </c>
      <c r="T234" s="110">
        <f t="shared" si="27"/>
        <v>0.80363873950846854</v>
      </c>
      <c r="U234" s="110">
        <f t="shared" si="27"/>
        <v>0.19636126049153138</v>
      </c>
      <c r="V234" s="110">
        <f t="shared" si="27"/>
        <v>0</v>
      </c>
      <c r="W234" s="110">
        <f t="shared" si="28"/>
        <v>0.99999999999999989</v>
      </c>
      <c r="Y234" s="142">
        <f>T234*'Co-Processing'!K236*'Feedstock Conversion Rates'!B$13</f>
        <v>28.188385186247071</v>
      </c>
      <c r="Z234" s="142">
        <f>U234*'Co-Processing'!K236*'Feedstock Conversion Rates'!B$12</f>
        <v>7.1171412311917583</v>
      </c>
      <c r="AA234" s="142">
        <f>V234*'Co-Processing'!K236*'Feedstock Conversion Rates'!B$14</f>
        <v>0</v>
      </c>
      <c r="AB234" s="142">
        <f t="shared" si="26"/>
        <v>35.305526417438827</v>
      </c>
      <c r="AD234" s="142">
        <v>0</v>
      </c>
      <c r="AE234" s="142">
        <v>0</v>
      </c>
      <c r="AF234" s="142">
        <v>0</v>
      </c>
      <c r="AG234" s="142">
        <v>0</v>
      </c>
      <c r="AH234" s="142">
        <v>0</v>
      </c>
      <c r="AK234" s="143">
        <f>('Co-Processing'!G224*'Co-Pro Feedstock Breakdown'!$AL$199)/12*'Co-Pro Feedstock Breakdown'!T234*7.5</f>
        <v>74.135673719656225</v>
      </c>
    </row>
    <row r="235" spans="1:37" x14ac:dyDescent="0.25">
      <c r="A235" s="96">
        <v>45870</v>
      </c>
      <c r="B235" s="104">
        <f t="shared" si="34"/>
        <v>25</v>
      </c>
      <c r="C235" s="104">
        <f>('Co-Processing'!B237*'Co-Pro Feedstock Breakdown'!C$3*'Feedstock Conversion Rates'!B$12)/12-10-15</f>
        <v>10.520833333333336</v>
      </c>
      <c r="D235" s="106">
        <f t="shared" si="35"/>
        <v>35.520833333333336</v>
      </c>
      <c r="E235" s="104">
        <f>('Co-Processing'!C237*'Co-Pro Feedstock Breakdown'!E$3*'Feedstock Conversion Rates'!B$13)/12</f>
        <v>25.78125</v>
      </c>
      <c r="F235" s="104">
        <f>('Co-Processing'!C237*'Co-Pro Feedstock Breakdown'!F$3*'Feedstock Conversion Rates'!B$14)/12</f>
        <v>8.5364583333333339</v>
      </c>
      <c r="G235" s="106">
        <f t="shared" si="24"/>
        <v>34.317708333333336</v>
      </c>
      <c r="H235" s="104">
        <f>('Co-Processing'!D237*'Co-Pro Feedstock Breakdown'!H$3*'Feedstock Conversion Rates'!B$13)/12</f>
        <v>31.25</v>
      </c>
      <c r="I235" s="106">
        <f t="shared" si="25"/>
        <v>31.25</v>
      </c>
      <c r="J235" s="104">
        <f>('Co-Processing'!E237*'Co-Pro Feedstock Breakdown'!J$3*'Feedstock Conversion Rates'!B$13)/12</f>
        <v>1.25</v>
      </c>
      <c r="K235" s="104">
        <f>('Co-Processing'!E237*'Co-Pro Feedstock Breakdown'!K$3*'Feedstock Conversion Rates'!B$12)/12</f>
        <v>1.2916666666666667</v>
      </c>
      <c r="L235" s="106">
        <f t="shared" si="29"/>
        <v>2.541666666666667</v>
      </c>
      <c r="N235" s="104">
        <f t="shared" si="30"/>
        <v>83.28125</v>
      </c>
      <c r="O235" s="104">
        <f t="shared" si="33"/>
        <v>20.348958333333336</v>
      </c>
      <c r="P235" s="104"/>
      <c r="Q235" s="106">
        <f t="shared" si="31"/>
        <v>103.63020833333334</v>
      </c>
      <c r="R235" s="141">
        <f t="shared" si="32"/>
        <v>0</v>
      </c>
      <c r="T235" s="110">
        <f t="shared" si="27"/>
        <v>0.80363873950846854</v>
      </c>
      <c r="U235" s="110">
        <f t="shared" si="27"/>
        <v>0.19636126049153138</v>
      </c>
      <c r="V235" s="110">
        <f t="shared" si="27"/>
        <v>0</v>
      </c>
      <c r="W235" s="110">
        <f t="shared" si="28"/>
        <v>0.99999999999999989</v>
      </c>
      <c r="Y235" s="142">
        <f>T235*'Co-Processing'!K237*'Feedstock Conversion Rates'!B$13</f>
        <v>40.340250953381968</v>
      </c>
      <c r="Z235" s="142">
        <f>U235*'Co-Processing'!K237*'Feedstock Conversion Rates'!B$12</f>
        <v>10.185303678800842</v>
      </c>
      <c r="AA235" s="142">
        <f>V235*'Co-Processing'!K237*'Feedstock Conversion Rates'!B$14</f>
        <v>0</v>
      </c>
      <c r="AB235" s="142">
        <f t="shared" si="26"/>
        <v>50.525554632182811</v>
      </c>
      <c r="AD235" s="142">
        <v>0</v>
      </c>
      <c r="AE235" s="142">
        <v>0</v>
      </c>
      <c r="AF235" s="142">
        <v>0</v>
      </c>
      <c r="AG235" s="142">
        <v>0</v>
      </c>
      <c r="AH235" s="142">
        <v>0</v>
      </c>
      <c r="AK235" s="143">
        <f>('Co-Processing'!G225*'Co-Pro Feedstock Breakdown'!$AL$199)/12*'Co-Pro Feedstock Breakdown'!T235*7.5</f>
        <v>74.135673719656225</v>
      </c>
    </row>
    <row r="236" spans="1:37" x14ac:dyDescent="0.25">
      <c r="A236" s="96">
        <v>45901</v>
      </c>
      <c r="B236" s="104">
        <f t="shared" si="34"/>
        <v>25</v>
      </c>
      <c r="C236" s="104">
        <f>('Co-Processing'!B238*'Co-Pro Feedstock Breakdown'!C$3*'Feedstock Conversion Rates'!B$12)/12-10-15</f>
        <v>10.520833333333336</v>
      </c>
      <c r="D236" s="106">
        <f t="shared" si="35"/>
        <v>35.520833333333336</v>
      </c>
      <c r="E236" s="104">
        <f>('Co-Processing'!C238*'Co-Pro Feedstock Breakdown'!E$3*'Feedstock Conversion Rates'!B$13)/12</f>
        <v>25.78125</v>
      </c>
      <c r="F236" s="104">
        <f>('Co-Processing'!C238*'Co-Pro Feedstock Breakdown'!F$3*'Feedstock Conversion Rates'!B$14)/12</f>
        <v>8.5364583333333339</v>
      </c>
      <c r="G236" s="106">
        <f t="shared" ref="G236:G299" si="36">SUM(E236:F236)</f>
        <v>34.317708333333336</v>
      </c>
      <c r="H236" s="104">
        <f>('Co-Processing'!D238*'Co-Pro Feedstock Breakdown'!H$3*'Feedstock Conversion Rates'!B$13)/12</f>
        <v>31.25</v>
      </c>
      <c r="I236" s="106">
        <f t="shared" si="25"/>
        <v>31.25</v>
      </c>
      <c r="J236" s="104">
        <f>('Co-Processing'!E238*'Co-Pro Feedstock Breakdown'!J$3*'Feedstock Conversion Rates'!B$13)/12</f>
        <v>1.25</v>
      </c>
      <c r="K236" s="104">
        <f>('Co-Processing'!E238*'Co-Pro Feedstock Breakdown'!K$3*'Feedstock Conversion Rates'!B$12)/12</f>
        <v>1.2916666666666667</v>
      </c>
      <c r="L236" s="106">
        <f t="shared" si="29"/>
        <v>2.541666666666667</v>
      </c>
      <c r="N236" s="104">
        <f t="shared" si="30"/>
        <v>83.28125</v>
      </c>
      <c r="O236" s="104">
        <f t="shared" si="33"/>
        <v>20.348958333333336</v>
      </c>
      <c r="P236" s="104"/>
      <c r="Q236" s="106">
        <f t="shared" si="31"/>
        <v>103.63020833333334</v>
      </c>
      <c r="R236" s="141">
        <f t="shared" si="32"/>
        <v>0</v>
      </c>
      <c r="T236" s="110">
        <f t="shared" si="27"/>
        <v>0.80363873950846854</v>
      </c>
      <c r="U236" s="110">
        <f t="shared" si="27"/>
        <v>0.19636126049153138</v>
      </c>
      <c r="V236" s="110">
        <f t="shared" si="27"/>
        <v>0</v>
      </c>
      <c r="W236" s="110">
        <f t="shared" si="28"/>
        <v>0.99999999999999989</v>
      </c>
      <c r="Y236" s="142">
        <f>T236*'Co-Processing'!K238*'Feedstock Conversion Rates'!B$13</f>
        <v>36.499783901892371</v>
      </c>
      <c r="Z236" s="142">
        <f>U236*'Co-Processing'!K238*'Feedstock Conversion Rates'!B$12</f>
        <v>9.2156437916312246</v>
      </c>
      <c r="AA236" s="142">
        <f>V236*'Co-Processing'!K238*'Feedstock Conversion Rates'!B$14</f>
        <v>0</v>
      </c>
      <c r="AB236" s="142">
        <f t="shared" si="26"/>
        <v>45.715427693523594</v>
      </c>
      <c r="AD236" s="142">
        <v>0</v>
      </c>
      <c r="AE236" s="142">
        <v>0</v>
      </c>
      <c r="AF236" s="142">
        <v>0</v>
      </c>
      <c r="AG236" s="142">
        <v>0</v>
      </c>
      <c r="AH236" s="142">
        <v>0</v>
      </c>
      <c r="AK236" s="143">
        <f>('Co-Processing'!G226*'Co-Pro Feedstock Breakdown'!$AL$199)/12*'Co-Pro Feedstock Breakdown'!T236*7.5</f>
        <v>74.135673719656225</v>
      </c>
    </row>
    <row r="237" spans="1:37" x14ac:dyDescent="0.25">
      <c r="A237" s="96">
        <v>45931</v>
      </c>
      <c r="B237" s="104">
        <f t="shared" si="34"/>
        <v>25</v>
      </c>
      <c r="C237" s="104">
        <f>('Co-Processing'!B239*'Co-Pro Feedstock Breakdown'!C$3*'Feedstock Conversion Rates'!B$12)/12-10-15</f>
        <v>10.520833333333336</v>
      </c>
      <c r="D237" s="106">
        <f t="shared" si="35"/>
        <v>35.520833333333336</v>
      </c>
      <c r="E237" s="104">
        <f>('Co-Processing'!C239*'Co-Pro Feedstock Breakdown'!E$3*'Feedstock Conversion Rates'!B$13)/12</f>
        <v>25.78125</v>
      </c>
      <c r="F237" s="104">
        <f>('Co-Processing'!C239*'Co-Pro Feedstock Breakdown'!F$3*'Feedstock Conversion Rates'!B$14)/12</f>
        <v>8.5364583333333339</v>
      </c>
      <c r="G237" s="106">
        <f t="shared" si="36"/>
        <v>34.317708333333336</v>
      </c>
      <c r="H237" s="104">
        <f>('Co-Processing'!D239*'Co-Pro Feedstock Breakdown'!H$3*'Feedstock Conversion Rates'!B$13)/12</f>
        <v>31.25</v>
      </c>
      <c r="I237" s="106">
        <f t="shared" si="25"/>
        <v>31.25</v>
      </c>
      <c r="J237" s="104">
        <f>('Co-Processing'!E239*'Co-Pro Feedstock Breakdown'!J$3*'Feedstock Conversion Rates'!B$13)/12</f>
        <v>1.25</v>
      </c>
      <c r="K237" s="104">
        <f>('Co-Processing'!E239*'Co-Pro Feedstock Breakdown'!K$3*'Feedstock Conversion Rates'!B$12)/12</f>
        <v>1.2916666666666667</v>
      </c>
      <c r="L237" s="106">
        <f t="shared" si="29"/>
        <v>2.541666666666667</v>
      </c>
      <c r="N237" s="104">
        <f t="shared" si="30"/>
        <v>83.28125</v>
      </c>
      <c r="O237" s="104">
        <f t="shared" si="33"/>
        <v>20.348958333333336</v>
      </c>
      <c r="P237" s="104"/>
      <c r="Q237" s="106">
        <f t="shared" si="31"/>
        <v>103.63020833333334</v>
      </c>
      <c r="R237" s="141">
        <f t="shared" si="32"/>
        <v>0</v>
      </c>
      <c r="T237" s="110">
        <f t="shared" si="27"/>
        <v>0.80363873950846854</v>
      </c>
      <c r="U237" s="110">
        <f t="shared" si="27"/>
        <v>0.19636126049153138</v>
      </c>
      <c r="V237" s="110">
        <f t="shared" si="27"/>
        <v>0</v>
      </c>
      <c r="W237" s="110">
        <f t="shared" si="28"/>
        <v>0.99999999999999989</v>
      </c>
      <c r="Y237" s="142">
        <f>T237*'Co-Processing'!K239*'Feedstock Conversion Rates'!B$13</f>
        <v>30.755166680740608</v>
      </c>
      <c r="Z237" s="142">
        <f>U237*'Co-Processing'!K239*'Feedstock Conversion Rates'!B$12</f>
        <v>7.7652147652100485</v>
      </c>
      <c r="AA237" s="142">
        <f>V237*'Co-Processing'!K239*'Feedstock Conversion Rates'!B$14</f>
        <v>0</v>
      </c>
      <c r="AB237" s="142">
        <f t="shared" si="26"/>
        <v>38.520381445950655</v>
      </c>
      <c r="AD237" s="142">
        <v>0</v>
      </c>
      <c r="AE237" s="142">
        <v>0</v>
      </c>
      <c r="AF237" s="142">
        <v>0</v>
      </c>
      <c r="AG237" s="142">
        <v>0</v>
      </c>
      <c r="AH237" s="142">
        <v>0</v>
      </c>
      <c r="AK237" s="143">
        <f>('Co-Processing'!G227*'Co-Pro Feedstock Breakdown'!$AL$199)/12*'Co-Pro Feedstock Breakdown'!T237*7.5</f>
        <v>74.135673719656225</v>
      </c>
    </row>
    <row r="238" spans="1:37" x14ac:dyDescent="0.25">
      <c r="A238" s="96">
        <v>45962</v>
      </c>
      <c r="B238" s="104">
        <f t="shared" si="34"/>
        <v>25</v>
      </c>
      <c r="C238" s="104">
        <f>('Co-Processing'!B240*'Co-Pro Feedstock Breakdown'!C$3*'Feedstock Conversion Rates'!B$12)/12-10-15</f>
        <v>10.520833333333336</v>
      </c>
      <c r="D238" s="106">
        <f t="shared" si="35"/>
        <v>35.520833333333336</v>
      </c>
      <c r="E238" s="104">
        <f>('Co-Processing'!C240*'Co-Pro Feedstock Breakdown'!E$3*'Feedstock Conversion Rates'!B$13)/12</f>
        <v>25.78125</v>
      </c>
      <c r="F238" s="104">
        <f>('Co-Processing'!C240*'Co-Pro Feedstock Breakdown'!F$3*'Feedstock Conversion Rates'!B$14)/12</f>
        <v>8.5364583333333339</v>
      </c>
      <c r="G238" s="106">
        <f t="shared" si="36"/>
        <v>34.317708333333336</v>
      </c>
      <c r="H238" s="104">
        <f>('Co-Processing'!D240*'Co-Pro Feedstock Breakdown'!H$3*'Feedstock Conversion Rates'!B$13)/12</f>
        <v>31.25</v>
      </c>
      <c r="I238" s="106">
        <f t="shared" si="25"/>
        <v>31.25</v>
      </c>
      <c r="J238" s="104">
        <f>('Co-Processing'!E240*'Co-Pro Feedstock Breakdown'!J$3*'Feedstock Conversion Rates'!B$13)/12</f>
        <v>1.25</v>
      </c>
      <c r="K238" s="104">
        <f>('Co-Processing'!E240*'Co-Pro Feedstock Breakdown'!K$3*'Feedstock Conversion Rates'!B$12)/12</f>
        <v>1.2916666666666667</v>
      </c>
      <c r="L238" s="106">
        <f t="shared" si="29"/>
        <v>2.541666666666667</v>
      </c>
      <c r="N238" s="104">
        <f t="shared" si="30"/>
        <v>83.28125</v>
      </c>
      <c r="O238" s="104">
        <f t="shared" si="33"/>
        <v>20.348958333333336</v>
      </c>
      <c r="P238" s="104"/>
      <c r="Q238" s="106">
        <f t="shared" si="31"/>
        <v>103.63020833333334</v>
      </c>
      <c r="R238" s="141">
        <f t="shared" si="32"/>
        <v>0</v>
      </c>
      <c r="T238" s="110">
        <f t="shared" si="27"/>
        <v>0.80363873950846854</v>
      </c>
      <c r="U238" s="110">
        <f t="shared" si="27"/>
        <v>0.19636126049153138</v>
      </c>
      <c r="V238" s="110">
        <f t="shared" si="27"/>
        <v>0</v>
      </c>
      <c r="W238" s="110">
        <f t="shared" si="28"/>
        <v>0.99999999999999989</v>
      </c>
      <c r="Y238" s="142">
        <f>T238*'Co-Processing'!K240*'Feedstock Conversion Rates'!B$13</f>
        <v>29.886782150222963</v>
      </c>
      <c r="Z238" s="142">
        <f>U238*'Co-Processing'!K240*'Feedstock Conversion Rates'!B$12</f>
        <v>7.5459607956817907</v>
      </c>
      <c r="AA238" s="142">
        <f>V238*'Co-Processing'!K240*'Feedstock Conversion Rates'!B$14</f>
        <v>0</v>
      </c>
      <c r="AB238" s="142">
        <f t="shared" si="26"/>
        <v>37.432742945904756</v>
      </c>
      <c r="AD238" s="142">
        <v>0</v>
      </c>
      <c r="AE238" s="142">
        <v>0</v>
      </c>
      <c r="AF238" s="142">
        <v>0</v>
      </c>
      <c r="AG238" s="142">
        <v>0</v>
      </c>
      <c r="AH238" s="142">
        <v>0</v>
      </c>
      <c r="AK238" s="143">
        <f>('Co-Processing'!G228*'Co-Pro Feedstock Breakdown'!$AL$199)/12*'Co-Pro Feedstock Breakdown'!T238*7.5</f>
        <v>74.135673719656225</v>
      </c>
    </row>
    <row r="239" spans="1:37" x14ac:dyDescent="0.25">
      <c r="A239" s="96">
        <v>45992</v>
      </c>
      <c r="B239" s="104">
        <f t="shared" si="34"/>
        <v>25</v>
      </c>
      <c r="C239" s="104">
        <f>('Co-Processing'!B241*'Co-Pro Feedstock Breakdown'!C$3*'Feedstock Conversion Rates'!B$12)/12-10-15</f>
        <v>10.520833333333336</v>
      </c>
      <c r="D239" s="106">
        <f t="shared" si="35"/>
        <v>35.520833333333336</v>
      </c>
      <c r="E239" s="104">
        <f>('Co-Processing'!C241*'Co-Pro Feedstock Breakdown'!E$3*'Feedstock Conversion Rates'!B$13)/12</f>
        <v>25.78125</v>
      </c>
      <c r="F239" s="104">
        <f>('Co-Processing'!C241*'Co-Pro Feedstock Breakdown'!F$3*'Feedstock Conversion Rates'!B$14)/12</f>
        <v>8.5364583333333339</v>
      </c>
      <c r="G239" s="106">
        <f t="shared" si="36"/>
        <v>34.317708333333336</v>
      </c>
      <c r="H239" s="104">
        <f>('Co-Processing'!D241*'Co-Pro Feedstock Breakdown'!H$3*'Feedstock Conversion Rates'!B$13)/12</f>
        <v>31.25</v>
      </c>
      <c r="I239" s="106">
        <f t="shared" si="25"/>
        <v>31.25</v>
      </c>
      <c r="J239" s="104">
        <f>('Co-Processing'!E241*'Co-Pro Feedstock Breakdown'!J$3*'Feedstock Conversion Rates'!B$13)/12</f>
        <v>1.25</v>
      </c>
      <c r="K239" s="104">
        <f>('Co-Processing'!E241*'Co-Pro Feedstock Breakdown'!K$3*'Feedstock Conversion Rates'!B$12)/12</f>
        <v>1.2916666666666667</v>
      </c>
      <c r="L239" s="106">
        <f t="shared" si="29"/>
        <v>2.541666666666667</v>
      </c>
      <c r="N239" s="104">
        <f t="shared" si="30"/>
        <v>83.28125</v>
      </c>
      <c r="O239" s="104">
        <f t="shared" si="33"/>
        <v>20.348958333333336</v>
      </c>
      <c r="P239" s="104"/>
      <c r="Q239" s="106">
        <f t="shared" si="31"/>
        <v>103.63020833333334</v>
      </c>
      <c r="R239" s="141">
        <f t="shared" si="32"/>
        <v>0</v>
      </c>
      <c r="T239" s="110">
        <f t="shared" si="27"/>
        <v>0.80363873950846854</v>
      </c>
      <c r="U239" s="110">
        <f t="shared" si="27"/>
        <v>0.19636126049153138</v>
      </c>
      <c r="V239" s="110">
        <f t="shared" si="27"/>
        <v>0</v>
      </c>
      <c r="W239" s="110">
        <f t="shared" si="28"/>
        <v>0.99999999999999989</v>
      </c>
      <c r="Y239" s="142">
        <f>T239*'Co-Processing'!K241*'Feedstock Conversion Rates'!B$13</f>
        <v>24.429758067555319</v>
      </c>
      <c r="Z239" s="142">
        <f>U239*'Co-Processing'!K241*'Feedstock Conversion Rates'!B$12</f>
        <v>6.1681446901565522</v>
      </c>
      <c r="AA239" s="142">
        <f>V239*'Co-Processing'!K241*'Feedstock Conversion Rates'!B$14</f>
        <v>0</v>
      </c>
      <c r="AB239" s="142">
        <f t="shared" si="26"/>
        <v>30.597902757711871</v>
      </c>
      <c r="AD239" s="142">
        <v>0</v>
      </c>
      <c r="AE239" s="142">
        <v>0</v>
      </c>
      <c r="AF239" s="142">
        <v>0</v>
      </c>
      <c r="AG239" s="142">
        <v>0</v>
      </c>
      <c r="AH239" s="142">
        <v>0</v>
      </c>
      <c r="AK239" s="143">
        <f>('Co-Processing'!G229*'Co-Pro Feedstock Breakdown'!$AL$199)/12*'Co-Pro Feedstock Breakdown'!T239*7.5</f>
        <v>74.135673719656225</v>
      </c>
    </row>
    <row r="240" spans="1:37" x14ac:dyDescent="0.25">
      <c r="A240" s="96">
        <v>46023</v>
      </c>
      <c r="B240" s="104">
        <f t="shared" si="34"/>
        <v>25</v>
      </c>
      <c r="C240" s="104">
        <f>('Co-Processing'!B242*'Co-Pro Feedstock Breakdown'!C$3*'Feedstock Conversion Rates'!B$12)/12-10-15</f>
        <v>10.520833333333336</v>
      </c>
      <c r="D240" s="106">
        <f t="shared" si="35"/>
        <v>35.520833333333336</v>
      </c>
      <c r="E240" s="104">
        <f>('Co-Processing'!C242*'Co-Pro Feedstock Breakdown'!E$3*'Feedstock Conversion Rates'!B$13)/12</f>
        <v>25.78125</v>
      </c>
      <c r="F240" s="104">
        <f>('Co-Processing'!C242*'Co-Pro Feedstock Breakdown'!F$3*'Feedstock Conversion Rates'!B$14)/12</f>
        <v>8.5364583333333339</v>
      </c>
      <c r="G240" s="106">
        <f t="shared" si="36"/>
        <v>34.317708333333336</v>
      </c>
      <c r="H240" s="104">
        <f>('Co-Processing'!D242*'Co-Pro Feedstock Breakdown'!H$3*'Feedstock Conversion Rates'!B$13)/12</f>
        <v>31.25</v>
      </c>
      <c r="I240" s="106">
        <f t="shared" si="25"/>
        <v>31.25</v>
      </c>
      <c r="J240" s="104">
        <f>('Co-Processing'!E242*'Co-Pro Feedstock Breakdown'!J$3*'Feedstock Conversion Rates'!B$13)/12</f>
        <v>1.25</v>
      </c>
      <c r="K240" s="104">
        <f>('Co-Processing'!E242*'Co-Pro Feedstock Breakdown'!K$3*'Feedstock Conversion Rates'!B$12)/12</f>
        <v>1.2916666666666667</v>
      </c>
      <c r="L240" s="106">
        <f t="shared" si="29"/>
        <v>2.541666666666667</v>
      </c>
      <c r="N240" s="104">
        <f t="shared" si="30"/>
        <v>83.28125</v>
      </c>
      <c r="O240" s="104">
        <f t="shared" si="33"/>
        <v>20.348958333333336</v>
      </c>
      <c r="P240" s="104"/>
      <c r="Q240" s="106">
        <f t="shared" si="31"/>
        <v>103.63020833333334</v>
      </c>
      <c r="R240" s="141">
        <f t="shared" si="32"/>
        <v>0</v>
      </c>
      <c r="T240" s="110">
        <f t="shared" si="27"/>
        <v>0.80363873950846854</v>
      </c>
      <c r="U240" s="110">
        <f t="shared" si="27"/>
        <v>0.19636126049153138</v>
      </c>
      <c r="V240" s="110">
        <f t="shared" si="27"/>
        <v>0</v>
      </c>
      <c r="W240" s="110">
        <f t="shared" si="28"/>
        <v>0.99999999999999989</v>
      </c>
      <c r="Y240" s="142">
        <f>T240*'Co-Processing'!K242*'Feedstock Conversion Rates'!B$13</f>
        <v>35.787241850159013</v>
      </c>
      <c r="Z240" s="142">
        <f>U240*'Co-Processing'!K242*'Feedstock Conversion Rates'!B$12</f>
        <v>9.0357376926531376</v>
      </c>
      <c r="AA240" s="142">
        <f>V240*'Co-Processing'!K242*'Feedstock Conversion Rates'!B$14</f>
        <v>0</v>
      </c>
      <c r="AB240" s="142">
        <f t="shared" si="26"/>
        <v>44.822979542812149</v>
      </c>
      <c r="AD240" s="142">
        <v>0</v>
      </c>
      <c r="AE240" s="142">
        <v>0</v>
      </c>
      <c r="AF240" s="142">
        <v>0</v>
      </c>
      <c r="AG240" s="142">
        <v>0</v>
      </c>
      <c r="AH240" s="142">
        <v>0</v>
      </c>
      <c r="AK240" s="143">
        <f>('Co-Processing'!G230*'Co-Pro Feedstock Breakdown'!$AL$199)/12*'Co-Pro Feedstock Breakdown'!T240*7.5</f>
        <v>74.135673719656225</v>
      </c>
    </row>
    <row r="241" spans="1:37" x14ac:dyDescent="0.25">
      <c r="A241" s="96">
        <v>46054</v>
      </c>
      <c r="B241" s="104">
        <f t="shared" si="34"/>
        <v>25</v>
      </c>
      <c r="C241" s="104">
        <f>('Co-Processing'!B243*'Co-Pro Feedstock Breakdown'!C$3*'Feedstock Conversion Rates'!B$12)/12-10-15</f>
        <v>10.520833333333336</v>
      </c>
      <c r="D241" s="106">
        <f t="shared" si="35"/>
        <v>35.520833333333336</v>
      </c>
      <c r="E241" s="104">
        <f>('Co-Processing'!C243*'Co-Pro Feedstock Breakdown'!E$3*'Feedstock Conversion Rates'!B$13)/12</f>
        <v>25.78125</v>
      </c>
      <c r="F241" s="104">
        <f>('Co-Processing'!C243*'Co-Pro Feedstock Breakdown'!F$3*'Feedstock Conversion Rates'!B$14)/12</f>
        <v>8.5364583333333339</v>
      </c>
      <c r="G241" s="106">
        <f t="shared" si="36"/>
        <v>34.317708333333336</v>
      </c>
      <c r="H241" s="104">
        <f>('Co-Processing'!D243*'Co-Pro Feedstock Breakdown'!H$3*'Feedstock Conversion Rates'!B$13)/12</f>
        <v>31.25</v>
      </c>
      <c r="I241" s="106">
        <f t="shared" si="25"/>
        <v>31.25</v>
      </c>
      <c r="J241" s="104">
        <f>('Co-Processing'!E243*'Co-Pro Feedstock Breakdown'!J$3*'Feedstock Conversion Rates'!B$13)/12</f>
        <v>1.25</v>
      </c>
      <c r="K241" s="104">
        <f>('Co-Processing'!E243*'Co-Pro Feedstock Breakdown'!K$3*'Feedstock Conversion Rates'!B$12)/12</f>
        <v>1.2916666666666667</v>
      </c>
      <c r="L241" s="106">
        <f t="shared" si="29"/>
        <v>2.541666666666667</v>
      </c>
      <c r="N241" s="104">
        <f t="shared" si="30"/>
        <v>83.28125</v>
      </c>
      <c r="O241" s="104">
        <f t="shared" si="33"/>
        <v>20.348958333333336</v>
      </c>
      <c r="P241" s="104"/>
      <c r="Q241" s="106">
        <f t="shared" si="31"/>
        <v>103.63020833333334</v>
      </c>
      <c r="R241" s="141">
        <f t="shared" si="32"/>
        <v>0</v>
      </c>
      <c r="T241" s="110">
        <f t="shared" si="27"/>
        <v>0.80363873950846854</v>
      </c>
      <c r="U241" s="110">
        <f t="shared" si="27"/>
        <v>0.19636126049153138</v>
      </c>
      <c r="V241" s="110">
        <f t="shared" si="27"/>
        <v>0</v>
      </c>
      <c r="W241" s="110">
        <f t="shared" si="28"/>
        <v>0.99999999999999989</v>
      </c>
      <c r="Y241" s="142">
        <f>T241*'Co-Processing'!K243*'Feedstock Conversion Rates'!B$13</f>
        <v>26.332533728892628</v>
      </c>
      <c r="Z241" s="142">
        <f>U241*'Co-Processing'!K243*'Feedstock Conversion Rates'!B$12</f>
        <v>6.6485667868298703</v>
      </c>
      <c r="AA241" s="142">
        <f>V241*'Co-Processing'!K243*'Feedstock Conversion Rates'!B$14</f>
        <v>0</v>
      </c>
      <c r="AB241" s="142">
        <f t="shared" si="26"/>
        <v>32.981100515722495</v>
      </c>
      <c r="AD241" s="142">
        <v>0</v>
      </c>
      <c r="AE241" s="142">
        <v>0</v>
      </c>
      <c r="AF241" s="142">
        <v>0</v>
      </c>
      <c r="AG241" s="142">
        <v>0</v>
      </c>
      <c r="AH241" s="142">
        <v>0</v>
      </c>
      <c r="AK241" s="143">
        <f>('Co-Processing'!G231*'Co-Pro Feedstock Breakdown'!$AL$199)/12*'Co-Pro Feedstock Breakdown'!T241*7.5</f>
        <v>74.135673719656225</v>
      </c>
    </row>
    <row r="242" spans="1:37" x14ac:dyDescent="0.25">
      <c r="A242" s="96">
        <v>46082</v>
      </c>
      <c r="B242" s="104">
        <f t="shared" si="34"/>
        <v>25</v>
      </c>
      <c r="C242" s="104">
        <f>('Co-Processing'!B244*'Co-Pro Feedstock Breakdown'!C$3*'Feedstock Conversion Rates'!B$12)/12-10-15</f>
        <v>10.520833333333336</v>
      </c>
      <c r="D242" s="106">
        <f t="shared" si="35"/>
        <v>35.520833333333336</v>
      </c>
      <c r="E242" s="104">
        <f>('Co-Processing'!C244*'Co-Pro Feedstock Breakdown'!E$3*'Feedstock Conversion Rates'!B$13)/12</f>
        <v>25.78125</v>
      </c>
      <c r="F242" s="104">
        <f>('Co-Processing'!C244*'Co-Pro Feedstock Breakdown'!F$3*'Feedstock Conversion Rates'!B$14)/12</f>
        <v>8.5364583333333339</v>
      </c>
      <c r="G242" s="106">
        <f t="shared" si="36"/>
        <v>34.317708333333336</v>
      </c>
      <c r="H242" s="104">
        <f>('Co-Processing'!D244*'Co-Pro Feedstock Breakdown'!H$3*'Feedstock Conversion Rates'!B$13)/12</f>
        <v>31.25</v>
      </c>
      <c r="I242" s="106">
        <f t="shared" si="25"/>
        <v>31.25</v>
      </c>
      <c r="J242" s="104">
        <f>('Co-Processing'!E244*'Co-Pro Feedstock Breakdown'!J$3*'Feedstock Conversion Rates'!B$13)/12</f>
        <v>1.25</v>
      </c>
      <c r="K242" s="104">
        <f>('Co-Processing'!E244*'Co-Pro Feedstock Breakdown'!K$3*'Feedstock Conversion Rates'!B$12)/12</f>
        <v>1.2916666666666667</v>
      </c>
      <c r="L242" s="106">
        <f t="shared" si="29"/>
        <v>2.541666666666667</v>
      </c>
      <c r="N242" s="104">
        <f t="shared" si="30"/>
        <v>83.28125</v>
      </c>
      <c r="O242" s="104">
        <f t="shared" si="33"/>
        <v>20.348958333333336</v>
      </c>
      <c r="P242" s="104"/>
      <c r="Q242" s="106">
        <f t="shared" si="31"/>
        <v>103.63020833333334</v>
      </c>
      <c r="R242" s="141">
        <f t="shared" si="32"/>
        <v>0</v>
      </c>
      <c r="T242" s="110">
        <f t="shared" si="27"/>
        <v>0.80363873950846854</v>
      </c>
      <c r="U242" s="110">
        <f t="shared" si="27"/>
        <v>0.19636126049153138</v>
      </c>
      <c r="V242" s="110">
        <f t="shared" si="27"/>
        <v>0</v>
      </c>
      <c r="W242" s="110">
        <f t="shared" si="28"/>
        <v>0.99999999999999989</v>
      </c>
      <c r="Y242" s="142">
        <f>T242*'Co-Processing'!K244*'Feedstock Conversion Rates'!B$13</f>
        <v>40.410066756262673</v>
      </c>
      <c r="Z242" s="142">
        <f>U242*'Co-Processing'!K244*'Feedstock Conversion Rates'!B$12</f>
        <v>10.202931113859217</v>
      </c>
      <c r="AA242" s="142">
        <f>V242*'Co-Processing'!K244*'Feedstock Conversion Rates'!B$14</f>
        <v>0</v>
      </c>
      <c r="AB242" s="142">
        <f t="shared" si="26"/>
        <v>50.612997870121887</v>
      </c>
      <c r="AD242" s="142">
        <v>0</v>
      </c>
      <c r="AE242" s="142">
        <v>0</v>
      </c>
      <c r="AF242" s="142">
        <v>0</v>
      </c>
      <c r="AG242" s="142">
        <v>0</v>
      </c>
      <c r="AH242" s="142">
        <v>0</v>
      </c>
      <c r="AK242" s="143">
        <f>('Co-Processing'!G232*'Co-Pro Feedstock Breakdown'!$AL$199)/12*'Co-Pro Feedstock Breakdown'!T242*7.5</f>
        <v>74.135673719656225</v>
      </c>
    </row>
    <row r="243" spans="1:37" x14ac:dyDescent="0.25">
      <c r="A243" s="96">
        <v>46113</v>
      </c>
      <c r="B243" s="104">
        <f t="shared" si="34"/>
        <v>25</v>
      </c>
      <c r="C243" s="104">
        <f>('Co-Processing'!B245*'Co-Pro Feedstock Breakdown'!C$3*'Feedstock Conversion Rates'!B$12)/12-10-15</f>
        <v>10.520833333333336</v>
      </c>
      <c r="D243" s="106">
        <f t="shared" si="35"/>
        <v>35.520833333333336</v>
      </c>
      <c r="E243" s="104">
        <f>('Co-Processing'!C245*'Co-Pro Feedstock Breakdown'!E$3*'Feedstock Conversion Rates'!B$13)/12</f>
        <v>25.78125</v>
      </c>
      <c r="F243" s="104">
        <f>('Co-Processing'!C245*'Co-Pro Feedstock Breakdown'!F$3*'Feedstock Conversion Rates'!B$14)/12</f>
        <v>8.5364583333333339</v>
      </c>
      <c r="G243" s="106">
        <f t="shared" si="36"/>
        <v>34.317708333333336</v>
      </c>
      <c r="H243" s="104">
        <f>('Co-Processing'!D245*'Co-Pro Feedstock Breakdown'!H$3*'Feedstock Conversion Rates'!B$13)/12</f>
        <v>31.25</v>
      </c>
      <c r="I243" s="106">
        <f t="shared" ref="I243:I306" si="37">H243</f>
        <v>31.25</v>
      </c>
      <c r="J243" s="104">
        <f>('Co-Processing'!E245*'Co-Pro Feedstock Breakdown'!J$3*'Feedstock Conversion Rates'!B$13)/12</f>
        <v>1.25</v>
      </c>
      <c r="K243" s="104">
        <f>('Co-Processing'!E245*'Co-Pro Feedstock Breakdown'!K$3*'Feedstock Conversion Rates'!B$12)/12</f>
        <v>1.2916666666666667</v>
      </c>
      <c r="L243" s="106">
        <f t="shared" si="29"/>
        <v>2.541666666666667</v>
      </c>
      <c r="N243" s="104">
        <f t="shared" si="30"/>
        <v>83.28125</v>
      </c>
      <c r="O243" s="104">
        <f t="shared" si="33"/>
        <v>20.348958333333336</v>
      </c>
      <c r="P243" s="104"/>
      <c r="Q243" s="106">
        <f t="shared" si="31"/>
        <v>103.63020833333334</v>
      </c>
      <c r="R243" s="141">
        <f t="shared" si="32"/>
        <v>0</v>
      </c>
      <c r="T243" s="110">
        <f t="shared" si="27"/>
        <v>0.80363873950846854</v>
      </c>
      <c r="U243" s="110">
        <f t="shared" si="27"/>
        <v>0.19636126049153138</v>
      </c>
      <c r="V243" s="110">
        <f t="shared" si="27"/>
        <v>0</v>
      </c>
      <c r="W243" s="110">
        <f t="shared" si="28"/>
        <v>0.99999999999999989</v>
      </c>
      <c r="Y243" s="142">
        <f>T243*'Co-Processing'!K245*'Feedstock Conversion Rates'!B$13</f>
        <v>27.784707105070403</v>
      </c>
      <c r="Z243" s="142">
        <f>U243*'Co-Processing'!K245*'Feedstock Conversion Rates'!B$12</f>
        <v>7.0152186167288146</v>
      </c>
      <c r="AA243" s="142">
        <f>V243*'Co-Processing'!K245*'Feedstock Conversion Rates'!B$14</f>
        <v>0</v>
      </c>
      <c r="AB243" s="142">
        <f t="shared" si="26"/>
        <v>34.79992572179922</v>
      </c>
      <c r="AD243" s="142">
        <v>0</v>
      </c>
      <c r="AE243" s="142">
        <v>0</v>
      </c>
      <c r="AF243" s="142">
        <v>0</v>
      </c>
      <c r="AG243" s="142">
        <v>0</v>
      </c>
      <c r="AH243" s="142">
        <v>0</v>
      </c>
      <c r="AK243" s="143">
        <f>('Co-Processing'!G233*'Co-Pro Feedstock Breakdown'!$AL$199)/12*'Co-Pro Feedstock Breakdown'!T243*7.5</f>
        <v>74.135673719656225</v>
      </c>
    </row>
    <row r="244" spans="1:37" x14ac:dyDescent="0.25">
      <c r="A244" s="96">
        <v>46143</v>
      </c>
      <c r="B244" s="104">
        <f t="shared" si="34"/>
        <v>25</v>
      </c>
      <c r="C244" s="104">
        <f>('Co-Processing'!B246*'Co-Pro Feedstock Breakdown'!C$3*'Feedstock Conversion Rates'!B$12)/12-10-15</f>
        <v>10.520833333333336</v>
      </c>
      <c r="D244" s="106">
        <f t="shared" si="35"/>
        <v>35.520833333333336</v>
      </c>
      <c r="E244" s="104">
        <f>('Co-Processing'!C246*'Co-Pro Feedstock Breakdown'!E$3*'Feedstock Conversion Rates'!B$13)/12</f>
        <v>25.78125</v>
      </c>
      <c r="F244" s="104">
        <f>('Co-Processing'!C246*'Co-Pro Feedstock Breakdown'!F$3*'Feedstock Conversion Rates'!B$14)/12</f>
        <v>8.5364583333333339</v>
      </c>
      <c r="G244" s="106">
        <f t="shared" si="36"/>
        <v>34.317708333333336</v>
      </c>
      <c r="H244" s="104">
        <f>('Co-Processing'!D246*'Co-Pro Feedstock Breakdown'!H$3*'Feedstock Conversion Rates'!B$13)/12</f>
        <v>31.25</v>
      </c>
      <c r="I244" s="106">
        <f t="shared" si="37"/>
        <v>31.25</v>
      </c>
      <c r="J244" s="104">
        <f>('Co-Processing'!E246*'Co-Pro Feedstock Breakdown'!J$3*'Feedstock Conversion Rates'!B$13)/12</f>
        <v>1.25</v>
      </c>
      <c r="K244" s="104">
        <f>('Co-Processing'!E246*'Co-Pro Feedstock Breakdown'!K$3*'Feedstock Conversion Rates'!B$12)/12</f>
        <v>1.2916666666666667</v>
      </c>
      <c r="L244" s="106">
        <f t="shared" si="29"/>
        <v>2.541666666666667</v>
      </c>
      <c r="N244" s="104">
        <f t="shared" si="30"/>
        <v>83.28125</v>
      </c>
      <c r="O244" s="104">
        <f t="shared" si="33"/>
        <v>20.348958333333336</v>
      </c>
      <c r="P244" s="104"/>
      <c r="Q244" s="106">
        <f t="shared" si="31"/>
        <v>103.63020833333334</v>
      </c>
      <c r="R244" s="141">
        <f t="shared" si="32"/>
        <v>0</v>
      </c>
      <c r="T244" s="110">
        <f t="shared" si="27"/>
        <v>0.80363873950846854</v>
      </c>
      <c r="U244" s="110">
        <f t="shared" si="27"/>
        <v>0.19636126049153138</v>
      </c>
      <c r="V244" s="110">
        <f t="shared" si="27"/>
        <v>0</v>
      </c>
      <c r="W244" s="110">
        <f t="shared" si="28"/>
        <v>0.99999999999999989</v>
      </c>
      <c r="Y244" s="142">
        <f>T244*'Co-Processing'!K246*'Feedstock Conversion Rates'!B$13</f>
        <v>31.736524742789531</v>
      </c>
      <c r="Z244" s="142">
        <f>U244*'Co-Processing'!K246*'Feedstock Conversion Rates'!B$12</f>
        <v>8.0129928440117588</v>
      </c>
      <c r="AA244" s="142">
        <f>V244*'Co-Processing'!K246*'Feedstock Conversion Rates'!B$14</f>
        <v>0</v>
      </c>
      <c r="AB244" s="142">
        <f t="shared" si="26"/>
        <v>39.749517586801289</v>
      </c>
      <c r="AD244" s="142">
        <v>0</v>
      </c>
      <c r="AE244" s="142">
        <v>0</v>
      </c>
      <c r="AF244" s="142">
        <v>0</v>
      </c>
      <c r="AG244" s="142">
        <v>0</v>
      </c>
      <c r="AH244" s="142">
        <v>0</v>
      </c>
      <c r="AK244" s="143">
        <f>('Co-Processing'!G234*'Co-Pro Feedstock Breakdown'!$AL$199)/12*'Co-Pro Feedstock Breakdown'!T244*7.5</f>
        <v>74.135673719656225</v>
      </c>
    </row>
    <row r="245" spans="1:37" x14ac:dyDescent="0.25">
      <c r="A245" s="96">
        <v>46174</v>
      </c>
      <c r="B245" s="104">
        <f t="shared" si="34"/>
        <v>25</v>
      </c>
      <c r="C245" s="104">
        <f>('Co-Processing'!B247*'Co-Pro Feedstock Breakdown'!C$3*'Feedstock Conversion Rates'!B$12)/12-10-15</f>
        <v>10.520833333333336</v>
      </c>
      <c r="D245" s="106">
        <f t="shared" si="35"/>
        <v>35.520833333333336</v>
      </c>
      <c r="E245" s="104">
        <f>('Co-Processing'!C247*'Co-Pro Feedstock Breakdown'!E$3*'Feedstock Conversion Rates'!B$13)/12</f>
        <v>25.78125</v>
      </c>
      <c r="F245" s="104">
        <f>('Co-Processing'!C247*'Co-Pro Feedstock Breakdown'!F$3*'Feedstock Conversion Rates'!B$14)/12</f>
        <v>8.5364583333333339</v>
      </c>
      <c r="G245" s="106">
        <f t="shared" si="36"/>
        <v>34.317708333333336</v>
      </c>
      <c r="H245" s="104">
        <f>('Co-Processing'!D247*'Co-Pro Feedstock Breakdown'!H$3*'Feedstock Conversion Rates'!B$13)/12</f>
        <v>31.25</v>
      </c>
      <c r="I245" s="106">
        <f t="shared" si="37"/>
        <v>31.25</v>
      </c>
      <c r="J245" s="104">
        <f>('Co-Processing'!E247*'Co-Pro Feedstock Breakdown'!J$3*'Feedstock Conversion Rates'!B$13)/12</f>
        <v>1.25</v>
      </c>
      <c r="K245" s="104">
        <f>('Co-Processing'!E247*'Co-Pro Feedstock Breakdown'!K$3*'Feedstock Conversion Rates'!B$12)/12</f>
        <v>1.2916666666666667</v>
      </c>
      <c r="L245" s="106">
        <f t="shared" si="29"/>
        <v>2.541666666666667</v>
      </c>
      <c r="N245" s="104">
        <f t="shared" si="30"/>
        <v>83.28125</v>
      </c>
      <c r="O245" s="104">
        <f t="shared" si="33"/>
        <v>20.348958333333336</v>
      </c>
      <c r="P245" s="104"/>
      <c r="Q245" s="106">
        <f t="shared" si="31"/>
        <v>103.63020833333334</v>
      </c>
      <c r="R245" s="141">
        <f t="shared" si="32"/>
        <v>0</v>
      </c>
      <c r="T245" s="110">
        <f t="shared" si="27"/>
        <v>0.80363873950846854</v>
      </c>
      <c r="U245" s="110">
        <f t="shared" si="27"/>
        <v>0.19636126049153138</v>
      </c>
      <c r="V245" s="110">
        <f t="shared" si="27"/>
        <v>0</v>
      </c>
      <c r="W245" s="110">
        <f t="shared" si="28"/>
        <v>0.99999999999999989</v>
      </c>
      <c r="Y245" s="142">
        <f>T245*'Co-Processing'!K247*'Feedstock Conversion Rates'!B$13</f>
        <v>39.830815662220395</v>
      </c>
      <c r="Z245" s="142">
        <f>U245*'Co-Processing'!K247*'Feedstock Conversion Rates'!B$12</f>
        <v>10.056678967190219</v>
      </c>
      <c r="AA245" s="142">
        <f>V245*'Co-Processing'!K247*'Feedstock Conversion Rates'!B$14</f>
        <v>0</v>
      </c>
      <c r="AB245" s="142">
        <f t="shared" si="26"/>
        <v>49.887494629410611</v>
      </c>
      <c r="AD245" s="142">
        <v>0</v>
      </c>
      <c r="AE245" s="142">
        <v>0</v>
      </c>
      <c r="AF245" s="142">
        <v>0</v>
      </c>
      <c r="AG245" s="142">
        <v>0</v>
      </c>
      <c r="AH245" s="142">
        <v>0</v>
      </c>
      <c r="AK245" s="143">
        <f>('Co-Processing'!G235*'Co-Pro Feedstock Breakdown'!$AL$199)/12*'Co-Pro Feedstock Breakdown'!T245*7.5</f>
        <v>74.135673719656225</v>
      </c>
    </row>
    <row r="246" spans="1:37" x14ac:dyDescent="0.25">
      <c r="A246" s="96">
        <v>46204</v>
      </c>
      <c r="B246" s="104">
        <f t="shared" si="34"/>
        <v>25</v>
      </c>
      <c r="C246" s="104">
        <f>('Co-Processing'!B248*'Co-Pro Feedstock Breakdown'!C$3*'Feedstock Conversion Rates'!B$12)/12-10-15</f>
        <v>10.520833333333336</v>
      </c>
      <c r="D246" s="106">
        <f t="shared" si="35"/>
        <v>35.520833333333336</v>
      </c>
      <c r="E246" s="104">
        <f>('Co-Processing'!C248*'Co-Pro Feedstock Breakdown'!E$3*'Feedstock Conversion Rates'!B$13)/12</f>
        <v>25.78125</v>
      </c>
      <c r="F246" s="104">
        <f>('Co-Processing'!C248*'Co-Pro Feedstock Breakdown'!F$3*'Feedstock Conversion Rates'!B$14)/12</f>
        <v>8.5364583333333339</v>
      </c>
      <c r="G246" s="106">
        <f t="shared" si="36"/>
        <v>34.317708333333336</v>
      </c>
      <c r="H246" s="104">
        <f>('Co-Processing'!D248*'Co-Pro Feedstock Breakdown'!H$3*'Feedstock Conversion Rates'!B$13)/12</f>
        <v>31.25</v>
      </c>
      <c r="I246" s="106">
        <f t="shared" si="37"/>
        <v>31.25</v>
      </c>
      <c r="J246" s="104">
        <f>('Co-Processing'!E248*'Co-Pro Feedstock Breakdown'!J$3*'Feedstock Conversion Rates'!B$13)/12</f>
        <v>1.25</v>
      </c>
      <c r="K246" s="104">
        <f>('Co-Processing'!E248*'Co-Pro Feedstock Breakdown'!K$3*'Feedstock Conversion Rates'!B$12)/12</f>
        <v>1.2916666666666667</v>
      </c>
      <c r="L246" s="106">
        <f t="shared" si="29"/>
        <v>2.541666666666667</v>
      </c>
      <c r="N246" s="104">
        <f t="shared" si="30"/>
        <v>83.28125</v>
      </c>
      <c r="O246" s="104">
        <f t="shared" si="33"/>
        <v>20.348958333333336</v>
      </c>
      <c r="P246" s="104"/>
      <c r="Q246" s="106">
        <f t="shared" si="31"/>
        <v>103.63020833333334</v>
      </c>
      <c r="R246" s="141">
        <f t="shared" si="32"/>
        <v>0</v>
      </c>
      <c r="T246" s="110">
        <f t="shared" si="27"/>
        <v>0.80363873950846854</v>
      </c>
      <c r="U246" s="110">
        <f t="shared" si="27"/>
        <v>0.19636126049153138</v>
      </c>
      <c r="V246" s="110">
        <f t="shared" si="27"/>
        <v>0</v>
      </c>
      <c r="W246" s="110">
        <f t="shared" si="28"/>
        <v>0.99999999999999989</v>
      </c>
      <c r="Y246" s="142">
        <f>T246*'Co-Processing'!K248*'Feedstock Conversion Rates'!B$13</f>
        <v>34.372455688890255</v>
      </c>
      <c r="Z246" s="142">
        <f>U246*'Co-Processing'!K248*'Feedstock Conversion Rates'!B$12</f>
        <v>8.6785255694628329</v>
      </c>
      <c r="AA246" s="142">
        <f>V246*'Co-Processing'!K248*'Feedstock Conversion Rates'!B$14</f>
        <v>0</v>
      </c>
      <c r="AB246" s="142">
        <f t="shared" si="26"/>
        <v>43.05098125835309</v>
      </c>
      <c r="AD246" s="142">
        <v>0</v>
      </c>
      <c r="AE246" s="142">
        <v>0</v>
      </c>
      <c r="AF246" s="142">
        <v>0</v>
      </c>
      <c r="AG246" s="142">
        <v>0</v>
      </c>
      <c r="AH246" s="142">
        <v>0</v>
      </c>
      <c r="AK246" s="143">
        <f>('Co-Processing'!G236*'Co-Pro Feedstock Breakdown'!$AL$199)/12*'Co-Pro Feedstock Breakdown'!T246*7.5</f>
        <v>74.135673719656225</v>
      </c>
    </row>
    <row r="247" spans="1:37" x14ac:dyDescent="0.25">
      <c r="A247" s="96">
        <v>46235</v>
      </c>
      <c r="B247" s="104">
        <f t="shared" si="34"/>
        <v>25</v>
      </c>
      <c r="C247" s="104">
        <f>('Co-Processing'!B249*'Co-Pro Feedstock Breakdown'!C$3*'Feedstock Conversion Rates'!B$12)/12-10-15</f>
        <v>10.520833333333336</v>
      </c>
      <c r="D247" s="106">
        <f t="shared" si="35"/>
        <v>35.520833333333336</v>
      </c>
      <c r="E247" s="104">
        <f>('Co-Processing'!C249*'Co-Pro Feedstock Breakdown'!E$3*'Feedstock Conversion Rates'!B$13)/12</f>
        <v>25.78125</v>
      </c>
      <c r="F247" s="104">
        <f>('Co-Processing'!C249*'Co-Pro Feedstock Breakdown'!F$3*'Feedstock Conversion Rates'!B$14)/12</f>
        <v>8.5364583333333339</v>
      </c>
      <c r="G247" s="106">
        <f t="shared" si="36"/>
        <v>34.317708333333336</v>
      </c>
      <c r="H247" s="104">
        <f>('Co-Processing'!D249*'Co-Pro Feedstock Breakdown'!H$3*'Feedstock Conversion Rates'!B$13)/12</f>
        <v>31.25</v>
      </c>
      <c r="I247" s="106">
        <f t="shared" si="37"/>
        <v>31.25</v>
      </c>
      <c r="J247" s="104">
        <f>('Co-Processing'!E249*'Co-Pro Feedstock Breakdown'!J$3*'Feedstock Conversion Rates'!B$13)/12</f>
        <v>1.25</v>
      </c>
      <c r="K247" s="104">
        <f>('Co-Processing'!E249*'Co-Pro Feedstock Breakdown'!K$3*'Feedstock Conversion Rates'!B$12)/12</f>
        <v>1.2916666666666667</v>
      </c>
      <c r="L247" s="106">
        <f t="shared" si="29"/>
        <v>2.541666666666667</v>
      </c>
      <c r="N247" s="104">
        <f t="shared" si="30"/>
        <v>83.28125</v>
      </c>
      <c r="O247" s="104">
        <f t="shared" si="33"/>
        <v>20.348958333333336</v>
      </c>
      <c r="P247" s="104"/>
      <c r="Q247" s="106">
        <f t="shared" si="31"/>
        <v>103.63020833333334</v>
      </c>
      <c r="R247" s="141">
        <f t="shared" si="32"/>
        <v>0</v>
      </c>
      <c r="T247" s="110">
        <f t="shared" si="27"/>
        <v>0.80363873950846854</v>
      </c>
      <c r="U247" s="110">
        <f t="shared" si="27"/>
        <v>0.19636126049153138</v>
      </c>
      <c r="V247" s="110">
        <f t="shared" si="27"/>
        <v>0</v>
      </c>
      <c r="W247" s="110">
        <f t="shared" si="28"/>
        <v>0.99999999999999989</v>
      </c>
      <c r="Y247" s="142">
        <f>T247*'Co-Processing'!K249*'Feedstock Conversion Rates'!B$13</f>
        <v>51.195100562120516</v>
      </c>
      <c r="Z247" s="142">
        <f>U247*'Co-Processing'!K249*'Feedstock Conversion Rates'!B$12</f>
        <v>12.925989149014699</v>
      </c>
      <c r="AA247" s="142">
        <f>V247*'Co-Processing'!K249*'Feedstock Conversion Rates'!B$14</f>
        <v>0</v>
      </c>
      <c r="AB247" s="142">
        <f t="shared" ref="AB247:AB310" si="38">SUM(Y247:AA247)</f>
        <v>64.121089711135212</v>
      </c>
      <c r="AD247" s="142">
        <v>0</v>
      </c>
      <c r="AE247" s="142">
        <v>0</v>
      </c>
      <c r="AF247" s="142">
        <v>0</v>
      </c>
      <c r="AG247" s="142">
        <v>0</v>
      </c>
      <c r="AH247" s="142">
        <v>0</v>
      </c>
      <c r="AK247" s="143">
        <f>('Co-Processing'!G237*'Co-Pro Feedstock Breakdown'!$AL$199)/12*'Co-Pro Feedstock Breakdown'!T247*7.5</f>
        <v>74.135673719656225</v>
      </c>
    </row>
    <row r="248" spans="1:37" x14ac:dyDescent="0.25">
      <c r="A248" s="96">
        <v>46266</v>
      </c>
      <c r="B248" s="104">
        <f t="shared" si="34"/>
        <v>25</v>
      </c>
      <c r="C248" s="104">
        <f>('Co-Processing'!B250*'Co-Pro Feedstock Breakdown'!C$3*'Feedstock Conversion Rates'!B$12)/12-10-15</f>
        <v>10.520833333333336</v>
      </c>
      <c r="D248" s="106">
        <f t="shared" si="35"/>
        <v>35.520833333333336</v>
      </c>
      <c r="E248" s="104">
        <f>('Co-Processing'!C250*'Co-Pro Feedstock Breakdown'!E$3*'Feedstock Conversion Rates'!B$13)/12</f>
        <v>25.78125</v>
      </c>
      <c r="F248" s="104">
        <f>('Co-Processing'!C250*'Co-Pro Feedstock Breakdown'!F$3*'Feedstock Conversion Rates'!B$14)/12</f>
        <v>8.5364583333333339</v>
      </c>
      <c r="G248" s="106">
        <f t="shared" si="36"/>
        <v>34.317708333333336</v>
      </c>
      <c r="H248" s="104">
        <f>('Co-Processing'!D250*'Co-Pro Feedstock Breakdown'!H$3*'Feedstock Conversion Rates'!B$13)/12</f>
        <v>31.25</v>
      </c>
      <c r="I248" s="106">
        <f t="shared" si="37"/>
        <v>31.25</v>
      </c>
      <c r="J248" s="104">
        <f>('Co-Processing'!E250*'Co-Pro Feedstock Breakdown'!J$3*'Feedstock Conversion Rates'!B$13)/12</f>
        <v>1.25</v>
      </c>
      <c r="K248" s="104">
        <f>('Co-Processing'!E250*'Co-Pro Feedstock Breakdown'!K$3*'Feedstock Conversion Rates'!B$12)/12</f>
        <v>1.2916666666666667</v>
      </c>
      <c r="L248" s="106">
        <f t="shared" si="29"/>
        <v>2.541666666666667</v>
      </c>
      <c r="N248" s="104">
        <f t="shared" si="30"/>
        <v>83.28125</v>
      </c>
      <c r="O248" s="104">
        <f t="shared" si="33"/>
        <v>20.348958333333336</v>
      </c>
      <c r="P248" s="104"/>
      <c r="Q248" s="106">
        <f t="shared" si="31"/>
        <v>103.63020833333334</v>
      </c>
      <c r="R248" s="141">
        <f t="shared" si="32"/>
        <v>0</v>
      </c>
      <c r="T248" s="110">
        <f t="shared" si="27"/>
        <v>0.80363873950846854</v>
      </c>
      <c r="U248" s="110">
        <f t="shared" si="27"/>
        <v>0.19636126049153138</v>
      </c>
      <c r="V248" s="110">
        <f t="shared" si="27"/>
        <v>0</v>
      </c>
      <c r="W248" s="110">
        <f t="shared" si="28"/>
        <v>0.99999999999999989</v>
      </c>
      <c r="Y248" s="142">
        <f>T248*'Co-Processing'!K250*'Feedstock Conversion Rates'!B$13</f>
        <v>46.378621344255372</v>
      </c>
      <c r="Z248" s="142">
        <f>U248*'Co-Processing'!K250*'Feedstock Conversion Rates'!B$12</f>
        <v>11.709900940905104</v>
      </c>
      <c r="AA248" s="142">
        <f>V248*'Co-Processing'!K250*'Feedstock Conversion Rates'!B$14</f>
        <v>0</v>
      </c>
      <c r="AB248" s="142">
        <f t="shared" si="38"/>
        <v>58.088522285160479</v>
      </c>
      <c r="AD248" s="142">
        <v>0</v>
      </c>
      <c r="AE248" s="142">
        <v>0</v>
      </c>
      <c r="AF248" s="142">
        <v>0</v>
      </c>
      <c r="AG248" s="142">
        <v>0</v>
      </c>
      <c r="AH248" s="142">
        <v>0</v>
      </c>
      <c r="AK248" s="143">
        <f>('Co-Processing'!G238*'Co-Pro Feedstock Breakdown'!$AL$199)/12*'Co-Pro Feedstock Breakdown'!T248*7.5</f>
        <v>74.135673719656225</v>
      </c>
    </row>
    <row r="249" spans="1:37" x14ac:dyDescent="0.25">
      <c r="A249" s="96">
        <v>46296</v>
      </c>
      <c r="B249" s="104">
        <f t="shared" si="34"/>
        <v>25</v>
      </c>
      <c r="C249" s="104">
        <f>('Co-Processing'!B251*'Co-Pro Feedstock Breakdown'!C$3*'Feedstock Conversion Rates'!B$12)/12-10-15</f>
        <v>10.520833333333336</v>
      </c>
      <c r="D249" s="106">
        <f t="shared" si="35"/>
        <v>35.520833333333336</v>
      </c>
      <c r="E249" s="104">
        <f>('Co-Processing'!C251*'Co-Pro Feedstock Breakdown'!E$3*'Feedstock Conversion Rates'!B$13)/12</f>
        <v>25.78125</v>
      </c>
      <c r="F249" s="104">
        <f>('Co-Processing'!C251*'Co-Pro Feedstock Breakdown'!F$3*'Feedstock Conversion Rates'!B$14)/12</f>
        <v>8.5364583333333339</v>
      </c>
      <c r="G249" s="106">
        <f t="shared" si="36"/>
        <v>34.317708333333336</v>
      </c>
      <c r="H249" s="104">
        <f>('Co-Processing'!D251*'Co-Pro Feedstock Breakdown'!H$3*'Feedstock Conversion Rates'!B$13)/12</f>
        <v>31.25</v>
      </c>
      <c r="I249" s="106">
        <f t="shared" si="37"/>
        <v>31.25</v>
      </c>
      <c r="J249" s="104">
        <f>('Co-Processing'!E251*'Co-Pro Feedstock Breakdown'!J$3*'Feedstock Conversion Rates'!B$13)/12</f>
        <v>1.25</v>
      </c>
      <c r="K249" s="104">
        <f>('Co-Processing'!E251*'Co-Pro Feedstock Breakdown'!K$3*'Feedstock Conversion Rates'!B$12)/12</f>
        <v>1.2916666666666667</v>
      </c>
      <c r="L249" s="106">
        <f t="shared" si="29"/>
        <v>2.541666666666667</v>
      </c>
      <c r="N249" s="104">
        <f t="shared" si="30"/>
        <v>83.28125</v>
      </c>
      <c r="O249" s="104">
        <f t="shared" si="33"/>
        <v>20.348958333333336</v>
      </c>
      <c r="P249" s="104"/>
      <c r="Q249" s="106">
        <f t="shared" si="31"/>
        <v>103.63020833333334</v>
      </c>
      <c r="R249" s="141">
        <f t="shared" si="32"/>
        <v>0</v>
      </c>
      <c r="T249" s="110">
        <f t="shared" si="27"/>
        <v>0.80363873950846854</v>
      </c>
      <c r="U249" s="110">
        <f t="shared" si="27"/>
        <v>0.19636126049153138</v>
      </c>
      <c r="V249" s="110">
        <f t="shared" si="27"/>
        <v>0</v>
      </c>
      <c r="W249" s="110">
        <f t="shared" si="28"/>
        <v>0.99999999999999989</v>
      </c>
      <c r="Y249" s="142">
        <f>T249*'Co-Processing'!K251*'Feedstock Conversion Rates'!B$13</f>
        <v>36.9806893256956</v>
      </c>
      <c r="Z249" s="142">
        <f>U249*'Co-Processing'!K251*'Feedstock Conversion Rates'!B$12</f>
        <v>9.3370651429232332</v>
      </c>
      <c r="AA249" s="142">
        <f>V249*'Co-Processing'!K251*'Feedstock Conversion Rates'!B$14</f>
        <v>0</v>
      </c>
      <c r="AB249" s="142">
        <f t="shared" si="38"/>
        <v>46.31775446861883</v>
      </c>
      <c r="AD249" s="142">
        <v>0</v>
      </c>
      <c r="AE249" s="142">
        <v>0</v>
      </c>
      <c r="AF249" s="142">
        <v>0</v>
      </c>
      <c r="AG249" s="142">
        <v>0</v>
      </c>
      <c r="AH249" s="142">
        <v>0</v>
      </c>
      <c r="AK249" s="143">
        <f>('Co-Processing'!G239*'Co-Pro Feedstock Breakdown'!$AL$199)/12*'Co-Pro Feedstock Breakdown'!T249*7.5</f>
        <v>74.135673719656225</v>
      </c>
    </row>
    <row r="250" spans="1:37" x14ac:dyDescent="0.25">
      <c r="A250" s="96">
        <v>46327</v>
      </c>
      <c r="B250" s="104">
        <f t="shared" si="34"/>
        <v>25</v>
      </c>
      <c r="C250" s="104">
        <f>('Co-Processing'!B252*'Co-Pro Feedstock Breakdown'!C$3*'Feedstock Conversion Rates'!B$12)/12-10-15</f>
        <v>10.520833333333336</v>
      </c>
      <c r="D250" s="106">
        <f t="shared" si="35"/>
        <v>35.520833333333336</v>
      </c>
      <c r="E250" s="104">
        <f>('Co-Processing'!C252*'Co-Pro Feedstock Breakdown'!E$3*'Feedstock Conversion Rates'!B$13)/12</f>
        <v>25.78125</v>
      </c>
      <c r="F250" s="104">
        <f>('Co-Processing'!C252*'Co-Pro Feedstock Breakdown'!F$3*'Feedstock Conversion Rates'!B$14)/12</f>
        <v>8.5364583333333339</v>
      </c>
      <c r="G250" s="106">
        <f t="shared" si="36"/>
        <v>34.317708333333336</v>
      </c>
      <c r="H250" s="104">
        <f>('Co-Processing'!D252*'Co-Pro Feedstock Breakdown'!H$3*'Feedstock Conversion Rates'!B$13)/12</f>
        <v>31.25</v>
      </c>
      <c r="I250" s="106">
        <f t="shared" si="37"/>
        <v>31.25</v>
      </c>
      <c r="J250" s="104">
        <f>('Co-Processing'!E252*'Co-Pro Feedstock Breakdown'!J$3*'Feedstock Conversion Rates'!B$13)/12</f>
        <v>1.25</v>
      </c>
      <c r="K250" s="104">
        <f>('Co-Processing'!E252*'Co-Pro Feedstock Breakdown'!K$3*'Feedstock Conversion Rates'!B$12)/12</f>
        <v>1.2916666666666667</v>
      </c>
      <c r="L250" s="106">
        <f t="shared" si="29"/>
        <v>2.541666666666667</v>
      </c>
      <c r="N250" s="104">
        <f t="shared" si="30"/>
        <v>83.28125</v>
      </c>
      <c r="O250" s="104">
        <f t="shared" si="33"/>
        <v>20.348958333333336</v>
      </c>
      <c r="P250" s="104"/>
      <c r="Q250" s="106">
        <f t="shared" si="31"/>
        <v>103.63020833333334</v>
      </c>
      <c r="R250" s="141">
        <f t="shared" si="32"/>
        <v>0</v>
      </c>
      <c r="T250" s="110">
        <f t="shared" si="27"/>
        <v>0.80363873950846854</v>
      </c>
      <c r="U250" s="110">
        <f t="shared" si="27"/>
        <v>0.19636126049153138</v>
      </c>
      <c r="V250" s="110">
        <f t="shared" si="27"/>
        <v>0</v>
      </c>
      <c r="W250" s="110">
        <f t="shared" si="28"/>
        <v>0.99999999999999989</v>
      </c>
      <c r="Y250" s="142">
        <f>T250*'Co-Processing'!K252*'Feedstock Conversion Rates'!B$13</f>
        <v>33.674643155032634</v>
      </c>
      <c r="Z250" s="142">
        <f>U250*'Co-Processing'!K252*'Feedstock Conversion Rates'!B$12</f>
        <v>8.5023384511321414</v>
      </c>
      <c r="AA250" s="142">
        <f>V250*'Co-Processing'!K252*'Feedstock Conversion Rates'!B$14</f>
        <v>0</v>
      </c>
      <c r="AB250" s="142">
        <f t="shared" si="38"/>
        <v>42.176981606164773</v>
      </c>
      <c r="AD250" s="142">
        <v>0</v>
      </c>
      <c r="AE250" s="142">
        <v>0</v>
      </c>
      <c r="AF250" s="142">
        <v>0</v>
      </c>
      <c r="AG250" s="142">
        <v>0</v>
      </c>
      <c r="AH250" s="142">
        <v>0</v>
      </c>
      <c r="AK250" s="143">
        <f>('Co-Processing'!G240*'Co-Pro Feedstock Breakdown'!$AL$199)/12*'Co-Pro Feedstock Breakdown'!T250*7.5</f>
        <v>74.135673719656225</v>
      </c>
    </row>
    <row r="251" spans="1:37" x14ac:dyDescent="0.25">
      <c r="A251" s="96">
        <v>46357</v>
      </c>
      <c r="B251" s="104">
        <f t="shared" si="34"/>
        <v>25</v>
      </c>
      <c r="C251" s="104">
        <f>('Co-Processing'!B253*'Co-Pro Feedstock Breakdown'!C$3*'Feedstock Conversion Rates'!B$12)/12-10-15</f>
        <v>10.520833333333336</v>
      </c>
      <c r="D251" s="106">
        <f t="shared" si="35"/>
        <v>35.520833333333336</v>
      </c>
      <c r="E251" s="104">
        <f>('Co-Processing'!C253*'Co-Pro Feedstock Breakdown'!E$3*'Feedstock Conversion Rates'!B$13)/12</f>
        <v>25.78125</v>
      </c>
      <c r="F251" s="104">
        <f>('Co-Processing'!C253*'Co-Pro Feedstock Breakdown'!F$3*'Feedstock Conversion Rates'!B$14)/12</f>
        <v>8.5364583333333339</v>
      </c>
      <c r="G251" s="106">
        <f t="shared" si="36"/>
        <v>34.317708333333336</v>
      </c>
      <c r="H251" s="104">
        <f>('Co-Processing'!D253*'Co-Pro Feedstock Breakdown'!H$3*'Feedstock Conversion Rates'!B$13)/12</f>
        <v>31.25</v>
      </c>
      <c r="I251" s="106">
        <f t="shared" si="37"/>
        <v>31.25</v>
      </c>
      <c r="J251" s="104">
        <f>('Co-Processing'!E253*'Co-Pro Feedstock Breakdown'!J$3*'Feedstock Conversion Rates'!B$13)/12</f>
        <v>1.25</v>
      </c>
      <c r="K251" s="104">
        <f>('Co-Processing'!E253*'Co-Pro Feedstock Breakdown'!K$3*'Feedstock Conversion Rates'!B$12)/12</f>
        <v>1.2916666666666667</v>
      </c>
      <c r="L251" s="106">
        <f t="shared" si="29"/>
        <v>2.541666666666667</v>
      </c>
      <c r="N251" s="104">
        <f t="shared" si="30"/>
        <v>83.28125</v>
      </c>
      <c r="O251" s="104">
        <f t="shared" si="33"/>
        <v>20.348958333333336</v>
      </c>
      <c r="P251" s="104"/>
      <c r="Q251" s="106">
        <f t="shared" si="31"/>
        <v>103.63020833333334</v>
      </c>
      <c r="R251" s="141">
        <f t="shared" si="32"/>
        <v>0</v>
      </c>
      <c r="T251" s="110">
        <f t="shared" si="27"/>
        <v>0.80363873950846854</v>
      </c>
      <c r="U251" s="110">
        <f t="shared" si="27"/>
        <v>0.19636126049153138</v>
      </c>
      <c r="V251" s="110">
        <f t="shared" si="27"/>
        <v>0</v>
      </c>
      <c r="W251" s="110">
        <f t="shared" si="28"/>
        <v>0.99999999999999989</v>
      </c>
      <c r="Y251" s="142">
        <f>T251*'Co-Processing'!K253*'Feedstock Conversion Rates'!B$13</f>
        <v>45.420567920332481</v>
      </c>
      <c r="Z251" s="142">
        <f>U251*'Co-Processing'!K253*'Feedstock Conversion Rates'!B$12</f>
        <v>11.468006931012944</v>
      </c>
      <c r="AA251" s="142">
        <f>V251*'Co-Processing'!K253*'Feedstock Conversion Rates'!B$14</f>
        <v>0</v>
      </c>
      <c r="AB251" s="142">
        <f t="shared" si="38"/>
        <v>56.888574851345425</v>
      </c>
      <c r="AD251" s="142">
        <v>0</v>
      </c>
      <c r="AE251" s="142">
        <v>0</v>
      </c>
      <c r="AF251" s="142">
        <v>0</v>
      </c>
      <c r="AG251" s="142">
        <v>0</v>
      </c>
      <c r="AH251" s="142">
        <v>0</v>
      </c>
      <c r="AK251" s="143">
        <f>('Co-Processing'!G241*'Co-Pro Feedstock Breakdown'!$AL$199)/12*'Co-Pro Feedstock Breakdown'!T251*7.5</f>
        <v>74.135673719656225</v>
      </c>
    </row>
    <row r="252" spans="1:37" x14ac:dyDescent="0.25">
      <c r="A252" s="96">
        <v>46388</v>
      </c>
      <c r="B252" s="104">
        <f t="shared" si="34"/>
        <v>25</v>
      </c>
      <c r="C252" s="104">
        <f>('Co-Processing'!B254*'Co-Pro Feedstock Breakdown'!C$3*'Feedstock Conversion Rates'!B$12)/12-10-15</f>
        <v>10.520833333333336</v>
      </c>
      <c r="D252" s="106">
        <f t="shared" si="35"/>
        <v>35.520833333333336</v>
      </c>
      <c r="E252" s="104">
        <f>('Co-Processing'!C254*'Co-Pro Feedstock Breakdown'!E$3*'Feedstock Conversion Rates'!B$13)/12</f>
        <v>25.78125</v>
      </c>
      <c r="F252" s="104">
        <f>('Co-Processing'!C254*'Co-Pro Feedstock Breakdown'!F$3*'Feedstock Conversion Rates'!B$14)/12</f>
        <v>8.5364583333333339</v>
      </c>
      <c r="G252" s="106">
        <f t="shared" si="36"/>
        <v>34.317708333333336</v>
      </c>
      <c r="H252" s="104">
        <f>('Co-Processing'!D254*'Co-Pro Feedstock Breakdown'!H$3*'Feedstock Conversion Rates'!B$13)/12</f>
        <v>31.25</v>
      </c>
      <c r="I252" s="106">
        <f t="shared" si="37"/>
        <v>31.25</v>
      </c>
      <c r="J252" s="104">
        <f>('Co-Processing'!E254*'Co-Pro Feedstock Breakdown'!J$3*'Feedstock Conversion Rates'!B$13)/12</f>
        <v>1.25</v>
      </c>
      <c r="K252" s="104">
        <f>('Co-Processing'!E254*'Co-Pro Feedstock Breakdown'!K$3*'Feedstock Conversion Rates'!B$12)/12</f>
        <v>1.2916666666666667</v>
      </c>
      <c r="L252" s="106">
        <f t="shared" si="29"/>
        <v>2.541666666666667</v>
      </c>
      <c r="N252" s="104">
        <f t="shared" si="30"/>
        <v>83.28125</v>
      </c>
      <c r="O252" s="104">
        <f t="shared" si="33"/>
        <v>20.348958333333336</v>
      </c>
      <c r="P252" s="104"/>
      <c r="Q252" s="106">
        <f t="shared" si="31"/>
        <v>103.63020833333334</v>
      </c>
      <c r="R252" s="141">
        <f t="shared" si="32"/>
        <v>0</v>
      </c>
      <c r="T252" s="110">
        <f t="shared" si="27"/>
        <v>0.80363873950846854</v>
      </c>
      <c r="U252" s="110">
        <f t="shared" si="27"/>
        <v>0.19636126049153138</v>
      </c>
      <c r="V252" s="110">
        <f t="shared" si="27"/>
        <v>0</v>
      </c>
      <c r="W252" s="110">
        <f t="shared" si="28"/>
        <v>0.99999999999999989</v>
      </c>
      <c r="Y252" s="142">
        <f>T252*'Co-Processing'!K254*'Feedstock Conversion Rates'!B$13</f>
        <v>37.457846629416977</v>
      </c>
      <c r="Z252" s="142">
        <f>U252*'Co-Processing'!K254*'Feedstock Conversion Rates'!B$12</f>
        <v>9.4575401505422061</v>
      </c>
      <c r="AA252" s="142">
        <f>V252*'Co-Processing'!K254*'Feedstock Conversion Rates'!B$14</f>
        <v>0</v>
      </c>
      <c r="AB252" s="142">
        <f t="shared" si="38"/>
        <v>46.915386779959185</v>
      </c>
      <c r="AD252" s="142">
        <v>0</v>
      </c>
      <c r="AE252" s="142">
        <v>0</v>
      </c>
      <c r="AF252" s="142">
        <v>0</v>
      </c>
      <c r="AG252" s="142">
        <v>0</v>
      </c>
      <c r="AH252" s="142">
        <v>0</v>
      </c>
      <c r="AK252" s="143">
        <f>('Co-Processing'!G242*'Co-Pro Feedstock Breakdown'!$AL$199)/12*'Co-Pro Feedstock Breakdown'!T252*7.5</f>
        <v>74.135673719656225</v>
      </c>
    </row>
    <row r="253" spans="1:37" x14ac:dyDescent="0.25">
      <c r="A253" s="96">
        <v>46419</v>
      </c>
      <c r="B253" s="104">
        <f t="shared" si="34"/>
        <v>25</v>
      </c>
      <c r="C253" s="104">
        <f>('Co-Processing'!B255*'Co-Pro Feedstock Breakdown'!C$3*'Feedstock Conversion Rates'!B$12)/12-10-15</f>
        <v>10.520833333333336</v>
      </c>
      <c r="D253" s="106">
        <f t="shared" si="35"/>
        <v>35.520833333333336</v>
      </c>
      <c r="E253" s="104">
        <f>('Co-Processing'!C255*'Co-Pro Feedstock Breakdown'!E$3*'Feedstock Conversion Rates'!B$13)/12</f>
        <v>25.78125</v>
      </c>
      <c r="F253" s="104">
        <f>('Co-Processing'!C255*'Co-Pro Feedstock Breakdown'!F$3*'Feedstock Conversion Rates'!B$14)/12</f>
        <v>8.5364583333333339</v>
      </c>
      <c r="G253" s="106">
        <f t="shared" si="36"/>
        <v>34.317708333333336</v>
      </c>
      <c r="H253" s="104">
        <f>('Co-Processing'!D255*'Co-Pro Feedstock Breakdown'!H$3*'Feedstock Conversion Rates'!B$13)/12</f>
        <v>31.25</v>
      </c>
      <c r="I253" s="106">
        <f t="shared" si="37"/>
        <v>31.25</v>
      </c>
      <c r="J253" s="104">
        <f>('Co-Processing'!E255*'Co-Pro Feedstock Breakdown'!J$3*'Feedstock Conversion Rates'!B$13)/12</f>
        <v>1.25</v>
      </c>
      <c r="K253" s="104">
        <f>('Co-Processing'!E255*'Co-Pro Feedstock Breakdown'!K$3*'Feedstock Conversion Rates'!B$12)/12</f>
        <v>1.2916666666666667</v>
      </c>
      <c r="L253" s="106">
        <f t="shared" si="29"/>
        <v>2.541666666666667</v>
      </c>
      <c r="N253" s="104">
        <f t="shared" si="30"/>
        <v>83.28125</v>
      </c>
      <c r="O253" s="104">
        <f t="shared" si="33"/>
        <v>20.348958333333336</v>
      </c>
      <c r="P253" s="104"/>
      <c r="Q253" s="106">
        <f t="shared" si="31"/>
        <v>103.63020833333334</v>
      </c>
      <c r="R253" s="141">
        <f t="shared" si="32"/>
        <v>0</v>
      </c>
      <c r="T253" s="110">
        <f t="shared" si="27"/>
        <v>0.80363873950846854</v>
      </c>
      <c r="U253" s="110">
        <f t="shared" si="27"/>
        <v>0.19636126049153138</v>
      </c>
      <c r="V253" s="110">
        <f t="shared" si="27"/>
        <v>0</v>
      </c>
      <c r="W253" s="110">
        <f t="shared" si="28"/>
        <v>0.99999999999999989</v>
      </c>
      <c r="Y253" s="142">
        <f>T253*'Co-Processing'!K255*'Feedstock Conversion Rates'!B$13</f>
        <v>30.532749574035158</v>
      </c>
      <c r="Z253" s="142">
        <f>U253*'Co-Processing'!K255*'Feedstock Conversion Rates'!B$12</f>
        <v>7.7090578072929254</v>
      </c>
      <c r="AA253" s="142">
        <f>V253*'Co-Processing'!K255*'Feedstock Conversion Rates'!B$14</f>
        <v>0</v>
      </c>
      <c r="AB253" s="142">
        <f t="shared" si="38"/>
        <v>38.241807381328087</v>
      </c>
      <c r="AD253" s="142">
        <v>0</v>
      </c>
      <c r="AE253" s="142">
        <v>0</v>
      </c>
      <c r="AF253" s="142">
        <v>0</v>
      </c>
      <c r="AG253" s="142">
        <v>0</v>
      </c>
      <c r="AH253" s="142">
        <v>0</v>
      </c>
      <c r="AK253" s="143">
        <f>('Co-Processing'!G243*'Co-Pro Feedstock Breakdown'!$AL$199)/12*'Co-Pro Feedstock Breakdown'!T253*7.5</f>
        <v>74.135673719656225</v>
      </c>
    </row>
    <row r="254" spans="1:37" x14ac:dyDescent="0.25">
      <c r="A254" s="96">
        <v>46447</v>
      </c>
      <c r="B254" s="104">
        <f t="shared" si="34"/>
        <v>25</v>
      </c>
      <c r="C254" s="104">
        <f>('Co-Processing'!B256*'Co-Pro Feedstock Breakdown'!C$3*'Feedstock Conversion Rates'!B$12)/12-10-15</f>
        <v>10.520833333333336</v>
      </c>
      <c r="D254" s="106">
        <f t="shared" si="35"/>
        <v>35.520833333333336</v>
      </c>
      <c r="E254" s="104">
        <f>('Co-Processing'!C256*'Co-Pro Feedstock Breakdown'!E$3*'Feedstock Conversion Rates'!B$13)/12</f>
        <v>25.78125</v>
      </c>
      <c r="F254" s="104">
        <f>('Co-Processing'!C256*'Co-Pro Feedstock Breakdown'!F$3*'Feedstock Conversion Rates'!B$14)/12</f>
        <v>8.5364583333333339</v>
      </c>
      <c r="G254" s="106">
        <f t="shared" si="36"/>
        <v>34.317708333333336</v>
      </c>
      <c r="H254" s="104">
        <f>('Co-Processing'!D256*'Co-Pro Feedstock Breakdown'!H$3*'Feedstock Conversion Rates'!B$13)/12</f>
        <v>31.25</v>
      </c>
      <c r="I254" s="106">
        <f t="shared" si="37"/>
        <v>31.25</v>
      </c>
      <c r="J254" s="104">
        <f>('Co-Processing'!E256*'Co-Pro Feedstock Breakdown'!J$3*'Feedstock Conversion Rates'!B$13)/12</f>
        <v>1.25</v>
      </c>
      <c r="K254" s="104">
        <f>('Co-Processing'!E256*'Co-Pro Feedstock Breakdown'!K$3*'Feedstock Conversion Rates'!B$12)/12</f>
        <v>1.2916666666666667</v>
      </c>
      <c r="L254" s="106">
        <f t="shared" si="29"/>
        <v>2.541666666666667</v>
      </c>
      <c r="N254" s="104">
        <f t="shared" si="30"/>
        <v>83.28125</v>
      </c>
      <c r="O254" s="104">
        <f t="shared" si="33"/>
        <v>20.348958333333336</v>
      </c>
      <c r="P254" s="104"/>
      <c r="Q254" s="106">
        <f t="shared" si="31"/>
        <v>103.63020833333334</v>
      </c>
      <c r="R254" s="141">
        <f t="shared" si="32"/>
        <v>0</v>
      </c>
      <c r="T254" s="110">
        <f t="shared" si="27"/>
        <v>0.80363873950846854</v>
      </c>
      <c r="U254" s="110">
        <f t="shared" si="27"/>
        <v>0.19636126049153138</v>
      </c>
      <c r="V254" s="110">
        <f t="shared" si="27"/>
        <v>0</v>
      </c>
      <c r="W254" s="110">
        <f t="shared" si="28"/>
        <v>0.99999999999999989</v>
      </c>
      <c r="Y254" s="142">
        <f>T254*'Co-Processing'!K256*'Feedstock Conversion Rates'!B$13</f>
        <v>51.202127828613641</v>
      </c>
      <c r="Z254" s="142">
        <f>U254*'Co-Processing'!K256*'Feedstock Conversion Rates'!B$12</f>
        <v>12.927763427596828</v>
      </c>
      <c r="AA254" s="142">
        <f>V254*'Co-Processing'!K256*'Feedstock Conversion Rates'!B$14</f>
        <v>0</v>
      </c>
      <c r="AB254" s="142">
        <f t="shared" si="38"/>
        <v>64.12989125621047</v>
      </c>
      <c r="AD254" s="142">
        <v>0</v>
      </c>
      <c r="AE254" s="142">
        <v>0</v>
      </c>
      <c r="AF254" s="142">
        <v>0</v>
      </c>
      <c r="AG254" s="142">
        <v>0</v>
      </c>
      <c r="AH254" s="142">
        <v>0</v>
      </c>
      <c r="AK254" s="143">
        <f>('Co-Processing'!G244*'Co-Pro Feedstock Breakdown'!$AL$199)/12*'Co-Pro Feedstock Breakdown'!T254*7.5</f>
        <v>74.135673719656225</v>
      </c>
    </row>
    <row r="255" spans="1:37" x14ac:dyDescent="0.25">
      <c r="A255" s="96">
        <v>46478</v>
      </c>
      <c r="B255" s="104">
        <f t="shared" si="34"/>
        <v>25</v>
      </c>
      <c r="C255" s="104">
        <f>('Co-Processing'!B257*'Co-Pro Feedstock Breakdown'!C$3*'Feedstock Conversion Rates'!B$12)/12-10-15</f>
        <v>10.520833333333336</v>
      </c>
      <c r="D255" s="106">
        <f t="shared" si="35"/>
        <v>35.520833333333336</v>
      </c>
      <c r="E255" s="104">
        <f>('Co-Processing'!C257*'Co-Pro Feedstock Breakdown'!E$3*'Feedstock Conversion Rates'!B$13)/12</f>
        <v>25.78125</v>
      </c>
      <c r="F255" s="104">
        <f>('Co-Processing'!C257*'Co-Pro Feedstock Breakdown'!F$3*'Feedstock Conversion Rates'!B$14)/12</f>
        <v>8.5364583333333339</v>
      </c>
      <c r="G255" s="106">
        <f t="shared" si="36"/>
        <v>34.317708333333336</v>
      </c>
      <c r="H255" s="104">
        <f>('Co-Processing'!D257*'Co-Pro Feedstock Breakdown'!H$3*'Feedstock Conversion Rates'!B$13)/12</f>
        <v>31.25</v>
      </c>
      <c r="I255" s="106">
        <f t="shared" si="37"/>
        <v>31.25</v>
      </c>
      <c r="J255" s="104">
        <f>('Co-Processing'!E257*'Co-Pro Feedstock Breakdown'!J$3*'Feedstock Conversion Rates'!B$13)/12</f>
        <v>1.25</v>
      </c>
      <c r="K255" s="104">
        <f>('Co-Processing'!E257*'Co-Pro Feedstock Breakdown'!K$3*'Feedstock Conversion Rates'!B$12)/12</f>
        <v>1.2916666666666667</v>
      </c>
      <c r="L255" s="106">
        <f t="shared" si="29"/>
        <v>2.541666666666667</v>
      </c>
      <c r="N255" s="104">
        <f t="shared" si="30"/>
        <v>83.28125</v>
      </c>
      <c r="O255" s="104">
        <f t="shared" si="33"/>
        <v>20.348958333333336</v>
      </c>
      <c r="P255" s="104"/>
      <c r="Q255" s="106">
        <f t="shared" si="31"/>
        <v>103.63020833333334</v>
      </c>
      <c r="R255" s="141">
        <f t="shared" si="32"/>
        <v>0</v>
      </c>
      <c r="T255" s="110">
        <f t="shared" si="27"/>
        <v>0.80363873950846854</v>
      </c>
      <c r="U255" s="110">
        <f t="shared" si="27"/>
        <v>0.19636126049153138</v>
      </c>
      <c r="V255" s="110">
        <f t="shared" si="27"/>
        <v>0</v>
      </c>
      <c r="W255" s="110">
        <f t="shared" si="28"/>
        <v>0.99999999999999989</v>
      </c>
      <c r="Y255" s="142">
        <f>T255*'Co-Processing'!K257*'Feedstock Conversion Rates'!B$13</f>
        <v>34.802731123897637</v>
      </c>
      <c r="Z255" s="142">
        <f>U255*'Co-Processing'!K257*'Feedstock Conversion Rates'!B$12</f>
        <v>8.7871636137859284</v>
      </c>
      <c r="AA255" s="142">
        <f>V255*'Co-Processing'!K257*'Feedstock Conversion Rates'!B$14</f>
        <v>0</v>
      </c>
      <c r="AB255" s="142">
        <f t="shared" si="38"/>
        <v>43.589894737683565</v>
      </c>
      <c r="AD255" s="142">
        <v>0</v>
      </c>
      <c r="AE255" s="142">
        <v>0</v>
      </c>
      <c r="AF255" s="142">
        <v>0</v>
      </c>
      <c r="AG255" s="142">
        <v>0</v>
      </c>
      <c r="AH255" s="142">
        <v>0</v>
      </c>
      <c r="AK255" s="143">
        <f>('Co-Processing'!G245*'Co-Pro Feedstock Breakdown'!$AL$199)/12*'Co-Pro Feedstock Breakdown'!T255*7.5</f>
        <v>74.135673719656225</v>
      </c>
    </row>
    <row r="256" spans="1:37" x14ac:dyDescent="0.25">
      <c r="A256" s="96">
        <v>46508</v>
      </c>
      <c r="B256" s="104">
        <f t="shared" si="34"/>
        <v>25</v>
      </c>
      <c r="C256" s="104">
        <f>('Co-Processing'!B258*'Co-Pro Feedstock Breakdown'!C$3*'Feedstock Conversion Rates'!B$12)/12-10-15</f>
        <v>10.520833333333336</v>
      </c>
      <c r="D256" s="106">
        <f t="shared" si="35"/>
        <v>35.520833333333336</v>
      </c>
      <c r="E256" s="104">
        <f>('Co-Processing'!C258*'Co-Pro Feedstock Breakdown'!E$3*'Feedstock Conversion Rates'!B$13)/12</f>
        <v>25.78125</v>
      </c>
      <c r="F256" s="104">
        <f>('Co-Processing'!C258*'Co-Pro Feedstock Breakdown'!F$3*'Feedstock Conversion Rates'!B$14)/12</f>
        <v>8.5364583333333339</v>
      </c>
      <c r="G256" s="106">
        <f t="shared" si="36"/>
        <v>34.317708333333336</v>
      </c>
      <c r="H256" s="104">
        <f>('Co-Processing'!D258*'Co-Pro Feedstock Breakdown'!H$3*'Feedstock Conversion Rates'!B$13)/12</f>
        <v>31.25</v>
      </c>
      <c r="I256" s="106">
        <f t="shared" si="37"/>
        <v>31.25</v>
      </c>
      <c r="J256" s="104">
        <f>('Co-Processing'!E258*'Co-Pro Feedstock Breakdown'!J$3*'Feedstock Conversion Rates'!B$13)/12</f>
        <v>1.25</v>
      </c>
      <c r="K256" s="104">
        <f>('Co-Processing'!E258*'Co-Pro Feedstock Breakdown'!K$3*'Feedstock Conversion Rates'!B$12)/12</f>
        <v>1.2916666666666667</v>
      </c>
      <c r="L256" s="106">
        <f t="shared" si="29"/>
        <v>2.541666666666667</v>
      </c>
      <c r="N256" s="104">
        <f t="shared" si="30"/>
        <v>83.28125</v>
      </c>
      <c r="O256" s="104">
        <f t="shared" si="33"/>
        <v>20.348958333333336</v>
      </c>
      <c r="P256" s="104"/>
      <c r="Q256" s="106">
        <f t="shared" si="31"/>
        <v>103.63020833333334</v>
      </c>
      <c r="R256" s="141">
        <f t="shared" si="32"/>
        <v>0</v>
      </c>
      <c r="T256" s="110">
        <f t="shared" si="27"/>
        <v>0.80363873950846854</v>
      </c>
      <c r="U256" s="110">
        <f t="shared" si="27"/>
        <v>0.19636126049153138</v>
      </c>
      <c r="V256" s="110">
        <f t="shared" si="27"/>
        <v>0</v>
      </c>
      <c r="W256" s="110">
        <f t="shared" si="28"/>
        <v>0.99999999999999989</v>
      </c>
      <c r="Y256" s="142">
        <f>T256*'Co-Processing'!K258*'Feedstock Conversion Rates'!B$13</f>
        <v>41.702650968093629</v>
      </c>
      <c r="Z256" s="142">
        <f>U256*'Co-Processing'!K258*'Feedstock Conversion Rates'!B$12</f>
        <v>10.529289091729407</v>
      </c>
      <c r="AA256" s="142">
        <f>V256*'Co-Processing'!K258*'Feedstock Conversion Rates'!B$14</f>
        <v>0</v>
      </c>
      <c r="AB256" s="142">
        <f t="shared" si="38"/>
        <v>52.231940059823032</v>
      </c>
      <c r="AD256" s="142">
        <v>0</v>
      </c>
      <c r="AE256" s="142">
        <v>0</v>
      </c>
      <c r="AF256" s="142">
        <v>0</v>
      </c>
      <c r="AG256" s="142">
        <v>0</v>
      </c>
      <c r="AH256" s="142">
        <v>0</v>
      </c>
      <c r="AK256" s="143">
        <f>('Co-Processing'!G246*'Co-Pro Feedstock Breakdown'!$AL$199)/12*'Co-Pro Feedstock Breakdown'!T256*7.5</f>
        <v>74.135673719656225</v>
      </c>
    </row>
    <row r="257" spans="1:37" x14ac:dyDescent="0.25">
      <c r="A257" s="96">
        <v>46539</v>
      </c>
      <c r="B257" s="104">
        <f t="shared" si="34"/>
        <v>25</v>
      </c>
      <c r="C257" s="104">
        <f>('Co-Processing'!B259*'Co-Pro Feedstock Breakdown'!C$3*'Feedstock Conversion Rates'!B$12)/12-10-15</f>
        <v>10.520833333333336</v>
      </c>
      <c r="D257" s="106">
        <f t="shared" si="35"/>
        <v>35.520833333333336</v>
      </c>
      <c r="E257" s="104">
        <f>('Co-Processing'!C259*'Co-Pro Feedstock Breakdown'!E$3*'Feedstock Conversion Rates'!B$13)/12</f>
        <v>25.78125</v>
      </c>
      <c r="F257" s="104">
        <f>('Co-Processing'!C259*'Co-Pro Feedstock Breakdown'!F$3*'Feedstock Conversion Rates'!B$14)/12</f>
        <v>8.5364583333333339</v>
      </c>
      <c r="G257" s="106">
        <f t="shared" si="36"/>
        <v>34.317708333333336</v>
      </c>
      <c r="H257" s="104">
        <f>('Co-Processing'!D259*'Co-Pro Feedstock Breakdown'!H$3*'Feedstock Conversion Rates'!B$13)/12</f>
        <v>31.25</v>
      </c>
      <c r="I257" s="106">
        <f t="shared" si="37"/>
        <v>31.25</v>
      </c>
      <c r="J257" s="104">
        <f>('Co-Processing'!E259*'Co-Pro Feedstock Breakdown'!J$3*'Feedstock Conversion Rates'!B$13)/12</f>
        <v>1.25</v>
      </c>
      <c r="K257" s="104">
        <f>('Co-Processing'!E259*'Co-Pro Feedstock Breakdown'!K$3*'Feedstock Conversion Rates'!B$12)/12</f>
        <v>1.2916666666666667</v>
      </c>
      <c r="L257" s="106">
        <f t="shared" si="29"/>
        <v>2.541666666666667</v>
      </c>
      <c r="N257" s="104">
        <f t="shared" si="30"/>
        <v>83.28125</v>
      </c>
      <c r="O257" s="104">
        <f t="shared" si="33"/>
        <v>20.348958333333336</v>
      </c>
      <c r="P257" s="104"/>
      <c r="Q257" s="106">
        <f t="shared" si="31"/>
        <v>103.63020833333334</v>
      </c>
      <c r="R257" s="141">
        <f t="shared" si="32"/>
        <v>0</v>
      </c>
      <c r="T257" s="110">
        <f t="shared" si="27"/>
        <v>0.80363873950846854</v>
      </c>
      <c r="U257" s="110">
        <f t="shared" si="27"/>
        <v>0.19636126049153138</v>
      </c>
      <c r="V257" s="110">
        <f t="shared" si="27"/>
        <v>0</v>
      </c>
      <c r="W257" s="110">
        <f t="shared" si="28"/>
        <v>0.99999999999999989</v>
      </c>
      <c r="Y257" s="142">
        <f>T257*'Co-Processing'!K259*'Feedstock Conversion Rates'!B$13</f>
        <v>50.168724327037765</v>
      </c>
      <c r="Z257" s="142">
        <f>U257*'Co-Processing'!K259*'Feedstock Conversion Rates'!B$12</f>
        <v>12.666844661909179</v>
      </c>
      <c r="AA257" s="142">
        <f>V257*'Co-Processing'!K259*'Feedstock Conversion Rates'!B$14</f>
        <v>0</v>
      </c>
      <c r="AB257" s="142">
        <f t="shared" si="38"/>
        <v>62.835568988946946</v>
      </c>
      <c r="AD257" s="142">
        <v>0</v>
      </c>
      <c r="AE257" s="142">
        <v>0</v>
      </c>
      <c r="AF257" s="142">
        <v>0</v>
      </c>
      <c r="AG257" s="142">
        <v>0</v>
      </c>
      <c r="AH257" s="142">
        <v>0</v>
      </c>
      <c r="AK257" s="143">
        <f>('Co-Processing'!G247*'Co-Pro Feedstock Breakdown'!$AL$199)/12*'Co-Pro Feedstock Breakdown'!T257*7.5</f>
        <v>74.135673719656225</v>
      </c>
    </row>
    <row r="258" spans="1:37" x14ac:dyDescent="0.25">
      <c r="A258" s="96">
        <v>46569</v>
      </c>
      <c r="B258" s="104">
        <f t="shared" si="34"/>
        <v>25</v>
      </c>
      <c r="C258" s="104">
        <f>('Co-Processing'!B260*'Co-Pro Feedstock Breakdown'!C$3*'Feedstock Conversion Rates'!B$12)/12-10-15</f>
        <v>10.520833333333336</v>
      </c>
      <c r="D258" s="106">
        <f t="shared" si="35"/>
        <v>35.520833333333336</v>
      </c>
      <c r="E258" s="104">
        <f>('Co-Processing'!C260*'Co-Pro Feedstock Breakdown'!E$3*'Feedstock Conversion Rates'!B$13)/12</f>
        <v>25.78125</v>
      </c>
      <c r="F258" s="104">
        <f>('Co-Processing'!C260*'Co-Pro Feedstock Breakdown'!F$3*'Feedstock Conversion Rates'!B$14)/12</f>
        <v>8.5364583333333339</v>
      </c>
      <c r="G258" s="106">
        <f t="shared" si="36"/>
        <v>34.317708333333336</v>
      </c>
      <c r="H258" s="104">
        <f>('Co-Processing'!D260*'Co-Pro Feedstock Breakdown'!H$3*'Feedstock Conversion Rates'!B$13)/12</f>
        <v>31.25</v>
      </c>
      <c r="I258" s="106">
        <f t="shared" si="37"/>
        <v>31.25</v>
      </c>
      <c r="J258" s="104">
        <f>('Co-Processing'!E260*'Co-Pro Feedstock Breakdown'!J$3*'Feedstock Conversion Rates'!B$13)/12</f>
        <v>1.25</v>
      </c>
      <c r="K258" s="104">
        <f>('Co-Processing'!E260*'Co-Pro Feedstock Breakdown'!K$3*'Feedstock Conversion Rates'!B$12)/12</f>
        <v>1.2916666666666667</v>
      </c>
      <c r="L258" s="106">
        <f t="shared" si="29"/>
        <v>2.541666666666667</v>
      </c>
      <c r="N258" s="104">
        <f t="shared" si="30"/>
        <v>83.28125</v>
      </c>
      <c r="O258" s="104">
        <f t="shared" si="33"/>
        <v>20.348958333333336</v>
      </c>
      <c r="P258" s="104"/>
      <c r="Q258" s="106">
        <f t="shared" si="31"/>
        <v>103.63020833333334</v>
      </c>
      <c r="R258" s="141">
        <f t="shared" si="32"/>
        <v>0</v>
      </c>
      <c r="T258" s="110">
        <f t="shared" si="27"/>
        <v>0.80363873950846854</v>
      </c>
      <c r="U258" s="110">
        <f t="shared" si="27"/>
        <v>0.19636126049153138</v>
      </c>
      <c r="V258" s="110">
        <f t="shared" si="27"/>
        <v>0</v>
      </c>
      <c r="W258" s="110">
        <f t="shared" si="28"/>
        <v>0.99999999999999989</v>
      </c>
      <c r="Y258" s="142">
        <f>T258*'Co-Processing'!K260*'Feedstock Conversion Rates'!B$13</f>
        <v>40.791465109680189</v>
      </c>
      <c r="Z258" s="142">
        <f>U258*'Co-Processing'!K260*'Feedstock Conversion Rates'!B$12</f>
        <v>10.299228433790152</v>
      </c>
      <c r="AA258" s="142">
        <f>V258*'Co-Processing'!K260*'Feedstock Conversion Rates'!B$14</f>
        <v>0</v>
      </c>
      <c r="AB258" s="142">
        <f t="shared" si="38"/>
        <v>51.090693543470337</v>
      </c>
      <c r="AD258" s="142">
        <v>0</v>
      </c>
      <c r="AE258" s="142">
        <v>0</v>
      </c>
      <c r="AF258" s="142">
        <v>0</v>
      </c>
      <c r="AG258" s="142">
        <v>0</v>
      </c>
      <c r="AH258" s="142">
        <v>0</v>
      </c>
      <c r="AK258" s="143">
        <f>('Co-Processing'!G248*'Co-Pro Feedstock Breakdown'!$AL$199)/12*'Co-Pro Feedstock Breakdown'!T258*7.5</f>
        <v>74.135673719656225</v>
      </c>
    </row>
    <row r="259" spans="1:37" x14ac:dyDescent="0.25">
      <c r="A259" s="96">
        <v>46600</v>
      </c>
      <c r="B259" s="104">
        <f t="shared" si="34"/>
        <v>25</v>
      </c>
      <c r="C259" s="104">
        <f>('Co-Processing'!B261*'Co-Pro Feedstock Breakdown'!C$3*'Feedstock Conversion Rates'!B$12)/12-10-15</f>
        <v>10.520833333333336</v>
      </c>
      <c r="D259" s="106">
        <f t="shared" si="35"/>
        <v>35.520833333333336</v>
      </c>
      <c r="E259" s="104">
        <f>('Co-Processing'!C261*'Co-Pro Feedstock Breakdown'!E$3*'Feedstock Conversion Rates'!B$13)/12</f>
        <v>25.78125</v>
      </c>
      <c r="F259" s="104">
        <f>('Co-Processing'!C261*'Co-Pro Feedstock Breakdown'!F$3*'Feedstock Conversion Rates'!B$14)/12</f>
        <v>8.5364583333333339</v>
      </c>
      <c r="G259" s="106">
        <f t="shared" si="36"/>
        <v>34.317708333333336</v>
      </c>
      <c r="H259" s="104">
        <f>('Co-Processing'!D261*'Co-Pro Feedstock Breakdown'!H$3*'Feedstock Conversion Rates'!B$13)/12</f>
        <v>31.25</v>
      </c>
      <c r="I259" s="106">
        <f t="shared" si="37"/>
        <v>31.25</v>
      </c>
      <c r="J259" s="104">
        <f>('Co-Processing'!E261*'Co-Pro Feedstock Breakdown'!J$3*'Feedstock Conversion Rates'!B$13)/12</f>
        <v>1.25</v>
      </c>
      <c r="K259" s="104">
        <f>('Co-Processing'!E261*'Co-Pro Feedstock Breakdown'!K$3*'Feedstock Conversion Rates'!B$12)/12</f>
        <v>1.2916666666666667</v>
      </c>
      <c r="L259" s="106">
        <f t="shared" si="29"/>
        <v>2.541666666666667</v>
      </c>
      <c r="N259" s="104">
        <f t="shared" si="30"/>
        <v>83.28125</v>
      </c>
      <c r="O259" s="104">
        <f t="shared" si="33"/>
        <v>20.348958333333336</v>
      </c>
      <c r="P259" s="104"/>
      <c r="Q259" s="106">
        <f t="shared" si="31"/>
        <v>103.63020833333334</v>
      </c>
      <c r="R259" s="141">
        <f t="shared" si="32"/>
        <v>0</v>
      </c>
      <c r="T259" s="110">
        <f t="shared" si="27"/>
        <v>0.80363873950846854</v>
      </c>
      <c r="U259" s="110">
        <f t="shared" si="27"/>
        <v>0.19636126049153138</v>
      </c>
      <c r="V259" s="110">
        <f t="shared" si="27"/>
        <v>0</v>
      </c>
      <c r="W259" s="110">
        <f t="shared" si="28"/>
        <v>0.99999999999999989</v>
      </c>
      <c r="Y259" s="142">
        <f>T259*'Co-Processing'!K261*'Feedstock Conversion Rates'!B$13</f>
        <v>60.864968425794792</v>
      </c>
      <c r="Z259" s="142">
        <f>U259*'Co-Processing'!K261*'Feedstock Conversion Rates'!B$12</f>
        <v>15.367484637954947</v>
      </c>
      <c r="AA259" s="142">
        <f>V259*'Co-Processing'!K261*'Feedstock Conversion Rates'!B$14</f>
        <v>0</v>
      </c>
      <c r="AB259" s="142">
        <f t="shared" si="38"/>
        <v>76.232453063749745</v>
      </c>
      <c r="AD259" s="142">
        <v>0</v>
      </c>
      <c r="AE259" s="142">
        <v>0</v>
      </c>
      <c r="AF259" s="142">
        <v>0</v>
      </c>
      <c r="AG259" s="142">
        <v>0</v>
      </c>
      <c r="AH259" s="142">
        <v>0</v>
      </c>
      <c r="AK259" s="143">
        <f>('Co-Processing'!G249*'Co-Pro Feedstock Breakdown'!$AL$199)/12*'Co-Pro Feedstock Breakdown'!T259*7.5</f>
        <v>74.135673719656225</v>
      </c>
    </row>
    <row r="260" spans="1:37" x14ac:dyDescent="0.25">
      <c r="A260" s="96">
        <v>46631</v>
      </c>
      <c r="B260" s="104">
        <f t="shared" si="34"/>
        <v>25</v>
      </c>
      <c r="C260" s="104">
        <f>('Co-Processing'!B262*'Co-Pro Feedstock Breakdown'!C$3*'Feedstock Conversion Rates'!B$12)/12-10-15</f>
        <v>10.520833333333336</v>
      </c>
      <c r="D260" s="106">
        <f t="shared" si="35"/>
        <v>35.520833333333336</v>
      </c>
      <c r="E260" s="104">
        <f>('Co-Processing'!C262*'Co-Pro Feedstock Breakdown'!E$3*'Feedstock Conversion Rates'!B$13)/12</f>
        <v>25.78125</v>
      </c>
      <c r="F260" s="104">
        <f>('Co-Processing'!C262*'Co-Pro Feedstock Breakdown'!F$3*'Feedstock Conversion Rates'!B$14)/12</f>
        <v>8.5364583333333339</v>
      </c>
      <c r="G260" s="106">
        <f t="shared" si="36"/>
        <v>34.317708333333336</v>
      </c>
      <c r="H260" s="104">
        <f>('Co-Processing'!D262*'Co-Pro Feedstock Breakdown'!H$3*'Feedstock Conversion Rates'!B$13)/12</f>
        <v>31.25</v>
      </c>
      <c r="I260" s="106">
        <f t="shared" si="37"/>
        <v>31.25</v>
      </c>
      <c r="J260" s="104">
        <f>('Co-Processing'!E262*'Co-Pro Feedstock Breakdown'!J$3*'Feedstock Conversion Rates'!B$13)/12</f>
        <v>1.25</v>
      </c>
      <c r="K260" s="104">
        <f>('Co-Processing'!E262*'Co-Pro Feedstock Breakdown'!K$3*'Feedstock Conversion Rates'!B$12)/12</f>
        <v>1.2916666666666667</v>
      </c>
      <c r="L260" s="106">
        <f t="shared" si="29"/>
        <v>2.541666666666667</v>
      </c>
      <c r="N260" s="104">
        <f t="shared" si="30"/>
        <v>83.28125</v>
      </c>
      <c r="O260" s="104">
        <f t="shared" si="33"/>
        <v>20.348958333333336</v>
      </c>
      <c r="P260" s="104"/>
      <c r="Q260" s="106">
        <f t="shared" si="31"/>
        <v>103.63020833333334</v>
      </c>
      <c r="R260" s="141">
        <f t="shared" si="32"/>
        <v>0</v>
      </c>
      <c r="T260" s="110">
        <f t="shared" ref="T260:V268" si="39">N260/$Q260</f>
        <v>0.80363873950846854</v>
      </c>
      <c r="U260" s="110">
        <f t="shared" si="39"/>
        <v>0.19636126049153138</v>
      </c>
      <c r="V260" s="110">
        <f t="shared" si="39"/>
        <v>0</v>
      </c>
      <c r="W260" s="110">
        <f t="shared" ref="W260:W268" si="40">SUM(T260:V260)</f>
        <v>0.99999999999999989</v>
      </c>
      <c r="Y260" s="142">
        <f>T260*'Co-Processing'!K262*'Feedstock Conversion Rates'!B$13</f>
        <v>56.974721993277001</v>
      </c>
      <c r="Z260" s="142">
        <f>U260*'Co-Processing'!K262*'Feedstock Conversion Rates'!B$12</f>
        <v>14.385256209421996</v>
      </c>
      <c r="AA260" s="142">
        <f>V260*'Co-Processing'!K262*'Feedstock Conversion Rates'!B$14</f>
        <v>0</v>
      </c>
      <c r="AB260" s="142">
        <f t="shared" si="38"/>
        <v>71.359978202698997</v>
      </c>
      <c r="AD260" s="142">
        <v>0</v>
      </c>
      <c r="AE260" s="142">
        <v>0</v>
      </c>
      <c r="AF260" s="142">
        <v>0</v>
      </c>
      <c r="AG260" s="142">
        <v>0</v>
      </c>
      <c r="AH260" s="142">
        <v>0</v>
      </c>
      <c r="AK260" s="143">
        <f>('Co-Processing'!G250*'Co-Pro Feedstock Breakdown'!$AL$199)/12*'Co-Pro Feedstock Breakdown'!T260*7.5</f>
        <v>74.135673719656225</v>
      </c>
    </row>
    <row r="261" spans="1:37" x14ac:dyDescent="0.25">
      <c r="A261" s="96">
        <v>46661</v>
      </c>
      <c r="B261" s="104">
        <f t="shared" si="34"/>
        <v>25</v>
      </c>
      <c r="C261" s="104">
        <f>('Co-Processing'!B263*'Co-Pro Feedstock Breakdown'!C$3*'Feedstock Conversion Rates'!B$12)/12-10-15</f>
        <v>10.520833333333336</v>
      </c>
      <c r="D261" s="106">
        <f t="shared" si="35"/>
        <v>35.520833333333336</v>
      </c>
      <c r="E261" s="104">
        <f>('Co-Processing'!C263*'Co-Pro Feedstock Breakdown'!E$3*'Feedstock Conversion Rates'!B$13)/12</f>
        <v>25.78125</v>
      </c>
      <c r="F261" s="104">
        <f>('Co-Processing'!C263*'Co-Pro Feedstock Breakdown'!F$3*'Feedstock Conversion Rates'!B$14)/12</f>
        <v>8.5364583333333339</v>
      </c>
      <c r="G261" s="106">
        <f t="shared" si="36"/>
        <v>34.317708333333336</v>
      </c>
      <c r="H261" s="104">
        <f>('Co-Processing'!D263*'Co-Pro Feedstock Breakdown'!H$3*'Feedstock Conversion Rates'!B$13)/12</f>
        <v>31.25</v>
      </c>
      <c r="I261" s="106">
        <f t="shared" si="37"/>
        <v>31.25</v>
      </c>
      <c r="J261" s="104">
        <f>('Co-Processing'!E263*'Co-Pro Feedstock Breakdown'!J$3*'Feedstock Conversion Rates'!B$13)/12</f>
        <v>1.25</v>
      </c>
      <c r="K261" s="104">
        <f>('Co-Processing'!E263*'Co-Pro Feedstock Breakdown'!K$3*'Feedstock Conversion Rates'!B$12)/12</f>
        <v>1.2916666666666667</v>
      </c>
      <c r="L261" s="106">
        <f t="shared" ref="L261:L324" si="41">SUM(J261:K261)</f>
        <v>2.541666666666667</v>
      </c>
      <c r="N261" s="104">
        <f t="shared" ref="N261:N324" si="42">E261+H261+J261+B261</f>
        <v>83.28125</v>
      </c>
      <c r="O261" s="104">
        <f t="shared" si="33"/>
        <v>20.348958333333336</v>
      </c>
      <c r="P261" s="104"/>
      <c r="Q261" s="106">
        <f t="shared" ref="Q261:Q299" si="43">SUM(N261:P261)</f>
        <v>103.63020833333334</v>
      </c>
      <c r="R261" s="141">
        <f t="shared" ref="R261:R324" si="44">D261+G261+I261+L261-Q261</f>
        <v>0</v>
      </c>
      <c r="T261" s="110">
        <f t="shared" si="39"/>
        <v>0.80363873950846854</v>
      </c>
      <c r="U261" s="110">
        <f t="shared" si="39"/>
        <v>0.19636126049153138</v>
      </c>
      <c r="V261" s="110">
        <f t="shared" si="39"/>
        <v>0</v>
      </c>
      <c r="W261" s="110">
        <f t="shared" si="40"/>
        <v>0.99999999999999989</v>
      </c>
      <c r="Y261" s="142">
        <f>T261*'Co-Processing'!K263*'Feedstock Conversion Rates'!B$13</f>
        <v>44.740091244692579</v>
      </c>
      <c r="Z261" s="142">
        <f>U261*'Co-Processing'!K263*'Feedstock Conversion Rates'!B$12</f>
        <v>11.296196854874779</v>
      </c>
      <c r="AA261" s="142">
        <f>V261*'Co-Processing'!K263*'Feedstock Conversion Rates'!B$14</f>
        <v>0</v>
      </c>
      <c r="AB261" s="142">
        <f t="shared" si="38"/>
        <v>56.036288099567358</v>
      </c>
      <c r="AD261" s="142">
        <v>0</v>
      </c>
      <c r="AE261" s="142">
        <v>0</v>
      </c>
      <c r="AF261" s="142">
        <v>0</v>
      </c>
      <c r="AG261" s="142">
        <v>0</v>
      </c>
      <c r="AH261" s="142">
        <v>0</v>
      </c>
      <c r="AK261" s="143">
        <f>('Co-Processing'!G251*'Co-Pro Feedstock Breakdown'!$AL$199)/12*'Co-Pro Feedstock Breakdown'!T261*7.5</f>
        <v>74.135673719656225</v>
      </c>
    </row>
    <row r="262" spans="1:37" x14ac:dyDescent="0.25">
      <c r="A262" s="96">
        <v>46692</v>
      </c>
      <c r="B262" s="104">
        <f t="shared" si="34"/>
        <v>25</v>
      </c>
      <c r="C262" s="104">
        <f>('Co-Processing'!B264*'Co-Pro Feedstock Breakdown'!C$3*'Feedstock Conversion Rates'!B$12)/12-10-15</f>
        <v>10.520833333333336</v>
      </c>
      <c r="D262" s="106">
        <f t="shared" si="35"/>
        <v>35.520833333333336</v>
      </c>
      <c r="E262" s="104">
        <f>('Co-Processing'!C264*'Co-Pro Feedstock Breakdown'!E$3*'Feedstock Conversion Rates'!B$13)/12</f>
        <v>25.78125</v>
      </c>
      <c r="F262" s="104">
        <f>('Co-Processing'!C264*'Co-Pro Feedstock Breakdown'!F$3*'Feedstock Conversion Rates'!B$14)/12</f>
        <v>8.5364583333333339</v>
      </c>
      <c r="G262" s="106">
        <f t="shared" si="36"/>
        <v>34.317708333333336</v>
      </c>
      <c r="H262" s="104">
        <f>('Co-Processing'!D264*'Co-Pro Feedstock Breakdown'!H$3*'Feedstock Conversion Rates'!B$13)/12</f>
        <v>31.25</v>
      </c>
      <c r="I262" s="106">
        <f t="shared" si="37"/>
        <v>31.25</v>
      </c>
      <c r="J262" s="104">
        <f>('Co-Processing'!E264*'Co-Pro Feedstock Breakdown'!J$3*'Feedstock Conversion Rates'!B$13)/12</f>
        <v>1.25</v>
      </c>
      <c r="K262" s="104">
        <f>('Co-Processing'!E264*'Co-Pro Feedstock Breakdown'!K$3*'Feedstock Conversion Rates'!B$12)/12</f>
        <v>1.2916666666666667</v>
      </c>
      <c r="L262" s="106">
        <f t="shared" si="41"/>
        <v>2.541666666666667</v>
      </c>
      <c r="N262" s="104">
        <f t="shared" si="42"/>
        <v>83.28125</v>
      </c>
      <c r="O262" s="104">
        <f t="shared" si="33"/>
        <v>20.348958333333336</v>
      </c>
      <c r="P262" s="104"/>
      <c r="Q262" s="106">
        <f t="shared" si="43"/>
        <v>103.63020833333334</v>
      </c>
      <c r="R262" s="141">
        <f t="shared" si="44"/>
        <v>0</v>
      </c>
      <c r="T262" s="110">
        <f t="shared" si="39"/>
        <v>0.80363873950846854</v>
      </c>
      <c r="U262" s="110">
        <f t="shared" si="39"/>
        <v>0.19636126049153138</v>
      </c>
      <c r="V262" s="110">
        <f t="shared" si="39"/>
        <v>0</v>
      </c>
      <c r="W262" s="110">
        <f t="shared" si="40"/>
        <v>0.99999999999999989</v>
      </c>
      <c r="Y262" s="142">
        <f>T262*'Co-Processing'!K264*'Feedstock Conversion Rates'!B$13</f>
        <v>46.740366302047732</v>
      </c>
      <c r="Z262" s="142">
        <f>U262*'Co-Processing'!K264*'Feedstock Conversion Rates'!B$12</f>
        <v>11.801236075474495</v>
      </c>
      <c r="AA262" s="142">
        <f>V262*'Co-Processing'!K264*'Feedstock Conversion Rates'!B$14</f>
        <v>0</v>
      </c>
      <c r="AB262" s="142">
        <f t="shared" si="38"/>
        <v>58.541602377522224</v>
      </c>
      <c r="AD262" s="142">
        <v>0</v>
      </c>
      <c r="AE262" s="142">
        <v>0</v>
      </c>
      <c r="AF262" s="142">
        <v>0</v>
      </c>
      <c r="AG262" s="142">
        <v>0</v>
      </c>
      <c r="AH262" s="142">
        <v>0</v>
      </c>
      <c r="AK262" s="143">
        <f>('Co-Processing'!G252*'Co-Pro Feedstock Breakdown'!$AL$199)/12*'Co-Pro Feedstock Breakdown'!T262*7.5</f>
        <v>74.135673719656225</v>
      </c>
    </row>
    <row r="263" spans="1:37" x14ac:dyDescent="0.25">
      <c r="A263" s="96">
        <v>46722</v>
      </c>
      <c r="B263" s="104">
        <f t="shared" si="34"/>
        <v>25</v>
      </c>
      <c r="C263" s="104">
        <f>('Co-Processing'!B265*'Co-Pro Feedstock Breakdown'!C$3*'Feedstock Conversion Rates'!B$12)/12-10-15</f>
        <v>10.520833333333336</v>
      </c>
      <c r="D263" s="106">
        <f t="shared" si="35"/>
        <v>35.520833333333336</v>
      </c>
      <c r="E263" s="104">
        <f>('Co-Processing'!C265*'Co-Pro Feedstock Breakdown'!E$3*'Feedstock Conversion Rates'!B$13)/12</f>
        <v>25.78125</v>
      </c>
      <c r="F263" s="104">
        <f>('Co-Processing'!C265*'Co-Pro Feedstock Breakdown'!F$3*'Feedstock Conversion Rates'!B$14)/12</f>
        <v>8.5364583333333339</v>
      </c>
      <c r="G263" s="106">
        <f t="shared" si="36"/>
        <v>34.317708333333336</v>
      </c>
      <c r="H263" s="104">
        <f>('Co-Processing'!D265*'Co-Pro Feedstock Breakdown'!H$3*'Feedstock Conversion Rates'!B$13)/12</f>
        <v>31.25</v>
      </c>
      <c r="I263" s="106">
        <f t="shared" si="37"/>
        <v>31.25</v>
      </c>
      <c r="J263" s="104">
        <f>('Co-Processing'!E265*'Co-Pro Feedstock Breakdown'!J$3*'Feedstock Conversion Rates'!B$13)/12</f>
        <v>1.25</v>
      </c>
      <c r="K263" s="104">
        <f>('Co-Processing'!E265*'Co-Pro Feedstock Breakdown'!K$3*'Feedstock Conversion Rates'!B$12)/12</f>
        <v>1.2916666666666667</v>
      </c>
      <c r="L263" s="106">
        <f t="shared" si="41"/>
        <v>2.541666666666667</v>
      </c>
      <c r="N263" s="104">
        <f t="shared" si="42"/>
        <v>83.28125</v>
      </c>
      <c r="O263" s="104">
        <f t="shared" si="33"/>
        <v>20.348958333333336</v>
      </c>
      <c r="P263" s="104"/>
      <c r="Q263" s="106">
        <f t="shared" si="43"/>
        <v>103.63020833333334</v>
      </c>
      <c r="R263" s="141">
        <f t="shared" si="44"/>
        <v>0</v>
      </c>
      <c r="T263" s="110">
        <f t="shared" si="39"/>
        <v>0.80363873950846854</v>
      </c>
      <c r="U263" s="110">
        <f t="shared" si="39"/>
        <v>0.19636126049153138</v>
      </c>
      <c r="V263" s="110">
        <f t="shared" si="39"/>
        <v>0</v>
      </c>
      <c r="W263" s="110">
        <f t="shared" si="40"/>
        <v>0.99999999999999989</v>
      </c>
      <c r="Y263" s="142">
        <f>T263*'Co-Processing'!K265*'Feedstock Conversion Rates'!B$13</f>
        <v>47.530690674241484</v>
      </c>
      <c r="Z263" s="142">
        <f>U263*'Co-Processing'!K265*'Feedstock Conversion Rates'!B$12</f>
        <v>12.000781034796971</v>
      </c>
      <c r="AA263" s="142">
        <f>V263*'Co-Processing'!K265*'Feedstock Conversion Rates'!B$14</f>
        <v>0</v>
      </c>
      <c r="AB263" s="142">
        <f t="shared" si="38"/>
        <v>59.531471709038456</v>
      </c>
      <c r="AD263" s="142">
        <v>0</v>
      </c>
      <c r="AE263" s="142">
        <v>0</v>
      </c>
      <c r="AF263" s="142">
        <v>0</v>
      </c>
      <c r="AG263" s="142">
        <v>0</v>
      </c>
      <c r="AH263" s="142">
        <v>0</v>
      </c>
      <c r="AK263" s="143">
        <f>('Co-Processing'!G253*'Co-Pro Feedstock Breakdown'!$AL$199)/12*'Co-Pro Feedstock Breakdown'!T263*7.5</f>
        <v>74.135673719656225</v>
      </c>
    </row>
    <row r="264" spans="1:37" x14ac:dyDescent="0.25">
      <c r="A264" s="96">
        <v>46753</v>
      </c>
      <c r="B264" s="104">
        <f t="shared" si="34"/>
        <v>25</v>
      </c>
      <c r="C264" s="104">
        <f>('Co-Processing'!B266*'Co-Pro Feedstock Breakdown'!C$3*'Feedstock Conversion Rates'!B$12)/12-10-15</f>
        <v>10.520833333333336</v>
      </c>
      <c r="D264" s="106">
        <f t="shared" si="35"/>
        <v>35.520833333333336</v>
      </c>
      <c r="E264" s="104">
        <f>('Co-Processing'!C266*'Co-Pro Feedstock Breakdown'!E$3*'Feedstock Conversion Rates'!B$13)/12</f>
        <v>25.78125</v>
      </c>
      <c r="F264" s="104">
        <f>('Co-Processing'!C266*'Co-Pro Feedstock Breakdown'!F$3*'Feedstock Conversion Rates'!B$14)/12</f>
        <v>8.5364583333333339</v>
      </c>
      <c r="G264" s="106">
        <f t="shared" si="36"/>
        <v>34.317708333333336</v>
      </c>
      <c r="H264" s="104">
        <f>('Co-Processing'!D266*'Co-Pro Feedstock Breakdown'!H$3*'Feedstock Conversion Rates'!B$13)/12</f>
        <v>78.125</v>
      </c>
      <c r="I264" s="106">
        <f t="shared" si="37"/>
        <v>78.125</v>
      </c>
      <c r="J264" s="104">
        <f>('Co-Processing'!E266*'Co-Pro Feedstock Breakdown'!J$3*'Feedstock Conversion Rates'!B$13)/12</f>
        <v>1.25</v>
      </c>
      <c r="K264" s="104">
        <f>('Co-Processing'!E266*'Co-Pro Feedstock Breakdown'!K$3*'Feedstock Conversion Rates'!B$12)/12</f>
        <v>1.2916666666666667</v>
      </c>
      <c r="L264" s="106">
        <f t="shared" si="41"/>
        <v>2.541666666666667</v>
      </c>
      <c r="N264" s="104">
        <f t="shared" si="42"/>
        <v>130.15625</v>
      </c>
      <c r="O264" s="104">
        <f t="shared" si="33"/>
        <v>20.348958333333336</v>
      </c>
      <c r="P264" s="104"/>
      <c r="Q264" s="106">
        <f t="shared" si="43"/>
        <v>150.50520833333334</v>
      </c>
      <c r="R264" s="141">
        <f t="shared" si="44"/>
        <v>0</v>
      </c>
      <c r="T264" s="110">
        <f t="shared" si="39"/>
        <v>0.86479565352804788</v>
      </c>
      <c r="U264" s="110">
        <f t="shared" si="39"/>
        <v>0.13520434647195212</v>
      </c>
      <c r="V264" s="110">
        <f t="shared" si="39"/>
        <v>0</v>
      </c>
      <c r="W264" s="110">
        <f t="shared" si="40"/>
        <v>1</v>
      </c>
      <c r="Y264" s="142">
        <f>T264*'Co-Processing'!K266*'Feedstock Conversion Rates'!B$13</f>
        <v>44.167539680597933</v>
      </c>
      <c r="Z264" s="142">
        <f>U264*'Co-Processing'!K266*'Feedstock Conversion Rates'!B$12</f>
        <v>7.135440714279019</v>
      </c>
      <c r="AA264" s="142">
        <f>V264*'Co-Processing'!K266*'Feedstock Conversion Rates'!B$14</f>
        <v>0</v>
      </c>
      <c r="AB264" s="142">
        <f t="shared" si="38"/>
        <v>51.302980394876954</v>
      </c>
      <c r="AD264" s="142">
        <v>0</v>
      </c>
      <c r="AE264" s="142">
        <v>0</v>
      </c>
      <c r="AF264" s="142">
        <v>0</v>
      </c>
      <c r="AG264" s="142">
        <v>0</v>
      </c>
      <c r="AH264" s="142">
        <v>0</v>
      </c>
      <c r="AK264" s="143">
        <f>('Co-Processing'!G254*'Co-Pro Feedstock Breakdown'!$AL$199)/12*'Co-Pro Feedstock Breakdown'!T264*7.5</f>
        <v>79.777399037962411</v>
      </c>
    </row>
    <row r="265" spans="1:37" x14ac:dyDescent="0.25">
      <c r="A265" s="96">
        <v>46784</v>
      </c>
      <c r="B265" s="104">
        <f t="shared" si="34"/>
        <v>25</v>
      </c>
      <c r="C265" s="104">
        <f>('Co-Processing'!B267*'Co-Pro Feedstock Breakdown'!C$3*'Feedstock Conversion Rates'!B$12)/12-10-15</f>
        <v>10.520833333333336</v>
      </c>
      <c r="D265" s="106">
        <f t="shared" si="35"/>
        <v>35.520833333333336</v>
      </c>
      <c r="E265" s="104">
        <f>('Co-Processing'!C267*'Co-Pro Feedstock Breakdown'!E$3*'Feedstock Conversion Rates'!B$13)/12</f>
        <v>25.78125</v>
      </c>
      <c r="F265" s="104">
        <f>('Co-Processing'!C267*'Co-Pro Feedstock Breakdown'!F$3*'Feedstock Conversion Rates'!B$14)/12</f>
        <v>8.5364583333333339</v>
      </c>
      <c r="G265" s="106">
        <f t="shared" si="36"/>
        <v>34.317708333333336</v>
      </c>
      <c r="H265" s="104">
        <f>('Co-Processing'!D267*'Co-Pro Feedstock Breakdown'!H$3*'Feedstock Conversion Rates'!B$13)/12</f>
        <v>78.125</v>
      </c>
      <c r="I265" s="106">
        <f t="shared" si="37"/>
        <v>78.125</v>
      </c>
      <c r="J265" s="104">
        <f>('Co-Processing'!E267*'Co-Pro Feedstock Breakdown'!J$3*'Feedstock Conversion Rates'!B$13)/12</f>
        <v>1.25</v>
      </c>
      <c r="K265" s="104">
        <f>('Co-Processing'!E267*'Co-Pro Feedstock Breakdown'!K$3*'Feedstock Conversion Rates'!B$12)/12</f>
        <v>1.2916666666666667</v>
      </c>
      <c r="L265" s="106">
        <f t="shared" si="41"/>
        <v>2.541666666666667</v>
      </c>
      <c r="N265" s="104">
        <f t="shared" si="42"/>
        <v>130.15625</v>
      </c>
      <c r="O265" s="104">
        <f t="shared" ref="O265:O328" si="45">C265+K265+F265</f>
        <v>20.348958333333336</v>
      </c>
      <c r="P265" s="104"/>
      <c r="Q265" s="106">
        <f t="shared" si="43"/>
        <v>150.50520833333334</v>
      </c>
      <c r="R265" s="141">
        <f t="shared" si="44"/>
        <v>0</v>
      </c>
      <c r="T265" s="110">
        <f t="shared" si="39"/>
        <v>0.86479565352804788</v>
      </c>
      <c r="U265" s="110">
        <f t="shared" si="39"/>
        <v>0.13520434647195212</v>
      </c>
      <c r="V265" s="110">
        <f t="shared" si="39"/>
        <v>0</v>
      </c>
      <c r="W265" s="110">
        <f t="shared" si="40"/>
        <v>1</v>
      </c>
      <c r="Y265" s="142">
        <f>T265*'Co-Processing'!K267*'Feedstock Conversion Rates'!B$13</f>
        <v>33.599393616675059</v>
      </c>
      <c r="Z265" s="142">
        <f>U265*'Co-Processing'!K267*'Feedstock Conversion Rates'!B$12</f>
        <v>5.4281149215297226</v>
      </c>
      <c r="AA265" s="142">
        <f>V265*'Co-Processing'!K267*'Feedstock Conversion Rates'!B$14</f>
        <v>0</v>
      </c>
      <c r="AB265" s="142">
        <f t="shared" si="38"/>
        <v>39.027508538204785</v>
      </c>
      <c r="AD265" s="142">
        <v>0</v>
      </c>
      <c r="AE265" s="142">
        <v>0</v>
      </c>
      <c r="AF265" s="142">
        <v>0</v>
      </c>
      <c r="AG265" s="142">
        <v>0</v>
      </c>
      <c r="AH265" s="142">
        <v>0</v>
      </c>
      <c r="AK265" s="143">
        <f>('Co-Processing'!G255*'Co-Pro Feedstock Breakdown'!$AL$199)/12*'Co-Pro Feedstock Breakdown'!T265*7.5</f>
        <v>79.777399037962411</v>
      </c>
    </row>
    <row r="266" spans="1:37" x14ac:dyDescent="0.25">
      <c r="A266" s="96">
        <v>46813</v>
      </c>
      <c r="B266" s="104">
        <f t="shared" ref="B266:B329" si="46">10+15</f>
        <v>25</v>
      </c>
      <c r="C266" s="104">
        <f>('Co-Processing'!B268*'Co-Pro Feedstock Breakdown'!C$3*'Feedstock Conversion Rates'!B$12)/12-10-15</f>
        <v>10.520833333333336</v>
      </c>
      <c r="D266" s="106">
        <f t="shared" si="35"/>
        <v>35.520833333333336</v>
      </c>
      <c r="E266" s="104">
        <f>('Co-Processing'!C268*'Co-Pro Feedstock Breakdown'!E$3*'Feedstock Conversion Rates'!B$13)/12</f>
        <v>25.78125</v>
      </c>
      <c r="F266" s="104">
        <f>('Co-Processing'!C268*'Co-Pro Feedstock Breakdown'!F$3*'Feedstock Conversion Rates'!B$14)/12</f>
        <v>8.5364583333333339</v>
      </c>
      <c r="G266" s="106">
        <f t="shared" si="36"/>
        <v>34.317708333333336</v>
      </c>
      <c r="H266" s="104">
        <f>('Co-Processing'!D268*'Co-Pro Feedstock Breakdown'!H$3*'Feedstock Conversion Rates'!B$13)/12</f>
        <v>78.125</v>
      </c>
      <c r="I266" s="106">
        <f t="shared" si="37"/>
        <v>78.125</v>
      </c>
      <c r="J266" s="104">
        <f>('Co-Processing'!E268*'Co-Pro Feedstock Breakdown'!J$3*'Feedstock Conversion Rates'!B$13)/12</f>
        <v>1.25</v>
      </c>
      <c r="K266" s="104">
        <f>('Co-Processing'!E268*'Co-Pro Feedstock Breakdown'!K$3*'Feedstock Conversion Rates'!B$12)/12</f>
        <v>1.2916666666666667</v>
      </c>
      <c r="L266" s="106">
        <f t="shared" si="41"/>
        <v>2.541666666666667</v>
      </c>
      <c r="N266" s="104">
        <f t="shared" si="42"/>
        <v>130.15625</v>
      </c>
      <c r="O266" s="104">
        <f t="shared" si="45"/>
        <v>20.348958333333336</v>
      </c>
      <c r="P266" s="104"/>
      <c r="Q266" s="106">
        <f t="shared" si="43"/>
        <v>150.50520833333334</v>
      </c>
      <c r="R266" s="141">
        <f t="shared" si="44"/>
        <v>0</v>
      </c>
      <c r="T266" s="110">
        <f t="shared" si="39"/>
        <v>0.86479565352804788</v>
      </c>
      <c r="U266" s="110">
        <f t="shared" si="39"/>
        <v>0.13520434647195212</v>
      </c>
      <c r="V266" s="110">
        <f t="shared" si="39"/>
        <v>0</v>
      </c>
      <c r="W266" s="110">
        <f t="shared" si="40"/>
        <v>1</v>
      </c>
      <c r="Y266" s="142">
        <f>T266*'Co-Processing'!K268*'Feedstock Conversion Rates'!B$13</f>
        <v>61.572325577638559</v>
      </c>
      <c r="Z266" s="142">
        <f>U266*'Co-Processing'!K268*'Feedstock Conversion Rates'!B$12</f>
        <v>9.94725271039996</v>
      </c>
      <c r="AA266" s="142">
        <f>V266*'Co-Processing'!K268*'Feedstock Conversion Rates'!B$14</f>
        <v>0</v>
      </c>
      <c r="AB266" s="142">
        <f t="shared" si="38"/>
        <v>71.519578288038517</v>
      </c>
      <c r="AD266" s="142">
        <v>0</v>
      </c>
      <c r="AE266" s="142">
        <v>0</v>
      </c>
      <c r="AF266" s="142">
        <v>0</v>
      </c>
      <c r="AG266" s="142">
        <v>0</v>
      </c>
      <c r="AH266" s="142">
        <v>0</v>
      </c>
      <c r="AK266" s="143">
        <f>('Co-Processing'!G256*'Co-Pro Feedstock Breakdown'!$AL$199)/12*'Co-Pro Feedstock Breakdown'!T266*7.5</f>
        <v>79.777399037962411</v>
      </c>
    </row>
    <row r="267" spans="1:37" x14ac:dyDescent="0.25">
      <c r="A267" s="96">
        <v>46844</v>
      </c>
      <c r="B267" s="104">
        <f t="shared" si="46"/>
        <v>25</v>
      </c>
      <c r="C267" s="104">
        <f>('Co-Processing'!B269*'Co-Pro Feedstock Breakdown'!C$3*'Feedstock Conversion Rates'!B$12)/12-10-15</f>
        <v>10.520833333333336</v>
      </c>
      <c r="D267" s="106">
        <f t="shared" si="35"/>
        <v>35.520833333333336</v>
      </c>
      <c r="E267" s="104">
        <f>('Co-Processing'!C269*'Co-Pro Feedstock Breakdown'!E$3*'Feedstock Conversion Rates'!B$13)/12</f>
        <v>25.78125</v>
      </c>
      <c r="F267" s="104">
        <f>('Co-Processing'!C269*'Co-Pro Feedstock Breakdown'!F$3*'Feedstock Conversion Rates'!B$14)/12</f>
        <v>8.5364583333333339</v>
      </c>
      <c r="G267" s="106">
        <f t="shared" si="36"/>
        <v>34.317708333333336</v>
      </c>
      <c r="H267" s="104">
        <f>('Co-Processing'!D269*'Co-Pro Feedstock Breakdown'!H$3*'Feedstock Conversion Rates'!B$13)/12</f>
        <v>78.125</v>
      </c>
      <c r="I267" s="106">
        <f t="shared" si="37"/>
        <v>78.125</v>
      </c>
      <c r="J267" s="104">
        <f>('Co-Processing'!E269*'Co-Pro Feedstock Breakdown'!J$3*'Feedstock Conversion Rates'!B$13)/12</f>
        <v>1.25</v>
      </c>
      <c r="K267" s="104">
        <f>('Co-Processing'!E269*'Co-Pro Feedstock Breakdown'!K$3*'Feedstock Conversion Rates'!B$12)/12</f>
        <v>1.2916666666666667</v>
      </c>
      <c r="L267" s="106">
        <f t="shared" si="41"/>
        <v>2.541666666666667</v>
      </c>
      <c r="N267" s="104">
        <f t="shared" si="42"/>
        <v>130.15625</v>
      </c>
      <c r="O267" s="104">
        <f t="shared" si="45"/>
        <v>20.348958333333336</v>
      </c>
      <c r="P267" s="104"/>
      <c r="Q267" s="106">
        <f t="shared" si="43"/>
        <v>150.50520833333334</v>
      </c>
      <c r="R267" s="141">
        <f t="shared" si="44"/>
        <v>0</v>
      </c>
      <c r="T267" s="110">
        <f t="shared" si="39"/>
        <v>0.86479565352804788</v>
      </c>
      <c r="U267" s="110">
        <f t="shared" si="39"/>
        <v>0.13520434647195212</v>
      </c>
      <c r="V267" s="110">
        <f t="shared" si="39"/>
        <v>0</v>
      </c>
      <c r="W267" s="110">
        <f t="shared" si="40"/>
        <v>1</v>
      </c>
      <c r="Y267" s="142">
        <f>T267*'Co-Processing'!K269*'Feedstock Conversion Rates'!B$13</f>
        <v>38.434896570720781</v>
      </c>
      <c r="Z267" s="142">
        <f>U267*'Co-Processing'!K269*'Feedstock Conversion Rates'!B$12</f>
        <v>6.2093095477604239</v>
      </c>
      <c r="AA267" s="142">
        <f>V267*'Co-Processing'!K269*'Feedstock Conversion Rates'!B$14</f>
        <v>0</v>
      </c>
      <c r="AB267" s="142">
        <f t="shared" si="38"/>
        <v>44.644206118481208</v>
      </c>
      <c r="AD267" s="142">
        <v>0</v>
      </c>
      <c r="AE267" s="142">
        <v>0</v>
      </c>
      <c r="AF267" s="142">
        <v>0</v>
      </c>
      <c r="AG267" s="142">
        <v>0</v>
      </c>
      <c r="AH267" s="142">
        <v>0</v>
      </c>
      <c r="AK267" s="143">
        <f>('Co-Processing'!G257*'Co-Pro Feedstock Breakdown'!$AL$199)/12*'Co-Pro Feedstock Breakdown'!T267*7.5</f>
        <v>79.777399037962411</v>
      </c>
    </row>
    <row r="268" spans="1:37" x14ac:dyDescent="0.25">
      <c r="A268" s="96">
        <v>46874</v>
      </c>
      <c r="B268" s="104">
        <f t="shared" si="46"/>
        <v>25</v>
      </c>
      <c r="C268" s="104">
        <f>('Co-Processing'!B270*'Co-Pro Feedstock Breakdown'!C$3*'Feedstock Conversion Rates'!B$12)/12-10-15</f>
        <v>10.520833333333336</v>
      </c>
      <c r="D268" s="106">
        <f t="shared" si="35"/>
        <v>35.520833333333336</v>
      </c>
      <c r="E268" s="104">
        <f>('Co-Processing'!C270*'Co-Pro Feedstock Breakdown'!E$3*'Feedstock Conversion Rates'!B$13)/12</f>
        <v>25.78125</v>
      </c>
      <c r="F268" s="104">
        <f>('Co-Processing'!C270*'Co-Pro Feedstock Breakdown'!F$3*'Feedstock Conversion Rates'!B$14)/12</f>
        <v>8.5364583333333339</v>
      </c>
      <c r="G268" s="106">
        <f t="shared" si="36"/>
        <v>34.317708333333336</v>
      </c>
      <c r="H268" s="104">
        <f>('Co-Processing'!D270*'Co-Pro Feedstock Breakdown'!H$3*'Feedstock Conversion Rates'!B$13)/12</f>
        <v>78.125</v>
      </c>
      <c r="I268" s="106">
        <f t="shared" si="37"/>
        <v>78.125</v>
      </c>
      <c r="J268" s="104">
        <f>('Co-Processing'!E270*'Co-Pro Feedstock Breakdown'!J$3*'Feedstock Conversion Rates'!B$13)/12</f>
        <v>1.25</v>
      </c>
      <c r="K268" s="104">
        <f>('Co-Processing'!E270*'Co-Pro Feedstock Breakdown'!K$3*'Feedstock Conversion Rates'!B$12)/12</f>
        <v>1.2916666666666667</v>
      </c>
      <c r="L268" s="106">
        <f t="shared" si="41"/>
        <v>2.541666666666667</v>
      </c>
      <c r="N268" s="104">
        <f t="shared" si="42"/>
        <v>130.15625</v>
      </c>
      <c r="O268" s="104">
        <f t="shared" si="45"/>
        <v>20.348958333333336</v>
      </c>
      <c r="P268" s="104"/>
      <c r="Q268" s="106">
        <f t="shared" si="43"/>
        <v>150.50520833333334</v>
      </c>
      <c r="R268" s="141">
        <f t="shared" si="44"/>
        <v>0</v>
      </c>
      <c r="T268" s="110">
        <f t="shared" si="39"/>
        <v>0.86479565352804788</v>
      </c>
      <c r="U268" s="110">
        <f t="shared" si="39"/>
        <v>0.13520434647195212</v>
      </c>
      <c r="V268" s="110">
        <f t="shared" si="39"/>
        <v>0</v>
      </c>
      <c r="W268" s="110">
        <f t="shared" si="40"/>
        <v>1</v>
      </c>
      <c r="Y268" s="142">
        <f>T268*'Co-Processing'!K270*'Feedstock Conversion Rates'!B$13</f>
        <v>42.141329600061141</v>
      </c>
      <c r="Z268" s="142">
        <f>U268*'Co-Processing'!K270*'Feedstock Conversion Rates'!B$12</f>
        <v>6.8080984622790526</v>
      </c>
      <c r="AA268" s="142">
        <f>V268*'Co-Processing'!K270*'Feedstock Conversion Rates'!B$14</f>
        <v>0</v>
      </c>
      <c r="AB268" s="142">
        <f t="shared" si="38"/>
        <v>48.949428062340196</v>
      </c>
      <c r="AD268" s="142">
        <v>0</v>
      </c>
      <c r="AE268" s="142">
        <v>0</v>
      </c>
      <c r="AF268" s="142">
        <v>0</v>
      </c>
      <c r="AG268" s="142">
        <v>0</v>
      </c>
      <c r="AH268" s="142">
        <v>0</v>
      </c>
      <c r="AK268" s="143">
        <f>('Co-Processing'!G258*'Co-Pro Feedstock Breakdown'!$AL$199)/12*'Co-Pro Feedstock Breakdown'!T268*7.5</f>
        <v>79.777399037962411</v>
      </c>
    </row>
    <row r="269" spans="1:37" x14ac:dyDescent="0.25">
      <c r="A269" s="96">
        <v>46905</v>
      </c>
      <c r="B269" s="104">
        <f t="shared" si="46"/>
        <v>25</v>
      </c>
      <c r="C269" s="104">
        <f>('Co-Processing'!B271*'Co-Pro Feedstock Breakdown'!C$3*'Feedstock Conversion Rates'!B$12)/12-10-15</f>
        <v>10.520833333333336</v>
      </c>
      <c r="D269" s="106">
        <f t="shared" si="35"/>
        <v>35.520833333333336</v>
      </c>
      <c r="E269" s="104">
        <f>('Co-Processing'!C271*'Co-Pro Feedstock Breakdown'!E$3*'Feedstock Conversion Rates'!B$13)/12</f>
        <v>25.78125</v>
      </c>
      <c r="F269" s="104">
        <f>('Co-Processing'!C271*'Co-Pro Feedstock Breakdown'!F$3*'Feedstock Conversion Rates'!B$14)/12</f>
        <v>8.5364583333333339</v>
      </c>
      <c r="G269" s="106">
        <f t="shared" si="36"/>
        <v>34.317708333333336</v>
      </c>
      <c r="H269" s="104">
        <f>('Co-Processing'!D271*'Co-Pro Feedstock Breakdown'!H$3*'Feedstock Conversion Rates'!B$13)/12</f>
        <v>78.125</v>
      </c>
      <c r="I269" s="106">
        <f t="shared" si="37"/>
        <v>78.125</v>
      </c>
      <c r="J269" s="104">
        <f>('Co-Processing'!E271*'Co-Pro Feedstock Breakdown'!J$3*'Feedstock Conversion Rates'!B$13)/12</f>
        <v>1.25</v>
      </c>
      <c r="K269" s="104">
        <f>('Co-Processing'!E271*'Co-Pro Feedstock Breakdown'!K$3*'Feedstock Conversion Rates'!B$12)/12</f>
        <v>1.2916666666666667</v>
      </c>
      <c r="L269" s="106">
        <f t="shared" si="41"/>
        <v>2.541666666666667</v>
      </c>
      <c r="N269" s="104">
        <f t="shared" si="42"/>
        <v>130.15625</v>
      </c>
      <c r="O269" s="104">
        <f t="shared" si="45"/>
        <v>20.348958333333336</v>
      </c>
      <c r="P269" s="104"/>
      <c r="Q269" s="106">
        <f t="shared" si="43"/>
        <v>150.50520833333334</v>
      </c>
      <c r="R269" s="141">
        <f t="shared" si="44"/>
        <v>0</v>
      </c>
      <c r="T269" s="110">
        <f>N269/$Q269</f>
        <v>0.86479565352804788</v>
      </c>
      <c r="U269" s="110">
        <f>O269/$Q269</f>
        <v>0.13520434647195212</v>
      </c>
      <c r="V269" s="110">
        <f>P269/$Q269</f>
        <v>0</v>
      </c>
      <c r="W269" s="110">
        <f>SUM(T269:V269)</f>
        <v>1</v>
      </c>
      <c r="Y269" s="142">
        <f>T269*'Co-Processing'!K271*'Feedstock Conversion Rates'!B$13</f>
        <v>60.504400713986641</v>
      </c>
      <c r="Z269" s="142">
        <f>U269*'Co-Processing'!K271*'Feedstock Conversion Rates'!B$12</f>
        <v>9.7747252251246124</v>
      </c>
      <c r="AA269" s="142">
        <f>V269*'Co-Processing'!K271*'Feedstock Conversion Rates'!B$14</f>
        <v>0</v>
      </c>
      <c r="AB269" s="142">
        <f t="shared" si="38"/>
        <v>70.279125939111253</v>
      </c>
      <c r="AD269" s="142">
        <v>0</v>
      </c>
      <c r="AE269" s="142">
        <v>0</v>
      </c>
      <c r="AF269" s="142">
        <v>0</v>
      </c>
      <c r="AG269" s="142">
        <v>0</v>
      </c>
      <c r="AH269" s="142">
        <v>0</v>
      </c>
      <c r="AK269" s="143">
        <f>('Co-Processing'!G259*'Co-Pro Feedstock Breakdown'!$AL$199)/12*'Co-Pro Feedstock Breakdown'!T269*7.5</f>
        <v>79.777399037962411</v>
      </c>
    </row>
    <row r="270" spans="1:37" x14ac:dyDescent="0.25">
      <c r="A270" s="96">
        <v>46935</v>
      </c>
      <c r="B270" s="104">
        <f t="shared" si="46"/>
        <v>25</v>
      </c>
      <c r="C270" s="104">
        <f>('Co-Processing'!B272*'Co-Pro Feedstock Breakdown'!C$3*'Feedstock Conversion Rates'!B$12)/12-10-15</f>
        <v>10.520833333333336</v>
      </c>
      <c r="D270" s="106">
        <f t="shared" si="35"/>
        <v>35.520833333333336</v>
      </c>
      <c r="E270" s="104">
        <f>('Co-Processing'!C272*'Co-Pro Feedstock Breakdown'!E$3*'Feedstock Conversion Rates'!B$13)/12</f>
        <v>25.78125</v>
      </c>
      <c r="F270" s="104">
        <f>('Co-Processing'!C272*'Co-Pro Feedstock Breakdown'!F$3*'Feedstock Conversion Rates'!B$14)/12</f>
        <v>8.5364583333333339</v>
      </c>
      <c r="G270" s="106">
        <f t="shared" si="36"/>
        <v>34.317708333333336</v>
      </c>
      <c r="H270" s="104">
        <f>('Co-Processing'!D272*'Co-Pro Feedstock Breakdown'!H$3*'Feedstock Conversion Rates'!B$13)/12</f>
        <v>78.125</v>
      </c>
      <c r="I270" s="106">
        <f t="shared" si="37"/>
        <v>78.125</v>
      </c>
      <c r="J270" s="104">
        <f>('Co-Processing'!E272*'Co-Pro Feedstock Breakdown'!J$3*'Feedstock Conversion Rates'!B$13)/12</f>
        <v>1.25</v>
      </c>
      <c r="K270" s="104">
        <f>('Co-Processing'!E272*'Co-Pro Feedstock Breakdown'!K$3*'Feedstock Conversion Rates'!B$12)/12</f>
        <v>1.2916666666666667</v>
      </c>
      <c r="L270" s="106">
        <f t="shared" si="41"/>
        <v>2.541666666666667</v>
      </c>
      <c r="N270" s="104">
        <f t="shared" si="42"/>
        <v>130.15625</v>
      </c>
      <c r="O270" s="104">
        <f t="shared" si="45"/>
        <v>20.348958333333336</v>
      </c>
      <c r="P270" s="104"/>
      <c r="Q270" s="106">
        <f t="shared" si="43"/>
        <v>150.50520833333334</v>
      </c>
      <c r="R270" s="141">
        <f t="shared" si="44"/>
        <v>0</v>
      </c>
      <c r="T270" s="110">
        <f t="shared" ref="T270:V299" si="47">N270/$Q270</f>
        <v>0.86479565352804788</v>
      </c>
      <c r="U270" s="110">
        <f t="shared" si="47"/>
        <v>0.13520434647195212</v>
      </c>
      <c r="V270" s="110">
        <f t="shared" si="47"/>
        <v>0</v>
      </c>
      <c r="W270" s="110">
        <f t="shared" ref="W270:W299" si="48">SUM(T270:V270)</f>
        <v>1</v>
      </c>
      <c r="Y270" s="142">
        <f>T270*'Co-Processing'!K272*'Feedstock Conversion Rates'!B$13</f>
        <v>47.415814314682642</v>
      </c>
      <c r="Z270" s="142">
        <f>U270*'Co-Processing'!K272*'Feedstock Conversion Rates'!B$12</f>
        <v>7.6602123280664509</v>
      </c>
      <c r="AA270" s="142">
        <f>V270*'Co-Processing'!K272*'Feedstock Conversion Rates'!B$14</f>
        <v>0</v>
      </c>
      <c r="AB270" s="142">
        <f t="shared" si="38"/>
        <v>55.076026642749092</v>
      </c>
      <c r="AD270" s="142">
        <v>0</v>
      </c>
      <c r="AE270" s="142">
        <v>0</v>
      </c>
      <c r="AF270" s="142">
        <v>0</v>
      </c>
      <c r="AG270" s="142">
        <v>0</v>
      </c>
      <c r="AH270" s="142">
        <v>0</v>
      </c>
      <c r="AK270" s="143">
        <f>('Co-Processing'!G260*'Co-Pro Feedstock Breakdown'!$AL$199)/12*'Co-Pro Feedstock Breakdown'!T270*7.5</f>
        <v>79.777399037962411</v>
      </c>
    </row>
    <row r="271" spans="1:37" x14ac:dyDescent="0.25">
      <c r="A271" s="96">
        <v>46966</v>
      </c>
      <c r="B271" s="104">
        <f t="shared" si="46"/>
        <v>25</v>
      </c>
      <c r="C271" s="104">
        <f>('Co-Processing'!B273*'Co-Pro Feedstock Breakdown'!C$3*'Feedstock Conversion Rates'!B$12)/12-10-15</f>
        <v>10.520833333333336</v>
      </c>
      <c r="D271" s="106">
        <f t="shared" si="35"/>
        <v>35.520833333333336</v>
      </c>
      <c r="E271" s="104">
        <f>('Co-Processing'!C273*'Co-Pro Feedstock Breakdown'!E$3*'Feedstock Conversion Rates'!B$13)/12</f>
        <v>25.78125</v>
      </c>
      <c r="F271" s="104">
        <f>('Co-Processing'!C273*'Co-Pro Feedstock Breakdown'!F$3*'Feedstock Conversion Rates'!B$14)/12</f>
        <v>8.5364583333333339</v>
      </c>
      <c r="G271" s="106">
        <f t="shared" si="36"/>
        <v>34.317708333333336</v>
      </c>
      <c r="H271" s="104">
        <f>('Co-Processing'!D273*'Co-Pro Feedstock Breakdown'!H$3*'Feedstock Conversion Rates'!B$13)/12</f>
        <v>78.125</v>
      </c>
      <c r="I271" s="106">
        <f t="shared" si="37"/>
        <v>78.125</v>
      </c>
      <c r="J271" s="104">
        <f>('Co-Processing'!E273*'Co-Pro Feedstock Breakdown'!J$3*'Feedstock Conversion Rates'!B$13)/12</f>
        <v>1.25</v>
      </c>
      <c r="K271" s="104">
        <f>('Co-Processing'!E273*'Co-Pro Feedstock Breakdown'!K$3*'Feedstock Conversion Rates'!B$12)/12</f>
        <v>1.2916666666666667</v>
      </c>
      <c r="L271" s="106">
        <f t="shared" si="41"/>
        <v>2.541666666666667</v>
      </c>
      <c r="N271" s="104">
        <f t="shared" si="42"/>
        <v>130.15625</v>
      </c>
      <c r="O271" s="104">
        <f t="shared" si="45"/>
        <v>20.348958333333336</v>
      </c>
      <c r="P271" s="104"/>
      <c r="Q271" s="106">
        <f t="shared" si="43"/>
        <v>150.50520833333334</v>
      </c>
      <c r="R271" s="141">
        <f t="shared" si="44"/>
        <v>0</v>
      </c>
      <c r="T271" s="110">
        <f t="shared" si="47"/>
        <v>0.86479565352804788</v>
      </c>
      <c r="U271" s="110">
        <f t="shared" si="47"/>
        <v>0.13520434647195212</v>
      </c>
      <c r="V271" s="110">
        <f t="shared" si="47"/>
        <v>0</v>
      </c>
      <c r="W271" s="110">
        <f t="shared" si="48"/>
        <v>1</v>
      </c>
      <c r="Y271" s="142">
        <f>T271*'Co-Processing'!K273*'Feedstock Conversion Rates'!B$13</f>
        <v>70.566229706332123</v>
      </c>
      <c r="Z271" s="142">
        <f>U271*'Co-Processing'!K273*'Feedstock Conversion Rates'!B$12</f>
        <v>11.400253492519445</v>
      </c>
      <c r="AA271" s="142">
        <f>V271*'Co-Processing'!K273*'Feedstock Conversion Rates'!B$14</f>
        <v>0</v>
      </c>
      <c r="AB271" s="142">
        <f t="shared" si="38"/>
        <v>81.966483198851563</v>
      </c>
      <c r="AD271" s="142">
        <v>0</v>
      </c>
      <c r="AE271" s="142">
        <v>0</v>
      </c>
      <c r="AF271" s="142">
        <v>0</v>
      </c>
      <c r="AG271" s="142">
        <v>0</v>
      </c>
      <c r="AH271" s="142">
        <v>0</v>
      </c>
      <c r="AK271" s="143">
        <f>('Co-Processing'!G261*'Co-Pro Feedstock Breakdown'!$AL$199)/12*'Co-Pro Feedstock Breakdown'!T271*7.5</f>
        <v>79.777399037962411</v>
      </c>
    </row>
    <row r="272" spans="1:37" x14ac:dyDescent="0.25">
      <c r="A272" s="96">
        <v>46997</v>
      </c>
      <c r="B272" s="104">
        <f t="shared" si="46"/>
        <v>25</v>
      </c>
      <c r="C272" s="104">
        <f>('Co-Processing'!B274*'Co-Pro Feedstock Breakdown'!C$3*'Feedstock Conversion Rates'!B$12)/12-10-15</f>
        <v>10.520833333333336</v>
      </c>
      <c r="D272" s="106">
        <f t="shared" si="35"/>
        <v>35.520833333333336</v>
      </c>
      <c r="E272" s="104">
        <f>('Co-Processing'!C274*'Co-Pro Feedstock Breakdown'!E$3*'Feedstock Conversion Rates'!B$13)/12</f>
        <v>25.78125</v>
      </c>
      <c r="F272" s="104">
        <f>('Co-Processing'!C274*'Co-Pro Feedstock Breakdown'!F$3*'Feedstock Conversion Rates'!B$14)/12</f>
        <v>8.5364583333333339</v>
      </c>
      <c r="G272" s="106">
        <f t="shared" si="36"/>
        <v>34.317708333333336</v>
      </c>
      <c r="H272" s="104">
        <f>('Co-Processing'!D274*'Co-Pro Feedstock Breakdown'!H$3*'Feedstock Conversion Rates'!B$13)/12</f>
        <v>78.125</v>
      </c>
      <c r="I272" s="106">
        <f t="shared" si="37"/>
        <v>78.125</v>
      </c>
      <c r="J272" s="104">
        <f>('Co-Processing'!E274*'Co-Pro Feedstock Breakdown'!J$3*'Feedstock Conversion Rates'!B$13)/12</f>
        <v>1.25</v>
      </c>
      <c r="K272" s="104">
        <f>('Co-Processing'!E274*'Co-Pro Feedstock Breakdown'!K$3*'Feedstock Conversion Rates'!B$12)/12</f>
        <v>1.2916666666666667</v>
      </c>
      <c r="L272" s="106">
        <f t="shared" si="41"/>
        <v>2.541666666666667</v>
      </c>
      <c r="N272" s="104">
        <f t="shared" si="42"/>
        <v>130.15625</v>
      </c>
      <c r="O272" s="104">
        <f t="shared" si="45"/>
        <v>20.348958333333336</v>
      </c>
      <c r="P272" s="104"/>
      <c r="Q272" s="106">
        <f t="shared" si="43"/>
        <v>150.50520833333334</v>
      </c>
      <c r="R272" s="141">
        <f t="shared" si="44"/>
        <v>0</v>
      </c>
      <c r="T272" s="110">
        <f t="shared" si="47"/>
        <v>0.86479565352804788</v>
      </c>
      <c r="U272" s="110">
        <f t="shared" si="47"/>
        <v>0.13520434647195212</v>
      </c>
      <c r="V272" s="110">
        <f t="shared" si="47"/>
        <v>0</v>
      </c>
      <c r="W272" s="110">
        <f t="shared" si="48"/>
        <v>1</v>
      </c>
      <c r="Y272" s="142">
        <f>T272*'Co-Processing'!K274*'Feedstock Conversion Rates'!B$13</f>
        <v>62.533895102187138</v>
      </c>
      <c r="Z272" s="142">
        <f>U272*'Co-Processing'!K274*'Feedstock Conversion Rates'!B$12</f>
        <v>10.102598070016809</v>
      </c>
      <c r="AA272" s="142">
        <f>V272*'Co-Processing'!K274*'Feedstock Conversion Rates'!B$14</f>
        <v>0</v>
      </c>
      <c r="AB272" s="142">
        <f t="shared" si="38"/>
        <v>72.636493172203942</v>
      </c>
      <c r="AD272" s="142">
        <v>0</v>
      </c>
      <c r="AE272" s="142">
        <v>0</v>
      </c>
      <c r="AF272" s="142">
        <v>0</v>
      </c>
      <c r="AG272" s="142">
        <v>0</v>
      </c>
      <c r="AH272" s="142">
        <v>0</v>
      </c>
      <c r="AK272" s="143">
        <f>('Co-Processing'!G262*'Co-Pro Feedstock Breakdown'!$AL$199)/12*'Co-Pro Feedstock Breakdown'!T272*7.5</f>
        <v>79.777399037962411</v>
      </c>
    </row>
    <row r="273" spans="1:37" x14ac:dyDescent="0.25">
      <c r="A273" s="96">
        <v>47027</v>
      </c>
      <c r="B273" s="104">
        <f t="shared" si="46"/>
        <v>25</v>
      </c>
      <c r="C273" s="104">
        <f>('Co-Processing'!B275*'Co-Pro Feedstock Breakdown'!C$3*'Feedstock Conversion Rates'!B$12)/12-10-15</f>
        <v>10.520833333333336</v>
      </c>
      <c r="D273" s="106">
        <f t="shared" si="35"/>
        <v>35.520833333333336</v>
      </c>
      <c r="E273" s="104">
        <f>('Co-Processing'!C275*'Co-Pro Feedstock Breakdown'!E$3*'Feedstock Conversion Rates'!B$13)/12</f>
        <v>25.78125</v>
      </c>
      <c r="F273" s="104">
        <f>('Co-Processing'!C275*'Co-Pro Feedstock Breakdown'!F$3*'Feedstock Conversion Rates'!B$14)/12</f>
        <v>8.5364583333333339</v>
      </c>
      <c r="G273" s="106">
        <f t="shared" si="36"/>
        <v>34.317708333333336</v>
      </c>
      <c r="H273" s="104">
        <f>('Co-Processing'!D275*'Co-Pro Feedstock Breakdown'!H$3*'Feedstock Conversion Rates'!B$13)/12</f>
        <v>78.125</v>
      </c>
      <c r="I273" s="106">
        <f t="shared" si="37"/>
        <v>78.125</v>
      </c>
      <c r="J273" s="104">
        <f>('Co-Processing'!E275*'Co-Pro Feedstock Breakdown'!J$3*'Feedstock Conversion Rates'!B$13)/12</f>
        <v>1.25</v>
      </c>
      <c r="K273" s="104">
        <f>('Co-Processing'!E275*'Co-Pro Feedstock Breakdown'!K$3*'Feedstock Conversion Rates'!B$12)/12</f>
        <v>1.2916666666666667</v>
      </c>
      <c r="L273" s="106">
        <f t="shared" si="41"/>
        <v>2.541666666666667</v>
      </c>
      <c r="N273" s="104">
        <f t="shared" si="42"/>
        <v>130.15625</v>
      </c>
      <c r="O273" s="104">
        <f t="shared" si="45"/>
        <v>20.348958333333336</v>
      </c>
      <c r="P273" s="104"/>
      <c r="Q273" s="106">
        <f t="shared" si="43"/>
        <v>150.50520833333334</v>
      </c>
      <c r="R273" s="141">
        <f t="shared" si="44"/>
        <v>0</v>
      </c>
      <c r="T273" s="110">
        <f t="shared" si="47"/>
        <v>0.86479565352804788</v>
      </c>
      <c r="U273" s="110">
        <f t="shared" si="47"/>
        <v>0.13520434647195212</v>
      </c>
      <c r="V273" s="110">
        <f t="shared" si="47"/>
        <v>0</v>
      </c>
      <c r="W273" s="110">
        <f t="shared" si="48"/>
        <v>1</v>
      </c>
      <c r="Y273" s="142">
        <f>T273*'Co-Processing'!K275*'Feedstock Conversion Rates'!B$13</f>
        <v>51.269029667050866</v>
      </c>
      <c r="Z273" s="142">
        <f>U273*'Co-Processing'!K275*'Feedstock Conversion Rates'!B$12</f>
        <v>8.2827145073818862</v>
      </c>
      <c r="AA273" s="142">
        <f>V273*'Co-Processing'!K275*'Feedstock Conversion Rates'!B$14</f>
        <v>0</v>
      </c>
      <c r="AB273" s="142">
        <f t="shared" si="38"/>
        <v>59.551744174432756</v>
      </c>
      <c r="AD273" s="142">
        <v>0</v>
      </c>
      <c r="AE273" s="142">
        <v>0</v>
      </c>
      <c r="AF273" s="142">
        <v>0</v>
      </c>
      <c r="AG273" s="142">
        <v>0</v>
      </c>
      <c r="AH273" s="142">
        <v>0</v>
      </c>
      <c r="AK273" s="143">
        <f>('Co-Processing'!G263*'Co-Pro Feedstock Breakdown'!$AL$199)/12*'Co-Pro Feedstock Breakdown'!T273*7.5</f>
        <v>79.777399037962411</v>
      </c>
    </row>
    <row r="274" spans="1:37" x14ac:dyDescent="0.25">
      <c r="A274" s="96">
        <v>47058</v>
      </c>
      <c r="B274" s="104">
        <f t="shared" si="46"/>
        <v>25</v>
      </c>
      <c r="C274" s="104">
        <f>('Co-Processing'!B276*'Co-Pro Feedstock Breakdown'!C$3*'Feedstock Conversion Rates'!B$12)/12-10-15</f>
        <v>10.520833333333336</v>
      </c>
      <c r="D274" s="106">
        <f t="shared" si="35"/>
        <v>35.520833333333336</v>
      </c>
      <c r="E274" s="104">
        <f>('Co-Processing'!C276*'Co-Pro Feedstock Breakdown'!E$3*'Feedstock Conversion Rates'!B$13)/12</f>
        <v>25.78125</v>
      </c>
      <c r="F274" s="104">
        <f>('Co-Processing'!C276*'Co-Pro Feedstock Breakdown'!F$3*'Feedstock Conversion Rates'!B$14)/12</f>
        <v>8.5364583333333339</v>
      </c>
      <c r="G274" s="106">
        <f t="shared" si="36"/>
        <v>34.317708333333336</v>
      </c>
      <c r="H274" s="104">
        <f>('Co-Processing'!D276*'Co-Pro Feedstock Breakdown'!H$3*'Feedstock Conversion Rates'!B$13)/12</f>
        <v>78.125</v>
      </c>
      <c r="I274" s="106">
        <f t="shared" si="37"/>
        <v>78.125</v>
      </c>
      <c r="J274" s="104">
        <f>('Co-Processing'!E276*'Co-Pro Feedstock Breakdown'!J$3*'Feedstock Conversion Rates'!B$13)/12</f>
        <v>1.25</v>
      </c>
      <c r="K274" s="104">
        <f>('Co-Processing'!E276*'Co-Pro Feedstock Breakdown'!K$3*'Feedstock Conversion Rates'!B$12)/12</f>
        <v>1.2916666666666667</v>
      </c>
      <c r="L274" s="106">
        <f t="shared" si="41"/>
        <v>2.541666666666667</v>
      </c>
      <c r="N274" s="104">
        <f t="shared" si="42"/>
        <v>130.15625</v>
      </c>
      <c r="O274" s="104">
        <f t="shared" si="45"/>
        <v>20.348958333333336</v>
      </c>
      <c r="P274" s="104"/>
      <c r="Q274" s="106">
        <f t="shared" si="43"/>
        <v>150.50520833333334</v>
      </c>
      <c r="R274" s="141">
        <f t="shared" si="44"/>
        <v>0</v>
      </c>
      <c r="T274" s="110">
        <f t="shared" si="47"/>
        <v>0.86479565352804788</v>
      </c>
      <c r="U274" s="110">
        <f t="shared" si="47"/>
        <v>0.13520434647195212</v>
      </c>
      <c r="V274" s="110">
        <f t="shared" si="47"/>
        <v>0</v>
      </c>
      <c r="W274" s="110">
        <f t="shared" si="48"/>
        <v>1</v>
      </c>
      <c r="Y274" s="142">
        <f>T274*'Co-Processing'!K276*'Feedstock Conversion Rates'!B$13</f>
        <v>49.956341678936418</v>
      </c>
      <c r="Z274" s="142">
        <f>U274*'Co-Processing'!K276*'Feedstock Conversion Rates'!B$12</f>
        <v>8.0706445713321902</v>
      </c>
      <c r="AA274" s="142">
        <f>V274*'Co-Processing'!K276*'Feedstock Conversion Rates'!B$14</f>
        <v>0</v>
      </c>
      <c r="AB274" s="142">
        <f t="shared" si="38"/>
        <v>58.026986250268607</v>
      </c>
      <c r="AD274" s="142">
        <v>0</v>
      </c>
      <c r="AE274" s="142">
        <v>0</v>
      </c>
      <c r="AF274" s="142">
        <v>0</v>
      </c>
      <c r="AG274" s="142">
        <v>0</v>
      </c>
      <c r="AH274" s="142">
        <v>0</v>
      </c>
      <c r="AK274" s="143">
        <f>('Co-Processing'!G264*'Co-Pro Feedstock Breakdown'!$AL$199)/12*'Co-Pro Feedstock Breakdown'!T274*7.5</f>
        <v>79.777399037962411</v>
      </c>
    </row>
    <row r="275" spans="1:37" x14ac:dyDescent="0.25">
      <c r="A275" s="96">
        <v>47088</v>
      </c>
      <c r="B275" s="104">
        <f t="shared" si="46"/>
        <v>25</v>
      </c>
      <c r="C275" s="104">
        <f>('Co-Processing'!B277*'Co-Pro Feedstock Breakdown'!C$3*'Feedstock Conversion Rates'!B$12)/12-10-15</f>
        <v>10.520833333333336</v>
      </c>
      <c r="D275" s="106">
        <f t="shared" si="35"/>
        <v>35.520833333333336</v>
      </c>
      <c r="E275" s="104">
        <f>('Co-Processing'!C277*'Co-Pro Feedstock Breakdown'!E$3*'Feedstock Conversion Rates'!B$13)/12</f>
        <v>25.78125</v>
      </c>
      <c r="F275" s="104">
        <f>('Co-Processing'!C277*'Co-Pro Feedstock Breakdown'!F$3*'Feedstock Conversion Rates'!B$14)/12</f>
        <v>8.5364583333333339</v>
      </c>
      <c r="G275" s="106">
        <f t="shared" si="36"/>
        <v>34.317708333333336</v>
      </c>
      <c r="H275" s="104">
        <f>('Co-Processing'!D277*'Co-Pro Feedstock Breakdown'!H$3*'Feedstock Conversion Rates'!B$13)/12</f>
        <v>78.125</v>
      </c>
      <c r="I275" s="106">
        <f t="shared" si="37"/>
        <v>78.125</v>
      </c>
      <c r="J275" s="104">
        <f>('Co-Processing'!E277*'Co-Pro Feedstock Breakdown'!J$3*'Feedstock Conversion Rates'!B$13)/12</f>
        <v>1.25</v>
      </c>
      <c r="K275" s="104">
        <f>('Co-Processing'!E277*'Co-Pro Feedstock Breakdown'!K$3*'Feedstock Conversion Rates'!B$12)/12</f>
        <v>1.2916666666666667</v>
      </c>
      <c r="L275" s="106">
        <f t="shared" si="41"/>
        <v>2.541666666666667</v>
      </c>
      <c r="N275" s="104">
        <f t="shared" si="42"/>
        <v>130.15625</v>
      </c>
      <c r="O275" s="104">
        <f t="shared" si="45"/>
        <v>20.348958333333336</v>
      </c>
      <c r="P275" s="104"/>
      <c r="Q275" s="106">
        <f t="shared" si="43"/>
        <v>150.50520833333334</v>
      </c>
      <c r="R275" s="141">
        <f t="shared" si="44"/>
        <v>0</v>
      </c>
      <c r="T275" s="110">
        <f t="shared" si="47"/>
        <v>0.86479565352804788</v>
      </c>
      <c r="U275" s="110">
        <f t="shared" si="47"/>
        <v>0.13520434647195212</v>
      </c>
      <c r="V275" s="110">
        <f t="shared" si="47"/>
        <v>0</v>
      </c>
      <c r="W275" s="110">
        <f t="shared" si="48"/>
        <v>1</v>
      </c>
      <c r="Y275" s="142">
        <f>T275*'Co-Processing'!K277*'Feedstock Conversion Rates'!B$13</f>
        <v>49.241512991143694</v>
      </c>
      <c r="Z275" s="142">
        <f>U275*'Co-Processing'!K277*'Feedstock Conversion Rates'!B$12</f>
        <v>7.9551611697323628</v>
      </c>
      <c r="AA275" s="142">
        <f>V275*'Co-Processing'!K277*'Feedstock Conversion Rates'!B$14</f>
        <v>0</v>
      </c>
      <c r="AB275" s="142">
        <f t="shared" si="38"/>
        <v>57.196674160876057</v>
      </c>
      <c r="AD275" s="142">
        <v>0</v>
      </c>
      <c r="AE275" s="142">
        <v>0</v>
      </c>
      <c r="AF275" s="142">
        <v>0</v>
      </c>
      <c r="AG275" s="142">
        <v>0</v>
      </c>
      <c r="AH275" s="142">
        <v>0</v>
      </c>
      <c r="AK275" s="143">
        <f>('Co-Processing'!G265*'Co-Pro Feedstock Breakdown'!$AL$199)/12*'Co-Pro Feedstock Breakdown'!T275*7.5</f>
        <v>79.777399037962411</v>
      </c>
    </row>
    <row r="276" spans="1:37" x14ac:dyDescent="0.25">
      <c r="A276" s="96">
        <v>47119</v>
      </c>
      <c r="B276" s="104">
        <f t="shared" si="46"/>
        <v>25</v>
      </c>
      <c r="C276" s="104">
        <f>('Co-Processing'!B278*'Co-Pro Feedstock Breakdown'!C$3*'Feedstock Conversion Rates'!B$12)/12-10-15</f>
        <v>10.520833333333336</v>
      </c>
      <c r="D276" s="106">
        <f t="shared" ref="D276:D339" si="49">C276+B276</f>
        <v>35.520833333333336</v>
      </c>
      <c r="E276" s="104">
        <f>('Co-Processing'!C278*'Co-Pro Feedstock Breakdown'!E$3*'Feedstock Conversion Rates'!B$13)/12</f>
        <v>25.78125</v>
      </c>
      <c r="F276" s="104">
        <f>('Co-Processing'!C278*'Co-Pro Feedstock Breakdown'!F$3*'Feedstock Conversion Rates'!B$14)/12</f>
        <v>8.5364583333333339</v>
      </c>
      <c r="G276" s="106">
        <f t="shared" si="36"/>
        <v>34.317708333333336</v>
      </c>
      <c r="H276" s="104">
        <f>('Co-Processing'!D278*'Co-Pro Feedstock Breakdown'!H$3*'Feedstock Conversion Rates'!B$13)/12</f>
        <v>93.75</v>
      </c>
      <c r="I276" s="106">
        <f t="shared" si="37"/>
        <v>93.75</v>
      </c>
      <c r="J276" s="104">
        <f>('Co-Processing'!E278*'Co-Pro Feedstock Breakdown'!J$3*'Feedstock Conversion Rates'!B$13)/12</f>
        <v>1.25</v>
      </c>
      <c r="K276" s="104">
        <f>('Co-Processing'!E278*'Co-Pro Feedstock Breakdown'!K$3*'Feedstock Conversion Rates'!B$12)/12</f>
        <v>1.2916666666666667</v>
      </c>
      <c r="L276" s="106">
        <f t="shared" si="41"/>
        <v>2.541666666666667</v>
      </c>
      <c r="N276" s="104">
        <f t="shared" si="42"/>
        <v>145.78125</v>
      </c>
      <c r="O276" s="104">
        <f t="shared" si="45"/>
        <v>20.348958333333336</v>
      </c>
      <c r="P276" s="104"/>
      <c r="Q276" s="106">
        <f t="shared" si="43"/>
        <v>166.13020833333334</v>
      </c>
      <c r="R276" s="141">
        <f t="shared" si="44"/>
        <v>0</v>
      </c>
      <c r="T276" s="110">
        <f t="shared" si="47"/>
        <v>0.87751199172335947</v>
      </c>
      <c r="U276" s="110">
        <f t="shared" si="47"/>
        <v>0.12248800827664044</v>
      </c>
      <c r="V276" s="110">
        <f t="shared" si="47"/>
        <v>0</v>
      </c>
      <c r="W276" s="110">
        <f t="shared" si="48"/>
        <v>0.99999999999999989</v>
      </c>
      <c r="Y276" s="142">
        <f>T276*'Co-Processing'!K278*'Feedstock Conversion Rates'!B$13</f>
        <v>50.714369986461151</v>
      </c>
      <c r="Z276" s="142">
        <f>U276*'Co-Processing'!K278*'Feedstock Conversion Rates'!B$12</f>
        <v>7.3149605211983042</v>
      </c>
      <c r="AA276" s="142">
        <f>V276*'Co-Processing'!K278*'Feedstock Conversion Rates'!B$14</f>
        <v>0</v>
      </c>
      <c r="AB276" s="142">
        <f t="shared" si="38"/>
        <v>58.029330507659452</v>
      </c>
      <c r="AD276" s="142">
        <v>0</v>
      </c>
      <c r="AE276" s="142">
        <v>0</v>
      </c>
      <c r="AF276" s="142">
        <v>0</v>
      </c>
      <c r="AG276" s="142">
        <v>0</v>
      </c>
      <c r="AH276" s="142">
        <v>0</v>
      </c>
      <c r="AK276" s="143">
        <f>('Co-Processing'!G266*'Co-Pro Feedstock Breakdown'!$AL$199)/12*'Co-Pro Feedstock Breakdown'!T276*7.5</f>
        <v>117.97051838730914</v>
      </c>
    </row>
    <row r="277" spans="1:37" x14ac:dyDescent="0.25">
      <c r="A277" s="96">
        <v>47150</v>
      </c>
      <c r="B277" s="104">
        <f t="shared" si="46"/>
        <v>25</v>
      </c>
      <c r="C277" s="104">
        <f>('Co-Processing'!B279*'Co-Pro Feedstock Breakdown'!C$3*'Feedstock Conversion Rates'!B$12)/12-10-15</f>
        <v>10.520833333333336</v>
      </c>
      <c r="D277" s="106">
        <f t="shared" si="49"/>
        <v>35.520833333333336</v>
      </c>
      <c r="E277" s="104">
        <f>('Co-Processing'!C279*'Co-Pro Feedstock Breakdown'!E$3*'Feedstock Conversion Rates'!B$13)/12</f>
        <v>25.78125</v>
      </c>
      <c r="F277" s="104">
        <f>('Co-Processing'!C279*'Co-Pro Feedstock Breakdown'!F$3*'Feedstock Conversion Rates'!B$14)/12</f>
        <v>8.5364583333333339</v>
      </c>
      <c r="G277" s="106">
        <f t="shared" si="36"/>
        <v>34.317708333333336</v>
      </c>
      <c r="H277" s="104">
        <f>('Co-Processing'!D279*'Co-Pro Feedstock Breakdown'!H$3*'Feedstock Conversion Rates'!B$13)/12</f>
        <v>93.75</v>
      </c>
      <c r="I277" s="106">
        <f t="shared" si="37"/>
        <v>93.75</v>
      </c>
      <c r="J277" s="104">
        <f>('Co-Processing'!E279*'Co-Pro Feedstock Breakdown'!J$3*'Feedstock Conversion Rates'!B$13)/12</f>
        <v>1.25</v>
      </c>
      <c r="K277" s="104">
        <f>('Co-Processing'!E279*'Co-Pro Feedstock Breakdown'!K$3*'Feedstock Conversion Rates'!B$12)/12</f>
        <v>1.2916666666666667</v>
      </c>
      <c r="L277" s="106">
        <f t="shared" si="41"/>
        <v>2.541666666666667</v>
      </c>
      <c r="N277" s="104">
        <f t="shared" si="42"/>
        <v>145.78125</v>
      </c>
      <c r="O277" s="104">
        <f t="shared" si="45"/>
        <v>20.348958333333336</v>
      </c>
      <c r="P277" s="104"/>
      <c r="Q277" s="106">
        <f t="shared" si="43"/>
        <v>166.13020833333334</v>
      </c>
      <c r="R277" s="141">
        <f t="shared" si="44"/>
        <v>0</v>
      </c>
      <c r="T277" s="110">
        <f t="shared" si="47"/>
        <v>0.87751199172335947</v>
      </c>
      <c r="U277" s="110">
        <f t="shared" si="47"/>
        <v>0.12248800827664044</v>
      </c>
      <c r="V277" s="110">
        <f t="shared" si="47"/>
        <v>0</v>
      </c>
      <c r="W277" s="110">
        <f t="shared" si="48"/>
        <v>0.99999999999999989</v>
      </c>
      <c r="Y277" s="142">
        <f>T277*'Co-Processing'!K279*'Feedstock Conversion Rates'!B$13</f>
        <v>39.753380522182738</v>
      </c>
      <c r="Z277" s="142">
        <f>U277*'Co-Processing'!K279*'Feedstock Conversion Rates'!B$12</f>
        <v>5.7339647358642454</v>
      </c>
      <c r="AA277" s="142">
        <f>V277*'Co-Processing'!K279*'Feedstock Conversion Rates'!B$14</f>
        <v>0</v>
      </c>
      <c r="AB277" s="142">
        <f t="shared" si="38"/>
        <v>45.487345258046986</v>
      </c>
      <c r="AD277" s="142">
        <v>0</v>
      </c>
      <c r="AE277" s="142">
        <v>0</v>
      </c>
      <c r="AF277" s="142">
        <v>0</v>
      </c>
      <c r="AG277" s="142">
        <v>0</v>
      </c>
      <c r="AH277" s="142">
        <v>0</v>
      </c>
      <c r="AK277" s="143">
        <f>('Co-Processing'!G267*'Co-Pro Feedstock Breakdown'!$AL$199)/12*'Co-Pro Feedstock Breakdown'!T277*7.5</f>
        <v>117.97051838730914</v>
      </c>
    </row>
    <row r="278" spans="1:37" x14ac:dyDescent="0.25">
      <c r="A278" s="96">
        <v>47178</v>
      </c>
      <c r="B278" s="104">
        <f t="shared" si="46"/>
        <v>25</v>
      </c>
      <c r="C278" s="104">
        <f>('Co-Processing'!B280*'Co-Pro Feedstock Breakdown'!C$3*'Feedstock Conversion Rates'!B$12)/12-10-15</f>
        <v>10.520833333333336</v>
      </c>
      <c r="D278" s="106">
        <f t="shared" si="49"/>
        <v>35.520833333333336</v>
      </c>
      <c r="E278" s="104">
        <f>('Co-Processing'!C280*'Co-Pro Feedstock Breakdown'!E$3*'Feedstock Conversion Rates'!B$13)/12</f>
        <v>25.78125</v>
      </c>
      <c r="F278" s="104">
        <f>('Co-Processing'!C280*'Co-Pro Feedstock Breakdown'!F$3*'Feedstock Conversion Rates'!B$14)/12</f>
        <v>8.5364583333333339</v>
      </c>
      <c r="G278" s="106">
        <f t="shared" si="36"/>
        <v>34.317708333333336</v>
      </c>
      <c r="H278" s="104">
        <f>('Co-Processing'!D280*'Co-Pro Feedstock Breakdown'!H$3*'Feedstock Conversion Rates'!B$13)/12</f>
        <v>93.75</v>
      </c>
      <c r="I278" s="106">
        <f t="shared" si="37"/>
        <v>93.75</v>
      </c>
      <c r="J278" s="104">
        <f>('Co-Processing'!E280*'Co-Pro Feedstock Breakdown'!J$3*'Feedstock Conversion Rates'!B$13)/12</f>
        <v>1.25</v>
      </c>
      <c r="K278" s="104">
        <f>('Co-Processing'!E280*'Co-Pro Feedstock Breakdown'!K$3*'Feedstock Conversion Rates'!B$12)/12</f>
        <v>1.2916666666666667</v>
      </c>
      <c r="L278" s="106">
        <f t="shared" si="41"/>
        <v>2.541666666666667</v>
      </c>
      <c r="N278" s="104">
        <f t="shared" si="42"/>
        <v>145.78125</v>
      </c>
      <c r="O278" s="104">
        <f t="shared" si="45"/>
        <v>20.348958333333336</v>
      </c>
      <c r="P278" s="104"/>
      <c r="Q278" s="106">
        <f t="shared" si="43"/>
        <v>166.13020833333334</v>
      </c>
      <c r="R278" s="141">
        <f t="shared" si="44"/>
        <v>0</v>
      </c>
      <c r="T278" s="110">
        <f t="shared" si="47"/>
        <v>0.87751199172335947</v>
      </c>
      <c r="U278" s="110">
        <f t="shared" si="47"/>
        <v>0.12248800827664044</v>
      </c>
      <c r="V278" s="110">
        <f t="shared" si="47"/>
        <v>0</v>
      </c>
      <c r="W278" s="110">
        <f t="shared" si="48"/>
        <v>0.99999999999999989</v>
      </c>
      <c r="Y278" s="142">
        <f>T278*'Co-Processing'!K280*'Feedstock Conversion Rates'!B$13</f>
        <v>62.663580065214454</v>
      </c>
      <c r="Z278" s="142">
        <f>U278*'Co-Processing'!K280*'Feedstock Conversion Rates'!B$12</f>
        <v>9.038495685076315</v>
      </c>
      <c r="AA278" s="142">
        <f>V278*'Co-Processing'!K280*'Feedstock Conversion Rates'!B$14</f>
        <v>0</v>
      </c>
      <c r="AB278" s="142">
        <f t="shared" si="38"/>
        <v>71.702075750290774</v>
      </c>
      <c r="AD278" s="142">
        <v>0</v>
      </c>
      <c r="AE278" s="142">
        <v>0</v>
      </c>
      <c r="AF278" s="142">
        <v>0</v>
      </c>
      <c r="AG278" s="142">
        <v>0</v>
      </c>
      <c r="AH278" s="142">
        <v>0</v>
      </c>
      <c r="AK278" s="143">
        <f>('Co-Processing'!G268*'Co-Pro Feedstock Breakdown'!$AL$199)/12*'Co-Pro Feedstock Breakdown'!T278*7.5</f>
        <v>117.97051838730914</v>
      </c>
    </row>
    <row r="279" spans="1:37" x14ac:dyDescent="0.25">
      <c r="A279" s="96">
        <v>47209</v>
      </c>
      <c r="B279" s="104">
        <f t="shared" si="46"/>
        <v>25</v>
      </c>
      <c r="C279" s="104">
        <f>('Co-Processing'!B281*'Co-Pro Feedstock Breakdown'!C$3*'Feedstock Conversion Rates'!B$12)/12-10-15</f>
        <v>10.520833333333336</v>
      </c>
      <c r="D279" s="106">
        <f t="shared" si="49"/>
        <v>35.520833333333336</v>
      </c>
      <c r="E279" s="104">
        <f>('Co-Processing'!C281*'Co-Pro Feedstock Breakdown'!E$3*'Feedstock Conversion Rates'!B$13)/12</f>
        <v>25.78125</v>
      </c>
      <c r="F279" s="104">
        <f>('Co-Processing'!C281*'Co-Pro Feedstock Breakdown'!F$3*'Feedstock Conversion Rates'!B$14)/12</f>
        <v>8.5364583333333339</v>
      </c>
      <c r="G279" s="106">
        <f t="shared" si="36"/>
        <v>34.317708333333336</v>
      </c>
      <c r="H279" s="104">
        <f>('Co-Processing'!D281*'Co-Pro Feedstock Breakdown'!H$3*'Feedstock Conversion Rates'!B$13)/12</f>
        <v>93.75</v>
      </c>
      <c r="I279" s="106">
        <f t="shared" si="37"/>
        <v>93.75</v>
      </c>
      <c r="J279" s="104">
        <f>('Co-Processing'!E281*'Co-Pro Feedstock Breakdown'!J$3*'Feedstock Conversion Rates'!B$13)/12</f>
        <v>1.25</v>
      </c>
      <c r="K279" s="104">
        <f>('Co-Processing'!E281*'Co-Pro Feedstock Breakdown'!K$3*'Feedstock Conversion Rates'!B$12)/12</f>
        <v>1.2916666666666667</v>
      </c>
      <c r="L279" s="106">
        <f t="shared" si="41"/>
        <v>2.541666666666667</v>
      </c>
      <c r="N279" s="104">
        <f t="shared" si="42"/>
        <v>145.78125</v>
      </c>
      <c r="O279" s="104">
        <f t="shared" si="45"/>
        <v>20.348958333333336</v>
      </c>
      <c r="P279" s="104"/>
      <c r="Q279" s="106">
        <f t="shared" si="43"/>
        <v>166.13020833333334</v>
      </c>
      <c r="R279" s="141">
        <f t="shared" si="44"/>
        <v>0</v>
      </c>
      <c r="T279" s="110">
        <f t="shared" si="47"/>
        <v>0.87751199172335947</v>
      </c>
      <c r="U279" s="110">
        <f t="shared" si="47"/>
        <v>0.12248800827664044</v>
      </c>
      <c r="V279" s="110">
        <f t="shared" si="47"/>
        <v>0</v>
      </c>
      <c r="W279" s="110">
        <f t="shared" si="48"/>
        <v>0.99999999999999989</v>
      </c>
      <c r="Y279" s="142">
        <f>T279*'Co-Processing'!K281*'Feedstock Conversion Rates'!B$13</f>
        <v>41.211804134215171</v>
      </c>
      <c r="Z279" s="142">
        <f>U279*'Co-Processing'!K281*'Feedstock Conversion Rates'!B$12</f>
        <v>5.9443254511417649</v>
      </c>
      <c r="AA279" s="142">
        <f>V279*'Co-Processing'!K281*'Feedstock Conversion Rates'!B$14</f>
        <v>0</v>
      </c>
      <c r="AB279" s="142">
        <f t="shared" si="38"/>
        <v>47.156129585356936</v>
      </c>
      <c r="AD279" s="142">
        <v>0</v>
      </c>
      <c r="AE279" s="142">
        <v>0</v>
      </c>
      <c r="AF279" s="142">
        <v>0</v>
      </c>
      <c r="AG279" s="142">
        <v>0</v>
      </c>
      <c r="AH279" s="142">
        <v>0</v>
      </c>
      <c r="AK279" s="143">
        <f>('Co-Processing'!G269*'Co-Pro Feedstock Breakdown'!$AL$199)/12*'Co-Pro Feedstock Breakdown'!T279*7.5</f>
        <v>117.97051838730914</v>
      </c>
    </row>
    <row r="280" spans="1:37" x14ac:dyDescent="0.25">
      <c r="A280" s="96">
        <v>47239</v>
      </c>
      <c r="B280" s="104">
        <f t="shared" si="46"/>
        <v>25</v>
      </c>
      <c r="C280" s="104">
        <f>('Co-Processing'!B282*'Co-Pro Feedstock Breakdown'!C$3*'Feedstock Conversion Rates'!B$12)/12-10-15</f>
        <v>10.520833333333336</v>
      </c>
      <c r="D280" s="106">
        <f t="shared" si="49"/>
        <v>35.520833333333336</v>
      </c>
      <c r="E280" s="104">
        <f>('Co-Processing'!C282*'Co-Pro Feedstock Breakdown'!E$3*'Feedstock Conversion Rates'!B$13)/12</f>
        <v>25.78125</v>
      </c>
      <c r="F280" s="104">
        <f>('Co-Processing'!C282*'Co-Pro Feedstock Breakdown'!F$3*'Feedstock Conversion Rates'!B$14)/12</f>
        <v>8.5364583333333339</v>
      </c>
      <c r="G280" s="106">
        <f t="shared" si="36"/>
        <v>34.317708333333336</v>
      </c>
      <c r="H280" s="104">
        <f>('Co-Processing'!D282*'Co-Pro Feedstock Breakdown'!H$3*'Feedstock Conversion Rates'!B$13)/12</f>
        <v>93.75</v>
      </c>
      <c r="I280" s="106">
        <f t="shared" si="37"/>
        <v>93.75</v>
      </c>
      <c r="J280" s="104">
        <f>('Co-Processing'!E282*'Co-Pro Feedstock Breakdown'!J$3*'Feedstock Conversion Rates'!B$13)/12</f>
        <v>1.25</v>
      </c>
      <c r="K280" s="104">
        <f>('Co-Processing'!E282*'Co-Pro Feedstock Breakdown'!K$3*'Feedstock Conversion Rates'!B$12)/12</f>
        <v>1.2916666666666667</v>
      </c>
      <c r="L280" s="106">
        <f t="shared" si="41"/>
        <v>2.541666666666667</v>
      </c>
      <c r="N280" s="104">
        <f t="shared" si="42"/>
        <v>145.78125</v>
      </c>
      <c r="O280" s="104">
        <f t="shared" si="45"/>
        <v>20.348958333333336</v>
      </c>
      <c r="P280" s="104"/>
      <c r="Q280" s="106">
        <f t="shared" si="43"/>
        <v>166.13020833333334</v>
      </c>
      <c r="R280" s="141">
        <f t="shared" si="44"/>
        <v>0</v>
      </c>
      <c r="T280" s="110">
        <f t="shared" si="47"/>
        <v>0.87751199172335947</v>
      </c>
      <c r="U280" s="110">
        <f t="shared" si="47"/>
        <v>0.12248800827664044</v>
      </c>
      <c r="V280" s="110">
        <f t="shared" si="47"/>
        <v>0</v>
      </c>
      <c r="W280" s="110">
        <f t="shared" si="48"/>
        <v>0.99999999999999989</v>
      </c>
      <c r="Y280" s="142">
        <f>T280*'Co-Processing'!K282*'Feedstock Conversion Rates'!B$13</f>
        <v>42.129185858279413</v>
      </c>
      <c r="Z280" s="142">
        <f>U280*'Co-Processing'!K282*'Feedstock Conversion Rates'!B$12</f>
        <v>6.0766471401658064</v>
      </c>
      <c r="AA280" s="142">
        <f>V280*'Co-Processing'!K282*'Feedstock Conversion Rates'!B$14</f>
        <v>0</v>
      </c>
      <c r="AB280" s="142">
        <f t="shared" si="38"/>
        <v>48.205832998445217</v>
      </c>
      <c r="AD280" s="142">
        <v>0</v>
      </c>
      <c r="AE280" s="142">
        <v>0</v>
      </c>
      <c r="AF280" s="142">
        <v>0</v>
      </c>
      <c r="AG280" s="142">
        <v>0</v>
      </c>
      <c r="AH280" s="142">
        <v>0</v>
      </c>
      <c r="AK280" s="143">
        <f>('Co-Processing'!G270*'Co-Pro Feedstock Breakdown'!$AL$199)/12*'Co-Pro Feedstock Breakdown'!T280*7.5</f>
        <v>117.97051838730914</v>
      </c>
    </row>
    <row r="281" spans="1:37" x14ac:dyDescent="0.25">
      <c r="A281" s="96">
        <v>47270</v>
      </c>
      <c r="B281" s="104">
        <f t="shared" si="46"/>
        <v>25</v>
      </c>
      <c r="C281" s="104">
        <f>('Co-Processing'!B283*'Co-Pro Feedstock Breakdown'!C$3*'Feedstock Conversion Rates'!B$12)/12-10-15</f>
        <v>10.520833333333336</v>
      </c>
      <c r="D281" s="106">
        <f t="shared" si="49"/>
        <v>35.520833333333336</v>
      </c>
      <c r="E281" s="104">
        <f>('Co-Processing'!C283*'Co-Pro Feedstock Breakdown'!E$3*'Feedstock Conversion Rates'!B$13)/12</f>
        <v>25.78125</v>
      </c>
      <c r="F281" s="104">
        <f>('Co-Processing'!C283*'Co-Pro Feedstock Breakdown'!F$3*'Feedstock Conversion Rates'!B$14)/12</f>
        <v>8.5364583333333339</v>
      </c>
      <c r="G281" s="106">
        <f t="shared" si="36"/>
        <v>34.317708333333336</v>
      </c>
      <c r="H281" s="104">
        <f>('Co-Processing'!D283*'Co-Pro Feedstock Breakdown'!H$3*'Feedstock Conversion Rates'!B$13)/12</f>
        <v>93.75</v>
      </c>
      <c r="I281" s="106">
        <f t="shared" si="37"/>
        <v>93.75</v>
      </c>
      <c r="J281" s="104">
        <f>('Co-Processing'!E283*'Co-Pro Feedstock Breakdown'!J$3*'Feedstock Conversion Rates'!B$13)/12</f>
        <v>1.25</v>
      </c>
      <c r="K281" s="104">
        <f>('Co-Processing'!E283*'Co-Pro Feedstock Breakdown'!K$3*'Feedstock Conversion Rates'!B$12)/12</f>
        <v>1.2916666666666667</v>
      </c>
      <c r="L281" s="106">
        <f t="shared" si="41"/>
        <v>2.541666666666667</v>
      </c>
      <c r="N281" s="104">
        <f t="shared" si="42"/>
        <v>145.78125</v>
      </c>
      <c r="O281" s="104">
        <f t="shared" si="45"/>
        <v>20.348958333333336</v>
      </c>
      <c r="P281" s="104"/>
      <c r="Q281" s="106">
        <f t="shared" si="43"/>
        <v>166.13020833333334</v>
      </c>
      <c r="R281" s="141">
        <f t="shared" si="44"/>
        <v>0</v>
      </c>
      <c r="T281" s="110">
        <f t="shared" si="47"/>
        <v>0.87751199172335947</v>
      </c>
      <c r="U281" s="110">
        <f t="shared" si="47"/>
        <v>0.12248800827664044</v>
      </c>
      <c r="V281" s="110">
        <f t="shared" si="47"/>
        <v>0</v>
      </c>
      <c r="W281" s="110">
        <f t="shared" si="48"/>
        <v>0.99999999999999989</v>
      </c>
      <c r="Y281" s="142">
        <f>T281*'Co-Processing'!K283*'Feedstock Conversion Rates'!B$13</f>
        <v>61.270920774168317</v>
      </c>
      <c r="Z281" s="142">
        <f>U281*'Co-Processing'!K283*'Feedstock Conversion Rates'!B$12</f>
        <v>8.8376207114504517</v>
      </c>
      <c r="AA281" s="142">
        <f>V281*'Co-Processing'!K283*'Feedstock Conversion Rates'!B$14</f>
        <v>0</v>
      </c>
      <c r="AB281" s="142">
        <f t="shared" si="38"/>
        <v>70.108541485618773</v>
      </c>
      <c r="AD281" s="142">
        <v>0</v>
      </c>
      <c r="AE281" s="142">
        <v>0</v>
      </c>
      <c r="AF281" s="142">
        <v>0</v>
      </c>
      <c r="AG281" s="142">
        <v>0</v>
      </c>
      <c r="AH281" s="142">
        <v>0</v>
      </c>
      <c r="AK281" s="143">
        <f>('Co-Processing'!G271*'Co-Pro Feedstock Breakdown'!$AL$199)/12*'Co-Pro Feedstock Breakdown'!T281*7.5</f>
        <v>117.97051838730914</v>
      </c>
    </row>
    <row r="282" spans="1:37" x14ac:dyDescent="0.25">
      <c r="A282" s="96">
        <v>47300</v>
      </c>
      <c r="B282" s="104">
        <f t="shared" si="46"/>
        <v>25</v>
      </c>
      <c r="C282" s="104">
        <f>('Co-Processing'!B284*'Co-Pro Feedstock Breakdown'!C$3*'Feedstock Conversion Rates'!B$12)/12-10-15</f>
        <v>10.520833333333336</v>
      </c>
      <c r="D282" s="106">
        <f t="shared" si="49"/>
        <v>35.520833333333336</v>
      </c>
      <c r="E282" s="104">
        <f>('Co-Processing'!C284*'Co-Pro Feedstock Breakdown'!E$3*'Feedstock Conversion Rates'!B$13)/12</f>
        <v>25.78125</v>
      </c>
      <c r="F282" s="104">
        <f>('Co-Processing'!C284*'Co-Pro Feedstock Breakdown'!F$3*'Feedstock Conversion Rates'!B$14)/12</f>
        <v>8.5364583333333339</v>
      </c>
      <c r="G282" s="106">
        <f t="shared" si="36"/>
        <v>34.317708333333336</v>
      </c>
      <c r="H282" s="104">
        <f>('Co-Processing'!D284*'Co-Pro Feedstock Breakdown'!H$3*'Feedstock Conversion Rates'!B$13)/12</f>
        <v>93.75</v>
      </c>
      <c r="I282" s="106">
        <f t="shared" si="37"/>
        <v>93.75</v>
      </c>
      <c r="J282" s="104">
        <f>('Co-Processing'!E284*'Co-Pro Feedstock Breakdown'!J$3*'Feedstock Conversion Rates'!B$13)/12</f>
        <v>1.25</v>
      </c>
      <c r="K282" s="104">
        <f>('Co-Processing'!E284*'Co-Pro Feedstock Breakdown'!K$3*'Feedstock Conversion Rates'!B$12)/12</f>
        <v>1.2916666666666667</v>
      </c>
      <c r="L282" s="106">
        <f t="shared" si="41"/>
        <v>2.541666666666667</v>
      </c>
      <c r="N282" s="104">
        <f t="shared" si="42"/>
        <v>145.78125</v>
      </c>
      <c r="O282" s="104">
        <f t="shared" si="45"/>
        <v>20.348958333333336</v>
      </c>
      <c r="P282" s="104"/>
      <c r="Q282" s="106">
        <f t="shared" si="43"/>
        <v>166.13020833333334</v>
      </c>
      <c r="R282" s="141">
        <f t="shared" si="44"/>
        <v>0</v>
      </c>
      <c r="T282" s="110">
        <f t="shared" si="47"/>
        <v>0.87751199172335947</v>
      </c>
      <c r="U282" s="110">
        <f t="shared" si="47"/>
        <v>0.12248800827664044</v>
      </c>
      <c r="V282" s="110">
        <f t="shared" si="47"/>
        <v>0</v>
      </c>
      <c r="W282" s="110">
        <f t="shared" si="48"/>
        <v>0.99999999999999989</v>
      </c>
      <c r="Y282" s="142">
        <f>T282*'Co-Processing'!K284*'Feedstock Conversion Rates'!B$13</f>
        <v>53.570616930126654</v>
      </c>
      <c r="Z282" s="142">
        <f>U282*'Co-Processing'!K284*'Feedstock Conversion Rates'!B$12</f>
        <v>7.7269410631489235</v>
      </c>
      <c r="AA282" s="142">
        <f>V282*'Co-Processing'!K284*'Feedstock Conversion Rates'!B$14</f>
        <v>0</v>
      </c>
      <c r="AB282" s="142">
        <f t="shared" si="38"/>
        <v>61.297557993275575</v>
      </c>
      <c r="AD282" s="142">
        <v>0</v>
      </c>
      <c r="AE282" s="142">
        <v>0</v>
      </c>
      <c r="AF282" s="142">
        <v>0</v>
      </c>
      <c r="AG282" s="142">
        <v>0</v>
      </c>
      <c r="AH282" s="142">
        <v>0</v>
      </c>
      <c r="AK282" s="143">
        <f>('Co-Processing'!G272*'Co-Pro Feedstock Breakdown'!$AL$199)/12*'Co-Pro Feedstock Breakdown'!T282*7.5</f>
        <v>117.97051838730914</v>
      </c>
    </row>
    <row r="283" spans="1:37" x14ac:dyDescent="0.25">
      <c r="A283" s="96">
        <v>47331</v>
      </c>
      <c r="B283" s="104">
        <f t="shared" si="46"/>
        <v>25</v>
      </c>
      <c r="C283" s="104">
        <f>('Co-Processing'!B285*'Co-Pro Feedstock Breakdown'!C$3*'Feedstock Conversion Rates'!B$12)/12-10-15</f>
        <v>10.520833333333336</v>
      </c>
      <c r="D283" s="106">
        <f t="shared" si="49"/>
        <v>35.520833333333336</v>
      </c>
      <c r="E283" s="104">
        <f>('Co-Processing'!C285*'Co-Pro Feedstock Breakdown'!E$3*'Feedstock Conversion Rates'!B$13)/12</f>
        <v>25.78125</v>
      </c>
      <c r="F283" s="104">
        <f>('Co-Processing'!C285*'Co-Pro Feedstock Breakdown'!F$3*'Feedstock Conversion Rates'!B$14)/12</f>
        <v>8.5364583333333339</v>
      </c>
      <c r="G283" s="106">
        <f t="shared" si="36"/>
        <v>34.317708333333336</v>
      </c>
      <c r="H283" s="104">
        <f>('Co-Processing'!D285*'Co-Pro Feedstock Breakdown'!H$3*'Feedstock Conversion Rates'!B$13)/12</f>
        <v>93.75</v>
      </c>
      <c r="I283" s="106">
        <f t="shared" si="37"/>
        <v>93.75</v>
      </c>
      <c r="J283" s="104">
        <f>('Co-Processing'!E285*'Co-Pro Feedstock Breakdown'!J$3*'Feedstock Conversion Rates'!B$13)/12</f>
        <v>1.25</v>
      </c>
      <c r="K283" s="104">
        <f>('Co-Processing'!E285*'Co-Pro Feedstock Breakdown'!K$3*'Feedstock Conversion Rates'!B$12)/12</f>
        <v>1.2916666666666667</v>
      </c>
      <c r="L283" s="106">
        <f t="shared" si="41"/>
        <v>2.541666666666667</v>
      </c>
      <c r="N283" s="104">
        <f t="shared" si="42"/>
        <v>145.78125</v>
      </c>
      <c r="O283" s="104">
        <f t="shared" si="45"/>
        <v>20.348958333333336</v>
      </c>
      <c r="P283" s="104"/>
      <c r="Q283" s="106">
        <f t="shared" si="43"/>
        <v>166.13020833333334</v>
      </c>
      <c r="R283" s="141">
        <f t="shared" si="44"/>
        <v>0</v>
      </c>
      <c r="T283" s="110">
        <f t="shared" si="47"/>
        <v>0.87751199172335947</v>
      </c>
      <c r="U283" s="110">
        <f t="shared" si="47"/>
        <v>0.12248800827664044</v>
      </c>
      <c r="V283" s="110">
        <f t="shared" si="47"/>
        <v>0</v>
      </c>
      <c r="W283" s="110">
        <f t="shared" si="48"/>
        <v>0.99999999999999989</v>
      </c>
      <c r="Y283" s="142">
        <f>T283*'Co-Processing'!K285*'Feedstock Conversion Rates'!B$13</f>
        <v>77.204914490483318</v>
      </c>
      <c r="Z283" s="142">
        <f>U283*'Co-Processing'!K285*'Feedstock Conversion Rates'!B$12</f>
        <v>11.135914765206467</v>
      </c>
      <c r="AA283" s="142">
        <f>V283*'Co-Processing'!K285*'Feedstock Conversion Rates'!B$14</f>
        <v>0</v>
      </c>
      <c r="AB283" s="142">
        <f t="shared" si="38"/>
        <v>88.340829255689783</v>
      </c>
      <c r="AD283" s="142">
        <v>0</v>
      </c>
      <c r="AE283" s="142">
        <v>0</v>
      </c>
      <c r="AF283" s="142">
        <v>0</v>
      </c>
      <c r="AG283" s="142">
        <v>0</v>
      </c>
      <c r="AH283" s="142">
        <v>0</v>
      </c>
      <c r="AK283" s="143">
        <f>('Co-Processing'!G273*'Co-Pro Feedstock Breakdown'!$AL$199)/12*'Co-Pro Feedstock Breakdown'!T283*7.5</f>
        <v>117.97051838730914</v>
      </c>
    </row>
    <row r="284" spans="1:37" x14ac:dyDescent="0.25">
      <c r="A284" s="96">
        <v>47362</v>
      </c>
      <c r="B284" s="104">
        <f t="shared" si="46"/>
        <v>25</v>
      </c>
      <c r="C284" s="104">
        <f>('Co-Processing'!B286*'Co-Pro Feedstock Breakdown'!C$3*'Feedstock Conversion Rates'!B$12)/12-10-15</f>
        <v>10.520833333333336</v>
      </c>
      <c r="D284" s="106">
        <f t="shared" si="49"/>
        <v>35.520833333333336</v>
      </c>
      <c r="E284" s="104">
        <f>('Co-Processing'!C286*'Co-Pro Feedstock Breakdown'!E$3*'Feedstock Conversion Rates'!B$13)/12</f>
        <v>25.78125</v>
      </c>
      <c r="F284" s="104">
        <f>('Co-Processing'!C286*'Co-Pro Feedstock Breakdown'!F$3*'Feedstock Conversion Rates'!B$14)/12</f>
        <v>8.5364583333333339</v>
      </c>
      <c r="G284" s="106">
        <f t="shared" si="36"/>
        <v>34.317708333333336</v>
      </c>
      <c r="H284" s="104">
        <f>('Co-Processing'!D286*'Co-Pro Feedstock Breakdown'!H$3*'Feedstock Conversion Rates'!B$13)/12</f>
        <v>93.75</v>
      </c>
      <c r="I284" s="106">
        <f t="shared" si="37"/>
        <v>93.75</v>
      </c>
      <c r="J284" s="104">
        <f>('Co-Processing'!E286*'Co-Pro Feedstock Breakdown'!J$3*'Feedstock Conversion Rates'!B$13)/12</f>
        <v>1.25</v>
      </c>
      <c r="K284" s="104">
        <f>('Co-Processing'!E286*'Co-Pro Feedstock Breakdown'!K$3*'Feedstock Conversion Rates'!B$12)/12</f>
        <v>1.2916666666666667</v>
      </c>
      <c r="L284" s="106">
        <f t="shared" si="41"/>
        <v>2.541666666666667</v>
      </c>
      <c r="N284" s="104">
        <f t="shared" si="42"/>
        <v>145.78125</v>
      </c>
      <c r="O284" s="104">
        <f t="shared" si="45"/>
        <v>20.348958333333336</v>
      </c>
      <c r="P284" s="104"/>
      <c r="Q284" s="106">
        <f t="shared" si="43"/>
        <v>166.13020833333334</v>
      </c>
      <c r="R284" s="141">
        <f t="shared" si="44"/>
        <v>0</v>
      </c>
      <c r="T284" s="110">
        <f t="shared" si="47"/>
        <v>0.87751199172335947</v>
      </c>
      <c r="U284" s="110">
        <f t="shared" si="47"/>
        <v>0.12248800827664044</v>
      </c>
      <c r="V284" s="110">
        <f t="shared" si="47"/>
        <v>0</v>
      </c>
      <c r="W284" s="110">
        <f t="shared" si="48"/>
        <v>0.99999999999999989</v>
      </c>
      <c r="Y284" s="142">
        <f>T284*'Co-Processing'!K286*'Feedstock Conversion Rates'!B$13</f>
        <v>67.992166666790155</v>
      </c>
      <c r="Z284" s="142">
        <f>U284*'Co-Processing'!K286*'Feedstock Conversion Rates'!B$12</f>
        <v>9.8070825892361846</v>
      </c>
      <c r="AA284" s="142">
        <f>V284*'Co-Processing'!K286*'Feedstock Conversion Rates'!B$14</f>
        <v>0</v>
      </c>
      <c r="AB284" s="142">
        <f t="shared" si="38"/>
        <v>77.799249256026343</v>
      </c>
      <c r="AD284" s="142">
        <v>0</v>
      </c>
      <c r="AE284" s="142">
        <v>0</v>
      </c>
      <c r="AF284" s="142">
        <v>0</v>
      </c>
      <c r="AG284" s="142">
        <v>0</v>
      </c>
      <c r="AH284" s="142">
        <v>0</v>
      </c>
      <c r="AK284" s="143">
        <f>('Co-Processing'!G274*'Co-Pro Feedstock Breakdown'!$AL$199)/12*'Co-Pro Feedstock Breakdown'!T284*7.5</f>
        <v>117.97051838730914</v>
      </c>
    </row>
    <row r="285" spans="1:37" x14ac:dyDescent="0.25">
      <c r="A285" s="96">
        <v>47392</v>
      </c>
      <c r="B285" s="104">
        <f t="shared" si="46"/>
        <v>25</v>
      </c>
      <c r="C285" s="104">
        <f>('Co-Processing'!B287*'Co-Pro Feedstock Breakdown'!C$3*'Feedstock Conversion Rates'!B$12)/12-10-15</f>
        <v>10.520833333333336</v>
      </c>
      <c r="D285" s="106">
        <f t="shared" si="49"/>
        <v>35.520833333333336</v>
      </c>
      <c r="E285" s="104">
        <f>('Co-Processing'!C287*'Co-Pro Feedstock Breakdown'!E$3*'Feedstock Conversion Rates'!B$13)/12</f>
        <v>25.78125</v>
      </c>
      <c r="F285" s="104">
        <f>('Co-Processing'!C287*'Co-Pro Feedstock Breakdown'!F$3*'Feedstock Conversion Rates'!B$14)/12</f>
        <v>8.5364583333333339</v>
      </c>
      <c r="G285" s="106">
        <f t="shared" si="36"/>
        <v>34.317708333333336</v>
      </c>
      <c r="H285" s="104">
        <f>('Co-Processing'!D287*'Co-Pro Feedstock Breakdown'!H$3*'Feedstock Conversion Rates'!B$13)/12</f>
        <v>93.75</v>
      </c>
      <c r="I285" s="106">
        <f t="shared" si="37"/>
        <v>93.75</v>
      </c>
      <c r="J285" s="104">
        <f>('Co-Processing'!E287*'Co-Pro Feedstock Breakdown'!J$3*'Feedstock Conversion Rates'!B$13)/12</f>
        <v>1.25</v>
      </c>
      <c r="K285" s="104">
        <f>('Co-Processing'!E287*'Co-Pro Feedstock Breakdown'!K$3*'Feedstock Conversion Rates'!B$12)/12</f>
        <v>1.2916666666666667</v>
      </c>
      <c r="L285" s="106">
        <f t="shared" si="41"/>
        <v>2.541666666666667</v>
      </c>
      <c r="N285" s="104">
        <f t="shared" si="42"/>
        <v>145.78125</v>
      </c>
      <c r="O285" s="104">
        <f t="shared" si="45"/>
        <v>20.348958333333336</v>
      </c>
      <c r="P285" s="104"/>
      <c r="Q285" s="106">
        <f t="shared" si="43"/>
        <v>166.13020833333334</v>
      </c>
      <c r="R285" s="141">
        <f t="shared" si="44"/>
        <v>0</v>
      </c>
      <c r="T285" s="110">
        <f t="shared" si="47"/>
        <v>0.87751199172335947</v>
      </c>
      <c r="U285" s="110">
        <f t="shared" si="47"/>
        <v>0.12248800827664044</v>
      </c>
      <c r="V285" s="110">
        <f t="shared" si="47"/>
        <v>0</v>
      </c>
      <c r="W285" s="110">
        <f t="shared" si="48"/>
        <v>0.99999999999999989</v>
      </c>
      <c r="Y285" s="142">
        <f>T285*'Co-Processing'!K287*'Feedstock Conversion Rates'!B$13</f>
        <v>54.311866655073061</v>
      </c>
      <c r="Z285" s="142">
        <f>U285*'Co-Processing'!K287*'Feedstock Conversion Rates'!B$12</f>
        <v>7.8338577511759979</v>
      </c>
      <c r="AA285" s="142">
        <f>V285*'Co-Processing'!K287*'Feedstock Conversion Rates'!B$14</f>
        <v>0</v>
      </c>
      <c r="AB285" s="142">
        <f t="shared" si="38"/>
        <v>62.145724406249059</v>
      </c>
      <c r="AD285" s="142">
        <v>0</v>
      </c>
      <c r="AE285" s="142">
        <v>0</v>
      </c>
      <c r="AF285" s="142">
        <v>0</v>
      </c>
      <c r="AG285" s="142">
        <v>0</v>
      </c>
      <c r="AH285" s="142">
        <v>0</v>
      </c>
    </row>
    <row r="286" spans="1:37" x14ac:dyDescent="0.25">
      <c r="A286" s="96">
        <v>47423</v>
      </c>
      <c r="B286" s="104">
        <f t="shared" si="46"/>
        <v>25</v>
      </c>
      <c r="C286" s="104">
        <f>('Co-Processing'!B288*'Co-Pro Feedstock Breakdown'!C$3*'Feedstock Conversion Rates'!B$12)/12-10-15</f>
        <v>10.520833333333336</v>
      </c>
      <c r="D286" s="106">
        <f t="shared" si="49"/>
        <v>35.520833333333336</v>
      </c>
      <c r="E286" s="104">
        <f>('Co-Processing'!C288*'Co-Pro Feedstock Breakdown'!E$3*'Feedstock Conversion Rates'!B$13)/12</f>
        <v>25.78125</v>
      </c>
      <c r="F286" s="104">
        <f>('Co-Processing'!C288*'Co-Pro Feedstock Breakdown'!F$3*'Feedstock Conversion Rates'!B$14)/12</f>
        <v>8.5364583333333339</v>
      </c>
      <c r="G286" s="106">
        <f t="shared" si="36"/>
        <v>34.317708333333336</v>
      </c>
      <c r="H286" s="104">
        <f>('Co-Processing'!D288*'Co-Pro Feedstock Breakdown'!H$3*'Feedstock Conversion Rates'!B$13)/12</f>
        <v>93.75</v>
      </c>
      <c r="I286" s="106">
        <f t="shared" si="37"/>
        <v>93.75</v>
      </c>
      <c r="J286" s="104">
        <f>('Co-Processing'!E288*'Co-Pro Feedstock Breakdown'!J$3*'Feedstock Conversion Rates'!B$13)/12</f>
        <v>1.25</v>
      </c>
      <c r="K286" s="104">
        <f>('Co-Processing'!E288*'Co-Pro Feedstock Breakdown'!K$3*'Feedstock Conversion Rates'!B$12)/12</f>
        <v>1.2916666666666667</v>
      </c>
      <c r="L286" s="106">
        <f t="shared" si="41"/>
        <v>2.541666666666667</v>
      </c>
      <c r="N286" s="104">
        <f t="shared" si="42"/>
        <v>145.78125</v>
      </c>
      <c r="O286" s="104">
        <f t="shared" si="45"/>
        <v>20.348958333333336</v>
      </c>
      <c r="P286" s="104"/>
      <c r="Q286" s="106">
        <f t="shared" si="43"/>
        <v>166.13020833333334</v>
      </c>
      <c r="R286" s="141">
        <f t="shared" si="44"/>
        <v>0</v>
      </c>
      <c r="T286" s="110">
        <f t="shared" si="47"/>
        <v>0.87751199172335947</v>
      </c>
      <c r="U286" s="110">
        <f t="shared" si="47"/>
        <v>0.12248800827664044</v>
      </c>
      <c r="V286" s="110">
        <f t="shared" si="47"/>
        <v>0</v>
      </c>
      <c r="W286" s="110">
        <f t="shared" si="48"/>
        <v>0.99999999999999989</v>
      </c>
      <c r="Y286" s="142">
        <f>T286*'Co-Processing'!K288*'Feedstock Conversion Rates'!B$13</f>
        <v>56.896929661950828</v>
      </c>
      <c r="Z286" s="142">
        <f>U286*'Co-Processing'!K288*'Feedstock Conversion Rates'!B$12</f>
        <v>8.2067231509664165</v>
      </c>
      <c r="AA286" s="142">
        <f>V286*'Co-Processing'!K288*'Feedstock Conversion Rates'!B$14</f>
        <v>0</v>
      </c>
      <c r="AB286" s="142">
        <f t="shared" si="38"/>
        <v>65.103652812917247</v>
      </c>
      <c r="AD286" s="142">
        <v>0</v>
      </c>
      <c r="AE286" s="142">
        <v>0</v>
      </c>
      <c r="AF286" s="142">
        <v>0</v>
      </c>
      <c r="AG286" s="142">
        <v>0</v>
      </c>
      <c r="AH286" s="142">
        <v>0</v>
      </c>
    </row>
    <row r="287" spans="1:37" x14ac:dyDescent="0.25">
      <c r="A287" s="96">
        <v>47453</v>
      </c>
      <c r="B287" s="104">
        <f t="shared" si="46"/>
        <v>25</v>
      </c>
      <c r="C287" s="104">
        <f>('Co-Processing'!B289*'Co-Pro Feedstock Breakdown'!C$3*'Feedstock Conversion Rates'!B$12)/12-10-15</f>
        <v>10.520833333333336</v>
      </c>
      <c r="D287" s="106">
        <f t="shared" si="49"/>
        <v>35.520833333333336</v>
      </c>
      <c r="E287" s="104">
        <f>('Co-Processing'!C289*'Co-Pro Feedstock Breakdown'!E$3*'Feedstock Conversion Rates'!B$13)/12</f>
        <v>25.78125</v>
      </c>
      <c r="F287" s="104">
        <f>('Co-Processing'!C289*'Co-Pro Feedstock Breakdown'!F$3*'Feedstock Conversion Rates'!B$14)/12</f>
        <v>8.5364583333333339</v>
      </c>
      <c r="G287" s="106">
        <f t="shared" si="36"/>
        <v>34.317708333333336</v>
      </c>
      <c r="H287" s="104">
        <f>('Co-Processing'!D289*'Co-Pro Feedstock Breakdown'!H$3*'Feedstock Conversion Rates'!B$13)/12</f>
        <v>93.75</v>
      </c>
      <c r="I287" s="106">
        <f t="shared" si="37"/>
        <v>93.75</v>
      </c>
      <c r="J287" s="104">
        <f>('Co-Processing'!E289*'Co-Pro Feedstock Breakdown'!J$3*'Feedstock Conversion Rates'!B$13)/12</f>
        <v>1.25</v>
      </c>
      <c r="K287" s="104">
        <f>('Co-Processing'!E289*'Co-Pro Feedstock Breakdown'!K$3*'Feedstock Conversion Rates'!B$12)/12</f>
        <v>1.2916666666666667</v>
      </c>
      <c r="L287" s="106">
        <f t="shared" si="41"/>
        <v>2.541666666666667</v>
      </c>
      <c r="N287" s="104">
        <f t="shared" si="42"/>
        <v>145.78125</v>
      </c>
      <c r="O287" s="104">
        <f t="shared" si="45"/>
        <v>20.348958333333336</v>
      </c>
      <c r="P287" s="104"/>
      <c r="Q287" s="106">
        <f t="shared" si="43"/>
        <v>166.13020833333334</v>
      </c>
      <c r="R287" s="141">
        <f t="shared" si="44"/>
        <v>0</v>
      </c>
      <c r="T287" s="110">
        <f t="shared" si="47"/>
        <v>0.87751199172335947</v>
      </c>
      <c r="U287" s="110">
        <f t="shared" si="47"/>
        <v>0.12248800827664044</v>
      </c>
      <c r="V287" s="110">
        <f t="shared" si="47"/>
        <v>0</v>
      </c>
      <c r="W287" s="110">
        <f t="shared" si="48"/>
        <v>0.99999999999999989</v>
      </c>
      <c r="Y287" s="142">
        <f>T287*'Co-Processing'!K289*'Feedstock Conversion Rates'!B$13</f>
        <v>57.416491313544689</v>
      </c>
      <c r="Z287" s="142">
        <f>U287*'Co-Processing'!K289*'Feedstock Conversion Rates'!B$12</f>
        <v>8.2816639018966214</v>
      </c>
      <c r="AA287" s="142">
        <f>V287*'Co-Processing'!K289*'Feedstock Conversion Rates'!B$14</f>
        <v>0</v>
      </c>
      <c r="AB287" s="142">
        <f t="shared" si="38"/>
        <v>65.698155215441318</v>
      </c>
      <c r="AD287" s="142">
        <v>0</v>
      </c>
      <c r="AE287" s="142">
        <v>0</v>
      </c>
      <c r="AF287" s="142">
        <v>0</v>
      </c>
      <c r="AG287" s="142">
        <v>0</v>
      </c>
      <c r="AH287" s="142">
        <v>0</v>
      </c>
    </row>
    <row r="288" spans="1:37" x14ac:dyDescent="0.25">
      <c r="A288" s="96">
        <v>47484</v>
      </c>
      <c r="B288" s="104">
        <f t="shared" si="46"/>
        <v>25</v>
      </c>
      <c r="C288" s="104">
        <f>('Co-Processing'!B290*'Co-Pro Feedstock Breakdown'!C$3*'Feedstock Conversion Rates'!B$12)/12-10-15</f>
        <v>10.520833333333336</v>
      </c>
      <c r="D288" s="106">
        <f t="shared" si="49"/>
        <v>35.520833333333336</v>
      </c>
      <c r="E288" s="104">
        <f>('Co-Processing'!C290*'Co-Pro Feedstock Breakdown'!E$3*'Feedstock Conversion Rates'!B$13)/12</f>
        <v>25.78125</v>
      </c>
      <c r="F288" s="104">
        <f>('Co-Processing'!C290*'Co-Pro Feedstock Breakdown'!F$3*'Feedstock Conversion Rates'!B$14)/12</f>
        <v>8.5364583333333339</v>
      </c>
      <c r="G288" s="106">
        <f t="shared" si="36"/>
        <v>34.317708333333336</v>
      </c>
      <c r="H288" s="104">
        <f>('Co-Processing'!D290*'Co-Pro Feedstock Breakdown'!H$3*'Feedstock Conversion Rates'!B$13)/12</f>
        <v>93.75</v>
      </c>
      <c r="I288" s="106">
        <f t="shared" si="37"/>
        <v>93.75</v>
      </c>
      <c r="J288" s="104">
        <f>('Co-Processing'!E290*'Co-Pro Feedstock Breakdown'!J$3*'Feedstock Conversion Rates'!B$13)/12</f>
        <v>1.25</v>
      </c>
      <c r="K288" s="104">
        <f>('Co-Processing'!E290*'Co-Pro Feedstock Breakdown'!K$3*'Feedstock Conversion Rates'!B$12)/12</f>
        <v>1.2916666666666667</v>
      </c>
      <c r="L288" s="106">
        <f t="shared" si="41"/>
        <v>2.541666666666667</v>
      </c>
      <c r="N288" s="104">
        <f t="shared" si="42"/>
        <v>145.78125</v>
      </c>
      <c r="O288" s="104">
        <f t="shared" si="45"/>
        <v>20.348958333333336</v>
      </c>
      <c r="P288" s="104"/>
      <c r="Q288" s="106">
        <f t="shared" si="43"/>
        <v>166.13020833333334</v>
      </c>
      <c r="R288" s="141">
        <f t="shared" si="44"/>
        <v>0</v>
      </c>
      <c r="T288" s="110">
        <f t="shared" si="47"/>
        <v>0.87751199172335947</v>
      </c>
      <c r="U288" s="110">
        <f t="shared" si="47"/>
        <v>0.12248800827664044</v>
      </c>
      <c r="V288" s="110">
        <f t="shared" si="47"/>
        <v>0</v>
      </c>
      <c r="W288" s="110">
        <f t="shared" si="48"/>
        <v>0.99999999999999989</v>
      </c>
      <c r="Y288" s="142">
        <f>T288*'Co-Processing'!K290*'Feedstock Conversion Rates'!B$13</f>
        <v>54.110656877181697</v>
      </c>
      <c r="Z288" s="142">
        <f>U288*'Co-Processing'!K290*'Feedstock Conversion Rates'!B$12</f>
        <v>7.8048355710296731</v>
      </c>
      <c r="AA288" s="142">
        <f>V288*'Co-Processing'!K290*'Feedstock Conversion Rates'!B$14</f>
        <v>0</v>
      </c>
      <c r="AB288" s="142">
        <f t="shared" si="38"/>
        <v>61.915492448211367</v>
      </c>
      <c r="AD288" s="142">
        <v>0</v>
      </c>
      <c r="AE288" s="142">
        <v>0</v>
      </c>
      <c r="AF288" s="142">
        <v>0</v>
      </c>
      <c r="AG288" s="142">
        <v>0</v>
      </c>
      <c r="AH288" s="142">
        <v>0</v>
      </c>
    </row>
    <row r="289" spans="1:34" x14ac:dyDescent="0.25">
      <c r="A289" s="96">
        <v>47515</v>
      </c>
      <c r="B289" s="104">
        <f t="shared" si="46"/>
        <v>25</v>
      </c>
      <c r="C289" s="104">
        <f>('Co-Processing'!B291*'Co-Pro Feedstock Breakdown'!C$3*'Feedstock Conversion Rates'!B$12)/12-10-15</f>
        <v>10.520833333333336</v>
      </c>
      <c r="D289" s="106">
        <f t="shared" si="49"/>
        <v>35.520833333333336</v>
      </c>
      <c r="E289" s="104">
        <f>('Co-Processing'!C291*'Co-Pro Feedstock Breakdown'!E$3*'Feedstock Conversion Rates'!B$13)/12</f>
        <v>25.78125</v>
      </c>
      <c r="F289" s="104">
        <f>('Co-Processing'!C291*'Co-Pro Feedstock Breakdown'!F$3*'Feedstock Conversion Rates'!B$14)/12</f>
        <v>8.5364583333333339</v>
      </c>
      <c r="G289" s="106">
        <f t="shared" si="36"/>
        <v>34.317708333333336</v>
      </c>
      <c r="H289" s="104">
        <f>('Co-Processing'!D291*'Co-Pro Feedstock Breakdown'!H$3*'Feedstock Conversion Rates'!B$13)/12</f>
        <v>93.75</v>
      </c>
      <c r="I289" s="106">
        <f t="shared" si="37"/>
        <v>93.75</v>
      </c>
      <c r="J289" s="104">
        <f>('Co-Processing'!E291*'Co-Pro Feedstock Breakdown'!J$3*'Feedstock Conversion Rates'!B$13)/12</f>
        <v>1.25</v>
      </c>
      <c r="K289" s="104">
        <f>('Co-Processing'!E291*'Co-Pro Feedstock Breakdown'!K$3*'Feedstock Conversion Rates'!B$12)/12</f>
        <v>1.2916666666666667</v>
      </c>
      <c r="L289" s="106">
        <f t="shared" si="41"/>
        <v>2.541666666666667</v>
      </c>
      <c r="N289" s="104">
        <f t="shared" si="42"/>
        <v>145.78125</v>
      </c>
      <c r="O289" s="104">
        <f t="shared" si="45"/>
        <v>20.348958333333336</v>
      </c>
      <c r="P289" s="104"/>
      <c r="Q289" s="106">
        <f t="shared" si="43"/>
        <v>166.13020833333334</v>
      </c>
      <c r="R289" s="141">
        <f t="shared" si="44"/>
        <v>0</v>
      </c>
      <c r="T289" s="110">
        <f t="shared" si="47"/>
        <v>0.87751199172335947</v>
      </c>
      <c r="U289" s="110">
        <f t="shared" si="47"/>
        <v>0.12248800827664044</v>
      </c>
      <c r="V289" s="110">
        <f t="shared" si="47"/>
        <v>0</v>
      </c>
      <c r="W289" s="110">
        <f t="shared" si="48"/>
        <v>0.99999999999999989</v>
      </c>
      <c r="Y289" s="142">
        <f>T289*'Co-Processing'!K291*'Feedstock Conversion Rates'!B$13</f>
        <v>42.654302101997651</v>
      </c>
      <c r="Z289" s="142">
        <f>U289*'Co-Processing'!K291*'Feedstock Conversion Rates'!B$12</f>
        <v>6.1523890766793503</v>
      </c>
      <c r="AA289" s="142">
        <f>V289*'Co-Processing'!K291*'Feedstock Conversion Rates'!B$14</f>
        <v>0</v>
      </c>
      <c r="AB289" s="142">
        <f t="shared" si="38"/>
        <v>48.806691178676999</v>
      </c>
      <c r="AD289" s="142">
        <v>0</v>
      </c>
      <c r="AE289" s="142">
        <v>0</v>
      </c>
      <c r="AF289" s="142">
        <v>0</v>
      </c>
      <c r="AG289" s="142">
        <v>0</v>
      </c>
      <c r="AH289" s="142">
        <v>0</v>
      </c>
    </row>
    <row r="290" spans="1:34" x14ac:dyDescent="0.25">
      <c r="A290" s="96">
        <v>47543</v>
      </c>
      <c r="B290" s="104">
        <f t="shared" si="46"/>
        <v>25</v>
      </c>
      <c r="C290" s="104">
        <f>('Co-Processing'!B292*'Co-Pro Feedstock Breakdown'!C$3*'Feedstock Conversion Rates'!B$12)/12-10-15</f>
        <v>10.520833333333336</v>
      </c>
      <c r="D290" s="106">
        <f t="shared" si="49"/>
        <v>35.520833333333336</v>
      </c>
      <c r="E290" s="104">
        <f>('Co-Processing'!C292*'Co-Pro Feedstock Breakdown'!E$3*'Feedstock Conversion Rates'!B$13)/12</f>
        <v>25.78125</v>
      </c>
      <c r="F290" s="104">
        <f>('Co-Processing'!C292*'Co-Pro Feedstock Breakdown'!F$3*'Feedstock Conversion Rates'!B$14)/12</f>
        <v>8.5364583333333339</v>
      </c>
      <c r="G290" s="106">
        <f t="shared" si="36"/>
        <v>34.317708333333336</v>
      </c>
      <c r="H290" s="104">
        <f>('Co-Processing'!D292*'Co-Pro Feedstock Breakdown'!H$3*'Feedstock Conversion Rates'!B$13)/12</f>
        <v>93.75</v>
      </c>
      <c r="I290" s="106">
        <f t="shared" si="37"/>
        <v>93.75</v>
      </c>
      <c r="J290" s="104">
        <f>('Co-Processing'!E292*'Co-Pro Feedstock Breakdown'!J$3*'Feedstock Conversion Rates'!B$13)/12</f>
        <v>1.25</v>
      </c>
      <c r="K290" s="104">
        <f>('Co-Processing'!E292*'Co-Pro Feedstock Breakdown'!K$3*'Feedstock Conversion Rates'!B$12)/12</f>
        <v>1.2916666666666667</v>
      </c>
      <c r="L290" s="106">
        <f t="shared" si="41"/>
        <v>2.541666666666667</v>
      </c>
      <c r="N290" s="104">
        <f t="shared" si="42"/>
        <v>145.78125</v>
      </c>
      <c r="O290" s="104">
        <f t="shared" si="45"/>
        <v>20.348958333333336</v>
      </c>
      <c r="P290" s="104"/>
      <c r="Q290" s="106">
        <f t="shared" si="43"/>
        <v>166.13020833333334</v>
      </c>
      <c r="R290" s="141">
        <f t="shared" si="44"/>
        <v>0</v>
      </c>
      <c r="T290" s="110">
        <f t="shared" si="47"/>
        <v>0.87751199172335947</v>
      </c>
      <c r="U290" s="110">
        <f t="shared" si="47"/>
        <v>0.12248800827664044</v>
      </c>
      <c r="V290" s="110">
        <f t="shared" si="47"/>
        <v>0</v>
      </c>
      <c r="W290" s="110">
        <f t="shared" si="48"/>
        <v>0.99999999999999989</v>
      </c>
      <c r="Y290" s="142">
        <f>T290*'Co-Processing'!K292*'Feedstock Conversion Rates'!B$13</f>
        <v>68.784794417589211</v>
      </c>
      <c r="Z290" s="142">
        <f>U290*'Co-Processing'!K292*'Feedstock Conversion Rates'!B$12</f>
        <v>9.9214099624570125</v>
      </c>
      <c r="AA290" s="142">
        <f>V290*'Co-Processing'!K292*'Feedstock Conversion Rates'!B$14</f>
        <v>0</v>
      </c>
      <c r="AB290" s="142">
        <f t="shared" si="38"/>
        <v>78.706204380046216</v>
      </c>
      <c r="AD290" s="142">
        <v>0</v>
      </c>
      <c r="AE290" s="142">
        <v>0</v>
      </c>
      <c r="AF290" s="142">
        <v>0</v>
      </c>
      <c r="AG290" s="142">
        <v>0</v>
      </c>
      <c r="AH290" s="142">
        <v>0</v>
      </c>
    </row>
    <row r="291" spans="1:34" x14ac:dyDescent="0.25">
      <c r="A291" s="96">
        <v>47574</v>
      </c>
      <c r="B291" s="104">
        <f t="shared" si="46"/>
        <v>25</v>
      </c>
      <c r="C291" s="104">
        <f>('Co-Processing'!B293*'Co-Pro Feedstock Breakdown'!C$3*'Feedstock Conversion Rates'!B$12)/12-10-15</f>
        <v>10.520833333333336</v>
      </c>
      <c r="D291" s="106">
        <f t="shared" si="49"/>
        <v>35.520833333333336</v>
      </c>
      <c r="E291" s="104">
        <f>('Co-Processing'!C293*'Co-Pro Feedstock Breakdown'!E$3*'Feedstock Conversion Rates'!B$13)/12</f>
        <v>25.78125</v>
      </c>
      <c r="F291" s="104">
        <f>('Co-Processing'!C293*'Co-Pro Feedstock Breakdown'!F$3*'Feedstock Conversion Rates'!B$14)/12</f>
        <v>8.5364583333333339</v>
      </c>
      <c r="G291" s="106">
        <f t="shared" si="36"/>
        <v>34.317708333333336</v>
      </c>
      <c r="H291" s="104">
        <f>('Co-Processing'!D293*'Co-Pro Feedstock Breakdown'!H$3*'Feedstock Conversion Rates'!B$13)/12</f>
        <v>93.75</v>
      </c>
      <c r="I291" s="106">
        <f t="shared" si="37"/>
        <v>93.75</v>
      </c>
      <c r="J291" s="104">
        <f>('Co-Processing'!E293*'Co-Pro Feedstock Breakdown'!J$3*'Feedstock Conversion Rates'!B$13)/12</f>
        <v>1.25</v>
      </c>
      <c r="K291" s="104">
        <f>('Co-Processing'!E293*'Co-Pro Feedstock Breakdown'!K$3*'Feedstock Conversion Rates'!B$12)/12</f>
        <v>1.2916666666666667</v>
      </c>
      <c r="L291" s="106">
        <f t="shared" si="41"/>
        <v>2.541666666666667</v>
      </c>
      <c r="N291" s="104">
        <f t="shared" si="42"/>
        <v>145.78125</v>
      </c>
      <c r="O291" s="104">
        <f t="shared" si="45"/>
        <v>20.348958333333336</v>
      </c>
      <c r="P291" s="104"/>
      <c r="Q291" s="106">
        <f t="shared" si="43"/>
        <v>166.13020833333334</v>
      </c>
      <c r="R291" s="141">
        <f t="shared" si="44"/>
        <v>0</v>
      </c>
      <c r="T291" s="110">
        <f t="shared" si="47"/>
        <v>0.87751199172335947</v>
      </c>
      <c r="U291" s="110">
        <f t="shared" si="47"/>
        <v>0.12248800827664044</v>
      </c>
      <c r="V291" s="110">
        <f t="shared" si="47"/>
        <v>0</v>
      </c>
      <c r="W291" s="110">
        <f t="shared" si="48"/>
        <v>0.99999999999999989</v>
      </c>
      <c r="Y291" s="142">
        <f>T291*'Co-Processing'!K293*'Feedstock Conversion Rates'!B$13</f>
        <v>44.48484938681834</v>
      </c>
      <c r="Z291" s="142">
        <f>U291*'Co-Processing'!K293*'Feedstock Conversion Rates'!B$12</f>
        <v>6.4164243219998545</v>
      </c>
      <c r="AA291" s="142">
        <f>V291*'Co-Processing'!K293*'Feedstock Conversion Rates'!B$14</f>
        <v>0</v>
      </c>
      <c r="AB291" s="142">
        <f t="shared" si="38"/>
        <v>50.901273708818195</v>
      </c>
      <c r="AD291" s="142">
        <v>0</v>
      </c>
      <c r="AE291" s="142">
        <v>0</v>
      </c>
      <c r="AF291" s="142">
        <v>0</v>
      </c>
      <c r="AG291" s="142">
        <v>0</v>
      </c>
      <c r="AH291" s="142">
        <v>0</v>
      </c>
    </row>
    <row r="292" spans="1:34" x14ac:dyDescent="0.25">
      <c r="A292" s="96">
        <v>47604</v>
      </c>
      <c r="B292" s="104">
        <f t="shared" si="46"/>
        <v>25</v>
      </c>
      <c r="C292" s="104">
        <f>('Co-Processing'!B294*'Co-Pro Feedstock Breakdown'!C$3*'Feedstock Conversion Rates'!B$12)/12-10-15</f>
        <v>10.520833333333336</v>
      </c>
      <c r="D292" s="106">
        <f t="shared" si="49"/>
        <v>35.520833333333336</v>
      </c>
      <c r="E292" s="104">
        <f>('Co-Processing'!C294*'Co-Pro Feedstock Breakdown'!E$3*'Feedstock Conversion Rates'!B$13)/12</f>
        <v>25.78125</v>
      </c>
      <c r="F292" s="104">
        <f>('Co-Processing'!C294*'Co-Pro Feedstock Breakdown'!F$3*'Feedstock Conversion Rates'!B$14)/12</f>
        <v>8.5364583333333339</v>
      </c>
      <c r="G292" s="106">
        <f t="shared" si="36"/>
        <v>34.317708333333336</v>
      </c>
      <c r="H292" s="104">
        <f>('Co-Processing'!D294*'Co-Pro Feedstock Breakdown'!H$3*'Feedstock Conversion Rates'!B$13)/12</f>
        <v>93.75</v>
      </c>
      <c r="I292" s="106">
        <f t="shared" si="37"/>
        <v>93.75</v>
      </c>
      <c r="J292" s="104">
        <f>('Co-Processing'!E294*'Co-Pro Feedstock Breakdown'!J$3*'Feedstock Conversion Rates'!B$13)/12</f>
        <v>1.25</v>
      </c>
      <c r="K292" s="104">
        <f>('Co-Processing'!E294*'Co-Pro Feedstock Breakdown'!K$3*'Feedstock Conversion Rates'!B$12)/12</f>
        <v>1.2916666666666667</v>
      </c>
      <c r="L292" s="106">
        <f t="shared" si="41"/>
        <v>2.541666666666667</v>
      </c>
      <c r="N292" s="104">
        <f t="shared" si="42"/>
        <v>145.78125</v>
      </c>
      <c r="O292" s="104">
        <f t="shared" si="45"/>
        <v>20.348958333333336</v>
      </c>
      <c r="P292" s="104"/>
      <c r="Q292" s="106">
        <f t="shared" si="43"/>
        <v>166.13020833333334</v>
      </c>
      <c r="R292" s="141">
        <f t="shared" si="44"/>
        <v>0</v>
      </c>
      <c r="T292" s="110">
        <f t="shared" si="47"/>
        <v>0.87751199172335947</v>
      </c>
      <c r="U292" s="110">
        <f t="shared" si="47"/>
        <v>0.12248800827664044</v>
      </c>
      <c r="V292" s="110">
        <f t="shared" si="47"/>
        <v>0</v>
      </c>
      <c r="W292" s="110">
        <f t="shared" si="48"/>
        <v>0.99999999999999989</v>
      </c>
      <c r="Y292" s="142">
        <f>T292*'Co-Processing'!K294*'Feedstock Conversion Rates'!B$13</f>
        <v>49.829137607572676</v>
      </c>
      <c r="Z292" s="142">
        <f>U292*'Co-Processing'!K294*'Feedstock Conversion Rates'!B$12</f>
        <v>7.1872760028776712</v>
      </c>
      <c r="AA292" s="142">
        <f>V292*'Co-Processing'!K294*'Feedstock Conversion Rates'!B$14</f>
        <v>0</v>
      </c>
      <c r="AB292" s="142">
        <f t="shared" si="38"/>
        <v>57.01641361045035</v>
      </c>
      <c r="AD292" s="142">
        <v>0</v>
      </c>
      <c r="AE292" s="142">
        <v>0</v>
      </c>
      <c r="AF292" s="142">
        <v>0</v>
      </c>
      <c r="AG292" s="142">
        <v>0</v>
      </c>
      <c r="AH292" s="142">
        <v>0</v>
      </c>
    </row>
    <row r="293" spans="1:34" x14ac:dyDescent="0.25">
      <c r="A293" s="96">
        <v>47635</v>
      </c>
      <c r="B293" s="104">
        <f t="shared" si="46"/>
        <v>25</v>
      </c>
      <c r="C293" s="104">
        <f>('Co-Processing'!B295*'Co-Pro Feedstock Breakdown'!C$3*'Feedstock Conversion Rates'!B$12)/12-10-15</f>
        <v>10.520833333333336</v>
      </c>
      <c r="D293" s="106">
        <f t="shared" si="49"/>
        <v>35.520833333333336</v>
      </c>
      <c r="E293" s="104">
        <f>('Co-Processing'!C295*'Co-Pro Feedstock Breakdown'!E$3*'Feedstock Conversion Rates'!B$13)/12</f>
        <v>25.78125</v>
      </c>
      <c r="F293" s="104">
        <f>('Co-Processing'!C295*'Co-Pro Feedstock Breakdown'!F$3*'Feedstock Conversion Rates'!B$14)/12</f>
        <v>8.5364583333333339</v>
      </c>
      <c r="G293" s="106">
        <f t="shared" si="36"/>
        <v>34.317708333333336</v>
      </c>
      <c r="H293" s="104">
        <f>('Co-Processing'!D295*'Co-Pro Feedstock Breakdown'!H$3*'Feedstock Conversion Rates'!B$13)/12</f>
        <v>93.75</v>
      </c>
      <c r="I293" s="106">
        <f t="shared" si="37"/>
        <v>93.75</v>
      </c>
      <c r="J293" s="104">
        <f>('Co-Processing'!E295*'Co-Pro Feedstock Breakdown'!J$3*'Feedstock Conversion Rates'!B$13)/12</f>
        <v>1.25</v>
      </c>
      <c r="K293" s="104">
        <f>('Co-Processing'!E295*'Co-Pro Feedstock Breakdown'!K$3*'Feedstock Conversion Rates'!B$12)/12</f>
        <v>1.2916666666666667</v>
      </c>
      <c r="L293" s="106">
        <f t="shared" si="41"/>
        <v>2.541666666666667</v>
      </c>
      <c r="N293" s="104">
        <f t="shared" si="42"/>
        <v>145.78125</v>
      </c>
      <c r="O293" s="104">
        <f t="shared" si="45"/>
        <v>20.348958333333336</v>
      </c>
      <c r="P293" s="104"/>
      <c r="Q293" s="106">
        <f t="shared" si="43"/>
        <v>166.13020833333334</v>
      </c>
      <c r="R293" s="141">
        <f t="shared" si="44"/>
        <v>0</v>
      </c>
      <c r="T293" s="110">
        <f t="shared" si="47"/>
        <v>0.87751199172335947</v>
      </c>
      <c r="U293" s="110">
        <f t="shared" si="47"/>
        <v>0.12248800827664044</v>
      </c>
      <c r="V293" s="110">
        <f t="shared" si="47"/>
        <v>0</v>
      </c>
      <c r="W293" s="110">
        <f t="shared" si="48"/>
        <v>0.99999999999999989</v>
      </c>
      <c r="Y293" s="142">
        <f>T293*'Co-Processing'!K295*'Feedstock Conversion Rates'!B$13</f>
        <v>65.531916640314208</v>
      </c>
      <c r="Z293" s="142">
        <f>U293*'Co-Processing'!K295*'Feedstock Conversion Rates'!B$12</f>
        <v>9.4522200163450485</v>
      </c>
      <c r="AA293" s="142">
        <f>V293*'Co-Processing'!K295*'Feedstock Conversion Rates'!B$14</f>
        <v>0</v>
      </c>
      <c r="AB293" s="142">
        <f t="shared" si="38"/>
        <v>74.98413665665926</v>
      </c>
      <c r="AD293" s="142">
        <v>0</v>
      </c>
      <c r="AE293" s="142">
        <v>0</v>
      </c>
      <c r="AF293" s="142">
        <v>0</v>
      </c>
      <c r="AG293" s="142">
        <v>0</v>
      </c>
      <c r="AH293" s="142">
        <v>0</v>
      </c>
    </row>
    <row r="294" spans="1:34" x14ac:dyDescent="0.25">
      <c r="A294" s="96">
        <v>47665</v>
      </c>
      <c r="B294" s="104">
        <f t="shared" si="46"/>
        <v>25</v>
      </c>
      <c r="C294" s="104">
        <f>('Co-Processing'!B296*'Co-Pro Feedstock Breakdown'!C$3*'Feedstock Conversion Rates'!B$12)/12-10-15</f>
        <v>10.520833333333336</v>
      </c>
      <c r="D294" s="106">
        <f t="shared" si="49"/>
        <v>35.520833333333336</v>
      </c>
      <c r="E294" s="104">
        <f>('Co-Processing'!C296*'Co-Pro Feedstock Breakdown'!E$3*'Feedstock Conversion Rates'!B$13)/12</f>
        <v>25.78125</v>
      </c>
      <c r="F294" s="104">
        <f>('Co-Processing'!C296*'Co-Pro Feedstock Breakdown'!F$3*'Feedstock Conversion Rates'!B$14)/12</f>
        <v>8.5364583333333339</v>
      </c>
      <c r="G294" s="106">
        <f t="shared" si="36"/>
        <v>34.317708333333336</v>
      </c>
      <c r="H294" s="104">
        <f>('Co-Processing'!D296*'Co-Pro Feedstock Breakdown'!H$3*'Feedstock Conversion Rates'!B$13)/12</f>
        <v>93.75</v>
      </c>
      <c r="I294" s="106">
        <f t="shared" si="37"/>
        <v>93.75</v>
      </c>
      <c r="J294" s="104">
        <f>('Co-Processing'!E296*'Co-Pro Feedstock Breakdown'!J$3*'Feedstock Conversion Rates'!B$13)/12</f>
        <v>1.25</v>
      </c>
      <c r="K294" s="104">
        <f>('Co-Processing'!E296*'Co-Pro Feedstock Breakdown'!K$3*'Feedstock Conversion Rates'!B$12)/12</f>
        <v>1.2916666666666667</v>
      </c>
      <c r="L294" s="106">
        <f t="shared" si="41"/>
        <v>2.541666666666667</v>
      </c>
      <c r="N294" s="104">
        <f t="shared" si="42"/>
        <v>145.78125</v>
      </c>
      <c r="O294" s="104">
        <f t="shared" si="45"/>
        <v>20.348958333333336</v>
      </c>
      <c r="P294" s="104"/>
      <c r="Q294" s="106">
        <f t="shared" si="43"/>
        <v>166.13020833333334</v>
      </c>
      <c r="R294" s="141">
        <f t="shared" si="44"/>
        <v>0</v>
      </c>
      <c r="T294" s="110">
        <f t="shared" si="47"/>
        <v>0.87751199172335947</v>
      </c>
      <c r="U294" s="110">
        <f t="shared" si="47"/>
        <v>0.12248800827664044</v>
      </c>
      <c r="V294" s="110">
        <f t="shared" si="47"/>
        <v>0</v>
      </c>
      <c r="W294" s="110">
        <f t="shared" si="48"/>
        <v>0.99999999999999989</v>
      </c>
      <c r="Y294" s="142">
        <f>T294*'Co-Processing'!K296*'Feedstock Conversion Rates'!B$13</f>
        <v>54.977454773510985</v>
      </c>
      <c r="Z294" s="142">
        <f>U294*'Co-Processing'!K296*'Feedstock Conversion Rates'!B$12</f>
        <v>7.9298611287404199</v>
      </c>
      <c r="AA294" s="142">
        <f>V294*'Co-Processing'!K296*'Feedstock Conversion Rates'!B$14</f>
        <v>0</v>
      </c>
      <c r="AB294" s="142">
        <f t="shared" si="38"/>
        <v>62.907315902251405</v>
      </c>
      <c r="AD294" s="142">
        <v>0</v>
      </c>
      <c r="AE294" s="142">
        <v>0</v>
      </c>
      <c r="AF294" s="142">
        <v>0</v>
      </c>
      <c r="AG294" s="142">
        <v>0</v>
      </c>
      <c r="AH294" s="142">
        <v>0</v>
      </c>
    </row>
    <row r="295" spans="1:34" x14ac:dyDescent="0.25">
      <c r="A295" s="96">
        <v>47696</v>
      </c>
      <c r="B295" s="104">
        <f t="shared" si="46"/>
        <v>25</v>
      </c>
      <c r="C295" s="104">
        <f>('Co-Processing'!B297*'Co-Pro Feedstock Breakdown'!C$3*'Feedstock Conversion Rates'!B$12)/12-10-15</f>
        <v>10.520833333333336</v>
      </c>
      <c r="D295" s="106">
        <f t="shared" si="49"/>
        <v>35.520833333333336</v>
      </c>
      <c r="E295" s="104">
        <f>('Co-Processing'!C297*'Co-Pro Feedstock Breakdown'!E$3*'Feedstock Conversion Rates'!B$13)/12</f>
        <v>25.78125</v>
      </c>
      <c r="F295" s="104">
        <f>('Co-Processing'!C297*'Co-Pro Feedstock Breakdown'!F$3*'Feedstock Conversion Rates'!B$14)/12</f>
        <v>8.5364583333333339</v>
      </c>
      <c r="G295" s="106">
        <f t="shared" si="36"/>
        <v>34.317708333333336</v>
      </c>
      <c r="H295" s="104">
        <f>('Co-Processing'!D297*'Co-Pro Feedstock Breakdown'!H$3*'Feedstock Conversion Rates'!B$13)/12</f>
        <v>93.75</v>
      </c>
      <c r="I295" s="106">
        <f t="shared" si="37"/>
        <v>93.75</v>
      </c>
      <c r="J295" s="104">
        <f>('Co-Processing'!E297*'Co-Pro Feedstock Breakdown'!J$3*'Feedstock Conversion Rates'!B$13)/12</f>
        <v>1.25</v>
      </c>
      <c r="K295" s="104">
        <f>('Co-Processing'!E297*'Co-Pro Feedstock Breakdown'!K$3*'Feedstock Conversion Rates'!B$12)/12</f>
        <v>1.2916666666666667</v>
      </c>
      <c r="L295" s="106">
        <f t="shared" si="41"/>
        <v>2.541666666666667</v>
      </c>
      <c r="N295" s="104">
        <f t="shared" si="42"/>
        <v>145.78125</v>
      </c>
      <c r="O295" s="104">
        <f t="shared" si="45"/>
        <v>20.348958333333336</v>
      </c>
      <c r="P295" s="104"/>
      <c r="Q295" s="106">
        <f t="shared" si="43"/>
        <v>166.13020833333334</v>
      </c>
      <c r="R295" s="141">
        <f t="shared" si="44"/>
        <v>0</v>
      </c>
      <c r="T295" s="110">
        <f t="shared" si="47"/>
        <v>0.87751199172335947</v>
      </c>
      <c r="U295" s="110">
        <f t="shared" si="47"/>
        <v>0.12248800827664044</v>
      </c>
      <c r="V295" s="110">
        <f t="shared" si="47"/>
        <v>0</v>
      </c>
      <c r="W295" s="110">
        <f t="shared" si="48"/>
        <v>0.99999999999999989</v>
      </c>
      <c r="Y295" s="142">
        <f>T295*'Co-Processing'!K297*'Feedstock Conversion Rates'!B$13</f>
        <v>80.778333920735292</v>
      </c>
      <c r="Z295" s="142">
        <f>U295*'Co-Processing'!K297*'Feedstock Conversion Rates'!B$12</f>
        <v>11.651339132401688</v>
      </c>
      <c r="AA295" s="142">
        <f>V295*'Co-Processing'!K297*'Feedstock Conversion Rates'!B$14</f>
        <v>0</v>
      </c>
      <c r="AB295" s="142">
        <f t="shared" si="38"/>
        <v>92.42967305313698</v>
      </c>
      <c r="AD295" s="142">
        <v>0</v>
      </c>
      <c r="AE295" s="142">
        <v>0</v>
      </c>
      <c r="AF295" s="142">
        <v>0</v>
      </c>
      <c r="AG295" s="142">
        <v>0</v>
      </c>
      <c r="AH295" s="142">
        <v>0</v>
      </c>
    </row>
    <row r="296" spans="1:34" x14ac:dyDescent="0.25">
      <c r="A296" s="96">
        <v>47727</v>
      </c>
      <c r="B296" s="104">
        <f t="shared" si="46"/>
        <v>25</v>
      </c>
      <c r="C296" s="104">
        <f>('Co-Processing'!B298*'Co-Pro Feedstock Breakdown'!C$3*'Feedstock Conversion Rates'!B$12)/12-10-15</f>
        <v>10.520833333333336</v>
      </c>
      <c r="D296" s="106">
        <f t="shared" si="49"/>
        <v>35.520833333333336</v>
      </c>
      <c r="E296" s="104">
        <f>('Co-Processing'!C298*'Co-Pro Feedstock Breakdown'!E$3*'Feedstock Conversion Rates'!B$13)/12</f>
        <v>25.78125</v>
      </c>
      <c r="F296" s="104">
        <f>('Co-Processing'!C298*'Co-Pro Feedstock Breakdown'!F$3*'Feedstock Conversion Rates'!B$14)/12</f>
        <v>8.5364583333333339</v>
      </c>
      <c r="G296" s="106">
        <f t="shared" si="36"/>
        <v>34.317708333333336</v>
      </c>
      <c r="H296" s="104">
        <f>('Co-Processing'!D298*'Co-Pro Feedstock Breakdown'!H$3*'Feedstock Conversion Rates'!B$13)/12</f>
        <v>93.75</v>
      </c>
      <c r="I296" s="106">
        <f t="shared" si="37"/>
        <v>93.75</v>
      </c>
      <c r="J296" s="104">
        <f>('Co-Processing'!E298*'Co-Pro Feedstock Breakdown'!J$3*'Feedstock Conversion Rates'!B$13)/12</f>
        <v>1.25</v>
      </c>
      <c r="K296" s="104">
        <f>('Co-Processing'!E298*'Co-Pro Feedstock Breakdown'!K$3*'Feedstock Conversion Rates'!B$12)/12</f>
        <v>1.2916666666666667</v>
      </c>
      <c r="L296" s="106">
        <f t="shared" si="41"/>
        <v>2.541666666666667</v>
      </c>
      <c r="N296" s="104">
        <f t="shared" si="42"/>
        <v>145.78125</v>
      </c>
      <c r="O296" s="104">
        <f t="shared" si="45"/>
        <v>20.348958333333336</v>
      </c>
      <c r="P296" s="104"/>
      <c r="Q296" s="106">
        <f t="shared" si="43"/>
        <v>166.13020833333334</v>
      </c>
      <c r="R296" s="141">
        <f t="shared" si="44"/>
        <v>0</v>
      </c>
      <c r="T296" s="110">
        <f t="shared" si="47"/>
        <v>0.87751199172335947</v>
      </c>
      <c r="U296" s="110">
        <f t="shared" si="47"/>
        <v>0.12248800827664044</v>
      </c>
      <c r="V296" s="110">
        <f t="shared" si="47"/>
        <v>0</v>
      </c>
      <c r="W296" s="110">
        <f t="shared" si="48"/>
        <v>0.99999999999999989</v>
      </c>
      <c r="Y296" s="142">
        <f>T296*'Co-Processing'!K298*'Feedstock Conversion Rates'!B$13</f>
        <v>72.817883479010945</v>
      </c>
      <c r="Z296" s="142">
        <f>U296*'Co-Processing'!K298*'Feedstock Conversion Rates'!B$12</f>
        <v>10.50313635027673</v>
      </c>
      <c r="AA296" s="142">
        <f>V296*'Co-Processing'!K298*'Feedstock Conversion Rates'!B$14</f>
        <v>0</v>
      </c>
      <c r="AB296" s="142">
        <f t="shared" si="38"/>
        <v>83.321019829287678</v>
      </c>
      <c r="AD296" s="142">
        <v>0</v>
      </c>
      <c r="AE296" s="142">
        <v>0</v>
      </c>
      <c r="AF296" s="142">
        <v>0</v>
      </c>
      <c r="AG296" s="142">
        <v>0</v>
      </c>
      <c r="AH296" s="142">
        <v>0</v>
      </c>
    </row>
    <row r="297" spans="1:34" x14ac:dyDescent="0.25">
      <c r="A297" s="96">
        <v>47757</v>
      </c>
      <c r="B297" s="104">
        <f t="shared" si="46"/>
        <v>25</v>
      </c>
      <c r="C297" s="104">
        <f>('Co-Processing'!B299*'Co-Pro Feedstock Breakdown'!C$3*'Feedstock Conversion Rates'!B$12)/12-10-15</f>
        <v>10.520833333333336</v>
      </c>
      <c r="D297" s="106">
        <f t="shared" si="49"/>
        <v>35.520833333333336</v>
      </c>
      <c r="E297" s="104">
        <f>('Co-Processing'!C299*'Co-Pro Feedstock Breakdown'!E$3*'Feedstock Conversion Rates'!B$13)/12</f>
        <v>25.78125</v>
      </c>
      <c r="F297" s="104">
        <f>('Co-Processing'!C299*'Co-Pro Feedstock Breakdown'!F$3*'Feedstock Conversion Rates'!B$14)/12</f>
        <v>8.5364583333333339</v>
      </c>
      <c r="G297" s="106">
        <f t="shared" si="36"/>
        <v>34.317708333333336</v>
      </c>
      <c r="H297" s="104">
        <f>('Co-Processing'!D299*'Co-Pro Feedstock Breakdown'!H$3*'Feedstock Conversion Rates'!B$13)/12</f>
        <v>93.75</v>
      </c>
      <c r="I297" s="106">
        <f t="shared" si="37"/>
        <v>93.75</v>
      </c>
      <c r="J297" s="104">
        <f>('Co-Processing'!E299*'Co-Pro Feedstock Breakdown'!J$3*'Feedstock Conversion Rates'!B$13)/12</f>
        <v>1.25</v>
      </c>
      <c r="K297" s="104">
        <f>('Co-Processing'!E299*'Co-Pro Feedstock Breakdown'!K$3*'Feedstock Conversion Rates'!B$12)/12</f>
        <v>1.2916666666666667</v>
      </c>
      <c r="L297" s="106">
        <f t="shared" si="41"/>
        <v>2.541666666666667</v>
      </c>
      <c r="N297" s="104">
        <f t="shared" si="42"/>
        <v>145.78125</v>
      </c>
      <c r="O297" s="104">
        <f t="shared" si="45"/>
        <v>20.348958333333336</v>
      </c>
      <c r="P297" s="104"/>
      <c r="Q297" s="106">
        <f t="shared" si="43"/>
        <v>166.13020833333334</v>
      </c>
      <c r="R297" s="141">
        <f t="shared" si="44"/>
        <v>0</v>
      </c>
      <c r="T297" s="110">
        <f t="shared" si="47"/>
        <v>0.87751199172335947</v>
      </c>
      <c r="U297" s="110">
        <f t="shared" si="47"/>
        <v>0.12248800827664044</v>
      </c>
      <c r="V297" s="110">
        <f t="shared" si="47"/>
        <v>0</v>
      </c>
      <c r="W297" s="110">
        <f t="shared" si="48"/>
        <v>0.99999999999999989</v>
      </c>
      <c r="Y297" s="142">
        <f>T297*'Co-Processing'!K299*'Feedstock Conversion Rates'!B$13</f>
        <v>58.722318752869484</v>
      </c>
      <c r="Z297" s="142">
        <f>U297*'Co-Processing'!K299*'Feedstock Conversion Rates'!B$12</f>
        <v>8.4700143865562652</v>
      </c>
      <c r="AA297" s="142">
        <f>V297*'Co-Processing'!K299*'Feedstock Conversion Rates'!B$14</f>
        <v>0</v>
      </c>
      <c r="AB297" s="142">
        <f t="shared" si="38"/>
        <v>67.192333139425756</v>
      </c>
      <c r="AD297" s="142">
        <v>0</v>
      </c>
      <c r="AE297" s="142">
        <v>0</v>
      </c>
      <c r="AF297" s="142">
        <v>0</v>
      </c>
      <c r="AG297" s="142">
        <v>0</v>
      </c>
      <c r="AH297" s="142">
        <v>0</v>
      </c>
    </row>
    <row r="298" spans="1:34" x14ac:dyDescent="0.25">
      <c r="A298" s="96">
        <v>47788</v>
      </c>
      <c r="B298" s="104">
        <f t="shared" si="46"/>
        <v>25</v>
      </c>
      <c r="C298" s="104">
        <f>('Co-Processing'!B300*'Co-Pro Feedstock Breakdown'!C$3*'Feedstock Conversion Rates'!B$12)/12-10-15</f>
        <v>10.520833333333336</v>
      </c>
      <c r="D298" s="106">
        <f t="shared" si="49"/>
        <v>35.520833333333336</v>
      </c>
      <c r="E298" s="104">
        <f>('Co-Processing'!C300*'Co-Pro Feedstock Breakdown'!E$3*'Feedstock Conversion Rates'!B$13)/12</f>
        <v>25.78125</v>
      </c>
      <c r="F298" s="104">
        <f>('Co-Processing'!C300*'Co-Pro Feedstock Breakdown'!F$3*'Feedstock Conversion Rates'!B$14)/12</f>
        <v>8.5364583333333339</v>
      </c>
      <c r="G298" s="106">
        <f t="shared" si="36"/>
        <v>34.317708333333336</v>
      </c>
      <c r="H298" s="104">
        <f>('Co-Processing'!D300*'Co-Pro Feedstock Breakdown'!H$3*'Feedstock Conversion Rates'!B$13)/12</f>
        <v>93.75</v>
      </c>
      <c r="I298" s="106">
        <f t="shared" si="37"/>
        <v>93.75</v>
      </c>
      <c r="J298" s="104">
        <f>('Co-Processing'!E300*'Co-Pro Feedstock Breakdown'!J$3*'Feedstock Conversion Rates'!B$13)/12</f>
        <v>1.25</v>
      </c>
      <c r="K298" s="104">
        <f>('Co-Processing'!E300*'Co-Pro Feedstock Breakdown'!K$3*'Feedstock Conversion Rates'!B$12)/12</f>
        <v>1.2916666666666667</v>
      </c>
      <c r="L298" s="106">
        <f t="shared" si="41"/>
        <v>2.541666666666667</v>
      </c>
      <c r="N298" s="104">
        <f t="shared" si="42"/>
        <v>145.78125</v>
      </c>
      <c r="O298" s="104">
        <f t="shared" si="45"/>
        <v>20.348958333333336</v>
      </c>
      <c r="P298" s="104"/>
      <c r="Q298" s="106">
        <f t="shared" si="43"/>
        <v>166.13020833333334</v>
      </c>
      <c r="R298" s="141">
        <f t="shared" si="44"/>
        <v>0</v>
      </c>
      <c r="T298" s="110">
        <f t="shared" si="47"/>
        <v>0.87751199172335947</v>
      </c>
      <c r="U298" s="110">
        <f t="shared" si="47"/>
        <v>0.12248800827664044</v>
      </c>
      <c r="V298" s="110">
        <f t="shared" si="47"/>
        <v>0</v>
      </c>
      <c r="W298" s="110">
        <f t="shared" si="48"/>
        <v>0.99999999999999989</v>
      </c>
      <c r="Y298" s="142">
        <f>T298*'Co-Processing'!K300*'Feedstock Conversion Rates'!B$13</f>
        <v>58.435065174292696</v>
      </c>
      <c r="Z298" s="142">
        <f>U298*'Co-Processing'!K300*'Feedstock Conversion Rates'!B$12</f>
        <v>8.4285813846788251</v>
      </c>
      <c r="AA298" s="142">
        <f>V298*'Co-Processing'!K300*'Feedstock Conversion Rates'!B$14</f>
        <v>0</v>
      </c>
      <c r="AB298" s="142">
        <f t="shared" si="38"/>
        <v>66.863646558971524</v>
      </c>
      <c r="AD298" s="142">
        <v>0</v>
      </c>
      <c r="AE298" s="142">
        <v>0</v>
      </c>
      <c r="AF298" s="142">
        <v>0</v>
      </c>
      <c r="AG298" s="142">
        <v>0</v>
      </c>
      <c r="AH298" s="142">
        <v>0</v>
      </c>
    </row>
    <row r="299" spans="1:34" x14ac:dyDescent="0.25">
      <c r="A299" s="96">
        <v>47818</v>
      </c>
      <c r="B299" s="104">
        <f t="shared" si="46"/>
        <v>25</v>
      </c>
      <c r="C299" s="104">
        <f>('Co-Processing'!B301*'Co-Pro Feedstock Breakdown'!C$3*'Feedstock Conversion Rates'!B$12)/12-10-15</f>
        <v>10.520833333333336</v>
      </c>
      <c r="D299" s="106">
        <f t="shared" si="49"/>
        <v>35.520833333333336</v>
      </c>
      <c r="E299" s="104">
        <f>('Co-Processing'!C301*'Co-Pro Feedstock Breakdown'!E$3*'Feedstock Conversion Rates'!B$13)/12</f>
        <v>25.78125</v>
      </c>
      <c r="F299" s="104">
        <f>('Co-Processing'!C301*'Co-Pro Feedstock Breakdown'!F$3*'Feedstock Conversion Rates'!B$14)/12</f>
        <v>8.5364583333333339</v>
      </c>
      <c r="G299" s="106">
        <f t="shared" si="36"/>
        <v>34.317708333333336</v>
      </c>
      <c r="H299" s="104">
        <f>('Co-Processing'!D301*'Co-Pro Feedstock Breakdown'!H$3*'Feedstock Conversion Rates'!B$13)/12</f>
        <v>93.75</v>
      </c>
      <c r="I299" s="106">
        <f t="shared" si="37"/>
        <v>93.75</v>
      </c>
      <c r="J299" s="104">
        <f>('Co-Processing'!E301*'Co-Pro Feedstock Breakdown'!J$3*'Feedstock Conversion Rates'!B$13)/12</f>
        <v>1.25</v>
      </c>
      <c r="K299" s="104">
        <f>('Co-Processing'!E301*'Co-Pro Feedstock Breakdown'!K$3*'Feedstock Conversion Rates'!B$12)/12</f>
        <v>1.2916666666666667</v>
      </c>
      <c r="L299" s="106">
        <f t="shared" si="41"/>
        <v>2.541666666666667</v>
      </c>
      <c r="N299" s="104">
        <f t="shared" si="42"/>
        <v>145.78125</v>
      </c>
      <c r="O299" s="104">
        <f t="shared" si="45"/>
        <v>20.348958333333336</v>
      </c>
      <c r="P299" s="104"/>
      <c r="Q299" s="106">
        <f t="shared" si="43"/>
        <v>166.13020833333334</v>
      </c>
      <c r="R299" s="141">
        <f t="shared" si="44"/>
        <v>0</v>
      </c>
      <c r="T299" s="110">
        <f t="shared" si="47"/>
        <v>0.87751199172335947</v>
      </c>
      <c r="U299" s="110">
        <f t="shared" si="47"/>
        <v>0.12248800827664044</v>
      </c>
      <c r="V299" s="110">
        <f t="shared" si="47"/>
        <v>0</v>
      </c>
      <c r="W299" s="110">
        <f t="shared" si="48"/>
        <v>0.99999999999999989</v>
      </c>
      <c r="Y299" s="142">
        <f>T299*'Co-Processing'!K301*'Feedstock Conversion Rates'!B$13</f>
        <v>60.363227017064553</v>
      </c>
      <c r="Z299" s="142">
        <f>U299*'Co-Processing'!K301*'Feedstock Conversion Rates'!B$12</f>
        <v>8.7066963994591031</v>
      </c>
      <c r="AA299" s="142">
        <f>V299*'Co-Processing'!K301*'Feedstock Conversion Rates'!B$14</f>
        <v>0</v>
      </c>
      <c r="AB299" s="142">
        <f t="shared" si="38"/>
        <v>69.06992341652365</v>
      </c>
      <c r="AD299" s="142">
        <v>0</v>
      </c>
      <c r="AE299" s="142">
        <v>0</v>
      </c>
      <c r="AF299" s="142">
        <v>0</v>
      </c>
      <c r="AG299" s="142">
        <v>0</v>
      </c>
      <c r="AH299" s="142">
        <v>0</v>
      </c>
    </row>
    <row r="300" spans="1:34" x14ac:dyDescent="0.25">
      <c r="A300" s="96">
        <v>47849</v>
      </c>
      <c r="B300" s="104">
        <f t="shared" si="46"/>
        <v>25</v>
      </c>
      <c r="C300" s="104">
        <f>('Co-Processing'!B302*'Co-Pro Feedstock Breakdown'!C$3*'Feedstock Conversion Rates'!B$12)/12-10-15</f>
        <v>10.520833333333336</v>
      </c>
      <c r="D300" s="106">
        <f t="shared" si="49"/>
        <v>35.520833333333336</v>
      </c>
      <c r="E300" s="104">
        <f>('Co-Processing'!C302*'Co-Pro Feedstock Breakdown'!E$3*'Feedstock Conversion Rates'!B$13)/12</f>
        <v>25.78125</v>
      </c>
      <c r="F300" s="104">
        <f>('Co-Processing'!C302*'Co-Pro Feedstock Breakdown'!F$3*'Feedstock Conversion Rates'!B$14)/12</f>
        <v>8.5364583333333339</v>
      </c>
      <c r="G300" s="106">
        <f t="shared" ref="G300:G363" si="50">SUM(E300:F300)</f>
        <v>34.317708333333336</v>
      </c>
      <c r="H300" s="104">
        <f>('Co-Processing'!D302*'Co-Pro Feedstock Breakdown'!H$3*'Feedstock Conversion Rates'!B$13)/12</f>
        <v>93.75</v>
      </c>
      <c r="I300" s="106">
        <f t="shared" si="37"/>
        <v>93.75</v>
      </c>
      <c r="J300" s="104">
        <f>('Co-Processing'!E302*'Co-Pro Feedstock Breakdown'!J$3*'Feedstock Conversion Rates'!B$13)/12</f>
        <v>1.25</v>
      </c>
      <c r="K300" s="104">
        <f>('Co-Processing'!E302*'Co-Pro Feedstock Breakdown'!K$3*'Feedstock Conversion Rates'!B$12)/12</f>
        <v>1.2916666666666667</v>
      </c>
      <c r="L300" s="106">
        <f t="shared" si="41"/>
        <v>2.541666666666667</v>
      </c>
      <c r="N300" s="104">
        <f t="shared" si="42"/>
        <v>145.78125</v>
      </c>
      <c r="O300" s="104">
        <f t="shared" si="45"/>
        <v>20.348958333333336</v>
      </c>
      <c r="P300" s="104"/>
      <c r="Q300" s="106">
        <f t="shared" ref="Q300:Q363" si="51">SUM(N300:P300)</f>
        <v>166.13020833333334</v>
      </c>
      <c r="R300" s="141">
        <f t="shared" si="44"/>
        <v>0</v>
      </c>
      <c r="T300" s="110">
        <f t="shared" ref="T300:V363" si="52">N300/$Q300</f>
        <v>0.87751199172335947</v>
      </c>
      <c r="U300" s="110">
        <f t="shared" si="52"/>
        <v>0.12248800827664044</v>
      </c>
      <c r="V300" s="110">
        <f t="shared" si="52"/>
        <v>0</v>
      </c>
      <c r="W300" s="110">
        <f t="shared" ref="W300:W363" si="53">SUM(T300:V300)</f>
        <v>0.99999999999999989</v>
      </c>
      <c r="Y300" s="142">
        <f>T300*'Co-Processing'!K302*'Feedstock Conversion Rates'!B$13</f>
        <v>55.107825388942437</v>
      </c>
      <c r="Z300" s="142">
        <f>U300*'Co-Processing'!K302*'Feedstock Conversion Rates'!B$12</f>
        <v>7.9486655801268808</v>
      </c>
      <c r="AA300" s="142">
        <f>V300*'Co-Processing'!K302*'Feedstock Conversion Rates'!B$14</f>
        <v>0</v>
      </c>
      <c r="AB300" s="142">
        <f t="shared" si="38"/>
        <v>63.056490969069316</v>
      </c>
      <c r="AD300" s="142">
        <v>0</v>
      </c>
      <c r="AE300" s="142">
        <v>0</v>
      </c>
      <c r="AF300" s="142">
        <v>0</v>
      </c>
      <c r="AG300" s="142">
        <v>0</v>
      </c>
      <c r="AH300" s="142">
        <v>0</v>
      </c>
    </row>
    <row r="301" spans="1:34" x14ac:dyDescent="0.25">
      <c r="A301" s="96">
        <v>47880</v>
      </c>
      <c r="B301" s="104">
        <f t="shared" si="46"/>
        <v>25</v>
      </c>
      <c r="C301" s="104">
        <f>('Co-Processing'!B303*'Co-Pro Feedstock Breakdown'!C$3*'Feedstock Conversion Rates'!B$12)/12-10-15</f>
        <v>10.520833333333336</v>
      </c>
      <c r="D301" s="106">
        <f t="shared" si="49"/>
        <v>35.520833333333336</v>
      </c>
      <c r="E301" s="104">
        <f>('Co-Processing'!C303*'Co-Pro Feedstock Breakdown'!E$3*'Feedstock Conversion Rates'!B$13)/12</f>
        <v>25.78125</v>
      </c>
      <c r="F301" s="104">
        <f>('Co-Processing'!C303*'Co-Pro Feedstock Breakdown'!F$3*'Feedstock Conversion Rates'!B$14)/12</f>
        <v>8.5364583333333339</v>
      </c>
      <c r="G301" s="106">
        <f t="shared" si="50"/>
        <v>34.317708333333336</v>
      </c>
      <c r="H301" s="104">
        <f>('Co-Processing'!D303*'Co-Pro Feedstock Breakdown'!H$3*'Feedstock Conversion Rates'!B$13)/12</f>
        <v>93.75</v>
      </c>
      <c r="I301" s="106">
        <f t="shared" si="37"/>
        <v>93.75</v>
      </c>
      <c r="J301" s="104">
        <f>('Co-Processing'!E303*'Co-Pro Feedstock Breakdown'!J$3*'Feedstock Conversion Rates'!B$13)/12</f>
        <v>1.25</v>
      </c>
      <c r="K301" s="104">
        <f>('Co-Processing'!E303*'Co-Pro Feedstock Breakdown'!K$3*'Feedstock Conversion Rates'!B$12)/12</f>
        <v>1.2916666666666667</v>
      </c>
      <c r="L301" s="106">
        <f t="shared" si="41"/>
        <v>2.541666666666667</v>
      </c>
      <c r="N301" s="104">
        <f t="shared" si="42"/>
        <v>145.78125</v>
      </c>
      <c r="O301" s="104">
        <f t="shared" si="45"/>
        <v>20.348958333333336</v>
      </c>
      <c r="P301" s="104"/>
      <c r="Q301" s="106">
        <f t="shared" si="51"/>
        <v>166.13020833333334</v>
      </c>
      <c r="R301" s="141">
        <f t="shared" si="44"/>
        <v>0</v>
      </c>
      <c r="T301" s="110">
        <f t="shared" si="52"/>
        <v>0.87751199172335947</v>
      </c>
      <c r="U301" s="110">
        <f t="shared" si="52"/>
        <v>0.12248800827664044</v>
      </c>
      <c r="V301" s="110">
        <f t="shared" si="52"/>
        <v>0</v>
      </c>
      <c r="W301" s="110">
        <f t="shared" si="53"/>
        <v>0.99999999999999989</v>
      </c>
      <c r="Y301" s="142">
        <f>T301*'Co-Processing'!K303*'Feedstock Conversion Rates'!B$13</f>
        <v>42.861713146180854</v>
      </c>
      <c r="Z301" s="142">
        <f>U301*'Co-Processing'!K303*'Feedstock Conversion Rates'!B$12</f>
        <v>6.1823057176681999</v>
      </c>
      <c r="AA301" s="142">
        <f>V301*'Co-Processing'!K303*'Feedstock Conversion Rates'!B$14</f>
        <v>0</v>
      </c>
      <c r="AB301" s="142">
        <f t="shared" si="38"/>
        <v>49.044018863849054</v>
      </c>
      <c r="AD301" s="142">
        <v>0</v>
      </c>
      <c r="AE301" s="142">
        <v>0</v>
      </c>
      <c r="AF301" s="142">
        <v>0</v>
      </c>
      <c r="AG301" s="142">
        <v>0</v>
      </c>
      <c r="AH301" s="142">
        <v>0</v>
      </c>
    </row>
    <row r="302" spans="1:34" x14ac:dyDescent="0.25">
      <c r="A302" s="96">
        <v>47908</v>
      </c>
      <c r="B302" s="104">
        <f t="shared" si="46"/>
        <v>25</v>
      </c>
      <c r="C302" s="104">
        <f>('Co-Processing'!B304*'Co-Pro Feedstock Breakdown'!C$3*'Feedstock Conversion Rates'!B$12)/12-10-15</f>
        <v>10.520833333333336</v>
      </c>
      <c r="D302" s="106">
        <f t="shared" si="49"/>
        <v>35.520833333333336</v>
      </c>
      <c r="E302" s="104">
        <f>('Co-Processing'!C304*'Co-Pro Feedstock Breakdown'!E$3*'Feedstock Conversion Rates'!B$13)/12</f>
        <v>25.78125</v>
      </c>
      <c r="F302" s="104">
        <f>('Co-Processing'!C304*'Co-Pro Feedstock Breakdown'!F$3*'Feedstock Conversion Rates'!B$14)/12</f>
        <v>8.5364583333333339</v>
      </c>
      <c r="G302" s="106">
        <f t="shared" si="50"/>
        <v>34.317708333333336</v>
      </c>
      <c r="H302" s="104">
        <f>('Co-Processing'!D304*'Co-Pro Feedstock Breakdown'!H$3*'Feedstock Conversion Rates'!B$13)/12</f>
        <v>93.75</v>
      </c>
      <c r="I302" s="106">
        <f t="shared" si="37"/>
        <v>93.75</v>
      </c>
      <c r="J302" s="104">
        <f>('Co-Processing'!E304*'Co-Pro Feedstock Breakdown'!J$3*'Feedstock Conversion Rates'!B$13)/12</f>
        <v>1.25</v>
      </c>
      <c r="K302" s="104">
        <f>('Co-Processing'!E304*'Co-Pro Feedstock Breakdown'!K$3*'Feedstock Conversion Rates'!B$12)/12</f>
        <v>1.2916666666666667</v>
      </c>
      <c r="L302" s="106">
        <f t="shared" si="41"/>
        <v>2.541666666666667</v>
      </c>
      <c r="N302" s="104">
        <f t="shared" si="42"/>
        <v>145.78125</v>
      </c>
      <c r="O302" s="104">
        <f t="shared" si="45"/>
        <v>20.348958333333336</v>
      </c>
      <c r="P302" s="104"/>
      <c r="Q302" s="106">
        <f t="shared" si="51"/>
        <v>166.13020833333334</v>
      </c>
      <c r="R302" s="141">
        <f t="shared" si="44"/>
        <v>0</v>
      </c>
      <c r="T302" s="110">
        <f t="shared" si="52"/>
        <v>0.87751199172335947</v>
      </c>
      <c r="U302" s="110">
        <f t="shared" si="52"/>
        <v>0.12248800827664044</v>
      </c>
      <c r="V302" s="110">
        <f t="shared" si="52"/>
        <v>0</v>
      </c>
      <c r="W302" s="110">
        <f t="shared" si="53"/>
        <v>0.99999999999999989</v>
      </c>
      <c r="Y302" s="142">
        <f>T302*'Co-Processing'!K304*'Feedstock Conversion Rates'!B$13</f>
        <v>70.54903699324295</v>
      </c>
      <c r="Z302" s="142">
        <f>U302*'Co-Processing'!K304*'Feedstock Conversion Rates'!B$12</f>
        <v>10.175881521389316</v>
      </c>
      <c r="AA302" s="142">
        <f>V302*'Co-Processing'!K304*'Feedstock Conversion Rates'!B$14</f>
        <v>0</v>
      </c>
      <c r="AB302" s="142">
        <f t="shared" si="38"/>
        <v>80.724918514632265</v>
      </c>
      <c r="AD302" s="142">
        <v>0</v>
      </c>
      <c r="AE302" s="142">
        <v>0</v>
      </c>
      <c r="AF302" s="142">
        <v>0</v>
      </c>
      <c r="AG302" s="142">
        <v>0</v>
      </c>
      <c r="AH302" s="142">
        <v>0</v>
      </c>
    </row>
    <row r="303" spans="1:34" x14ac:dyDescent="0.25">
      <c r="A303" s="96">
        <v>47939</v>
      </c>
      <c r="B303" s="104">
        <f t="shared" si="46"/>
        <v>25</v>
      </c>
      <c r="C303" s="104">
        <f>('Co-Processing'!B305*'Co-Pro Feedstock Breakdown'!C$3*'Feedstock Conversion Rates'!B$12)/12-10-15</f>
        <v>10.520833333333336</v>
      </c>
      <c r="D303" s="106">
        <f t="shared" si="49"/>
        <v>35.520833333333336</v>
      </c>
      <c r="E303" s="104">
        <f>('Co-Processing'!C305*'Co-Pro Feedstock Breakdown'!E$3*'Feedstock Conversion Rates'!B$13)/12</f>
        <v>25.78125</v>
      </c>
      <c r="F303" s="104">
        <f>('Co-Processing'!C305*'Co-Pro Feedstock Breakdown'!F$3*'Feedstock Conversion Rates'!B$14)/12</f>
        <v>8.5364583333333339</v>
      </c>
      <c r="G303" s="106">
        <f t="shared" si="50"/>
        <v>34.317708333333336</v>
      </c>
      <c r="H303" s="104">
        <f>('Co-Processing'!D305*'Co-Pro Feedstock Breakdown'!H$3*'Feedstock Conversion Rates'!B$13)/12</f>
        <v>93.75</v>
      </c>
      <c r="I303" s="106">
        <f t="shared" si="37"/>
        <v>93.75</v>
      </c>
      <c r="J303" s="104">
        <f>('Co-Processing'!E305*'Co-Pro Feedstock Breakdown'!J$3*'Feedstock Conversion Rates'!B$13)/12</f>
        <v>1.25</v>
      </c>
      <c r="K303" s="104">
        <f>('Co-Processing'!E305*'Co-Pro Feedstock Breakdown'!K$3*'Feedstock Conversion Rates'!B$12)/12</f>
        <v>1.2916666666666667</v>
      </c>
      <c r="L303" s="106">
        <f t="shared" si="41"/>
        <v>2.541666666666667</v>
      </c>
      <c r="N303" s="104">
        <f t="shared" si="42"/>
        <v>145.78125</v>
      </c>
      <c r="O303" s="104">
        <f t="shared" si="45"/>
        <v>20.348958333333336</v>
      </c>
      <c r="P303" s="104"/>
      <c r="Q303" s="106">
        <f t="shared" si="51"/>
        <v>166.13020833333334</v>
      </c>
      <c r="R303" s="141">
        <f t="shared" si="44"/>
        <v>0</v>
      </c>
      <c r="T303" s="110">
        <f t="shared" si="52"/>
        <v>0.87751199172335947</v>
      </c>
      <c r="U303" s="110">
        <f t="shared" si="52"/>
        <v>0.12248800827664044</v>
      </c>
      <c r="V303" s="110">
        <f t="shared" si="52"/>
        <v>0</v>
      </c>
      <c r="W303" s="110">
        <f t="shared" si="53"/>
        <v>0.99999999999999989</v>
      </c>
      <c r="Y303" s="142">
        <f>T303*'Co-Processing'!K305*'Feedstock Conversion Rates'!B$13</f>
        <v>46.328146777831847</v>
      </c>
      <c r="Z303" s="142">
        <f>U303*'Co-Processing'!K305*'Feedstock Conversion Rates'!B$12</f>
        <v>6.6822986224730982</v>
      </c>
      <c r="AA303" s="142">
        <f>V303*'Co-Processing'!K305*'Feedstock Conversion Rates'!B$14</f>
        <v>0</v>
      </c>
      <c r="AB303" s="142">
        <f t="shared" si="38"/>
        <v>53.010445400304945</v>
      </c>
      <c r="AD303" s="142">
        <v>0</v>
      </c>
      <c r="AE303" s="142">
        <v>0</v>
      </c>
      <c r="AF303" s="142">
        <v>0</v>
      </c>
      <c r="AG303" s="142">
        <v>0</v>
      </c>
      <c r="AH303" s="142">
        <v>0</v>
      </c>
    </row>
    <row r="304" spans="1:34" x14ac:dyDescent="0.25">
      <c r="A304" s="96">
        <v>47969</v>
      </c>
      <c r="B304" s="104">
        <f t="shared" si="46"/>
        <v>25</v>
      </c>
      <c r="C304" s="104">
        <f>('Co-Processing'!B306*'Co-Pro Feedstock Breakdown'!C$3*'Feedstock Conversion Rates'!B$12)/12-10-15</f>
        <v>10.520833333333336</v>
      </c>
      <c r="D304" s="106">
        <f t="shared" si="49"/>
        <v>35.520833333333336</v>
      </c>
      <c r="E304" s="104">
        <f>('Co-Processing'!C306*'Co-Pro Feedstock Breakdown'!E$3*'Feedstock Conversion Rates'!B$13)/12</f>
        <v>25.78125</v>
      </c>
      <c r="F304" s="104">
        <f>('Co-Processing'!C306*'Co-Pro Feedstock Breakdown'!F$3*'Feedstock Conversion Rates'!B$14)/12</f>
        <v>8.5364583333333339</v>
      </c>
      <c r="G304" s="106">
        <f t="shared" si="50"/>
        <v>34.317708333333336</v>
      </c>
      <c r="H304" s="104">
        <f>('Co-Processing'!D306*'Co-Pro Feedstock Breakdown'!H$3*'Feedstock Conversion Rates'!B$13)/12</f>
        <v>93.75</v>
      </c>
      <c r="I304" s="106">
        <f t="shared" si="37"/>
        <v>93.75</v>
      </c>
      <c r="J304" s="104">
        <f>('Co-Processing'!E306*'Co-Pro Feedstock Breakdown'!J$3*'Feedstock Conversion Rates'!B$13)/12</f>
        <v>1.25</v>
      </c>
      <c r="K304" s="104">
        <f>('Co-Processing'!E306*'Co-Pro Feedstock Breakdown'!K$3*'Feedstock Conversion Rates'!B$12)/12</f>
        <v>1.2916666666666667</v>
      </c>
      <c r="L304" s="106">
        <f t="shared" si="41"/>
        <v>2.541666666666667</v>
      </c>
      <c r="N304" s="104">
        <f t="shared" si="42"/>
        <v>145.78125</v>
      </c>
      <c r="O304" s="104">
        <f t="shared" si="45"/>
        <v>20.348958333333336</v>
      </c>
      <c r="P304" s="104"/>
      <c r="Q304" s="106">
        <f t="shared" si="51"/>
        <v>166.13020833333334</v>
      </c>
      <c r="R304" s="141">
        <f t="shared" si="44"/>
        <v>0</v>
      </c>
      <c r="T304" s="110">
        <f t="shared" si="52"/>
        <v>0.87751199172335947</v>
      </c>
      <c r="U304" s="110">
        <f t="shared" si="52"/>
        <v>0.12248800827664044</v>
      </c>
      <c r="V304" s="110">
        <f t="shared" si="52"/>
        <v>0</v>
      </c>
      <c r="W304" s="110">
        <f t="shared" si="53"/>
        <v>0.99999999999999989</v>
      </c>
      <c r="Y304" s="142">
        <f>T304*'Co-Processing'!K306*'Feedstock Conversion Rates'!B$13</f>
        <v>51.577301639773729</v>
      </c>
      <c r="Z304" s="142">
        <f>U304*'Co-Processing'!K306*'Feedstock Conversion Rates'!B$12</f>
        <v>7.4394284181308512</v>
      </c>
      <c r="AA304" s="142">
        <f>V304*'Co-Processing'!K306*'Feedstock Conversion Rates'!B$14</f>
        <v>0</v>
      </c>
      <c r="AB304" s="142">
        <f t="shared" si="38"/>
        <v>59.016730057904581</v>
      </c>
      <c r="AD304" s="142">
        <v>0</v>
      </c>
      <c r="AE304" s="142">
        <v>0</v>
      </c>
      <c r="AF304" s="142">
        <v>0</v>
      </c>
      <c r="AG304" s="142">
        <v>0</v>
      </c>
      <c r="AH304" s="142">
        <v>0</v>
      </c>
    </row>
    <row r="305" spans="1:34" x14ac:dyDescent="0.25">
      <c r="A305" s="96">
        <v>48000</v>
      </c>
      <c r="B305" s="104">
        <f t="shared" si="46"/>
        <v>25</v>
      </c>
      <c r="C305" s="104">
        <f>('Co-Processing'!B307*'Co-Pro Feedstock Breakdown'!C$3*'Feedstock Conversion Rates'!B$12)/12-10-15</f>
        <v>10.520833333333336</v>
      </c>
      <c r="D305" s="106">
        <f t="shared" si="49"/>
        <v>35.520833333333336</v>
      </c>
      <c r="E305" s="104">
        <f>('Co-Processing'!C307*'Co-Pro Feedstock Breakdown'!E$3*'Feedstock Conversion Rates'!B$13)/12</f>
        <v>25.78125</v>
      </c>
      <c r="F305" s="104">
        <f>('Co-Processing'!C307*'Co-Pro Feedstock Breakdown'!F$3*'Feedstock Conversion Rates'!B$14)/12</f>
        <v>8.5364583333333339</v>
      </c>
      <c r="G305" s="106">
        <f t="shared" si="50"/>
        <v>34.317708333333336</v>
      </c>
      <c r="H305" s="104">
        <f>('Co-Processing'!D307*'Co-Pro Feedstock Breakdown'!H$3*'Feedstock Conversion Rates'!B$13)/12</f>
        <v>93.75</v>
      </c>
      <c r="I305" s="106">
        <f t="shared" si="37"/>
        <v>93.75</v>
      </c>
      <c r="J305" s="104">
        <f>('Co-Processing'!E307*'Co-Pro Feedstock Breakdown'!J$3*'Feedstock Conversion Rates'!B$13)/12</f>
        <v>1.25</v>
      </c>
      <c r="K305" s="104">
        <f>('Co-Processing'!E307*'Co-Pro Feedstock Breakdown'!K$3*'Feedstock Conversion Rates'!B$12)/12</f>
        <v>1.2916666666666667</v>
      </c>
      <c r="L305" s="106">
        <f t="shared" si="41"/>
        <v>2.541666666666667</v>
      </c>
      <c r="N305" s="104">
        <f t="shared" si="42"/>
        <v>145.78125</v>
      </c>
      <c r="O305" s="104">
        <f t="shared" si="45"/>
        <v>20.348958333333336</v>
      </c>
      <c r="P305" s="104"/>
      <c r="Q305" s="106">
        <f t="shared" si="51"/>
        <v>166.13020833333334</v>
      </c>
      <c r="R305" s="141">
        <f t="shared" si="44"/>
        <v>0</v>
      </c>
      <c r="T305" s="110">
        <f t="shared" si="52"/>
        <v>0.87751199172335947</v>
      </c>
      <c r="U305" s="110">
        <f t="shared" si="52"/>
        <v>0.12248800827664044</v>
      </c>
      <c r="V305" s="110">
        <f t="shared" si="52"/>
        <v>0</v>
      </c>
      <c r="W305" s="110">
        <f t="shared" si="53"/>
        <v>0.99999999999999989</v>
      </c>
      <c r="Y305" s="142">
        <f>T305*'Co-Processing'!K307*'Feedstock Conversion Rates'!B$13</f>
        <v>68.751454689002273</v>
      </c>
      <c r="Z305" s="142">
        <f>U305*'Co-Processing'!K307*'Feedstock Conversion Rates'!B$12</f>
        <v>9.9166010927329875</v>
      </c>
      <c r="AA305" s="142">
        <f>V305*'Co-Processing'!K307*'Feedstock Conversion Rates'!B$14</f>
        <v>0</v>
      </c>
      <c r="AB305" s="142">
        <f t="shared" si="38"/>
        <v>78.668055781735262</v>
      </c>
      <c r="AD305" s="142">
        <v>0</v>
      </c>
      <c r="AE305" s="142">
        <v>0</v>
      </c>
      <c r="AF305" s="142">
        <v>0</v>
      </c>
      <c r="AG305" s="142">
        <v>0</v>
      </c>
      <c r="AH305" s="142">
        <v>0</v>
      </c>
    </row>
    <row r="306" spans="1:34" x14ac:dyDescent="0.25">
      <c r="A306" s="96">
        <v>48030</v>
      </c>
      <c r="B306" s="104">
        <f t="shared" si="46"/>
        <v>25</v>
      </c>
      <c r="C306" s="104">
        <f>('Co-Processing'!B308*'Co-Pro Feedstock Breakdown'!C$3*'Feedstock Conversion Rates'!B$12)/12-10-15</f>
        <v>10.520833333333336</v>
      </c>
      <c r="D306" s="106">
        <f t="shared" si="49"/>
        <v>35.520833333333336</v>
      </c>
      <c r="E306" s="104">
        <f>('Co-Processing'!C308*'Co-Pro Feedstock Breakdown'!E$3*'Feedstock Conversion Rates'!B$13)/12</f>
        <v>25.78125</v>
      </c>
      <c r="F306" s="104">
        <f>('Co-Processing'!C308*'Co-Pro Feedstock Breakdown'!F$3*'Feedstock Conversion Rates'!B$14)/12</f>
        <v>8.5364583333333339</v>
      </c>
      <c r="G306" s="106">
        <f t="shared" si="50"/>
        <v>34.317708333333336</v>
      </c>
      <c r="H306" s="104">
        <f>('Co-Processing'!D308*'Co-Pro Feedstock Breakdown'!H$3*'Feedstock Conversion Rates'!B$13)/12</f>
        <v>93.75</v>
      </c>
      <c r="I306" s="106">
        <f t="shared" si="37"/>
        <v>93.75</v>
      </c>
      <c r="J306" s="104">
        <f>('Co-Processing'!E308*'Co-Pro Feedstock Breakdown'!J$3*'Feedstock Conversion Rates'!B$13)/12</f>
        <v>1.25</v>
      </c>
      <c r="K306" s="104">
        <f>('Co-Processing'!E308*'Co-Pro Feedstock Breakdown'!K$3*'Feedstock Conversion Rates'!B$12)/12</f>
        <v>1.2916666666666667</v>
      </c>
      <c r="L306" s="106">
        <f t="shared" si="41"/>
        <v>2.541666666666667</v>
      </c>
      <c r="N306" s="104">
        <f t="shared" si="42"/>
        <v>145.78125</v>
      </c>
      <c r="O306" s="104">
        <f t="shared" si="45"/>
        <v>20.348958333333336</v>
      </c>
      <c r="P306" s="104"/>
      <c r="Q306" s="106">
        <f t="shared" si="51"/>
        <v>166.13020833333334</v>
      </c>
      <c r="R306" s="141">
        <f t="shared" si="44"/>
        <v>0</v>
      </c>
      <c r="T306" s="110">
        <f t="shared" si="52"/>
        <v>0.87751199172335947</v>
      </c>
      <c r="U306" s="110">
        <f t="shared" si="52"/>
        <v>0.12248800827664044</v>
      </c>
      <c r="V306" s="110">
        <f t="shared" si="52"/>
        <v>0</v>
      </c>
      <c r="W306" s="110">
        <f t="shared" si="53"/>
        <v>0.99999999999999989</v>
      </c>
      <c r="Y306" s="142">
        <f>T306*'Co-Processing'!K308*'Feedstock Conversion Rates'!B$13</f>
        <v>57.295218546416407</v>
      </c>
      <c r="Z306" s="142">
        <f>U306*'Co-Processing'!K308*'Feedstock Conversion Rates'!B$12</f>
        <v>8.2641717097610066</v>
      </c>
      <c r="AA306" s="142">
        <f>V306*'Co-Processing'!K308*'Feedstock Conversion Rates'!B$14</f>
        <v>0</v>
      </c>
      <c r="AB306" s="142">
        <f t="shared" si="38"/>
        <v>65.559390256177409</v>
      </c>
      <c r="AD306" s="142">
        <v>0</v>
      </c>
      <c r="AE306" s="142">
        <v>0</v>
      </c>
      <c r="AF306" s="142">
        <v>0</v>
      </c>
      <c r="AG306" s="142">
        <v>0</v>
      </c>
      <c r="AH306" s="142">
        <v>0</v>
      </c>
    </row>
    <row r="307" spans="1:34" x14ac:dyDescent="0.25">
      <c r="A307" s="96">
        <v>48061</v>
      </c>
      <c r="B307" s="104">
        <f t="shared" si="46"/>
        <v>25</v>
      </c>
      <c r="C307" s="104">
        <f>('Co-Processing'!B309*'Co-Pro Feedstock Breakdown'!C$3*'Feedstock Conversion Rates'!B$12)/12-10-15</f>
        <v>10.520833333333336</v>
      </c>
      <c r="D307" s="106">
        <f t="shared" si="49"/>
        <v>35.520833333333336</v>
      </c>
      <c r="E307" s="104">
        <f>('Co-Processing'!C309*'Co-Pro Feedstock Breakdown'!E$3*'Feedstock Conversion Rates'!B$13)/12</f>
        <v>25.78125</v>
      </c>
      <c r="F307" s="104">
        <f>('Co-Processing'!C309*'Co-Pro Feedstock Breakdown'!F$3*'Feedstock Conversion Rates'!B$14)/12</f>
        <v>8.5364583333333339</v>
      </c>
      <c r="G307" s="106">
        <f t="shared" si="50"/>
        <v>34.317708333333336</v>
      </c>
      <c r="H307" s="104">
        <f>('Co-Processing'!D309*'Co-Pro Feedstock Breakdown'!H$3*'Feedstock Conversion Rates'!B$13)/12</f>
        <v>93.75</v>
      </c>
      <c r="I307" s="106">
        <f t="shared" ref="I307:I370" si="54">H307</f>
        <v>93.75</v>
      </c>
      <c r="J307" s="104">
        <f>('Co-Processing'!E309*'Co-Pro Feedstock Breakdown'!J$3*'Feedstock Conversion Rates'!B$13)/12</f>
        <v>1.25</v>
      </c>
      <c r="K307" s="104">
        <f>('Co-Processing'!E309*'Co-Pro Feedstock Breakdown'!K$3*'Feedstock Conversion Rates'!B$12)/12</f>
        <v>1.2916666666666667</v>
      </c>
      <c r="L307" s="106">
        <f t="shared" si="41"/>
        <v>2.541666666666667</v>
      </c>
      <c r="N307" s="104">
        <f t="shared" si="42"/>
        <v>145.78125</v>
      </c>
      <c r="O307" s="104">
        <f t="shared" si="45"/>
        <v>20.348958333333336</v>
      </c>
      <c r="P307" s="104"/>
      <c r="Q307" s="106">
        <f t="shared" si="51"/>
        <v>166.13020833333334</v>
      </c>
      <c r="R307" s="141">
        <f t="shared" si="44"/>
        <v>0</v>
      </c>
      <c r="T307" s="110">
        <f t="shared" si="52"/>
        <v>0.87751199172335947</v>
      </c>
      <c r="U307" s="110">
        <f t="shared" si="52"/>
        <v>0.12248800827664044</v>
      </c>
      <c r="V307" s="110">
        <f t="shared" si="52"/>
        <v>0</v>
      </c>
      <c r="W307" s="110">
        <f t="shared" si="53"/>
        <v>0.99999999999999989</v>
      </c>
      <c r="Y307" s="142">
        <f>T307*'Co-Processing'!K309*'Feedstock Conversion Rates'!B$13</f>
        <v>84.466037587743287</v>
      </c>
      <c r="Z307" s="142">
        <f>U307*'Co-Processing'!K309*'Feedstock Conversion Rates'!B$12</f>
        <v>12.183247677164111</v>
      </c>
      <c r="AA307" s="142">
        <f>V307*'Co-Processing'!K309*'Feedstock Conversion Rates'!B$14</f>
        <v>0</v>
      </c>
      <c r="AB307" s="142">
        <f t="shared" si="38"/>
        <v>96.649285264907405</v>
      </c>
      <c r="AD307" s="142">
        <v>0</v>
      </c>
      <c r="AE307" s="142">
        <v>0</v>
      </c>
      <c r="AF307" s="142">
        <v>0</v>
      </c>
      <c r="AG307" s="142">
        <v>0</v>
      </c>
      <c r="AH307" s="142">
        <v>0</v>
      </c>
    </row>
    <row r="308" spans="1:34" x14ac:dyDescent="0.25">
      <c r="A308" s="96">
        <v>48092</v>
      </c>
      <c r="B308" s="104">
        <f t="shared" si="46"/>
        <v>25</v>
      </c>
      <c r="C308" s="104">
        <f>('Co-Processing'!B310*'Co-Pro Feedstock Breakdown'!C$3*'Feedstock Conversion Rates'!B$12)/12-10-15</f>
        <v>10.520833333333336</v>
      </c>
      <c r="D308" s="106">
        <f t="shared" si="49"/>
        <v>35.520833333333336</v>
      </c>
      <c r="E308" s="104">
        <f>('Co-Processing'!C310*'Co-Pro Feedstock Breakdown'!E$3*'Feedstock Conversion Rates'!B$13)/12</f>
        <v>25.78125</v>
      </c>
      <c r="F308" s="104">
        <f>('Co-Processing'!C310*'Co-Pro Feedstock Breakdown'!F$3*'Feedstock Conversion Rates'!B$14)/12</f>
        <v>8.5364583333333339</v>
      </c>
      <c r="G308" s="106">
        <f t="shared" si="50"/>
        <v>34.317708333333336</v>
      </c>
      <c r="H308" s="104">
        <f>('Co-Processing'!D310*'Co-Pro Feedstock Breakdown'!H$3*'Feedstock Conversion Rates'!B$13)/12</f>
        <v>93.75</v>
      </c>
      <c r="I308" s="106">
        <f t="shared" si="54"/>
        <v>93.75</v>
      </c>
      <c r="J308" s="104">
        <f>('Co-Processing'!E310*'Co-Pro Feedstock Breakdown'!J$3*'Feedstock Conversion Rates'!B$13)/12</f>
        <v>1.25</v>
      </c>
      <c r="K308" s="104">
        <f>('Co-Processing'!E310*'Co-Pro Feedstock Breakdown'!K$3*'Feedstock Conversion Rates'!B$12)/12</f>
        <v>1.2916666666666667</v>
      </c>
      <c r="L308" s="106">
        <f t="shared" si="41"/>
        <v>2.541666666666667</v>
      </c>
      <c r="N308" s="104">
        <f t="shared" si="42"/>
        <v>145.78125</v>
      </c>
      <c r="O308" s="104">
        <f t="shared" si="45"/>
        <v>20.348958333333336</v>
      </c>
      <c r="P308" s="104"/>
      <c r="Q308" s="106">
        <f t="shared" si="51"/>
        <v>166.13020833333334</v>
      </c>
      <c r="R308" s="141">
        <f t="shared" si="44"/>
        <v>0</v>
      </c>
      <c r="T308" s="110">
        <f t="shared" si="52"/>
        <v>0.87751199172335947</v>
      </c>
      <c r="U308" s="110">
        <f t="shared" si="52"/>
        <v>0.12248800827664044</v>
      </c>
      <c r="V308" s="110">
        <f t="shared" si="52"/>
        <v>0</v>
      </c>
      <c r="W308" s="110">
        <f t="shared" si="53"/>
        <v>0.99999999999999989</v>
      </c>
      <c r="Y308" s="142">
        <f>T308*'Co-Processing'!K310*'Feedstock Conversion Rates'!B$13</f>
        <v>76.106814215242238</v>
      </c>
      <c r="Z308" s="142">
        <f>U308*'Co-Processing'!K310*'Feedstock Conversion Rates'!B$12</f>
        <v>10.977526518170174</v>
      </c>
      <c r="AA308" s="142">
        <f>V308*'Co-Processing'!K310*'Feedstock Conversion Rates'!B$14</f>
        <v>0</v>
      </c>
      <c r="AB308" s="142">
        <f t="shared" si="38"/>
        <v>87.084340733412418</v>
      </c>
      <c r="AD308" s="142">
        <v>0</v>
      </c>
      <c r="AE308" s="142">
        <v>0</v>
      </c>
      <c r="AF308" s="142">
        <v>0</v>
      </c>
      <c r="AG308" s="142">
        <v>0</v>
      </c>
      <c r="AH308" s="142">
        <v>0</v>
      </c>
    </row>
    <row r="309" spans="1:34" x14ac:dyDescent="0.25">
      <c r="A309" s="96">
        <v>48122</v>
      </c>
      <c r="B309" s="104">
        <f t="shared" si="46"/>
        <v>25</v>
      </c>
      <c r="C309" s="104">
        <f>('Co-Processing'!B311*'Co-Pro Feedstock Breakdown'!C$3*'Feedstock Conversion Rates'!B$12)/12-10-15</f>
        <v>10.520833333333336</v>
      </c>
      <c r="D309" s="106">
        <f t="shared" si="49"/>
        <v>35.520833333333336</v>
      </c>
      <c r="E309" s="104">
        <f>('Co-Processing'!C311*'Co-Pro Feedstock Breakdown'!E$3*'Feedstock Conversion Rates'!B$13)/12</f>
        <v>25.78125</v>
      </c>
      <c r="F309" s="104">
        <f>('Co-Processing'!C311*'Co-Pro Feedstock Breakdown'!F$3*'Feedstock Conversion Rates'!B$14)/12</f>
        <v>8.5364583333333339</v>
      </c>
      <c r="G309" s="106">
        <f t="shared" si="50"/>
        <v>34.317708333333336</v>
      </c>
      <c r="H309" s="104">
        <f>('Co-Processing'!D311*'Co-Pro Feedstock Breakdown'!H$3*'Feedstock Conversion Rates'!B$13)/12</f>
        <v>93.75</v>
      </c>
      <c r="I309" s="106">
        <f t="shared" si="54"/>
        <v>93.75</v>
      </c>
      <c r="J309" s="104">
        <f>('Co-Processing'!E311*'Co-Pro Feedstock Breakdown'!J$3*'Feedstock Conversion Rates'!B$13)/12</f>
        <v>1.25</v>
      </c>
      <c r="K309" s="104">
        <f>('Co-Processing'!E311*'Co-Pro Feedstock Breakdown'!K$3*'Feedstock Conversion Rates'!B$12)/12</f>
        <v>1.2916666666666667</v>
      </c>
      <c r="L309" s="106">
        <f t="shared" si="41"/>
        <v>2.541666666666667</v>
      </c>
      <c r="N309" s="104">
        <f t="shared" si="42"/>
        <v>145.78125</v>
      </c>
      <c r="O309" s="104">
        <f t="shared" si="45"/>
        <v>20.348958333333336</v>
      </c>
      <c r="P309" s="104"/>
      <c r="Q309" s="106">
        <f t="shared" si="51"/>
        <v>166.13020833333334</v>
      </c>
      <c r="R309" s="141">
        <f t="shared" si="44"/>
        <v>0</v>
      </c>
      <c r="T309" s="110">
        <f t="shared" si="52"/>
        <v>0.87751199172335947</v>
      </c>
      <c r="U309" s="110">
        <f t="shared" si="52"/>
        <v>0.12248800827664044</v>
      </c>
      <c r="V309" s="110">
        <f t="shared" si="52"/>
        <v>0</v>
      </c>
      <c r="W309" s="110">
        <f t="shared" si="53"/>
        <v>0.99999999999999989</v>
      </c>
      <c r="Y309" s="142">
        <f>T309*'Co-Processing'!K311*'Feedstock Conversion Rates'!B$13</f>
        <v>61.028490197713921</v>
      </c>
      <c r="Z309" s="142">
        <f>U309*'Co-Processing'!K311*'Feedstock Conversion Rates'!B$12</f>
        <v>8.8026529085107992</v>
      </c>
      <c r="AA309" s="142">
        <f>V309*'Co-Processing'!K311*'Feedstock Conversion Rates'!B$14</f>
        <v>0</v>
      </c>
      <c r="AB309" s="142">
        <f t="shared" si="38"/>
        <v>69.831143106224715</v>
      </c>
      <c r="AD309" s="142">
        <v>0</v>
      </c>
      <c r="AE309" s="142">
        <v>0</v>
      </c>
      <c r="AF309" s="142">
        <v>0</v>
      </c>
      <c r="AG309" s="142">
        <v>0</v>
      </c>
      <c r="AH309" s="142">
        <v>0</v>
      </c>
    </row>
    <row r="310" spans="1:34" x14ac:dyDescent="0.25">
      <c r="A310" s="96">
        <v>48153</v>
      </c>
      <c r="B310" s="104">
        <f t="shared" si="46"/>
        <v>25</v>
      </c>
      <c r="C310" s="104">
        <f>('Co-Processing'!B312*'Co-Pro Feedstock Breakdown'!C$3*'Feedstock Conversion Rates'!B$12)/12-10-15</f>
        <v>10.520833333333336</v>
      </c>
      <c r="D310" s="106">
        <f t="shared" si="49"/>
        <v>35.520833333333336</v>
      </c>
      <c r="E310" s="104">
        <f>('Co-Processing'!C312*'Co-Pro Feedstock Breakdown'!E$3*'Feedstock Conversion Rates'!B$13)/12</f>
        <v>25.78125</v>
      </c>
      <c r="F310" s="104">
        <f>('Co-Processing'!C312*'Co-Pro Feedstock Breakdown'!F$3*'Feedstock Conversion Rates'!B$14)/12</f>
        <v>8.5364583333333339</v>
      </c>
      <c r="G310" s="106">
        <f t="shared" si="50"/>
        <v>34.317708333333336</v>
      </c>
      <c r="H310" s="104">
        <f>('Co-Processing'!D312*'Co-Pro Feedstock Breakdown'!H$3*'Feedstock Conversion Rates'!B$13)/12</f>
        <v>93.75</v>
      </c>
      <c r="I310" s="106">
        <f t="shared" si="54"/>
        <v>93.75</v>
      </c>
      <c r="J310" s="104">
        <f>('Co-Processing'!E312*'Co-Pro Feedstock Breakdown'!J$3*'Feedstock Conversion Rates'!B$13)/12</f>
        <v>1.25</v>
      </c>
      <c r="K310" s="104">
        <f>('Co-Processing'!E312*'Co-Pro Feedstock Breakdown'!K$3*'Feedstock Conversion Rates'!B$12)/12</f>
        <v>1.2916666666666667</v>
      </c>
      <c r="L310" s="106">
        <f t="shared" si="41"/>
        <v>2.541666666666667</v>
      </c>
      <c r="N310" s="104">
        <f t="shared" si="42"/>
        <v>145.78125</v>
      </c>
      <c r="O310" s="104">
        <f t="shared" si="45"/>
        <v>20.348958333333336</v>
      </c>
      <c r="P310" s="104"/>
      <c r="Q310" s="106">
        <f t="shared" si="51"/>
        <v>166.13020833333334</v>
      </c>
      <c r="R310" s="141">
        <f t="shared" si="44"/>
        <v>0</v>
      </c>
      <c r="T310" s="110">
        <f t="shared" si="52"/>
        <v>0.87751199172335947</v>
      </c>
      <c r="U310" s="110">
        <f t="shared" si="52"/>
        <v>0.12248800827664044</v>
      </c>
      <c r="V310" s="110">
        <f t="shared" si="52"/>
        <v>0</v>
      </c>
      <c r="W310" s="110">
        <f t="shared" si="53"/>
        <v>0.99999999999999989</v>
      </c>
      <c r="Y310" s="142">
        <f>T310*'Co-Processing'!K312*'Feedstock Conversion Rates'!B$13</f>
        <v>60.918096253354719</v>
      </c>
      <c r="Z310" s="142">
        <f>U310*'Co-Processing'!K312*'Feedstock Conversion Rates'!B$12</f>
        <v>8.7867298605663517</v>
      </c>
      <c r="AA310" s="142">
        <f>V310*'Co-Processing'!K312*'Feedstock Conversion Rates'!B$14</f>
        <v>0</v>
      </c>
      <c r="AB310" s="142">
        <f t="shared" si="38"/>
        <v>69.704826113921072</v>
      </c>
      <c r="AD310" s="142">
        <v>0</v>
      </c>
      <c r="AE310" s="142">
        <v>0</v>
      </c>
      <c r="AF310" s="142">
        <v>0</v>
      </c>
      <c r="AG310" s="142">
        <v>0</v>
      </c>
      <c r="AH310" s="142">
        <v>0</v>
      </c>
    </row>
    <row r="311" spans="1:34" x14ac:dyDescent="0.25">
      <c r="A311" s="96">
        <v>48183</v>
      </c>
      <c r="B311" s="104">
        <f t="shared" si="46"/>
        <v>25</v>
      </c>
      <c r="C311" s="104">
        <f>('Co-Processing'!B313*'Co-Pro Feedstock Breakdown'!C$3*'Feedstock Conversion Rates'!B$12)/12-10-15</f>
        <v>10.520833333333336</v>
      </c>
      <c r="D311" s="106">
        <f t="shared" si="49"/>
        <v>35.520833333333336</v>
      </c>
      <c r="E311" s="104">
        <f>('Co-Processing'!C313*'Co-Pro Feedstock Breakdown'!E$3*'Feedstock Conversion Rates'!B$13)/12</f>
        <v>25.78125</v>
      </c>
      <c r="F311" s="104">
        <f>('Co-Processing'!C313*'Co-Pro Feedstock Breakdown'!F$3*'Feedstock Conversion Rates'!B$14)/12</f>
        <v>8.5364583333333339</v>
      </c>
      <c r="G311" s="106">
        <f t="shared" si="50"/>
        <v>34.317708333333336</v>
      </c>
      <c r="H311" s="104">
        <f>('Co-Processing'!D313*'Co-Pro Feedstock Breakdown'!H$3*'Feedstock Conversion Rates'!B$13)/12</f>
        <v>93.75</v>
      </c>
      <c r="I311" s="106">
        <f t="shared" si="54"/>
        <v>93.75</v>
      </c>
      <c r="J311" s="104">
        <f>('Co-Processing'!E313*'Co-Pro Feedstock Breakdown'!J$3*'Feedstock Conversion Rates'!B$13)/12</f>
        <v>1.25</v>
      </c>
      <c r="K311" s="104">
        <f>('Co-Processing'!E313*'Co-Pro Feedstock Breakdown'!K$3*'Feedstock Conversion Rates'!B$12)/12</f>
        <v>1.2916666666666667</v>
      </c>
      <c r="L311" s="106">
        <f t="shared" si="41"/>
        <v>2.541666666666667</v>
      </c>
      <c r="N311" s="104">
        <f t="shared" si="42"/>
        <v>145.78125</v>
      </c>
      <c r="O311" s="104">
        <f t="shared" si="45"/>
        <v>20.348958333333336</v>
      </c>
      <c r="P311" s="104"/>
      <c r="Q311" s="106">
        <f t="shared" si="51"/>
        <v>166.13020833333334</v>
      </c>
      <c r="R311" s="141">
        <f t="shared" si="44"/>
        <v>0</v>
      </c>
      <c r="T311" s="110">
        <f t="shared" si="52"/>
        <v>0.87751199172335947</v>
      </c>
      <c r="U311" s="110">
        <f t="shared" si="52"/>
        <v>0.12248800827664044</v>
      </c>
      <c r="V311" s="110">
        <f t="shared" si="52"/>
        <v>0</v>
      </c>
      <c r="W311" s="110">
        <f t="shared" si="53"/>
        <v>0.99999999999999989</v>
      </c>
      <c r="Y311" s="142">
        <f>T311*'Co-Processing'!K313*'Feedstock Conversion Rates'!B$13</f>
        <v>64.616671900202121</v>
      </c>
      <c r="Z311" s="142">
        <f>U311*'Co-Processing'!K313*'Feedstock Conversion Rates'!B$12</f>
        <v>9.3202065625065877</v>
      </c>
      <c r="AA311" s="142">
        <f>V311*'Co-Processing'!K313*'Feedstock Conversion Rates'!B$14</f>
        <v>0</v>
      </c>
      <c r="AB311" s="142">
        <f t="shared" ref="AB311:AB374" si="55">SUM(Y311:AA311)</f>
        <v>73.936878462708705</v>
      </c>
      <c r="AD311" s="142">
        <v>0</v>
      </c>
      <c r="AE311" s="142">
        <v>0</v>
      </c>
      <c r="AF311" s="142">
        <v>0</v>
      </c>
      <c r="AG311" s="142">
        <v>0</v>
      </c>
      <c r="AH311" s="142">
        <v>0</v>
      </c>
    </row>
    <row r="312" spans="1:34" x14ac:dyDescent="0.25">
      <c r="A312" s="96">
        <v>48214</v>
      </c>
      <c r="B312" s="104">
        <f t="shared" si="46"/>
        <v>25</v>
      </c>
      <c r="C312" s="104">
        <f>('Co-Processing'!B314*'Co-Pro Feedstock Breakdown'!C$3*'Feedstock Conversion Rates'!B$12)/12-10-15</f>
        <v>10.520833333333336</v>
      </c>
      <c r="D312" s="106">
        <f t="shared" si="49"/>
        <v>35.520833333333336</v>
      </c>
      <c r="E312" s="104">
        <f>('Co-Processing'!C314*'Co-Pro Feedstock Breakdown'!E$3*'Feedstock Conversion Rates'!B$13)/12</f>
        <v>25.78125</v>
      </c>
      <c r="F312" s="104">
        <f>('Co-Processing'!C314*'Co-Pro Feedstock Breakdown'!F$3*'Feedstock Conversion Rates'!B$14)/12</f>
        <v>8.5364583333333339</v>
      </c>
      <c r="G312" s="106">
        <f t="shared" si="50"/>
        <v>34.317708333333336</v>
      </c>
      <c r="H312" s="104">
        <f>('Co-Processing'!D314*'Co-Pro Feedstock Breakdown'!H$3*'Feedstock Conversion Rates'!B$13)/12</f>
        <v>93.75</v>
      </c>
      <c r="I312" s="106">
        <f t="shared" si="54"/>
        <v>93.75</v>
      </c>
      <c r="J312" s="104">
        <f>('Co-Processing'!E314*'Co-Pro Feedstock Breakdown'!J$3*'Feedstock Conversion Rates'!B$13)/12</f>
        <v>1.25</v>
      </c>
      <c r="K312" s="104">
        <f>('Co-Processing'!E314*'Co-Pro Feedstock Breakdown'!K$3*'Feedstock Conversion Rates'!B$12)/12</f>
        <v>1.2916666666666667</v>
      </c>
      <c r="L312" s="106">
        <f t="shared" si="41"/>
        <v>2.541666666666667</v>
      </c>
      <c r="N312" s="104">
        <f t="shared" si="42"/>
        <v>145.78125</v>
      </c>
      <c r="O312" s="104">
        <f t="shared" si="45"/>
        <v>20.348958333333336</v>
      </c>
      <c r="P312" s="104"/>
      <c r="Q312" s="106">
        <f t="shared" si="51"/>
        <v>166.13020833333334</v>
      </c>
      <c r="R312" s="141">
        <f t="shared" si="44"/>
        <v>0</v>
      </c>
      <c r="T312" s="110">
        <f t="shared" si="52"/>
        <v>0.87751199172335947</v>
      </c>
      <c r="U312" s="110">
        <f t="shared" si="52"/>
        <v>0.12248800827664044</v>
      </c>
      <c r="V312" s="110">
        <f t="shared" si="52"/>
        <v>0</v>
      </c>
      <c r="W312" s="110">
        <f t="shared" si="53"/>
        <v>0.99999999999999989</v>
      </c>
      <c r="Y312" s="142">
        <f>T312*'Co-Processing'!K314*'Feedstock Conversion Rates'!B$13</f>
        <v>61.864639085760523</v>
      </c>
      <c r="Z312" s="142">
        <f>U312*'Co-Processing'!K314*'Feedstock Conversion Rates'!B$12</f>
        <v>8.9232577017387857</v>
      </c>
      <c r="AA312" s="142">
        <f>V312*'Co-Processing'!K314*'Feedstock Conversion Rates'!B$14</f>
        <v>0</v>
      </c>
      <c r="AB312" s="142">
        <f t="shared" si="55"/>
        <v>70.787896787499307</v>
      </c>
      <c r="AD312" s="142">
        <v>0</v>
      </c>
      <c r="AE312" s="142">
        <v>0</v>
      </c>
      <c r="AF312" s="142">
        <v>0</v>
      </c>
      <c r="AG312" s="142">
        <v>0</v>
      </c>
      <c r="AH312" s="142">
        <v>0</v>
      </c>
    </row>
    <row r="313" spans="1:34" x14ac:dyDescent="0.25">
      <c r="A313" s="96">
        <v>48245</v>
      </c>
      <c r="B313" s="104">
        <f t="shared" si="46"/>
        <v>25</v>
      </c>
      <c r="C313" s="104">
        <f>('Co-Processing'!B315*'Co-Pro Feedstock Breakdown'!C$3*'Feedstock Conversion Rates'!B$12)/12-10-15</f>
        <v>10.520833333333336</v>
      </c>
      <c r="D313" s="106">
        <f t="shared" si="49"/>
        <v>35.520833333333336</v>
      </c>
      <c r="E313" s="104">
        <f>('Co-Processing'!C315*'Co-Pro Feedstock Breakdown'!E$3*'Feedstock Conversion Rates'!B$13)/12</f>
        <v>25.78125</v>
      </c>
      <c r="F313" s="104">
        <f>('Co-Processing'!C315*'Co-Pro Feedstock Breakdown'!F$3*'Feedstock Conversion Rates'!B$14)/12</f>
        <v>8.5364583333333339</v>
      </c>
      <c r="G313" s="106">
        <f t="shared" si="50"/>
        <v>34.317708333333336</v>
      </c>
      <c r="H313" s="104">
        <f>('Co-Processing'!D315*'Co-Pro Feedstock Breakdown'!H$3*'Feedstock Conversion Rates'!B$13)/12</f>
        <v>93.75</v>
      </c>
      <c r="I313" s="106">
        <f t="shared" si="54"/>
        <v>93.75</v>
      </c>
      <c r="J313" s="104">
        <f>('Co-Processing'!E315*'Co-Pro Feedstock Breakdown'!J$3*'Feedstock Conversion Rates'!B$13)/12</f>
        <v>1.25</v>
      </c>
      <c r="K313" s="104">
        <f>('Co-Processing'!E315*'Co-Pro Feedstock Breakdown'!K$3*'Feedstock Conversion Rates'!B$12)/12</f>
        <v>1.2916666666666667</v>
      </c>
      <c r="L313" s="106">
        <f t="shared" si="41"/>
        <v>2.541666666666667</v>
      </c>
      <c r="N313" s="104">
        <f t="shared" si="42"/>
        <v>145.78125</v>
      </c>
      <c r="O313" s="104">
        <f t="shared" si="45"/>
        <v>20.348958333333336</v>
      </c>
      <c r="P313" s="104"/>
      <c r="Q313" s="106">
        <f t="shared" si="51"/>
        <v>166.13020833333334</v>
      </c>
      <c r="R313" s="141">
        <f t="shared" si="44"/>
        <v>0</v>
      </c>
      <c r="T313" s="110">
        <f t="shared" si="52"/>
        <v>0.87751199172335947</v>
      </c>
      <c r="U313" s="110">
        <f t="shared" si="52"/>
        <v>0.12248800827664044</v>
      </c>
      <c r="V313" s="110">
        <f t="shared" si="52"/>
        <v>0</v>
      </c>
      <c r="W313" s="110">
        <f t="shared" si="53"/>
        <v>0.99999999999999989</v>
      </c>
      <c r="Y313" s="142">
        <f>T313*'Co-Processing'!K315*'Feedstock Conversion Rates'!B$13</f>
        <v>48.530065085911268</v>
      </c>
      <c r="Z313" s="142">
        <f>U313*'Co-Processing'!K315*'Feedstock Conversion Rates'!B$12</f>
        <v>6.9998998368587779</v>
      </c>
      <c r="AA313" s="142">
        <f>V313*'Co-Processing'!K315*'Feedstock Conversion Rates'!B$14</f>
        <v>0</v>
      </c>
      <c r="AB313" s="142">
        <f t="shared" si="55"/>
        <v>55.529964922770048</v>
      </c>
      <c r="AD313" s="142">
        <v>0</v>
      </c>
      <c r="AE313" s="142">
        <v>0</v>
      </c>
      <c r="AF313" s="142">
        <v>0</v>
      </c>
      <c r="AG313" s="142">
        <v>0</v>
      </c>
      <c r="AH313" s="142">
        <v>0</v>
      </c>
    </row>
    <row r="314" spans="1:34" x14ac:dyDescent="0.25">
      <c r="A314" s="96">
        <v>48274</v>
      </c>
      <c r="B314" s="104">
        <f t="shared" si="46"/>
        <v>25</v>
      </c>
      <c r="C314" s="104">
        <f>('Co-Processing'!B316*'Co-Pro Feedstock Breakdown'!C$3*'Feedstock Conversion Rates'!B$12)/12-10-15</f>
        <v>10.520833333333336</v>
      </c>
      <c r="D314" s="106">
        <f t="shared" si="49"/>
        <v>35.520833333333336</v>
      </c>
      <c r="E314" s="104">
        <f>('Co-Processing'!C316*'Co-Pro Feedstock Breakdown'!E$3*'Feedstock Conversion Rates'!B$13)/12</f>
        <v>25.78125</v>
      </c>
      <c r="F314" s="104">
        <f>('Co-Processing'!C316*'Co-Pro Feedstock Breakdown'!F$3*'Feedstock Conversion Rates'!B$14)/12</f>
        <v>8.5364583333333339</v>
      </c>
      <c r="G314" s="106">
        <f t="shared" si="50"/>
        <v>34.317708333333336</v>
      </c>
      <c r="H314" s="104">
        <f>('Co-Processing'!D316*'Co-Pro Feedstock Breakdown'!H$3*'Feedstock Conversion Rates'!B$13)/12</f>
        <v>93.75</v>
      </c>
      <c r="I314" s="106">
        <f t="shared" si="54"/>
        <v>93.75</v>
      </c>
      <c r="J314" s="104">
        <f>('Co-Processing'!E316*'Co-Pro Feedstock Breakdown'!J$3*'Feedstock Conversion Rates'!B$13)/12</f>
        <v>1.25</v>
      </c>
      <c r="K314" s="104">
        <f>('Co-Processing'!E316*'Co-Pro Feedstock Breakdown'!K$3*'Feedstock Conversion Rates'!B$12)/12</f>
        <v>1.2916666666666667</v>
      </c>
      <c r="L314" s="106">
        <f t="shared" si="41"/>
        <v>2.541666666666667</v>
      </c>
      <c r="N314" s="104">
        <f t="shared" si="42"/>
        <v>145.78125</v>
      </c>
      <c r="O314" s="104">
        <f t="shared" si="45"/>
        <v>20.348958333333336</v>
      </c>
      <c r="P314" s="104"/>
      <c r="Q314" s="106">
        <f t="shared" si="51"/>
        <v>166.13020833333334</v>
      </c>
      <c r="R314" s="141">
        <f t="shared" si="44"/>
        <v>0</v>
      </c>
      <c r="T314" s="110">
        <f t="shared" si="52"/>
        <v>0.87751199172335947</v>
      </c>
      <c r="U314" s="110">
        <f t="shared" si="52"/>
        <v>0.12248800827664044</v>
      </c>
      <c r="V314" s="110">
        <f t="shared" si="52"/>
        <v>0</v>
      </c>
      <c r="W314" s="110">
        <f t="shared" si="53"/>
        <v>0.99999999999999989</v>
      </c>
      <c r="Y314" s="142">
        <f>T314*'Co-Processing'!K316*'Feedstock Conversion Rates'!B$13</f>
        <v>80.6853622850996</v>
      </c>
      <c r="Z314" s="142">
        <f>U314*'Co-Processing'!K316*'Feedstock Conversion Rates'!B$12</f>
        <v>11.63792905071384</v>
      </c>
      <c r="AA314" s="142">
        <f>V314*'Co-Processing'!K316*'Feedstock Conversion Rates'!B$14</f>
        <v>0</v>
      </c>
      <c r="AB314" s="142">
        <f t="shared" si="55"/>
        <v>92.323291335813437</v>
      </c>
      <c r="AD314" s="142">
        <v>0</v>
      </c>
      <c r="AE314" s="142">
        <v>0</v>
      </c>
      <c r="AF314" s="142">
        <v>0</v>
      </c>
      <c r="AG314" s="142">
        <v>0</v>
      </c>
      <c r="AH314" s="142">
        <v>0</v>
      </c>
    </row>
    <row r="315" spans="1:34" x14ac:dyDescent="0.25">
      <c r="A315" s="96">
        <v>48305</v>
      </c>
      <c r="B315" s="104">
        <f t="shared" si="46"/>
        <v>25</v>
      </c>
      <c r="C315" s="104">
        <f>('Co-Processing'!B317*'Co-Pro Feedstock Breakdown'!C$3*'Feedstock Conversion Rates'!B$12)/12-10-15</f>
        <v>10.520833333333336</v>
      </c>
      <c r="D315" s="106">
        <f t="shared" si="49"/>
        <v>35.520833333333336</v>
      </c>
      <c r="E315" s="104">
        <f>('Co-Processing'!C317*'Co-Pro Feedstock Breakdown'!E$3*'Feedstock Conversion Rates'!B$13)/12</f>
        <v>25.78125</v>
      </c>
      <c r="F315" s="104">
        <f>('Co-Processing'!C317*'Co-Pro Feedstock Breakdown'!F$3*'Feedstock Conversion Rates'!B$14)/12</f>
        <v>8.5364583333333339</v>
      </c>
      <c r="G315" s="106">
        <f t="shared" si="50"/>
        <v>34.317708333333336</v>
      </c>
      <c r="H315" s="104">
        <f>('Co-Processing'!D317*'Co-Pro Feedstock Breakdown'!H$3*'Feedstock Conversion Rates'!B$13)/12</f>
        <v>93.75</v>
      </c>
      <c r="I315" s="106">
        <f t="shared" si="54"/>
        <v>93.75</v>
      </c>
      <c r="J315" s="104">
        <f>('Co-Processing'!E317*'Co-Pro Feedstock Breakdown'!J$3*'Feedstock Conversion Rates'!B$13)/12</f>
        <v>1.25</v>
      </c>
      <c r="K315" s="104">
        <f>('Co-Processing'!E317*'Co-Pro Feedstock Breakdown'!K$3*'Feedstock Conversion Rates'!B$12)/12</f>
        <v>1.2916666666666667</v>
      </c>
      <c r="L315" s="106">
        <f t="shared" si="41"/>
        <v>2.541666666666667</v>
      </c>
      <c r="N315" s="104">
        <f t="shared" si="42"/>
        <v>145.78125</v>
      </c>
      <c r="O315" s="104">
        <f t="shared" si="45"/>
        <v>20.348958333333336</v>
      </c>
      <c r="P315" s="104"/>
      <c r="Q315" s="106">
        <f t="shared" si="51"/>
        <v>166.13020833333334</v>
      </c>
      <c r="R315" s="141">
        <f t="shared" si="44"/>
        <v>0</v>
      </c>
      <c r="T315" s="110">
        <f t="shared" si="52"/>
        <v>0.87751199172335947</v>
      </c>
      <c r="U315" s="110">
        <f t="shared" si="52"/>
        <v>0.12248800827664044</v>
      </c>
      <c r="V315" s="110">
        <f t="shared" si="52"/>
        <v>0</v>
      </c>
      <c r="W315" s="110">
        <f t="shared" si="53"/>
        <v>0.99999999999999989</v>
      </c>
      <c r="Y315" s="142">
        <f>T315*'Co-Processing'!K317*'Feedstock Conversion Rates'!B$13</f>
        <v>52.641221712080387</v>
      </c>
      <c r="Z315" s="142">
        <f>U315*'Co-Processing'!K317*'Feedstock Conversion Rates'!B$12</f>
        <v>7.5928865667524601</v>
      </c>
      <c r="AA315" s="142">
        <f>V315*'Co-Processing'!K317*'Feedstock Conversion Rates'!B$14</f>
        <v>0</v>
      </c>
      <c r="AB315" s="142">
        <f t="shared" si="55"/>
        <v>60.234108278832849</v>
      </c>
      <c r="AD315" s="142">
        <v>0</v>
      </c>
      <c r="AE315" s="142">
        <v>0</v>
      </c>
      <c r="AF315" s="142">
        <v>0</v>
      </c>
      <c r="AG315" s="142">
        <v>0</v>
      </c>
      <c r="AH315" s="142">
        <v>0</v>
      </c>
    </row>
    <row r="316" spans="1:34" x14ac:dyDescent="0.25">
      <c r="A316" s="96">
        <v>48335</v>
      </c>
      <c r="B316" s="104">
        <f t="shared" si="46"/>
        <v>25</v>
      </c>
      <c r="C316" s="104">
        <f>('Co-Processing'!B318*'Co-Pro Feedstock Breakdown'!C$3*'Feedstock Conversion Rates'!B$12)/12-10-15</f>
        <v>10.520833333333336</v>
      </c>
      <c r="D316" s="106">
        <f t="shared" si="49"/>
        <v>35.520833333333336</v>
      </c>
      <c r="E316" s="104">
        <f>('Co-Processing'!C318*'Co-Pro Feedstock Breakdown'!E$3*'Feedstock Conversion Rates'!B$13)/12</f>
        <v>25.78125</v>
      </c>
      <c r="F316" s="104">
        <f>('Co-Processing'!C318*'Co-Pro Feedstock Breakdown'!F$3*'Feedstock Conversion Rates'!B$14)/12</f>
        <v>8.5364583333333339</v>
      </c>
      <c r="G316" s="106">
        <f t="shared" si="50"/>
        <v>34.317708333333336</v>
      </c>
      <c r="H316" s="104">
        <f>('Co-Processing'!D318*'Co-Pro Feedstock Breakdown'!H$3*'Feedstock Conversion Rates'!B$13)/12</f>
        <v>93.75</v>
      </c>
      <c r="I316" s="106">
        <f t="shared" si="54"/>
        <v>93.75</v>
      </c>
      <c r="J316" s="104">
        <f>('Co-Processing'!E318*'Co-Pro Feedstock Breakdown'!J$3*'Feedstock Conversion Rates'!B$13)/12</f>
        <v>1.25</v>
      </c>
      <c r="K316" s="104">
        <f>('Co-Processing'!E318*'Co-Pro Feedstock Breakdown'!K$3*'Feedstock Conversion Rates'!B$12)/12</f>
        <v>1.2916666666666667</v>
      </c>
      <c r="L316" s="106">
        <f t="shared" si="41"/>
        <v>2.541666666666667</v>
      </c>
      <c r="N316" s="104">
        <f t="shared" si="42"/>
        <v>145.78125</v>
      </c>
      <c r="O316" s="104">
        <f t="shared" si="45"/>
        <v>20.348958333333336</v>
      </c>
      <c r="P316" s="104"/>
      <c r="Q316" s="106">
        <f t="shared" si="51"/>
        <v>166.13020833333334</v>
      </c>
      <c r="R316" s="141">
        <f t="shared" si="44"/>
        <v>0</v>
      </c>
      <c r="T316" s="110">
        <f t="shared" si="52"/>
        <v>0.87751199172335947</v>
      </c>
      <c r="U316" s="110">
        <f t="shared" si="52"/>
        <v>0.12248800827664044</v>
      </c>
      <c r="V316" s="110">
        <f t="shared" si="52"/>
        <v>0</v>
      </c>
      <c r="W316" s="110">
        <f t="shared" si="53"/>
        <v>0.99999999999999989</v>
      </c>
      <c r="Y316" s="142">
        <f>T316*'Co-Processing'!K318*'Feedstock Conversion Rates'!B$13</f>
        <v>58.384661465041617</v>
      </c>
      <c r="Z316" s="142">
        <f>U316*'Co-Processing'!K318*'Feedstock Conversion Rates'!B$12</f>
        <v>8.4213112333707834</v>
      </c>
      <c r="AA316" s="142">
        <f>V316*'Co-Processing'!K318*'Feedstock Conversion Rates'!B$14</f>
        <v>0</v>
      </c>
      <c r="AB316" s="142">
        <f t="shared" si="55"/>
        <v>66.805972698412404</v>
      </c>
      <c r="AD316" s="142">
        <v>0</v>
      </c>
      <c r="AE316" s="142">
        <v>0</v>
      </c>
      <c r="AF316" s="142">
        <v>0</v>
      </c>
      <c r="AG316" s="142">
        <v>0</v>
      </c>
      <c r="AH316" s="142">
        <v>0</v>
      </c>
    </row>
    <row r="317" spans="1:34" x14ac:dyDescent="0.25">
      <c r="A317" s="96">
        <v>48366</v>
      </c>
      <c r="B317" s="104">
        <f t="shared" si="46"/>
        <v>25</v>
      </c>
      <c r="C317" s="104">
        <f>('Co-Processing'!B319*'Co-Pro Feedstock Breakdown'!C$3*'Feedstock Conversion Rates'!B$12)/12-10-15</f>
        <v>10.520833333333336</v>
      </c>
      <c r="D317" s="106">
        <f t="shared" si="49"/>
        <v>35.520833333333336</v>
      </c>
      <c r="E317" s="104">
        <f>('Co-Processing'!C319*'Co-Pro Feedstock Breakdown'!E$3*'Feedstock Conversion Rates'!B$13)/12</f>
        <v>25.78125</v>
      </c>
      <c r="F317" s="104">
        <f>('Co-Processing'!C319*'Co-Pro Feedstock Breakdown'!F$3*'Feedstock Conversion Rates'!B$14)/12</f>
        <v>8.5364583333333339</v>
      </c>
      <c r="G317" s="106">
        <f t="shared" si="50"/>
        <v>34.317708333333336</v>
      </c>
      <c r="H317" s="104">
        <f>('Co-Processing'!D319*'Co-Pro Feedstock Breakdown'!H$3*'Feedstock Conversion Rates'!B$13)/12</f>
        <v>93.75</v>
      </c>
      <c r="I317" s="106">
        <f t="shared" si="54"/>
        <v>93.75</v>
      </c>
      <c r="J317" s="104">
        <f>('Co-Processing'!E319*'Co-Pro Feedstock Breakdown'!J$3*'Feedstock Conversion Rates'!B$13)/12</f>
        <v>1.25</v>
      </c>
      <c r="K317" s="104">
        <f>('Co-Processing'!E319*'Co-Pro Feedstock Breakdown'!K$3*'Feedstock Conversion Rates'!B$12)/12</f>
        <v>1.2916666666666667</v>
      </c>
      <c r="L317" s="106">
        <f t="shared" si="41"/>
        <v>2.541666666666667</v>
      </c>
      <c r="N317" s="104">
        <f t="shared" si="42"/>
        <v>145.78125</v>
      </c>
      <c r="O317" s="104">
        <f t="shared" si="45"/>
        <v>20.348958333333336</v>
      </c>
      <c r="P317" s="104"/>
      <c r="Q317" s="106">
        <f t="shared" si="51"/>
        <v>166.13020833333334</v>
      </c>
      <c r="R317" s="141">
        <f t="shared" si="44"/>
        <v>0</v>
      </c>
      <c r="T317" s="110">
        <f t="shared" si="52"/>
        <v>0.87751199172335947</v>
      </c>
      <c r="U317" s="110">
        <f t="shared" si="52"/>
        <v>0.12248800827664044</v>
      </c>
      <c r="V317" s="110">
        <f t="shared" si="52"/>
        <v>0</v>
      </c>
      <c r="W317" s="110">
        <f t="shared" si="53"/>
        <v>0.99999999999999989</v>
      </c>
      <c r="Y317" s="142">
        <f>T317*'Co-Processing'!K319*'Feedstock Conversion Rates'!B$13</f>
        <v>78.505653977571924</v>
      </c>
      <c r="Z317" s="142">
        <f>U317*'Co-Processing'!K319*'Feedstock Conversion Rates'!B$12</f>
        <v>11.323531371682245</v>
      </c>
      <c r="AA317" s="142">
        <f>V317*'Co-Processing'!K319*'Feedstock Conversion Rates'!B$14</f>
        <v>0</v>
      </c>
      <c r="AB317" s="142">
        <f t="shared" si="55"/>
        <v>89.829185349254175</v>
      </c>
      <c r="AD317" s="142">
        <v>0</v>
      </c>
      <c r="AE317" s="142">
        <v>0</v>
      </c>
      <c r="AF317" s="142">
        <v>0</v>
      </c>
      <c r="AG317" s="142">
        <v>0</v>
      </c>
      <c r="AH317" s="142">
        <v>0</v>
      </c>
    </row>
    <row r="318" spans="1:34" x14ac:dyDescent="0.25">
      <c r="A318" s="96">
        <v>48396</v>
      </c>
      <c r="B318" s="104">
        <f t="shared" si="46"/>
        <v>25</v>
      </c>
      <c r="C318" s="104">
        <f>('Co-Processing'!B320*'Co-Pro Feedstock Breakdown'!C$3*'Feedstock Conversion Rates'!B$12)/12-10-15</f>
        <v>10.520833333333336</v>
      </c>
      <c r="D318" s="106">
        <f t="shared" si="49"/>
        <v>35.520833333333336</v>
      </c>
      <c r="E318" s="104">
        <f>('Co-Processing'!C320*'Co-Pro Feedstock Breakdown'!E$3*'Feedstock Conversion Rates'!B$13)/12</f>
        <v>25.78125</v>
      </c>
      <c r="F318" s="104">
        <f>('Co-Processing'!C320*'Co-Pro Feedstock Breakdown'!F$3*'Feedstock Conversion Rates'!B$14)/12</f>
        <v>8.5364583333333339</v>
      </c>
      <c r="G318" s="106">
        <f t="shared" si="50"/>
        <v>34.317708333333336</v>
      </c>
      <c r="H318" s="104">
        <f>('Co-Processing'!D320*'Co-Pro Feedstock Breakdown'!H$3*'Feedstock Conversion Rates'!B$13)/12</f>
        <v>93.75</v>
      </c>
      <c r="I318" s="106">
        <f t="shared" si="54"/>
        <v>93.75</v>
      </c>
      <c r="J318" s="104">
        <f>('Co-Processing'!E320*'Co-Pro Feedstock Breakdown'!J$3*'Feedstock Conversion Rates'!B$13)/12</f>
        <v>1.25</v>
      </c>
      <c r="K318" s="104">
        <f>('Co-Processing'!E320*'Co-Pro Feedstock Breakdown'!K$3*'Feedstock Conversion Rates'!B$12)/12</f>
        <v>1.2916666666666667</v>
      </c>
      <c r="L318" s="106">
        <f t="shared" si="41"/>
        <v>2.541666666666667</v>
      </c>
      <c r="N318" s="104">
        <f t="shared" si="42"/>
        <v>145.78125</v>
      </c>
      <c r="O318" s="104">
        <f t="shared" si="45"/>
        <v>20.348958333333336</v>
      </c>
      <c r="P318" s="104"/>
      <c r="Q318" s="106">
        <f t="shared" si="51"/>
        <v>166.13020833333334</v>
      </c>
      <c r="R318" s="141">
        <f t="shared" si="44"/>
        <v>0</v>
      </c>
      <c r="T318" s="110">
        <f t="shared" si="52"/>
        <v>0.87751199172335947</v>
      </c>
      <c r="U318" s="110">
        <f t="shared" si="52"/>
        <v>0.12248800827664044</v>
      </c>
      <c r="V318" s="110">
        <f t="shared" si="52"/>
        <v>0</v>
      </c>
      <c r="W318" s="110">
        <f t="shared" si="53"/>
        <v>0.99999999999999989</v>
      </c>
      <c r="Y318" s="142">
        <f>T318*'Co-Processing'!K320*'Feedstock Conversion Rates'!B$13</f>
        <v>65.09990487544124</v>
      </c>
      <c r="Z318" s="142">
        <f>U318*'Co-Processing'!K320*'Feedstock Conversion Rates'!B$12</f>
        <v>9.3899073226138121</v>
      </c>
      <c r="AA318" s="142">
        <f>V318*'Co-Processing'!K320*'Feedstock Conversion Rates'!B$14</f>
        <v>0</v>
      </c>
      <c r="AB318" s="142">
        <f t="shared" si="55"/>
        <v>74.489812198055048</v>
      </c>
      <c r="AD318" s="142">
        <v>0</v>
      </c>
      <c r="AE318" s="142">
        <v>0</v>
      </c>
      <c r="AF318" s="142">
        <v>0</v>
      </c>
      <c r="AG318" s="142">
        <v>0</v>
      </c>
      <c r="AH318" s="142">
        <v>0</v>
      </c>
    </row>
    <row r="319" spans="1:34" x14ac:dyDescent="0.25">
      <c r="A319" s="96">
        <v>48427</v>
      </c>
      <c r="B319" s="104">
        <f t="shared" si="46"/>
        <v>25</v>
      </c>
      <c r="C319" s="104">
        <f>('Co-Processing'!B321*'Co-Pro Feedstock Breakdown'!C$3*'Feedstock Conversion Rates'!B$12)/12-10-15</f>
        <v>10.520833333333336</v>
      </c>
      <c r="D319" s="106">
        <f t="shared" si="49"/>
        <v>35.520833333333336</v>
      </c>
      <c r="E319" s="104">
        <f>('Co-Processing'!C321*'Co-Pro Feedstock Breakdown'!E$3*'Feedstock Conversion Rates'!B$13)/12</f>
        <v>25.78125</v>
      </c>
      <c r="F319" s="104">
        <f>('Co-Processing'!C321*'Co-Pro Feedstock Breakdown'!F$3*'Feedstock Conversion Rates'!B$14)/12</f>
        <v>8.5364583333333339</v>
      </c>
      <c r="G319" s="106">
        <f t="shared" si="50"/>
        <v>34.317708333333336</v>
      </c>
      <c r="H319" s="104">
        <f>('Co-Processing'!D321*'Co-Pro Feedstock Breakdown'!H$3*'Feedstock Conversion Rates'!B$13)/12</f>
        <v>93.75</v>
      </c>
      <c r="I319" s="106">
        <f t="shared" si="54"/>
        <v>93.75</v>
      </c>
      <c r="J319" s="104">
        <f>('Co-Processing'!E321*'Co-Pro Feedstock Breakdown'!J$3*'Feedstock Conversion Rates'!B$13)/12</f>
        <v>1.25</v>
      </c>
      <c r="K319" s="104">
        <f>('Co-Processing'!E321*'Co-Pro Feedstock Breakdown'!K$3*'Feedstock Conversion Rates'!B$12)/12</f>
        <v>1.2916666666666667</v>
      </c>
      <c r="L319" s="106">
        <f t="shared" si="41"/>
        <v>2.541666666666667</v>
      </c>
      <c r="N319" s="104">
        <f t="shared" si="42"/>
        <v>145.78125</v>
      </c>
      <c r="O319" s="104">
        <f t="shared" si="45"/>
        <v>20.348958333333336</v>
      </c>
      <c r="P319" s="104"/>
      <c r="Q319" s="106">
        <f t="shared" si="51"/>
        <v>166.13020833333334</v>
      </c>
      <c r="R319" s="141">
        <f t="shared" si="44"/>
        <v>0</v>
      </c>
      <c r="T319" s="110">
        <f t="shared" si="52"/>
        <v>0.87751199172335947</v>
      </c>
      <c r="U319" s="110">
        <f t="shared" si="52"/>
        <v>0.12248800827664044</v>
      </c>
      <c r="V319" s="110">
        <f t="shared" si="52"/>
        <v>0</v>
      </c>
      <c r="W319" s="110">
        <f t="shared" si="53"/>
        <v>0.99999999999999989</v>
      </c>
      <c r="Y319" s="142">
        <f>T319*'Co-Processing'!K321*'Feedstock Conversion Rates'!B$13</f>
        <v>95.828253992900954</v>
      </c>
      <c r="Z319" s="142">
        <f>U319*'Co-Processing'!K321*'Feedstock Conversion Rates'!B$12</f>
        <v>13.822115801903282</v>
      </c>
      <c r="AA319" s="142">
        <f>V319*'Co-Processing'!K321*'Feedstock Conversion Rates'!B$14</f>
        <v>0</v>
      </c>
      <c r="AB319" s="142">
        <f t="shared" si="55"/>
        <v>109.65036979480423</v>
      </c>
      <c r="AD319" s="142">
        <v>0</v>
      </c>
      <c r="AE319" s="142">
        <v>0</v>
      </c>
      <c r="AF319" s="142">
        <v>0</v>
      </c>
      <c r="AG319" s="142">
        <v>0</v>
      </c>
      <c r="AH319" s="142">
        <v>0</v>
      </c>
    </row>
    <row r="320" spans="1:34" x14ac:dyDescent="0.25">
      <c r="A320" s="96">
        <v>48458</v>
      </c>
      <c r="B320" s="104">
        <f t="shared" si="46"/>
        <v>25</v>
      </c>
      <c r="C320" s="104">
        <f>('Co-Processing'!B322*'Co-Pro Feedstock Breakdown'!C$3*'Feedstock Conversion Rates'!B$12)/12-10-15</f>
        <v>10.520833333333336</v>
      </c>
      <c r="D320" s="106">
        <f t="shared" si="49"/>
        <v>35.520833333333336</v>
      </c>
      <c r="E320" s="104">
        <f>('Co-Processing'!C322*'Co-Pro Feedstock Breakdown'!E$3*'Feedstock Conversion Rates'!B$13)/12</f>
        <v>25.78125</v>
      </c>
      <c r="F320" s="104">
        <f>('Co-Processing'!C322*'Co-Pro Feedstock Breakdown'!F$3*'Feedstock Conversion Rates'!B$14)/12</f>
        <v>8.5364583333333339</v>
      </c>
      <c r="G320" s="106">
        <f t="shared" si="50"/>
        <v>34.317708333333336</v>
      </c>
      <c r="H320" s="104">
        <f>('Co-Processing'!D322*'Co-Pro Feedstock Breakdown'!H$3*'Feedstock Conversion Rates'!B$13)/12</f>
        <v>93.75</v>
      </c>
      <c r="I320" s="106">
        <f t="shared" si="54"/>
        <v>93.75</v>
      </c>
      <c r="J320" s="104">
        <f>('Co-Processing'!E322*'Co-Pro Feedstock Breakdown'!J$3*'Feedstock Conversion Rates'!B$13)/12</f>
        <v>1.25</v>
      </c>
      <c r="K320" s="104">
        <f>('Co-Processing'!E322*'Co-Pro Feedstock Breakdown'!K$3*'Feedstock Conversion Rates'!B$12)/12</f>
        <v>1.2916666666666667</v>
      </c>
      <c r="L320" s="106">
        <f t="shared" si="41"/>
        <v>2.541666666666667</v>
      </c>
      <c r="N320" s="104">
        <f t="shared" si="42"/>
        <v>145.78125</v>
      </c>
      <c r="O320" s="104">
        <f t="shared" si="45"/>
        <v>20.348958333333336</v>
      </c>
      <c r="P320" s="104"/>
      <c r="Q320" s="106">
        <f t="shared" si="51"/>
        <v>166.13020833333334</v>
      </c>
      <c r="R320" s="141">
        <f t="shared" si="44"/>
        <v>0</v>
      </c>
      <c r="T320" s="110">
        <f t="shared" si="52"/>
        <v>0.87751199172335947</v>
      </c>
      <c r="U320" s="110">
        <f t="shared" si="52"/>
        <v>0.12248800827664044</v>
      </c>
      <c r="V320" s="110">
        <f t="shared" si="52"/>
        <v>0</v>
      </c>
      <c r="W320" s="110">
        <f t="shared" si="53"/>
        <v>0.99999999999999989</v>
      </c>
      <c r="Y320" s="142">
        <f>T320*'Co-Processing'!K322*'Feedstock Conversion Rates'!B$13</f>
        <v>86.275796767145351</v>
      </c>
      <c r="Z320" s="142">
        <f>U320*'Co-Processing'!K322*'Feedstock Conversion Rates'!B$12</f>
        <v>12.444284479035781</v>
      </c>
      <c r="AA320" s="142">
        <f>V320*'Co-Processing'!K322*'Feedstock Conversion Rates'!B$14</f>
        <v>0</v>
      </c>
      <c r="AB320" s="142">
        <f t="shared" si="55"/>
        <v>98.720081246181138</v>
      </c>
      <c r="AD320" s="142">
        <v>0</v>
      </c>
      <c r="AE320" s="142">
        <v>0</v>
      </c>
      <c r="AF320" s="142">
        <v>0</v>
      </c>
      <c r="AG320" s="142">
        <v>0</v>
      </c>
      <c r="AH320" s="142">
        <v>0</v>
      </c>
    </row>
    <row r="321" spans="1:34" x14ac:dyDescent="0.25">
      <c r="A321" s="96">
        <v>48488</v>
      </c>
      <c r="B321" s="104">
        <f t="shared" si="46"/>
        <v>25</v>
      </c>
      <c r="C321" s="104">
        <f>('Co-Processing'!B323*'Co-Pro Feedstock Breakdown'!C$3*'Feedstock Conversion Rates'!B$12)/12-10-15</f>
        <v>10.520833333333336</v>
      </c>
      <c r="D321" s="106">
        <f t="shared" si="49"/>
        <v>35.520833333333336</v>
      </c>
      <c r="E321" s="104">
        <f>('Co-Processing'!C323*'Co-Pro Feedstock Breakdown'!E$3*'Feedstock Conversion Rates'!B$13)/12</f>
        <v>25.78125</v>
      </c>
      <c r="F321" s="104">
        <f>('Co-Processing'!C323*'Co-Pro Feedstock Breakdown'!F$3*'Feedstock Conversion Rates'!B$14)/12</f>
        <v>8.5364583333333339</v>
      </c>
      <c r="G321" s="106">
        <f t="shared" si="50"/>
        <v>34.317708333333336</v>
      </c>
      <c r="H321" s="104">
        <f>('Co-Processing'!D323*'Co-Pro Feedstock Breakdown'!H$3*'Feedstock Conversion Rates'!B$13)/12</f>
        <v>93.75</v>
      </c>
      <c r="I321" s="106">
        <f t="shared" si="54"/>
        <v>93.75</v>
      </c>
      <c r="J321" s="104">
        <f>('Co-Processing'!E323*'Co-Pro Feedstock Breakdown'!J$3*'Feedstock Conversion Rates'!B$13)/12</f>
        <v>1.25</v>
      </c>
      <c r="K321" s="104">
        <f>('Co-Processing'!E323*'Co-Pro Feedstock Breakdown'!K$3*'Feedstock Conversion Rates'!B$12)/12</f>
        <v>1.2916666666666667</v>
      </c>
      <c r="L321" s="106">
        <f t="shared" si="41"/>
        <v>2.541666666666667</v>
      </c>
      <c r="N321" s="104">
        <f t="shared" si="42"/>
        <v>145.78125</v>
      </c>
      <c r="O321" s="104">
        <f t="shared" si="45"/>
        <v>20.348958333333336</v>
      </c>
      <c r="P321" s="104"/>
      <c r="Q321" s="106">
        <f t="shared" si="51"/>
        <v>166.13020833333334</v>
      </c>
      <c r="R321" s="141">
        <f t="shared" si="44"/>
        <v>0</v>
      </c>
      <c r="T321" s="110">
        <f t="shared" si="52"/>
        <v>0.87751199172335947</v>
      </c>
      <c r="U321" s="110">
        <f t="shared" si="52"/>
        <v>0.12248800827664044</v>
      </c>
      <c r="V321" s="110">
        <f t="shared" si="52"/>
        <v>0</v>
      </c>
      <c r="W321" s="110">
        <f t="shared" si="53"/>
        <v>0.99999999999999989</v>
      </c>
      <c r="Y321" s="142">
        <f>T321*'Co-Processing'!K323*'Feedstock Conversion Rates'!B$13</f>
        <v>69.24036397602589</v>
      </c>
      <c r="Z321" s="142">
        <f>U321*'Co-Processing'!K323*'Feedstock Conversion Rates'!B$12</f>
        <v>9.9871205950748223</v>
      </c>
      <c r="AA321" s="142">
        <f>V321*'Co-Processing'!K323*'Feedstock Conversion Rates'!B$14</f>
        <v>0</v>
      </c>
      <c r="AB321" s="142">
        <f t="shared" si="55"/>
        <v>79.227484571100717</v>
      </c>
      <c r="AD321" s="142">
        <v>0</v>
      </c>
      <c r="AE321" s="142">
        <v>0</v>
      </c>
      <c r="AF321" s="142">
        <v>0</v>
      </c>
      <c r="AG321" s="142">
        <v>0</v>
      </c>
      <c r="AH321" s="142">
        <v>0</v>
      </c>
    </row>
    <row r="322" spans="1:34" x14ac:dyDescent="0.25">
      <c r="A322" s="96">
        <v>48519</v>
      </c>
      <c r="B322" s="104">
        <f t="shared" si="46"/>
        <v>25</v>
      </c>
      <c r="C322" s="104">
        <f>('Co-Processing'!B324*'Co-Pro Feedstock Breakdown'!C$3*'Feedstock Conversion Rates'!B$12)/12-10-15</f>
        <v>10.520833333333336</v>
      </c>
      <c r="D322" s="106">
        <f t="shared" si="49"/>
        <v>35.520833333333336</v>
      </c>
      <c r="E322" s="104">
        <f>('Co-Processing'!C324*'Co-Pro Feedstock Breakdown'!E$3*'Feedstock Conversion Rates'!B$13)/12</f>
        <v>25.78125</v>
      </c>
      <c r="F322" s="104">
        <f>('Co-Processing'!C324*'Co-Pro Feedstock Breakdown'!F$3*'Feedstock Conversion Rates'!B$14)/12</f>
        <v>8.5364583333333339</v>
      </c>
      <c r="G322" s="106">
        <f t="shared" si="50"/>
        <v>34.317708333333336</v>
      </c>
      <c r="H322" s="104">
        <f>('Co-Processing'!D324*'Co-Pro Feedstock Breakdown'!H$3*'Feedstock Conversion Rates'!B$13)/12</f>
        <v>93.75</v>
      </c>
      <c r="I322" s="106">
        <f t="shared" si="54"/>
        <v>93.75</v>
      </c>
      <c r="J322" s="104">
        <f>('Co-Processing'!E324*'Co-Pro Feedstock Breakdown'!J$3*'Feedstock Conversion Rates'!B$13)/12</f>
        <v>1.25</v>
      </c>
      <c r="K322" s="104">
        <f>('Co-Processing'!E324*'Co-Pro Feedstock Breakdown'!K$3*'Feedstock Conversion Rates'!B$12)/12</f>
        <v>1.2916666666666667</v>
      </c>
      <c r="L322" s="106">
        <f t="shared" si="41"/>
        <v>2.541666666666667</v>
      </c>
      <c r="N322" s="104">
        <f t="shared" si="42"/>
        <v>145.78125</v>
      </c>
      <c r="O322" s="104">
        <f t="shared" si="45"/>
        <v>20.348958333333336</v>
      </c>
      <c r="P322" s="104"/>
      <c r="Q322" s="106">
        <f t="shared" si="51"/>
        <v>166.13020833333334</v>
      </c>
      <c r="R322" s="141">
        <f t="shared" si="44"/>
        <v>0</v>
      </c>
      <c r="T322" s="110">
        <f t="shared" si="52"/>
        <v>0.87751199172335947</v>
      </c>
      <c r="U322" s="110">
        <f t="shared" si="52"/>
        <v>0.12248800827664044</v>
      </c>
      <c r="V322" s="110">
        <f t="shared" si="52"/>
        <v>0</v>
      </c>
      <c r="W322" s="110">
        <f t="shared" si="53"/>
        <v>0.99999999999999989</v>
      </c>
      <c r="Y322" s="142">
        <f>T322*'Co-Processing'!K324*'Feedstock Conversion Rates'!B$13</f>
        <v>70.005848694013196</v>
      </c>
      <c r="Z322" s="142">
        <f>U322*'Co-Processing'!K324*'Feedstock Conversion Rates'!B$12</f>
        <v>10.097532900170057</v>
      </c>
      <c r="AA322" s="142">
        <f>V322*'Co-Processing'!K324*'Feedstock Conversion Rates'!B$14</f>
        <v>0</v>
      </c>
      <c r="AB322" s="142">
        <f t="shared" si="55"/>
        <v>80.103381594183247</v>
      </c>
      <c r="AD322" s="142">
        <v>0</v>
      </c>
      <c r="AE322" s="142">
        <v>0</v>
      </c>
      <c r="AF322" s="142">
        <v>0</v>
      </c>
      <c r="AG322" s="142">
        <v>0</v>
      </c>
      <c r="AH322" s="142">
        <v>0</v>
      </c>
    </row>
    <row r="323" spans="1:34" x14ac:dyDescent="0.25">
      <c r="A323" s="96">
        <v>48549</v>
      </c>
      <c r="B323" s="104">
        <f t="shared" si="46"/>
        <v>25</v>
      </c>
      <c r="C323" s="104">
        <f>('Co-Processing'!B325*'Co-Pro Feedstock Breakdown'!C$3*'Feedstock Conversion Rates'!B$12)/12-10-15</f>
        <v>10.520833333333336</v>
      </c>
      <c r="D323" s="106">
        <f t="shared" si="49"/>
        <v>35.520833333333336</v>
      </c>
      <c r="E323" s="104">
        <f>('Co-Processing'!C325*'Co-Pro Feedstock Breakdown'!E$3*'Feedstock Conversion Rates'!B$13)/12</f>
        <v>25.78125</v>
      </c>
      <c r="F323" s="104">
        <f>('Co-Processing'!C325*'Co-Pro Feedstock Breakdown'!F$3*'Feedstock Conversion Rates'!B$14)/12</f>
        <v>8.5364583333333339</v>
      </c>
      <c r="G323" s="106">
        <f t="shared" si="50"/>
        <v>34.317708333333336</v>
      </c>
      <c r="H323" s="104">
        <f>('Co-Processing'!D325*'Co-Pro Feedstock Breakdown'!H$3*'Feedstock Conversion Rates'!B$13)/12</f>
        <v>93.75</v>
      </c>
      <c r="I323" s="106">
        <f t="shared" si="54"/>
        <v>93.75</v>
      </c>
      <c r="J323" s="104">
        <f>('Co-Processing'!E325*'Co-Pro Feedstock Breakdown'!J$3*'Feedstock Conversion Rates'!B$13)/12</f>
        <v>1.25</v>
      </c>
      <c r="K323" s="104">
        <f>('Co-Processing'!E325*'Co-Pro Feedstock Breakdown'!K$3*'Feedstock Conversion Rates'!B$12)/12</f>
        <v>1.2916666666666667</v>
      </c>
      <c r="L323" s="106">
        <f t="shared" si="41"/>
        <v>2.541666666666667</v>
      </c>
      <c r="N323" s="104">
        <f t="shared" si="42"/>
        <v>145.78125</v>
      </c>
      <c r="O323" s="104">
        <f t="shared" si="45"/>
        <v>20.348958333333336</v>
      </c>
      <c r="P323" s="104"/>
      <c r="Q323" s="106">
        <f t="shared" si="51"/>
        <v>166.13020833333334</v>
      </c>
      <c r="R323" s="141">
        <f t="shared" si="44"/>
        <v>0</v>
      </c>
      <c r="T323" s="110">
        <f t="shared" si="52"/>
        <v>0.87751199172335947</v>
      </c>
      <c r="U323" s="110">
        <f t="shared" si="52"/>
        <v>0.12248800827664044</v>
      </c>
      <c r="V323" s="110">
        <f t="shared" si="52"/>
        <v>0</v>
      </c>
      <c r="W323" s="110">
        <f t="shared" si="53"/>
        <v>0.99999999999999989</v>
      </c>
      <c r="Y323" s="142">
        <f>T323*'Co-Processing'!K325*'Feedstock Conversion Rates'!B$13</f>
        <v>71.588391909629053</v>
      </c>
      <c r="Z323" s="142">
        <f>U323*'Co-Processing'!K325*'Feedstock Conversion Rates'!B$12</f>
        <v>10.32579643077116</v>
      </c>
      <c r="AA323" s="142">
        <f>V323*'Co-Processing'!K325*'Feedstock Conversion Rates'!B$14</f>
        <v>0</v>
      </c>
      <c r="AB323" s="142">
        <f t="shared" si="55"/>
        <v>81.914188340400216</v>
      </c>
      <c r="AD323" s="142">
        <v>0</v>
      </c>
      <c r="AE323" s="142">
        <v>0</v>
      </c>
      <c r="AF323" s="142">
        <v>0</v>
      </c>
      <c r="AG323" s="142">
        <v>0</v>
      </c>
      <c r="AH323" s="142">
        <v>0</v>
      </c>
    </row>
    <row r="324" spans="1:34" x14ac:dyDescent="0.25">
      <c r="A324" s="96">
        <v>48580</v>
      </c>
      <c r="B324" s="104">
        <f t="shared" si="46"/>
        <v>25</v>
      </c>
      <c r="C324" s="104">
        <f>('Co-Processing'!B326*'Co-Pro Feedstock Breakdown'!C$3*'Feedstock Conversion Rates'!B$12)/12-10-15</f>
        <v>10.520833333333336</v>
      </c>
      <c r="D324" s="106">
        <f t="shared" si="49"/>
        <v>35.520833333333336</v>
      </c>
      <c r="E324" s="104">
        <f>('Co-Processing'!C326*'Co-Pro Feedstock Breakdown'!E$3*'Feedstock Conversion Rates'!B$13)/12</f>
        <v>25.78125</v>
      </c>
      <c r="F324" s="104">
        <f>('Co-Processing'!C326*'Co-Pro Feedstock Breakdown'!F$3*'Feedstock Conversion Rates'!B$14)/12</f>
        <v>8.5364583333333339</v>
      </c>
      <c r="G324" s="106">
        <f t="shared" si="50"/>
        <v>34.317708333333336</v>
      </c>
      <c r="H324" s="104">
        <f>('Co-Processing'!D326*'Co-Pro Feedstock Breakdown'!H$3*'Feedstock Conversion Rates'!B$13)/12</f>
        <v>93.75</v>
      </c>
      <c r="I324" s="106">
        <f t="shared" si="54"/>
        <v>93.75</v>
      </c>
      <c r="J324" s="104">
        <f>('Co-Processing'!E326*'Co-Pro Feedstock Breakdown'!J$3*'Feedstock Conversion Rates'!B$13)/12</f>
        <v>1.25</v>
      </c>
      <c r="K324" s="104">
        <f>('Co-Processing'!E326*'Co-Pro Feedstock Breakdown'!K$3*'Feedstock Conversion Rates'!B$12)/12</f>
        <v>1.2916666666666667</v>
      </c>
      <c r="L324" s="106">
        <f t="shared" si="41"/>
        <v>2.541666666666667</v>
      </c>
      <c r="N324" s="104">
        <f t="shared" si="42"/>
        <v>145.78125</v>
      </c>
      <c r="O324" s="104">
        <f t="shared" si="45"/>
        <v>20.348958333333336</v>
      </c>
      <c r="P324" s="104"/>
      <c r="Q324" s="106">
        <f t="shared" si="51"/>
        <v>166.13020833333334</v>
      </c>
      <c r="R324" s="141">
        <f t="shared" si="44"/>
        <v>0</v>
      </c>
      <c r="T324" s="110">
        <f t="shared" si="52"/>
        <v>0.87751199172335947</v>
      </c>
      <c r="U324" s="110">
        <f t="shared" si="52"/>
        <v>0.12248800827664044</v>
      </c>
      <c r="V324" s="110">
        <f t="shared" si="52"/>
        <v>0</v>
      </c>
      <c r="W324" s="110">
        <f t="shared" si="53"/>
        <v>0.99999999999999989</v>
      </c>
      <c r="Y324" s="142">
        <f>T324*'Co-Processing'!K326*'Feedstock Conversion Rates'!B$13</f>
        <v>64.173791544314639</v>
      </c>
      <c r="Z324" s="142">
        <f>U324*'Co-Processing'!K326*'Feedstock Conversion Rates'!B$12</f>
        <v>9.2563262003962823</v>
      </c>
      <c r="AA324" s="142">
        <f>V324*'Co-Processing'!K326*'Feedstock Conversion Rates'!B$14</f>
        <v>0</v>
      </c>
      <c r="AB324" s="142">
        <f t="shared" si="55"/>
        <v>73.430117744710927</v>
      </c>
      <c r="AD324" s="142">
        <v>0</v>
      </c>
      <c r="AE324" s="142">
        <v>0</v>
      </c>
      <c r="AF324" s="142">
        <v>0</v>
      </c>
      <c r="AG324" s="142">
        <v>0</v>
      </c>
      <c r="AH324" s="142">
        <v>0</v>
      </c>
    </row>
    <row r="325" spans="1:34" x14ac:dyDescent="0.25">
      <c r="A325" s="96">
        <v>48611</v>
      </c>
      <c r="B325" s="104">
        <f t="shared" si="46"/>
        <v>25</v>
      </c>
      <c r="C325" s="104">
        <f>('Co-Processing'!B327*'Co-Pro Feedstock Breakdown'!C$3*'Feedstock Conversion Rates'!B$12)/12-10-15</f>
        <v>10.520833333333336</v>
      </c>
      <c r="D325" s="106">
        <f t="shared" si="49"/>
        <v>35.520833333333336</v>
      </c>
      <c r="E325" s="104">
        <f>('Co-Processing'!C327*'Co-Pro Feedstock Breakdown'!E$3*'Feedstock Conversion Rates'!B$13)/12</f>
        <v>25.78125</v>
      </c>
      <c r="F325" s="104">
        <f>('Co-Processing'!C327*'Co-Pro Feedstock Breakdown'!F$3*'Feedstock Conversion Rates'!B$14)/12</f>
        <v>8.5364583333333339</v>
      </c>
      <c r="G325" s="106">
        <f t="shared" si="50"/>
        <v>34.317708333333336</v>
      </c>
      <c r="H325" s="104">
        <f>('Co-Processing'!D327*'Co-Pro Feedstock Breakdown'!H$3*'Feedstock Conversion Rates'!B$13)/12</f>
        <v>93.75</v>
      </c>
      <c r="I325" s="106">
        <f t="shared" si="54"/>
        <v>93.75</v>
      </c>
      <c r="J325" s="104">
        <f>('Co-Processing'!E327*'Co-Pro Feedstock Breakdown'!J$3*'Feedstock Conversion Rates'!B$13)/12</f>
        <v>1.25</v>
      </c>
      <c r="K325" s="104">
        <f>('Co-Processing'!E327*'Co-Pro Feedstock Breakdown'!K$3*'Feedstock Conversion Rates'!B$12)/12</f>
        <v>1.2916666666666667</v>
      </c>
      <c r="L325" s="106">
        <f t="shared" ref="L325:L388" si="56">SUM(J325:K325)</f>
        <v>2.541666666666667</v>
      </c>
      <c r="N325" s="104">
        <f t="shared" ref="N325:N388" si="57">E325+H325+J325+B325</f>
        <v>145.78125</v>
      </c>
      <c r="O325" s="104">
        <f t="shared" si="45"/>
        <v>20.348958333333336</v>
      </c>
      <c r="P325" s="104"/>
      <c r="Q325" s="106">
        <f t="shared" si="51"/>
        <v>166.13020833333334</v>
      </c>
      <c r="R325" s="141">
        <f t="shared" ref="R325:R388" si="58">D325+G325+I325+L325-Q325</f>
        <v>0</v>
      </c>
      <c r="T325" s="110">
        <f t="shared" si="52"/>
        <v>0.87751199172335947</v>
      </c>
      <c r="U325" s="110">
        <f t="shared" si="52"/>
        <v>0.12248800827664044</v>
      </c>
      <c r="V325" s="110">
        <f t="shared" si="52"/>
        <v>0</v>
      </c>
      <c r="W325" s="110">
        <f t="shared" si="53"/>
        <v>0.99999999999999989</v>
      </c>
      <c r="Y325" s="142">
        <f>T325*'Co-Processing'!K327*'Feedstock Conversion Rates'!B$13</f>
        <v>50.039578029453018</v>
      </c>
      <c r="Z325" s="142">
        <f>U325*'Co-Processing'!K327*'Feedstock Conversion Rates'!B$12</f>
        <v>7.2176295965145432</v>
      </c>
      <c r="AA325" s="142">
        <f>V325*'Co-Processing'!K327*'Feedstock Conversion Rates'!B$14</f>
        <v>0</v>
      </c>
      <c r="AB325" s="142">
        <f t="shared" si="55"/>
        <v>57.25720762596756</v>
      </c>
      <c r="AD325" s="142">
        <v>0</v>
      </c>
      <c r="AE325" s="142">
        <v>0</v>
      </c>
      <c r="AF325" s="142">
        <v>0</v>
      </c>
      <c r="AG325" s="142">
        <v>0</v>
      </c>
      <c r="AH325" s="142">
        <v>0</v>
      </c>
    </row>
    <row r="326" spans="1:34" x14ac:dyDescent="0.25">
      <c r="A326" s="96">
        <v>48639</v>
      </c>
      <c r="B326" s="104">
        <f t="shared" si="46"/>
        <v>25</v>
      </c>
      <c r="C326" s="104">
        <f>('Co-Processing'!B328*'Co-Pro Feedstock Breakdown'!C$3*'Feedstock Conversion Rates'!B$12)/12-10-15</f>
        <v>10.520833333333336</v>
      </c>
      <c r="D326" s="106">
        <f t="shared" si="49"/>
        <v>35.520833333333336</v>
      </c>
      <c r="E326" s="104">
        <f>('Co-Processing'!C328*'Co-Pro Feedstock Breakdown'!E$3*'Feedstock Conversion Rates'!B$13)/12</f>
        <v>25.78125</v>
      </c>
      <c r="F326" s="104">
        <f>('Co-Processing'!C328*'Co-Pro Feedstock Breakdown'!F$3*'Feedstock Conversion Rates'!B$14)/12</f>
        <v>8.5364583333333339</v>
      </c>
      <c r="G326" s="106">
        <f t="shared" si="50"/>
        <v>34.317708333333336</v>
      </c>
      <c r="H326" s="104">
        <f>('Co-Processing'!D328*'Co-Pro Feedstock Breakdown'!H$3*'Feedstock Conversion Rates'!B$13)/12</f>
        <v>93.75</v>
      </c>
      <c r="I326" s="106">
        <f t="shared" si="54"/>
        <v>93.75</v>
      </c>
      <c r="J326" s="104">
        <f>('Co-Processing'!E328*'Co-Pro Feedstock Breakdown'!J$3*'Feedstock Conversion Rates'!B$13)/12</f>
        <v>1.25</v>
      </c>
      <c r="K326" s="104">
        <f>('Co-Processing'!E328*'Co-Pro Feedstock Breakdown'!K$3*'Feedstock Conversion Rates'!B$12)/12</f>
        <v>1.2916666666666667</v>
      </c>
      <c r="L326" s="106">
        <f t="shared" si="56"/>
        <v>2.541666666666667</v>
      </c>
      <c r="N326" s="104">
        <f t="shared" si="57"/>
        <v>145.78125</v>
      </c>
      <c r="O326" s="104">
        <f t="shared" si="45"/>
        <v>20.348958333333336</v>
      </c>
      <c r="P326" s="104"/>
      <c r="Q326" s="106">
        <f t="shared" si="51"/>
        <v>166.13020833333334</v>
      </c>
      <c r="R326" s="141">
        <f t="shared" si="58"/>
        <v>0</v>
      </c>
      <c r="T326" s="110">
        <f t="shared" si="52"/>
        <v>0.87751199172335947</v>
      </c>
      <c r="U326" s="110">
        <f t="shared" si="52"/>
        <v>0.12248800827664044</v>
      </c>
      <c r="V326" s="110">
        <f t="shared" si="52"/>
        <v>0</v>
      </c>
      <c r="W326" s="110">
        <f t="shared" si="53"/>
        <v>0.99999999999999989</v>
      </c>
      <c r="Y326" s="142">
        <f>T326*'Co-Processing'!K328*'Feedstock Conversion Rates'!B$13</f>
        <v>83.079719621712172</v>
      </c>
      <c r="Z326" s="142">
        <f>U326*'Co-Processing'!K328*'Feedstock Conversion Rates'!B$12</f>
        <v>11.983287366229504</v>
      </c>
      <c r="AA326" s="142">
        <f>V326*'Co-Processing'!K328*'Feedstock Conversion Rates'!B$14</f>
        <v>0</v>
      </c>
      <c r="AB326" s="142">
        <f t="shared" si="55"/>
        <v>95.063006987941677</v>
      </c>
      <c r="AD326" s="142">
        <v>0</v>
      </c>
      <c r="AE326" s="142">
        <v>0</v>
      </c>
      <c r="AF326" s="142">
        <v>0</v>
      </c>
      <c r="AG326" s="142">
        <v>0</v>
      </c>
      <c r="AH326" s="142">
        <v>0</v>
      </c>
    </row>
    <row r="327" spans="1:34" x14ac:dyDescent="0.25">
      <c r="A327" s="96">
        <v>48670</v>
      </c>
      <c r="B327" s="104">
        <f t="shared" si="46"/>
        <v>25</v>
      </c>
      <c r="C327" s="104">
        <f>('Co-Processing'!B329*'Co-Pro Feedstock Breakdown'!C$3*'Feedstock Conversion Rates'!B$12)/12-10-15</f>
        <v>10.520833333333336</v>
      </c>
      <c r="D327" s="106">
        <f t="shared" si="49"/>
        <v>35.520833333333336</v>
      </c>
      <c r="E327" s="104">
        <f>('Co-Processing'!C329*'Co-Pro Feedstock Breakdown'!E$3*'Feedstock Conversion Rates'!B$13)/12</f>
        <v>25.78125</v>
      </c>
      <c r="F327" s="104">
        <f>('Co-Processing'!C329*'Co-Pro Feedstock Breakdown'!F$3*'Feedstock Conversion Rates'!B$14)/12</f>
        <v>8.5364583333333339</v>
      </c>
      <c r="G327" s="106">
        <f t="shared" si="50"/>
        <v>34.317708333333336</v>
      </c>
      <c r="H327" s="104">
        <f>('Co-Processing'!D329*'Co-Pro Feedstock Breakdown'!H$3*'Feedstock Conversion Rates'!B$13)/12</f>
        <v>93.75</v>
      </c>
      <c r="I327" s="106">
        <f t="shared" si="54"/>
        <v>93.75</v>
      </c>
      <c r="J327" s="104">
        <f>('Co-Processing'!E329*'Co-Pro Feedstock Breakdown'!J$3*'Feedstock Conversion Rates'!B$13)/12</f>
        <v>1.25</v>
      </c>
      <c r="K327" s="104">
        <f>('Co-Processing'!E329*'Co-Pro Feedstock Breakdown'!K$3*'Feedstock Conversion Rates'!B$12)/12</f>
        <v>1.2916666666666667</v>
      </c>
      <c r="L327" s="106">
        <f t="shared" si="56"/>
        <v>2.541666666666667</v>
      </c>
      <c r="N327" s="104">
        <f t="shared" si="57"/>
        <v>145.78125</v>
      </c>
      <c r="O327" s="104">
        <f t="shared" si="45"/>
        <v>20.348958333333336</v>
      </c>
      <c r="P327" s="104"/>
      <c r="Q327" s="106">
        <f t="shared" si="51"/>
        <v>166.13020833333334</v>
      </c>
      <c r="R327" s="141">
        <f t="shared" si="58"/>
        <v>0</v>
      </c>
      <c r="T327" s="110">
        <f t="shared" si="52"/>
        <v>0.87751199172335947</v>
      </c>
      <c r="U327" s="110">
        <f t="shared" si="52"/>
        <v>0.12248800827664044</v>
      </c>
      <c r="V327" s="110">
        <f t="shared" si="52"/>
        <v>0</v>
      </c>
      <c r="W327" s="110">
        <f t="shared" si="53"/>
        <v>0.99999999999999989</v>
      </c>
      <c r="Y327" s="142">
        <f>T327*'Co-Processing'!K329*'Feedstock Conversion Rates'!B$13</f>
        <v>53.836160735400654</v>
      </c>
      <c r="Z327" s="142">
        <f>U327*'Co-Processing'!K329*'Feedstock Conversion Rates'!B$12</f>
        <v>7.7652426816595481</v>
      </c>
      <c r="AA327" s="142">
        <f>V327*'Co-Processing'!K329*'Feedstock Conversion Rates'!B$14</f>
        <v>0</v>
      </c>
      <c r="AB327" s="142">
        <f t="shared" si="55"/>
        <v>61.601403417060205</v>
      </c>
      <c r="AD327" s="142">
        <v>0</v>
      </c>
      <c r="AE327" s="142">
        <v>0</v>
      </c>
      <c r="AF327" s="142">
        <v>0</v>
      </c>
      <c r="AG327" s="142">
        <v>0</v>
      </c>
      <c r="AH327" s="142">
        <v>0</v>
      </c>
    </row>
    <row r="328" spans="1:34" x14ac:dyDescent="0.25">
      <c r="A328" s="96">
        <v>48700</v>
      </c>
      <c r="B328" s="104">
        <f t="shared" si="46"/>
        <v>25</v>
      </c>
      <c r="C328" s="104">
        <f>('Co-Processing'!B330*'Co-Pro Feedstock Breakdown'!C$3*'Feedstock Conversion Rates'!B$12)/12-10-15</f>
        <v>10.520833333333336</v>
      </c>
      <c r="D328" s="106">
        <f t="shared" si="49"/>
        <v>35.520833333333336</v>
      </c>
      <c r="E328" s="104">
        <f>('Co-Processing'!C330*'Co-Pro Feedstock Breakdown'!E$3*'Feedstock Conversion Rates'!B$13)/12</f>
        <v>25.78125</v>
      </c>
      <c r="F328" s="104">
        <f>('Co-Processing'!C330*'Co-Pro Feedstock Breakdown'!F$3*'Feedstock Conversion Rates'!B$14)/12</f>
        <v>8.5364583333333339</v>
      </c>
      <c r="G328" s="106">
        <f t="shared" si="50"/>
        <v>34.317708333333336</v>
      </c>
      <c r="H328" s="104">
        <f>('Co-Processing'!D330*'Co-Pro Feedstock Breakdown'!H$3*'Feedstock Conversion Rates'!B$13)/12</f>
        <v>93.75</v>
      </c>
      <c r="I328" s="106">
        <f t="shared" si="54"/>
        <v>93.75</v>
      </c>
      <c r="J328" s="104">
        <f>('Co-Processing'!E330*'Co-Pro Feedstock Breakdown'!J$3*'Feedstock Conversion Rates'!B$13)/12</f>
        <v>1.25</v>
      </c>
      <c r="K328" s="104">
        <f>('Co-Processing'!E330*'Co-Pro Feedstock Breakdown'!K$3*'Feedstock Conversion Rates'!B$12)/12</f>
        <v>1.2916666666666667</v>
      </c>
      <c r="L328" s="106">
        <f t="shared" si="56"/>
        <v>2.541666666666667</v>
      </c>
      <c r="N328" s="104">
        <f t="shared" si="57"/>
        <v>145.78125</v>
      </c>
      <c r="O328" s="104">
        <f t="shared" si="45"/>
        <v>20.348958333333336</v>
      </c>
      <c r="P328" s="104"/>
      <c r="Q328" s="106">
        <f t="shared" si="51"/>
        <v>166.13020833333334</v>
      </c>
      <c r="R328" s="141">
        <f t="shared" si="58"/>
        <v>0</v>
      </c>
      <c r="T328" s="110">
        <f t="shared" si="52"/>
        <v>0.87751199172335947</v>
      </c>
      <c r="U328" s="110">
        <f t="shared" si="52"/>
        <v>0.12248800827664044</v>
      </c>
      <c r="V328" s="110">
        <f t="shared" si="52"/>
        <v>0</v>
      </c>
      <c r="W328" s="110">
        <f t="shared" si="53"/>
        <v>0.99999999999999989</v>
      </c>
      <c r="Y328" s="142">
        <f>T328*'Co-Processing'!K330*'Feedstock Conversion Rates'!B$13</f>
        <v>58.894494118543626</v>
      </c>
      <c r="Z328" s="142">
        <f>U328*'Co-Processing'!K330*'Feedstock Conversion Rates'!B$12</f>
        <v>8.494848689002799</v>
      </c>
      <c r="AA328" s="142">
        <f>V328*'Co-Processing'!K330*'Feedstock Conversion Rates'!B$14</f>
        <v>0</v>
      </c>
      <c r="AB328" s="142">
        <f t="shared" si="55"/>
        <v>67.389342807546427</v>
      </c>
      <c r="AD328" s="142">
        <v>0</v>
      </c>
      <c r="AE328" s="142">
        <v>0</v>
      </c>
      <c r="AF328" s="142">
        <v>0</v>
      </c>
      <c r="AG328" s="142">
        <v>0</v>
      </c>
      <c r="AH328" s="142">
        <v>0</v>
      </c>
    </row>
    <row r="329" spans="1:34" x14ac:dyDescent="0.25">
      <c r="A329" s="96">
        <v>48731</v>
      </c>
      <c r="B329" s="104">
        <f t="shared" si="46"/>
        <v>25</v>
      </c>
      <c r="C329" s="104">
        <f>('Co-Processing'!B331*'Co-Pro Feedstock Breakdown'!C$3*'Feedstock Conversion Rates'!B$12)/12-10-15</f>
        <v>10.520833333333336</v>
      </c>
      <c r="D329" s="106">
        <f t="shared" si="49"/>
        <v>35.520833333333336</v>
      </c>
      <c r="E329" s="104">
        <f>('Co-Processing'!C331*'Co-Pro Feedstock Breakdown'!E$3*'Feedstock Conversion Rates'!B$13)/12</f>
        <v>25.78125</v>
      </c>
      <c r="F329" s="104">
        <f>('Co-Processing'!C331*'Co-Pro Feedstock Breakdown'!F$3*'Feedstock Conversion Rates'!B$14)/12</f>
        <v>8.5364583333333339</v>
      </c>
      <c r="G329" s="106">
        <f t="shared" si="50"/>
        <v>34.317708333333336</v>
      </c>
      <c r="H329" s="104">
        <f>('Co-Processing'!D331*'Co-Pro Feedstock Breakdown'!H$3*'Feedstock Conversion Rates'!B$13)/12</f>
        <v>93.75</v>
      </c>
      <c r="I329" s="106">
        <f t="shared" si="54"/>
        <v>93.75</v>
      </c>
      <c r="J329" s="104">
        <f>('Co-Processing'!E331*'Co-Pro Feedstock Breakdown'!J$3*'Feedstock Conversion Rates'!B$13)/12</f>
        <v>1.25</v>
      </c>
      <c r="K329" s="104">
        <f>('Co-Processing'!E331*'Co-Pro Feedstock Breakdown'!K$3*'Feedstock Conversion Rates'!B$12)/12</f>
        <v>1.2916666666666667</v>
      </c>
      <c r="L329" s="106">
        <f t="shared" si="56"/>
        <v>2.541666666666667</v>
      </c>
      <c r="N329" s="104">
        <f t="shared" si="57"/>
        <v>145.78125</v>
      </c>
      <c r="O329" s="104">
        <f t="shared" ref="O329:O392" si="59">C329+K329+F329</f>
        <v>20.348958333333336</v>
      </c>
      <c r="P329" s="104"/>
      <c r="Q329" s="106">
        <f t="shared" si="51"/>
        <v>166.13020833333334</v>
      </c>
      <c r="R329" s="141">
        <f t="shared" si="58"/>
        <v>0</v>
      </c>
      <c r="T329" s="110">
        <f t="shared" si="52"/>
        <v>0.87751199172335947</v>
      </c>
      <c r="U329" s="110">
        <f t="shared" si="52"/>
        <v>0.12248800827664044</v>
      </c>
      <c r="V329" s="110">
        <f t="shared" si="52"/>
        <v>0</v>
      </c>
      <c r="W329" s="110">
        <f t="shared" si="53"/>
        <v>0.99999999999999989</v>
      </c>
      <c r="Y329" s="142">
        <f>T329*'Co-Processing'!K331*'Feedstock Conversion Rates'!B$13</f>
        <v>80.743387226878113</v>
      </c>
      <c r="Z329" s="142">
        <f>U329*'Co-Processing'!K331*'Feedstock Conversion Rates'!B$12</f>
        <v>11.646298476548527</v>
      </c>
      <c r="AA329" s="142">
        <f>V329*'Co-Processing'!K331*'Feedstock Conversion Rates'!B$14</f>
        <v>0</v>
      </c>
      <c r="AB329" s="142">
        <f t="shared" si="55"/>
        <v>92.389685703426636</v>
      </c>
      <c r="AD329" s="142">
        <v>0</v>
      </c>
      <c r="AE329" s="142">
        <v>0</v>
      </c>
      <c r="AF329" s="142">
        <v>0</v>
      </c>
      <c r="AG329" s="142">
        <v>0</v>
      </c>
      <c r="AH329" s="142">
        <v>0</v>
      </c>
    </row>
    <row r="330" spans="1:34" x14ac:dyDescent="0.25">
      <c r="A330" s="96">
        <v>48761</v>
      </c>
      <c r="B330" s="104">
        <f t="shared" ref="B330:B393" si="60">10+15</f>
        <v>25</v>
      </c>
      <c r="C330" s="104">
        <f>('Co-Processing'!B332*'Co-Pro Feedstock Breakdown'!C$3*'Feedstock Conversion Rates'!B$12)/12-10-15</f>
        <v>10.520833333333336</v>
      </c>
      <c r="D330" s="106">
        <f t="shared" si="49"/>
        <v>35.520833333333336</v>
      </c>
      <c r="E330" s="104">
        <f>('Co-Processing'!C332*'Co-Pro Feedstock Breakdown'!E$3*'Feedstock Conversion Rates'!B$13)/12</f>
        <v>25.78125</v>
      </c>
      <c r="F330" s="104">
        <f>('Co-Processing'!C332*'Co-Pro Feedstock Breakdown'!F$3*'Feedstock Conversion Rates'!B$14)/12</f>
        <v>8.5364583333333339</v>
      </c>
      <c r="G330" s="106">
        <f t="shared" si="50"/>
        <v>34.317708333333336</v>
      </c>
      <c r="H330" s="104">
        <f>('Co-Processing'!D332*'Co-Pro Feedstock Breakdown'!H$3*'Feedstock Conversion Rates'!B$13)/12</f>
        <v>93.75</v>
      </c>
      <c r="I330" s="106">
        <f t="shared" si="54"/>
        <v>93.75</v>
      </c>
      <c r="J330" s="104">
        <f>('Co-Processing'!E332*'Co-Pro Feedstock Breakdown'!J$3*'Feedstock Conversion Rates'!B$13)/12</f>
        <v>1.25</v>
      </c>
      <c r="K330" s="104">
        <f>('Co-Processing'!E332*'Co-Pro Feedstock Breakdown'!K$3*'Feedstock Conversion Rates'!B$12)/12</f>
        <v>1.2916666666666667</v>
      </c>
      <c r="L330" s="106">
        <f t="shared" si="56"/>
        <v>2.541666666666667</v>
      </c>
      <c r="N330" s="104">
        <f t="shared" si="57"/>
        <v>145.78125</v>
      </c>
      <c r="O330" s="104">
        <f t="shared" si="59"/>
        <v>20.348958333333336</v>
      </c>
      <c r="P330" s="104"/>
      <c r="Q330" s="106">
        <f t="shared" si="51"/>
        <v>166.13020833333334</v>
      </c>
      <c r="R330" s="141">
        <f t="shared" si="58"/>
        <v>0</v>
      </c>
      <c r="T330" s="110">
        <f t="shared" si="52"/>
        <v>0.87751199172335947</v>
      </c>
      <c r="U330" s="110">
        <f t="shared" si="52"/>
        <v>0.12248800827664044</v>
      </c>
      <c r="V330" s="110">
        <f t="shared" si="52"/>
        <v>0</v>
      </c>
      <c r="W330" s="110">
        <f t="shared" si="53"/>
        <v>0.99999999999999989</v>
      </c>
      <c r="Y330" s="142">
        <f>T330*'Co-Processing'!K332*'Feedstock Conversion Rates'!B$13</f>
        <v>67.168504205080325</v>
      </c>
      <c r="Z330" s="142">
        <f>U330*'Co-Processing'!K332*'Feedstock Conversion Rates'!B$12</f>
        <v>9.6882788183955153</v>
      </c>
      <c r="AA330" s="142">
        <f>V330*'Co-Processing'!K332*'Feedstock Conversion Rates'!B$14</f>
        <v>0</v>
      </c>
      <c r="AB330" s="142">
        <f t="shared" si="55"/>
        <v>76.856783023475842</v>
      </c>
      <c r="AD330" s="142">
        <v>0</v>
      </c>
      <c r="AE330" s="142">
        <v>0</v>
      </c>
      <c r="AF330" s="142">
        <v>0</v>
      </c>
      <c r="AG330" s="142">
        <v>0</v>
      </c>
      <c r="AH330" s="142">
        <v>0</v>
      </c>
    </row>
    <row r="331" spans="1:34" x14ac:dyDescent="0.25">
      <c r="A331" s="96">
        <v>48792</v>
      </c>
      <c r="B331" s="104">
        <f t="shared" si="60"/>
        <v>25</v>
      </c>
      <c r="C331" s="104">
        <f>('Co-Processing'!B333*'Co-Pro Feedstock Breakdown'!C$3*'Feedstock Conversion Rates'!B$12)/12-10-15</f>
        <v>10.520833333333336</v>
      </c>
      <c r="D331" s="106">
        <f t="shared" si="49"/>
        <v>35.520833333333336</v>
      </c>
      <c r="E331" s="104">
        <f>('Co-Processing'!C333*'Co-Pro Feedstock Breakdown'!E$3*'Feedstock Conversion Rates'!B$13)/12</f>
        <v>25.78125</v>
      </c>
      <c r="F331" s="104">
        <f>('Co-Processing'!C333*'Co-Pro Feedstock Breakdown'!F$3*'Feedstock Conversion Rates'!B$14)/12</f>
        <v>8.5364583333333339</v>
      </c>
      <c r="G331" s="106">
        <f t="shared" si="50"/>
        <v>34.317708333333336</v>
      </c>
      <c r="H331" s="104">
        <f>('Co-Processing'!D333*'Co-Pro Feedstock Breakdown'!H$3*'Feedstock Conversion Rates'!B$13)/12</f>
        <v>93.75</v>
      </c>
      <c r="I331" s="106">
        <f t="shared" si="54"/>
        <v>93.75</v>
      </c>
      <c r="J331" s="104">
        <f>('Co-Processing'!E333*'Co-Pro Feedstock Breakdown'!J$3*'Feedstock Conversion Rates'!B$13)/12</f>
        <v>1.25</v>
      </c>
      <c r="K331" s="104">
        <f>('Co-Processing'!E333*'Co-Pro Feedstock Breakdown'!K$3*'Feedstock Conversion Rates'!B$12)/12</f>
        <v>1.2916666666666667</v>
      </c>
      <c r="L331" s="106">
        <f t="shared" si="56"/>
        <v>2.541666666666667</v>
      </c>
      <c r="N331" s="104">
        <f t="shared" si="57"/>
        <v>145.78125</v>
      </c>
      <c r="O331" s="104">
        <f t="shared" si="59"/>
        <v>20.348958333333336</v>
      </c>
      <c r="P331" s="104"/>
      <c r="Q331" s="106">
        <f t="shared" si="51"/>
        <v>166.13020833333334</v>
      </c>
      <c r="R331" s="141">
        <f t="shared" si="58"/>
        <v>0</v>
      </c>
      <c r="T331" s="110">
        <f t="shared" si="52"/>
        <v>0.87751199172335947</v>
      </c>
      <c r="U331" s="110">
        <f t="shared" si="52"/>
        <v>0.12248800827664044</v>
      </c>
      <c r="V331" s="110">
        <f t="shared" si="52"/>
        <v>0</v>
      </c>
      <c r="W331" s="110">
        <f t="shared" si="53"/>
        <v>0.99999999999999989</v>
      </c>
      <c r="Y331" s="142">
        <f>T331*'Co-Processing'!K333*'Feedstock Conversion Rates'!B$13</f>
        <v>98.657968473999333</v>
      </c>
      <c r="Z331" s="142">
        <f>U331*'Co-Processing'!K333*'Feedstock Conversion Rates'!B$12</f>
        <v>14.230269343414765</v>
      </c>
      <c r="AA331" s="142">
        <f>V331*'Co-Processing'!K333*'Feedstock Conversion Rates'!B$14</f>
        <v>0</v>
      </c>
      <c r="AB331" s="142">
        <f t="shared" si="55"/>
        <v>112.88823781741409</v>
      </c>
      <c r="AD331" s="142">
        <v>0</v>
      </c>
      <c r="AE331" s="142">
        <v>0</v>
      </c>
      <c r="AF331" s="142">
        <v>0</v>
      </c>
      <c r="AG331" s="142">
        <v>0</v>
      </c>
      <c r="AH331" s="142">
        <v>0</v>
      </c>
    </row>
    <row r="332" spans="1:34" x14ac:dyDescent="0.25">
      <c r="A332" s="96">
        <v>48823</v>
      </c>
      <c r="B332" s="104">
        <f t="shared" si="60"/>
        <v>25</v>
      </c>
      <c r="C332" s="104">
        <f>('Co-Processing'!B334*'Co-Pro Feedstock Breakdown'!C$3*'Feedstock Conversion Rates'!B$12)/12-10-15</f>
        <v>10.520833333333336</v>
      </c>
      <c r="D332" s="106">
        <f t="shared" si="49"/>
        <v>35.520833333333336</v>
      </c>
      <c r="E332" s="104">
        <f>('Co-Processing'!C334*'Co-Pro Feedstock Breakdown'!E$3*'Feedstock Conversion Rates'!B$13)/12</f>
        <v>25.78125</v>
      </c>
      <c r="F332" s="104">
        <f>('Co-Processing'!C334*'Co-Pro Feedstock Breakdown'!F$3*'Feedstock Conversion Rates'!B$14)/12</f>
        <v>8.5364583333333339</v>
      </c>
      <c r="G332" s="106">
        <f t="shared" si="50"/>
        <v>34.317708333333336</v>
      </c>
      <c r="H332" s="104">
        <f>('Co-Processing'!D334*'Co-Pro Feedstock Breakdown'!H$3*'Feedstock Conversion Rates'!B$13)/12</f>
        <v>93.75</v>
      </c>
      <c r="I332" s="106">
        <f t="shared" si="54"/>
        <v>93.75</v>
      </c>
      <c r="J332" s="104">
        <f>('Co-Processing'!E334*'Co-Pro Feedstock Breakdown'!J$3*'Feedstock Conversion Rates'!B$13)/12</f>
        <v>1.25</v>
      </c>
      <c r="K332" s="104">
        <f>('Co-Processing'!E334*'Co-Pro Feedstock Breakdown'!K$3*'Feedstock Conversion Rates'!B$12)/12</f>
        <v>1.2916666666666667</v>
      </c>
      <c r="L332" s="106">
        <f t="shared" si="56"/>
        <v>2.541666666666667</v>
      </c>
      <c r="N332" s="104">
        <f t="shared" si="57"/>
        <v>145.78125</v>
      </c>
      <c r="O332" s="104">
        <f t="shared" si="59"/>
        <v>20.348958333333336</v>
      </c>
      <c r="P332" s="104"/>
      <c r="Q332" s="106">
        <f t="shared" si="51"/>
        <v>166.13020833333334</v>
      </c>
      <c r="R332" s="141">
        <f t="shared" si="58"/>
        <v>0</v>
      </c>
      <c r="T332" s="110">
        <f t="shared" si="52"/>
        <v>0.87751199172335947</v>
      </c>
      <c r="U332" s="110">
        <f t="shared" si="52"/>
        <v>0.12248800827664044</v>
      </c>
      <c r="V332" s="110">
        <f t="shared" si="52"/>
        <v>0</v>
      </c>
      <c r="W332" s="110">
        <f t="shared" si="53"/>
        <v>0.99999999999999989</v>
      </c>
      <c r="Y332" s="142">
        <f>T332*'Co-Processing'!K334*'Feedstock Conversion Rates'!B$13</f>
        <v>88.251277152681467</v>
      </c>
      <c r="Z332" s="142">
        <f>U332*'Co-Processing'!K334*'Feedstock Conversion Rates'!B$12</f>
        <v>12.729224645589287</v>
      </c>
      <c r="AA332" s="142">
        <f>V332*'Co-Processing'!K334*'Feedstock Conversion Rates'!B$14</f>
        <v>0</v>
      </c>
      <c r="AB332" s="142">
        <f t="shared" si="55"/>
        <v>100.98050179827075</v>
      </c>
      <c r="AD332" s="142">
        <v>0</v>
      </c>
      <c r="AE332" s="142">
        <v>0</v>
      </c>
      <c r="AF332" s="142">
        <v>0</v>
      </c>
      <c r="AG332" s="142">
        <v>0</v>
      </c>
      <c r="AH332" s="142">
        <v>0</v>
      </c>
    </row>
    <row r="333" spans="1:34" x14ac:dyDescent="0.25">
      <c r="A333" s="96">
        <v>48853</v>
      </c>
      <c r="B333" s="104">
        <f t="shared" si="60"/>
        <v>25</v>
      </c>
      <c r="C333" s="104">
        <f>('Co-Processing'!B335*'Co-Pro Feedstock Breakdown'!C$3*'Feedstock Conversion Rates'!B$12)/12-10-15</f>
        <v>10.520833333333336</v>
      </c>
      <c r="D333" s="106">
        <f t="shared" si="49"/>
        <v>35.520833333333336</v>
      </c>
      <c r="E333" s="104">
        <f>('Co-Processing'!C335*'Co-Pro Feedstock Breakdown'!E$3*'Feedstock Conversion Rates'!B$13)/12</f>
        <v>25.78125</v>
      </c>
      <c r="F333" s="104">
        <f>('Co-Processing'!C335*'Co-Pro Feedstock Breakdown'!F$3*'Feedstock Conversion Rates'!B$14)/12</f>
        <v>8.5364583333333339</v>
      </c>
      <c r="G333" s="106">
        <f t="shared" si="50"/>
        <v>34.317708333333336</v>
      </c>
      <c r="H333" s="104">
        <f>('Co-Processing'!D335*'Co-Pro Feedstock Breakdown'!H$3*'Feedstock Conversion Rates'!B$13)/12</f>
        <v>93.75</v>
      </c>
      <c r="I333" s="106">
        <f t="shared" si="54"/>
        <v>93.75</v>
      </c>
      <c r="J333" s="104">
        <f>('Co-Processing'!E335*'Co-Pro Feedstock Breakdown'!J$3*'Feedstock Conversion Rates'!B$13)/12</f>
        <v>1.25</v>
      </c>
      <c r="K333" s="104">
        <f>('Co-Processing'!E335*'Co-Pro Feedstock Breakdown'!K$3*'Feedstock Conversion Rates'!B$12)/12</f>
        <v>1.2916666666666667</v>
      </c>
      <c r="L333" s="106">
        <f t="shared" si="56"/>
        <v>2.541666666666667</v>
      </c>
      <c r="N333" s="104">
        <f t="shared" si="57"/>
        <v>145.78125</v>
      </c>
      <c r="O333" s="104">
        <f t="shared" si="59"/>
        <v>20.348958333333336</v>
      </c>
      <c r="P333" s="104"/>
      <c r="Q333" s="106">
        <f t="shared" si="51"/>
        <v>166.13020833333334</v>
      </c>
      <c r="R333" s="141">
        <f t="shared" si="58"/>
        <v>0</v>
      </c>
      <c r="T333" s="110">
        <f t="shared" si="52"/>
        <v>0.87751199172335947</v>
      </c>
      <c r="U333" s="110">
        <f t="shared" si="52"/>
        <v>0.12248800827664044</v>
      </c>
      <c r="V333" s="110">
        <f t="shared" si="52"/>
        <v>0</v>
      </c>
      <c r="W333" s="110">
        <f t="shared" si="53"/>
        <v>0.99999999999999989</v>
      </c>
      <c r="Y333" s="142">
        <f>T333*'Co-Processing'!K335*'Feedstock Conversion Rates'!B$13</f>
        <v>71.084606318212664</v>
      </c>
      <c r="Z333" s="142">
        <f>U333*'Co-Processing'!K335*'Feedstock Conversion Rates'!B$12</f>
        <v>10.253131193810843</v>
      </c>
      <c r="AA333" s="142">
        <f>V333*'Co-Processing'!K335*'Feedstock Conversion Rates'!B$14</f>
        <v>0</v>
      </c>
      <c r="AB333" s="142">
        <f t="shared" si="55"/>
        <v>81.337737512023509</v>
      </c>
      <c r="AD333" s="142">
        <v>0</v>
      </c>
      <c r="AE333" s="142">
        <v>0</v>
      </c>
      <c r="AF333" s="142">
        <v>0</v>
      </c>
      <c r="AG333" s="142">
        <v>0</v>
      </c>
      <c r="AH333" s="142">
        <v>0</v>
      </c>
    </row>
    <row r="334" spans="1:34" x14ac:dyDescent="0.25">
      <c r="A334" s="96">
        <v>48884</v>
      </c>
      <c r="B334" s="104">
        <f t="shared" si="60"/>
        <v>25</v>
      </c>
      <c r="C334" s="104">
        <f>('Co-Processing'!B336*'Co-Pro Feedstock Breakdown'!C$3*'Feedstock Conversion Rates'!B$12)/12-10-15</f>
        <v>10.520833333333336</v>
      </c>
      <c r="D334" s="106">
        <f t="shared" si="49"/>
        <v>35.520833333333336</v>
      </c>
      <c r="E334" s="104">
        <f>('Co-Processing'!C336*'Co-Pro Feedstock Breakdown'!E$3*'Feedstock Conversion Rates'!B$13)/12</f>
        <v>25.78125</v>
      </c>
      <c r="F334" s="104">
        <f>('Co-Processing'!C336*'Co-Pro Feedstock Breakdown'!F$3*'Feedstock Conversion Rates'!B$14)/12</f>
        <v>8.5364583333333339</v>
      </c>
      <c r="G334" s="106">
        <f t="shared" si="50"/>
        <v>34.317708333333336</v>
      </c>
      <c r="H334" s="104">
        <f>('Co-Processing'!D336*'Co-Pro Feedstock Breakdown'!H$3*'Feedstock Conversion Rates'!B$13)/12</f>
        <v>93.75</v>
      </c>
      <c r="I334" s="106">
        <f t="shared" si="54"/>
        <v>93.75</v>
      </c>
      <c r="J334" s="104">
        <f>('Co-Processing'!E336*'Co-Pro Feedstock Breakdown'!J$3*'Feedstock Conversion Rates'!B$13)/12</f>
        <v>1.25</v>
      </c>
      <c r="K334" s="104">
        <f>('Co-Processing'!E336*'Co-Pro Feedstock Breakdown'!K$3*'Feedstock Conversion Rates'!B$12)/12</f>
        <v>1.2916666666666667</v>
      </c>
      <c r="L334" s="106">
        <f t="shared" si="56"/>
        <v>2.541666666666667</v>
      </c>
      <c r="N334" s="104">
        <f t="shared" si="57"/>
        <v>145.78125</v>
      </c>
      <c r="O334" s="104">
        <f t="shared" si="59"/>
        <v>20.348958333333336</v>
      </c>
      <c r="P334" s="104"/>
      <c r="Q334" s="106">
        <f t="shared" si="51"/>
        <v>166.13020833333334</v>
      </c>
      <c r="R334" s="141">
        <f t="shared" si="58"/>
        <v>0</v>
      </c>
      <c r="T334" s="110">
        <f t="shared" si="52"/>
        <v>0.87751199172335947</v>
      </c>
      <c r="U334" s="110">
        <f t="shared" si="52"/>
        <v>0.12248800827664044</v>
      </c>
      <c r="V334" s="110">
        <f t="shared" si="52"/>
        <v>0</v>
      </c>
      <c r="W334" s="110">
        <f t="shared" si="53"/>
        <v>0.99999999999999989</v>
      </c>
      <c r="Y334" s="142">
        <f>T334*'Co-Processing'!K336*'Feedstock Conversion Rates'!B$13</f>
        <v>71.474757401064039</v>
      </c>
      <c r="Z334" s="142">
        <f>U334*'Co-Processing'!K336*'Feedstock Conversion Rates'!B$12</f>
        <v>10.309405968970674</v>
      </c>
      <c r="AA334" s="142">
        <f>V334*'Co-Processing'!K336*'Feedstock Conversion Rates'!B$14</f>
        <v>0</v>
      </c>
      <c r="AB334" s="142">
        <f t="shared" si="55"/>
        <v>81.784163370034719</v>
      </c>
      <c r="AD334" s="142">
        <v>0</v>
      </c>
      <c r="AE334" s="142">
        <v>0</v>
      </c>
      <c r="AF334" s="142">
        <v>0</v>
      </c>
      <c r="AG334" s="142">
        <v>0</v>
      </c>
      <c r="AH334" s="142">
        <v>0</v>
      </c>
    </row>
    <row r="335" spans="1:34" x14ac:dyDescent="0.25">
      <c r="A335" s="96">
        <v>48914</v>
      </c>
      <c r="B335" s="104">
        <f t="shared" si="60"/>
        <v>25</v>
      </c>
      <c r="C335" s="104">
        <f>('Co-Processing'!B337*'Co-Pro Feedstock Breakdown'!C$3*'Feedstock Conversion Rates'!B$12)/12-10-15</f>
        <v>10.520833333333336</v>
      </c>
      <c r="D335" s="106">
        <f t="shared" si="49"/>
        <v>35.520833333333336</v>
      </c>
      <c r="E335" s="104">
        <f>('Co-Processing'!C337*'Co-Pro Feedstock Breakdown'!E$3*'Feedstock Conversion Rates'!B$13)/12</f>
        <v>25.78125</v>
      </c>
      <c r="F335" s="104">
        <f>('Co-Processing'!C337*'Co-Pro Feedstock Breakdown'!F$3*'Feedstock Conversion Rates'!B$14)/12</f>
        <v>8.5364583333333339</v>
      </c>
      <c r="G335" s="106">
        <f t="shared" si="50"/>
        <v>34.317708333333336</v>
      </c>
      <c r="H335" s="104">
        <f>('Co-Processing'!D337*'Co-Pro Feedstock Breakdown'!H$3*'Feedstock Conversion Rates'!B$13)/12</f>
        <v>93.75</v>
      </c>
      <c r="I335" s="106">
        <f t="shared" si="54"/>
        <v>93.75</v>
      </c>
      <c r="J335" s="104">
        <f>('Co-Processing'!E337*'Co-Pro Feedstock Breakdown'!J$3*'Feedstock Conversion Rates'!B$13)/12</f>
        <v>1.25</v>
      </c>
      <c r="K335" s="104">
        <f>('Co-Processing'!E337*'Co-Pro Feedstock Breakdown'!K$3*'Feedstock Conversion Rates'!B$12)/12</f>
        <v>1.2916666666666667</v>
      </c>
      <c r="L335" s="106">
        <f t="shared" si="56"/>
        <v>2.541666666666667</v>
      </c>
      <c r="N335" s="104">
        <f t="shared" si="57"/>
        <v>145.78125</v>
      </c>
      <c r="O335" s="104">
        <f t="shared" si="59"/>
        <v>20.348958333333336</v>
      </c>
      <c r="P335" s="104"/>
      <c r="Q335" s="106">
        <f t="shared" si="51"/>
        <v>166.13020833333334</v>
      </c>
      <c r="R335" s="141">
        <f t="shared" si="58"/>
        <v>0</v>
      </c>
      <c r="T335" s="110">
        <f t="shared" si="52"/>
        <v>0.87751199172335947</v>
      </c>
      <c r="U335" s="110">
        <f t="shared" si="52"/>
        <v>0.12248800827664044</v>
      </c>
      <c r="V335" s="110">
        <f t="shared" si="52"/>
        <v>0</v>
      </c>
      <c r="W335" s="110">
        <f t="shared" si="53"/>
        <v>0.99999999999999989</v>
      </c>
      <c r="Y335" s="142">
        <f>T335*'Co-Processing'!K337*'Feedstock Conversion Rates'!B$13</f>
        <v>73.160492149093542</v>
      </c>
      <c r="Z335" s="142">
        <f>U335*'Co-Processing'!K337*'Feedstock Conversion Rates'!B$12</f>
        <v>10.552553683007936</v>
      </c>
      <c r="AA335" s="142">
        <f>V335*'Co-Processing'!K337*'Feedstock Conversion Rates'!B$14</f>
        <v>0</v>
      </c>
      <c r="AB335" s="142">
        <f t="shared" si="55"/>
        <v>83.713045832101471</v>
      </c>
      <c r="AD335" s="142">
        <v>0</v>
      </c>
      <c r="AE335" s="142">
        <v>0</v>
      </c>
      <c r="AF335" s="142">
        <v>0</v>
      </c>
      <c r="AG335" s="142">
        <v>0</v>
      </c>
      <c r="AH335" s="142">
        <v>0</v>
      </c>
    </row>
    <row r="336" spans="1:34" x14ac:dyDescent="0.25">
      <c r="A336" s="96">
        <v>48945</v>
      </c>
      <c r="B336" s="104">
        <f t="shared" si="60"/>
        <v>25</v>
      </c>
      <c r="C336" s="104">
        <f>('Co-Processing'!B338*'Co-Pro Feedstock Breakdown'!C$3*'Feedstock Conversion Rates'!B$12)/12-10-15</f>
        <v>10.520833333333336</v>
      </c>
      <c r="D336" s="106">
        <f t="shared" si="49"/>
        <v>35.520833333333336</v>
      </c>
      <c r="E336" s="104">
        <f>('Co-Processing'!C338*'Co-Pro Feedstock Breakdown'!E$3*'Feedstock Conversion Rates'!B$13)/12</f>
        <v>25.78125</v>
      </c>
      <c r="F336" s="104">
        <f>('Co-Processing'!C338*'Co-Pro Feedstock Breakdown'!F$3*'Feedstock Conversion Rates'!B$14)/12</f>
        <v>8.5364583333333339</v>
      </c>
      <c r="G336" s="106">
        <f t="shared" si="50"/>
        <v>34.317708333333336</v>
      </c>
      <c r="H336" s="104">
        <f>('Co-Processing'!D338*'Co-Pro Feedstock Breakdown'!H$3*'Feedstock Conversion Rates'!B$13)/12</f>
        <v>93.75</v>
      </c>
      <c r="I336" s="106">
        <f t="shared" si="54"/>
        <v>93.75</v>
      </c>
      <c r="J336" s="104">
        <f>('Co-Processing'!E338*'Co-Pro Feedstock Breakdown'!J$3*'Feedstock Conversion Rates'!B$13)/12</f>
        <v>1.25</v>
      </c>
      <c r="K336" s="104">
        <f>('Co-Processing'!E338*'Co-Pro Feedstock Breakdown'!K$3*'Feedstock Conversion Rates'!B$12)/12</f>
        <v>1.2916666666666667</v>
      </c>
      <c r="L336" s="106">
        <f t="shared" si="56"/>
        <v>2.541666666666667</v>
      </c>
      <c r="N336" s="104">
        <f t="shared" si="57"/>
        <v>145.78125</v>
      </c>
      <c r="O336" s="104">
        <f t="shared" si="59"/>
        <v>20.348958333333336</v>
      </c>
      <c r="P336" s="104"/>
      <c r="Q336" s="106">
        <f t="shared" si="51"/>
        <v>166.13020833333334</v>
      </c>
      <c r="R336" s="141">
        <f t="shared" si="58"/>
        <v>0</v>
      </c>
      <c r="T336" s="110">
        <f t="shared" si="52"/>
        <v>0.87751199172335947</v>
      </c>
      <c r="U336" s="110">
        <f t="shared" si="52"/>
        <v>0.12248800827664044</v>
      </c>
      <c r="V336" s="110">
        <f t="shared" si="52"/>
        <v>0</v>
      </c>
      <c r="W336" s="110">
        <f t="shared" si="53"/>
        <v>0.99999999999999989</v>
      </c>
      <c r="Y336" s="142">
        <f>T336*'Co-Processing'!K338*'Feedstock Conversion Rates'!B$13</f>
        <v>67.596540666510649</v>
      </c>
      <c r="Z336" s="142">
        <f>U336*'Co-Processing'!K338*'Feedstock Conversion Rates'!B$12</f>
        <v>9.7500181206451959</v>
      </c>
      <c r="AA336" s="142">
        <f>V336*'Co-Processing'!K338*'Feedstock Conversion Rates'!B$14</f>
        <v>0</v>
      </c>
      <c r="AB336" s="142">
        <f t="shared" si="55"/>
        <v>77.346558787155843</v>
      </c>
      <c r="AD336" s="142">
        <v>0</v>
      </c>
      <c r="AE336" s="142">
        <v>0</v>
      </c>
      <c r="AF336" s="142">
        <v>0</v>
      </c>
      <c r="AG336" s="142">
        <v>0</v>
      </c>
      <c r="AH336" s="142">
        <v>0</v>
      </c>
    </row>
    <row r="337" spans="1:34" x14ac:dyDescent="0.25">
      <c r="A337" s="96">
        <v>48976</v>
      </c>
      <c r="B337" s="104">
        <f t="shared" si="60"/>
        <v>25</v>
      </c>
      <c r="C337" s="104">
        <f>('Co-Processing'!B339*'Co-Pro Feedstock Breakdown'!C$3*'Feedstock Conversion Rates'!B$12)/12-10-15</f>
        <v>10.520833333333336</v>
      </c>
      <c r="D337" s="106">
        <f t="shared" si="49"/>
        <v>35.520833333333336</v>
      </c>
      <c r="E337" s="104">
        <f>('Co-Processing'!C339*'Co-Pro Feedstock Breakdown'!E$3*'Feedstock Conversion Rates'!B$13)/12</f>
        <v>25.78125</v>
      </c>
      <c r="F337" s="104">
        <f>('Co-Processing'!C339*'Co-Pro Feedstock Breakdown'!F$3*'Feedstock Conversion Rates'!B$14)/12</f>
        <v>8.5364583333333339</v>
      </c>
      <c r="G337" s="106">
        <f t="shared" si="50"/>
        <v>34.317708333333336</v>
      </c>
      <c r="H337" s="104">
        <f>('Co-Processing'!D339*'Co-Pro Feedstock Breakdown'!H$3*'Feedstock Conversion Rates'!B$13)/12</f>
        <v>93.75</v>
      </c>
      <c r="I337" s="106">
        <f t="shared" si="54"/>
        <v>93.75</v>
      </c>
      <c r="J337" s="104">
        <f>('Co-Processing'!E339*'Co-Pro Feedstock Breakdown'!J$3*'Feedstock Conversion Rates'!B$13)/12</f>
        <v>1.25</v>
      </c>
      <c r="K337" s="104">
        <f>('Co-Processing'!E339*'Co-Pro Feedstock Breakdown'!K$3*'Feedstock Conversion Rates'!B$12)/12</f>
        <v>1.2916666666666667</v>
      </c>
      <c r="L337" s="106">
        <f t="shared" si="56"/>
        <v>2.541666666666667</v>
      </c>
      <c r="N337" s="104">
        <f t="shared" si="57"/>
        <v>145.78125</v>
      </c>
      <c r="O337" s="104">
        <f t="shared" si="59"/>
        <v>20.348958333333336</v>
      </c>
      <c r="P337" s="104"/>
      <c r="Q337" s="106">
        <f t="shared" si="51"/>
        <v>166.13020833333334</v>
      </c>
      <c r="R337" s="141">
        <f t="shared" si="58"/>
        <v>0</v>
      </c>
      <c r="T337" s="110">
        <f t="shared" si="52"/>
        <v>0.87751199172335947</v>
      </c>
      <c r="U337" s="110">
        <f t="shared" si="52"/>
        <v>0.12248800827664044</v>
      </c>
      <c r="V337" s="110">
        <f t="shared" si="52"/>
        <v>0</v>
      </c>
      <c r="W337" s="110">
        <f t="shared" si="53"/>
        <v>0.99999999999999989</v>
      </c>
      <c r="Y337" s="142">
        <f>T337*'Co-Processing'!K339*'Feedstock Conversion Rates'!B$13</f>
        <v>52.910014398194114</v>
      </c>
      <c r="Z337" s="142">
        <f>U337*'Co-Processing'!K339*'Feedstock Conversion Rates'!B$12</f>
        <v>7.6316567986972457</v>
      </c>
      <c r="AA337" s="142">
        <f>V337*'Co-Processing'!K339*'Feedstock Conversion Rates'!B$14</f>
        <v>0</v>
      </c>
      <c r="AB337" s="142">
        <f t="shared" si="55"/>
        <v>60.541671196891357</v>
      </c>
      <c r="AD337" s="142">
        <v>0</v>
      </c>
      <c r="AE337" s="142">
        <v>0</v>
      </c>
      <c r="AF337" s="142">
        <v>0</v>
      </c>
      <c r="AG337" s="142">
        <v>0</v>
      </c>
      <c r="AH337" s="142">
        <v>0</v>
      </c>
    </row>
    <row r="338" spans="1:34" x14ac:dyDescent="0.25">
      <c r="A338" s="96">
        <v>49004</v>
      </c>
      <c r="B338" s="104">
        <f t="shared" si="60"/>
        <v>25</v>
      </c>
      <c r="C338" s="104">
        <f>('Co-Processing'!B340*'Co-Pro Feedstock Breakdown'!C$3*'Feedstock Conversion Rates'!B$12)/12-10-15</f>
        <v>10.520833333333336</v>
      </c>
      <c r="D338" s="106">
        <f t="shared" si="49"/>
        <v>35.520833333333336</v>
      </c>
      <c r="E338" s="104">
        <f>('Co-Processing'!C340*'Co-Pro Feedstock Breakdown'!E$3*'Feedstock Conversion Rates'!B$13)/12</f>
        <v>25.78125</v>
      </c>
      <c r="F338" s="104">
        <f>('Co-Processing'!C340*'Co-Pro Feedstock Breakdown'!F$3*'Feedstock Conversion Rates'!B$14)/12</f>
        <v>8.5364583333333339</v>
      </c>
      <c r="G338" s="106">
        <f t="shared" si="50"/>
        <v>34.317708333333336</v>
      </c>
      <c r="H338" s="104">
        <f>('Co-Processing'!D340*'Co-Pro Feedstock Breakdown'!H$3*'Feedstock Conversion Rates'!B$13)/12</f>
        <v>93.75</v>
      </c>
      <c r="I338" s="106">
        <f t="shared" si="54"/>
        <v>93.75</v>
      </c>
      <c r="J338" s="104">
        <f>('Co-Processing'!E340*'Co-Pro Feedstock Breakdown'!J$3*'Feedstock Conversion Rates'!B$13)/12</f>
        <v>1.25</v>
      </c>
      <c r="K338" s="104">
        <f>('Co-Processing'!E340*'Co-Pro Feedstock Breakdown'!K$3*'Feedstock Conversion Rates'!B$12)/12</f>
        <v>1.2916666666666667</v>
      </c>
      <c r="L338" s="106">
        <f t="shared" si="56"/>
        <v>2.541666666666667</v>
      </c>
      <c r="N338" s="104">
        <f t="shared" si="57"/>
        <v>145.78125</v>
      </c>
      <c r="O338" s="104">
        <f t="shared" si="59"/>
        <v>20.348958333333336</v>
      </c>
      <c r="P338" s="104"/>
      <c r="Q338" s="106">
        <f t="shared" si="51"/>
        <v>166.13020833333334</v>
      </c>
      <c r="R338" s="141">
        <f t="shared" si="58"/>
        <v>0</v>
      </c>
      <c r="T338" s="110">
        <f t="shared" si="52"/>
        <v>0.87751199172335947</v>
      </c>
      <c r="U338" s="110">
        <f t="shared" si="52"/>
        <v>0.12248800827664044</v>
      </c>
      <c r="V338" s="110">
        <f t="shared" si="52"/>
        <v>0</v>
      </c>
      <c r="W338" s="110">
        <f t="shared" si="53"/>
        <v>0.99999999999999989</v>
      </c>
      <c r="Y338" s="142">
        <f>T338*'Co-Processing'!K340*'Feedstock Conversion Rates'!B$13</f>
        <v>86.457210000290729</v>
      </c>
      <c r="Z338" s="142">
        <f>U338*'Co-Processing'!K340*'Feedstock Conversion Rates'!B$12</f>
        <v>12.470451236876521</v>
      </c>
      <c r="AA338" s="142">
        <f>V338*'Co-Processing'!K340*'Feedstock Conversion Rates'!B$14</f>
        <v>0</v>
      </c>
      <c r="AB338" s="142">
        <f t="shared" si="55"/>
        <v>98.927661237167257</v>
      </c>
      <c r="AD338" s="142">
        <v>0</v>
      </c>
      <c r="AE338" s="142">
        <v>0</v>
      </c>
      <c r="AF338" s="142">
        <v>0</v>
      </c>
      <c r="AG338" s="142">
        <v>0</v>
      </c>
      <c r="AH338" s="142">
        <v>0</v>
      </c>
    </row>
    <row r="339" spans="1:34" x14ac:dyDescent="0.25">
      <c r="A339" s="96">
        <v>49035</v>
      </c>
      <c r="B339" s="104">
        <f t="shared" si="60"/>
        <v>25</v>
      </c>
      <c r="C339" s="104">
        <f>('Co-Processing'!B341*'Co-Pro Feedstock Breakdown'!C$3*'Feedstock Conversion Rates'!B$12)/12-10-15</f>
        <v>10.520833333333336</v>
      </c>
      <c r="D339" s="106">
        <f t="shared" si="49"/>
        <v>35.520833333333336</v>
      </c>
      <c r="E339" s="104">
        <f>('Co-Processing'!C341*'Co-Pro Feedstock Breakdown'!E$3*'Feedstock Conversion Rates'!B$13)/12</f>
        <v>25.78125</v>
      </c>
      <c r="F339" s="104">
        <f>('Co-Processing'!C341*'Co-Pro Feedstock Breakdown'!F$3*'Feedstock Conversion Rates'!B$14)/12</f>
        <v>8.5364583333333339</v>
      </c>
      <c r="G339" s="106">
        <f t="shared" si="50"/>
        <v>34.317708333333336</v>
      </c>
      <c r="H339" s="104">
        <f>('Co-Processing'!D341*'Co-Pro Feedstock Breakdown'!H$3*'Feedstock Conversion Rates'!B$13)/12</f>
        <v>93.75</v>
      </c>
      <c r="I339" s="106">
        <f t="shared" si="54"/>
        <v>93.75</v>
      </c>
      <c r="J339" s="104">
        <f>('Co-Processing'!E341*'Co-Pro Feedstock Breakdown'!J$3*'Feedstock Conversion Rates'!B$13)/12</f>
        <v>1.25</v>
      </c>
      <c r="K339" s="104">
        <f>('Co-Processing'!E341*'Co-Pro Feedstock Breakdown'!K$3*'Feedstock Conversion Rates'!B$12)/12</f>
        <v>1.2916666666666667</v>
      </c>
      <c r="L339" s="106">
        <f t="shared" si="56"/>
        <v>2.541666666666667</v>
      </c>
      <c r="N339" s="104">
        <f t="shared" si="57"/>
        <v>145.78125</v>
      </c>
      <c r="O339" s="104">
        <f t="shared" si="59"/>
        <v>20.348958333333336</v>
      </c>
      <c r="P339" s="104"/>
      <c r="Q339" s="106">
        <f t="shared" si="51"/>
        <v>166.13020833333334</v>
      </c>
      <c r="R339" s="141">
        <f t="shared" si="58"/>
        <v>0</v>
      </c>
      <c r="T339" s="110">
        <f t="shared" si="52"/>
        <v>0.87751199172335947</v>
      </c>
      <c r="U339" s="110">
        <f t="shared" si="52"/>
        <v>0.12248800827664044</v>
      </c>
      <c r="V339" s="110">
        <f t="shared" si="52"/>
        <v>0</v>
      </c>
      <c r="W339" s="110">
        <f t="shared" si="53"/>
        <v>0.99999999999999989</v>
      </c>
      <c r="Y339" s="142">
        <f>T339*'Co-Processing'!K341*'Feedstock Conversion Rates'!B$13</f>
        <v>56.376019062305957</v>
      </c>
      <c r="Z339" s="142">
        <f>U339*'Co-Processing'!K341*'Feedstock Conversion Rates'!B$12</f>
        <v>8.1315878299027169</v>
      </c>
      <c r="AA339" s="142">
        <f>V339*'Co-Processing'!K341*'Feedstock Conversion Rates'!B$14</f>
        <v>0</v>
      </c>
      <c r="AB339" s="142">
        <f t="shared" si="55"/>
        <v>64.507606892208671</v>
      </c>
      <c r="AD339" s="142">
        <v>0</v>
      </c>
      <c r="AE339" s="142">
        <v>0</v>
      </c>
      <c r="AF339" s="142">
        <v>0</v>
      </c>
      <c r="AG339" s="142">
        <v>0</v>
      </c>
      <c r="AH339" s="142">
        <v>0</v>
      </c>
    </row>
    <row r="340" spans="1:34" x14ac:dyDescent="0.25">
      <c r="A340" s="96">
        <v>49065</v>
      </c>
      <c r="B340" s="104">
        <f t="shared" si="60"/>
        <v>25</v>
      </c>
      <c r="C340" s="104">
        <f>('Co-Processing'!B342*'Co-Pro Feedstock Breakdown'!C$3*'Feedstock Conversion Rates'!B$12)/12-10-15</f>
        <v>10.520833333333336</v>
      </c>
      <c r="D340" s="106">
        <f t="shared" ref="D340:D403" si="61">C340+B340</f>
        <v>35.520833333333336</v>
      </c>
      <c r="E340" s="104">
        <f>('Co-Processing'!C342*'Co-Pro Feedstock Breakdown'!E$3*'Feedstock Conversion Rates'!B$13)/12</f>
        <v>25.78125</v>
      </c>
      <c r="F340" s="104">
        <f>('Co-Processing'!C342*'Co-Pro Feedstock Breakdown'!F$3*'Feedstock Conversion Rates'!B$14)/12</f>
        <v>8.5364583333333339</v>
      </c>
      <c r="G340" s="106">
        <f t="shared" si="50"/>
        <v>34.317708333333336</v>
      </c>
      <c r="H340" s="104">
        <f>('Co-Processing'!D342*'Co-Pro Feedstock Breakdown'!H$3*'Feedstock Conversion Rates'!B$13)/12</f>
        <v>93.75</v>
      </c>
      <c r="I340" s="106">
        <f t="shared" si="54"/>
        <v>93.75</v>
      </c>
      <c r="J340" s="104">
        <f>('Co-Processing'!E342*'Co-Pro Feedstock Breakdown'!J$3*'Feedstock Conversion Rates'!B$13)/12</f>
        <v>1.25</v>
      </c>
      <c r="K340" s="104">
        <f>('Co-Processing'!E342*'Co-Pro Feedstock Breakdown'!K$3*'Feedstock Conversion Rates'!B$12)/12</f>
        <v>1.2916666666666667</v>
      </c>
      <c r="L340" s="106">
        <f t="shared" si="56"/>
        <v>2.541666666666667</v>
      </c>
      <c r="N340" s="104">
        <f t="shared" si="57"/>
        <v>145.78125</v>
      </c>
      <c r="O340" s="104">
        <f t="shared" si="59"/>
        <v>20.348958333333336</v>
      </c>
      <c r="P340" s="104"/>
      <c r="Q340" s="106">
        <f t="shared" si="51"/>
        <v>166.13020833333334</v>
      </c>
      <c r="R340" s="141">
        <f t="shared" si="58"/>
        <v>0</v>
      </c>
      <c r="T340" s="110">
        <f t="shared" si="52"/>
        <v>0.87751199172335947</v>
      </c>
      <c r="U340" s="110">
        <f t="shared" si="52"/>
        <v>0.12248800827664044</v>
      </c>
      <c r="V340" s="110">
        <f t="shared" si="52"/>
        <v>0</v>
      </c>
      <c r="W340" s="110">
        <f t="shared" si="53"/>
        <v>0.99999999999999989</v>
      </c>
      <c r="Y340" s="142">
        <f>T340*'Co-Processing'!K342*'Feedstock Conversion Rates'!B$13</f>
        <v>61.650165539591306</v>
      </c>
      <c r="Z340" s="142">
        <f>U340*'Co-Processing'!K342*'Feedstock Conversion Rates'!B$12</f>
        <v>8.8923223766329418</v>
      </c>
      <c r="AA340" s="142">
        <f>V340*'Co-Processing'!K342*'Feedstock Conversion Rates'!B$14</f>
        <v>0</v>
      </c>
      <c r="AB340" s="142">
        <f t="shared" si="55"/>
        <v>70.542487916224246</v>
      </c>
      <c r="AD340" s="142">
        <v>0</v>
      </c>
      <c r="AE340" s="142">
        <v>0</v>
      </c>
      <c r="AF340" s="142">
        <v>0</v>
      </c>
      <c r="AG340" s="142">
        <v>0</v>
      </c>
      <c r="AH340" s="142">
        <v>0</v>
      </c>
    </row>
    <row r="341" spans="1:34" x14ac:dyDescent="0.25">
      <c r="A341" s="96">
        <v>49096</v>
      </c>
      <c r="B341" s="104">
        <f t="shared" si="60"/>
        <v>25</v>
      </c>
      <c r="C341" s="104">
        <f>('Co-Processing'!B343*'Co-Pro Feedstock Breakdown'!C$3*'Feedstock Conversion Rates'!B$12)/12-10-15</f>
        <v>10.520833333333336</v>
      </c>
      <c r="D341" s="106">
        <f t="shared" si="61"/>
        <v>35.520833333333336</v>
      </c>
      <c r="E341" s="104">
        <f>('Co-Processing'!C343*'Co-Pro Feedstock Breakdown'!E$3*'Feedstock Conversion Rates'!B$13)/12</f>
        <v>25.78125</v>
      </c>
      <c r="F341" s="104">
        <f>('Co-Processing'!C343*'Co-Pro Feedstock Breakdown'!F$3*'Feedstock Conversion Rates'!B$14)/12</f>
        <v>8.5364583333333339</v>
      </c>
      <c r="G341" s="106">
        <f t="shared" si="50"/>
        <v>34.317708333333336</v>
      </c>
      <c r="H341" s="104">
        <f>('Co-Processing'!D343*'Co-Pro Feedstock Breakdown'!H$3*'Feedstock Conversion Rates'!B$13)/12</f>
        <v>93.75</v>
      </c>
      <c r="I341" s="106">
        <f t="shared" si="54"/>
        <v>93.75</v>
      </c>
      <c r="J341" s="104">
        <f>('Co-Processing'!E343*'Co-Pro Feedstock Breakdown'!J$3*'Feedstock Conversion Rates'!B$13)/12</f>
        <v>1.25</v>
      </c>
      <c r="K341" s="104">
        <f>('Co-Processing'!E343*'Co-Pro Feedstock Breakdown'!K$3*'Feedstock Conversion Rates'!B$12)/12</f>
        <v>1.2916666666666667</v>
      </c>
      <c r="L341" s="106">
        <f t="shared" si="56"/>
        <v>2.541666666666667</v>
      </c>
      <c r="N341" s="104">
        <f t="shared" si="57"/>
        <v>145.78125</v>
      </c>
      <c r="O341" s="104">
        <f t="shared" si="59"/>
        <v>20.348958333333336</v>
      </c>
      <c r="P341" s="104"/>
      <c r="Q341" s="106">
        <f t="shared" si="51"/>
        <v>166.13020833333334</v>
      </c>
      <c r="R341" s="141">
        <f t="shared" si="58"/>
        <v>0</v>
      </c>
      <c r="T341" s="110">
        <f t="shared" si="52"/>
        <v>0.87751199172335947</v>
      </c>
      <c r="U341" s="110">
        <f t="shared" si="52"/>
        <v>0.12248800827664044</v>
      </c>
      <c r="V341" s="110">
        <f t="shared" si="52"/>
        <v>0</v>
      </c>
      <c r="W341" s="110">
        <f t="shared" si="53"/>
        <v>0.99999999999999989</v>
      </c>
      <c r="Y341" s="142">
        <f>T341*'Co-Processing'!K343*'Feedstock Conversion Rates'!B$13</f>
        <v>83.866735522546264</v>
      </c>
      <c r="Z341" s="142">
        <f>U341*'Co-Processing'!K343*'Feedstock Conversion Rates'!B$12</f>
        <v>12.096805295086623</v>
      </c>
      <c r="AA341" s="142">
        <f>V341*'Co-Processing'!K343*'Feedstock Conversion Rates'!B$14</f>
        <v>0</v>
      </c>
      <c r="AB341" s="142">
        <f t="shared" si="55"/>
        <v>95.963540817632889</v>
      </c>
      <c r="AD341" s="142">
        <v>0</v>
      </c>
      <c r="AE341" s="142">
        <v>0</v>
      </c>
      <c r="AF341" s="142">
        <v>0</v>
      </c>
      <c r="AG341" s="142">
        <v>0</v>
      </c>
      <c r="AH341" s="142">
        <v>0</v>
      </c>
    </row>
    <row r="342" spans="1:34" x14ac:dyDescent="0.25">
      <c r="A342" s="96">
        <v>49126</v>
      </c>
      <c r="B342" s="104">
        <f t="shared" si="60"/>
        <v>25</v>
      </c>
      <c r="C342" s="104">
        <f>('Co-Processing'!B344*'Co-Pro Feedstock Breakdown'!C$3*'Feedstock Conversion Rates'!B$12)/12-10-15</f>
        <v>10.520833333333336</v>
      </c>
      <c r="D342" s="106">
        <f t="shared" si="61"/>
        <v>35.520833333333336</v>
      </c>
      <c r="E342" s="104">
        <f>('Co-Processing'!C344*'Co-Pro Feedstock Breakdown'!E$3*'Feedstock Conversion Rates'!B$13)/12</f>
        <v>25.78125</v>
      </c>
      <c r="F342" s="104">
        <f>('Co-Processing'!C344*'Co-Pro Feedstock Breakdown'!F$3*'Feedstock Conversion Rates'!B$14)/12</f>
        <v>8.5364583333333339</v>
      </c>
      <c r="G342" s="106">
        <f t="shared" si="50"/>
        <v>34.317708333333336</v>
      </c>
      <c r="H342" s="104">
        <f>('Co-Processing'!D344*'Co-Pro Feedstock Breakdown'!H$3*'Feedstock Conversion Rates'!B$13)/12</f>
        <v>93.75</v>
      </c>
      <c r="I342" s="106">
        <f t="shared" si="54"/>
        <v>93.75</v>
      </c>
      <c r="J342" s="104">
        <f>('Co-Processing'!E344*'Co-Pro Feedstock Breakdown'!J$3*'Feedstock Conversion Rates'!B$13)/12</f>
        <v>1.25</v>
      </c>
      <c r="K342" s="104">
        <f>('Co-Processing'!E344*'Co-Pro Feedstock Breakdown'!K$3*'Feedstock Conversion Rates'!B$12)/12</f>
        <v>1.2916666666666667</v>
      </c>
      <c r="L342" s="106">
        <f t="shared" si="56"/>
        <v>2.541666666666667</v>
      </c>
      <c r="N342" s="104">
        <f t="shared" si="57"/>
        <v>145.78125</v>
      </c>
      <c r="O342" s="104">
        <f t="shared" si="59"/>
        <v>20.348958333333336</v>
      </c>
      <c r="P342" s="104"/>
      <c r="Q342" s="106">
        <f t="shared" si="51"/>
        <v>166.13020833333334</v>
      </c>
      <c r="R342" s="141">
        <f t="shared" si="58"/>
        <v>0</v>
      </c>
      <c r="T342" s="110">
        <f t="shared" si="52"/>
        <v>0.87751199172335947</v>
      </c>
      <c r="U342" s="110">
        <f t="shared" si="52"/>
        <v>0.12248800827664044</v>
      </c>
      <c r="V342" s="110">
        <f t="shared" si="52"/>
        <v>0</v>
      </c>
      <c r="W342" s="110">
        <f t="shared" si="53"/>
        <v>0.99999999999999989</v>
      </c>
      <c r="Y342" s="142">
        <f>T342*'Co-Processing'!K344*'Feedstock Conversion Rates'!B$13</f>
        <v>70.466234944402871</v>
      </c>
      <c r="Z342" s="142">
        <f>U342*'Co-Processing'!K344*'Feedstock Conversion Rates'!B$12</f>
        <v>10.163938284817487</v>
      </c>
      <c r="AA342" s="142">
        <f>V342*'Co-Processing'!K344*'Feedstock Conversion Rates'!B$14</f>
        <v>0</v>
      </c>
      <c r="AB342" s="142">
        <f t="shared" si="55"/>
        <v>80.630173229220361</v>
      </c>
      <c r="AD342" s="142">
        <v>0</v>
      </c>
      <c r="AE342" s="142">
        <v>0</v>
      </c>
      <c r="AF342" s="142">
        <v>0</v>
      </c>
      <c r="AG342" s="142">
        <v>0</v>
      </c>
      <c r="AH342" s="142">
        <v>0</v>
      </c>
    </row>
    <row r="343" spans="1:34" x14ac:dyDescent="0.25">
      <c r="A343" s="96">
        <v>49157</v>
      </c>
      <c r="B343" s="104">
        <f t="shared" si="60"/>
        <v>25</v>
      </c>
      <c r="C343" s="104">
        <f>('Co-Processing'!B345*'Co-Pro Feedstock Breakdown'!C$3*'Feedstock Conversion Rates'!B$12)/12-10-15</f>
        <v>10.520833333333336</v>
      </c>
      <c r="D343" s="106">
        <f t="shared" si="61"/>
        <v>35.520833333333336</v>
      </c>
      <c r="E343" s="104">
        <f>('Co-Processing'!C345*'Co-Pro Feedstock Breakdown'!E$3*'Feedstock Conversion Rates'!B$13)/12</f>
        <v>25.78125</v>
      </c>
      <c r="F343" s="104">
        <f>('Co-Processing'!C345*'Co-Pro Feedstock Breakdown'!F$3*'Feedstock Conversion Rates'!B$14)/12</f>
        <v>8.5364583333333339</v>
      </c>
      <c r="G343" s="106">
        <f t="shared" si="50"/>
        <v>34.317708333333336</v>
      </c>
      <c r="H343" s="104">
        <f>('Co-Processing'!D345*'Co-Pro Feedstock Breakdown'!H$3*'Feedstock Conversion Rates'!B$13)/12</f>
        <v>93.75</v>
      </c>
      <c r="I343" s="106">
        <f t="shared" si="54"/>
        <v>93.75</v>
      </c>
      <c r="J343" s="104">
        <f>('Co-Processing'!E345*'Co-Pro Feedstock Breakdown'!J$3*'Feedstock Conversion Rates'!B$13)/12</f>
        <v>1.25</v>
      </c>
      <c r="K343" s="104">
        <f>('Co-Processing'!E345*'Co-Pro Feedstock Breakdown'!K$3*'Feedstock Conversion Rates'!B$12)/12</f>
        <v>1.2916666666666667</v>
      </c>
      <c r="L343" s="106">
        <f t="shared" si="56"/>
        <v>2.541666666666667</v>
      </c>
      <c r="N343" s="104">
        <f t="shared" si="57"/>
        <v>145.78125</v>
      </c>
      <c r="O343" s="104">
        <f t="shared" si="59"/>
        <v>20.348958333333336</v>
      </c>
      <c r="P343" s="104"/>
      <c r="Q343" s="106">
        <f t="shared" si="51"/>
        <v>166.13020833333334</v>
      </c>
      <c r="R343" s="141">
        <f t="shared" si="58"/>
        <v>0</v>
      </c>
      <c r="T343" s="110">
        <f t="shared" si="52"/>
        <v>0.87751199172335947</v>
      </c>
      <c r="U343" s="110">
        <f t="shared" si="52"/>
        <v>0.12248800827664044</v>
      </c>
      <c r="V343" s="110">
        <f t="shared" si="52"/>
        <v>0</v>
      </c>
      <c r="W343" s="110">
        <f t="shared" si="53"/>
        <v>0.99999999999999989</v>
      </c>
      <c r="Y343" s="142">
        <f>T343*'Co-Processing'!K345*'Feedstock Conversion Rates'!B$13</f>
        <v>103.2807510213327</v>
      </c>
      <c r="Z343" s="142">
        <f>U343*'Co-Processing'!K345*'Feedstock Conversion Rates'!B$12</f>
        <v>14.897052187031981</v>
      </c>
      <c r="AA343" s="142">
        <f>V343*'Co-Processing'!K345*'Feedstock Conversion Rates'!B$14</f>
        <v>0</v>
      </c>
      <c r="AB343" s="142">
        <f t="shared" si="55"/>
        <v>118.17780320836468</v>
      </c>
      <c r="AD343" s="142">
        <v>0</v>
      </c>
      <c r="AE343" s="142">
        <v>0</v>
      </c>
      <c r="AF343" s="142">
        <v>0</v>
      </c>
      <c r="AG343" s="142">
        <v>0</v>
      </c>
      <c r="AH343" s="142">
        <v>0</v>
      </c>
    </row>
    <row r="344" spans="1:34" x14ac:dyDescent="0.25">
      <c r="A344" s="96">
        <v>49188</v>
      </c>
      <c r="B344" s="104">
        <f t="shared" si="60"/>
        <v>25</v>
      </c>
      <c r="C344" s="104">
        <f>('Co-Processing'!B346*'Co-Pro Feedstock Breakdown'!C$3*'Feedstock Conversion Rates'!B$12)/12-10-15</f>
        <v>10.520833333333336</v>
      </c>
      <c r="D344" s="106">
        <f t="shared" si="61"/>
        <v>35.520833333333336</v>
      </c>
      <c r="E344" s="104">
        <f>('Co-Processing'!C346*'Co-Pro Feedstock Breakdown'!E$3*'Feedstock Conversion Rates'!B$13)/12</f>
        <v>25.78125</v>
      </c>
      <c r="F344" s="104">
        <f>('Co-Processing'!C346*'Co-Pro Feedstock Breakdown'!F$3*'Feedstock Conversion Rates'!B$14)/12</f>
        <v>8.5364583333333339</v>
      </c>
      <c r="G344" s="106">
        <f t="shared" si="50"/>
        <v>34.317708333333336</v>
      </c>
      <c r="H344" s="104">
        <f>('Co-Processing'!D346*'Co-Pro Feedstock Breakdown'!H$3*'Feedstock Conversion Rates'!B$13)/12</f>
        <v>93.75</v>
      </c>
      <c r="I344" s="106">
        <f t="shared" si="54"/>
        <v>93.75</v>
      </c>
      <c r="J344" s="104">
        <f>('Co-Processing'!E346*'Co-Pro Feedstock Breakdown'!J$3*'Feedstock Conversion Rates'!B$13)/12</f>
        <v>1.25</v>
      </c>
      <c r="K344" s="104">
        <f>('Co-Processing'!E346*'Co-Pro Feedstock Breakdown'!K$3*'Feedstock Conversion Rates'!B$12)/12</f>
        <v>1.2916666666666667</v>
      </c>
      <c r="L344" s="106">
        <f t="shared" si="56"/>
        <v>2.541666666666667</v>
      </c>
      <c r="N344" s="104">
        <f t="shared" si="57"/>
        <v>145.78125</v>
      </c>
      <c r="O344" s="104">
        <f t="shared" si="59"/>
        <v>20.348958333333336</v>
      </c>
      <c r="P344" s="104"/>
      <c r="Q344" s="106">
        <f t="shared" si="51"/>
        <v>166.13020833333334</v>
      </c>
      <c r="R344" s="141">
        <f t="shared" si="58"/>
        <v>0</v>
      </c>
      <c r="T344" s="110">
        <f t="shared" si="52"/>
        <v>0.87751199172335947</v>
      </c>
      <c r="U344" s="110">
        <f t="shared" si="52"/>
        <v>0.12248800827664044</v>
      </c>
      <c r="V344" s="110">
        <f t="shared" si="52"/>
        <v>0</v>
      </c>
      <c r="W344" s="110">
        <f t="shared" si="53"/>
        <v>0.99999999999999989</v>
      </c>
      <c r="Y344" s="142">
        <f>T344*'Co-Processing'!K346*'Feedstock Conversion Rates'!B$13</f>
        <v>92.52766860342085</v>
      </c>
      <c r="Z344" s="142">
        <f>U344*'Co-Processing'!K346*'Feedstock Conversion Rates'!B$12</f>
        <v>13.346044585257264</v>
      </c>
      <c r="AA344" s="142">
        <f>V344*'Co-Processing'!K346*'Feedstock Conversion Rates'!B$14</f>
        <v>0</v>
      </c>
      <c r="AB344" s="142">
        <f t="shared" si="55"/>
        <v>105.87371318867811</v>
      </c>
      <c r="AD344" s="142">
        <v>0</v>
      </c>
      <c r="AE344" s="142">
        <v>0</v>
      </c>
      <c r="AF344" s="142">
        <v>0</v>
      </c>
      <c r="AG344" s="142">
        <v>0</v>
      </c>
      <c r="AH344" s="142">
        <v>0</v>
      </c>
    </row>
    <row r="345" spans="1:34" x14ac:dyDescent="0.25">
      <c r="A345" s="96">
        <v>49218</v>
      </c>
      <c r="B345" s="104">
        <f t="shared" si="60"/>
        <v>25</v>
      </c>
      <c r="C345" s="104">
        <f>('Co-Processing'!B347*'Co-Pro Feedstock Breakdown'!C$3*'Feedstock Conversion Rates'!B$12)/12-10-15</f>
        <v>10.520833333333336</v>
      </c>
      <c r="D345" s="106">
        <f t="shared" si="61"/>
        <v>35.520833333333336</v>
      </c>
      <c r="E345" s="104">
        <f>('Co-Processing'!C347*'Co-Pro Feedstock Breakdown'!E$3*'Feedstock Conversion Rates'!B$13)/12</f>
        <v>25.78125</v>
      </c>
      <c r="F345" s="104">
        <f>('Co-Processing'!C347*'Co-Pro Feedstock Breakdown'!F$3*'Feedstock Conversion Rates'!B$14)/12</f>
        <v>8.5364583333333339</v>
      </c>
      <c r="G345" s="106">
        <f t="shared" si="50"/>
        <v>34.317708333333336</v>
      </c>
      <c r="H345" s="104">
        <f>('Co-Processing'!D347*'Co-Pro Feedstock Breakdown'!H$3*'Feedstock Conversion Rates'!B$13)/12</f>
        <v>93.75</v>
      </c>
      <c r="I345" s="106">
        <f t="shared" si="54"/>
        <v>93.75</v>
      </c>
      <c r="J345" s="104">
        <f>('Co-Processing'!E347*'Co-Pro Feedstock Breakdown'!J$3*'Feedstock Conversion Rates'!B$13)/12</f>
        <v>1.25</v>
      </c>
      <c r="K345" s="104">
        <f>('Co-Processing'!E347*'Co-Pro Feedstock Breakdown'!K$3*'Feedstock Conversion Rates'!B$12)/12</f>
        <v>1.2916666666666667</v>
      </c>
      <c r="L345" s="106">
        <f t="shared" si="56"/>
        <v>2.541666666666667</v>
      </c>
      <c r="N345" s="104">
        <f t="shared" si="57"/>
        <v>145.78125</v>
      </c>
      <c r="O345" s="104">
        <f t="shared" si="59"/>
        <v>20.348958333333336</v>
      </c>
      <c r="P345" s="104"/>
      <c r="Q345" s="106">
        <f t="shared" si="51"/>
        <v>166.13020833333334</v>
      </c>
      <c r="R345" s="141">
        <f t="shared" si="58"/>
        <v>0</v>
      </c>
      <c r="T345" s="110">
        <f t="shared" si="52"/>
        <v>0.87751199172335947</v>
      </c>
      <c r="U345" s="110">
        <f t="shared" si="52"/>
        <v>0.12248800827664044</v>
      </c>
      <c r="V345" s="110">
        <f t="shared" si="52"/>
        <v>0</v>
      </c>
      <c r="W345" s="110">
        <f t="shared" si="53"/>
        <v>0.99999999999999989</v>
      </c>
      <c r="Y345" s="142">
        <f>T345*'Co-Processing'!K347*'Feedstock Conversion Rates'!B$13</f>
        <v>74.313466292490332</v>
      </c>
      <c r="Z345" s="142">
        <f>U345*'Co-Processing'!K347*'Feedstock Conversion Rates'!B$12</f>
        <v>10.718856850003039</v>
      </c>
      <c r="AA345" s="142">
        <f>V345*'Co-Processing'!K347*'Feedstock Conversion Rates'!B$14</f>
        <v>0</v>
      </c>
      <c r="AB345" s="142">
        <f t="shared" si="55"/>
        <v>85.032323142493368</v>
      </c>
      <c r="AD345" s="142">
        <v>0</v>
      </c>
      <c r="AE345" s="142">
        <v>0</v>
      </c>
      <c r="AF345" s="142">
        <v>0</v>
      </c>
      <c r="AG345" s="142">
        <v>0</v>
      </c>
      <c r="AH345" s="142">
        <v>0</v>
      </c>
    </row>
    <row r="346" spans="1:34" x14ac:dyDescent="0.25">
      <c r="A346" s="96">
        <v>49249</v>
      </c>
      <c r="B346" s="104">
        <f t="shared" si="60"/>
        <v>25</v>
      </c>
      <c r="C346" s="104">
        <f>('Co-Processing'!B348*'Co-Pro Feedstock Breakdown'!C$3*'Feedstock Conversion Rates'!B$12)/12-10-15</f>
        <v>10.520833333333336</v>
      </c>
      <c r="D346" s="106">
        <f t="shared" si="61"/>
        <v>35.520833333333336</v>
      </c>
      <c r="E346" s="104">
        <f>('Co-Processing'!C348*'Co-Pro Feedstock Breakdown'!E$3*'Feedstock Conversion Rates'!B$13)/12</f>
        <v>25.78125</v>
      </c>
      <c r="F346" s="104">
        <f>('Co-Processing'!C348*'Co-Pro Feedstock Breakdown'!F$3*'Feedstock Conversion Rates'!B$14)/12</f>
        <v>8.5364583333333339</v>
      </c>
      <c r="G346" s="106">
        <f t="shared" si="50"/>
        <v>34.317708333333336</v>
      </c>
      <c r="H346" s="104">
        <f>('Co-Processing'!D348*'Co-Pro Feedstock Breakdown'!H$3*'Feedstock Conversion Rates'!B$13)/12</f>
        <v>93.75</v>
      </c>
      <c r="I346" s="106">
        <f t="shared" si="54"/>
        <v>93.75</v>
      </c>
      <c r="J346" s="104">
        <f>('Co-Processing'!E348*'Co-Pro Feedstock Breakdown'!J$3*'Feedstock Conversion Rates'!B$13)/12</f>
        <v>1.25</v>
      </c>
      <c r="K346" s="104">
        <f>('Co-Processing'!E348*'Co-Pro Feedstock Breakdown'!K$3*'Feedstock Conversion Rates'!B$12)/12</f>
        <v>1.2916666666666667</v>
      </c>
      <c r="L346" s="106">
        <f t="shared" si="56"/>
        <v>2.541666666666667</v>
      </c>
      <c r="N346" s="104">
        <f t="shared" si="57"/>
        <v>145.78125</v>
      </c>
      <c r="O346" s="104">
        <f t="shared" si="59"/>
        <v>20.348958333333336</v>
      </c>
      <c r="P346" s="104"/>
      <c r="Q346" s="106">
        <f t="shared" si="51"/>
        <v>166.13020833333334</v>
      </c>
      <c r="R346" s="141">
        <f t="shared" si="58"/>
        <v>0</v>
      </c>
      <c r="T346" s="110">
        <f t="shared" si="52"/>
        <v>0.87751199172335947</v>
      </c>
      <c r="U346" s="110">
        <f t="shared" si="52"/>
        <v>0.12248800827664044</v>
      </c>
      <c r="V346" s="110">
        <f t="shared" si="52"/>
        <v>0</v>
      </c>
      <c r="W346" s="110">
        <f t="shared" si="53"/>
        <v>0.99999999999999989</v>
      </c>
      <c r="Y346" s="142">
        <f>T346*'Co-Processing'!K348*'Feedstock Conversion Rates'!B$13</f>
        <v>75.103680959655406</v>
      </c>
      <c r="Z346" s="142">
        <f>U346*'Co-Processing'!K348*'Feedstock Conversion Rates'!B$12</f>
        <v>10.832836163856834</v>
      </c>
      <c r="AA346" s="142">
        <f>V346*'Co-Processing'!K348*'Feedstock Conversion Rates'!B$14</f>
        <v>0</v>
      </c>
      <c r="AB346" s="142">
        <f t="shared" si="55"/>
        <v>85.936517123512246</v>
      </c>
      <c r="AD346" s="142">
        <v>0</v>
      </c>
      <c r="AE346" s="142">
        <v>0</v>
      </c>
      <c r="AF346" s="142">
        <v>0</v>
      </c>
      <c r="AG346" s="142">
        <v>0</v>
      </c>
      <c r="AH346" s="142">
        <v>0</v>
      </c>
    </row>
    <row r="347" spans="1:34" x14ac:dyDescent="0.25">
      <c r="A347" s="96">
        <v>49279</v>
      </c>
      <c r="B347" s="104">
        <f t="shared" si="60"/>
        <v>25</v>
      </c>
      <c r="C347" s="104">
        <f>('Co-Processing'!B349*'Co-Pro Feedstock Breakdown'!C$3*'Feedstock Conversion Rates'!B$12)/12-10-15</f>
        <v>10.520833333333336</v>
      </c>
      <c r="D347" s="106">
        <f t="shared" si="61"/>
        <v>35.520833333333336</v>
      </c>
      <c r="E347" s="104">
        <f>('Co-Processing'!C349*'Co-Pro Feedstock Breakdown'!E$3*'Feedstock Conversion Rates'!B$13)/12</f>
        <v>25.78125</v>
      </c>
      <c r="F347" s="104">
        <f>('Co-Processing'!C349*'Co-Pro Feedstock Breakdown'!F$3*'Feedstock Conversion Rates'!B$14)/12</f>
        <v>8.5364583333333339</v>
      </c>
      <c r="G347" s="106">
        <f t="shared" si="50"/>
        <v>34.317708333333336</v>
      </c>
      <c r="H347" s="104">
        <f>('Co-Processing'!D349*'Co-Pro Feedstock Breakdown'!H$3*'Feedstock Conversion Rates'!B$13)/12</f>
        <v>93.75</v>
      </c>
      <c r="I347" s="106">
        <f t="shared" si="54"/>
        <v>93.75</v>
      </c>
      <c r="J347" s="104">
        <f>('Co-Processing'!E349*'Co-Pro Feedstock Breakdown'!J$3*'Feedstock Conversion Rates'!B$13)/12</f>
        <v>1.25</v>
      </c>
      <c r="K347" s="104">
        <f>('Co-Processing'!E349*'Co-Pro Feedstock Breakdown'!K$3*'Feedstock Conversion Rates'!B$12)/12</f>
        <v>1.2916666666666667</v>
      </c>
      <c r="L347" s="106">
        <f t="shared" si="56"/>
        <v>2.541666666666667</v>
      </c>
      <c r="N347" s="104">
        <f t="shared" si="57"/>
        <v>145.78125</v>
      </c>
      <c r="O347" s="104">
        <f t="shared" si="59"/>
        <v>20.348958333333336</v>
      </c>
      <c r="P347" s="104"/>
      <c r="Q347" s="106">
        <f t="shared" si="51"/>
        <v>166.13020833333334</v>
      </c>
      <c r="R347" s="141">
        <f t="shared" si="58"/>
        <v>0</v>
      </c>
      <c r="T347" s="110">
        <f t="shared" si="52"/>
        <v>0.87751199172335947</v>
      </c>
      <c r="U347" s="110">
        <f t="shared" si="52"/>
        <v>0.12248800827664044</v>
      </c>
      <c r="V347" s="110">
        <f t="shared" si="52"/>
        <v>0</v>
      </c>
      <c r="W347" s="110">
        <f t="shared" si="53"/>
        <v>0.99999999999999989</v>
      </c>
      <c r="Y347" s="142">
        <f>T347*'Co-Processing'!K349*'Feedstock Conversion Rates'!B$13</f>
        <v>77.329054212912183</v>
      </c>
      <c r="Z347" s="142">
        <f>U347*'Co-Processing'!K349*'Feedstock Conversion Rates'!B$12</f>
        <v>11.153820482440498</v>
      </c>
      <c r="AA347" s="142">
        <f>V347*'Co-Processing'!K349*'Feedstock Conversion Rates'!B$14</f>
        <v>0</v>
      </c>
      <c r="AB347" s="142">
        <f t="shared" si="55"/>
        <v>88.482874695352677</v>
      </c>
      <c r="AD347" s="142">
        <v>0</v>
      </c>
      <c r="AE347" s="142">
        <v>0</v>
      </c>
      <c r="AF347" s="142">
        <v>0</v>
      </c>
      <c r="AG347" s="142">
        <v>0</v>
      </c>
      <c r="AH347" s="142">
        <v>0</v>
      </c>
    </row>
    <row r="348" spans="1:34" x14ac:dyDescent="0.25">
      <c r="A348" s="96">
        <v>49310</v>
      </c>
      <c r="B348" s="104">
        <f t="shared" si="60"/>
        <v>25</v>
      </c>
      <c r="C348" s="104">
        <f>('Co-Processing'!B350*'Co-Pro Feedstock Breakdown'!C$3*'Feedstock Conversion Rates'!B$12)/12-10-15</f>
        <v>10.520833333333336</v>
      </c>
      <c r="D348" s="106">
        <f t="shared" si="61"/>
        <v>35.520833333333336</v>
      </c>
      <c r="E348" s="104">
        <f>('Co-Processing'!C350*'Co-Pro Feedstock Breakdown'!E$3*'Feedstock Conversion Rates'!B$13)/12</f>
        <v>25.78125</v>
      </c>
      <c r="F348" s="104">
        <f>('Co-Processing'!C350*'Co-Pro Feedstock Breakdown'!F$3*'Feedstock Conversion Rates'!B$14)/12</f>
        <v>8.5364583333333339</v>
      </c>
      <c r="G348" s="106">
        <f t="shared" si="50"/>
        <v>34.317708333333336</v>
      </c>
      <c r="H348" s="104">
        <f>('Co-Processing'!D350*'Co-Pro Feedstock Breakdown'!H$3*'Feedstock Conversion Rates'!B$13)/12</f>
        <v>93.75</v>
      </c>
      <c r="I348" s="106">
        <f t="shared" si="54"/>
        <v>93.75</v>
      </c>
      <c r="J348" s="104">
        <f>('Co-Processing'!E350*'Co-Pro Feedstock Breakdown'!J$3*'Feedstock Conversion Rates'!B$13)/12</f>
        <v>1.25</v>
      </c>
      <c r="K348" s="104">
        <f>('Co-Processing'!E350*'Co-Pro Feedstock Breakdown'!K$3*'Feedstock Conversion Rates'!B$12)/12</f>
        <v>1.2916666666666667</v>
      </c>
      <c r="L348" s="106">
        <f t="shared" si="56"/>
        <v>2.541666666666667</v>
      </c>
      <c r="N348" s="104">
        <f t="shared" si="57"/>
        <v>145.78125</v>
      </c>
      <c r="O348" s="104">
        <f t="shared" si="59"/>
        <v>20.348958333333336</v>
      </c>
      <c r="P348" s="104"/>
      <c r="Q348" s="106">
        <f t="shared" si="51"/>
        <v>166.13020833333334</v>
      </c>
      <c r="R348" s="141">
        <f t="shared" si="58"/>
        <v>0</v>
      </c>
      <c r="T348" s="110">
        <f t="shared" si="52"/>
        <v>0.87751199172335947</v>
      </c>
      <c r="U348" s="110">
        <f t="shared" si="52"/>
        <v>0.12248800827664044</v>
      </c>
      <c r="V348" s="110">
        <f t="shared" si="52"/>
        <v>0</v>
      </c>
      <c r="W348" s="110">
        <f t="shared" si="53"/>
        <v>0.99999999999999989</v>
      </c>
      <c r="Y348" s="142">
        <f>T348*'Co-Processing'!K350*'Feedstock Conversion Rates'!B$13</f>
        <v>71.433593248222522</v>
      </c>
      <c r="Z348" s="142">
        <f>U348*'Co-Processing'!K350*'Feedstock Conversion Rates'!B$12</f>
        <v>10.303468516666628</v>
      </c>
      <c r="AA348" s="142">
        <f>V348*'Co-Processing'!K350*'Feedstock Conversion Rates'!B$14</f>
        <v>0</v>
      </c>
      <c r="AB348" s="142">
        <f t="shared" si="55"/>
        <v>81.737061764889148</v>
      </c>
      <c r="AD348" s="142">
        <v>0</v>
      </c>
      <c r="AE348" s="142">
        <v>0</v>
      </c>
      <c r="AF348" s="142">
        <v>0</v>
      </c>
      <c r="AG348" s="142">
        <v>0</v>
      </c>
      <c r="AH348" s="142">
        <v>0</v>
      </c>
    </row>
    <row r="349" spans="1:34" x14ac:dyDescent="0.25">
      <c r="A349" s="96">
        <v>49341</v>
      </c>
      <c r="B349" s="104">
        <f t="shared" si="60"/>
        <v>25</v>
      </c>
      <c r="C349" s="104">
        <f>('Co-Processing'!B351*'Co-Pro Feedstock Breakdown'!C$3*'Feedstock Conversion Rates'!B$12)/12-10-15</f>
        <v>10.520833333333336</v>
      </c>
      <c r="D349" s="106">
        <f t="shared" si="61"/>
        <v>35.520833333333336</v>
      </c>
      <c r="E349" s="104">
        <f>('Co-Processing'!C351*'Co-Pro Feedstock Breakdown'!E$3*'Feedstock Conversion Rates'!B$13)/12</f>
        <v>25.78125</v>
      </c>
      <c r="F349" s="104">
        <f>('Co-Processing'!C351*'Co-Pro Feedstock Breakdown'!F$3*'Feedstock Conversion Rates'!B$14)/12</f>
        <v>8.5364583333333339</v>
      </c>
      <c r="G349" s="106">
        <f t="shared" si="50"/>
        <v>34.317708333333336</v>
      </c>
      <c r="H349" s="104">
        <f>('Co-Processing'!D351*'Co-Pro Feedstock Breakdown'!H$3*'Feedstock Conversion Rates'!B$13)/12</f>
        <v>93.75</v>
      </c>
      <c r="I349" s="106">
        <f t="shared" si="54"/>
        <v>93.75</v>
      </c>
      <c r="J349" s="104">
        <f>('Co-Processing'!E351*'Co-Pro Feedstock Breakdown'!J$3*'Feedstock Conversion Rates'!B$13)/12</f>
        <v>1.25</v>
      </c>
      <c r="K349" s="104">
        <f>('Co-Processing'!E351*'Co-Pro Feedstock Breakdown'!K$3*'Feedstock Conversion Rates'!B$12)/12</f>
        <v>1.2916666666666667</v>
      </c>
      <c r="L349" s="106">
        <f t="shared" si="56"/>
        <v>2.541666666666667</v>
      </c>
      <c r="N349" s="104">
        <f t="shared" si="57"/>
        <v>145.78125</v>
      </c>
      <c r="O349" s="104">
        <f t="shared" si="59"/>
        <v>20.348958333333336</v>
      </c>
      <c r="P349" s="104"/>
      <c r="Q349" s="106">
        <f t="shared" si="51"/>
        <v>166.13020833333334</v>
      </c>
      <c r="R349" s="141">
        <f t="shared" si="58"/>
        <v>0</v>
      </c>
      <c r="T349" s="110">
        <f t="shared" si="52"/>
        <v>0.87751199172335947</v>
      </c>
      <c r="U349" s="110">
        <f t="shared" si="52"/>
        <v>0.12248800827664044</v>
      </c>
      <c r="V349" s="110">
        <f t="shared" si="52"/>
        <v>0</v>
      </c>
      <c r="W349" s="110">
        <f t="shared" si="53"/>
        <v>0.99999999999999989</v>
      </c>
      <c r="Y349" s="142">
        <f>T349*'Co-Processing'!K351*'Feedstock Conversion Rates'!B$13</f>
        <v>55.899816530060747</v>
      </c>
      <c r="Z349" s="142">
        <f>U349*'Co-Processing'!K351*'Feedstock Conversion Rates'!B$12</f>
        <v>8.0629011297741666</v>
      </c>
      <c r="AA349" s="142">
        <f>V349*'Co-Processing'!K351*'Feedstock Conversion Rates'!B$14</f>
        <v>0</v>
      </c>
      <c r="AB349" s="142">
        <f t="shared" si="55"/>
        <v>63.962717659834915</v>
      </c>
      <c r="AD349" s="142">
        <v>0</v>
      </c>
      <c r="AE349" s="142">
        <v>0</v>
      </c>
      <c r="AF349" s="142">
        <v>0</v>
      </c>
      <c r="AG349" s="142">
        <v>0</v>
      </c>
      <c r="AH349" s="142">
        <v>0</v>
      </c>
    </row>
    <row r="350" spans="1:34" x14ac:dyDescent="0.25">
      <c r="A350" s="96">
        <v>49369</v>
      </c>
      <c r="B350" s="104">
        <f t="shared" si="60"/>
        <v>25</v>
      </c>
      <c r="C350" s="104">
        <f>('Co-Processing'!B352*'Co-Pro Feedstock Breakdown'!C$3*'Feedstock Conversion Rates'!B$12)/12-10-15</f>
        <v>10.520833333333336</v>
      </c>
      <c r="D350" s="106">
        <f t="shared" si="61"/>
        <v>35.520833333333336</v>
      </c>
      <c r="E350" s="104">
        <f>('Co-Processing'!C352*'Co-Pro Feedstock Breakdown'!E$3*'Feedstock Conversion Rates'!B$13)/12</f>
        <v>25.78125</v>
      </c>
      <c r="F350" s="104">
        <f>('Co-Processing'!C352*'Co-Pro Feedstock Breakdown'!F$3*'Feedstock Conversion Rates'!B$14)/12</f>
        <v>8.5364583333333339</v>
      </c>
      <c r="G350" s="106">
        <f t="shared" si="50"/>
        <v>34.317708333333336</v>
      </c>
      <c r="H350" s="104">
        <f>('Co-Processing'!D352*'Co-Pro Feedstock Breakdown'!H$3*'Feedstock Conversion Rates'!B$13)/12</f>
        <v>93.75</v>
      </c>
      <c r="I350" s="106">
        <f t="shared" si="54"/>
        <v>93.75</v>
      </c>
      <c r="J350" s="104">
        <f>('Co-Processing'!E352*'Co-Pro Feedstock Breakdown'!J$3*'Feedstock Conversion Rates'!B$13)/12</f>
        <v>1.25</v>
      </c>
      <c r="K350" s="104">
        <f>('Co-Processing'!E352*'Co-Pro Feedstock Breakdown'!K$3*'Feedstock Conversion Rates'!B$12)/12</f>
        <v>1.2916666666666667</v>
      </c>
      <c r="L350" s="106">
        <f t="shared" si="56"/>
        <v>2.541666666666667</v>
      </c>
      <c r="N350" s="104">
        <f t="shared" si="57"/>
        <v>145.78125</v>
      </c>
      <c r="O350" s="104">
        <f t="shared" si="59"/>
        <v>20.348958333333336</v>
      </c>
      <c r="P350" s="104"/>
      <c r="Q350" s="106">
        <f t="shared" si="51"/>
        <v>166.13020833333334</v>
      </c>
      <c r="R350" s="141">
        <f t="shared" si="58"/>
        <v>0</v>
      </c>
      <c r="T350" s="110">
        <f t="shared" si="52"/>
        <v>0.87751199172335947</v>
      </c>
      <c r="U350" s="110">
        <f t="shared" si="52"/>
        <v>0.12248800827664044</v>
      </c>
      <c r="V350" s="110">
        <f t="shared" si="52"/>
        <v>0</v>
      </c>
      <c r="W350" s="110">
        <f t="shared" si="53"/>
        <v>0.99999999999999989</v>
      </c>
      <c r="Y350" s="142">
        <f>T350*'Co-Processing'!K352*'Feedstock Conversion Rates'!B$13</f>
        <v>91.884022893223204</v>
      </c>
      <c r="Z350" s="142">
        <f>U350*'Co-Processing'!K352*'Feedstock Conversion Rates'!B$12</f>
        <v>13.253206145955122</v>
      </c>
      <c r="AA350" s="142">
        <f>V350*'Co-Processing'!K352*'Feedstock Conversion Rates'!B$14</f>
        <v>0</v>
      </c>
      <c r="AB350" s="142">
        <f t="shared" si="55"/>
        <v>105.13722903917832</v>
      </c>
      <c r="AD350" s="142">
        <v>0</v>
      </c>
      <c r="AE350" s="142">
        <v>0</v>
      </c>
      <c r="AF350" s="142">
        <v>0</v>
      </c>
      <c r="AG350" s="142">
        <v>0</v>
      </c>
      <c r="AH350" s="142">
        <v>0</v>
      </c>
    </row>
    <row r="351" spans="1:34" x14ac:dyDescent="0.25">
      <c r="A351" s="96">
        <v>49400</v>
      </c>
      <c r="B351" s="104">
        <f t="shared" si="60"/>
        <v>25</v>
      </c>
      <c r="C351" s="104">
        <f>('Co-Processing'!B353*'Co-Pro Feedstock Breakdown'!C$3*'Feedstock Conversion Rates'!B$12)/12-10-15</f>
        <v>10.520833333333336</v>
      </c>
      <c r="D351" s="106">
        <f t="shared" si="61"/>
        <v>35.520833333333336</v>
      </c>
      <c r="E351" s="104">
        <f>('Co-Processing'!C353*'Co-Pro Feedstock Breakdown'!E$3*'Feedstock Conversion Rates'!B$13)/12</f>
        <v>25.78125</v>
      </c>
      <c r="F351" s="104">
        <f>('Co-Processing'!C353*'Co-Pro Feedstock Breakdown'!F$3*'Feedstock Conversion Rates'!B$14)/12</f>
        <v>8.5364583333333339</v>
      </c>
      <c r="G351" s="106">
        <f t="shared" si="50"/>
        <v>34.317708333333336</v>
      </c>
      <c r="H351" s="104">
        <f>('Co-Processing'!D353*'Co-Pro Feedstock Breakdown'!H$3*'Feedstock Conversion Rates'!B$13)/12</f>
        <v>93.75</v>
      </c>
      <c r="I351" s="106">
        <f t="shared" si="54"/>
        <v>93.75</v>
      </c>
      <c r="J351" s="104">
        <f>('Co-Processing'!E353*'Co-Pro Feedstock Breakdown'!J$3*'Feedstock Conversion Rates'!B$13)/12</f>
        <v>1.25</v>
      </c>
      <c r="K351" s="104">
        <f>('Co-Processing'!E353*'Co-Pro Feedstock Breakdown'!K$3*'Feedstock Conversion Rates'!B$12)/12</f>
        <v>1.2916666666666667</v>
      </c>
      <c r="L351" s="106">
        <f t="shared" si="56"/>
        <v>2.541666666666667</v>
      </c>
      <c r="N351" s="104">
        <f t="shared" si="57"/>
        <v>145.78125</v>
      </c>
      <c r="O351" s="104">
        <f t="shared" si="59"/>
        <v>20.348958333333336</v>
      </c>
      <c r="P351" s="104"/>
      <c r="Q351" s="106">
        <f t="shared" si="51"/>
        <v>166.13020833333334</v>
      </c>
      <c r="R351" s="141">
        <f t="shared" si="58"/>
        <v>0</v>
      </c>
      <c r="T351" s="110">
        <f t="shared" si="52"/>
        <v>0.87751199172335947</v>
      </c>
      <c r="U351" s="110">
        <f t="shared" si="52"/>
        <v>0.12248800827664044</v>
      </c>
      <c r="V351" s="110">
        <f t="shared" si="52"/>
        <v>0</v>
      </c>
      <c r="W351" s="110">
        <f t="shared" si="53"/>
        <v>0.99999999999999989</v>
      </c>
      <c r="Y351" s="142">
        <f>T351*'Co-Processing'!K353*'Feedstock Conversion Rates'!B$13</f>
        <v>59.83191559829956</v>
      </c>
      <c r="Z351" s="142">
        <f>U351*'Co-Processing'!K353*'Feedstock Conversion Rates'!B$12</f>
        <v>8.6300608806945913</v>
      </c>
      <c r="AA351" s="142">
        <f>V351*'Co-Processing'!K353*'Feedstock Conversion Rates'!B$14</f>
        <v>0</v>
      </c>
      <c r="AB351" s="142">
        <f t="shared" si="55"/>
        <v>68.461976478994146</v>
      </c>
      <c r="AD351" s="142">
        <v>0</v>
      </c>
      <c r="AE351" s="142">
        <v>0</v>
      </c>
      <c r="AF351" s="142">
        <v>0</v>
      </c>
      <c r="AG351" s="142">
        <v>0</v>
      </c>
      <c r="AH351" s="142">
        <v>0</v>
      </c>
    </row>
    <row r="352" spans="1:34" x14ac:dyDescent="0.25">
      <c r="A352" s="96">
        <v>49430</v>
      </c>
      <c r="B352" s="104">
        <f t="shared" si="60"/>
        <v>25</v>
      </c>
      <c r="C352" s="104">
        <f>('Co-Processing'!B354*'Co-Pro Feedstock Breakdown'!C$3*'Feedstock Conversion Rates'!B$12)/12-10-15</f>
        <v>10.520833333333336</v>
      </c>
      <c r="D352" s="106">
        <f t="shared" si="61"/>
        <v>35.520833333333336</v>
      </c>
      <c r="E352" s="104">
        <f>('Co-Processing'!C354*'Co-Pro Feedstock Breakdown'!E$3*'Feedstock Conversion Rates'!B$13)/12</f>
        <v>25.78125</v>
      </c>
      <c r="F352" s="104">
        <f>('Co-Processing'!C354*'Co-Pro Feedstock Breakdown'!F$3*'Feedstock Conversion Rates'!B$14)/12</f>
        <v>8.5364583333333339</v>
      </c>
      <c r="G352" s="106">
        <f t="shared" si="50"/>
        <v>34.317708333333336</v>
      </c>
      <c r="H352" s="104">
        <f>('Co-Processing'!D354*'Co-Pro Feedstock Breakdown'!H$3*'Feedstock Conversion Rates'!B$13)/12</f>
        <v>93.75</v>
      </c>
      <c r="I352" s="106">
        <f t="shared" si="54"/>
        <v>93.75</v>
      </c>
      <c r="J352" s="104">
        <f>('Co-Processing'!E354*'Co-Pro Feedstock Breakdown'!J$3*'Feedstock Conversion Rates'!B$13)/12</f>
        <v>1.25</v>
      </c>
      <c r="K352" s="104">
        <f>('Co-Processing'!E354*'Co-Pro Feedstock Breakdown'!K$3*'Feedstock Conversion Rates'!B$12)/12</f>
        <v>1.2916666666666667</v>
      </c>
      <c r="L352" s="106">
        <f t="shared" si="56"/>
        <v>2.541666666666667</v>
      </c>
      <c r="N352" s="104">
        <f t="shared" si="57"/>
        <v>145.78125</v>
      </c>
      <c r="O352" s="104">
        <f t="shared" si="59"/>
        <v>20.348958333333336</v>
      </c>
      <c r="P352" s="104"/>
      <c r="Q352" s="106">
        <f t="shared" si="51"/>
        <v>166.13020833333334</v>
      </c>
      <c r="R352" s="141">
        <f t="shared" si="58"/>
        <v>0</v>
      </c>
      <c r="T352" s="110">
        <f t="shared" si="52"/>
        <v>0.87751199172335947</v>
      </c>
      <c r="U352" s="110">
        <f t="shared" si="52"/>
        <v>0.12248800827664044</v>
      </c>
      <c r="V352" s="110">
        <f t="shared" si="52"/>
        <v>0</v>
      </c>
      <c r="W352" s="110">
        <f t="shared" si="53"/>
        <v>0.99999999999999989</v>
      </c>
      <c r="Y352" s="142">
        <f>T352*'Co-Processing'!K354*'Feedstock Conversion Rates'!B$13</f>
        <v>66.122378476006332</v>
      </c>
      <c r="Z352" s="142">
        <f>U352*'Co-Processing'!K354*'Feedstock Conversion Rates'!B$12</f>
        <v>9.5373872976997252</v>
      </c>
      <c r="AA352" s="142">
        <f>V352*'Co-Processing'!K354*'Feedstock Conversion Rates'!B$14</f>
        <v>0</v>
      </c>
      <c r="AB352" s="142">
        <f t="shared" si="55"/>
        <v>75.659765773706056</v>
      </c>
      <c r="AD352" s="142">
        <v>0</v>
      </c>
      <c r="AE352" s="142">
        <v>0</v>
      </c>
      <c r="AF352" s="142">
        <v>0</v>
      </c>
      <c r="AG352" s="142">
        <v>0</v>
      </c>
      <c r="AH352" s="142">
        <v>0</v>
      </c>
    </row>
    <row r="353" spans="1:34" x14ac:dyDescent="0.25">
      <c r="A353" s="96">
        <v>49461</v>
      </c>
      <c r="B353" s="104">
        <f t="shared" si="60"/>
        <v>25</v>
      </c>
      <c r="C353" s="104">
        <f>('Co-Processing'!B355*'Co-Pro Feedstock Breakdown'!C$3*'Feedstock Conversion Rates'!B$12)/12-10-15</f>
        <v>10.520833333333336</v>
      </c>
      <c r="D353" s="106">
        <f t="shared" si="61"/>
        <v>35.520833333333336</v>
      </c>
      <c r="E353" s="104">
        <f>('Co-Processing'!C355*'Co-Pro Feedstock Breakdown'!E$3*'Feedstock Conversion Rates'!B$13)/12</f>
        <v>25.78125</v>
      </c>
      <c r="F353" s="104">
        <f>('Co-Processing'!C355*'Co-Pro Feedstock Breakdown'!F$3*'Feedstock Conversion Rates'!B$14)/12</f>
        <v>8.5364583333333339</v>
      </c>
      <c r="G353" s="106">
        <f t="shared" si="50"/>
        <v>34.317708333333336</v>
      </c>
      <c r="H353" s="104">
        <f>('Co-Processing'!D355*'Co-Pro Feedstock Breakdown'!H$3*'Feedstock Conversion Rates'!B$13)/12</f>
        <v>93.75</v>
      </c>
      <c r="I353" s="106">
        <f t="shared" si="54"/>
        <v>93.75</v>
      </c>
      <c r="J353" s="104">
        <f>('Co-Processing'!E355*'Co-Pro Feedstock Breakdown'!J$3*'Feedstock Conversion Rates'!B$13)/12</f>
        <v>1.25</v>
      </c>
      <c r="K353" s="104">
        <f>('Co-Processing'!E355*'Co-Pro Feedstock Breakdown'!K$3*'Feedstock Conversion Rates'!B$12)/12</f>
        <v>1.2916666666666667</v>
      </c>
      <c r="L353" s="106">
        <f t="shared" si="56"/>
        <v>2.541666666666667</v>
      </c>
      <c r="N353" s="104">
        <f t="shared" si="57"/>
        <v>145.78125</v>
      </c>
      <c r="O353" s="104">
        <f t="shared" si="59"/>
        <v>20.348958333333336</v>
      </c>
      <c r="P353" s="104"/>
      <c r="Q353" s="106">
        <f t="shared" si="51"/>
        <v>166.13020833333334</v>
      </c>
      <c r="R353" s="141">
        <f t="shared" si="58"/>
        <v>0</v>
      </c>
      <c r="T353" s="110">
        <f t="shared" si="52"/>
        <v>0.87751199172335947</v>
      </c>
      <c r="U353" s="110">
        <f t="shared" si="52"/>
        <v>0.12248800827664044</v>
      </c>
      <c r="V353" s="110">
        <f t="shared" si="52"/>
        <v>0</v>
      </c>
      <c r="W353" s="110">
        <f t="shared" si="53"/>
        <v>0.99999999999999989</v>
      </c>
      <c r="Y353" s="142">
        <f>T353*'Co-Processing'!K355*'Feedstock Conversion Rates'!B$13</f>
        <v>89.016575235778618</v>
      </c>
      <c r="Z353" s="142">
        <f>U353*'Co-Processing'!K355*'Feedstock Conversion Rates'!B$12</f>
        <v>12.839610030763129</v>
      </c>
      <c r="AA353" s="142">
        <f>V353*'Co-Processing'!K355*'Feedstock Conversion Rates'!B$14</f>
        <v>0</v>
      </c>
      <c r="AB353" s="142">
        <f t="shared" si="55"/>
        <v>101.85618526654174</v>
      </c>
      <c r="AD353" s="142">
        <v>0</v>
      </c>
      <c r="AE353" s="142">
        <v>0</v>
      </c>
      <c r="AF353" s="142">
        <v>0</v>
      </c>
      <c r="AG353" s="142">
        <v>0</v>
      </c>
      <c r="AH353" s="142">
        <v>0</v>
      </c>
    </row>
    <row r="354" spans="1:34" x14ac:dyDescent="0.25">
      <c r="A354" s="96">
        <v>49491</v>
      </c>
      <c r="B354" s="104">
        <f t="shared" si="60"/>
        <v>25</v>
      </c>
      <c r="C354" s="104">
        <f>('Co-Processing'!B356*'Co-Pro Feedstock Breakdown'!C$3*'Feedstock Conversion Rates'!B$12)/12-10-15</f>
        <v>10.520833333333336</v>
      </c>
      <c r="D354" s="106">
        <f t="shared" si="61"/>
        <v>35.520833333333336</v>
      </c>
      <c r="E354" s="104">
        <f>('Co-Processing'!C356*'Co-Pro Feedstock Breakdown'!E$3*'Feedstock Conversion Rates'!B$13)/12</f>
        <v>25.78125</v>
      </c>
      <c r="F354" s="104">
        <f>('Co-Processing'!C356*'Co-Pro Feedstock Breakdown'!F$3*'Feedstock Conversion Rates'!B$14)/12</f>
        <v>8.5364583333333339</v>
      </c>
      <c r="G354" s="106">
        <f t="shared" si="50"/>
        <v>34.317708333333336</v>
      </c>
      <c r="H354" s="104">
        <f>('Co-Processing'!D356*'Co-Pro Feedstock Breakdown'!H$3*'Feedstock Conversion Rates'!B$13)/12</f>
        <v>93.75</v>
      </c>
      <c r="I354" s="106">
        <f t="shared" si="54"/>
        <v>93.75</v>
      </c>
      <c r="J354" s="104">
        <f>('Co-Processing'!E356*'Co-Pro Feedstock Breakdown'!J$3*'Feedstock Conversion Rates'!B$13)/12</f>
        <v>1.25</v>
      </c>
      <c r="K354" s="104">
        <f>('Co-Processing'!E356*'Co-Pro Feedstock Breakdown'!K$3*'Feedstock Conversion Rates'!B$12)/12</f>
        <v>1.2916666666666667</v>
      </c>
      <c r="L354" s="106">
        <f t="shared" si="56"/>
        <v>2.541666666666667</v>
      </c>
      <c r="N354" s="104">
        <f t="shared" si="57"/>
        <v>145.78125</v>
      </c>
      <c r="O354" s="104">
        <f t="shared" si="59"/>
        <v>20.348958333333336</v>
      </c>
      <c r="P354" s="104"/>
      <c r="Q354" s="106">
        <f t="shared" si="51"/>
        <v>166.13020833333334</v>
      </c>
      <c r="R354" s="141">
        <f t="shared" si="58"/>
        <v>0</v>
      </c>
      <c r="T354" s="110">
        <f t="shared" si="52"/>
        <v>0.87751199172335947</v>
      </c>
      <c r="U354" s="110">
        <f t="shared" si="52"/>
        <v>0.12248800827664044</v>
      </c>
      <c r="V354" s="110">
        <f t="shared" si="52"/>
        <v>0</v>
      </c>
      <c r="W354" s="110">
        <f t="shared" si="53"/>
        <v>0.99999999999999989</v>
      </c>
      <c r="Y354" s="142">
        <f>T354*'Co-Processing'!K356*'Feedstock Conversion Rates'!B$13</f>
        <v>74.300307005634068</v>
      </c>
      <c r="Z354" s="142">
        <f>U354*'Co-Processing'!K356*'Feedstock Conversion Rates'!B$12</f>
        <v>10.716958775278533</v>
      </c>
      <c r="AA354" s="142">
        <f>V354*'Co-Processing'!K356*'Feedstock Conversion Rates'!B$14</f>
        <v>0</v>
      </c>
      <c r="AB354" s="142">
        <f t="shared" si="55"/>
        <v>85.017265780912595</v>
      </c>
      <c r="AD354" s="142">
        <v>0</v>
      </c>
      <c r="AE354" s="142">
        <v>0</v>
      </c>
      <c r="AF354" s="142">
        <v>0</v>
      </c>
      <c r="AG354" s="142">
        <v>0</v>
      </c>
      <c r="AH354" s="142">
        <v>0</v>
      </c>
    </row>
    <row r="355" spans="1:34" x14ac:dyDescent="0.25">
      <c r="A355" s="96">
        <v>49522</v>
      </c>
      <c r="B355" s="104">
        <f t="shared" si="60"/>
        <v>25</v>
      </c>
      <c r="C355" s="104">
        <f>('Co-Processing'!B357*'Co-Pro Feedstock Breakdown'!C$3*'Feedstock Conversion Rates'!B$12)/12-10-15</f>
        <v>10.520833333333336</v>
      </c>
      <c r="D355" s="106">
        <f t="shared" si="61"/>
        <v>35.520833333333336</v>
      </c>
      <c r="E355" s="104">
        <f>('Co-Processing'!C357*'Co-Pro Feedstock Breakdown'!E$3*'Feedstock Conversion Rates'!B$13)/12</f>
        <v>25.78125</v>
      </c>
      <c r="F355" s="104">
        <f>('Co-Processing'!C357*'Co-Pro Feedstock Breakdown'!F$3*'Feedstock Conversion Rates'!B$14)/12</f>
        <v>8.5364583333333339</v>
      </c>
      <c r="G355" s="106">
        <f t="shared" si="50"/>
        <v>34.317708333333336</v>
      </c>
      <c r="H355" s="104">
        <f>('Co-Processing'!D357*'Co-Pro Feedstock Breakdown'!H$3*'Feedstock Conversion Rates'!B$13)/12</f>
        <v>93.75</v>
      </c>
      <c r="I355" s="106">
        <f t="shared" si="54"/>
        <v>93.75</v>
      </c>
      <c r="J355" s="104">
        <f>('Co-Processing'!E357*'Co-Pro Feedstock Breakdown'!J$3*'Feedstock Conversion Rates'!B$13)/12</f>
        <v>1.25</v>
      </c>
      <c r="K355" s="104">
        <f>('Co-Processing'!E357*'Co-Pro Feedstock Breakdown'!K$3*'Feedstock Conversion Rates'!B$12)/12</f>
        <v>1.2916666666666667</v>
      </c>
      <c r="L355" s="106">
        <f t="shared" si="56"/>
        <v>2.541666666666667</v>
      </c>
      <c r="N355" s="104">
        <f t="shared" si="57"/>
        <v>145.78125</v>
      </c>
      <c r="O355" s="104">
        <f t="shared" si="59"/>
        <v>20.348958333333336</v>
      </c>
      <c r="P355" s="104"/>
      <c r="Q355" s="106">
        <f t="shared" si="51"/>
        <v>166.13020833333334</v>
      </c>
      <c r="R355" s="141">
        <f t="shared" si="58"/>
        <v>0</v>
      </c>
      <c r="T355" s="110">
        <f t="shared" si="52"/>
        <v>0.87751199172335947</v>
      </c>
      <c r="U355" s="110">
        <f t="shared" si="52"/>
        <v>0.12248800827664044</v>
      </c>
      <c r="V355" s="110">
        <f t="shared" si="52"/>
        <v>0</v>
      </c>
      <c r="W355" s="110">
        <f t="shared" si="53"/>
        <v>0.99999999999999989</v>
      </c>
      <c r="Y355" s="142">
        <f>T355*'Co-Processing'!K357*'Feedstock Conversion Rates'!B$13</f>
        <v>109.2097966812816</v>
      </c>
      <c r="Z355" s="142">
        <f>U355*'Co-Processing'!K357*'Feedstock Conversion Rates'!B$12</f>
        <v>15.752248356135272</v>
      </c>
      <c r="AA355" s="142">
        <f>V355*'Co-Processing'!K357*'Feedstock Conversion Rates'!B$14</f>
        <v>0</v>
      </c>
      <c r="AB355" s="142">
        <f t="shared" si="55"/>
        <v>124.96204503741687</v>
      </c>
      <c r="AD355" s="142">
        <v>0</v>
      </c>
      <c r="AE355" s="142">
        <v>0</v>
      </c>
      <c r="AF355" s="142">
        <v>0</v>
      </c>
      <c r="AG355" s="142">
        <v>0</v>
      </c>
      <c r="AH355" s="142">
        <v>0</v>
      </c>
    </row>
    <row r="356" spans="1:34" x14ac:dyDescent="0.25">
      <c r="A356" s="96">
        <v>49553</v>
      </c>
      <c r="B356" s="104">
        <f t="shared" si="60"/>
        <v>25</v>
      </c>
      <c r="C356" s="104">
        <f>('Co-Processing'!B358*'Co-Pro Feedstock Breakdown'!C$3*'Feedstock Conversion Rates'!B$12)/12-10-15</f>
        <v>10.520833333333336</v>
      </c>
      <c r="D356" s="106">
        <f t="shared" si="61"/>
        <v>35.520833333333336</v>
      </c>
      <c r="E356" s="104">
        <f>('Co-Processing'!C358*'Co-Pro Feedstock Breakdown'!E$3*'Feedstock Conversion Rates'!B$13)/12</f>
        <v>25.78125</v>
      </c>
      <c r="F356" s="104">
        <f>('Co-Processing'!C358*'Co-Pro Feedstock Breakdown'!F$3*'Feedstock Conversion Rates'!B$14)/12</f>
        <v>8.5364583333333339</v>
      </c>
      <c r="G356" s="106">
        <f t="shared" si="50"/>
        <v>34.317708333333336</v>
      </c>
      <c r="H356" s="104">
        <f>('Co-Processing'!D358*'Co-Pro Feedstock Breakdown'!H$3*'Feedstock Conversion Rates'!B$13)/12</f>
        <v>93.75</v>
      </c>
      <c r="I356" s="106">
        <f t="shared" si="54"/>
        <v>93.75</v>
      </c>
      <c r="J356" s="104">
        <f>('Co-Processing'!E358*'Co-Pro Feedstock Breakdown'!J$3*'Feedstock Conversion Rates'!B$13)/12</f>
        <v>1.25</v>
      </c>
      <c r="K356" s="104">
        <f>('Co-Processing'!E358*'Co-Pro Feedstock Breakdown'!K$3*'Feedstock Conversion Rates'!B$12)/12</f>
        <v>1.2916666666666667</v>
      </c>
      <c r="L356" s="106">
        <f t="shared" si="56"/>
        <v>2.541666666666667</v>
      </c>
      <c r="N356" s="104">
        <f t="shared" si="57"/>
        <v>145.78125</v>
      </c>
      <c r="O356" s="104">
        <f t="shared" si="59"/>
        <v>20.348958333333336</v>
      </c>
      <c r="P356" s="104"/>
      <c r="Q356" s="106">
        <f t="shared" si="51"/>
        <v>166.13020833333334</v>
      </c>
      <c r="R356" s="141">
        <f t="shared" si="58"/>
        <v>0</v>
      </c>
      <c r="T356" s="110">
        <f t="shared" si="52"/>
        <v>0.87751199172335947</v>
      </c>
      <c r="U356" s="110">
        <f t="shared" si="52"/>
        <v>0.12248800827664044</v>
      </c>
      <c r="V356" s="110">
        <f t="shared" si="52"/>
        <v>0</v>
      </c>
      <c r="W356" s="110">
        <f t="shared" si="53"/>
        <v>0.99999999999999989</v>
      </c>
      <c r="Y356" s="142">
        <f>T356*'Co-Processing'!K358*'Feedstock Conversion Rates'!B$13</f>
        <v>98.116451315181621</v>
      </c>
      <c r="Z356" s="142">
        <f>U356*'Co-Processing'!K358*'Feedstock Conversion Rates'!B$12</f>
        <v>14.152161764845607</v>
      </c>
      <c r="AA356" s="142">
        <f>V356*'Co-Processing'!K358*'Feedstock Conversion Rates'!B$14</f>
        <v>0</v>
      </c>
      <c r="AB356" s="142">
        <f t="shared" si="55"/>
        <v>112.26861308002722</v>
      </c>
      <c r="AD356" s="142">
        <v>0</v>
      </c>
      <c r="AE356" s="142">
        <v>0</v>
      </c>
      <c r="AF356" s="142">
        <v>0</v>
      </c>
      <c r="AG356" s="142">
        <v>0</v>
      </c>
      <c r="AH356" s="142">
        <v>0</v>
      </c>
    </row>
    <row r="357" spans="1:34" x14ac:dyDescent="0.25">
      <c r="A357" s="96">
        <v>49583</v>
      </c>
      <c r="B357" s="104">
        <f t="shared" si="60"/>
        <v>25</v>
      </c>
      <c r="C357" s="104">
        <f>('Co-Processing'!B359*'Co-Pro Feedstock Breakdown'!C$3*'Feedstock Conversion Rates'!B$12)/12-10-15</f>
        <v>10.520833333333336</v>
      </c>
      <c r="D357" s="106">
        <f t="shared" si="61"/>
        <v>35.520833333333336</v>
      </c>
      <c r="E357" s="104">
        <f>('Co-Processing'!C359*'Co-Pro Feedstock Breakdown'!E$3*'Feedstock Conversion Rates'!B$13)/12</f>
        <v>25.78125</v>
      </c>
      <c r="F357" s="104">
        <f>('Co-Processing'!C359*'Co-Pro Feedstock Breakdown'!F$3*'Feedstock Conversion Rates'!B$14)/12</f>
        <v>8.5364583333333339</v>
      </c>
      <c r="G357" s="106">
        <f t="shared" si="50"/>
        <v>34.317708333333336</v>
      </c>
      <c r="H357" s="104">
        <f>('Co-Processing'!D359*'Co-Pro Feedstock Breakdown'!H$3*'Feedstock Conversion Rates'!B$13)/12</f>
        <v>93.75</v>
      </c>
      <c r="I357" s="106">
        <f t="shared" si="54"/>
        <v>93.75</v>
      </c>
      <c r="J357" s="104">
        <f>('Co-Processing'!E359*'Co-Pro Feedstock Breakdown'!J$3*'Feedstock Conversion Rates'!B$13)/12</f>
        <v>1.25</v>
      </c>
      <c r="K357" s="104">
        <f>('Co-Processing'!E359*'Co-Pro Feedstock Breakdown'!K$3*'Feedstock Conversion Rates'!B$12)/12</f>
        <v>1.2916666666666667</v>
      </c>
      <c r="L357" s="106">
        <f t="shared" si="56"/>
        <v>2.541666666666667</v>
      </c>
      <c r="N357" s="104">
        <f t="shared" si="57"/>
        <v>145.78125</v>
      </c>
      <c r="O357" s="104">
        <f t="shared" si="59"/>
        <v>20.348958333333336</v>
      </c>
      <c r="P357" s="104"/>
      <c r="Q357" s="106">
        <f t="shared" si="51"/>
        <v>166.13020833333334</v>
      </c>
      <c r="R357" s="141">
        <f t="shared" si="58"/>
        <v>0</v>
      </c>
      <c r="T357" s="110">
        <f t="shared" si="52"/>
        <v>0.87751199172335947</v>
      </c>
      <c r="U357" s="110">
        <f t="shared" si="52"/>
        <v>0.12248800827664044</v>
      </c>
      <c r="V357" s="110">
        <f t="shared" si="52"/>
        <v>0</v>
      </c>
      <c r="W357" s="110">
        <f t="shared" si="53"/>
        <v>0.99999999999999989</v>
      </c>
      <c r="Y357" s="142">
        <f>T357*'Co-Processing'!K359*'Feedstock Conversion Rates'!B$13</f>
        <v>78.871893555429835</v>
      </c>
      <c r="Z357" s="142">
        <f>U357*'Co-Processing'!K359*'Feedstock Conversion Rates'!B$12</f>
        <v>11.376357189178274</v>
      </c>
      <c r="AA357" s="142">
        <f>V357*'Co-Processing'!K359*'Feedstock Conversion Rates'!B$14</f>
        <v>0</v>
      </c>
      <c r="AB357" s="142">
        <f t="shared" si="55"/>
        <v>90.248250744608114</v>
      </c>
      <c r="AD357" s="142">
        <v>0</v>
      </c>
      <c r="AE357" s="142">
        <v>0</v>
      </c>
      <c r="AF357" s="142">
        <v>0</v>
      </c>
      <c r="AG357" s="142">
        <v>0</v>
      </c>
      <c r="AH357" s="142">
        <v>0</v>
      </c>
    </row>
    <row r="358" spans="1:34" x14ac:dyDescent="0.25">
      <c r="A358" s="96">
        <v>49614</v>
      </c>
      <c r="B358" s="104">
        <f t="shared" si="60"/>
        <v>25</v>
      </c>
      <c r="C358" s="104">
        <f>('Co-Processing'!B360*'Co-Pro Feedstock Breakdown'!C$3*'Feedstock Conversion Rates'!B$12)/12-10-15</f>
        <v>10.520833333333336</v>
      </c>
      <c r="D358" s="106">
        <f t="shared" si="61"/>
        <v>35.520833333333336</v>
      </c>
      <c r="E358" s="104">
        <f>('Co-Processing'!C360*'Co-Pro Feedstock Breakdown'!E$3*'Feedstock Conversion Rates'!B$13)/12</f>
        <v>25.78125</v>
      </c>
      <c r="F358" s="104">
        <f>('Co-Processing'!C360*'Co-Pro Feedstock Breakdown'!F$3*'Feedstock Conversion Rates'!B$14)/12</f>
        <v>8.5364583333333339</v>
      </c>
      <c r="G358" s="106">
        <f t="shared" si="50"/>
        <v>34.317708333333336</v>
      </c>
      <c r="H358" s="104">
        <f>('Co-Processing'!D360*'Co-Pro Feedstock Breakdown'!H$3*'Feedstock Conversion Rates'!B$13)/12</f>
        <v>93.75</v>
      </c>
      <c r="I358" s="106">
        <f t="shared" si="54"/>
        <v>93.75</v>
      </c>
      <c r="J358" s="104">
        <f>('Co-Processing'!E360*'Co-Pro Feedstock Breakdown'!J$3*'Feedstock Conversion Rates'!B$13)/12</f>
        <v>1.25</v>
      </c>
      <c r="K358" s="104">
        <f>('Co-Processing'!E360*'Co-Pro Feedstock Breakdown'!K$3*'Feedstock Conversion Rates'!B$12)/12</f>
        <v>1.2916666666666667</v>
      </c>
      <c r="L358" s="106">
        <f t="shared" si="56"/>
        <v>2.541666666666667</v>
      </c>
      <c r="N358" s="104">
        <f t="shared" si="57"/>
        <v>145.78125</v>
      </c>
      <c r="O358" s="104">
        <f t="shared" si="59"/>
        <v>20.348958333333336</v>
      </c>
      <c r="P358" s="104"/>
      <c r="Q358" s="106">
        <f t="shared" si="51"/>
        <v>166.13020833333334</v>
      </c>
      <c r="R358" s="141">
        <f t="shared" si="58"/>
        <v>0</v>
      </c>
      <c r="T358" s="110">
        <f t="shared" si="52"/>
        <v>0.87751199172335947</v>
      </c>
      <c r="U358" s="110">
        <f t="shared" si="52"/>
        <v>0.12248800827664044</v>
      </c>
      <c r="V358" s="110">
        <f t="shared" si="52"/>
        <v>0</v>
      </c>
      <c r="W358" s="110">
        <f t="shared" si="53"/>
        <v>0.99999999999999989</v>
      </c>
      <c r="Y358" s="142">
        <f>T358*'Co-Processing'!K360*'Feedstock Conversion Rates'!B$13</f>
        <v>79.23706587934646</v>
      </c>
      <c r="Z358" s="142">
        <f>U358*'Co-Processing'!K360*'Feedstock Conversion Rates'!B$12</f>
        <v>11.429029067653692</v>
      </c>
      <c r="AA358" s="142">
        <f>V358*'Co-Processing'!K360*'Feedstock Conversion Rates'!B$14</f>
        <v>0</v>
      </c>
      <c r="AB358" s="142">
        <f t="shared" si="55"/>
        <v>90.666094947000147</v>
      </c>
      <c r="AD358" s="142">
        <v>0</v>
      </c>
      <c r="AE358" s="142">
        <v>0</v>
      </c>
      <c r="AF358" s="142">
        <v>0</v>
      </c>
      <c r="AG358" s="142">
        <v>0</v>
      </c>
      <c r="AH358" s="142">
        <v>0</v>
      </c>
    </row>
    <row r="359" spans="1:34" x14ac:dyDescent="0.25">
      <c r="A359" s="96">
        <v>49644</v>
      </c>
      <c r="B359" s="104">
        <f t="shared" si="60"/>
        <v>25</v>
      </c>
      <c r="C359" s="104">
        <f>('Co-Processing'!B361*'Co-Pro Feedstock Breakdown'!C$3*'Feedstock Conversion Rates'!B$12)/12-10-15</f>
        <v>10.520833333333336</v>
      </c>
      <c r="D359" s="106">
        <f t="shared" si="61"/>
        <v>35.520833333333336</v>
      </c>
      <c r="E359" s="104">
        <f>('Co-Processing'!C361*'Co-Pro Feedstock Breakdown'!E$3*'Feedstock Conversion Rates'!B$13)/12</f>
        <v>25.78125</v>
      </c>
      <c r="F359" s="104">
        <f>('Co-Processing'!C361*'Co-Pro Feedstock Breakdown'!F$3*'Feedstock Conversion Rates'!B$14)/12</f>
        <v>8.5364583333333339</v>
      </c>
      <c r="G359" s="106">
        <f t="shared" si="50"/>
        <v>34.317708333333336</v>
      </c>
      <c r="H359" s="104">
        <f>('Co-Processing'!D361*'Co-Pro Feedstock Breakdown'!H$3*'Feedstock Conversion Rates'!B$13)/12</f>
        <v>93.75</v>
      </c>
      <c r="I359" s="106">
        <f t="shared" si="54"/>
        <v>93.75</v>
      </c>
      <c r="J359" s="104">
        <f>('Co-Processing'!E361*'Co-Pro Feedstock Breakdown'!J$3*'Feedstock Conversion Rates'!B$13)/12</f>
        <v>1.25</v>
      </c>
      <c r="K359" s="104">
        <f>('Co-Processing'!E361*'Co-Pro Feedstock Breakdown'!K$3*'Feedstock Conversion Rates'!B$12)/12</f>
        <v>1.2916666666666667</v>
      </c>
      <c r="L359" s="106">
        <f t="shared" si="56"/>
        <v>2.541666666666667</v>
      </c>
      <c r="N359" s="104">
        <f t="shared" si="57"/>
        <v>145.78125</v>
      </c>
      <c r="O359" s="104">
        <f t="shared" si="59"/>
        <v>20.348958333333336</v>
      </c>
      <c r="P359" s="104"/>
      <c r="Q359" s="106">
        <f t="shared" si="51"/>
        <v>166.13020833333334</v>
      </c>
      <c r="R359" s="141">
        <f t="shared" si="58"/>
        <v>0</v>
      </c>
      <c r="T359" s="110">
        <f t="shared" si="52"/>
        <v>0.87751199172335947</v>
      </c>
      <c r="U359" s="110">
        <f t="shared" si="52"/>
        <v>0.12248800827664044</v>
      </c>
      <c r="V359" s="110">
        <f t="shared" si="52"/>
        <v>0</v>
      </c>
      <c r="W359" s="110">
        <f t="shared" si="53"/>
        <v>0.99999999999999989</v>
      </c>
      <c r="Y359" s="142">
        <f>T359*'Co-Processing'!K361*'Feedstock Conversion Rates'!B$13</f>
        <v>81.860015409156844</v>
      </c>
      <c r="Z359" s="142">
        <f>U359*'Co-Processing'!K361*'Feedstock Conversion Rates'!B$12</f>
        <v>11.807359159593727</v>
      </c>
      <c r="AA359" s="142">
        <f>V359*'Co-Processing'!K361*'Feedstock Conversion Rates'!B$14</f>
        <v>0</v>
      </c>
      <c r="AB359" s="142">
        <f t="shared" si="55"/>
        <v>93.667374568750574</v>
      </c>
      <c r="AD359" s="142">
        <v>0</v>
      </c>
      <c r="AE359" s="142">
        <v>0</v>
      </c>
      <c r="AF359" s="142">
        <v>0</v>
      </c>
      <c r="AG359" s="142">
        <v>0</v>
      </c>
      <c r="AH359" s="142">
        <v>0</v>
      </c>
    </row>
    <row r="360" spans="1:34" x14ac:dyDescent="0.25">
      <c r="A360" s="96">
        <v>49675</v>
      </c>
      <c r="B360" s="104">
        <f t="shared" si="60"/>
        <v>25</v>
      </c>
      <c r="C360" s="104">
        <f>('Co-Processing'!B362*'Co-Pro Feedstock Breakdown'!C$3*'Feedstock Conversion Rates'!B$12)/12-10-15</f>
        <v>10.520833333333336</v>
      </c>
      <c r="D360" s="106">
        <f t="shared" si="61"/>
        <v>35.520833333333336</v>
      </c>
      <c r="E360" s="104">
        <f>('Co-Processing'!C362*'Co-Pro Feedstock Breakdown'!E$3*'Feedstock Conversion Rates'!B$13)/12</f>
        <v>25.78125</v>
      </c>
      <c r="F360" s="104">
        <f>('Co-Processing'!C362*'Co-Pro Feedstock Breakdown'!F$3*'Feedstock Conversion Rates'!B$14)/12</f>
        <v>8.5364583333333339</v>
      </c>
      <c r="G360" s="106">
        <f t="shared" si="50"/>
        <v>34.317708333333336</v>
      </c>
      <c r="H360" s="104">
        <f>('Co-Processing'!D362*'Co-Pro Feedstock Breakdown'!H$3*'Feedstock Conversion Rates'!B$13)/12</f>
        <v>93.75</v>
      </c>
      <c r="I360" s="106">
        <f t="shared" si="54"/>
        <v>93.75</v>
      </c>
      <c r="J360" s="104">
        <f>('Co-Processing'!E362*'Co-Pro Feedstock Breakdown'!J$3*'Feedstock Conversion Rates'!B$13)/12</f>
        <v>1.25</v>
      </c>
      <c r="K360" s="104">
        <f>('Co-Processing'!E362*'Co-Pro Feedstock Breakdown'!K$3*'Feedstock Conversion Rates'!B$12)/12</f>
        <v>1.2916666666666667</v>
      </c>
      <c r="L360" s="106">
        <f t="shared" si="56"/>
        <v>2.541666666666667</v>
      </c>
      <c r="N360" s="104">
        <f t="shared" si="57"/>
        <v>145.78125</v>
      </c>
      <c r="O360" s="104">
        <f t="shared" si="59"/>
        <v>20.348958333333336</v>
      </c>
      <c r="P360" s="104"/>
      <c r="Q360" s="106">
        <f t="shared" si="51"/>
        <v>166.13020833333334</v>
      </c>
      <c r="R360" s="141">
        <f t="shared" si="58"/>
        <v>0</v>
      </c>
      <c r="T360" s="110">
        <f t="shared" si="52"/>
        <v>0.87751199172335947</v>
      </c>
      <c r="U360" s="110">
        <f t="shared" si="52"/>
        <v>0.12248800827664044</v>
      </c>
      <c r="V360" s="110">
        <f t="shared" si="52"/>
        <v>0</v>
      </c>
      <c r="W360" s="110">
        <f t="shared" si="53"/>
        <v>0.99999999999999989</v>
      </c>
      <c r="Y360" s="142">
        <f>T360*'Co-Processing'!K362*'Feedstock Conversion Rates'!B$13</f>
        <v>69.654182370683714</v>
      </c>
      <c r="Z360" s="142">
        <f>U360*'Co-Processing'!K362*'Feedstock Conversion Rates'!B$12</f>
        <v>10.046809105859356</v>
      </c>
      <c r="AA360" s="142">
        <f>V360*'Co-Processing'!K362*'Feedstock Conversion Rates'!B$14</f>
        <v>0</v>
      </c>
      <c r="AB360" s="142">
        <f t="shared" si="55"/>
        <v>79.700991476543066</v>
      </c>
      <c r="AD360" s="142">
        <v>0</v>
      </c>
      <c r="AE360" s="142">
        <v>0</v>
      </c>
      <c r="AF360" s="142">
        <v>0</v>
      </c>
      <c r="AG360" s="142">
        <v>0</v>
      </c>
      <c r="AH360" s="142">
        <v>0</v>
      </c>
    </row>
    <row r="361" spans="1:34" x14ac:dyDescent="0.25">
      <c r="A361" s="96">
        <v>49706</v>
      </c>
      <c r="B361" s="104">
        <f t="shared" si="60"/>
        <v>25</v>
      </c>
      <c r="C361" s="104">
        <f>('Co-Processing'!B363*'Co-Pro Feedstock Breakdown'!C$3*'Feedstock Conversion Rates'!B$12)/12-10-15</f>
        <v>10.520833333333336</v>
      </c>
      <c r="D361" s="106">
        <f t="shared" si="61"/>
        <v>35.520833333333336</v>
      </c>
      <c r="E361" s="104">
        <f>('Co-Processing'!C363*'Co-Pro Feedstock Breakdown'!E$3*'Feedstock Conversion Rates'!B$13)/12</f>
        <v>25.78125</v>
      </c>
      <c r="F361" s="104">
        <f>('Co-Processing'!C363*'Co-Pro Feedstock Breakdown'!F$3*'Feedstock Conversion Rates'!B$14)/12</f>
        <v>8.5364583333333339</v>
      </c>
      <c r="G361" s="106">
        <f t="shared" si="50"/>
        <v>34.317708333333336</v>
      </c>
      <c r="H361" s="104">
        <f>('Co-Processing'!D363*'Co-Pro Feedstock Breakdown'!H$3*'Feedstock Conversion Rates'!B$13)/12</f>
        <v>93.75</v>
      </c>
      <c r="I361" s="106">
        <f t="shared" si="54"/>
        <v>93.75</v>
      </c>
      <c r="J361" s="104">
        <f>('Co-Processing'!E363*'Co-Pro Feedstock Breakdown'!J$3*'Feedstock Conversion Rates'!B$13)/12</f>
        <v>1.25</v>
      </c>
      <c r="K361" s="104">
        <f>('Co-Processing'!E363*'Co-Pro Feedstock Breakdown'!K$3*'Feedstock Conversion Rates'!B$12)/12</f>
        <v>1.2916666666666667</v>
      </c>
      <c r="L361" s="106">
        <f t="shared" si="56"/>
        <v>2.541666666666667</v>
      </c>
      <c r="N361" s="104">
        <f t="shared" si="57"/>
        <v>145.78125</v>
      </c>
      <c r="O361" s="104">
        <f t="shared" si="59"/>
        <v>20.348958333333336</v>
      </c>
      <c r="P361" s="104"/>
      <c r="Q361" s="106">
        <f t="shared" si="51"/>
        <v>166.13020833333334</v>
      </c>
      <c r="R361" s="141">
        <f t="shared" si="58"/>
        <v>0</v>
      </c>
      <c r="T361" s="110">
        <f t="shared" si="52"/>
        <v>0.87751199172335947</v>
      </c>
      <c r="U361" s="110">
        <f t="shared" si="52"/>
        <v>0.12248800827664044</v>
      </c>
      <c r="V361" s="110">
        <f t="shared" si="52"/>
        <v>0</v>
      </c>
      <c r="W361" s="110">
        <f t="shared" si="53"/>
        <v>0.99999999999999989</v>
      </c>
      <c r="Y361" s="142">
        <f>T361*'Co-Processing'!K363*'Feedstock Conversion Rates'!B$13</f>
        <v>54.43982078997557</v>
      </c>
      <c r="Z361" s="142">
        <f>U361*'Co-Processing'!K363*'Feedstock Conversion Rates'!B$12</f>
        <v>7.8523136532326685</v>
      </c>
      <c r="AA361" s="142">
        <f>V361*'Co-Processing'!K363*'Feedstock Conversion Rates'!B$14</f>
        <v>0</v>
      </c>
      <c r="AB361" s="142">
        <f t="shared" si="55"/>
        <v>62.292134443208241</v>
      </c>
      <c r="AD361" s="142">
        <v>0</v>
      </c>
      <c r="AE361" s="142">
        <v>0</v>
      </c>
      <c r="AF361" s="142">
        <v>0</v>
      </c>
      <c r="AG361" s="142">
        <v>0</v>
      </c>
      <c r="AH361" s="142">
        <v>0</v>
      </c>
    </row>
    <row r="362" spans="1:34" x14ac:dyDescent="0.25">
      <c r="A362" s="96">
        <v>49735</v>
      </c>
      <c r="B362" s="104">
        <f t="shared" si="60"/>
        <v>25</v>
      </c>
      <c r="C362" s="104">
        <f>('Co-Processing'!B364*'Co-Pro Feedstock Breakdown'!C$3*'Feedstock Conversion Rates'!B$12)/12-10-15</f>
        <v>10.520833333333336</v>
      </c>
      <c r="D362" s="106">
        <f t="shared" si="61"/>
        <v>35.520833333333336</v>
      </c>
      <c r="E362" s="104">
        <f>('Co-Processing'!C364*'Co-Pro Feedstock Breakdown'!E$3*'Feedstock Conversion Rates'!B$13)/12</f>
        <v>25.78125</v>
      </c>
      <c r="F362" s="104">
        <f>('Co-Processing'!C364*'Co-Pro Feedstock Breakdown'!F$3*'Feedstock Conversion Rates'!B$14)/12</f>
        <v>8.5364583333333339</v>
      </c>
      <c r="G362" s="106">
        <f t="shared" si="50"/>
        <v>34.317708333333336</v>
      </c>
      <c r="H362" s="104">
        <f>('Co-Processing'!D364*'Co-Pro Feedstock Breakdown'!H$3*'Feedstock Conversion Rates'!B$13)/12</f>
        <v>93.75</v>
      </c>
      <c r="I362" s="106">
        <f t="shared" si="54"/>
        <v>93.75</v>
      </c>
      <c r="J362" s="104">
        <f>('Co-Processing'!E364*'Co-Pro Feedstock Breakdown'!J$3*'Feedstock Conversion Rates'!B$13)/12</f>
        <v>1.25</v>
      </c>
      <c r="K362" s="104">
        <f>('Co-Processing'!E364*'Co-Pro Feedstock Breakdown'!K$3*'Feedstock Conversion Rates'!B$12)/12</f>
        <v>1.2916666666666667</v>
      </c>
      <c r="L362" s="106">
        <f t="shared" si="56"/>
        <v>2.541666666666667</v>
      </c>
      <c r="N362" s="104">
        <f t="shared" si="57"/>
        <v>145.78125</v>
      </c>
      <c r="O362" s="104">
        <f t="shared" si="59"/>
        <v>20.348958333333336</v>
      </c>
      <c r="P362" s="104"/>
      <c r="Q362" s="106">
        <f t="shared" si="51"/>
        <v>166.13020833333334</v>
      </c>
      <c r="R362" s="141">
        <f t="shared" si="58"/>
        <v>0</v>
      </c>
      <c r="T362" s="110">
        <f t="shared" si="52"/>
        <v>0.87751199172335947</v>
      </c>
      <c r="U362" s="110">
        <f t="shared" si="52"/>
        <v>0.12248800827664044</v>
      </c>
      <c r="V362" s="110">
        <f t="shared" si="52"/>
        <v>0</v>
      </c>
      <c r="W362" s="110">
        <f t="shared" si="53"/>
        <v>0.99999999999999989</v>
      </c>
      <c r="Y362" s="142">
        <f>T362*'Co-Processing'!K364*'Feedstock Conversion Rates'!B$13</f>
        <v>89.772925280390822</v>
      </c>
      <c r="Z362" s="142">
        <f>U362*'Co-Processing'!K364*'Feedstock Conversion Rates'!B$12</f>
        <v>12.948704765017384</v>
      </c>
      <c r="AA362" s="142">
        <f>V362*'Co-Processing'!K364*'Feedstock Conversion Rates'!B$14</f>
        <v>0</v>
      </c>
      <c r="AB362" s="142">
        <f t="shared" si="55"/>
        <v>102.7216300454082</v>
      </c>
      <c r="AD362" s="142">
        <v>0</v>
      </c>
      <c r="AE362" s="142">
        <v>0</v>
      </c>
      <c r="AF362" s="142">
        <v>0</v>
      </c>
      <c r="AG362" s="142">
        <v>0</v>
      </c>
      <c r="AH362" s="142">
        <v>0</v>
      </c>
    </row>
    <row r="363" spans="1:34" x14ac:dyDescent="0.25">
      <c r="A363" s="96">
        <v>49766</v>
      </c>
      <c r="B363" s="104">
        <f t="shared" si="60"/>
        <v>25</v>
      </c>
      <c r="C363" s="104">
        <f>('Co-Processing'!B365*'Co-Pro Feedstock Breakdown'!C$3*'Feedstock Conversion Rates'!B$12)/12-10-15</f>
        <v>10.520833333333336</v>
      </c>
      <c r="D363" s="106">
        <f t="shared" si="61"/>
        <v>35.520833333333336</v>
      </c>
      <c r="E363" s="104">
        <f>('Co-Processing'!C365*'Co-Pro Feedstock Breakdown'!E$3*'Feedstock Conversion Rates'!B$13)/12</f>
        <v>25.78125</v>
      </c>
      <c r="F363" s="104">
        <f>('Co-Processing'!C365*'Co-Pro Feedstock Breakdown'!F$3*'Feedstock Conversion Rates'!B$14)/12</f>
        <v>8.5364583333333339</v>
      </c>
      <c r="G363" s="106">
        <f t="shared" si="50"/>
        <v>34.317708333333336</v>
      </c>
      <c r="H363" s="104">
        <f>('Co-Processing'!D365*'Co-Pro Feedstock Breakdown'!H$3*'Feedstock Conversion Rates'!B$13)/12</f>
        <v>93.75</v>
      </c>
      <c r="I363" s="106">
        <f t="shared" si="54"/>
        <v>93.75</v>
      </c>
      <c r="J363" s="104">
        <f>('Co-Processing'!E365*'Co-Pro Feedstock Breakdown'!J$3*'Feedstock Conversion Rates'!B$13)/12</f>
        <v>1.25</v>
      </c>
      <c r="K363" s="104">
        <f>('Co-Processing'!E365*'Co-Pro Feedstock Breakdown'!K$3*'Feedstock Conversion Rates'!B$12)/12</f>
        <v>1.2916666666666667</v>
      </c>
      <c r="L363" s="106">
        <f t="shared" si="56"/>
        <v>2.541666666666667</v>
      </c>
      <c r="N363" s="104">
        <f t="shared" si="57"/>
        <v>145.78125</v>
      </c>
      <c r="O363" s="104">
        <f t="shared" si="59"/>
        <v>20.348958333333336</v>
      </c>
      <c r="P363" s="104"/>
      <c r="Q363" s="106">
        <f t="shared" si="51"/>
        <v>166.13020833333334</v>
      </c>
      <c r="R363" s="141">
        <f t="shared" si="58"/>
        <v>0</v>
      </c>
      <c r="T363" s="110">
        <f t="shared" si="52"/>
        <v>0.87751199172335947</v>
      </c>
      <c r="U363" s="110">
        <f t="shared" si="52"/>
        <v>0.12248800827664044</v>
      </c>
      <c r="V363" s="110">
        <f t="shared" si="52"/>
        <v>0</v>
      </c>
      <c r="W363" s="110">
        <f t="shared" si="53"/>
        <v>0.99999999999999989</v>
      </c>
      <c r="Y363" s="142">
        <f>T363*'Co-Processing'!K365*'Feedstock Conversion Rates'!B$13</f>
        <v>58.523718371477202</v>
      </c>
      <c r="Z363" s="142">
        <f>U363*'Co-Processing'!K365*'Feedstock Conversion Rates'!B$12</f>
        <v>8.4413685816341619</v>
      </c>
      <c r="AA363" s="142">
        <f>V363*'Co-Processing'!K365*'Feedstock Conversion Rates'!B$14</f>
        <v>0</v>
      </c>
      <c r="AB363" s="142">
        <f t="shared" si="55"/>
        <v>66.965086953111367</v>
      </c>
      <c r="AD363" s="142">
        <v>0</v>
      </c>
      <c r="AE363" s="142">
        <v>0</v>
      </c>
      <c r="AF363" s="142">
        <v>0</v>
      </c>
      <c r="AG363" s="142">
        <v>0</v>
      </c>
      <c r="AH363" s="142">
        <v>0</v>
      </c>
    </row>
    <row r="364" spans="1:34" x14ac:dyDescent="0.25">
      <c r="A364" s="96">
        <v>49796</v>
      </c>
      <c r="B364" s="104">
        <f t="shared" si="60"/>
        <v>25</v>
      </c>
      <c r="C364" s="104">
        <f>('Co-Processing'!B366*'Co-Pro Feedstock Breakdown'!C$3*'Feedstock Conversion Rates'!B$12)/12-10-15</f>
        <v>10.520833333333336</v>
      </c>
      <c r="D364" s="106">
        <f t="shared" si="61"/>
        <v>35.520833333333336</v>
      </c>
      <c r="E364" s="104">
        <f>('Co-Processing'!C366*'Co-Pro Feedstock Breakdown'!E$3*'Feedstock Conversion Rates'!B$13)/12</f>
        <v>25.78125</v>
      </c>
      <c r="F364" s="104">
        <f>('Co-Processing'!C366*'Co-Pro Feedstock Breakdown'!F$3*'Feedstock Conversion Rates'!B$14)/12</f>
        <v>8.5364583333333339</v>
      </c>
      <c r="G364" s="106">
        <f t="shared" ref="G364:G427" si="62">SUM(E364:F364)</f>
        <v>34.317708333333336</v>
      </c>
      <c r="H364" s="104">
        <f>('Co-Processing'!D366*'Co-Pro Feedstock Breakdown'!H$3*'Feedstock Conversion Rates'!B$13)/12</f>
        <v>93.75</v>
      </c>
      <c r="I364" s="106">
        <f t="shared" si="54"/>
        <v>93.75</v>
      </c>
      <c r="J364" s="104">
        <f>('Co-Processing'!E366*'Co-Pro Feedstock Breakdown'!J$3*'Feedstock Conversion Rates'!B$13)/12</f>
        <v>1.25</v>
      </c>
      <c r="K364" s="104">
        <f>('Co-Processing'!E366*'Co-Pro Feedstock Breakdown'!K$3*'Feedstock Conversion Rates'!B$12)/12</f>
        <v>1.2916666666666667</v>
      </c>
      <c r="L364" s="106">
        <f t="shared" si="56"/>
        <v>2.541666666666667</v>
      </c>
      <c r="N364" s="104">
        <f t="shared" si="57"/>
        <v>145.78125</v>
      </c>
      <c r="O364" s="104">
        <f t="shared" si="59"/>
        <v>20.348958333333336</v>
      </c>
      <c r="P364" s="104"/>
      <c r="Q364" s="106">
        <f t="shared" ref="Q364:Q395" si="63">SUM(N364:P364)</f>
        <v>166.13020833333334</v>
      </c>
      <c r="R364" s="141">
        <f t="shared" si="58"/>
        <v>0</v>
      </c>
      <c r="T364" s="110">
        <f t="shared" ref="T364:V395" si="64">N364/$Q364</f>
        <v>0.87751199172335947</v>
      </c>
      <c r="U364" s="110">
        <f t="shared" si="64"/>
        <v>0.12248800827664044</v>
      </c>
      <c r="V364" s="110">
        <f t="shared" si="64"/>
        <v>0</v>
      </c>
      <c r="W364" s="110">
        <f t="shared" ref="W364:W427" si="65">SUM(T364:V364)</f>
        <v>0.99999999999999989</v>
      </c>
      <c r="Y364" s="142">
        <f>T364*'Co-Processing'!K366*'Feedstock Conversion Rates'!B$13</f>
        <v>64.531462026313719</v>
      </c>
      <c r="Z364" s="142">
        <f>U364*'Co-Processing'!K366*'Feedstock Conversion Rates'!B$12</f>
        <v>9.3079160250578052</v>
      </c>
      <c r="AA364" s="142">
        <f>V364*'Co-Processing'!K366*'Feedstock Conversion Rates'!B$14</f>
        <v>0</v>
      </c>
      <c r="AB364" s="142">
        <f t="shared" si="55"/>
        <v>73.839378051371526</v>
      </c>
      <c r="AD364" s="142">
        <v>0</v>
      </c>
      <c r="AE364" s="142">
        <v>0</v>
      </c>
      <c r="AF364" s="142">
        <v>0</v>
      </c>
      <c r="AG364" s="142">
        <v>0</v>
      </c>
      <c r="AH364" s="142">
        <v>0</v>
      </c>
    </row>
    <row r="365" spans="1:34" x14ac:dyDescent="0.25">
      <c r="A365" s="96">
        <v>49827</v>
      </c>
      <c r="B365" s="104">
        <f t="shared" si="60"/>
        <v>25</v>
      </c>
      <c r="C365" s="104">
        <f>('Co-Processing'!B367*'Co-Pro Feedstock Breakdown'!C$3*'Feedstock Conversion Rates'!B$12)/12-10-15</f>
        <v>10.520833333333336</v>
      </c>
      <c r="D365" s="106">
        <f t="shared" si="61"/>
        <v>35.520833333333336</v>
      </c>
      <c r="E365" s="104">
        <f>('Co-Processing'!C367*'Co-Pro Feedstock Breakdown'!E$3*'Feedstock Conversion Rates'!B$13)/12</f>
        <v>25.78125</v>
      </c>
      <c r="F365" s="104">
        <f>('Co-Processing'!C367*'Co-Pro Feedstock Breakdown'!F$3*'Feedstock Conversion Rates'!B$14)/12</f>
        <v>8.5364583333333339</v>
      </c>
      <c r="G365" s="106">
        <f t="shared" si="62"/>
        <v>34.317708333333336</v>
      </c>
      <c r="H365" s="104">
        <f>('Co-Processing'!D367*'Co-Pro Feedstock Breakdown'!H$3*'Feedstock Conversion Rates'!B$13)/12</f>
        <v>93.75</v>
      </c>
      <c r="I365" s="106">
        <f t="shared" si="54"/>
        <v>93.75</v>
      </c>
      <c r="J365" s="104">
        <f>('Co-Processing'!E367*'Co-Pro Feedstock Breakdown'!J$3*'Feedstock Conversion Rates'!B$13)/12</f>
        <v>1.25</v>
      </c>
      <c r="K365" s="104">
        <f>('Co-Processing'!E367*'Co-Pro Feedstock Breakdown'!K$3*'Feedstock Conversion Rates'!B$12)/12</f>
        <v>1.2916666666666667</v>
      </c>
      <c r="L365" s="106">
        <f t="shared" si="56"/>
        <v>2.541666666666667</v>
      </c>
      <c r="N365" s="104">
        <f t="shared" si="57"/>
        <v>145.78125</v>
      </c>
      <c r="O365" s="104">
        <f t="shared" si="59"/>
        <v>20.348958333333336</v>
      </c>
      <c r="P365" s="104"/>
      <c r="Q365" s="106">
        <f t="shared" si="63"/>
        <v>166.13020833333334</v>
      </c>
      <c r="R365" s="141">
        <f t="shared" si="58"/>
        <v>0</v>
      </c>
      <c r="T365" s="110">
        <f t="shared" si="64"/>
        <v>0.87751199172335947</v>
      </c>
      <c r="U365" s="110">
        <f t="shared" si="64"/>
        <v>0.12248800827664044</v>
      </c>
      <c r="V365" s="110">
        <f t="shared" si="64"/>
        <v>0</v>
      </c>
      <c r="W365" s="110">
        <f t="shared" si="65"/>
        <v>0.99999999999999989</v>
      </c>
      <c r="Y365" s="142">
        <f>T365*'Co-Processing'!K367*'Feedstock Conversion Rates'!B$13</f>
        <v>87.212032666601473</v>
      </c>
      <c r="Z365" s="142">
        <f>U365*'Co-Processing'!K367*'Feedstock Conversion Rates'!B$12</f>
        <v>12.579325664500146</v>
      </c>
      <c r="AA365" s="142">
        <f>V365*'Co-Processing'!K367*'Feedstock Conversion Rates'!B$14</f>
        <v>0</v>
      </c>
      <c r="AB365" s="142">
        <f t="shared" si="55"/>
        <v>99.79135833110162</v>
      </c>
      <c r="AD365" s="142">
        <v>0</v>
      </c>
      <c r="AE365" s="142">
        <v>0</v>
      </c>
      <c r="AF365" s="142">
        <v>0</v>
      </c>
      <c r="AG365" s="142">
        <v>0</v>
      </c>
      <c r="AH365" s="142">
        <v>0</v>
      </c>
    </row>
    <row r="366" spans="1:34" x14ac:dyDescent="0.25">
      <c r="A366" s="96">
        <v>49857</v>
      </c>
      <c r="B366" s="104">
        <f t="shared" si="60"/>
        <v>25</v>
      </c>
      <c r="C366" s="104">
        <f>('Co-Processing'!B368*'Co-Pro Feedstock Breakdown'!C$3*'Feedstock Conversion Rates'!B$12)/12-10-15</f>
        <v>10.520833333333336</v>
      </c>
      <c r="D366" s="106">
        <f t="shared" si="61"/>
        <v>35.520833333333336</v>
      </c>
      <c r="E366" s="104">
        <f>('Co-Processing'!C368*'Co-Pro Feedstock Breakdown'!E$3*'Feedstock Conversion Rates'!B$13)/12</f>
        <v>25.78125</v>
      </c>
      <c r="F366" s="104">
        <f>('Co-Processing'!C368*'Co-Pro Feedstock Breakdown'!F$3*'Feedstock Conversion Rates'!B$14)/12</f>
        <v>8.5364583333333339</v>
      </c>
      <c r="G366" s="106">
        <f t="shared" si="62"/>
        <v>34.317708333333336</v>
      </c>
      <c r="H366" s="104">
        <f>('Co-Processing'!D368*'Co-Pro Feedstock Breakdown'!H$3*'Feedstock Conversion Rates'!B$13)/12</f>
        <v>93.75</v>
      </c>
      <c r="I366" s="106">
        <f t="shared" si="54"/>
        <v>93.75</v>
      </c>
      <c r="J366" s="104">
        <f>('Co-Processing'!E368*'Co-Pro Feedstock Breakdown'!J$3*'Feedstock Conversion Rates'!B$13)/12</f>
        <v>1.25</v>
      </c>
      <c r="K366" s="104">
        <f>('Co-Processing'!E368*'Co-Pro Feedstock Breakdown'!K$3*'Feedstock Conversion Rates'!B$12)/12</f>
        <v>1.2916666666666667</v>
      </c>
      <c r="L366" s="106">
        <f t="shared" si="56"/>
        <v>2.541666666666667</v>
      </c>
      <c r="N366" s="104">
        <f t="shared" si="57"/>
        <v>145.78125</v>
      </c>
      <c r="O366" s="104">
        <f t="shared" si="59"/>
        <v>20.348958333333336</v>
      </c>
      <c r="P366" s="104"/>
      <c r="Q366" s="106">
        <f t="shared" si="63"/>
        <v>166.13020833333334</v>
      </c>
      <c r="R366" s="141">
        <f t="shared" si="58"/>
        <v>0</v>
      </c>
      <c r="T366" s="110">
        <f t="shared" si="64"/>
        <v>0.87751199172335947</v>
      </c>
      <c r="U366" s="110">
        <f t="shared" si="64"/>
        <v>0.12248800827664044</v>
      </c>
      <c r="V366" s="110">
        <f t="shared" si="64"/>
        <v>0</v>
      </c>
      <c r="W366" s="110">
        <f t="shared" si="65"/>
        <v>0.99999999999999989</v>
      </c>
      <c r="Y366" s="142">
        <f>T366*'Co-Processing'!K368*'Feedstock Conversion Rates'!B$13</f>
        <v>72.73332867721679</v>
      </c>
      <c r="Z366" s="142">
        <f>U366*'Co-Processing'!K368*'Feedstock Conversion Rates'!B$12</f>
        <v>10.490940299390816</v>
      </c>
      <c r="AA366" s="142">
        <f>V366*'Co-Processing'!K368*'Feedstock Conversion Rates'!B$14</f>
        <v>0</v>
      </c>
      <c r="AB366" s="142">
        <f t="shared" si="55"/>
        <v>83.224268976607604</v>
      </c>
      <c r="AD366" s="142">
        <v>0</v>
      </c>
      <c r="AE366" s="142">
        <v>0</v>
      </c>
      <c r="AF366" s="142">
        <v>0</v>
      </c>
      <c r="AG366" s="142">
        <v>0</v>
      </c>
      <c r="AH366" s="142">
        <v>0</v>
      </c>
    </row>
    <row r="367" spans="1:34" x14ac:dyDescent="0.25">
      <c r="A367" s="96">
        <v>49888</v>
      </c>
      <c r="B367" s="104">
        <f t="shared" si="60"/>
        <v>25</v>
      </c>
      <c r="C367" s="104">
        <f>('Co-Processing'!B369*'Co-Pro Feedstock Breakdown'!C$3*'Feedstock Conversion Rates'!B$12)/12-10-15</f>
        <v>10.520833333333336</v>
      </c>
      <c r="D367" s="106">
        <f t="shared" si="61"/>
        <v>35.520833333333336</v>
      </c>
      <c r="E367" s="104">
        <f>('Co-Processing'!C369*'Co-Pro Feedstock Breakdown'!E$3*'Feedstock Conversion Rates'!B$13)/12</f>
        <v>25.78125</v>
      </c>
      <c r="F367" s="104">
        <f>('Co-Processing'!C369*'Co-Pro Feedstock Breakdown'!F$3*'Feedstock Conversion Rates'!B$14)/12</f>
        <v>8.5364583333333339</v>
      </c>
      <c r="G367" s="106">
        <f t="shared" si="62"/>
        <v>34.317708333333336</v>
      </c>
      <c r="H367" s="104">
        <f>('Co-Processing'!D369*'Co-Pro Feedstock Breakdown'!H$3*'Feedstock Conversion Rates'!B$13)/12</f>
        <v>93.75</v>
      </c>
      <c r="I367" s="106">
        <f t="shared" si="54"/>
        <v>93.75</v>
      </c>
      <c r="J367" s="104">
        <f>('Co-Processing'!E369*'Co-Pro Feedstock Breakdown'!J$3*'Feedstock Conversion Rates'!B$13)/12</f>
        <v>1.25</v>
      </c>
      <c r="K367" s="104">
        <f>('Co-Processing'!E369*'Co-Pro Feedstock Breakdown'!K$3*'Feedstock Conversion Rates'!B$12)/12</f>
        <v>1.2916666666666667</v>
      </c>
      <c r="L367" s="106">
        <f t="shared" si="56"/>
        <v>2.541666666666667</v>
      </c>
      <c r="N367" s="104">
        <f t="shared" si="57"/>
        <v>145.78125</v>
      </c>
      <c r="O367" s="104">
        <f t="shared" si="59"/>
        <v>20.348958333333336</v>
      </c>
      <c r="P367" s="104"/>
      <c r="Q367" s="106">
        <f t="shared" si="63"/>
        <v>166.13020833333334</v>
      </c>
      <c r="R367" s="141">
        <f t="shared" si="58"/>
        <v>0</v>
      </c>
      <c r="T367" s="110">
        <f t="shared" si="64"/>
        <v>0.87751199172335947</v>
      </c>
      <c r="U367" s="110">
        <f t="shared" si="64"/>
        <v>0.12248800827664044</v>
      </c>
      <c r="V367" s="110">
        <f t="shared" si="64"/>
        <v>0</v>
      </c>
      <c r="W367" s="110">
        <f t="shared" si="65"/>
        <v>0.99999999999999989</v>
      </c>
      <c r="Y367" s="142">
        <f>T367*'Co-Processing'!K369*'Feedstock Conversion Rates'!B$13</f>
        <v>106.91308926110329</v>
      </c>
      <c r="Z367" s="142">
        <f>U367*'Co-Processing'!K369*'Feedstock Conversion Rates'!B$12</f>
        <v>15.420974910131058</v>
      </c>
      <c r="AA367" s="142">
        <f>V367*'Co-Processing'!K369*'Feedstock Conversion Rates'!B$14</f>
        <v>0</v>
      </c>
      <c r="AB367" s="142">
        <f t="shared" si="55"/>
        <v>122.33406417123436</v>
      </c>
      <c r="AD367" s="142">
        <v>0</v>
      </c>
      <c r="AE367" s="142">
        <v>0</v>
      </c>
      <c r="AF367" s="142">
        <v>0</v>
      </c>
      <c r="AG367" s="142">
        <v>0</v>
      </c>
      <c r="AH367" s="142">
        <v>0</v>
      </c>
    </row>
    <row r="368" spans="1:34" x14ac:dyDescent="0.25">
      <c r="A368" s="96">
        <v>49919</v>
      </c>
      <c r="B368" s="104">
        <f t="shared" si="60"/>
        <v>25</v>
      </c>
      <c r="C368" s="104">
        <f>('Co-Processing'!B370*'Co-Pro Feedstock Breakdown'!C$3*'Feedstock Conversion Rates'!B$12)/12-10-15</f>
        <v>10.520833333333336</v>
      </c>
      <c r="D368" s="106">
        <f t="shared" si="61"/>
        <v>35.520833333333336</v>
      </c>
      <c r="E368" s="104">
        <f>('Co-Processing'!C370*'Co-Pro Feedstock Breakdown'!E$3*'Feedstock Conversion Rates'!B$13)/12</f>
        <v>25.78125</v>
      </c>
      <c r="F368" s="104">
        <f>('Co-Processing'!C370*'Co-Pro Feedstock Breakdown'!F$3*'Feedstock Conversion Rates'!B$14)/12</f>
        <v>8.5364583333333339</v>
      </c>
      <c r="G368" s="106">
        <f t="shared" si="62"/>
        <v>34.317708333333336</v>
      </c>
      <c r="H368" s="104">
        <f>('Co-Processing'!D370*'Co-Pro Feedstock Breakdown'!H$3*'Feedstock Conversion Rates'!B$13)/12</f>
        <v>93.75</v>
      </c>
      <c r="I368" s="106">
        <f t="shared" si="54"/>
        <v>93.75</v>
      </c>
      <c r="J368" s="104">
        <f>('Co-Processing'!E370*'Co-Pro Feedstock Breakdown'!J$3*'Feedstock Conversion Rates'!B$13)/12</f>
        <v>1.25</v>
      </c>
      <c r="K368" s="104">
        <f>('Co-Processing'!E370*'Co-Pro Feedstock Breakdown'!K$3*'Feedstock Conversion Rates'!B$12)/12</f>
        <v>1.2916666666666667</v>
      </c>
      <c r="L368" s="106">
        <f t="shared" si="56"/>
        <v>2.541666666666667</v>
      </c>
      <c r="N368" s="104">
        <f t="shared" si="57"/>
        <v>145.78125</v>
      </c>
      <c r="O368" s="104">
        <f t="shared" si="59"/>
        <v>20.348958333333336</v>
      </c>
      <c r="P368" s="104"/>
      <c r="Q368" s="106">
        <f t="shared" si="63"/>
        <v>166.13020833333334</v>
      </c>
      <c r="R368" s="141">
        <f t="shared" si="58"/>
        <v>0</v>
      </c>
      <c r="T368" s="110">
        <f t="shared" si="64"/>
        <v>0.87751199172335947</v>
      </c>
      <c r="U368" s="110">
        <f t="shared" si="64"/>
        <v>0.12248800827664044</v>
      </c>
      <c r="V368" s="110">
        <f t="shared" si="64"/>
        <v>0</v>
      </c>
      <c r="W368" s="110">
        <f t="shared" si="65"/>
        <v>0.99999999999999989</v>
      </c>
      <c r="Y368" s="142">
        <f>T368*'Co-Processing'!K370*'Feedstock Conversion Rates'!B$13</f>
        <v>95.999767051850355</v>
      </c>
      <c r="Z368" s="142">
        <f>U368*'Co-Processing'!K370*'Feedstock Conversion Rates'!B$12</f>
        <v>13.846854574275289</v>
      </c>
      <c r="AA368" s="142">
        <f>V368*'Co-Processing'!K370*'Feedstock Conversion Rates'!B$14</f>
        <v>0</v>
      </c>
      <c r="AB368" s="142">
        <f t="shared" si="55"/>
        <v>109.84662162612564</v>
      </c>
      <c r="AD368" s="142">
        <v>0</v>
      </c>
      <c r="AE368" s="142">
        <v>0</v>
      </c>
      <c r="AF368" s="142">
        <v>0</v>
      </c>
      <c r="AG368" s="142">
        <v>0</v>
      </c>
      <c r="AH368" s="142">
        <v>0</v>
      </c>
    </row>
    <row r="369" spans="1:34" x14ac:dyDescent="0.25">
      <c r="A369" s="96">
        <v>49949</v>
      </c>
      <c r="B369" s="104">
        <f t="shared" si="60"/>
        <v>25</v>
      </c>
      <c r="C369" s="104">
        <f>('Co-Processing'!B371*'Co-Pro Feedstock Breakdown'!C$3*'Feedstock Conversion Rates'!B$12)/12-10-15</f>
        <v>10.520833333333336</v>
      </c>
      <c r="D369" s="106">
        <f t="shared" si="61"/>
        <v>35.520833333333336</v>
      </c>
      <c r="E369" s="104">
        <f>('Co-Processing'!C371*'Co-Pro Feedstock Breakdown'!E$3*'Feedstock Conversion Rates'!B$13)/12</f>
        <v>25.78125</v>
      </c>
      <c r="F369" s="104">
        <f>('Co-Processing'!C371*'Co-Pro Feedstock Breakdown'!F$3*'Feedstock Conversion Rates'!B$14)/12</f>
        <v>8.5364583333333339</v>
      </c>
      <c r="G369" s="106">
        <f t="shared" si="62"/>
        <v>34.317708333333336</v>
      </c>
      <c r="H369" s="104">
        <f>('Co-Processing'!D371*'Co-Pro Feedstock Breakdown'!H$3*'Feedstock Conversion Rates'!B$13)/12</f>
        <v>93.75</v>
      </c>
      <c r="I369" s="106">
        <f t="shared" si="54"/>
        <v>93.75</v>
      </c>
      <c r="J369" s="104">
        <f>('Co-Processing'!E371*'Co-Pro Feedstock Breakdown'!J$3*'Feedstock Conversion Rates'!B$13)/12</f>
        <v>1.25</v>
      </c>
      <c r="K369" s="104">
        <f>('Co-Processing'!E371*'Co-Pro Feedstock Breakdown'!K$3*'Feedstock Conversion Rates'!B$12)/12</f>
        <v>1.2916666666666667</v>
      </c>
      <c r="L369" s="106">
        <f t="shared" si="56"/>
        <v>2.541666666666667</v>
      </c>
      <c r="N369" s="104">
        <f t="shared" si="57"/>
        <v>145.78125</v>
      </c>
      <c r="O369" s="104">
        <f t="shared" si="59"/>
        <v>20.348958333333336</v>
      </c>
      <c r="P369" s="104"/>
      <c r="Q369" s="106">
        <f t="shared" si="63"/>
        <v>166.13020833333334</v>
      </c>
      <c r="R369" s="141">
        <f t="shared" si="58"/>
        <v>0</v>
      </c>
      <c r="T369" s="110">
        <f t="shared" si="64"/>
        <v>0.87751199172335947</v>
      </c>
      <c r="U369" s="110">
        <f t="shared" si="64"/>
        <v>0.12248800827664044</v>
      </c>
      <c r="V369" s="110">
        <f t="shared" si="64"/>
        <v>0</v>
      </c>
      <c r="W369" s="110">
        <f t="shared" si="65"/>
        <v>0.99999999999999989</v>
      </c>
      <c r="Y369" s="142">
        <f>T369*'Co-Processing'!K371*'Feedstock Conversion Rates'!B$13</f>
        <v>77.129708578919079</v>
      </c>
      <c r="Z369" s="142">
        <f>U369*'Co-Processing'!K371*'Feedstock Conversion Rates'!B$12</f>
        <v>11.125067183461884</v>
      </c>
      <c r="AA369" s="142">
        <f>V369*'Co-Processing'!K371*'Feedstock Conversion Rates'!B$14</f>
        <v>0</v>
      </c>
      <c r="AB369" s="142">
        <f t="shared" si="55"/>
        <v>88.254775762380959</v>
      </c>
      <c r="AD369" s="142">
        <v>0</v>
      </c>
      <c r="AE369" s="142">
        <v>0</v>
      </c>
      <c r="AF369" s="142">
        <v>0</v>
      </c>
      <c r="AG369" s="142">
        <v>0</v>
      </c>
      <c r="AH369" s="142">
        <v>0</v>
      </c>
    </row>
    <row r="370" spans="1:34" x14ac:dyDescent="0.25">
      <c r="A370" s="96">
        <v>49980</v>
      </c>
      <c r="B370" s="104">
        <f t="shared" si="60"/>
        <v>25</v>
      </c>
      <c r="C370" s="104">
        <f>('Co-Processing'!B372*'Co-Pro Feedstock Breakdown'!C$3*'Feedstock Conversion Rates'!B$12)/12-10-15</f>
        <v>10.520833333333336</v>
      </c>
      <c r="D370" s="106">
        <f t="shared" si="61"/>
        <v>35.520833333333336</v>
      </c>
      <c r="E370" s="104">
        <f>('Co-Processing'!C372*'Co-Pro Feedstock Breakdown'!E$3*'Feedstock Conversion Rates'!B$13)/12</f>
        <v>25.78125</v>
      </c>
      <c r="F370" s="104">
        <f>('Co-Processing'!C372*'Co-Pro Feedstock Breakdown'!F$3*'Feedstock Conversion Rates'!B$14)/12</f>
        <v>8.5364583333333339</v>
      </c>
      <c r="G370" s="106">
        <f t="shared" si="62"/>
        <v>34.317708333333336</v>
      </c>
      <c r="H370" s="104">
        <f>('Co-Processing'!D372*'Co-Pro Feedstock Breakdown'!H$3*'Feedstock Conversion Rates'!B$13)/12</f>
        <v>93.75</v>
      </c>
      <c r="I370" s="106">
        <f t="shared" si="54"/>
        <v>93.75</v>
      </c>
      <c r="J370" s="104">
        <f>('Co-Processing'!E372*'Co-Pro Feedstock Breakdown'!J$3*'Feedstock Conversion Rates'!B$13)/12</f>
        <v>1.25</v>
      </c>
      <c r="K370" s="104">
        <f>('Co-Processing'!E372*'Co-Pro Feedstock Breakdown'!K$3*'Feedstock Conversion Rates'!B$12)/12</f>
        <v>1.2916666666666667</v>
      </c>
      <c r="L370" s="106">
        <f t="shared" si="56"/>
        <v>2.541666666666667</v>
      </c>
      <c r="N370" s="104">
        <f t="shared" si="57"/>
        <v>145.78125</v>
      </c>
      <c r="O370" s="104">
        <f t="shared" si="59"/>
        <v>20.348958333333336</v>
      </c>
      <c r="P370" s="104"/>
      <c r="Q370" s="106">
        <f t="shared" si="63"/>
        <v>166.13020833333334</v>
      </c>
      <c r="R370" s="141">
        <f t="shared" si="58"/>
        <v>0</v>
      </c>
      <c r="T370" s="110">
        <f t="shared" si="64"/>
        <v>0.87751199172335947</v>
      </c>
      <c r="U370" s="110">
        <f t="shared" si="64"/>
        <v>0.12248800827664044</v>
      </c>
      <c r="V370" s="110">
        <f t="shared" si="64"/>
        <v>0</v>
      </c>
      <c r="W370" s="110">
        <f t="shared" si="65"/>
        <v>0.99999999999999989</v>
      </c>
      <c r="Y370" s="142">
        <f>T370*'Co-Processing'!K372*'Feedstock Conversion Rates'!B$13</f>
        <v>77.608454070146379</v>
      </c>
      <c r="Z370" s="142">
        <f>U370*'Co-Processing'!K372*'Feedstock Conversion Rates'!B$12</f>
        <v>11.194120675972275</v>
      </c>
      <c r="AA370" s="142">
        <f>V370*'Co-Processing'!K372*'Feedstock Conversion Rates'!B$14</f>
        <v>0</v>
      </c>
      <c r="AB370" s="142">
        <f t="shared" si="55"/>
        <v>88.802574746118651</v>
      </c>
      <c r="AD370" s="142">
        <v>0</v>
      </c>
      <c r="AE370" s="142">
        <v>0</v>
      </c>
      <c r="AF370" s="142">
        <v>0</v>
      </c>
      <c r="AG370" s="142">
        <v>0</v>
      </c>
      <c r="AH370" s="142">
        <v>0</v>
      </c>
    </row>
    <row r="371" spans="1:34" x14ac:dyDescent="0.25">
      <c r="A371" s="96">
        <v>50010</v>
      </c>
      <c r="B371" s="104">
        <f t="shared" si="60"/>
        <v>25</v>
      </c>
      <c r="C371" s="104">
        <f>('Co-Processing'!B373*'Co-Pro Feedstock Breakdown'!C$3*'Feedstock Conversion Rates'!B$12)/12-10-15</f>
        <v>10.520833333333336</v>
      </c>
      <c r="D371" s="106">
        <f t="shared" si="61"/>
        <v>35.520833333333336</v>
      </c>
      <c r="E371" s="104">
        <f>('Co-Processing'!C373*'Co-Pro Feedstock Breakdown'!E$3*'Feedstock Conversion Rates'!B$13)/12</f>
        <v>25.78125</v>
      </c>
      <c r="F371" s="104">
        <f>('Co-Processing'!C373*'Co-Pro Feedstock Breakdown'!F$3*'Feedstock Conversion Rates'!B$14)/12</f>
        <v>8.5364583333333339</v>
      </c>
      <c r="G371" s="106">
        <f t="shared" si="62"/>
        <v>34.317708333333336</v>
      </c>
      <c r="H371" s="104">
        <f>('Co-Processing'!D373*'Co-Pro Feedstock Breakdown'!H$3*'Feedstock Conversion Rates'!B$13)/12</f>
        <v>93.75</v>
      </c>
      <c r="I371" s="106">
        <f t="shared" ref="I371:I434" si="66">H371</f>
        <v>93.75</v>
      </c>
      <c r="J371" s="104">
        <f>('Co-Processing'!E373*'Co-Pro Feedstock Breakdown'!J$3*'Feedstock Conversion Rates'!B$13)/12</f>
        <v>1.25</v>
      </c>
      <c r="K371" s="104">
        <f>('Co-Processing'!E373*'Co-Pro Feedstock Breakdown'!K$3*'Feedstock Conversion Rates'!B$12)/12</f>
        <v>1.2916666666666667</v>
      </c>
      <c r="L371" s="106">
        <f t="shared" si="56"/>
        <v>2.541666666666667</v>
      </c>
      <c r="N371" s="104">
        <f t="shared" si="57"/>
        <v>145.78125</v>
      </c>
      <c r="O371" s="104">
        <f t="shared" si="59"/>
        <v>20.348958333333336</v>
      </c>
      <c r="P371" s="104"/>
      <c r="Q371" s="106">
        <f t="shared" si="63"/>
        <v>166.13020833333334</v>
      </c>
      <c r="R371" s="141">
        <f t="shared" si="58"/>
        <v>0</v>
      </c>
      <c r="T371" s="110">
        <f t="shared" si="64"/>
        <v>0.87751199172335947</v>
      </c>
      <c r="U371" s="110">
        <f t="shared" si="64"/>
        <v>0.12248800827664044</v>
      </c>
      <c r="V371" s="110">
        <f t="shared" si="64"/>
        <v>0</v>
      </c>
      <c r="W371" s="110">
        <f t="shared" si="65"/>
        <v>0.99999999999999989</v>
      </c>
      <c r="Y371" s="142">
        <f>T371*'Co-Processing'!K373*'Feedstock Conversion Rates'!B$13</f>
        <v>80.178838636694351</v>
      </c>
      <c r="Z371" s="142">
        <f>U371*'Co-Processing'!K373*'Feedstock Conversion Rates'!B$12</f>
        <v>11.564868880743729</v>
      </c>
      <c r="AA371" s="142">
        <f>V371*'Co-Processing'!K373*'Feedstock Conversion Rates'!B$14</f>
        <v>0</v>
      </c>
      <c r="AB371" s="142">
        <f t="shared" si="55"/>
        <v>91.743707517438082</v>
      </c>
      <c r="AD371" s="142">
        <v>0</v>
      </c>
      <c r="AE371" s="142">
        <v>0</v>
      </c>
      <c r="AF371" s="142">
        <v>0</v>
      </c>
      <c r="AG371" s="142">
        <v>0</v>
      </c>
      <c r="AH371" s="142">
        <v>0</v>
      </c>
    </row>
    <row r="372" spans="1:34" x14ac:dyDescent="0.25">
      <c r="A372" s="96">
        <v>50041</v>
      </c>
      <c r="B372" s="104">
        <f t="shared" si="60"/>
        <v>25</v>
      </c>
      <c r="C372" s="104">
        <f>('Co-Processing'!B374*'Co-Pro Feedstock Breakdown'!C$3*'Feedstock Conversion Rates'!B$12)/12-10-15</f>
        <v>10.520833333333336</v>
      </c>
      <c r="D372" s="106">
        <f t="shared" si="61"/>
        <v>35.520833333333336</v>
      </c>
      <c r="E372" s="104">
        <f>('Co-Processing'!C374*'Co-Pro Feedstock Breakdown'!E$3*'Feedstock Conversion Rates'!B$13)/12</f>
        <v>25.78125</v>
      </c>
      <c r="F372" s="104">
        <f>('Co-Processing'!C374*'Co-Pro Feedstock Breakdown'!F$3*'Feedstock Conversion Rates'!B$14)/12</f>
        <v>8.5364583333333339</v>
      </c>
      <c r="G372" s="106">
        <f t="shared" si="62"/>
        <v>34.317708333333336</v>
      </c>
      <c r="H372" s="104">
        <f>('Co-Processing'!D374*'Co-Pro Feedstock Breakdown'!H$3*'Feedstock Conversion Rates'!B$13)/12</f>
        <v>93.75</v>
      </c>
      <c r="I372" s="106">
        <f t="shared" si="66"/>
        <v>93.75</v>
      </c>
      <c r="J372" s="104">
        <f>('Co-Processing'!E374*'Co-Pro Feedstock Breakdown'!J$3*'Feedstock Conversion Rates'!B$13)/12</f>
        <v>1.25</v>
      </c>
      <c r="K372" s="104">
        <f>('Co-Processing'!E374*'Co-Pro Feedstock Breakdown'!K$3*'Feedstock Conversion Rates'!B$12)/12</f>
        <v>1.2916666666666667</v>
      </c>
      <c r="L372" s="106">
        <f t="shared" si="56"/>
        <v>2.541666666666667</v>
      </c>
      <c r="N372" s="104">
        <f t="shared" si="57"/>
        <v>145.78125</v>
      </c>
      <c r="O372" s="104">
        <f t="shared" si="59"/>
        <v>20.348958333333336</v>
      </c>
      <c r="P372" s="104"/>
      <c r="Q372" s="106">
        <f t="shared" si="63"/>
        <v>166.13020833333334</v>
      </c>
      <c r="R372" s="141">
        <f t="shared" si="58"/>
        <v>0</v>
      </c>
      <c r="T372" s="110">
        <f t="shared" si="64"/>
        <v>0.87751199172335947</v>
      </c>
      <c r="U372" s="110">
        <f t="shared" si="64"/>
        <v>0.12248800827664044</v>
      </c>
      <c r="V372" s="110">
        <f t="shared" si="64"/>
        <v>0</v>
      </c>
      <c r="W372" s="110">
        <f t="shared" si="65"/>
        <v>0.99999999999999989</v>
      </c>
      <c r="Y372" s="142">
        <f>T372*'Co-Processing'!K374*'Feedstock Conversion Rates'!B$13</f>
        <v>75.314391407002276</v>
      </c>
      <c r="Z372" s="142">
        <f>U372*'Co-Processing'!K374*'Feedstock Conversion Rates'!B$12</f>
        <v>10.863228705539949</v>
      </c>
      <c r="AA372" s="142">
        <f>V372*'Co-Processing'!K374*'Feedstock Conversion Rates'!B$14</f>
        <v>0</v>
      </c>
      <c r="AB372" s="142">
        <f t="shared" si="55"/>
        <v>86.177620112542229</v>
      </c>
      <c r="AD372" s="142">
        <v>0</v>
      </c>
      <c r="AE372" s="142">
        <v>0</v>
      </c>
      <c r="AF372" s="142">
        <v>0</v>
      </c>
      <c r="AG372" s="142">
        <v>0</v>
      </c>
      <c r="AH372" s="142">
        <v>0</v>
      </c>
    </row>
    <row r="373" spans="1:34" x14ac:dyDescent="0.25">
      <c r="A373" s="96">
        <v>50072</v>
      </c>
      <c r="B373" s="104">
        <f t="shared" si="60"/>
        <v>25</v>
      </c>
      <c r="C373" s="104">
        <f>('Co-Processing'!B375*'Co-Pro Feedstock Breakdown'!C$3*'Feedstock Conversion Rates'!B$12)/12-10-15</f>
        <v>10.520833333333336</v>
      </c>
      <c r="D373" s="106">
        <f t="shared" si="61"/>
        <v>35.520833333333336</v>
      </c>
      <c r="E373" s="104">
        <f>('Co-Processing'!C375*'Co-Pro Feedstock Breakdown'!E$3*'Feedstock Conversion Rates'!B$13)/12</f>
        <v>25.78125</v>
      </c>
      <c r="F373" s="104">
        <f>('Co-Processing'!C375*'Co-Pro Feedstock Breakdown'!F$3*'Feedstock Conversion Rates'!B$14)/12</f>
        <v>8.5364583333333339</v>
      </c>
      <c r="G373" s="106">
        <f t="shared" si="62"/>
        <v>34.317708333333336</v>
      </c>
      <c r="H373" s="104">
        <f>('Co-Processing'!D375*'Co-Pro Feedstock Breakdown'!H$3*'Feedstock Conversion Rates'!B$13)/12</f>
        <v>93.75</v>
      </c>
      <c r="I373" s="106">
        <f t="shared" si="66"/>
        <v>93.75</v>
      </c>
      <c r="J373" s="104">
        <f>('Co-Processing'!E375*'Co-Pro Feedstock Breakdown'!J$3*'Feedstock Conversion Rates'!B$13)/12</f>
        <v>1.25</v>
      </c>
      <c r="K373" s="104">
        <f>('Co-Processing'!E375*'Co-Pro Feedstock Breakdown'!K$3*'Feedstock Conversion Rates'!B$12)/12</f>
        <v>1.2916666666666667</v>
      </c>
      <c r="L373" s="106">
        <f t="shared" si="56"/>
        <v>2.541666666666667</v>
      </c>
      <c r="N373" s="104">
        <f t="shared" si="57"/>
        <v>145.78125</v>
      </c>
      <c r="O373" s="104">
        <f t="shared" si="59"/>
        <v>20.348958333333336</v>
      </c>
      <c r="P373" s="104"/>
      <c r="Q373" s="106">
        <f t="shared" si="63"/>
        <v>166.13020833333334</v>
      </c>
      <c r="R373" s="141">
        <f t="shared" si="58"/>
        <v>0</v>
      </c>
      <c r="T373" s="110">
        <f t="shared" si="64"/>
        <v>0.87751199172335947</v>
      </c>
      <c r="U373" s="110">
        <f t="shared" si="64"/>
        <v>0.12248800827664044</v>
      </c>
      <c r="V373" s="110">
        <f t="shared" si="64"/>
        <v>0</v>
      </c>
      <c r="W373" s="110">
        <f t="shared" si="65"/>
        <v>0.99999999999999989</v>
      </c>
      <c r="Y373" s="142">
        <f>T373*'Co-Processing'!K375*'Feedstock Conversion Rates'!B$13</f>
        <v>58.910728448285312</v>
      </c>
      <c r="Z373" s="142">
        <f>U373*'Co-Processing'!K375*'Feedstock Conversion Rates'!B$12</f>
        <v>8.4971903030498659</v>
      </c>
      <c r="AA373" s="142">
        <f>V373*'Co-Processing'!K375*'Feedstock Conversion Rates'!B$14</f>
        <v>0</v>
      </c>
      <c r="AB373" s="142">
        <f t="shared" si="55"/>
        <v>67.407918751335174</v>
      </c>
      <c r="AD373" s="142">
        <v>0</v>
      </c>
      <c r="AE373" s="142">
        <v>0</v>
      </c>
      <c r="AF373" s="142">
        <v>0</v>
      </c>
      <c r="AG373" s="142">
        <v>0</v>
      </c>
      <c r="AH373" s="142">
        <v>0</v>
      </c>
    </row>
    <row r="374" spans="1:34" x14ac:dyDescent="0.25">
      <c r="A374" s="96">
        <v>50100</v>
      </c>
      <c r="B374" s="104">
        <f t="shared" si="60"/>
        <v>25</v>
      </c>
      <c r="C374" s="104">
        <f>('Co-Processing'!B376*'Co-Pro Feedstock Breakdown'!C$3*'Feedstock Conversion Rates'!B$12)/12-10-15</f>
        <v>10.520833333333336</v>
      </c>
      <c r="D374" s="106">
        <f t="shared" si="61"/>
        <v>35.520833333333336</v>
      </c>
      <c r="E374" s="104">
        <f>('Co-Processing'!C376*'Co-Pro Feedstock Breakdown'!E$3*'Feedstock Conversion Rates'!B$13)/12</f>
        <v>25.78125</v>
      </c>
      <c r="F374" s="104">
        <f>('Co-Processing'!C376*'Co-Pro Feedstock Breakdown'!F$3*'Feedstock Conversion Rates'!B$14)/12</f>
        <v>8.5364583333333339</v>
      </c>
      <c r="G374" s="106">
        <f t="shared" si="62"/>
        <v>34.317708333333336</v>
      </c>
      <c r="H374" s="104">
        <f>('Co-Processing'!D376*'Co-Pro Feedstock Breakdown'!H$3*'Feedstock Conversion Rates'!B$13)/12</f>
        <v>93.75</v>
      </c>
      <c r="I374" s="106">
        <f t="shared" si="66"/>
        <v>93.75</v>
      </c>
      <c r="J374" s="104">
        <f>('Co-Processing'!E376*'Co-Pro Feedstock Breakdown'!J$3*'Feedstock Conversion Rates'!B$13)/12</f>
        <v>1.25</v>
      </c>
      <c r="K374" s="104">
        <f>('Co-Processing'!E376*'Co-Pro Feedstock Breakdown'!K$3*'Feedstock Conversion Rates'!B$12)/12</f>
        <v>1.2916666666666667</v>
      </c>
      <c r="L374" s="106">
        <f t="shared" si="56"/>
        <v>2.541666666666667</v>
      </c>
      <c r="N374" s="104">
        <f t="shared" si="57"/>
        <v>145.78125</v>
      </c>
      <c r="O374" s="104">
        <f t="shared" si="59"/>
        <v>20.348958333333336</v>
      </c>
      <c r="P374" s="104"/>
      <c r="Q374" s="106">
        <f t="shared" si="63"/>
        <v>166.13020833333334</v>
      </c>
      <c r="R374" s="141">
        <f t="shared" si="58"/>
        <v>0</v>
      </c>
      <c r="T374" s="110">
        <f t="shared" si="64"/>
        <v>0.87751199172335947</v>
      </c>
      <c r="U374" s="110">
        <f t="shared" si="64"/>
        <v>0.12248800827664044</v>
      </c>
      <c r="V374" s="110">
        <f t="shared" si="64"/>
        <v>0</v>
      </c>
      <c r="W374" s="110">
        <f t="shared" si="65"/>
        <v>0.99999999999999989</v>
      </c>
      <c r="Y374" s="142">
        <f>T374*'Co-Processing'!K376*'Feedstock Conversion Rates'!B$13</f>
        <v>97.175117101347936</v>
      </c>
      <c r="Z374" s="142">
        <f>U374*'Co-Processing'!K376*'Feedstock Conversion Rates'!B$12</f>
        <v>14.016385206578493</v>
      </c>
      <c r="AA374" s="142">
        <f>V374*'Co-Processing'!K376*'Feedstock Conversion Rates'!B$14</f>
        <v>0</v>
      </c>
      <c r="AB374" s="142">
        <f t="shared" si="55"/>
        <v>111.19150230792643</v>
      </c>
      <c r="AD374" s="142">
        <v>0</v>
      </c>
      <c r="AE374" s="142">
        <v>0</v>
      </c>
      <c r="AF374" s="142">
        <v>0</v>
      </c>
      <c r="AG374" s="142">
        <v>0</v>
      </c>
      <c r="AH374" s="142">
        <v>0</v>
      </c>
    </row>
    <row r="375" spans="1:34" x14ac:dyDescent="0.25">
      <c r="A375" s="96">
        <v>50131</v>
      </c>
      <c r="B375" s="104">
        <f t="shared" si="60"/>
        <v>25</v>
      </c>
      <c r="C375" s="104">
        <f>('Co-Processing'!B377*'Co-Pro Feedstock Breakdown'!C$3*'Feedstock Conversion Rates'!B$12)/12-10-15</f>
        <v>10.520833333333336</v>
      </c>
      <c r="D375" s="106">
        <f t="shared" si="61"/>
        <v>35.520833333333336</v>
      </c>
      <c r="E375" s="104">
        <f>('Co-Processing'!C377*'Co-Pro Feedstock Breakdown'!E$3*'Feedstock Conversion Rates'!B$13)/12</f>
        <v>25.78125</v>
      </c>
      <c r="F375" s="104">
        <f>('Co-Processing'!C377*'Co-Pro Feedstock Breakdown'!F$3*'Feedstock Conversion Rates'!B$14)/12</f>
        <v>8.5364583333333339</v>
      </c>
      <c r="G375" s="106">
        <f t="shared" si="62"/>
        <v>34.317708333333336</v>
      </c>
      <c r="H375" s="104">
        <f>('Co-Processing'!D377*'Co-Pro Feedstock Breakdown'!H$3*'Feedstock Conversion Rates'!B$13)/12</f>
        <v>93.75</v>
      </c>
      <c r="I375" s="106">
        <f t="shared" si="66"/>
        <v>93.75</v>
      </c>
      <c r="J375" s="104">
        <f>('Co-Processing'!E377*'Co-Pro Feedstock Breakdown'!J$3*'Feedstock Conversion Rates'!B$13)/12</f>
        <v>1.25</v>
      </c>
      <c r="K375" s="104">
        <f>('Co-Processing'!E377*'Co-Pro Feedstock Breakdown'!K$3*'Feedstock Conversion Rates'!B$12)/12</f>
        <v>1.2916666666666667</v>
      </c>
      <c r="L375" s="106">
        <f t="shared" si="56"/>
        <v>2.541666666666667</v>
      </c>
      <c r="N375" s="104">
        <f t="shared" si="57"/>
        <v>145.78125</v>
      </c>
      <c r="O375" s="104">
        <f t="shared" si="59"/>
        <v>20.348958333333336</v>
      </c>
      <c r="P375" s="104"/>
      <c r="Q375" s="106">
        <f t="shared" si="63"/>
        <v>166.13020833333334</v>
      </c>
      <c r="R375" s="141">
        <f t="shared" si="58"/>
        <v>0</v>
      </c>
      <c r="T375" s="110">
        <f t="shared" si="64"/>
        <v>0.87751199172335947</v>
      </c>
      <c r="U375" s="110">
        <f t="shared" si="64"/>
        <v>0.12248800827664044</v>
      </c>
      <c r="V375" s="110">
        <f t="shared" si="64"/>
        <v>0</v>
      </c>
      <c r="W375" s="110">
        <f t="shared" si="65"/>
        <v>0.99999999999999989</v>
      </c>
      <c r="Y375" s="142">
        <f>T375*'Co-Processing'!K377*'Feedstock Conversion Rates'!B$13</f>
        <v>63.273522819889429</v>
      </c>
      <c r="Z375" s="142">
        <f>U375*'Co-Processing'!K377*'Feedstock Conversion Rates'!B$12</f>
        <v>9.1264728633756675</v>
      </c>
      <c r="AA375" s="142">
        <f>V375*'Co-Processing'!K377*'Feedstock Conversion Rates'!B$14</f>
        <v>0</v>
      </c>
      <c r="AB375" s="142">
        <f t="shared" ref="AB375:AB438" si="67">SUM(Y375:AA375)</f>
        <v>72.399995683265104</v>
      </c>
      <c r="AD375" s="142">
        <v>0</v>
      </c>
      <c r="AE375" s="142">
        <v>0</v>
      </c>
      <c r="AF375" s="142">
        <v>0</v>
      </c>
      <c r="AG375" s="142">
        <v>0</v>
      </c>
      <c r="AH375" s="142">
        <v>0</v>
      </c>
    </row>
    <row r="376" spans="1:34" x14ac:dyDescent="0.25">
      <c r="A376" s="96">
        <v>50161</v>
      </c>
      <c r="B376" s="104">
        <f t="shared" si="60"/>
        <v>25</v>
      </c>
      <c r="C376" s="104">
        <f>('Co-Processing'!B378*'Co-Pro Feedstock Breakdown'!C$3*'Feedstock Conversion Rates'!B$12)/12-10-15</f>
        <v>10.520833333333336</v>
      </c>
      <c r="D376" s="106">
        <f t="shared" si="61"/>
        <v>35.520833333333336</v>
      </c>
      <c r="E376" s="104">
        <f>('Co-Processing'!C378*'Co-Pro Feedstock Breakdown'!E$3*'Feedstock Conversion Rates'!B$13)/12</f>
        <v>25.78125</v>
      </c>
      <c r="F376" s="104">
        <f>('Co-Processing'!C378*'Co-Pro Feedstock Breakdown'!F$3*'Feedstock Conversion Rates'!B$14)/12</f>
        <v>8.5364583333333339</v>
      </c>
      <c r="G376" s="106">
        <f t="shared" si="62"/>
        <v>34.317708333333336</v>
      </c>
      <c r="H376" s="104">
        <f>('Co-Processing'!D378*'Co-Pro Feedstock Breakdown'!H$3*'Feedstock Conversion Rates'!B$13)/12</f>
        <v>93.75</v>
      </c>
      <c r="I376" s="106">
        <f t="shared" si="66"/>
        <v>93.75</v>
      </c>
      <c r="J376" s="104">
        <f>('Co-Processing'!E378*'Co-Pro Feedstock Breakdown'!J$3*'Feedstock Conversion Rates'!B$13)/12</f>
        <v>1.25</v>
      </c>
      <c r="K376" s="104">
        <f>('Co-Processing'!E378*'Co-Pro Feedstock Breakdown'!K$3*'Feedstock Conversion Rates'!B$12)/12</f>
        <v>1.2916666666666667</v>
      </c>
      <c r="L376" s="106">
        <f t="shared" si="56"/>
        <v>2.541666666666667</v>
      </c>
      <c r="N376" s="104">
        <f t="shared" si="57"/>
        <v>145.78125</v>
      </c>
      <c r="O376" s="104">
        <f t="shared" si="59"/>
        <v>20.348958333333336</v>
      </c>
      <c r="P376" s="104"/>
      <c r="Q376" s="106">
        <f t="shared" si="63"/>
        <v>166.13020833333334</v>
      </c>
      <c r="R376" s="141">
        <f t="shared" si="58"/>
        <v>0</v>
      </c>
      <c r="T376" s="110">
        <f t="shared" si="64"/>
        <v>0.87751199172335947</v>
      </c>
      <c r="U376" s="110">
        <f t="shared" si="64"/>
        <v>0.12248800827664044</v>
      </c>
      <c r="V376" s="110">
        <f t="shared" si="64"/>
        <v>0</v>
      </c>
      <c r="W376" s="110">
        <f t="shared" si="65"/>
        <v>0.99999999999999989</v>
      </c>
      <c r="Y376" s="142">
        <f>T376*'Co-Processing'!K378*'Feedstock Conversion Rates'!B$13</f>
        <v>69.65785152798874</v>
      </c>
      <c r="Z376" s="142">
        <f>U376*'Co-Processing'!K378*'Feedstock Conversion Rates'!B$12</f>
        <v>10.047338339306197</v>
      </c>
      <c r="AA376" s="142">
        <f>V376*'Co-Processing'!K378*'Feedstock Conversion Rates'!B$14</f>
        <v>0</v>
      </c>
      <c r="AB376" s="142">
        <f t="shared" si="67"/>
        <v>79.705189867294933</v>
      </c>
      <c r="AD376" s="142">
        <v>0</v>
      </c>
      <c r="AE376" s="142">
        <v>0</v>
      </c>
      <c r="AF376" s="142">
        <v>0</v>
      </c>
      <c r="AG376" s="142">
        <v>0</v>
      </c>
      <c r="AH376" s="142">
        <v>0</v>
      </c>
    </row>
    <row r="377" spans="1:34" x14ac:dyDescent="0.25">
      <c r="A377" s="96">
        <v>50192</v>
      </c>
      <c r="B377" s="104">
        <f t="shared" si="60"/>
        <v>25</v>
      </c>
      <c r="C377" s="104">
        <f>('Co-Processing'!B379*'Co-Pro Feedstock Breakdown'!C$3*'Feedstock Conversion Rates'!B$12)/12-10-15</f>
        <v>10.520833333333336</v>
      </c>
      <c r="D377" s="106">
        <f t="shared" si="61"/>
        <v>35.520833333333336</v>
      </c>
      <c r="E377" s="104">
        <f>('Co-Processing'!C379*'Co-Pro Feedstock Breakdown'!E$3*'Feedstock Conversion Rates'!B$13)/12</f>
        <v>25.78125</v>
      </c>
      <c r="F377" s="104">
        <f>('Co-Processing'!C379*'Co-Pro Feedstock Breakdown'!F$3*'Feedstock Conversion Rates'!B$14)/12</f>
        <v>8.5364583333333339</v>
      </c>
      <c r="G377" s="106">
        <f t="shared" si="62"/>
        <v>34.317708333333336</v>
      </c>
      <c r="H377" s="104">
        <f>('Co-Processing'!D379*'Co-Pro Feedstock Breakdown'!H$3*'Feedstock Conversion Rates'!B$13)/12</f>
        <v>93.75</v>
      </c>
      <c r="I377" s="106">
        <f t="shared" si="66"/>
        <v>93.75</v>
      </c>
      <c r="J377" s="104">
        <f>('Co-Processing'!E379*'Co-Pro Feedstock Breakdown'!J$3*'Feedstock Conversion Rates'!B$13)/12</f>
        <v>1.25</v>
      </c>
      <c r="K377" s="104">
        <f>('Co-Processing'!E379*'Co-Pro Feedstock Breakdown'!K$3*'Feedstock Conversion Rates'!B$12)/12</f>
        <v>1.2916666666666667</v>
      </c>
      <c r="L377" s="106">
        <f t="shared" si="56"/>
        <v>2.541666666666667</v>
      </c>
      <c r="N377" s="104">
        <f t="shared" si="57"/>
        <v>145.78125</v>
      </c>
      <c r="O377" s="104">
        <f t="shared" si="59"/>
        <v>20.348958333333336</v>
      </c>
      <c r="P377" s="104"/>
      <c r="Q377" s="106">
        <f t="shared" si="63"/>
        <v>166.13020833333334</v>
      </c>
      <c r="R377" s="141">
        <f t="shared" si="58"/>
        <v>0</v>
      </c>
      <c r="T377" s="110">
        <f t="shared" si="64"/>
        <v>0.87751199172335947</v>
      </c>
      <c r="U377" s="110">
        <f t="shared" si="64"/>
        <v>0.12248800827664044</v>
      </c>
      <c r="V377" s="110">
        <f t="shared" si="64"/>
        <v>0</v>
      </c>
      <c r="W377" s="110">
        <f t="shared" si="65"/>
        <v>0.99999999999999989</v>
      </c>
      <c r="Y377" s="142">
        <f>T377*'Co-Processing'!K379*'Feedstock Conversion Rates'!B$13</f>
        <v>94.354708215510328</v>
      </c>
      <c r="Z377" s="142">
        <f>U377*'Co-Processing'!K379*'Feedstock Conversion Rates'!B$12</f>
        <v>13.609573889410465</v>
      </c>
      <c r="AA377" s="142">
        <f>V377*'Co-Processing'!K379*'Feedstock Conversion Rates'!B$14</f>
        <v>0</v>
      </c>
      <c r="AB377" s="142">
        <f t="shared" si="67"/>
        <v>107.9642821049208</v>
      </c>
      <c r="AD377" s="142">
        <v>0</v>
      </c>
      <c r="AE377" s="142">
        <v>0</v>
      </c>
      <c r="AF377" s="142">
        <v>0</v>
      </c>
      <c r="AG377" s="142">
        <v>0</v>
      </c>
      <c r="AH377" s="142">
        <v>0</v>
      </c>
    </row>
    <row r="378" spans="1:34" x14ac:dyDescent="0.25">
      <c r="A378" s="96">
        <v>50222</v>
      </c>
      <c r="B378" s="104">
        <f t="shared" si="60"/>
        <v>25</v>
      </c>
      <c r="C378" s="104">
        <f>('Co-Processing'!B380*'Co-Pro Feedstock Breakdown'!C$3*'Feedstock Conversion Rates'!B$12)/12-10-15</f>
        <v>10.520833333333336</v>
      </c>
      <c r="D378" s="106">
        <f t="shared" si="61"/>
        <v>35.520833333333336</v>
      </c>
      <c r="E378" s="104">
        <f>('Co-Processing'!C380*'Co-Pro Feedstock Breakdown'!E$3*'Feedstock Conversion Rates'!B$13)/12</f>
        <v>25.78125</v>
      </c>
      <c r="F378" s="104">
        <f>('Co-Processing'!C380*'Co-Pro Feedstock Breakdown'!F$3*'Feedstock Conversion Rates'!B$14)/12</f>
        <v>8.5364583333333339</v>
      </c>
      <c r="G378" s="106">
        <f t="shared" si="62"/>
        <v>34.317708333333336</v>
      </c>
      <c r="H378" s="104">
        <f>('Co-Processing'!D380*'Co-Pro Feedstock Breakdown'!H$3*'Feedstock Conversion Rates'!B$13)/12</f>
        <v>93.75</v>
      </c>
      <c r="I378" s="106">
        <f t="shared" si="66"/>
        <v>93.75</v>
      </c>
      <c r="J378" s="104">
        <f>('Co-Processing'!E380*'Co-Pro Feedstock Breakdown'!J$3*'Feedstock Conversion Rates'!B$13)/12</f>
        <v>1.25</v>
      </c>
      <c r="K378" s="104">
        <f>('Co-Processing'!E380*'Co-Pro Feedstock Breakdown'!K$3*'Feedstock Conversion Rates'!B$12)/12</f>
        <v>1.2916666666666667</v>
      </c>
      <c r="L378" s="106">
        <f t="shared" si="56"/>
        <v>2.541666666666667</v>
      </c>
      <c r="N378" s="104">
        <f t="shared" si="57"/>
        <v>145.78125</v>
      </c>
      <c r="O378" s="104">
        <f t="shared" si="59"/>
        <v>20.348958333333336</v>
      </c>
      <c r="P378" s="104"/>
      <c r="Q378" s="106">
        <f t="shared" si="63"/>
        <v>166.13020833333334</v>
      </c>
      <c r="R378" s="141">
        <f t="shared" si="58"/>
        <v>0</v>
      </c>
      <c r="T378" s="110">
        <f t="shared" si="64"/>
        <v>0.87751199172335947</v>
      </c>
      <c r="U378" s="110">
        <f t="shared" si="64"/>
        <v>0.12248800827664044</v>
      </c>
      <c r="V378" s="110">
        <f t="shared" si="64"/>
        <v>0</v>
      </c>
      <c r="W378" s="110">
        <f t="shared" si="65"/>
        <v>0.99999999999999989</v>
      </c>
      <c r="Y378" s="142">
        <f>T378*'Co-Processing'!K380*'Feedstock Conversion Rates'!B$13</f>
        <v>78.69971599604493</v>
      </c>
      <c r="Z378" s="142">
        <f>U378*'Co-Processing'!K380*'Feedstock Conversion Rates'!B$12</f>
        <v>11.351522570314367</v>
      </c>
      <c r="AA378" s="142">
        <f>V378*'Co-Processing'!K380*'Feedstock Conversion Rates'!B$14</f>
        <v>0</v>
      </c>
      <c r="AB378" s="142">
        <f t="shared" si="67"/>
        <v>90.051238566359302</v>
      </c>
      <c r="AD378" s="142">
        <v>0</v>
      </c>
      <c r="AE378" s="142">
        <v>0</v>
      </c>
      <c r="AF378" s="142">
        <v>0</v>
      </c>
      <c r="AG378" s="142">
        <v>0</v>
      </c>
      <c r="AH378" s="142">
        <v>0</v>
      </c>
    </row>
    <row r="379" spans="1:34" x14ac:dyDescent="0.25">
      <c r="A379" s="96">
        <v>50253</v>
      </c>
      <c r="B379" s="104">
        <f t="shared" si="60"/>
        <v>25</v>
      </c>
      <c r="C379" s="104">
        <f>('Co-Processing'!B381*'Co-Pro Feedstock Breakdown'!C$3*'Feedstock Conversion Rates'!B$12)/12-10-15</f>
        <v>10.520833333333336</v>
      </c>
      <c r="D379" s="106">
        <f t="shared" si="61"/>
        <v>35.520833333333336</v>
      </c>
      <c r="E379" s="104">
        <f>('Co-Processing'!C381*'Co-Pro Feedstock Breakdown'!E$3*'Feedstock Conversion Rates'!B$13)/12</f>
        <v>25.78125</v>
      </c>
      <c r="F379" s="104">
        <f>('Co-Processing'!C381*'Co-Pro Feedstock Breakdown'!F$3*'Feedstock Conversion Rates'!B$14)/12</f>
        <v>8.5364583333333339</v>
      </c>
      <c r="G379" s="106">
        <f t="shared" si="62"/>
        <v>34.317708333333336</v>
      </c>
      <c r="H379" s="104">
        <f>('Co-Processing'!D381*'Co-Pro Feedstock Breakdown'!H$3*'Feedstock Conversion Rates'!B$13)/12</f>
        <v>93.75</v>
      </c>
      <c r="I379" s="106">
        <f t="shared" si="66"/>
        <v>93.75</v>
      </c>
      <c r="J379" s="104">
        <f>('Co-Processing'!E381*'Co-Pro Feedstock Breakdown'!J$3*'Feedstock Conversion Rates'!B$13)/12</f>
        <v>1.25</v>
      </c>
      <c r="K379" s="104">
        <f>('Co-Processing'!E381*'Co-Pro Feedstock Breakdown'!K$3*'Feedstock Conversion Rates'!B$12)/12</f>
        <v>1.2916666666666667</v>
      </c>
      <c r="L379" s="106">
        <f t="shared" si="56"/>
        <v>2.541666666666667</v>
      </c>
      <c r="N379" s="104">
        <f t="shared" si="57"/>
        <v>145.78125</v>
      </c>
      <c r="O379" s="104">
        <f t="shared" si="59"/>
        <v>20.348958333333336</v>
      </c>
      <c r="P379" s="104"/>
      <c r="Q379" s="106">
        <f t="shared" si="63"/>
        <v>166.13020833333334</v>
      </c>
      <c r="R379" s="141">
        <f t="shared" si="58"/>
        <v>0</v>
      </c>
      <c r="T379" s="110">
        <f t="shared" si="64"/>
        <v>0.87751199172335947</v>
      </c>
      <c r="U379" s="110">
        <f t="shared" si="64"/>
        <v>0.12248800827664044</v>
      </c>
      <c r="V379" s="110">
        <f t="shared" si="64"/>
        <v>0</v>
      </c>
      <c r="W379" s="110">
        <f t="shared" si="65"/>
        <v>0.99999999999999989</v>
      </c>
      <c r="Y379" s="142">
        <f>T379*'Co-Processing'!K381*'Feedstock Conversion Rates'!B$13</f>
        <v>115.62794094486331</v>
      </c>
      <c r="Z379" s="142">
        <f>U379*'Co-Processing'!K381*'Feedstock Conversion Rates'!B$12</f>
        <v>16.677991334308697</v>
      </c>
      <c r="AA379" s="142">
        <f>V379*'Co-Processing'!K381*'Feedstock Conversion Rates'!B$14</f>
        <v>0</v>
      </c>
      <c r="AB379" s="142">
        <f t="shared" si="67"/>
        <v>132.305932279172</v>
      </c>
      <c r="AD379" s="142">
        <v>0</v>
      </c>
      <c r="AE379" s="142">
        <v>0</v>
      </c>
      <c r="AF379" s="142">
        <v>0</v>
      </c>
      <c r="AG379" s="142">
        <v>0</v>
      </c>
      <c r="AH379" s="142">
        <v>0</v>
      </c>
    </row>
    <row r="380" spans="1:34" x14ac:dyDescent="0.25">
      <c r="A380" s="96">
        <v>50284</v>
      </c>
      <c r="B380" s="104">
        <f t="shared" si="60"/>
        <v>25</v>
      </c>
      <c r="C380" s="104">
        <f>('Co-Processing'!B382*'Co-Pro Feedstock Breakdown'!C$3*'Feedstock Conversion Rates'!B$12)/12-10-15</f>
        <v>10.520833333333336</v>
      </c>
      <c r="D380" s="106">
        <f t="shared" si="61"/>
        <v>35.520833333333336</v>
      </c>
      <c r="E380" s="104">
        <f>('Co-Processing'!C382*'Co-Pro Feedstock Breakdown'!E$3*'Feedstock Conversion Rates'!B$13)/12</f>
        <v>25.78125</v>
      </c>
      <c r="F380" s="104">
        <f>('Co-Processing'!C382*'Co-Pro Feedstock Breakdown'!F$3*'Feedstock Conversion Rates'!B$14)/12</f>
        <v>8.5364583333333339</v>
      </c>
      <c r="G380" s="106">
        <f t="shared" si="62"/>
        <v>34.317708333333336</v>
      </c>
      <c r="H380" s="104">
        <f>('Co-Processing'!D382*'Co-Pro Feedstock Breakdown'!H$3*'Feedstock Conversion Rates'!B$13)/12</f>
        <v>93.75</v>
      </c>
      <c r="I380" s="106">
        <f t="shared" si="66"/>
        <v>93.75</v>
      </c>
      <c r="J380" s="104">
        <f>('Co-Processing'!E382*'Co-Pro Feedstock Breakdown'!J$3*'Feedstock Conversion Rates'!B$13)/12</f>
        <v>1.25</v>
      </c>
      <c r="K380" s="104">
        <f>('Co-Processing'!E382*'Co-Pro Feedstock Breakdown'!K$3*'Feedstock Conversion Rates'!B$12)/12</f>
        <v>1.2916666666666667</v>
      </c>
      <c r="L380" s="106">
        <f t="shared" si="56"/>
        <v>2.541666666666667</v>
      </c>
      <c r="N380" s="104">
        <f t="shared" si="57"/>
        <v>145.78125</v>
      </c>
      <c r="O380" s="104">
        <f t="shared" si="59"/>
        <v>20.348958333333336</v>
      </c>
      <c r="P380" s="104"/>
      <c r="Q380" s="106">
        <f t="shared" si="63"/>
        <v>166.13020833333334</v>
      </c>
      <c r="R380" s="141">
        <f t="shared" si="58"/>
        <v>0</v>
      </c>
      <c r="T380" s="110">
        <f t="shared" si="64"/>
        <v>0.87751199172335947</v>
      </c>
      <c r="U380" s="110">
        <f t="shared" si="64"/>
        <v>0.12248800827664044</v>
      </c>
      <c r="V380" s="110">
        <f t="shared" si="64"/>
        <v>0</v>
      </c>
      <c r="W380" s="110">
        <f t="shared" si="65"/>
        <v>0.99999999999999989</v>
      </c>
      <c r="Y380" s="142">
        <f>T380*'Co-Processing'!K382*'Feedstock Conversion Rates'!B$13</f>
        <v>103.76590947015299</v>
      </c>
      <c r="Z380" s="142">
        <f>U380*'Co-Processing'!K382*'Feedstock Conversion Rates'!B$12</f>
        <v>14.967030674403382</v>
      </c>
      <c r="AA380" s="142">
        <f>V380*'Co-Processing'!K382*'Feedstock Conversion Rates'!B$14</f>
        <v>0</v>
      </c>
      <c r="AB380" s="142">
        <f t="shared" si="67"/>
        <v>118.73294014455638</v>
      </c>
      <c r="AD380" s="142">
        <v>0</v>
      </c>
      <c r="AE380" s="142">
        <v>0</v>
      </c>
      <c r="AF380" s="142">
        <v>0</v>
      </c>
      <c r="AG380" s="142">
        <v>0</v>
      </c>
      <c r="AH380" s="142">
        <v>0</v>
      </c>
    </row>
    <row r="381" spans="1:34" x14ac:dyDescent="0.25">
      <c r="A381" s="96">
        <v>50314</v>
      </c>
      <c r="B381" s="104">
        <f t="shared" si="60"/>
        <v>25</v>
      </c>
      <c r="C381" s="104">
        <f>('Co-Processing'!B383*'Co-Pro Feedstock Breakdown'!C$3*'Feedstock Conversion Rates'!B$12)/12-10-15</f>
        <v>10.520833333333336</v>
      </c>
      <c r="D381" s="106">
        <f t="shared" si="61"/>
        <v>35.520833333333336</v>
      </c>
      <c r="E381" s="104">
        <f>('Co-Processing'!C383*'Co-Pro Feedstock Breakdown'!E$3*'Feedstock Conversion Rates'!B$13)/12</f>
        <v>25.78125</v>
      </c>
      <c r="F381" s="104">
        <f>('Co-Processing'!C383*'Co-Pro Feedstock Breakdown'!F$3*'Feedstock Conversion Rates'!B$14)/12</f>
        <v>8.5364583333333339</v>
      </c>
      <c r="G381" s="106">
        <f t="shared" si="62"/>
        <v>34.317708333333336</v>
      </c>
      <c r="H381" s="104">
        <f>('Co-Processing'!D383*'Co-Pro Feedstock Breakdown'!H$3*'Feedstock Conversion Rates'!B$13)/12</f>
        <v>93.75</v>
      </c>
      <c r="I381" s="106">
        <f t="shared" si="66"/>
        <v>93.75</v>
      </c>
      <c r="J381" s="104">
        <f>('Co-Processing'!E383*'Co-Pro Feedstock Breakdown'!J$3*'Feedstock Conversion Rates'!B$13)/12</f>
        <v>1.25</v>
      </c>
      <c r="K381" s="104">
        <f>('Co-Processing'!E383*'Co-Pro Feedstock Breakdown'!K$3*'Feedstock Conversion Rates'!B$12)/12</f>
        <v>1.2916666666666667</v>
      </c>
      <c r="L381" s="106">
        <f t="shared" si="56"/>
        <v>2.541666666666667</v>
      </c>
      <c r="N381" s="104">
        <f t="shared" si="57"/>
        <v>145.78125</v>
      </c>
      <c r="O381" s="104">
        <f t="shared" si="59"/>
        <v>20.348958333333336</v>
      </c>
      <c r="P381" s="104"/>
      <c r="Q381" s="106">
        <f t="shared" si="63"/>
        <v>166.13020833333334</v>
      </c>
      <c r="R381" s="141">
        <f t="shared" si="58"/>
        <v>0</v>
      </c>
      <c r="T381" s="110">
        <f t="shared" si="64"/>
        <v>0.87751199172335947</v>
      </c>
      <c r="U381" s="110">
        <f t="shared" si="64"/>
        <v>0.12248800827664044</v>
      </c>
      <c r="V381" s="110">
        <f t="shared" si="64"/>
        <v>0</v>
      </c>
      <c r="W381" s="110">
        <f t="shared" si="65"/>
        <v>0.99999999999999989</v>
      </c>
      <c r="Y381" s="142">
        <f>T381*'Co-Processing'!K383*'Feedstock Conversion Rates'!B$13</f>
        <v>83.395972351987652</v>
      </c>
      <c r="Z381" s="142">
        <f>U381*'Co-Processing'!K383*'Feedstock Conversion Rates'!B$12</f>
        <v>12.028903159885303</v>
      </c>
      <c r="AA381" s="142">
        <f>V381*'Co-Processing'!K383*'Feedstock Conversion Rates'!B$14</f>
        <v>0</v>
      </c>
      <c r="AB381" s="142">
        <f t="shared" si="67"/>
        <v>95.424875511872955</v>
      </c>
      <c r="AD381" s="142">
        <v>0</v>
      </c>
      <c r="AE381" s="142">
        <v>0</v>
      </c>
      <c r="AF381" s="142">
        <v>0</v>
      </c>
      <c r="AG381" s="142">
        <v>0</v>
      </c>
      <c r="AH381" s="142">
        <v>0</v>
      </c>
    </row>
    <row r="382" spans="1:34" x14ac:dyDescent="0.25">
      <c r="A382" s="96">
        <v>50345</v>
      </c>
      <c r="B382" s="104">
        <f t="shared" si="60"/>
        <v>25</v>
      </c>
      <c r="C382" s="104">
        <f>('Co-Processing'!B384*'Co-Pro Feedstock Breakdown'!C$3*'Feedstock Conversion Rates'!B$12)/12-10-15</f>
        <v>10.520833333333336</v>
      </c>
      <c r="D382" s="106">
        <f t="shared" si="61"/>
        <v>35.520833333333336</v>
      </c>
      <c r="E382" s="104">
        <f>('Co-Processing'!C384*'Co-Pro Feedstock Breakdown'!E$3*'Feedstock Conversion Rates'!B$13)/12</f>
        <v>25.78125</v>
      </c>
      <c r="F382" s="104">
        <f>('Co-Processing'!C384*'Co-Pro Feedstock Breakdown'!F$3*'Feedstock Conversion Rates'!B$14)/12</f>
        <v>8.5364583333333339</v>
      </c>
      <c r="G382" s="106">
        <f t="shared" si="62"/>
        <v>34.317708333333336</v>
      </c>
      <c r="H382" s="104">
        <f>('Co-Processing'!D384*'Co-Pro Feedstock Breakdown'!H$3*'Feedstock Conversion Rates'!B$13)/12</f>
        <v>93.75</v>
      </c>
      <c r="I382" s="106">
        <f t="shared" si="66"/>
        <v>93.75</v>
      </c>
      <c r="J382" s="104">
        <f>('Co-Processing'!E384*'Co-Pro Feedstock Breakdown'!J$3*'Feedstock Conversion Rates'!B$13)/12</f>
        <v>1.25</v>
      </c>
      <c r="K382" s="104">
        <f>('Co-Processing'!E384*'Co-Pro Feedstock Breakdown'!K$3*'Feedstock Conversion Rates'!B$12)/12</f>
        <v>1.2916666666666667</v>
      </c>
      <c r="L382" s="106">
        <f t="shared" si="56"/>
        <v>2.541666666666667</v>
      </c>
      <c r="N382" s="104">
        <f t="shared" si="57"/>
        <v>145.78125</v>
      </c>
      <c r="O382" s="104">
        <f t="shared" si="59"/>
        <v>20.348958333333336</v>
      </c>
      <c r="P382" s="104"/>
      <c r="Q382" s="106">
        <f t="shared" si="63"/>
        <v>166.13020833333334</v>
      </c>
      <c r="R382" s="141">
        <f t="shared" si="58"/>
        <v>0</v>
      </c>
      <c r="T382" s="110">
        <f t="shared" si="64"/>
        <v>0.87751199172335947</v>
      </c>
      <c r="U382" s="110">
        <f t="shared" si="64"/>
        <v>0.12248800827664044</v>
      </c>
      <c r="V382" s="110">
        <f t="shared" si="64"/>
        <v>0</v>
      </c>
      <c r="W382" s="110">
        <f t="shared" si="65"/>
        <v>0.99999999999999989</v>
      </c>
      <c r="Y382" s="142">
        <f>T382*'Co-Processing'!K384*'Feedstock Conversion Rates'!B$13</f>
        <v>84.023684995804103</v>
      </c>
      <c r="Z382" s="142">
        <f>U382*'Co-Processing'!K384*'Feedstock Conversion Rates'!B$12</f>
        <v>12.119443438891041</v>
      </c>
      <c r="AA382" s="142">
        <f>V382*'Co-Processing'!K384*'Feedstock Conversion Rates'!B$14</f>
        <v>0</v>
      </c>
      <c r="AB382" s="142">
        <f t="shared" si="67"/>
        <v>96.143128434695143</v>
      </c>
      <c r="AD382" s="142">
        <v>0</v>
      </c>
      <c r="AE382" s="142">
        <v>0</v>
      </c>
      <c r="AF382" s="142">
        <v>0</v>
      </c>
      <c r="AG382" s="142">
        <v>0</v>
      </c>
      <c r="AH382" s="142">
        <v>0</v>
      </c>
    </row>
    <row r="383" spans="1:34" x14ac:dyDescent="0.25">
      <c r="A383" s="96">
        <v>50375</v>
      </c>
      <c r="B383" s="104">
        <f t="shared" si="60"/>
        <v>25</v>
      </c>
      <c r="C383" s="104">
        <f>('Co-Processing'!B385*'Co-Pro Feedstock Breakdown'!C$3*'Feedstock Conversion Rates'!B$12)/12-10-15</f>
        <v>10.520833333333336</v>
      </c>
      <c r="D383" s="106">
        <f t="shared" si="61"/>
        <v>35.520833333333336</v>
      </c>
      <c r="E383" s="104">
        <f>('Co-Processing'!C385*'Co-Pro Feedstock Breakdown'!E$3*'Feedstock Conversion Rates'!B$13)/12</f>
        <v>25.78125</v>
      </c>
      <c r="F383" s="104">
        <f>('Co-Processing'!C385*'Co-Pro Feedstock Breakdown'!F$3*'Feedstock Conversion Rates'!B$14)/12</f>
        <v>8.5364583333333339</v>
      </c>
      <c r="G383" s="106">
        <f t="shared" si="62"/>
        <v>34.317708333333336</v>
      </c>
      <c r="H383" s="104">
        <f>('Co-Processing'!D385*'Co-Pro Feedstock Breakdown'!H$3*'Feedstock Conversion Rates'!B$13)/12</f>
        <v>93.75</v>
      </c>
      <c r="I383" s="106">
        <f t="shared" si="66"/>
        <v>93.75</v>
      </c>
      <c r="J383" s="104">
        <f>('Co-Processing'!E385*'Co-Pro Feedstock Breakdown'!J$3*'Feedstock Conversion Rates'!B$13)/12</f>
        <v>1.25</v>
      </c>
      <c r="K383" s="104">
        <f>('Co-Processing'!E385*'Co-Pro Feedstock Breakdown'!K$3*'Feedstock Conversion Rates'!B$12)/12</f>
        <v>1.2916666666666667</v>
      </c>
      <c r="L383" s="106">
        <f t="shared" si="56"/>
        <v>2.541666666666667</v>
      </c>
      <c r="N383" s="104">
        <f t="shared" si="57"/>
        <v>145.78125</v>
      </c>
      <c r="O383" s="104">
        <f t="shared" si="59"/>
        <v>20.348958333333336</v>
      </c>
      <c r="P383" s="104"/>
      <c r="Q383" s="106">
        <f t="shared" si="63"/>
        <v>166.13020833333334</v>
      </c>
      <c r="R383" s="141">
        <f t="shared" si="58"/>
        <v>0</v>
      </c>
      <c r="T383" s="110">
        <f t="shared" si="64"/>
        <v>0.87751199172335947</v>
      </c>
      <c r="U383" s="110">
        <f t="shared" si="64"/>
        <v>0.12248800827664044</v>
      </c>
      <c r="V383" s="110">
        <f t="shared" si="64"/>
        <v>0</v>
      </c>
      <c r="W383" s="110">
        <f t="shared" si="65"/>
        <v>0.99999999999999989</v>
      </c>
      <c r="Y383" s="142">
        <f>T383*'Co-Processing'!K385*'Feedstock Conversion Rates'!B$13</f>
        <v>86.428313310613333</v>
      </c>
      <c r="Z383" s="142">
        <f>U383*'Co-Processing'!K385*'Feedstock Conversion Rates'!B$12</f>
        <v>12.466283224058063</v>
      </c>
      <c r="AA383" s="142">
        <f>V383*'Co-Processing'!K385*'Feedstock Conversion Rates'!B$14</f>
        <v>0</v>
      </c>
      <c r="AB383" s="142">
        <f t="shared" si="67"/>
        <v>98.894596534671393</v>
      </c>
      <c r="AD383" s="142">
        <v>0</v>
      </c>
      <c r="AE383" s="142">
        <v>0</v>
      </c>
      <c r="AF383" s="142">
        <v>0</v>
      </c>
      <c r="AG383" s="142">
        <v>0</v>
      </c>
      <c r="AH383" s="142">
        <v>0</v>
      </c>
    </row>
    <row r="384" spans="1:34" x14ac:dyDescent="0.25">
      <c r="A384" s="96">
        <v>50406</v>
      </c>
      <c r="B384" s="104">
        <f t="shared" si="60"/>
        <v>25</v>
      </c>
      <c r="C384" s="104">
        <f>('Co-Processing'!B386*'Co-Pro Feedstock Breakdown'!C$3*'Feedstock Conversion Rates'!B$12)/12-10-15</f>
        <v>10.520833333333336</v>
      </c>
      <c r="D384" s="106">
        <f t="shared" si="61"/>
        <v>35.520833333333336</v>
      </c>
      <c r="E384" s="104">
        <f>('Co-Processing'!C386*'Co-Pro Feedstock Breakdown'!E$3*'Feedstock Conversion Rates'!B$13)/12</f>
        <v>25.78125</v>
      </c>
      <c r="F384" s="104">
        <f>('Co-Processing'!C386*'Co-Pro Feedstock Breakdown'!F$3*'Feedstock Conversion Rates'!B$14)/12</f>
        <v>8.5364583333333339</v>
      </c>
      <c r="G384" s="106">
        <f t="shared" si="62"/>
        <v>34.317708333333336</v>
      </c>
      <c r="H384" s="104">
        <f>('Co-Processing'!D386*'Co-Pro Feedstock Breakdown'!H$3*'Feedstock Conversion Rates'!B$13)/12</f>
        <v>93.75</v>
      </c>
      <c r="I384" s="106">
        <f t="shared" si="66"/>
        <v>93.75</v>
      </c>
      <c r="J384" s="104">
        <f>('Co-Processing'!E386*'Co-Pro Feedstock Breakdown'!J$3*'Feedstock Conversion Rates'!B$13)/12</f>
        <v>1.25</v>
      </c>
      <c r="K384" s="104">
        <f>('Co-Processing'!E386*'Co-Pro Feedstock Breakdown'!K$3*'Feedstock Conversion Rates'!B$12)/12</f>
        <v>1.2916666666666667</v>
      </c>
      <c r="L384" s="106">
        <f t="shared" si="56"/>
        <v>2.541666666666667</v>
      </c>
      <c r="N384" s="104">
        <f t="shared" si="57"/>
        <v>145.78125</v>
      </c>
      <c r="O384" s="104">
        <f t="shared" si="59"/>
        <v>20.348958333333336</v>
      </c>
      <c r="P384" s="104"/>
      <c r="Q384" s="106">
        <f t="shared" si="63"/>
        <v>166.13020833333334</v>
      </c>
      <c r="R384" s="141">
        <f t="shared" si="58"/>
        <v>0</v>
      </c>
      <c r="T384" s="110">
        <f t="shared" si="64"/>
        <v>0.87751199172335947</v>
      </c>
      <c r="U384" s="110">
        <f t="shared" si="64"/>
        <v>0.12248800827664044</v>
      </c>
      <c r="V384" s="110">
        <f t="shared" si="64"/>
        <v>0</v>
      </c>
      <c r="W384" s="110">
        <f t="shared" si="65"/>
        <v>0.99999999999999989</v>
      </c>
      <c r="Y384" s="142">
        <f>T384*'Co-Processing'!K386*'Feedstock Conversion Rates'!B$13</f>
        <v>83.198539388677631</v>
      </c>
      <c r="Z384" s="142">
        <f>U384*'Co-Processing'!K386*'Feedstock Conversion Rates'!B$12</f>
        <v>12.000425741501097</v>
      </c>
      <c r="AA384" s="142">
        <f>V384*'Co-Processing'!K386*'Feedstock Conversion Rates'!B$14</f>
        <v>0</v>
      </c>
      <c r="AB384" s="142">
        <f t="shared" si="67"/>
        <v>95.198965130178721</v>
      </c>
      <c r="AD384" s="142">
        <v>0</v>
      </c>
      <c r="AE384" s="142">
        <v>0</v>
      </c>
      <c r="AF384" s="142">
        <v>0</v>
      </c>
      <c r="AG384" s="142">
        <v>0</v>
      </c>
      <c r="AH384" s="142">
        <v>0</v>
      </c>
    </row>
    <row r="385" spans="1:34" x14ac:dyDescent="0.25">
      <c r="A385" s="96">
        <v>50437</v>
      </c>
      <c r="B385" s="104">
        <f t="shared" si="60"/>
        <v>25</v>
      </c>
      <c r="C385" s="104">
        <f>('Co-Processing'!B387*'Co-Pro Feedstock Breakdown'!C$3*'Feedstock Conversion Rates'!B$12)/12-10-15</f>
        <v>10.520833333333336</v>
      </c>
      <c r="D385" s="106">
        <f t="shared" si="61"/>
        <v>35.520833333333336</v>
      </c>
      <c r="E385" s="104">
        <f>('Co-Processing'!C387*'Co-Pro Feedstock Breakdown'!E$3*'Feedstock Conversion Rates'!B$13)/12</f>
        <v>25.78125</v>
      </c>
      <c r="F385" s="104">
        <f>('Co-Processing'!C387*'Co-Pro Feedstock Breakdown'!F$3*'Feedstock Conversion Rates'!B$14)/12</f>
        <v>8.5364583333333339</v>
      </c>
      <c r="G385" s="106">
        <f t="shared" si="62"/>
        <v>34.317708333333336</v>
      </c>
      <c r="H385" s="104">
        <f>('Co-Processing'!D387*'Co-Pro Feedstock Breakdown'!H$3*'Feedstock Conversion Rates'!B$13)/12</f>
        <v>93.75</v>
      </c>
      <c r="I385" s="106">
        <f t="shared" si="66"/>
        <v>93.75</v>
      </c>
      <c r="J385" s="104">
        <f>('Co-Processing'!E387*'Co-Pro Feedstock Breakdown'!J$3*'Feedstock Conversion Rates'!B$13)/12</f>
        <v>1.25</v>
      </c>
      <c r="K385" s="104">
        <f>('Co-Processing'!E387*'Co-Pro Feedstock Breakdown'!K$3*'Feedstock Conversion Rates'!B$12)/12</f>
        <v>1.2916666666666667</v>
      </c>
      <c r="L385" s="106">
        <f t="shared" si="56"/>
        <v>2.541666666666667</v>
      </c>
      <c r="N385" s="104">
        <f t="shared" si="57"/>
        <v>145.78125</v>
      </c>
      <c r="O385" s="104">
        <f t="shared" si="59"/>
        <v>20.348958333333336</v>
      </c>
      <c r="P385" s="104"/>
      <c r="Q385" s="106">
        <f t="shared" si="63"/>
        <v>166.13020833333334</v>
      </c>
      <c r="R385" s="141">
        <f t="shared" si="58"/>
        <v>0</v>
      </c>
      <c r="T385" s="110">
        <f t="shared" si="64"/>
        <v>0.87751199172335947</v>
      </c>
      <c r="U385" s="110">
        <f t="shared" si="64"/>
        <v>0.12248800827664044</v>
      </c>
      <c r="V385" s="110">
        <f t="shared" si="64"/>
        <v>0</v>
      </c>
      <c r="W385" s="110">
        <f t="shared" si="65"/>
        <v>0.99999999999999989</v>
      </c>
      <c r="Y385" s="142">
        <f>T385*'Co-Processing'!K387*'Feedstock Conversion Rates'!B$13</f>
        <v>65.044307040934683</v>
      </c>
      <c r="Z385" s="142">
        <f>U385*'Co-Processing'!K387*'Feedstock Conversion Rates'!B$12</f>
        <v>9.3818879788935163</v>
      </c>
      <c r="AA385" s="142">
        <f>V385*'Co-Processing'!K387*'Feedstock Conversion Rates'!B$14</f>
        <v>0</v>
      </c>
      <c r="AB385" s="142">
        <f t="shared" si="67"/>
        <v>74.426195019828199</v>
      </c>
      <c r="AD385" s="142">
        <v>0</v>
      </c>
      <c r="AE385" s="142">
        <v>0</v>
      </c>
      <c r="AF385" s="142">
        <v>0</v>
      </c>
      <c r="AG385" s="142">
        <v>0</v>
      </c>
      <c r="AH385" s="142">
        <v>0</v>
      </c>
    </row>
    <row r="386" spans="1:34" x14ac:dyDescent="0.25">
      <c r="A386" s="96">
        <v>50465</v>
      </c>
      <c r="B386" s="104">
        <f t="shared" si="60"/>
        <v>25</v>
      </c>
      <c r="C386" s="104">
        <f>('Co-Processing'!B388*'Co-Pro Feedstock Breakdown'!C$3*'Feedstock Conversion Rates'!B$12)/12-10-15</f>
        <v>10.520833333333336</v>
      </c>
      <c r="D386" s="106">
        <f t="shared" si="61"/>
        <v>35.520833333333336</v>
      </c>
      <c r="E386" s="104">
        <f>('Co-Processing'!C388*'Co-Pro Feedstock Breakdown'!E$3*'Feedstock Conversion Rates'!B$13)/12</f>
        <v>25.78125</v>
      </c>
      <c r="F386" s="104">
        <f>('Co-Processing'!C388*'Co-Pro Feedstock Breakdown'!F$3*'Feedstock Conversion Rates'!B$14)/12</f>
        <v>8.5364583333333339</v>
      </c>
      <c r="G386" s="106">
        <f t="shared" si="62"/>
        <v>34.317708333333336</v>
      </c>
      <c r="H386" s="104">
        <f>('Co-Processing'!D388*'Co-Pro Feedstock Breakdown'!H$3*'Feedstock Conversion Rates'!B$13)/12</f>
        <v>93.75</v>
      </c>
      <c r="I386" s="106">
        <f t="shared" si="66"/>
        <v>93.75</v>
      </c>
      <c r="J386" s="104">
        <f>('Co-Processing'!E388*'Co-Pro Feedstock Breakdown'!J$3*'Feedstock Conversion Rates'!B$13)/12</f>
        <v>1.25</v>
      </c>
      <c r="K386" s="104">
        <f>('Co-Processing'!E388*'Co-Pro Feedstock Breakdown'!K$3*'Feedstock Conversion Rates'!B$12)/12</f>
        <v>1.2916666666666667</v>
      </c>
      <c r="L386" s="106">
        <f t="shared" si="56"/>
        <v>2.541666666666667</v>
      </c>
      <c r="N386" s="104">
        <f t="shared" si="57"/>
        <v>145.78125</v>
      </c>
      <c r="O386" s="104">
        <f t="shared" si="59"/>
        <v>20.348958333333336</v>
      </c>
      <c r="P386" s="104"/>
      <c r="Q386" s="106">
        <f t="shared" si="63"/>
        <v>166.13020833333334</v>
      </c>
      <c r="R386" s="141">
        <f t="shared" si="58"/>
        <v>0</v>
      </c>
      <c r="T386" s="110">
        <f t="shared" si="64"/>
        <v>0.87751199172335947</v>
      </c>
      <c r="U386" s="110">
        <f t="shared" si="64"/>
        <v>0.12248800827664044</v>
      </c>
      <c r="V386" s="110">
        <f t="shared" si="64"/>
        <v>0</v>
      </c>
      <c r="W386" s="110">
        <f t="shared" si="65"/>
        <v>0.99999999999999989</v>
      </c>
      <c r="Y386" s="142">
        <f>T386*'Co-Processing'!K388*'Feedstock Conversion Rates'!B$13</f>
        <v>107.14127498402155</v>
      </c>
      <c r="Z386" s="142">
        <f>U386*'Co-Processing'!K388*'Feedstock Conversion Rates'!B$12</f>
        <v>15.453888057925139</v>
      </c>
      <c r="AA386" s="142">
        <f>V386*'Co-Processing'!K388*'Feedstock Conversion Rates'!B$14</f>
        <v>0</v>
      </c>
      <c r="AB386" s="142">
        <f t="shared" si="67"/>
        <v>122.59516304194669</v>
      </c>
      <c r="AD386" s="142">
        <v>0</v>
      </c>
      <c r="AE386" s="142">
        <v>0</v>
      </c>
      <c r="AF386" s="142">
        <v>0</v>
      </c>
      <c r="AG386" s="142">
        <v>0</v>
      </c>
      <c r="AH386" s="142">
        <v>0</v>
      </c>
    </row>
    <row r="387" spans="1:34" x14ac:dyDescent="0.25">
      <c r="A387" s="96">
        <v>50496</v>
      </c>
      <c r="B387" s="104">
        <f t="shared" si="60"/>
        <v>25</v>
      </c>
      <c r="C387" s="104">
        <f>('Co-Processing'!B389*'Co-Pro Feedstock Breakdown'!C$3*'Feedstock Conversion Rates'!B$12)/12-10-15</f>
        <v>10.520833333333336</v>
      </c>
      <c r="D387" s="106">
        <f t="shared" si="61"/>
        <v>35.520833333333336</v>
      </c>
      <c r="E387" s="104">
        <f>('Co-Processing'!C389*'Co-Pro Feedstock Breakdown'!E$3*'Feedstock Conversion Rates'!B$13)/12</f>
        <v>25.78125</v>
      </c>
      <c r="F387" s="104">
        <f>('Co-Processing'!C389*'Co-Pro Feedstock Breakdown'!F$3*'Feedstock Conversion Rates'!B$14)/12</f>
        <v>8.5364583333333339</v>
      </c>
      <c r="G387" s="106">
        <f t="shared" si="62"/>
        <v>34.317708333333336</v>
      </c>
      <c r="H387" s="104">
        <f>('Co-Processing'!D389*'Co-Pro Feedstock Breakdown'!H$3*'Feedstock Conversion Rates'!B$13)/12</f>
        <v>93.75</v>
      </c>
      <c r="I387" s="106">
        <f t="shared" si="66"/>
        <v>93.75</v>
      </c>
      <c r="J387" s="104">
        <f>('Co-Processing'!E389*'Co-Pro Feedstock Breakdown'!J$3*'Feedstock Conversion Rates'!B$13)/12</f>
        <v>1.25</v>
      </c>
      <c r="K387" s="104">
        <f>('Co-Processing'!E389*'Co-Pro Feedstock Breakdown'!K$3*'Feedstock Conversion Rates'!B$12)/12</f>
        <v>1.2916666666666667</v>
      </c>
      <c r="L387" s="106">
        <f t="shared" si="56"/>
        <v>2.541666666666667</v>
      </c>
      <c r="N387" s="104">
        <f t="shared" si="57"/>
        <v>145.78125</v>
      </c>
      <c r="O387" s="104">
        <f t="shared" si="59"/>
        <v>20.348958333333336</v>
      </c>
      <c r="P387" s="104"/>
      <c r="Q387" s="106">
        <f t="shared" si="63"/>
        <v>166.13020833333334</v>
      </c>
      <c r="R387" s="141">
        <f t="shared" si="58"/>
        <v>0</v>
      </c>
      <c r="T387" s="110">
        <f t="shared" si="64"/>
        <v>0.87751199172335947</v>
      </c>
      <c r="U387" s="110">
        <f t="shared" si="64"/>
        <v>0.12248800827664044</v>
      </c>
      <c r="V387" s="110">
        <f t="shared" si="64"/>
        <v>0</v>
      </c>
      <c r="W387" s="110">
        <f t="shared" si="65"/>
        <v>0.99999999999999989</v>
      </c>
      <c r="Y387" s="142">
        <f>T387*'Co-Processing'!K389*'Feedstock Conversion Rates'!B$13</f>
        <v>69.737767889587317</v>
      </c>
      <c r="Z387" s="142">
        <f>U387*'Co-Processing'!K389*'Feedstock Conversion Rates'!B$12</f>
        <v>10.058865348914075</v>
      </c>
      <c r="AA387" s="142">
        <f>V387*'Co-Processing'!K389*'Feedstock Conversion Rates'!B$14</f>
        <v>0</v>
      </c>
      <c r="AB387" s="142">
        <f t="shared" si="67"/>
        <v>79.796633238501386</v>
      </c>
      <c r="AD387" s="142">
        <v>0</v>
      </c>
      <c r="AE387" s="142">
        <v>0</v>
      </c>
      <c r="AF387" s="142">
        <v>0</v>
      </c>
      <c r="AG387" s="142">
        <v>0</v>
      </c>
      <c r="AH387" s="142">
        <v>0</v>
      </c>
    </row>
    <row r="388" spans="1:34" x14ac:dyDescent="0.25">
      <c r="A388" s="96">
        <v>50526</v>
      </c>
      <c r="B388" s="104">
        <f t="shared" si="60"/>
        <v>25</v>
      </c>
      <c r="C388" s="104">
        <f>('Co-Processing'!B390*'Co-Pro Feedstock Breakdown'!C$3*'Feedstock Conversion Rates'!B$12)/12-10-15</f>
        <v>10.520833333333336</v>
      </c>
      <c r="D388" s="106">
        <f t="shared" si="61"/>
        <v>35.520833333333336</v>
      </c>
      <c r="E388" s="104">
        <f>('Co-Processing'!C390*'Co-Pro Feedstock Breakdown'!E$3*'Feedstock Conversion Rates'!B$13)/12</f>
        <v>25.78125</v>
      </c>
      <c r="F388" s="104">
        <f>('Co-Processing'!C390*'Co-Pro Feedstock Breakdown'!F$3*'Feedstock Conversion Rates'!B$14)/12</f>
        <v>8.5364583333333339</v>
      </c>
      <c r="G388" s="106">
        <f t="shared" si="62"/>
        <v>34.317708333333336</v>
      </c>
      <c r="H388" s="104">
        <f>('Co-Processing'!D390*'Co-Pro Feedstock Breakdown'!H$3*'Feedstock Conversion Rates'!B$13)/12</f>
        <v>93.75</v>
      </c>
      <c r="I388" s="106">
        <f t="shared" si="66"/>
        <v>93.75</v>
      </c>
      <c r="J388" s="104">
        <f>('Co-Processing'!E390*'Co-Pro Feedstock Breakdown'!J$3*'Feedstock Conversion Rates'!B$13)/12</f>
        <v>1.25</v>
      </c>
      <c r="K388" s="104">
        <f>('Co-Processing'!E390*'Co-Pro Feedstock Breakdown'!K$3*'Feedstock Conversion Rates'!B$12)/12</f>
        <v>1.2916666666666667</v>
      </c>
      <c r="L388" s="106">
        <f t="shared" si="56"/>
        <v>2.541666666666667</v>
      </c>
      <c r="N388" s="104">
        <f t="shared" si="57"/>
        <v>145.78125</v>
      </c>
      <c r="O388" s="104">
        <f t="shared" si="59"/>
        <v>20.348958333333336</v>
      </c>
      <c r="P388" s="104"/>
      <c r="Q388" s="106">
        <f t="shared" si="63"/>
        <v>166.13020833333334</v>
      </c>
      <c r="R388" s="141">
        <f t="shared" si="58"/>
        <v>0</v>
      </c>
      <c r="T388" s="110">
        <f t="shared" si="64"/>
        <v>0.87751199172335947</v>
      </c>
      <c r="U388" s="110">
        <f t="shared" si="64"/>
        <v>0.12248800827664044</v>
      </c>
      <c r="V388" s="110">
        <f t="shared" si="64"/>
        <v>0</v>
      </c>
      <c r="W388" s="110">
        <f t="shared" si="65"/>
        <v>0.99999999999999989</v>
      </c>
      <c r="Y388" s="142">
        <f>T388*'Co-Processing'!K390*'Feedstock Conversion Rates'!B$13</f>
        <v>76.671132477662269</v>
      </c>
      <c r="Z388" s="142">
        <f>U388*'Co-Processing'!K390*'Feedstock Conversion Rates'!B$12</f>
        <v>11.058922891862599</v>
      </c>
      <c r="AA388" s="142">
        <f>V388*'Co-Processing'!K390*'Feedstock Conversion Rates'!B$14</f>
        <v>0</v>
      </c>
      <c r="AB388" s="142">
        <f t="shared" si="67"/>
        <v>87.730055369524862</v>
      </c>
      <c r="AD388" s="142">
        <v>0</v>
      </c>
      <c r="AE388" s="142">
        <v>0</v>
      </c>
      <c r="AF388" s="142">
        <v>0</v>
      </c>
      <c r="AG388" s="142">
        <v>0</v>
      </c>
      <c r="AH388" s="142">
        <v>0</v>
      </c>
    </row>
    <row r="389" spans="1:34" x14ac:dyDescent="0.25">
      <c r="A389" s="96">
        <v>50557</v>
      </c>
      <c r="B389" s="104">
        <f t="shared" si="60"/>
        <v>25</v>
      </c>
      <c r="C389" s="104">
        <f>('Co-Processing'!B391*'Co-Pro Feedstock Breakdown'!C$3*'Feedstock Conversion Rates'!B$12)/12-10-15</f>
        <v>10.520833333333336</v>
      </c>
      <c r="D389" s="106">
        <f t="shared" si="61"/>
        <v>35.520833333333336</v>
      </c>
      <c r="E389" s="104">
        <f>('Co-Processing'!C391*'Co-Pro Feedstock Breakdown'!E$3*'Feedstock Conversion Rates'!B$13)/12</f>
        <v>25.78125</v>
      </c>
      <c r="F389" s="104">
        <f>('Co-Processing'!C391*'Co-Pro Feedstock Breakdown'!F$3*'Feedstock Conversion Rates'!B$14)/12</f>
        <v>8.5364583333333339</v>
      </c>
      <c r="G389" s="106">
        <f t="shared" si="62"/>
        <v>34.317708333333336</v>
      </c>
      <c r="H389" s="104">
        <f>('Co-Processing'!D391*'Co-Pro Feedstock Breakdown'!H$3*'Feedstock Conversion Rates'!B$13)/12</f>
        <v>93.75</v>
      </c>
      <c r="I389" s="106">
        <f t="shared" si="66"/>
        <v>93.75</v>
      </c>
      <c r="J389" s="104">
        <f>('Co-Processing'!E391*'Co-Pro Feedstock Breakdown'!J$3*'Feedstock Conversion Rates'!B$13)/12</f>
        <v>1.25</v>
      </c>
      <c r="K389" s="104">
        <f>('Co-Processing'!E391*'Co-Pro Feedstock Breakdown'!K$3*'Feedstock Conversion Rates'!B$12)/12</f>
        <v>1.2916666666666667</v>
      </c>
      <c r="L389" s="106">
        <f t="shared" ref="L389:L452" si="68">SUM(J389:K389)</f>
        <v>2.541666666666667</v>
      </c>
      <c r="N389" s="104">
        <f t="shared" ref="N389:N452" si="69">E389+H389+J389+B389</f>
        <v>145.78125</v>
      </c>
      <c r="O389" s="104">
        <f t="shared" si="59"/>
        <v>20.348958333333336</v>
      </c>
      <c r="P389" s="104"/>
      <c r="Q389" s="106">
        <f t="shared" si="63"/>
        <v>166.13020833333334</v>
      </c>
      <c r="R389" s="141">
        <f t="shared" ref="R389:R452" si="70">D389+G389+I389+L389-Q389</f>
        <v>0</v>
      </c>
      <c r="T389" s="110">
        <f t="shared" si="64"/>
        <v>0.87751199172335947</v>
      </c>
      <c r="U389" s="110">
        <f t="shared" si="64"/>
        <v>0.12248800827664044</v>
      </c>
      <c r="V389" s="110">
        <f t="shared" si="64"/>
        <v>0</v>
      </c>
      <c r="W389" s="110">
        <f t="shared" si="65"/>
        <v>0.99999999999999989</v>
      </c>
      <c r="Y389" s="142">
        <f>T389*'Co-Processing'!K391*'Feedstock Conversion Rates'!B$13</f>
        <v>103.99287291406013</v>
      </c>
      <c r="Z389" s="142">
        <f>U389*'Co-Processing'!K391*'Feedstock Conversion Rates'!B$12</f>
        <v>14.999767522605957</v>
      </c>
      <c r="AA389" s="142">
        <f>V389*'Co-Processing'!K391*'Feedstock Conversion Rates'!B$14</f>
        <v>0</v>
      </c>
      <c r="AB389" s="142">
        <f t="shared" si="67"/>
        <v>118.99264043666608</v>
      </c>
      <c r="AD389" s="142">
        <v>0</v>
      </c>
      <c r="AE389" s="142">
        <v>0</v>
      </c>
      <c r="AF389" s="142">
        <v>0</v>
      </c>
      <c r="AG389" s="142">
        <v>0</v>
      </c>
      <c r="AH389" s="142">
        <v>0</v>
      </c>
    </row>
    <row r="390" spans="1:34" x14ac:dyDescent="0.25">
      <c r="A390" s="96">
        <v>50587</v>
      </c>
      <c r="B390" s="104">
        <f t="shared" si="60"/>
        <v>25</v>
      </c>
      <c r="C390" s="104">
        <f>('Co-Processing'!B392*'Co-Pro Feedstock Breakdown'!C$3*'Feedstock Conversion Rates'!B$12)/12-10-15</f>
        <v>10.520833333333336</v>
      </c>
      <c r="D390" s="106">
        <f t="shared" si="61"/>
        <v>35.520833333333336</v>
      </c>
      <c r="E390" s="104">
        <f>('Co-Processing'!C392*'Co-Pro Feedstock Breakdown'!E$3*'Feedstock Conversion Rates'!B$13)/12</f>
        <v>25.78125</v>
      </c>
      <c r="F390" s="104">
        <f>('Co-Processing'!C392*'Co-Pro Feedstock Breakdown'!F$3*'Feedstock Conversion Rates'!B$14)/12</f>
        <v>8.5364583333333339</v>
      </c>
      <c r="G390" s="106">
        <f t="shared" si="62"/>
        <v>34.317708333333336</v>
      </c>
      <c r="H390" s="104">
        <f>('Co-Processing'!D392*'Co-Pro Feedstock Breakdown'!H$3*'Feedstock Conversion Rates'!B$13)/12</f>
        <v>93.75</v>
      </c>
      <c r="I390" s="106">
        <f t="shared" si="66"/>
        <v>93.75</v>
      </c>
      <c r="J390" s="104">
        <f>('Co-Processing'!E392*'Co-Pro Feedstock Breakdown'!J$3*'Feedstock Conversion Rates'!B$13)/12</f>
        <v>1.25</v>
      </c>
      <c r="K390" s="104">
        <f>('Co-Processing'!E392*'Co-Pro Feedstock Breakdown'!K$3*'Feedstock Conversion Rates'!B$12)/12</f>
        <v>1.2916666666666667</v>
      </c>
      <c r="L390" s="106">
        <f t="shared" si="68"/>
        <v>2.541666666666667</v>
      </c>
      <c r="N390" s="104">
        <f t="shared" si="69"/>
        <v>145.78125</v>
      </c>
      <c r="O390" s="104">
        <f t="shared" si="59"/>
        <v>20.348958333333336</v>
      </c>
      <c r="P390" s="104"/>
      <c r="Q390" s="106">
        <f t="shared" si="63"/>
        <v>166.13020833333334</v>
      </c>
      <c r="R390" s="141">
        <f t="shared" si="70"/>
        <v>0</v>
      </c>
      <c r="T390" s="110">
        <f t="shared" si="64"/>
        <v>0.87751199172335947</v>
      </c>
      <c r="U390" s="110">
        <f t="shared" si="64"/>
        <v>0.12248800827664044</v>
      </c>
      <c r="V390" s="110">
        <f t="shared" si="64"/>
        <v>0</v>
      </c>
      <c r="W390" s="110">
        <f t="shared" si="65"/>
        <v>0.99999999999999989</v>
      </c>
      <c r="Y390" s="142">
        <f>T390*'Co-Processing'!K392*'Feedstock Conversion Rates'!B$13</f>
        <v>86.829644741177475</v>
      </c>
      <c r="Z390" s="142">
        <f>U390*'Co-Processing'!K392*'Feedstock Conversion Rates'!B$12</f>
        <v>12.524170634890071</v>
      </c>
      <c r="AA390" s="142">
        <f>V390*'Co-Processing'!K392*'Feedstock Conversion Rates'!B$14</f>
        <v>0</v>
      </c>
      <c r="AB390" s="142">
        <f t="shared" si="67"/>
        <v>99.353815376067544</v>
      </c>
      <c r="AD390" s="142">
        <v>0</v>
      </c>
      <c r="AE390" s="142">
        <v>0</v>
      </c>
      <c r="AF390" s="142">
        <v>0</v>
      </c>
      <c r="AG390" s="142">
        <v>0</v>
      </c>
      <c r="AH390" s="142">
        <v>0</v>
      </c>
    </row>
    <row r="391" spans="1:34" x14ac:dyDescent="0.25">
      <c r="A391" s="96">
        <v>50618</v>
      </c>
      <c r="B391" s="104">
        <f t="shared" si="60"/>
        <v>25</v>
      </c>
      <c r="C391" s="104">
        <f>('Co-Processing'!B393*'Co-Pro Feedstock Breakdown'!C$3*'Feedstock Conversion Rates'!B$12)/12-10-15</f>
        <v>10.520833333333336</v>
      </c>
      <c r="D391" s="106">
        <f t="shared" si="61"/>
        <v>35.520833333333336</v>
      </c>
      <c r="E391" s="104">
        <f>('Co-Processing'!C393*'Co-Pro Feedstock Breakdown'!E$3*'Feedstock Conversion Rates'!B$13)/12</f>
        <v>25.78125</v>
      </c>
      <c r="F391" s="104">
        <f>('Co-Processing'!C393*'Co-Pro Feedstock Breakdown'!F$3*'Feedstock Conversion Rates'!B$14)/12</f>
        <v>8.5364583333333339</v>
      </c>
      <c r="G391" s="106">
        <f t="shared" si="62"/>
        <v>34.317708333333336</v>
      </c>
      <c r="H391" s="104">
        <f>('Co-Processing'!D393*'Co-Pro Feedstock Breakdown'!H$3*'Feedstock Conversion Rates'!B$13)/12</f>
        <v>93.75</v>
      </c>
      <c r="I391" s="106">
        <f t="shared" si="66"/>
        <v>93.75</v>
      </c>
      <c r="J391" s="104">
        <f>('Co-Processing'!E393*'Co-Pro Feedstock Breakdown'!J$3*'Feedstock Conversion Rates'!B$13)/12</f>
        <v>1.25</v>
      </c>
      <c r="K391" s="104">
        <f>('Co-Processing'!E393*'Co-Pro Feedstock Breakdown'!K$3*'Feedstock Conversion Rates'!B$12)/12</f>
        <v>1.2916666666666667</v>
      </c>
      <c r="L391" s="106">
        <f t="shared" si="68"/>
        <v>2.541666666666667</v>
      </c>
      <c r="N391" s="104">
        <f t="shared" si="69"/>
        <v>145.78125</v>
      </c>
      <c r="O391" s="104">
        <f t="shared" si="59"/>
        <v>20.348958333333336</v>
      </c>
      <c r="P391" s="104"/>
      <c r="Q391" s="106">
        <f t="shared" si="63"/>
        <v>166.13020833333334</v>
      </c>
      <c r="R391" s="141">
        <f t="shared" si="70"/>
        <v>0</v>
      </c>
      <c r="T391" s="110">
        <f t="shared" si="64"/>
        <v>0.87751199172335947</v>
      </c>
      <c r="U391" s="110">
        <f t="shared" si="64"/>
        <v>0.12248800827664044</v>
      </c>
      <c r="V391" s="110">
        <f t="shared" si="64"/>
        <v>0</v>
      </c>
      <c r="W391" s="110">
        <f t="shared" si="65"/>
        <v>0.99999999999999989</v>
      </c>
      <c r="Y391" s="142">
        <f>T391*'Co-Processing'!K393*'Feedstock Conversion Rates'!B$13</f>
        <v>127.52928747495966</v>
      </c>
      <c r="Z391" s="142">
        <f>U391*'Co-Processing'!K393*'Feedstock Conversion Rates'!B$12</f>
        <v>18.394622735625447</v>
      </c>
      <c r="AA391" s="142">
        <f>V391*'Co-Processing'!K393*'Feedstock Conversion Rates'!B$14</f>
        <v>0</v>
      </c>
      <c r="AB391" s="142">
        <f t="shared" si="67"/>
        <v>145.92391021058512</v>
      </c>
      <c r="AD391" s="142">
        <v>0</v>
      </c>
      <c r="AE391" s="142">
        <v>0</v>
      </c>
      <c r="AF391" s="142">
        <v>0</v>
      </c>
      <c r="AG391" s="142">
        <v>0</v>
      </c>
      <c r="AH391" s="142">
        <v>0</v>
      </c>
    </row>
    <row r="392" spans="1:34" x14ac:dyDescent="0.25">
      <c r="A392" s="96">
        <v>50649</v>
      </c>
      <c r="B392" s="104">
        <f t="shared" si="60"/>
        <v>25</v>
      </c>
      <c r="C392" s="104">
        <f>('Co-Processing'!B394*'Co-Pro Feedstock Breakdown'!C$3*'Feedstock Conversion Rates'!B$12)/12-10-15</f>
        <v>10.520833333333336</v>
      </c>
      <c r="D392" s="106">
        <f t="shared" si="61"/>
        <v>35.520833333333336</v>
      </c>
      <c r="E392" s="104">
        <f>('Co-Processing'!C394*'Co-Pro Feedstock Breakdown'!E$3*'Feedstock Conversion Rates'!B$13)/12</f>
        <v>25.78125</v>
      </c>
      <c r="F392" s="104">
        <f>('Co-Processing'!C394*'Co-Pro Feedstock Breakdown'!F$3*'Feedstock Conversion Rates'!B$14)/12</f>
        <v>8.5364583333333339</v>
      </c>
      <c r="G392" s="106">
        <f t="shared" si="62"/>
        <v>34.317708333333336</v>
      </c>
      <c r="H392" s="104">
        <f>('Co-Processing'!D394*'Co-Pro Feedstock Breakdown'!H$3*'Feedstock Conversion Rates'!B$13)/12</f>
        <v>93.75</v>
      </c>
      <c r="I392" s="106">
        <f t="shared" si="66"/>
        <v>93.75</v>
      </c>
      <c r="J392" s="104">
        <f>('Co-Processing'!E394*'Co-Pro Feedstock Breakdown'!J$3*'Feedstock Conversion Rates'!B$13)/12</f>
        <v>1.25</v>
      </c>
      <c r="K392" s="104">
        <f>('Co-Processing'!E394*'Co-Pro Feedstock Breakdown'!K$3*'Feedstock Conversion Rates'!B$12)/12</f>
        <v>1.2916666666666667</v>
      </c>
      <c r="L392" s="106">
        <f t="shared" si="68"/>
        <v>2.541666666666667</v>
      </c>
      <c r="N392" s="104">
        <f t="shared" si="69"/>
        <v>145.78125</v>
      </c>
      <c r="O392" s="104">
        <f t="shared" si="59"/>
        <v>20.348958333333336</v>
      </c>
      <c r="P392" s="104"/>
      <c r="Q392" s="106">
        <f t="shared" si="63"/>
        <v>166.13020833333334</v>
      </c>
      <c r="R392" s="141">
        <f t="shared" si="70"/>
        <v>0</v>
      </c>
      <c r="T392" s="110">
        <f t="shared" si="64"/>
        <v>0.87751199172335947</v>
      </c>
      <c r="U392" s="110">
        <f t="shared" si="64"/>
        <v>0.12248800827664044</v>
      </c>
      <c r="V392" s="110">
        <f t="shared" si="64"/>
        <v>0</v>
      </c>
      <c r="W392" s="110">
        <f t="shared" si="65"/>
        <v>0.99999999999999989</v>
      </c>
      <c r="Y392" s="142">
        <f>T392*'Co-Processing'!K394*'Feedstock Conversion Rates'!B$13</f>
        <v>114.37980389743608</v>
      </c>
      <c r="Z392" s="142">
        <f>U392*'Co-Processing'!K394*'Feedstock Conversion Rates'!B$12</f>
        <v>16.497962020538008</v>
      </c>
      <c r="AA392" s="142">
        <f>V392*'Co-Processing'!K394*'Feedstock Conversion Rates'!B$14</f>
        <v>0</v>
      </c>
      <c r="AB392" s="142">
        <f t="shared" si="67"/>
        <v>130.87776591797407</v>
      </c>
      <c r="AD392" s="142">
        <v>0</v>
      </c>
      <c r="AE392" s="142">
        <v>0</v>
      </c>
      <c r="AF392" s="142">
        <v>0</v>
      </c>
      <c r="AG392" s="142">
        <v>0</v>
      </c>
      <c r="AH392" s="142">
        <v>0</v>
      </c>
    </row>
    <row r="393" spans="1:34" x14ac:dyDescent="0.25">
      <c r="A393" s="96">
        <v>50679</v>
      </c>
      <c r="B393" s="104">
        <f t="shared" si="60"/>
        <v>25</v>
      </c>
      <c r="C393" s="104">
        <f>('Co-Processing'!B395*'Co-Pro Feedstock Breakdown'!C$3*'Feedstock Conversion Rates'!B$12)/12-10-15</f>
        <v>10.520833333333336</v>
      </c>
      <c r="D393" s="106">
        <f t="shared" si="61"/>
        <v>35.520833333333336</v>
      </c>
      <c r="E393" s="104">
        <f>('Co-Processing'!C395*'Co-Pro Feedstock Breakdown'!E$3*'Feedstock Conversion Rates'!B$13)/12</f>
        <v>25.78125</v>
      </c>
      <c r="F393" s="104">
        <f>('Co-Processing'!C395*'Co-Pro Feedstock Breakdown'!F$3*'Feedstock Conversion Rates'!B$14)/12</f>
        <v>8.5364583333333339</v>
      </c>
      <c r="G393" s="106">
        <f t="shared" si="62"/>
        <v>34.317708333333336</v>
      </c>
      <c r="H393" s="104">
        <f>('Co-Processing'!D395*'Co-Pro Feedstock Breakdown'!H$3*'Feedstock Conversion Rates'!B$13)/12</f>
        <v>93.75</v>
      </c>
      <c r="I393" s="106">
        <f t="shared" si="66"/>
        <v>93.75</v>
      </c>
      <c r="J393" s="104">
        <f>('Co-Processing'!E395*'Co-Pro Feedstock Breakdown'!J$3*'Feedstock Conversion Rates'!B$13)/12</f>
        <v>1.25</v>
      </c>
      <c r="K393" s="104">
        <f>('Co-Processing'!E395*'Co-Pro Feedstock Breakdown'!K$3*'Feedstock Conversion Rates'!B$12)/12</f>
        <v>1.2916666666666667</v>
      </c>
      <c r="L393" s="106">
        <f t="shared" si="68"/>
        <v>2.541666666666667</v>
      </c>
      <c r="N393" s="104">
        <f t="shared" si="69"/>
        <v>145.78125</v>
      </c>
      <c r="O393" s="104">
        <f>C393+K393+F393</f>
        <v>20.348958333333336</v>
      </c>
      <c r="P393" s="104"/>
      <c r="Q393" s="106">
        <f t="shared" si="63"/>
        <v>166.13020833333334</v>
      </c>
      <c r="R393" s="141">
        <f t="shared" si="70"/>
        <v>0</v>
      </c>
      <c r="T393" s="110">
        <f t="shared" si="64"/>
        <v>0.87751199172335947</v>
      </c>
      <c r="U393" s="110">
        <f t="shared" si="64"/>
        <v>0.12248800827664044</v>
      </c>
      <c r="V393" s="110">
        <f t="shared" si="64"/>
        <v>0</v>
      </c>
      <c r="W393" s="110">
        <f t="shared" si="65"/>
        <v>0.99999999999999989</v>
      </c>
      <c r="Y393" s="142">
        <f>T393*'Co-Processing'!K395*'Feedstock Conversion Rates'!B$13</f>
        <v>91.94992675118516</v>
      </c>
      <c r="Z393" s="142">
        <f>U393*'Co-Processing'!K395*'Feedstock Conversion Rates'!B$12</f>
        <v>13.262712014199469</v>
      </c>
      <c r="AA393" s="142">
        <f>V393*'Co-Processing'!K395*'Feedstock Conversion Rates'!B$14</f>
        <v>0</v>
      </c>
      <c r="AB393" s="142">
        <f t="shared" si="67"/>
        <v>105.21263876538463</v>
      </c>
      <c r="AD393" s="142">
        <v>0</v>
      </c>
      <c r="AE393" s="142">
        <v>0</v>
      </c>
      <c r="AF393" s="142">
        <v>0</v>
      </c>
      <c r="AG393" s="142">
        <v>0</v>
      </c>
      <c r="AH393" s="142">
        <v>0</v>
      </c>
    </row>
    <row r="394" spans="1:34" x14ac:dyDescent="0.25">
      <c r="A394" s="96">
        <v>50710</v>
      </c>
      <c r="B394" s="104">
        <f>10+15</f>
        <v>25</v>
      </c>
      <c r="C394" s="104">
        <f>('Co-Processing'!B396*'Co-Pro Feedstock Breakdown'!C$3*'Feedstock Conversion Rates'!B$12)/12-10-15</f>
        <v>10.520833333333336</v>
      </c>
      <c r="D394" s="106">
        <f t="shared" si="61"/>
        <v>35.520833333333336</v>
      </c>
      <c r="E394" s="104">
        <f>('Co-Processing'!C396*'Co-Pro Feedstock Breakdown'!E$3*'Feedstock Conversion Rates'!B$13)/12</f>
        <v>25.78125</v>
      </c>
      <c r="F394" s="104">
        <f>('Co-Processing'!C396*'Co-Pro Feedstock Breakdown'!F$3*'Feedstock Conversion Rates'!B$14)/12</f>
        <v>8.5364583333333339</v>
      </c>
      <c r="G394" s="106">
        <f t="shared" si="62"/>
        <v>34.317708333333336</v>
      </c>
      <c r="H394" s="104">
        <f>('Co-Processing'!D396*'Co-Pro Feedstock Breakdown'!H$3*'Feedstock Conversion Rates'!B$13)/12</f>
        <v>93.75</v>
      </c>
      <c r="I394" s="106">
        <f t="shared" si="66"/>
        <v>93.75</v>
      </c>
      <c r="J394" s="104">
        <f>('Co-Processing'!E396*'Co-Pro Feedstock Breakdown'!J$3*'Feedstock Conversion Rates'!B$13)/12</f>
        <v>1.25</v>
      </c>
      <c r="K394" s="104">
        <f>('Co-Processing'!E396*'Co-Pro Feedstock Breakdown'!K$3*'Feedstock Conversion Rates'!B$12)/12</f>
        <v>1.2916666666666667</v>
      </c>
      <c r="L394" s="106">
        <f t="shared" si="68"/>
        <v>2.541666666666667</v>
      </c>
      <c r="N394" s="104">
        <f t="shared" si="69"/>
        <v>145.78125</v>
      </c>
      <c r="O394" s="104">
        <f>C394+K394+F394</f>
        <v>20.348958333333336</v>
      </c>
      <c r="P394" s="104"/>
      <c r="Q394" s="106">
        <f t="shared" si="63"/>
        <v>166.13020833333334</v>
      </c>
      <c r="R394" s="141">
        <f t="shared" si="70"/>
        <v>0</v>
      </c>
      <c r="T394" s="110">
        <f t="shared" si="64"/>
        <v>0.87751199172335947</v>
      </c>
      <c r="U394" s="110">
        <f t="shared" si="64"/>
        <v>0.12248800827664044</v>
      </c>
      <c r="V394" s="110">
        <f t="shared" si="64"/>
        <v>0</v>
      </c>
      <c r="W394" s="110">
        <f t="shared" si="65"/>
        <v>0.99999999999999989</v>
      </c>
      <c r="Y394" s="142">
        <f>T394*'Co-Processing'!K396*'Feedstock Conversion Rates'!B$13</f>
        <v>92.58364196859857</v>
      </c>
      <c r="Z394" s="142">
        <f>U394*'Co-Processing'!K396*'Feedstock Conversion Rates'!B$12</f>
        <v>13.35411809492766</v>
      </c>
      <c r="AA394" s="142">
        <f>V394*'Co-Processing'!K396*'Feedstock Conversion Rates'!B$14</f>
        <v>0</v>
      </c>
      <c r="AB394" s="142">
        <f t="shared" si="67"/>
        <v>105.93776006352623</v>
      </c>
      <c r="AD394" s="142">
        <v>0</v>
      </c>
      <c r="AE394" s="142">
        <v>0</v>
      </c>
      <c r="AF394" s="142">
        <v>0</v>
      </c>
      <c r="AG394" s="142">
        <v>0</v>
      </c>
      <c r="AH394" s="142">
        <v>0</v>
      </c>
    </row>
    <row r="395" spans="1:34" x14ac:dyDescent="0.25">
      <c r="A395" s="96">
        <v>50740</v>
      </c>
      <c r="B395" s="104">
        <f>10+15</f>
        <v>25</v>
      </c>
      <c r="C395" s="104">
        <f>('Co-Processing'!B397*'Co-Pro Feedstock Breakdown'!C$3*'Feedstock Conversion Rates'!B$12)/12-10-15</f>
        <v>10.520833333333336</v>
      </c>
      <c r="D395" s="106">
        <f t="shared" si="61"/>
        <v>35.520833333333336</v>
      </c>
      <c r="E395" s="104">
        <f>('Co-Processing'!C397*'Co-Pro Feedstock Breakdown'!E$3*'Feedstock Conversion Rates'!B$13)/12</f>
        <v>25.78125</v>
      </c>
      <c r="F395" s="104">
        <f>('Co-Processing'!C397*'Co-Pro Feedstock Breakdown'!F$3*'Feedstock Conversion Rates'!B$14)/12</f>
        <v>8.5364583333333339</v>
      </c>
      <c r="G395" s="106">
        <f t="shared" si="62"/>
        <v>34.317708333333336</v>
      </c>
      <c r="H395" s="104">
        <f>('Co-Processing'!D397*'Co-Pro Feedstock Breakdown'!H$3*'Feedstock Conversion Rates'!B$13)/12</f>
        <v>93.75</v>
      </c>
      <c r="I395" s="106">
        <f t="shared" si="66"/>
        <v>93.75</v>
      </c>
      <c r="J395" s="104">
        <f>('Co-Processing'!E397*'Co-Pro Feedstock Breakdown'!J$3*'Feedstock Conversion Rates'!B$13)/12</f>
        <v>1.25</v>
      </c>
      <c r="K395" s="104">
        <f>('Co-Processing'!E397*'Co-Pro Feedstock Breakdown'!K$3*'Feedstock Conversion Rates'!B$12)/12</f>
        <v>1.2916666666666667</v>
      </c>
      <c r="L395" s="106">
        <f t="shared" si="68"/>
        <v>2.541666666666667</v>
      </c>
      <c r="N395" s="104">
        <f t="shared" si="69"/>
        <v>145.78125</v>
      </c>
      <c r="O395" s="104">
        <f>C395+K395+F395</f>
        <v>20.348958333333336</v>
      </c>
      <c r="P395" s="104"/>
      <c r="Q395" s="106">
        <f t="shared" si="63"/>
        <v>166.13020833333334</v>
      </c>
      <c r="R395" s="141">
        <f t="shared" si="70"/>
        <v>0</v>
      </c>
      <c r="T395" s="110">
        <f t="shared" si="64"/>
        <v>0.87751199172335947</v>
      </c>
      <c r="U395" s="110">
        <f t="shared" si="64"/>
        <v>0.12248800827664044</v>
      </c>
      <c r="V395" s="110">
        <f t="shared" si="64"/>
        <v>0</v>
      </c>
      <c r="W395" s="110">
        <f t="shared" si="65"/>
        <v>0.99999999999999989</v>
      </c>
      <c r="Y395" s="142">
        <f>T395*'Co-Processing'!K397*'Feedstock Conversion Rates'!B$13</f>
        <v>95.333824278047786</v>
      </c>
      <c r="Z395" s="142">
        <f>U395*'Co-Processing'!K397*'Feedstock Conversion Rates'!B$12</f>
        <v>13.750800041781964</v>
      </c>
      <c r="AA395" s="142">
        <f>V395*'Co-Processing'!K397*'Feedstock Conversion Rates'!B$14</f>
        <v>0</v>
      </c>
      <c r="AB395" s="142">
        <f t="shared" si="67"/>
        <v>109.08462431982974</v>
      </c>
      <c r="AD395" s="142">
        <v>0</v>
      </c>
      <c r="AE395" s="142">
        <v>0</v>
      </c>
      <c r="AF395" s="142">
        <v>0</v>
      </c>
      <c r="AG395" s="142">
        <v>0</v>
      </c>
      <c r="AH395" s="142">
        <v>0</v>
      </c>
    </row>
    <row r="396" spans="1:34" x14ac:dyDescent="0.25">
      <c r="A396" s="96">
        <v>50771</v>
      </c>
      <c r="B396" s="104">
        <f t="shared" ref="B396:B459" si="71">10+15</f>
        <v>25</v>
      </c>
      <c r="C396" s="104">
        <f>('Co-Processing'!B398*'Co-Pro Feedstock Breakdown'!C$3*'Feedstock Conversion Rates'!B$12)/12-10-15</f>
        <v>10.520833333333336</v>
      </c>
      <c r="D396" s="106">
        <f t="shared" si="61"/>
        <v>35.520833333333336</v>
      </c>
      <c r="E396" s="104">
        <f>('Co-Processing'!C398*'Co-Pro Feedstock Breakdown'!E$3*'Feedstock Conversion Rates'!B$13)/12</f>
        <v>25.78125</v>
      </c>
      <c r="F396" s="104">
        <f>('Co-Processing'!C398*'Co-Pro Feedstock Breakdown'!F$3*'Feedstock Conversion Rates'!B$14)/12</f>
        <v>8.5364583333333339</v>
      </c>
      <c r="G396" s="106">
        <f t="shared" si="62"/>
        <v>34.317708333333336</v>
      </c>
      <c r="H396" s="104">
        <f>('Co-Processing'!D398*'Co-Pro Feedstock Breakdown'!H$3*'Feedstock Conversion Rates'!B$13)/12</f>
        <v>93.75</v>
      </c>
      <c r="I396" s="106">
        <f t="shared" si="66"/>
        <v>93.75</v>
      </c>
      <c r="J396" s="104">
        <f>('Co-Processing'!E398*'Co-Pro Feedstock Breakdown'!J$3*'Feedstock Conversion Rates'!B$13)/12</f>
        <v>1.25</v>
      </c>
      <c r="K396" s="104">
        <f>('Co-Processing'!E398*'Co-Pro Feedstock Breakdown'!K$3*'Feedstock Conversion Rates'!B$12)/12</f>
        <v>1.2916666666666667</v>
      </c>
      <c r="L396" s="106">
        <f t="shared" si="68"/>
        <v>2.541666666666667</v>
      </c>
      <c r="N396" s="104">
        <f t="shared" si="69"/>
        <v>145.78125</v>
      </c>
      <c r="O396" s="104">
        <f t="shared" ref="O396:O459" si="72">C396+K396+F396</f>
        <v>20.348958333333336</v>
      </c>
      <c r="P396" s="104"/>
      <c r="Q396" s="106">
        <f t="shared" ref="Q396:Q459" si="73">SUM(N396:P396)</f>
        <v>166.13020833333334</v>
      </c>
      <c r="R396" s="141">
        <f t="shared" si="70"/>
        <v>0</v>
      </c>
      <c r="T396" s="110">
        <f t="shared" ref="T396:V459" si="74">N396/$Q396</f>
        <v>0.87751199172335947</v>
      </c>
      <c r="U396" s="110">
        <f t="shared" si="74"/>
        <v>0.12248800827664044</v>
      </c>
      <c r="V396" s="110">
        <f t="shared" si="74"/>
        <v>0</v>
      </c>
      <c r="W396" s="110">
        <f t="shared" si="65"/>
        <v>0.99999999999999989</v>
      </c>
      <c r="Y396" s="142">
        <f>T396*'Co-Processing'!K398*'Feedstock Conversion Rates'!B$13</f>
        <v>90.900501894697157</v>
      </c>
      <c r="Z396" s="142">
        <f>U396*'Co-Processing'!K398*'Feedstock Conversion Rates'!B$12</f>
        <v>13.11134463258311</v>
      </c>
      <c r="AA396" s="142">
        <f>V396*'Co-Processing'!K398*'Feedstock Conversion Rates'!B$14</f>
        <v>0</v>
      </c>
      <c r="AB396" s="142">
        <f t="shared" si="67"/>
        <v>104.01184652728027</v>
      </c>
      <c r="AD396" s="142">
        <v>0</v>
      </c>
      <c r="AE396" s="142">
        <v>0</v>
      </c>
      <c r="AF396" s="142">
        <v>0</v>
      </c>
      <c r="AG396" s="142">
        <v>0</v>
      </c>
      <c r="AH396" s="142">
        <v>0</v>
      </c>
    </row>
    <row r="397" spans="1:34" x14ac:dyDescent="0.25">
      <c r="A397" s="96">
        <v>50802</v>
      </c>
      <c r="B397" s="104">
        <f t="shared" si="71"/>
        <v>25</v>
      </c>
      <c r="C397" s="104">
        <f>('Co-Processing'!B399*'Co-Pro Feedstock Breakdown'!C$3*'Feedstock Conversion Rates'!B$12)/12-10-15</f>
        <v>10.520833333333336</v>
      </c>
      <c r="D397" s="106">
        <f t="shared" si="61"/>
        <v>35.520833333333336</v>
      </c>
      <c r="E397" s="104">
        <f>('Co-Processing'!C399*'Co-Pro Feedstock Breakdown'!E$3*'Feedstock Conversion Rates'!B$13)/12</f>
        <v>25.78125</v>
      </c>
      <c r="F397" s="104">
        <f>('Co-Processing'!C399*'Co-Pro Feedstock Breakdown'!F$3*'Feedstock Conversion Rates'!B$14)/12</f>
        <v>8.5364583333333339</v>
      </c>
      <c r="G397" s="106">
        <f t="shared" si="62"/>
        <v>34.317708333333336</v>
      </c>
      <c r="H397" s="104">
        <f>('Co-Processing'!D399*'Co-Pro Feedstock Breakdown'!H$3*'Feedstock Conversion Rates'!B$13)/12</f>
        <v>93.75</v>
      </c>
      <c r="I397" s="106">
        <f t="shared" si="66"/>
        <v>93.75</v>
      </c>
      <c r="J397" s="104">
        <f>('Co-Processing'!E399*'Co-Pro Feedstock Breakdown'!J$3*'Feedstock Conversion Rates'!B$13)/12</f>
        <v>1.25</v>
      </c>
      <c r="K397" s="104">
        <f>('Co-Processing'!E399*'Co-Pro Feedstock Breakdown'!K$3*'Feedstock Conversion Rates'!B$12)/12</f>
        <v>1.2916666666666667</v>
      </c>
      <c r="L397" s="106">
        <f t="shared" si="68"/>
        <v>2.541666666666667</v>
      </c>
      <c r="N397" s="104">
        <f t="shared" si="69"/>
        <v>145.78125</v>
      </c>
      <c r="O397" s="104">
        <f t="shared" si="72"/>
        <v>20.348958333333336</v>
      </c>
      <c r="P397" s="104"/>
      <c r="Q397" s="106">
        <f t="shared" si="73"/>
        <v>166.13020833333334</v>
      </c>
      <c r="R397" s="141">
        <f t="shared" si="70"/>
        <v>0</v>
      </c>
      <c r="T397" s="110">
        <f t="shared" si="74"/>
        <v>0.87751199172335947</v>
      </c>
      <c r="U397" s="110">
        <f t="shared" si="74"/>
        <v>0.12248800827664044</v>
      </c>
      <c r="V397" s="110">
        <f t="shared" si="74"/>
        <v>0</v>
      </c>
      <c r="W397" s="110">
        <f t="shared" si="65"/>
        <v>0.99999999999999989</v>
      </c>
      <c r="Y397" s="142">
        <f>T397*'Co-Processing'!K399*'Feedstock Conversion Rates'!B$13</f>
        <v>71.098164327743248</v>
      </c>
      <c r="Z397" s="142">
        <f>U397*'Co-Processing'!K399*'Feedstock Conversion Rates'!B$12</f>
        <v>10.255086779663309</v>
      </c>
      <c r="AA397" s="142">
        <f>V397*'Co-Processing'!K399*'Feedstock Conversion Rates'!B$14</f>
        <v>0</v>
      </c>
      <c r="AB397" s="142">
        <f t="shared" si="67"/>
        <v>81.35325110740655</v>
      </c>
      <c r="AD397" s="142">
        <v>0</v>
      </c>
      <c r="AE397" s="142">
        <v>0</v>
      </c>
      <c r="AF397" s="142">
        <v>0</v>
      </c>
      <c r="AG397" s="142">
        <v>0</v>
      </c>
      <c r="AH397" s="142">
        <v>0</v>
      </c>
    </row>
    <row r="398" spans="1:34" x14ac:dyDescent="0.25">
      <c r="A398" s="96">
        <v>50830</v>
      </c>
      <c r="B398" s="104">
        <f t="shared" si="71"/>
        <v>25</v>
      </c>
      <c r="C398" s="104">
        <f>('Co-Processing'!B400*'Co-Pro Feedstock Breakdown'!C$3*'Feedstock Conversion Rates'!B$12)/12-10-15</f>
        <v>10.520833333333336</v>
      </c>
      <c r="D398" s="106">
        <f t="shared" si="61"/>
        <v>35.520833333333336</v>
      </c>
      <c r="E398" s="104">
        <f>('Co-Processing'!C400*'Co-Pro Feedstock Breakdown'!E$3*'Feedstock Conversion Rates'!B$13)/12</f>
        <v>25.78125</v>
      </c>
      <c r="F398" s="104">
        <f>('Co-Processing'!C400*'Co-Pro Feedstock Breakdown'!F$3*'Feedstock Conversion Rates'!B$14)/12</f>
        <v>8.5364583333333339</v>
      </c>
      <c r="G398" s="106">
        <f t="shared" si="62"/>
        <v>34.317708333333336</v>
      </c>
      <c r="H398" s="104">
        <f>('Co-Processing'!D400*'Co-Pro Feedstock Breakdown'!H$3*'Feedstock Conversion Rates'!B$13)/12</f>
        <v>93.75</v>
      </c>
      <c r="I398" s="106">
        <f t="shared" si="66"/>
        <v>93.75</v>
      </c>
      <c r="J398" s="104">
        <f>('Co-Processing'!E400*'Co-Pro Feedstock Breakdown'!J$3*'Feedstock Conversion Rates'!B$13)/12</f>
        <v>1.25</v>
      </c>
      <c r="K398" s="104">
        <f>('Co-Processing'!E400*'Co-Pro Feedstock Breakdown'!K$3*'Feedstock Conversion Rates'!B$12)/12</f>
        <v>1.2916666666666667</v>
      </c>
      <c r="L398" s="106">
        <f t="shared" si="68"/>
        <v>2.541666666666667</v>
      </c>
      <c r="N398" s="104">
        <f t="shared" si="69"/>
        <v>145.78125</v>
      </c>
      <c r="O398" s="104">
        <f t="shared" si="72"/>
        <v>20.348958333333336</v>
      </c>
      <c r="P398" s="104"/>
      <c r="Q398" s="106">
        <f t="shared" si="73"/>
        <v>166.13020833333334</v>
      </c>
      <c r="R398" s="141">
        <f t="shared" si="70"/>
        <v>0</v>
      </c>
      <c r="T398" s="110">
        <f t="shared" si="74"/>
        <v>0.87751199172335947</v>
      </c>
      <c r="U398" s="110">
        <f t="shared" si="74"/>
        <v>0.12248800827664044</v>
      </c>
      <c r="V398" s="110">
        <f t="shared" si="74"/>
        <v>0</v>
      </c>
      <c r="W398" s="110">
        <f t="shared" si="65"/>
        <v>0.99999999999999989</v>
      </c>
      <c r="Y398" s="142">
        <f>T398*'Co-Processing'!K400*'Feedstock Conversion Rates'!B$13</f>
        <v>116.95124206492653</v>
      </c>
      <c r="Z398" s="142">
        <f>U398*'Co-Processing'!K400*'Feedstock Conversion Rates'!B$12</f>
        <v>16.868862195043118</v>
      </c>
      <c r="AA398" s="142">
        <f>V398*'Co-Processing'!K400*'Feedstock Conversion Rates'!B$14</f>
        <v>0</v>
      </c>
      <c r="AB398" s="142">
        <f t="shared" si="67"/>
        <v>133.82010425996964</v>
      </c>
      <c r="AD398" s="142">
        <v>0</v>
      </c>
      <c r="AE398" s="142">
        <v>0</v>
      </c>
      <c r="AF398" s="142">
        <v>0</v>
      </c>
      <c r="AG398" s="142">
        <v>0</v>
      </c>
      <c r="AH398" s="142">
        <v>0</v>
      </c>
    </row>
    <row r="399" spans="1:34" x14ac:dyDescent="0.25">
      <c r="A399" s="96">
        <v>50861</v>
      </c>
      <c r="B399" s="104">
        <f t="shared" si="71"/>
        <v>25</v>
      </c>
      <c r="C399" s="104">
        <f>('Co-Processing'!B401*'Co-Pro Feedstock Breakdown'!C$3*'Feedstock Conversion Rates'!B$12)/12-10-15</f>
        <v>10.520833333333336</v>
      </c>
      <c r="D399" s="106">
        <f t="shared" si="61"/>
        <v>35.520833333333336</v>
      </c>
      <c r="E399" s="104">
        <f>('Co-Processing'!C401*'Co-Pro Feedstock Breakdown'!E$3*'Feedstock Conversion Rates'!B$13)/12</f>
        <v>25.78125</v>
      </c>
      <c r="F399" s="104">
        <f>('Co-Processing'!C401*'Co-Pro Feedstock Breakdown'!F$3*'Feedstock Conversion Rates'!B$14)/12</f>
        <v>8.5364583333333339</v>
      </c>
      <c r="G399" s="106">
        <f t="shared" si="62"/>
        <v>34.317708333333336</v>
      </c>
      <c r="H399" s="104">
        <f>('Co-Processing'!D401*'Co-Pro Feedstock Breakdown'!H$3*'Feedstock Conversion Rates'!B$13)/12</f>
        <v>93.75</v>
      </c>
      <c r="I399" s="106">
        <f t="shared" si="66"/>
        <v>93.75</v>
      </c>
      <c r="J399" s="104">
        <f>('Co-Processing'!E401*'Co-Pro Feedstock Breakdown'!J$3*'Feedstock Conversion Rates'!B$13)/12</f>
        <v>1.25</v>
      </c>
      <c r="K399" s="104">
        <f>('Co-Processing'!E401*'Co-Pro Feedstock Breakdown'!K$3*'Feedstock Conversion Rates'!B$12)/12</f>
        <v>1.2916666666666667</v>
      </c>
      <c r="L399" s="106">
        <f t="shared" si="68"/>
        <v>2.541666666666667</v>
      </c>
      <c r="N399" s="104">
        <f t="shared" si="69"/>
        <v>145.78125</v>
      </c>
      <c r="O399" s="104">
        <f t="shared" si="72"/>
        <v>20.348958333333336</v>
      </c>
      <c r="P399" s="104"/>
      <c r="Q399" s="106">
        <f t="shared" si="73"/>
        <v>166.13020833333334</v>
      </c>
      <c r="R399" s="141">
        <f t="shared" si="70"/>
        <v>0</v>
      </c>
      <c r="T399" s="110">
        <f t="shared" si="74"/>
        <v>0.87751199172335947</v>
      </c>
      <c r="U399" s="110">
        <f t="shared" si="74"/>
        <v>0.12248800827664044</v>
      </c>
      <c r="V399" s="110">
        <f t="shared" si="74"/>
        <v>0</v>
      </c>
      <c r="W399" s="110">
        <f t="shared" si="65"/>
        <v>0.99999999999999989</v>
      </c>
      <c r="Y399" s="142">
        <f>T399*'Co-Processing'!K401*'Feedstock Conversion Rates'!B$13</f>
        <v>76.182455786443171</v>
      </c>
      <c r="Z399" s="142">
        <f>U399*'Co-Processing'!K401*'Feedstock Conversion Rates'!B$12</f>
        <v>10.988436938771752</v>
      </c>
      <c r="AA399" s="142">
        <f>V399*'Co-Processing'!K401*'Feedstock Conversion Rates'!B$14</f>
        <v>0</v>
      </c>
      <c r="AB399" s="142">
        <f t="shared" si="67"/>
        <v>87.170892725214927</v>
      </c>
      <c r="AD399" s="142">
        <v>0</v>
      </c>
      <c r="AE399" s="142">
        <v>0</v>
      </c>
      <c r="AF399" s="142">
        <v>0</v>
      </c>
      <c r="AG399" s="142">
        <v>0</v>
      </c>
      <c r="AH399" s="142">
        <v>0</v>
      </c>
    </row>
    <row r="400" spans="1:34" x14ac:dyDescent="0.25">
      <c r="A400" s="96">
        <v>50891</v>
      </c>
      <c r="B400" s="104">
        <f t="shared" si="71"/>
        <v>25</v>
      </c>
      <c r="C400" s="104">
        <f>('Co-Processing'!B402*'Co-Pro Feedstock Breakdown'!C$3*'Feedstock Conversion Rates'!B$12)/12-10-15</f>
        <v>10.520833333333336</v>
      </c>
      <c r="D400" s="106">
        <f t="shared" si="61"/>
        <v>35.520833333333336</v>
      </c>
      <c r="E400" s="104">
        <f>('Co-Processing'!C402*'Co-Pro Feedstock Breakdown'!E$3*'Feedstock Conversion Rates'!B$13)/12</f>
        <v>25.78125</v>
      </c>
      <c r="F400" s="104">
        <f>('Co-Processing'!C402*'Co-Pro Feedstock Breakdown'!F$3*'Feedstock Conversion Rates'!B$14)/12</f>
        <v>8.5364583333333339</v>
      </c>
      <c r="G400" s="106">
        <f t="shared" si="62"/>
        <v>34.317708333333336</v>
      </c>
      <c r="H400" s="104">
        <f>('Co-Processing'!D402*'Co-Pro Feedstock Breakdown'!H$3*'Feedstock Conversion Rates'!B$13)/12</f>
        <v>93.75</v>
      </c>
      <c r="I400" s="106">
        <f t="shared" si="66"/>
        <v>93.75</v>
      </c>
      <c r="J400" s="104">
        <f>('Co-Processing'!E402*'Co-Pro Feedstock Breakdown'!J$3*'Feedstock Conversion Rates'!B$13)/12</f>
        <v>1.25</v>
      </c>
      <c r="K400" s="104">
        <f>('Co-Processing'!E402*'Co-Pro Feedstock Breakdown'!K$3*'Feedstock Conversion Rates'!B$12)/12</f>
        <v>1.2916666666666667</v>
      </c>
      <c r="L400" s="106">
        <f t="shared" si="68"/>
        <v>2.541666666666667</v>
      </c>
      <c r="N400" s="104">
        <f t="shared" si="69"/>
        <v>145.78125</v>
      </c>
      <c r="O400" s="104">
        <f t="shared" si="72"/>
        <v>20.348958333333336</v>
      </c>
      <c r="P400" s="104"/>
      <c r="Q400" s="106">
        <f t="shared" si="73"/>
        <v>166.13020833333334</v>
      </c>
      <c r="R400" s="141">
        <f t="shared" si="70"/>
        <v>0</v>
      </c>
      <c r="T400" s="110">
        <f t="shared" si="74"/>
        <v>0.87751199172335947</v>
      </c>
      <c r="U400" s="110">
        <f t="shared" si="74"/>
        <v>0.12248800827664044</v>
      </c>
      <c r="V400" s="110">
        <f t="shared" si="74"/>
        <v>0</v>
      </c>
      <c r="W400" s="110">
        <f t="shared" si="65"/>
        <v>0.99999999999999989</v>
      </c>
      <c r="Y400" s="142">
        <f>T400*'Co-Processing'!K402*'Feedstock Conversion Rates'!B$13</f>
        <v>83.82935601537099</v>
      </c>
      <c r="Z400" s="142">
        <f>U400*'Co-Processing'!K402*'Feedstock Conversion Rates'!B$12</f>
        <v>12.091413734087995</v>
      </c>
      <c r="AA400" s="142">
        <f>V400*'Co-Processing'!K402*'Feedstock Conversion Rates'!B$14</f>
        <v>0</v>
      </c>
      <c r="AB400" s="142">
        <f t="shared" si="67"/>
        <v>95.920769749458984</v>
      </c>
      <c r="AD400" s="142">
        <v>0</v>
      </c>
      <c r="AE400" s="142">
        <v>0</v>
      </c>
      <c r="AF400" s="142">
        <v>0</v>
      </c>
      <c r="AG400" s="142">
        <v>0</v>
      </c>
      <c r="AH400" s="142">
        <v>0</v>
      </c>
    </row>
    <row r="401" spans="1:34" x14ac:dyDescent="0.25">
      <c r="A401" s="96">
        <v>50922</v>
      </c>
      <c r="B401" s="104">
        <f t="shared" si="71"/>
        <v>25</v>
      </c>
      <c r="C401" s="104">
        <f>('Co-Processing'!B403*'Co-Pro Feedstock Breakdown'!C$3*'Feedstock Conversion Rates'!B$12)/12-10-15</f>
        <v>10.520833333333336</v>
      </c>
      <c r="D401" s="106">
        <f t="shared" si="61"/>
        <v>35.520833333333336</v>
      </c>
      <c r="E401" s="104">
        <f>('Co-Processing'!C403*'Co-Pro Feedstock Breakdown'!E$3*'Feedstock Conversion Rates'!B$13)/12</f>
        <v>25.78125</v>
      </c>
      <c r="F401" s="104">
        <f>('Co-Processing'!C403*'Co-Pro Feedstock Breakdown'!F$3*'Feedstock Conversion Rates'!B$14)/12</f>
        <v>8.5364583333333339</v>
      </c>
      <c r="G401" s="106">
        <f t="shared" si="62"/>
        <v>34.317708333333336</v>
      </c>
      <c r="H401" s="104">
        <f>('Co-Processing'!D403*'Co-Pro Feedstock Breakdown'!H$3*'Feedstock Conversion Rates'!B$13)/12</f>
        <v>93.75</v>
      </c>
      <c r="I401" s="106">
        <f t="shared" si="66"/>
        <v>93.75</v>
      </c>
      <c r="J401" s="104">
        <f>('Co-Processing'!E403*'Co-Pro Feedstock Breakdown'!J$3*'Feedstock Conversion Rates'!B$13)/12</f>
        <v>1.25</v>
      </c>
      <c r="K401" s="104">
        <f>('Co-Processing'!E403*'Co-Pro Feedstock Breakdown'!K$3*'Feedstock Conversion Rates'!B$12)/12</f>
        <v>1.2916666666666667</v>
      </c>
      <c r="L401" s="106">
        <f t="shared" si="68"/>
        <v>2.541666666666667</v>
      </c>
      <c r="N401" s="104">
        <f t="shared" si="69"/>
        <v>145.78125</v>
      </c>
      <c r="O401" s="104">
        <f t="shared" si="72"/>
        <v>20.348958333333336</v>
      </c>
      <c r="P401" s="104"/>
      <c r="Q401" s="106">
        <f t="shared" si="73"/>
        <v>166.13020833333334</v>
      </c>
      <c r="R401" s="141">
        <f t="shared" si="70"/>
        <v>0</v>
      </c>
      <c r="T401" s="110">
        <f t="shared" si="74"/>
        <v>0.87751199172335947</v>
      </c>
      <c r="U401" s="110">
        <f t="shared" si="74"/>
        <v>0.12248800827664044</v>
      </c>
      <c r="V401" s="110">
        <f t="shared" si="74"/>
        <v>0</v>
      </c>
      <c r="W401" s="110">
        <f t="shared" si="65"/>
        <v>0.99999999999999989</v>
      </c>
      <c r="Y401" s="142">
        <f>T401*'Co-Processing'!K403*'Feedstock Conversion Rates'!B$13</f>
        <v>113.4885739567459</v>
      </c>
      <c r="Z401" s="142">
        <f>U401*'Co-Processing'!K403*'Feedstock Conversion Rates'!B$12</f>
        <v>16.369412423388351</v>
      </c>
      <c r="AA401" s="142">
        <f>V401*'Co-Processing'!K403*'Feedstock Conversion Rates'!B$14</f>
        <v>0</v>
      </c>
      <c r="AB401" s="142">
        <f t="shared" si="67"/>
        <v>129.85798638013424</v>
      </c>
      <c r="AD401" s="142">
        <v>0</v>
      </c>
      <c r="AE401" s="142">
        <v>0</v>
      </c>
      <c r="AF401" s="142">
        <v>0</v>
      </c>
      <c r="AG401" s="142">
        <v>0</v>
      </c>
      <c r="AH401" s="142">
        <v>0</v>
      </c>
    </row>
    <row r="402" spans="1:34" x14ac:dyDescent="0.25">
      <c r="A402" s="96">
        <v>50952</v>
      </c>
      <c r="B402" s="104">
        <f t="shared" si="71"/>
        <v>25</v>
      </c>
      <c r="C402" s="104">
        <f>('Co-Processing'!B404*'Co-Pro Feedstock Breakdown'!C$3*'Feedstock Conversion Rates'!B$12)/12-10-15</f>
        <v>10.520833333333336</v>
      </c>
      <c r="D402" s="106">
        <f t="shared" si="61"/>
        <v>35.520833333333336</v>
      </c>
      <c r="E402" s="104">
        <f>('Co-Processing'!C404*'Co-Pro Feedstock Breakdown'!E$3*'Feedstock Conversion Rates'!B$13)/12</f>
        <v>25.78125</v>
      </c>
      <c r="F402" s="104">
        <f>('Co-Processing'!C404*'Co-Pro Feedstock Breakdown'!F$3*'Feedstock Conversion Rates'!B$14)/12</f>
        <v>8.5364583333333339</v>
      </c>
      <c r="G402" s="106">
        <f t="shared" si="62"/>
        <v>34.317708333333336</v>
      </c>
      <c r="H402" s="104">
        <f>('Co-Processing'!D404*'Co-Pro Feedstock Breakdown'!H$3*'Feedstock Conversion Rates'!B$13)/12</f>
        <v>93.75</v>
      </c>
      <c r="I402" s="106">
        <f t="shared" si="66"/>
        <v>93.75</v>
      </c>
      <c r="J402" s="104">
        <f>('Co-Processing'!E404*'Co-Pro Feedstock Breakdown'!J$3*'Feedstock Conversion Rates'!B$13)/12</f>
        <v>1.25</v>
      </c>
      <c r="K402" s="104">
        <f>('Co-Processing'!E404*'Co-Pro Feedstock Breakdown'!K$3*'Feedstock Conversion Rates'!B$12)/12</f>
        <v>1.2916666666666667</v>
      </c>
      <c r="L402" s="106">
        <f t="shared" si="68"/>
        <v>2.541666666666667</v>
      </c>
      <c r="N402" s="104">
        <f t="shared" si="69"/>
        <v>145.78125</v>
      </c>
      <c r="O402" s="104">
        <f t="shared" si="72"/>
        <v>20.348958333333336</v>
      </c>
      <c r="P402" s="104"/>
      <c r="Q402" s="106">
        <f t="shared" si="73"/>
        <v>166.13020833333334</v>
      </c>
      <c r="R402" s="141">
        <f t="shared" si="70"/>
        <v>0</v>
      </c>
      <c r="T402" s="110">
        <f t="shared" si="74"/>
        <v>0.87751199172335947</v>
      </c>
      <c r="U402" s="110">
        <f t="shared" si="74"/>
        <v>0.12248800827664044</v>
      </c>
      <c r="V402" s="110">
        <f t="shared" si="74"/>
        <v>0</v>
      </c>
      <c r="W402" s="110">
        <f t="shared" si="65"/>
        <v>0.99999999999999989</v>
      </c>
      <c r="Y402" s="142">
        <f>T402*'Co-Processing'!K404*'Feedstock Conversion Rates'!B$13</f>
        <v>94.819745104683179</v>
      </c>
      <c r="Z402" s="142">
        <f>U402*'Co-Processing'!K404*'Feedstock Conversion Rates'!B$12</f>
        <v>13.676650074840913</v>
      </c>
      <c r="AA402" s="142">
        <f>V402*'Co-Processing'!K404*'Feedstock Conversion Rates'!B$14</f>
        <v>0</v>
      </c>
      <c r="AB402" s="142">
        <f t="shared" si="67"/>
        <v>108.49639517952409</v>
      </c>
      <c r="AD402" s="142">
        <v>0</v>
      </c>
      <c r="AE402" s="142">
        <v>0</v>
      </c>
      <c r="AF402" s="142">
        <v>0</v>
      </c>
      <c r="AG402" s="142">
        <v>0</v>
      </c>
      <c r="AH402" s="142">
        <v>0</v>
      </c>
    </row>
    <row r="403" spans="1:34" x14ac:dyDescent="0.25">
      <c r="A403" s="96">
        <v>50983</v>
      </c>
      <c r="B403" s="104">
        <f t="shared" si="71"/>
        <v>25</v>
      </c>
      <c r="C403" s="104">
        <f>('Co-Processing'!B405*'Co-Pro Feedstock Breakdown'!C$3*'Feedstock Conversion Rates'!B$12)/12-10-15</f>
        <v>10.520833333333336</v>
      </c>
      <c r="D403" s="106">
        <f t="shared" si="61"/>
        <v>35.520833333333336</v>
      </c>
      <c r="E403" s="104">
        <f>('Co-Processing'!C405*'Co-Pro Feedstock Breakdown'!E$3*'Feedstock Conversion Rates'!B$13)/12</f>
        <v>25.78125</v>
      </c>
      <c r="F403" s="104">
        <f>('Co-Processing'!C405*'Co-Pro Feedstock Breakdown'!F$3*'Feedstock Conversion Rates'!B$14)/12</f>
        <v>8.5364583333333339</v>
      </c>
      <c r="G403" s="106">
        <f t="shared" si="62"/>
        <v>34.317708333333336</v>
      </c>
      <c r="H403" s="104">
        <f>('Co-Processing'!D405*'Co-Pro Feedstock Breakdown'!H$3*'Feedstock Conversion Rates'!B$13)/12</f>
        <v>93.75</v>
      </c>
      <c r="I403" s="106">
        <f t="shared" si="66"/>
        <v>93.75</v>
      </c>
      <c r="J403" s="104">
        <f>('Co-Processing'!E405*'Co-Pro Feedstock Breakdown'!J$3*'Feedstock Conversion Rates'!B$13)/12</f>
        <v>1.25</v>
      </c>
      <c r="K403" s="104">
        <f>('Co-Processing'!E405*'Co-Pro Feedstock Breakdown'!K$3*'Feedstock Conversion Rates'!B$12)/12</f>
        <v>1.2916666666666667</v>
      </c>
      <c r="L403" s="106">
        <f t="shared" si="68"/>
        <v>2.541666666666667</v>
      </c>
      <c r="N403" s="104">
        <f t="shared" si="69"/>
        <v>145.78125</v>
      </c>
      <c r="O403" s="104">
        <f t="shared" si="72"/>
        <v>20.348958333333336</v>
      </c>
      <c r="P403" s="104"/>
      <c r="Q403" s="106">
        <f t="shared" si="73"/>
        <v>166.13020833333334</v>
      </c>
      <c r="R403" s="141">
        <f t="shared" si="70"/>
        <v>0</v>
      </c>
      <c r="T403" s="110">
        <f t="shared" si="74"/>
        <v>0.87751199172335947</v>
      </c>
      <c r="U403" s="110">
        <f t="shared" si="74"/>
        <v>0.12248800827664044</v>
      </c>
      <c r="V403" s="110">
        <f t="shared" si="74"/>
        <v>0</v>
      </c>
      <c r="W403" s="110">
        <f t="shared" si="65"/>
        <v>0.99999999999999989</v>
      </c>
      <c r="Y403" s="142">
        <f>T403*'Co-Processing'!K405*'Feedstock Conversion Rates'!B$13</f>
        <v>139.26320367642953</v>
      </c>
      <c r="Z403" s="142">
        <f>U403*'Co-Processing'!K405*'Feedstock Conversion Rates'!B$12</f>
        <v>20.08710425113507</v>
      </c>
      <c r="AA403" s="142">
        <f>V403*'Co-Processing'!K405*'Feedstock Conversion Rates'!B$14</f>
        <v>0</v>
      </c>
      <c r="AB403" s="142">
        <f t="shared" si="67"/>
        <v>159.35030792756459</v>
      </c>
      <c r="AD403" s="142">
        <v>0</v>
      </c>
      <c r="AE403" s="142">
        <v>0</v>
      </c>
      <c r="AF403" s="142">
        <v>0</v>
      </c>
      <c r="AG403" s="142">
        <v>0</v>
      </c>
      <c r="AH403" s="142">
        <v>0</v>
      </c>
    </row>
    <row r="404" spans="1:34" x14ac:dyDescent="0.25">
      <c r="A404" s="96">
        <v>51014</v>
      </c>
      <c r="B404" s="104">
        <f t="shared" si="71"/>
        <v>25</v>
      </c>
      <c r="C404" s="104">
        <f>('Co-Processing'!B406*'Co-Pro Feedstock Breakdown'!C$3*'Feedstock Conversion Rates'!B$12)/12-10-15</f>
        <v>10.520833333333336</v>
      </c>
      <c r="D404" s="106">
        <f t="shared" ref="D404:D467" si="75">C404+B404</f>
        <v>35.520833333333336</v>
      </c>
      <c r="E404" s="104">
        <f>('Co-Processing'!C406*'Co-Pro Feedstock Breakdown'!E$3*'Feedstock Conversion Rates'!B$13)/12</f>
        <v>25.78125</v>
      </c>
      <c r="F404" s="104">
        <f>('Co-Processing'!C406*'Co-Pro Feedstock Breakdown'!F$3*'Feedstock Conversion Rates'!B$14)/12</f>
        <v>8.5364583333333339</v>
      </c>
      <c r="G404" s="106">
        <f t="shared" si="62"/>
        <v>34.317708333333336</v>
      </c>
      <c r="H404" s="104">
        <f>('Co-Processing'!D406*'Co-Pro Feedstock Breakdown'!H$3*'Feedstock Conversion Rates'!B$13)/12</f>
        <v>93.75</v>
      </c>
      <c r="I404" s="106">
        <f t="shared" si="66"/>
        <v>93.75</v>
      </c>
      <c r="J404" s="104">
        <f>('Co-Processing'!E406*'Co-Pro Feedstock Breakdown'!J$3*'Feedstock Conversion Rates'!B$13)/12</f>
        <v>1.25</v>
      </c>
      <c r="K404" s="104">
        <f>('Co-Processing'!E406*'Co-Pro Feedstock Breakdown'!K$3*'Feedstock Conversion Rates'!B$12)/12</f>
        <v>1.2916666666666667</v>
      </c>
      <c r="L404" s="106">
        <f t="shared" si="68"/>
        <v>2.541666666666667</v>
      </c>
      <c r="N404" s="104">
        <f t="shared" si="69"/>
        <v>145.78125</v>
      </c>
      <c r="O404" s="104">
        <f t="shared" si="72"/>
        <v>20.348958333333336</v>
      </c>
      <c r="P404" s="104"/>
      <c r="Q404" s="106">
        <f t="shared" si="73"/>
        <v>166.13020833333334</v>
      </c>
      <c r="R404" s="141">
        <f t="shared" si="70"/>
        <v>0</v>
      </c>
      <c r="T404" s="110">
        <f t="shared" si="74"/>
        <v>0.87751199172335947</v>
      </c>
      <c r="U404" s="110">
        <f t="shared" si="74"/>
        <v>0.12248800827664044</v>
      </c>
      <c r="V404" s="110">
        <f t="shared" si="74"/>
        <v>0</v>
      </c>
      <c r="W404" s="110">
        <f t="shared" si="65"/>
        <v>0.99999999999999989</v>
      </c>
      <c r="Y404" s="142">
        <f>T404*'Co-Processing'!K406*'Feedstock Conversion Rates'!B$13</f>
        <v>124.96179747180294</v>
      </c>
      <c r="Z404" s="142">
        <f>U404*'Co-Processing'!K406*'Feedstock Conversion Rates'!B$12</f>
        <v>18.024292038099748</v>
      </c>
      <c r="AA404" s="142">
        <f>V404*'Co-Processing'!K406*'Feedstock Conversion Rates'!B$14</f>
        <v>0</v>
      </c>
      <c r="AB404" s="142">
        <f t="shared" si="67"/>
        <v>142.98608950990268</v>
      </c>
      <c r="AD404" s="142">
        <v>0</v>
      </c>
      <c r="AE404" s="142">
        <v>0</v>
      </c>
      <c r="AF404" s="142">
        <v>0</v>
      </c>
      <c r="AG404" s="142">
        <v>0</v>
      </c>
      <c r="AH404" s="142">
        <v>0</v>
      </c>
    </row>
    <row r="405" spans="1:34" x14ac:dyDescent="0.25">
      <c r="A405" s="96">
        <v>51044</v>
      </c>
      <c r="B405" s="104">
        <f t="shared" si="71"/>
        <v>25</v>
      </c>
      <c r="C405" s="104">
        <f>('Co-Processing'!B407*'Co-Pro Feedstock Breakdown'!C$3*'Feedstock Conversion Rates'!B$12)/12-10-15</f>
        <v>10.520833333333336</v>
      </c>
      <c r="D405" s="106">
        <f t="shared" si="75"/>
        <v>35.520833333333336</v>
      </c>
      <c r="E405" s="104">
        <f>('Co-Processing'!C407*'Co-Pro Feedstock Breakdown'!E$3*'Feedstock Conversion Rates'!B$13)/12</f>
        <v>25.78125</v>
      </c>
      <c r="F405" s="104">
        <f>('Co-Processing'!C407*'Co-Pro Feedstock Breakdown'!F$3*'Feedstock Conversion Rates'!B$14)/12</f>
        <v>8.5364583333333339</v>
      </c>
      <c r="G405" s="106">
        <f t="shared" si="62"/>
        <v>34.317708333333336</v>
      </c>
      <c r="H405" s="104">
        <f>('Co-Processing'!D407*'Co-Pro Feedstock Breakdown'!H$3*'Feedstock Conversion Rates'!B$13)/12</f>
        <v>93.75</v>
      </c>
      <c r="I405" s="106">
        <f t="shared" si="66"/>
        <v>93.75</v>
      </c>
      <c r="J405" s="104">
        <f>('Co-Processing'!E407*'Co-Pro Feedstock Breakdown'!J$3*'Feedstock Conversion Rates'!B$13)/12</f>
        <v>1.25</v>
      </c>
      <c r="K405" s="104">
        <f>('Co-Processing'!E407*'Co-Pro Feedstock Breakdown'!K$3*'Feedstock Conversion Rates'!B$12)/12</f>
        <v>1.2916666666666667</v>
      </c>
      <c r="L405" s="106">
        <f t="shared" si="68"/>
        <v>2.541666666666667</v>
      </c>
      <c r="N405" s="104">
        <f t="shared" si="69"/>
        <v>145.78125</v>
      </c>
      <c r="O405" s="104">
        <f t="shared" si="72"/>
        <v>20.348958333333336</v>
      </c>
      <c r="P405" s="104"/>
      <c r="Q405" s="106">
        <f t="shared" si="73"/>
        <v>166.13020833333334</v>
      </c>
      <c r="R405" s="141">
        <f t="shared" si="70"/>
        <v>0</v>
      </c>
      <c r="T405" s="110">
        <f t="shared" si="74"/>
        <v>0.87751199172335947</v>
      </c>
      <c r="U405" s="110">
        <f t="shared" si="74"/>
        <v>0.12248800827664044</v>
      </c>
      <c r="V405" s="110">
        <f t="shared" si="74"/>
        <v>0</v>
      </c>
      <c r="W405" s="110">
        <f t="shared" si="65"/>
        <v>0.99999999999999989</v>
      </c>
      <c r="Y405" s="142">
        <f>T405*'Co-Processing'!K407*'Feedstock Conversion Rates'!B$13</f>
        <v>100.42228214042852</v>
      </c>
      <c r="Z405" s="142">
        <f>U405*'Co-Processing'!K407*'Feedstock Conversion Rates'!B$12</f>
        <v>14.484751156368088</v>
      </c>
      <c r="AA405" s="142">
        <f>V405*'Co-Processing'!K407*'Feedstock Conversion Rates'!B$14</f>
        <v>0</v>
      </c>
      <c r="AB405" s="142">
        <f t="shared" si="67"/>
        <v>114.90703329679661</v>
      </c>
      <c r="AD405" s="142">
        <v>0</v>
      </c>
      <c r="AE405" s="142">
        <v>0</v>
      </c>
      <c r="AF405" s="142">
        <v>0</v>
      </c>
      <c r="AG405" s="142">
        <v>0</v>
      </c>
      <c r="AH405" s="142">
        <v>0</v>
      </c>
    </row>
    <row r="406" spans="1:34" x14ac:dyDescent="0.25">
      <c r="A406" s="96">
        <v>51075</v>
      </c>
      <c r="B406" s="104">
        <f t="shared" si="71"/>
        <v>25</v>
      </c>
      <c r="C406" s="104">
        <f>('Co-Processing'!B408*'Co-Pro Feedstock Breakdown'!C$3*'Feedstock Conversion Rates'!B$12)/12-10-15</f>
        <v>10.520833333333336</v>
      </c>
      <c r="D406" s="106">
        <f t="shared" si="75"/>
        <v>35.520833333333336</v>
      </c>
      <c r="E406" s="104">
        <f>('Co-Processing'!C408*'Co-Pro Feedstock Breakdown'!E$3*'Feedstock Conversion Rates'!B$13)/12</f>
        <v>25.78125</v>
      </c>
      <c r="F406" s="104">
        <f>('Co-Processing'!C408*'Co-Pro Feedstock Breakdown'!F$3*'Feedstock Conversion Rates'!B$14)/12</f>
        <v>8.5364583333333339</v>
      </c>
      <c r="G406" s="106">
        <f t="shared" si="62"/>
        <v>34.317708333333336</v>
      </c>
      <c r="H406" s="104">
        <f>('Co-Processing'!D408*'Co-Pro Feedstock Breakdown'!H$3*'Feedstock Conversion Rates'!B$13)/12</f>
        <v>93.75</v>
      </c>
      <c r="I406" s="106">
        <f t="shared" si="66"/>
        <v>93.75</v>
      </c>
      <c r="J406" s="104">
        <f>('Co-Processing'!E408*'Co-Pro Feedstock Breakdown'!J$3*'Feedstock Conversion Rates'!B$13)/12</f>
        <v>1.25</v>
      </c>
      <c r="K406" s="104">
        <f>('Co-Processing'!E408*'Co-Pro Feedstock Breakdown'!K$3*'Feedstock Conversion Rates'!B$12)/12</f>
        <v>1.2916666666666667</v>
      </c>
      <c r="L406" s="106">
        <f t="shared" si="68"/>
        <v>2.541666666666667</v>
      </c>
      <c r="N406" s="104">
        <f t="shared" si="69"/>
        <v>145.78125</v>
      </c>
      <c r="O406" s="104">
        <f t="shared" si="72"/>
        <v>20.348958333333336</v>
      </c>
      <c r="P406" s="104"/>
      <c r="Q406" s="106">
        <f t="shared" si="73"/>
        <v>166.13020833333334</v>
      </c>
      <c r="R406" s="141">
        <f t="shared" si="70"/>
        <v>0</v>
      </c>
      <c r="T406" s="110">
        <f t="shared" si="74"/>
        <v>0.87751199172335947</v>
      </c>
      <c r="U406" s="110">
        <f t="shared" si="74"/>
        <v>0.12248800827664044</v>
      </c>
      <c r="V406" s="110">
        <f t="shared" si="74"/>
        <v>0</v>
      </c>
      <c r="W406" s="110">
        <f t="shared" si="65"/>
        <v>0.99999999999999989</v>
      </c>
      <c r="Y406" s="142">
        <f>T406*'Co-Processing'!K408*'Feedstock Conversion Rates'!B$13</f>
        <v>101.13908459629207</v>
      </c>
      <c r="Z406" s="142">
        <f>U406*'Co-Processing'!K408*'Feedstock Conversion Rates'!B$12</f>
        <v>14.588141608966426</v>
      </c>
      <c r="AA406" s="142">
        <f>V406*'Co-Processing'!K408*'Feedstock Conversion Rates'!B$14</f>
        <v>0</v>
      </c>
      <c r="AB406" s="142">
        <f t="shared" si="67"/>
        <v>115.72722620525849</v>
      </c>
      <c r="AD406" s="142">
        <v>0</v>
      </c>
      <c r="AE406" s="142">
        <v>0</v>
      </c>
      <c r="AF406" s="142">
        <v>0</v>
      </c>
      <c r="AG406" s="142">
        <v>0</v>
      </c>
      <c r="AH406" s="142">
        <v>0</v>
      </c>
    </row>
    <row r="407" spans="1:34" x14ac:dyDescent="0.25">
      <c r="A407" s="96">
        <v>51105</v>
      </c>
      <c r="B407" s="104">
        <f t="shared" si="71"/>
        <v>25</v>
      </c>
      <c r="C407" s="104">
        <f>('Co-Processing'!B409*'Co-Pro Feedstock Breakdown'!C$3*'Feedstock Conversion Rates'!B$12)/12-10-15</f>
        <v>10.520833333333336</v>
      </c>
      <c r="D407" s="106">
        <f t="shared" si="75"/>
        <v>35.520833333333336</v>
      </c>
      <c r="E407" s="104">
        <f>('Co-Processing'!C409*'Co-Pro Feedstock Breakdown'!E$3*'Feedstock Conversion Rates'!B$13)/12</f>
        <v>25.78125</v>
      </c>
      <c r="F407" s="104">
        <f>('Co-Processing'!C409*'Co-Pro Feedstock Breakdown'!F$3*'Feedstock Conversion Rates'!B$14)/12</f>
        <v>8.5364583333333339</v>
      </c>
      <c r="G407" s="106">
        <f t="shared" si="62"/>
        <v>34.317708333333336</v>
      </c>
      <c r="H407" s="104">
        <f>('Co-Processing'!D409*'Co-Pro Feedstock Breakdown'!H$3*'Feedstock Conversion Rates'!B$13)/12</f>
        <v>93.75</v>
      </c>
      <c r="I407" s="106">
        <f t="shared" si="66"/>
        <v>93.75</v>
      </c>
      <c r="J407" s="104">
        <f>('Co-Processing'!E409*'Co-Pro Feedstock Breakdown'!J$3*'Feedstock Conversion Rates'!B$13)/12</f>
        <v>1.25</v>
      </c>
      <c r="K407" s="104">
        <f>('Co-Processing'!E409*'Co-Pro Feedstock Breakdown'!K$3*'Feedstock Conversion Rates'!B$12)/12</f>
        <v>1.2916666666666667</v>
      </c>
      <c r="L407" s="106">
        <f t="shared" si="68"/>
        <v>2.541666666666667</v>
      </c>
      <c r="N407" s="104">
        <f t="shared" si="69"/>
        <v>145.78125</v>
      </c>
      <c r="O407" s="104">
        <f t="shared" si="72"/>
        <v>20.348958333333336</v>
      </c>
      <c r="P407" s="104"/>
      <c r="Q407" s="106">
        <f t="shared" si="73"/>
        <v>166.13020833333334</v>
      </c>
      <c r="R407" s="141">
        <f t="shared" si="70"/>
        <v>0</v>
      </c>
      <c r="T407" s="110">
        <f t="shared" si="74"/>
        <v>0.87751199172335947</v>
      </c>
      <c r="U407" s="110">
        <f t="shared" si="74"/>
        <v>0.12248800827664044</v>
      </c>
      <c r="V407" s="110">
        <f t="shared" si="74"/>
        <v>0</v>
      </c>
      <c r="W407" s="110">
        <f t="shared" si="65"/>
        <v>0.99999999999999989</v>
      </c>
      <c r="Y407" s="142">
        <f>T407*'Co-Processing'!K409*'Feedstock Conversion Rates'!B$13</f>
        <v>104.25168716478227</v>
      </c>
      <c r="Z407" s="142">
        <f>U407*'Co-Processing'!K409*'Feedstock Conversion Rates'!B$12</f>
        <v>15.037098480810927</v>
      </c>
      <c r="AA407" s="142">
        <f>V407*'Co-Processing'!K409*'Feedstock Conversion Rates'!B$14</f>
        <v>0</v>
      </c>
      <c r="AB407" s="142">
        <f t="shared" si="67"/>
        <v>119.28878564559319</v>
      </c>
      <c r="AD407" s="142">
        <v>0</v>
      </c>
      <c r="AE407" s="142">
        <v>0</v>
      </c>
      <c r="AF407" s="142">
        <v>0</v>
      </c>
      <c r="AG407" s="142">
        <v>0</v>
      </c>
      <c r="AH407" s="142">
        <v>0</v>
      </c>
    </row>
    <row r="408" spans="1:34" x14ac:dyDescent="0.25">
      <c r="A408" s="96">
        <v>51136</v>
      </c>
      <c r="B408" s="104">
        <f t="shared" si="71"/>
        <v>25</v>
      </c>
      <c r="C408" s="104">
        <f>('Co-Processing'!B410*'Co-Pro Feedstock Breakdown'!C$3*'Feedstock Conversion Rates'!B$12)/12-10-15</f>
        <v>10.520833333333336</v>
      </c>
      <c r="D408" s="106">
        <f t="shared" si="75"/>
        <v>35.520833333333336</v>
      </c>
      <c r="E408" s="104">
        <f>('Co-Processing'!C410*'Co-Pro Feedstock Breakdown'!E$3*'Feedstock Conversion Rates'!B$13)/12</f>
        <v>25.78125</v>
      </c>
      <c r="F408" s="104">
        <f>('Co-Processing'!C410*'Co-Pro Feedstock Breakdown'!F$3*'Feedstock Conversion Rates'!B$14)/12</f>
        <v>8.5364583333333339</v>
      </c>
      <c r="G408" s="106">
        <f t="shared" si="62"/>
        <v>34.317708333333336</v>
      </c>
      <c r="H408" s="104">
        <f>('Co-Processing'!D410*'Co-Pro Feedstock Breakdown'!H$3*'Feedstock Conversion Rates'!B$13)/12</f>
        <v>93.75</v>
      </c>
      <c r="I408" s="106">
        <f t="shared" si="66"/>
        <v>93.75</v>
      </c>
      <c r="J408" s="104">
        <f>('Co-Processing'!E410*'Co-Pro Feedstock Breakdown'!J$3*'Feedstock Conversion Rates'!B$13)/12</f>
        <v>1.25</v>
      </c>
      <c r="K408" s="104">
        <f>('Co-Processing'!E410*'Co-Pro Feedstock Breakdown'!K$3*'Feedstock Conversion Rates'!B$12)/12</f>
        <v>1.2916666666666667</v>
      </c>
      <c r="L408" s="106">
        <f t="shared" si="68"/>
        <v>2.541666666666667</v>
      </c>
      <c r="N408" s="104">
        <f t="shared" si="69"/>
        <v>145.78125</v>
      </c>
      <c r="O408" s="104">
        <f t="shared" si="72"/>
        <v>20.348958333333336</v>
      </c>
      <c r="P408" s="104"/>
      <c r="Q408" s="106">
        <f t="shared" si="73"/>
        <v>166.13020833333334</v>
      </c>
      <c r="R408" s="141">
        <f t="shared" si="70"/>
        <v>0</v>
      </c>
      <c r="T408" s="110">
        <f t="shared" si="74"/>
        <v>0.87751199172335947</v>
      </c>
      <c r="U408" s="110">
        <f t="shared" si="74"/>
        <v>0.12248800827664044</v>
      </c>
      <c r="V408" s="110">
        <f t="shared" si="74"/>
        <v>0</v>
      </c>
      <c r="W408" s="110">
        <f t="shared" si="65"/>
        <v>0.99999999999999989</v>
      </c>
      <c r="Y408" s="142">
        <f>T408*'Co-Processing'!K410*'Feedstock Conversion Rates'!B$13</f>
        <v>90.7832267013858</v>
      </c>
      <c r="Z408" s="142">
        <f>U408*'Co-Processing'!K410*'Feedstock Conversion Rates'!B$12</f>
        <v>13.094429044172616</v>
      </c>
      <c r="AA408" s="142">
        <f>V408*'Co-Processing'!K410*'Feedstock Conversion Rates'!B$14</f>
        <v>0</v>
      </c>
      <c r="AB408" s="142">
        <f t="shared" si="67"/>
        <v>103.87765574555841</v>
      </c>
      <c r="AD408" s="142">
        <v>0</v>
      </c>
      <c r="AE408" s="142">
        <v>0</v>
      </c>
      <c r="AF408" s="142">
        <v>0</v>
      </c>
      <c r="AG408" s="142">
        <v>0</v>
      </c>
      <c r="AH408" s="142">
        <v>0</v>
      </c>
    </row>
    <row r="409" spans="1:34" x14ac:dyDescent="0.25">
      <c r="A409" s="96">
        <v>51167</v>
      </c>
      <c r="B409" s="104">
        <f t="shared" si="71"/>
        <v>25</v>
      </c>
      <c r="C409" s="104">
        <f>('Co-Processing'!B411*'Co-Pro Feedstock Breakdown'!C$3*'Feedstock Conversion Rates'!B$12)/12-10-15</f>
        <v>10.520833333333336</v>
      </c>
      <c r="D409" s="106">
        <f t="shared" si="75"/>
        <v>35.520833333333336</v>
      </c>
      <c r="E409" s="104">
        <f>('Co-Processing'!C411*'Co-Pro Feedstock Breakdown'!E$3*'Feedstock Conversion Rates'!B$13)/12</f>
        <v>25.78125</v>
      </c>
      <c r="F409" s="104">
        <f>('Co-Processing'!C411*'Co-Pro Feedstock Breakdown'!F$3*'Feedstock Conversion Rates'!B$14)/12</f>
        <v>8.5364583333333339</v>
      </c>
      <c r="G409" s="106">
        <f t="shared" si="62"/>
        <v>34.317708333333336</v>
      </c>
      <c r="H409" s="104">
        <f>('Co-Processing'!D411*'Co-Pro Feedstock Breakdown'!H$3*'Feedstock Conversion Rates'!B$13)/12</f>
        <v>93.75</v>
      </c>
      <c r="I409" s="106">
        <f t="shared" si="66"/>
        <v>93.75</v>
      </c>
      <c r="J409" s="104">
        <f>('Co-Processing'!E411*'Co-Pro Feedstock Breakdown'!J$3*'Feedstock Conversion Rates'!B$13)/12</f>
        <v>1.25</v>
      </c>
      <c r="K409" s="104">
        <f>('Co-Processing'!E411*'Co-Pro Feedstock Breakdown'!K$3*'Feedstock Conversion Rates'!B$12)/12</f>
        <v>1.2916666666666667</v>
      </c>
      <c r="L409" s="106">
        <f t="shared" si="68"/>
        <v>2.541666666666667</v>
      </c>
      <c r="N409" s="104">
        <f t="shared" si="69"/>
        <v>145.78125</v>
      </c>
      <c r="O409" s="104">
        <f t="shared" si="72"/>
        <v>20.348958333333336</v>
      </c>
      <c r="P409" s="104"/>
      <c r="Q409" s="106">
        <f t="shared" si="73"/>
        <v>166.13020833333334</v>
      </c>
      <c r="R409" s="141">
        <f t="shared" si="70"/>
        <v>0</v>
      </c>
      <c r="T409" s="110">
        <f t="shared" si="74"/>
        <v>0.87751199172335947</v>
      </c>
      <c r="U409" s="110">
        <f t="shared" si="74"/>
        <v>0.12248800827664044</v>
      </c>
      <c r="V409" s="110">
        <f t="shared" si="74"/>
        <v>0</v>
      </c>
      <c r="W409" s="110">
        <f t="shared" si="65"/>
        <v>0.99999999999999989</v>
      </c>
      <c r="Y409" s="142">
        <f>T409*'Co-Processing'!K411*'Feedstock Conversion Rates'!B$13</f>
        <v>70.997340281798373</v>
      </c>
      <c r="Z409" s="142">
        <f>U409*'Co-Processing'!K411*'Feedstock Conversion Rates'!B$12</f>
        <v>10.240544078731183</v>
      </c>
      <c r="AA409" s="142">
        <f>V409*'Co-Processing'!K411*'Feedstock Conversion Rates'!B$14</f>
        <v>0</v>
      </c>
      <c r="AB409" s="142">
        <f t="shared" si="67"/>
        <v>81.237884360529563</v>
      </c>
      <c r="AD409" s="142">
        <v>0</v>
      </c>
      <c r="AE409" s="142">
        <v>0</v>
      </c>
      <c r="AF409" s="142">
        <v>0</v>
      </c>
      <c r="AG409" s="142">
        <v>0</v>
      </c>
      <c r="AH409" s="142">
        <v>0</v>
      </c>
    </row>
    <row r="410" spans="1:34" x14ac:dyDescent="0.25">
      <c r="A410" s="96">
        <v>51196</v>
      </c>
      <c r="B410" s="104">
        <f t="shared" si="71"/>
        <v>25</v>
      </c>
      <c r="C410" s="104">
        <f>('Co-Processing'!B412*'Co-Pro Feedstock Breakdown'!C$3*'Feedstock Conversion Rates'!B$12)/12-10-15</f>
        <v>10.520833333333336</v>
      </c>
      <c r="D410" s="106">
        <f t="shared" si="75"/>
        <v>35.520833333333336</v>
      </c>
      <c r="E410" s="104">
        <f>('Co-Processing'!C412*'Co-Pro Feedstock Breakdown'!E$3*'Feedstock Conversion Rates'!B$13)/12</f>
        <v>25.78125</v>
      </c>
      <c r="F410" s="104">
        <f>('Co-Processing'!C412*'Co-Pro Feedstock Breakdown'!F$3*'Feedstock Conversion Rates'!B$14)/12</f>
        <v>8.5364583333333339</v>
      </c>
      <c r="G410" s="106">
        <f t="shared" si="62"/>
        <v>34.317708333333336</v>
      </c>
      <c r="H410" s="104">
        <f>('Co-Processing'!D412*'Co-Pro Feedstock Breakdown'!H$3*'Feedstock Conversion Rates'!B$13)/12</f>
        <v>93.75</v>
      </c>
      <c r="I410" s="106">
        <f t="shared" si="66"/>
        <v>93.75</v>
      </c>
      <c r="J410" s="104">
        <f>('Co-Processing'!E412*'Co-Pro Feedstock Breakdown'!J$3*'Feedstock Conversion Rates'!B$13)/12</f>
        <v>1.25</v>
      </c>
      <c r="K410" s="104">
        <f>('Co-Processing'!E412*'Co-Pro Feedstock Breakdown'!K$3*'Feedstock Conversion Rates'!B$12)/12</f>
        <v>1.2916666666666667</v>
      </c>
      <c r="L410" s="106">
        <f t="shared" si="68"/>
        <v>2.541666666666667</v>
      </c>
      <c r="N410" s="104">
        <f t="shared" si="69"/>
        <v>145.78125</v>
      </c>
      <c r="O410" s="104">
        <f t="shared" si="72"/>
        <v>20.348958333333336</v>
      </c>
      <c r="P410" s="104"/>
      <c r="Q410" s="106">
        <f t="shared" si="73"/>
        <v>166.13020833333334</v>
      </c>
      <c r="R410" s="141">
        <f t="shared" si="70"/>
        <v>0</v>
      </c>
      <c r="T410" s="110">
        <f t="shared" si="74"/>
        <v>0.87751199172335947</v>
      </c>
      <c r="U410" s="110">
        <f t="shared" si="74"/>
        <v>0.12248800827664044</v>
      </c>
      <c r="V410" s="110">
        <f t="shared" si="74"/>
        <v>0</v>
      </c>
      <c r="W410" s="110">
        <f t="shared" si="65"/>
        <v>0.99999999999999989</v>
      </c>
      <c r="Y410" s="142">
        <f>T410*'Co-Processing'!K412*'Feedstock Conversion Rates'!B$13</f>
        <v>116.91927041273098</v>
      </c>
      <c r="Z410" s="142">
        <f>U410*'Co-Processing'!K412*'Feedstock Conversion Rates'!B$12</f>
        <v>16.864250654494153</v>
      </c>
      <c r="AA410" s="142">
        <f>V410*'Co-Processing'!K412*'Feedstock Conversion Rates'!B$14</f>
        <v>0</v>
      </c>
      <c r="AB410" s="142">
        <f t="shared" si="67"/>
        <v>133.78352106722514</v>
      </c>
      <c r="AD410" s="142">
        <v>0</v>
      </c>
      <c r="AE410" s="142">
        <v>0</v>
      </c>
      <c r="AF410" s="142">
        <v>0</v>
      </c>
      <c r="AG410" s="142">
        <v>0</v>
      </c>
      <c r="AH410" s="142">
        <v>0</v>
      </c>
    </row>
    <row r="411" spans="1:34" x14ac:dyDescent="0.25">
      <c r="A411" s="96">
        <v>51227</v>
      </c>
      <c r="B411" s="104">
        <f t="shared" si="71"/>
        <v>25</v>
      </c>
      <c r="C411" s="104">
        <f>('Co-Processing'!B413*'Co-Pro Feedstock Breakdown'!C$3*'Feedstock Conversion Rates'!B$12)/12-10-15</f>
        <v>10.520833333333336</v>
      </c>
      <c r="D411" s="106">
        <f t="shared" si="75"/>
        <v>35.520833333333336</v>
      </c>
      <c r="E411" s="104">
        <f>('Co-Processing'!C413*'Co-Pro Feedstock Breakdown'!E$3*'Feedstock Conversion Rates'!B$13)/12</f>
        <v>25.78125</v>
      </c>
      <c r="F411" s="104">
        <f>('Co-Processing'!C413*'Co-Pro Feedstock Breakdown'!F$3*'Feedstock Conversion Rates'!B$14)/12</f>
        <v>8.5364583333333339</v>
      </c>
      <c r="G411" s="106">
        <f t="shared" si="62"/>
        <v>34.317708333333336</v>
      </c>
      <c r="H411" s="104">
        <f>('Co-Processing'!D413*'Co-Pro Feedstock Breakdown'!H$3*'Feedstock Conversion Rates'!B$13)/12</f>
        <v>93.75</v>
      </c>
      <c r="I411" s="106">
        <f t="shared" si="66"/>
        <v>93.75</v>
      </c>
      <c r="J411" s="104">
        <f>('Co-Processing'!E413*'Co-Pro Feedstock Breakdown'!J$3*'Feedstock Conversion Rates'!B$13)/12</f>
        <v>1.25</v>
      </c>
      <c r="K411" s="104">
        <f>('Co-Processing'!E413*'Co-Pro Feedstock Breakdown'!K$3*'Feedstock Conversion Rates'!B$12)/12</f>
        <v>1.2916666666666667</v>
      </c>
      <c r="L411" s="106">
        <f t="shared" si="68"/>
        <v>2.541666666666667</v>
      </c>
      <c r="N411" s="104">
        <f t="shared" si="69"/>
        <v>145.78125</v>
      </c>
      <c r="O411" s="104">
        <f t="shared" si="72"/>
        <v>20.348958333333336</v>
      </c>
      <c r="P411" s="104"/>
      <c r="Q411" s="106">
        <f t="shared" si="73"/>
        <v>166.13020833333334</v>
      </c>
      <c r="R411" s="141">
        <f t="shared" si="70"/>
        <v>0</v>
      </c>
      <c r="T411" s="110">
        <f t="shared" si="74"/>
        <v>0.87751199172335947</v>
      </c>
      <c r="U411" s="110">
        <f t="shared" si="74"/>
        <v>0.12248800827664044</v>
      </c>
      <c r="V411" s="110">
        <f t="shared" si="74"/>
        <v>0</v>
      </c>
      <c r="W411" s="110">
        <f t="shared" si="65"/>
        <v>0.99999999999999989</v>
      </c>
      <c r="Y411" s="142">
        <f>T411*'Co-Processing'!K413*'Feedstock Conversion Rates'!B$13</f>
        <v>76.148265434211964</v>
      </c>
      <c r="Z411" s="142">
        <f>U411*'Co-Processing'!K413*'Feedstock Conversion Rates'!B$12</f>
        <v>10.983505376438551</v>
      </c>
      <c r="AA411" s="142">
        <f>V411*'Co-Processing'!K413*'Feedstock Conversion Rates'!B$14</f>
        <v>0</v>
      </c>
      <c r="AB411" s="142">
        <f t="shared" si="67"/>
        <v>87.131770810650522</v>
      </c>
      <c r="AD411" s="142">
        <v>0</v>
      </c>
      <c r="AE411" s="142">
        <v>0</v>
      </c>
      <c r="AF411" s="142">
        <v>0</v>
      </c>
      <c r="AG411" s="142">
        <v>0</v>
      </c>
      <c r="AH411" s="142">
        <v>0</v>
      </c>
    </row>
    <row r="412" spans="1:34" x14ac:dyDescent="0.25">
      <c r="A412" s="96">
        <v>51257</v>
      </c>
      <c r="B412" s="104">
        <f t="shared" si="71"/>
        <v>25</v>
      </c>
      <c r="C412" s="104">
        <f>('Co-Processing'!B414*'Co-Pro Feedstock Breakdown'!C$3*'Feedstock Conversion Rates'!B$12)/12-10-15</f>
        <v>10.520833333333336</v>
      </c>
      <c r="D412" s="106">
        <f t="shared" si="75"/>
        <v>35.520833333333336</v>
      </c>
      <c r="E412" s="104">
        <f>('Co-Processing'!C414*'Co-Pro Feedstock Breakdown'!E$3*'Feedstock Conversion Rates'!B$13)/12</f>
        <v>25.78125</v>
      </c>
      <c r="F412" s="104">
        <f>('Co-Processing'!C414*'Co-Pro Feedstock Breakdown'!F$3*'Feedstock Conversion Rates'!B$14)/12</f>
        <v>8.5364583333333339</v>
      </c>
      <c r="G412" s="106">
        <f t="shared" si="62"/>
        <v>34.317708333333336</v>
      </c>
      <c r="H412" s="104">
        <f>('Co-Processing'!D414*'Co-Pro Feedstock Breakdown'!H$3*'Feedstock Conversion Rates'!B$13)/12</f>
        <v>93.75</v>
      </c>
      <c r="I412" s="106">
        <f t="shared" si="66"/>
        <v>93.75</v>
      </c>
      <c r="J412" s="104">
        <f>('Co-Processing'!E414*'Co-Pro Feedstock Breakdown'!J$3*'Feedstock Conversion Rates'!B$13)/12</f>
        <v>1.25</v>
      </c>
      <c r="K412" s="104">
        <f>('Co-Processing'!E414*'Co-Pro Feedstock Breakdown'!K$3*'Feedstock Conversion Rates'!B$12)/12</f>
        <v>1.2916666666666667</v>
      </c>
      <c r="L412" s="106">
        <f t="shared" si="68"/>
        <v>2.541666666666667</v>
      </c>
      <c r="N412" s="104">
        <f t="shared" si="69"/>
        <v>145.78125</v>
      </c>
      <c r="O412" s="104">
        <f t="shared" si="72"/>
        <v>20.348958333333336</v>
      </c>
      <c r="P412" s="104"/>
      <c r="Q412" s="106">
        <f t="shared" si="73"/>
        <v>166.13020833333334</v>
      </c>
      <c r="R412" s="141">
        <f t="shared" si="70"/>
        <v>0</v>
      </c>
      <c r="T412" s="110">
        <f t="shared" si="74"/>
        <v>0.87751199172335947</v>
      </c>
      <c r="U412" s="110">
        <f t="shared" si="74"/>
        <v>0.12248800827664044</v>
      </c>
      <c r="V412" s="110">
        <f t="shared" si="74"/>
        <v>0</v>
      </c>
      <c r="W412" s="110">
        <f t="shared" si="65"/>
        <v>0.99999999999999989</v>
      </c>
      <c r="Y412" s="142">
        <f>T412*'Co-Processing'!K414*'Feedstock Conversion Rates'!B$13</f>
        <v>83.881159095233457</v>
      </c>
      <c r="Z412" s="142">
        <f>U412*'Co-Processing'!K414*'Feedstock Conversion Rates'!B$12</f>
        <v>12.098885728399894</v>
      </c>
      <c r="AA412" s="142">
        <f>V412*'Co-Processing'!K414*'Feedstock Conversion Rates'!B$14</f>
        <v>0</v>
      </c>
      <c r="AB412" s="142">
        <f t="shared" si="67"/>
        <v>95.980044823633349</v>
      </c>
      <c r="AD412" s="142">
        <v>0</v>
      </c>
      <c r="AE412" s="142">
        <v>0</v>
      </c>
      <c r="AF412" s="142">
        <v>0</v>
      </c>
      <c r="AG412" s="142">
        <v>0</v>
      </c>
      <c r="AH412" s="142">
        <v>0</v>
      </c>
    </row>
    <row r="413" spans="1:34" x14ac:dyDescent="0.25">
      <c r="A413" s="96">
        <v>51288</v>
      </c>
      <c r="B413" s="104">
        <f t="shared" si="71"/>
        <v>25</v>
      </c>
      <c r="C413" s="104">
        <f>('Co-Processing'!B415*'Co-Pro Feedstock Breakdown'!C$3*'Feedstock Conversion Rates'!B$12)/12-10-15</f>
        <v>10.520833333333336</v>
      </c>
      <c r="D413" s="106">
        <f t="shared" si="75"/>
        <v>35.520833333333336</v>
      </c>
      <c r="E413" s="104">
        <f>('Co-Processing'!C415*'Co-Pro Feedstock Breakdown'!E$3*'Feedstock Conversion Rates'!B$13)/12</f>
        <v>25.78125</v>
      </c>
      <c r="F413" s="104">
        <f>('Co-Processing'!C415*'Co-Pro Feedstock Breakdown'!F$3*'Feedstock Conversion Rates'!B$14)/12</f>
        <v>8.5364583333333339</v>
      </c>
      <c r="G413" s="106">
        <f t="shared" si="62"/>
        <v>34.317708333333336</v>
      </c>
      <c r="H413" s="104">
        <f>('Co-Processing'!D415*'Co-Pro Feedstock Breakdown'!H$3*'Feedstock Conversion Rates'!B$13)/12</f>
        <v>93.75</v>
      </c>
      <c r="I413" s="106">
        <f t="shared" si="66"/>
        <v>93.75</v>
      </c>
      <c r="J413" s="104">
        <f>('Co-Processing'!E415*'Co-Pro Feedstock Breakdown'!J$3*'Feedstock Conversion Rates'!B$13)/12</f>
        <v>1.25</v>
      </c>
      <c r="K413" s="104">
        <f>('Co-Processing'!E415*'Co-Pro Feedstock Breakdown'!K$3*'Feedstock Conversion Rates'!B$12)/12</f>
        <v>1.2916666666666667</v>
      </c>
      <c r="L413" s="106">
        <f t="shared" si="68"/>
        <v>2.541666666666667</v>
      </c>
      <c r="N413" s="104">
        <f t="shared" si="69"/>
        <v>145.78125</v>
      </c>
      <c r="O413" s="104">
        <f t="shared" si="72"/>
        <v>20.348958333333336</v>
      </c>
      <c r="P413" s="104"/>
      <c r="Q413" s="106">
        <f t="shared" si="73"/>
        <v>166.13020833333334</v>
      </c>
      <c r="R413" s="141">
        <f t="shared" si="70"/>
        <v>0</v>
      </c>
      <c r="T413" s="110">
        <f t="shared" si="74"/>
        <v>0.87751199172335947</v>
      </c>
      <c r="U413" s="110">
        <f t="shared" si="74"/>
        <v>0.12248800827664044</v>
      </c>
      <c r="V413" s="110">
        <f t="shared" si="74"/>
        <v>0</v>
      </c>
      <c r="W413" s="110">
        <f t="shared" si="65"/>
        <v>0.99999999999999989</v>
      </c>
      <c r="Y413" s="142">
        <f>T413*'Co-Processing'!K415*'Feedstock Conversion Rates'!B$13</f>
        <v>113.46467841981227</v>
      </c>
      <c r="Z413" s="142">
        <f>U413*'Co-Processing'!K415*'Feedstock Conversion Rates'!B$12</f>
        <v>16.365965768932245</v>
      </c>
      <c r="AA413" s="142">
        <f>V413*'Co-Processing'!K415*'Feedstock Conversion Rates'!B$14</f>
        <v>0</v>
      </c>
      <c r="AB413" s="142">
        <f t="shared" si="67"/>
        <v>129.83064418874451</v>
      </c>
      <c r="AD413" s="142">
        <v>0</v>
      </c>
      <c r="AE413" s="142">
        <v>0</v>
      </c>
      <c r="AF413" s="142">
        <v>0</v>
      </c>
      <c r="AG413" s="142">
        <v>0</v>
      </c>
      <c r="AH413" s="142">
        <v>0</v>
      </c>
    </row>
    <row r="414" spans="1:34" x14ac:dyDescent="0.25">
      <c r="A414" s="96">
        <v>51318</v>
      </c>
      <c r="B414" s="104">
        <f t="shared" si="71"/>
        <v>25</v>
      </c>
      <c r="C414" s="104">
        <f>('Co-Processing'!B416*'Co-Pro Feedstock Breakdown'!C$3*'Feedstock Conversion Rates'!B$12)/12-10-15</f>
        <v>10.520833333333336</v>
      </c>
      <c r="D414" s="106">
        <f t="shared" si="75"/>
        <v>35.520833333333336</v>
      </c>
      <c r="E414" s="104">
        <f>('Co-Processing'!C416*'Co-Pro Feedstock Breakdown'!E$3*'Feedstock Conversion Rates'!B$13)/12</f>
        <v>25.78125</v>
      </c>
      <c r="F414" s="104">
        <f>('Co-Processing'!C416*'Co-Pro Feedstock Breakdown'!F$3*'Feedstock Conversion Rates'!B$14)/12</f>
        <v>8.5364583333333339</v>
      </c>
      <c r="G414" s="106">
        <f t="shared" si="62"/>
        <v>34.317708333333336</v>
      </c>
      <c r="H414" s="104">
        <f>('Co-Processing'!D416*'Co-Pro Feedstock Breakdown'!H$3*'Feedstock Conversion Rates'!B$13)/12</f>
        <v>93.75</v>
      </c>
      <c r="I414" s="106">
        <f t="shared" si="66"/>
        <v>93.75</v>
      </c>
      <c r="J414" s="104">
        <f>('Co-Processing'!E416*'Co-Pro Feedstock Breakdown'!J$3*'Feedstock Conversion Rates'!B$13)/12</f>
        <v>1.25</v>
      </c>
      <c r="K414" s="104">
        <f>('Co-Processing'!E416*'Co-Pro Feedstock Breakdown'!K$3*'Feedstock Conversion Rates'!B$12)/12</f>
        <v>1.2916666666666667</v>
      </c>
      <c r="L414" s="106">
        <f t="shared" si="68"/>
        <v>2.541666666666667</v>
      </c>
      <c r="N414" s="104">
        <f t="shared" si="69"/>
        <v>145.78125</v>
      </c>
      <c r="O414" s="104">
        <f t="shared" si="72"/>
        <v>20.348958333333336</v>
      </c>
      <c r="P414" s="104"/>
      <c r="Q414" s="106">
        <f t="shared" si="73"/>
        <v>166.13020833333334</v>
      </c>
      <c r="R414" s="141">
        <f t="shared" si="70"/>
        <v>0</v>
      </c>
      <c r="T414" s="110">
        <f t="shared" si="74"/>
        <v>0.87751199172335947</v>
      </c>
      <c r="U414" s="110">
        <f t="shared" si="74"/>
        <v>0.12248800827664044</v>
      </c>
      <c r="V414" s="110">
        <f t="shared" si="74"/>
        <v>0</v>
      </c>
      <c r="W414" s="110">
        <f t="shared" si="65"/>
        <v>0.99999999999999989</v>
      </c>
      <c r="Y414" s="142">
        <f>T414*'Co-Processing'!K416*'Feedstock Conversion Rates'!B$13</f>
        <v>94.707824178568146</v>
      </c>
      <c r="Z414" s="142">
        <f>U414*'Co-Processing'!K416*'Feedstock Conversion Rates'!B$12</f>
        <v>13.660506777462951</v>
      </c>
      <c r="AA414" s="142">
        <f>V414*'Co-Processing'!K416*'Feedstock Conversion Rates'!B$14</f>
        <v>0</v>
      </c>
      <c r="AB414" s="142">
        <f t="shared" si="67"/>
        <v>108.3683309560311</v>
      </c>
      <c r="AD414" s="142">
        <v>0</v>
      </c>
      <c r="AE414" s="142">
        <v>0</v>
      </c>
      <c r="AF414" s="142">
        <v>0</v>
      </c>
      <c r="AG414" s="142">
        <v>0</v>
      </c>
      <c r="AH414" s="142">
        <v>0</v>
      </c>
    </row>
    <row r="415" spans="1:34" x14ac:dyDescent="0.25">
      <c r="A415" s="96">
        <v>51349</v>
      </c>
      <c r="B415" s="104">
        <f t="shared" si="71"/>
        <v>25</v>
      </c>
      <c r="C415" s="104">
        <f>('Co-Processing'!B417*'Co-Pro Feedstock Breakdown'!C$3*'Feedstock Conversion Rates'!B$12)/12-10-15</f>
        <v>10.520833333333336</v>
      </c>
      <c r="D415" s="106">
        <f t="shared" si="75"/>
        <v>35.520833333333336</v>
      </c>
      <c r="E415" s="104">
        <f>('Co-Processing'!C417*'Co-Pro Feedstock Breakdown'!E$3*'Feedstock Conversion Rates'!B$13)/12</f>
        <v>25.78125</v>
      </c>
      <c r="F415" s="104">
        <f>('Co-Processing'!C417*'Co-Pro Feedstock Breakdown'!F$3*'Feedstock Conversion Rates'!B$14)/12</f>
        <v>8.5364583333333339</v>
      </c>
      <c r="G415" s="106">
        <f t="shared" si="62"/>
        <v>34.317708333333336</v>
      </c>
      <c r="H415" s="104">
        <f>('Co-Processing'!D417*'Co-Pro Feedstock Breakdown'!H$3*'Feedstock Conversion Rates'!B$13)/12</f>
        <v>93.75</v>
      </c>
      <c r="I415" s="106">
        <f t="shared" si="66"/>
        <v>93.75</v>
      </c>
      <c r="J415" s="104">
        <f>('Co-Processing'!E417*'Co-Pro Feedstock Breakdown'!J$3*'Feedstock Conversion Rates'!B$13)/12</f>
        <v>1.25</v>
      </c>
      <c r="K415" s="104">
        <f>('Co-Processing'!E417*'Co-Pro Feedstock Breakdown'!K$3*'Feedstock Conversion Rates'!B$12)/12</f>
        <v>1.2916666666666667</v>
      </c>
      <c r="L415" s="106">
        <f t="shared" si="68"/>
        <v>2.541666666666667</v>
      </c>
      <c r="N415" s="104">
        <f t="shared" si="69"/>
        <v>145.78125</v>
      </c>
      <c r="O415" s="104">
        <f t="shared" si="72"/>
        <v>20.348958333333336</v>
      </c>
      <c r="P415" s="104"/>
      <c r="Q415" s="106">
        <f t="shared" si="73"/>
        <v>166.13020833333334</v>
      </c>
      <c r="R415" s="141">
        <f t="shared" si="70"/>
        <v>0</v>
      </c>
      <c r="T415" s="110">
        <f t="shared" si="74"/>
        <v>0.87751199172335947</v>
      </c>
      <c r="U415" s="110">
        <f t="shared" si="74"/>
        <v>0.12248800827664044</v>
      </c>
      <c r="V415" s="110">
        <f t="shared" si="74"/>
        <v>0</v>
      </c>
      <c r="W415" s="110">
        <f t="shared" si="65"/>
        <v>0.99999999999999989</v>
      </c>
      <c r="Y415" s="142">
        <f>T415*'Co-Processing'!K417*'Feedstock Conversion Rates'!B$13</f>
        <v>139.14859307955055</v>
      </c>
      <c r="Z415" s="142">
        <f>U415*'Co-Processing'!K417*'Feedstock Conversion Rates'!B$12</f>
        <v>20.070572999899877</v>
      </c>
      <c r="AA415" s="142">
        <f>V415*'Co-Processing'!K417*'Feedstock Conversion Rates'!B$14</f>
        <v>0</v>
      </c>
      <c r="AB415" s="142">
        <f t="shared" si="67"/>
        <v>159.21916607945042</v>
      </c>
      <c r="AD415" s="142">
        <v>0</v>
      </c>
      <c r="AE415" s="142">
        <v>0</v>
      </c>
      <c r="AF415" s="142">
        <v>0</v>
      </c>
      <c r="AG415" s="142">
        <v>0</v>
      </c>
      <c r="AH415" s="142">
        <v>0</v>
      </c>
    </row>
    <row r="416" spans="1:34" x14ac:dyDescent="0.25">
      <c r="A416" s="96">
        <v>51380</v>
      </c>
      <c r="B416" s="104">
        <f t="shared" si="71"/>
        <v>25</v>
      </c>
      <c r="C416" s="104">
        <f>('Co-Processing'!B418*'Co-Pro Feedstock Breakdown'!C$3*'Feedstock Conversion Rates'!B$12)/12-10-15</f>
        <v>10.520833333333336</v>
      </c>
      <c r="D416" s="106">
        <f t="shared" si="75"/>
        <v>35.520833333333336</v>
      </c>
      <c r="E416" s="104">
        <f>('Co-Processing'!C418*'Co-Pro Feedstock Breakdown'!E$3*'Feedstock Conversion Rates'!B$13)/12</f>
        <v>25.78125</v>
      </c>
      <c r="F416" s="104">
        <f>('Co-Processing'!C418*'Co-Pro Feedstock Breakdown'!F$3*'Feedstock Conversion Rates'!B$14)/12</f>
        <v>8.5364583333333339</v>
      </c>
      <c r="G416" s="106">
        <f t="shared" si="62"/>
        <v>34.317708333333336</v>
      </c>
      <c r="H416" s="104">
        <f>('Co-Processing'!D418*'Co-Pro Feedstock Breakdown'!H$3*'Feedstock Conversion Rates'!B$13)/12</f>
        <v>93.75</v>
      </c>
      <c r="I416" s="106">
        <f t="shared" si="66"/>
        <v>93.75</v>
      </c>
      <c r="J416" s="104">
        <f>('Co-Processing'!E418*'Co-Pro Feedstock Breakdown'!J$3*'Feedstock Conversion Rates'!B$13)/12</f>
        <v>1.25</v>
      </c>
      <c r="K416" s="104">
        <f>('Co-Processing'!E418*'Co-Pro Feedstock Breakdown'!K$3*'Feedstock Conversion Rates'!B$12)/12</f>
        <v>1.2916666666666667</v>
      </c>
      <c r="L416" s="106">
        <f t="shared" si="68"/>
        <v>2.541666666666667</v>
      </c>
      <c r="N416" s="104">
        <f t="shared" si="69"/>
        <v>145.78125</v>
      </c>
      <c r="O416" s="104">
        <f t="shared" si="72"/>
        <v>20.348958333333336</v>
      </c>
      <c r="P416" s="104"/>
      <c r="Q416" s="106">
        <f t="shared" si="73"/>
        <v>166.13020833333334</v>
      </c>
      <c r="R416" s="141">
        <f t="shared" si="70"/>
        <v>0</v>
      </c>
      <c r="T416" s="110">
        <f t="shared" si="74"/>
        <v>0.87751199172335947</v>
      </c>
      <c r="U416" s="110">
        <f t="shared" si="74"/>
        <v>0.12248800827664044</v>
      </c>
      <c r="V416" s="110">
        <f t="shared" si="74"/>
        <v>0</v>
      </c>
      <c r="W416" s="110">
        <f t="shared" si="65"/>
        <v>0.99999999999999989</v>
      </c>
      <c r="Y416" s="142">
        <f>T416*'Co-Processing'!K418*'Feedstock Conversion Rates'!B$13</f>
        <v>124.89309267202914</v>
      </c>
      <c r="Z416" s="142">
        <f>U416*'Co-Processing'!K418*'Feedstock Conversion Rates'!B$12</f>
        <v>18.0143821664382</v>
      </c>
      <c r="AA416" s="142">
        <f>V416*'Co-Processing'!K418*'Feedstock Conversion Rates'!B$14</f>
        <v>0</v>
      </c>
      <c r="AB416" s="142">
        <f t="shared" si="67"/>
        <v>142.90747483846735</v>
      </c>
      <c r="AD416" s="142">
        <v>0</v>
      </c>
      <c r="AE416" s="142">
        <v>0</v>
      </c>
      <c r="AF416" s="142">
        <v>0</v>
      </c>
      <c r="AG416" s="142">
        <v>0</v>
      </c>
      <c r="AH416" s="142">
        <v>0</v>
      </c>
    </row>
    <row r="417" spans="1:34" x14ac:dyDescent="0.25">
      <c r="A417" s="96">
        <v>51410</v>
      </c>
      <c r="B417" s="104">
        <f t="shared" si="71"/>
        <v>25</v>
      </c>
      <c r="C417" s="104">
        <f>('Co-Processing'!B419*'Co-Pro Feedstock Breakdown'!C$3*'Feedstock Conversion Rates'!B$12)/12-10-15</f>
        <v>10.520833333333336</v>
      </c>
      <c r="D417" s="106">
        <f t="shared" si="75"/>
        <v>35.520833333333336</v>
      </c>
      <c r="E417" s="104">
        <f>('Co-Processing'!C419*'Co-Pro Feedstock Breakdown'!E$3*'Feedstock Conversion Rates'!B$13)/12</f>
        <v>25.78125</v>
      </c>
      <c r="F417" s="104">
        <f>('Co-Processing'!C419*'Co-Pro Feedstock Breakdown'!F$3*'Feedstock Conversion Rates'!B$14)/12</f>
        <v>8.5364583333333339</v>
      </c>
      <c r="G417" s="106">
        <f t="shared" si="62"/>
        <v>34.317708333333336</v>
      </c>
      <c r="H417" s="104">
        <f>('Co-Processing'!D419*'Co-Pro Feedstock Breakdown'!H$3*'Feedstock Conversion Rates'!B$13)/12</f>
        <v>93.75</v>
      </c>
      <c r="I417" s="106">
        <f t="shared" si="66"/>
        <v>93.75</v>
      </c>
      <c r="J417" s="104">
        <f>('Co-Processing'!E419*'Co-Pro Feedstock Breakdown'!J$3*'Feedstock Conversion Rates'!B$13)/12</f>
        <v>1.25</v>
      </c>
      <c r="K417" s="104">
        <f>('Co-Processing'!E419*'Co-Pro Feedstock Breakdown'!K$3*'Feedstock Conversion Rates'!B$12)/12</f>
        <v>1.2916666666666667</v>
      </c>
      <c r="L417" s="106">
        <f t="shared" si="68"/>
        <v>2.541666666666667</v>
      </c>
      <c r="N417" s="104">
        <f t="shared" si="69"/>
        <v>145.78125</v>
      </c>
      <c r="O417" s="104">
        <f t="shared" si="72"/>
        <v>20.348958333333336</v>
      </c>
      <c r="P417" s="104"/>
      <c r="Q417" s="106">
        <f t="shared" si="73"/>
        <v>166.13020833333334</v>
      </c>
      <c r="R417" s="141">
        <f t="shared" si="70"/>
        <v>0</v>
      </c>
      <c r="T417" s="110">
        <f t="shared" si="74"/>
        <v>0.87751199172335947</v>
      </c>
      <c r="U417" s="110">
        <f t="shared" si="74"/>
        <v>0.12248800827664044</v>
      </c>
      <c r="V417" s="110">
        <f t="shared" si="74"/>
        <v>0</v>
      </c>
      <c r="W417" s="110">
        <f t="shared" si="65"/>
        <v>0.99999999999999989</v>
      </c>
      <c r="Y417" s="142">
        <f>T417*'Co-Processing'!K419*'Feedstock Conversion Rates'!B$13</f>
        <v>100.37729280510618</v>
      </c>
      <c r="Z417" s="142">
        <f>U417*'Co-Processing'!K419*'Feedstock Conversion Rates'!B$12</f>
        <v>14.478261965792601</v>
      </c>
      <c r="AA417" s="142">
        <f>V417*'Co-Processing'!K419*'Feedstock Conversion Rates'!B$14</f>
        <v>0</v>
      </c>
      <c r="AB417" s="142">
        <f t="shared" si="67"/>
        <v>114.85555477089878</v>
      </c>
      <c r="AD417" s="142">
        <v>0</v>
      </c>
      <c r="AE417" s="142">
        <v>0</v>
      </c>
      <c r="AF417" s="142">
        <v>0</v>
      </c>
      <c r="AG417" s="142">
        <v>0</v>
      </c>
      <c r="AH417" s="142">
        <v>0</v>
      </c>
    </row>
    <row r="418" spans="1:34" x14ac:dyDescent="0.25">
      <c r="A418" s="96">
        <v>51441</v>
      </c>
      <c r="B418" s="104">
        <f t="shared" si="71"/>
        <v>25</v>
      </c>
      <c r="C418" s="104">
        <f>('Co-Processing'!B420*'Co-Pro Feedstock Breakdown'!C$3*'Feedstock Conversion Rates'!B$12)/12-10-15</f>
        <v>10.520833333333336</v>
      </c>
      <c r="D418" s="106">
        <f t="shared" si="75"/>
        <v>35.520833333333336</v>
      </c>
      <c r="E418" s="104">
        <f>('Co-Processing'!C420*'Co-Pro Feedstock Breakdown'!E$3*'Feedstock Conversion Rates'!B$13)/12</f>
        <v>25.78125</v>
      </c>
      <c r="F418" s="104">
        <f>('Co-Processing'!C420*'Co-Pro Feedstock Breakdown'!F$3*'Feedstock Conversion Rates'!B$14)/12</f>
        <v>8.5364583333333339</v>
      </c>
      <c r="G418" s="106">
        <f t="shared" si="62"/>
        <v>34.317708333333336</v>
      </c>
      <c r="H418" s="104">
        <f>('Co-Processing'!D420*'Co-Pro Feedstock Breakdown'!H$3*'Feedstock Conversion Rates'!B$13)/12</f>
        <v>93.75</v>
      </c>
      <c r="I418" s="106">
        <f t="shared" si="66"/>
        <v>93.75</v>
      </c>
      <c r="J418" s="104">
        <f>('Co-Processing'!E420*'Co-Pro Feedstock Breakdown'!J$3*'Feedstock Conversion Rates'!B$13)/12</f>
        <v>1.25</v>
      </c>
      <c r="K418" s="104">
        <f>('Co-Processing'!E420*'Co-Pro Feedstock Breakdown'!K$3*'Feedstock Conversion Rates'!B$12)/12</f>
        <v>1.2916666666666667</v>
      </c>
      <c r="L418" s="106">
        <f t="shared" si="68"/>
        <v>2.541666666666667</v>
      </c>
      <c r="N418" s="104">
        <f t="shared" si="69"/>
        <v>145.78125</v>
      </c>
      <c r="O418" s="104">
        <f t="shared" si="72"/>
        <v>20.348958333333336</v>
      </c>
      <c r="P418" s="104"/>
      <c r="Q418" s="106">
        <f t="shared" si="73"/>
        <v>166.13020833333334</v>
      </c>
      <c r="R418" s="141">
        <f t="shared" si="70"/>
        <v>0</v>
      </c>
      <c r="T418" s="110">
        <f t="shared" si="74"/>
        <v>0.87751199172335947</v>
      </c>
      <c r="U418" s="110">
        <f t="shared" si="74"/>
        <v>0.12248800827664044</v>
      </c>
      <c r="V418" s="110">
        <f t="shared" si="74"/>
        <v>0</v>
      </c>
      <c r="W418" s="110">
        <f t="shared" si="65"/>
        <v>0.99999999999999989</v>
      </c>
      <c r="Y418" s="142">
        <f>T418*'Co-Processing'!K420*'Feedstock Conversion Rates'!B$13</f>
        <v>101.03338223126458</v>
      </c>
      <c r="Z418" s="142">
        <f>U418*'Co-Processing'!K420*'Feedstock Conversion Rates'!B$12</f>
        <v>14.57289526700497</v>
      </c>
      <c r="AA418" s="142">
        <f>V418*'Co-Processing'!K420*'Feedstock Conversion Rates'!B$14</f>
        <v>0</v>
      </c>
      <c r="AB418" s="142">
        <f t="shared" si="67"/>
        <v>115.60627749826955</v>
      </c>
      <c r="AD418" s="142">
        <v>0</v>
      </c>
      <c r="AE418" s="142">
        <v>0</v>
      </c>
      <c r="AF418" s="142">
        <v>0</v>
      </c>
      <c r="AG418" s="142">
        <v>0</v>
      </c>
      <c r="AH418" s="142">
        <v>0</v>
      </c>
    </row>
    <row r="419" spans="1:34" x14ac:dyDescent="0.25">
      <c r="A419" s="96">
        <v>51471</v>
      </c>
      <c r="B419" s="104">
        <f t="shared" si="71"/>
        <v>25</v>
      </c>
      <c r="C419" s="104">
        <f>('Co-Processing'!B421*'Co-Pro Feedstock Breakdown'!C$3*'Feedstock Conversion Rates'!B$12)/12-10-15</f>
        <v>10.520833333333336</v>
      </c>
      <c r="D419" s="106">
        <f t="shared" si="75"/>
        <v>35.520833333333336</v>
      </c>
      <c r="E419" s="104">
        <f>('Co-Processing'!C421*'Co-Pro Feedstock Breakdown'!E$3*'Feedstock Conversion Rates'!B$13)/12</f>
        <v>25.78125</v>
      </c>
      <c r="F419" s="104">
        <f>('Co-Processing'!C421*'Co-Pro Feedstock Breakdown'!F$3*'Feedstock Conversion Rates'!B$14)/12</f>
        <v>8.5364583333333339</v>
      </c>
      <c r="G419" s="106">
        <f t="shared" si="62"/>
        <v>34.317708333333336</v>
      </c>
      <c r="H419" s="104">
        <f>('Co-Processing'!D421*'Co-Pro Feedstock Breakdown'!H$3*'Feedstock Conversion Rates'!B$13)/12</f>
        <v>93.75</v>
      </c>
      <c r="I419" s="106">
        <f t="shared" si="66"/>
        <v>93.75</v>
      </c>
      <c r="J419" s="104">
        <f>('Co-Processing'!E421*'Co-Pro Feedstock Breakdown'!J$3*'Feedstock Conversion Rates'!B$13)/12</f>
        <v>1.25</v>
      </c>
      <c r="K419" s="104">
        <f>('Co-Processing'!E421*'Co-Pro Feedstock Breakdown'!K$3*'Feedstock Conversion Rates'!B$12)/12</f>
        <v>1.2916666666666667</v>
      </c>
      <c r="L419" s="106">
        <f t="shared" si="68"/>
        <v>2.541666666666667</v>
      </c>
      <c r="N419" s="104">
        <f t="shared" si="69"/>
        <v>145.78125</v>
      </c>
      <c r="O419" s="104">
        <f t="shared" si="72"/>
        <v>20.348958333333336</v>
      </c>
      <c r="P419" s="104"/>
      <c r="Q419" s="106">
        <f t="shared" si="73"/>
        <v>166.13020833333334</v>
      </c>
      <c r="R419" s="141">
        <f t="shared" si="70"/>
        <v>0</v>
      </c>
      <c r="T419" s="110">
        <f t="shared" si="74"/>
        <v>0.87751199172335947</v>
      </c>
      <c r="U419" s="110">
        <f t="shared" si="74"/>
        <v>0.12248800827664044</v>
      </c>
      <c r="V419" s="110">
        <f t="shared" si="74"/>
        <v>0</v>
      </c>
      <c r="W419" s="110">
        <f t="shared" si="65"/>
        <v>0.99999999999999989</v>
      </c>
      <c r="Y419" s="142">
        <f>T419*'Co-Processing'!K421*'Feedstock Conversion Rates'!B$13</f>
        <v>104.16271972552703</v>
      </c>
      <c r="Z419" s="142">
        <f>U419*'Co-Processing'!K421*'Feedstock Conversion Rates'!B$12</f>
        <v>15.02426595807629</v>
      </c>
      <c r="AA419" s="142">
        <f>V419*'Co-Processing'!K421*'Feedstock Conversion Rates'!B$14</f>
        <v>0</v>
      </c>
      <c r="AB419" s="142">
        <f t="shared" si="67"/>
        <v>119.18698568360331</v>
      </c>
      <c r="AD419" s="142">
        <v>0</v>
      </c>
      <c r="AE419" s="142">
        <v>0</v>
      </c>
      <c r="AF419" s="142">
        <v>0</v>
      </c>
      <c r="AG419" s="142">
        <v>0</v>
      </c>
      <c r="AH419" s="142">
        <v>0</v>
      </c>
    </row>
    <row r="420" spans="1:34" x14ac:dyDescent="0.25">
      <c r="A420" s="96">
        <v>51502</v>
      </c>
      <c r="B420" s="104">
        <f t="shared" si="71"/>
        <v>25</v>
      </c>
      <c r="C420" s="104">
        <f>('Co-Processing'!B422*'Co-Pro Feedstock Breakdown'!C$3*'Feedstock Conversion Rates'!B$12)/12-10-15</f>
        <v>10.520833333333336</v>
      </c>
      <c r="D420" s="106">
        <f t="shared" si="75"/>
        <v>35.520833333333336</v>
      </c>
      <c r="E420" s="104">
        <f>('Co-Processing'!C422*'Co-Pro Feedstock Breakdown'!E$3*'Feedstock Conversion Rates'!B$13)/12</f>
        <v>25.78125</v>
      </c>
      <c r="F420" s="104">
        <f>('Co-Processing'!C422*'Co-Pro Feedstock Breakdown'!F$3*'Feedstock Conversion Rates'!B$14)/12</f>
        <v>8.5364583333333339</v>
      </c>
      <c r="G420" s="106">
        <f t="shared" si="62"/>
        <v>34.317708333333336</v>
      </c>
      <c r="H420" s="104">
        <f>('Co-Processing'!D422*'Co-Pro Feedstock Breakdown'!H$3*'Feedstock Conversion Rates'!B$13)/12</f>
        <v>93.75</v>
      </c>
      <c r="I420" s="106">
        <f t="shared" si="66"/>
        <v>93.75</v>
      </c>
      <c r="J420" s="104">
        <f>('Co-Processing'!E422*'Co-Pro Feedstock Breakdown'!J$3*'Feedstock Conversion Rates'!B$13)/12</f>
        <v>1.25</v>
      </c>
      <c r="K420" s="104">
        <f>('Co-Processing'!E422*'Co-Pro Feedstock Breakdown'!K$3*'Feedstock Conversion Rates'!B$12)/12</f>
        <v>1.2916666666666667</v>
      </c>
      <c r="L420" s="106">
        <f t="shared" si="68"/>
        <v>2.541666666666667</v>
      </c>
      <c r="N420" s="104">
        <f t="shared" si="69"/>
        <v>145.78125</v>
      </c>
      <c r="O420" s="104">
        <f t="shared" si="72"/>
        <v>20.348958333333336</v>
      </c>
      <c r="P420" s="104"/>
      <c r="Q420" s="106">
        <f t="shared" si="73"/>
        <v>166.13020833333334</v>
      </c>
      <c r="R420" s="141">
        <f t="shared" si="70"/>
        <v>0</v>
      </c>
      <c r="T420" s="110">
        <f t="shared" si="74"/>
        <v>0.87751199172335947</v>
      </c>
      <c r="U420" s="110">
        <f t="shared" si="74"/>
        <v>0.12248800827664044</v>
      </c>
      <c r="V420" s="110">
        <f t="shared" si="74"/>
        <v>0</v>
      </c>
      <c r="W420" s="110">
        <f t="shared" si="65"/>
        <v>0.99999999999999989</v>
      </c>
      <c r="Y420" s="142">
        <f>T420*'Co-Processing'!K422*'Feedstock Conversion Rates'!B$13</f>
        <v>91.09230523524765</v>
      </c>
      <c r="Z420" s="142">
        <f>U420*'Co-Processing'!K422*'Feedstock Conversion Rates'!B$12</f>
        <v>13.139010043083829</v>
      </c>
      <c r="AA420" s="142">
        <f>V420*'Co-Processing'!K422*'Feedstock Conversion Rates'!B$14</f>
        <v>0</v>
      </c>
      <c r="AB420" s="142">
        <f t="shared" si="67"/>
        <v>104.23131527833148</v>
      </c>
      <c r="AD420" s="142">
        <v>0</v>
      </c>
      <c r="AE420" s="142">
        <v>0</v>
      </c>
      <c r="AF420" s="142">
        <v>0</v>
      </c>
      <c r="AG420" s="142">
        <v>0</v>
      </c>
      <c r="AH420" s="142">
        <v>0</v>
      </c>
    </row>
    <row r="421" spans="1:34" x14ac:dyDescent="0.25">
      <c r="A421" s="96">
        <v>51533</v>
      </c>
      <c r="B421" s="104">
        <f t="shared" si="71"/>
        <v>25</v>
      </c>
      <c r="C421" s="104">
        <f>('Co-Processing'!B423*'Co-Pro Feedstock Breakdown'!C$3*'Feedstock Conversion Rates'!B$12)/12-10-15</f>
        <v>10.520833333333336</v>
      </c>
      <c r="D421" s="106">
        <f t="shared" si="75"/>
        <v>35.520833333333336</v>
      </c>
      <c r="E421" s="104">
        <f>('Co-Processing'!C423*'Co-Pro Feedstock Breakdown'!E$3*'Feedstock Conversion Rates'!B$13)/12</f>
        <v>25.78125</v>
      </c>
      <c r="F421" s="104">
        <f>('Co-Processing'!C423*'Co-Pro Feedstock Breakdown'!F$3*'Feedstock Conversion Rates'!B$14)/12</f>
        <v>8.5364583333333339</v>
      </c>
      <c r="G421" s="106">
        <f t="shared" si="62"/>
        <v>34.317708333333336</v>
      </c>
      <c r="H421" s="104">
        <f>('Co-Processing'!D423*'Co-Pro Feedstock Breakdown'!H$3*'Feedstock Conversion Rates'!B$13)/12</f>
        <v>93.75</v>
      </c>
      <c r="I421" s="106">
        <f t="shared" si="66"/>
        <v>93.75</v>
      </c>
      <c r="J421" s="104">
        <f>('Co-Processing'!E423*'Co-Pro Feedstock Breakdown'!J$3*'Feedstock Conversion Rates'!B$13)/12</f>
        <v>1.25</v>
      </c>
      <c r="K421" s="104">
        <f>('Co-Processing'!E423*'Co-Pro Feedstock Breakdown'!K$3*'Feedstock Conversion Rates'!B$12)/12</f>
        <v>1.2916666666666667</v>
      </c>
      <c r="L421" s="106">
        <f t="shared" si="68"/>
        <v>2.541666666666667</v>
      </c>
      <c r="N421" s="104">
        <f t="shared" si="69"/>
        <v>145.78125</v>
      </c>
      <c r="O421" s="104">
        <f t="shared" si="72"/>
        <v>20.348958333333336</v>
      </c>
      <c r="P421" s="104"/>
      <c r="Q421" s="106">
        <f t="shared" si="73"/>
        <v>166.13020833333334</v>
      </c>
      <c r="R421" s="141">
        <f t="shared" si="70"/>
        <v>0</v>
      </c>
      <c r="T421" s="110">
        <f t="shared" si="74"/>
        <v>0.87751199172335947</v>
      </c>
      <c r="U421" s="110">
        <f t="shared" si="74"/>
        <v>0.12248800827664044</v>
      </c>
      <c r="V421" s="110">
        <f t="shared" si="74"/>
        <v>0</v>
      </c>
      <c r="W421" s="110">
        <f t="shared" si="65"/>
        <v>0.99999999999999989</v>
      </c>
      <c r="Y421" s="142">
        <f>T421*'Co-Processing'!K423*'Feedstock Conversion Rates'!B$13</f>
        <v>71.231293934862194</v>
      </c>
      <c r="Z421" s="142">
        <f>U421*'Co-Processing'!K423*'Feedstock Conversion Rates'!B$12</f>
        <v>10.27428918364738</v>
      </c>
      <c r="AA421" s="142">
        <f>V421*'Co-Processing'!K423*'Feedstock Conversion Rates'!B$14</f>
        <v>0</v>
      </c>
      <c r="AB421" s="142">
        <f t="shared" si="67"/>
        <v>81.505583118509577</v>
      </c>
      <c r="AD421" s="142">
        <v>0</v>
      </c>
      <c r="AE421" s="142">
        <v>0</v>
      </c>
      <c r="AF421" s="142">
        <v>0</v>
      </c>
      <c r="AG421" s="142">
        <v>0</v>
      </c>
      <c r="AH421" s="142">
        <v>0</v>
      </c>
    </row>
    <row r="422" spans="1:34" x14ac:dyDescent="0.25">
      <c r="A422" s="96">
        <v>51561</v>
      </c>
      <c r="B422" s="104">
        <f t="shared" si="71"/>
        <v>25</v>
      </c>
      <c r="C422" s="104">
        <f>('Co-Processing'!B424*'Co-Pro Feedstock Breakdown'!C$3*'Feedstock Conversion Rates'!B$12)/12-10-15</f>
        <v>10.520833333333336</v>
      </c>
      <c r="D422" s="106">
        <f t="shared" si="75"/>
        <v>35.520833333333336</v>
      </c>
      <c r="E422" s="104">
        <f>('Co-Processing'!C424*'Co-Pro Feedstock Breakdown'!E$3*'Feedstock Conversion Rates'!B$13)/12</f>
        <v>25.78125</v>
      </c>
      <c r="F422" s="104">
        <f>('Co-Processing'!C424*'Co-Pro Feedstock Breakdown'!F$3*'Feedstock Conversion Rates'!B$14)/12</f>
        <v>8.5364583333333339</v>
      </c>
      <c r="G422" s="106">
        <f t="shared" si="62"/>
        <v>34.317708333333336</v>
      </c>
      <c r="H422" s="104">
        <f>('Co-Processing'!D424*'Co-Pro Feedstock Breakdown'!H$3*'Feedstock Conversion Rates'!B$13)/12</f>
        <v>93.75</v>
      </c>
      <c r="I422" s="106">
        <f t="shared" si="66"/>
        <v>93.75</v>
      </c>
      <c r="J422" s="104">
        <f>('Co-Processing'!E424*'Co-Pro Feedstock Breakdown'!J$3*'Feedstock Conversion Rates'!B$13)/12</f>
        <v>1.25</v>
      </c>
      <c r="K422" s="104">
        <f>('Co-Processing'!E424*'Co-Pro Feedstock Breakdown'!K$3*'Feedstock Conversion Rates'!B$12)/12</f>
        <v>1.2916666666666667</v>
      </c>
      <c r="L422" s="106">
        <f t="shared" si="68"/>
        <v>2.541666666666667</v>
      </c>
      <c r="N422" s="104">
        <f t="shared" si="69"/>
        <v>145.78125</v>
      </c>
      <c r="O422" s="104">
        <f t="shared" si="72"/>
        <v>20.348958333333336</v>
      </c>
      <c r="P422" s="104"/>
      <c r="Q422" s="106">
        <f t="shared" si="73"/>
        <v>166.13020833333334</v>
      </c>
      <c r="R422" s="141">
        <f t="shared" si="70"/>
        <v>0</v>
      </c>
      <c r="T422" s="110">
        <f t="shared" si="74"/>
        <v>0.87751199172335947</v>
      </c>
      <c r="U422" s="110">
        <f t="shared" si="74"/>
        <v>0.12248800827664044</v>
      </c>
      <c r="V422" s="110">
        <f t="shared" si="74"/>
        <v>0</v>
      </c>
      <c r="W422" s="110">
        <f t="shared" si="65"/>
        <v>0.99999999999999989</v>
      </c>
      <c r="Y422" s="142">
        <f>T422*'Co-Processing'!K424*'Feedstock Conversion Rates'!B$13</f>
        <v>117.34287958330273</v>
      </c>
      <c r="Z422" s="142">
        <f>U422*'Co-Processing'!K424*'Feedstock Conversion Rates'!B$12</f>
        <v>16.925351371312228</v>
      </c>
      <c r="AA422" s="142">
        <f>V422*'Co-Processing'!K424*'Feedstock Conversion Rates'!B$14</f>
        <v>0</v>
      </c>
      <c r="AB422" s="142">
        <f t="shared" si="67"/>
        <v>134.26823095461495</v>
      </c>
      <c r="AD422" s="142">
        <v>0</v>
      </c>
      <c r="AE422" s="142">
        <v>0</v>
      </c>
      <c r="AF422" s="142">
        <v>0</v>
      </c>
      <c r="AG422" s="142">
        <v>0</v>
      </c>
      <c r="AH422" s="142">
        <v>0</v>
      </c>
    </row>
    <row r="423" spans="1:34" x14ac:dyDescent="0.25">
      <c r="A423" s="96">
        <v>51592</v>
      </c>
      <c r="B423" s="104">
        <f t="shared" si="71"/>
        <v>25</v>
      </c>
      <c r="C423" s="104">
        <f>('Co-Processing'!B425*'Co-Pro Feedstock Breakdown'!C$3*'Feedstock Conversion Rates'!B$12)/12-10-15</f>
        <v>10.520833333333336</v>
      </c>
      <c r="D423" s="106">
        <f t="shared" si="75"/>
        <v>35.520833333333336</v>
      </c>
      <c r="E423" s="104">
        <f>('Co-Processing'!C425*'Co-Pro Feedstock Breakdown'!E$3*'Feedstock Conversion Rates'!B$13)/12</f>
        <v>25.78125</v>
      </c>
      <c r="F423" s="104">
        <f>('Co-Processing'!C425*'Co-Pro Feedstock Breakdown'!F$3*'Feedstock Conversion Rates'!B$14)/12</f>
        <v>8.5364583333333339</v>
      </c>
      <c r="G423" s="106">
        <f t="shared" si="62"/>
        <v>34.317708333333336</v>
      </c>
      <c r="H423" s="104">
        <f>('Co-Processing'!D425*'Co-Pro Feedstock Breakdown'!H$3*'Feedstock Conversion Rates'!B$13)/12</f>
        <v>93.75</v>
      </c>
      <c r="I423" s="106">
        <f t="shared" si="66"/>
        <v>93.75</v>
      </c>
      <c r="J423" s="104">
        <f>('Co-Processing'!E425*'Co-Pro Feedstock Breakdown'!J$3*'Feedstock Conversion Rates'!B$13)/12</f>
        <v>1.25</v>
      </c>
      <c r="K423" s="104">
        <f>('Co-Processing'!E425*'Co-Pro Feedstock Breakdown'!K$3*'Feedstock Conversion Rates'!B$12)/12</f>
        <v>1.2916666666666667</v>
      </c>
      <c r="L423" s="106">
        <f t="shared" si="68"/>
        <v>2.541666666666667</v>
      </c>
      <c r="N423" s="104">
        <f t="shared" si="69"/>
        <v>145.78125</v>
      </c>
      <c r="O423" s="104">
        <f t="shared" si="72"/>
        <v>20.348958333333336</v>
      </c>
      <c r="P423" s="104"/>
      <c r="Q423" s="106">
        <f t="shared" si="73"/>
        <v>166.13020833333334</v>
      </c>
      <c r="R423" s="141">
        <f t="shared" si="70"/>
        <v>0</v>
      </c>
      <c r="T423" s="110">
        <f t="shared" si="74"/>
        <v>0.87751199172335947</v>
      </c>
      <c r="U423" s="110">
        <f t="shared" si="74"/>
        <v>0.12248800827664044</v>
      </c>
      <c r="V423" s="110">
        <f t="shared" si="74"/>
        <v>0</v>
      </c>
      <c r="W423" s="110">
        <f t="shared" si="65"/>
        <v>0.99999999999999989</v>
      </c>
      <c r="Y423" s="142">
        <f>T423*'Co-Processing'!K425*'Feedstock Conversion Rates'!B$13</f>
        <v>76.426638359159284</v>
      </c>
      <c r="Z423" s="142">
        <f>U423*'Co-Processing'!K425*'Feedstock Conversion Rates'!B$12</f>
        <v>11.023657446881382</v>
      </c>
      <c r="AA423" s="142">
        <f>V423*'Co-Processing'!K425*'Feedstock Conversion Rates'!B$14</f>
        <v>0</v>
      </c>
      <c r="AB423" s="142">
        <f t="shared" si="67"/>
        <v>87.450295806040671</v>
      </c>
      <c r="AD423" s="142">
        <v>0</v>
      </c>
      <c r="AE423" s="142">
        <v>0</v>
      </c>
      <c r="AF423" s="142">
        <v>0</v>
      </c>
      <c r="AG423" s="142">
        <v>0</v>
      </c>
      <c r="AH423" s="142">
        <v>0</v>
      </c>
    </row>
    <row r="424" spans="1:34" x14ac:dyDescent="0.25">
      <c r="A424" s="96">
        <v>51622</v>
      </c>
      <c r="B424" s="104">
        <f t="shared" si="71"/>
        <v>25</v>
      </c>
      <c r="C424" s="104">
        <f>('Co-Processing'!B426*'Co-Pro Feedstock Breakdown'!C$3*'Feedstock Conversion Rates'!B$12)/12-10-15</f>
        <v>10.520833333333336</v>
      </c>
      <c r="D424" s="106">
        <f t="shared" si="75"/>
        <v>35.520833333333336</v>
      </c>
      <c r="E424" s="104">
        <f>('Co-Processing'!C426*'Co-Pro Feedstock Breakdown'!E$3*'Feedstock Conversion Rates'!B$13)/12</f>
        <v>25.78125</v>
      </c>
      <c r="F424" s="104">
        <f>('Co-Processing'!C426*'Co-Pro Feedstock Breakdown'!F$3*'Feedstock Conversion Rates'!B$14)/12</f>
        <v>8.5364583333333339</v>
      </c>
      <c r="G424" s="106">
        <f t="shared" si="62"/>
        <v>34.317708333333336</v>
      </c>
      <c r="H424" s="104">
        <f>('Co-Processing'!D426*'Co-Pro Feedstock Breakdown'!H$3*'Feedstock Conversion Rates'!B$13)/12</f>
        <v>93.75</v>
      </c>
      <c r="I424" s="106">
        <f t="shared" si="66"/>
        <v>93.75</v>
      </c>
      <c r="J424" s="104">
        <f>('Co-Processing'!E426*'Co-Pro Feedstock Breakdown'!J$3*'Feedstock Conversion Rates'!B$13)/12</f>
        <v>1.25</v>
      </c>
      <c r="K424" s="104">
        <f>('Co-Processing'!E426*'Co-Pro Feedstock Breakdown'!K$3*'Feedstock Conversion Rates'!B$12)/12</f>
        <v>1.2916666666666667</v>
      </c>
      <c r="L424" s="106">
        <f t="shared" si="68"/>
        <v>2.541666666666667</v>
      </c>
      <c r="N424" s="104">
        <f t="shared" si="69"/>
        <v>145.78125</v>
      </c>
      <c r="O424" s="104">
        <f t="shared" si="72"/>
        <v>20.348958333333336</v>
      </c>
      <c r="P424" s="104"/>
      <c r="Q424" s="106">
        <f t="shared" si="73"/>
        <v>166.13020833333334</v>
      </c>
      <c r="R424" s="141">
        <f t="shared" si="70"/>
        <v>0</v>
      </c>
      <c r="T424" s="110">
        <f t="shared" si="74"/>
        <v>0.87751199172335947</v>
      </c>
      <c r="U424" s="110">
        <f t="shared" si="74"/>
        <v>0.12248800827664044</v>
      </c>
      <c r="V424" s="110">
        <f t="shared" si="74"/>
        <v>0</v>
      </c>
      <c r="W424" s="110">
        <f t="shared" si="65"/>
        <v>0.99999999999999989</v>
      </c>
      <c r="Y424" s="142">
        <f>T424*'Co-Processing'!K426*'Feedstock Conversion Rates'!B$13</f>
        <v>84.140126191537192</v>
      </c>
      <c r="Z424" s="142">
        <f>U424*'Co-Processing'!K426*'Feedstock Conversion Rates'!B$12</f>
        <v>12.136238732809826</v>
      </c>
      <c r="AA424" s="142">
        <f>V424*'Co-Processing'!K426*'Feedstock Conversion Rates'!B$14</f>
        <v>0</v>
      </c>
      <c r="AB424" s="142">
        <f t="shared" si="67"/>
        <v>96.276364924347021</v>
      </c>
      <c r="AD424" s="142">
        <v>0</v>
      </c>
      <c r="AE424" s="142">
        <v>0</v>
      </c>
      <c r="AF424" s="142">
        <v>0</v>
      </c>
      <c r="AG424" s="142">
        <v>0</v>
      </c>
      <c r="AH424" s="142">
        <v>0</v>
      </c>
    </row>
    <row r="425" spans="1:34" x14ac:dyDescent="0.25">
      <c r="A425" s="96">
        <v>51653</v>
      </c>
      <c r="B425" s="104">
        <f t="shared" si="71"/>
        <v>25</v>
      </c>
      <c r="C425" s="104">
        <f>('Co-Processing'!B427*'Co-Pro Feedstock Breakdown'!C$3*'Feedstock Conversion Rates'!B$12)/12-10-15</f>
        <v>10.520833333333336</v>
      </c>
      <c r="D425" s="106">
        <f t="shared" si="75"/>
        <v>35.520833333333336</v>
      </c>
      <c r="E425" s="104">
        <f>('Co-Processing'!C427*'Co-Pro Feedstock Breakdown'!E$3*'Feedstock Conversion Rates'!B$13)/12</f>
        <v>25.78125</v>
      </c>
      <c r="F425" s="104">
        <f>('Co-Processing'!C427*'Co-Pro Feedstock Breakdown'!F$3*'Feedstock Conversion Rates'!B$14)/12</f>
        <v>8.5364583333333339</v>
      </c>
      <c r="G425" s="106">
        <f t="shared" si="62"/>
        <v>34.317708333333336</v>
      </c>
      <c r="H425" s="104">
        <f>('Co-Processing'!D427*'Co-Pro Feedstock Breakdown'!H$3*'Feedstock Conversion Rates'!B$13)/12</f>
        <v>93.75</v>
      </c>
      <c r="I425" s="106">
        <f t="shared" si="66"/>
        <v>93.75</v>
      </c>
      <c r="J425" s="104">
        <f>('Co-Processing'!E427*'Co-Pro Feedstock Breakdown'!J$3*'Feedstock Conversion Rates'!B$13)/12</f>
        <v>1.25</v>
      </c>
      <c r="K425" s="104">
        <f>('Co-Processing'!E427*'Co-Pro Feedstock Breakdown'!K$3*'Feedstock Conversion Rates'!B$12)/12</f>
        <v>1.2916666666666667</v>
      </c>
      <c r="L425" s="106">
        <f t="shared" si="68"/>
        <v>2.541666666666667</v>
      </c>
      <c r="N425" s="104">
        <f t="shared" si="69"/>
        <v>145.78125</v>
      </c>
      <c r="O425" s="104">
        <f t="shared" si="72"/>
        <v>20.348958333333336</v>
      </c>
      <c r="P425" s="104"/>
      <c r="Q425" s="106">
        <f t="shared" si="73"/>
        <v>166.13020833333334</v>
      </c>
      <c r="R425" s="141">
        <f t="shared" si="70"/>
        <v>0</v>
      </c>
      <c r="T425" s="110">
        <f t="shared" si="74"/>
        <v>0.87751199172335947</v>
      </c>
      <c r="U425" s="110">
        <f t="shared" si="74"/>
        <v>0.12248800827664044</v>
      </c>
      <c r="V425" s="110">
        <f t="shared" si="74"/>
        <v>0</v>
      </c>
      <c r="W425" s="110">
        <f t="shared" si="65"/>
        <v>0.99999999999999989</v>
      </c>
      <c r="Y425" s="142">
        <f>T425*'Co-Processing'!K427*'Feedstock Conversion Rates'!B$13</f>
        <v>113.90968051117872</v>
      </c>
      <c r="Z425" s="142">
        <f>U425*'Co-Processing'!K427*'Feedstock Conversion Rates'!B$12</f>
        <v>16.430152166812476</v>
      </c>
      <c r="AA425" s="142">
        <f>V425*'Co-Processing'!K427*'Feedstock Conversion Rates'!B$14</f>
        <v>0</v>
      </c>
      <c r="AB425" s="142">
        <f t="shared" si="67"/>
        <v>130.33983267799118</v>
      </c>
      <c r="AD425" s="142">
        <v>0</v>
      </c>
      <c r="AE425" s="142">
        <v>0</v>
      </c>
      <c r="AF425" s="142">
        <v>0</v>
      </c>
      <c r="AG425" s="142">
        <v>0</v>
      </c>
      <c r="AH425" s="142">
        <v>0</v>
      </c>
    </row>
    <row r="426" spans="1:34" x14ac:dyDescent="0.25">
      <c r="A426" s="96">
        <v>51683</v>
      </c>
      <c r="B426" s="104">
        <f t="shared" si="71"/>
        <v>25</v>
      </c>
      <c r="C426" s="104">
        <f>('Co-Processing'!B428*'Co-Pro Feedstock Breakdown'!C$3*'Feedstock Conversion Rates'!B$12)/12-10-15</f>
        <v>10.520833333333336</v>
      </c>
      <c r="D426" s="106">
        <f t="shared" si="75"/>
        <v>35.520833333333336</v>
      </c>
      <c r="E426" s="104">
        <f>('Co-Processing'!C428*'Co-Pro Feedstock Breakdown'!E$3*'Feedstock Conversion Rates'!B$13)/12</f>
        <v>25.78125</v>
      </c>
      <c r="F426" s="104">
        <f>('Co-Processing'!C428*'Co-Pro Feedstock Breakdown'!F$3*'Feedstock Conversion Rates'!B$14)/12</f>
        <v>8.5364583333333339</v>
      </c>
      <c r="G426" s="106">
        <f t="shared" si="62"/>
        <v>34.317708333333336</v>
      </c>
      <c r="H426" s="104">
        <f>('Co-Processing'!D428*'Co-Pro Feedstock Breakdown'!H$3*'Feedstock Conversion Rates'!B$13)/12</f>
        <v>93.75</v>
      </c>
      <c r="I426" s="106">
        <f t="shared" si="66"/>
        <v>93.75</v>
      </c>
      <c r="J426" s="104">
        <f>('Co-Processing'!E428*'Co-Pro Feedstock Breakdown'!J$3*'Feedstock Conversion Rates'!B$13)/12</f>
        <v>1.25</v>
      </c>
      <c r="K426" s="104">
        <f>('Co-Processing'!E428*'Co-Pro Feedstock Breakdown'!K$3*'Feedstock Conversion Rates'!B$12)/12</f>
        <v>1.2916666666666667</v>
      </c>
      <c r="L426" s="106">
        <f t="shared" si="68"/>
        <v>2.541666666666667</v>
      </c>
      <c r="N426" s="104">
        <f t="shared" si="69"/>
        <v>145.78125</v>
      </c>
      <c r="O426" s="104">
        <f t="shared" si="72"/>
        <v>20.348958333333336</v>
      </c>
      <c r="P426" s="104"/>
      <c r="Q426" s="106">
        <f t="shared" si="73"/>
        <v>166.13020833333334</v>
      </c>
      <c r="R426" s="141">
        <f t="shared" si="70"/>
        <v>0</v>
      </c>
      <c r="T426" s="110">
        <f t="shared" si="74"/>
        <v>0.87751199172335947</v>
      </c>
      <c r="U426" s="110">
        <f t="shared" si="74"/>
        <v>0.12248800827664044</v>
      </c>
      <c r="V426" s="110">
        <f t="shared" si="74"/>
        <v>0</v>
      </c>
      <c r="W426" s="110">
        <f t="shared" si="65"/>
        <v>0.99999999999999989</v>
      </c>
      <c r="Y426" s="142">
        <f>T426*'Co-Processing'!K428*'Feedstock Conversion Rates'!B$13</f>
        <v>95.0794700198323</v>
      </c>
      <c r="Z426" s="142">
        <f>U426*'Co-Processing'!K428*'Feedstock Conversion Rates'!B$12</f>
        <v>13.714112385842601</v>
      </c>
      <c r="AA426" s="142">
        <f>V426*'Co-Processing'!K428*'Feedstock Conversion Rates'!B$14</f>
        <v>0</v>
      </c>
      <c r="AB426" s="142">
        <f t="shared" si="67"/>
        <v>108.7935824056749</v>
      </c>
      <c r="AD426" s="142">
        <v>0</v>
      </c>
      <c r="AE426" s="142">
        <v>0</v>
      </c>
      <c r="AF426" s="142">
        <v>0</v>
      </c>
      <c r="AG426" s="142">
        <v>0</v>
      </c>
      <c r="AH426" s="142">
        <v>0</v>
      </c>
    </row>
    <row r="427" spans="1:34" x14ac:dyDescent="0.25">
      <c r="A427" s="96">
        <v>51714</v>
      </c>
      <c r="B427" s="104">
        <f t="shared" si="71"/>
        <v>25</v>
      </c>
      <c r="C427" s="104">
        <f>('Co-Processing'!B429*'Co-Pro Feedstock Breakdown'!C$3*'Feedstock Conversion Rates'!B$12)/12-10-15</f>
        <v>10.520833333333336</v>
      </c>
      <c r="D427" s="106">
        <f t="shared" si="75"/>
        <v>35.520833333333336</v>
      </c>
      <c r="E427" s="104">
        <f>('Co-Processing'!C429*'Co-Pro Feedstock Breakdown'!E$3*'Feedstock Conversion Rates'!B$13)/12</f>
        <v>25.78125</v>
      </c>
      <c r="F427" s="104">
        <f>('Co-Processing'!C429*'Co-Pro Feedstock Breakdown'!F$3*'Feedstock Conversion Rates'!B$14)/12</f>
        <v>8.5364583333333339</v>
      </c>
      <c r="G427" s="106">
        <f t="shared" si="62"/>
        <v>34.317708333333336</v>
      </c>
      <c r="H427" s="104">
        <f>('Co-Processing'!D429*'Co-Pro Feedstock Breakdown'!H$3*'Feedstock Conversion Rates'!B$13)/12</f>
        <v>93.75</v>
      </c>
      <c r="I427" s="106">
        <f t="shared" si="66"/>
        <v>93.75</v>
      </c>
      <c r="J427" s="104">
        <f>('Co-Processing'!E429*'Co-Pro Feedstock Breakdown'!J$3*'Feedstock Conversion Rates'!B$13)/12</f>
        <v>1.25</v>
      </c>
      <c r="K427" s="104">
        <f>('Co-Processing'!E429*'Co-Pro Feedstock Breakdown'!K$3*'Feedstock Conversion Rates'!B$12)/12</f>
        <v>1.2916666666666667</v>
      </c>
      <c r="L427" s="106">
        <f t="shared" si="68"/>
        <v>2.541666666666667</v>
      </c>
      <c r="N427" s="104">
        <f t="shared" si="69"/>
        <v>145.78125</v>
      </c>
      <c r="O427" s="104">
        <f t="shared" si="72"/>
        <v>20.348958333333336</v>
      </c>
      <c r="P427" s="104"/>
      <c r="Q427" s="106">
        <f t="shared" si="73"/>
        <v>166.13020833333334</v>
      </c>
      <c r="R427" s="141">
        <f t="shared" si="70"/>
        <v>0</v>
      </c>
      <c r="T427" s="110">
        <f t="shared" si="74"/>
        <v>0.87751199172335947</v>
      </c>
      <c r="U427" s="110">
        <f t="shared" si="74"/>
        <v>0.12248800827664044</v>
      </c>
      <c r="V427" s="110">
        <f t="shared" si="74"/>
        <v>0</v>
      </c>
      <c r="W427" s="110">
        <f t="shared" si="65"/>
        <v>0.99999999999999989</v>
      </c>
      <c r="Y427" s="142">
        <f>T427*'Co-Processing'!K429*'Feedstock Conversion Rates'!B$13</f>
        <v>139.6846822541433</v>
      </c>
      <c r="Z427" s="142">
        <f>U427*'Co-Processing'!K429*'Feedstock Conversion Rates'!B$12</f>
        <v>20.147897654608883</v>
      </c>
      <c r="AA427" s="142">
        <f>V427*'Co-Processing'!K429*'Feedstock Conversion Rates'!B$14</f>
        <v>0</v>
      </c>
      <c r="AB427" s="142">
        <f t="shared" si="67"/>
        <v>159.83257990875217</v>
      </c>
      <c r="AD427" s="142">
        <v>0</v>
      </c>
      <c r="AE427" s="142">
        <v>0</v>
      </c>
      <c r="AF427" s="142">
        <v>0</v>
      </c>
      <c r="AG427" s="142">
        <v>0</v>
      </c>
      <c r="AH427" s="142">
        <v>0</v>
      </c>
    </row>
    <row r="428" spans="1:34" x14ac:dyDescent="0.25">
      <c r="A428" s="96">
        <v>51745</v>
      </c>
      <c r="B428" s="104">
        <f t="shared" si="71"/>
        <v>25</v>
      </c>
      <c r="C428" s="104">
        <f>('Co-Processing'!B430*'Co-Pro Feedstock Breakdown'!C$3*'Feedstock Conversion Rates'!B$12)/12-10-15</f>
        <v>10.520833333333336</v>
      </c>
      <c r="D428" s="106">
        <f t="shared" si="75"/>
        <v>35.520833333333336</v>
      </c>
      <c r="E428" s="104">
        <f>('Co-Processing'!C430*'Co-Pro Feedstock Breakdown'!E$3*'Feedstock Conversion Rates'!B$13)/12</f>
        <v>25.78125</v>
      </c>
      <c r="F428" s="104">
        <f>('Co-Processing'!C430*'Co-Pro Feedstock Breakdown'!F$3*'Feedstock Conversion Rates'!B$14)/12</f>
        <v>8.5364583333333339</v>
      </c>
      <c r="G428" s="106">
        <f t="shared" ref="G428:G491" si="76">SUM(E428:F428)</f>
        <v>34.317708333333336</v>
      </c>
      <c r="H428" s="104">
        <f>('Co-Processing'!D430*'Co-Pro Feedstock Breakdown'!H$3*'Feedstock Conversion Rates'!B$13)/12</f>
        <v>93.75</v>
      </c>
      <c r="I428" s="106">
        <f t="shared" si="66"/>
        <v>93.75</v>
      </c>
      <c r="J428" s="104">
        <f>('Co-Processing'!E430*'Co-Pro Feedstock Breakdown'!J$3*'Feedstock Conversion Rates'!B$13)/12</f>
        <v>1.25</v>
      </c>
      <c r="K428" s="104">
        <f>('Co-Processing'!E430*'Co-Pro Feedstock Breakdown'!K$3*'Feedstock Conversion Rates'!B$12)/12</f>
        <v>1.2916666666666667</v>
      </c>
      <c r="L428" s="106">
        <f t="shared" si="68"/>
        <v>2.541666666666667</v>
      </c>
      <c r="N428" s="104">
        <f t="shared" si="69"/>
        <v>145.78125</v>
      </c>
      <c r="O428" s="104">
        <f t="shared" si="72"/>
        <v>20.348958333333336</v>
      </c>
      <c r="P428" s="104"/>
      <c r="Q428" s="106">
        <f t="shared" si="73"/>
        <v>166.13020833333334</v>
      </c>
      <c r="R428" s="141">
        <f t="shared" si="70"/>
        <v>0</v>
      </c>
      <c r="T428" s="110">
        <f t="shared" si="74"/>
        <v>0.87751199172335947</v>
      </c>
      <c r="U428" s="110">
        <f t="shared" si="74"/>
        <v>0.12248800827664044</v>
      </c>
      <c r="V428" s="110">
        <f t="shared" si="74"/>
        <v>0</v>
      </c>
      <c r="W428" s="110">
        <f t="shared" ref="W428:W491" si="77">SUM(T428:V428)</f>
        <v>0.99999999999999989</v>
      </c>
      <c r="Y428" s="142">
        <f>T428*'Co-Processing'!K430*'Feedstock Conversion Rates'!B$13</f>
        <v>125.35314966589816</v>
      </c>
      <c r="Z428" s="142">
        <f>U428*'Co-Processing'!K430*'Feedstock Conversion Rates'!B$12</f>
        <v>18.080740059645812</v>
      </c>
      <c r="AA428" s="142">
        <f>V428*'Co-Processing'!K430*'Feedstock Conversion Rates'!B$14</f>
        <v>0</v>
      </c>
      <c r="AB428" s="142">
        <f t="shared" si="67"/>
        <v>143.43388972554396</v>
      </c>
      <c r="AD428" s="142">
        <v>0</v>
      </c>
      <c r="AE428" s="142">
        <v>0</v>
      </c>
      <c r="AF428" s="142">
        <v>0</v>
      </c>
      <c r="AG428" s="142">
        <v>0</v>
      </c>
      <c r="AH428" s="142">
        <v>0</v>
      </c>
    </row>
    <row r="429" spans="1:34" x14ac:dyDescent="0.25">
      <c r="A429" s="96">
        <v>51775</v>
      </c>
      <c r="B429" s="104">
        <f t="shared" si="71"/>
        <v>25</v>
      </c>
      <c r="C429" s="104">
        <f>('Co-Processing'!B431*'Co-Pro Feedstock Breakdown'!C$3*'Feedstock Conversion Rates'!B$12)/12-10-15</f>
        <v>10.520833333333336</v>
      </c>
      <c r="D429" s="106">
        <f t="shared" si="75"/>
        <v>35.520833333333336</v>
      </c>
      <c r="E429" s="104">
        <f>('Co-Processing'!C431*'Co-Pro Feedstock Breakdown'!E$3*'Feedstock Conversion Rates'!B$13)/12</f>
        <v>25.78125</v>
      </c>
      <c r="F429" s="104">
        <f>('Co-Processing'!C431*'Co-Pro Feedstock Breakdown'!F$3*'Feedstock Conversion Rates'!B$14)/12</f>
        <v>8.5364583333333339</v>
      </c>
      <c r="G429" s="106">
        <f t="shared" si="76"/>
        <v>34.317708333333336</v>
      </c>
      <c r="H429" s="104">
        <f>('Co-Processing'!D431*'Co-Pro Feedstock Breakdown'!H$3*'Feedstock Conversion Rates'!B$13)/12</f>
        <v>93.75</v>
      </c>
      <c r="I429" s="106">
        <f t="shared" si="66"/>
        <v>93.75</v>
      </c>
      <c r="J429" s="104">
        <f>('Co-Processing'!E431*'Co-Pro Feedstock Breakdown'!J$3*'Feedstock Conversion Rates'!B$13)/12</f>
        <v>1.25</v>
      </c>
      <c r="K429" s="104">
        <f>('Co-Processing'!E431*'Co-Pro Feedstock Breakdown'!K$3*'Feedstock Conversion Rates'!B$12)/12</f>
        <v>1.2916666666666667</v>
      </c>
      <c r="L429" s="106">
        <f t="shared" si="68"/>
        <v>2.541666666666667</v>
      </c>
      <c r="N429" s="104">
        <f t="shared" si="69"/>
        <v>145.78125</v>
      </c>
      <c r="O429" s="104">
        <f t="shared" si="72"/>
        <v>20.348958333333336</v>
      </c>
      <c r="P429" s="104"/>
      <c r="Q429" s="106">
        <f t="shared" si="73"/>
        <v>166.13020833333334</v>
      </c>
      <c r="R429" s="141">
        <f t="shared" si="70"/>
        <v>0</v>
      </c>
      <c r="T429" s="110">
        <f t="shared" si="74"/>
        <v>0.87751199172335947</v>
      </c>
      <c r="U429" s="110">
        <f t="shared" si="74"/>
        <v>0.12248800827664044</v>
      </c>
      <c r="V429" s="110">
        <f t="shared" si="74"/>
        <v>0</v>
      </c>
      <c r="W429" s="110">
        <f t="shared" si="77"/>
        <v>0.99999999999999989</v>
      </c>
      <c r="Y429" s="142">
        <f>T429*'Co-Processing'!K431*'Feedstock Conversion Rates'!B$13</f>
        <v>100.74367814867243</v>
      </c>
      <c r="Z429" s="142">
        <f>U429*'Co-Processing'!K431*'Feedstock Conversion Rates'!B$12</f>
        <v>14.53110880830387</v>
      </c>
      <c r="AA429" s="142">
        <f>V429*'Co-Processing'!K431*'Feedstock Conversion Rates'!B$14</f>
        <v>0</v>
      </c>
      <c r="AB429" s="142">
        <f t="shared" si="67"/>
        <v>115.2747869569763</v>
      </c>
      <c r="AD429" s="142">
        <v>0</v>
      </c>
      <c r="AE429" s="142">
        <v>0</v>
      </c>
      <c r="AF429" s="142">
        <v>0</v>
      </c>
      <c r="AG429" s="142">
        <v>0</v>
      </c>
      <c r="AH429" s="142">
        <v>0</v>
      </c>
    </row>
    <row r="430" spans="1:34" x14ac:dyDescent="0.25">
      <c r="A430" s="96">
        <v>51806</v>
      </c>
      <c r="B430" s="104">
        <f t="shared" si="71"/>
        <v>25</v>
      </c>
      <c r="C430" s="104">
        <f>('Co-Processing'!B432*'Co-Pro Feedstock Breakdown'!C$3*'Feedstock Conversion Rates'!B$12)/12-10-15</f>
        <v>10.520833333333336</v>
      </c>
      <c r="D430" s="106">
        <f t="shared" si="75"/>
        <v>35.520833333333336</v>
      </c>
      <c r="E430" s="104">
        <f>('Co-Processing'!C432*'Co-Pro Feedstock Breakdown'!E$3*'Feedstock Conversion Rates'!B$13)/12</f>
        <v>25.78125</v>
      </c>
      <c r="F430" s="104">
        <f>('Co-Processing'!C432*'Co-Pro Feedstock Breakdown'!F$3*'Feedstock Conversion Rates'!B$14)/12</f>
        <v>8.5364583333333339</v>
      </c>
      <c r="G430" s="106">
        <f t="shared" si="76"/>
        <v>34.317708333333336</v>
      </c>
      <c r="H430" s="104">
        <f>('Co-Processing'!D432*'Co-Pro Feedstock Breakdown'!H$3*'Feedstock Conversion Rates'!B$13)/12</f>
        <v>93.75</v>
      </c>
      <c r="I430" s="106">
        <f t="shared" si="66"/>
        <v>93.75</v>
      </c>
      <c r="J430" s="104">
        <f>('Co-Processing'!E432*'Co-Pro Feedstock Breakdown'!J$3*'Feedstock Conversion Rates'!B$13)/12</f>
        <v>1.25</v>
      </c>
      <c r="K430" s="104">
        <f>('Co-Processing'!E432*'Co-Pro Feedstock Breakdown'!K$3*'Feedstock Conversion Rates'!B$12)/12</f>
        <v>1.2916666666666667</v>
      </c>
      <c r="L430" s="106">
        <f t="shared" si="68"/>
        <v>2.541666666666667</v>
      </c>
      <c r="N430" s="104">
        <f t="shared" si="69"/>
        <v>145.78125</v>
      </c>
      <c r="O430" s="104">
        <f t="shared" si="72"/>
        <v>20.348958333333336</v>
      </c>
      <c r="P430" s="104"/>
      <c r="Q430" s="106">
        <f t="shared" si="73"/>
        <v>166.13020833333334</v>
      </c>
      <c r="R430" s="141">
        <f t="shared" si="70"/>
        <v>0</v>
      </c>
      <c r="T430" s="110">
        <f t="shared" si="74"/>
        <v>0.87751199172335947</v>
      </c>
      <c r="U430" s="110">
        <f t="shared" si="74"/>
        <v>0.12248800827664044</v>
      </c>
      <c r="V430" s="110">
        <f t="shared" si="74"/>
        <v>0</v>
      </c>
      <c r="W430" s="110">
        <f t="shared" si="77"/>
        <v>0.99999999999999989</v>
      </c>
      <c r="Y430" s="142">
        <f>T430*'Co-Processing'!K432*'Feedstock Conversion Rates'!B$13</f>
        <v>101.43557934701316</v>
      </c>
      <c r="Z430" s="142">
        <f>U430*'Co-Processing'!K432*'Feedstock Conversion Rates'!B$12</f>
        <v>14.630907542898887</v>
      </c>
      <c r="AA430" s="142">
        <f>V430*'Co-Processing'!K432*'Feedstock Conversion Rates'!B$14</f>
        <v>0</v>
      </c>
      <c r="AB430" s="142">
        <f t="shared" si="67"/>
        <v>116.06648688991204</v>
      </c>
      <c r="AD430" s="142">
        <v>0</v>
      </c>
      <c r="AE430" s="142">
        <v>0</v>
      </c>
      <c r="AF430" s="142">
        <v>0</v>
      </c>
      <c r="AG430" s="142">
        <v>0</v>
      </c>
      <c r="AH430" s="142">
        <v>0</v>
      </c>
    </row>
    <row r="431" spans="1:34" x14ac:dyDescent="0.25">
      <c r="A431" s="96">
        <v>51836</v>
      </c>
      <c r="B431" s="104">
        <f t="shared" si="71"/>
        <v>25</v>
      </c>
      <c r="C431" s="104">
        <f>('Co-Processing'!B433*'Co-Pro Feedstock Breakdown'!C$3*'Feedstock Conversion Rates'!B$12)/12-10-15</f>
        <v>10.520833333333336</v>
      </c>
      <c r="D431" s="106">
        <f t="shared" si="75"/>
        <v>35.520833333333336</v>
      </c>
      <c r="E431" s="104">
        <f>('Co-Processing'!C433*'Co-Pro Feedstock Breakdown'!E$3*'Feedstock Conversion Rates'!B$13)/12</f>
        <v>25.78125</v>
      </c>
      <c r="F431" s="104">
        <f>('Co-Processing'!C433*'Co-Pro Feedstock Breakdown'!F$3*'Feedstock Conversion Rates'!B$14)/12</f>
        <v>8.5364583333333339</v>
      </c>
      <c r="G431" s="106">
        <f t="shared" si="76"/>
        <v>34.317708333333336</v>
      </c>
      <c r="H431" s="104">
        <f>('Co-Processing'!D433*'Co-Pro Feedstock Breakdown'!H$3*'Feedstock Conversion Rates'!B$13)/12</f>
        <v>93.75</v>
      </c>
      <c r="I431" s="106">
        <f t="shared" si="66"/>
        <v>93.75</v>
      </c>
      <c r="J431" s="104">
        <f>('Co-Processing'!E433*'Co-Pro Feedstock Breakdown'!J$3*'Feedstock Conversion Rates'!B$13)/12</f>
        <v>1.25</v>
      </c>
      <c r="K431" s="104">
        <f>('Co-Processing'!E433*'Co-Pro Feedstock Breakdown'!K$3*'Feedstock Conversion Rates'!B$12)/12</f>
        <v>1.2916666666666667</v>
      </c>
      <c r="L431" s="106">
        <f t="shared" si="68"/>
        <v>2.541666666666667</v>
      </c>
      <c r="N431" s="104">
        <f t="shared" si="69"/>
        <v>145.78125</v>
      </c>
      <c r="O431" s="104">
        <f t="shared" si="72"/>
        <v>20.348958333333336</v>
      </c>
      <c r="P431" s="104"/>
      <c r="Q431" s="106">
        <f t="shared" si="73"/>
        <v>166.13020833333334</v>
      </c>
      <c r="R431" s="141">
        <f t="shared" si="70"/>
        <v>0</v>
      </c>
      <c r="T431" s="110">
        <f t="shared" si="74"/>
        <v>0.87751199172335947</v>
      </c>
      <c r="U431" s="110">
        <f t="shared" si="74"/>
        <v>0.12248800827664044</v>
      </c>
      <c r="V431" s="110">
        <f t="shared" si="74"/>
        <v>0</v>
      </c>
      <c r="W431" s="110">
        <f t="shared" si="77"/>
        <v>0.99999999999999989</v>
      </c>
      <c r="Y431" s="142">
        <f>T431*'Co-Processing'!K433*'Feedstock Conversion Rates'!B$13</f>
        <v>104.53987588159652</v>
      </c>
      <c r="Z431" s="142">
        <f>U431*'Co-Processing'!K433*'Feedstock Conversion Rates'!B$12</f>
        <v>15.078666365548798</v>
      </c>
      <c r="AA431" s="142">
        <f>V431*'Co-Processing'!K433*'Feedstock Conversion Rates'!B$14</f>
        <v>0</v>
      </c>
      <c r="AB431" s="142">
        <f t="shared" si="67"/>
        <v>119.61854224714531</v>
      </c>
      <c r="AD431" s="142">
        <v>0</v>
      </c>
      <c r="AE431" s="142">
        <v>0</v>
      </c>
      <c r="AF431" s="142">
        <v>0</v>
      </c>
      <c r="AG431" s="142">
        <v>0</v>
      </c>
      <c r="AH431" s="142">
        <v>0</v>
      </c>
    </row>
    <row r="432" spans="1:34" x14ac:dyDescent="0.25">
      <c r="A432" s="96">
        <v>51867</v>
      </c>
      <c r="B432" s="104">
        <f t="shared" si="71"/>
        <v>25</v>
      </c>
      <c r="C432" s="104">
        <f>('Co-Processing'!B434*'Co-Pro Feedstock Breakdown'!C$3*'Feedstock Conversion Rates'!B$12)/12-10-15</f>
        <v>10.520833333333336</v>
      </c>
      <c r="D432" s="106">
        <f t="shared" si="75"/>
        <v>35.520833333333336</v>
      </c>
      <c r="E432" s="104">
        <f>('Co-Processing'!C434*'Co-Pro Feedstock Breakdown'!E$3*'Feedstock Conversion Rates'!B$13)/12</f>
        <v>25.78125</v>
      </c>
      <c r="F432" s="104">
        <f>('Co-Processing'!C434*'Co-Pro Feedstock Breakdown'!F$3*'Feedstock Conversion Rates'!B$14)/12</f>
        <v>8.5364583333333339</v>
      </c>
      <c r="G432" s="106">
        <f t="shared" si="76"/>
        <v>34.317708333333336</v>
      </c>
      <c r="H432" s="104">
        <f>('Co-Processing'!D434*'Co-Pro Feedstock Breakdown'!H$3*'Feedstock Conversion Rates'!B$13)/12</f>
        <v>93.75</v>
      </c>
      <c r="I432" s="106">
        <f t="shared" si="66"/>
        <v>93.75</v>
      </c>
      <c r="J432" s="104">
        <f>('Co-Processing'!E434*'Co-Pro Feedstock Breakdown'!J$3*'Feedstock Conversion Rates'!B$13)/12</f>
        <v>1.25</v>
      </c>
      <c r="K432" s="104">
        <f>('Co-Processing'!E434*'Co-Pro Feedstock Breakdown'!K$3*'Feedstock Conversion Rates'!B$12)/12</f>
        <v>1.2916666666666667</v>
      </c>
      <c r="L432" s="106">
        <f t="shared" si="68"/>
        <v>2.541666666666667</v>
      </c>
      <c r="N432" s="104">
        <f t="shared" si="69"/>
        <v>145.78125</v>
      </c>
      <c r="O432" s="104">
        <f t="shared" si="72"/>
        <v>20.348958333333336</v>
      </c>
      <c r="P432" s="104"/>
      <c r="Q432" s="106">
        <f t="shared" si="73"/>
        <v>166.13020833333334</v>
      </c>
      <c r="R432" s="141">
        <f t="shared" si="70"/>
        <v>0</v>
      </c>
      <c r="T432" s="110">
        <f t="shared" si="74"/>
        <v>0.87751199172335947</v>
      </c>
      <c r="U432" s="110">
        <f t="shared" si="74"/>
        <v>0.12248800827664044</v>
      </c>
      <c r="V432" s="110">
        <f t="shared" si="74"/>
        <v>0</v>
      </c>
      <c r="W432" s="110">
        <f t="shared" si="77"/>
        <v>0.99999999999999989</v>
      </c>
      <c r="Y432" s="142">
        <f>T432*'Co-Processing'!K434*'Feedstock Conversion Rates'!B$13</f>
        <v>95.724741454568317</v>
      </c>
      <c r="Z432" s="142">
        <f>U432*'Co-Processing'!K434*'Feedstock Conversion Rates'!B$12</f>
        <v>13.807185317081045</v>
      </c>
      <c r="AA432" s="142">
        <f>V432*'Co-Processing'!K434*'Feedstock Conversion Rates'!B$14</f>
        <v>0</v>
      </c>
      <c r="AB432" s="142">
        <f t="shared" si="67"/>
        <v>109.53192677164937</v>
      </c>
      <c r="AD432" s="142">
        <v>0</v>
      </c>
      <c r="AE432" s="142">
        <v>0</v>
      </c>
      <c r="AF432" s="142">
        <v>0</v>
      </c>
      <c r="AG432" s="142">
        <v>0</v>
      </c>
      <c r="AH432" s="142">
        <v>0</v>
      </c>
    </row>
    <row r="433" spans="1:34" x14ac:dyDescent="0.25">
      <c r="A433" s="96">
        <v>51898</v>
      </c>
      <c r="B433" s="104">
        <f t="shared" si="71"/>
        <v>25</v>
      </c>
      <c r="C433" s="104">
        <f>('Co-Processing'!B435*'Co-Pro Feedstock Breakdown'!C$3*'Feedstock Conversion Rates'!B$12)/12-10-15</f>
        <v>10.520833333333336</v>
      </c>
      <c r="D433" s="106">
        <f t="shared" si="75"/>
        <v>35.520833333333336</v>
      </c>
      <c r="E433" s="104">
        <f>('Co-Processing'!C435*'Co-Pro Feedstock Breakdown'!E$3*'Feedstock Conversion Rates'!B$13)/12</f>
        <v>25.78125</v>
      </c>
      <c r="F433" s="104">
        <f>('Co-Processing'!C435*'Co-Pro Feedstock Breakdown'!F$3*'Feedstock Conversion Rates'!B$14)/12</f>
        <v>8.5364583333333339</v>
      </c>
      <c r="G433" s="106">
        <f t="shared" si="76"/>
        <v>34.317708333333336</v>
      </c>
      <c r="H433" s="104">
        <f>('Co-Processing'!D435*'Co-Pro Feedstock Breakdown'!H$3*'Feedstock Conversion Rates'!B$13)/12</f>
        <v>93.75</v>
      </c>
      <c r="I433" s="106">
        <f t="shared" si="66"/>
        <v>93.75</v>
      </c>
      <c r="J433" s="104">
        <f>('Co-Processing'!E435*'Co-Pro Feedstock Breakdown'!J$3*'Feedstock Conversion Rates'!B$13)/12</f>
        <v>1.25</v>
      </c>
      <c r="K433" s="104">
        <f>('Co-Processing'!E435*'Co-Pro Feedstock Breakdown'!K$3*'Feedstock Conversion Rates'!B$12)/12</f>
        <v>1.2916666666666667</v>
      </c>
      <c r="L433" s="106">
        <f t="shared" si="68"/>
        <v>2.541666666666667</v>
      </c>
      <c r="N433" s="104">
        <f t="shared" si="69"/>
        <v>145.78125</v>
      </c>
      <c r="O433" s="104">
        <f t="shared" si="72"/>
        <v>20.348958333333336</v>
      </c>
      <c r="P433" s="104"/>
      <c r="Q433" s="106">
        <f t="shared" si="73"/>
        <v>166.13020833333334</v>
      </c>
      <c r="R433" s="141">
        <f t="shared" si="70"/>
        <v>0</v>
      </c>
      <c r="T433" s="110">
        <f t="shared" si="74"/>
        <v>0.87751199172335947</v>
      </c>
      <c r="U433" s="110">
        <f t="shared" si="74"/>
        <v>0.12248800827664044</v>
      </c>
      <c r="V433" s="110">
        <f t="shared" si="74"/>
        <v>0</v>
      </c>
      <c r="W433" s="110">
        <f t="shared" si="77"/>
        <v>0.99999999999999989</v>
      </c>
      <c r="Y433" s="142">
        <f>T433*'Co-Processing'!K435*'Feedstock Conversion Rates'!B$13</f>
        <v>74.85982486965132</v>
      </c>
      <c r="Z433" s="142">
        <f>U433*'Co-Processing'!K435*'Feedstock Conversion Rates'!B$12</f>
        <v>10.797662747097251</v>
      </c>
      <c r="AA433" s="142">
        <f>V433*'Co-Processing'!K435*'Feedstock Conversion Rates'!B$14</f>
        <v>0</v>
      </c>
      <c r="AB433" s="142">
        <f t="shared" si="67"/>
        <v>85.657487616748568</v>
      </c>
      <c r="AD433" s="142">
        <v>0</v>
      </c>
      <c r="AE433" s="142">
        <v>0</v>
      </c>
      <c r="AF433" s="142">
        <v>0</v>
      </c>
      <c r="AG433" s="142">
        <v>0</v>
      </c>
      <c r="AH433" s="142">
        <v>0</v>
      </c>
    </row>
    <row r="434" spans="1:34" x14ac:dyDescent="0.25">
      <c r="A434" s="96">
        <v>51926</v>
      </c>
      <c r="B434" s="104">
        <f t="shared" si="71"/>
        <v>25</v>
      </c>
      <c r="C434" s="104">
        <f>('Co-Processing'!B436*'Co-Pro Feedstock Breakdown'!C$3*'Feedstock Conversion Rates'!B$12)/12-10-15</f>
        <v>10.520833333333336</v>
      </c>
      <c r="D434" s="106">
        <f t="shared" si="75"/>
        <v>35.520833333333336</v>
      </c>
      <c r="E434" s="104">
        <f>('Co-Processing'!C436*'Co-Pro Feedstock Breakdown'!E$3*'Feedstock Conversion Rates'!B$13)/12</f>
        <v>25.78125</v>
      </c>
      <c r="F434" s="104">
        <f>('Co-Processing'!C436*'Co-Pro Feedstock Breakdown'!F$3*'Feedstock Conversion Rates'!B$14)/12</f>
        <v>8.5364583333333339</v>
      </c>
      <c r="G434" s="106">
        <f t="shared" si="76"/>
        <v>34.317708333333336</v>
      </c>
      <c r="H434" s="104">
        <f>('Co-Processing'!D436*'Co-Pro Feedstock Breakdown'!H$3*'Feedstock Conversion Rates'!B$13)/12</f>
        <v>93.75</v>
      </c>
      <c r="I434" s="106">
        <f t="shared" si="66"/>
        <v>93.75</v>
      </c>
      <c r="J434" s="104">
        <f>('Co-Processing'!E436*'Co-Pro Feedstock Breakdown'!J$3*'Feedstock Conversion Rates'!B$13)/12</f>
        <v>1.25</v>
      </c>
      <c r="K434" s="104">
        <f>('Co-Processing'!E436*'Co-Pro Feedstock Breakdown'!K$3*'Feedstock Conversion Rates'!B$12)/12</f>
        <v>1.2916666666666667</v>
      </c>
      <c r="L434" s="106">
        <f t="shared" si="68"/>
        <v>2.541666666666667</v>
      </c>
      <c r="N434" s="104">
        <f t="shared" si="69"/>
        <v>145.78125</v>
      </c>
      <c r="O434" s="104">
        <f t="shared" si="72"/>
        <v>20.348958333333336</v>
      </c>
      <c r="P434" s="104"/>
      <c r="Q434" s="106">
        <f t="shared" si="73"/>
        <v>166.13020833333334</v>
      </c>
      <c r="R434" s="141">
        <f t="shared" si="70"/>
        <v>0</v>
      </c>
      <c r="T434" s="110">
        <f t="shared" si="74"/>
        <v>0.87751199172335947</v>
      </c>
      <c r="U434" s="110">
        <f t="shared" si="74"/>
        <v>0.12248800827664044</v>
      </c>
      <c r="V434" s="110">
        <f t="shared" si="74"/>
        <v>0</v>
      </c>
      <c r="W434" s="110">
        <f t="shared" si="77"/>
        <v>0.99999999999999989</v>
      </c>
      <c r="Y434" s="142">
        <f>T434*'Co-Processing'!K436*'Feedstock Conversion Rates'!B$13</f>
        <v>123.30003621518388</v>
      </c>
      <c r="Z434" s="142">
        <f>U434*'Co-Processing'!K436*'Feedstock Conversion Rates'!B$12</f>
        <v>17.784602222549037</v>
      </c>
      <c r="AA434" s="142">
        <f>V434*'Co-Processing'!K436*'Feedstock Conversion Rates'!B$14</f>
        <v>0</v>
      </c>
      <c r="AB434" s="142">
        <f t="shared" si="67"/>
        <v>141.08463843773291</v>
      </c>
      <c r="AD434" s="142">
        <v>0</v>
      </c>
      <c r="AE434" s="142">
        <v>0</v>
      </c>
      <c r="AF434" s="142">
        <v>0</v>
      </c>
      <c r="AG434" s="142">
        <v>0</v>
      </c>
      <c r="AH434" s="142">
        <v>0</v>
      </c>
    </row>
    <row r="435" spans="1:34" x14ac:dyDescent="0.25">
      <c r="A435" s="96">
        <v>51957</v>
      </c>
      <c r="B435" s="104">
        <f t="shared" si="71"/>
        <v>25</v>
      </c>
      <c r="C435" s="104">
        <f>('Co-Processing'!B437*'Co-Pro Feedstock Breakdown'!C$3*'Feedstock Conversion Rates'!B$12)/12-10-15</f>
        <v>10.520833333333336</v>
      </c>
      <c r="D435" s="106">
        <f t="shared" si="75"/>
        <v>35.520833333333336</v>
      </c>
      <c r="E435" s="104">
        <f>('Co-Processing'!C437*'Co-Pro Feedstock Breakdown'!E$3*'Feedstock Conversion Rates'!B$13)/12</f>
        <v>25.78125</v>
      </c>
      <c r="F435" s="104">
        <f>('Co-Processing'!C437*'Co-Pro Feedstock Breakdown'!F$3*'Feedstock Conversion Rates'!B$14)/12</f>
        <v>8.5364583333333339</v>
      </c>
      <c r="G435" s="106">
        <f t="shared" si="76"/>
        <v>34.317708333333336</v>
      </c>
      <c r="H435" s="104">
        <f>('Co-Processing'!D437*'Co-Pro Feedstock Breakdown'!H$3*'Feedstock Conversion Rates'!B$13)/12</f>
        <v>93.75</v>
      </c>
      <c r="I435" s="106">
        <f t="shared" ref="I435:I498" si="78">H435</f>
        <v>93.75</v>
      </c>
      <c r="J435" s="104">
        <f>('Co-Processing'!E437*'Co-Pro Feedstock Breakdown'!J$3*'Feedstock Conversion Rates'!B$13)/12</f>
        <v>1.25</v>
      </c>
      <c r="K435" s="104">
        <f>('Co-Processing'!E437*'Co-Pro Feedstock Breakdown'!K$3*'Feedstock Conversion Rates'!B$12)/12</f>
        <v>1.2916666666666667</v>
      </c>
      <c r="L435" s="106">
        <f t="shared" si="68"/>
        <v>2.541666666666667</v>
      </c>
      <c r="N435" s="104">
        <f t="shared" si="69"/>
        <v>145.78125</v>
      </c>
      <c r="O435" s="104">
        <f t="shared" si="72"/>
        <v>20.348958333333336</v>
      </c>
      <c r="P435" s="104"/>
      <c r="Q435" s="106">
        <f t="shared" si="73"/>
        <v>166.13020833333334</v>
      </c>
      <c r="R435" s="141">
        <f t="shared" si="70"/>
        <v>0</v>
      </c>
      <c r="T435" s="110">
        <f t="shared" si="74"/>
        <v>0.87751199172335947</v>
      </c>
      <c r="U435" s="110">
        <f t="shared" si="74"/>
        <v>0.12248800827664044</v>
      </c>
      <c r="V435" s="110">
        <f t="shared" si="74"/>
        <v>0</v>
      </c>
      <c r="W435" s="110">
        <f t="shared" si="77"/>
        <v>0.99999999999999989</v>
      </c>
      <c r="Y435" s="142">
        <f>T435*'Co-Processing'!K437*'Feedstock Conversion Rates'!B$13</f>
        <v>80.294682580760224</v>
      </c>
      <c r="Z435" s="142">
        <f>U435*'Co-Processing'!K437*'Feedstock Conversion Rates'!B$12</f>
        <v>11.5815780280266</v>
      </c>
      <c r="AA435" s="142">
        <f>V435*'Co-Processing'!K437*'Feedstock Conversion Rates'!B$14</f>
        <v>0</v>
      </c>
      <c r="AB435" s="142">
        <f t="shared" si="67"/>
        <v>91.876260608786822</v>
      </c>
      <c r="AD435" s="142">
        <v>0</v>
      </c>
      <c r="AE435" s="142">
        <v>0</v>
      </c>
      <c r="AF435" s="142">
        <v>0</v>
      </c>
      <c r="AG435" s="142">
        <v>0</v>
      </c>
      <c r="AH435" s="142">
        <v>0</v>
      </c>
    </row>
    <row r="436" spans="1:34" x14ac:dyDescent="0.25">
      <c r="A436" s="96">
        <v>51987</v>
      </c>
      <c r="B436" s="104">
        <f t="shared" si="71"/>
        <v>25</v>
      </c>
      <c r="C436" s="104">
        <f>('Co-Processing'!B438*'Co-Pro Feedstock Breakdown'!C$3*'Feedstock Conversion Rates'!B$12)/12-10-15</f>
        <v>10.520833333333336</v>
      </c>
      <c r="D436" s="106">
        <f t="shared" si="75"/>
        <v>35.520833333333336</v>
      </c>
      <c r="E436" s="104">
        <f>('Co-Processing'!C438*'Co-Pro Feedstock Breakdown'!E$3*'Feedstock Conversion Rates'!B$13)/12</f>
        <v>25.78125</v>
      </c>
      <c r="F436" s="104">
        <f>('Co-Processing'!C438*'Co-Pro Feedstock Breakdown'!F$3*'Feedstock Conversion Rates'!B$14)/12</f>
        <v>8.5364583333333339</v>
      </c>
      <c r="G436" s="106">
        <f t="shared" si="76"/>
        <v>34.317708333333336</v>
      </c>
      <c r="H436" s="104">
        <f>('Co-Processing'!D438*'Co-Pro Feedstock Breakdown'!H$3*'Feedstock Conversion Rates'!B$13)/12</f>
        <v>93.75</v>
      </c>
      <c r="I436" s="106">
        <f t="shared" si="78"/>
        <v>93.75</v>
      </c>
      <c r="J436" s="104">
        <f>('Co-Processing'!E438*'Co-Pro Feedstock Breakdown'!J$3*'Feedstock Conversion Rates'!B$13)/12</f>
        <v>1.25</v>
      </c>
      <c r="K436" s="104">
        <f>('Co-Processing'!E438*'Co-Pro Feedstock Breakdown'!K$3*'Feedstock Conversion Rates'!B$12)/12</f>
        <v>1.2916666666666667</v>
      </c>
      <c r="L436" s="106">
        <f t="shared" si="68"/>
        <v>2.541666666666667</v>
      </c>
      <c r="N436" s="104">
        <f t="shared" si="69"/>
        <v>145.78125</v>
      </c>
      <c r="O436" s="104">
        <f t="shared" si="72"/>
        <v>20.348958333333336</v>
      </c>
      <c r="P436" s="104"/>
      <c r="Q436" s="106">
        <f t="shared" si="73"/>
        <v>166.13020833333334</v>
      </c>
      <c r="R436" s="141">
        <f t="shared" si="70"/>
        <v>0</v>
      </c>
      <c r="T436" s="110">
        <f t="shared" si="74"/>
        <v>0.87751199172335947</v>
      </c>
      <c r="U436" s="110">
        <f t="shared" si="74"/>
        <v>0.12248800827664044</v>
      </c>
      <c r="V436" s="110">
        <f t="shared" si="74"/>
        <v>0</v>
      </c>
      <c r="W436" s="110">
        <f t="shared" si="77"/>
        <v>0.99999999999999989</v>
      </c>
      <c r="Y436" s="142">
        <f>T436*'Co-Processing'!K438*'Feedstock Conversion Rates'!B$13</f>
        <v>88.376111635568279</v>
      </c>
      <c r="Z436" s="142">
        <f>U436*'Co-Processing'!K438*'Feedstock Conversion Rates'!B$12</f>
        <v>12.747230573972995</v>
      </c>
      <c r="AA436" s="142">
        <f>V436*'Co-Processing'!K438*'Feedstock Conversion Rates'!B$14</f>
        <v>0</v>
      </c>
      <c r="AB436" s="142">
        <f t="shared" si="67"/>
        <v>101.12334220954128</v>
      </c>
      <c r="AD436" s="142">
        <v>0</v>
      </c>
      <c r="AE436" s="142">
        <v>0</v>
      </c>
      <c r="AF436" s="142">
        <v>0</v>
      </c>
      <c r="AG436" s="142">
        <v>0</v>
      </c>
      <c r="AH436" s="142">
        <v>0</v>
      </c>
    </row>
    <row r="437" spans="1:34" x14ac:dyDescent="0.25">
      <c r="A437" s="96">
        <v>52018</v>
      </c>
      <c r="B437" s="104">
        <f t="shared" si="71"/>
        <v>25</v>
      </c>
      <c r="C437" s="104">
        <f>('Co-Processing'!B439*'Co-Pro Feedstock Breakdown'!C$3*'Feedstock Conversion Rates'!B$12)/12-10-15</f>
        <v>10.520833333333336</v>
      </c>
      <c r="D437" s="106">
        <f t="shared" si="75"/>
        <v>35.520833333333336</v>
      </c>
      <c r="E437" s="104">
        <f>('Co-Processing'!C439*'Co-Pro Feedstock Breakdown'!E$3*'Feedstock Conversion Rates'!B$13)/12</f>
        <v>25.78125</v>
      </c>
      <c r="F437" s="104">
        <f>('Co-Processing'!C439*'Co-Pro Feedstock Breakdown'!F$3*'Feedstock Conversion Rates'!B$14)/12</f>
        <v>8.5364583333333339</v>
      </c>
      <c r="G437" s="106">
        <f t="shared" si="76"/>
        <v>34.317708333333336</v>
      </c>
      <c r="H437" s="104">
        <f>('Co-Processing'!D439*'Co-Pro Feedstock Breakdown'!H$3*'Feedstock Conversion Rates'!B$13)/12</f>
        <v>93.75</v>
      </c>
      <c r="I437" s="106">
        <f t="shared" si="78"/>
        <v>93.75</v>
      </c>
      <c r="J437" s="104">
        <f>('Co-Processing'!E439*'Co-Pro Feedstock Breakdown'!J$3*'Feedstock Conversion Rates'!B$13)/12</f>
        <v>1.25</v>
      </c>
      <c r="K437" s="104">
        <f>('Co-Processing'!E439*'Co-Pro Feedstock Breakdown'!K$3*'Feedstock Conversion Rates'!B$12)/12</f>
        <v>1.2916666666666667</v>
      </c>
      <c r="L437" s="106">
        <f t="shared" si="68"/>
        <v>2.541666666666667</v>
      </c>
      <c r="N437" s="104">
        <f t="shared" si="69"/>
        <v>145.78125</v>
      </c>
      <c r="O437" s="104">
        <f t="shared" si="72"/>
        <v>20.348958333333336</v>
      </c>
      <c r="P437" s="104"/>
      <c r="Q437" s="106">
        <f t="shared" si="73"/>
        <v>166.13020833333334</v>
      </c>
      <c r="R437" s="141">
        <f t="shared" si="70"/>
        <v>0</v>
      </c>
      <c r="T437" s="110">
        <f t="shared" si="74"/>
        <v>0.87751199172335947</v>
      </c>
      <c r="U437" s="110">
        <f t="shared" si="74"/>
        <v>0.12248800827664044</v>
      </c>
      <c r="V437" s="110">
        <f t="shared" si="74"/>
        <v>0</v>
      </c>
      <c r="W437" s="110">
        <f t="shared" si="77"/>
        <v>0.99999999999999989</v>
      </c>
      <c r="Y437" s="142">
        <f>T437*'Co-Processing'!K439*'Feedstock Conversion Rates'!B$13</f>
        <v>119.67796831650969</v>
      </c>
      <c r="Z437" s="142">
        <f>U437*'Co-Processing'!K439*'Feedstock Conversion Rates'!B$12</f>
        <v>17.262160877206988</v>
      </c>
      <c r="AA437" s="142">
        <f>V437*'Co-Processing'!K439*'Feedstock Conversion Rates'!B$14</f>
        <v>0</v>
      </c>
      <c r="AB437" s="142">
        <f t="shared" si="67"/>
        <v>136.94012919371667</v>
      </c>
      <c r="AD437" s="142">
        <v>0</v>
      </c>
      <c r="AE437" s="142">
        <v>0</v>
      </c>
      <c r="AF437" s="142">
        <v>0</v>
      </c>
      <c r="AG437" s="142">
        <v>0</v>
      </c>
      <c r="AH437" s="142">
        <v>0</v>
      </c>
    </row>
    <row r="438" spans="1:34" x14ac:dyDescent="0.25">
      <c r="A438" s="96">
        <v>52048</v>
      </c>
      <c r="B438" s="104">
        <f t="shared" si="71"/>
        <v>25</v>
      </c>
      <c r="C438" s="104">
        <f>('Co-Processing'!B440*'Co-Pro Feedstock Breakdown'!C$3*'Feedstock Conversion Rates'!B$12)/12-10-15</f>
        <v>10.520833333333336</v>
      </c>
      <c r="D438" s="106">
        <f t="shared" si="75"/>
        <v>35.520833333333336</v>
      </c>
      <c r="E438" s="104">
        <f>('Co-Processing'!C440*'Co-Pro Feedstock Breakdown'!E$3*'Feedstock Conversion Rates'!B$13)/12</f>
        <v>25.78125</v>
      </c>
      <c r="F438" s="104">
        <f>('Co-Processing'!C440*'Co-Pro Feedstock Breakdown'!F$3*'Feedstock Conversion Rates'!B$14)/12</f>
        <v>8.5364583333333339</v>
      </c>
      <c r="G438" s="106">
        <f t="shared" si="76"/>
        <v>34.317708333333336</v>
      </c>
      <c r="H438" s="104">
        <f>('Co-Processing'!D440*'Co-Pro Feedstock Breakdown'!H$3*'Feedstock Conversion Rates'!B$13)/12</f>
        <v>93.75</v>
      </c>
      <c r="I438" s="106">
        <f t="shared" si="78"/>
        <v>93.75</v>
      </c>
      <c r="J438" s="104">
        <f>('Co-Processing'!E440*'Co-Pro Feedstock Breakdown'!J$3*'Feedstock Conversion Rates'!B$13)/12</f>
        <v>1.25</v>
      </c>
      <c r="K438" s="104">
        <f>('Co-Processing'!E440*'Co-Pro Feedstock Breakdown'!K$3*'Feedstock Conversion Rates'!B$12)/12</f>
        <v>1.2916666666666667</v>
      </c>
      <c r="L438" s="106">
        <f t="shared" si="68"/>
        <v>2.541666666666667</v>
      </c>
      <c r="N438" s="104">
        <f t="shared" si="69"/>
        <v>145.78125</v>
      </c>
      <c r="O438" s="104">
        <f t="shared" si="72"/>
        <v>20.348958333333336</v>
      </c>
      <c r="P438" s="104"/>
      <c r="Q438" s="106">
        <f t="shared" si="73"/>
        <v>166.13020833333334</v>
      </c>
      <c r="R438" s="141">
        <f t="shared" si="70"/>
        <v>0</v>
      </c>
      <c r="T438" s="110">
        <f t="shared" si="74"/>
        <v>0.87751199172335947</v>
      </c>
      <c r="U438" s="110">
        <f t="shared" si="74"/>
        <v>0.12248800827664044</v>
      </c>
      <c r="V438" s="110">
        <f t="shared" si="74"/>
        <v>0</v>
      </c>
      <c r="W438" s="110">
        <f t="shared" si="77"/>
        <v>0.99999999999999989</v>
      </c>
      <c r="Y438" s="142">
        <f>T438*'Co-Processing'!K440*'Feedstock Conversion Rates'!B$13</f>
        <v>99.90793655110798</v>
      </c>
      <c r="Z438" s="142">
        <f>U438*'Co-Processing'!K440*'Feedstock Conversion Rates'!B$12</f>
        <v>14.410562762010894</v>
      </c>
      <c r="AA438" s="142">
        <f>V438*'Co-Processing'!K440*'Feedstock Conversion Rates'!B$14</f>
        <v>0</v>
      </c>
      <c r="AB438" s="142">
        <f t="shared" si="67"/>
        <v>114.31849931311888</v>
      </c>
      <c r="AD438" s="142">
        <v>0</v>
      </c>
      <c r="AE438" s="142">
        <v>0</v>
      </c>
      <c r="AF438" s="142">
        <v>0</v>
      </c>
      <c r="AG438" s="142">
        <v>0</v>
      </c>
      <c r="AH438" s="142">
        <v>0</v>
      </c>
    </row>
    <row r="439" spans="1:34" x14ac:dyDescent="0.25">
      <c r="A439" s="96">
        <v>52079</v>
      </c>
      <c r="B439" s="104">
        <f t="shared" si="71"/>
        <v>25</v>
      </c>
      <c r="C439" s="104">
        <f>('Co-Processing'!B441*'Co-Pro Feedstock Breakdown'!C$3*'Feedstock Conversion Rates'!B$12)/12-10-15</f>
        <v>10.520833333333336</v>
      </c>
      <c r="D439" s="106">
        <f t="shared" si="75"/>
        <v>35.520833333333336</v>
      </c>
      <c r="E439" s="104">
        <f>('Co-Processing'!C441*'Co-Pro Feedstock Breakdown'!E$3*'Feedstock Conversion Rates'!B$13)/12</f>
        <v>25.78125</v>
      </c>
      <c r="F439" s="104">
        <f>('Co-Processing'!C441*'Co-Pro Feedstock Breakdown'!F$3*'Feedstock Conversion Rates'!B$14)/12</f>
        <v>8.5364583333333339</v>
      </c>
      <c r="G439" s="106">
        <f t="shared" si="76"/>
        <v>34.317708333333336</v>
      </c>
      <c r="H439" s="104">
        <f>('Co-Processing'!D441*'Co-Pro Feedstock Breakdown'!H$3*'Feedstock Conversion Rates'!B$13)/12</f>
        <v>93.75</v>
      </c>
      <c r="I439" s="106">
        <f t="shared" si="78"/>
        <v>93.75</v>
      </c>
      <c r="J439" s="104">
        <f>('Co-Processing'!E441*'Co-Pro Feedstock Breakdown'!J$3*'Feedstock Conversion Rates'!B$13)/12</f>
        <v>1.25</v>
      </c>
      <c r="K439" s="104">
        <f>('Co-Processing'!E441*'Co-Pro Feedstock Breakdown'!K$3*'Feedstock Conversion Rates'!B$12)/12</f>
        <v>1.2916666666666667</v>
      </c>
      <c r="L439" s="106">
        <f t="shared" si="68"/>
        <v>2.541666666666667</v>
      </c>
      <c r="N439" s="104">
        <f t="shared" si="69"/>
        <v>145.78125</v>
      </c>
      <c r="O439" s="104">
        <f t="shared" si="72"/>
        <v>20.348958333333336</v>
      </c>
      <c r="P439" s="104"/>
      <c r="Q439" s="106">
        <f t="shared" si="73"/>
        <v>166.13020833333334</v>
      </c>
      <c r="R439" s="141">
        <f t="shared" si="70"/>
        <v>0</v>
      </c>
      <c r="T439" s="110">
        <f t="shared" si="74"/>
        <v>0.87751199172335947</v>
      </c>
      <c r="U439" s="110">
        <f t="shared" si="74"/>
        <v>0.12248800827664044</v>
      </c>
      <c r="V439" s="110">
        <f t="shared" si="74"/>
        <v>0</v>
      </c>
      <c r="W439" s="110">
        <f t="shared" si="77"/>
        <v>0.99999999999999989</v>
      </c>
      <c r="Y439" s="142">
        <f>T439*'Co-Processing'!K441*'Feedstock Conversion Rates'!B$13</f>
        <v>146.76549916909735</v>
      </c>
      <c r="Z439" s="142">
        <f>U439*'Co-Processing'!K441*'Feedstock Conversion Rates'!B$12</f>
        <v>21.169223487988049</v>
      </c>
      <c r="AA439" s="142">
        <f>V439*'Co-Processing'!K441*'Feedstock Conversion Rates'!B$14</f>
        <v>0</v>
      </c>
      <c r="AB439" s="142">
        <f t="shared" ref="AB439:AB502" si="79">SUM(Y439:AA439)</f>
        <v>167.93472265708539</v>
      </c>
      <c r="AD439" s="142">
        <v>0</v>
      </c>
      <c r="AE439" s="142">
        <v>0</v>
      </c>
      <c r="AF439" s="142">
        <v>0</v>
      </c>
      <c r="AG439" s="142">
        <v>0</v>
      </c>
      <c r="AH439" s="142">
        <v>0</v>
      </c>
    </row>
    <row r="440" spans="1:34" x14ac:dyDescent="0.25">
      <c r="A440" s="96">
        <v>52110</v>
      </c>
      <c r="B440" s="104">
        <f t="shared" si="71"/>
        <v>25</v>
      </c>
      <c r="C440" s="104">
        <f>('Co-Processing'!B442*'Co-Pro Feedstock Breakdown'!C$3*'Feedstock Conversion Rates'!B$12)/12-10-15</f>
        <v>10.520833333333336</v>
      </c>
      <c r="D440" s="106">
        <f t="shared" si="75"/>
        <v>35.520833333333336</v>
      </c>
      <c r="E440" s="104">
        <f>('Co-Processing'!C442*'Co-Pro Feedstock Breakdown'!E$3*'Feedstock Conversion Rates'!B$13)/12</f>
        <v>25.78125</v>
      </c>
      <c r="F440" s="104">
        <f>('Co-Processing'!C442*'Co-Pro Feedstock Breakdown'!F$3*'Feedstock Conversion Rates'!B$14)/12</f>
        <v>8.5364583333333339</v>
      </c>
      <c r="G440" s="106">
        <f t="shared" si="76"/>
        <v>34.317708333333336</v>
      </c>
      <c r="H440" s="104">
        <f>('Co-Processing'!D442*'Co-Pro Feedstock Breakdown'!H$3*'Feedstock Conversion Rates'!B$13)/12</f>
        <v>93.75</v>
      </c>
      <c r="I440" s="106">
        <f t="shared" si="78"/>
        <v>93.75</v>
      </c>
      <c r="J440" s="104">
        <f>('Co-Processing'!E442*'Co-Pro Feedstock Breakdown'!J$3*'Feedstock Conversion Rates'!B$13)/12</f>
        <v>1.25</v>
      </c>
      <c r="K440" s="104">
        <f>('Co-Processing'!E442*'Co-Pro Feedstock Breakdown'!K$3*'Feedstock Conversion Rates'!B$12)/12</f>
        <v>1.2916666666666667</v>
      </c>
      <c r="L440" s="106">
        <f t="shared" si="68"/>
        <v>2.541666666666667</v>
      </c>
      <c r="N440" s="104">
        <f t="shared" si="69"/>
        <v>145.78125</v>
      </c>
      <c r="O440" s="104">
        <f t="shared" si="72"/>
        <v>20.348958333333336</v>
      </c>
      <c r="P440" s="104"/>
      <c r="Q440" s="106">
        <f t="shared" si="73"/>
        <v>166.13020833333334</v>
      </c>
      <c r="R440" s="141">
        <f t="shared" si="70"/>
        <v>0</v>
      </c>
      <c r="T440" s="110">
        <f t="shared" si="74"/>
        <v>0.87751199172335947</v>
      </c>
      <c r="U440" s="110">
        <f t="shared" si="74"/>
        <v>0.12248800827664044</v>
      </c>
      <c r="V440" s="110">
        <f t="shared" si="74"/>
        <v>0</v>
      </c>
      <c r="W440" s="110">
        <f t="shared" si="77"/>
        <v>0.99999999999999989</v>
      </c>
      <c r="Y440" s="142">
        <f>T440*'Co-Processing'!K442*'Feedstock Conversion Rates'!B$13</f>
        <v>131.69507980135205</v>
      </c>
      <c r="Z440" s="142">
        <f>U440*'Co-Processing'!K442*'Feedstock Conversion Rates'!B$12</f>
        <v>18.995490032512038</v>
      </c>
      <c r="AA440" s="142">
        <f>V440*'Co-Processing'!K442*'Feedstock Conversion Rates'!B$14</f>
        <v>0</v>
      </c>
      <c r="AB440" s="142">
        <f t="shared" si="79"/>
        <v>150.69056983386409</v>
      </c>
      <c r="AD440" s="142">
        <v>0</v>
      </c>
      <c r="AE440" s="142">
        <v>0</v>
      </c>
      <c r="AF440" s="142">
        <v>0</v>
      </c>
      <c r="AG440" s="142">
        <v>0</v>
      </c>
      <c r="AH440" s="142">
        <v>0</v>
      </c>
    </row>
    <row r="441" spans="1:34" x14ac:dyDescent="0.25">
      <c r="A441" s="96">
        <v>52140</v>
      </c>
      <c r="B441" s="104">
        <f t="shared" si="71"/>
        <v>25</v>
      </c>
      <c r="C441" s="104">
        <f>('Co-Processing'!B443*'Co-Pro Feedstock Breakdown'!C$3*'Feedstock Conversion Rates'!B$12)/12-10-15</f>
        <v>10.520833333333336</v>
      </c>
      <c r="D441" s="106">
        <f t="shared" si="75"/>
        <v>35.520833333333336</v>
      </c>
      <c r="E441" s="104">
        <f>('Co-Processing'!C443*'Co-Pro Feedstock Breakdown'!E$3*'Feedstock Conversion Rates'!B$13)/12</f>
        <v>25.78125</v>
      </c>
      <c r="F441" s="104">
        <f>('Co-Processing'!C443*'Co-Pro Feedstock Breakdown'!F$3*'Feedstock Conversion Rates'!B$14)/12</f>
        <v>8.5364583333333339</v>
      </c>
      <c r="G441" s="106">
        <f t="shared" si="76"/>
        <v>34.317708333333336</v>
      </c>
      <c r="H441" s="104">
        <f>('Co-Processing'!D443*'Co-Pro Feedstock Breakdown'!H$3*'Feedstock Conversion Rates'!B$13)/12</f>
        <v>93.75</v>
      </c>
      <c r="I441" s="106">
        <f t="shared" si="78"/>
        <v>93.75</v>
      </c>
      <c r="J441" s="104">
        <f>('Co-Processing'!E443*'Co-Pro Feedstock Breakdown'!J$3*'Feedstock Conversion Rates'!B$13)/12</f>
        <v>1.25</v>
      </c>
      <c r="K441" s="104">
        <f>('Co-Processing'!E443*'Co-Pro Feedstock Breakdown'!K$3*'Feedstock Conversion Rates'!B$12)/12</f>
        <v>1.2916666666666667</v>
      </c>
      <c r="L441" s="106">
        <f t="shared" si="68"/>
        <v>2.541666666666667</v>
      </c>
      <c r="N441" s="104">
        <f t="shared" si="69"/>
        <v>145.78125</v>
      </c>
      <c r="O441" s="104">
        <f t="shared" si="72"/>
        <v>20.348958333333336</v>
      </c>
      <c r="P441" s="104"/>
      <c r="Q441" s="106">
        <f t="shared" si="73"/>
        <v>166.13020833333334</v>
      </c>
      <c r="R441" s="141">
        <f t="shared" si="70"/>
        <v>0</v>
      </c>
      <c r="T441" s="110">
        <f t="shared" si="74"/>
        <v>0.87751199172335947</v>
      </c>
      <c r="U441" s="110">
        <f t="shared" si="74"/>
        <v>0.12248800827664044</v>
      </c>
      <c r="V441" s="110">
        <f t="shared" si="74"/>
        <v>0</v>
      </c>
      <c r="W441" s="110">
        <f t="shared" si="77"/>
        <v>0.99999999999999989</v>
      </c>
      <c r="Y441" s="142">
        <f>T441*'Co-Processing'!K443*'Feedstock Conversion Rates'!B$13</f>
        <v>105.84571955385366</v>
      </c>
      <c r="Z441" s="142">
        <f>U441*'Co-Processing'!K443*'Feedstock Conversion Rates'!B$12</f>
        <v>15.26701919162093</v>
      </c>
      <c r="AA441" s="142">
        <f>V441*'Co-Processing'!K443*'Feedstock Conversion Rates'!B$14</f>
        <v>0</v>
      </c>
      <c r="AB441" s="142">
        <f t="shared" si="79"/>
        <v>121.11273874547459</v>
      </c>
      <c r="AD441" s="142">
        <v>0</v>
      </c>
      <c r="AE441" s="142">
        <v>0</v>
      </c>
      <c r="AF441" s="142">
        <v>0</v>
      </c>
      <c r="AG441" s="142">
        <v>0</v>
      </c>
      <c r="AH441" s="142">
        <v>0</v>
      </c>
    </row>
    <row r="442" spans="1:34" x14ac:dyDescent="0.25">
      <c r="A442" s="96">
        <v>52171</v>
      </c>
      <c r="B442" s="104">
        <f t="shared" si="71"/>
        <v>25</v>
      </c>
      <c r="C442" s="104">
        <f>('Co-Processing'!B444*'Co-Pro Feedstock Breakdown'!C$3*'Feedstock Conversion Rates'!B$12)/12-10-15</f>
        <v>10.520833333333336</v>
      </c>
      <c r="D442" s="106">
        <f t="shared" si="75"/>
        <v>35.520833333333336</v>
      </c>
      <c r="E442" s="104">
        <f>('Co-Processing'!C444*'Co-Pro Feedstock Breakdown'!E$3*'Feedstock Conversion Rates'!B$13)/12</f>
        <v>25.78125</v>
      </c>
      <c r="F442" s="104">
        <f>('Co-Processing'!C444*'Co-Pro Feedstock Breakdown'!F$3*'Feedstock Conversion Rates'!B$14)/12</f>
        <v>8.5364583333333339</v>
      </c>
      <c r="G442" s="106">
        <f t="shared" si="76"/>
        <v>34.317708333333336</v>
      </c>
      <c r="H442" s="104">
        <f>('Co-Processing'!D444*'Co-Pro Feedstock Breakdown'!H$3*'Feedstock Conversion Rates'!B$13)/12</f>
        <v>93.75</v>
      </c>
      <c r="I442" s="106">
        <f t="shared" si="78"/>
        <v>93.75</v>
      </c>
      <c r="J442" s="104">
        <f>('Co-Processing'!E444*'Co-Pro Feedstock Breakdown'!J$3*'Feedstock Conversion Rates'!B$13)/12</f>
        <v>1.25</v>
      </c>
      <c r="K442" s="104">
        <f>('Co-Processing'!E444*'Co-Pro Feedstock Breakdown'!K$3*'Feedstock Conversion Rates'!B$12)/12</f>
        <v>1.2916666666666667</v>
      </c>
      <c r="L442" s="106">
        <f t="shared" si="68"/>
        <v>2.541666666666667</v>
      </c>
      <c r="N442" s="104">
        <f t="shared" si="69"/>
        <v>145.78125</v>
      </c>
      <c r="O442" s="104">
        <f t="shared" si="72"/>
        <v>20.348958333333336</v>
      </c>
      <c r="P442" s="104"/>
      <c r="Q442" s="106">
        <f t="shared" si="73"/>
        <v>166.13020833333334</v>
      </c>
      <c r="R442" s="141">
        <f t="shared" si="70"/>
        <v>0</v>
      </c>
      <c r="T442" s="110">
        <f t="shared" si="74"/>
        <v>0.87751199172335947</v>
      </c>
      <c r="U442" s="110">
        <f t="shared" si="74"/>
        <v>0.12248800827664044</v>
      </c>
      <c r="V442" s="110">
        <f t="shared" si="74"/>
        <v>0</v>
      </c>
      <c r="W442" s="110">
        <f t="shared" si="77"/>
        <v>0.99999999999999989</v>
      </c>
      <c r="Y442" s="142">
        <f>T442*'Co-Processing'!K444*'Feedstock Conversion Rates'!B$13</f>
        <v>106.58397549307085</v>
      </c>
      <c r="Z442" s="142">
        <f>U442*'Co-Processing'!K444*'Feedstock Conversion Rates'!B$12</f>
        <v>15.373504060729147</v>
      </c>
      <c r="AA442" s="142">
        <f>V442*'Co-Processing'!K444*'Feedstock Conversion Rates'!B$14</f>
        <v>0</v>
      </c>
      <c r="AB442" s="142">
        <f t="shared" si="79"/>
        <v>121.9574795538</v>
      </c>
      <c r="AD442" s="142">
        <v>0</v>
      </c>
      <c r="AE442" s="142">
        <v>0</v>
      </c>
      <c r="AF442" s="142">
        <v>0</v>
      </c>
      <c r="AG442" s="142">
        <v>0</v>
      </c>
      <c r="AH442" s="142">
        <v>0</v>
      </c>
    </row>
    <row r="443" spans="1:34" x14ac:dyDescent="0.25">
      <c r="A443" s="96">
        <v>52201</v>
      </c>
      <c r="B443" s="104">
        <f t="shared" si="71"/>
        <v>25</v>
      </c>
      <c r="C443" s="104">
        <f>('Co-Processing'!B445*'Co-Pro Feedstock Breakdown'!C$3*'Feedstock Conversion Rates'!B$12)/12-10-15</f>
        <v>10.520833333333336</v>
      </c>
      <c r="D443" s="106">
        <f t="shared" si="75"/>
        <v>35.520833333333336</v>
      </c>
      <c r="E443" s="104">
        <f>('Co-Processing'!C445*'Co-Pro Feedstock Breakdown'!E$3*'Feedstock Conversion Rates'!B$13)/12</f>
        <v>25.78125</v>
      </c>
      <c r="F443" s="104">
        <f>('Co-Processing'!C445*'Co-Pro Feedstock Breakdown'!F$3*'Feedstock Conversion Rates'!B$14)/12</f>
        <v>8.5364583333333339</v>
      </c>
      <c r="G443" s="106">
        <f t="shared" si="76"/>
        <v>34.317708333333336</v>
      </c>
      <c r="H443" s="104">
        <f>('Co-Processing'!D445*'Co-Pro Feedstock Breakdown'!H$3*'Feedstock Conversion Rates'!B$13)/12</f>
        <v>93.75</v>
      </c>
      <c r="I443" s="106">
        <f t="shared" si="78"/>
        <v>93.75</v>
      </c>
      <c r="J443" s="104">
        <f>('Co-Processing'!E445*'Co-Pro Feedstock Breakdown'!J$3*'Feedstock Conversion Rates'!B$13)/12</f>
        <v>1.25</v>
      </c>
      <c r="K443" s="104">
        <f>('Co-Processing'!E445*'Co-Pro Feedstock Breakdown'!K$3*'Feedstock Conversion Rates'!B$12)/12</f>
        <v>1.2916666666666667</v>
      </c>
      <c r="L443" s="106">
        <f t="shared" si="68"/>
        <v>2.541666666666667</v>
      </c>
      <c r="N443" s="104">
        <f t="shared" si="69"/>
        <v>145.78125</v>
      </c>
      <c r="O443" s="104">
        <f t="shared" si="72"/>
        <v>20.348958333333336</v>
      </c>
      <c r="P443" s="104"/>
      <c r="Q443" s="106">
        <f t="shared" si="73"/>
        <v>166.13020833333334</v>
      </c>
      <c r="R443" s="141">
        <f t="shared" si="70"/>
        <v>0</v>
      </c>
      <c r="T443" s="110">
        <f t="shared" si="74"/>
        <v>0.87751199172335947</v>
      </c>
      <c r="U443" s="110">
        <f t="shared" si="74"/>
        <v>0.12248800827664044</v>
      </c>
      <c r="V443" s="110">
        <f t="shared" si="74"/>
        <v>0</v>
      </c>
      <c r="W443" s="110">
        <f t="shared" si="77"/>
        <v>0.99999999999999989</v>
      </c>
      <c r="Y443" s="142">
        <f>T443*'Co-Processing'!K445*'Feedstock Conversion Rates'!B$13</f>
        <v>109.80248816080869</v>
      </c>
      <c r="Z443" s="142">
        <f>U443*'Co-Processing'!K445*'Feedstock Conversion Rates'!B$12</f>
        <v>15.837737237790481</v>
      </c>
      <c r="AA443" s="142">
        <f>V443*'Co-Processing'!K445*'Feedstock Conversion Rates'!B$14</f>
        <v>0</v>
      </c>
      <c r="AB443" s="142">
        <f t="shared" si="79"/>
        <v>125.64022539859917</v>
      </c>
      <c r="AD443" s="142">
        <v>0</v>
      </c>
      <c r="AE443" s="142">
        <v>0</v>
      </c>
      <c r="AF443" s="142">
        <v>0</v>
      </c>
      <c r="AG443" s="142">
        <v>0</v>
      </c>
      <c r="AH443" s="142">
        <v>0</v>
      </c>
    </row>
    <row r="444" spans="1:34" x14ac:dyDescent="0.25">
      <c r="A444" s="96">
        <v>52232</v>
      </c>
      <c r="B444" s="104">
        <f t="shared" si="71"/>
        <v>25</v>
      </c>
      <c r="C444" s="104">
        <f>('Co-Processing'!B446*'Co-Pro Feedstock Breakdown'!C$3*'Feedstock Conversion Rates'!B$12)/12-10-15</f>
        <v>10.520833333333336</v>
      </c>
      <c r="D444" s="106">
        <f t="shared" si="75"/>
        <v>35.520833333333336</v>
      </c>
      <c r="E444" s="104">
        <f>('Co-Processing'!C446*'Co-Pro Feedstock Breakdown'!E$3*'Feedstock Conversion Rates'!B$13)/12</f>
        <v>25.78125</v>
      </c>
      <c r="F444" s="104">
        <f>('Co-Processing'!C446*'Co-Pro Feedstock Breakdown'!F$3*'Feedstock Conversion Rates'!B$14)/12</f>
        <v>8.5364583333333339</v>
      </c>
      <c r="G444" s="106">
        <f t="shared" si="76"/>
        <v>34.317708333333336</v>
      </c>
      <c r="H444" s="104">
        <f>('Co-Processing'!D446*'Co-Pro Feedstock Breakdown'!H$3*'Feedstock Conversion Rates'!B$13)/12</f>
        <v>93.75</v>
      </c>
      <c r="I444" s="106">
        <f t="shared" si="78"/>
        <v>93.75</v>
      </c>
      <c r="J444" s="104">
        <f>('Co-Processing'!E446*'Co-Pro Feedstock Breakdown'!J$3*'Feedstock Conversion Rates'!B$13)/12</f>
        <v>1.25</v>
      </c>
      <c r="K444" s="104">
        <f>('Co-Processing'!E446*'Co-Pro Feedstock Breakdown'!K$3*'Feedstock Conversion Rates'!B$12)/12</f>
        <v>1.2916666666666667</v>
      </c>
      <c r="L444" s="106">
        <f t="shared" si="68"/>
        <v>2.541666666666667</v>
      </c>
      <c r="N444" s="104">
        <f t="shared" si="69"/>
        <v>145.78125</v>
      </c>
      <c r="O444" s="104">
        <f t="shared" si="72"/>
        <v>20.348958333333336</v>
      </c>
      <c r="P444" s="104"/>
      <c r="Q444" s="106">
        <f t="shared" si="73"/>
        <v>166.13020833333334</v>
      </c>
      <c r="R444" s="141">
        <f t="shared" si="70"/>
        <v>0</v>
      </c>
      <c r="T444" s="110">
        <f t="shared" si="74"/>
        <v>0.87751199172335947</v>
      </c>
      <c r="U444" s="110">
        <f t="shared" si="74"/>
        <v>0.12248800827664044</v>
      </c>
      <c r="V444" s="110">
        <f t="shared" si="74"/>
        <v>0</v>
      </c>
      <c r="W444" s="110">
        <f t="shared" si="77"/>
        <v>0.99999999999999989</v>
      </c>
      <c r="Y444" s="142">
        <f>T444*'Co-Processing'!K446*'Feedstock Conversion Rates'!B$13</f>
        <v>103.37832245442641</v>
      </c>
      <c r="Z444" s="142">
        <f>U444*'Co-Processing'!K446*'Feedstock Conversion Rates'!B$12</f>
        <v>14.911125736230517</v>
      </c>
      <c r="AA444" s="142">
        <f>V444*'Co-Processing'!K446*'Feedstock Conversion Rates'!B$14</f>
        <v>0</v>
      </c>
      <c r="AB444" s="142">
        <f t="shared" si="79"/>
        <v>118.28944819065693</v>
      </c>
      <c r="AD444" s="142">
        <v>0</v>
      </c>
      <c r="AE444" s="142">
        <v>0</v>
      </c>
      <c r="AF444" s="142">
        <v>0</v>
      </c>
      <c r="AG444" s="142">
        <v>0</v>
      </c>
      <c r="AH444" s="142">
        <v>0</v>
      </c>
    </row>
    <row r="445" spans="1:34" x14ac:dyDescent="0.25">
      <c r="A445" s="96">
        <v>52263</v>
      </c>
      <c r="B445" s="104">
        <f t="shared" si="71"/>
        <v>25</v>
      </c>
      <c r="C445" s="104">
        <f>('Co-Processing'!B447*'Co-Pro Feedstock Breakdown'!C$3*'Feedstock Conversion Rates'!B$12)/12-10-15</f>
        <v>10.520833333333336</v>
      </c>
      <c r="D445" s="106">
        <f t="shared" si="75"/>
        <v>35.520833333333336</v>
      </c>
      <c r="E445" s="104">
        <f>('Co-Processing'!C447*'Co-Pro Feedstock Breakdown'!E$3*'Feedstock Conversion Rates'!B$13)/12</f>
        <v>25.78125</v>
      </c>
      <c r="F445" s="104">
        <f>('Co-Processing'!C447*'Co-Pro Feedstock Breakdown'!F$3*'Feedstock Conversion Rates'!B$14)/12</f>
        <v>8.5364583333333339</v>
      </c>
      <c r="G445" s="106">
        <f t="shared" si="76"/>
        <v>34.317708333333336</v>
      </c>
      <c r="H445" s="104">
        <f>('Co-Processing'!D447*'Co-Pro Feedstock Breakdown'!H$3*'Feedstock Conversion Rates'!B$13)/12</f>
        <v>93.75</v>
      </c>
      <c r="I445" s="106">
        <f t="shared" si="78"/>
        <v>93.75</v>
      </c>
      <c r="J445" s="104">
        <f>('Co-Processing'!E447*'Co-Pro Feedstock Breakdown'!J$3*'Feedstock Conversion Rates'!B$13)/12</f>
        <v>1.25</v>
      </c>
      <c r="K445" s="104">
        <f>('Co-Processing'!E447*'Co-Pro Feedstock Breakdown'!K$3*'Feedstock Conversion Rates'!B$12)/12</f>
        <v>1.2916666666666667</v>
      </c>
      <c r="L445" s="106">
        <f t="shared" si="68"/>
        <v>2.541666666666667</v>
      </c>
      <c r="N445" s="104">
        <f t="shared" si="69"/>
        <v>145.78125</v>
      </c>
      <c r="O445" s="104">
        <f t="shared" si="72"/>
        <v>20.348958333333336</v>
      </c>
      <c r="P445" s="104"/>
      <c r="Q445" s="106">
        <f t="shared" si="73"/>
        <v>166.13020833333334</v>
      </c>
      <c r="R445" s="141">
        <f t="shared" si="70"/>
        <v>0</v>
      </c>
      <c r="T445" s="110">
        <f t="shared" si="74"/>
        <v>0.87751199172335947</v>
      </c>
      <c r="U445" s="110">
        <f t="shared" si="74"/>
        <v>0.12248800827664044</v>
      </c>
      <c r="V445" s="110">
        <f t="shared" si="74"/>
        <v>0</v>
      </c>
      <c r="W445" s="110">
        <f t="shared" si="77"/>
        <v>0.99999999999999989</v>
      </c>
      <c r="Y445" s="142">
        <f>T445*'Co-Processing'!K447*'Feedstock Conversion Rates'!B$13</f>
        <v>80.842321082025535</v>
      </c>
      <c r="Z445" s="142">
        <f>U445*'Co-Processing'!K447*'Feedstock Conversion Rates'!B$12</f>
        <v>11.660568539349397</v>
      </c>
      <c r="AA445" s="142">
        <f>V445*'Co-Processing'!K447*'Feedstock Conversion Rates'!B$14</f>
        <v>0</v>
      </c>
      <c r="AB445" s="142">
        <f t="shared" si="79"/>
        <v>92.502889621374933</v>
      </c>
      <c r="AD445" s="142">
        <v>0</v>
      </c>
      <c r="AE445" s="142">
        <v>0</v>
      </c>
      <c r="AF445" s="142">
        <v>0</v>
      </c>
      <c r="AG445" s="142">
        <v>0</v>
      </c>
      <c r="AH445" s="142">
        <v>0</v>
      </c>
    </row>
    <row r="446" spans="1:34" x14ac:dyDescent="0.25">
      <c r="A446" s="96">
        <v>52291</v>
      </c>
      <c r="B446" s="104">
        <f t="shared" si="71"/>
        <v>25</v>
      </c>
      <c r="C446" s="104">
        <f>('Co-Processing'!B448*'Co-Pro Feedstock Breakdown'!C$3*'Feedstock Conversion Rates'!B$12)/12-10-15</f>
        <v>10.520833333333336</v>
      </c>
      <c r="D446" s="106">
        <f t="shared" si="75"/>
        <v>35.520833333333336</v>
      </c>
      <c r="E446" s="104">
        <f>('Co-Processing'!C448*'Co-Pro Feedstock Breakdown'!E$3*'Feedstock Conversion Rates'!B$13)/12</f>
        <v>25.78125</v>
      </c>
      <c r="F446" s="104">
        <f>('Co-Processing'!C448*'Co-Pro Feedstock Breakdown'!F$3*'Feedstock Conversion Rates'!B$14)/12</f>
        <v>8.5364583333333339</v>
      </c>
      <c r="G446" s="106">
        <f t="shared" si="76"/>
        <v>34.317708333333336</v>
      </c>
      <c r="H446" s="104">
        <f>('Co-Processing'!D448*'Co-Pro Feedstock Breakdown'!H$3*'Feedstock Conversion Rates'!B$13)/12</f>
        <v>93.75</v>
      </c>
      <c r="I446" s="106">
        <f t="shared" si="78"/>
        <v>93.75</v>
      </c>
      <c r="J446" s="104">
        <f>('Co-Processing'!E448*'Co-Pro Feedstock Breakdown'!J$3*'Feedstock Conversion Rates'!B$13)/12</f>
        <v>1.25</v>
      </c>
      <c r="K446" s="104">
        <f>('Co-Processing'!E448*'Co-Pro Feedstock Breakdown'!K$3*'Feedstock Conversion Rates'!B$12)/12</f>
        <v>1.2916666666666667</v>
      </c>
      <c r="L446" s="106">
        <f t="shared" si="68"/>
        <v>2.541666666666667</v>
      </c>
      <c r="N446" s="104">
        <f t="shared" si="69"/>
        <v>145.78125</v>
      </c>
      <c r="O446" s="104">
        <f t="shared" si="72"/>
        <v>20.348958333333336</v>
      </c>
      <c r="P446" s="104"/>
      <c r="Q446" s="106">
        <f t="shared" si="73"/>
        <v>166.13020833333334</v>
      </c>
      <c r="R446" s="141">
        <f t="shared" si="70"/>
        <v>0</v>
      </c>
      <c r="T446" s="110">
        <f t="shared" si="74"/>
        <v>0.87751199172335947</v>
      </c>
      <c r="U446" s="110">
        <f t="shared" si="74"/>
        <v>0.12248800827664044</v>
      </c>
      <c r="V446" s="110">
        <f t="shared" si="74"/>
        <v>0</v>
      </c>
      <c r="W446" s="110">
        <f t="shared" si="77"/>
        <v>0.99999999999999989</v>
      </c>
      <c r="Y446" s="142">
        <f>T446*'Co-Processing'!K448*'Feedstock Conversion Rates'!B$13</f>
        <v>133.12060815076435</v>
      </c>
      <c r="Z446" s="142">
        <f>U446*'Co-Processing'!K448*'Feedstock Conversion Rates'!B$12</f>
        <v>19.201105987133651</v>
      </c>
      <c r="AA446" s="142">
        <f>V446*'Co-Processing'!K448*'Feedstock Conversion Rates'!B$14</f>
        <v>0</v>
      </c>
      <c r="AB446" s="142">
        <f t="shared" si="79"/>
        <v>152.321714137898</v>
      </c>
      <c r="AD446" s="142">
        <v>0</v>
      </c>
      <c r="AE446" s="142">
        <v>0</v>
      </c>
      <c r="AF446" s="142">
        <v>0</v>
      </c>
      <c r="AG446" s="142">
        <v>0</v>
      </c>
      <c r="AH446" s="142">
        <v>0</v>
      </c>
    </row>
    <row r="447" spans="1:34" x14ac:dyDescent="0.25">
      <c r="A447" s="96">
        <v>52322</v>
      </c>
      <c r="B447" s="104">
        <f t="shared" si="71"/>
        <v>25</v>
      </c>
      <c r="C447" s="104">
        <f>('Co-Processing'!B449*'Co-Pro Feedstock Breakdown'!C$3*'Feedstock Conversion Rates'!B$12)/12-10-15</f>
        <v>10.520833333333336</v>
      </c>
      <c r="D447" s="106">
        <f t="shared" si="75"/>
        <v>35.520833333333336</v>
      </c>
      <c r="E447" s="104">
        <f>('Co-Processing'!C449*'Co-Pro Feedstock Breakdown'!E$3*'Feedstock Conversion Rates'!B$13)/12</f>
        <v>25.78125</v>
      </c>
      <c r="F447" s="104">
        <f>('Co-Processing'!C449*'Co-Pro Feedstock Breakdown'!F$3*'Feedstock Conversion Rates'!B$14)/12</f>
        <v>8.5364583333333339</v>
      </c>
      <c r="G447" s="106">
        <f t="shared" si="76"/>
        <v>34.317708333333336</v>
      </c>
      <c r="H447" s="104">
        <f>('Co-Processing'!D449*'Co-Pro Feedstock Breakdown'!H$3*'Feedstock Conversion Rates'!B$13)/12</f>
        <v>93.75</v>
      </c>
      <c r="I447" s="106">
        <f t="shared" si="78"/>
        <v>93.75</v>
      </c>
      <c r="J447" s="104">
        <f>('Co-Processing'!E449*'Co-Pro Feedstock Breakdown'!J$3*'Feedstock Conversion Rates'!B$13)/12</f>
        <v>1.25</v>
      </c>
      <c r="K447" s="104">
        <f>('Co-Processing'!E449*'Co-Pro Feedstock Breakdown'!K$3*'Feedstock Conversion Rates'!B$12)/12</f>
        <v>1.2916666666666667</v>
      </c>
      <c r="L447" s="106">
        <f t="shared" si="68"/>
        <v>2.541666666666667</v>
      </c>
      <c r="N447" s="104">
        <f t="shared" si="69"/>
        <v>145.78125</v>
      </c>
      <c r="O447" s="104">
        <f t="shared" si="72"/>
        <v>20.348958333333336</v>
      </c>
      <c r="P447" s="104"/>
      <c r="Q447" s="106">
        <f t="shared" si="73"/>
        <v>166.13020833333334</v>
      </c>
      <c r="R447" s="141">
        <f t="shared" si="70"/>
        <v>0</v>
      </c>
      <c r="T447" s="110">
        <f t="shared" si="74"/>
        <v>0.87751199172335947</v>
      </c>
      <c r="U447" s="110">
        <f t="shared" si="74"/>
        <v>0.12248800827664044</v>
      </c>
      <c r="V447" s="110">
        <f t="shared" si="74"/>
        <v>0</v>
      </c>
      <c r="W447" s="110">
        <f t="shared" si="77"/>
        <v>0.99999999999999989</v>
      </c>
      <c r="Y447" s="142">
        <f>T447*'Co-Processing'!K449*'Feedstock Conversion Rates'!B$13</f>
        <v>86.691863046168521</v>
      </c>
      <c r="Z447" s="142">
        <f>U447*'Co-Processing'!K449*'Feedstock Conversion Rates'!B$12</f>
        <v>12.504297221106102</v>
      </c>
      <c r="AA447" s="142">
        <f>V447*'Co-Processing'!K449*'Feedstock Conversion Rates'!B$14</f>
        <v>0</v>
      </c>
      <c r="AB447" s="142">
        <f t="shared" si="79"/>
        <v>99.196160267274621</v>
      </c>
      <c r="AD447" s="142">
        <v>0</v>
      </c>
      <c r="AE447" s="142">
        <v>0</v>
      </c>
      <c r="AF447" s="142">
        <v>0</v>
      </c>
      <c r="AG447" s="142">
        <v>0</v>
      </c>
      <c r="AH447" s="142">
        <v>0</v>
      </c>
    </row>
    <row r="448" spans="1:34" x14ac:dyDescent="0.25">
      <c r="A448" s="96">
        <v>52352</v>
      </c>
      <c r="B448" s="104">
        <f t="shared" si="71"/>
        <v>25</v>
      </c>
      <c r="C448" s="104">
        <f>('Co-Processing'!B450*'Co-Pro Feedstock Breakdown'!C$3*'Feedstock Conversion Rates'!B$12)/12-10-15</f>
        <v>10.520833333333336</v>
      </c>
      <c r="D448" s="106">
        <f t="shared" si="75"/>
        <v>35.520833333333336</v>
      </c>
      <c r="E448" s="104">
        <f>('Co-Processing'!C450*'Co-Pro Feedstock Breakdown'!E$3*'Feedstock Conversion Rates'!B$13)/12</f>
        <v>25.78125</v>
      </c>
      <c r="F448" s="104">
        <f>('Co-Processing'!C450*'Co-Pro Feedstock Breakdown'!F$3*'Feedstock Conversion Rates'!B$14)/12</f>
        <v>8.5364583333333339</v>
      </c>
      <c r="G448" s="106">
        <f t="shared" si="76"/>
        <v>34.317708333333336</v>
      </c>
      <c r="H448" s="104">
        <f>('Co-Processing'!D450*'Co-Pro Feedstock Breakdown'!H$3*'Feedstock Conversion Rates'!B$13)/12</f>
        <v>93.75</v>
      </c>
      <c r="I448" s="106">
        <f t="shared" si="78"/>
        <v>93.75</v>
      </c>
      <c r="J448" s="104">
        <f>('Co-Processing'!E450*'Co-Pro Feedstock Breakdown'!J$3*'Feedstock Conversion Rates'!B$13)/12</f>
        <v>1.25</v>
      </c>
      <c r="K448" s="104">
        <f>('Co-Processing'!E450*'Co-Pro Feedstock Breakdown'!K$3*'Feedstock Conversion Rates'!B$12)/12</f>
        <v>1.2916666666666667</v>
      </c>
      <c r="L448" s="106">
        <f t="shared" si="68"/>
        <v>2.541666666666667</v>
      </c>
      <c r="N448" s="104">
        <f t="shared" si="69"/>
        <v>145.78125</v>
      </c>
      <c r="O448" s="104">
        <f t="shared" si="72"/>
        <v>20.348958333333336</v>
      </c>
      <c r="P448" s="104"/>
      <c r="Q448" s="106">
        <f t="shared" si="73"/>
        <v>166.13020833333334</v>
      </c>
      <c r="R448" s="141">
        <f t="shared" si="70"/>
        <v>0</v>
      </c>
      <c r="T448" s="110">
        <f t="shared" si="74"/>
        <v>0.87751199172335947</v>
      </c>
      <c r="U448" s="110">
        <f t="shared" si="74"/>
        <v>0.12248800827664044</v>
      </c>
      <c r="V448" s="110">
        <f t="shared" si="74"/>
        <v>0</v>
      </c>
      <c r="W448" s="110">
        <f t="shared" si="77"/>
        <v>0.99999999999999989</v>
      </c>
      <c r="Y448" s="142">
        <f>T448*'Co-Processing'!K450*'Feedstock Conversion Rates'!B$13</f>
        <v>95.413481112072603</v>
      </c>
      <c r="Z448" s="142">
        <f>U448*'Co-Processing'!K450*'Feedstock Conversion Rates'!B$12</f>
        <v>13.76228961754305</v>
      </c>
      <c r="AA448" s="142">
        <f>V448*'Co-Processing'!K450*'Feedstock Conversion Rates'!B$14</f>
        <v>0</v>
      </c>
      <c r="AB448" s="142">
        <f t="shared" si="79"/>
        <v>109.17577072961565</v>
      </c>
      <c r="AD448" s="142">
        <v>0</v>
      </c>
      <c r="AE448" s="142">
        <v>0</v>
      </c>
      <c r="AF448" s="142">
        <v>0</v>
      </c>
      <c r="AG448" s="142">
        <v>0</v>
      </c>
      <c r="AH448" s="142">
        <v>0</v>
      </c>
    </row>
    <row r="449" spans="1:34" x14ac:dyDescent="0.25">
      <c r="A449" s="96">
        <v>52383</v>
      </c>
      <c r="B449" s="104">
        <f t="shared" si="71"/>
        <v>25</v>
      </c>
      <c r="C449" s="104">
        <f>('Co-Processing'!B451*'Co-Pro Feedstock Breakdown'!C$3*'Feedstock Conversion Rates'!B$12)/12-10-15</f>
        <v>10.520833333333336</v>
      </c>
      <c r="D449" s="106">
        <f t="shared" si="75"/>
        <v>35.520833333333336</v>
      </c>
      <c r="E449" s="104">
        <f>('Co-Processing'!C451*'Co-Pro Feedstock Breakdown'!E$3*'Feedstock Conversion Rates'!B$13)/12</f>
        <v>25.78125</v>
      </c>
      <c r="F449" s="104">
        <f>('Co-Processing'!C451*'Co-Pro Feedstock Breakdown'!F$3*'Feedstock Conversion Rates'!B$14)/12</f>
        <v>8.5364583333333339</v>
      </c>
      <c r="G449" s="106">
        <f t="shared" si="76"/>
        <v>34.317708333333336</v>
      </c>
      <c r="H449" s="104">
        <f>('Co-Processing'!D451*'Co-Pro Feedstock Breakdown'!H$3*'Feedstock Conversion Rates'!B$13)/12</f>
        <v>93.75</v>
      </c>
      <c r="I449" s="106">
        <f t="shared" si="78"/>
        <v>93.75</v>
      </c>
      <c r="J449" s="104">
        <f>('Co-Processing'!E451*'Co-Pro Feedstock Breakdown'!J$3*'Feedstock Conversion Rates'!B$13)/12</f>
        <v>1.25</v>
      </c>
      <c r="K449" s="104">
        <f>('Co-Processing'!E451*'Co-Pro Feedstock Breakdown'!K$3*'Feedstock Conversion Rates'!B$12)/12</f>
        <v>1.2916666666666667</v>
      </c>
      <c r="L449" s="106">
        <f t="shared" si="68"/>
        <v>2.541666666666667</v>
      </c>
      <c r="N449" s="104">
        <f t="shared" si="69"/>
        <v>145.78125</v>
      </c>
      <c r="O449" s="104">
        <f t="shared" si="72"/>
        <v>20.348958333333336</v>
      </c>
      <c r="P449" s="104"/>
      <c r="Q449" s="106">
        <f t="shared" si="73"/>
        <v>166.13020833333334</v>
      </c>
      <c r="R449" s="141">
        <f t="shared" si="70"/>
        <v>0</v>
      </c>
      <c r="T449" s="110">
        <f t="shared" si="74"/>
        <v>0.87751199172335947</v>
      </c>
      <c r="U449" s="110">
        <f t="shared" si="74"/>
        <v>0.12248800827664044</v>
      </c>
      <c r="V449" s="110">
        <f t="shared" si="74"/>
        <v>0</v>
      </c>
      <c r="W449" s="110">
        <f t="shared" si="77"/>
        <v>0.99999999999999989</v>
      </c>
      <c r="Y449" s="142">
        <f>T449*'Co-Processing'!K451*'Feedstock Conversion Rates'!B$13</f>
        <v>129.20222068360246</v>
      </c>
      <c r="Z449" s="142">
        <f>U449*'Co-Processing'!K451*'Feedstock Conversion Rates'!B$12</f>
        <v>18.635923975867431</v>
      </c>
      <c r="AA449" s="142">
        <f>V449*'Co-Processing'!K451*'Feedstock Conversion Rates'!B$14</f>
        <v>0</v>
      </c>
      <c r="AB449" s="142">
        <f t="shared" si="79"/>
        <v>147.83814465946989</v>
      </c>
      <c r="AD449" s="142">
        <v>0</v>
      </c>
      <c r="AE449" s="142">
        <v>0</v>
      </c>
      <c r="AF449" s="142">
        <v>0</v>
      </c>
      <c r="AG449" s="142">
        <v>0</v>
      </c>
      <c r="AH449" s="142">
        <v>0</v>
      </c>
    </row>
    <row r="450" spans="1:34" x14ac:dyDescent="0.25">
      <c r="A450" s="96">
        <v>52413</v>
      </c>
      <c r="B450" s="104">
        <f t="shared" si="71"/>
        <v>25</v>
      </c>
      <c r="C450" s="104">
        <f>('Co-Processing'!B452*'Co-Pro Feedstock Breakdown'!C$3*'Feedstock Conversion Rates'!B$12)/12-10-15</f>
        <v>10.520833333333336</v>
      </c>
      <c r="D450" s="106">
        <f t="shared" si="75"/>
        <v>35.520833333333336</v>
      </c>
      <c r="E450" s="104">
        <f>('Co-Processing'!C452*'Co-Pro Feedstock Breakdown'!E$3*'Feedstock Conversion Rates'!B$13)/12</f>
        <v>25.78125</v>
      </c>
      <c r="F450" s="104">
        <f>('Co-Processing'!C452*'Co-Pro Feedstock Breakdown'!F$3*'Feedstock Conversion Rates'!B$14)/12</f>
        <v>8.5364583333333339</v>
      </c>
      <c r="G450" s="106">
        <f t="shared" si="76"/>
        <v>34.317708333333336</v>
      </c>
      <c r="H450" s="104">
        <f>('Co-Processing'!D452*'Co-Pro Feedstock Breakdown'!H$3*'Feedstock Conversion Rates'!B$13)/12</f>
        <v>93.75</v>
      </c>
      <c r="I450" s="106">
        <f t="shared" si="78"/>
        <v>93.75</v>
      </c>
      <c r="J450" s="104">
        <f>('Co-Processing'!E452*'Co-Pro Feedstock Breakdown'!J$3*'Feedstock Conversion Rates'!B$13)/12</f>
        <v>1.25</v>
      </c>
      <c r="K450" s="104">
        <f>('Co-Processing'!E452*'Co-Pro Feedstock Breakdown'!K$3*'Feedstock Conversion Rates'!B$12)/12</f>
        <v>1.2916666666666667</v>
      </c>
      <c r="L450" s="106">
        <f t="shared" si="68"/>
        <v>2.541666666666667</v>
      </c>
      <c r="N450" s="104">
        <f t="shared" si="69"/>
        <v>145.78125</v>
      </c>
      <c r="O450" s="104">
        <f t="shared" si="72"/>
        <v>20.348958333333336</v>
      </c>
      <c r="P450" s="104"/>
      <c r="Q450" s="106">
        <f t="shared" si="73"/>
        <v>166.13020833333334</v>
      </c>
      <c r="R450" s="141">
        <f t="shared" si="70"/>
        <v>0</v>
      </c>
      <c r="T450" s="110">
        <f t="shared" si="74"/>
        <v>0.87751199172335947</v>
      </c>
      <c r="U450" s="110">
        <f t="shared" si="74"/>
        <v>0.12248800827664044</v>
      </c>
      <c r="V450" s="110">
        <f t="shared" si="74"/>
        <v>0</v>
      </c>
      <c r="W450" s="110">
        <f t="shared" si="77"/>
        <v>0.99999999999999989</v>
      </c>
      <c r="Y450" s="142">
        <f>T450*'Co-Processing'!K452*'Feedstock Conversion Rates'!B$13</f>
        <v>107.87445230058015</v>
      </c>
      <c r="Z450" s="142">
        <f>U450*'Co-Processing'!K452*'Feedstock Conversion Rates'!B$12</f>
        <v>15.559640394533009</v>
      </c>
      <c r="AA450" s="142">
        <f>V450*'Co-Processing'!K452*'Feedstock Conversion Rates'!B$14</f>
        <v>0</v>
      </c>
      <c r="AB450" s="142">
        <f t="shared" si="79"/>
        <v>123.43409269511315</v>
      </c>
      <c r="AD450" s="142">
        <v>0</v>
      </c>
      <c r="AE450" s="142">
        <v>0</v>
      </c>
      <c r="AF450" s="142">
        <v>0</v>
      </c>
      <c r="AG450" s="142">
        <v>0</v>
      </c>
      <c r="AH450" s="142">
        <v>0</v>
      </c>
    </row>
    <row r="451" spans="1:34" x14ac:dyDescent="0.25">
      <c r="A451" s="96">
        <v>52444</v>
      </c>
      <c r="B451" s="104">
        <f t="shared" si="71"/>
        <v>25</v>
      </c>
      <c r="C451" s="104">
        <f>('Co-Processing'!B453*'Co-Pro Feedstock Breakdown'!C$3*'Feedstock Conversion Rates'!B$12)/12-10-15</f>
        <v>10.520833333333336</v>
      </c>
      <c r="D451" s="106">
        <f t="shared" si="75"/>
        <v>35.520833333333336</v>
      </c>
      <c r="E451" s="104">
        <f>('Co-Processing'!C453*'Co-Pro Feedstock Breakdown'!E$3*'Feedstock Conversion Rates'!B$13)/12</f>
        <v>25.78125</v>
      </c>
      <c r="F451" s="104">
        <f>('Co-Processing'!C453*'Co-Pro Feedstock Breakdown'!F$3*'Feedstock Conversion Rates'!B$14)/12</f>
        <v>8.5364583333333339</v>
      </c>
      <c r="G451" s="106">
        <f t="shared" si="76"/>
        <v>34.317708333333336</v>
      </c>
      <c r="H451" s="104">
        <f>('Co-Processing'!D453*'Co-Pro Feedstock Breakdown'!H$3*'Feedstock Conversion Rates'!B$13)/12</f>
        <v>93.75</v>
      </c>
      <c r="I451" s="106">
        <f t="shared" si="78"/>
        <v>93.75</v>
      </c>
      <c r="J451" s="104">
        <f>('Co-Processing'!E453*'Co-Pro Feedstock Breakdown'!J$3*'Feedstock Conversion Rates'!B$13)/12</f>
        <v>1.25</v>
      </c>
      <c r="K451" s="104">
        <f>('Co-Processing'!E453*'Co-Pro Feedstock Breakdown'!K$3*'Feedstock Conversion Rates'!B$12)/12</f>
        <v>1.2916666666666667</v>
      </c>
      <c r="L451" s="106">
        <f t="shared" si="68"/>
        <v>2.541666666666667</v>
      </c>
      <c r="N451" s="104">
        <f t="shared" si="69"/>
        <v>145.78125</v>
      </c>
      <c r="O451" s="104">
        <f t="shared" si="72"/>
        <v>20.348958333333336</v>
      </c>
      <c r="P451" s="104"/>
      <c r="Q451" s="106">
        <f t="shared" si="73"/>
        <v>166.13020833333334</v>
      </c>
      <c r="R451" s="141">
        <f t="shared" si="70"/>
        <v>0</v>
      </c>
      <c r="T451" s="110">
        <f t="shared" si="74"/>
        <v>0.87751199172335947</v>
      </c>
      <c r="U451" s="110">
        <f t="shared" si="74"/>
        <v>0.12248800827664044</v>
      </c>
      <c r="V451" s="110">
        <f t="shared" si="74"/>
        <v>0</v>
      </c>
      <c r="W451" s="110">
        <f t="shared" si="77"/>
        <v>0.99999999999999989</v>
      </c>
      <c r="Y451" s="142">
        <f>T451*'Co-Processing'!K453*'Feedstock Conversion Rates'!B$13</f>
        <v>158.46437043411123</v>
      </c>
      <c r="Z451" s="142">
        <f>U451*'Co-Processing'!K453*'Feedstock Conversion Rates'!B$12</f>
        <v>22.856650177287431</v>
      </c>
      <c r="AA451" s="142">
        <f>V451*'Co-Processing'!K453*'Feedstock Conversion Rates'!B$14</f>
        <v>0</v>
      </c>
      <c r="AB451" s="142">
        <f t="shared" si="79"/>
        <v>181.32102061139867</v>
      </c>
      <c r="AD451" s="142">
        <v>0</v>
      </c>
      <c r="AE451" s="142">
        <v>0</v>
      </c>
      <c r="AF451" s="142">
        <v>0</v>
      </c>
      <c r="AG451" s="142">
        <v>0</v>
      </c>
      <c r="AH451" s="142">
        <v>0</v>
      </c>
    </row>
    <row r="452" spans="1:34" x14ac:dyDescent="0.25">
      <c r="A452" s="96">
        <v>52475</v>
      </c>
      <c r="B452" s="104">
        <f t="shared" si="71"/>
        <v>25</v>
      </c>
      <c r="C452" s="104">
        <f>('Co-Processing'!B454*'Co-Pro Feedstock Breakdown'!C$3*'Feedstock Conversion Rates'!B$12)/12-10-15</f>
        <v>10.520833333333336</v>
      </c>
      <c r="D452" s="106">
        <f t="shared" si="75"/>
        <v>35.520833333333336</v>
      </c>
      <c r="E452" s="104">
        <f>('Co-Processing'!C454*'Co-Pro Feedstock Breakdown'!E$3*'Feedstock Conversion Rates'!B$13)/12</f>
        <v>25.78125</v>
      </c>
      <c r="F452" s="104">
        <f>('Co-Processing'!C454*'Co-Pro Feedstock Breakdown'!F$3*'Feedstock Conversion Rates'!B$14)/12</f>
        <v>8.5364583333333339</v>
      </c>
      <c r="G452" s="106">
        <f t="shared" si="76"/>
        <v>34.317708333333336</v>
      </c>
      <c r="H452" s="104">
        <f>('Co-Processing'!D454*'Co-Pro Feedstock Breakdown'!H$3*'Feedstock Conversion Rates'!B$13)/12</f>
        <v>93.75</v>
      </c>
      <c r="I452" s="106">
        <f t="shared" si="78"/>
        <v>93.75</v>
      </c>
      <c r="J452" s="104">
        <f>('Co-Processing'!E454*'Co-Pro Feedstock Breakdown'!J$3*'Feedstock Conversion Rates'!B$13)/12</f>
        <v>1.25</v>
      </c>
      <c r="K452" s="104">
        <f>('Co-Processing'!E454*'Co-Pro Feedstock Breakdown'!K$3*'Feedstock Conversion Rates'!B$12)/12</f>
        <v>1.2916666666666667</v>
      </c>
      <c r="L452" s="106">
        <f t="shared" si="68"/>
        <v>2.541666666666667</v>
      </c>
      <c r="N452" s="104">
        <f t="shared" si="69"/>
        <v>145.78125</v>
      </c>
      <c r="O452" s="104">
        <f t="shared" si="72"/>
        <v>20.348958333333336</v>
      </c>
      <c r="P452" s="104"/>
      <c r="Q452" s="106">
        <f t="shared" si="73"/>
        <v>166.13020833333334</v>
      </c>
      <c r="R452" s="141">
        <f t="shared" si="70"/>
        <v>0</v>
      </c>
      <c r="T452" s="110">
        <f t="shared" si="74"/>
        <v>0.87751199172335947</v>
      </c>
      <c r="U452" s="110">
        <f t="shared" si="74"/>
        <v>0.12248800827664044</v>
      </c>
      <c r="V452" s="110">
        <f t="shared" si="74"/>
        <v>0</v>
      </c>
      <c r="W452" s="110">
        <f t="shared" si="77"/>
        <v>0.99999999999999989</v>
      </c>
      <c r="Y452" s="142">
        <f>T452*'Co-Processing'!K454*'Feedstock Conversion Rates'!B$13</f>
        <v>142.19013470977779</v>
      </c>
      <c r="Z452" s="142">
        <f>U452*'Co-Processing'!K454*'Feedstock Conversion Rates'!B$12</f>
        <v>20.509280154393423</v>
      </c>
      <c r="AA452" s="142">
        <f>V452*'Co-Processing'!K454*'Feedstock Conversion Rates'!B$14</f>
        <v>0</v>
      </c>
      <c r="AB452" s="142">
        <f t="shared" si="79"/>
        <v>162.69941486417122</v>
      </c>
      <c r="AD452" s="142">
        <v>0</v>
      </c>
      <c r="AE452" s="142">
        <v>0</v>
      </c>
      <c r="AF452" s="142">
        <v>0</v>
      </c>
      <c r="AG452" s="142">
        <v>0</v>
      </c>
      <c r="AH452" s="142">
        <v>0</v>
      </c>
    </row>
    <row r="453" spans="1:34" x14ac:dyDescent="0.25">
      <c r="A453" s="96">
        <v>52505</v>
      </c>
      <c r="B453" s="104">
        <f t="shared" si="71"/>
        <v>25</v>
      </c>
      <c r="C453" s="104">
        <f>('Co-Processing'!B455*'Co-Pro Feedstock Breakdown'!C$3*'Feedstock Conversion Rates'!B$12)/12-10-15</f>
        <v>10.520833333333336</v>
      </c>
      <c r="D453" s="106">
        <f t="shared" si="75"/>
        <v>35.520833333333336</v>
      </c>
      <c r="E453" s="104">
        <f>('Co-Processing'!C455*'Co-Pro Feedstock Breakdown'!E$3*'Feedstock Conversion Rates'!B$13)/12</f>
        <v>25.78125</v>
      </c>
      <c r="F453" s="104">
        <f>('Co-Processing'!C455*'Co-Pro Feedstock Breakdown'!F$3*'Feedstock Conversion Rates'!B$14)/12</f>
        <v>8.5364583333333339</v>
      </c>
      <c r="G453" s="106">
        <f t="shared" si="76"/>
        <v>34.317708333333336</v>
      </c>
      <c r="H453" s="104">
        <f>('Co-Processing'!D455*'Co-Pro Feedstock Breakdown'!H$3*'Feedstock Conversion Rates'!B$13)/12</f>
        <v>93.75</v>
      </c>
      <c r="I453" s="106">
        <f t="shared" si="78"/>
        <v>93.75</v>
      </c>
      <c r="J453" s="104">
        <f>('Co-Processing'!E455*'Co-Pro Feedstock Breakdown'!J$3*'Feedstock Conversion Rates'!B$13)/12</f>
        <v>1.25</v>
      </c>
      <c r="K453" s="104">
        <f>('Co-Processing'!E455*'Co-Pro Feedstock Breakdown'!K$3*'Feedstock Conversion Rates'!B$12)/12</f>
        <v>1.2916666666666667</v>
      </c>
      <c r="L453" s="106">
        <f t="shared" ref="L453:L516" si="80">SUM(J453:K453)</f>
        <v>2.541666666666667</v>
      </c>
      <c r="N453" s="104">
        <f t="shared" ref="N453:N516" si="81">E453+H453+J453+B453</f>
        <v>145.78125</v>
      </c>
      <c r="O453" s="104">
        <f t="shared" si="72"/>
        <v>20.348958333333336</v>
      </c>
      <c r="P453" s="104"/>
      <c r="Q453" s="106">
        <f t="shared" si="73"/>
        <v>166.13020833333334</v>
      </c>
      <c r="R453" s="141">
        <f t="shared" ref="R453:R516" si="82">D453+G453+I453+L453-Q453</f>
        <v>0</v>
      </c>
      <c r="T453" s="110">
        <f t="shared" si="74"/>
        <v>0.87751199172335947</v>
      </c>
      <c r="U453" s="110">
        <f t="shared" si="74"/>
        <v>0.12248800827664044</v>
      </c>
      <c r="V453" s="110">
        <f t="shared" si="74"/>
        <v>0</v>
      </c>
      <c r="W453" s="110">
        <f t="shared" si="77"/>
        <v>0.99999999999999989</v>
      </c>
      <c r="Y453" s="142">
        <f>T453*'Co-Processing'!K455*'Feedstock Conversion Rates'!B$13</f>
        <v>114.28137276082313</v>
      </c>
      <c r="Z453" s="142">
        <f>U453*'Co-Processing'!K455*'Feedstock Conversion Rates'!B$12</f>
        <v>16.483764469063498</v>
      </c>
      <c r="AA453" s="142">
        <f>V453*'Co-Processing'!K455*'Feedstock Conversion Rates'!B$14</f>
        <v>0</v>
      </c>
      <c r="AB453" s="142">
        <f t="shared" si="79"/>
        <v>130.76513722988662</v>
      </c>
      <c r="AD453" s="142">
        <v>0</v>
      </c>
      <c r="AE453" s="142">
        <v>0</v>
      </c>
      <c r="AF453" s="142">
        <v>0</v>
      </c>
      <c r="AG453" s="142">
        <v>0</v>
      </c>
      <c r="AH453" s="142">
        <v>0</v>
      </c>
    </row>
    <row r="454" spans="1:34" x14ac:dyDescent="0.25">
      <c r="A454" s="96">
        <v>52536</v>
      </c>
      <c r="B454" s="104">
        <f t="shared" si="71"/>
        <v>25</v>
      </c>
      <c r="C454" s="104">
        <f>('Co-Processing'!B456*'Co-Pro Feedstock Breakdown'!C$3*'Feedstock Conversion Rates'!B$12)/12-10-15</f>
        <v>10.520833333333336</v>
      </c>
      <c r="D454" s="106">
        <f t="shared" si="75"/>
        <v>35.520833333333336</v>
      </c>
      <c r="E454" s="104">
        <f>('Co-Processing'!C456*'Co-Pro Feedstock Breakdown'!E$3*'Feedstock Conversion Rates'!B$13)/12</f>
        <v>25.78125</v>
      </c>
      <c r="F454" s="104">
        <f>('Co-Processing'!C456*'Co-Pro Feedstock Breakdown'!F$3*'Feedstock Conversion Rates'!B$14)/12</f>
        <v>8.5364583333333339</v>
      </c>
      <c r="G454" s="106">
        <f t="shared" si="76"/>
        <v>34.317708333333336</v>
      </c>
      <c r="H454" s="104">
        <f>('Co-Processing'!D456*'Co-Pro Feedstock Breakdown'!H$3*'Feedstock Conversion Rates'!B$13)/12</f>
        <v>93.75</v>
      </c>
      <c r="I454" s="106">
        <f t="shared" si="78"/>
        <v>93.75</v>
      </c>
      <c r="J454" s="104">
        <f>('Co-Processing'!E456*'Co-Pro Feedstock Breakdown'!J$3*'Feedstock Conversion Rates'!B$13)/12</f>
        <v>1.25</v>
      </c>
      <c r="K454" s="104">
        <f>('Co-Processing'!E456*'Co-Pro Feedstock Breakdown'!K$3*'Feedstock Conversion Rates'!B$12)/12</f>
        <v>1.2916666666666667</v>
      </c>
      <c r="L454" s="106">
        <f t="shared" si="80"/>
        <v>2.541666666666667</v>
      </c>
      <c r="N454" s="104">
        <f t="shared" si="81"/>
        <v>145.78125</v>
      </c>
      <c r="O454" s="104">
        <f t="shared" si="72"/>
        <v>20.348958333333336</v>
      </c>
      <c r="P454" s="104"/>
      <c r="Q454" s="106">
        <f t="shared" si="73"/>
        <v>166.13020833333334</v>
      </c>
      <c r="R454" s="141">
        <f t="shared" si="82"/>
        <v>0</v>
      </c>
      <c r="T454" s="110">
        <f t="shared" si="74"/>
        <v>0.87751199172335947</v>
      </c>
      <c r="U454" s="110">
        <f t="shared" si="74"/>
        <v>0.12248800827664044</v>
      </c>
      <c r="V454" s="110">
        <f t="shared" si="74"/>
        <v>0</v>
      </c>
      <c r="W454" s="110">
        <f t="shared" si="77"/>
        <v>0.99999999999999989</v>
      </c>
      <c r="Y454" s="142">
        <f>T454*'Co-Processing'!K456*'Feedstock Conversion Rates'!B$13</f>
        <v>115.0679290161668</v>
      </c>
      <c r="Z454" s="142">
        <f>U454*'Co-Processing'!K456*'Feedstock Conversion Rates'!B$12</f>
        <v>16.597216099382013</v>
      </c>
      <c r="AA454" s="142">
        <f>V454*'Co-Processing'!K456*'Feedstock Conversion Rates'!B$14</f>
        <v>0</v>
      </c>
      <c r="AB454" s="142">
        <f t="shared" si="79"/>
        <v>131.66514511554882</v>
      </c>
      <c r="AD454" s="142">
        <v>0</v>
      </c>
      <c r="AE454" s="142">
        <v>0</v>
      </c>
      <c r="AF454" s="142">
        <v>0</v>
      </c>
      <c r="AG454" s="142">
        <v>0</v>
      </c>
      <c r="AH454" s="142">
        <v>0</v>
      </c>
    </row>
    <row r="455" spans="1:34" x14ac:dyDescent="0.25">
      <c r="A455" s="96">
        <v>52566</v>
      </c>
      <c r="B455" s="104">
        <f t="shared" si="71"/>
        <v>25</v>
      </c>
      <c r="C455" s="104">
        <f>('Co-Processing'!B457*'Co-Pro Feedstock Breakdown'!C$3*'Feedstock Conversion Rates'!B$12)/12-10-15</f>
        <v>10.520833333333336</v>
      </c>
      <c r="D455" s="106">
        <f t="shared" si="75"/>
        <v>35.520833333333336</v>
      </c>
      <c r="E455" s="104">
        <f>('Co-Processing'!C457*'Co-Pro Feedstock Breakdown'!E$3*'Feedstock Conversion Rates'!B$13)/12</f>
        <v>25.78125</v>
      </c>
      <c r="F455" s="104">
        <f>('Co-Processing'!C457*'Co-Pro Feedstock Breakdown'!F$3*'Feedstock Conversion Rates'!B$14)/12</f>
        <v>8.5364583333333339</v>
      </c>
      <c r="G455" s="106">
        <f t="shared" si="76"/>
        <v>34.317708333333336</v>
      </c>
      <c r="H455" s="104">
        <f>('Co-Processing'!D457*'Co-Pro Feedstock Breakdown'!H$3*'Feedstock Conversion Rates'!B$13)/12</f>
        <v>93.75</v>
      </c>
      <c r="I455" s="106">
        <f t="shared" si="78"/>
        <v>93.75</v>
      </c>
      <c r="J455" s="104">
        <f>('Co-Processing'!E457*'Co-Pro Feedstock Breakdown'!J$3*'Feedstock Conversion Rates'!B$13)/12</f>
        <v>1.25</v>
      </c>
      <c r="K455" s="104">
        <f>('Co-Processing'!E457*'Co-Pro Feedstock Breakdown'!K$3*'Feedstock Conversion Rates'!B$12)/12</f>
        <v>1.2916666666666667</v>
      </c>
      <c r="L455" s="106">
        <f t="shared" si="80"/>
        <v>2.541666666666667</v>
      </c>
      <c r="N455" s="104">
        <f t="shared" si="81"/>
        <v>145.78125</v>
      </c>
      <c r="O455" s="104">
        <f t="shared" si="72"/>
        <v>20.348958333333336</v>
      </c>
      <c r="P455" s="104"/>
      <c r="Q455" s="106">
        <f t="shared" si="73"/>
        <v>166.13020833333334</v>
      </c>
      <c r="R455" s="141">
        <f t="shared" si="82"/>
        <v>0</v>
      </c>
      <c r="T455" s="110">
        <f t="shared" si="74"/>
        <v>0.87751199172335947</v>
      </c>
      <c r="U455" s="110">
        <f t="shared" si="74"/>
        <v>0.12248800827664044</v>
      </c>
      <c r="V455" s="110">
        <f t="shared" si="74"/>
        <v>0</v>
      </c>
      <c r="W455" s="110">
        <f t="shared" si="77"/>
        <v>0.99999999999999989</v>
      </c>
      <c r="Y455" s="142">
        <f>T455*'Co-Processing'!K457*'Feedstock Conversion Rates'!B$13</f>
        <v>118.57298621515586</v>
      </c>
      <c r="Z455" s="142">
        <f>U455*'Co-Processing'!K457*'Feedstock Conversion Rates'!B$12</f>
        <v>17.102780006455919</v>
      </c>
      <c r="AA455" s="142">
        <f>V455*'Co-Processing'!K457*'Feedstock Conversion Rates'!B$14</f>
        <v>0</v>
      </c>
      <c r="AB455" s="142">
        <f t="shared" si="79"/>
        <v>135.67576622161178</v>
      </c>
      <c r="AD455" s="142">
        <v>0</v>
      </c>
      <c r="AE455" s="142">
        <v>0</v>
      </c>
      <c r="AF455" s="142">
        <v>0</v>
      </c>
      <c r="AG455" s="142">
        <v>0</v>
      </c>
      <c r="AH455" s="142">
        <v>0</v>
      </c>
    </row>
    <row r="456" spans="1:34" x14ac:dyDescent="0.25">
      <c r="A456" s="96">
        <v>52597</v>
      </c>
      <c r="B456" s="104">
        <f t="shared" si="71"/>
        <v>25</v>
      </c>
      <c r="C456" s="104">
        <f>('Co-Processing'!B458*'Co-Pro Feedstock Breakdown'!C$3*'Feedstock Conversion Rates'!B$12)/12-10-15</f>
        <v>10.520833333333336</v>
      </c>
      <c r="D456" s="106">
        <f t="shared" si="75"/>
        <v>35.520833333333336</v>
      </c>
      <c r="E456" s="104">
        <f>('Co-Processing'!C458*'Co-Pro Feedstock Breakdown'!E$3*'Feedstock Conversion Rates'!B$13)/12</f>
        <v>25.78125</v>
      </c>
      <c r="F456" s="104">
        <f>('Co-Processing'!C458*'Co-Pro Feedstock Breakdown'!F$3*'Feedstock Conversion Rates'!B$14)/12</f>
        <v>8.5364583333333339</v>
      </c>
      <c r="G456" s="106">
        <f t="shared" si="76"/>
        <v>34.317708333333336</v>
      </c>
      <c r="H456" s="104">
        <f>('Co-Processing'!D458*'Co-Pro Feedstock Breakdown'!H$3*'Feedstock Conversion Rates'!B$13)/12</f>
        <v>93.75</v>
      </c>
      <c r="I456" s="106">
        <f t="shared" si="78"/>
        <v>93.75</v>
      </c>
      <c r="J456" s="104">
        <f>('Co-Processing'!E458*'Co-Pro Feedstock Breakdown'!J$3*'Feedstock Conversion Rates'!B$13)/12</f>
        <v>1.25</v>
      </c>
      <c r="K456" s="104">
        <f>('Co-Processing'!E458*'Co-Pro Feedstock Breakdown'!K$3*'Feedstock Conversion Rates'!B$12)/12</f>
        <v>1.2916666666666667</v>
      </c>
      <c r="L456" s="106">
        <f t="shared" si="80"/>
        <v>2.541666666666667</v>
      </c>
      <c r="N456" s="104">
        <f t="shared" si="81"/>
        <v>145.78125</v>
      </c>
      <c r="O456" s="104">
        <f t="shared" si="72"/>
        <v>20.348958333333336</v>
      </c>
      <c r="P456" s="104"/>
      <c r="Q456" s="106">
        <f t="shared" si="73"/>
        <v>166.13020833333334</v>
      </c>
      <c r="R456" s="141">
        <f t="shared" si="82"/>
        <v>0</v>
      </c>
      <c r="T456" s="110">
        <f t="shared" si="74"/>
        <v>0.87751199172335947</v>
      </c>
      <c r="U456" s="110">
        <f t="shared" si="74"/>
        <v>0.12248800827664044</v>
      </c>
      <c r="V456" s="110">
        <f t="shared" si="74"/>
        <v>0</v>
      </c>
      <c r="W456" s="110">
        <f t="shared" si="77"/>
        <v>0.99999999999999989</v>
      </c>
      <c r="Y456" s="142">
        <f>T456*'Co-Processing'!K458*'Feedstock Conversion Rates'!B$13</f>
        <v>105.95451401155002</v>
      </c>
      <c r="Z456" s="142">
        <f>U456*'Co-Processing'!K458*'Feedstock Conversion Rates'!B$12</f>
        <v>15.282711532138746</v>
      </c>
      <c r="AA456" s="142">
        <f>V456*'Co-Processing'!K458*'Feedstock Conversion Rates'!B$14</f>
        <v>0</v>
      </c>
      <c r="AB456" s="142">
        <f t="shared" si="79"/>
        <v>121.23722554368877</v>
      </c>
      <c r="AD456" s="142">
        <v>0</v>
      </c>
      <c r="AE456" s="142">
        <v>0</v>
      </c>
      <c r="AF456" s="142">
        <v>0</v>
      </c>
      <c r="AG456" s="142">
        <v>0</v>
      </c>
      <c r="AH456" s="142">
        <v>0</v>
      </c>
    </row>
    <row r="457" spans="1:34" x14ac:dyDescent="0.25">
      <c r="A457" s="96">
        <v>52628</v>
      </c>
      <c r="B457" s="104">
        <f t="shared" si="71"/>
        <v>25</v>
      </c>
      <c r="C457" s="104">
        <f>('Co-Processing'!B459*'Co-Pro Feedstock Breakdown'!C$3*'Feedstock Conversion Rates'!B$12)/12-10-15</f>
        <v>10.520833333333336</v>
      </c>
      <c r="D457" s="106">
        <f t="shared" si="75"/>
        <v>35.520833333333336</v>
      </c>
      <c r="E457" s="104">
        <f>('Co-Processing'!C459*'Co-Pro Feedstock Breakdown'!E$3*'Feedstock Conversion Rates'!B$13)/12</f>
        <v>25.78125</v>
      </c>
      <c r="F457" s="104">
        <f>('Co-Processing'!C459*'Co-Pro Feedstock Breakdown'!F$3*'Feedstock Conversion Rates'!B$14)/12</f>
        <v>8.5364583333333339</v>
      </c>
      <c r="G457" s="106">
        <f t="shared" si="76"/>
        <v>34.317708333333336</v>
      </c>
      <c r="H457" s="104">
        <f>('Co-Processing'!D459*'Co-Pro Feedstock Breakdown'!H$3*'Feedstock Conversion Rates'!B$13)/12</f>
        <v>93.75</v>
      </c>
      <c r="I457" s="106">
        <f t="shared" si="78"/>
        <v>93.75</v>
      </c>
      <c r="J457" s="104">
        <f>('Co-Processing'!E459*'Co-Pro Feedstock Breakdown'!J$3*'Feedstock Conversion Rates'!B$13)/12</f>
        <v>1.25</v>
      </c>
      <c r="K457" s="104">
        <f>('Co-Processing'!E459*'Co-Pro Feedstock Breakdown'!K$3*'Feedstock Conversion Rates'!B$12)/12</f>
        <v>1.2916666666666667</v>
      </c>
      <c r="L457" s="106">
        <f t="shared" si="80"/>
        <v>2.541666666666667</v>
      </c>
      <c r="N457" s="104">
        <f t="shared" si="81"/>
        <v>145.78125</v>
      </c>
      <c r="O457" s="104">
        <f t="shared" si="72"/>
        <v>20.348958333333336</v>
      </c>
      <c r="P457" s="104"/>
      <c r="Q457" s="106">
        <f t="shared" si="73"/>
        <v>166.13020833333334</v>
      </c>
      <c r="R457" s="141">
        <f t="shared" si="82"/>
        <v>0</v>
      </c>
      <c r="T457" s="110">
        <f t="shared" si="74"/>
        <v>0.87751199172335947</v>
      </c>
      <c r="U457" s="110">
        <f t="shared" si="74"/>
        <v>0.12248800827664044</v>
      </c>
      <c r="V457" s="110">
        <f t="shared" si="74"/>
        <v>0</v>
      </c>
      <c r="W457" s="110">
        <f t="shared" si="77"/>
        <v>0.99999999999999989</v>
      </c>
      <c r="Y457" s="142">
        <f>T457*'Co-Processing'!K459*'Feedstock Conversion Rates'!B$13</f>
        <v>82.860806205479207</v>
      </c>
      <c r="Z457" s="142">
        <f>U457*'Co-Processing'!K459*'Feedstock Conversion Rates'!B$12</f>
        <v>11.951711641287396</v>
      </c>
      <c r="AA457" s="142">
        <f>V457*'Co-Processing'!K459*'Feedstock Conversion Rates'!B$14</f>
        <v>0</v>
      </c>
      <c r="AB457" s="142">
        <f t="shared" si="79"/>
        <v>94.81251784676661</v>
      </c>
      <c r="AD457" s="142">
        <v>0</v>
      </c>
      <c r="AE457" s="142">
        <v>0</v>
      </c>
      <c r="AF457" s="142">
        <v>0</v>
      </c>
      <c r="AG457" s="142">
        <v>0</v>
      </c>
      <c r="AH457" s="142">
        <v>0</v>
      </c>
    </row>
    <row r="458" spans="1:34" x14ac:dyDescent="0.25">
      <c r="A458" s="96">
        <v>52657</v>
      </c>
      <c r="B458" s="104">
        <f t="shared" si="71"/>
        <v>25</v>
      </c>
      <c r="C458" s="104">
        <f>('Co-Processing'!B460*'Co-Pro Feedstock Breakdown'!C$3*'Feedstock Conversion Rates'!B$12)/12-10-15</f>
        <v>10.520833333333336</v>
      </c>
      <c r="D458" s="106">
        <f t="shared" si="75"/>
        <v>35.520833333333336</v>
      </c>
      <c r="E458" s="104">
        <f>('Co-Processing'!C460*'Co-Pro Feedstock Breakdown'!E$3*'Feedstock Conversion Rates'!B$13)/12</f>
        <v>25.78125</v>
      </c>
      <c r="F458" s="104">
        <f>('Co-Processing'!C460*'Co-Pro Feedstock Breakdown'!F$3*'Feedstock Conversion Rates'!B$14)/12</f>
        <v>8.5364583333333339</v>
      </c>
      <c r="G458" s="106">
        <f t="shared" si="76"/>
        <v>34.317708333333336</v>
      </c>
      <c r="H458" s="104">
        <f>('Co-Processing'!D460*'Co-Pro Feedstock Breakdown'!H$3*'Feedstock Conversion Rates'!B$13)/12</f>
        <v>93.75</v>
      </c>
      <c r="I458" s="106">
        <f t="shared" si="78"/>
        <v>93.75</v>
      </c>
      <c r="J458" s="104">
        <f>('Co-Processing'!E460*'Co-Pro Feedstock Breakdown'!J$3*'Feedstock Conversion Rates'!B$13)/12</f>
        <v>1.25</v>
      </c>
      <c r="K458" s="104">
        <f>('Co-Processing'!E460*'Co-Pro Feedstock Breakdown'!K$3*'Feedstock Conversion Rates'!B$12)/12</f>
        <v>1.2916666666666667</v>
      </c>
      <c r="L458" s="106">
        <f t="shared" si="80"/>
        <v>2.541666666666667</v>
      </c>
      <c r="N458" s="104">
        <f t="shared" si="81"/>
        <v>145.78125</v>
      </c>
      <c r="O458" s="104">
        <f t="shared" si="72"/>
        <v>20.348958333333336</v>
      </c>
      <c r="P458" s="104"/>
      <c r="Q458" s="106">
        <f t="shared" si="73"/>
        <v>166.13020833333334</v>
      </c>
      <c r="R458" s="141">
        <f t="shared" si="82"/>
        <v>0</v>
      </c>
      <c r="T458" s="110">
        <f t="shared" si="74"/>
        <v>0.87751199172335947</v>
      </c>
      <c r="U458" s="110">
        <f t="shared" si="74"/>
        <v>0.12248800827664044</v>
      </c>
      <c r="V458" s="110">
        <f t="shared" si="74"/>
        <v>0</v>
      </c>
      <c r="W458" s="110">
        <f t="shared" si="77"/>
        <v>0.99999999999999989</v>
      </c>
      <c r="Y458" s="142">
        <f>T458*'Co-Processing'!K460*'Feedstock Conversion Rates'!B$13</f>
        <v>136.43657736651573</v>
      </c>
      <c r="Z458" s="142">
        <f>U458*'Co-Processing'!K460*'Feedstock Conversion Rates'!B$12</f>
        <v>19.679396142551255</v>
      </c>
      <c r="AA458" s="142">
        <f>V458*'Co-Processing'!K460*'Feedstock Conversion Rates'!B$14</f>
        <v>0</v>
      </c>
      <c r="AB458" s="142">
        <f t="shared" si="79"/>
        <v>156.11597350906698</v>
      </c>
      <c r="AD458" s="142">
        <v>0</v>
      </c>
      <c r="AE458" s="142">
        <v>0</v>
      </c>
      <c r="AF458" s="142">
        <v>0</v>
      </c>
      <c r="AG458" s="142">
        <v>0</v>
      </c>
      <c r="AH458" s="142">
        <v>0</v>
      </c>
    </row>
    <row r="459" spans="1:34" x14ac:dyDescent="0.25">
      <c r="A459" s="96">
        <v>52688</v>
      </c>
      <c r="B459" s="104">
        <f t="shared" si="71"/>
        <v>25</v>
      </c>
      <c r="C459" s="104">
        <f>('Co-Processing'!B461*'Co-Pro Feedstock Breakdown'!C$3*'Feedstock Conversion Rates'!B$12)/12-10-15</f>
        <v>10.520833333333336</v>
      </c>
      <c r="D459" s="106">
        <f t="shared" si="75"/>
        <v>35.520833333333336</v>
      </c>
      <c r="E459" s="104">
        <f>('Co-Processing'!C461*'Co-Pro Feedstock Breakdown'!E$3*'Feedstock Conversion Rates'!B$13)/12</f>
        <v>25.78125</v>
      </c>
      <c r="F459" s="104">
        <f>('Co-Processing'!C461*'Co-Pro Feedstock Breakdown'!F$3*'Feedstock Conversion Rates'!B$14)/12</f>
        <v>8.5364583333333339</v>
      </c>
      <c r="G459" s="106">
        <f t="shared" si="76"/>
        <v>34.317708333333336</v>
      </c>
      <c r="H459" s="104">
        <f>('Co-Processing'!D461*'Co-Pro Feedstock Breakdown'!H$3*'Feedstock Conversion Rates'!B$13)/12</f>
        <v>93.75</v>
      </c>
      <c r="I459" s="106">
        <f t="shared" si="78"/>
        <v>93.75</v>
      </c>
      <c r="J459" s="104">
        <f>('Co-Processing'!E461*'Co-Pro Feedstock Breakdown'!J$3*'Feedstock Conversion Rates'!B$13)/12</f>
        <v>1.25</v>
      </c>
      <c r="K459" s="104">
        <f>('Co-Processing'!E461*'Co-Pro Feedstock Breakdown'!K$3*'Feedstock Conversion Rates'!B$12)/12</f>
        <v>1.2916666666666667</v>
      </c>
      <c r="L459" s="106">
        <f t="shared" si="80"/>
        <v>2.541666666666667</v>
      </c>
      <c r="N459" s="104">
        <f t="shared" si="81"/>
        <v>145.78125</v>
      </c>
      <c r="O459" s="104">
        <f t="shared" si="72"/>
        <v>20.348958333333336</v>
      </c>
      <c r="P459" s="104"/>
      <c r="Q459" s="106">
        <f t="shared" si="73"/>
        <v>166.13020833333334</v>
      </c>
      <c r="R459" s="141">
        <f t="shared" si="82"/>
        <v>0</v>
      </c>
      <c r="T459" s="110">
        <f t="shared" si="74"/>
        <v>0.87751199172335947</v>
      </c>
      <c r="U459" s="110">
        <f t="shared" si="74"/>
        <v>0.12248800827664044</v>
      </c>
      <c r="V459" s="110">
        <f t="shared" si="74"/>
        <v>0</v>
      </c>
      <c r="W459" s="110">
        <f t="shared" si="77"/>
        <v>0.99999999999999989</v>
      </c>
      <c r="Y459" s="142">
        <f>T459*'Co-Processing'!K461*'Feedstock Conversion Rates'!B$13</f>
        <v>88.859314493917026</v>
      </c>
      <c r="Z459" s="142">
        <f>U459*'Co-Processing'!K461*'Feedstock Conversion Rates'!B$12</f>
        <v>12.816926990067584</v>
      </c>
      <c r="AA459" s="142">
        <f>V459*'Co-Processing'!K461*'Feedstock Conversion Rates'!B$14</f>
        <v>0</v>
      </c>
      <c r="AB459" s="142">
        <f t="shared" si="79"/>
        <v>101.67624148398461</v>
      </c>
      <c r="AD459" s="142">
        <v>0</v>
      </c>
      <c r="AE459" s="142">
        <v>0</v>
      </c>
      <c r="AF459" s="142">
        <v>0</v>
      </c>
      <c r="AG459" s="142">
        <v>0</v>
      </c>
      <c r="AH459" s="142">
        <v>0</v>
      </c>
    </row>
    <row r="460" spans="1:34" x14ac:dyDescent="0.25">
      <c r="A460" s="96">
        <v>52718</v>
      </c>
      <c r="B460" s="104">
        <f t="shared" ref="B460:B523" si="83">10+15</f>
        <v>25</v>
      </c>
      <c r="C460" s="104">
        <f>('Co-Processing'!B462*'Co-Pro Feedstock Breakdown'!C$3*'Feedstock Conversion Rates'!B$12)/12-10-15</f>
        <v>10.520833333333336</v>
      </c>
      <c r="D460" s="106">
        <f t="shared" si="75"/>
        <v>35.520833333333336</v>
      </c>
      <c r="E460" s="104">
        <f>('Co-Processing'!C462*'Co-Pro Feedstock Breakdown'!E$3*'Feedstock Conversion Rates'!B$13)/12</f>
        <v>25.78125</v>
      </c>
      <c r="F460" s="104">
        <f>('Co-Processing'!C462*'Co-Pro Feedstock Breakdown'!F$3*'Feedstock Conversion Rates'!B$14)/12</f>
        <v>8.5364583333333339</v>
      </c>
      <c r="G460" s="106">
        <f t="shared" si="76"/>
        <v>34.317708333333336</v>
      </c>
      <c r="H460" s="104">
        <f>('Co-Processing'!D462*'Co-Pro Feedstock Breakdown'!H$3*'Feedstock Conversion Rates'!B$13)/12</f>
        <v>93.75</v>
      </c>
      <c r="I460" s="106">
        <f t="shared" si="78"/>
        <v>93.75</v>
      </c>
      <c r="J460" s="104">
        <f>('Co-Processing'!E462*'Co-Pro Feedstock Breakdown'!J$3*'Feedstock Conversion Rates'!B$13)/12</f>
        <v>1.25</v>
      </c>
      <c r="K460" s="104">
        <f>('Co-Processing'!E462*'Co-Pro Feedstock Breakdown'!K$3*'Feedstock Conversion Rates'!B$12)/12</f>
        <v>1.2916666666666667</v>
      </c>
      <c r="L460" s="106">
        <f t="shared" si="80"/>
        <v>2.541666666666667</v>
      </c>
      <c r="N460" s="104">
        <f t="shared" si="81"/>
        <v>145.78125</v>
      </c>
      <c r="O460" s="104">
        <f t="shared" ref="O460:O523" si="84">C460+K460+F460</f>
        <v>20.348958333333336</v>
      </c>
      <c r="P460" s="104"/>
      <c r="Q460" s="106">
        <f t="shared" ref="Q460:Q523" si="85">SUM(N460:P460)</f>
        <v>166.13020833333334</v>
      </c>
      <c r="R460" s="141">
        <f t="shared" si="82"/>
        <v>0</v>
      </c>
      <c r="T460" s="110">
        <f t="shared" ref="T460:V523" si="86">N460/$Q460</f>
        <v>0.87751199172335947</v>
      </c>
      <c r="U460" s="110">
        <f t="shared" si="86"/>
        <v>0.12248800827664044</v>
      </c>
      <c r="V460" s="110">
        <f t="shared" si="86"/>
        <v>0</v>
      </c>
      <c r="W460" s="110">
        <f t="shared" si="77"/>
        <v>0.99999999999999989</v>
      </c>
      <c r="Y460" s="142">
        <f>T460*'Co-Processing'!K462*'Feedstock Conversion Rates'!B$13</f>
        <v>97.817533142829163</v>
      </c>
      <c r="Z460" s="142">
        <f>U460*'Co-Processing'!K462*'Feedstock Conversion Rates'!B$12</f>
        <v>14.10904628040972</v>
      </c>
      <c r="AA460" s="142">
        <f>V460*'Co-Processing'!K462*'Feedstock Conversion Rates'!B$14</f>
        <v>0</v>
      </c>
      <c r="AB460" s="142">
        <f t="shared" si="79"/>
        <v>111.92657942323888</v>
      </c>
      <c r="AD460" s="142">
        <v>0</v>
      </c>
      <c r="AE460" s="142">
        <v>0</v>
      </c>
      <c r="AF460" s="142">
        <v>0</v>
      </c>
      <c r="AG460" s="142">
        <v>0</v>
      </c>
      <c r="AH460" s="142">
        <v>0</v>
      </c>
    </row>
    <row r="461" spans="1:34" x14ac:dyDescent="0.25">
      <c r="A461" s="96">
        <v>52749</v>
      </c>
      <c r="B461" s="104">
        <f t="shared" si="83"/>
        <v>25</v>
      </c>
      <c r="C461" s="104">
        <f>('Co-Processing'!B463*'Co-Pro Feedstock Breakdown'!C$3*'Feedstock Conversion Rates'!B$12)/12-10-15</f>
        <v>10.520833333333336</v>
      </c>
      <c r="D461" s="106">
        <f t="shared" si="75"/>
        <v>35.520833333333336</v>
      </c>
      <c r="E461" s="104">
        <f>('Co-Processing'!C463*'Co-Pro Feedstock Breakdown'!E$3*'Feedstock Conversion Rates'!B$13)/12</f>
        <v>25.78125</v>
      </c>
      <c r="F461" s="104">
        <f>('Co-Processing'!C463*'Co-Pro Feedstock Breakdown'!F$3*'Feedstock Conversion Rates'!B$14)/12</f>
        <v>8.5364583333333339</v>
      </c>
      <c r="G461" s="106">
        <f t="shared" si="76"/>
        <v>34.317708333333336</v>
      </c>
      <c r="H461" s="104">
        <f>('Co-Processing'!D463*'Co-Pro Feedstock Breakdown'!H$3*'Feedstock Conversion Rates'!B$13)/12</f>
        <v>93.75</v>
      </c>
      <c r="I461" s="106">
        <f t="shared" si="78"/>
        <v>93.75</v>
      </c>
      <c r="J461" s="104">
        <f>('Co-Processing'!E463*'Co-Pro Feedstock Breakdown'!J$3*'Feedstock Conversion Rates'!B$13)/12</f>
        <v>1.25</v>
      </c>
      <c r="K461" s="104">
        <f>('Co-Processing'!E463*'Co-Pro Feedstock Breakdown'!K$3*'Feedstock Conversion Rates'!B$12)/12</f>
        <v>1.2916666666666667</v>
      </c>
      <c r="L461" s="106">
        <f t="shared" si="80"/>
        <v>2.541666666666667</v>
      </c>
      <c r="N461" s="104">
        <f t="shared" si="81"/>
        <v>145.78125</v>
      </c>
      <c r="O461" s="104">
        <f t="shared" si="84"/>
        <v>20.348958333333336</v>
      </c>
      <c r="P461" s="104"/>
      <c r="Q461" s="106">
        <f t="shared" si="85"/>
        <v>166.13020833333334</v>
      </c>
      <c r="R461" s="141">
        <f t="shared" si="82"/>
        <v>0</v>
      </c>
      <c r="T461" s="110">
        <f t="shared" si="86"/>
        <v>0.87751199172335947</v>
      </c>
      <c r="U461" s="110">
        <f t="shared" si="86"/>
        <v>0.12248800827664044</v>
      </c>
      <c r="V461" s="110">
        <f t="shared" si="86"/>
        <v>0</v>
      </c>
      <c r="W461" s="110">
        <f t="shared" si="77"/>
        <v>0.99999999999999989</v>
      </c>
      <c r="Y461" s="142">
        <f>T461*'Co-Processing'!K463*'Feedstock Conversion Rates'!B$13</f>
        <v>132.41939761796212</v>
      </c>
      <c r="Z461" s="142">
        <f>U461*'Co-Processing'!K463*'Feedstock Conversion Rates'!B$12</f>
        <v>19.099964488858781</v>
      </c>
      <c r="AA461" s="142">
        <f>V461*'Co-Processing'!K463*'Feedstock Conversion Rates'!B$14</f>
        <v>0</v>
      </c>
      <c r="AB461" s="142">
        <f t="shared" si="79"/>
        <v>151.51936210682089</v>
      </c>
      <c r="AD461" s="142">
        <v>0</v>
      </c>
      <c r="AE461" s="142">
        <v>0</v>
      </c>
      <c r="AF461" s="142">
        <v>0</v>
      </c>
      <c r="AG461" s="142">
        <v>0</v>
      </c>
      <c r="AH461" s="142">
        <v>0</v>
      </c>
    </row>
    <row r="462" spans="1:34" x14ac:dyDescent="0.25">
      <c r="A462" s="96">
        <v>52779</v>
      </c>
      <c r="B462" s="104">
        <f t="shared" si="83"/>
        <v>25</v>
      </c>
      <c r="C462" s="104">
        <f>('Co-Processing'!B464*'Co-Pro Feedstock Breakdown'!C$3*'Feedstock Conversion Rates'!B$12)/12-10-15</f>
        <v>10.520833333333336</v>
      </c>
      <c r="D462" s="106">
        <f t="shared" si="75"/>
        <v>35.520833333333336</v>
      </c>
      <c r="E462" s="104">
        <f>('Co-Processing'!C464*'Co-Pro Feedstock Breakdown'!E$3*'Feedstock Conversion Rates'!B$13)/12</f>
        <v>25.78125</v>
      </c>
      <c r="F462" s="104">
        <f>('Co-Processing'!C464*'Co-Pro Feedstock Breakdown'!F$3*'Feedstock Conversion Rates'!B$14)/12</f>
        <v>8.5364583333333339</v>
      </c>
      <c r="G462" s="106">
        <f t="shared" si="76"/>
        <v>34.317708333333336</v>
      </c>
      <c r="H462" s="104">
        <f>('Co-Processing'!D464*'Co-Pro Feedstock Breakdown'!H$3*'Feedstock Conversion Rates'!B$13)/12</f>
        <v>93.75</v>
      </c>
      <c r="I462" s="106">
        <f t="shared" si="78"/>
        <v>93.75</v>
      </c>
      <c r="J462" s="104">
        <f>('Co-Processing'!E464*'Co-Pro Feedstock Breakdown'!J$3*'Feedstock Conversion Rates'!B$13)/12</f>
        <v>1.25</v>
      </c>
      <c r="K462" s="104">
        <f>('Co-Processing'!E464*'Co-Pro Feedstock Breakdown'!K$3*'Feedstock Conversion Rates'!B$12)/12</f>
        <v>1.2916666666666667</v>
      </c>
      <c r="L462" s="106">
        <f t="shared" si="80"/>
        <v>2.541666666666667</v>
      </c>
      <c r="N462" s="104">
        <f t="shared" si="81"/>
        <v>145.78125</v>
      </c>
      <c r="O462" s="104">
        <f t="shared" si="84"/>
        <v>20.348958333333336</v>
      </c>
      <c r="P462" s="104"/>
      <c r="Q462" s="106">
        <f t="shared" si="85"/>
        <v>166.13020833333334</v>
      </c>
      <c r="R462" s="141">
        <f t="shared" si="82"/>
        <v>0</v>
      </c>
      <c r="T462" s="110">
        <f t="shared" si="86"/>
        <v>0.87751199172335947</v>
      </c>
      <c r="U462" s="110">
        <f t="shared" si="86"/>
        <v>0.12248800827664044</v>
      </c>
      <c r="V462" s="110">
        <f t="shared" si="86"/>
        <v>0</v>
      </c>
      <c r="W462" s="110">
        <f t="shared" si="77"/>
        <v>0.99999999999999989</v>
      </c>
      <c r="Y462" s="142">
        <f>T462*'Co-Processing'!K464*'Feedstock Conversion Rates'!B$13</f>
        <v>110.55985063630312</v>
      </c>
      <c r="Z462" s="142">
        <f>U462*'Co-Processing'!K464*'Feedstock Conversion Rates'!B$12</f>
        <v>15.946978003474012</v>
      </c>
      <c r="AA462" s="142">
        <f>V462*'Co-Processing'!K464*'Feedstock Conversion Rates'!B$14</f>
        <v>0</v>
      </c>
      <c r="AB462" s="142">
        <f t="shared" si="79"/>
        <v>126.50682863977714</v>
      </c>
      <c r="AD462" s="142">
        <v>0</v>
      </c>
      <c r="AE462" s="142">
        <v>0</v>
      </c>
      <c r="AF462" s="142">
        <v>0</v>
      </c>
      <c r="AG462" s="142">
        <v>0</v>
      </c>
      <c r="AH462" s="142">
        <v>0</v>
      </c>
    </row>
    <row r="463" spans="1:34" x14ac:dyDescent="0.25">
      <c r="A463" s="96">
        <v>52810</v>
      </c>
      <c r="B463" s="104">
        <f t="shared" si="83"/>
        <v>25</v>
      </c>
      <c r="C463" s="104">
        <f>('Co-Processing'!B465*'Co-Pro Feedstock Breakdown'!C$3*'Feedstock Conversion Rates'!B$12)/12-10-15</f>
        <v>10.520833333333336</v>
      </c>
      <c r="D463" s="106">
        <f t="shared" si="75"/>
        <v>35.520833333333336</v>
      </c>
      <c r="E463" s="104">
        <f>('Co-Processing'!C465*'Co-Pro Feedstock Breakdown'!E$3*'Feedstock Conversion Rates'!B$13)/12</f>
        <v>25.78125</v>
      </c>
      <c r="F463" s="104">
        <f>('Co-Processing'!C465*'Co-Pro Feedstock Breakdown'!F$3*'Feedstock Conversion Rates'!B$14)/12</f>
        <v>8.5364583333333339</v>
      </c>
      <c r="G463" s="106">
        <f t="shared" si="76"/>
        <v>34.317708333333336</v>
      </c>
      <c r="H463" s="104">
        <f>('Co-Processing'!D465*'Co-Pro Feedstock Breakdown'!H$3*'Feedstock Conversion Rates'!B$13)/12</f>
        <v>93.75</v>
      </c>
      <c r="I463" s="106">
        <f t="shared" si="78"/>
        <v>93.75</v>
      </c>
      <c r="J463" s="104">
        <f>('Co-Processing'!E465*'Co-Pro Feedstock Breakdown'!J$3*'Feedstock Conversion Rates'!B$13)/12</f>
        <v>1.25</v>
      </c>
      <c r="K463" s="104">
        <f>('Co-Processing'!E465*'Co-Pro Feedstock Breakdown'!K$3*'Feedstock Conversion Rates'!B$12)/12</f>
        <v>1.2916666666666667</v>
      </c>
      <c r="L463" s="106">
        <f t="shared" si="80"/>
        <v>2.541666666666667</v>
      </c>
      <c r="N463" s="104">
        <f t="shared" si="81"/>
        <v>145.78125</v>
      </c>
      <c r="O463" s="104">
        <f t="shared" si="84"/>
        <v>20.348958333333336</v>
      </c>
      <c r="P463" s="104"/>
      <c r="Q463" s="106">
        <f t="shared" si="85"/>
        <v>166.13020833333334</v>
      </c>
      <c r="R463" s="141">
        <f t="shared" si="82"/>
        <v>0</v>
      </c>
      <c r="T463" s="110">
        <f t="shared" si="86"/>
        <v>0.87751199172335947</v>
      </c>
      <c r="U463" s="110">
        <f t="shared" si="86"/>
        <v>0.12248800827664044</v>
      </c>
      <c r="V463" s="110">
        <f t="shared" si="86"/>
        <v>0</v>
      </c>
      <c r="W463" s="110">
        <f t="shared" si="77"/>
        <v>0.99999999999999989</v>
      </c>
      <c r="Y463" s="142">
        <f>T463*'Co-Processing'!K465*'Feedstock Conversion Rates'!B$13</f>
        <v>162.41383037747801</v>
      </c>
      <c r="Z463" s="142">
        <f>U463*'Co-Processing'!K465*'Feedstock Conversion Rates'!B$12</f>
        <v>23.426314033379786</v>
      </c>
      <c r="AA463" s="142">
        <f>V463*'Co-Processing'!K465*'Feedstock Conversion Rates'!B$14</f>
        <v>0</v>
      </c>
      <c r="AB463" s="142">
        <f t="shared" si="79"/>
        <v>185.84014441085779</v>
      </c>
      <c r="AD463" s="142">
        <v>0</v>
      </c>
      <c r="AE463" s="142">
        <v>0</v>
      </c>
      <c r="AF463" s="142">
        <v>0</v>
      </c>
      <c r="AG463" s="142">
        <v>0</v>
      </c>
      <c r="AH463" s="142">
        <v>0</v>
      </c>
    </row>
    <row r="464" spans="1:34" x14ac:dyDescent="0.25">
      <c r="A464" s="96">
        <v>52841</v>
      </c>
      <c r="B464" s="104">
        <f t="shared" si="83"/>
        <v>25</v>
      </c>
      <c r="C464" s="104">
        <f>('Co-Processing'!B466*'Co-Pro Feedstock Breakdown'!C$3*'Feedstock Conversion Rates'!B$12)/12-10-15</f>
        <v>10.520833333333336</v>
      </c>
      <c r="D464" s="106">
        <f t="shared" si="75"/>
        <v>35.520833333333336</v>
      </c>
      <c r="E464" s="104">
        <f>('Co-Processing'!C466*'Co-Pro Feedstock Breakdown'!E$3*'Feedstock Conversion Rates'!B$13)/12</f>
        <v>25.78125</v>
      </c>
      <c r="F464" s="104">
        <f>('Co-Processing'!C466*'Co-Pro Feedstock Breakdown'!F$3*'Feedstock Conversion Rates'!B$14)/12</f>
        <v>8.5364583333333339</v>
      </c>
      <c r="G464" s="106">
        <f t="shared" si="76"/>
        <v>34.317708333333336</v>
      </c>
      <c r="H464" s="104">
        <f>('Co-Processing'!D466*'Co-Pro Feedstock Breakdown'!H$3*'Feedstock Conversion Rates'!B$13)/12</f>
        <v>93.75</v>
      </c>
      <c r="I464" s="106">
        <f t="shared" si="78"/>
        <v>93.75</v>
      </c>
      <c r="J464" s="104">
        <f>('Co-Processing'!E466*'Co-Pro Feedstock Breakdown'!J$3*'Feedstock Conversion Rates'!B$13)/12</f>
        <v>1.25</v>
      </c>
      <c r="K464" s="104">
        <f>('Co-Processing'!E466*'Co-Pro Feedstock Breakdown'!K$3*'Feedstock Conversion Rates'!B$12)/12</f>
        <v>1.2916666666666667</v>
      </c>
      <c r="L464" s="106">
        <f t="shared" si="80"/>
        <v>2.541666666666667</v>
      </c>
      <c r="N464" s="104">
        <f t="shared" si="81"/>
        <v>145.78125</v>
      </c>
      <c r="O464" s="104">
        <f t="shared" si="84"/>
        <v>20.348958333333336</v>
      </c>
      <c r="P464" s="104"/>
      <c r="Q464" s="106">
        <f t="shared" si="85"/>
        <v>166.13020833333334</v>
      </c>
      <c r="R464" s="141">
        <f t="shared" si="82"/>
        <v>0</v>
      </c>
      <c r="T464" s="110">
        <f t="shared" si="86"/>
        <v>0.87751199172335947</v>
      </c>
      <c r="U464" s="110">
        <f t="shared" si="86"/>
        <v>0.12248800827664044</v>
      </c>
      <c r="V464" s="110">
        <f t="shared" si="86"/>
        <v>0</v>
      </c>
      <c r="W464" s="110">
        <f t="shared" si="77"/>
        <v>0.99999999999999989</v>
      </c>
      <c r="Y464" s="142">
        <f>T464*'Co-Processing'!K466*'Feedstock Conversion Rates'!B$13</f>
        <v>145.74572308686706</v>
      </c>
      <c r="Z464" s="142">
        <f>U464*'Co-Processing'!K466*'Feedstock Conversion Rates'!B$12</f>
        <v>21.022132598680578</v>
      </c>
      <c r="AA464" s="142">
        <f>V464*'Co-Processing'!K466*'Feedstock Conversion Rates'!B$14</f>
        <v>0</v>
      </c>
      <c r="AB464" s="142">
        <f t="shared" si="79"/>
        <v>166.76785568554763</v>
      </c>
      <c r="AD464" s="142">
        <v>0</v>
      </c>
      <c r="AE464" s="142">
        <v>0</v>
      </c>
      <c r="AF464" s="142">
        <v>0</v>
      </c>
      <c r="AG464" s="142">
        <v>0</v>
      </c>
      <c r="AH464" s="142">
        <v>0</v>
      </c>
    </row>
    <row r="465" spans="1:34" x14ac:dyDescent="0.25">
      <c r="A465" s="96">
        <v>52871</v>
      </c>
      <c r="B465" s="104">
        <f t="shared" si="83"/>
        <v>25</v>
      </c>
      <c r="C465" s="104">
        <f>('Co-Processing'!B467*'Co-Pro Feedstock Breakdown'!C$3*'Feedstock Conversion Rates'!B$12)/12-10-15</f>
        <v>10.520833333333336</v>
      </c>
      <c r="D465" s="106">
        <f t="shared" si="75"/>
        <v>35.520833333333336</v>
      </c>
      <c r="E465" s="104">
        <f>('Co-Processing'!C467*'Co-Pro Feedstock Breakdown'!E$3*'Feedstock Conversion Rates'!B$13)/12</f>
        <v>25.78125</v>
      </c>
      <c r="F465" s="104">
        <f>('Co-Processing'!C467*'Co-Pro Feedstock Breakdown'!F$3*'Feedstock Conversion Rates'!B$14)/12</f>
        <v>8.5364583333333339</v>
      </c>
      <c r="G465" s="106">
        <f t="shared" si="76"/>
        <v>34.317708333333336</v>
      </c>
      <c r="H465" s="104">
        <f>('Co-Processing'!D467*'Co-Pro Feedstock Breakdown'!H$3*'Feedstock Conversion Rates'!B$13)/12</f>
        <v>93.75</v>
      </c>
      <c r="I465" s="106">
        <f t="shared" si="78"/>
        <v>93.75</v>
      </c>
      <c r="J465" s="104">
        <f>('Co-Processing'!E467*'Co-Pro Feedstock Breakdown'!J$3*'Feedstock Conversion Rates'!B$13)/12</f>
        <v>1.25</v>
      </c>
      <c r="K465" s="104">
        <f>('Co-Processing'!E467*'Co-Pro Feedstock Breakdown'!K$3*'Feedstock Conversion Rates'!B$12)/12</f>
        <v>1.2916666666666667</v>
      </c>
      <c r="L465" s="106">
        <f t="shared" si="80"/>
        <v>2.541666666666667</v>
      </c>
      <c r="N465" s="104">
        <f t="shared" si="81"/>
        <v>145.78125</v>
      </c>
      <c r="O465" s="104">
        <f t="shared" si="84"/>
        <v>20.348958333333336</v>
      </c>
      <c r="P465" s="104"/>
      <c r="Q465" s="106">
        <f t="shared" si="85"/>
        <v>166.13020833333334</v>
      </c>
      <c r="R465" s="141">
        <f t="shared" si="82"/>
        <v>0</v>
      </c>
      <c r="T465" s="110">
        <f t="shared" si="86"/>
        <v>0.87751199172335947</v>
      </c>
      <c r="U465" s="110">
        <f t="shared" si="86"/>
        <v>0.12248800827664044</v>
      </c>
      <c r="V465" s="110">
        <f t="shared" si="86"/>
        <v>0</v>
      </c>
      <c r="W465" s="110">
        <f t="shared" si="77"/>
        <v>0.99999999999999989</v>
      </c>
      <c r="Y465" s="142">
        <f>T465*'Co-Processing'!K467*'Feedstock Conversion Rates'!B$13</f>
        <v>117.1345121806022</v>
      </c>
      <c r="Z465" s="142">
        <f>U465*'Co-Processing'!K467*'Feedstock Conversion Rates'!B$12</f>
        <v>16.895296786683339</v>
      </c>
      <c r="AA465" s="142">
        <f>V465*'Co-Processing'!K467*'Feedstock Conversion Rates'!B$14</f>
        <v>0</v>
      </c>
      <c r="AB465" s="142">
        <f t="shared" si="79"/>
        <v>134.02980896728553</v>
      </c>
      <c r="AD465" s="142">
        <v>0</v>
      </c>
      <c r="AE465" s="142">
        <v>0</v>
      </c>
      <c r="AF465" s="142">
        <v>0</v>
      </c>
      <c r="AG465" s="142">
        <v>0</v>
      </c>
      <c r="AH465" s="142">
        <v>0</v>
      </c>
    </row>
    <row r="466" spans="1:34" x14ac:dyDescent="0.25">
      <c r="A466" s="96">
        <v>52902</v>
      </c>
      <c r="B466" s="104">
        <f t="shared" si="83"/>
        <v>25</v>
      </c>
      <c r="C466" s="104">
        <f>('Co-Processing'!B468*'Co-Pro Feedstock Breakdown'!C$3*'Feedstock Conversion Rates'!B$12)/12-10-15</f>
        <v>10.520833333333336</v>
      </c>
      <c r="D466" s="106">
        <f t="shared" si="75"/>
        <v>35.520833333333336</v>
      </c>
      <c r="E466" s="104">
        <f>('Co-Processing'!C468*'Co-Pro Feedstock Breakdown'!E$3*'Feedstock Conversion Rates'!B$13)/12</f>
        <v>25.78125</v>
      </c>
      <c r="F466" s="104">
        <f>('Co-Processing'!C468*'Co-Pro Feedstock Breakdown'!F$3*'Feedstock Conversion Rates'!B$14)/12</f>
        <v>8.5364583333333339</v>
      </c>
      <c r="G466" s="106">
        <f t="shared" si="76"/>
        <v>34.317708333333336</v>
      </c>
      <c r="H466" s="104">
        <f>('Co-Processing'!D468*'Co-Pro Feedstock Breakdown'!H$3*'Feedstock Conversion Rates'!B$13)/12</f>
        <v>93.75</v>
      </c>
      <c r="I466" s="106">
        <f t="shared" si="78"/>
        <v>93.75</v>
      </c>
      <c r="J466" s="104">
        <f>('Co-Processing'!E468*'Co-Pro Feedstock Breakdown'!J$3*'Feedstock Conversion Rates'!B$13)/12</f>
        <v>1.25</v>
      </c>
      <c r="K466" s="104">
        <f>('Co-Processing'!E468*'Co-Pro Feedstock Breakdown'!K$3*'Feedstock Conversion Rates'!B$12)/12</f>
        <v>1.2916666666666667</v>
      </c>
      <c r="L466" s="106">
        <f t="shared" si="80"/>
        <v>2.541666666666667</v>
      </c>
      <c r="N466" s="104">
        <f t="shared" si="81"/>
        <v>145.78125</v>
      </c>
      <c r="O466" s="104">
        <f t="shared" si="84"/>
        <v>20.348958333333336</v>
      </c>
      <c r="P466" s="104"/>
      <c r="Q466" s="106">
        <f t="shared" si="85"/>
        <v>166.13020833333334</v>
      </c>
      <c r="R466" s="141">
        <f t="shared" si="82"/>
        <v>0</v>
      </c>
      <c r="T466" s="110">
        <f t="shared" si="86"/>
        <v>0.87751199172335947</v>
      </c>
      <c r="U466" s="110">
        <f t="shared" si="86"/>
        <v>0.12248800827664044</v>
      </c>
      <c r="V466" s="110">
        <f t="shared" si="86"/>
        <v>0</v>
      </c>
      <c r="W466" s="110">
        <f t="shared" si="77"/>
        <v>0.99999999999999989</v>
      </c>
      <c r="Y466" s="142">
        <f>T466*'Co-Processing'!K468*'Feedstock Conversion Rates'!B$13</f>
        <v>117.94051287912673</v>
      </c>
      <c r="Z466" s="142">
        <f>U466*'Co-Processing'!K468*'Feedstock Conversion Rates'!B$12</f>
        <v>17.011553052734541</v>
      </c>
      <c r="AA466" s="142">
        <f>V466*'Co-Processing'!K468*'Feedstock Conversion Rates'!B$14</f>
        <v>0</v>
      </c>
      <c r="AB466" s="142">
        <f t="shared" si="79"/>
        <v>134.95206593186128</v>
      </c>
      <c r="AD466" s="142">
        <v>0</v>
      </c>
      <c r="AE466" s="142">
        <v>0</v>
      </c>
      <c r="AF466" s="142">
        <v>0</v>
      </c>
      <c r="AG466" s="142">
        <v>0</v>
      </c>
      <c r="AH466" s="142">
        <v>0</v>
      </c>
    </row>
    <row r="467" spans="1:34" x14ac:dyDescent="0.25">
      <c r="A467" s="96">
        <v>52932</v>
      </c>
      <c r="B467" s="104">
        <f t="shared" si="83"/>
        <v>25</v>
      </c>
      <c r="C467" s="104">
        <f>('Co-Processing'!B469*'Co-Pro Feedstock Breakdown'!C$3*'Feedstock Conversion Rates'!B$12)/12-10-15</f>
        <v>10.520833333333336</v>
      </c>
      <c r="D467" s="106">
        <f t="shared" si="75"/>
        <v>35.520833333333336</v>
      </c>
      <c r="E467" s="104">
        <f>('Co-Processing'!C469*'Co-Pro Feedstock Breakdown'!E$3*'Feedstock Conversion Rates'!B$13)/12</f>
        <v>25.78125</v>
      </c>
      <c r="F467" s="104">
        <f>('Co-Processing'!C469*'Co-Pro Feedstock Breakdown'!F$3*'Feedstock Conversion Rates'!B$14)/12</f>
        <v>8.5364583333333339</v>
      </c>
      <c r="G467" s="106">
        <f t="shared" si="76"/>
        <v>34.317708333333336</v>
      </c>
      <c r="H467" s="104">
        <f>('Co-Processing'!D469*'Co-Pro Feedstock Breakdown'!H$3*'Feedstock Conversion Rates'!B$13)/12</f>
        <v>93.75</v>
      </c>
      <c r="I467" s="106">
        <f t="shared" si="78"/>
        <v>93.75</v>
      </c>
      <c r="J467" s="104">
        <f>('Co-Processing'!E469*'Co-Pro Feedstock Breakdown'!J$3*'Feedstock Conversion Rates'!B$13)/12</f>
        <v>1.25</v>
      </c>
      <c r="K467" s="104">
        <f>('Co-Processing'!E469*'Co-Pro Feedstock Breakdown'!K$3*'Feedstock Conversion Rates'!B$12)/12</f>
        <v>1.2916666666666667</v>
      </c>
      <c r="L467" s="106">
        <f t="shared" si="80"/>
        <v>2.541666666666667</v>
      </c>
      <c r="N467" s="104">
        <f t="shared" si="81"/>
        <v>145.78125</v>
      </c>
      <c r="O467" s="104">
        <f t="shared" si="84"/>
        <v>20.348958333333336</v>
      </c>
      <c r="P467" s="104"/>
      <c r="Q467" s="106">
        <f t="shared" si="85"/>
        <v>166.13020833333334</v>
      </c>
      <c r="R467" s="141">
        <f t="shared" si="82"/>
        <v>0</v>
      </c>
      <c r="T467" s="110">
        <f t="shared" si="86"/>
        <v>0.87751199172335947</v>
      </c>
      <c r="U467" s="110">
        <f t="shared" si="86"/>
        <v>0.12248800827664044</v>
      </c>
      <c r="V467" s="110">
        <f t="shared" si="86"/>
        <v>0</v>
      </c>
      <c r="W467" s="110">
        <f t="shared" si="77"/>
        <v>0.99999999999999989</v>
      </c>
      <c r="Y467" s="142">
        <f>T467*'Co-Processing'!K469*'Feedstock Conversion Rates'!B$13</f>
        <v>121.54878572340638</v>
      </c>
      <c r="Z467" s="142">
        <f>U467*'Co-Processing'!K469*'Feedstock Conversion Rates'!B$12</f>
        <v>17.532004621247843</v>
      </c>
      <c r="AA467" s="142">
        <f>V467*'Co-Processing'!K469*'Feedstock Conversion Rates'!B$14</f>
        <v>0</v>
      </c>
      <c r="AB467" s="142">
        <f t="shared" si="79"/>
        <v>139.08079034465422</v>
      </c>
      <c r="AD467" s="142">
        <v>0</v>
      </c>
      <c r="AE467" s="142">
        <v>0</v>
      </c>
      <c r="AF467" s="142">
        <v>0</v>
      </c>
      <c r="AG467" s="142">
        <v>0</v>
      </c>
      <c r="AH467" s="142">
        <v>0</v>
      </c>
    </row>
    <row r="468" spans="1:34" x14ac:dyDescent="0.25">
      <c r="A468" s="96">
        <v>52963</v>
      </c>
      <c r="B468" s="104">
        <f t="shared" si="83"/>
        <v>25</v>
      </c>
      <c r="C468" s="104">
        <f>('Co-Processing'!B470*'Co-Pro Feedstock Breakdown'!C$3*'Feedstock Conversion Rates'!B$12)/12-10-15</f>
        <v>10.520833333333336</v>
      </c>
      <c r="D468" s="106">
        <f t="shared" ref="D468:D531" si="87">C468+B468</f>
        <v>35.520833333333336</v>
      </c>
      <c r="E468" s="104">
        <f>('Co-Processing'!C470*'Co-Pro Feedstock Breakdown'!E$3*'Feedstock Conversion Rates'!B$13)/12</f>
        <v>25.78125</v>
      </c>
      <c r="F468" s="104">
        <f>('Co-Processing'!C470*'Co-Pro Feedstock Breakdown'!F$3*'Feedstock Conversion Rates'!B$14)/12</f>
        <v>8.5364583333333339</v>
      </c>
      <c r="G468" s="106">
        <f t="shared" si="76"/>
        <v>34.317708333333336</v>
      </c>
      <c r="H468" s="104">
        <f>('Co-Processing'!D470*'Co-Pro Feedstock Breakdown'!H$3*'Feedstock Conversion Rates'!B$13)/12</f>
        <v>93.75</v>
      </c>
      <c r="I468" s="106">
        <f t="shared" si="78"/>
        <v>93.75</v>
      </c>
      <c r="J468" s="104">
        <f>('Co-Processing'!E470*'Co-Pro Feedstock Breakdown'!J$3*'Feedstock Conversion Rates'!B$13)/12</f>
        <v>1.25</v>
      </c>
      <c r="K468" s="104">
        <f>('Co-Processing'!E470*'Co-Pro Feedstock Breakdown'!K$3*'Feedstock Conversion Rates'!B$12)/12</f>
        <v>1.2916666666666667</v>
      </c>
      <c r="L468" s="106">
        <f t="shared" si="80"/>
        <v>2.541666666666667</v>
      </c>
      <c r="N468" s="104">
        <f t="shared" si="81"/>
        <v>145.78125</v>
      </c>
      <c r="O468" s="104">
        <f t="shared" si="84"/>
        <v>20.348958333333336</v>
      </c>
      <c r="P468" s="104"/>
      <c r="Q468" s="106">
        <f t="shared" si="85"/>
        <v>166.13020833333334</v>
      </c>
      <c r="R468" s="141">
        <f t="shared" si="82"/>
        <v>0</v>
      </c>
      <c r="T468" s="110">
        <f t="shared" si="86"/>
        <v>0.87751199172335947</v>
      </c>
      <c r="U468" s="110">
        <f t="shared" si="86"/>
        <v>0.12248800827664044</v>
      </c>
      <c r="V468" s="110">
        <f t="shared" si="86"/>
        <v>0</v>
      </c>
      <c r="W468" s="110">
        <f t="shared" si="77"/>
        <v>0.99999999999999989</v>
      </c>
      <c r="Y468" s="142">
        <f>T468*'Co-Processing'!K470*'Feedstock Conversion Rates'!B$13</f>
        <v>105.74096853273727</v>
      </c>
      <c r="Z468" s="142">
        <f>U468*'Co-Processing'!K470*'Feedstock Conversion Rates'!B$12</f>
        <v>15.251910070000646</v>
      </c>
      <c r="AA468" s="142">
        <f>V468*'Co-Processing'!K470*'Feedstock Conversion Rates'!B$14</f>
        <v>0</v>
      </c>
      <c r="AB468" s="142">
        <f t="shared" si="79"/>
        <v>120.99287860273792</v>
      </c>
      <c r="AD468" s="142">
        <v>0</v>
      </c>
      <c r="AE468" s="142">
        <v>0</v>
      </c>
      <c r="AF468" s="142">
        <v>0</v>
      </c>
      <c r="AG468" s="142">
        <v>0</v>
      </c>
      <c r="AH468" s="142">
        <v>0</v>
      </c>
    </row>
    <row r="469" spans="1:34" x14ac:dyDescent="0.25">
      <c r="A469" s="96">
        <v>52994</v>
      </c>
      <c r="B469" s="104">
        <f t="shared" si="83"/>
        <v>25</v>
      </c>
      <c r="C469" s="104">
        <f>('Co-Processing'!B471*'Co-Pro Feedstock Breakdown'!C$3*'Feedstock Conversion Rates'!B$12)/12-10-15</f>
        <v>10.520833333333336</v>
      </c>
      <c r="D469" s="106">
        <f t="shared" si="87"/>
        <v>35.520833333333336</v>
      </c>
      <c r="E469" s="104">
        <f>('Co-Processing'!C471*'Co-Pro Feedstock Breakdown'!E$3*'Feedstock Conversion Rates'!B$13)/12</f>
        <v>25.78125</v>
      </c>
      <c r="F469" s="104">
        <f>('Co-Processing'!C471*'Co-Pro Feedstock Breakdown'!F$3*'Feedstock Conversion Rates'!B$14)/12</f>
        <v>8.5364583333333339</v>
      </c>
      <c r="G469" s="106">
        <f t="shared" si="76"/>
        <v>34.317708333333336</v>
      </c>
      <c r="H469" s="104">
        <f>('Co-Processing'!D471*'Co-Pro Feedstock Breakdown'!H$3*'Feedstock Conversion Rates'!B$13)/12</f>
        <v>93.75</v>
      </c>
      <c r="I469" s="106">
        <f t="shared" si="78"/>
        <v>93.75</v>
      </c>
      <c r="J469" s="104">
        <f>('Co-Processing'!E471*'Co-Pro Feedstock Breakdown'!J$3*'Feedstock Conversion Rates'!B$13)/12</f>
        <v>1.25</v>
      </c>
      <c r="K469" s="104">
        <f>('Co-Processing'!E471*'Co-Pro Feedstock Breakdown'!K$3*'Feedstock Conversion Rates'!B$12)/12</f>
        <v>1.2916666666666667</v>
      </c>
      <c r="L469" s="106">
        <f t="shared" si="80"/>
        <v>2.541666666666667</v>
      </c>
      <c r="N469" s="104">
        <f t="shared" si="81"/>
        <v>145.78125</v>
      </c>
      <c r="O469" s="104">
        <f t="shared" si="84"/>
        <v>20.348958333333336</v>
      </c>
      <c r="P469" s="104"/>
      <c r="Q469" s="106">
        <f t="shared" si="85"/>
        <v>166.13020833333334</v>
      </c>
      <c r="R469" s="141">
        <f t="shared" si="82"/>
        <v>0</v>
      </c>
      <c r="T469" s="110">
        <f t="shared" si="86"/>
        <v>0.87751199172335947</v>
      </c>
      <c r="U469" s="110">
        <f t="shared" si="86"/>
        <v>0.12248800827664044</v>
      </c>
      <c r="V469" s="110">
        <f t="shared" si="86"/>
        <v>0</v>
      </c>
      <c r="W469" s="110">
        <f t="shared" si="77"/>
        <v>0.99999999999999989</v>
      </c>
      <c r="Y469" s="142">
        <f>T469*'Co-Processing'!K471*'Feedstock Conversion Rates'!B$13</f>
        <v>82.691586045761042</v>
      </c>
      <c r="Z469" s="142">
        <f>U469*'Co-Processing'!K471*'Feedstock Conversion Rates'!B$12</f>
        <v>11.927303593074242</v>
      </c>
      <c r="AA469" s="142">
        <f>V469*'Co-Processing'!K471*'Feedstock Conversion Rates'!B$14</f>
        <v>0</v>
      </c>
      <c r="AB469" s="142">
        <f t="shared" si="79"/>
        <v>94.618889638835284</v>
      </c>
      <c r="AD469" s="142">
        <v>0</v>
      </c>
      <c r="AE469" s="142">
        <v>0</v>
      </c>
      <c r="AF469" s="142">
        <v>0</v>
      </c>
      <c r="AG469" s="142">
        <v>0</v>
      </c>
      <c r="AH469" s="142">
        <v>0</v>
      </c>
    </row>
    <row r="470" spans="1:34" x14ac:dyDescent="0.25">
      <c r="A470" s="96">
        <v>53022</v>
      </c>
      <c r="B470" s="104">
        <f t="shared" si="83"/>
        <v>25</v>
      </c>
      <c r="C470" s="104">
        <f>('Co-Processing'!B472*'Co-Pro Feedstock Breakdown'!C$3*'Feedstock Conversion Rates'!B$12)/12-10-15</f>
        <v>10.520833333333336</v>
      </c>
      <c r="D470" s="106">
        <f t="shared" si="87"/>
        <v>35.520833333333336</v>
      </c>
      <c r="E470" s="104">
        <f>('Co-Processing'!C472*'Co-Pro Feedstock Breakdown'!E$3*'Feedstock Conversion Rates'!B$13)/12</f>
        <v>25.78125</v>
      </c>
      <c r="F470" s="104">
        <f>('Co-Processing'!C472*'Co-Pro Feedstock Breakdown'!F$3*'Feedstock Conversion Rates'!B$14)/12</f>
        <v>8.5364583333333339</v>
      </c>
      <c r="G470" s="106">
        <f t="shared" si="76"/>
        <v>34.317708333333336</v>
      </c>
      <c r="H470" s="104">
        <f>('Co-Processing'!D472*'Co-Pro Feedstock Breakdown'!H$3*'Feedstock Conversion Rates'!B$13)/12</f>
        <v>93.75</v>
      </c>
      <c r="I470" s="106">
        <f t="shared" si="78"/>
        <v>93.75</v>
      </c>
      <c r="J470" s="104">
        <f>('Co-Processing'!E472*'Co-Pro Feedstock Breakdown'!J$3*'Feedstock Conversion Rates'!B$13)/12</f>
        <v>1.25</v>
      </c>
      <c r="K470" s="104">
        <f>('Co-Processing'!E472*'Co-Pro Feedstock Breakdown'!K$3*'Feedstock Conversion Rates'!B$12)/12</f>
        <v>1.2916666666666667</v>
      </c>
      <c r="L470" s="106">
        <f t="shared" si="80"/>
        <v>2.541666666666667</v>
      </c>
      <c r="N470" s="104">
        <f t="shared" si="81"/>
        <v>145.78125</v>
      </c>
      <c r="O470" s="104">
        <f t="shared" si="84"/>
        <v>20.348958333333336</v>
      </c>
      <c r="P470" s="104"/>
      <c r="Q470" s="106">
        <f t="shared" si="85"/>
        <v>166.13020833333334</v>
      </c>
      <c r="R470" s="141">
        <f t="shared" si="82"/>
        <v>0</v>
      </c>
      <c r="T470" s="110">
        <f t="shared" si="86"/>
        <v>0.87751199172335947</v>
      </c>
      <c r="U470" s="110">
        <f t="shared" si="86"/>
        <v>0.12248800827664044</v>
      </c>
      <c r="V470" s="110">
        <f t="shared" si="86"/>
        <v>0</v>
      </c>
      <c r="W470" s="110">
        <f t="shared" si="77"/>
        <v>0.99999999999999989</v>
      </c>
      <c r="Y470" s="142">
        <f>T470*'Co-Processing'!K472*'Feedstock Conversion Rates'!B$13</f>
        <v>136.183406734578</v>
      </c>
      <c r="Z470" s="142">
        <f>U470*'Co-Processing'!K472*'Feedstock Conversion Rates'!B$12</f>
        <v>19.64287921099427</v>
      </c>
      <c r="AA470" s="142">
        <f>V470*'Co-Processing'!K472*'Feedstock Conversion Rates'!B$14</f>
        <v>0</v>
      </c>
      <c r="AB470" s="142">
        <f t="shared" si="79"/>
        <v>155.82628594557227</v>
      </c>
      <c r="AD470" s="142">
        <v>0</v>
      </c>
      <c r="AE470" s="142">
        <v>0</v>
      </c>
      <c r="AF470" s="142">
        <v>0</v>
      </c>
      <c r="AG470" s="142">
        <v>0</v>
      </c>
      <c r="AH470" s="142">
        <v>0</v>
      </c>
    </row>
    <row r="471" spans="1:34" x14ac:dyDescent="0.25">
      <c r="A471" s="96">
        <v>53053</v>
      </c>
      <c r="B471" s="104">
        <f t="shared" si="83"/>
        <v>25</v>
      </c>
      <c r="C471" s="104">
        <f>('Co-Processing'!B473*'Co-Pro Feedstock Breakdown'!C$3*'Feedstock Conversion Rates'!B$12)/12-10-15</f>
        <v>10.520833333333336</v>
      </c>
      <c r="D471" s="106">
        <f t="shared" si="87"/>
        <v>35.520833333333336</v>
      </c>
      <c r="E471" s="104">
        <f>('Co-Processing'!C473*'Co-Pro Feedstock Breakdown'!E$3*'Feedstock Conversion Rates'!B$13)/12</f>
        <v>25.78125</v>
      </c>
      <c r="F471" s="104">
        <f>('Co-Processing'!C473*'Co-Pro Feedstock Breakdown'!F$3*'Feedstock Conversion Rates'!B$14)/12</f>
        <v>8.5364583333333339</v>
      </c>
      <c r="G471" s="106">
        <f t="shared" si="76"/>
        <v>34.317708333333336</v>
      </c>
      <c r="H471" s="104">
        <f>('Co-Processing'!D473*'Co-Pro Feedstock Breakdown'!H$3*'Feedstock Conversion Rates'!B$13)/12</f>
        <v>93.75</v>
      </c>
      <c r="I471" s="106">
        <f t="shared" si="78"/>
        <v>93.75</v>
      </c>
      <c r="J471" s="104">
        <f>('Co-Processing'!E473*'Co-Pro Feedstock Breakdown'!J$3*'Feedstock Conversion Rates'!B$13)/12</f>
        <v>1.25</v>
      </c>
      <c r="K471" s="104">
        <f>('Co-Processing'!E473*'Co-Pro Feedstock Breakdown'!K$3*'Feedstock Conversion Rates'!B$12)/12</f>
        <v>1.2916666666666667</v>
      </c>
      <c r="L471" s="106">
        <f t="shared" si="80"/>
        <v>2.541666666666667</v>
      </c>
      <c r="N471" s="104">
        <f t="shared" si="81"/>
        <v>145.78125</v>
      </c>
      <c r="O471" s="104">
        <f t="shared" si="84"/>
        <v>20.348958333333336</v>
      </c>
      <c r="P471" s="104"/>
      <c r="Q471" s="106">
        <f t="shared" si="85"/>
        <v>166.13020833333334</v>
      </c>
      <c r="R471" s="141">
        <f t="shared" si="82"/>
        <v>0</v>
      </c>
      <c r="T471" s="110">
        <f t="shared" si="86"/>
        <v>0.87751199172335947</v>
      </c>
      <c r="U471" s="110">
        <f t="shared" si="86"/>
        <v>0.12248800827664044</v>
      </c>
      <c r="V471" s="110">
        <f t="shared" si="86"/>
        <v>0</v>
      </c>
      <c r="W471" s="110">
        <f t="shared" si="77"/>
        <v>0.99999999999999989</v>
      </c>
      <c r="Y471" s="142">
        <f>T471*'Co-Processing'!K473*'Feedstock Conversion Rates'!B$13</f>
        <v>88.691457349936272</v>
      </c>
      <c r="Z471" s="142">
        <f>U471*'Co-Processing'!K473*'Feedstock Conversion Rates'!B$12</f>
        <v>12.792715541088761</v>
      </c>
      <c r="AA471" s="142">
        <f>V471*'Co-Processing'!K473*'Feedstock Conversion Rates'!B$14</f>
        <v>0</v>
      </c>
      <c r="AB471" s="142">
        <f t="shared" si="79"/>
        <v>101.48417289102503</v>
      </c>
      <c r="AD471" s="142">
        <v>0</v>
      </c>
      <c r="AE471" s="142">
        <v>0</v>
      </c>
      <c r="AF471" s="142">
        <v>0</v>
      </c>
      <c r="AG471" s="142">
        <v>0</v>
      </c>
      <c r="AH471" s="142">
        <v>0</v>
      </c>
    </row>
    <row r="472" spans="1:34" x14ac:dyDescent="0.25">
      <c r="A472" s="96">
        <v>53083</v>
      </c>
      <c r="B472" s="104">
        <f t="shared" si="83"/>
        <v>25</v>
      </c>
      <c r="C472" s="104">
        <f>('Co-Processing'!B474*'Co-Pro Feedstock Breakdown'!C$3*'Feedstock Conversion Rates'!B$12)/12-10-15</f>
        <v>10.520833333333336</v>
      </c>
      <c r="D472" s="106">
        <f t="shared" si="87"/>
        <v>35.520833333333336</v>
      </c>
      <c r="E472" s="104">
        <f>('Co-Processing'!C474*'Co-Pro Feedstock Breakdown'!E$3*'Feedstock Conversion Rates'!B$13)/12</f>
        <v>25.78125</v>
      </c>
      <c r="F472" s="104">
        <f>('Co-Processing'!C474*'Co-Pro Feedstock Breakdown'!F$3*'Feedstock Conversion Rates'!B$14)/12</f>
        <v>8.5364583333333339</v>
      </c>
      <c r="G472" s="106">
        <f t="shared" si="76"/>
        <v>34.317708333333336</v>
      </c>
      <c r="H472" s="104">
        <f>('Co-Processing'!D474*'Co-Pro Feedstock Breakdown'!H$3*'Feedstock Conversion Rates'!B$13)/12</f>
        <v>93.75</v>
      </c>
      <c r="I472" s="106">
        <f t="shared" si="78"/>
        <v>93.75</v>
      </c>
      <c r="J472" s="104">
        <f>('Co-Processing'!E474*'Co-Pro Feedstock Breakdown'!J$3*'Feedstock Conversion Rates'!B$13)/12</f>
        <v>1.25</v>
      </c>
      <c r="K472" s="104">
        <f>('Co-Processing'!E474*'Co-Pro Feedstock Breakdown'!K$3*'Feedstock Conversion Rates'!B$12)/12</f>
        <v>1.2916666666666667</v>
      </c>
      <c r="L472" s="106">
        <f t="shared" si="80"/>
        <v>2.541666666666667</v>
      </c>
      <c r="N472" s="104">
        <f t="shared" si="81"/>
        <v>145.78125</v>
      </c>
      <c r="O472" s="104">
        <f t="shared" si="84"/>
        <v>20.348958333333336</v>
      </c>
      <c r="P472" s="104"/>
      <c r="Q472" s="106">
        <f t="shared" si="85"/>
        <v>166.13020833333334</v>
      </c>
      <c r="R472" s="141">
        <f t="shared" si="82"/>
        <v>0</v>
      </c>
      <c r="T472" s="110">
        <f t="shared" si="86"/>
        <v>0.87751199172335947</v>
      </c>
      <c r="U472" s="110">
        <f t="shared" si="86"/>
        <v>0.12248800827664044</v>
      </c>
      <c r="V472" s="110">
        <f t="shared" si="86"/>
        <v>0</v>
      </c>
      <c r="W472" s="110">
        <f t="shared" si="77"/>
        <v>0.99999999999999989</v>
      </c>
      <c r="Y472" s="142">
        <f>T472*'Co-Processing'!K474*'Feedstock Conversion Rates'!B$13</f>
        <v>97.639989385117801</v>
      </c>
      <c r="Z472" s="142">
        <f>U472*'Co-Processing'!K474*'Feedstock Conversion Rates'!B$12</f>
        <v>14.083437649585941</v>
      </c>
      <c r="AA472" s="142">
        <f>V472*'Co-Processing'!K474*'Feedstock Conversion Rates'!B$14</f>
        <v>0</v>
      </c>
      <c r="AB472" s="142">
        <f t="shared" si="79"/>
        <v>111.72342703470375</v>
      </c>
      <c r="AD472" s="142">
        <v>0</v>
      </c>
      <c r="AE472" s="142">
        <v>0</v>
      </c>
      <c r="AF472" s="142">
        <v>0</v>
      </c>
      <c r="AG472" s="142">
        <v>0</v>
      </c>
      <c r="AH472" s="142">
        <v>0</v>
      </c>
    </row>
    <row r="473" spans="1:34" x14ac:dyDescent="0.25">
      <c r="A473" s="96">
        <v>53114</v>
      </c>
      <c r="B473" s="104">
        <f t="shared" si="83"/>
        <v>25</v>
      </c>
      <c r="C473" s="104">
        <f>('Co-Processing'!B475*'Co-Pro Feedstock Breakdown'!C$3*'Feedstock Conversion Rates'!B$12)/12-10-15</f>
        <v>10.520833333333336</v>
      </c>
      <c r="D473" s="106">
        <f t="shared" si="87"/>
        <v>35.520833333333336</v>
      </c>
      <c r="E473" s="104">
        <f>('Co-Processing'!C475*'Co-Pro Feedstock Breakdown'!E$3*'Feedstock Conversion Rates'!B$13)/12</f>
        <v>25.78125</v>
      </c>
      <c r="F473" s="104">
        <f>('Co-Processing'!C475*'Co-Pro Feedstock Breakdown'!F$3*'Feedstock Conversion Rates'!B$14)/12</f>
        <v>8.5364583333333339</v>
      </c>
      <c r="G473" s="106">
        <f t="shared" si="76"/>
        <v>34.317708333333336</v>
      </c>
      <c r="H473" s="104">
        <f>('Co-Processing'!D475*'Co-Pro Feedstock Breakdown'!H$3*'Feedstock Conversion Rates'!B$13)/12</f>
        <v>93.75</v>
      </c>
      <c r="I473" s="106">
        <f t="shared" si="78"/>
        <v>93.75</v>
      </c>
      <c r="J473" s="104">
        <f>('Co-Processing'!E475*'Co-Pro Feedstock Breakdown'!J$3*'Feedstock Conversion Rates'!B$13)/12</f>
        <v>1.25</v>
      </c>
      <c r="K473" s="104">
        <f>('Co-Processing'!E475*'Co-Pro Feedstock Breakdown'!K$3*'Feedstock Conversion Rates'!B$12)/12</f>
        <v>1.2916666666666667</v>
      </c>
      <c r="L473" s="106">
        <f t="shared" si="80"/>
        <v>2.541666666666667</v>
      </c>
      <c r="N473" s="104">
        <f t="shared" si="81"/>
        <v>145.78125</v>
      </c>
      <c r="O473" s="104">
        <f t="shared" si="84"/>
        <v>20.348958333333336</v>
      </c>
      <c r="P473" s="104"/>
      <c r="Q473" s="106">
        <f t="shared" si="85"/>
        <v>166.13020833333334</v>
      </c>
      <c r="R473" s="141">
        <f t="shared" si="82"/>
        <v>0</v>
      </c>
      <c r="T473" s="110">
        <f t="shared" si="86"/>
        <v>0.87751199172335947</v>
      </c>
      <c r="U473" s="110">
        <f t="shared" si="86"/>
        <v>0.12248800827664044</v>
      </c>
      <c r="V473" s="110">
        <f t="shared" si="86"/>
        <v>0</v>
      </c>
      <c r="W473" s="110">
        <f t="shared" si="77"/>
        <v>0.99999999999999989</v>
      </c>
      <c r="Y473" s="142">
        <f>T473*'Co-Processing'!K475*'Feedstock Conversion Rates'!B$13</f>
        <v>132.17785198849725</v>
      </c>
      <c r="Z473" s="142">
        <f>U473*'Co-Processing'!K475*'Feedstock Conversion Rates'!B$12</f>
        <v>19.065124329273338</v>
      </c>
      <c r="AA473" s="142">
        <f>V473*'Co-Processing'!K475*'Feedstock Conversion Rates'!B$14</f>
        <v>0</v>
      </c>
      <c r="AB473" s="142">
        <f t="shared" si="79"/>
        <v>151.2429763177706</v>
      </c>
      <c r="AD473" s="142">
        <v>0</v>
      </c>
      <c r="AE473" s="142">
        <v>0</v>
      </c>
      <c r="AF473" s="142">
        <v>0</v>
      </c>
      <c r="AG473" s="142">
        <v>0</v>
      </c>
      <c r="AH473" s="142">
        <v>0</v>
      </c>
    </row>
    <row r="474" spans="1:34" x14ac:dyDescent="0.25">
      <c r="A474" s="96">
        <v>53144</v>
      </c>
      <c r="B474" s="104">
        <f t="shared" si="83"/>
        <v>25</v>
      </c>
      <c r="C474" s="104">
        <f>('Co-Processing'!B476*'Co-Pro Feedstock Breakdown'!C$3*'Feedstock Conversion Rates'!B$12)/12-10-15</f>
        <v>10.520833333333336</v>
      </c>
      <c r="D474" s="106">
        <f t="shared" si="87"/>
        <v>35.520833333333336</v>
      </c>
      <c r="E474" s="104">
        <f>('Co-Processing'!C476*'Co-Pro Feedstock Breakdown'!E$3*'Feedstock Conversion Rates'!B$13)/12</f>
        <v>25.78125</v>
      </c>
      <c r="F474" s="104">
        <f>('Co-Processing'!C476*'Co-Pro Feedstock Breakdown'!F$3*'Feedstock Conversion Rates'!B$14)/12</f>
        <v>8.5364583333333339</v>
      </c>
      <c r="G474" s="106">
        <f t="shared" si="76"/>
        <v>34.317708333333336</v>
      </c>
      <c r="H474" s="104">
        <f>('Co-Processing'!D476*'Co-Pro Feedstock Breakdown'!H$3*'Feedstock Conversion Rates'!B$13)/12</f>
        <v>93.75</v>
      </c>
      <c r="I474" s="106">
        <f t="shared" si="78"/>
        <v>93.75</v>
      </c>
      <c r="J474" s="104">
        <f>('Co-Processing'!E476*'Co-Pro Feedstock Breakdown'!J$3*'Feedstock Conversion Rates'!B$13)/12</f>
        <v>1.25</v>
      </c>
      <c r="K474" s="104">
        <f>('Co-Processing'!E476*'Co-Pro Feedstock Breakdown'!K$3*'Feedstock Conversion Rates'!B$12)/12</f>
        <v>1.2916666666666667</v>
      </c>
      <c r="L474" s="106">
        <f t="shared" si="80"/>
        <v>2.541666666666667</v>
      </c>
      <c r="N474" s="104">
        <f t="shared" si="81"/>
        <v>145.78125</v>
      </c>
      <c r="O474" s="104">
        <f t="shared" si="84"/>
        <v>20.348958333333336</v>
      </c>
      <c r="P474" s="104"/>
      <c r="Q474" s="106">
        <f t="shared" si="85"/>
        <v>166.13020833333334</v>
      </c>
      <c r="R474" s="141">
        <f t="shared" si="82"/>
        <v>0</v>
      </c>
      <c r="T474" s="110">
        <f t="shared" si="86"/>
        <v>0.87751199172335947</v>
      </c>
      <c r="U474" s="110">
        <f t="shared" si="86"/>
        <v>0.12248800827664044</v>
      </c>
      <c r="V474" s="110">
        <f t="shared" si="86"/>
        <v>0</v>
      </c>
      <c r="W474" s="110">
        <f t="shared" si="77"/>
        <v>0.99999999999999989</v>
      </c>
      <c r="Y474" s="142">
        <f>T474*'Co-Processing'!K476*'Feedstock Conversion Rates'!B$13</f>
        <v>110.34392187429346</v>
      </c>
      <c r="Z474" s="142">
        <f>U474*'Co-Processing'!K476*'Feedstock Conversion Rates'!B$12</f>
        <v>15.915832780336791</v>
      </c>
      <c r="AA474" s="142">
        <f>V474*'Co-Processing'!K476*'Feedstock Conversion Rates'!B$14</f>
        <v>0</v>
      </c>
      <c r="AB474" s="142">
        <f t="shared" si="79"/>
        <v>126.25975465463024</v>
      </c>
      <c r="AD474" s="142">
        <v>0</v>
      </c>
      <c r="AE474" s="142">
        <v>0</v>
      </c>
      <c r="AF474" s="142">
        <v>0</v>
      </c>
      <c r="AG474" s="142">
        <v>0</v>
      </c>
      <c r="AH474" s="142">
        <v>0</v>
      </c>
    </row>
    <row r="475" spans="1:34" x14ac:dyDescent="0.25">
      <c r="A475" s="96">
        <v>53175</v>
      </c>
      <c r="B475" s="104">
        <f t="shared" si="83"/>
        <v>25</v>
      </c>
      <c r="C475" s="104">
        <f>('Co-Processing'!B477*'Co-Pro Feedstock Breakdown'!C$3*'Feedstock Conversion Rates'!B$12)/12-10-15</f>
        <v>10.520833333333336</v>
      </c>
      <c r="D475" s="106">
        <f t="shared" si="87"/>
        <v>35.520833333333336</v>
      </c>
      <c r="E475" s="104">
        <f>('Co-Processing'!C477*'Co-Pro Feedstock Breakdown'!E$3*'Feedstock Conversion Rates'!B$13)/12</f>
        <v>25.78125</v>
      </c>
      <c r="F475" s="104">
        <f>('Co-Processing'!C477*'Co-Pro Feedstock Breakdown'!F$3*'Feedstock Conversion Rates'!B$14)/12</f>
        <v>8.5364583333333339</v>
      </c>
      <c r="G475" s="106">
        <f t="shared" si="76"/>
        <v>34.317708333333336</v>
      </c>
      <c r="H475" s="104">
        <f>('Co-Processing'!D477*'Co-Pro Feedstock Breakdown'!H$3*'Feedstock Conversion Rates'!B$13)/12</f>
        <v>93.75</v>
      </c>
      <c r="I475" s="106">
        <f t="shared" si="78"/>
        <v>93.75</v>
      </c>
      <c r="J475" s="104">
        <f>('Co-Processing'!E477*'Co-Pro Feedstock Breakdown'!J$3*'Feedstock Conversion Rates'!B$13)/12</f>
        <v>1.25</v>
      </c>
      <c r="K475" s="104">
        <f>('Co-Processing'!E477*'Co-Pro Feedstock Breakdown'!K$3*'Feedstock Conversion Rates'!B$12)/12</f>
        <v>1.2916666666666667</v>
      </c>
      <c r="L475" s="106">
        <f t="shared" si="80"/>
        <v>2.541666666666667</v>
      </c>
      <c r="N475" s="104">
        <f t="shared" si="81"/>
        <v>145.78125</v>
      </c>
      <c r="O475" s="104">
        <f t="shared" si="84"/>
        <v>20.348958333333336</v>
      </c>
      <c r="P475" s="104"/>
      <c r="Q475" s="106">
        <f t="shared" si="85"/>
        <v>166.13020833333334</v>
      </c>
      <c r="R475" s="141">
        <f t="shared" si="82"/>
        <v>0</v>
      </c>
      <c r="T475" s="110">
        <f t="shared" si="86"/>
        <v>0.87751199172335947</v>
      </c>
      <c r="U475" s="110">
        <f t="shared" si="86"/>
        <v>0.12248800827664044</v>
      </c>
      <c r="V475" s="110">
        <f t="shared" si="86"/>
        <v>0</v>
      </c>
      <c r="W475" s="110">
        <f t="shared" si="77"/>
        <v>0.99999999999999989</v>
      </c>
      <c r="Y475" s="142">
        <f>T475*'Co-Processing'!K477*'Feedstock Conversion Rates'!B$13</f>
        <v>162.10275448363458</v>
      </c>
      <c r="Z475" s="142">
        <f>U475*'Co-Processing'!K477*'Feedstock Conversion Rates'!B$12</f>
        <v>23.381444938423691</v>
      </c>
      <c r="AA475" s="142">
        <f>V475*'Co-Processing'!K477*'Feedstock Conversion Rates'!B$14</f>
        <v>0</v>
      </c>
      <c r="AB475" s="142">
        <f t="shared" si="79"/>
        <v>185.48419942205828</v>
      </c>
      <c r="AD475" s="142">
        <v>0</v>
      </c>
      <c r="AE475" s="142">
        <v>0</v>
      </c>
      <c r="AF475" s="142">
        <v>0</v>
      </c>
      <c r="AG475" s="142">
        <v>0</v>
      </c>
      <c r="AH475" s="142">
        <v>0</v>
      </c>
    </row>
    <row r="476" spans="1:34" x14ac:dyDescent="0.25">
      <c r="A476" s="96">
        <v>53206</v>
      </c>
      <c r="B476" s="104">
        <f t="shared" si="83"/>
        <v>25</v>
      </c>
      <c r="C476" s="104">
        <f>('Co-Processing'!B478*'Co-Pro Feedstock Breakdown'!C$3*'Feedstock Conversion Rates'!B$12)/12-10-15</f>
        <v>10.520833333333336</v>
      </c>
      <c r="D476" s="106">
        <f t="shared" si="87"/>
        <v>35.520833333333336</v>
      </c>
      <c r="E476" s="104">
        <f>('Co-Processing'!C478*'Co-Pro Feedstock Breakdown'!E$3*'Feedstock Conversion Rates'!B$13)/12</f>
        <v>25.78125</v>
      </c>
      <c r="F476" s="104">
        <f>('Co-Processing'!C478*'Co-Pro Feedstock Breakdown'!F$3*'Feedstock Conversion Rates'!B$14)/12</f>
        <v>8.5364583333333339</v>
      </c>
      <c r="G476" s="106">
        <f t="shared" si="76"/>
        <v>34.317708333333336</v>
      </c>
      <c r="H476" s="104">
        <f>('Co-Processing'!D478*'Co-Pro Feedstock Breakdown'!H$3*'Feedstock Conversion Rates'!B$13)/12</f>
        <v>93.75</v>
      </c>
      <c r="I476" s="106">
        <f t="shared" si="78"/>
        <v>93.75</v>
      </c>
      <c r="J476" s="104">
        <f>('Co-Processing'!E478*'Co-Pro Feedstock Breakdown'!J$3*'Feedstock Conversion Rates'!B$13)/12</f>
        <v>1.25</v>
      </c>
      <c r="K476" s="104">
        <f>('Co-Processing'!E478*'Co-Pro Feedstock Breakdown'!K$3*'Feedstock Conversion Rates'!B$12)/12</f>
        <v>1.2916666666666667</v>
      </c>
      <c r="L476" s="106">
        <f t="shared" si="80"/>
        <v>2.541666666666667</v>
      </c>
      <c r="N476" s="104">
        <f t="shared" si="81"/>
        <v>145.78125</v>
      </c>
      <c r="O476" s="104">
        <f t="shared" si="84"/>
        <v>20.348958333333336</v>
      </c>
      <c r="P476" s="104"/>
      <c r="Q476" s="106">
        <f t="shared" si="85"/>
        <v>166.13020833333334</v>
      </c>
      <c r="R476" s="141">
        <f t="shared" si="82"/>
        <v>0</v>
      </c>
      <c r="T476" s="110">
        <f t="shared" si="86"/>
        <v>0.87751199172335947</v>
      </c>
      <c r="U476" s="110">
        <f t="shared" si="86"/>
        <v>0.12248800827664044</v>
      </c>
      <c r="V476" s="110">
        <f t="shared" si="86"/>
        <v>0</v>
      </c>
      <c r="W476" s="110">
        <f t="shared" si="77"/>
        <v>0.99999999999999989</v>
      </c>
      <c r="Y476" s="142">
        <f>T476*'Co-Processing'!K478*'Feedstock Conversion Rates'!B$13</f>
        <v>145.46856718200871</v>
      </c>
      <c r="Z476" s="142">
        <f>U476*'Co-Processing'!K478*'Feedstock Conversion Rates'!B$12</f>
        <v>20.982156069290642</v>
      </c>
      <c r="AA476" s="142">
        <f>V476*'Co-Processing'!K478*'Feedstock Conversion Rates'!B$14</f>
        <v>0</v>
      </c>
      <c r="AB476" s="142">
        <f t="shared" si="79"/>
        <v>166.45072325129937</v>
      </c>
      <c r="AD476" s="142">
        <v>0</v>
      </c>
      <c r="AE476" s="142">
        <v>0</v>
      </c>
      <c r="AF476" s="142">
        <v>0</v>
      </c>
      <c r="AG476" s="142">
        <v>0</v>
      </c>
      <c r="AH476" s="142">
        <v>0</v>
      </c>
    </row>
    <row r="477" spans="1:34" x14ac:dyDescent="0.25">
      <c r="A477" s="96">
        <v>53236</v>
      </c>
      <c r="B477" s="104">
        <f t="shared" si="83"/>
        <v>25</v>
      </c>
      <c r="C477" s="104">
        <f>('Co-Processing'!B479*'Co-Pro Feedstock Breakdown'!C$3*'Feedstock Conversion Rates'!B$12)/12-10-15</f>
        <v>10.520833333333336</v>
      </c>
      <c r="D477" s="106">
        <f t="shared" si="87"/>
        <v>35.520833333333336</v>
      </c>
      <c r="E477" s="104">
        <f>('Co-Processing'!C479*'Co-Pro Feedstock Breakdown'!E$3*'Feedstock Conversion Rates'!B$13)/12</f>
        <v>25.78125</v>
      </c>
      <c r="F477" s="104">
        <f>('Co-Processing'!C479*'Co-Pro Feedstock Breakdown'!F$3*'Feedstock Conversion Rates'!B$14)/12</f>
        <v>8.5364583333333339</v>
      </c>
      <c r="G477" s="106">
        <f t="shared" si="76"/>
        <v>34.317708333333336</v>
      </c>
      <c r="H477" s="104">
        <f>('Co-Processing'!D479*'Co-Pro Feedstock Breakdown'!H$3*'Feedstock Conversion Rates'!B$13)/12</f>
        <v>93.75</v>
      </c>
      <c r="I477" s="106">
        <f t="shared" si="78"/>
        <v>93.75</v>
      </c>
      <c r="J477" s="104">
        <f>('Co-Processing'!E479*'Co-Pro Feedstock Breakdown'!J$3*'Feedstock Conversion Rates'!B$13)/12</f>
        <v>1.25</v>
      </c>
      <c r="K477" s="104">
        <f>('Co-Processing'!E479*'Co-Pro Feedstock Breakdown'!K$3*'Feedstock Conversion Rates'!B$12)/12</f>
        <v>1.2916666666666667</v>
      </c>
      <c r="L477" s="106">
        <f t="shared" si="80"/>
        <v>2.541666666666667</v>
      </c>
      <c r="N477" s="104">
        <f t="shared" si="81"/>
        <v>145.78125</v>
      </c>
      <c r="O477" s="104">
        <f t="shared" si="84"/>
        <v>20.348958333333336</v>
      </c>
      <c r="P477" s="104"/>
      <c r="Q477" s="106">
        <f t="shared" si="85"/>
        <v>166.13020833333334</v>
      </c>
      <c r="R477" s="141">
        <f t="shared" si="82"/>
        <v>0</v>
      </c>
      <c r="T477" s="110">
        <f t="shared" si="86"/>
        <v>0.87751199172335947</v>
      </c>
      <c r="U477" s="110">
        <f t="shared" si="86"/>
        <v>0.12248800827664044</v>
      </c>
      <c r="V477" s="110">
        <f t="shared" si="86"/>
        <v>0</v>
      </c>
      <c r="W477" s="110">
        <f t="shared" si="77"/>
        <v>0.99999999999999989</v>
      </c>
      <c r="Y477" s="142">
        <f>T477*'Co-Processing'!K479*'Feedstock Conversion Rates'!B$13</f>
        <v>116.91358385103587</v>
      </c>
      <c r="Z477" s="142">
        <f>U477*'Co-Processing'!K479*'Feedstock Conversion Rates'!B$12</f>
        <v>16.863430433828647</v>
      </c>
      <c r="AA477" s="142">
        <f>V477*'Co-Processing'!K479*'Feedstock Conversion Rates'!B$14</f>
        <v>0</v>
      </c>
      <c r="AB477" s="142">
        <f t="shared" si="79"/>
        <v>133.77701428486452</v>
      </c>
      <c r="AD477" s="142">
        <v>0</v>
      </c>
      <c r="AE477" s="142">
        <v>0</v>
      </c>
      <c r="AF477" s="142">
        <v>0</v>
      </c>
      <c r="AG477" s="142">
        <v>0</v>
      </c>
      <c r="AH477" s="142">
        <v>0</v>
      </c>
    </row>
    <row r="478" spans="1:34" x14ac:dyDescent="0.25">
      <c r="A478" s="96">
        <v>53267</v>
      </c>
      <c r="B478" s="104">
        <f t="shared" si="83"/>
        <v>25</v>
      </c>
      <c r="C478" s="104">
        <f>('Co-Processing'!B480*'Co-Pro Feedstock Breakdown'!C$3*'Feedstock Conversion Rates'!B$12)/12-10-15</f>
        <v>10.520833333333336</v>
      </c>
      <c r="D478" s="106">
        <f t="shared" si="87"/>
        <v>35.520833333333336</v>
      </c>
      <c r="E478" s="104">
        <f>('Co-Processing'!C480*'Co-Pro Feedstock Breakdown'!E$3*'Feedstock Conversion Rates'!B$13)/12</f>
        <v>25.78125</v>
      </c>
      <c r="F478" s="104">
        <f>('Co-Processing'!C480*'Co-Pro Feedstock Breakdown'!F$3*'Feedstock Conversion Rates'!B$14)/12</f>
        <v>8.5364583333333339</v>
      </c>
      <c r="G478" s="106">
        <f t="shared" si="76"/>
        <v>34.317708333333336</v>
      </c>
      <c r="H478" s="104">
        <f>('Co-Processing'!D480*'Co-Pro Feedstock Breakdown'!H$3*'Feedstock Conversion Rates'!B$13)/12</f>
        <v>93.75</v>
      </c>
      <c r="I478" s="106">
        <f t="shared" si="78"/>
        <v>93.75</v>
      </c>
      <c r="J478" s="104">
        <f>('Co-Processing'!E480*'Co-Pro Feedstock Breakdown'!J$3*'Feedstock Conversion Rates'!B$13)/12</f>
        <v>1.25</v>
      </c>
      <c r="K478" s="104">
        <f>('Co-Processing'!E480*'Co-Pro Feedstock Breakdown'!K$3*'Feedstock Conversion Rates'!B$12)/12</f>
        <v>1.2916666666666667</v>
      </c>
      <c r="L478" s="106">
        <f t="shared" si="80"/>
        <v>2.541666666666667</v>
      </c>
      <c r="N478" s="104">
        <f t="shared" si="81"/>
        <v>145.78125</v>
      </c>
      <c r="O478" s="104">
        <f t="shared" si="84"/>
        <v>20.348958333333336</v>
      </c>
      <c r="P478" s="104"/>
      <c r="Q478" s="106">
        <f t="shared" si="85"/>
        <v>166.13020833333334</v>
      </c>
      <c r="R478" s="141">
        <f t="shared" si="82"/>
        <v>0</v>
      </c>
      <c r="T478" s="110">
        <f t="shared" si="86"/>
        <v>0.87751199172335947</v>
      </c>
      <c r="U478" s="110">
        <f t="shared" si="86"/>
        <v>0.12248800827664044</v>
      </c>
      <c r="V478" s="110">
        <f t="shared" si="86"/>
        <v>0</v>
      </c>
      <c r="W478" s="110">
        <f t="shared" si="77"/>
        <v>0.99999999999999989</v>
      </c>
      <c r="Y478" s="142">
        <f>T478*'Co-Processing'!K480*'Feedstock Conversion Rates'!B$13</f>
        <v>117.71246205240757</v>
      </c>
      <c r="Z478" s="142">
        <f>U478*'Co-Processing'!K480*'Feedstock Conversion Rates'!B$12</f>
        <v>16.978659362154875</v>
      </c>
      <c r="AA478" s="142">
        <f>V478*'Co-Processing'!K480*'Feedstock Conversion Rates'!B$14</f>
        <v>0</v>
      </c>
      <c r="AB478" s="142">
        <f t="shared" si="79"/>
        <v>134.69112141456245</v>
      </c>
      <c r="AD478" s="142">
        <v>0</v>
      </c>
      <c r="AE478" s="142">
        <v>0</v>
      </c>
      <c r="AF478" s="142">
        <v>0</v>
      </c>
      <c r="AG478" s="142">
        <v>0</v>
      </c>
      <c r="AH478" s="142">
        <v>0</v>
      </c>
    </row>
    <row r="479" spans="1:34" x14ac:dyDescent="0.25">
      <c r="A479" s="96">
        <v>53297</v>
      </c>
      <c r="B479" s="104">
        <f t="shared" si="83"/>
        <v>25</v>
      </c>
      <c r="C479" s="104">
        <f>('Co-Processing'!B481*'Co-Pro Feedstock Breakdown'!C$3*'Feedstock Conversion Rates'!B$12)/12-10-15</f>
        <v>10.520833333333336</v>
      </c>
      <c r="D479" s="106">
        <f t="shared" si="87"/>
        <v>35.520833333333336</v>
      </c>
      <c r="E479" s="104">
        <f>('Co-Processing'!C481*'Co-Pro Feedstock Breakdown'!E$3*'Feedstock Conversion Rates'!B$13)/12</f>
        <v>25.78125</v>
      </c>
      <c r="F479" s="104">
        <f>('Co-Processing'!C481*'Co-Pro Feedstock Breakdown'!F$3*'Feedstock Conversion Rates'!B$14)/12</f>
        <v>8.5364583333333339</v>
      </c>
      <c r="G479" s="106">
        <f t="shared" si="76"/>
        <v>34.317708333333336</v>
      </c>
      <c r="H479" s="104">
        <f>('Co-Processing'!D481*'Co-Pro Feedstock Breakdown'!H$3*'Feedstock Conversion Rates'!B$13)/12</f>
        <v>93.75</v>
      </c>
      <c r="I479" s="106">
        <f t="shared" si="78"/>
        <v>93.75</v>
      </c>
      <c r="J479" s="104">
        <f>('Co-Processing'!E481*'Co-Pro Feedstock Breakdown'!J$3*'Feedstock Conversion Rates'!B$13)/12</f>
        <v>1.25</v>
      </c>
      <c r="K479" s="104">
        <f>('Co-Processing'!E481*'Co-Pro Feedstock Breakdown'!K$3*'Feedstock Conversion Rates'!B$12)/12</f>
        <v>1.2916666666666667</v>
      </c>
      <c r="L479" s="106">
        <f t="shared" si="80"/>
        <v>2.541666666666667</v>
      </c>
      <c r="N479" s="104">
        <f t="shared" si="81"/>
        <v>145.78125</v>
      </c>
      <c r="O479" s="104">
        <f t="shared" si="84"/>
        <v>20.348958333333336</v>
      </c>
      <c r="P479" s="104"/>
      <c r="Q479" s="106">
        <f t="shared" si="85"/>
        <v>166.13020833333334</v>
      </c>
      <c r="R479" s="141">
        <f t="shared" si="82"/>
        <v>0</v>
      </c>
      <c r="T479" s="110">
        <f t="shared" si="86"/>
        <v>0.87751199172335947</v>
      </c>
      <c r="U479" s="110">
        <f t="shared" si="86"/>
        <v>0.12248800827664044</v>
      </c>
      <c r="V479" s="110">
        <f t="shared" si="86"/>
        <v>0</v>
      </c>
      <c r="W479" s="110">
        <f t="shared" si="77"/>
        <v>0.99999999999999989</v>
      </c>
      <c r="Y479" s="142">
        <f>T479*'Co-Processing'!K481*'Feedstock Conversion Rates'!B$13</f>
        <v>121.30977248215507</v>
      </c>
      <c r="Z479" s="142">
        <f>U479*'Co-Processing'!K481*'Feedstock Conversion Rates'!B$12</f>
        <v>17.497529729333305</v>
      </c>
      <c r="AA479" s="142">
        <f>V479*'Co-Processing'!K481*'Feedstock Conversion Rates'!B$14</f>
        <v>0</v>
      </c>
      <c r="AB479" s="142">
        <f t="shared" si="79"/>
        <v>138.80730221148838</v>
      </c>
      <c r="AD479" s="142">
        <v>0</v>
      </c>
      <c r="AE479" s="142">
        <v>0</v>
      </c>
      <c r="AF479" s="142">
        <v>0</v>
      </c>
      <c r="AG479" s="142">
        <v>0</v>
      </c>
      <c r="AH479" s="142">
        <v>0</v>
      </c>
    </row>
    <row r="480" spans="1:34" x14ac:dyDescent="0.25">
      <c r="A480" s="96">
        <v>53328</v>
      </c>
      <c r="B480" s="104">
        <f t="shared" si="83"/>
        <v>25</v>
      </c>
      <c r="C480" s="104">
        <f>('Co-Processing'!B482*'Co-Pro Feedstock Breakdown'!C$3*'Feedstock Conversion Rates'!B$12)/12-10-15</f>
        <v>10.520833333333336</v>
      </c>
      <c r="D480" s="106">
        <f t="shared" si="87"/>
        <v>35.520833333333336</v>
      </c>
      <c r="E480" s="104">
        <f>('Co-Processing'!C482*'Co-Pro Feedstock Breakdown'!E$3*'Feedstock Conversion Rates'!B$13)/12</f>
        <v>25.78125</v>
      </c>
      <c r="F480" s="104">
        <f>('Co-Processing'!C482*'Co-Pro Feedstock Breakdown'!F$3*'Feedstock Conversion Rates'!B$14)/12</f>
        <v>8.5364583333333339</v>
      </c>
      <c r="G480" s="106">
        <f t="shared" si="76"/>
        <v>34.317708333333336</v>
      </c>
      <c r="H480" s="104">
        <f>('Co-Processing'!D482*'Co-Pro Feedstock Breakdown'!H$3*'Feedstock Conversion Rates'!B$13)/12</f>
        <v>93.75</v>
      </c>
      <c r="I480" s="106">
        <f t="shared" si="78"/>
        <v>93.75</v>
      </c>
      <c r="J480" s="104">
        <f>('Co-Processing'!E482*'Co-Pro Feedstock Breakdown'!J$3*'Feedstock Conversion Rates'!B$13)/12</f>
        <v>1.25</v>
      </c>
      <c r="K480" s="104">
        <f>('Co-Processing'!E482*'Co-Pro Feedstock Breakdown'!K$3*'Feedstock Conversion Rates'!B$12)/12</f>
        <v>1.2916666666666667</v>
      </c>
      <c r="L480" s="106">
        <f t="shared" si="80"/>
        <v>2.541666666666667</v>
      </c>
      <c r="N480" s="104">
        <f t="shared" si="81"/>
        <v>145.78125</v>
      </c>
      <c r="O480" s="104">
        <f t="shared" si="84"/>
        <v>20.348958333333336</v>
      </c>
      <c r="P480" s="104"/>
      <c r="Q480" s="106">
        <f t="shared" si="85"/>
        <v>166.13020833333334</v>
      </c>
      <c r="R480" s="141">
        <f t="shared" si="82"/>
        <v>0</v>
      </c>
      <c r="T480" s="110">
        <f t="shared" si="86"/>
        <v>0.87751199172335947</v>
      </c>
      <c r="U480" s="110">
        <f t="shared" si="86"/>
        <v>0.12248800827664044</v>
      </c>
      <c r="V480" s="110">
        <f t="shared" si="86"/>
        <v>0</v>
      </c>
      <c r="W480" s="110">
        <f t="shared" si="77"/>
        <v>0.99999999999999989</v>
      </c>
      <c r="Y480" s="142">
        <f>T480*'Co-Processing'!K482*'Feedstock Conversion Rates'!B$13</f>
        <v>105.26306867355521</v>
      </c>
      <c r="Z480" s="142">
        <f>U480*'Co-Processing'!K482*'Feedstock Conversion Rates'!B$12</f>
        <v>15.182978550119076</v>
      </c>
      <c r="AA480" s="142">
        <f>V480*'Co-Processing'!K482*'Feedstock Conversion Rates'!B$14</f>
        <v>0</v>
      </c>
      <c r="AB480" s="142">
        <f t="shared" si="79"/>
        <v>120.44604722367428</v>
      </c>
      <c r="AD480" s="142">
        <v>0</v>
      </c>
      <c r="AE480" s="142">
        <v>0</v>
      </c>
      <c r="AF480" s="142">
        <v>0</v>
      </c>
      <c r="AG480" s="142">
        <v>0</v>
      </c>
      <c r="AH480" s="142">
        <v>0</v>
      </c>
    </row>
    <row r="481" spans="1:34" x14ac:dyDescent="0.25">
      <c r="A481" s="96">
        <v>53359</v>
      </c>
      <c r="B481" s="104">
        <f t="shared" si="83"/>
        <v>25</v>
      </c>
      <c r="C481" s="104">
        <f>('Co-Processing'!B483*'Co-Pro Feedstock Breakdown'!C$3*'Feedstock Conversion Rates'!B$12)/12-10-15</f>
        <v>10.520833333333336</v>
      </c>
      <c r="D481" s="106">
        <f t="shared" si="87"/>
        <v>35.520833333333336</v>
      </c>
      <c r="E481" s="104">
        <f>('Co-Processing'!C483*'Co-Pro Feedstock Breakdown'!E$3*'Feedstock Conversion Rates'!B$13)/12</f>
        <v>25.78125</v>
      </c>
      <c r="F481" s="104">
        <f>('Co-Processing'!C483*'Co-Pro Feedstock Breakdown'!F$3*'Feedstock Conversion Rates'!B$14)/12</f>
        <v>8.5364583333333339</v>
      </c>
      <c r="G481" s="106">
        <f t="shared" si="76"/>
        <v>34.317708333333336</v>
      </c>
      <c r="H481" s="104">
        <f>('Co-Processing'!D483*'Co-Pro Feedstock Breakdown'!H$3*'Feedstock Conversion Rates'!B$13)/12</f>
        <v>93.75</v>
      </c>
      <c r="I481" s="106">
        <f t="shared" si="78"/>
        <v>93.75</v>
      </c>
      <c r="J481" s="104">
        <f>('Co-Processing'!E483*'Co-Pro Feedstock Breakdown'!J$3*'Feedstock Conversion Rates'!B$13)/12</f>
        <v>1.25</v>
      </c>
      <c r="K481" s="104">
        <f>('Co-Processing'!E483*'Co-Pro Feedstock Breakdown'!K$3*'Feedstock Conversion Rates'!B$12)/12</f>
        <v>1.2916666666666667</v>
      </c>
      <c r="L481" s="106">
        <f t="shared" si="80"/>
        <v>2.541666666666667</v>
      </c>
      <c r="N481" s="104">
        <f t="shared" si="81"/>
        <v>145.78125</v>
      </c>
      <c r="O481" s="104">
        <f t="shared" si="84"/>
        <v>20.348958333333336</v>
      </c>
      <c r="P481" s="104"/>
      <c r="Q481" s="106">
        <f t="shared" si="85"/>
        <v>166.13020833333334</v>
      </c>
      <c r="R481" s="141">
        <f t="shared" si="82"/>
        <v>0</v>
      </c>
      <c r="T481" s="110">
        <f t="shared" si="86"/>
        <v>0.87751199172335947</v>
      </c>
      <c r="U481" s="110">
        <f t="shared" si="86"/>
        <v>0.12248800827664044</v>
      </c>
      <c r="V481" s="110">
        <f t="shared" si="86"/>
        <v>0</v>
      </c>
      <c r="W481" s="110">
        <f t="shared" si="77"/>
        <v>0.99999999999999989</v>
      </c>
      <c r="Y481" s="142">
        <f>T481*'Co-Processing'!K483*'Feedstock Conversion Rates'!B$13</f>
        <v>82.31722686859392</v>
      </c>
      <c r="Z481" s="142">
        <f>U481*'Co-Processing'!K483*'Feedstock Conversion Rates'!B$12</f>
        <v>11.873306617415139</v>
      </c>
      <c r="AA481" s="142">
        <f>V481*'Co-Processing'!K483*'Feedstock Conversion Rates'!B$14</f>
        <v>0</v>
      </c>
      <c r="AB481" s="142">
        <f t="shared" si="79"/>
        <v>94.190533486009059</v>
      </c>
      <c r="AD481" s="142">
        <v>0</v>
      </c>
      <c r="AE481" s="142">
        <v>0</v>
      </c>
      <c r="AF481" s="142">
        <v>0</v>
      </c>
      <c r="AG481" s="142">
        <v>0</v>
      </c>
      <c r="AH481" s="142">
        <v>0</v>
      </c>
    </row>
    <row r="482" spans="1:34" x14ac:dyDescent="0.25">
      <c r="A482" s="96">
        <v>53387</v>
      </c>
      <c r="B482" s="104">
        <f t="shared" si="83"/>
        <v>25</v>
      </c>
      <c r="C482" s="104">
        <f>('Co-Processing'!B484*'Co-Pro Feedstock Breakdown'!C$3*'Feedstock Conversion Rates'!B$12)/12-10-15</f>
        <v>10.520833333333336</v>
      </c>
      <c r="D482" s="106">
        <f t="shared" si="87"/>
        <v>35.520833333333336</v>
      </c>
      <c r="E482" s="104">
        <f>('Co-Processing'!C484*'Co-Pro Feedstock Breakdown'!E$3*'Feedstock Conversion Rates'!B$13)/12</f>
        <v>25.78125</v>
      </c>
      <c r="F482" s="104">
        <f>('Co-Processing'!C484*'Co-Pro Feedstock Breakdown'!F$3*'Feedstock Conversion Rates'!B$14)/12</f>
        <v>8.5364583333333339</v>
      </c>
      <c r="G482" s="106">
        <f t="shared" si="76"/>
        <v>34.317708333333336</v>
      </c>
      <c r="H482" s="104">
        <f>('Co-Processing'!D484*'Co-Pro Feedstock Breakdown'!H$3*'Feedstock Conversion Rates'!B$13)/12</f>
        <v>93.75</v>
      </c>
      <c r="I482" s="106">
        <f t="shared" si="78"/>
        <v>93.75</v>
      </c>
      <c r="J482" s="104">
        <f>('Co-Processing'!E484*'Co-Pro Feedstock Breakdown'!J$3*'Feedstock Conversion Rates'!B$13)/12</f>
        <v>1.25</v>
      </c>
      <c r="K482" s="104">
        <f>('Co-Processing'!E484*'Co-Pro Feedstock Breakdown'!K$3*'Feedstock Conversion Rates'!B$12)/12</f>
        <v>1.2916666666666667</v>
      </c>
      <c r="L482" s="106">
        <f t="shared" si="80"/>
        <v>2.541666666666667</v>
      </c>
      <c r="N482" s="104">
        <f t="shared" si="81"/>
        <v>145.78125</v>
      </c>
      <c r="O482" s="104">
        <f t="shared" si="84"/>
        <v>20.348958333333336</v>
      </c>
      <c r="P482" s="104"/>
      <c r="Q482" s="106">
        <f t="shared" si="85"/>
        <v>166.13020833333334</v>
      </c>
      <c r="R482" s="141">
        <f t="shared" si="82"/>
        <v>0</v>
      </c>
      <c r="T482" s="110">
        <f t="shared" si="86"/>
        <v>0.87751199172335947</v>
      </c>
      <c r="U482" s="110">
        <f t="shared" si="86"/>
        <v>0.12248800827664044</v>
      </c>
      <c r="V482" s="110">
        <f t="shared" si="86"/>
        <v>0</v>
      </c>
      <c r="W482" s="110">
        <f t="shared" si="77"/>
        <v>0.99999999999999989</v>
      </c>
      <c r="Y482" s="142">
        <f>T482*'Co-Processing'!K484*'Feedstock Conversion Rates'!B$13</f>
        <v>135.56794543763141</v>
      </c>
      <c r="Z482" s="142">
        <f>U482*'Co-Processing'!K484*'Feedstock Conversion Rates'!B$12</f>
        <v>19.554106046885327</v>
      </c>
      <c r="AA482" s="142">
        <f>V482*'Co-Processing'!K484*'Feedstock Conversion Rates'!B$14</f>
        <v>0</v>
      </c>
      <c r="AB482" s="142">
        <f t="shared" si="79"/>
        <v>155.12205148451673</v>
      </c>
      <c r="AD482" s="142">
        <v>0</v>
      </c>
      <c r="AE482" s="142">
        <v>0</v>
      </c>
      <c r="AF482" s="142">
        <v>0</v>
      </c>
      <c r="AG482" s="142">
        <v>0</v>
      </c>
      <c r="AH482" s="142">
        <v>0</v>
      </c>
    </row>
    <row r="483" spans="1:34" x14ac:dyDescent="0.25">
      <c r="A483" s="96">
        <v>53418</v>
      </c>
      <c r="B483" s="104">
        <f t="shared" si="83"/>
        <v>25</v>
      </c>
      <c r="C483" s="104">
        <f>('Co-Processing'!B485*'Co-Pro Feedstock Breakdown'!C$3*'Feedstock Conversion Rates'!B$12)/12-10-15</f>
        <v>10.520833333333336</v>
      </c>
      <c r="D483" s="106">
        <f t="shared" si="87"/>
        <v>35.520833333333336</v>
      </c>
      <c r="E483" s="104">
        <f>('Co-Processing'!C485*'Co-Pro Feedstock Breakdown'!E$3*'Feedstock Conversion Rates'!B$13)/12</f>
        <v>25.78125</v>
      </c>
      <c r="F483" s="104">
        <f>('Co-Processing'!C485*'Co-Pro Feedstock Breakdown'!F$3*'Feedstock Conversion Rates'!B$14)/12</f>
        <v>8.5364583333333339</v>
      </c>
      <c r="G483" s="106">
        <f t="shared" si="76"/>
        <v>34.317708333333336</v>
      </c>
      <c r="H483" s="104">
        <f>('Co-Processing'!D485*'Co-Pro Feedstock Breakdown'!H$3*'Feedstock Conversion Rates'!B$13)/12</f>
        <v>93.75</v>
      </c>
      <c r="I483" s="106">
        <f t="shared" si="78"/>
        <v>93.75</v>
      </c>
      <c r="J483" s="104">
        <f>('Co-Processing'!E485*'Co-Pro Feedstock Breakdown'!J$3*'Feedstock Conversion Rates'!B$13)/12</f>
        <v>1.25</v>
      </c>
      <c r="K483" s="104">
        <f>('Co-Processing'!E485*'Co-Pro Feedstock Breakdown'!K$3*'Feedstock Conversion Rates'!B$12)/12</f>
        <v>1.2916666666666667</v>
      </c>
      <c r="L483" s="106">
        <f t="shared" si="80"/>
        <v>2.541666666666667</v>
      </c>
      <c r="N483" s="104">
        <f t="shared" si="81"/>
        <v>145.78125</v>
      </c>
      <c r="O483" s="104">
        <f t="shared" si="84"/>
        <v>20.348958333333336</v>
      </c>
      <c r="P483" s="104"/>
      <c r="Q483" s="106">
        <f t="shared" si="85"/>
        <v>166.13020833333334</v>
      </c>
      <c r="R483" s="141">
        <f t="shared" si="82"/>
        <v>0</v>
      </c>
      <c r="T483" s="110">
        <f t="shared" si="86"/>
        <v>0.87751199172335947</v>
      </c>
      <c r="U483" s="110">
        <f t="shared" si="86"/>
        <v>0.12248800827664044</v>
      </c>
      <c r="V483" s="110">
        <f t="shared" si="86"/>
        <v>0</v>
      </c>
      <c r="W483" s="110">
        <f t="shared" si="77"/>
        <v>0.99999999999999989</v>
      </c>
      <c r="Y483" s="142">
        <f>T483*'Co-Processing'!K485*'Feedstock Conversion Rates'!B$13</f>
        <v>88.290028882850194</v>
      </c>
      <c r="Z483" s="142">
        <f>U483*'Co-Processing'!K485*'Feedstock Conversion Rates'!B$12</f>
        <v>12.734814133862294</v>
      </c>
      <c r="AA483" s="142">
        <f>V483*'Co-Processing'!K485*'Feedstock Conversion Rates'!B$14</f>
        <v>0</v>
      </c>
      <c r="AB483" s="142">
        <f t="shared" si="79"/>
        <v>101.02484301671248</v>
      </c>
      <c r="AD483" s="142">
        <v>0</v>
      </c>
      <c r="AE483" s="142">
        <v>0</v>
      </c>
      <c r="AF483" s="142">
        <v>0</v>
      </c>
      <c r="AG483" s="142">
        <v>0</v>
      </c>
      <c r="AH483" s="142">
        <v>0</v>
      </c>
    </row>
    <row r="484" spans="1:34" x14ac:dyDescent="0.25">
      <c r="A484" s="96">
        <v>53448</v>
      </c>
      <c r="B484" s="104">
        <f t="shared" si="83"/>
        <v>25</v>
      </c>
      <c r="C484" s="104">
        <f>('Co-Processing'!B486*'Co-Pro Feedstock Breakdown'!C$3*'Feedstock Conversion Rates'!B$12)/12-10-15</f>
        <v>10.520833333333336</v>
      </c>
      <c r="D484" s="106">
        <f t="shared" si="87"/>
        <v>35.520833333333336</v>
      </c>
      <c r="E484" s="104">
        <f>('Co-Processing'!C486*'Co-Pro Feedstock Breakdown'!E$3*'Feedstock Conversion Rates'!B$13)/12</f>
        <v>25.78125</v>
      </c>
      <c r="F484" s="104">
        <f>('Co-Processing'!C486*'Co-Pro Feedstock Breakdown'!F$3*'Feedstock Conversion Rates'!B$14)/12</f>
        <v>8.5364583333333339</v>
      </c>
      <c r="G484" s="106">
        <f t="shared" si="76"/>
        <v>34.317708333333336</v>
      </c>
      <c r="H484" s="104">
        <f>('Co-Processing'!D486*'Co-Pro Feedstock Breakdown'!H$3*'Feedstock Conversion Rates'!B$13)/12</f>
        <v>93.75</v>
      </c>
      <c r="I484" s="106">
        <f t="shared" si="78"/>
        <v>93.75</v>
      </c>
      <c r="J484" s="104">
        <f>('Co-Processing'!E486*'Co-Pro Feedstock Breakdown'!J$3*'Feedstock Conversion Rates'!B$13)/12</f>
        <v>1.25</v>
      </c>
      <c r="K484" s="104">
        <f>('Co-Processing'!E486*'Co-Pro Feedstock Breakdown'!K$3*'Feedstock Conversion Rates'!B$12)/12</f>
        <v>1.2916666666666667</v>
      </c>
      <c r="L484" s="106">
        <f t="shared" si="80"/>
        <v>2.541666666666667</v>
      </c>
      <c r="N484" s="104">
        <f t="shared" si="81"/>
        <v>145.78125</v>
      </c>
      <c r="O484" s="104">
        <f t="shared" si="84"/>
        <v>20.348958333333336</v>
      </c>
      <c r="P484" s="104"/>
      <c r="Q484" s="106">
        <f t="shared" si="85"/>
        <v>166.13020833333334</v>
      </c>
      <c r="R484" s="141">
        <f t="shared" si="82"/>
        <v>0</v>
      </c>
      <c r="T484" s="110">
        <f t="shared" si="86"/>
        <v>0.87751199172335947</v>
      </c>
      <c r="U484" s="110">
        <f t="shared" si="86"/>
        <v>0.12248800827664044</v>
      </c>
      <c r="V484" s="110">
        <f t="shared" si="86"/>
        <v>0</v>
      </c>
      <c r="W484" s="110">
        <f t="shared" si="77"/>
        <v>0.99999999999999989</v>
      </c>
      <c r="Y484" s="142">
        <f>T484*'Co-Processing'!K486*'Feedstock Conversion Rates'!B$13</f>
        <v>97.187591399403203</v>
      </c>
      <c r="Z484" s="142">
        <f>U484*'Co-Processing'!K486*'Feedstock Conversion Rates'!B$12</f>
        <v>14.018184479601667</v>
      </c>
      <c r="AA484" s="142">
        <f>V484*'Co-Processing'!K486*'Feedstock Conversion Rates'!B$14</f>
        <v>0</v>
      </c>
      <c r="AB484" s="142">
        <f t="shared" si="79"/>
        <v>111.20577587900488</v>
      </c>
      <c r="AD484" s="142">
        <v>0</v>
      </c>
      <c r="AE484" s="142">
        <v>0</v>
      </c>
      <c r="AF484" s="142">
        <v>0</v>
      </c>
      <c r="AG484" s="142">
        <v>0</v>
      </c>
      <c r="AH484" s="142">
        <v>0</v>
      </c>
    </row>
    <row r="485" spans="1:34" x14ac:dyDescent="0.25">
      <c r="A485" s="96">
        <v>53479</v>
      </c>
      <c r="B485" s="104">
        <f t="shared" si="83"/>
        <v>25</v>
      </c>
      <c r="C485" s="104">
        <f>('Co-Processing'!B487*'Co-Pro Feedstock Breakdown'!C$3*'Feedstock Conversion Rates'!B$12)/12-10-15</f>
        <v>10.520833333333336</v>
      </c>
      <c r="D485" s="106">
        <f t="shared" si="87"/>
        <v>35.520833333333336</v>
      </c>
      <c r="E485" s="104">
        <f>('Co-Processing'!C487*'Co-Pro Feedstock Breakdown'!E$3*'Feedstock Conversion Rates'!B$13)/12</f>
        <v>25.78125</v>
      </c>
      <c r="F485" s="104">
        <f>('Co-Processing'!C487*'Co-Pro Feedstock Breakdown'!F$3*'Feedstock Conversion Rates'!B$14)/12</f>
        <v>8.5364583333333339</v>
      </c>
      <c r="G485" s="106">
        <f t="shared" si="76"/>
        <v>34.317708333333336</v>
      </c>
      <c r="H485" s="104">
        <f>('Co-Processing'!D487*'Co-Pro Feedstock Breakdown'!H$3*'Feedstock Conversion Rates'!B$13)/12</f>
        <v>93.75</v>
      </c>
      <c r="I485" s="106">
        <f t="shared" si="78"/>
        <v>93.75</v>
      </c>
      <c r="J485" s="104">
        <f>('Co-Processing'!E487*'Co-Pro Feedstock Breakdown'!J$3*'Feedstock Conversion Rates'!B$13)/12</f>
        <v>1.25</v>
      </c>
      <c r="K485" s="104">
        <f>('Co-Processing'!E487*'Co-Pro Feedstock Breakdown'!K$3*'Feedstock Conversion Rates'!B$12)/12</f>
        <v>1.2916666666666667</v>
      </c>
      <c r="L485" s="106">
        <f t="shared" si="80"/>
        <v>2.541666666666667</v>
      </c>
      <c r="N485" s="104">
        <f t="shared" si="81"/>
        <v>145.78125</v>
      </c>
      <c r="O485" s="104">
        <f t="shared" si="84"/>
        <v>20.348958333333336</v>
      </c>
      <c r="P485" s="104"/>
      <c r="Q485" s="106">
        <f t="shared" si="85"/>
        <v>166.13020833333334</v>
      </c>
      <c r="R485" s="141">
        <f t="shared" si="82"/>
        <v>0</v>
      </c>
      <c r="T485" s="110">
        <f t="shared" si="86"/>
        <v>0.87751199172335947</v>
      </c>
      <c r="U485" s="110">
        <f t="shared" si="86"/>
        <v>0.12248800827664044</v>
      </c>
      <c r="V485" s="110">
        <f t="shared" si="86"/>
        <v>0</v>
      </c>
      <c r="W485" s="110">
        <f t="shared" si="77"/>
        <v>0.99999999999999989</v>
      </c>
      <c r="Y485" s="142">
        <f>T485*'Co-Processing'!K487*'Feedstock Conversion Rates'!B$13</f>
        <v>131.58377599912933</v>
      </c>
      <c r="Z485" s="142">
        <f>U485*'Co-Processing'!K487*'Feedstock Conversion Rates'!B$12</f>
        <v>18.979435748108312</v>
      </c>
      <c r="AA485" s="142">
        <f>V485*'Co-Processing'!K487*'Feedstock Conversion Rates'!B$14</f>
        <v>0</v>
      </c>
      <c r="AB485" s="142">
        <f t="shared" si="79"/>
        <v>150.56321174723763</v>
      </c>
      <c r="AD485" s="142">
        <v>0</v>
      </c>
      <c r="AE485" s="142">
        <v>0</v>
      </c>
      <c r="AF485" s="142">
        <v>0</v>
      </c>
      <c r="AG485" s="142">
        <v>0</v>
      </c>
      <c r="AH485" s="142">
        <v>0</v>
      </c>
    </row>
    <row r="486" spans="1:34" x14ac:dyDescent="0.25">
      <c r="A486" s="96">
        <v>53509</v>
      </c>
      <c r="B486" s="104">
        <f t="shared" si="83"/>
        <v>25</v>
      </c>
      <c r="C486" s="104">
        <f>('Co-Processing'!B488*'Co-Pro Feedstock Breakdown'!C$3*'Feedstock Conversion Rates'!B$12)/12-10-15</f>
        <v>10.520833333333336</v>
      </c>
      <c r="D486" s="106">
        <f t="shared" si="87"/>
        <v>35.520833333333336</v>
      </c>
      <c r="E486" s="104">
        <f>('Co-Processing'!C488*'Co-Pro Feedstock Breakdown'!E$3*'Feedstock Conversion Rates'!B$13)/12</f>
        <v>25.78125</v>
      </c>
      <c r="F486" s="104">
        <f>('Co-Processing'!C488*'Co-Pro Feedstock Breakdown'!F$3*'Feedstock Conversion Rates'!B$14)/12</f>
        <v>8.5364583333333339</v>
      </c>
      <c r="G486" s="106">
        <f t="shared" si="76"/>
        <v>34.317708333333336</v>
      </c>
      <c r="H486" s="104">
        <f>('Co-Processing'!D488*'Co-Pro Feedstock Breakdown'!H$3*'Feedstock Conversion Rates'!B$13)/12</f>
        <v>93.75</v>
      </c>
      <c r="I486" s="106">
        <f t="shared" si="78"/>
        <v>93.75</v>
      </c>
      <c r="J486" s="104">
        <f>('Co-Processing'!E488*'Co-Pro Feedstock Breakdown'!J$3*'Feedstock Conversion Rates'!B$13)/12</f>
        <v>1.25</v>
      </c>
      <c r="K486" s="104">
        <f>('Co-Processing'!E488*'Co-Pro Feedstock Breakdown'!K$3*'Feedstock Conversion Rates'!B$12)/12</f>
        <v>1.2916666666666667</v>
      </c>
      <c r="L486" s="106">
        <f t="shared" si="80"/>
        <v>2.541666666666667</v>
      </c>
      <c r="N486" s="104">
        <f t="shared" si="81"/>
        <v>145.78125</v>
      </c>
      <c r="O486" s="104">
        <f t="shared" si="84"/>
        <v>20.348958333333336</v>
      </c>
      <c r="P486" s="104"/>
      <c r="Q486" s="106">
        <f t="shared" si="85"/>
        <v>166.13020833333334</v>
      </c>
      <c r="R486" s="141">
        <f t="shared" si="82"/>
        <v>0</v>
      </c>
      <c r="T486" s="110">
        <f t="shared" si="86"/>
        <v>0.87751199172335947</v>
      </c>
      <c r="U486" s="110">
        <f t="shared" si="86"/>
        <v>0.12248800827664044</v>
      </c>
      <c r="V486" s="110">
        <f t="shared" si="86"/>
        <v>0</v>
      </c>
      <c r="W486" s="110">
        <f t="shared" si="77"/>
        <v>0.99999999999999989</v>
      </c>
      <c r="Y486" s="142">
        <f>T486*'Co-Processing'!K488*'Feedstock Conversion Rates'!B$13</f>
        <v>109.85093161100112</v>
      </c>
      <c r="Z486" s="142">
        <f>U486*'Co-Processing'!K488*'Feedstock Conversion Rates'!B$12</f>
        <v>15.844724644432088</v>
      </c>
      <c r="AA486" s="142">
        <f>V486*'Co-Processing'!K488*'Feedstock Conversion Rates'!B$14</f>
        <v>0</v>
      </c>
      <c r="AB486" s="142">
        <f t="shared" si="79"/>
        <v>125.69565625543321</v>
      </c>
      <c r="AD486" s="142">
        <v>0</v>
      </c>
      <c r="AE486" s="142">
        <v>0</v>
      </c>
      <c r="AF486" s="142">
        <v>0</v>
      </c>
      <c r="AG486" s="142">
        <v>0</v>
      </c>
      <c r="AH486" s="142">
        <v>0</v>
      </c>
    </row>
    <row r="487" spans="1:34" x14ac:dyDescent="0.25">
      <c r="A487" s="96">
        <v>53540</v>
      </c>
      <c r="B487" s="104">
        <f t="shared" si="83"/>
        <v>25</v>
      </c>
      <c r="C487" s="104">
        <f>('Co-Processing'!B489*'Co-Pro Feedstock Breakdown'!C$3*'Feedstock Conversion Rates'!B$12)/12-10-15</f>
        <v>10.520833333333336</v>
      </c>
      <c r="D487" s="106">
        <f t="shared" si="87"/>
        <v>35.520833333333336</v>
      </c>
      <c r="E487" s="104">
        <f>('Co-Processing'!C489*'Co-Pro Feedstock Breakdown'!E$3*'Feedstock Conversion Rates'!B$13)/12</f>
        <v>25.78125</v>
      </c>
      <c r="F487" s="104">
        <f>('Co-Processing'!C489*'Co-Pro Feedstock Breakdown'!F$3*'Feedstock Conversion Rates'!B$14)/12</f>
        <v>8.5364583333333339</v>
      </c>
      <c r="G487" s="106">
        <f t="shared" si="76"/>
        <v>34.317708333333336</v>
      </c>
      <c r="H487" s="104">
        <f>('Co-Processing'!D489*'Co-Pro Feedstock Breakdown'!H$3*'Feedstock Conversion Rates'!B$13)/12</f>
        <v>93.75</v>
      </c>
      <c r="I487" s="106">
        <f t="shared" si="78"/>
        <v>93.75</v>
      </c>
      <c r="J487" s="104">
        <f>('Co-Processing'!E489*'Co-Pro Feedstock Breakdown'!J$3*'Feedstock Conversion Rates'!B$13)/12</f>
        <v>1.25</v>
      </c>
      <c r="K487" s="104">
        <f>('Co-Processing'!E489*'Co-Pro Feedstock Breakdown'!K$3*'Feedstock Conversion Rates'!B$12)/12</f>
        <v>1.2916666666666667</v>
      </c>
      <c r="L487" s="106">
        <f t="shared" si="80"/>
        <v>2.541666666666667</v>
      </c>
      <c r="N487" s="104">
        <f t="shared" si="81"/>
        <v>145.78125</v>
      </c>
      <c r="O487" s="104">
        <f t="shared" si="84"/>
        <v>20.348958333333336</v>
      </c>
      <c r="P487" s="104"/>
      <c r="Q487" s="106">
        <f t="shared" si="85"/>
        <v>166.13020833333334</v>
      </c>
      <c r="R487" s="141">
        <f t="shared" si="82"/>
        <v>0</v>
      </c>
      <c r="T487" s="110">
        <f t="shared" si="86"/>
        <v>0.87751199172335947</v>
      </c>
      <c r="U487" s="110">
        <f t="shared" si="86"/>
        <v>0.12248800827664044</v>
      </c>
      <c r="V487" s="110">
        <f t="shared" si="86"/>
        <v>0</v>
      </c>
      <c r="W487" s="110">
        <f t="shared" si="77"/>
        <v>0.99999999999999989</v>
      </c>
      <c r="Y487" s="142">
        <f>T487*'Co-Processing'!K489*'Feedstock Conversion Rates'!B$13</f>
        <v>161.37509243589665</v>
      </c>
      <c r="Z487" s="142">
        <f>U487*'Co-Processing'!K489*'Feedstock Conversion Rates'!B$12</f>
        <v>23.276488115468023</v>
      </c>
      <c r="AA487" s="142">
        <f>V487*'Co-Processing'!K489*'Feedstock Conversion Rates'!B$14</f>
        <v>0</v>
      </c>
      <c r="AB487" s="142">
        <f t="shared" si="79"/>
        <v>184.65158055136467</v>
      </c>
      <c r="AD487" s="142">
        <v>0</v>
      </c>
      <c r="AE487" s="142">
        <v>0</v>
      </c>
      <c r="AF487" s="142">
        <v>0</v>
      </c>
      <c r="AG487" s="142">
        <v>0</v>
      </c>
      <c r="AH487" s="142">
        <v>0</v>
      </c>
    </row>
    <row r="488" spans="1:34" x14ac:dyDescent="0.25">
      <c r="A488" s="96">
        <v>53571</v>
      </c>
      <c r="B488" s="104">
        <f t="shared" si="83"/>
        <v>25</v>
      </c>
      <c r="C488" s="104">
        <f>('Co-Processing'!B490*'Co-Pro Feedstock Breakdown'!C$3*'Feedstock Conversion Rates'!B$12)/12-10-15</f>
        <v>10.520833333333336</v>
      </c>
      <c r="D488" s="106">
        <f t="shared" si="87"/>
        <v>35.520833333333336</v>
      </c>
      <c r="E488" s="104">
        <f>('Co-Processing'!C490*'Co-Pro Feedstock Breakdown'!E$3*'Feedstock Conversion Rates'!B$13)/12</f>
        <v>25.78125</v>
      </c>
      <c r="F488" s="104">
        <f>('Co-Processing'!C490*'Co-Pro Feedstock Breakdown'!F$3*'Feedstock Conversion Rates'!B$14)/12</f>
        <v>8.5364583333333339</v>
      </c>
      <c r="G488" s="106">
        <f t="shared" si="76"/>
        <v>34.317708333333336</v>
      </c>
      <c r="H488" s="104">
        <f>('Co-Processing'!D490*'Co-Pro Feedstock Breakdown'!H$3*'Feedstock Conversion Rates'!B$13)/12</f>
        <v>93.75</v>
      </c>
      <c r="I488" s="106">
        <f t="shared" si="78"/>
        <v>93.75</v>
      </c>
      <c r="J488" s="104">
        <f>('Co-Processing'!E490*'Co-Pro Feedstock Breakdown'!J$3*'Feedstock Conversion Rates'!B$13)/12</f>
        <v>1.25</v>
      </c>
      <c r="K488" s="104">
        <f>('Co-Processing'!E490*'Co-Pro Feedstock Breakdown'!K$3*'Feedstock Conversion Rates'!B$12)/12</f>
        <v>1.2916666666666667</v>
      </c>
      <c r="L488" s="106">
        <f t="shared" si="80"/>
        <v>2.541666666666667</v>
      </c>
      <c r="N488" s="104">
        <f t="shared" si="81"/>
        <v>145.78125</v>
      </c>
      <c r="O488" s="104">
        <f t="shared" si="84"/>
        <v>20.348958333333336</v>
      </c>
      <c r="P488" s="104"/>
      <c r="Q488" s="106">
        <f t="shared" si="85"/>
        <v>166.13020833333334</v>
      </c>
      <c r="R488" s="141">
        <f t="shared" si="82"/>
        <v>0</v>
      </c>
      <c r="T488" s="110">
        <f t="shared" si="86"/>
        <v>0.87751199172335947</v>
      </c>
      <c r="U488" s="110">
        <f t="shared" si="86"/>
        <v>0.12248800827664044</v>
      </c>
      <c r="V488" s="110">
        <f t="shared" si="86"/>
        <v>0</v>
      </c>
      <c r="W488" s="110">
        <f t="shared" si="77"/>
        <v>0.99999999999999989</v>
      </c>
      <c r="Y488" s="142">
        <f>T488*'Co-Processing'!K490*'Feedstock Conversion Rates'!B$13</f>
        <v>144.81069925116284</v>
      </c>
      <c r="Z488" s="142">
        <f>U488*'Co-Processing'!K490*'Feedstock Conversion Rates'!B$12</f>
        <v>20.887266239374888</v>
      </c>
      <c r="AA488" s="142">
        <f>V488*'Co-Processing'!K490*'Feedstock Conversion Rates'!B$14</f>
        <v>0</v>
      </c>
      <c r="AB488" s="142">
        <f t="shared" si="79"/>
        <v>165.69796549053774</v>
      </c>
      <c r="AD488" s="142">
        <v>0</v>
      </c>
      <c r="AE488" s="142">
        <v>0</v>
      </c>
      <c r="AF488" s="142">
        <v>0</v>
      </c>
      <c r="AG488" s="142">
        <v>0</v>
      </c>
      <c r="AH488" s="142">
        <v>0</v>
      </c>
    </row>
    <row r="489" spans="1:34" x14ac:dyDescent="0.25">
      <c r="A489" s="96">
        <v>53601</v>
      </c>
      <c r="B489" s="104">
        <f t="shared" si="83"/>
        <v>25</v>
      </c>
      <c r="C489" s="104">
        <f>('Co-Processing'!B491*'Co-Pro Feedstock Breakdown'!C$3*'Feedstock Conversion Rates'!B$12)/12-10-15</f>
        <v>10.520833333333336</v>
      </c>
      <c r="D489" s="106">
        <f t="shared" si="87"/>
        <v>35.520833333333336</v>
      </c>
      <c r="E489" s="104">
        <f>('Co-Processing'!C491*'Co-Pro Feedstock Breakdown'!E$3*'Feedstock Conversion Rates'!B$13)/12</f>
        <v>25.78125</v>
      </c>
      <c r="F489" s="104">
        <f>('Co-Processing'!C491*'Co-Pro Feedstock Breakdown'!F$3*'Feedstock Conversion Rates'!B$14)/12</f>
        <v>8.5364583333333339</v>
      </c>
      <c r="G489" s="106">
        <f t="shared" si="76"/>
        <v>34.317708333333336</v>
      </c>
      <c r="H489" s="104">
        <f>('Co-Processing'!D491*'Co-Pro Feedstock Breakdown'!H$3*'Feedstock Conversion Rates'!B$13)/12</f>
        <v>93.75</v>
      </c>
      <c r="I489" s="106">
        <f t="shared" si="78"/>
        <v>93.75</v>
      </c>
      <c r="J489" s="104">
        <f>('Co-Processing'!E491*'Co-Pro Feedstock Breakdown'!J$3*'Feedstock Conversion Rates'!B$13)/12</f>
        <v>1.25</v>
      </c>
      <c r="K489" s="104">
        <f>('Co-Processing'!E491*'Co-Pro Feedstock Breakdown'!K$3*'Feedstock Conversion Rates'!B$12)/12</f>
        <v>1.2916666666666667</v>
      </c>
      <c r="L489" s="106">
        <f t="shared" si="80"/>
        <v>2.541666666666667</v>
      </c>
      <c r="N489" s="104">
        <f t="shared" si="81"/>
        <v>145.78125</v>
      </c>
      <c r="O489" s="104">
        <f t="shared" si="84"/>
        <v>20.348958333333336</v>
      </c>
      <c r="P489" s="104"/>
      <c r="Q489" s="106">
        <f t="shared" si="85"/>
        <v>166.13020833333334</v>
      </c>
      <c r="R489" s="141">
        <f t="shared" si="82"/>
        <v>0</v>
      </c>
      <c r="T489" s="110">
        <f t="shared" si="86"/>
        <v>0.87751199172335947</v>
      </c>
      <c r="U489" s="110">
        <f t="shared" si="86"/>
        <v>0.12248800827664044</v>
      </c>
      <c r="V489" s="110">
        <f t="shared" si="86"/>
        <v>0</v>
      </c>
      <c r="W489" s="110">
        <f t="shared" si="77"/>
        <v>0.99999999999999989</v>
      </c>
      <c r="Y489" s="142">
        <f>T489*'Co-Processing'!K491*'Feedstock Conversion Rates'!B$13</f>
        <v>116.38479274048149</v>
      </c>
      <c r="Z489" s="142">
        <f>U489*'Co-Processing'!K491*'Feedstock Conversion Rates'!B$12</f>
        <v>16.787158440334522</v>
      </c>
      <c r="AA489" s="142">
        <f>V489*'Co-Processing'!K491*'Feedstock Conversion Rates'!B$14</f>
        <v>0</v>
      </c>
      <c r="AB489" s="142">
        <f t="shared" si="79"/>
        <v>133.171951180816</v>
      </c>
      <c r="AD489" s="142">
        <v>0</v>
      </c>
      <c r="AE489" s="142">
        <v>0</v>
      </c>
      <c r="AF489" s="142">
        <v>0</v>
      </c>
      <c r="AG489" s="142">
        <v>0</v>
      </c>
      <c r="AH489" s="142">
        <v>0</v>
      </c>
    </row>
    <row r="490" spans="1:34" x14ac:dyDescent="0.25">
      <c r="A490" s="96">
        <v>53632</v>
      </c>
      <c r="B490" s="104">
        <f t="shared" si="83"/>
        <v>25</v>
      </c>
      <c r="C490" s="104">
        <f>('Co-Processing'!B492*'Co-Pro Feedstock Breakdown'!C$3*'Feedstock Conversion Rates'!B$12)/12-10-15</f>
        <v>10.520833333333336</v>
      </c>
      <c r="D490" s="106">
        <f t="shared" si="87"/>
        <v>35.520833333333336</v>
      </c>
      <c r="E490" s="104">
        <f>('Co-Processing'!C492*'Co-Pro Feedstock Breakdown'!E$3*'Feedstock Conversion Rates'!B$13)/12</f>
        <v>25.78125</v>
      </c>
      <c r="F490" s="104">
        <f>('Co-Processing'!C492*'Co-Pro Feedstock Breakdown'!F$3*'Feedstock Conversion Rates'!B$14)/12</f>
        <v>8.5364583333333339</v>
      </c>
      <c r="G490" s="106">
        <f t="shared" si="76"/>
        <v>34.317708333333336</v>
      </c>
      <c r="H490" s="104">
        <f>('Co-Processing'!D492*'Co-Pro Feedstock Breakdown'!H$3*'Feedstock Conversion Rates'!B$13)/12</f>
        <v>93.75</v>
      </c>
      <c r="I490" s="106">
        <f t="shared" si="78"/>
        <v>93.75</v>
      </c>
      <c r="J490" s="104">
        <f>('Co-Processing'!E492*'Co-Pro Feedstock Breakdown'!J$3*'Feedstock Conversion Rates'!B$13)/12</f>
        <v>1.25</v>
      </c>
      <c r="K490" s="104">
        <f>('Co-Processing'!E492*'Co-Pro Feedstock Breakdown'!K$3*'Feedstock Conversion Rates'!B$12)/12</f>
        <v>1.2916666666666667</v>
      </c>
      <c r="L490" s="106">
        <f t="shared" si="80"/>
        <v>2.541666666666667</v>
      </c>
      <c r="N490" s="104">
        <f t="shared" si="81"/>
        <v>145.78125</v>
      </c>
      <c r="O490" s="104">
        <f t="shared" si="84"/>
        <v>20.348958333333336</v>
      </c>
      <c r="P490" s="104"/>
      <c r="Q490" s="106">
        <f t="shared" si="85"/>
        <v>166.13020833333334</v>
      </c>
      <c r="R490" s="141">
        <f t="shared" si="82"/>
        <v>0</v>
      </c>
      <c r="T490" s="110">
        <f t="shared" si="86"/>
        <v>0.87751199172335947</v>
      </c>
      <c r="U490" s="110">
        <f t="shared" si="86"/>
        <v>0.12248800827664044</v>
      </c>
      <c r="V490" s="110">
        <f t="shared" si="86"/>
        <v>0</v>
      </c>
      <c r="W490" s="110">
        <f t="shared" si="77"/>
        <v>0.99999999999999989</v>
      </c>
      <c r="Y490" s="142">
        <f>T490*'Co-Processing'!K492*'Feedstock Conversion Rates'!B$13</f>
        <v>117.18630671629063</v>
      </c>
      <c r="Z490" s="142">
        <f>U490*'Co-Processing'!K492*'Feedstock Conversion Rates'!B$12</f>
        <v>16.90276754859709</v>
      </c>
      <c r="AA490" s="142">
        <f>V490*'Co-Processing'!K492*'Feedstock Conversion Rates'!B$14</f>
        <v>0</v>
      </c>
      <c r="AB490" s="142">
        <f t="shared" si="79"/>
        <v>134.08907426488773</v>
      </c>
      <c r="AD490" s="142">
        <v>0</v>
      </c>
      <c r="AE490" s="142">
        <v>0</v>
      </c>
      <c r="AF490" s="142">
        <v>0</v>
      </c>
      <c r="AG490" s="142">
        <v>0</v>
      </c>
      <c r="AH490" s="142">
        <v>0</v>
      </c>
    </row>
    <row r="491" spans="1:34" x14ac:dyDescent="0.25">
      <c r="A491" s="96">
        <v>53662</v>
      </c>
      <c r="B491" s="104">
        <f t="shared" si="83"/>
        <v>25</v>
      </c>
      <c r="C491" s="104">
        <f>('Co-Processing'!B493*'Co-Pro Feedstock Breakdown'!C$3*'Feedstock Conversion Rates'!B$12)/12-10-15</f>
        <v>10.520833333333336</v>
      </c>
      <c r="D491" s="106">
        <f t="shared" si="87"/>
        <v>35.520833333333336</v>
      </c>
      <c r="E491" s="104">
        <f>('Co-Processing'!C493*'Co-Pro Feedstock Breakdown'!E$3*'Feedstock Conversion Rates'!B$13)/12</f>
        <v>25.78125</v>
      </c>
      <c r="F491" s="104">
        <f>('Co-Processing'!C493*'Co-Pro Feedstock Breakdown'!F$3*'Feedstock Conversion Rates'!B$14)/12</f>
        <v>8.5364583333333339</v>
      </c>
      <c r="G491" s="106">
        <f t="shared" si="76"/>
        <v>34.317708333333336</v>
      </c>
      <c r="H491" s="104">
        <f>('Co-Processing'!D493*'Co-Pro Feedstock Breakdown'!H$3*'Feedstock Conversion Rates'!B$13)/12</f>
        <v>93.75</v>
      </c>
      <c r="I491" s="106">
        <f t="shared" si="78"/>
        <v>93.75</v>
      </c>
      <c r="J491" s="104">
        <f>('Co-Processing'!E493*'Co-Pro Feedstock Breakdown'!J$3*'Feedstock Conversion Rates'!B$13)/12</f>
        <v>1.25</v>
      </c>
      <c r="K491" s="104">
        <f>('Co-Processing'!E493*'Co-Pro Feedstock Breakdown'!K$3*'Feedstock Conversion Rates'!B$12)/12</f>
        <v>1.2916666666666667</v>
      </c>
      <c r="L491" s="106">
        <f t="shared" si="80"/>
        <v>2.541666666666667</v>
      </c>
      <c r="N491" s="104">
        <f t="shared" si="81"/>
        <v>145.78125</v>
      </c>
      <c r="O491" s="104">
        <f t="shared" si="84"/>
        <v>20.348958333333336</v>
      </c>
      <c r="P491" s="104"/>
      <c r="Q491" s="106">
        <f t="shared" si="85"/>
        <v>166.13020833333334</v>
      </c>
      <c r="R491" s="141">
        <f t="shared" si="82"/>
        <v>0</v>
      </c>
      <c r="T491" s="110">
        <f t="shared" si="86"/>
        <v>0.87751199172335947</v>
      </c>
      <c r="U491" s="110">
        <f t="shared" si="86"/>
        <v>0.12248800827664044</v>
      </c>
      <c r="V491" s="110">
        <f t="shared" si="86"/>
        <v>0</v>
      </c>
      <c r="W491" s="110">
        <f t="shared" si="77"/>
        <v>0.99999999999999989</v>
      </c>
      <c r="Y491" s="142">
        <f>T491*'Co-Processing'!K493*'Feedstock Conversion Rates'!B$13</f>
        <v>120.7587830363717</v>
      </c>
      <c r="Z491" s="142">
        <f>U491*'Co-Processing'!K493*'Feedstock Conversion Rates'!B$12</f>
        <v>17.418055883072803</v>
      </c>
      <c r="AA491" s="142">
        <f>V491*'Co-Processing'!K493*'Feedstock Conversion Rates'!B$14</f>
        <v>0</v>
      </c>
      <c r="AB491" s="142">
        <f t="shared" si="79"/>
        <v>138.17683891944449</v>
      </c>
      <c r="AD491" s="142">
        <v>0</v>
      </c>
      <c r="AE491" s="142">
        <v>0</v>
      </c>
      <c r="AF491" s="142">
        <v>0</v>
      </c>
      <c r="AG491" s="142">
        <v>0</v>
      </c>
      <c r="AH491" s="142">
        <v>0</v>
      </c>
    </row>
    <row r="492" spans="1:34" x14ac:dyDescent="0.25">
      <c r="A492" s="96">
        <v>53693</v>
      </c>
      <c r="B492" s="104">
        <f t="shared" si="83"/>
        <v>25</v>
      </c>
      <c r="C492" s="104">
        <f>('Co-Processing'!B494*'Co-Pro Feedstock Breakdown'!C$3*'Feedstock Conversion Rates'!B$12)/12-10-15</f>
        <v>10.520833333333336</v>
      </c>
      <c r="D492" s="106">
        <f t="shared" si="87"/>
        <v>35.520833333333336</v>
      </c>
      <c r="E492" s="104">
        <f>('Co-Processing'!C494*'Co-Pro Feedstock Breakdown'!E$3*'Feedstock Conversion Rates'!B$13)/12</f>
        <v>25.78125</v>
      </c>
      <c r="F492" s="104">
        <f>('Co-Processing'!C494*'Co-Pro Feedstock Breakdown'!F$3*'Feedstock Conversion Rates'!B$14)/12</f>
        <v>8.5364583333333339</v>
      </c>
      <c r="G492" s="106">
        <f t="shared" ref="G492:G551" si="88">SUM(E492:F492)</f>
        <v>34.317708333333336</v>
      </c>
      <c r="H492" s="104">
        <f>('Co-Processing'!D494*'Co-Pro Feedstock Breakdown'!H$3*'Feedstock Conversion Rates'!B$13)/12</f>
        <v>93.75</v>
      </c>
      <c r="I492" s="106">
        <f t="shared" si="78"/>
        <v>93.75</v>
      </c>
      <c r="J492" s="104">
        <f>('Co-Processing'!E494*'Co-Pro Feedstock Breakdown'!J$3*'Feedstock Conversion Rates'!B$13)/12</f>
        <v>1.25</v>
      </c>
      <c r="K492" s="104">
        <f>('Co-Processing'!E494*'Co-Pro Feedstock Breakdown'!K$3*'Feedstock Conversion Rates'!B$12)/12</f>
        <v>1.2916666666666667</v>
      </c>
      <c r="L492" s="106">
        <f t="shared" si="80"/>
        <v>2.541666666666667</v>
      </c>
      <c r="N492" s="104">
        <f t="shared" si="81"/>
        <v>145.78125</v>
      </c>
      <c r="O492" s="104">
        <f t="shared" si="84"/>
        <v>20.348958333333336</v>
      </c>
      <c r="P492" s="104"/>
      <c r="Q492" s="106">
        <f t="shared" si="85"/>
        <v>166.13020833333334</v>
      </c>
      <c r="R492" s="141">
        <f t="shared" si="82"/>
        <v>0</v>
      </c>
      <c r="T492" s="110">
        <f t="shared" si="86"/>
        <v>0.87751199172335947</v>
      </c>
      <c r="U492" s="110">
        <f t="shared" si="86"/>
        <v>0.12248800827664044</v>
      </c>
      <c r="V492" s="110">
        <f t="shared" si="86"/>
        <v>0</v>
      </c>
      <c r="W492" s="110">
        <f t="shared" ref="W492:W551" si="89">SUM(T492:V492)</f>
        <v>0.99999999999999989</v>
      </c>
      <c r="Y492" s="142">
        <f>T492*'Co-Processing'!K494*'Feedstock Conversion Rates'!B$13</f>
        <v>103.46373219337276</v>
      </c>
      <c r="Z492" s="142">
        <f>U492*'Co-Processing'!K494*'Feedstock Conversion Rates'!B$12</f>
        <v>14.923445101899167</v>
      </c>
      <c r="AA492" s="142">
        <f>V492*'Co-Processing'!K494*'Feedstock Conversion Rates'!B$14</f>
        <v>0</v>
      </c>
      <c r="AB492" s="142">
        <f t="shared" si="79"/>
        <v>118.38717729527193</v>
      </c>
      <c r="AD492" s="142">
        <v>0</v>
      </c>
      <c r="AE492" s="142">
        <v>0</v>
      </c>
      <c r="AF492" s="142">
        <v>0</v>
      </c>
      <c r="AG492" s="142">
        <v>0</v>
      </c>
      <c r="AH492" s="142">
        <v>0</v>
      </c>
    </row>
    <row r="493" spans="1:34" x14ac:dyDescent="0.25">
      <c r="A493" s="96">
        <v>53724</v>
      </c>
      <c r="B493" s="104">
        <f t="shared" si="83"/>
        <v>25</v>
      </c>
      <c r="C493" s="104">
        <f>('Co-Processing'!B495*'Co-Pro Feedstock Breakdown'!C$3*'Feedstock Conversion Rates'!B$12)/12-10-15</f>
        <v>10.520833333333336</v>
      </c>
      <c r="D493" s="106">
        <f t="shared" si="87"/>
        <v>35.520833333333336</v>
      </c>
      <c r="E493" s="104">
        <f>('Co-Processing'!C495*'Co-Pro Feedstock Breakdown'!E$3*'Feedstock Conversion Rates'!B$13)/12</f>
        <v>25.78125</v>
      </c>
      <c r="F493" s="104">
        <f>('Co-Processing'!C495*'Co-Pro Feedstock Breakdown'!F$3*'Feedstock Conversion Rates'!B$14)/12</f>
        <v>8.5364583333333339</v>
      </c>
      <c r="G493" s="106">
        <f t="shared" si="88"/>
        <v>34.317708333333336</v>
      </c>
      <c r="H493" s="104">
        <f>('Co-Processing'!D495*'Co-Pro Feedstock Breakdown'!H$3*'Feedstock Conversion Rates'!B$13)/12</f>
        <v>93.75</v>
      </c>
      <c r="I493" s="106">
        <f t="shared" si="78"/>
        <v>93.75</v>
      </c>
      <c r="J493" s="104">
        <f>('Co-Processing'!E495*'Co-Pro Feedstock Breakdown'!J$3*'Feedstock Conversion Rates'!B$13)/12</f>
        <v>1.25</v>
      </c>
      <c r="K493" s="104">
        <f>('Co-Processing'!E495*'Co-Pro Feedstock Breakdown'!K$3*'Feedstock Conversion Rates'!B$12)/12</f>
        <v>1.2916666666666667</v>
      </c>
      <c r="L493" s="106">
        <f t="shared" si="80"/>
        <v>2.541666666666667</v>
      </c>
      <c r="N493" s="104">
        <f t="shared" si="81"/>
        <v>145.78125</v>
      </c>
      <c r="O493" s="104">
        <f t="shared" si="84"/>
        <v>20.348958333333336</v>
      </c>
      <c r="P493" s="104"/>
      <c r="Q493" s="106">
        <f t="shared" si="85"/>
        <v>166.13020833333334</v>
      </c>
      <c r="R493" s="141">
        <f t="shared" si="82"/>
        <v>0</v>
      </c>
      <c r="T493" s="110">
        <f t="shared" si="86"/>
        <v>0.87751199172335947</v>
      </c>
      <c r="U493" s="110">
        <f t="shared" si="86"/>
        <v>0.12248800827664044</v>
      </c>
      <c r="V493" s="110">
        <f t="shared" si="86"/>
        <v>0</v>
      </c>
      <c r="W493" s="110">
        <f t="shared" si="89"/>
        <v>0.99999999999999989</v>
      </c>
      <c r="Y493" s="142">
        <f>T493*'Co-Processing'!K495*'Feedstock Conversion Rates'!B$13</f>
        <v>80.910960626093143</v>
      </c>
      <c r="Z493" s="142">
        <f>U493*'Co-Processing'!K495*'Feedstock Conversion Rates'!B$12</f>
        <v>11.670468998631089</v>
      </c>
      <c r="AA493" s="142">
        <f>V493*'Co-Processing'!K495*'Feedstock Conversion Rates'!B$14</f>
        <v>0</v>
      </c>
      <c r="AB493" s="142">
        <f t="shared" si="79"/>
        <v>92.581429624724237</v>
      </c>
      <c r="AD493" s="142">
        <v>0</v>
      </c>
      <c r="AE493" s="142">
        <v>0</v>
      </c>
      <c r="AF493" s="142">
        <v>0</v>
      </c>
      <c r="AG493" s="142">
        <v>0</v>
      </c>
      <c r="AH493" s="142">
        <v>0</v>
      </c>
    </row>
    <row r="494" spans="1:34" x14ac:dyDescent="0.25">
      <c r="A494" s="96">
        <v>53752</v>
      </c>
      <c r="B494" s="104">
        <f t="shared" si="83"/>
        <v>25</v>
      </c>
      <c r="C494" s="104">
        <f>('Co-Processing'!B496*'Co-Pro Feedstock Breakdown'!C$3*'Feedstock Conversion Rates'!B$12)/12-10-15</f>
        <v>10.520833333333336</v>
      </c>
      <c r="D494" s="106">
        <f t="shared" si="87"/>
        <v>35.520833333333336</v>
      </c>
      <c r="E494" s="104">
        <f>('Co-Processing'!C496*'Co-Pro Feedstock Breakdown'!E$3*'Feedstock Conversion Rates'!B$13)/12</f>
        <v>25.78125</v>
      </c>
      <c r="F494" s="104">
        <f>('Co-Processing'!C496*'Co-Pro Feedstock Breakdown'!F$3*'Feedstock Conversion Rates'!B$14)/12</f>
        <v>8.5364583333333339</v>
      </c>
      <c r="G494" s="106">
        <f t="shared" si="88"/>
        <v>34.317708333333336</v>
      </c>
      <c r="H494" s="104">
        <f>('Co-Processing'!D496*'Co-Pro Feedstock Breakdown'!H$3*'Feedstock Conversion Rates'!B$13)/12</f>
        <v>93.75</v>
      </c>
      <c r="I494" s="106">
        <f t="shared" si="78"/>
        <v>93.75</v>
      </c>
      <c r="J494" s="104">
        <f>('Co-Processing'!E496*'Co-Pro Feedstock Breakdown'!J$3*'Feedstock Conversion Rates'!B$13)/12</f>
        <v>1.25</v>
      </c>
      <c r="K494" s="104">
        <f>('Co-Processing'!E496*'Co-Pro Feedstock Breakdown'!K$3*'Feedstock Conversion Rates'!B$12)/12</f>
        <v>1.2916666666666667</v>
      </c>
      <c r="L494" s="106">
        <f t="shared" si="80"/>
        <v>2.541666666666667</v>
      </c>
      <c r="N494" s="104">
        <f t="shared" si="81"/>
        <v>145.78125</v>
      </c>
      <c r="O494" s="104">
        <f t="shared" si="84"/>
        <v>20.348958333333336</v>
      </c>
      <c r="P494" s="104"/>
      <c r="Q494" s="106">
        <f t="shared" si="85"/>
        <v>166.13020833333334</v>
      </c>
      <c r="R494" s="141">
        <f t="shared" si="82"/>
        <v>0</v>
      </c>
      <c r="T494" s="110">
        <f t="shared" si="86"/>
        <v>0.87751199172335947</v>
      </c>
      <c r="U494" s="110">
        <f t="shared" si="86"/>
        <v>0.12248800827664044</v>
      </c>
      <c r="V494" s="110">
        <f t="shared" si="86"/>
        <v>0</v>
      </c>
      <c r="W494" s="110">
        <f t="shared" si="89"/>
        <v>0.99999999999999989</v>
      </c>
      <c r="Y494" s="142">
        <f>T494*'Co-Processing'!K496*'Feedstock Conversion Rates'!B$13</f>
        <v>133.2454914070523</v>
      </c>
      <c r="Z494" s="142">
        <f>U494*'Co-Processing'!K496*'Feedstock Conversion Rates'!B$12</f>
        <v>19.219118950515607</v>
      </c>
      <c r="AA494" s="142">
        <f>V494*'Co-Processing'!K496*'Feedstock Conversion Rates'!B$14</f>
        <v>0</v>
      </c>
      <c r="AB494" s="142">
        <f t="shared" si="79"/>
        <v>152.46461035756789</v>
      </c>
      <c r="AD494" s="142">
        <v>0</v>
      </c>
      <c r="AE494" s="142">
        <v>0</v>
      </c>
      <c r="AF494" s="142">
        <v>0</v>
      </c>
      <c r="AG494" s="142">
        <v>0</v>
      </c>
      <c r="AH494" s="142">
        <v>0</v>
      </c>
    </row>
    <row r="495" spans="1:34" x14ac:dyDescent="0.25">
      <c r="A495" s="96">
        <v>53783</v>
      </c>
      <c r="B495" s="104">
        <f t="shared" si="83"/>
        <v>25</v>
      </c>
      <c r="C495" s="104">
        <f>('Co-Processing'!B497*'Co-Pro Feedstock Breakdown'!C$3*'Feedstock Conversion Rates'!B$12)/12-10-15</f>
        <v>10.520833333333336</v>
      </c>
      <c r="D495" s="106">
        <f t="shared" si="87"/>
        <v>35.520833333333336</v>
      </c>
      <c r="E495" s="104">
        <f>('Co-Processing'!C497*'Co-Pro Feedstock Breakdown'!E$3*'Feedstock Conversion Rates'!B$13)/12</f>
        <v>25.78125</v>
      </c>
      <c r="F495" s="104">
        <f>('Co-Processing'!C497*'Co-Pro Feedstock Breakdown'!F$3*'Feedstock Conversion Rates'!B$14)/12</f>
        <v>8.5364583333333339</v>
      </c>
      <c r="G495" s="106">
        <f t="shared" si="88"/>
        <v>34.317708333333336</v>
      </c>
      <c r="H495" s="104">
        <f>('Co-Processing'!D497*'Co-Pro Feedstock Breakdown'!H$3*'Feedstock Conversion Rates'!B$13)/12</f>
        <v>93.75</v>
      </c>
      <c r="I495" s="106">
        <f t="shared" si="78"/>
        <v>93.75</v>
      </c>
      <c r="J495" s="104">
        <f>('Co-Processing'!E497*'Co-Pro Feedstock Breakdown'!J$3*'Feedstock Conversion Rates'!B$13)/12</f>
        <v>1.25</v>
      </c>
      <c r="K495" s="104">
        <f>('Co-Processing'!E497*'Co-Pro Feedstock Breakdown'!K$3*'Feedstock Conversion Rates'!B$12)/12</f>
        <v>1.2916666666666667</v>
      </c>
      <c r="L495" s="106">
        <f t="shared" si="80"/>
        <v>2.541666666666667</v>
      </c>
      <c r="N495" s="104">
        <f t="shared" si="81"/>
        <v>145.78125</v>
      </c>
      <c r="O495" s="104">
        <f t="shared" si="84"/>
        <v>20.348958333333336</v>
      </c>
      <c r="P495" s="104"/>
      <c r="Q495" s="106">
        <f t="shared" si="85"/>
        <v>166.13020833333334</v>
      </c>
      <c r="R495" s="141">
        <f t="shared" si="82"/>
        <v>0</v>
      </c>
      <c r="T495" s="110">
        <f t="shared" si="86"/>
        <v>0.87751199172335947</v>
      </c>
      <c r="U495" s="110">
        <f t="shared" si="86"/>
        <v>0.12248800827664044</v>
      </c>
      <c r="V495" s="110">
        <f t="shared" si="86"/>
        <v>0</v>
      </c>
      <c r="W495" s="110">
        <f t="shared" si="89"/>
        <v>0.99999999999999989</v>
      </c>
      <c r="Y495" s="142">
        <f>T495*'Co-Processing'!K497*'Feedstock Conversion Rates'!B$13</f>
        <v>86.77632929179191</v>
      </c>
      <c r="Z495" s="142">
        <f>U495*'Co-Processing'!K497*'Feedstock Conversion Rates'!B$12</f>
        <v>12.516480498789999</v>
      </c>
      <c r="AA495" s="142">
        <f>V495*'Co-Processing'!K497*'Feedstock Conversion Rates'!B$14</f>
        <v>0</v>
      </c>
      <c r="AB495" s="142">
        <f t="shared" si="79"/>
        <v>99.292809790581913</v>
      </c>
      <c r="AD495" s="142">
        <v>0</v>
      </c>
      <c r="AE495" s="142">
        <v>0</v>
      </c>
      <c r="AF495" s="142">
        <v>0</v>
      </c>
      <c r="AG495" s="142">
        <v>0</v>
      </c>
      <c r="AH495" s="142">
        <v>0</v>
      </c>
    </row>
    <row r="496" spans="1:34" x14ac:dyDescent="0.25">
      <c r="A496" s="96">
        <v>53813</v>
      </c>
      <c r="B496" s="104">
        <f t="shared" si="83"/>
        <v>25</v>
      </c>
      <c r="C496" s="104">
        <f>('Co-Processing'!B498*'Co-Pro Feedstock Breakdown'!C$3*'Feedstock Conversion Rates'!B$12)/12-10-15</f>
        <v>10.520833333333336</v>
      </c>
      <c r="D496" s="106">
        <f t="shared" si="87"/>
        <v>35.520833333333336</v>
      </c>
      <c r="E496" s="104">
        <f>('Co-Processing'!C498*'Co-Pro Feedstock Breakdown'!E$3*'Feedstock Conversion Rates'!B$13)/12</f>
        <v>25.78125</v>
      </c>
      <c r="F496" s="104">
        <f>('Co-Processing'!C498*'Co-Pro Feedstock Breakdown'!F$3*'Feedstock Conversion Rates'!B$14)/12</f>
        <v>8.5364583333333339</v>
      </c>
      <c r="G496" s="106">
        <f t="shared" si="88"/>
        <v>34.317708333333336</v>
      </c>
      <c r="H496" s="104">
        <f>('Co-Processing'!D498*'Co-Pro Feedstock Breakdown'!H$3*'Feedstock Conversion Rates'!B$13)/12</f>
        <v>93.75</v>
      </c>
      <c r="I496" s="106">
        <f t="shared" si="78"/>
        <v>93.75</v>
      </c>
      <c r="J496" s="104">
        <f>('Co-Processing'!E498*'Co-Pro Feedstock Breakdown'!J$3*'Feedstock Conversion Rates'!B$13)/12</f>
        <v>1.25</v>
      </c>
      <c r="K496" s="104">
        <f>('Co-Processing'!E498*'Co-Pro Feedstock Breakdown'!K$3*'Feedstock Conversion Rates'!B$12)/12</f>
        <v>1.2916666666666667</v>
      </c>
      <c r="L496" s="106">
        <f t="shared" si="80"/>
        <v>2.541666666666667</v>
      </c>
      <c r="N496" s="104">
        <f t="shared" si="81"/>
        <v>145.78125</v>
      </c>
      <c r="O496" s="104">
        <f t="shared" si="84"/>
        <v>20.348958333333336</v>
      </c>
      <c r="P496" s="104"/>
      <c r="Q496" s="106">
        <f t="shared" si="85"/>
        <v>166.13020833333334</v>
      </c>
      <c r="R496" s="141">
        <f t="shared" si="82"/>
        <v>0</v>
      </c>
      <c r="T496" s="110">
        <f t="shared" si="86"/>
        <v>0.87751199172335947</v>
      </c>
      <c r="U496" s="110">
        <f t="shared" si="86"/>
        <v>0.12248800827664044</v>
      </c>
      <c r="V496" s="110">
        <f t="shared" si="86"/>
        <v>0</v>
      </c>
      <c r="W496" s="110">
        <f t="shared" si="89"/>
        <v>0.99999999999999989</v>
      </c>
      <c r="Y496" s="142">
        <f>T496*'Co-Processing'!K498*'Feedstock Conversion Rates'!B$13</f>
        <v>95.519045505707709</v>
      </c>
      <c r="Z496" s="142">
        <f>U496*'Co-Processing'!K498*'Feedstock Conversion Rates'!B$12</f>
        <v>13.777516058729072</v>
      </c>
      <c r="AA496" s="142">
        <f>V496*'Co-Processing'!K498*'Feedstock Conversion Rates'!B$14</f>
        <v>0</v>
      </c>
      <c r="AB496" s="142">
        <f t="shared" si="79"/>
        <v>109.29656156443679</v>
      </c>
      <c r="AD496" s="142">
        <v>0</v>
      </c>
      <c r="AE496" s="142">
        <v>0</v>
      </c>
      <c r="AF496" s="142">
        <v>0</v>
      </c>
      <c r="AG496" s="142">
        <v>0</v>
      </c>
      <c r="AH496" s="142">
        <v>0</v>
      </c>
    </row>
    <row r="497" spans="1:34" x14ac:dyDescent="0.25">
      <c r="A497" s="96">
        <v>53844</v>
      </c>
      <c r="B497" s="104">
        <f t="shared" si="83"/>
        <v>25</v>
      </c>
      <c r="C497" s="104">
        <f>('Co-Processing'!B499*'Co-Pro Feedstock Breakdown'!C$3*'Feedstock Conversion Rates'!B$12)/12-10-15</f>
        <v>10.520833333333336</v>
      </c>
      <c r="D497" s="106">
        <f t="shared" si="87"/>
        <v>35.520833333333336</v>
      </c>
      <c r="E497" s="104">
        <f>('Co-Processing'!C499*'Co-Pro Feedstock Breakdown'!E$3*'Feedstock Conversion Rates'!B$13)/12</f>
        <v>25.78125</v>
      </c>
      <c r="F497" s="104">
        <f>('Co-Processing'!C499*'Co-Pro Feedstock Breakdown'!F$3*'Feedstock Conversion Rates'!B$14)/12</f>
        <v>8.5364583333333339</v>
      </c>
      <c r="G497" s="106">
        <f t="shared" si="88"/>
        <v>34.317708333333336</v>
      </c>
      <c r="H497" s="104">
        <f>('Co-Processing'!D499*'Co-Pro Feedstock Breakdown'!H$3*'Feedstock Conversion Rates'!B$13)/12</f>
        <v>93.75</v>
      </c>
      <c r="I497" s="106">
        <f t="shared" si="78"/>
        <v>93.75</v>
      </c>
      <c r="J497" s="104">
        <f>('Co-Processing'!E499*'Co-Pro Feedstock Breakdown'!J$3*'Feedstock Conversion Rates'!B$13)/12</f>
        <v>1.25</v>
      </c>
      <c r="K497" s="104">
        <f>('Co-Processing'!E499*'Co-Pro Feedstock Breakdown'!K$3*'Feedstock Conversion Rates'!B$12)/12</f>
        <v>1.2916666666666667</v>
      </c>
      <c r="L497" s="106">
        <f t="shared" si="80"/>
        <v>2.541666666666667</v>
      </c>
      <c r="N497" s="104">
        <f t="shared" si="81"/>
        <v>145.78125</v>
      </c>
      <c r="O497" s="104">
        <f t="shared" si="84"/>
        <v>20.348958333333336</v>
      </c>
      <c r="P497" s="104"/>
      <c r="Q497" s="106">
        <f t="shared" si="85"/>
        <v>166.13020833333334</v>
      </c>
      <c r="R497" s="141">
        <f t="shared" si="82"/>
        <v>0</v>
      </c>
      <c r="T497" s="110">
        <f t="shared" si="86"/>
        <v>0.87751199172335947</v>
      </c>
      <c r="U497" s="110">
        <f t="shared" si="86"/>
        <v>0.12248800827664044</v>
      </c>
      <c r="V497" s="110">
        <f t="shared" si="86"/>
        <v>0</v>
      </c>
      <c r="W497" s="110">
        <f t="shared" si="89"/>
        <v>0.99999999999999989</v>
      </c>
      <c r="Y497" s="142">
        <f>T497*'Co-Processing'!K499*'Feedstock Conversion Rates'!B$13</f>
        <v>129.32649668178203</v>
      </c>
      <c r="Z497" s="142">
        <f>U497*'Co-Processing'!K499*'Feedstock Conversion Rates'!B$12</f>
        <v>18.653849349300224</v>
      </c>
      <c r="AA497" s="142">
        <f>V497*'Co-Processing'!K499*'Feedstock Conversion Rates'!B$14</f>
        <v>0</v>
      </c>
      <c r="AB497" s="142">
        <f t="shared" si="79"/>
        <v>147.98034603108226</v>
      </c>
      <c r="AD497" s="142">
        <v>0</v>
      </c>
      <c r="AE497" s="142">
        <v>0</v>
      </c>
      <c r="AF497" s="142">
        <v>0</v>
      </c>
      <c r="AG497" s="142">
        <v>0</v>
      </c>
      <c r="AH497" s="142">
        <v>0</v>
      </c>
    </row>
    <row r="498" spans="1:34" x14ac:dyDescent="0.25">
      <c r="A498" s="96">
        <v>53874</v>
      </c>
      <c r="B498" s="104">
        <f t="shared" si="83"/>
        <v>25</v>
      </c>
      <c r="C498" s="104">
        <f>('Co-Processing'!B500*'Co-Pro Feedstock Breakdown'!C$3*'Feedstock Conversion Rates'!B$12)/12-10-15</f>
        <v>10.520833333333336</v>
      </c>
      <c r="D498" s="106">
        <f t="shared" si="87"/>
        <v>35.520833333333336</v>
      </c>
      <c r="E498" s="104">
        <f>('Co-Processing'!C500*'Co-Pro Feedstock Breakdown'!E$3*'Feedstock Conversion Rates'!B$13)/12</f>
        <v>25.78125</v>
      </c>
      <c r="F498" s="104">
        <f>('Co-Processing'!C500*'Co-Pro Feedstock Breakdown'!F$3*'Feedstock Conversion Rates'!B$14)/12</f>
        <v>8.5364583333333339</v>
      </c>
      <c r="G498" s="106">
        <f t="shared" si="88"/>
        <v>34.317708333333336</v>
      </c>
      <c r="H498" s="104">
        <f>('Co-Processing'!D500*'Co-Pro Feedstock Breakdown'!H$3*'Feedstock Conversion Rates'!B$13)/12</f>
        <v>93.75</v>
      </c>
      <c r="I498" s="106">
        <f t="shared" si="78"/>
        <v>93.75</v>
      </c>
      <c r="J498" s="104">
        <f>('Co-Processing'!E500*'Co-Pro Feedstock Breakdown'!J$3*'Feedstock Conversion Rates'!B$13)/12</f>
        <v>1.25</v>
      </c>
      <c r="K498" s="104">
        <f>('Co-Processing'!E500*'Co-Pro Feedstock Breakdown'!K$3*'Feedstock Conversion Rates'!B$12)/12</f>
        <v>1.2916666666666667</v>
      </c>
      <c r="L498" s="106">
        <f t="shared" si="80"/>
        <v>2.541666666666667</v>
      </c>
      <c r="N498" s="104">
        <f t="shared" si="81"/>
        <v>145.78125</v>
      </c>
      <c r="O498" s="104">
        <f t="shared" si="84"/>
        <v>20.348958333333336</v>
      </c>
      <c r="P498" s="104"/>
      <c r="Q498" s="106">
        <f t="shared" si="85"/>
        <v>166.13020833333334</v>
      </c>
      <c r="R498" s="141">
        <f t="shared" si="82"/>
        <v>0</v>
      </c>
      <c r="T498" s="110">
        <f t="shared" si="86"/>
        <v>0.87751199172335947</v>
      </c>
      <c r="U498" s="110">
        <f t="shared" si="86"/>
        <v>0.12248800827664044</v>
      </c>
      <c r="V498" s="110">
        <f t="shared" si="86"/>
        <v>0</v>
      </c>
      <c r="W498" s="110">
        <f t="shared" si="89"/>
        <v>0.99999999999999989</v>
      </c>
      <c r="Y498" s="142">
        <f>T498*'Co-Processing'!K500*'Feedstock Conversion Rates'!B$13</f>
        <v>107.96977711642235</v>
      </c>
      <c r="Z498" s="142">
        <f>U498*'Co-Processing'!K500*'Feedstock Conversion Rates'!B$12</f>
        <v>15.573389895212252</v>
      </c>
      <c r="AA498" s="142">
        <f>V498*'Co-Processing'!K500*'Feedstock Conversion Rates'!B$14</f>
        <v>0</v>
      </c>
      <c r="AB498" s="142">
        <f t="shared" si="79"/>
        <v>123.54316701163461</v>
      </c>
      <c r="AD498" s="142">
        <v>0</v>
      </c>
      <c r="AE498" s="142">
        <v>0</v>
      </c>
      <c r="AF498" s="142">
        <v>0</v>
      </c>
      <c r="AG498" s="142">
        <v>0</v>
      </c>
      <c r="AH498" s="142">
        <v>0</v>
      </c>
    </row>
    <row r="499" spans="1:34" x14ac:dyDescent="0.25">
      <c r="A499" s="96">
        <v>53905</v>
      </c>
      <c r="B499" s="104">
        <f t="shared" si="83"/>
        <v>25</v>
      </c>
      <c r="C499" s="104">
        <f>('Co-Processing'!B501*'Co-Pro Feedstock Breakdown'!C$3*'Feedstock Conversion Rates'!B$12)/12-10-15</f>
        <v>10.520833333333336</v>
      </c>
      <c r="D499" s="106">
        <f t="shared" si="87"/>
        <v>35.520833333333336</v>
      </c>
      <c r="E499" s="104">
        <f>('Co-Processing'!C501*'Co-Pro Feedstock Breakdown'!E$3*'Feedstock Conversion Rates'!B$13)/12</f>
        <v>25.78125</v>
      </c>
      <c r="F499" s="104">
        <f>('Co-Processing'!C501*'Co-Pro Feedstock Breakdown'!F$3*'Feedstock Conversion Rates'!B$14)/12</f>
        <v>8.5364583333333339</v>
      </c>
      <c r="G499" s="106">
        <f t="shared" si="88"/>
        <v>34.317708333333336</v>
      </c>
      <c r="H499" s="104">
        <f>('Co-Processing'!D501*'Co-Pro Feedstock Breakdown'!H$3*'Feedstock Conversion Rates'!B$13)/12</f>
        <v>93.75</v>
      </c>
      <c r="I499" s="106">
        <f t="shared" ref="I499:I551" si="90">H499</f>
        <v>93.75</v>
      </c>
      <c r="J499" s="104">
        <f>('Co-Processing'!E501*'Co-Pro Feedstock Breakdown'!J$3*'Feedstock Conversion Rates'!B$13)/12</f>
        <v>1.25</v>
      </c>
      <c r="K499" s="104">
        <f>('Co-Processing'!E501*'Co-Pro Feedstock Breakdown'!K$3*'Feedstock Conversion Rates'!B$12)/12</f>
        <v>1.2916666666666667</v>
      </c>
      <c r="L499" s="106">
        <f t="shared" si="80"/>
        <v>2.541666666666667</v>
      </c>
      <c r="N499" s="104">
        <f t="shared" si="81"/>
        <v>145.78125</v>
      </c>
      <c r="O499" s="104">
        <f t="shared" si="84"/>
        <v>20.348958333333336</v>
      </c>
      <c r="P499" s="104"/>
      <c r="Q499" s="106">
        <f t="shared" si="85"/>
        <v>166.13020833333334</v>
      </c>
      <c r="R499" s="141">
        <f t="shared" si="82"/>
        <v>0</v>
      </c>
      <c r="T499" s="110">
        <f t="shared" si="86"/>
        <v>0.87751199172335947</v>
      </c>
      <c r="U499" s="110">
        <f t="shared" si="86"/>
        <v>0.12248800827664044</v>
      </c>
      <c r="V499" s="110">
        <f t="shared" si="86"/>
        <v>0</v>
      </c>
      <c r="W499" s="110">
        <f t="shared" si="89"/>
        <v>0.99999999999999989</v>
      </c>
      <c r="Y499" s="142">
        <f>T499*'Co-Processing'!K501*'Feedstock Conversion Rates'!B$13</f>
        <v>158.60971919171575</v>
      </c>
      <c r="Z499" s="142">
        <f>U499*'Co-Processing'!K501*'Feedstock Conversion Rates'!B$12</f>
        <v>22.877615052212743</v>
      </c>
      <c r="AA499" s="142">
        <f>V499*'Co-Processing'!K501*'Feedstock Conversion Rates'!B$14</f>
        <v>0</v>
      </c>
      <c r="AB499" s="142">
        <f t="shared" si="79"/>
        <v>181.4873342439285</v>
      </c>
      <c r="AD499" s="142">
        <v>0</v>
      </c>
      <c r="AE499" s="142">
        <v>0</v>
      </c>
      <c r="AF499" s="142">
        <v>0</v>
      </c>
      <c r="AG499" s="142">
        <v>0</v>
      </c>
      <c r="AH499" s="142">
        <v>0</v>
      </c>
    </row>
    <row r="500" spans="1:34" x14ac:dyDescent="0.25">
      <c r="A500" s="96">
        <v>53936</v>
      </c>
      <c r="B500" s="104">
        <f t="shared" si="83"/>
        <v>25</v>
      </c>
      <c r="C500" s="104">
        <f>('Co-Processing'!B502*'Co-Pro Feedstock Breakdown'!C$3*'Feedstock Conversion Rates'!B$12)/12-10-15</f>
        <v>10.520833333333336</v>
      </c>
      <c r="D500" s="106">
        <f t="shared" si="87"/>
        <v>35.520833333333336</v>
      </c>
      <c r="E500" s="104">
        <f>('Co-Processing'!C502*'Co-Pro Feedstock Breakdown'!E$3*'Feedstock Conversion Rates'!B$13)/12</f>
        <v>25.78125</v>
      </c>
      <c r="F500" s="104">
        <f>('Co-Processing'!C502*'Co-Pro Feedstock Breakdown'!F$3*'Feedstock Conversion Rates'!B$14)/12</f>
        <v>8.5364583333333339</v>
      </c>
      <c r="G500" s="106">
        <f t="shared" si="88"/>
        <v>34.317708333333336</v>
      </c>
      <c r="H500" s="104">
        <f>('Co-Processing'!D502*'Co-Pro Feedstock Breakdown'!H$3*'Feedstock Conversion Rates'!B$13)/12</f>
        <v>93.75</v>
      </c>
      <c r="I500" s="106">
        <f t="shared" si="90"/>
        <v>93.75</v>
      </c>
      <c r="J500" s="104">
        <f>('Co-Processing'!E502*'Co-Pro Feedstock Breakdown'!J$3*'Feedstock Conversion Rates'!B$13)/12</f>
        <v>1.25</v>
      </c>
      <c r="K500" s="104">
        <f>('Co-Processing'!E502*'Co-Pro Feedstock Breakdown'!K$3*'Feedstock Conversion Rates'!B$12)/12</f>
        <v>1.2916666666666667</v>
      </c>
      <c r="L500" s="106">
        <f t="shared" si="80"/>
        <v>2.541666666666667</v>
      </c>
      <c r="N500" s="104">
        <f t="shared" si="81"/>
        <v>145.78125</v>
      </c>
      <c r="O500" s="104">
        <f t="shared" si="84"/>
        <v>20.348958333333336</v>
      </c>
      <c r="P500" s="104"/>
      <c r="Q500" s="106">
        <f t="shared" si="85"/>
        <v>166.13020833333334</v>
      </c>
      <c r="R500" s="141">
        <f t="shared" si="82"/>
        <v>0</v>
      </c>
      <c r="T500" s="110">
        <f t="shared" si="86"/>
        <v>0.87751199172335947</v>
      </c>
      <c r="U500" s="110">
        <f t="shared" si="86"/>
        <v>0.12248800827664044</v>
      </c>
      <c r="V500" s="110">
        <f t="shared" si="86"/>
        <v>0</v>
      </c>
      <c r="W500" s="110">
        <f t="shared" si="89"/>
        <v>0.99999999999999989</v>
      </c>
      <c r="Y500" s="142">
        <f>T500*'Co-Processing'!K502*'Feedstock Conversion Rates'!B$13</f>
        <v>142.32788697754813</v>
      </c>
      <c r="Z500" s="142">
        <f>U500*'Co-Processing'!K502*'Feedstock Conversion Rates'!B$12</f>
        <v>20.529149323639036</v>
      </c>
      <c r="AA500" s="142">
        <f>V500*'Co-Processing'!K502*'Feedstock Conversion Rates'!B$14</f>
        <v>0</v>
      </c>
      <c r="AB500" s="142">
        <f t="shared" si="79"/>
        <v>162.85703630118718</v>
      </c>
      <c r="AD500" s="142">
        <v>0</v>
      </c>
      <c r="AE500" s="142">
        <v>0</v>
      </c>
      <c r="AF500" s="142">
        <v>0</v>
      </c>
      <c r="AG500" s="142">
        <v>0</v>
      </c>
      <c r="AH500" s="142">
        <v>0</v>
      </c>
    </row>
    <row r="501" spans="1:34" x14ac:dyDescent="0.25">
      <c r="A501" s="96">
        <v>53966</v>
      </c>
      <c r="B501" s="104">
        <f t="shared" si="83"/>
        <v>25</v>
      </c>
      <c r="C501" s="104">
        <f>('Co-Processing'!B503*'Co-Pro Feedstock Breakdown'!C$3*'Feedstock Conversion Rates'!B$12)/12-10-15</f>
        <v>10.520833333333336</v>
      </c>
      <c r="D501" s="106">
        <f t="shared" si="87"/>
        <v>35.520833333333336</v>
      </c>
      <c r="E501" s="104">
        <f>('Co-Processing'!C503*'Co-Pro Feedstock Breakdown'!E$3*'Feedstock Conversion Rates'!B$13)/12</f>
        <v>25.78125</v>
      </c>
      <c r="F501" s="104">
        <f>('Co-Processing'!C503*'Co-Pro Feedstock Breakdown'!F$3*'Feedstock Conversion Rates'!B$14)/12</f>
        <v>8.5364583333333339</v>
      </c>
      <c r="G501" s="106">
        <f t="shared" si="88"/>
        <v>34.317708333333336</v>
      </c>
      <c r="H501" s="104">
        <f>('Co-Processing'!D503*'Co-Pro Feedstock Breakdown'!H$3*'Feedstock Conversion Rates'!B$13)/12</f>
        <v>93.75</v>
      </c>
      <c r="I501" s="106">
        <f t="shared" si="90"/>
        <v>93.75</v>
      </c>
      <c r="J501" s="104">
        <f>('Co-Processing'!E503*'Co-Pro Feedstock Breakdown'!J$3*'Feedstock Conversion Rates'!B$13)/12</f>
        <v>1.25</v>
      </c>
      <c r="K501" s="104">
        <f>('Co-Processing'!E503*'Co-Pro Feedstock Breakdown'!K$3*'Feedstock Conversion Rates'!B$12)/12</f>
        <v>1.2916666666666667</v>
      </c>
      <c r="L501" s="106">
        <f t="shared" si="80"/>
        <v>2.541666666666667</v>
      </c>
      <c r="N501" s="104">
        <f t="shared" si="81"/>
        <v>145.78125</v>
      </c>
      <c r="O501" s="104">
        <f t="shared" si="84"/>
        <v>20.348958333333336</v>
      </c>
      <c r="P501" s="104"/>
      <c r="Q501" s="106">
        <f t="shared" si="85"/>
        <v>166.13020833333334</v>
      </c>
      <c r="R501" s="141">
        <f t="shared" si="82"/>
        <v>0</v>
      </c>
      <c r="T501" s="110">
        <f t="shared" si="86"/>
        <v>0.87751199172335947</v>
      </c>
      <c r="U501" s="110">
        <f t="shared" si="86"/>
        <v>0.12248800827664044</v>
      </c>
      <c r="V501" s="110">
        <f t="shared" si="86"/>
        <v>0</v>
      </c>
      <c r="W501" s="110">
        <f t="shared" si="89"/>
        <v>0.99999999999999989</v>
      </c>
      <c r="Y501" s="142">
        <f>T501*'Co-Processing'!K503*'Feedstock Conversion Rates'!B$13</f>
        <v>114.38995529421663</v>
      </c>
      <c r="Z501" s="142">
        <f>U501*'Co-Processing'!K503*'Feedstock Conversion Rates'!B$12</f>
        <v>16.499426241955028</v>
      </c>
      <c r="AA501" s="142">
        <f>V501*'Co-Processing'!K503*'Feedstock Conversion Rates'!B$14</f>
        <v>0</v>
      </c>
      <c r="AB501" s="142">
        <f t="shared" si="79"/>
        <v>130.88938153617167</v>
      </c>
      <c r="AD501" s="142">
        <v>0</v>
      </c>
      <c r="AE501" s="142">
        <v>0</v>
      </c>
      <c r="AF501" s="142">
        <v>0</v>
      </c>
      <c r="AG501" s="142">
        <v>0</v>
      </c>
      <c r="AH501" s="142">
        <v>0</v>
      </c>
    </row>
    <row r="502" spans="1:34" x14ac:dyDescent="0.25">
      <c r="A502" s="96">
        <v>53997</v>
      </c>
      <c r="B502" s="104">
        <f t="shared" si="83"/>
        <v>25</v>
      </c>
      <c r="C502" s="104">
        <f>('Co-Processing'!B504*'Co-Pro Feedstock Breakdown'!C$3*'Feedstock Conversion Rates'!B$12)/12-10-15</f>
        <v>10.520833333333336</v>
      </c>
      <c r="D502" s="106">
        <f t="shared" si="87"/>
        <v>35.520833333333336</v>
      </c>
      <c r="E502" s="104">
        <f>('Co-Processing'!C504*'Co-Pro Feedstock Breakdown'!E$3*'Feedstock Conversion Rates'!B$13)/12</f>
        <v>25.78125</v>
      </c>
      <c r="F502" s="104">
        <f>('Co-Processing'!C504*'Co-Pro Feedstock Breakdown'!F$3*'Feedstock Conversion Rates'!B$14)/12</f>
        <v>8.5364583333333339</v>
      </c>
      <c r="G502" s="106">
        <f t="shared" si="88"/>
        <v>34.317708333333336</v>
      </c>
      <c r="H502" s="104">
        <f>('Co-Processing'!D504*'Co-Pro Feedstock Breakdown'!H$3*'Feedstock Conversion Rates'!B$13)/12</f>
        <v>93.75</v>
      </c>
      <c r="I502" s="106">
        <f t="shared" si="90"/>
        <v>93.75</v>
      </c>
      <c r="J502" s="104">
        <f>('Co-Processing'!E504*'Co-Pro Feedstock Breakdown'!J$3*'Feedstock Conversion Rates'!B$13)/12</f>
        <v>1.25</v>
      </c>
      <c r="K502" s="104">
        <f>('Co-Processing'!E504*'Co-Pro Feedstock Breakdown'!K$3*'Feedstock Conversion Rates'!B$12)/12</f>
        <v>1.2916666666666667</v>
      </c>
      <c r="L502" s="106">
        <f t="shared" si="80"/>
        <v>2.541666666666667</v>
      </c>
      <c r="N502" s="104">
        <f t="shared" si="81"/>
        <v>145.78125</v>
      </c>
      <c r="O502" s="104">
        <f t="shared" si="84"/>
        <v>20.348958333333336</v>
      </c>
      <c r="P502" s="104"/>
      <c r="Q502" s="106">
        <f t="shared" si="85"/>
        <v>166.13020833333334</v>
      </c>
      <c r="R502" s="141">
        <f t="shared" si="82"/>
        <v>0</v>
      </c>
      <c r="T502" s="110">
        <f t="shared" si="86"/>
        <v>0.87751199172335947</v>
      </c>
      <c r="U502" s="110">
        <f t="shared" si="86"/>
        <v>0.12248800827664044</v>
      </c>
      <c r="V502" s="110">
        <f t="shared" si="86"/>
        <v>0</v>
      </c>
      <c r="W502" s="110">
        <f t="shared" si="89"/>
        <v>0.99999999999999989</v>
      </c>
      <c r="Y502" s="142">
        <f>T502*'Co-Processing'!K504*'Feedstock Conversion Rates'!B$13</f>
        <v>115.1781114691092</v>
      </c>
      <c r="Z502" s="142">
        <f>U502*'Co-Processing'!K504*'Feedstock Conversion Rates'!B$12</f>
        <v>16.613108642138979</v>
      </c>
      <c r="AA502" s="142">
        <f>V502*'Co-Processing'!K504*'Feedstock Conversion Rates'!B$14</f>
        <v>0</v>
      </c>
      <c r="AB502" s="142">
        <f t="shared" si="79"/>
        <v>131.79122011124818</v>
      </c>
      <c r="AD502" s="142">
        <v>0</v>
      </c>
      <c r="AE502" s="142">
        <v>0</v>
      </c>
      <c r="AF502" s="142">
        <v>0</v>
      </c>
      <c r="AG502" s="142">
        <v>0</v>
      </c>
      <c r="AH502" s="142">
        <v>0</v>
      </c>
    </row>
    <row r="503" spans="1:34" x14ac:dyDescent="0.25">
      <c r="A503" s="96">
        <v>54027</v>
      </c>
      <c r="B503" s="104">
        <f t="shared" si="83"/>
        <v>25</v>
      </c>
      <c r="C503" s="104">
        <f>('Co-Processing'!B505*'Co-Pro Feedstock Breakdown'!C$3*'Feedstock Conversion Rates'!B$12)/12-10-15</f>
        <v>10.520833333333336</v>
      </c>
      <c r="D503" s="106">
        <f t="shared" si="87"/>
        <v>35.520833333333336</v>
      </c>
      <c r="E503" s="104">
        <f>('Co-Processing'!C505*'Co-Pro Feedstock Breakdown'!E$3*'Feedstock Conversion Rates'!B$13)/12</f>
        <v>25.78125</v>
      </c>
      <c r="F503" s="104">
        <f>('Co-Processing'!C505*'Co-Pro Feedstock Breakdown'!F$3*'Feedstock Conversion Rates'!B$14)/12</f>
        <v>8.5364583333333339</v>
      </c>
      <c r="G503" s="106">
        <f t="shared" si="88"/>
        <v>34.317708333333336</v>
      </c>
      <c r="H503" s="104">
        <f>('Co-Processing'!D505*'Co-Pro Feedstock Breakdown'!H$3*'Feedstock Conversion Rates'!B$13)/12</f>
        <v>93.75</v>
      </c>
      <c r="I503" s="106">
        <f t="shared" si="90"/>
        <v>93.75</v>
      </c>
      <c r="J503" s="104">
        <f>('Co-Processing'!E505*'Co-Pro Feedstock Breakdown'!J$3*'Feedstock Conversion Rates'!B$13)/12</f>
        <v>1.25</v>
      </c>
      <c r="K503" s="104">
        <f>('Co-Processing'!E505*'Co-Pro Feedstock Breakdown'!K$3*'Feedstock Conversion Rates'!B$12)/12</f>
        <v>1.2916666666666667</v>
      </c>
      <c r="L503" s="106">
        <f t="shared" si="80"/>
        <v>2.541666666666667</v>
      </c>
      <c r="N503" s="104">
        <f t="shared" si="81"/>
        <v>145.78125</v>
      </c>
      <c r="O503" s="104">
        <f t="shared" si="84"/>
        <v>20.348958333333336</v>
      </c>
      <c r="P503" s="104"/>
      <c r="Q503" s="106">
        <f t="shared" si="85"/>
        <v>166.13020833333334</v>
      </c>
      <c r="R503" s="141">
        <f t="shared" si="82"/>
        <v>0</v>
      </c>
      <c r="T503" s="110">
        <f t="shared" si="86"/>
        <v>0.87751199172335947</v>
      </c>
      <c r="U503" s="110">
        <f t="shared" si="86"/>
        <v>0.12248800827664044</v>
      </c>
      <c r="V503" s="110">
        <f t="shared" si="86"/>
        <v>0</v>
      </c>
      <c r="W503" s="110">
        <f t="shared" si="89"/>
        <v>0.99999999999999989</v>
      </c>
      <c r="Y503" s="142">
        <f>T503*'Co-Processing'!K505*'Feedstock Conversion Rates'!B$13</f>
        <v>118.68696361080241</v>
      </c>
      <c r="Z503" s="142">
        <f>U503*'Co-Processing'!K505*'Feedstock Conversion Rates'!B$12</f>
        <v>17.119219925746762</v>
      </c>
      <c r="AA503" s="142">
        <f>V503*'Co-Processing'!K505*'Feedstock Conversion Rates'!B$14</f>
        <v>0</v>
      </c>
      <c r="AB503" s="142">
        <f t="shared" ref="AB503:AB551" si="91">SUM(Y503:AA503)</f>
        <v>135.80618353654916</v>
      </c>
      <c r="AD503" s="142">
        <v>0</v>
      </c>
      <c r="AE503" s="142">
        <v>0</v>
      </c>
      <c r="AF503" s="142">
        <v>0</v>
      </c>
      <c r="AG503" s="142">
        <v>0</v>
      </c>
      <c r="AH503" s="142">
        <v>0</v>
      </c>
    </row>
    <row r="504" spans="1:34" x14ac:dyDescent="0.25">
      <c r="A504" s="96">
        <v>54058</v>
      </c>
      <c r="B504" s="104">
        <f t="shared" si="83"/>
        <v>25</v>
      </c>
      <c r="C504" s="104">
        <f>('Co-Processing'!B506*'Co-Pro Feedstock Breakdown'!C$3*'Feedstock Conversion Rates'!B$12)/12-10-15</f>
        <v>10.520833333333336</v>
      </c>
      <c r="D504" s="106">
        <f t="shared" si="87"/>
        <v>35.520833333333336</v>
      </c>
      <c r="E504" s="104">
        <f>('Co-Processing'!C506*'Co-Pro Feedstock Breakdown'!E$3*'Feedstock Conversion Rates'!B$13)/12</f>
        <v>25.78125</v>
      </c>
      <c r="F504" s="104">
        <f>('Co-Processing'!C506*'Co-Pro Feedstock Breakdown'!F$3*'Feedstock Conversion Rates'!B$14)/12</f>
        <v>8.5364583333333339</v>
      </c>
      <c r="G504" s="106">
        <f t="shared" si="88"/>
        <v>34.317708333333336</v>
      </c>
      <c r="H504" s="104">
        <f>('Co-Processing'!D506*'Co-Pro Feedstock Breakdown'!H$3*'Feedstock Conversion Rates'!B$13)/12</f>
        <v>93.75</v>
      </c>
      <c r="I504" s="106">
        <f t="shared" si="90"/>
        <v>93.75</v>
      </c>
      <c r="J504" s="104">
        <f>('Co-Processing'!E506*'Co-Pro Feedstock Breakdown'!J$3*'Feedstock Conversion Rates'!B$13)/12</f>
        <v>1.25</v>
      </c>
      <c r="K504" s="104">
        <f>('Co-Processing'!E506*'Co-Pro Feedstock Breakdown'!K$3*'Feedstock Conversion Rates'!B$12)/12</f>
        <v>1.2916666666666667</v>
      </c>
      <c r="L504" s="106">
        <f t="shared" si="80"/>
        <v>2.541666666666667</v>
      </c>
      <c r="N504" s="104">
        <f t="shared" si="81"/>
        <v>145.78125</v>
      </c>
      <c r="O504" s="104">
        <f t="shared" si="84"/>
        <v>20.348958333333336</v>
      </c>
      <c r="P504" s="104"/>
      <c r="Q504" s="106">
        <f t="shared" si="85"/>
        <v>166.13020833333334</v>
      </c>
      <c r="R504" s="141">
        <f t="shared" si="82"/>
        <v>0</v>
      </c>
      <c r="T504" s="110">
        <f t="shared" si="86"/>
        <v>0.87751199172335947</v>
      </c>
      <c r="U504" s="110">
        <f t="shared" si="86"/>
        <v>0.12248800827664044</v>
      </c>
      <c r="V504" s="110">
        <f t="shared" si="86"/>
        <v>0</v>
      </c>
      <c r="W504" s="110">
        <f t="shared" si="89"/>
        <v>0.99999999999999989</v>
      </c>
      <c r="Y504" s="142">
        <f>T504*'Co-Processing'!K506*'Feedstock Conversion Rates'!B$13</f>
        <v>107.42500629894232</v>
      </c>
      <c r="Z504" s="142">
        <f>U504*'Co-Processing'!K506*'Feedstock Conversion Rates'!B$12</f>
        <v>15.494813014063356</v>
      </c>
      <c r="AA504" s="142">
        <f>V504*'Co-Processing'!K506*'Feedstock Conversion Rates'!B$14</f>
        <v>0</v>
      </c>
      <c r="AB504" s="142">
        <f t="shared" si="91"/>
        <v>122.91981931300568</v>
      </c>
      <c r="AD504" s="142">
        <v>0</v>
      </c>
      <c r="AE504" s="142">
        <v>0</v>
      </c>
      <c r="AF504" s="142">
        <v>0</v>
      </c>
      <c r="AG504" s="142">
        <v>0</v>
      </c>
      <c r="AH504" s="142">
        <v>0</v>
      </c>
    </row>
    <row r="505" spans="1:34" x14ac:dyDescent="0.25">
      <c r="A505" s="96">
        <v>54089</v>
      </c>
      <c r="B505" s="104">
        <f t="shared" si="83"/>
        <v>25</v>
      </c>
      <c r="C505" s="104">
        <f>('Co-Processing'!B507*'Co-Pro Feedstock Breakdown'!C$3*'Feedstock Conversion Rates'!B$12)/12-10-15</f>
        <v>10.520833333333336</v>
      </c>
      <c r="D505" s="106">
        <f t="shared" si="87"/>
        <v>35.520833333333336</v>
      </c>
      <c r="E505" s="104">
        <f>('Co-Processing'!C507*'Co-Pro Feedstock Breakdown'!E$3*'Feedstock Conversion Rates'!B$13)/12</f>
        <v>25.78125</v>
      </c>
      <c r="F505" s="104">
        <f>('Co-Processing'!C507*'Co-Pro Feedstock Breakdown'!F$3*'Feedstock Conversion Rates'!B$14)/12</f>
        <v>8.5364583333333339</v>
      </c>
      <c r="G505" s="106">
        <f t="shared" si="88"/>
        <v>34.317708333333336</v>
      </c>
      <c r="H505" s="104">
        <f>('Co-Processing'!D507*'Co-Pro Feedstock Breakdown'!H$3*'Feedstock Conversion Rates'!B$13)/12</f>
        <v>93.75</v>
      </c>
      <c r="I505" s="106">
        <f t="shared" si="90"/>
        <v>93.75</v>
      </c>
      <c r="J505" s="104">
        <f>('Co-Processing'!E507*'Co-Pro Feedstock Breakdown'!J$3*'Feedstock Conversion Rates'!B$13)/12</f>
        <v>1.25</v>
      </c>
      <c r="K505" s="104">
        <f>('Co-Processing'!E507*'Co-Pro Feedstock Breakdown'!K$3*'Feedstock Conversion Rates'!B$12)/12</f>
        <v>1.2916666666666667</v>
      </c>
      <c r="L505" s="106">
        <f t="shared" si="80"/>
        <v>2.541666666666667</v>
      </c>
      <c r="N505" s="104">
        <f t="shared" si="81"/>
        <v>145.78125</v>
      </c>
      <c r="O505" s="104">
        <f t="shared" si="84"/>
        <v>20.348958333333336</v>
      </c>
      <c r="P505" s="104"/>
      <c r="Q505" s="106">
        <f t="shared" si="85"/>
        <v>166.13020833333334</v>
      </c>
      <c r="R505" s="141">
        <f t="shared" si="82"/>
        <v>0</v>
      </c>
      <c r="T505" s="110">
        <f t="shared" si="86"/>
        <v>0.87751199172335947</v>
      </c>
      <c r="U505" s="110">
        <f t="shared" si="86"/>
        <v>0.12248800827664044</v>
      </c>
      <c r="V505" s="110">
        <f t="shared" si="86"/>
        <v>0</v>
      </c>
      <c r="W505" s="110">
        <f t="shared" si="89"/>
        <v>0.99999999999999989</v>
      </c>
      <c r="Y505" s="142">
        <f>T505*'Co-Processing'!K507*'Feedstock Conversion Rates'!B$13</f>
        <v>84.008575417572388</v>
      </c>
      <c r="Z505" s="142">
        <f>U505*'Co-Processing'!K507*'Feedstock Conversion Rates'!B$12</f>
        <v>12.117264057222956</v>
      </c>
      <c r="AA505" s="142">
        <f>V505*'Co-Processing'!K507*'Feedstock Conversion Rates'!B$14</f>
        <v>0</v>
      </c>
      <c r="AB505" s="142">
        <f t="shared" si="91"/>
        <v>96.125839474795342</v>
      </c>
      <c r="AD505" s="142">
        <v>0</v>
      </c>
      <c r="AE505" s="142">
        <v>0</v>
      </c>
      <c r="AF505" s="142">
        <v>0</v>
      </c>
      <c r="AG505" s="142">
        <v>0</v>
      </c>
      <c r="AH505" s="142">
        <v>0</v>
      </c>
    </row>
    <row r="506" spans="1:34" x14ac:dyDescent="0.25">
      <c r="A506" s="96">
        <v>54118</v>
      </c>
      <c r="B506" s="104">
        <f t="shared" si="83"/>
        <v>25</v>
      </c>
      <c r="C506" s="104">
        <f>('Co-Processing'!B508*'Co-Pro Feedstock Breakdown'!C$3*'Feedstock Conversion Rates'!B$12)/12-10-15</f>
        <v>10.520833333333336</v>
      </c>
      <c r="D506" s="106">
        <f t="shared" si="87"/>
        <v>35.520833333333336</v>
      </c>
      <c r="E506" s="104">
        <f>('Co-Processing'!C508*'Co-Pro Feedstock Breakdown'!E$3*'Feedstock Conversion Rates'!B$13)/12</f>
        <v>25.78125</v>
      </c>
      <c r="F506" s="104">
        <f>('Co-Processing'!C508*'Co-Pro Feedstock Breakdown'!F$3*'Feedstock Conversion Rates'!B$14)/12</f>
        <v>8.5364583333333339</v>
      </c>
      <c r="G506" s="106">
        <f t="shared" si="88"/>
        <v>34.317708333333336</v>
      </c>
      <c r="H506" s="104">
        <f>('Co-Processing'!D508*'Co-Pro Feedstock Breakdown'!H$3*'Feedstock Conversion Rates'!B$13)/12</f>
        <v>93.75</v>
      </c>
      <c r="I506" s="106">
        <f t="shared" si="90"/>
        <v>93.75</v>
      </c>
      <c r="J506" s="104">
        <f>('Co-Processing'!E508*'Co-Pro Feedstock Breakdown'!J$3*'Feedstock Conversion Rates'!B$13)/12</f>
        <v>1.25</v>
      </c>
      <c r="K506" s="104">
        <f>('Co-Processing'!E508*'Co-Pro Feedstock Breakdown'!K$3*'Feedstock Conversion Rates'!B$12)/12</f>
        <v>1.2916666666666667</v>
      </c>
      <c r="L506" s="106">
        <f t="shared" si="80"/>
        <v>2.541666666666667</v>
      </c>
      <c r="N506" s="104">
        <f t="shared" si="81"/>
        <v>145.78125</v>
      </c>
      <c r="O506" s="104">
        <f t="shared" si="84"/>
        <v>20.348958333333336</v>
      </c>
      <c r="P506" s="104"/>
      <c r="Q506" s="106">
        <f t="shared" si="85"/>
        <v>166.13020833333334</v>
      </c>
      <c r="R506" s="141">
        <f t="shared" si="82"/>
        <v>0</v>
      </c>
      <c r="T506" s="110">
        <f t="shared" si="86"/>
        <v>0.87751199172335947</v>
      </c>
      <c r="U506" s="110">
        <f t="shared" si="86"/>
        <v>0.12248800827664044</v>
      </c>
      <c r="V506" s="110">
        <f t="shared" si="86"/>
        <v>0</v>
      </c>
      <c r="W506" s="110">
        <f t="shared" si="89"/>
        <v>0.99999999999999989</v>
      </c>
      <c r="Y506" s="142">
        <f>T506*'Co-Processing'!K508*'Feedstock Conversion Rates'!B$13</f>
        <v>138.34266324476232</v>
      </c>
      <c r="Z506" s="142">
        <f>U506*'Co-Processing'!K508*'Feedstock Conversion Rates'!B$12</f>
        <v>19.954326955121928</v>
      </c>
      <c r="AA506" s="142">
        <f>V506*'Co-Processing'!K508*'Feedstock Conversion Rates'!B$14</f>
        <v>0</v>
      </c>
      <c r="AB506" s="142">
        <f t="shared" si="91"/>
        <v>158.29699019988425</v>
      </c>
      <c r="AD506" s="142">
        <v>0</v>
      </c>
      <c r="AE506" s="142">
        <v>0</v>
      </c>
      <c r="AF506" s="142">
        <v>0</v>
      </c>
      <c r="AG506" s="142">
        <v>0</v>
      </c>
      <c r="AH506" s="142">
        <v>0</v>
      </c>
    </row>
    <row r="507" spans="1:34" x14ac:dyDescent="0.25">
      <c r="A507" s="96">
        <v>54149</v>
      </c>
      <c r="B507" s="104">
        <f t="shared" si="83"/>
        <v>25</v>
      </c>
      <c r="C507" s="104">
        <f>('Co-Processing'!B509*'Co-Pro Feedstock Breakdown'!C$3*'Feedstock Conversion Rates'!B$12)/12-10-15</f>
        <v>10.520833333333336</v>
      </c>
      <c r="D507" s="106">
        <f t="shared" si="87"/>
        <v>35.520833333333336</v>
      </c>
      <c r="E507" s="104">
        <f>('Co-Processing'!C509*'Co-Pro Feedstock Breakdown'!E$3*'Feedstock Conversion Rates'!B$13)/12</f>
        <v>25.78125</v>
      </c>
      <c r="F507" s="104">
        <f>('Co-Processing'!C509*'Co-Pro Feedstock Breakdown'!F$3*'Feedstock Conversion Rates'!B$14)/12</f>
        <v>8.5364583333333339</v>
      </c>
      <c r="G507" s="106">
        <f t="shared" si="88"/>
        <v>34.317708333333336</v>
      </c>
      <c r="H507" s="104">
        <f>('Co-Processing'!D509*'Co-Pro Feedstock Breakdown'!H$3*'Feedstock Conversion Rates'!B$13)/12</f>
        <v>93.75</v>
      </c>
      <c r="I507" s="106">
        <f t="shared" si="90"/>
        <v>93.75</v>
      </c>
      <c r="J507" s="104">
        <f>('Co-Processing'!E509*'Co-Pro Feedstock Breakdown'!J$3*'Feedstock Conversion Rates'!B$13)/12</f>
        <v>1.25</v>
      </c>
      <c r="K507" s="104">
        <f>('Co-Processing'!E509*'Co-Pro Feedstock Breakdown'!K$3*'Feedstock Conversion Rates'!B$12)/12</f>
        <v>1.2916666666666667</v>
      </c>
      <c r="L507" s="106">
        <f t="shared" si="80"/>
        <v>2.541666666666667</v>
      </c>
      <c r="N507" s="104">
        <f t="shared" si="81"/>
        <v>145.78125</v>
      </c>
      <c r="O507" s="104">
        <f t="shared" si="84"/>
        <v>20.348958333333336</v>
      </c>
      <c r="P507" s="104"/>
      <c r="Q507" s="106">
        <f t="shared" si="85"/>
        <v>166.13020833333334</v>
      </c>
      <c r="R507" s="141">
        <f t="shared" si="82"/>
        <v>0</v>
      </c>
      <c r="T507" s="110">
        <f t="shared" si="86"/>
        <v>0.87751199172335947</v>
      </c>
      <c r="U507" s="110">
        <f t="shared" si="86"/>
        <v>0.12248800827664044</v>
      </c>
      <c r="V507" s="110">
        <f t="shared" si="86"/>
        <v>0</v>
      </c>
      <c r="W507" s="110">
        <f t="shared" si="89"/>
        <v>0.99999999999999989</v>
      </c>
      <c r="Y507" s="142">
        <f>T507*'Co-Processing'!K509*'Feedstock Conversion Rates'!B$13</f>
        <v>90.096824667016136</v>
      </c>
      <c r="Z507" s="142">
        <f>U507*'Co-Processing'!K509*'Feedstock Conversion Rates'!B$12</f>
        <v>12.995423500291764</v>
      </c>
      <c r="AA507" s="142">
        <f>V507*'Co-Processing'!K509*'Feedstock Conversion Rates'!B$14</f>
        <v>0</v>
      </c>
      <c r="AB507" s="142">
        <f t="shared" si="91"/>
        <v>103.0922481673079</v>
      </c>
      <c r="AD507" s="142">
        <v>0</v>
      </c>
      <c r="AE507" s="142">
        <v>0</v>
      </c>
      <c r="AF507" s="142">
        <v>0</v>
      </c>
      <c r="AG507" s="142">
        <v>0</v>
      </c>
      <c r="AH507" s="142">
        <v>0</v>
      </c>
    </row>
    <row r="508" spans="1:34" x14ac:dyDescent="0.25">
      <c r="A508" s="96">
        <v>54179</v>
      </c>
      <c r="B508" s="104">
        <f t="shared" si="83"/>
        <v>25</v>
      </c>
      <c r="C508" s="104">
        <f>('Co-Processing'!B510*'Co-Pro Feedstock Breakdown'!C$3*'Feedstock Conversion Rates'!B$12)/12-10-15</f>
        <v>10.520833333333336</v>
      </c>
      <c r="D508" s="106">
        <f t="shared" si="87"/>
        <v>35.520833333333336</v>
      </c>
      <c r="E508" s="104">
        <f>('Co-Processing'!C510*'Co-Pro Feedstock Breakdown'!E$3*'Feedstock Conversion Rates'!B$13)/12</f>
        <v>25.78125</v>
      </c>
      <c r="F508" s="104">
        <f>('Co-Processing'!C510*'Co-Pro Feedstock Breakdown'!F$3*'Feedstock Conversion Rates'!B$14)/12</f>
        <v>8.5364583333333339</v>
      </c>
      <c r="G508" s="106">
        <f t="shared" si="88"/>
        <v>34.317708333333336</v>
      </c>
      <c r="H508" s="104">
        <f>('Co-Processing'!D510*'Co-Pro Feedstock Breakdown'!H$3*'Feedstock Conversion Rates'!B$13)/12</f>
        <v>93.75</v>
      </c>
      <c r="I508" s="106">
        <f t="shared" si="90"/>
        <v>93.75</v>
      </c>
      <c r="J508" s="104">
        <f>('Co-Processing'!E510*'Co-Pro Feedstock Breakdown'!J$3*'Feedstock Conversion Rates'!B$13)/12</f>
        <v>1.25</v>
      </c>
      <c r="K508" s="104">
        <f>('Co-Processing'!E510*'Co-Pro Feedstock Breakdown'!K$3*'Feedstock Conversion Rates'!B$12)/12</f>
        <v>1.2916666666666667</v>
      </c>
      <c r="L508" s="106">
        <f t="shared" si="80"/>
        <v>2.541666666666667</v>
      </c>
      <c r="N508" s="104">
        <f t="shared" si="81"/>
        <v>145.78125</v>
      </c>
      <c r="O508" s="104">
        <f t="shared" si="84"/>
        <v>20.348958333333336</v>
      </c>
      <c r="P508" s="104"/>
      <c r="Q508" s="106">
        <f t="shared" si="85"/>
        <v>166.13020833333334</v>
      </c>
      <c r="R508" s="141">
        <f t="shared" si="82"/>
        <v>0</v>
      </c>
      <c r="T508" s="110">
        <f t="shared" si="86"/>
        <v>0.87751199172335947</v>
      </c>
      <c r="U508" s="110">
        <f t="shared" si="86"/>
        <v>0.12248800827664044</v>
      </c>
      <c r="V508" s="110">
        <f t="shared" si="86"/>
        <v>0</v>
      </c>
      <c r="W508" s="110">
        <f t="shared" si="89"/>
        <v>0.99999999999999989</v>
      </c>
      <c r="Y508" s="142">
        <f>T508*'Co-Processing'!K510*'Feedstock Conversion Rates'!B$13</f>
        <v>99.175775094298785</v>
      </c>
      <c r="Z508" s="142">
        <f>U508*'Co-Processing'!K510*'Feedstock Conversion Rates'!B$12</f>
        <v>14.304956951406677</v>
      </c>
      <c r="AA508" s="142">
        <f>V508*'Co-Processing'!K510*'Feedstock Conversion Rates'!B$14</f>
        <v>0</v>
      </c>
      <c r="AB508" s="142">
        <f t="shared" si="91"/>
        <v>113.48073204570547</v>
      </c>
      <c r="AD508" s="142">
        <v>0</v>
      </c>
      <c r="AE508" s="142">
        <v>0</v>
      </c>
      <c r="AF508" s="142">
        <v>0</v>
      </c>
      <c r="AG508" s="142">
        <v>0</v>
      </c>
      <c r="AH508" s="142">
        <v>0</v>
      </c>
    </row>
    <row r="509" spans="1:34" x14ac:dyDescent="0.25">
      <c r="A509" s="96">
        <v>54210</v>
      </c>
      <c r="B509" s="104">
        <f t="shared" si="83"/>
        <v>25</v>
      </c>
      <c r="C509" s="104">
        <f>('Co-Processing'!B511*'Co-Pro Feedstock Breakdown'!C$3*'Feedstock Conversion Rates'!B$12)/12-10-15</f>
        <v>10.520833333333336</v>
      </c>
      <c r="D509" s="106">
        <f t="shared" si="87"/>
        <v>35.520833333333336</v>
      </c>
      <c r="E509" s="104">
        <f>('Co-Processing'!C511*'Co-Pro Feedstock Breakdown'!E$3*'Feedstock Conversion Rates'!B$13)/12</f>
        <v>25.78125</v>
      </c>
      <c r="F509" s="104">
        <f>('Co-Processing'!C511*'Co-Pro Feedstock Breakdown'!F$3*'Feedstock Conversion Rates'!B$14)/12</f>
        <v>8.5364583333333339</v>
      </c>
      <c r="G509" s="106">
        <f t="shared" si="88"/>
        <v>34.317708333333336</v>
      </c>
      <c r="H509" s="104">
        <f>('Co-Processing'!D511*'Co-Pro Feedstock Breakdown'!H$3*'Feedstock Conversion Rates'!B$13)/12</f>
        <v>93.75</v>
      </c>
      <c r="I509" s="106">
        <f t="shared" si="90"/>
        <v>93.75</v>
      </c>
      <c r="J509" s="104">
        <f>('Co-Processing'!E511*'Co-Pro Feedstock Breakdown'!J$3*'Feedstock Conversion Rates'!B$13)/12</f>
        <v>1.25</v>
      </c>
      <c r="K509" s="104">
        <f>('Co-Processing'!E511*'Co-Pro Feedstock Breakdown'!K$3*'Feedstock Conversion Rates'!B$12)/12</f>
        <v>1.2916666666666667</v>
      </c>
      <c r="L509" s="106">
        <f t="shared" si="80"/>
        <v>2.541666666666667</v>
      </c>
      <c r="N509" s="104">
        <f t="shared" si="81"/>
        <v>145.78125</v>
      </c>
      <c r="O509" s="104">
        <f t="shared" si="84"/>
        <v>20.348958333333336</v>
      </c>
      <c r="P509" s="104"/>
      <c r="Q509" s="106">
        <f t="shared" si="85"/>
        <v>166.13020833333334</v>
      </c>
      <c r="R509" s="141">
        <f t="shared" si="82"/>
        <v>0</v>
      </c>
      <c r="T509" s="110">
        <f t="shared" si="86"/>
        <v>0.87751199172335947</v>
      </c>
      <c r="U509" s="110">
        <f t="shared" si="86"/>
        <v>0.12248800827664044</v>
      </c>
      <c r="V509" s="110">
        <f t="shared" si="86"/>
        <v>0</v>
      </c>
      <c r="W509" s="110">
        <f t="shared" si="89"/>
        <v>0.99999999999999989</v>
      </c>
      <c r="Y509" s="142">
        <f>T509*'Co-Processing'!K511*'Feedstock Conversion Rates'!B$13</f>
        <v>134.27284633702087</v>
      </c>
      <c r="Z509" s="142">
        <f>U509*'Co-Processing'!K511*'Feedstock Conversion Rates'!B$12</f>
        <v>19.36730300083477</v>
      </c>
      <c r="AA509" s="142">
        <f>V509*'Co-Processing'!K511*'Feedstock Conversion Rates'!B$14</f>
        <v>0</v>
      </c>
      <c r="AB509" s="142">
        <f t="shared" si="91"/>
        <v>153.64014933785563</v>
      </c>
      <c r="AD509" s="142">
        <v>0</v>
      </c>
      <c r="AE509" s="142">
        <v>0</v>
      </c>
      <c r="AF509" s="142">
        <v>0</v>
      </c>
      <c r="AG509" s="142">
        <v>0</v>
      </c>
      <c r="AH509" s="142">
        <v>0</v>
      </c>
    </row>
    <row r="510" spans="1:34" x14ac:dyDescent="0.25">
      <c r="A510" s="96">
        <v>54240</v>
      </c>
      <c r="B510" s="104">
        <f t="shared" si="83"/>
        <v>25</v>
      </c>
      <c r="C510" s="104">
        <f>('Co-Processing'!B512*'Co-Pro Feedstock Breakdown'!C$3*'Feedstock Conversion Rates'!B$12)/12-10-15</f>
        <v>10.520833333333336</v>
      </c>
      <c r="D510" s="106">
        <f t="shared" si="87"/>
        <v>35.520833333333336</v>
      </c>
      <c r="E510" s="104">
        <f>('Co-Processing'!C512*'Co-Pro Feedstock Breakdown'!E$3*'Feedstock Conversion Rates'!B$13)/12</f>
        <v>25.78125</v>
      </c>
      <c r="F510" s="104">
        <f>('Co-Processing'!C512*'Co-Pro Feedstock Breakdown'!F$3*'Feedstock Conversion Rates'!B$14)/12</f>
        <v>8.5364583333333339</v>
      </c>
      <c r="G510" s="106">
        <f t="shared" si="88"/>
        <v>34.317708333333336</v>
      </c>
      <c r="H510" s="104">
        <f>('Co-Processing'!D512*'Co-Pro Feedstock Breakdown'!H$3*'Feedstock Conversion Rates'!B$13)/12</f>
        <v>93.75</v>
      </c>
      <c r="I510" s="106">
        <f t="shared" si="90"/>
        <v>93.75</v>
      </c>
      <c r="J510" s="104">
        <f>('Co-Processing'!E512*'Co-Pro Feedstock Breakdown'!J$3*'Feedstock Conversion Rates'!B$13)/12</f>
        <v>1.25</v>
      </c>
      <c r="K510" s="104">
        <f>('Co-Processing'!E512*'Co-Pro Feedstock Breakdown'!K$3*'Feedstock Conversion Rates'!B$12)/12</f>
        <v>1.2916666666666667</v>
      </c>
      <c r="L510" s="106">
        <f t="shared" si="80"/>
        <v>2.541666666666667</v>
      </c>
      <c r="N510" s="104">
        <f t="shared" si="81"/>
        <v>145.78125</v>
      </c>
      <c r="O510" s="104">
        <f t="shared" si="84"/>
        <v>20.348958333333336</v>
      </c>
      <c r="P510" s="104"/>
      <c r="Q510" s="106">
        <f t="shared" si="85"/>
        <v>166.13020833333334</v>
      </c>
      <c r="R510" s="141">
        <f t="shared" si="82"/>
        <v>0</v>
      </c>
      <c r="T510" s="110">
        <f t="shared" si="86"/>
        <v>0.87751199172335947</v>
      </c>
      <c r="U510" s="110">
        <f t="shared" si="86"/>
        <v>0.12248800827664044</v>
      </c>
      <c r="V510" s="110">
        <f t="shared" si="86"/>
        <v>0</v>
      </c>
      <c r="W510" s="110">
        <f t="shared" si="89"/>
        <v>0.99999999999999989</v>
      </c>
      <c r="Y510" s="142">
        <f>T510*'Co-Processing'!K512*'Feedstock Conversion Rates'!B$13</f>
        <v>112.10066048194099</v>
      </c>
      <c r="Z510" s="142">
        <f>U510*'Co-Processing'!K512*'Feedstock Conversion Rates'!B$12</f>
        <v>16.169221978791533</v>
      </c>
      <c r="AA510" s="142">
        <f>V510*'Co-Processing'!K512*'Feedstock Conversion Rates'!B$14</f>
        <v>0</v>
      </c>
      <c r="AB510" s="142">
        <f t="shared" si="91"/>
        <v>128.26988246073253</v>
      </c>
      <c r="AD510" s="142">
        <v>0</v>
      </c>
      <c r="AE510" s="142">
        <v>0</v>
      </c>
      <c r="AF510" s="142">
        <v>0</v>
      </c>
      <c r="AG510" s="142">
        <v>0</v>
      </c>
      <c r="AH510" s="142">
        <v>0</v>
      </c>
    </row>
    <row r="511" spans="1:34" x14ac:dyDescent="0.25">
      <c r="A511" s="96">
        <v>54271</v>
      </c>
      <c r="B511" s="104">
        <f t="shared" si="83"/>
        <v>25</v>
      </c>
      <c r="C511" s="104">
        <f>('Co-Processing'!B513*'Co-Pro Feedstock Breakdown'!C$3*'Feedstock Conversion Rates'!B$12)/12-10-15</f>
        <v>10.520833333333336</v>
      </c>
      <c r="D511" s="106">
        <f t="shared" si="87"/>
        <v>35.520833333333336</v>
      </c>
      <c r="E511" s="104">
        <f>('Co-Processing'!C513*'Co-Pro Feedstock Breakdown'!E$3*'Feedstock Conversion Rates'!B$13)/12</f>
        <v>25.78125</v>
      </c>
      <c r="F511" s="104">
        <f>('Co-Processing'!C513*'Co-Pro Feedstock Breakdown'!F$3*'Feedstock Conversion Rates'!B$14)/12</f>
        <v>8.5364583333333339</v>
      </c>
      <c r="G511" s="106">
        <f t="shared" si="88"/>
        <v>34.317708333333336</v>
      </c>
      <c r="H511" s="104">
        <f>('Co-Processing'!D513*'Co-Pro Feedstock Breakdown'!H$3*'Feedstock Conversion Rates'!B$13)/12</f>
        <v>93.75</v>
      </c>
      <c r="I511" s="106">
        <f t="shared" si="90"/>
        <v>93.75</v>
      </c>
      <c r="J511" s="104">
        <f>('Co-Processing'!E513*'Co-Pro Feedstock Breakdown'!J$3*'Feedstock Conversion Rates'!B$13)/12</f>
        <v>1.25</v>
      </c>
      <c r="K511" s="104">
        <f>('Co-Processing'!E513*'Co-Pro Feedstock Breakdown'!K$3*'Feedstock Conversion Rates'!B$12)/12</f>
        <v>1.2916666666666667</v>
      </c>
      <c r="L511" s="106">
        <f t="shared" si="80"/>
        <v>2.541666666666667</v>
      </c>
      <c r="N511" s="104">
        <f t="shared" si="81"/>
        <v>145.78125</v>
      </c>
      <c r="O511" s="104">
        <f t="shared" si="84"/>
        <v>20.348958333333336</v>
      </c>
      <c r="P511" s="104"/>
      <c r="Q511" s="106">
        <f t="shared" si="85"/>
        <v>166.13020833333334</v>
      </c>
      <c r="R511" s="141">
        <f t="shared" si="82"/>
        <v>0</v>
      </c>
      <c r="T511" s="110">
        <f t="shared" si="86"/>
        <v>0.87751199172335947</v>
      </c>
      <c r="U511" s="110">
        <f t="shared" si="86"/>
        <v>0.12248800827664044</v>
      </c>
      <c r="V511" s="110">
        <f t="shared" si="86"/>
        <v>0</v>
      </c>
      <c r="W511" s="110">
        <f t="shared" si="89"/>
        <v>0.99999999999999989</v>
      </c>
      <c r="Y511" s="142">
        <f>T511*'Co-Processing'!K513*'Feedstock Conversion Rates'!B$13</f>
        <v>164.67831767198575</v>
      </c>
      <c r="Z511" s="142">
        <f>U511*'Co-Processing'!K513*'Feedstock Conversion Rates'!B$12</f>
        <v>23.752940099413962</v>
      </c>
      <c r="AA511" s="142">
        <f>V511*'Co-Processing'!K513*'Feedstock Conversion Rates'!B$14</f>
        <v>0</v>
      </c>
      <c r="AB511" s="142">
        <f t="shared" si="91"/>
        <v>188.43125777139971</v>
      </c>
      <c r="AD511" s="142">
        <v>0</v>
      </c>
      <c r="AE511" s="142">
        <v>0</v>
      </c>
      <c r="AF511" s="142">
        <v>0</v>
      </c>
      <c r="AG511" s="142">
        <v>0</v>
      </c>
      <c r="AH511" s="142">
        <v>0</v>
      </c>
    </row>
    <row r="512" spans="1:34" x14ac:dyDescent="0.25">
      <c r="A512" s="96">
        <v>54302</v>
      </c>
      <c r="B512" s="104">
        <f t="shared" si="83"/>
        <v>25</v>
      </c>
      <c r="C512" s="104">
        <f>('Co-Processing'!B514*'Co-Pro Feedstock Breakdown'!C$3*'Feedstock Conversion Rates'!B$12)/12-10-15</f>
        <v>10.520833333333336</v>
      </c>
      <c r="D512" s="106">
        <f t="shared" si="87"/>
        <v>35.520833333333336</v>
      </c>
      <c r="E512" s="104">
        <f>('Co-Processing'!C514*'Co-Pro Feedstock Breakdown'!E$3*'Feedstock Conversion Rates'!B$13)/12</f>
        <v>25.78125</v>
      </c>
      <c r="F512" s="104">
        <f>('Co-Processing'!C514*'Co-Pro Feedstock Breakdown'!F$3*'Feedstock Conversion Rates'!B$14)/12</f>
        <v>8.5364583333333339</v>
      </c>
      <c r="G512" s="106">
        <f t="shared" si="88"/>
        <v>34.317708333333336</v>
      </c>
      <c r="H512" s="104">
        <f>('Co-Processing'!D514*'Co-Pro Feedstock Breakdown'!H$3*'Feedstock Conversion Rates'!B$13)/12</f>
        <v>93.75</v>
      </c>
      <c r="I512" s="106">
        <f t="shared" si="90"/>
        <v>93.75</v>
      </c>
      <c r="J512" s="104">
        <f>('Co-Processing'!E514*'Co-Pro Feedstock Breakdown'!J$3*'Feedstock Conversion Rates'!B$13)/12</f>
        <v>1.25</v>
      </c>
      <c r="K512" s="104">
        <f>('Co-Processing'!E514*'Co-Pro Feedstock Breakdown'!K$3*'Feedstock Conversion Rates'!B$12)/12</f>
        <v>1.2916666666666667</v>
      </c>
      <c r="L512" s="106">
        <f t="shared" si="80"/>
        <v>2.541666666666667</v>
      </c>
      <c r="N512" s="104">
        <f t="shared" si="81"/>
        <v>145.78125</v>
      </c>
      <c r="O512" s="104">
        <f t="shared" si="84"/>
        <v>20.348958333333336</v>
      </c>
      <c r="P512" s="104"/>
      <c r="Q512" s="106">
        <f t="shared" si="85"/>
        <v>166.13020833333334</v>
      </c>
      <c r="R512" s="141">
        <f t="shared" si="82"/>
        <v>0</v>
      </c>
      <c r="T512" s="110">
        <f t="shared" si="86"/>
        <v>0.87751199172335947</v>
      </c>
      <c r="U512" s="110">
        <f t="shared" si="86"/>
        <v>0.12248800827664044</v>
      </c>
      <c r="V512" s="110">
        <f t="shared" si="86"/>
        <v>0</v>
      </c>
      <c r="W512" s="110">
        <f t="shared" si="89"/>
        <v>0.99999999999999989</v>
      </c>
      <c r="Y512" s="142">
        <f>T512*'Co-Processing'!K514*'Feedstock Conversion Rates'!B$13</f>
        <v>147.77443296326533</v>
      </c>
      <c r="Z512" s="142">
        <f>U512*'Co-Processing'!K514*'Feedstock Conversion Rates'!B$12</f>
        <v>21.314750502812682</v>
      </c>
      <c r="AA512" s="142">
        <f>V512*'Co-Processing'!K514*'Feedstock Conversion Rates'!B$14</f>
        <v>0</v>
      </c>
      <c r="AB512" s="142">
        <f t="shared" si="91"/>
        <v>169.089183466078</v>
      </c>
      <c r="AD512" s="142">
        <v>0</v>
      </c>
      <c r="AE512" s="142">
        <v>0</v>
      </c>
      <c r="AF512" s="142">
        <v>0</v>
      </c>
      <c r="AG512" s="142">
        <v>0</v>
      </c>
      <c r="AH512" s="142">
        <v>0</v>
      </c>
    </row>
    <row r="513" spans="1:34" x14ac:dyDescent="0.25">
      <c r="A513" s="96">
        <v>54332</v>
      </c>
      <c r="B513" s="104">
        <f t="shared" si="83"/>
        <v>25</v>
      </c>
      <c r="C513" s="104">
        <f>('Co-Processing'!B515*'Co-Pro Feedstock Breakdown'!C$3*'Feedstock Conversion Rates'!B$12)/12-10-15</f>
        <v>10.520833333333336</v>
      </c>
      <c r="D513" s="106">
        <f t="shared" si="87"/>
        <v>35.520833333333336</v>
      </c>
      <c r="E513" s="104">
        <f>('Co-Processing'!C515*'Co-Pro Feedstock Breakdown'!E$3*'Feedstock Conversion Rates'!B$13)/12</f>
        <v>25.78125</v>
      </c>
      <c r="F513" s="104">
        <f>('Co-Processing'!C515*'Co-Pro Feedstock Breakdown'!F$3*'Feedstock Conversion Rates'!B$14)/12</f>
        <v>8.5364583333333339</v>
      </c>
      <c r="G513" s="106">
        <f t="shared" si="88"/>
        <v>34.317708333333336</v>
      </c>
      <c r="H513" s="104">
        <f>('Co-Processing'!D515*'Co-Pro Feedstock Breakdown'!H$3*'Feedstock Conversion Rates'!B$13)/12</f>
        <v>93.75</v>
      </c>
      <c r="I513" s="106">
        <f t="shared" si="90"/>
        <v>93.75</v>
      </c>
      <c r="J513" s="104">
        <f>('Co-Processing'!E515*'Co-Pro Feedstock Breakdown'!J$3*'Feedstock Conversion Rates'!B$13)/12</f>
        <v>1.25</v>
      </c>
      <c r="K513" s="104">
        <f>('Co-Processing'!E515*'Co-Pro Feedstock Breakdown'!K$3*'Feedstock Conversion Rates'!B$12)/12</f>
        <v>1.2916666666666667</v>
      </c>
      <c r="L513" s="106">
        <f t="shared" si="80"/>
        <v>2.541666666666667</v>
      </c>
      <c r="N513" s="104">
        <f t="shared" si="81"/>
        <v>145.78125</v>
      </c>
      <c r="O513" s="104">
        <f t="shared" si="84"/>
        <v>20.348958333333336</v>
      </c>
      <c r="P513" s="104"/>
      <c r="Q513" s="106">
        <f t="shared" si="85"/>
        <v>166.13020833333334</v>
      </c>
      <c r="R513" s="141">
        <f t="shared" si="82"/>
        <v>0</v>
      </c>
      <c r="T513" s="110">
        <f t="shared" si="86"/>
        <v>0.87751199172335947</v>
      </c>
      <c r="U513" s="110">
        <f t="shared" si="86"/>
        <v>0.12248800827664044</v>
      </c>
      <c r="V513" s="110">
        <f t="shared" si="86"/>
        <v>0</v>
      </c>
      <c r="W513" s="110">
        <f t="shared" si="89"/>
        <v>0.99999999999999989</v>
      </c>
      <c r="Y513" s="142">
        <f>T513*'Co-Processing'!K515*'Feedstock Conversion Rates'!B$13</f>
        <v>118.76709084288269</v>
      </c>
      <c r="Z513" s="142">
        <f>U513*'Co-Processing'!K515*'Feedstock Conversion Rates'!B$12</f>
        <v>17.130777350979429</v>
      </c>
      <c r="AA513" s="142">
        <f>V513*'Co-Processing'!K515*'Feedstock Conversion Rates'!B$14</f>
        <v>0</v>
      </c>
      <c r="AB513" s="142">
        <f t="shared" si="91"/>
        <v>135.89786819386211</v>
      </c>
      <c r="AD513" s="142">
        <v>0</v>
      </c>
      <c r="AE513" s="142">
        <v>0</v>
      </c>
      <c r="AF513" s="142">
        <v>0</v>
      </c>
      <c r="AG513" s="142">
        <v>0</v>
      </c>
      <c r="AH513" s="142">
        <v>0</v>
      </c>
    </row>
    <row r="514" spans="1:34" x14ac:dyDescent="0.25">
      <c r="A514" s="96">
        <v>54363</v>
      </c>
      <c r="B514" s="104">
        <f t="shared" si="83"/>
        <v>25</v>
      </c>
      <c r="C514" s="104">
        <f>('Co-Processing'!B516*'Co-Pro Feedstock Breakdown'!C$3*'Feedstock Conversion Rates'!B$12)/12-10-15</f>
        <v>10.520833333333336</v>
      </c>
      <c r="D514" s="106">
        <f t="shared" si="87"/>
        <v>35.520833333333336</v>
      </c>
      <c r="E514" s="104">
        <f>('Co-Processing'!C516*'Co-Pro Feedstock Breakdown'!E$3*'Feedstock Conversion Rates'!B$13)/12</f>
        <v>25.78125</v>
      </c>
      <c r="F514" s="104">
        <f>('Co-Processing'!C516*'Co-Pro Feedstock Breakdown'!F$3*'Feedstock Conversion Rates'!B$14)/12</f>
        <v>8.5364583333333339</v>
      </c>
      <c r="G514" s="106">
        <f t="shared" si="88"/>
        <v>34.317708333333336</v>
      </c>
      <c r="H514" s="104">
        <f>('Co-Processing'!D516*'Co-Pro Feedstock Breakdown'!H$3*'Feedstock Conversion Rates'!B$13)/12</f>
        <v>93.75</v>
      </c>
      <c r="I514" s="106">
        <f t="shared" si="90"/>
        <v>93.75</v>
      </c>
      <c r="J514" s="104">
        <f>('Co-Processing'!E516*'Co-Pro Feedstock Breakdown'!J$3*'Feedstock Conversion Rates'!B$13)/12</f>
        <v>1.25</v>
      </c>
      <c r="K514" s="104">
        <f>('Co-Processing'!E516*'Co-Pro Feedstock Breakdown'!K$3*'Feedstock Conversion Rates'!B$12)/12</f>
        <v>1.2916666666666667</v>
      </c>
      <c r="L514" s="106">
        <f t="shared" si="80"/>
        <v>2.541666666666667</v>
      </c>
      <c r="N514" s="104">
        <f t="shared" si="81"/>
        <v>145.78125</v>
      </c>
      <c r="O514" s="104">
        <f t="shared" si="84"/>
        <v>20.348958333333336</v>
      </c>
      <c r="P514" s="104"/>
      <c r="Q514" s="106">
        <f t="shared" si="85"/>
        <v>166.13020833333334</v>
      </c>
      <c r="R514" s="141">
        <f t="shared" si="82"/>
        <v>0</v>
      </c>
      <c r="T514" s="110">
        <f t="shared" si="86"/>
        <v>0.87751199172335947</v>
      </c>
      <c r="U514" s="110">
        <f t="shared" si="86"/>
        <v>0.12248800827664044</v>
      </c>
      <c r="V514" s="110">
        <f t="shared" si="86"/>
        <v>0</v>
      </c>
      <c r="W514" s="110">
        <f t="shared" si="89"/>
        <v>0.99999999999999989</v>
      </c>
      <c r="Y514" s="142">
        <f>T514*'Co-Processing'!K516*'Feedstock Conversion Rates'!B$13</f>
        <v>119.58356615386627</v>
      </c>
      <c r="Z514" s="142">
        <f>U514*'Co-Processing'!K516*'Feedstock Conversion Rates'!B$12</f>
        <v>17.248544458565945</v>
      </c>
      <c r="AA514" s="142">
        <f>V514*'Co-Processing'!K516*'Feedstock Conversion Rates'!B$14</f>
        <v>0</v>
      </c>
      <c r="AB514" s="142">
        <f t="shared" si="91"/>
        <v>136.83211061243222</v>
      </c>
      <c r="AD514" s="142">
        <v>0</v>
      </c>
      <c r="AE514" s="142">
        <v>0</v>
      </c>
      <c r="AF514" s="142">
        <v>0</v>
      </c>
      <c r="AG514" s="142">
        <v>0</v>
      </c>
      <c r="AH514" s="142">
        <v>0</v>
      </c>
    </row>
    <row r="515" spans="1:34" x14ac:dyDescent="0.25">
      <c r="A515" s="96">
        <v>54393</v>
      </c>
      <c r="B515" s="104">
        <f t="shared" si="83"/>
        <v>25</v>
      </c>
      <c r="C515" s="104">
        <f>('Co-Processing'!B517*'Co-Pro Feedstock Breakdown'!C$3*'Feedstock Conversion Rates'!B$12)/12-10-15</f>
        <v>10.520833333333336</v>
      </c>
      <c r="D515" s="106">
        <f t="shared" si="87"/>
        <v>35.520833333333336</v>
      </c>
      <c r="E515" s="104">
        <f>('Co-Processing'!C517*'Co-Pro Feedstock Breakdown'!E$3*'Feedstock Conversion Rates'!B$13)/12</f>
        <v>25.78125</v>
      </c>
      <c r="F515" s="104">
        <f>('Co-Processing'!C517*'Co-Pro Feedstock Breakdown'!F$3*'Feedstock Conversion Rates'!B$14)/12</f>
        <v>8.5364583333333339</v>
      </c>
      <c r="G515" s="106">
        <f t="shared" si="88"/>
        <v>34.317708333333336</v>
      </c>
      <c r="H515" s="104">
        <f>('Co-Processing'!D517*'Co-Pro Feedstock Breakdown'!H$3*'Feedstock Conversion Rates'!B$13)/12</f>
        <v>93.75</v>
      </c>
      <c r="I515" s="106">
        <f t="shared" si="90"/>
        <v>93.75</v>
      </c>
      <c r="J515" s="104">
        <f>('Co-Processing'!E517*'Co-Pro Feedstock Breakdown'!J$3*'Feedstock Conversion Rates'!B$13)/12</f>
        <v>1.25</v>
      </c>
      <c r="K515" s="104">
        <f>('Co-Processing'!E517*'Co-Pro Feedstock Breakdown'!K$3*'Feedstock Conversion Rates'!B$12)/12</f>
        <v>1.2916666666666667</v>
      </c>
      <c r="L515" s="106">
        <f t="shared" si="80"/>
        <v>2.541666666666667</v>
      </c>
      <c r="N515" s="104">
        <f t="shared" si="81"/>
        <v>145.78125</v>
      </c>
      <c r="O515" s="104">
        <f t="shared" si="84"/>
        <v>20.348958333333336</v>
      </c>
      <c r="P515" s="104"/>
      <c r="Q515" s="106">
        <f t="shared" si="85"/>
        <v>166.13020833333334</v>
      </c>
      <c r="R515" s="141">
        <f t="shared" si="82"/>
        <v>0</v>
      </c>
      <c r="T515" s="110">
        <f t="shared" si="86"/>
        <v>0.87751199172335947</v>
      </c>
      <c r="U515" s="110">
        <f t="shared" si="86"/>
        <v>0.12248800827664044</v>
      </c>
      <c r="V515" s="110">
        <f t="shared" si="86"/>
        <v>0</v>
      </c>
      <c r="W515" s="110">
        <f t="shared" si="89"/>
        <v>0.99999999999999989</v>
      </c>
      <c r="Y515" s="142">
        <f>T515*'Co-Processing'!K517*'Feedstock Conversion Rates'!B$13</f>
        <v>123.23247826562634</v>
      </c>
      <c r="Z515" s="142">
        <f>U515*'Co-Processing'!K517*'Feedstock Conversion Rates'!B$12</f>
        <v>17.774857770748923</v>
      </c>
      <c r="AA515" s="142">
        <f>V515*'Co-Processing'!K517*'Feedstock Conversion Rates'!B$14</f>
        <v>0</v>
      </c>
      <c r="AB515" s="142">
        <f t="shared" si="91"/>
        <v>141.00733603637525</v>
      </c>
      <c r="AD515" s="142">
        <v>0</v>
      </c>
      <c r="AE515" s="142">
        <v>0</v>
      </c>
      <c r="AF515" s="142">
        <v>0</v>
      </c>
      <c r="AG515" s="142">
        <v>0</v>
      </c>
      <c r="AH515" s="142">
        <v>0</v>
      </c>
    </row>
    <row r="516" spans="1:34" x14ac:dyDescent="0.25">
      <c r="A516" s="96">
        <v>54424</v>
      </c>
      <c r="B516" s="104">
        <f t="shared" si="83"/>
        <v>25</v>
      </c>
      <c r="C516" s="104">
        <f>('Co-Processing'!B518*'Co-Pro Feedstock Breakdown'!C$3*'Feedstock Conversion Rates'!B$12)/12-10-15</f>
        <v>10.520833333333336</v>
      </c>
      <c r="D516" s="106">
        <f t="shared" si="87"/>
        <v>35.520833333333336</v>
      </c>
      <c r="E516" s="104">
        <f>('Co-Processing'!C518*'Co-Pro Feedstock Breakdown'!E$3*'Feedstock Conversion Rates'!B$13)/12</f>
        <v>25.78125</v>
      </c>
      <c r="F516" s="104">
        <f>('Co-Processing'!C518*'Co-Pro Feedstock Breakdown'!F$3*'Feedstock Conversion Rates'!B$14)/12</f>
        <v>8.5364583333333339</v>
      </c>
      <c r="G516" s="106">
        <f t="shared" si="88"/>
        <v>34.317708333333336</v>
      </c>
      <c r="H516" s="104">
        <f>('Co-Processing'!D518*'Co-Pro Feedstock Breakdown'!H$3*'Feedstock Conversion Rates'!B$13)/12</f>
        <v>93.75</v>
      </c>
      <c r="I516" s="106">
        <f t="shared" si="90"/>
        <v>93.75</v>
      </c>
      <c r="J516" s="104">
        <f>('Co-Processing'!E518*'Co-Pro Feedstock Breakdown'!J$3*'Feedstock Conversion Rates'!B$13)/12</f>
        <v>1.25</v>
      </c>
      <c r="K516" s="104">
        <f>('Co-Processing'!E518*'Co-Pro Feedstock Breakdown'!K$3*'Feedstock Conversion Rates'!B$12)/12</f>
        <v>1.2916666666666667</v>
      </c>
      <c r="L516" s="106">
        <f t="shared" si="80"/>
        <v>2.541666666666667</v>
      </c>
      <c r="N516" s="104">
        <f t="shared" si="81"/>
        <v>145.78125</v>
      </c>
      <c r="O516" s="104">
        <f t="shared" si="84"/>
        <v>20.348958333333336</v>
      </c>
      <c r="P516" s="104"/>
      <c r="Q516" s="106">
        <f t="shared" si="85"/>
        <v>166.13020833333334</v>
      </c>
      <c r="R516" s="141">
        <f t="shared" si="82"/>
        <v>0</v>
      </c>
      <c r="T516" s="110">
        <f t="shared" si="86"/>
        <v>0.87751199172335947</v>
      </c>
      <c r="U516" s="110">
        <f t="shared" si="86"/>
        <v>0.12248800827664044</v>
      </c>
      <c r="V516" s="110">
        <f t="shared" si="86"/>
        <v>0</v>
      </c>
      <c r="W516" s="110">
        <f t="shared" si="89"/>
        <v>0.99999999999999989</v>
      </c>
      <c r="Y516" s="142">
        <f>T516*'Co-Processing'!K518*'Feedstock Conversion Rates'!B$13</f>
        <v>111.30023288471612</v>
      </c>
      <c r="Z516" s="142">
        <f>U516*'Co-Processing'!K518*'Feedstock Conversion Rates'!B$12</f>
        <v>16.053769568057835</v>
      </c>
      <c r="AA516" s="142">
        <f>V516*'Co-Processing'!K518*'Feedstock Conversion Rates'!B$14</f>
        <v>0</v>
      </c>
      <c r="AB516" s="142">
        <f t="shared" si="91"/>
        <v>127.35400245277395</v>
      </c>
      <c r="AD516" s="142">
        <v>0</v>
      </c>
      <c r="AE516" s="142">
        <v>0</v>
      </c>
      <c r="AF516" s="142">
        <v>0</v>
      </c>
      <c r="AG516" s="142">
        <v>0</v>
      </c>
      <c r="AH516" s="142">
        <v>0</v>
      </c>
    </row>
    <row r="517" spans="1:34" x14ac:dyDescent="0.25">
      <c r="A517" s="96">
        <v>54455</v>
      </c>
      <c r="B517" s="104">
        <f t="shared" si="83"/>
        <v>25</v>
      </c>
      <c r="C517" s="104">
        <f>('Co-Processing'!B519*'Co-Pro Feedstock Breakdown'!C$3*'Feedstock Conversion Rates'!B$12)/12-10-15</f>
        <v>10.520833333333336</v>
      </c>
      <c r="D517" s="106">
        <f t="shared" si="87"/>
        <v>35.520833333333336</v>
      </c>
      <c r="E517" s="104">
        <f>('Co-Processing'!C519*'Co-Pro Feedstock Breakdown'!E$3*'Feedstock Conversion Rates'!B$13)/12</f>
        <v>25.78125</v>
      </c>
      <c r="F517" s="104">
        <f>('Co-Processing'!C519*'Co-Pro Feedstock Breakdown'!F$3*'Feedstock Conversion Rates'!B$14)/12</f>
        <v>8.5364583333333339</v>
      </c>
      <c r="G517" s="106">
        <f t="shared" si="88"/>
        <v>34.317708333333336</v>
      </c>
      <c r="H517" s="104">
        <f>('Co-Processing'!D519*'Co-Pro Feedstock Breakdown'!H$3*'Feedstock Conversion Rates'!B$13)/12</f>
        <v>93.75</v>
      </c>
      <c r="I517" s="106">
        <f t="shared" si="90"/>
        <v>93.75</v>
      </c>
      <c r="J517" s="104">
        <f>('Co-Processing'!E519*'Co-Pro Feedstock Breakdown'!J$3*'Feedstock Conversion Rates'!B$13)/12</f>
        <v>1.25</v>
      </c>
      <c r="K517" s="104">
        <f>('Co-Processing'!E519*'Co-Pro Feedstock Breakdown'!K$3*'Feedstock Conversion Rates'!B$12)/12</f>
        <v>1.2916666666666667</v>
      </c>
      <c r="L517" s="106">
        <f t="shared" ref="L517:L551" si="92">SUM(J517:K517)</f>
        <v>2.541666666666667</v>
      </c>
      <c r="N517" s="104">
        <f t="shared" ref="N517:N551" si="93">E517+H517+J517+B517</f>
        <v>145.78125</v>
      </c>
      <c r="O517" s="104">
        <f t="shared" si="84"/>
        <v>20.348958333333336</v>
      </c>
      <c r="P517" s="104"/>
      <c r="Q517" s="106">
        <f t="shared" si="85"/>
        <v>166.13020833333334</v>
      </c>
      <c r="R517" s="141">
        <f t="shared" ref="R517:R551" si="94">D517+G517+I517+L517-Q517</f>
        <v>0</v>
      </c>
      <c r="T517" s="110">
        <f t="shared" si="86"/>
        <v>0.87751199172335947</v>
      </c>
      <c r="U517" s="110">
        <f t="shared" si="86"/>
        <v>0.12248800827664044</v>
      </c>
      <c r="V517" s="110">
        <f t="shared" si="86"/>
        <v>0</v>
      </c>
      <c r="W517" s="110">
        <f t="shared" si="89"/>
        <v>0.99999999999999989</v>
      </c>
      <c r="Y517" s="142">
        <f>T517*'Co-Processing'!K519*'Feedstock Conversion Rates'!B$13</f>
        <v>87.039433558919015</v>
      </c>
      <c r="Z517" s="142">
        <f>U517*'Co-Processing'!K519*'Feedstock Conversion Rates'!B$12</f>
        <v>12.554430242176489</v>
      </c>
      <c r="AA517" s="142">
        <f>V517*'Co-Processing'!K519*'Feedstock Conversion Rates'!B$14</f>
        <v>0</v>
      </c>
      <c r="AB517" s="142">
        <f t="shared" si="91"/>
        <v>99.593863801095509</v>
      </c>
      <c r="AD517" s="142">
        <v>0</v>
      </c>
      <c r="AE517" s="142">
        <v>0</v>
      </c>
      <c r="AF517" s="142">
        <v>0</v>
      </c>
      <c r="AG517" s="142">
        <v>0</v>
      </c>
      <c r="AH517" s="142">
        <v>0</v>
      </c>
    </row>
    <row r="518" spans="1:34" x14ac:dyDescent="0.25">
      <c r="A518" s="96">
        <v>54483</v>
      </c>
      <c r="B518" s="104">
        <f t="shared" si="83"/>
        <v>25</v>
      </c>
      <c r="C518" s="104">
        <f>('Co-Processing'!B520*'Co-Pro Feedstock Breakdown'!C$3*'Feedstock Conversion Rates'!B$12)/12-10-15</f>
        <v>10.520833333333336</v>
      </c>
      <c r="D518" s="106">
        <f t="shared" si="87"/>
        <v>35.520833333333336</v>
      </c>
      <c r="E518" s="104">
        <f>('Co-Processing'!C520*'Co-Pro Feedstock Breakdown'!E$3*'Feedstock Conversion Rates'!B$13)/12</f>
        <v>25.78125</v>
      </c>
      <c r="F518" s="104">
        <f>('Co-Processing'!C520*'Co-Pro Feedstock Breakdown'!F$3*'Feedstock Conversion Rates'!B$14)/12</f>
        <v>8.5364583333333339</v>
      </c>
      <c r="G518" s="106">
        <f t="shared" si="88"/>
        <v>34.317708333333336</v>
      </c>
      <c r="H518" s="104">
        <f>('Co-Processing'!D520*'Co-Pro Feedstock Breakdown'!H$3*'Feedstock Conversion Rates'!B$13)/12</f>
        <v>93.75</v>
      </c>
      <c r="I518" s="106">
        <f t="shared" si="90"/>
        <v>93.75</v>
      </c>
      <c r="J518" s="104">
        <f>('Co-Processing'!E520*'Co-Pro Feedstock Breakdown'!J$3*'Feedstock Conversion Rates'!B$13)/12</f>
        <v>1.25</v>
      </c>
      <c r="K518" s="104">
        <f>('Co-Processing'!E520*'Co-Pro Feedstock Breakdown'!K$3*'Feedstock Conversion Rates'!B$12)/12</f>
        <v>1.2916666666666667</v>
      </c>
      <c r="L518" s="106">
        <f t="shared" si="92"/>
        <v>2.541666666666667</v>
      </c>
      <c r="N518" s="104">
        <f t="shared" si="93"/>
        <v>145.78125</v>
      </c>
      <c r="O518" s="104">
        <f t="shared" si="84"/>
        <v>20.348958333333336</v>
      </c>
      <c r="P518" s="104"/>
      <c r="Q518" s="106">
        <f t="shared" si="85"/>
        <v>166.13020833333334</v>
      </c>
      <c r="R518" s="141">
        <f t="shared" si="94"/>
        <v>0</v>
      </c>
      <c r="T518" s="110">
        <f t="shared" si="86"/>
        <v>0.87751199172335947</v>
      </c>
      <c r="U518" s="110">
        <f t="shared" si="86"/>
        <v>0.12248800827664044</v>
      </c>
      <c r="V518" s="110">
        <f t="shared" si="86"/>
        <v>0</v>
      </c>
      <c r="W518" s="110">
        <f t="shared" si="89"/>
        <v>0.99999999999999989</v>
      </c>
      <c r="Y518" s="142">
        <f>T518*'Co-Processing'!K520*'Feedstock Conversion Rates'!B$13</f>
        <v>143.33546454583896</v>
      </c>
      <c r="Z518" s="142">
        <f>U518*'Co-Processing'!K520*'Feedstock Conversion Rates'!B$12</f>
        <v>20.674480718588043</v>
      </c>
      <c r="AA518" s="142">
        <f>V518*'Co-Processing'!K520*'Feedstock Conversion Rates'!B$14</f>
        <v>0</v>
      </c>
      <c r="AB518" s="142">
        <f t="shared" si="91"/>
        <v>164.00994526442702</v>
      </c>
      <c r="AD518" s="142">
        <v>0</v>
      </c>
      <c r="AE518" s="142">
        <v>0</v>
      </c>
      <c r="AF518" s="142">
        <v>0</v>
      </c>
      <c r="AG518" s="142">
        <v>0</v>
      </c>
      <c r="AH518" s="142">
        <v>0</v>
      </c>
    </row>
    <row r="519" spans="1:34" x14ac:dyDescent="0.25">
      <c r="A519" s="96">
        <v>54514</v>
      </c>
      <c r="B519" s="104">
        <f t="shared" si="83"/>
        <v>25</v>
      </c>
      <c r="C519" s="104">
        <f>('Co-Processing'!B521*'Co-Pro Feedstock Breakdown'!C$3*'Feedstock Conversion Rates'!B$12)/12-10-15</f>
        <v>10.520833333333336</v>
      </c>
      <c r="D519" s="106">
        <f t="shared" si="87"/>
        <v>35.520833333333336</v>
      </c>
      <c r="E519" s="104">
        <f>('Co-Processing'!C521*'Co-Pro Feedstock Breakdown'!E$3*'Feedstock Conversion Rates'!B$13)/12</f>
        <v>25.78125</v>
      </c>
      <c r="F519" s="104">
        <f>('Co-Processing'!C521*'Co-Pro Feedstock Breakdown'!F$3*'Feedstock Conversion Rates'!B$14)/12</f>
        <v>8.5364583333333339</v>
      </c>
      <c r="G519" s="106">
        <f t="shared" si="88"/>
        <v>34.317708333333336</v>
      </c>
      <c r="H519" s="104">
        <f>('Co-Processing'!D521*'Co-Pro Feedstock Breakdown'!H$3*'Feedstock Conversion Rates'!B$13)/12</f>
        <v>93.75</v>
      </c>
      <c r="I519" s="106">
        <f t="shared" si="90"/>
        <v>93.75</v>
      </c>
      <c r="J519" s="104">
        <f>('Co-Processing'!E521*'Co-Pro Feedstock Breakdown'!J$3*'Feedstock Conversion Rates'!B$13)/12</f>
        <v>1.25</v>
      </c>
      <c r="K519" s="104">
        <f>('Co-Processing'!E521*'Co-Pro Feedstock Breakdown'!K$3*'Feedstock Conversion Rates'!B$12)/12</f>
        <v>1.2916666666666667</v>
      </c>
      <c r="L519" s="106">
        <f t="shared" si="92"/>
        <v>2.541666666666667</v>
      </c>
      <c r="N519" s="104">
        <f t="shared" si="93"/>
        <v>145.78125</v>
      </c>
      <c r="O519" s="104">
        <f t="shared" si="84"/>
        <v>20.348958333333336</v>
      </c>
      <c r="P519" s="104"/>
      <c r="Q519" s="106">
        <f t="shared" si="85"/>
        <v>166.13020833333334</v>
      </c>
      <c r="R519" s="141">
        <f t="shared" si="94"/>
        <v>0</v>
      </c>
      <c r="T519" s="110">
        <f t="shared" si="86"/>
        <v>0.87751199172335947</v>
      </c>
      <c r="U519" s="110">
        <f t="shared" si="86"/>
        <v>0.12248800827664044</v>
      </c>
      <c r="V519" s="110">
        <f t="shared" si="86"/>
        <v>0</v>
      </c>
      <c r="W519" s="110">
        <f t="shared" si="89"/>
        <v>0.99999999999999989</v>
      </c>
      <c r="Y519" s="142">
        <f>T519*'Co-Processing'!K521*'Feedstock Conversion Rates'!B$13</f>
        <v>93.349283435494542</v>
      </c>
      <c r="Z519" s="142">
        <f>U519*'Co-Processing'!K521*'Feedstock Conversion Rates'!B$12</f>
        <v>13.464553009237578</v>
      </c>
      <c r="AA519" s="142">
        <f>V519*'Co-Processing'!K521*'Feedstock Conversion Rates'!B$14</f>
        <v>0</v>
      </c>
      <c r="AB519" s="142">
        <f t="shared" si="91"/>
        <v>106.81383644473212</v>
      </c>
      <c r="AD519" s="142">
        <v>0</v>
      </c>
      <c r="AE519" s="142">
        <v>0</v>
      </c>
      <c r="AF519" s="142">
        <v>0</v>
      </c>
      <c r="AG519" s="142">
        <v>0</v>
      </c>
      <c r="AH519" s="142">
        <v>0</v>
      </c>
    </row>
    <row r="520" spans="1:34" x14ac:dyDescent="0.25">
      <c r="A520" s="96">
        <v>54544</v>
      </c>
      <c r="B520" s="104">
        <f t="shared" si="83"/>
        <v>25</v>
      </c>
      <c r="C520" s="104">
        <f>('Co-Processing'!B522*'Co-Pro Feedstock Breakdown'!C$3*'Feedstock Conversion Rates'!B$12)/12-10-15</f>
        <v>10.520833333333336</v>
      </c>
      <c r="D520" s="106">
        <f t="shared" si="87"/>
        <v>35.520833333333336</v>
      </c>
      <c r="E520" s="104">
        <f>('Co-Processing'!C522*'Co-Pro Feedstock Breakdown'!E$3*'Feedstock Conversion Rates'!B$13)/12</f>
        <v>25.78125</v>
      </c>
      <c r="F520" s="104">
        <f>('Co-Processing'!C522*'Co-Pro Feedstock Breakdown'!F$3*'Feedstock Conversion Rates'!B$14)/12</f>
        <v>8.5364583333333339</v>
      </c>
      <c r="G520" s="106">
        <f t="shared" si="88"/>
        <v>34.317708333333336</v>
      </c>
      <c r="H520" s="104">
        <f>('Co-Processing'!D522*'Co-Pro Feedstock Breakdown'!H$3*'Feedstock Conversion Rates'!B$13)/12</f>
        <v>93.75</v>
      </c>
      <c r="I520" s="106">
        <f t="shared" si="90"/>
        <v>93.75</v>
      </c>
      <c r="J520" s="104">
        <f>('Co-Processing'!E522*'Co-Pro Feedstock Breakdown'!J$3*'Feedstock Conversion Rates'!B$13)/12</f>
        <v>1.25</v>
      </c>
      <c r="K520" s="104">
        <f>('Co-Processing'!E522*'Co-Pro Feedstock Breakdown'!K$3*'Feedstock Conversion Rates'!B$12)/12</f>
        <v>1.2916666666666667</v>
      </c>
      <c r="L520" s="106">
        <f t="shared" si="92"/>
        <v>2.541666666666667</v>
      </c>
      <c r="N520" s="104">
        <f t="shared" si="93"/>
        <v>145.78125</v>
      </c>
      <c r="O520" s="104">
        <f t="shared" si="84"/>
        <v>20.348958333333336</v>
      </c>
      <c r="P520" s="104"/>
      <c r="Q520" s="106">
        <f t="shared" si="85"/>
        <v>166.13020833333334</v>
      </c>
      <c r="R520" s="141">
        <f t="shared" si="94"/>
        <v>0</v>
      </c>
      <c r="T520" s="110">
        <f t="shared" si="86"/>
        <v>0.87751199172335947</v>
      </c>
      <c r="U520" s="110">
        <f t="shared" si="86"/>
        <v>0.12248800827664044</v>
      </c>
      <c r="V520" s="110">
        <f t="shared" si="86"/>
        <v>0</v>
      </c>
      <c r="W520" s="110">
        <f t="shared" si="89"/>
        <v>0.99999999999999989</v>
      </c>
      <c r="Y520" s="142">
        <f>T520*'Co-Processing'!K522*'Feedstock Conversion Rates'!B$13</f>
        <v>102.75897833386816</v>
      </c>
      <c r="Z520" s="142">
        <f>U520*'Co-Processing'!K522*'Feedstock Conversion Rates'!B$12</f>
        <v>14.82179251978458</v>
      </c>
      <c r="AA520" s="142">
        <f>V520*'Co-Processing'!K522*'Feedstock Conversion Rates'!B$14</f>
        <v>0</v>
      </c>
      <c r="AB520" s="142">
        <f t="shared" si="91"/>
        <v>117.58077085365274</v>
      </c>
      <c r="AD520" s="142">
        <v>0</v>
      </c>
      <c r="AE520" s="142">
        <v>0</v>
      </c>
      <c r="AF520" s="142">
        <v>0</v>
      </c>
      <c r="AG520" s="142">
        <v>0</v>
      </c>
      <c r="AH520" s="142">
        <v>0</v>
      </c>
    </row>
    <row r="521" spans="1:34" x14ac:dyDescent="0.25">
      <c r="A521" s="96">
        <v>54575</v>
      </c>
      <c r="B521" s="104">
        <f t="shared" si="83"/>
        <v>25</v>
      </c>
      <c r="C521" s="104">
        <f>('Co-Processing'!B523*'Co-Pro Feedstock Breakdown'!C$3*'Feedstock Conversion Rates'!B$12)/12-10-15</f>
        <v>10.520833333333336</v>
      </c>
      <c r="D521" s="106">
        <f t="shared" si="87"/>
        <v>35.520833333333336</v>
      </c>
      <c r="E521" s="104">
        <f>('Co-Processing'!C523*'Co-Pro Feedstock Breakdown'!E$3*'Feedstock Conversion Rates'!B$13)/12</f>
        <v>25.78125</v>
      </c>
      <c r="F521" s="104">
        <f>('Co-Processing'!C523*'Co-Pro Feedstock Breakdown'!F$3*'Feedstock Conversion Rates'!B$14)/12</f>
        <v>8.5364583333333339</v>
      </c>
      <c r="G521" s="106">
        <f t="shared" si="88"/>
        <v>34.317708333333336</v>
      </c>
      <c r="H521" s="104">
        <f>('Co-Processing'!D523*'Co-Pro Feedstock Breakdown'!H$3*'Feedstock Conversion Rates'!B$13)/12</f>
        <v>93.75</v>
      </c>
      <c r="I521" s="106">
        <f t="shared" si="90"/>
        <v>93.75</v>
      </c>
      <c r="J521" s="104">
        <f>('Co-Processing'!E523*'Co-Pro Feedstock Breakdown'!J$3*'Feedstock Conversion Rates'!B$13)/12</f>
        <v>1.25</v>
      </c>
      <c r="K521" s="104">
        <f>('Co-Processing'!E523*'Co-Pro Feedstock Breakdown'!K$3*'Feedstock Conversion Rates'!B$12)/12</f>
        <v>1.2916666666666667</v>
      </c>
      <c r="L521" s="106">
        <f t="shared" si="92"/>
        <v>2.541666666666667</v>
      </c>
      <c r="N521" s="104">
        <f t="shared" si="93"/>
        <v>145.78125</v>
      </c>
      <c r="O521" s="104">
        <f t="shared" si="84"/>
        <v>20.348958333333336</v>
      </c>
      <c r="P521" s="104"/>
      <c r="Q521" s="106">
        <f t="shared" si="85"/>
        <v>166.13020833333334</v>
      </c>
      <c r="R521" s="141">
        <f t="shared" si="94"/>
        <v>0</v>
      </c>
      <c r="T521" s="110">
        <f t="shared" si="86"/>
        <v>0.87751199172335947</v>
      </c>
      <c r="U521" s="110">
        <f t="shared" si="86"/>
        <v>0.12248800827664044</v>
      </c>
      <c r="V521" s="110">
        <f t="shared" si="86"/>
        <v>0</v>
      </c>
      <c r="W521" s="110">
        <f t="shared" si="89"/>
        <v>0.99999999999999989</v>
      </c>
      <c r="Y521" s="142">
        <f>T521*'Co-Processing'!K523*'Feedstock Conversion Rates'!B$13</f>
        <v>139.11923033834518</v>
      </c>
      <c r="Z521" s="142">
        <f>U521*'Co-Processing'!K523*'Feedstock Conversion Rates'!B$12</f>
        <v>20.066337764546098</v>
      </c>
      <c r="AA521" s="142">
        <f>V521*'Co-Processing'!K523*'Feedstock Conversion Rates'!B$14</f>
        <v>0</v>
      </c>
      <c r="AB521" s="142">
        <f t="shared" si="91"/>
        <v>159.18556810289127</v>
      </c>
      <c r="AD521" s="142">
        <v>0</v>
      </c>
      <c r="AE521" s="142">
        <v>0</v>
      </c>
      <c r="AF521" s="142">
        <v>0</v>
      </c>
      <c r="AG521" s="142">
        <v>0</v>
      </c>
      <c r="AH521" s="142">
        <v>0</v>
      </c>
    </row>
    <row r="522" spans="1:34" x14ac:dyDescent="0.25">
      <c r="A522" s="96">
        <v>54605</v>
      </c>
      <c r="B522" s="104">
        <f t="shared" si="83"/>
        <v>25</v>
      </c>
      <c r="C522" s="104">
        <f>('Co-Processing'!B524*'Co-Pro Feedstock Breakdown'!C$3*'Feedstock Conversion Rates'!B$12)/12-10-15</f>
        <v>10.520833333333336</v>
      </c>
      <c r="D522" s="106">
        <f t="shared" si="87"/>
        <v>35.520833333333336</v>
      </c>
      <c r="E522" s="104">
        <f>('Co-Processing'!C524*'Co-Pro Feedstock Breakdown'!E$3*'Feedstock Conversion Rates'!B$13)/12</f>
        <v>25.78125</v>
      </c>
      <c r="F522" s="104">
        <f>('Co-Processing'!C524*'Co-Pro Feedstock Breakdown'!F$3*'Feedstock Conversion Rates'!B$14)/12</f>
        <v>8.5364583333333339</v>
      </c>
      <c r="G522" s="106">
        <f t="shared" si="88"/>
        <v>34.317708333333336</v>
      </c>
      <c r="H522" s="104">
        <f>('Co-Processing'!D524*'Co-Pro Feedstock Breakdown'!H$3*'Feedstock Conversion Rates'!B$13)/12</f>
        <v>93.75</v>
      </c>
      <c r="I522" s="106">
        <f t="shared" si="90"/>
        <v>93.75</v>
      </c>
      <c r="J522" s="104">
        <f>('Co-Processing'!E524*'Co-Pro Feedstock Breakdown'!J$3*'Feedstock Conversion Rates'!B$13)/12</f>
        <v>1.25</v>
      </c>
      <c r="K522" s="104">
        <f>('Co-Processing'!E524*'Co-Pro Feedstock Breakdown'!K$3*'Feedstock Conversion Rates'!B$12)/12</f>
        <v>1.2916666666666667</v>
      </c>
      <c r="L522" s="106">
        <f t="shared" si="92"/>
        <v>2.541666666666667</v>
      </c>
      <c r="N522" s="104">
        <f t="shared" si="93"/>
        <v>145.78125</v>
      </c>
      <c r="O522" s="104">
        <f t="shared" si="84"/>
        <v>20.348958333333336</v>
      </c>
      <c r="P522" s="104"/>
      <c r="Q522" s="106">
        <f t="shared" si="85"/>
        <v>166.13020833333334</v>
      </c>
      <c r="R522" s="141">
        <f t="shared" si="94"/>
        <v>0</v>
      </c>
      <c r="T522" s="110">
        <f t="shared" si="86"/>
        <v>0.87751199172335947</v>
      </c>
      <c r="U522" s="110">
        <f t="shared" si="86"/>
        <v>0.12248800827664044</v>
      </c>
      <c r="V522" s="110">
        <f t="shared" si="86"/>
        <v>0</v>
      </c>
      <c r="W522" s="110">
        <f t="shared" si="89"/>
        <v>0.99999999999999989</v>
      </c>
      <c r="Y522" s="142">
        <f>T522*'Co-Processing'!K524*'Feedstock Conversion Rates'!B$13</f>
        <v>116.14527107992211</v>
      </c>
      <c r="Z522" s="142">
        <f>U522*'Co-Processing'!K524*'Feedstock Conversion Rates'!B$12</f>
        <v>16.752610214823068</v>
      </c>
      <c r="AA522" s="142">
        <f>V522*'Co-Processing'!K524*'Feedstock Conversion Rates'!B$14</f>
        <v>0</v>
      </c>
      <c r="AB522" s="142">
        <f t="shared" si="91"/>
        <v>132.89788129474519</v>
      </c>
      <c r="AD522" s="142">
        <v>0</v>
      </c>
      <c r="AE522" s="142">
        <v>0</v>
      </c>
      <c r="AF522" s="142">
        <v>0</v>
      </c>
      <c r="AG522" s="142">
        <v>0</v>
      </c>
      <c r="AH522" s="142">
        <v>0</v>
      </c>
    </row>
    <row r="523" spans="1:34" x14ac:dyDescent="0.25">
      <c r="A523" s="96">
        <v>54636</v>
      </c>
      <c r="B523" s="104">
        <f t="shared" si="83"/>
        <v>25</v>
      </c>
      <c r="C523" s="104">
        <f>('Co-Processing'!B525*'Co-Pro Feedstock Breakdown'!C$3*'Feedstock Conversion Rates'!B$12)/12-10-15</f>
        <v>10.520833333333336</v>
      </c>
      <c r="D523" s="106">
        <f t="shared" si="87"/>
        <v>35.520833333333336</v>
      </c>
      <c r="E523" s="104">
        <f>('Co-Processing'!C525*'Co-Pro Feedstock Breakdown'!E$3*'Feedstock Conversion Rates'!B$13)/12</f>
        <v>25.78125</v>
      </c>
      <c r="F523" s="104">
        <f>('Co-Processing'!C525*'Co-Pro Feedstock Breakdown'!F$3*'Feedstock Conversion Rates'!B$14)/12</f>
        <v>8.5364583333333339</v>
      </c>
      <c r="G523" s="106">
        <f t="shared" si="88"/>
        <v>34.317708333333336</v>
      </c>
      <c r="H523" s="104">
        <f>('Co-Processing'!D525*'Co-Pro Feedstock Breakdown'!H$3*'Feedstock Conversion Rates'!B$13)/12</f>
        <v>93.75</v>
      </c>
      <c r="I523" s="106">
        <f t="shared" si="90"/>
        <v>93.75</v>
      </c>
      <c r="J523" s="104">
        <f>('Co-Processing'!E525*'Co-Pro Feedstock Breakdown'!J$3*'Feedstock Conversion Rates'!B$13)/12</f>
        <v>1.25</v>
      </c>
      <c r="K523" s="104">
        <f>('Co-Processing'!E525*'Co-Pro Feedstock Breakdown'!K$3*'Feedstock Conversion Rates'!B$12)/12</f>
        <v>1.2916666666666667</v>
      </c>
      <c r="L523" s="106">
        <f t="shared" si="92"/>
        <v>2.541666666666667</v>
      </c>
      <c r="N523" s="104">
        <f t="shared" si="93"/>
        <v>145.78125</v>
      </c>
      <c r="O523" s="104">
        <f t="shared" si="84"/>
        <v>20.348958333333336</v>
      </c>
      <c r="P523" s="104"/>
      <c r="Q523" s="106">
        <f t="shared" si="85"/>
        <v>166.13020833333334</v>
      </c>
      <c r="R523" s="141">
        <f t="shared" si="94"/>
        <v>0</v>
      </c>
      <c r="T523" s="110">
        <f t="shared" si="86"/>
        <v>0.87751199172335947</v>
      </c>
      <c r="U523" s="110">
        <f t="shared" si="86"/>
        <v>0.12248800827664044</v>
      </c>
      <c r="V523" s="110">
        <f t="shared" si="86"/>
        <v>0</v>
      </c>
      <c r="W523" s="110">
        <f t="shared" si="89"/>
        <v>0.99999999999999989</v>
      </c>
      <c r="Y523" s="142">
        <f>T523*'Co-Processing'!K525*'Feedstock Conversion Rates'!B$13</f>
        <v>170.62111028575777</v>
      </c>
      <c r="Z523" s="142">
        <f>U523*'Co-Processing'!K525*'Feedstock Conversion Rates'!B$12</f>
        <v>24.610119107395651</v>
      </c>
      <c r="AA523" s="142">
        <f>V523*'Co-Processing'!K525*'Feedstock Conversion Rates'!B$14</f>
        <v>0</v>
      </c>
      <c r="AB523" s="142">
        <f t="shared" si="91"/>
        <v>195.23122939315343</v>
      </c>
      <c r="AD523" s="142">
        <v>0</v>
      </c>
      <c r="AE523" s="142">
        <v>0</v>
      </c>
      <c r="AF523" s="142">
        <v>0</v>
      </c>
      <c r="AG523" s="142">
        <v>0</v>
      </c>
      <c r="AH523" s="142">
        <v>0</v>
      </c>
    </row>
    <row r="524" spans="1:34" x14ac:dyDescent="0.25">
      <c r="A524" s="96">
        <v>54667</v>
      </c>
      <c r="B524" s="104">
        <f t="shared" ref="B524:B551" si="95">10+15</f>
        <v>25</v>
      </c>
      <c r="C524" s="104">
        <f>('Co-Processing'!B526*'Co-Pro Feedstock Breakdown'!C$3*'Feedstock Conversion Rates'!B$12)/12-10-15</f>
        <v>10.520833333333336</v>
      </c>
      <c r="D524" s="106">
        <f t="shared" si="87"/>
        <v>35.520833333333336</v>
      </c>
      <c r="E524" s="104">
        <f>('Co-Processing'!C526*'Co-Pro Feedstock Breakdown'!E$3*'Feedstock Conversion Rates'!B$13)/12</f>
        <v>25.78125</v>
      </c>
      <c r="F524" s="104">
        <f>('Co-Processing'!C526*'Co-Pro Feedstock Breakdown'!F$3*'Feedstock Conversion Rates'!B$14)/12</f>
        <v>8.5364583333333339</v>
      </c>
      <c r="G524" s="106">
        <f t="shared" si="88"/>
        <v>34.317708333333336</v>
      </c>
      <c r="H524" s="104">
        <f>('Co-Processing'!D526*'Co-Pro Feedstock Breakdown'!H$3*'Feedstock Conversion Rates'!B$13)/12</f>
        <v>93.75</v>
      </c>
      <c r="I524" s="106">
        <f t="shared" si="90"/>
        <v>93.75</v>
      </c>
      <c r="J524" s="104">
        <f>('Co-Processing'!E526*'Co-Pro Feedstock Breakdown'!J$3*'Feedstock Conversion Rates'!B$13)/12</f>
        <v>1.25</v>
      </c>
      <c r="K524" s="104">
        <f>('Co-Processing'!E526*'Co-Pro Feedstock Breakdown'!K$3*'Feedstock Conversion Rates'!B$12)/12</f>
        <v>1.2916666666666667</v>
      </c>
      <c r="L524" s="106">
        <f t="shared" si="92"/>
        <v>2.541666666666667</v>
      </c>
      <c r="N524" s="104">
        <f t="shared" si="93"/>
        <v>145.78125</v>
      </c>
      <c r="O524" s="104">
        <f t="shared" ref="O524:O551" si="96">C524+K524+F524</f>
        <v>20.348958333333336</v>
      </c>
      <c r="P524" s="104"/>
      <c r="Q524" s="106">
        <f t="shared" ref="Q524:Q551" si="97">SUM(N524:P524)</f>
        <v>166.13020833333334</v>
      </c>
      <c r="R524" s="141">
        <f t="shared" si="94"/>
        <v>0</v>
      </c>
      <c r="T524" s="110">
        <f t="shared" ref="T524:V551" si="98">N524/$Q524</f>
        <v>0.87751199172335947</v>
      </c>
      <c r="U524" s="110">
        <f t="shared" si="98"/>
        <v>0.12248800827664044</v>
      </c>
      <c r="V524" s="110">
        <f t="shared" si="98"/>
        <v>0</v>
      </c>
      <c r="W524" s="110">
        <f t="shared" si="89"/>
        <v>0.99999999999999989</v>
      </c>
      <c r="Y524" s="142">
        <f>T524*'Co-Processing'!K526*'Feedstock Conversion Rates'!B$13</f>
        <v>153.10893931334314</v>
      </c>
      <c r="Z524" s="142">
        <f>U524*'Co-Processing'!K526*'Feedstock Conversion Rates'!B$12</f>
        <v>22.084191262134315</v>
      </c>
      <c r="AA524" s="142">
        <f>V524*'Co-Processing'!K526*'Feedstock Conversion Rates'!B$14</f>
        <v>0</v>
      </c>
      <c r="AB524" s="142">
        <f t="shared" si="91"/>
        <v>175.19313057547745</v>
      </c>
      <c r="AD524" s="142">
        <v>0</v>
      </c>
      <c r="AE524" s="142">
        <v>0</v>
      </c>
      <c r="AF524" s="142">
        <v>0</v>
      </c>
      <c r="AG524" s="142">
        <v>0</v>
      </c>
      <c r="AH524" s="142">
        <v>0</v>
      </c>
    </row>
    <row r="525" spans="1:34" x14ac:dyDescent="0.25">
      <c r="A525" s="96">
        <v>54697</v>
      </c>
      <c r="B525" s="104">
        <f t="shared" si="95"/>
        <v>25</v>
      </c>
      <c r="C525" s="104">
        <f>('Co-Processing'!B527*'Co-Pro Feedstock Breakdown'!C$3*'Feedstock Conversion Rates'!B$12)/12-10-15</f>
        <v>10.520833333333336</v>
      </c>
      <c r="D525" s="106">
        <f t="shared" si="87"/>
        <v>35.520833333333336</v>
      </c>
      <c r="E525" s="104">
        <f>('Co-Processing'!C527*'Co-Pro Feedstock Breakdown'!E$3*'Feedstock Conversion Rates'!B$13)/12</f>
        <v>25.78125</v>
      </c>
      <c r="F525" s="104">
        <f>('Co-Processing'!C527*'Co-Pro Feedstock Breakdown'!F$3*'Feedstock Conversion Rates'!B$14)/12</f>
        <v>8.5364583333333339</v>
      </c>
      <c r="G525" s="106">
        <f t="shared" si="88"/>
        <v>34.317708333333336</v>
      </c>
      <c r="H525" s="104">
        <f>('Co-Processing'!D527*'Co-Pro Feedstock Breakdown'!H$3*'Feedstock Conversion Rates'!B$13)/12</f>
        <v>93.75</v>
      </c>
      <c r="I525" s="106">
        <f t="shared" si="90"/>
        <v>93.75</v>
      </c>
      <c r="J525" s="104">
        <f>('Co-Processing'!E527*'Co-Pro Feedstock Breakdown'!J$3*'Feedstock Conversion Rates'!B$13)/12</f>
        <v>1.25</v>
      </c>
      <c r="K525" s="104">
        <f>('Co-Processing'!E527*'Co-Pro Feedstock Breakdown'!K$3*'Feedstock Conversion Rates'!B$12)/12</f>
        <v>1.2916666666666667</v>
      </c>
      <c r="L525" s="106">
        <f t="shared" si="92"/>
        <v>2.541666666666667</v>
      </c>
      <c r="N525" s="104">
        <f t="shared" si="93"/>
        <v>145.78125</v>
      </c>
      <c r="O525" s="104">
        <f t="shared" si="96"/>
        <v>20.348958333333336</v>
      </c>
      <c r="P525" s="104"/>
      <c r="Q525" s="106">
        <f t="shared" si="97"/>
        <v>166.13020833333334</v>
      </c>
      <c r="R525" s="141">
        <f t="shared" si="94"/>
        <v>0</v>
      </c>
      <c r="T525" s="110">
        <f t="shared" si="98"/>
        <v>0.87751199172335947</v>
      </c>
      <c r="U525" s="110">
        <f t="shared" si="98"/>
        <v>0.12248800827664044</v>
      </c>
      <c r="V525" s="110">
        <f t="shared" si="98"/>
        <v>0</v>
      </c>
      <c r="W525" s="110">
        <f t="shared" si="89"/>
        <v>0.99999999999999989</v>
      </c>
      <c r="Y525" s="142">
        <f>T525*'Co-Processing'!K527*'Feedstock Conversion Rates'!B$13</f>
        <v>123.05395316179164</v>
      </c>
      <c r="Z525" s="142">
        <f>U525*'Co-Processing'!K527*'Feedstock Conversion Rates'!B$12</f>
        <v>17.749107592112324</v>
      </c>
      <c r="AA525" s="142">
        <f>V525*'Co-Processing'!K527*'Feedstock Conversion Rates'!B$14</f>
        <v>0</v>
      </c>
      <c r="AB525" s="142">
        <f t="shared" si="91"/>
        <v>140.80306075390396</v>
      </c>
      <c r="AD525" s="142">
        <v>0</v>
      </c>
      <c r="AE525" s="142">
        <v>0</v>
      </c>
      <c r="AF525" s="142">
        <v>0</v>
      </c>
      <c r="AG525" s="142">
        <v>0</v>
      </c>
      <c r="AH525" s="142">
        <v>0</v>
      </c>
    </row>
    <row r="526" spans="1:34" x14ac:dyDescent="0.25">
      <c r="A526" s="96">
        <v>54728</v>
      </c>
      <c r="B526" s="104">
        <f t="shared" si="95"/>
        <v>25</v>
      </c>
      <c r="C526" s="104">
        <f>('Co-Processing'!B528*'Co-Pro Feedstock Breakdown'!C$3*'Feedstock Conversion Rates'!B$12)/12-10-15</f>
        <v>10.520833333333336</v>
      </c>
      <c r="D526" s="106">
        <f t="shared" si="87"/>
        <v>35.520833333333336</v>
      </c>
      <c r="E526" s="104">
        <f>('Co-Processing'!C528*'Co-Pro Feedstock Breakdown'!E$3*'Feedstock Conversion Rates'!B$13)/12</f>
        <v>25.78125</v>
      </c>
      <c r="F526" s="104">
        <f>('Co-Processing'!C528*'Co-Pro Feedstock Breakdown'!F$3*'Feedstock Conversion Rates'!B$14)/12</f>
        <v>8.5364583333333339</v>
      </c>
      <c r="G526" s="106">
        <f t="shared" si="88"/>
        <v>34.317708333333336</v>
      </c>
      <c r="H526" s="104">
        <f>('Co-Processing'!D528*'Co-Pro Feedstock Breakdown'!H$3*'Feedstock Conversion Rates'!B$13)/12</f>
        <v>93.75</v>
      </c>
      <c r="I526" s="106">
        <f t="shared" si="90"/>
        <v>93.75</v>
      </c>
      <c r="J526" s="104">
        <f>('Co-Processing'!E528*'Co-Pro Feedstock Breakdown'!J$3*'Feedstock Conversion Rates'!B$13)/12</f>
        <v>1.25</v>
      </c>
      <c r="K526" s="104">
        <f>('Co-Processing'!E528*'Co-Pro Feedstock Breakdown'!K$3*'Feedstock Conversion Rates'!B$12)/12</f>
        <v>1.2916666666666667</v>
      </c>
      <c r="L526" s="106">
        <f t="shared" si="92"/>
        <v>2.541666666666667</v>
      </c>
      <c r="N526" s="104">
        <f t="shared" si="93"/>
        <v>145.78125</v>
      </c>
      <c r="O526" s="104">
        <f t="shared" si="96"/>
        <v>20.348958333333336</v>
      </c>
      <c r="P526" s="104"/>
      <c r="Q526" s="106">
        <f t="shared" si="97"/>
        <v>166.13020833333334</v>
      </c>
      <c r="R526" s="141">
        <f t="shared" si="94"/>
        <v>0</v>
      </c>
      <c r="T526" s="110">
        <f t="shared" si="98"/>
        <v>0.87751199172335947</v>
      </c>
      <c r="U526" s="110">
        <f t="shared" si="98"/>
        <v>0.12248800827664044</v>
      </c>
      <c r="V526" s="110">
        <f t="shared" si="98"/>
        <v>0</v>
      </c>
      <c r="W526" s="110">
        <f t="shared" si="89"/>
        <v>0.99999999999999989</v>
      </c>
      <c r="Y526" s="142">
        <f>T526*'Co-Processing'!K528*'Feedstock Conversion Rates'!B$13</f>
        <v>123.89970524625421</v>
      </c>
      <c r="Z526" s="142">
        <f>U526*'Co-Processing'!K528*'Feedstock Conversion Rates'!B$12</f>
        <v>17.871097535203734</v>
      </c>
      <c r="AA526" s="142">
        <f>V526*'Co-Processing'!K528*'Feedstock Conversion Rates'!B$14</f>
        <v>0</v>
      </c>
      <c r="AB526" s="142">
        <f t="shared" si="91"/>
        <v>141.77080278145795</v>
      </c>
      <c r="AD526" s="142">
        <v>0</v>
      </c>
      <c r="AE526" s="142">
        <v>0</v>
      </c>
      <c r="AF526" s="142">
        <v>0</v>
      </c>
      <c r="AG526" s="142">
        <v>0</v>
      </c>
      <c r="AH526" s="142">
        <v>0</v>
      </c>
    </row>
    <row r="527" spans="1:34" x14ac:dyDescent="0.25">
      <c r="A527" s="96">
        <v>54758</v>
      </c>
      <c r="B527" s="104">
        <f t="shared" si="95"/>
        <v>25</v>
      </c>
      <c r="C527" s="104">
        <f>('Co-Processing'!B529*'Co-Pro Feedstock Breakdown'!C$3*'Feedstock Conversion Rates'!B$12)/12-10-15</f>
        <v>10.520833333333336</v>
      </c>
      <c r="D527" s="106">
        <f t="shared" si="87"/>
        <v>35.520833333333336</v>
      </c>
      <c r="E527" s="104">
        <f>('Co-Processing'!C529*'Co-Pro Feedstock Breakdown'!E$3*'Feedstock Conversion Rates'!B$13)/12</f>
        <v>25.78125</v>
      </c>
      <c r="F527" s="104">
        <f>('Co-Processing'!C529*'Co-Pro Feedstock Breakdown'!F$3*'Feedstock Conversion Rates'!B$14)/12</f>
        <v>8.5364583333333339</v>
      </c>
      <c r="G527" s="106">
        <f t="shared" si="88"/>
        <v>34.317708333333336</v>
      </c>
      <c r="H527" s="104">
        <f>('Co-Processing'!D529*'Co-Pro Feedstock Breakdown'!H$3*'Feedstock Conversion Rates'!B$13)/12</f>
        <v>93.75</v>
      </c>
      <c r="I527" s="106">
        <f t="shared" si="90"/>
        <v>93.75</v>
      </c>
      <c r="J527" s="104">
        <f>('Co-Processing'!E529*'Co-Pro Feedstock Breakdown'!J$3*'Feedstock Conversion Rates'!B$13)/12</f>
        <v>1.25</v>
      </c>
      <c r="K527" s="104">
        <f>('Co-Processing'!E529*'Co-Pro Feedstock Breakdown'!K$3*'Feedstock Conversion Rates'!B$12)/12</f>
        <v>1.2916666666666667</v>
      </c>
      <c r="L527" s="106">
        <f t="shared" si="92"/>
        <v>2.541666666666667</v>
      </c>
      <c r="N527" s="104">
        <f t="shared" si="93"/>
        <v>145.78125</v>
      </c>
      <c r="O527" s="104">
        <f t="shared" si="96"/>
        <v>20.348958333333336</v>
      </c>
      <c r="P527" s="104"/>
      <c r="Q527" s="106">
        <f t="shared" si="97"/>
        <v>166.13020833333334</v>
      </c>
      <c r="R527" s="141">
        <f t="shared" si="94"/>
        <v>0</v>
      </c>
      <c r="T527" s="110">
        <f t="shared" si="98"/>
        <v>0.87751199172335947</v>
      </c>
      <c r="U527" s="110">
        <f t="shared" si="98"/>
        <v>0.12248800827664044</v>
      </c>
      <c r="V527" s="110">
        <f t="shared" si="98"/>
        <v>0</v>
      </c>
      <c r="W527" s="110">
        <f t="shared" si="89"/>
        <v>0.99999999999999989</v>
      </c>
      <c r="Y527" s="142">
        <f>T527*'Co-Processing'!K529*'Feedstock Conversion Rates'!B$13</f>
        <v>127.68159711181438</v>
      </c>
      <c r="Z527" s="142">
        <f>U527*'Co-Processing'!K529*'Feedstock Conversion Rates'!B$12</f>
        <v>18.416591636765066</v>
      </c>
      <c r="AA527" s="142">
        <f>V527*'Co-Processing'!K529*'Feedstock Conversion Rates'!B$14</f>
        <v>0</v>
      </c>
      <c r="AB527" s="142">
        <f t="shared" si="91"/>
        <v>146.09818874857945</v>
      </c>
      <c r="AD527" s="142">
        <v>0</v>
      </c>
      <c r="AE527" s="142">
        <v>0</v>
      </c>
      <c r="AF527" s="142">
        <v>0</v>
      </c>
      <c r="AG527" s="142">
        <v>0</v>
      </c>
      <c r="AH527" s="142">
        <v>0</v>
      </c>
    </row>
    <row r="528" spans="1:34" x14ac:dyDescent="0.25">
      <c r="A528" s="96">
        <v>54789</v>
      </c>
      <c r="B528" s="104">
        <f t="shared" si="95"/>
        <v>25</v>
      </c>
      <c r="C528" s="104">
        <f>('Co-Processing'!B530*'Co-Pro Feedstock Breakdown'!C$3*'Feedstock Conversion Rates'!B$12)/12-10-15</f>
        <v>10.520833333333336</v>
      </c>
      <c r="D528" s="106">
        <f t="shared" si="87"/>
        <v>35.520833333333336</v>
      </c>
      <c r="E528" s="104">
        <f>('Co-Processing'!C530*'Co-Pro Feedstock Breakdown'!E$3*'Feedstock Conversion Rates'!B$13)/12</f>
        <v>25.78125</v>
      </c>
      <c r="F528" s="104">
        <f>('Co-Processing'!C530*'Co-Pro Feedstock Breakdown'!F$3*'Feedstock Conversion Rates'!B$14)/12</f>
        <v>8.5364583333333339</v>
      </c>
      <c r="G528" s="106">
        <f t="shared" si="88"/>
        <v>34.317708333333336</v>
      </c>
      <c r="H528" s="104">
        <f>('Co-Processing'!D530*'Co-Pro Feedstock Breakdown'!H$3*'Feedstock Conversion Rates'!B$13)/12</f>
        <v>93.75</v>
      </c>
      <c r="I528" s="106">
        <f t="shared" si="90"/>
        <v>93.75</v>
      </c>
      <c r="J528" s="104">
        <f>('Co-Processing'!E530*'Co-Pro Feedstock Breakdown'!J$3*'Feedstock Conversion Rates'!B$13)/12</f>
        <v>1.25</v>
      </c>
      <c r="K528" s="104">
        <f>('Co-Processing'!E530*'Co-Pro Feedstock Breakdown'!K$3*'Feedstock Conversion Rates'!B$12)/12</f>
        <v>1.2916666666666667</v>
      </c>
      <c r="L528" s="106">
        <f t="shared" si="92"/>
        <v>2.541666666666667</v>
      </c>
      <c r="N528" s="104">
        <f t="shared" si="93"/>
        <v>145.78125</v>
      </c>
      <c r="O528" s="104">
        <f t="shared" si="96"/>
        <v>20.348958333333336</v>
      </c>
      <c r="P528" s="104"/>
      <c r="Q528" s="106">
        <f t="shared" si="97"/>
        <v>166.13020833333334</v>
      </c>
      <c r="R528" s="141">
        <f t="shared" si="94"/>
        <v>0</v>
      </c>
      <c r="T528" s="110">
        <f t="shared" si="98"/>
        <v>0.87751199172335947</v>
      </c>
      <c r="U528" s="110">
        <f t="shared" si="98"/>
        <v>0.12248800827664044</v>
      </c>
      <c r="V528" s="110">
        <f t="shared" si="98"/>
        <v>0</v>
      </c>
      <c r="W528" s="110">
        <f t="shared" si="89"/>
        <v>0.99999999999999989</v>
      </c>
      <c r="Y528" s="142">
        <f>T528*'Co-Processing'!K530*'Feedstock Conversion Rates'!B$13</f>
        <v>112.29624166571317</v>
      </c>
      <c r="Z528" s="142">
        <f>U528*'Co-Processing'!K530*'Feedstock Conversion Rates'!B$12</f>
        <v>16.197432299423824</v>
      </c>
      <c r="AA528" s="142">
        <f>V528*'Co-Processing'!K530*'Feedstock Conversion Rates'!B$14</f>
        <v>0</v>
      </c>
      <c r="AB528" s="142">
        <f t="shared" si="91"/>
        <v>128.49367396513699</v>
      </c>
      <c r="AD528" s="142">
        <v>0</v>
      </c>
      <c r="AE528" s="142">
        <v>0</v>
      </c>
      <c r="AF528" s="142">
        <v>0</v>
      </c>
      <c r="AG528" s="142">
        <v>0</v>
      </c>
      <c r="AH528" s="142">
        <v>0</v>
      </c>
    </row>
    <row r="529" spans="1:34" x14ac:dyDescent="0.25">
      <c r="A529" s="96">
        <v>54820</v>
      </c>
      <c r="B529" s="104">
        <f t="shared" si="95"/>
        <v>25</v>
      </c>
      <c r="C529" s="104">
        <f>('Co-Processing'!B531*'Co-Pro Feedstock Breakdown'!C$3*'Feedstock Conversion Rates'!B$12)/12-10-15</f>
        <v>10.520833333333336</v>
      </c>
      <c r="D529" s="106">
        <f t="shared" si="87"/>
        <v>35.520833333333336</v>
      </c>
      <c r="E529" s="104">
        <f>('Co-Processing'!C531*'Co-Pro Feedstock Breakdown'!E$3*'Feedstock Conversion Rates'!B$13)/12</f>
        <v>25.78125</v>
      </c>
      <c r="F529" s="104">
        <f>('Co-Processing'!C531*'Co-Pro Feedstock Breakdown'!F$3*'Feedstock Conversion Rates'!B$14)/12</f>
        <v>8.5364583333333339</v>
      </c>
      <c r="G529" s="106">
        <f t="shared" si="88"/>
        <v>34.317708333333336</v>
      </c>
      <c r="H529" s="104">
        <f>('Co-Processing'!D531*'Co-Pro Feedstock Breakdown'!H$3*'Feedstock Conversion Rates'!B$13)/12</f>
        <v>93.75</v>
      </c>
      <c r="I529" s="106">
        <f t="shared" si="90"/>
        <v>93.75</v>
      </c>
      <c r="J529" s="104">
        <f>('Co-Processing'!E531*'Co-Pro Feedstock Breakdown'!J$3*'Feedstock Conversion Rates'!B$13)/12</f>
        <v>1.25</v>
      </c>
      <c r="K529" s="104">
        <f>('Co-Processing'!E531*'Co-Pro Feedstock Breakdown'!K$3*'Feedstock Conversion Rates'!B$12)/12</f>
        <v>1.2916666666666667</v>
      </c>
      <c r="L529" s="106">
        <f t="shared" si="92"/>
        <v>2.541666666666667</v>
      </c>
      <c r="N529" s="104">
        <f t="shared" si="93"/>
        <v>145.78125</v>
      </c>
      <c r="O529" s="104">
        <f t="shared" si="96"/>
        <v>20.348958333333336</v>
      </c>
      <c r="P529" s="104"/>
      <c r="Q529" s="106">
        <f t="shared" si="97"/>
        <v>166.13020833333334</v>
      </c>
      <c r="R529" s="141">
        <f t="shared" si="94"/>
        <v>0</v>
      </c>
      <c r="T529" s="110">
        <f t="shared" si="98"/>
        <v>0.87751199172335947</v>
      </c>
      <c r="U529" s="110">
        <f t="shared" si="98"/>
        <v>0.12248800827664044</v>
      </c>
      <c r="V529" s="110">
        <f t="shared" si="98"/>
        <v>0</v>
      </c>
      <c r="W529" s="110">
        <f t="shared" si="89"/>
        <v>0.99999999999999989</v>
      </c>
      <c r="Y529" s="142">
        <f>T529*'Co-Processing'!K531*'Feedstock Conversion Rates'!B$13</f>
        <v>87.817946069376219</v>
      </c>
      <c r="Z529" s="142">
        <f>U529*'Co-Processing'!K531*'Feedstock Conversion Rates'!B$12</f>
        <v>12.666721655453903</v>
      </c>
      <c r="AA529" s="142">
        <f>V529*'Co-Processing'!K531*'Feedstock Conversion Rates'!B$14</f>
        <v>0</v>
      </c>
      <c r="AB529" s="142">
        <f t="shared" si="91"/>
        <v>100.48466772483012</v>
      </c>
      <c r="AD529" s="142">
        <v>0</v>
      </c>
      <c r="AE529" s="142">
        <v>0</v>
      </c>
      <c r="AF529" s="142">
        <v>0</v>
      </c>
      <c r="AG529" s="142">
        <v>0</v>
      </c>
      <c r="AH529" s="142">
        <v>0</v>
      </c>
    </row>
    <row r="530" spans="1:34" x14ac:dyDescent="0.25">
      <c r="A530" s="96">
        <v>54848</v>
      </c>
      <c r="B530" s="104">
        <f t="shared" si="95"/>
        <v>25</v>
      </c>
      <c r="C530" s="104">
        <f>('Co-Processing'!B532*'Co-Pro Feedstock Breakdown'!C$3*'Feedstock Conversion Rates'!B$12)/12-10-15</f>
        <v>10.520833333333336</v>
      </c>
      <c r="D530" s="106">
        <f t="shared" si="87"/>
        <v>35.520833333333336</v>
      </c>
      <c r="E530" s="104">
        <f>('Co-Processing'!C532*'Co-Pro Feedstock Breakdown'!E$3*'Feedstock Conversion Rates'!B$13)/12</f>
        <v>25.78125</v>
      </c>
      <c r="F530" s="104">
        <f>('Co-Processing'!C532*'Co-Pro Feedstock Breakdown'!F$3*'Feedstock Conversion Rates'!B$14)/12</f>
        <v>8.5364583333333339</v>
      </c>
      <c r="G530" s="106">
        <f t="shared" si="88"/>
        <v>34.317708333333336</v>
      </c>
      <c r="H530" s="104">
        <f>('Co-Processing'!D532*'Co-Pro Feedstock Breakdown'!H$3*'Feedstock Conversion Rates'!B$13)/12</f>
        <v>93.75</v>
      </c>
      <c r="I530" s="106">
        <f t="shared" si="90"/>
        <v>93.75</v>
      </c>
      <c r="J530" s="104">
        <f>('Co-Processing'!E532*'Co-Pro Feedstock Breakdown'!J$3*'Feedstock Conversion Rates'!B$13)/12</f>
        <v>1.25</v>
      </c>
      <c r="K530" s="104">
        <f>('Co-Processing'!E532*'Co-Pro Feedstock Breakdown'!K$3*'Feedstock Conversion Rates'!B$12)/12</f>
        <v>1.2916666666666667</v>
      </c>
      <c r="L530" s="106">
        <f t="shared" si="92"/>
        <v>2.541666666666667</v>
      </c>
      <c r="N530" s="104">
        <f t="shared" si="93"/>
        <v>145.78125</v>
      </c>
      <c r="O530" s="104">
        <f t="shared" si="96"/>
        <v>20.348958333333336</v>
      </c>
      <c r="P530" s="104"/>
      <c r="Q530" s="106">
        <f t="shared" si="97"/>
        <v>166.13020833333334</v>
      </c>
      <c r="R530" s="141">
        <f t="shared" si="94"/>
        <v>0</v>
      </c>
      <c r="T530" s="110">
        <f t="shared" si="98"/>
        <v>0.87751199172335947</v>
      </c>
      <c r="U530" s="110">
        <f t="shared" si="98"/>
        <v>0.12248800827664044</v>
      </c>
      <c r="V530" s="110">
        <f t="shared" si="98"/>
        <v>0</v>
      </c>
      <c r="W530" s="110">
        <f t="shared" si="89"/>
        <v>0.99999999999999989</v>
      </c>
      <c r="Y530" s="142">
        <f>T530*'Co-Processing'!K532*'Feedstock Conversion Rates'!B$13</f>
        <v>144.62121087376647</v>
      </c>
      <c r="Z530" s="142">
        <f>U530*'Co-Processing'!K532*'Feedstock Conversion Rates'!B$12</f>
        <v>20.85993473549836</v>
      </c>
      <c r="AA530" s="142">
        <f>V530*'Co-Processing'!K532*'Feedstock Conversion Rates'!B$14</f>
        <v>0</v>
      </c>
      <c r="AB530" s="142">
        <f t="shared" si="91"/>
        <v>165.48114560926484</v>
      </c>
      <c r="AD530" s="142">
        <v>0</v>
      </c>
      <c r="AE530" s="142">
        <v>0</v>
      </c>
      <c r="AF530" s="142">
        <v>0</v>
      </c>
      <c r="AG530" s="142">
        <v>0</v>
      </c>
      <c r="AH530" s="142">
        <v>0</v>
      </c>
    </row>
    <row r="531" spans="1:34" x14ac:dyDescent="0.25">
      <c r="A531" s="96">
        <v>54879</v>
      </c>
      <c r="B531" s="104">
        <f t="shared" si="95"/>
        <v>25</v>
      </c>
      <c r="C531" s="104">
        <f>('Co-Processing'!B533*'Co-Pro Feedstock Breakdown'!C$3*'Feedstock Conversion Rates'!B$12)/12-10-15</f>
        <v>10.520833333333336</v>
      </c>
      <c r="D531" s="106">
        <f t="shared" si="87"/>
        <v>35.520833333333336</v>
      </c>
      <c r="E531" s="104">
        <f>('Co-Processing'!C533*'Co-Pro Feedstock Breakdown'!E$3*'Feedstock Conversion Rates'!B$13)/12</f>
        <v>25.78125</v>
      </c>
      <c r="F531" s="104">
        <f>('Co-Processing'!C533*'Co-Pro Feedstock Breakdown'!F$3*'Feedstock Conversion Rates'!B$14)/12</f>
        <v>8.5364583333333339</v>
      </c>
      <c r="G531" s="106">
        <f t="shared" si="88"/>
        <v>34.317708333333336</v>
      </c>
      <c r="H531" s="104">
        <f>('Co-Processing'!D533*'Co-Pro Feedstock Breakdown'!H$3*'Feedstock Conversion Rates'!B$13)/12</f>
        <v>93.75</v>
      </c>
      <c r="I531" s="106">
        <f t="shared" si="90"/>
        <v>93.75</v>
      </c>
      <c r="J531" s="104">
        <f>('Co-Processing'!E533*'Co-Pro Feedstock Breakdown'!J$3*'Feedstock Conversion Rates'!B$13)/12</f>
        <v>1.25</v>
      </c>
      <c r="K531" s="104">
        <f>('Co-Processing'!E533*'Co-Pro Feedstock Breakdown'!K$3*'Feedstock Conversion Rates'!B$12)/12</f>
        <v>1.2916666666666667</v>
      </c>
      <c r="L531" s="106">
        <f t="shared" si="92"/>
        <v>2.541666666666667</v>
      </c>
      <c r="N531" s="104">
        <f t="shared" si="93"/>
        <v>145.78125</v>
      </c>
      <c r="O531" s="104">
        <f t="shared" si="96"/>
        <v>20.348958333333336</v>
      </c>
      <c r="P531" s="104"/>
      <c r="Q531" s="106">
        <f t="shared" si="97"/>
        <v>166.13020833333334</v>
      </c>
      <c r="R531" s="141">
        <f t="shared" si="94"/>
        <v>0</v>
      </c>
      <c r="T531" s="110">
        <f t="shared" si="98"/>
        <v>0.87751199172335947</v>
      </c>
      <c r="U531" s="110">
        <f t="shared" si="98"/>
        <v>0.12248800827664044</v>
      </c>
      <c r="V531" s="110">
        <f t="shared" si="98"/>
        <v>0</v>
      </c>
      <c r="W531" s="110">
        <f t="shared" si="89"/>
        <v>0.99999999999999989</v>
      </c>
      <c r="Y531" s="142">
        <f>T531*'Co-Processing'!K533*'Feedstock Conversion Rates'!B$13</f>
        <v>94.186005954792634</v>
      </c>
      <c r="Z531" s="142">
        <f>U531*'Co-Processing'!K533*'Feedstock Conversion Rates'!B$12</f>
        <v>13.585240542130071</v>
      </c>
      <c r="AA531" s="142">
        <f>V531*'Co-Processing'!K533*'Feedstock Conversion Rates'!B$14</f>
        <v>0</v>
      </c>
      <c r="AB531" s="142">
        <f t="shared" si="91"/>
        <v>107.7712464969227</v>
      </c>
      <c r="AD531" s="142">
        <v>0</v>
      </c>
      <c r="AE531" s="142">
        <v>0</v>
      </c>
      <c r="AF531" s="142">
        <v>0</v>
      </c>
      <c r="AG531" s="142">
        <v>0</v>
      </c>
      <c r="AH531" s="142">
        <v>0</v>
      </c>
    </row>
    <row r="532" spans="1:34" x14ac:dyDescent="0.25">
      <c r="A532" s="96">
        <v>54909</v>
      </c>
      <c r="B532" s="104">
        <f t="shared" si="95"/>
        <v>25</v>
      </c>
      <c r="C532" s="104">
        <f>('Co-Processing'!B534*'Co-Pro Feedstock Breakdown'!C$3*'Feedstock Conversion Rates'!B$12)/12-10-15</f>
        <v>10.520833333333336</v>
      </c>
      <c r="D532" s="106">
        <f t="shared" ref="D532:D551" si="99">C532+B532</f>
        <v>35.520833333333336</v>
      </c>
      <c r="E532" s="104">
        <f>('Co-Processing'!C534*'Co-Pro Feedstock Breakdown'!E$3*'Feedstock Conversion Rates'!B$13)/12</f>
        <v>25.78125</v>
      </c>
      <c r="F532" s="104">
        <f>('Co-Processing'!C534*'Co-Pro Feedstock Breakdown'!F$3*'Feedstock Conversion Rates'!B$14)/12</f>
        <v>8.5364583333333339</v>
      </c>
      <c r="G532" s="106">
        <f t="shared" si="88"/>
        <v>34.317708333333336</v>
      </c>
      <c r="H532" s="104">
        <f>('Co-Processing'!D534*'Co-Pro Feedstock Breakdown'!H$3*'Feedstock Conversion Rates'!B$13)/12</f>
        <v>93.75</v>
      </c>
      <c r="I532" s="106">
        <f t="shared" si="90"/>
        <v>93.75</v>
      </c>
      <c r="J532" s="104">
        <f>('Co-Processing'!E534*'Co-Pro Feedstock Breakdown'!J$3*'Feedstock Conversion Rates'!B$13)/12</f>
        <v>1.25</v>
      </c>
      <c r="K532" s="104">
        <f>('Co-Processing'!E534*'Co-Pro Feedstock Breakdown'!K$3*'Feedstock Conversion Rates'!B$12)/12</f>
        <v>1.2916666666666667</v>
      </c>
      <c r="L532" s="106">
        <f t="shared" si="92"/>
        <v>2.541666666666667</v>
      </c>
      <c r="N532" s="104">
        <f t="shared" si="93"/>
        <v>145.78125</v>
      </c>
      <c r="O532" s="104">
        <f t="shared" si="96"/>
        <v>20.348958333333336</v>
      </c>
      <c r="P532" s="104"/>
      <c r="Q532" s="106">
        <f t="shared" si="97"/>
        <v>166.13020833333334</v>
      </c>
      <c r="R532" s="141">
        <f t="shared" si="94"/>
        <v>0</v>
      </c>
      <c r="T532" s="110">
        <f t="shared" si="98"/>
        <v>0.87751199172335947</v>
      </c>
      <c r="U532" s="110">
        <f t="shared" si="98"/>
        <v>0.12248800827664044</v>
      </c>
      <c r="V532" s="110">
        <f t="shared" si="98"/>
        <v>0</v>
      </c>
      <c r="W532" s="110">
        <f t="shared" si="89"/>
        <v>0.99999999999999989</v>
      </c>
      <c r="Y532" s="142">
        <f>T532*'Co-Processing'!K534*'Feedstock Conversion Rates'!B$13</f>
        <v>103.67980805162543</v>
      </c>
      <c r="Z532" s="142">
        <f>U532*'Co-Processing'!K534*'Feedstock Conversion Rates'!B$12</f>
        <v>14.954611541965845</v>
      </c>
      <c r="AA532" s="142">
        <f>V532*'Co-Processing'!K534*'Feedstock Conversion Rates'!B$14</f>
        <v>0</v>
      </c>
      <c r="AB532" s="142">
        <f t="shared" si="91"/>
        <v>118.63441959359128</v>
      </c>
      <c r="AD532" s="142">
        <v>0</v>
      </c>
      <c r="AE532" s="142">
        <v>0</v>
      </c>
      <c r="AF532" s="142">
        <v>0</v>
      </c>
      <c r="AG532" s="142">
        <v>0</v>
      </c>
      <c r="AH532" s="142">
        <v>0</v>
      </c>
    </row>
    <row r="533" spans="1:34" x14ac:dyDescent="0.25">
      <c r="A533" s="96">
        <v>54940</v>
      </c>
      <c r="B533" s="104">
        <f t="shared" si="95"/>
        <v>25</v>
      </c>
      <c r="C533" s="104">
        <f>('Co-Processing'!B535*'Co-Pro Feedstock Breakdown'!C$3*'Feedstock Conversion Rates'!B$12)/12-10-15</f>
        <v>10.520833333333336</v>
      </c>
      <c r="D533" s="106">
        <f t="shared" si="99"/>
        <v>35.520833333333336</v>
      </c>
      <c r="E533" s="104">
        <f>('Co-Processing'!C535*'Co-Pro Feedstock Breakdown'!E$3*'Feedstock Conversion Rates'!B$13)/12</f>
        <v>25.78125</v>
      </c>
      <c r="F533" s="104">
        <f>('Co-Processing'!C535*'Co-Pro Feedstock Breakdown'!F$3*'Feedstock Conversion Rates'!B$14)/12</f>
        <v>8.5364583333333339</v>
      </c>
      <c r="G533" s="106">
        <f t="shared" si="88"/>
        <v>34.317708333333336</v>
      </c>
      <c r="H533" s="104">
        <f>('Co-Processing'!D535*'Co-Pro Feedstock Breakdown'!H$3*'Feedstock Conversion Rates'!B$13)/12</f>
        <v>93.75</v>
      </c>
      <c r="I533" s="106">
        <f t="shared" si="90"/>
        <v>93.75</v>
      </c>
      <c r="J533" s="104">
        <f>('Co-Processing'!E535*'Co-Pro Feedstock Breakdown'!J$3*'Feedstock Conversion Rates'!B$13)/12</f>
        <v>1.25</v>
      </c>
      <c r="K533" s="104">
        <f>('Co-Processing'!E535*'Co-Pro Feedstock Breakdown'!K$3*'Feedstock Conversion Rates'!B$12)/12</f>
        <v>1.2916666666666667</v>
      </c>
      <c r="L533" s="106">
        <f t="shared" si="92"/>
        <v>2.541666666666667</v>
      </c>
      <c r="N533" s="104">
        <f t="shared" si="93"/>
        <v>145.78125</v>
      </c>
      <c r="O533" s="104">
        <f t="shared" si="96"/>
        <v>20.348958333333336</v>
      </c>
      <c r="P533" s="104"/>
      <c r="Q533" s="106">
        <f t="shared" si="97"/>
        <v>166.13020833333334</v>
      </c>
      <c r="R533" s="141">
        <f t="shared" si="94"/>
        <v>0</v>
      </c>
      <c r="T533" s="110">
        <f t="shared" si="98"/>
        <v>0.87751199172335947</v>
      </c>
      <c r="U533" s="110">
        <f t="shared" si="98"/>
        <v>0.12248800827664044</v>
      </c>
      <c r="V533" s="110">
        <f t="shared" si="98"/>
        <v>0</v>
      </c>
      <c r="W533" s="110">
        <f t="shared" si="89"/>
        <v>0.99999999999999989</v>
      </c>
      <c r="Y533" s="142">
        <f>T533*'Co-Processing'!K535*'Feedstock Conversion Rates'!B$13</f>
        <v>140.36797285561184</v>
      </c>
      <c r="Z533" s="142">
        <f>U533*'Co-Processing'!K535*'Feedstock Conversion Rates'!B$12</f>
        <v>20.246454410328859</v>
      </c>
      <c r="AA533" s="142">
        <f>V533*'Co-Processing'!K535*'Feedstock Conversion Rates'!B$14</f>
        <v>0</v>
      </c>
      <c r="AB533" s="142">
        <f t="shared" si="91"/>
        <v>160.61442726594069</v>
      </c>
      <c r="AD533" s="142">
        <v>0</v>
      </c>
      <c r="AE533" s="142">
        <v>0</v>
      </c>
      <c r="AF533" s="142">
        <v>0</v>
      </c>
      <c r="AG533" s="142">
        <v>0</v>
      </c>
      <c r="AH533" s="142">
        <v>0</v>
      </c>
    </row>
    <row r="534" spans="1:34" x14ac:dyDescent="0.25">
      <c r="A534" s="96">
        <v>54970</v>
      </c>
      <c r="B534" s="104">
        <f t="shared" si="95"/>
        <v>25</v>
      </c>
      <c r="C534" s="104">
        <f>('Co-Processing'!B536*'Co-Pro Feedstock Breakdown'!C$3*'Feedstock Conversion Rates'!B$12)/12-10-15</f>
        <v>10.520833333333336</v>
      </c>
      <c r="D534" s="106">
        <f t="shared" si="99"/>
        <v>35.520833333333336</v>
      </c>
      <c r="E534" s="104">
        <f>('Co-Processing'!C536*'Co-Pro Feedstock Breakdown'!E$3*'Feedstock Conversion Rates'!B$13)/12</f>
        <v>25.78125</v>
      </c>
      <c r="F534" s="104">
        <f>('Co-Processing'!C536*'Co-Pro Feedstock Breakdown'!F$3*'Feedstock Conversion Rates'!B$14)/12</f>
        <v>8.5364583333333339</v>
      </c>
      <c r="G534" s="106">
        <f t="shared" si="88"/>
        <v>34.317708333333336</v>
      </c>
      <c r="H534" s="104">
        <f>('Co-Processing'!D536*'Co-Pro Feedstock Breakdown'!H$3*'Feedstock Conversion Rates'!B$13)/12</f>
        <v>93.75</v>
      </c>
      <c r="I534" s="106">
        <f t="shared" si="90"/>
        <v>93.75</v>
      </c>
      <c r="J534" s="104">
        <f>('Co-Processing'!E536*'Co-Pro Feedstock Breakdown'!J$3*'Feedstock Conversion Rates'!B$13)/12</f>
        <v>1.25</v>
      </c>
      <c r="K534" s="104">
        <f>('Co-Processing'!E536*'Co-Pro Feedstock Breakdown'!K$3*'Feedstock Conversion Rates'!B$12)/12</f>
        <v>1.2916666666666667</v>
      </c>
      <c r="L534" s="106">
        <f t="shared" si="92"/>
        <v>2.541666666666667</v>
      </c>
      <c r="N534" s="104">
        <f t="shared" si="93"/>
        <v>145.78125</v>
      </c>
      <c r="O534" s="104">
        <f t="shared" si="96"/>
        <v>20.348958333333336</v>
      </c>
      <c r="P534" s="104"/>
      <c r="Q534" s="106">
        <f t="shared" si="97"/>
        <v>166.13020833333334</v>
      </c>
      <c r="R534" s="141">
        <f t="shared" si="94"/>
        <v>0</v>
      </c>
      <c r="T534" s="110">
        <f t="shared" si="98"/>
        <v>0.87751199172335947</v>
      </c>
      <c r="U534" s="110">
        <f t="shared" si="98"/>
        <v>0.12248800827664044</v>
      </c>
      <c r="V534" s="110">
        <f t="shared" si="98"/>
        <v>0</v>
      </c>
      <c r="W534" s="110">
        <f t="shared" si="89"/>
        <v>0.99999999999999989</v>
      </c>
      <c r="Y534" s="142">
        <f>T534*'Co-Processing'!K536*'Feedstock Conversion Rates'!B$13</f>
        <v>117.18611074832262</v>
      </c>
      <c r="Z534" s="142">
        <f>U534*'Co-Processing'!K536*'Feedstock Conversion Rates'!B$12</f>
        <v>16.902739282487307</v>
      </c>
      <c r="AA534" s="142">
        <f>V534*'Co-Processing'!K536*'Feedstock Conversion Rates'!B$14</f>
        <v>0</v>
      </c>
      <c r="AB534" s="142">
        <f t="shared" si="91"/>
        <v>134.08885003080994</v>
      </c>
      <c r="AD534" s="142">
        <v>0</v>
      </c>
      <c r="AE534" s="142">
        <v>0</v>
      </c>
      <c r="AF534" s="142">
        <v>0</v>
      </c>
      <c r="AG534" s="142">
        <v>0</v>
      </c>
      <c r="AH534" s="142">
        <v>0</v>
      </c>
    </row>
    <row r="535" spans="1:34" x14ac:dyDescent="0.25">
      <c r="A535" s="96">
        <v>55001</v>
      </c>
      <c r="B535" s="104">
        <f t="shared" si="95"/>
        <v>25</v>
      </c>
      <c r="C535" s="104">
        <f>('Co-Processing'!B537*'Co-Pro Feedstock Breakdown'!C$3*'Feedstock Conversion Rates'!B$12)/12-10-15</f>
        <v>10.520833333333336</v>
      </c>
      <c r="D535" s="106">
        <f t="shared" si="99"/>
        <v>35.520833333333336</v>
      </c>
      <c r="E535" s="104">
        <f>('Co-Processing'!C537*'Co-Pro Feedstock Breakdown'!E$3*'Feedstock Conversion Rates'!B$13)/12</f>
        <v>25.78125</v>
      </c>
      <c r="F535" s="104">
        <f>('Co-Processing'!C537*'Co-Pro Feedstock Breakdown'!F$3*'Feedstock Conversion Rates'!B$14)/12</f>
        <v>8.5364583333333339</v>
      </c>
      <c r="G535" s="106">
        <f t="shared" si="88"/>
        <v>34.317708333333336</v>
      </c>
      <c r="H535" s="104">
        <f>('Co-Processing'!D537*'Co-Pro Feedstock Breakdown'!H$3*'Feedstock Conversion Rates'!B$13)/12</f>
        <v>93.75</v>
      </c>
      <c r="I535" s="106">
        <f t="shared" si="90"/>
        <v>93.75</v>
      </c>
      <c r="J535" s="104">
        <f>('Co-Processing'!E537*'Co-Pro Feedstock Breakdown'!J$3*'Feedstock Conversion Rates'!B$13)/12</f>
        <v>1.25</v>
      </c>
      <c r="K535" s="104">
        <f>('Co-Processing'!E537*'Co-Pro Feedstock Breakdown'!K$3*'Feedstock Conversion Rates'!B$12)/12</f>
        <v>1.2916666666666667</v>
      </c>
      <c r="L535" s="106">
        <f t="shared" si="92"/>
        <v>2.541666666666667</v>
      </c>
      <c r="N535" s="104">
        <f t="shared" si="93"/>
        <v>145.78125</v>
      </c>
      <c r="O535" s="104">
        <f t="shared" si="96"/>
        <v>20.348958333333336</v>
      </c>
      <c r="P535" s="104"/>
      <c r="Q535" s="106">
        <f t="shared" si="97"/>
        <v>166.13020833333334</v>
      </c>
      <c r="R535" s="141">
        <f t="shared" si="94"/>
        <v>0</v>
      </c>
      <c r="T535" s="110">
        <f t="shared" si="98"/>
        <v>0.87751199172335947</v>
      </c>
      <c r="U535" s="110">
        <f t="shared" si="98"/>
        <v>0.12248800827664044</v>
      </c>
      <c r="V535" s="110">
        <f t="shared" si="98"/>
        <v>0</v>
      </c>
      <c r="W535" s="110">
        <f t="shared" si="89"/>
        <v>0.99999999999999989</v>
      </c>
      <c r="Y535" s="142">
        <f>T535*'Co-Processing'!K537*'Feedstock Conversion Rates'!B$13</f>
        <v>172.15058326489293</v>
      </c>
      <c r="Z535" s="142">
        <f>U535*'Co-Processing'!K537*'Feedstock Conversion Rates'!B$12</f>
        <v>24.830727871018265</v>
      </c>
      <c r="AA535" s="142">
        <f>V535*'Co-Processing'!K537*'Feedstock Conversion Rates'!B$14</f>
        <v>0</v>
      </c>
      <c r="AB535" s="142">
        <f t="shared" si="91"/>
        <v>196.9813111359112</v>
      </c>
      <c r="AD535" s="142">
        <v>0</v>
      </c>
      <c r="AE535" s="142">
        <v>0</v>
      </c>
      <c r="AF535" s="142">
        <v>0</v>
      </c>
      <c r="AG535" s="142">
        <v>0</v>
      </c>
      <c r="AH535" s="142">
        <v>0</v>
      </c>
    </row>
    <row r="536" spans="1:34" x14ac:dyDescent="0.25">
      <c r="A536" s="96">
        <v>55032</v>
      </c>
      <c r="B536" s="104">
        <f t="shared" si="95"/>
        <v>25</v>
      </c>
      <c r="C536" s="104">
        <f>('Co-Processing'!B538*'Co-Pro Feedstock Breakdown'!C$3*'Feedstock Conversion Rates'!B$12)/12-10-15</f>
        <v>10.520833333333336</v>
      </c>
      <c r="D536" s="106">
        <f t="shared" si="99"/>
        <v>35.520833333333336</v>
      </c>
      <c r="E536" s="104">
        <f>('Co-Processing'!C538*'Co-Pro Feedstock Breakdown'!E$3*'Feedstock Conversion Rates'!B$13)/12</f>
        <v>25.78125</v>
      </c>
      <c r="F536" s="104">
        <f>('Co-Processing'!C538*'Co-Pro Feedstock Breakdown'!F$3*'Feedstock Conversion Rates'!B$14)/12</f>
        <v>8.5364583333333339</v>
      </c>
      <c r="G536" s="106">
        <f t="shared" si="88"/>
        <v>34.317708333333336</v>
      </c>
      <c r="H536" s="104">
        <f>('Co-Processing'!D538*'Co-Pro Feedstock Breakdown'!H$3*'Feedstock Conversion Rates'!B$13)/12</f>
        <v>93.75</v>
      </c>
      <c r="I536" s="106">
        <f t="shared" si="90"/>
        <v>93.75</v>
      </c>
      <c r="J536" s="104">
        <f>('Co-Processing'!E538*'Co-Pro Feedstock Breakdown'!J$3*'Feedstock Conversion Rates'!B$13)/12</f>
        <v>1.25</v>
      </c>
      <c r="K536" s="104">
        <f>('Co-Processing'!E538*'Co-Pro Feedstock Breakdown'!K$3*'Feedstock Conversion Rates'!B$12)/12</f>
        <v>1.2916666666666667</v>
      </c>
      <c r="L536" s="106">
        <f t="shared" si="92"/>
        <v>2.541666666666667</v>
      </c>
      <c r="N536" s="104">
        <f t="shared" si="93"/>
        <v>145.78125</v>
      </c>
      <c r="O536" s="104">
        <f t="shared" si="96"/>
        <v>20.348958333333336</v>
      </c>
      <c r="P536" s="104"/>
      <c r="Q536" s="106">
        <f t="shared" si="97"/>
        <v>166.13020833333334</v>
      </c>
      <c r="R536" s="141">
        <f t="shared" si="94"/>
        <v>0</v>
      </c>
      <c r="T536" s="110">
        <f t="shared" si="98"/>
        <v>0.87751199172335947</v>
      </c>
      <c r="U536" s="110">
        <f t="shared" si="98"/>
        <v>0.12248800827664044</v>
      </c>
      <c r="V536" s="110">
        <f t="shared" si="98"/>
        <v>0</v>
      </c>
      <c r="W536" s="110">
        <f t="shared" si="89"/>
        <v>0.99999999999999989</v>
      </c>
      <c r="Y536" s="142">
        <f>T536*'Co-Processing'!K538*'Feedstock Conversion Rates'!B$13</f>
        <v>154.48107534445148</v>
      </c>
      <c r="Z536" s="142">
        <f>U536*'Co-Processing'!K538*'Feedstock Conversion Rates'!B$12</f>
        <v>22.282105993204635</v>
      </c>
      <c r="AA536" s="142">
        <f>V536*'Co-Processing'!K538*'Feedstock Conversion Rates'!B$14</f>
        <v>0</v>
      </c>
      <c r="AB536" s="142">
        <f t="shared" si="91"/>
        <v>176.76318133765611</v>
      </c>
      <c r="AD536" s="142">
        <v>0</v>
      </c>
      <c r="AE536" s="142">
        <v>0</v>
      </c>
      <c r="AF536" s="142">
        <v>0</v>
      </c>
      <c r="AG536" s="142">
        <v>0</v>
      </c>
      <c r="AH536" s="142">
        <v>0</v>
      </c>
    </row>
    <row r="537" spans="1:34" x14ac:dyDescent="0.25">
      <c r="A537" s="96">
        <v>55062</v>
      </c>
      <c r="B537" s="104">
        <f t="shared" si="95"/>
        <v>25</v>
      </c>
      <c r="C537" s="104">
        <f>('Co-Processing'!B539*'Co-Pro Feedstock Breakdown'!C$3*'Feedstock Conversion Rates'!B$12)/12-10-15</f>
        <v>10.520833333333336</v>
      </c>
      <c r="D537" s="106">
        <f t="shared" si="99"/>
        <v>35.520833333333336</v>
      </c>
      <c r="E537" s="104">
        <f>('Co-Processing'!C539*'Co-Pro Feedstock Breakdown'!E$3*'Feedstock Conversion Rates'!B$13)/12</f>
        <v>25.78125</v>
      </c>
      <c r="F537" s="104">
        <f>('Co-Processing'!C539*'Co-Pro Feedstock Breakdown'!F$3*'Feedstock Conversion Rates'!B$14)/12</f>
        <v>8.5364583333333339</v>
      </c>
      <c r="G537" s="106">
        <f t="shared" si="88"/>
        <v>34.317708333333336</v>
      </c>
      <c r="H537" s="104">
        <f>('Co-Processing'!D539*'Co-Pro Feedstock Breakdown'!H$3*'Feedstock Conversion Rates'!B$13)/12</f>
        <v>93.75</v>
      </c>
      <c r="I537" s="106">
        <f t="shared" si="90"/>
        <v>93.75</v>
      </c>
      <c r="J537" s="104">
        <f>('Co-Processing'!E539*'Co-Pro Feedstock Breakdown'!J$3*'Feedstock Conversion Rates'!B$13)/12</f>
        <v>1.25</v>
      </c>
      <c r="K537" s="104">
        <f>('Co-Processing'!E539*'Co-Pro Feedstock Breakdown'!K$3*'Feedstock Conversion Rates'!B$12)/12</f>
        <v>1.2916666666666667</v>
      </c>
      <c r="L537" s="106">
        <f t="shared" si="92"/>
        <v>2.541666666666667</v>
      </c>
      <c r="N537" s="104">
        <f t="shared" si="93"/>
        <v>145.78125</v>
      </c>
      <c r="O537" s="104">
        <f t="shared" si="96"/>
        <v>20.348958333333336</v>
      </c>
      <c r="P537" s="104"/>
      <c r="Q537" s="106">
        <f t="shared" si="97"/>
        <v>166.13020833333334</v>
      </c>
      <c r="R537" s="141">
        <f t="shared" si="94"/>
        <v>0</v>
      </c>
      <c r="T537" s="110">
        <f t="shared" si="98"/>
        <v>0.87751199172335947</v>
      </c>
      <c r="U537" s="110">
        <f t="shared" si="98"/>
        <v>0.12248800827664044</v>
      </c>
      <c r="V537" s="110">
        <f t="shared" si="98"/>
        <v>0</v>
      </c>
      <c r="W537" s="110">
        <f t="shared" si="89"/>
        <v>0.99999999999999989</v>
      </c>
      <c r="Y537" s="142">
        <f>T537*'Co-Processing'!K539*'Feedstock Conversion Rates'!B$13</f>
        <v>124.15708059466766</v>
      </c>
      <c r="Z537" s="142">
        <f>U537*'Co-Processing'!K539*'Feedstock Conversion Rates'!B$12</f>
        <v>17.908220948415345</v>
      </c>
      <c r="AA537" s="142">
        <f>V537*'Co-Processing'!K539*'Feedstock Conversion Rates'!B$14</f>
        <v>0</v>
      </c>
      <c r="AB537" s="142">
        <f t="shared" si="91"/>
        <v>142.065301543083</v>
      </c>
      <c r="AD537" s="142">
        <v>0</v>
      </c>
      <c r="AE537" s="142">
        <v>0</v>
      </c>
      <c r="AF537" s="142">
        <v>0</v>
      </c>
      <c r="AG537" s="142">
        <v>0</v>
      </c>
      <c r="AH537" s="142">
        <v>0</v>
      </c>
    </row>
    <row r="538" spans="1:34" x14ac:dyDescent="0.25">
      <c r="A538" s="96">
        <v>55093</v>
      </c>
      <c r="B538" s="104">
        <f t="shared" si="95"/>
        <v>25</v>
      </c>
      <c r="C538" s="104">
        <f>('Co-Processing'!B540*'Co-Pro Feedstock Breakdown'!C$3*'Feedstock Conversion Rates'!B$12)/12-10-15</f>
        <v>10.520833333333336</v>
      </c>
      <c r="D538" s="106">
        <f t="shared" si="99"/>
        <v>35.520833333333336</v>
      </c>
      <c r="E538" s="104">
        <f>('Co-Processing'!C540*'Co-Pro Feedstock Breakdown'!E$3*'Feedstock Conversion Rates'!B$13)/12</f>
        <v>25.78125</v>
      </c>
      <c r="F538" s="104">
        <f>('Co-Processing'!C540*'Co-Pro Feedstock Breakdown'!F$3*'Feedstock Conversion Rates'!B$14)/12</f>
        <v>8.5364583333333339</v>
      </c>
      <c r="G538" s="106">
        <f t="shared" si="88"/>
        <v>34.317708333333336</v>
      </c>
      <c r="H538" s="104">
        <f>('Co-Processing'!D540*'Co-Pro Feedstock Breakdown'!H$3*'Feedstock Conversion Rates'!B$13)/12</f>
        <v>93.75</v>
      </c>
      <c r="I538" s="106">
        <f t="shared" si="90"/>
        <v>93.75</v>
      </c>
      <c r="J538" s="104">
        <f>('Co-Processing'!E540*'Co-Pro Feedstock Breakdown'!J$3*'Feedstock Conversion Rates'!B$13)/12</f>
        <v>1.25</v>
      </c>
      <c r="K538" s="104">
        <f>('Co-Processing'!E540*'Co-Pro Feedstock Breakdown'!K$3*'Feedstock Conversion Rates'!B$12)/12</f>
        <v>1.2916666666666667</v>
      </c>
      <c r="L538" s="106">
        <f t="shared" si="92"/>
        <v>2.541666666666667</v>
      </c>
      <c r="N538" s="104">
        <f t="shared" si="93"/>
        <v>145.78125</v>
      </c>
      <c r="O538" s="104">
        <f t="shared" si="96"/>
        <v>20.348958333333336</v>
      </c>
      <c r="P538" s="104"/>
      <c r="Q538" s="106">
        <f t="shared" si="97"/>
        <v>166.13020833333334</v>
      </c>
      <c r="R538" s="141">
        <f t="shared" si="94"/>
        <v>0</v>
      </c>
      <c r="T538" s="110">
        <f t="shared" si="98"/>
        <v>0.87751199172335947</v>
      </c>
      <c r="U538" s="110">
        <f t="shared" si="98"/>
        <v>0.12248800827664044</v>
      </c>
      <c r="V538" s="110">
        <f t="shared" si="98"/>
        <v>0</v>
      </c>
      <c r="W538" s="110">
        <f t="shared" si="89"/>
        <v>0.99999999999999989</v>
      </c>
      <c r="Y538" s="142">
        <f>T538*'Co-Processing'!K540*'Feedstock Conversion Rates'!B$13</f>
        <v>125.01021798573301</v>
      </c>
      <c r="Z538" s="142">
        <f>U538*'Co-Processing'!K540*'Feedstock Conversion Rates'!B$12</f>
        <v>18.031276136451147</v>
      </c>
      <c r="AA538" s="142">
        <f>V538*'Co-Processing'!K540*'Feedstock Conversion Rates'!B$14</f>
        <v>0</v>
      </c>
      <c r="AB538" s="142">
        <f t="shared" si="91"/>
        <v>143.04149412218416</v>
      </c>
      <c r="AD538" s="142">
        <v>0</v>
      </c>
      <c r="AE538" s="142">
        <v>0</v>
      </c>
      <c r="AF538" s="142">
        <v>0</v>
      </c>
      <c r="AG538" s="142">
        <v>0</v>
      </c>
      <c r="AH538" s="142">
        <v>0</v>
      </c>
    </row>
    <row r="539" spans="1:34" x14ac:dyDescent="0.25">
      <c r="A539" s="96">
        <v>55123</v>
      </c>
      <c r="B539" s="104">
        <f t="shared" si="95"/>
        <v>25</v>
      </c>
      <c r="C539" s="104">
        <f>('Co-Processing'!B541*'Co-Pro Feedstock Breakdown'!C$3*'Feedstock Conversion Rates'!B$12)/12-10-15</f>
        <v>10.520833333333336</v>
      </c>
      <c r="D539" s="106">
        <f t="shared" si="99"/>
        <v>35.520833333333336</v>
      </c>
      <c r="E539" s="104">
        <f>('Co-Processing'!C541*'Co-Pro Feedstock Breakdown'!E$3*'Feedstock Conversion Rates'!B$13)/12</f>
        <v>25.78125</v>
      </c>
      <c r="F539" s="104">
        <f>('Co-Processing'!C541*'Co-Pro Feedstock Breakdown'!F$3*'Feedstock Conversion Rates'!B$14)/12</f>
        <v>8.5364583333333339</v>
      </c>
      <c r="G539" s="106">
        <f t="shared" si="88"/>
        <v>34.317708333333336</v>
      </c>
      <c r="H539" s="104">
        <f>('Co-Processing'!D541*'Co-Pro Feedstock Breakdown'!H$3*'Feedstock Conversion Rates'!B$13)/12</f>
        <v>93.75</v>
      </c>
      <c r="I539" s="106">
        <f t="shared" si="90"/>
        <v>93.75</v>
      </c>
      <c r="J539" s="104">
        <f>('Co-Processing'!E541*'Co-Pro Feedstock Breakdown'!J$3*'Feedstock Conversion Rates'!B$13)/12</f>
        <v>1.25</v>
      </c>
      <c r="K539" s="104">
        <f>('Co-Processing'!E541*'Co-Pro Feedstock Breakdown'!K$3*'Feedstock Conversion Rates'!B$12)/12</f>
        <v>1.2916666666666667</v>
      </c>
      <c r="L539" s="106">
        <f t="shared" si="92"/>
        <v>2.541666666666667</v>
      </c>
      <c r="N539" s="104">
        <f t="shared" si="93"/>
        <v>145.78125</v>
      </c>
      <c r="O539" s="104">
        <f t="shared" si="96"/>
        <v>20.348958333333336</v>
      </c>
      <c r="P539" s="104"/>
      <c r="Q539" s="106">
        <f t="shared" si="97"/>
        <v>166.13020833333334</v>
      </c>
      <c r="R539" s="141">
        <f t="shared" si="94"/>
        <v>0</v>
      </c>
      <c r="T539" s="110">
        <f t="shared" si="98"/>
        <v>0.87751199172335947</v>
      </c>
      <c r="U539" s="110">
        <f t="shared" si="98"/>
        <v>0.12248800827664044</v>
      </c>
      <c r="V539" s="110">
        <f t="shared" si="98"/>
        <v>0</v>
      </c>
      <c r="W539" s="110">
        <f t="shared" si="89"/>
        <v>0.99999999999999989</v>
      </c>
      <c r="Y539" s="142">
        <f>T539*'Co-Processing'!K541*'Feedstock Conversion Rates'!B$13</f>
        <v>128.82426344412022</v>
      </c>
      <c r="Z539" s="142">
        <f>U539*'Co-Processing'!K541*'Feedstock Conversion Rates'!B$12</f>
        <v>18.581408021390391</v>
      </c>
      <c r="AA539" s="142">
        <f>V539*'Co-Processing'!K541*'Feedstock Conversion Rates'!B$14</f>
        <v>0</v>
      </c>
      <c r="AB539" s="142">
        <f t="shared" si="91"/>
        <v>147.40567146551061</v>
      </c>
      <c r="AD539" s="142">
        <v>0</v>
      </c>
      <c r="AE539" s="142">
        <v>0</v>
      </c>
      <c r="AF539" s="142">
        <v>0</v>
      </c>
      <c r="AG539" s="142">
        <v>0</v>
      </c>
      <c r="AH539" s="142">
        <v>0</v>
      </c>
    </row>
    <row r="540" spans="1:34" x14ac:dyDescent="0.25">
      <c r="A540" s="96">
        <v>55154</v>
      </c>
      <c r="B540" s="104">
        <f t="shared" si="95"/>
        <v>25</v>
      </c>
      <c r="C540" s="104">
        <f>('Co-Processing'!B542*'Co-Pro Feedstock Breakdown'!C$3*'Feedstock Conversion Rates'!B$12)/12-10-15</f>
        <v>10.520833333333336</v>
      </c>
      <c r="D540" s="106">
        <f t="shared" si="99"/>
        <v>35.520833333333336</v>
      </c>
      <c r="E540" s="104">
        <f>('Co-Processing'!C542*'Co-Pro Feedstock Breakdown'!E$3*'Feedstock Conversion Rates'!B$13)/12</f>
        <v>25.78125</v>
      </c>
      <c r="F540" s="104">
        <f>('Co-Processing'!C542*'Co-Pro Feedstock Breakdown'!F$3*'Feedstock Conversion Rates'!B$14)/12</f>
        <v>8.5364583333333339</v>
      </c>
      <c r="G540" s="106">
        <f t="shared" si="88"/>
        <v>34.317708333333336</v>
      </c>
      <c r="H540" s="104">
        <f>('Co-Processing'!D542*'Co-Pro Feedstock Breakdown'!H$3*'Feedstock Conversion Rates'!B$13)/12</f>
        <v>93.75</v>
      </c>
      <c r="I540" s="106">
        <f t="shared" si="90"/>
        <v>93.75</v>
      </c>
      <c r="J540" s="104">
        <f>('Co-Processing'!E542*'Co-Pro Feedstock Breakdown'!J$3*'Feedstock Conversion Rates'!B$13)/12</f>
        <v>1.25</v>
      </c>
      <c r="K540" s="104">
        <f>('Co-Processing'!E542*'Co-Pro Feedstock Breakdown'!K$3*'Feedstock Conversion Rates'!B$12)/12</f>
        <v>1.2916666666666667</v>
      </c>
      <c r="L540" s="106">
        <f t="shared" si="92"/>
        <v>2.541666666666667</v>
      </c>
      <c r="N540" s="104">
        <f t="shared" si="93"/>
        <v>145.78125</v>
      </c>
      <c r="O540" s="104">
        <f t="shared" si="96"/>
        <v>20.348958333333336</v>
      </c>
      <c r="P540" s="104"/>
      <c r="Q540" s="106">
        <f t="shared" si="97"/>
        <v>166.13020833333334</v>
      </c>
      <c r="R540" s="141">
        <f t="shared" si="94"/>
        <v>0</v>
      </c>
      <c r="T540" s="110">
        <f t="shared" si="98"/>
        <v>0.87751199172335947</v>
      </c>
      <c r="U540" s="110">
        <f t="shared" si="98"/>
        <v>0.12248800827664044</v>
      </c>
      <c r="V540" s="110">
        <f t="shared" si="98"/>
        <v>0</v>
      </c>
      <c r="W540" s="110">
        <f t="shared" si="89"/>
        <v>0.99999999999999989</v>
      </c>
      <c r="Y540" s="142">
        <f>T540*'Co-Processing'!K542*'Feedstock Conversion Rates'!B$13</f>
        <v>112.29624166571317</v>
      </c>
      <c r="Z540" s="142">
        <f>U540*'Co-Processing'!K542*'Feedstock Conversion Rates'!B$12</f>
        <v>16.197432299423824</v>
      </c>
      <c r="AA540" s="142">
        <f>V540*'Co-Processing'!K542*'Feedstock Conversion Rates'!B$14</f>
        <v>0</v>
      </c>
      <c r="AB540" s="142">
        <f t="shared" si="91"/>
        <v>128.49367396513699</v>
      </c>
      <c r="AD540" s="142">
        <v>0</v>
      </c>
      <c r="AE540" s="142">
        <v>0</v>
      </c>
      <c r="AF540" s="142">
        <v>0</v>
      </c>
      <c r="AG540" s="142">
        <v>0</v>
      </c>
      <c r="AH540" s="142">
        <v>0</v>
      </c>
    </row>
    <row r="541" spans="1:34" x14ac:dyDescent="0.25">
      <c r="A541" s="96">
        <v>55185</v>
      </c>
      <c r="B541" s="104">
        <f t="shared" si="95"/>
        <v>25</v>
      </c>
      <c r="C541" s="104">
        <f>('Co-Processing'!B543*'Co-Pro Feedstock Breakdown'!C$3*'Feedstock Conversion Rates'!B$12)/12-10-15</f>
        <v>10.520833333333336</v>
      </c>
      <c r="D541" s="106">
        <f t="shared" si="99"/>
        <v>35.520833333333336</v>
      </c>
      <c r="E541" s="104">
        <f>('Co-Processing'!C543*'Co-Pro Feedstock Breakdown'!E$3*'Feedstock Conversion Rates'!B$13)/12</f>
        <v>25.78125</v>
      </c>
      <c r="F541" s="104">
        <f>('Co-Processing'!C543*'Co-Pro Feedstock Breakdown'!F$3*'Feedstock Conversion Rates'!B$14)/12</f>
        <v>8.5364583333333339</v>
      </c>
      <c r="G541" s="106">
        <f t="shared" si="88"/>
        <v>34.317708333333336</v>
      </c>
      <c r="H541" s="104">
        <f>('Co-Processing'!D543*'Co-Pro Feedstock Breakdown'!H$3*'Feedstock Conversion Rates'!B$13)/12</f>
        <v>93.75</v>
      </c>
      <c r="I541" s="106">
        <f t="shared" si="90"/>
        <v>93.75</v>
      </c>
      <c r="J541" s="104">
        <f>('Co-Processing'!E543*'Co-Pro Feedstock Breakdown'!J$3*'Feedstock Conversion Rates'!B$13)/12</f>
        <v>1.25</v>
      </c>
      <c r="K541" s="104">
        <f>('Co-Processing'!E543*'Co-Pro Feedstock Breakdown'!K$3*'Feedstock Conversion Rates'!B$12)/12</f>
        <v>1.2916666666666667</v>
      </c>
      <c r="L541" s="106">
        <f t="shared" si="92"/>
        <v>2.541666666666667</v>
      </c>
      <c r="N541" s="104">
        <f t="shared" si="93"/>
        <v>145.78125</v>
      </c>
      <c r="O541" s="104">
        <f t="shared" si="96"/>
        <v>20.348958333333336</v>
      </c>
      <c r="P541" s="104"/>
      <c r="Q541" s="106">
        <f t="shared" si="97"/>
        <v>166.13020833333334</v>
      </c>
      <c r="R541" s="141">
        <f t="shared" si="94"/>
        <v>0</v>
      </c>
      <c r="T541" s="110">
        <f t="shared" si="98"/>
        <v>0.87751199172335947</v>
      </c>
      <c r="U541" s="110">
        <f t="shared" si="98"/>
        <v>0.12248800827664044</v>
      </c>
      <c r="V541" s="110">
        <f t="shared" si="98"/>
        <v>0</v>
      </c>
      <c r="W541" s="110">
        <f t="shared" si="89"/>
        <v>0.99999999999999989</v>
      </c>
      <c r="Y541" s="142">
        <f>T541*'Co-Processing'!K543*'Feedstock Conversion Rates'!B$13</f>
        <v>87.817946069376219</v>
      </c>
      <c r="Z541" s="142">
        <f>U541*'Co-Processing'!K543*'Feedstock Conversion Rates'!B$12</f>
        <v>12.666721655453903</v>
      </c>
      <c r="AA541" s="142">
        <f>V541*'Co-Processing'!K543*'Feedstock Conversion Rates'!B$14</f>
        <v>0</v>
      </c>
      <c r="AB541" s="142">
        <f t="shared" si="91"/>
        <v>100.48466772483012</v>
      </c>
      <c r="AD541" s="142">
        <v>0</v>
      </c>
      <c r="AE541" s="142">
        <v>0</v>
      </c>
      <c r="AF541" s="142">
        <v>0</v>
      </c>
      <c r="AG541" s="142">
        <v>0</v>
      </c>
      <c r="AH541" s="142">
        <v>0</v>
      </c>
    </row>
    <row r="542" spans="1:34" x14ac:dyDescent="0.25">
      <c r="A542" s="96">
        <v>55213</v>
      </c>
      <c r="B542" s="104">
        <f t="shared" si="95"/>
        <v>25</v>
      </c>
      <c r="C542" s="104">
        <f>('Co-Processing'!B544*'Co-Pro Feedstock Breakdown'!C$3*'Feedstock Conversion Rates'!B$12)/12-10-15</f>
        <v>10.520833333333336</v>
      </c>
      <c r="D542" s="106">
        <f t="shared" si="99"/>
        <v>35.520833333333336</v>
      </c>
      <c r="E542" s="104">
        <f>('Co-Processing'!C544*'Co-Pro Feedstock Breakdown'!E$3*'Feedstock Conversion Rates'!B$13)/12</f>
        <v>25.78125</v>
      </c>
      <c r="F542" s="104">
        <f>('Co-Processing'!C544*'Co-Pro Feedstock Breakdown'!F$3*'Feedstock Conversion Rates'!B$14)/12</f>
        <v>8.5364583333333339</v>
      </c>
      <c r="G542" s="106">
        <f t="shared" si="88"/>
        <v>34.317708333333336</v>
      </c>
      <c r="H542" s="104">
        <f>('Co-Processing'!D544*'Co-Pro Feedstock Breakdown'!H$3*'Feedstock Conversion Rates'!B$13)/12</f>
        <v>93.75</v>
      </c>
      <c r="I542" s="106">
        <f t="shared" si="90"/>
        <v>93.75</v>
      </c>
      <c r="J542" s="104">
        <f>('Co-Processing'!E544*'Co-Pro Feedstock Breakdown'!J$3*'Feedstock Conversion Rates'!B$13)/12</f>
        <v>1.25</v>
      </c>
      <c r="K542" s="104">
        <f>('Co-Processing'!E544*'Co-Pro Feedstock Breakdown'!K$3*'Feedstock Conversion Rates'!B$12)/12</f>
        <v>1.2916666666666667</v>
      </c>
      <c r="L542" s="106">
        <f t="shared" si="92"/>
        <v>2.541666666666667</v>
      </c>
      <c r="N542" s="104">
        <f t="shared" si="93"/>
        <v>145.78125</v>
      </c>
      <c r="O542" s="104">
        <f t="shared" si="96"/>
        <v>20.348958333333336</v>
      </c>
      <c r="P542" s="104"/>
      <c r="Q542" s="106">
        <f t="shared" si="97"/>
        <v>166.13020833333334</v>
      </c>
      <c r="R542" s="141">
        <f t="shared" si="94"/>
        <v>0</v>
      </c>
      <c r="T542" s="110">
        <f t="shared" si="98"/>
        <v>0.87751199172335947</v>
      </c>
      <c r="U542" s="110">
        <f t="shared" si="98"/>
        <v>0.12248800827664044</v>
      </c>
      <c r="V542" s="110">
        <f t="shared" si="98"/>
        <v>0</v>
      </c>
      <c r="W542" s="110">
        <f t="shared" si="89"/>
        <v>0.99999999999999989</v>
      </c>
      <c r="Y542" s="142">
        <f>T542*'Co-Processing'!K544*'Feedstock Conversion Rates'!B$13</f>
        <v>144.62121087376647</v>
      </c>
      <c r="Z542" s="142">
        <f>U542*'Co-Processing'!K544*'Feedstock Conversion Rates'!B$12</f>
        <v>20.85993473549836</v>
      </c>
      <c r="AA542" s="142">
        <f>V542*'Co-Processing'!K544*'Feedstock Conversion Rates'!B$14</f>
        <v>0</v>
      </c>
      <c r="AB542" s="142">
        <f t="shared" si="91"/>
        <v>165.48114560926484</v>
      </c>
      <c r="AD542" s="142">
        <v>0</v>
      </c>
      <c r="AE542" s="142">
        <v>0</v>
      </c>
      <c r="AF542" s="142">
        <v>0</v>
      </c>
      <c r="AG542" s="142">
        <v>0</v>
      </c>
      <c r="AH542" s="142">
        <v>0</v>
      </c>
    </row>
    <row r="543" spans="1:34" x14ac:dyDescent="0.25">
      <c r="A543" s="96">
        <v>55244</v>
      </c>
      <c r="B543" s="104">
        <f t="shared" si="95"/>
        <v>25</v>
      </c>
      <c r="C543" s="104">
        <f>('Co-Processing'!B545*'Co-Pro Feedstock Breakdown'!C$3*'Feedstock Conversion Rates'!B$12)/12-10-15</f>
        <v>10.520833333333336</v>
      </c>
      <c r="D543" s="106">
        <f t="shared" si="99"/>
        <v>35.520833333333336</v>
      </c>
      <c r="E543" s="104">
        <f>('Co-Processing'!C545*'Co-Pro Feedstock Breakdown'!E$3*'Feedstock Conversion Rates'!B$13)/12</f>
        <v>25.78125</v>
      </c>
      <c r="F543" s="104">
        <f>('Co-Processing'!C545*'Co-Pro Feedstock Breakdown'!F$3*'Feedstock Conversion Rates'!B$14)/12</f>
        <v>8.5364583333333339</v>
      </c>
      <c r="G543" s="106">
        <f t="shared" si="88"/>
        <v>34.317708333333336</v>
      </c>
      <c r="H543" s="104">
        <f>('Co-Processing'!D545*'Co-Pro Feedstock Breakdown'!H$3*'Feedstock Conversion Rates'!B$13)/12</f>
        <v>93.75</v>
      </c>
      <c r="I543" s="106">
        <f t="shared" si="90"/>
        <v>93.75</v>
      </c>
      <c r="J543" s="104">
        <f>('Co-Processing'!E545*'Co-Pro Feedstock Breakdown'!J$3*'Feedstock Conversion Rates'!B$13)/12</f>
        <v>1.25</v>
      </c>
      <c r="K543" s="104">
        <f>('Co-Processing'!E545*'Co-Pro Feedstock Breakdown'!K$3*'Feedstock Conversion Rates'!B$12)/12</f>
        <v>1.2916666666666667</v>
      </c>
      <c r="L543" s="106">
        <f t="shared" si="92"/>
        <v>2.541666666666667</v>
      </c>
      <c r="N543" s="104">
        <f t="shared" si="93"/>
        <v>145.78125</v>
      </c>
      <c r="O543" s="104">
        <f t="shared" si="96"/>
        <v>20.348958333333336</v>
      </c>
      <c r="P543" s="104"/>
      <c r="Q543" s="106">
        <f t="shared" si="97"/>
        <v>166.13020833333334</v>
      </c>
      <c r="R543" s="141">
        <f t="shared" si="94"/>
        <v>0</v>
      </c>
      <c r="T543" s="110">
        <f t="shared" si="98"/>
        <v>0.87751199172335947</v>
      </c>
      <c r="U543" s="110">
        <f t="shared" si="98"/>
        <v>0.12248800827664044</v>
      </c>
      <c r="V543" s="110">
        <f t="shared" si="98"/>
        <v>0</v>
      </c>
      <c r="W543" s="110">
        <f t="shared" si="89"/>
        <v>0.99999999999999989</v>
      </c>
      <c r="Y543" s="142">
        <f>T543*'Co-Processing'!K545*'Feedstock Conversion Rates'!B$13</f>
        <v>94.186005954792634</v>
      </c>
      <c r="Z543" s="142">
        <f>U543*'Co-Processing'!K545*'Feedstock Conversion Rates'!B$12</f>
        <v>13.585240542130071</v>
      </c>
      <c r="AA543" s="142">
        <f>V543*'Co-Processing'!K545*'Feedstock Conversion Rates'!B$14</f>
        <v>0</v>
      </c>
      <c r="AB543" s="142">
        <f t="shared" si="91"/>
        <v>107.7712464969227</v>
      </c>
      <c r="AD543" s="142">
        <v>0</v>
      </c>
      <c r="AE543" s="142">
        <v>0</v>
      </c>
      <c r="AF543" s="142">
        <v>0</v>
      </c>
      <c r="AG543" s="142">
        <v>0</v>
      </c>
      <c r="AH543" s="142">
        <v>0</v>
      </c>
    </row>
    <row r="544" spans="1:34" x14ac:dyDescent="0.25">
      <c r="A544" s="96">
        <v>55274</v>
      </c>
      <c r="B544" s="104">
        <f t="shared" si="95"/>
        <v>25</v>
      </c>
      <c r="C544" s="104">
        <f>('Co-Processing'!B546*'Co-Pro Feedstock Breakdown'!C$3*'Feedstock Conversion Rates'!B$12)/12-10-15</f>
        <v>10.520833333333336</v>
      </c>
      <c r="D544" s="106">
        <f t="shared" si="99"/>
        <v>35.520833333333336</v>
      </c>
      <c r="E544" s="104">
        <f>('Co-Processing'!C546*'Co-Pro Feedstock Breakdown'!E$3*'Feedstock Conversion Rates'!B$13)/12</f>
        <v>25.78125</v>
      </c>
      <c r="F544" s="104">
        <f>('Co-Processing'!C546*'Co-Pro Feedstock Breakdown'!F$3*'Feedstock Conversion Rates'!B$14)/12</f>
        <v>8.5364583333333339</v>
      </c>
      <c r="G544" s="106">
        <f t="shared" si="88"/>
        <v>34.317708333333336</v>
      </c>
      <c r="H544" s="104">
        <f>('Co-Processing'!D546*'Co-Pro Feedstock Breakdown'!H$3*'Feedstock Conversion Rates'!B$13)/12</f>
        <v>93.75</v>
      </c>
      <c r="I544" s="106">
        <f t="shared" si="90"/>
        <v>93.75</v>
      </c>
      <c r="J544" s="104">
        <f>('Co-Processing'!E546*'Co-Pro Feedstock Breakdown'!J$3*'Feedstock Conversion Rates'!B$13)/12</f>
        <v>1.25</v>
      </c>
      <c r="K544" s="104">
        <f>('Co-Processing'!E546*'Co-Pro Feedstock Breakdown'!K$3*'Feedstock Conversion Rates'!B$12)/12</f>
        <v>1.2916666666666667</v>
      </c>
      <c r="L544" s="106">
        <f t="shared" si="92"/>
        <v>2.541666666666667</v>
      </c>
      <c r="N544" s="104">
        <f t="shared" si="93"/>
        <v>145.78125</v>
      </c>
      <c r="O544" s="104">
        <f t="shared" si="96"/>
        <v>20.348958333333336</v>
      </c>
      <c r="P544" s="104"/>
      <c r="Q544" s="106">
        <f t="shared" si="97"/>
        <v>166.13020833333334</v>
      </c>
      <c r="R544" s="141">
        <f t="shared" si="94"/>
        <v>0</v>
      </c>
      <c r="T544" s="110">
        <f t="shared" si="98"/>
        <v>0.87751199172335947</v>
      </c>
      <c r="U544" s="110">
        <f t="shared" si="98"/>
        <v>0.12248800827664044</v>
      </c>
      <c r="V544" s="110">
        <f t="shared" si="98"/>
        <v>0</v>
      </c>
      <c r="W544" s="110">
        <f t="shared" si="89"/>
        <v>0.99999999999999989</v>
      </c>
      <c r="Y544" s="142">
        <f>T544*'Co-Processing'!K546*'Feedstock Conversion Rates'!B$13</f>
        <v>103.67980805162543</v>
      </c>
      <c r="Z544" s="142">
        <f>U544*'Co-Processing'!K546*'Feedstock Conversion Rates'!B$12</f>
        <v>14.954611541965845</v>
      </c>
      <c r="AA544" s="142">
        <f>V544*'Co-Processing'!K546*'Feedstock Conversion Rates'!B$14</f>
        <v>0</v>
      </c>
      <c r="AB544" s="142">
        <f t="shared" si="91"/>
        <v>118.63441959359128</v>
      </c>
      <c r="AD544" s="142">
        <v>0</v>
      </c>
      <c r="AE544" s="142">
        <v>0</v>
      </c>
      <c r="AF544" s="142">
        <v>0</v>
      </c>
      <c r="AG544" s="142">
        <v>0</v>
      </c>
      <c r="AH544" s="142">
        <v>0</v>
      </c>
    </row>
    <row r="545" spans="1:34" x14ac:dyDescent="0.25">
      <c r="A545" s="96">
        <v>55305</v>
      </c>
      <c r="B545" s="104">
        <f t="shared" si="95"/>
        <v>25</v>
      </c>
      <c r="C545" s="104">
        <f>('Co-Processing'!B547*'Co-Pro Feedstock Breakdown'!C$3*'Feedstock Conversion Rates'!B$12)/12-10-15</f>
        <v>10.520833333333336</v>
      </c>
      <c r="D545" s="106">
        <f t="shared" si="99"/>
        <v>35.520833333333336</v>
      </c>
      <c r="E545" s="104">
        <f>('Co-Processing'!C547*'Co-Pro Feedstock Breakdown'!E$3*'Feedstock Conversion Rates'!B$13)/12</f>
        <v>25.78125</v>
      </c>
      <c r="F545" s="104">
        <f>('Co-Processing'!C547*'Co-Pro Feedstock Breakdown'!F$3*'Feedstock Conversion Rates'!B$14)/12</f>
        <v>8.5364583333333339</v>
      </c>
      <c r="G545" s="106">
        <f t="shared" si="88"/>
        <v>34.317708333333336</v>
      </c>
      <c r="H545" s="104">
        <f>('Co-Processing'!D547*'Co-Pro Feedstock Breakdown'!H$3*'Feedstock Conversion Rates'!B$13)/12</f>
        <v>93.75</v>
      </c>
      <c r="I545" s="106">
        <f t="shared" si="90"/>
        <v>93.75</v>
      </c>
      <c r="J545" s="104">
        <f>('Co-Processing'!E547*'Co-Pro Feedstock Breakdown'!J$3*'Feedstock Conversion Rates'!B$13)/12</f>
        <v>1.25</v>
      </c>
      <c r="K545" s="104">
        <f>('Co-Processing'!E547*'Co-Pro Feedstock Breakdown'!K$3*'Feedstock Conversion Rates'!B$12)/12</f>
        <v>1.2916666666666667</v>
      </c>
      <c r="L545" s="106">
        <f t="shared" si="92"/>
        <v>2.541666666666667</v>
      </c>
      <c r="N545" s="104">
        <f t="shared" si="93"/>
        <v>145.78125</v>
      </c>
      <c r="O545" s="104">
        <f t="shared" si="96"/>
        <v>20.348958333333336</v>
      </c>
      <c r="P545" s="104"/>
      <c r="Q545" s="106">
        <f t="shared" si="97"/>
        <v>166.13020833333334</v>
      </c>
      <c r="R545" s="141">
        <f t="shared" si="94"/>
        <v>0</v>
      </c>
      <c r="T545" s="110">
        <f t="shared" si="98"/>
        <v>0.87751199172335947</v>
      </c>
      <c r="U545" s="110">
        <f t="shared" si="98"/>
        <v>0.12248800827664044</v>
      </c>
      <c r="V545" s="110">
        <f t="shared" si="98"/>
        <v>0</v>
      </c>
      <c r="W545" s="110">
        <f t="shared" si="89"/>
        <v>0.99999999999999989</v>
      </c>
      <c r="Y545" s="142">
        <f>T545*'Co-Processing'!K547*'Feedstock Conversion Rates'!B$13</f>
        <v>140.36797285561184</v>
      </c>
      <c r="Z545" s="142">
        <f>U545*'Co-Processing'!K547*'Feedstock Conversion Rates'!B$12</f>
        <v>20.246454410328859</v>
      </c>
      <c r="AA545" s="142">
        <f>V545*'Co-Processing'!K547*'Feedstock Conversion Rates'!B$14</f>
        <v>0</v>
      </c>
      <c r="AB545" s="142">
        <f t="shared" si="91"/>
        <v>160.61442726594069</v>
      </c>
      <c r="AD545" s="142">
        <v>0</v>
      </c>
      <c r="AE545" s="142">
        <v>0</v>
      </c>
      <c r="AF545" s="142">
        <v>0</v>
      </c>
      <c r="AG545" s="142">
        <v>0</v>
      </c>
      <c r="AH545" s="142">
        <v>0</v>
      </c>
    </row>
    <row r="546" spans="1:34" x14ac:dyDescent="0.25">
      <c r="A546" s="96">
        <v>55335</v>
      </c>
      <c r="B546" s="104">
        <f t="shared" si="95"/>
        <v>25</v>
      </c>
      <c r="C546" s="104">
        <f>('Co-Processing'!B548*'Co-Pro Feedstock Breakdown'!C$3*'Feedstock Conversion Rates'!B$12)/12-10-15</f>
        <v>10.520833333333336</v>
      </c>
      <c r="D546" s="106">
        <f t="shared" si="99"/>
        <v>35.520833333333336</v>
      </c>
      <c r="E546" s="104">
        <f>('Co-Processing'!C548*'Co-Pro Feedstock Breakdown'!E$3*'Feedstock Conversion Rates'!B$13)/12</f>
        <v>25.78125</v>
      </c>
      <c r="F546" s="104">
        <f>('Co-Processing'!C548*'Co-Pro Feedstock Breakdown'!F$3*'Feedstock Conversion Rates'!B$14)/12</f>
        <v>8.5364583333333339</v>
      </c>
      <c r="G546" s="106">
        <f t="shared" si="88"/>
        <v>34.317708333333336</v>
      </c>
      <c r="H546" s="104">
        <f>('Co-Processing'!D548*'Co-Pro Feedstock Breakdown'!H$3*'Feedstock Conversion Rates'!B$13)/12</f>
        <v>93.75</v>
      </c>
      <c r="I546" s="106">
        <f t="shared" si="90"/>
        <v>93.75</v>
      </c>
      <c r="J546" s="104">
        <f>('Co-Processing'!E548*'Co-Pro Feedstock Breakdown'!J$3*'Feedstock Conversion Rates'!B$13)/12</f>
        <v>1.25</v>
      </c>
      <c r="K546" s="104">
        <f>('Co-Processing'!E548*'Co-Pro Feedstock Breakdown'!K$3*'Feedstock Conversion Rates'!B$12)/12</f>
        <v>1.2916666666666667</v>
      </c>
      <c r="L546" s="106">
        <f t="shared" si="92"/>
        <v>2.541666666666667</v>
      </c>
      <c r="N546" s="104">
        <f t="shared" si="93"/>
        <v>145.78125</v>
      </c>
      <c r="O546" s="104">
        <f t="shared" si="96"/>
        <v>20.348958333333336</v>
      </c>
      <c r="P546" s="104"/>
      <c r="Q546" s="106">
        <f t="shared" si="97"/>
        <v>166.13020833333334</v>
      </c>
      <c r="R546" s="141">
        <f t="shared" si="94"/>
        <v>0</v>
      </c>
      <c r="T546" s="110">
        <f t="shared" si="98"/>
        <v>0.87751199172335947</v>
      </c>
      <c r="U546" s="110">
        <f t="shared" si="98"/>
        <v>0.12248800827664044</v>
      </c>
      <c r="V546" s="110">
        <f t="shared" si="98"/>
        <v>0</v>
      </c>
      <c r="W546" s="110">
        <f t="shared" si="89"/>
        <v>0.99999999999999989</v>
      </c>
      <c r="Y546" s="142">
        <f>T546*'Co-Processing'!K548*'Feedstock Conversion Rates'!B$13</f>
        <v>117.18611074832262</v>
      </c>
      <c r="Z546" s="142">
        <f>U546*'Co-Processing'!K548*'Feedstock Conversion Rates'!B$12</f>
        <v>16.902739282487307</v>
      </c>
      <c r="AA546" s="142">
        <f>V546*'Co-Processing'!K548*'Feedstock Conversion Rates'!B$14</f>
        <v>0</v>
      </c>
      <c r="AB546" s="142">
        <f t="shared" si="91"/>
        <v>134.08885003080994</v>
      </c>
      <c r="AD546" s="142">
        <v>0</v>
      </c>
      <c r="AE546" s="142">
        <v>0</v>
      </c>
      <c r="AF546" s="142">
        <v>0</v>
      </c>
      <c r="AG546" s="142">
        <v>0</v>
      </c>
      <c r="AH546" s="142">
        <v>0</v>
      </c>
    </row>
    <row r="547" spans="1:34" x14ac:dyDescent="0.25">
      <c r="A547" s="96">
        <v>55366</v>
      </c>
      <c r="B547" s="104">
        <f t="shared" si="95"/>
        <v>25</v>
      </c>
      <c r="C547" s="104">
        <f>('Co-Processing'!B549*'Co-Pro Feedstock Breakdown'!C$3*'Feedstock Conversion Rates'!B$12)/12-10-15</f>
        <v>10.520833333333336</v>
      </c>
      <c r="D547" s="106">
        <f t="shared" si="99"/>
        <v>35.520833333333336</v>
      </c>
      <c r="E547" s="104">
        <f>('Co-Processing'!C549*'Co-Pro Feedstock Breakdown'!E$3*'Feedstock Conversion Rates'!B$13)/12</f>
        <v>25.78125</v>
      </c>
      <c r="F547" s="104">
        <f>('Co-Processing'!C549*'Co-Pro Feedstock Breakdown'!F$3*'Feedstock Conversion Rates'!B$14)/12</f>
        <v>8.5364583333333339</v>
      </c>
      <c r="G547" s="106">
        <f t="shared" si="88"/>
        <v>34.317708333333336</v>
      </c>
      <c r="H547" s="104">
        <f>('Co-Processing'!D549*'Co-Pro Feedstock Breakdown'!H$3*'Feedstock Conversion Rates'!B$13)/12</f>
        <v>93.75</v>
      </c>
      <c r="I547" s="106">
        <f t="shared" si="90"/>
        <v>93.75</v>
      </c>
      <c r="J547" s="104">
        <f>('Co-Processing'!E549*'Co-Pro Feedstock Breakdown'!J$3*'Feedstock Conversion Rates'!B$13)/12</f>
        <v>1.25</v>
      </c>
      <c r="K547" s="104">
        <f>('Co-Processing'!E549*'Co-Pro Feedstock Breakdown'!K$3*'Feedstock Conversion Rates'!B$12)/12</f>
        <v>1.2916666666666667</v>
      </c>
      <c r="L547" s="106">
        <f t="shared" si="92"/>
        <v>2.541666666666667</v>
      </c>
      <c r="N547" s="104">
        <f t="shared" si="93"/>
        <v>145.78125</v>
      </c>
      <c r="O547" s="104">
        <f t="shared" si="96"/>
        <v>20.348958333333336</v>
      </c>
      <c r="P547" s="104"/>
      <c r="Q547" s="106">
        <f t="shared" si="97"/>
        <v>166.13020833333334</v>
      </c>
      <c r="R547" s="141">
        <f t="shared" si="94"/>
        <v>0</v>
      </c>
      <c r="T547" s="110">
        <f t="shared" si="98"/>
        <v>0.87751199172335947</v>
      </c>
      <c r="U547" s="110">
        <f t="shared" si="98"/>
        <v>0.12248800827664044</v>
      </c>
      <c r="V547" s="110">
        <f t="shared" si="98"/>
        <v>0</v>
      </c>
      <c r="W547" s="110">
        <f t="shared" si="89"/>
        <v>0.99999999999999989</v>
      </c>
      <c r="Y547" s="142">
        <f>T547*'Co-Processing'!K549*'Feedstock Conversion Rates'!B$13</f>
        <v>172.15058326489293</v>
      </c>
      <c r="Z547" s="142">
        <f>U547*'Co-Processing'!K549*'Feedstock Conversion Rates'!B$12</f>
        <v>24.830727871018265</v>
      </c>
      <c r="AA547" s="142">
        <f>V547*'Co-Processing'!K549*'Feedstock Conversion Rates'!B$14</f>
        <v>0</v>
      </c>
      <c r="AB547" s="142">
        <f t="shared" si="91"/>
        <v>196.9813111359112</v>
      </c>
      <c r="AD547" s="142">
        <v>0</v>
      </c>
      <c r="AE547" s="142">
        <v>0</v>
      </c>
      <c r="AF547" s="142">
        <v>0</v>
      </c>
      <c r="AG547" s="142">
        <v>0</v>
      </c>
      <c r="AH547" s="142">
        <v>0</v>
      </c>
    </row>
    <row r="548" spans="1:34" x14ac:dyDescent="0.25">
      <c r="A548" s="96">
        <v>55397</v>
      </c>
      <c r="B548" s="104">
        <f t="shared" si="95"/>
        <v>25</v>
      </c>
      <c r="C548" s="104">
        <f>('Co-Processing'!B550*'Co-Pro Feedstock Breakdown'!C$3*'Feedstock Conversion Rates'!B$12)/12-10-15</f>
        <v>10.520833333333336</v>
      </c>
      <c r="D548" s="106">
        <f t="shared" si="99"/>
        <v>35.520833333333336</v>
      </c>
      <c r="E548" s="104">
        <f>('Co-Processing'!C550*'Co-Pro Feedstock Breakdown'!E$3*'Feedstock Conversion Rates'!B$13)/12</f>
        <v>25.78125</v>
      </c>
      <c r="F548" s="104">
        <f>('Co-Processing'!C550*'Co-Pro Feedstock Breakdown'!F$3*'Feedstock Conversion Rates'!B$14)/12</f>
        <v>8.5364583333333339</v>
      </c>
      <c r="G548" s="106">
        <f t="shared" si="88"/>
        <v>34.317708333333336</v>
      </c>
      <c r="H548" s="104">
        <f>('Co-Processing'!D550*'Co-Pro Feedstock Breakdown'!H$3*'Feedstock Conversion Rates'!B$13)/12</f>
        <v>93.75</v>
      </c>
      <c r="I548" s="106">
        <f t="shared" si="90"/>
        <v>93.75</v>
      </c>
      <c r="J548" s="104">
        <f>('Co-Processing'!E550*'Co-Pro Feedstock Breakdown'!J$3*'Feedstock Conversion Rates'!B$13)/12</f>
        <v>1.25</v>
      </c>
      <c r="K548" s="104">
        <f>('Co-Processing'!E550*'Co-Pro Feedstock Breakdown'!K$3*'Feedstock Conversion Rates'!B$12)/12</f>
        <v>1.2916666666666667</v>
      </c>
      <c r="L548" s="106">
        <f t="shared" si="92"/>
        <v>2.541666666666667</v>
      </c>
      <c r="N548" s="104">
        <f t="shared" si="93"/>
        <v>145.78125</v>
      </c>
      <c r="O548" s="104">
        <f t="shared" si="96"/>
        <v>20.348958333333336</v>
      </c>
      <c r="P548" s="104"/>
      <c r="Q548" s="106">
        <f t="shared" si="97"/>
        <v>166.13020833333334</v>
      </c>
      <c r="R548" s="141">
        <f t="shared" si="94"/>
        <v>0</v>
      </c>
      <c r="T548" s="110">
        <f t="shared" si="98"/>
        <v>0.87751199172335947</v>
      </c>
      <c r="U548" s="110">
        <f t="shared" si="98"/>
        <v>0.12248800827664044</v>
      </c>
      <c r="V548" s="110">
        <f t="shared" si="98"/>
        <v>0</v>
      </c>
      <c r="W548" s="110">
        <f t="shared" si="89"/>
        <v>0.99999999999999989</v>
      </c>
      <c r="Y548" s="142">
        <f>T548*'Co-Processing'!K550*'Feedstock Conversion Rates'!B$13</f>
        <v>154.48107534445148</v>
      </c>
      <c r="Z548" s="142">
        <f>U548*'Co-Processing'!K550*'Feedstock Conversion Rates'!B$12</f>
        <v>22.282105993204635</v>
      </c>
      <c r="AA548" s="142">
        <f>V548*'Co-Processing'!K550*'Feedstock Conversion Rates'!B$14</f>
        <v>0</v>
      </c>
      <c r="AB548" s="142">
        <f t="shared" si="91"/>
        <v>176.76318133765611</v>
      </c>
      <c r="AD548" s="142">
        <v>0</v>
      </c>
      <c r="AE548" s="142">
        <v>0</v>
      </c>
      <c r="AF548" s="142">
        <v>0</v>
      </c>
      <c r="AG548" s="142">
        <v>0</v>
      </c>
      <c r="AH548" s="142">
        <v>0</v>
      </c>
    </row>
    <row r="549" spans="1:34" x14ac:dyDescent="0.25">
      <c r="A549" s="96">
        <v>55427</v>
      </c>
      <c r="B549" s="104">
        <f t="shared" si="95"/>
        <v>25</v>
      </c>
      <c r="C549" s="104">
        <f>('Co-Processing'!B551*'Co-Pro Feedstock Breakdown'!C$3*'Feedstock Conversion Rates'!B$12)/12-10-15</f>
        <v>10.520833333333336</v>
      </c>
      <c r="D549" s="106">
        <f t="shared" si="99"/>
        <v>35.520833333333336</v>
      </c>
      <c r="E549" s="104">
        <f>('Co-Processing'!C551*'Co-Pro Feedstock Breakdown'!E$3*'Feedstock Conversion Rates'!B$13)/12</f>
        <v>25.78125</v>
      </c>
      <c r="F549" s="104">
        <f>('Co-Processing'!C551*'Co-Pro Feedstock Breakdown'!F$3*'Feedstock Conversion Rates'!B$14)/12</f>
        <v>8.5364583333333339</v>
      </c>
      <c r="G549" s="106">
        <f t="shared" si="88"/>
        <v>34.317708333333336</v>
      </c>
      <c r="H549" s="104">
        <f>('Co-Processing'!D551*'Co-Pro Feedstock Breakdown'!H$3*'Feedstock Conversion Rates'!B$13)/12</f>
        <v>93.75</v>
      </c>
      <c r="I549" s="106">
        <f t="shared" si="90"/>
        <v>93.75</v>
      </c>
      <c r="J549" s="104">
        <f>('Co-Processing'!E551*'Co-Pro Feedstock Breakdown'!J$3*'Feedstock Conversion Rates'!B$13)/12</f>
        <v>1.25</v>
      </c>
      <c r="K549" s="104">
        <f>('Co-Processing'!E551*'Co-Pro Feedstock Breakdown'!K$3*'Feedstock Conversion Rates'!B$12)/12</f>
        <v>1.2916666666666667</v>
      </c>
      <c r="L549" s="106">
        <f t="shared" si="92"/>
        <v>2.541666666666667</v>
      </c>
      <c r="N549" s="104">
        <f t="shared" si="93"/>
        <v>145.78125</v>
      </c>
      <c r="O549" s="104">
        <f t="shared" si="96"/>
        <v>20.348958333333336</v>
      </c>
      <c r="P549" s="104"/>
      <c r="Q549" s="106">
        <f t="shared" si="97"/>
        <v>166.13020833333334</v>
      </c>
      <c r="R549" s="141">
        <f t="shared" si="94"/>
        <v>0</v>
      </c>
      <c r="T549" s="110">
        <f t="shared" si="98"/>
        <v>0.87751199172335947</v>
      </c>
      <c r="U549" s="110">
        <f t="shared" si="98"/>
        <v>0.12248800827664044</v>
      </c>
      <c r="V549" s="110">
        <f t="shared" si="98"/>
        <v>0</v>
      </c>
      <c r="W549" s="110">
        <f t="shared" si="89"/>
        <v>0.99999999999999989</v>
      </c>
      <c r="Y549" s="142">
        <f>T549*'Co-Processing'!K551*'Feedstock Conversion Rates'!B$13</f>
        <v>124.15708059466766</v>
      </c>
      <c r="Z549" s="142">
        <f>U549*'Co-Processing'!K551*'Feedstock Conversion Rates'!B$12</f>
        <v>17.908220948415345</v>
      </c>
      <c r="AA549" s="142">
        <f>V549*'Co-Processing'!K551*'Feedstock Conversion Rates'!B$14</f>
        <v>0</v>
      </c>
      <c r="AB549" s="142">
        <f t="shared" si="91"/>
        <v>142.065301543083</v>
      </c>
      <c r="AD549" s="142">
        <v>0</v>
      </c>
      <c r="AE549" s="142">
        <v>0</v>
      </c>
      <c r="AF549" s="142">
        <v>0</v>
      </c>
      <c r="AG549" s="142">
        <v>0</v>
      </c>
      <c r="AH549" s="142">
        <v>0</v>
      </c>
    </row>
    <row r="550" spans="1:34" x14ac:dyDescent="0.25">
      <c r="A550" s="96">
        <v>55458</v>
      </c>
      <c r="B550" s="104">
        <f t="shared" si="95"/>
        <v>25</v>
      </c>
      <c r="C550" s="104">
        <f>('Co-Processing'!B552*'Co-Pro Feedstock Breakdown'!C$3*'Feedstock Conversion Rates'!B$12)/12-10-15</f>
        <v>10.520833333333336</v>
      </c>
      <c r="D550" s="106">
        <f t="shared" si="99"/>
        <v>35.520833333333336</v>
      </c>
      <c r="E550" s="104">
        <f>('Co-Processing'!C552*'Co-Pro Feedstock Breakdown'!E$3*'Feedstock Conversion Rates'!B$13)/12</f>
        <v>25.78125</v>
      </c>
      <c r="F550" s="104">
        <f>('Co-Processing'!C552*'Co-Pro Feedstock Breakdown'!F$3*'Feedstock Conversion Rates'!B$14)/12</f>
        <v>8.5364583333333339</v>
      </c>
      <c r="G550" s="106">
        <f t="shared" si="88"/>
        <v>34.317708333333336</v>
      </c>
      <c r="H550" s="104">
        <f>('Co-Processing'!D552*'Co-Pro Feedstock Breakdown'!H$3*'Feedstock Conversion Rates'!B$13)/12</f>
        <v>93.75</v>
      </c>
      <c r="I550" s="106">
        <f t="shared" si="90"/>
        <v>93.75</v>
      </c>
      <c r="J550" s="104">
        <f>('Co-Processing'!E552*'Co-Pro Feedstock Breakdown'!J$3*'Feedstock Conversion Rates'!B$13)/12</f>
        <v>1.25</v>
      </c>
      <c r="K550" s="104">
        <f>('Co-Processing'!E552*'Co-Pro Feedstock Breakdown'!K$3*'Feedstock Conversion Rates'!B$12)/12</f>
        <v>1.2916666666666667</v>
      </c>
      <c r="L550" s="106">
        <f t="shared" si="92"/>
        <v>2.541666666666667</v>
      </c>
      <c r="N550" s="104">
        <f t="shared" si="93"/>
        <v>145.78125</v>
      </c>
      <c r="O550" s="104">
        <f t="shared" si="96"/>
        <v>20.348958333333336</v>
      </c>
      <c r="P550" s="104"/>
      <c r="Q550" s="106">
        <f t="shared" si="97"/>
        <v>166.13020833333334</v>
      </c>
      <c r="R550" s="141">
        <f t="shared" si="94"/>
        <v>0</v>
      </c>
      <c r="T550" s="110">
        <f t="shared" si="98"/>
        <v>0.87751199172335947</v>
      </c>
      <c r="U550" s="110">
        <f t="shared" si="98"/>
        <v>0.12248800827664044</v>
      </c>
      <c r="V550" s="110">
        <f t="shared" si="98"/>
        <v>0</v>
      </c>
      <c r="W550" s="110">
        <f t="shared" si="89"/>
        <v>0.99999999999999989</v>
      </c>
      <c r="Y550" s="142">
        <f>T550*'Co-Processing'!K552*'Feedstock Conversion Rates'!B$13</f>
        <v>125.01021798573301</v>
      </c>
      <c r="Z550" s="142">
        <f>U550*'Co-Processing'!K552*'Feedstock Conversion Rates'!B$12</f>
        <v>18.031276136451147</v>
      </c>
      <c r="AA550" s="142">
        <f>V550*'Co-Processing'!K552*'Feedstock Conversion Rates'!B$14</f>
        <v>0</v>
      </c>
      <c r="AB550" s="142">
        <f t="shared" si="91"/>
        <v>143.04149412218416</v>
      </c>
      <c r="AD550" s="142">
        <v>0</v>
      </c>
      <c r="AE550" s="142">
        <v>0</v>
      </c>
      <c r="AF550" s="142">
        <v>0</v>
      </c>
      <c r="AG550" s="142">
        <v>0</v>
      </c>
      <c r="AH550" s="142">
        <v>0</v>
      </c>
    </row>
    <row r="551" spans="1:34" x14ac:dyDescent="0.25">
      <c r="A551" s="96">
        <v>55488</v>
      </c>
      <c r="B551" s="104">
        <f t="shared" si="95"/>
        <v>25</v>
      </c>
      <c r="C551" s="104">
        <f>('Co-Processing'!B553*'Co-Pro Feedstock Breakdown'!C$3*'Feedstock Conversion Rates'!B$12)/12-10-15</f>
        <v>10.520833333333336</v>
      </c>
      <c r="D551" s="106">
        <f t="shared" si="99"/>
        <v>35.520833333333336</v>
      </c>
      <c r="E551" s="104">
        <f>('Co-Processing'!C553*'Co-Pro Feedstock Breakdown'!E$3*'Feedstock Conversion Rates'!B$13)/12</f>
        <v>25.78125</v>
      </c>
      <c r="F551" s="104">
        <f>('Co-Processing'!C553*'Co-Pro Feedstock Breakdown'!F$3*'Feedstock Conversion Rates'!B$14)/12</f>
        <v>8.5364583333333339</v>
      </c>
      <c r="G551" s="106">
        <f t="shared" si="88"/>
        <v>34.317708333333336</v>
      </c>
      <c r="H551" s="104">
        <f>('Co-Processing'!D553*'Co-Pro Feedstock Breakdown'!H$3*'Feedstock Conversion Rates'!B$13)/12</f>
        <v>93.75</v>
      </c>
      <c r="I551" s="106">
        <f t="shared" si="90"/>
        <v>93.75</v>
      </c>
      <c r="J551" s="104">
        <f>('Co-Processing'!E553*'Co-Pro Feedstock Breakdown'!J$3*'Feedstock Conversion Rates'!B$13)/12</f>
        <v>1.25</v>
      </c>
      <c r="K551" s="104">
        <f>('Co-Processing'!E553*'Co-Pro Feedstock Breakdown'!K$3*'Feedstock Conversion Rates'!B$12)/12</f>
        <v>1.2916666666666667</v>
      </c>
      <c r="L551" s="106">
        <f t="shared" si="92"/>
        <v>2.541666666666667</v>
      </c>
      <c r="N551" s="104">
        <f t="shared" si="93"/>
        <v>145.78125</v>
      </c>
      <c r="O551" s="104">
        <f t="shared" si="96"/>
        <v>20.348958333333336</v>
      </c>
      <c r="P551" s="104"/>
      <c r="Q551" s="106">
        <f t="shared" si="97"/>
        <v>166.13020833333334</v>
      </c>
      <c r="R551" s="141">
        <f t="shared" si="94"/>
        <v>0</v>
      </c>
      <c r="T551" s="110">
        <f t="shared" si="98"/>
        <v>0.87751199172335947</v>
      </c>
      <c r="U551" s="110">
        <f t="shared" si="98"/>
        <v>0.12248800827664044</v>
      </c>
      <c r="V551" s="110">
        <f t="shared" si="98"/>
        <v>0</v>
      </c>
      <c r="W551" s="110">
        <f t="shared" si="89"/>
        <v>0.99999999999999989</v>
      </c>
      <c r="Y551" s="142">
        <f>T551*'Co-Processing'!K553*'Feedstock Conversion Rates'!B$13</f>
        <v>128.82426344412022</v>
      </c>
      <c r="Z551" s="142">
        <f>U551*'Co-Processing'!K553*'Feedstock Conversion Rates'!B$12</f>
        <v>18.581408021390391</v>
      </c>
      <c r="AA551" s="142">
        <f>V551*'Co-Processing'!K553*'Feedstock Conversion Rates'!B$14</f>
        <v>0</v>
      </c>
      <c r="AB551" s="142">
        <f t="shared" si="91"/>
        <v>147.40567146551061</v>
      </c>
      <c r="AD551" s="142">
        <v>0</v>
      </c>
      <c r="AE551" s="142">
        <v>0</v>
      </c>
      <c r="AF551" s="142">
        <v>0</v>
      </c>
      <c r="AG551" s="142">
        <v>0</v>
      </c>
      <c r="AH551" s="142">
        <v>0</v>
      </c>
    </row>
  </sheetData>
  <mergeCells count="7">
    <mergeCell ref="Y1:AB1"/>
    <mergeCell ref="B1:D1"/>
    <mergeCell ref="E1:G1"/>
    <mergeCell ref="H1:I1"/>
    <mergeCell ref="J1:L1"/>
    <mergeCell ref="N1:Q1"/>
    <mergeCell ref="T1:W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0338-3E8F-4E02-BF0E-11C4033EF7DA}">
  <dimension ref="A1:B32"/>
  <sheetViews>
    <sheetView workbookViewId="0"/>
  </sheetViews>
  <sheetFormatPr defaultColWidth="9.33203125" defaultRowHeight="15" x14ac:dyDescent="0.2"/>
  <cols>
    <col min="1" max="1" width="28.33203125" style="146" bestFit="1" customWidth="1"/>
    <col min="2" max="2" width="23.33203125" style="146" bestFit="1" customWidth="1"/>
    <col min="3" max="16384" width="9.33203125" style="146"/>
  </cols>
  <sheetData>
    <row r="1" spans="1:2" ht="18" x14ac:dyDescent="0.25">
      <c r="A1" s="144" t="s">
        <v>385</v>
      </c>
      <c r="B1" s="145" t="s">
        <v>386</v>
      </c>
    </row>
    <row r="2" spans="1:2" x14ac:dyDescent="0.2">
      <c r="A2" s="146" t="s">
        <v>387</v>
      </c>
      <c r="B2" s="146">
        <v>8.5</v>
      </c>
    </row>
    <row r="3" spans="1:2" x14ac:dyDescent="0.2">
      <c r="A3" s="146" t="s">
        <v>388</v>
      </c>
      <c r="B3" s="146">
        <v>8.01</v>
      </c>
    </row>
    <row r="4" spans="1:2" x14ac:dyDescent="0.2">
      <c r="A4" s="146" t="s">
        <v>389</v>
      </c>
      <c r="B4" s="146">
        <v>7.5</v>
      </c>
    </row>
    <row r="5" spans="1:2" x14ac:dyDescent="0.2">
      <c r="A5" s="146" t="s">
        <v>390</v>
      </c>
      <c r="B5" s="146">
        <v>7.55</v>
      </c>
    </row>
    <row r="6" spans="1:2" x14ac:dyDescent="0.2">
      <c r="A6" s="146" t="s">
        <v>391</v>
      </c>
      <c r="B6" s="146">
        <v>9.3800000000000008</v>
      </c>
    </row>
    <row r="7" spans="1:2" x14ac:dyDescent="0.2">
      <c r="A7" s="146" t="s">
        <v>392</v>
      </c>
      <c r="B7" s="146">
        <v>9.1999999999999993</v>
      </c>
    </row>
    <row r="8" spans="1:2" x14ac:dyDescent="0.2">
      <c r="A8" s="146" t="s">
        <v>393</v>
      </c>
      <c r="B8" s="146">
        <v>9.375</v>
      </c>
    </row>
    <row r="9" spans="1:2" x14ac:dyDescent="0.2">
      <c r="A9" s="146" t="s">
        <v>394</v>
      </c>
      <c r="B9" s="146">
        <v>9.25</v>
      </c>
    </row>
    <row r="11" spans="1:2" ht="18" x14ac:dyDescent="0.25">
      <c r="A11" s="144" t="s">
        <v>395</v>
      </c>
    </row>
    <row r="12" spans="1:2" x14ac:dyDescent="0.2">
      <c r="A12" s="146" t="s">
        <v>391</v>
      </c>
      <c r="B12" s="146">
        <v>7.75</v>
      </c>
    </row>
    <row r="13" spans="1:2" x14ac:dyDescent="0.2">
      <c r="A13" s="146" t="s">
        <v>389</v>
      </c>
      <c r="B13" s="146">
        <v>7.5</v>
      </c>
    </row>
    <row r="14" spans="1:2" x14ac:dyDescent="0.2">
      <c r="A14" s="146" t="s">
        <v>390</v>
      </c>
      <c r="B14" s="146">
        <v>7.45</v>
      </c>
    </row>
    <row r="16" spans="1:2" ht="18" x14ac:dyDescent="0.25">
      <c r="A16" s="144" t="s">
        <v>396</v>
      </c>
    </row>
    <row r="17" spans="1:2" x14ac:dyDescent="0.2">
      <c r="A17" s="146" t="s">
        <v>396</v>
      </c>
    </row>
    <row r="18" spans="1:2" x14ac:dyDescent="0.2">
      <c r="A18" s="146" t="s">
        <v>339</v>
      </c>
      <c r="B18" s="146">
        <v>7.45</v>
      </c>
    </row>
    <row r="19" spans="1:2" x14ac:dyDescent="0.2">
      <c r="A19" s="146" t="s">
        <v>397</v>
      </c>
      <c r="B19" s="146">
        <v>8.1999999999999993</v>
      </c>
    </row>
    <row r="20" spans="1:2" x14ac:dyDescent="0.2">
      <c r="A20" s="146" t="s">
        <v>398</v>
      </c>
      <c r="B20" s="146">
        <v>7.45</v>
      </c>
    </row>
    <row r="21" spans="1:2" x14ac:dyDescent="0.2">
      <c r="A21" s="146" t="s">
        <v>399</v>
      </c>
      <c r="B21" s="146">
        <v>7.45</v>
      </c>
    </row>
    <row r="22" spans="1:2" x14ac:dyDescent="0.2">
      <c r="A22" s="146" t="s">
        <v>338</v>
      </c>
      <c r="B22" s="146">
        <v>7.5</v>
      </c>
    </row>
    <row r="23" spans="1:2" x14ac:dyDescent="0.2">
      <c r="A23" s="146" t="s">
        <v>400</v>
      </c>
      <c r="B23" s="146">
        <v>7.45</v>
      </c>
    </row>
    <row r="24" spans="1:2" x14ac:dyDescent="0.2">
      <c r="A24" s="146" t="s">
        <v>340</v>
      </c>
      <c r="B24" s="146">
        <v>7.45</v>
      </c>
    </row>
    <row r="25" spans="1:2" x14ac:dyDescent="0.2">
      <c r="A25" s="146" t="s">
        <v>345</v>
      </c>
      <c r="B25" s="146">
        <v>7.75</v>
      </c>
    </row>
    <row r="26" spans="1:2" x14ac:dyDescent="0.2">
      <c r="A26" s="146" t="s">
        <v>401</v>
      </c>
      <c r="B26" s="146">
        <v>7.8579999999999997</v>
      </c>
    </row>
    <row r="27" spans="1:2" x14ac:dyDescent="0.2">
      <c r="A27" s="146" t="s">
        <v>402</v>
      </c>
      <c r="B27" s="146">
        <v>7.8</v>
      </c>
    </row>
    <row r="28" spans="1:2" x14ac:dyDescent="0.2">
      <c r="A28" s="146" t="s">
        <v>341</v>
      </c>
      <c r="B28" s="146">
        <v>8.23</v>
      </c>
    </row>
    <row r="29" spans="1:2" x14ac:dyDescent="0.2">
      <c r="A29" s="146" t="s">
        <v>403</v>
      </c>
      <c r="B29" s="146">
        <v>8.4</v>
      </c>
    </row>
    <row r="30" spans="1:2" x14ac:dyDescent="0.2">
      <c r="A30" s="146" t="s">
        <v>404</v>
      </c>
      <c r="B30" s="146">
        <v>7.67</v>
      </c>
    </row>
    <row r="32" spans="1:2" x14ac:dyDescent="0.2">
      <c r="A32" s="146" t="s">
        <v>405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17D1-34F2-4BED-850E-EA810F33B006}">
  <dimension ref="A1:Q16"/>
  <sheetViews>
    <sheetView workbookViewId="0"/>
  </sheetViews>
  <sheetFormatPr defaultColWidth="9" defaultRowHeight="12.75" x14ac:dyDescent="0.2"/>
  <cols>
    <col min="1" max="1" width="13.33203125" customWidth="1"/>
    <col min="5" max="5" width="10.1640625" bestFit="1" customWidth="1"/>
  </cols>
  <sheetData>
    <row r="1" spans="1:17" ht="15.75" thickBot="1" x14ac:dyDescent="0.3">
      <c r="A1" s="147" t="s">
        <v>406</v>
      </c>
    </row>
    <row r="2" spans="1:17" ht="15.75" thickBot="1" x14ac:dyDescent="0.3">
      <c r="A2" s="148"/>
      <c r="B2" s="149" t="s">
        <v>407</v>
      </c>
      <c r="C2" s="149" t="s">
        <v>408</v>
      </c>
      <c r="D2" s="149" t="s">
        <v>409</v>
      </c>
      <c r="E2" s="149" t="s">
        <v>410</v>
      </c>
      <c r="F2" s="149" t="s">
        <v>411</v>
      </c>
      <c r="G2" s="149" t="s">
        <v>412</v>
      </c>
      <c r="H2" s="149" t="s">
        <v>413</v>
      </c>
      <c r="I2" s="149" t="s">
        <v>414</v>
      </c>
      <c r="J2" s="149" t="s">
        <v>415</v>
      </c>
      <c r="K2" s="149" t="s">
        <v>416</v>
      </c>
      <c r="L2" s="149" t="s">
        <v>417</v>
      </c>
      <c r="M2" s="149" t="s">
        <v>418</v>
      </c>
      <c r="N2" s="149" t="s">
        <v>419</v>
      </c>
      <c r="O2" s="149" t="s">
        <v>420</v>
      </c>
      <c r="P2" s="149" t="s">
        <v>421</v>
      </c>
      <c r="Q2" s="149" t="s">
        <v>422</v>
      </c>
    </row>
    <row r="3" spans="1:17" ht="14.25" x14ac:dyDescent="0.2">
      <c r="A3" s="134" t="s">
        <v>423</v>
      </c>
      <c r="C3" s="3">
        <f>('[1]D4 Gallon Forecast'!H142*'RD Feedstock Breakdown'!$EC73)*7.5/1000000</f>
        <v>32.205699752526158</v>
      </c>
      <c r="D3" s="3">
        <f>('[1]D4 Gallon Forecast'!I142*'RD Feedstock Breakdown'!$EC85)*7.5/1000000</f>
        <v>40.074541115918059</v>
      </c>
      <c r="E3" s="3">
        <f>('[1]D4 Gallon Forecast'!J142*'RD Feedstock Breakdown'!$EC97)*7.5/1000000</f>
        <v>76.782649391669779</v>
      </c>
      <c r="F3" s="3">
        <f>('[1]D4 Gallon Forecast'!K142*'RD Feedstock Breakdown'!$EC109)*7.5/1000000</f>
        <v>131.57807296765705</v>
      </c>
      <c r="G3" s="3">
        <f>('[1]D4 Gallon Forecast'!L142*'RD Feedstock Breakdown'!$EC121)*7.5/1000000</f>
        <v>52.514866771312022</v>
      </c>
      <c r="H3" s="3">
        <f>('[1]D4 Gallon Forecast'!M142*'RD Feedstock Breakdown'!$EC133)*7.5/1000000</f>
        <v>181.19418933905189</v>
      </c>
      <c r="I3" s="3">
        <f>('[1]D4 Gallon Forecast'!N142*'RD Feedstock Breakdown'!$EC145)*7.5/1000000</f>
        <v>204.89076734638107</v>
      </c>
      <c r="J3" s="3">
        <f>('[1]D4 Gallon Forecast'!O142*'RD Feedstock Breakdown'!$EC157)*7.5/1000000</f>
        <v>570.14621264079335</v>
      </c>
      <c r="K3" s="3">
        <f>('[1]D4 Gallon Forecast'!P142*'RD Feedstock Breakdown'!$EC157)*7.5/1000000</f>
        <v>782.97796960848473</v>
      </c>
      <c r="L3" s="3">
        <f>('[1]D4 Gallon Forecast'!Q142*'RD Feedstock Breakdown'!$EC157)*7.5/1000000</f>
        <v>582.30718149470113</v>
      </c>
      <c r="M3" s="3">
        <f>('[1]D4 Gallon Forecast'!R142*'RD Feedstock Breakdown'!$EC157)*7.5/1000000</f>
        <v>639.84527117425444</v>
      </c>
      <c r="N3" s="3">
        <f>('[1]D4 Gallon Forecast'!S142*'RD Feedstock Breakdown'!$EC157)*7.5/1000000</f>
        <v>703.88012260674884</v>
      </c>
      <c r="O3" s="3">
        <f>('[1]D4 Gallon Forecast'!T142*'RD Feedstock Breakdown'!$EC157)*7.5/1000000</f>
        <v>716.84062978250802</v>
      </c>
      <c r="P3" s="3">
        <f>('[1]D4 Gallon Forecast'!U142*'RD Feedstock Breakdown'!$EC157)*7.5/1000000</f>
        <v>721.07094528598395</v>
      </c>
      <c r="Q3" s="3">
        <f>('[1]D4 Gallon Forecast'!V142*'RD Feedstock Breakdown'!$EC157)*7.5/1000000</f>
        <v>755.00543370844593</v>
      </c>
    </row>
    <row r="4" spans="1:17" ht="14.25" x14ac:dyDescent="0.2">
      <c r="A4" s="134" t="s">
        <v>424</v>
      </c>
      <c r="C4" s="3">
        <f>('[1]D4 Gallon Forecast'!H143*'RD Feedstock Breakdown'!$EC74)*7.5/1000000</f>
        <v>43.207306171402365</v>
      </c>
      <c r="D4" s="3">
        <f>('[1]D4 Gallon Forecast'!I143*'RD Feedstock Breakdown'!$EC86)*7.5/1000000</f>
        <v>36.162849437640212</v>
      </c>
      <c r="E4" s="3">
        <f>('[1]D4 Gallon Forecast'!J143*'RD Feedstock Breakdown'!$EC98)*7.5/1000000</f>
        <v>72.646401512383491</v>
      </c>
      <c r="F4" s="3">
        <f>('[1]D4 Gallon Forecast'!K143*'RD Feedstock Breakdown'!$EC110)*7.5/1000000</f>
        <v>113.29948778130169</v>
      </c>
      <c r="G4" s="3">
        <f>('[1]D4 Gallon Forecast'!L143*'RD Feedstock Breakdown'!$EC122)*7.5/1000000</f>
        <v>108.4228795158603</v>
      </c>
      <c r="H4" s="3">
        <f>('[1]D4 Gallon Forecast'!M143*'RD Feedstock Breakdown'!$EC134)*7.5/1000000</f>
        <v>328.78512331888749</v>
      </c>
      <c r="I4" s="3">
        <f>('[1]D4 Gallon Forecast'!N143*'RD Feedstock Breakdown'!$EC146)*7.5/1000000</f>
        <v>464.23962693234876</v>
      </c>
      <c r="J4" s="3">
        <f>('[1]D4 Gallon Forecast'!O143*'RD Feedstock Breakdown'!$EC158)*7.5/1000000</f>
        <v>551.01322877074404</v>
      </c>
      <c r="K4" s="3">
        <f>('[1]D4 Gallon Forecast'!P143*'RD Feedstock Breakdown'!$EC158)*7.5/1000000</f>
        <v>696.26331569566014</v>
      </c>
      <c r="L4" s="3">
        <f>('[1]D4 Gallon Forecast'!Q143*'RD Feedstock Breakdown'!$EC158)*7.5/1000000</f>
        <v>627.77651667000839</v>
      </c>
      <c r="M4" s="3">
        <f>('[1]D4 Gallon Forecast'!R143*'RD Feedstock Breakdown'!$EC158)*7.5/1000000</f>
        <v>774.14249229846598</v>
      </c>
      <c r="N4" s="3">
        <f>('[1]D4 Gallon Forecast'!S143*'RD Feedstock Breakdown'!$EC158)*7.5/1000000</f>
        <v>851.61762842151313</v>
      </c>
      <c r="O4" s="3">
        <f>('[1]D4 Gallon Forecast'!T143*'RD Feedstock Breakdown'!$EC158)*7.5/1000000</f>
        <v>867.29841841638324</v>
      </c>
      <c r="P4" s="3">
        <f>('[1]D4 Gallon Forecast'!U143*'RD Feedstock Breakdown'!$EC158)*7.5/1000000</f>
        <v>872.41663548323686</v>
      </c>
      <c r="Q4" s="3">
        <f>('[1]D4 Gallon Forecast'!V143*'RD Feedstock Breakdown'!$EC158)*7.5/1000000</f>
        <v>913.47363883347953</v>
      </c>
    </row>
    <row r="5" spans="1:17" ht="14.25" x14ac:dyDescent="0.2">
      <c r="A5" s="134" t="s">
        <v>425</v>
      </c>
      <c r="C5" s="3">
        <f>('[1]D4 Gallon Forecast'!H144*'RD Feedstock Breakdown'!$EC75)*7.5/1000000</f>
        <v>43.04790605202178</v>
      </c>
      <c r="D5" s="3">
        <f>('[1]D4 Gallon Forecast'!I144*'RD Feedstock Breakdown'!$EC87)*7.5/1000000</f>
        <v>40.006300452306867</v>
      </c>
      <c r="E5" s="3">
        <f>('[1]D4 Gallon Forecast'!J144*'RD Feedstock Breakdown'!$EC99)*7.5/1000000</f>
        <v>88.582231066262764</v>
      </c>
      <c r="F5" s="3">
        <f>('[1]D4 Gallon Forecast'!K144*'RD Feedstock Breakdown'!$EC111)*7.5/1000000</f>
        <v>140.56164471806551</v>
      </c>
      <c r="G5" s="3">
        <f>('[1]D4 Gallon Forecast'!L144*'RD Feedstock Breakdown'!$EC123)*7.5/1000000</f>
        <v>128.54105284215927</v>
      </c>
      <c r="H5" s="3">
        <f>('[1]D4 Gallon Forecast'!M144*'RD Feedstock Breakdown'!$EC135)*7.5/1000000</f>
        <v>322.70909540899765</v>
      </c>
      <c r="I5" s="3">
        <f>('[1]D4 Gallon Forecast'!N144*'RD Feedstock Breakdown'!$EC147)*7.5/1000000</f>
        <v>382.53450009876588</v>
      </c>
      <c r="J5" s="3">
        <f>('[1]D4 Gallon Forecast'!O144*'RD Feedstock Breakdown'!$EC159)*7.5/1000000</f>
        <v>812.43016428226349</v>
      </c>
      <c r="K5" s="3">
        <f>('[1]D4 Gallon Forecast'!P144*'RD Feedstock Breakdown'!$EC159)*7.5/1000000</f>
        <v>921.58004855931074</v>
      </c>
      <c r="L5" s="3">
        <f>('[1]D4 Gallon Forecast'!Q144*'RD Feedstock Breakdown'!$EC159)*7.5/1000000</f>
        <v>838.41248475428654</v>
      </c>
      <c r="M5" s="3">
        <f>('[1]D4 Gallon Forecast'!R144*'RD Feedstock Breakdown'!$EC159)*7.5/1000000</f>
        <v>959.80299429179706</v>
      </c>
      <c r="N5" s="3">
        <f>('[1]D4 Gallon Forecast'!S144*'RD Feedstock Breakdown'!$EC159)*7.5/1000000</f>
        <v>1055.858782953241</v>
      </c>
      <c r="O5" s="3">
        <f>('[1]D4 Gallon Forecast'!T144*'RD Feedstock Breakdown'!$EC159)*7.5/1000000</f>
        <v>1075.3002544390031</v>
      </c>
      <c r="P5" s="3">
        <f>('[1]D4 Gallon Forecast'!U144*'RD Feedstock Breakdown'!$EC159)*7.5/1000000</f>
        <v>1081.6459596742463</v>
      </c>
      <c r="Q5" s="3">
        <f>('[1]D4 Gallon Forecast'!V144*'RD Feedstock Breakdown'!$EC159)*7.5/1000000</f>
        <v>1132.549553191262</v>
      </c>
    </row>
    <row r="6" spans="1:17" ht="14.25" x14ac:dyDescent="0.2">
      <c r="A6" s="134" t="s">
        <v>426</v>
      </c>
      <c r="C6" s="3">
        <f>('[1]D4 Gallon Forecast'!I133*'RD Feedstock Breakdown'!$EC76)*7.5/1000000</f>
        <v>29.006340470770883</v>
      </c>
      <c r="D6" s="3">
        <f>('[1]D4 Gallon Forecast'!J133*'RD Feedstock Breakdown'!$EC88)*7.5/1000000</f>
        <v>28.242038439763366</v>
      </c>
      <c r="E6" s="3">
        <f>('[1]D4 Gallon Forecast'!K133*'RD Feedstock Breakdown'!$EC100)*7.5/1000000</f>
        <v>82.046093698088796</v>
      </c>
      <c r="F6" s="3">
        <f>('[1]D4 Gallon Forecast'!L133*'RD Feedstock Breakdown'!$EC112)*7.5/1000000</f>
        <v>92.996062818355398</v>
      </c>
      <c r="G6" s="3">
        <f>('[1]D4 Gallon Forecast'!M133*'RD Feedstock Breakdown'!$EC124)*7.5/1000000</f>
        <v>125.5018311880204</v>
      </c>
      <c r="H6" s="3">
        <f>('[1]D4 Gallon Forecast'!N133*'RD Feedstock Breakdown'!$EC136)*7.5/1000000</f>
        <v>208.02023227553957</v>
      </c>
      <c r="I6" s="3">
        <f>('[1]D4 Gallon Forecast'!O133*'RD Feedstock Breakdown'!$EC148)*7.5/1000000</f>
        <v>295.60850639881386</v>
      </c>
      <c r="J6" s="3">
        <f>('[1]D4 Gallon Forecast'!P133*'RD Feedstock Breakdown'!$EC160)*7.5/1000000</f>
        <v>717.61669780346313</v>
      </c>
      <c r="K6" s="3">
        <f>('[1]D4 Gallon Forecast'!Q133*'RD Feedstock Breakdown'!$EC160)*7.5/1000000</f>
        <v>675.97047139514859</v>
      </c>
      <c r="L6" s="3">
        <f>('[1]D4 Gallon Forecast'!R133*'RD Feedstock Breakdown'!$EC160)*7.5/1000000</f>
        <v>533.76792538479049</v>
      </c>
      <c r="M6" s="3">
        <f>('[1]D4 Gallon Forecast'!S133*'RD Feedstock Breakdown'!$EC160)*7.5/1000000</f>
        <v>587.18669917477041</v>
      </c>
      <c r="N6" s="3">
        <f>('[1]D4 Gallon Forecast'!T133*'RD Feedstock Breakdown'!$EC160)*7.5/1000000</f>
        <v>597.99853656546304</v>
      </c>
      <c r="O6" s="3">
        <f>('[1]D4 Gallon Forecast'!U133*'RD Feedstock Breakdown'!$EC160)*7.5/1000000</f>
        <v>601.52752526279221</v>
      </c>
      <c r="P6" s="3">
        <f>('[1]D4 Gallon Forecast'!V133*'RD Feedstock Breakdown'!$EC160)*7.5/1000000</f>
        <v>629.83615283303322</v>
      </c>
      <c r="Q6" s="3">
        <f>('[1]D4 Gallon Forecast'!W133*'RD Feedstock Breakdown'!$EC160)*7.5/1000000</f>
        <v>683.80869191548356</v>
      </c>
    </row>
    <row r="7" spans="1:17" ht="14.25" x14ac:dyDescent="0.2">
      <c r="A7" s="134" t="s">
        <v>427</v>
      </c>
      <c r="C7" s="3">
        <f>('[1]D4 Gallon Forecast'!I134*'RD Feedstock Breakdown'!$EC77)*7.5/1000000</f>
        <v>33.129146096521282</v>
      </c>
      <c r="D7" s="3">
        <f>('[1]D4 Gallon Forecast'!J134*'RD Feedstock Breakdown'!$EC89)*7.5/1000000</f>
        <v>42.629981060204848</v>
      </c>
      <c r="E7" s="3">
        <f>('[1]D4 Gallon Forecast'!K134*'RD Feedstock Breakdown'!$EC101)*7.5/1000000</f>
        <v>92.624976386730111</v>
      </c>
      <c r="F7" s="3">
        <f>('[1]D4 Gallon Forecast'!L134*'RD Feedstock Breakdown'!$EC113)*7.5/1000000</f>
        <v>84.721897631859505</v>
      </c>
      <c r="G7" s="3">
        <f>('[1]D4 Gallon Forecast'!M134*'RD Feedstock Breakdown'!$EC125)*7.5/1000000</f>
        <v>181.04823570521245</v>
      </c>
      <c r="H7" s="3">
        <f>('[1]D4 Gallon Forecast'!N134*'RD Feedstock Breakdown'!$EC137)*7.5/1000000</f>
        <v>415.48886927697862</v>
      </c>
      <c r="I7" s="3">
        <f>('[1]D4 Gallon Forecast'!O134*'RD Feedstock Breakdown'!$EC149)*7.5/1000000</f>
        <v>262.47239661531177</v>
      </c>
      <c r="J7" s="3">
        <f>('[1]D4 Gallon Forecast'!P134*'RD Feedstock Breakdown'!$EC161)*7.5/1000000</f>
        <v>670.26237196883551</v>
      </c>
      <c r="K7" s="3">
        <f>('[1]D4 Gallon Forecast'!Q134*'RD Feedstock Breakdown'!$EC161)*7.5/1000000</f>
        <v>537.85897081103144</v>
      </c>
      <c r="L7" s="3">
        <f>('[1]D4 Gallon Forecast'!R134*'RD Feedstock Breakdown'!$EC161)*7.5/1000000</f>
        <v>547.00236497651599</v>
      </c>
      <c r="M7" s="3">
        <f>('[1]D4 Gallon Forecast'!S134*'RD Feedstock Breakdown'!$EC161)*7.5/1000000</f>
        <v>601.74562362436359</v>
      </c>
      <c r="N7" s="3">
        <f>('[1]D4 Gallon Forecast'!T134*'RD Feedstock Breakdown'!$EC161)*7.5/1000000</f>
        <v>612.82553371485255</v>
      </c>
      <c r="O7" s="3">
        <f>('[1]D4 Gallon Forecast'!U134*'RD Feedstock Breakdown'!$EC161)*7.5/1000000</f>
        <v>616.44202146469786</v>
      </c>
      <c r="P7" s="3">
        <f>('[1]D4 Gallon Forecast'!V134*'RD Feedstock Breakdown'!$EC161)*7.5/1000000</f>
        <v>645.45254362936009</v>
      </c>
      <c r="Q7" s="3">
        <f>('[1]D4 Gallon Forecast'!W134*'RD Feedstock Breakdown'!$EC161)*7.5/1000000</f>
        <v>700.76329783139431</v>
      </c>
    </row>
    <row r="8" spans="1:17" ht="14.25" x14ac:dyDescent="0.2">
      <c r="A8" s="134" t="s">
        <v>428</v>
      </c>
      <c r="C8" s="3">
        <f>('[1]D4 Gallon Forecast'!I135*'RD Feedstock Breakdown'!$EC78)*7.5/1000000</f>
        <v>24.662354887155615</v>
      </c>
      <c r="D8" s="3">
        <f>('[1]D4 Gallon Forecast'!J135*'RD Feedstock Breakdown'!$EC90)*7.5/1000000</f>
        <v>48.193083024176104</v>
      </c>
      <c r="E8" s="3">
        <f>('[1]D4 Gallon Forecast'!K135*'RD Feedstock Breakdown'!$EC102)*7.5/1000000</f>
        <v>80.477824436988001</v>
      </c>
      <c r="F8" s="3">
        <f>('[1]D4 Gallon Forecast'!L135*'RD Feedstock Breakdown'!$EC114)*7.5/1000000</f>
        <v>103.97892317985072</v>
      </c>
      <c r="G8" s="3">
        <f>('[1]D4 Gallon Forecast'!M135*'RD Feedstock Breakdown'!$EC126)*7.5/1000000</f>
        <v>210.67596120328761</v>
      </c>
      <c r="H8" s="3">
        <f>('[1]D4 Gallon Forecast'!N135*'RD Feedstock Breakdown'!$EC138)*7.5/1000000</f>
        <v>452.42853556907869</v>
      </c>
      <c r="I8" s="3">
        <f>('[1]D4 Gallon Forecast'!O135*'RD Feedstock Breakdown'!$EC150)*7.5/1000000</f>
        <v>369.58286277837732</v>
      </c>
      <c r="J8" s="3">
        <f>('[1]D4 Gallon Forecast'!P135*'RD Feedstock Breakdown'!$EC162)*7.5/1000000</f>
        <v>634.11252237839267</v>
      </c>
      <c r="K8" s="3">
        <f>('[1]D4 Gallon Forecast'!Q135*'RD Feedstock Breakdown'!$EC162)*7.5/1000000</f>
        <v>673.00099143715067</v>
      </c>
      <c r="L8" s="3">
        <f>('[1]D4 Gallon Forecast'!R135*'RD Feedstock Breakdown'!$EC162)*7.5/1000000</f>
        <v>587.08291946843406</v>
      </c>
      <c r="M8" s="3">
        <f>('[1]D4 Gallon Forecast'!S135*'RD Feedstock Breakdown'!$EC162)*7.5/1000000</f>
        <v>645.83738593143323</v>
      </c>
      <c r="N8" s="3">
        <f>('[1]D4 Gallon Forecast'!T135*'RD Feedstock Breakdown'!$EC162)*7.5/1000000</f>
        <v>657.72915529087891</v>
      </c>
      <c r="O8" s="3">
        <f>('[1]D4 Gallon Forecast'!U135*'RD Feedstock Breakdown'!$EC162)*7.5/1000000</f>
        <v>661.610634279534</v>
      </c>
      <c r="P8" s="3">
        <f>('[1]D4 Gallon Forecast'!V135*'RD Feedstock Breakdown'!$EC162)*7.5/1000000</f>
        <v>692.74684709730627</v>
      </c>
      <c r="Q8" s="3">
        <f>('[1]D4 Gallon Forecast'!W135*'RD Feedstock Breakdown'!$EC162)*7.5/1000000</f>
        <v>752.11039126831793</v>
      </c>
    </row>
    <row r="9" spans="1:17" ht="14.25" x14ac:dyDescent="0.2">
      <c r="A9" s="134" t="s">
        <v>429</v>
      </c>
      <c r="B9" s="3">
        <f>('[1]D4 Gallon Forecast'!$H136*'RD Feedstock Breakdown'!$EC67)*7.5/1000000</f>
        <v>9.9461118527016001</v>
      </c>
      <c r="C9" s="3">
        <f>('[1]D4 Gallon Forecast'!I136*'RD Feedstock Breakdown'!$EC79)*7.5/1000000</f>
        <v>32.140984194543208</v>
      </c>
      <c r="D9" s="3">
        <f>('[1]D4 Gallon Forecast'!J136*'RD Feedstock Breakdown'!$EC91)*7.5/1000000</f>
        <v>52.261125581442229</v>
      </c>
      <c r="E9" s="3">
        <f>('[1]D4 Gallon Forecast'!K136*'RD Feedstock Breakdown'!$EC103)*7.5/1000000</f>
        <v>87.08140509437834</v>
      </c>
      <c r="F9" s="3">
        <f>('[1]D4 Gallon Forecast'!L136*'RD Feedstock Breakdown'!$EC115)*7.5/1000000</f>
        <v>88.736806111114049</v>
      </c>
      <c r="G9" s="3">
        <f>('[1]D4 Gallon Forecast'!M136*'RD Feedstock Breakdown'!$EC127)*7.5/1000000</f>
        <v>122.71813976609135</v>
      </c>
      <c r="H9" s="3">
        <f>('[1]D4 Gallon Forecast'!N136*'RD Feedstock Breakdown'!$EC139)*7.5/1000000</f>
        <v>350.65289728066858</v>
      </c>
      <c r="I9" s="3">
        <f>('[1]D4 Gallon Forecast'!O136*'RD Feedstock Breakdown'!$EC151)*7.5/1000000</f>
        <v>420.28688924301377</v>
      </c>
      <c r="J9" s="3">
        <f>('[1]D4 Gallon Forecast'!P136*'RD Feedstock Breakdown'!$EC163)*7.5/1000000</f>
        <v>855.91125530933562</v>
      </c>
      <c r="K9" s="3">
        <f>('[1]D4 Gallon Forecast'!Q136*'RD Feedstock Breakdown'!$EC163)*7.5/1000000</f>
        <v>605.7084015398566</v>
      </c>
      <c r="L9" s="3">
        <f>('[1]D4 Gallon Forecast'!R136*'RD Feedstock Breakdown'!$EC163)*7.5/1000000</f>
        <v>578.74676392559127</v>
      </c>
      <c r="M9" s="3">
        <f>('[1]D4 Gallon Forecast'!S136*'RD Feedstock Breakdown'!$EC163)*7.5/1000000</f>
        <v>636.66695918936034</v>
      </c>
      <c r="N9" s="3">
        <f>('[1]D4 Gallon Forecast'!T136*'RD Feedstock Breakdown'!$EC163)*7.5/1000000</f>
        <v>648.38987397005303</v>
      </c>
      <c r="O9" s="3">
        <f>('[1]D4 Gallon Forecast'!U136*'RD Feedstock Breakdown'!$EC163)*7.5/1000000</f>
        <v>652.21623874653687</v>
      </c>
      <c r="P9" s="3">
        <f>('[1]D4 Gallon Forecast'!V136*'RD Feedstock Breakdown'!$EC163)*7.5/1000000</f>
        <v>682.91033971867932</v>
      </c>
      <c r="Q9" s="3">
        <f>('[1]D4 Gallon Forecast'!W136*'RD Feedstock Breakdown'!$EC163)*7.5/1000000</f>
        <v>741.43096422472763</v>
      </c>
    </row>
    <row r="10" spans="1:17" ht="14.25" x14ac:dyDescent="0.2">
      <c r="A10" s="134" t="s">
        <v>430</v>
      </c>
      <c r="B10" s="3">
        <f>('[1]D4 Gallon Forecast'!$H137*'RD Feedstock Breakdown'!$EC68)*7.5/1000000</f>
        <v>19.386708795635037</v>
      </c>
      <c r="C10" s="3">
        <f>('[1]D4 Gallon Forecast'!I137*'RD Feedstock Breakdown'!$EC80)*7.5/1000000</f>
        <v>38.478919110255859</v>
      </c>
      <c r="D10" s="3">
        <f>('[1]D4 Gallon Forecast'!J137*'RD Feedstock Breakdown'!$EC92)*7.5/1000000</f>
        <v>45.536772461558805</v>
      </c>
      <c r="E10" s="3">
        <f>('[1]D4 Gallon Forecast'!K137*'RD Feedstock Breakdown'!$EC104)*7.5/1000000</f>
        <v>90.394201272480203</v>
      </c>
      <c r="F10" s="3">
        <f>('[1]D4 Gallon Forecast'!L137*'RD Feedstock Breakdown'!$EC116)*7.5/1000000</f>
        <v>105.22911798945769</v>
      </c>
      <c r="G10" s="3">
        <f>('[1]D4 Gallon Forecast'!M137*'RD Feedstock Breakdown'!$EC128)*7.5/1000000</f>
        <v>190.28012182186785</v>
      </c>
      <c r="H10" s="3">
        <f>('[1]D4 Gallon Forecast'!N137*'RD Feedstock Breakdown'!$EC140)*7.5/1000000</f>
        <v>461.73628328556157</v>
      </c>
      <c r="I10" s="3">
        <f>('[1]D4 Gallon Forecast'!O137*'RD Feedstock Breakdown'!$EC152)*7.5/1000000</f>
        <v>577.96558316191522</v>
      </c>
      <c r="J10" s="3">
        <f>('[1]D4 Gallon Forecast'!P137*'RD Feedstock Breakdown'!$EC164)*7.5/1000000</f>
        <v>642.16349869879434</v>
      </c>
      <c r="K10" s="3">
        <f>('[1]D4 Gallon Forecast'!Q137*'RD Feedstock Breakdown'!$EC164)*7.5/1000000</f>
        <v>568.55527916220763</v>
      </c>
      <c r="L10" s="3">
        <f>('[1]D4 Gallon Forecast'!R137*'RD Feedstock Breakdown'!$EC164)*7.5/1000000</f>
        <v>618.28981923508559</v>
      </c>
      <c r="M10" s="3">
        <f>('[1]D4 Gallon Forecast'!S137*'RD Feedstock Breakdown'!$EC164)*7.5/1000000</f>
        <v>680.16743012104621</v>
      </c>
      <c r="N10" s="3">
        <f>('[1]D4 Gallon Forecast'!T137*'RD Feedstock Breakdown'!$EC164)*7.5/1000000</f>
        <v>692.69131675412086</v>
      </c>
      <c r="O10" s="3">
        <f>('[1]D4 Gallon Forecast'!U137*'RD Feedstock Breakdown'!$EC164)*7.5/1000000</f>
        <v>696.77911911163653</v>
      </c>
      <c r="P10" s="3">
        <f>('[1]D4 Gallon Forecast'!V137*'RD Feedstock Breakdown'!$EC164)*7.5/1000000</f>
        <v>729.5704042203846</v>
      </c>
      <c r="Q10" s="3">
        <f>('[1]D4 Gallon Forecast'!W137*'RD Feedstock Breakdown'!$EC164)*7.5/1000000</f>
        <v>792.08946886611091</v>
      </c>
    </row>
    <row r="11" spans="1:17" ht="14.25" x14ac:dyDescent="0.2">
      <c r="A11" s="134" t="s">
        <v>431</v>
      </c>
      <c r="B11" s="3">
        <f>('[1]D4 Gallon Forecast'!$H138*'RD Feedstock Breakdown'!$EC69)*7.5/1000000</f>
        <v>35.30424677904751</v>
      </c>
      <c r="C11" s="3">
        <f>('[1]D4 Gallon Forecast'!I138*'RD Feedstock Breakdown'!$EC81)*7.5/1000000</f>
        <v>27.827787629827238</v>
      </c>
      <c r="D11" s="3">
        <f>('[1]D4 Gallon Forecast'!J138*'RD Feedstock Breakdown'!$EC93)*7.5/1000000</f>
        <v>25.25044819519983</v>
      </c>
      <c r="E11" s="3">
        <f>('[1]D4 Gallon Forecast'!K138*'RD Feedstock Breakdown'!$EC105)*7.5/1000000</f>
        <v>91.301815925765396</v>
      </c>
      <c r="F11" s="3">
        <f>('[1]D4 Gallon Forecast'!L138*'RD Feedstock Breakdown'!$EC117)*7.5/1000000</f>
        <v>124.42022598977719</v>
      </c>
      <c r="G11" s="3">
        <f>('[1]D4 Gallon Forecast'!M138*'RD Feedstock Breakdown'!$EC129)*7.5/1000000</f>
        <v>222.16149665509269</v>
      </c>
      <c r="H11" s="3">
        <f>('[1]D4 Gallon Forecast'!N138*'RD Feedstock Breakdown'!$EC141)*7.5/1000000</f>
        <v>356.32849386911181</v>
      </c>
      <c r="I11" s="3">
        <f>('[1]D4 Gallon Forecast'!O138*'RD Feedstock Breakdown'!$EC153)*7.5/1000000</f>
        <v>409.53749926835508</v>
      </c>
      <c r="J11" s="3">
        <f>('[1]D4 Gallon Forecast'!P138*'RD Feedstock Breakdown'!$EC165)*7.5/1000000</f>
        <v>796.15693214924465</v>
      </c>
      <c r="K11" s="3">
        <f>('[1]D4 Gallon Forecast'!Q138*'RD Feedstock Breakdown'!$EC165)*7.5/1000000</f>
        <v>548.17902510278498</v>
      </c>
      <c r="L11" s="3">
        <f>('[1]D4 Gallon Forecast'!R138*'RD Feedstock Breakdown'!$EC165)*7.5/1000000</f>
        <v>602.34489306589739</v>
      </c>
      <c r="M11" s="3">
        <f>('[1]D4 Gallon Forecast'!S138*'RD Feedstock Breakdown'!$EC165)*7.5/1000000</f>
        <v>662.6267572544225</v>
      </c>
      <c r="N11" s="3">
        <f>('[1]D4 Gallon Forecast'!T138*'RD Feedstock Breakdown'!$EC165)*7.5/1000000</f>
        <v>674.82766841304601</v>
      </c>
      <c r="O11" s="3">
        <f>('[1]D4 Gallon Forecast'!U138*'RD Feedstock Breakdown'!$EC165)*7.5/1000000</f>
        <v>678.81005142714548</v>
      </c>
      <c r="P11" s="3">
        <f>('[1]D4 Gallon Forecast'!V138*'RD Feedstock Breakdown'!$EC165)*7.5/1000000</f>
        <v>710.75569003843282</v>
      </c>
      <c r="Q11" s="3">
        <f>('[1]D4 Gallon Forecast'!W138*'RD Feedstock Breakdown'!$EC165)*7.5/1000000</f>
        <v>771.66246569131079</v>
      </c>
    </row>
    <row r="12" spans="1:17" ht="14.25" x14ac:dyDescent="0.2">
      <c r="A12" s="134" t="s">
        <v>432</v>
      </c>
      <c r="B12" s="3">
        <f>('[1]D4 Gallon Forecast'!$H139*'RD Feedstock Breakdown'!$EC70)*7.5/1000000</f>
        <v>30.582117140749503</v>
      </c>
      <c r="C12" s="3">
        <f>('[1]D4 Gallon Forecast'!I139*'RD Feedstock Breakdown'!$EC82)*7.5/1000000</f>
        <v>30.647141806131934</v>
      </c>
      <c r="D12" s="3">
        <f>('[1]D4 Gallon Forecast'!J139*'RD Feedstock Breakdown'!$EC94)*7.5/1000000</f>
        <v>22.156870289602235</v>
      </c>
      <c r="E12" s="3">
        <f>('[1]D4 Gallon Forecast'!K139*'RD Feedstock Breakdown'!$EC106)*7.5/1000000</f>
        <v>105.73463388313827</v>
      </c>
      <c r="F12" s="3">
        <f>('[1]D4 Gallon Forecast'!L139*'RD Feedstock Breakdown'!$EC118)*7.5/1000000</f>
        <v>116.95279109207733</v>
      </c>
      <c r="G12" s="3">
        <f>('[1]D4 Gallon Forecast'!M139*'RD Feedstock Breakdown'!$EC130)*7.5/1000000</f>
        <v>206.02577346125878</v>
      </c>
      <c r="H12" s="3">
        <f>('[1]D4 Gallon Forecast'!N139*'RD Feedstock Breakdown'!$EC142)*7.5/1000000</f>
        <v>303.50962244343276</v>
      </c>
      <c r="I12" s="3">
        <f>('[1]D4 Gallon Forecast'!O139*'RD Feedstock Breakdown'!$EC154)*7.5/1000000</f>
        <v>389.37833011497878</v>
      </c>
      <c r="J12" s="3">
        <f>('[1]D4 Gallon Forecast'!P139*'RD Feedstock Breakdown'!$EC166)*7.5/1000000</f>
        <v>820.46092537901279</v>
      </c>
      <c r="K12" s="3">
        <f>('[1]D4 Gallon Forecast'!Q139*'RD Feedstock Breakdown'!$EC166)*7.5/1000000</f>
        <v>538.16362584188334</v>
      </c>
      <c r="L12" s="3">
        <f>('[1]D4 Gallon Forecast'!R139*'RD Feedstock Breakdown'!$EC166)*7.5/1000000</f>
        <v>588.18434439097302</v>
      </c>
      <c r="M12" s="3">
        <f>('[1]D4 Gallon Forecast'!S139*'RD Feedstock Breakdown'!$EC166)*7.5/1000000</f>
        <v>647.04903997412998</v>
      </c>
      <c r="N12" s="3">
        <f>('[1]D4 Gallon Forecast'!T139*'RD Feedstock Breakdown'!$EC166)*7.5/1000000</f>
        <v>658.96311945487412</v>
      </c>
      <c r="O12" s="3">
        <f>('[1]D4 Gallon Forecast'!U139*'RD Feedstock Breakdown'!$EC166)*7.5/1000000</f>
        <v>662.85188047738291</v>
      </c>
      <c r="P12" s="3">
        <f>('[1]D4 Gallon Forecast'!V139*'RD Feedstock Breakdown'!$EC166)*7.5/1000000</f>
        <v>694.04650787281321</v>
      </c>
      <c r="Q12" s="3">
        <f>('[1]D4 Gallon Forecast'!W139*'RD Feedstock Breakdown'!$EC166)*7.5/1000000</f>
        <v>753.52142385327784</v>
      </c>
    </row>
    <row r="13" spans="1:17" ht="14.25" x14ac:dyDescent="0.2">
      <c r="A13" s="134" t="s">
        <v>433</v>
      </c>
      <c r="B13" s="3">
        <f>('[1]D4 Gallon Forecast'!$H140*'RD Feedstock Breakdown'!$EC71)*7.5/1000000</f>
        <v>38.958982120758208</v>
      </c>
      <c r="C13" s="3">
        <f>('[1]D4 Gallon Forecast'!I140*'RD Feedstock Breakdown'!$EC83)*7.5/1000000</f>
        <v>38.810054816326776</v>
      </c>
      <c r="D13" s="3">
        <f>('[1]D4 Gallon Forecast'!J140*'RD Feedstock Breakdown'!$EC95)*7.5/1000000</f>
        <v>31.863051801346835</v>
      </c>
      <c r="E13" s="3">
        <f>('[1]D4 Gallon Forecast'!K140*'RD Feedstock Breakdown'!$EC107)*7.5/1000000</f>
        <v>65.056407189200584</v>
      </c>
      <c r="F13" s="3">
        <f>('[1]D4 Gallon Forecast'!L140*'RD Feedstock Breakdown'!$EC119)*7.5/1000000</f>
        <v>116.79291156878767</v>
      </c>
      <c r="G13" s="3">
        <f>('[1]D4 Gallon Forecast'!M140*'RD Feedstock Breakdown'!$EC131)*7.5/1000000</f>
        <v>254.83734864245051</v>
      </c>
      <c r="H13" s="3">
        <f>('[1]D4 Gallon Forecast'!N140*'RD Feedstock Breakdown'!$EC143)*7.5/1000000</f>
        <v>402.84369254005651</v>
      </c>
      <c r="I13" s="3">
        <f>('[1]D4 Gallon Forecast'!O140*'RD Feedstock Breakdown'!$EC155)*7.5/1000000</f>
        <v>649.01286547552752</v>
      </c>
      <c r="J13" s="3">
        <f>('[1]D4 Gallon Forecast'!P140*'RD Feedstock Breakdown'!$EC167)*7.5/1000000</f>
        <v>688.15075584198382</v>
      </c>
      <c r="K13" s="3">
        <f>('[1]D4 Gallon Forecast'!Q140*'RD Feedstock Breakdown'!$EC167)*7.5/1000000</f>
        <v>519.79487734317217</v>
      </c>
      <c r="L13" s="3">
        <f>('[1]D4 Gallon Forecast'!R140*'RD Feedstock Breakdown'!$EC167)*7.5/1000000</f>
        <v>568.15104929721497</v>
      </c>
      <c r="M13" s="3">
        <f>('[1]D4 Gallon Forecast'!S140*'RD Feedstock Breakdown'!$EC167)*7.5/1000000</f>
        <v>625.01083973716811</v>
      </c>
      <c r="N13" s="3">
        <f>('[1]D4 Gallon Forecast'!T140*'RD Feedstock Breakdown'!$EC167)*7.5/1000000</f>
        <v>636.51913101174125</v>
      </c>
      <c r="O13" s="3">
        <f>('[1]D4 Gallon Forecast'!U140*'RD Feedstock Breakdown'!$EC167)*7.5/1000000</f>
        <v>640.27544257710963</v>
      </c>
      <c r="P13" s="3">
        <f>('[1]D4 Gallon Forecast'!V140*'RD Feedstock Breakdown'!$EC167)*7.5/1000000</f>
        <v>670.40759494764006</v>
      </c>
      <c r="Q13" s="3">
        <f>('[1]D4 Gallon Forecast'!W140*'RD Feedstock Breakdown'!$EC167)*7.5/1000000</f>
        <v>727.85682195172296</v>
      </c>
    </row>
    <row r="14" spans="1:17" ht="14.25" x14ac:dyDescent="0.2">
      <c r="A14" s="134" t="s">
        <v>434</v>
      </c>
      <c r="B14" s="3">
        <f>('[1]D4 Gallon Forecast'!$H141*'RD Feedstock Breakdown'!$EC72)*7.5/1000000</f>
        <v>30.206894391230751</v>
      </c>
      <c r="C14" s="3">
        <f>('[1]D4 Gallon Forecast'!I141*'RD Feedstock Breakdown'!$EC84)*7.5/1000000</f>
        <v>34.568675271818051</v>
      </c>
      <c r="D14" s="3">
        <f>('[1]D4 Gallon Forecast'!J141*'RD Feedstock Breakdown'!$EC96)*7.5/1000000</f>
        <v>61.759231954687799</v>
      </c>
      <c r="E14" s="3">
        <f>('[1]D4 Gallon Forecast'!K141*'RD Feedstock Breakdown'!$EC108)*7.5/1000000</f>
        <v>92.202716141610793</v>
      </c>
      <c r="F14" s="3">
        <f>('[1]D4 Gallon Forecast'!L141*'RD Feedstock Breakdown'!$EC120)*7.5/1000000</f>
        <v>136.95908581193561</v>
      </c>
      <c r="G14" s="3">
        <f>('[1]D4 Gallon Forecast'!M141*'RD Feedstock Breakdown'!$EC132)*7.5/1000000</f>
        <v>166.76707287513662</v>
      </c>
      <c r="H14" s="3">
        <f>('[1]D4 Gallon Forecast'!N141*'RD Feedstock Breakdown'!$EC144)*7.5/1000000</f>
        <v>427.88658901353944</v>
      </c>
      <c r="I14" s="3">
        <f>('[1]D4 Gallon Forecast'!O141*'RD Feedstock Breakdown'!$EC156)*7.5/1000000</f>
        <v>662.87563663756237</v>
      </c>
      <c r="J14" s="3">
        <f>('[1]D4 Gallon Forecast'!P141*'RD Feedstock Breakdown'!$EC168)*7.5/1000000</f>
        <v>677.87830969215497</v>
      </c>
      <c r="K14" s="3">
        <f>('[1]D4 Gallon Forecast'!Q141*'RD Feedstock Breakdown'!$EC168)*7.5/1000000</f>
        <v>522.37609256330063</v>
      </c>
      <c r="L14" s="3">
        <f>('[1]D4 Gallon Forecast'!R141*'RD Feedstock Breakdown'!$EC168)*7.5/1000000</f>
        <v>571.02616994402888</v>
      </c>
      <c r="M14" s="3">
        <f>('[1]D4 Gallon Forecast'!S141*'RD Feedstock Breakdown'!$EC168)*7.5/1000000</f>
        <v>628.17369857907886</v>
      </c>
      <c r="N14" s="3">
        <f>('[1]D4 Gallon Forecast'!T141*'RD Feedstock Breakdown'!$EC168)*7.5/1000000</f>
        <v>639.74022740490568</v>
      </c>
      <c r="O14" s="3">
        <f>('[1]D4 Gallon Forecast'!U141*'RD Feedstock Breakdown'!$EC168)*7.5/1000000</f>
        <v>643.51554773378996</v>
      </c>
      <c r="P14" s="3">
        <f>('[1]D4 Gallon Forecast'!V141*'RD Feedstock Breakdown'!$EC168)*7.5/1000000</f>
        <v>673.80018345099495</v>
      </c>
      <c r="Q14" s="3">
        <f>('[1]D4 Gallon Forecast'!W141*'RD Feedstock Breakdown'!$EC168)*7.5/1000000</f>
        <v>731.5401314858799</v>
      </c>
    </row>
    <row r="15" spans="1:17" ht="15" thickBot="1" x14ac:dyDescent="0.25">
      <c r="A15" s="134" t="s">
        <v>435</v>
      </c>
      <c r="B15" s="3">
        <f t="shared" ref="B15:J15" si="0">SUM(B3:B14)</f>
        <v>164.3850610801226</v>
      </c>
      <c r="C15" s="3">
        <f t="shared" si="0"/>
        <v>407.73231625930111</v>
      </c>
      <c r="D15" s="3">
        <f t="shared" si="0"/>
        <v>474.1362938138472</v>
      </c>
      <c r="E15" s="3">
        <f t="shared" si="0"/>
        <v>1024.9313559986965</v>
      </c>
      <c r="F15" s="3">
        <f t="shared" si="0"/>
        <v>1356.2270276602396</v>
      </c>
      <c r="G15" s="3">
        <f t="shared" si="0"/>
        <v>1969.4947804477497</v>
      </c>
      <c r="H15" s="3">
        <f t="shared" si="0"/>
        <v>4211.5836236209043</v>
      </c>
      <c r="I15" s="3">
        <f t="shared" si="0"/>
        <v>5088.3854640713507</v>
      </c>
      <c r="J15" s="3">
        <f t="shared" si="0"/>
        <v>8436.302874915018</v>
      </c>
      <c r="K15" s="3">
        <f t="shared" ref="K15:Q15" si="1">SUM(K3:K14)</f>
        <v>7590.429069059991</v>
      </c>
      <c r="L15" s="3">
        <f t="shared" si="1"/>
        <v>7243.0924326075265</v>
      </c>
      <c r="M15" s="3">
        <f t="shared" si="1"/>
        <v>8088.2551913502894</v>
      </c>
      <c r="N15" s="3">
        <f t="shared" si="1"/>
        <v>8431.0410965614392</v>
      </c>
      <c r="O15" s="3">
        <f t="shared" si="1"/>
        <v>8513.4677637185196</v>
      </c>
      <c r="P15" s="3">
        <f t="shared" si="1"/>
        <v>8804.6598042521109</v>
      </c>
      <c r="Q15" s="3">
        <f t="shared" si="1"/>
        <v>9455.8122828214127</v>
      </c>
    </row>
    <row r="16" spans="1:17" x14ac:dyDescent="0.2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C258-87F2-4556-9435-23EA978D39D5}">
  <dimension ref="A1:BB346"/>
  <sheetViews>
    <sheetView workbookViewId="0"/>
  </sheetViews>
  <sheetFormatPr defaultRowHeight="12.75" x14ac:dyDescent="0.2"/>
  <sheetData>
    <row r="1" spans="1:54" x14ac:dyDescent="0.2">
      <c r="B1" s="183" t="s">
        <v>436</v>
      </c>
      <c r="C1" s="183"/>
      <c r="D1" s="183"/>
      <c r="E1" s="183"/>
      <c r="F1" s="183"/>
      <c r="G1" s="183"/>
      <c r="H1" s="183"/>
      <c r="I1" s="183"/>
      <c r="J1" s="113"/>
      <c r="L1" s="183" t="s">
        <v>437</v>
      </c>
      <c r="M1" s="183"/>
      <c r="N1" s="183"/>
      <c r="O1" s="183"/>
      <c r="P1" s="183"/>
      <c r="Q1" s="183"/>
      <c r="R1" s="183"/>
      <c r="S1" s="183"/>
      <c r="T1" s="113"/>
      <c r="V1" s="183" t="s">
        <v>438</v>
      </c>
      <c r="W1" s="183"/>
      <c r="X1" s="183"/>
      <c r="Z1" s="183" t="s">
        <v>439</v>
      </c>
      <c r="AA1" s="183"/>
      <c r="AB1" s="183"/>
      <c r="AC1" s="183"/>
      <c r="AD1" s="183"/>
      <c r="AE1" s="183"/>
      <c r="AF1" s="183"/>
      <c r="AG1" s="183"/>
      <c r="AH1" s="113"/>
      <c r="AJ1" t="s">
        <v>440</v>
      </c>
      <c r="AT1" t="s">
        <v>441</v>
      </c>
    </row>
    <row r="2" spans="1:54" x14ac:dyDescent="0.2">
      <c r="B2" t="s">
        <v>183</v>
      </c>
      <c r="C2" t="s">
        <v>442</v>
      </c>
      <c r="D2" t="s">
        <v>257</v>
      </c>
      <c r="E2" t="s">
        <v>443</v>
      </c>
      <c r="F2" t="s">
        <v>444</v>
      </c>
      <c r="G2" t="s">
        <v>267</v>
      </c>
      <c r="H2" t="s">
        <v>348</v>
      </c>
      <c r="I2" t="s">
        <v>445</v>
      </c>
      <c r="J2" t="s">
        <v>446</v>
      </c>
      <c r="L2" t="s">
        <v>183</v>
      </c>
      <c r="M2" t="s">
        <v>442</v>
      </c>
      <c r="N2" t="s">
        <v>257</v>
      </c>
      <c r="O2" t="s">
        <v>443</v>
      </c>
      <c r="P2" t="s">
        <v>444</v>
      </c>
      <c r="Q2" t="s">
        <v>267</v>
      </c>
      <c r="R2" t="s">
        <v>348</v>
      </c>
      <c r="S2" t="s">
        <v>445</v>
      </c>
      <c r="T2" t="s">
        <v>446</v>
      </c>
      <c r="V2" t="s">
        <v>396</v>
      </c>
      <c r="W2" t="s">
        <v>385</v>
      </c>
      <c r="X2" t="s">
        <v>447</v>
      </c>
      <c r="Z2" t="s">
        <v>183</v>
      </c>
      <c r="AA2" t="s">
        <v>442</v>
      </c>
      <c r="AB2" t="s">
        <v>257</v>
      </c>
      <c r="AC2" t="s">
        <v>443</v>
      </c>
      <c r="AD2" t="s">
        <v>444</v>
      </c>
      <c r="AE2" t="s">
        <v>267</v>
      </c>
      <c r="AF2" t="s">
        <v>348</v>
      </c>
      <c r="AG2" t="s">
        <v>445</v>
      </c>
      <c r="AH2" t="s">
        <v>446</v>
      </c>
      <c r="AJ2" t="s">
        <v>183</v>
      </c>
      <c r="AK2" t="s">
        <v>442</v>
      </c>
      <c r="AL2" t="s">
        <v>257</v>
      </c>
      <c r="AM2" t="s">
        <v>443</v>
      </c>
      <c r="AN2" t="s">
        <v>444</v>
      </c>
      <c r="AO2" t="s">
        <v>267</v>
      </c>
      <c r="AP2" t="s">
        <v>348</v>
      </c>
      <c r="AQ2" t="s">
        <v>445</v>
      </c>
      <c r="AR2" t="s">
        <v>446</v>
      </c>
      <c r="AT2" t="s">
        <v>183</v>
      </c>
      <c r="AU2" t="s">
        <v>442</v>
      </c>
      <c r="AV2" t="s">
        <v>257</v>
      </c>
      <c r="AW2" t="s">
        <v>443</v>
      </c>
      <c r="AX2" t="s">
        <v>444</v>
      </c>
      <c r="AY2" t="s">
        <v>267</v>
      </c>
      <c r="AZ2" t="s">
        <v>348</v>
      </c>
      <c r="BA2" t="s">
        <v>445</v>
      </c>
      <c r="BB2" t="s">
        <v>446</v>
      </c>
    </row>
    <row r="3" spans="1:54" x14ac:dyDescent="0.2">
      <c r="A3" s="15">
        <v>40179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3">
        <f>'[2]US EIA'!$S138</f>
        <v>26.606940999999999</v>
      </c>
    </row>
    <row r="4" spans="1:54" x14ac:dyDescent="0.2">
      <c r="A4" s="15">
        <v>40210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3">
        <f>'[2]US EIA'!$S139</f>
        <v>29.246338999999999</v>
      </c>
    </row>
    <row r="5" spans="1:54" x14ac:dyDescent="0.2">
      <c r="A5" s="15">
        <v>40238</v>
      </c>
      <c r="V5" s="3">
        <f>'[2]US EIA'!$S140</f>
        <v>33.772053999999997</v>
      </c>
    </row>
    <row r="6" spans="1:54" x14ac:dyDescent="0.2">
      <c r="A6" s="15">
        <v>40269</v>
      </c>
      <c r="V6" s="3">
        <f>'[2]US EIA'!$S141</f>
        <v>34.189838000000002</v>
      </c>
    </row>
    <row r="7" spans="1:54" x14ac:dyDescent="0.2">
      <c r="A7" s="15">
        <v>40299</v>
      </c>
      <c r="V7" s="3">
        <f>'[2]US EIA'!$S142</f>
        <v>31.915064000000001</v>
      </c>
    </row>
    <row r="8" spans="1:54" x14ac:dyDescent="0.2">
      <c r="A8" s="15">
        <v>40330</v>
      </c>
      <c r="V8" s="3">
        <f>'[2]US EIA'!$S143</f>
        <v>27.066293999999999</v>
      </c>
    </row>
    <row r="9" spans="1:54" x14ac:dyDescent="0.2">
      <c r="A9" s="15">
        <v>40360</v>
      </c>
      <c r="V9" s="3">
        <f>'[2]US EIA'!$S144</f>
        <v>27.597480999999998</v>
      </c>
    </row>
    <row r="10" spans="1:54" x14ac:dyDescent="0.2">
      <c r="A10" s="15">
        <v>40391</v>
      </c>
      <c r="V10" s="3">
        <f>'[2]US EIA'!$S145</f>
        <v>27.427433000000001</v>
      </c>
    </row>
    <row r="11" spans="1:54" x14ac:dyDescent="0.2">
      <c r="A11" s="15">
        <v>40422</v>
      </c>
      <c r="V11" s="3">
        <f>'[2]US EIA'!$S146</f>
        <v>30.356883</v>
      </c>
    </row>
    <row r="12" spans="1:54" x14ac:dyDescent="0.2">
      <c r="A12" s="15">
        <v>40452</v>
      </c>
      <c r="V12" s="3">
        <f>'[2]US EIA'!$S147</f>
        <v>28.404342</v>
      </c>
    </row>
    <row r="13" spans="1:54" x14ac:dyDescent="0.2">
      <c r="A13" s="15">
        <v>40483</v>
      </c>
      <c r="V13" s="3">
        <f>'[2]US EIA'!$S148</f>
        <v>22.167712999999999</v>
      </c>
    </row>
    <row r="14" spans="1:54" x14ac:dyDescent="0.2">
      <c r="A14" s="15">
        <v>40513</v>
      </c>
      <c r="V14" s="3">
        <f>'[2]US EIA'!$S149</f>
        <v>24.694725999999999</v>
      </c>
    </row>
    <row r="15" spans="1:54" x14ac:dyDescent="0.2">
      <c r="A15" s="15">
        <v>40544</v>
      </c>
      <c r="V15" s="3">
        <f>'[2]US EIA'!$S150</f>
        <v>35.355468999999999</v>
      </c>
    </row>
    <row r="16" spans="1:54" x14ac:dyDescent="0.2">
      <c r="A16" s="15">
        <v>40575</v>
      </c>
      <c r="V16" s="3">
        <f>'[2]US EIA'!$S151</f>
        <v>40.342354999999998</v>
      </c>
    </row>
    <row r="17" spans="1:22" x14ac:dyDescent="0.2">
      <c r="A17" s="15">
        <v>40603</v>
      </c>
      <c r="V17" s="3">
        <f>'[2]US EIA'!$S152</f>
        <v>59.590170000000001</v>
      </c>
    </row>
    <row r="18" spans="1:22" x14ac:dyDescent="0.2">
      <c r="A18" s="15">
        <v>40634</v>
      </c>
      <c r="V18" s="3">
        <f>'[2]US EIA'!$S153</f>
        <v>71.051699999999997</v>
      </c>
    </row>
    <row r="19" spans="1:22" x14ac:dyDescent="0.2">
      <c r="A19" s="15">
        <v>40664</v>
      </c>
      <c r="V19" s="3">
        <f>'[2]US EIA'!$S154</f>
        <v>77.196652</v>
      </c>
    </row>
    <row r="20" spans="1:22" x14ac:dyDescent="0.2">
      <c r="A20" s="15">
        <v>40695</v>
      </c>
      <c r="V20" s="3">
        <f>'[2]US EIA'!$S155</f>
        <v>81.391040000000004</v>
      </c>
    </row>
    <row r="21" spans="1:22" x14ac:dyDescent="0.2">
      <c r="A21" s="15">
        <v>40725</v>
      </c>
      <c r="V21" s="3">
        <f>'[2]US EIA'!$S156</f>
        <v>91.679738</v>
      </c>
    </row>
    <row r="22" spans="1:22" x14ac:dyDescent="0.2">
      <c r="A22" s="15">
        <v>40756</v>
      </c>
      <c r="V22" s="3">
        <f>'[2]US EIA'!$S157</f>
        <v>95.484891000000005</v>
      </c>
    </row>
    <row r="23" spans="1:22" x14ac:dyDescent="0.2">
      <c r="A23" s="15">
        <v>40787</v>
      </c>
      <c r="V23" s="3">
        <f>'[2]US EIA'!$S158</f>
        <v>95.942150999999996</v>
      </c>
    </row>
    <row r="24" spans="1:22" x14ac:dyDescent="0.2">
      <c r="A24" s="15">
        <v>40817</v>
      </c>
      <c r="V24" s="3">
        <f>'[2]US EIA'!$S159</f>
        <v>105.342474</v>
      </c>
    </row>
    <row r="25" spans="1:22" x14ac:dyDescent="0.2">
      <c r="A25" s="15">
        <v>40848</v>
      </c>
      <c r="V25" s="3">
        <f>'[2]US EIA'!$S160</f>
        <v>104.747315</v>
      </c>
    </row>
    <row r="26" spans="1:22" x14ac:dyDescent="0.2">
      <c r="A26" s="15">
        <v>40878</v>
      </c>
      <c r="V26" s="3">
        <f>'[2]US EIA'!$S161</f>
        <v>109.357332</v>
      </c>
    </row>
    <row r="27" spans="1:22" x14ac:dyDescent="0.2">
      <c r="A27" s="15">
        <v>40909</v>
      </c>
      <c r="V27" s="3">
        <f>'[2]US EIA'!$S162</f>
        <v>73.546000000000006</v>
      </c>
    </row>
    <row r="28" spans="1:22" x14ac:dyDescent="0.2">
      <c r="A28" s="15">
        <v>40940</v>
      </c>
      <c r="V28" s="3">
        <f>'[2]US EIA'!$S163</f>
        <v>79.236000000000004</v>
      </c>
    </row>
    <row r="29" spans="1:22" x14ac:dyDescent="0.2">
      <c r="A29" s="15">
        <v>40969</v>
      </c>
      <c r="V29" s="3">
        <f>'[2]US EIA'!$S164</f>
        <v>94.524000000000001</v>
      </c>
    </row>
    <row r="30" spans="1:22" x14ac:dyDescent="0.2">
      <c r="A30" s="15">
        <v>41000</v>
      </c>
      <c r="V30" s="3">
        <f>'[2]US EIA'!$S165</f>
        <v>93.942999999999998</v>
      </c>
    </row>
    <row r="31" spans="1:22" x14ac:dyDescent="0.2">
      <c r="A31" s="15">
        <v>41030</v>
      </c>
      <c r="V31" s="3">
        <f>'[2]US EIA'!$S166</f>
        <v>101.97</v>
      </c>
    </row>
    <row r="32" spans="1:22" x14ac:dyDescent="0.2">
      <c r="A32" s="15">
        <v>41061</v>
      </c>
      <c r="V32" s="3">
        <f>'[2]US EIA'!$S167</f>
        <v>93.373999999999995</v>
      </c>
    </row>
    <row r="33" spans="1:22" x14ac:dyDescent="0.2">
      <c r="A33" s="15">
        <v>41091</v>
      </c>
      <c r="V33" s="3">
        <f>'[2]US EIA'!$S168</f>
        <v>89.316999999999993</v>
      </c>
    </row>
    <row r="34" spans="1:22" x14ac:dyDescent="0.2">
      <c r="A34" s="15">
        <v>41122</v>
      </c>
      <c r="V34" s="3">
        <f>'[2]US EIA'!$S169</f>
        <v>91.405000000000001</v>
      </c>
    </row>
    <row r="35" spans="1:22" x14ac:dyDescent="0.2">
      <c r="A35" s="15">
        <v>41153</v>
      </c>
      <c r="V35" s="3">
        <f>'[2]US EIA'!$S170</f>
        <v>81.852999999999994</v>
      </c>
    </row>
    <row r="36" spans="1:22" x14ac:dyDescent="0.2">
      <c r="A36" s="15">
        <v>41183</v>
      </c>
      <c r="V36" s="3">
        <f>'[2]US EIA'!$S171</f>
        <v>75.283000000000001</v>
      </c>
    </row>
    <row r="37" spans="1:22" x14ac:dyDescent="0.2">
      <c r="A37" s="15">
        <v>41214</v>
      </c>
      <c r="V37" s="3">
        <f>'[2]US EIA'!$S172</f>
        <v>57.228999999999999</v>
      </c>
    </row>
    <row r="38" spans="1:22" x14ac:dyDescent="0.2">
      <c r="A38" s="15">
        <v>41244</v>
      </c>
      <c r="V38" s="3">
        <f>'[2]US EIA'!$S173</f>
        <v>59.031999999999996</v>
      </c>
    </row>
    <row r="39" spans="1:22" x14ac:dyDescent="0.2">
      <c r="A39" s="15">
        <v>41275</v>
      </c>
      <c r="V39" s="3">
        <f>'[2]US EIA'!$S174</f>
        <v>68.864000000000004</v>
      </c>
    </row>
    <row r="40" spans="1:22" x14ac:dyDescent="0.2">
      <c r="A40" s="15">
        <v>41306</v>
      </c>
      <c r="V40" s="3">
        <f>'[2]US EIA'!$S175</f>
        <v>70.233999999999995</v>
      </c>
    </row>
    <row r="41" spans="1:22" x14ac:dyDescent="0.2">
      <c r="A41" s="15">
        <v>41334</v>
      </c>
      <c r="V41" s="3">
        <f>'[2]US EIA'!$S176</f>
        <v>101.28400000000001</v>
      </c>
    </row>
    <row r="42" spans="1:22" x14ac:dyDescent="0.2">
      <c r="A42" s="15">
        <v>41365</v>
      </c>
      <c r="V42" s="3">
        <f>'[2]US EIA'!$S177</f>
        <v>107.01900000000001</v>
      </c>
    </row>
    <row r="43" spans="1:22" x14ac:dyDescent="0.2">
      <c r="A43" s="15">
        <v>41395</v>
      </c>
      <c r="V43" s="3">
        <f>'[2]US EIA'!$S178</f>
        <v>111.101</v>
      </c>
    </row>
    <row r="44" spans="1:22" x14ac:dyDescent="0.2">
      <c r="A44" s="15">
        <v>41426</v>
      </c>
      <c r="V44" s="3">
        <f>'[2]US EIA'!$S179</f>
        <v>113.369</v>
      </c>
    </row>
    <row r="45" spans="1:22" x14ac:dyDescent="0.2">
      <c r="A45" s="15">
        <v>41456</v>
      </c>
      <c r="V45" s="3">
        <f>'[2]US EIA'!$S180</f>
        <v>129.02600000000001</v>
      </c>
    </row>
    <row r="46" spans="1:22" x14ac:dyDescent="0.2">
      <c r="A46" s="15">
        <v>41487</v>
      </c>
      <c r="V46" s="3">
        <f>'[2]US EIA'!$S181</f>
        <v>129.619</v>
      </c>
    </row>
    <row r="47" spans="1:22" x14ac:dyDescent="0.2">
      <c r="A47" s="15">
        <v>41518</v>
      </c>
      <c r="V47" s="3">
        <f>'[2]US EIA'!$S182</f>
        <v>127.065</v>
      </c>
    </row>
    <row r="48" spans="1:22" x14ac:dyDescent="0.2">
      <c r="A48" s="15">
        <v>41548</v>
      </c>
      <c r="V48" s="3">
        <f>'[2]US EIA'!$S183</f>
        <v>137.434</v>
      </c>
    </row>
    <row r="49" spans="1:22" x14ac:dyDescent="0.2">
      <c r="A49" s="15">
        <v>41579</v>
      </c>
      <c r="V49" s="3">
        <f>'[2]US EIA'!$S184</f>
        <v>129.34100000000001</v>
      </c>
    </row>
    <row r="50" spans="1:22" x14ac:dyDescent="0.2">
      <c r="A50" s="15">
        <v>41609</v>
      </c>
      <c r="V50" s="3">
        <f>'[2]US EIA'!$S185</f>
        <v>135.1</v>
      </c>
    </row>
    <row r="51" spans="1:22" x14ac:dyDescent="0.2">
      <c r="A51" s="15">
        <v>41640</v>
      </c>
      <c r="V51" s="3">
        <f>'[2]US EIA'!$S186</f>
        <v>73</v>
      </c>
    </row>
    <row r="52" spans="1:22" x14ac:dyDescent="0.2">
      <c r="A52" s="15">
        <v>41671</v>
      </c>
      <c r="V52" s="3">
        <f>'[2]US EIA'!$S187</f>
        <v>76</v>
      </c>
    </row>
    <row r="53" spans="1:22" x14ac:dyDescent="0.2">
      <c r="A53" s="15">
        <v>41699</v>
      </c>
      <c r="V53" s="3">
        <f>'[2]US EIA'!$S188</f>
        <v>99</v>
      </c>
    </row>
    <row r="54" spans="1:22" x14ac:dyDescent="0.2">
      <c r="A54" s="15">
        <v>41730</v>
      </c>
      <c r="V54" s="3">
        <f>'[2]US EIA'!$S189</f>
        <v>93</v>
      </c>
    </row>
    <row r="55" spans="1:22" x14ac:dyDescent="0.2">
      <c r="A55" s="15">
        <v>41760</v>
      </c>
      <c r="V55" s="3">
        <f>'[2]US EIA'!$S190</f>
        <v>106</v>
      </c>
    </row>
    <row r="56" spans="1:22" x14ac:dyDescent="0.2">
      <c r="A56" s="15">
        <v>41791</v>
      </c>
      <c r="V56" s="3">
        <f>'[2]US EIA'!$S191</f>
        <v>110</v>
      </c>
    </row>
    <row r="57" spans="1:22" x14ac:dyDescent="0.2">
      <c r="A57" s="15">
        <v>41821</v>
      </c>
      <c r="V57" s="3">
        <f>'[2]US EIA'!$S192</f>
        <v>121</v>
      </c>
    </row>
    <row r="58" spans="1:22" x14ac:dyDescent="0.2">
      <c r="A58" s="15">
        <v>41852</v>
      </c>
      <c r="V58" s="3">
        <f>'[2]US EIA'!$S193</f>
        <v>124</v>
      </c>
    </row>
    <row r="59" spans="1:22" x14ac:dyDescent="0.2">
      <c r="A59" s="15">
        <v>41883</v>
      </c>
      <c r="V59" s="3">
        <f>'[2]US EIA'!$S194</f>
        <v>114</v>
      </c>
    </row>
    <row r="60" spans="1:22" x14ac:dyDescent="0.2">
      <c r="A60" s="15">
        <v>41913</v>
      </c>
      <c r="V60" s="3">
        <f>'[2]US EIA'!$S195</f>
        <v>122</v>
      </c>
    </row>
    <row r="61" spans="1:22" x14ac:dyDescent="0.2">
      <c r="A61" s="15">
        <v>41944</v>
      </c>
      <c r="V61" s="3">
        <f>'[2]US EIA'!$S196</f>
        <v>108</v>
      </c>
    </row>
    <row r="62" spans="1:22" x14ac:dyDescent="0.2">
      <c r="A62" s="15">
        <v>41974</v>
      </c>
      <c r="V62" s="3">
        <f>'[2]US EIA'!$S197</f>
        <v>124</v>
      </c>
    </row>
    <row r="63" spans="1:22" x14ac:dyDescent="0.2">
      <c r="A63" s="15">
        <v>42005</v>
      </c>
      <c r="V63" s="3">
        <f>'[2]US EIA'!$S198</f>
        <v>73</v>
      </c>
    </row>
    <row r="64" spans="1:22" x14ac:dyDescent="0.2">
      <c r="A64" s="15">
        <v>42036</v>
      </c>
      <c r="V64" s="3">
        <f>'[2]US EIA'!$S199</f>
        <v>78</v>
      </c>
    </row>
    <row r="65" spans="1:22" x14ac:dyDescent="0.2">
      <c r="A65" s="15">
        <v>42064</v>
      </c>
      <c r="V65" s="3">
        <f>'[2]US EIA'!$S200</f>
        <v>98</v>
      </c>
    </row>
    <row r="66" spans="1:22" x14ac:dyDescent="0.2">
      <c r="A66" s="15">
        <v>42095</v>
      </c>
      <c r="V66" s="3">
        <f>'[2]US EIA'!$S201</f>
        <v>108</v>
      </c>
    </row>
    <row r="67" spans="1:22" x14ac:dyDescent="0.2">
      <c r="A67" s="15">
        <v>42125</v>
      </c>
      <c r="V67" s="3">
        <f>'[2]US EIA'!$S202</f>
        <v>117</v>
      </c>
    </row>
    <row r="68" spans="1:22" x14ac:dyDescent="0.2">
      <c r="A68" s="15">
        <v>42156</v>
      </c>
      <c r="V68" s="3">
        <f>'[2]US EIA'!$S203</f>
        <v>122</v>
      </c>
    </row>
    <row r="69" spans="1:22" x14ac:dyDescent="0.2">
      <c r="A69" s="15">
        <v>42186</v>
      </c>
      <c r="V69" s="3">
        <f>'[2]US EIA'!$S204</f>
        <v>122</v>
      </c>
    </row>
    <row r="70" spans="1:22" x14ac:dyDescent="0.2">
      <c r="A70" s="15">
        <v>42217</v>
      </c>
      <c r="V70" s="3">
        <f>'[2]US EIA'!$S205</f>
        <v>124</v>
      </c>
    </row>
    <row r="71" spans="1:22" x14ac:dyDescent="0.2">
      <c r="A71" s="15">
        <v>42248</v>
      </c>
      <c r="V71" s="3">
        <f>'[2]US EIA'!$S206</f>
        <v>107</v>
      </c>
    </row>
    <row r="72" spans="1:22" x14ac:dyDescent="0.2">
      <c r="A72" s="15">
        <v>42278</v>
      </c>
      <c r="V72" s="3">
        <f>'[2]US EIA'!$S207</f>
        <v>106</v>
      </c>
    </row>
    <row r="73" spans="1:22" x14ac:dyDescent="0.2">
      <c r="A73" s="15">
        <v>42309</v>
      </c>
      <c r="V73" s="3">
        <f>'[2]US EIA'!$S208</f>
        <v>106</v>
      </c>
    </row>
    <row r="74" spans="1:22" x14ac:dyDescent="0.2">
      <c r="A74" s="15">
        <v>42339</v>
      </c>
      <c r="V74" s="3">
        <f>'[2]US EIA'!$S209</f>
        <v>108</v>
      </c>
    </row>
    <row r="75" spans="1:22" x14ac:dyDescent="0.2">
      <c r="A75" s="15">
        <v>42370</v>
      </c>
      <c r="V75" s="3">
        <f>'[2]US EIA'!$S210</f>
        <v>105</v>
      </c>
    </row>
    <row r="76" spans="1:22" x14ac:dyDescent="0.2">
      <c r="A76" s="15">
        <v>42401</v>
      </c>
      <c r="V76" s="3">
        <f>'[2]US EIA'!$S211</f>
        <v>105</v>
      </c>
    </row>
    <row r="77" spans="1:22" x14ac:dyDescent="0.2">
      <c r="A77" s="15">
        <v>42430</v>
      </c>
      <c r="V77" s="3">
        <f>'[2]US EIA'!$S212</f>
        <v>121</v>
      </c>
    </row>
    <row r="78" spans="1:22" x14ac:dyDescent="0.2">
      <c r="A78" s="15">
        <v>42461</v>
      </c>
      <c r="V78" s="3">
        <f>'[2]US EIA'!$S213</f>
        <v>120</v>
      </c>
    </row>
    <row r="79" spans="1:22" x14ac:dyDescent="0.2">
      <c r="A79" s="15">
        <v>42491</v>
      </c>
      <c r="V79" s="3">
        <f>'[2]US EIA'!$S214</f>
        <v>135</v>
      </c>
    </row>
    <row r="80" spans="1:22" x14ac:dyDescent="0.2">
      <c r="A80" s="15">
        <v>42522</v>
      </c>
      <c r="V80" s="3">
        <f>'[2]US EIA'!$S215</f>
        <v>135</v>
      </c>
    </row>
    <row r="81" spans="1:22" x14ac:dyDescent="0.2">
      <c r="A81" s="15">
        <v>42552</v>
      </c>
      <c r="V81" s="3">
        <f>'[2]US EIA'!$S216</f>
        <v>140</v>
      </c>
    </row>
    <row r="82" spans="1:22" x14ac:dyDescent="0.2">
      <c r="A82" s="15">
        <v>42583</v>
      </c>
      <c r="V82" s="3">
        <f>'[2]US EIA'!$S217</f>
        <v>142</v>
      </c>
    </row>
    <row r="83" spans="1:22" x14ac:dyDescent="0.2">
      <c r="A83" s="15">
        <v>42614</v>
      </c>
      <c r="V83" s="3">
        <f>'[2]US EIA'!$S218</f>
        <v>135</v>
      </c>
    </row>
    <row r="84" spans="1:22" x14ac:dyDescent="0.2">
      <c r="A84" s="15">
        <v>42644</v>
      </c>
      <c r="V84" s="3">
        <f>'[2]US EIA'!$S219</f>
        <v>143</v>
      </c>
    </row>
    <row r="85" spans="1:22" x14ac:dyDescent="0.2">
      <c r="A85" s="15">
        <v>42675</v>
      </c>
      <c r="V85" s="3">
        <f>'[2]US EIA'!$S220</f>
        <v>142</v>
      </c>
    </row>
    <row r="86" spans="1:22" x14ac:dyDescent="0.2">
      <c r="A86" s="15">
        <v>42705</v>
      </c>
      <c r="V86" s="3">
        <f>'[2]US EIA'!$S221</f>
        <v>143</v>
      </c>
    </row>
    <row r="87" spans="1:22" x14ac:dyDescent="0.2">
      <c r="A87" s="15">
        <v>42736</v>
      </c>
      <c r="V87" s="3">
        <f>'[2]US EIA'!$S222</f>
        <v>93</v>
      </c>
    </row>
    <row r="88" spans="1:22" x14ac:dyDescent="0.2">
      <c r="A88" s="15">
        <v>42767</v>
      </c>
      <c r="V88" s="3">
        <f>'[2]US EIA'!$S223</f>
        <v>94</v>
      </c>
    </row>
    <row r="89" spans="1:22" x14ac:dyDescent="0.2">
      <c r="A89" s="15">
        <v>42795</v>
      </c>
      <c r="V89" s="3">
        <f>'[2]US EIA'!$S224</f>
        <v>116</v>
      </c>
    </row>
    <row r="90" spans="1:22" x14ac:dyDescent="0.2">
      <c r="A90" s="15">
        <v>42826</v>
      </c>
      <c r="V90" s="3">
        <f>'[2]US EIA'!$S225</f>
        <v>127</v>
      </c>
    </row>
    <row r="91" spans="1:22" x14ac:dyDescent="0.2">
      <c r="A91" s="15">
        <v>42856</v>
      </c>
      <c r="V91" s="3">
        <f>'[2]US EIA'!$S226</f>
        <v>136</v>
      </c>
    </row>
    <row r="92" spans="1:22" x14ac:dyDescent="0.2">
      <c r="A92" s="15">
        <v>42887</v>
      </c>
      <c r="V92" s="3">
        <f>'[2]US EIA'!$S227</f>
        <v>140</v>
      </c>
    </row>
    <row r="93" spans="1:22" x14ac:dyDescent="0.2">
      <c r="A93" s="15">
        <v>42917</v>
      </c>
      <c r="V93" s="3">
        <f>'[2]US EIA'!$S228</f>
        <v>150</v>
      </c>
    </row>
    <row r="94" spans="1:22" x14ac:dyDescent="0.2">
      <c r="A94" s="15">
        <v>42948</v>
      </c>
      <c r="V94" s="3">
        <f>'[2]US EIA'!$S229</f>
        <v>149</v>
      </c>
    </row>
    <row r="95" spans="1:22" x14ac:dyDescent="0.2">
      <c r="A95" s="15">
        <v>42979</v>
      </c>
      <c r="V95" s="3">
        <f>'[2]US EIA'!$S230</f>
        <v>147</v>
      </c>
    </row>
    <row r="96" spans="1:22" x14ac:dyDescent="0.2">
      <c r="A96" s="15">
        <v>43009</v>
      </c>
      <c r="V96" s="3">
        <f>'[2]US EIA'!$S231</f>
        <v>148</v>
      </c>
    </row>
    <row r="97" spans="1:22" x14ac:dyDescent="0.2">
      <c r="A97" s="15">
        <v>43040</v>
      </c>
      <c r="V97" s="3">
        <f>'[2]US EIA'!$S232</f>
        <v>148</v>
      </c>
    </row>
    <row r="98" spans="1:22" x14ac:dyDescent="0.2">
      <c r="A98" s="15">
        <v>43070</v>
      </c>
      <c r="V98" s="3">
        <f>'[2]US EIA'!$S233</f>
        <v>148</v>
      </c>
    </row>
    <row r="99" spans="1:22" x14ac:dyDescent="0.2">
      <c r="A99" s="15">
        <v>43101</v>
      </c>
      <c r="V99" s="3">
        <f>'[2]US EIA'!$S234</f>
        <v>126</v>
      </c>
    </row>
    <row r="100" spans="1:22" x14ac:dyDescent="0.2">
      <c r="A100" s="15">
        <v>43132</v>
      </c>
      <c r="V100" s="3">
        <f>'[2]US EIA'!$S235</f>
        <v>128</v>
      </c>
    </row>
    <row r="101" spans="1:22" x14ac:dyDescent="0.2">
      <c r="A101" s="15">
        <v>43160</v>
      </c>
      <c r="V101" s="3">
        <f>'[2]US EIA'!$S236</f>
        <v>149</v>
      </c>
    </row>
    <row r="102" spans="1:22" x14ac:dyDescent="0.2">
      <c r="A102" s="15">
        <v>43191</v>
      </c>
      <c r="V102" s="3">
        <f>'[2]US EIA'!$S237</f>
        <v>143</v>
      </c>
    </row>
    <row r="103" spans="1:22" x14ac:dyDescent="0.2">
      <c r="A103" s="15">
        <v>43221</v>
      </c>
      <c r="V103" s="3">
        <f>'[2]US EIA'!$S238</f>
        <v>151</v>
      </c>
    </row>
    <row r="104" spans="1:22" x14ac:dyDescent="0.2">
      <c r="A104" s="15">
        <v>43252</v>
      </c>
      <c r="V104" s="3">
        <f>'[2]US EIA'!$S239</f>
        <v>159</v>
      </c>
    </row>
    <row r="105" spans="1:22" x14ac:dyDescent="0.2">
      <c r="A105" s="15">
        <v>43282</v>
      </c>
      <c r="V105" s="3">
        <f>'[2]US EIA'!$S240</f>
        <v>166</v>
      </c>
    </row>
    <row r="106" spans="1:22" x14ac:dyDescent="0.2">
      <c r="A106" s="15">
        <v>43313</v>
      </c>
      <c r="V106" s="3">
        <f>'[2]US EIA'!$S241</f>
        <v>172</v>
      </c>
    </row>
    <row r="107" spans="1:22" x14ac:dyDescent="0.2">
      <c r="A107" s="15">
        <v>43344</v>
      </c>
      <c r="V107" s="3">
        <f>'[2]US EIA'!$S242</f>
        <v>164</v>
      </c>
    </row>
    <row r="108" spans="1:22" x14ac:dyDescent="0.2">
      <c r="A108" s="15">
        <v>43374</v>
      </c>
      <c r="V108" s="3">
        <f>'[2]US EIA'!$S243</f>
        <v>171</v>
      </c>
    </row>
    <row r="109" spans="1:22" x14ac:dyDescent="0.2">
      <c r="A109" s="15">
        <v>43405</v>
      </c>
      <c r="V109" s="3">
        <f>'[2]US EIA'!$S244</f>
        <v>160</v>
      </c>
    </row>
    <row r="110" spans="1:22" x14ac:dyDescent="0.2">
      <c r="A110" s="15">
        <v>43435</v>
      </c>
      <c r="V110" s="3">
        <f>'[2]US EIA'!$S245</f>
        <v>168</v>
      </c>
    </row>
    <row r="111" spans="1:22" x14ac:dyDescent="0.2">
      <c r="A111" s="15">
        <v>43466</v>
      </c>
      <c r="V111" s="3">
        <f>'[2]US EIA'!$S246</f>
        <v>144</v>
      </c>
    </row>
    <row r="112" spans="1:22" x14ac:dyDescent="0.2">
      <c r="A112" s="15">
        <v>43497</v>
      </c>
      <c r="V112" s="3">
        <f>'[2]US EIA'!$S247</f>
        <v>131</v>
      </c>
    </row>
    <row r="113" spans="1:22" x14ac:dyDescent="0.2">
      <c r="A113" s="15">
        <v>43525</v>
      </c>
      <c r="V113" s="3">
        <f>'[2]US EIA'!$S248</f>
        <v>141</v>
      </c>
    </row>
    <row r="114" spans="1:22" x14ac:dyDescent="0.2">
      <c r="A114" s="15">
        <v>43556</v>
      </c>
      <c r="V114" s="3">
        <f>'[2]US EIA'!$S249</f>
        <v>152</v>
      </c>
    </row>
    <row r="115" spans="1:22" x14ac:dyDescent="0.2">
      <c r="A115" s="15">
        <v>43586</v>
      </c>
      <c r="V115" s="3">
        <f>'[2]US EIA'!$S250</f>
        <v>155</v>
      </c>
    </row>
    <row r="116" spans="1:22" x14ac:dyDescent="0.2">
      <c r="A116" s="15">
        <v>43617</v>
      </c>
      <c r="V116" s="3">
        <f>'[2]US EIA'!$S251</f>
        <v>142</v>
      </c>
    </row>
    <row r="117" spans="1:22" x14ac:dyDescent="0.2">
      <c r="A117" s="15">
        <v>43647</v>
      </c>
      <c r="V117" s="3">
        <f>'[2]US EIA'!$S252</f>
        <v>159</v>
      </c>
    </row>
    <row r="118" spans="1:22" x14ac:dyDescent="0.2">
      <c r="A118" s="15">
        <v>43678</v>
      </c>
      <c r="V118" s="3">
        <f>'[2]US EIA'!$S253</f>
        <v>156</v>
      </c>
    </row>
    <row r="119" spans="1:22" x14ac:dyDescent="0.2">
      <c r="A119" s="15">
        <v>43709</v>
      </c>
      <c r="V119" s="3">
        <f>'[2]US EIA'!$S254</f>
        <v>142</v>
      </c>
    </row>
    <row r="120" spans="1:22" x14ac:dyDescent="0.2">
      <c r="A120" s="15">
        <v>43739</v>
      </c>
      <c r="V120" s="3">
        <f>'[2]US EIA'!$S255</f>
        <v>144</v>
      </c>
    </row>
    <row r="121" spans="1:22" x14ac:dyDescent="0.2">
      <c r="A121" s="15">
        <v>43770</v>
      </c>
      <c r="V121" s="3">
        <f>'[2]US EIA'!$S256</f>
        <v>127</v>
      </c>
    </row>
    <row r="122" spans="1:22" x14ac:dyDescent="0.2">
      <c r="A122" s="15">
        <v>43800</v>
      </c>
      <c r="V122" s="3">
        <f>'[2]US EIA'!$S257</f>
        <v>133</v>
      </c>
    </row>
    <row r="123" spans="1:22" x14ac:dyDescent="0.2">
      <c r="A123" s="15">
        <v>43831</v>
      </c>
      <c r="V123" s="3">
        <f>'[2]US EIA'!$S258</f>
        <v>134</v>
      </c>
    </row>
    <row r="124" spans="1:22" x14ac:dyDescent="0.2">
      <c r="A124" s="15">
        <v>43862</v>
      </c>
      <c r="V124" s="3">
        <f>'[2]US EIA'!$S259</f>
        <v>132</v>
      </c>
    </row>
    <row r="125" spans="1:22" x14ac:dyDescent="0.2">
      <c r="A125" s="15">
        <v>43891</v>
      </c>
      <c r="V125" s="3">
        <f>'[2]US EIA'!$S260</f>
        <v>151</v>
      </c>
    </row>
    <row r="126" spans="1:22" x14ac:dyDescent="0.2">
      <c r="A126" s="15">
        <v>43922</v>
      </c>
      <c r="V126" s="3">
        <f>'[2]US EIA'!$S261</f>
        <v>144</v>
      </c>
    </row>
    <row r="127" spans="1:22" x14ac:dyDescent="0.2">
      <c r="A127" s="15">
        <v>43952</v>
      </c>
      <c r="V127" s="3">
        <f>'[2]US EIA'!$S262</f>
        <v>152</v>
      </c>
    </row>
    <row r="128" spans="1:22" x14ac:dyDescent="0.2">
      <c r="A128" s="15">
        <v>43983</v>
      </c>
      <c r="V128" s="3">
        <f>'[2]US EIA'!$S263</f>
        <v>151</v>
      </c>
    </row>
    <row r="129" spans="1:22" x14ac:dyDescent="0.2">
      <c r="A129" s="15">
        <v>44013</v>
      </c>
      <c r="V129" s="3">
        <f>'[2]US EIA'!$S264</f>
        <v>162</v>
      </c>
    </row>
    <row r="130" spans="1:22" x14ac:dyDescent="0.2">
      <c r="A130" s="15">
        <v>44044</v>
      </c>
      <c r="V130" s="3">
        <f>'[2]US EIA'!$S265</f>
        <v>163</v>
      </c>
    </row>
    <row r="131" spans="1:22" x14ac:dyDescent="0.2">
      <c r="A131" s="15">
        <v>44075</v>
      </c>
      <c r="V131" s="3">
        <f>'[2]US EIA'!$S266</f>
        <v>159</v>
      </c>
    </row>
    <row r="132" spans="1:22" x14ac:dyDescent="0.2">
      <c r="A132" s="15">
        <v>44105</v>
      </c>
      <c r="V132" s="3">
        <f>'[2]US EIA'!$S267</f>
        <v>160</v>
      </c>
    </row>
    <row r="133" spans="1:22" x14ac:dyDescent="0.2">
      <c r="A133" s="15">
        <v>44136</v>
      </c>
      <c r="V133" s="3">
        <f>'[2]US EIA'!$S268</f>
        <v>151</v>
      </c>
    </row>
    <row r="134" spans="1:22" x14ac:dyDescent="0.2">
      <c r="A134" s="15">
        <v>44166</v>
      </c>
      <c r="V134" s="3">
        <f>'[2]US EIA'!$S269</f>
        <v>158.56804967639999</v>
      </c>
    </row>
    <row r="135" spans="1:22" x14ac:dyDescent="0.2">
      <c r="A135" s="15">
        <v>44197</v>
      </c>
      <c r="V135" s="3">
        <f>'[2]US EIA'!$S270</f>
        <v>140.79400000000001</v>
      </c>
    </row>
    <row r="136" spans="1:22" x14ac:dyDescent="0.2">
      <c r="A136" s="15">
        <v>44228</v>
      </c>
      <c r="V136" s="3">
        <f>'[2]US EIA'!$S271</f>
        <v>108.27</v>
      </c>
    </row>
    <row r="137" spans="1:22" x14ac:dyDescent="0.2">
      <c r="A137" s="15">
        <v>44256</v>
      </c>
      <c r="V137" s="3">
        <f>'[2]US EIA'!$S272</f>
        <v>150.571</v>
      </c>
    </row>
    <row r="138" spans="1:22" x14ac:dyDescent="0.2">
      <c r="A138" s="15">
        <v>44287</v>
      </c>
      <c r="V138" s="3">
        <f>'[2]US EIA'!$S273</f>
        <v>144.03899999999999</v>
      </c>
    </row>
    <row r="139" spans="1:22" x14ac:dyDescent="0.2">
      <c r="A139" s="15">
        <v>44317</v>
      </c>
      <c r="V139" s="3">
        <f>'[2]US EIA'!$S274</f>
        <v>148.54599999999999</v>
      </c>
    </row>
    <row r="140" spans="1:22" x14ac:dyDescent="0.2">
      <c r="A140" s="15">
        <v>44348</v>
      </c>
      <c r="V140" s="3">
        <f>'[2]US EIA'!$S275</f>
        <v>143.429</v>
      </c>
    </row>
    <row r="141" spans="1:22" x14ac:dyDescent="0.2">
      <c r="A141" s="15">
        <v>44378</v>
      </c>
      <c r="V141" s="3">
        <f>'[2]US EIA'!$S276</f>
        <v>149.16999999999999</v>
      </c>
    </row>
    <row r="142" spans="1:22" x14ac:dyDescent="0.2">
      <c r="A142" s="15">
        <v>44409</v>
      </c>
      <c r="V142" s="3">
        <f>'[2]US EIA'!$S277</f>
        <v>149.50200000000001</v>
      </c>
    </row>
    <row r="143" spans="1:22" x14ac:dyDescent="0.2">
      <c r="A143" s="15">
        <v>44440</v>
      </c>
      <c r="V143" s="3">
        <f>'[2]US EIA'!$S278</f>
        <v>133.76499999999999</v>
      </c>
    </row>
    <row r="144" spans="1:22" x14ac:dyDescent="0.2">
      <c r="A144" s="15">
        <v>44470</v>
      </c>
      <c r="V144" s="3">
        <f>'[2]US EIA'!$S279</f>
        <v>145.87200000000001</v>
      </c>
    </row>
    <row r="145" spans="1:22" x14ac:dyDescent="0.2">
      <c r="A145" s="15">
        <v>44501</v>
      </c>
      <c r="V145" s="3">
        <f>'[2]US EIA'!$S280</f>
        <v>141.10400000000001</v>
      </c>
    </row>
    <row r="146" spans="1:22" x14ac:dyDescent="0.2">
      <c r="A146" s="15">
        <v>44531</v>
      </c>
      <c r="V146" s="3">
        <f>'[2]US EIA'!$S281</f>
        <v>153.76300000000001</v>
      </c>
    </row>
    <row r="147" spans="1:22" x14ac:dyDescent="0.2">
      <c r="A147" s="15">
        <v>44562</v>
      </c>
      <c r="V147" s="3">
        <f>'[2]US EIA'!$S282</f>
        <v>119.98699999999999</v>
      </c>
    </row>
    <row r="148" spans="1:22" x14ac:dyDescent="0.2">
      <c r="A148" s="15">
        <v>44593</v>
      </c>
      <c r="V148" s="3">
        <f>'[2]US EIA'!$S283</f>
        <v>113.685</v>
      </c>
    </row>
    <row r="149" spans="1:22" x14ac:dyDescent="0.2">
      <c r="A149" s="15">
        <v>44621</v>
      </c>
      <c r="V149" s="3">
        <f>'[2]US EIA'!$S284</f>
        <v>132.755</v>
      </c>
    </row>
    <row r="150" spans="1:22" x14ac:dyDescent="0.2">
      <c r="A150" s="15">
        <v>44652</v>
      </c>
      <c r="V150" s="3">
        <f>'[2]US EIA'!$S285</f>
        <v>126.742</v>
      </c>
    </row>
    <row r="151" spans="1:22" x14ac:dyDescent="0.2">
      <c r="A151" s="15">
        <v>44682</v>
      </c>
      <c r="V151" s="3">
        <f>'[2]US EIA'!$S286</f>
        <v>136.148</v>
      </c>
    </row>
    <row r="152" spans="1:22" x14ac:dyDescent="0.2">
      <c r="A152" s="15">
        <v>44713</v>
      </c>
      <c r="V152" s="3">
        <f>'[2]US EIA'!$S287</f>
        <v>137.149</v>
      </c>
    </row>
    <row r="153" spans="1:22" x14ac:dyDescent="0.2">
      <c r="A153" s="15">
        <v>44743</v>
      </c>
      <c r="V153" s="3">
        <f>'[2]US EIA'!$S288</f>
        <v>146.58000000000001</v>
      </c>
    </row>
    <row r="154" spans="1:22" x14ac:dyDescent="0.2">
      <c r="A154" s="15">
        <v>44774</v>
      </c>
      <c r="V154" s="3">
        <f>'[2]US EIA'!$S289</f>
        <v>147.78700000000001</v>
      </c>
    </row>
    <row r="155" spans="1:22" x14ac:dyDescent="0.2">
      <c r="A155" s="15">
        <v>44805</v>
      </c>
      <c r="V155" s="3">
        <f>'[2]US EIA'!$S290</f>
        <v>140.709</v>
      </c>
    </row>
    <row r="156" spans="1:22" x14ac:dyDescent="0.2">
      <c r="A156" s="15">
        <v>44835</v>
      </c>
      <c r="V156" s="3">
        <f>'[2]US EIA'!$S291</f>
        <v>145.48400000000001</v>
      </c>
    </row>
    <row r="157" spans="1:22" x14ac:dyDescent="0.2">
      <c r="A157" s="15">
        <v>44866</v>
      </c>
      <c r="V157" s="3">
        <f>'[2]US EIA'!$S292</f>
        <v>142.108</v>
      </c>
    </row>
    <row r="158" spans="1:22" x14ac:dyDescent="0.2">
      <c r="A158" s="15">
        <v>44896</v>
      </c>
    </row>
    <row r="159" spans="1:22" x14ac:dyDescent="0.2">
      <c r="A159" s="15">
        <v>44927</v>
      </c>
    </row>
    <row r="160" spans="1:22" x14ac:dyDescent="0.2">
      <c r="A160" s="15">
        <v>44958</v>
      </c>
    </row>
    <row r="161" spans="1:1" x14ac:dyDescent="0.2">
      <c r="A161" s="15">
        <v>44986</v>
      </c>
    </row>
    <row r="162" spans="1:1" x14ac:dyDescent="0.2">
      <c r="A162" s="15">
        <v>45017</v>
      </c>
    </row>
    <row r="163" spans="1:1" x14ac:dyDescent="0.2">
      <c r="A163" s="15">
        <v>45047</v>
      </c>
    </row>
    <row r="164" spans="1:1" x14ac:dyDescent="0.2">
      <c r="A164" s="15">
        <v>45078</v>
      </c>
    </row>
    <row r="165" spans="1:1" x14ac:dyDescent="0.2">
      <c r="A165" s="15">
        <v>45108</v>
      </c>
    </row>
    <row r="166" spans="1:1" x14ac:dyDescent="0.2">
      <c r="A166" s="15">
        <v>45139</v>
      </c>
    </row>
    <row r="167" spans="1:1" x14ac:dyDescent="0.2">
      <c r="A167" s="15">
        <v>45170</v>
      </c>
    </row>
    <row r="168" spans="1:1" x14ac:dyDescent="0.2">
      <c r="A168" s="15">
        <v>45200</v>
      </c>
    </row>
    <row r="169" spans="1:1" x14ac:dyDescent="0.2">
      <c r="A169" s="15">
        <v>45231</v>
      </c>
    </row>
    <row r="170" spans="1:1" x14ac:dyDescent="0.2">
      <c r="A170" s="15">
        <v>45261</v>
      </c>
    </row>
    <row r="171" spans="1:1" x14ac:dyDescent="0.2">
      <c r="A171" s="15">
        <v>45292</v>
      </c>
    </row>
    <row r="172" spans="1:1" x14ac:dyDescent="0.2">
      <c r="A172" s="15">
        <v>45323</v>
      </c>
    </row>
    <row r="173" spans="1:1" x14ac:dyDescent="0.2">
      <c r="A173" s="15">
        <v>45352</v>
      </c>
    </row>
    <row r="174" spans="1:1" x14ac:dyDescent="0.2">
      <c r="A174" s="15">
        <v>45383</v>
      </c>
    </row>
    <row r="175" spans="1:1" x14ac:dyDescent="0.2">
      <c r="A175" s="15">
        <v>45413</v>
      </c>
    </row>
    <row r="176" spans="1:1" x14ac:dyDescent="0.2">
      <c r="A176" s="15">
        <v>45444</v>
      </c>
    </row>
    <row r="177" spans="1:1" x14ac:dyDescent="0.2">
      <c r="A177" s="15">
        <v>45474</v>
      </c>
    </row>
    <row r="178" spans="1:1" x14ac:dyDescent="0.2">
      <c r="A178" s="15">
        <v>45505</v>
      </c>
    </row>
    <row r="179" spans="1:1" x14ac:dyDescent="0.2">
      <c r="A179" s="15">
        <v>45536</v>
      </c>
    </row>
    <row r="180" spans="1:1" x14ac:dyDescent="0.2">
      <c r="A180" s="15">
        <v>45566</v>
      </c>
    </row>
    <row r="181" spans="1:1" x14ac:dyDescent="0.2">
      <c r="A181" s="15">
        <v>45597</v>
      </c>
    </row>
    <row r="182" spans="1:1" x14ac:dyDescent="0.2">
      <c r="A182" s="15">
        <v>45627</v>
      </c>
    </row>
    <row r="183" spans="1:1" x14ac:dyDescent="0.2">
      <c r="A183" s="15">
        <v>45658</v>
      </c>
    </row>
    <row r="184" spans="1:1" x14ac:dyDescent="0.2">
      <c r="A184" s="15">
        <v>45689</v>
      </c>
    </row>
    <row r="185" spans="1:1" x14ac:dyDescent="0.2">
      <c r="A185" s="15">
        <v>45717</v>
      </c>
    </row>
    <row r="186" spans="1:1" x14ac:dyDescent="0.2">
      <c r="A186" s="15">
        <v>45748</v>
      </c>
    </row>
    <row r="187" spans="1:1" x14ac:dyDescent="0.2">
      <c r="A187" s="15">
        <v>45778</v>
      </c>
    </row>
    <row r="188" spans="1:1" x14ac:dyDescent="0.2">
      <c r="A188" s="15">
        <v>45809</v>
      </c>
    </row>
    <row r="189" spans="1:1" x14ac:dyDescent="0.2">
      <c r="A189" s="15">
        <v>45839</v>
      </c>
    </row>
    <row r="190" spans="1:1" x14ac:dyDescent="0.2">
      <c r="A190" s="15">
        <v>45870</v>
      </c>
    </row>
    <row r="191" spans="1:1" x14ac:dyDescent="0.2">
      <c r="A191" s="15">
        <v>45901</v>
      </c>
    </row>
    <row r="192" spans="1:1" x14ac:dyDescent="0.2">
      <c r="A192" s="15">
        <v>45931</v>
      </c>
    </row>
    <row r="193" spans="1:1" x14ac:dyDescent="0.2">
      <c r="A193" s="15">
        <v>45962</v>
      </c>
    </row>
    <row r="194" spans="1:1" x14ac:dyDescent="0.2">
      <c r="A194" s="15">
        <v>45992</v>
      </c>
    </row>
    <row r="195" spans="1:1" x14ac:dyDescent="0.2">
      <c r="A195" s="15">
        <v>46023</v>
      </c>
    </row>
    <row r="196" spans="1:1" x14ac:dyDescent="0.2">
      <c r="A196" s="15">
        <v>46054</v>
      </c>
    </row>
    <row r="197" spans="1:1" x14ac:dyDescent="0.2">
      <c r="A197" s="15">
        <v>46082</v>
      </c>
    </row>
    <row r="198" spans="1:1" x14ac:dyDescent="0.2">
      <c r="A198" s="15">
        <v>46113</v>
      </c>
    </row>
    <row r="199" spans="1:1" x14ac:dyDescent="0.2">
      <c r="A199" s="15">
        <v>46143</v>
      </c>
    </row>
    <row r="200" spans="1:1" x14ac:dyDescent="0.2">
      <c r="A200" s="15">
        <v>46174</v>
      </c>
    </row>
    <row r="201" spans="1:1" x14ac:dyDescent="0.2">
      <c r="A201" s="15">
        <v>46204</v>
      </c>
    </row>
    <row r="202" spans="1:1" x14ac:dyDescent="0.2">
      <c r="A202" s="15">
        <v>46235</v>
      </c>
    </row>
    <row r="203" spans="1:1" x14ac:dyDescent="0.2">
      <c r="A203" s="15">
        <v>46266</v>
      </c>
    </row>
    <row r="204" spans="1:1" x14ac:dyDescent="0.2">
      <c r="A204" s="15">
        <v>46296</v>
      </c>
    </row>
    <row r="205" spans="1:1" x14ac:dyDescent="0.2">
      <c r="A205" s="15">
        <v>46327</v>
      </c>
    </row>
    <row r="206" spans="1:1" x14ac:dyDescent="0.2">
      <c r="A206" s="15">
        <v>46357</v>
      </c>
    </row>
    <row r="207" spans="1:1" x14ac:dyDescent="0.2">
      <c r="A207" s="15">
        <v>46388</v>
      </c>
    </row>
    <row r="208" spans="1:1" x14ac:dyDescent="0.2">
      <c r="A208" s="15">
        <v>46419</v>
      </c>
    </row>
    <row r="209" spans="1:1" x14ac:dyDescent="0.2">
      <c r="A209" s="15">
        <v>46447</v>
      </c>
    </row>
    <row r="210" spans="1:1" x14ac:dyDescent="0.2">
      <c r="A210" s="15">
        <v>46478</v>
      </c>
    </row>
    <row r="211" spans="1:1" x14ac:dyDescent="0.2">
      <c r="A211" s="15">
        <v>46508</v>
      </c>
    </row>
    <row r="212" spans="1:1" x14ac:dyDescent="0.2">
      <c r="A212" s="15">
        <v>46539</v>
      </c>
    </row>
    <row r="213" spans="1:1" x14ac:dyDescent="0.2">
      <c r="A213" s="15">
        <v>46569</v>
      </c>
    </row>
    <row r="214" spans="1:1" x14ac:dyDescent="0.2">
      <c r="A214" s="15">
        <v>46600</v>
      </c>
    </row>
    <row r="215" spans="1:1" x14ac:dyDescent="0.2">
      <c r="A215" s="15">
        <v>46631</v>
      </c>
    </row>
    <row r="216" spans="1:1" x14ac:dyDescent="0.2">
      <c r="A216" s="15">
        <v>46661</v>
      </c>
    </row>
    <row r="217" spans="1:1" x14ac:dyDescent="0.2">
      <c r="A217" s="15">
        <v>46692</v>
      </c>
    </row>
    <row r="218" spans="1:1" x14ac:dyDescent="0.2">
      <c r="A218" s="15">
        <v>46722</v>
      </c>
    </row>
    <row r="219" spans="1:1" x14ac:dyDescent="0.2">
      <c r="A219" s="15">
        <v>46753</v>
      </c>
    </row>
    <row r="220" spans="1:1" x14ac:dyDescent="0.2">
      <c r="A220" s="15">
        <v>46784</v>
      </c>
    </row>
    <row r="221" spans="1:1" x14ac:dyDescent="0.2">
      <c r="A221" s="15">
        <v>46813</v>
      </c>
    </row>
    <row r="222" spans="1:1" x14ac:dyDescent="0.2">
      <c r="A222" s="15">
        <v>46844</v>
      </c>
    </row>
    <row r="223" spans="1:1" x14ac:dyDescent="0.2">
      <c r="A223" s="15">
        <v>46874</v>
      </c>
    </row>
    <row r="224" spans="1:1" x14ac:dyDescent="0.2">
      <c r="A224" s="15">
        <v>46905</v>
      </c>
    </row>
    <row r="225" spans="1:1" x14ac:dyDescent="0.2">
      <c r="A225" s="15">
        <v>46935</v>
      </c>
    </row>
    <row r="226" spans="1:1" x14ac:dyDescent="0.2">
      <c r="A226" s="15">
        <v>46966</v>
      </c>
    </row>
    <row r="227" spans="1:1" x14ac:dyDescent="0.2">
      <c r="A227" s="15">
        <v>46997</v>
      </c>
    </row>
    <row r="228" spans="1:1" x14ac:dyDescent="0.2">
      <c r="A228" s="15">
        <v>47027</v>
      </c>
    </row>
    <row r="229" spans="1:1" x14ac:dyDescent="0.2">
      <c r="A229" s="15">
        <v>47058</v>
      </c>
    </row>
    <row r="230" spans="1:1" x14ac:dyDescent="0.2">
      <c r="A230" s="15">
        <v>47088</v>
      </c>
    </row>
    <row r="231" spans="1:1" x14ac:dyDescent="0.2">
      <c r="A231" s="15">
        <v>47119</v>
      </c>
    </row>
    <row r="232" spans="1:1" x14ac:dyDescent="0.2">
      <c r="A232" s="15">
        <v>47150</v>
      </c>
    </row>
    <row r="233" spans="1:1" x14ac:dyDescent="0.2">
      <c r="A233" s="15">
        <v>47178</v>
      </c>
    </row>
    <row r="234" spans="1:1" x14ac:dyDescent="0.2">
      <c r="A234" s="15">
        <v>47209</v>
      </c>
    </row>
    <row r="235" spans="1:1" x14ac:dyDescent="0.2">
      <c r="A235" s="15">
        <v>47239</v>
      </c>
    </row>
    <row r="236" spans="1:1" x14ac:dyDescent="0.2">
      <c r="A236" s="15">
        <v>47270</v>
      </c>
    </row>
    <row r="237" spans="1:1" x14ac:dyDescent="0.2">
      <c r="A237" s="15">
        <v>47300</v>
      </c>
    </row>
    <row r="238" spans="1:1" x14ac:dyDescent="0.2">
      <c r="A238" s="15">
        <v>47331</v>
      </c>
    </row>
    <row r="239" spans="1:1" x14ac:dyDescent="0.2">
      <c r="A239" s="15">
        <v>47362</v>
      </c>
    </row>
    <row r="240" spans="1:1" x14ac:dyDescent="0.2">
      <c r="A240" s="15">
        <v>47392</v>
      </c>
    </row>
    <row r="241" spans="1:1" x14ac:dyDescent="0.2">
      <c r="A241" s="15">
        <v>47423</v>
      </c>
    </row>
    <row r="242" spans="1:1" x14ac:dyDescent="0.2">
      <c r="A242" s="15">
        <v>47453</v>
      </c>
    </row>
    <row r="243" spans="1:1" x14ac:dyDescent="0.2">
      <c r="A243" s="15">
        <v>47484</v>
      </c>
    </row>
    <row r="244" spans="1:1" x14ac:dyDescent="0.2">
      <c r="A244" s="15">
        <v>47515</v>
      </c>
    </row>
    <row r="245" spans="1:1" x14ac:dyDescent="0.2">
      <c r="A245" s="15">
        <v>47543</v>
      </c>
    </row>
    <row r="246" spans="1:1" x14ac:dyDescent="0.2">
      <c r="A246" s="15">
        <v>47574</v>
      </c>
    </row>
    <row r="247" spans="1:1" x14ac:dyDescent="0.2">
      <c r="A247" s="15">
        <v>47604</v>
      </c>
    </row>
    <row r="248" spans="1:1" x14ac:dyDescent="0.2">
      <c r="A248" s="15">
        <v>47635</v>
      </c>
    </row>
    <row r="249" spans="1:1" x14ac:dyDescent="0.2">
      <c r="A249" s="15">
        <v>47665</v>
      </c>
    </row>
    <row r="250" spans="1:1" x14ac:dyDescent="0.2">
      <c r="A250" s="15">
        <v>47696</v>
      </c>
    </row>
    <row r="251" spans="1:1" x14ac:dyDescent="0.2">
      <c r="A251" s="15">
        <v>47727</v>
      </c>
    </row>
    <row r="252" spans="1:1" x14ac:dyDescent="0.2">
      <c r="A252" s="15">
        <v>47757</v>
      </c>
    </row>
    <row r="253" spans="1:1" x14ac:dyDescent="0.2">
      <c r="A253" s="15">
        <v>47788</v>
      </c>
    </row>
    <row r="254" spans="1:1" x14ac:dyDescent="0.2">
      <c r="A254" s="15">
        <v>47818</v>
      </c>
    </row>
    <row r="255" spans="1:1" x14ac:dyDescent="0.2">
      <c r="A255" s="15">
        <v>47849</v>
      </c>
    </row>
    <row r="256" spans="1:1" x14ac:dyDescent="0.2">
      <c r="A256" s="15">
        <v>47880</v>
      </c>
    </row>
    <row r="257" spans="1:1" x14ac:dyDescent="0.2">
      <c r="A257" s="15">
        <v>47908</v>
      </c>
    </row>
    <row r="258" spans="1:1" x14ac:dyDescent="0.2">
      <c r="A258" s="15">
        <v>47939</v>
      </c>
    </row>
    <row r="259" spans="1:1" x14ac:dyDescent="0.2">
      <c r="A259" s="15">
        <v>47969</v>
      </c>
    </row>
    <row r="260" spans="1:1" x14ac:dyDescent="0.2">
      <c r="A260" s="15">
        <v>48000</v>
      </c>
    </row>
    <row r="261" spans="1:1" x14ac:dyDescent="0.2">
      <c r="A261" s="15">
        <v>48030</v>
      </c>
    </row>
    <row r="262" spans="1:1" x14ac:dyDescent="0.2">
      <c r="A262" s="15">
        <v>48061</v>
      </c>
    </row>
    <row r="263" spans="1:1" x14ac:dyDescent="0.2">
      <c r="A263" s="15">
        <v>48092</v>
      </c>
    </row>
    <row r="264" spans="1:1" x14ac:dyDescent="0.2">
      <c r="A264" s="15">
        <v>48122</v>
      </c>
    </row>
    <row r="265" spans="1:1" x14ac:dyDescent="0.2">
      <c r="A265" s="15">
        <v>48153</v>
      </c>
    </row>
    <row r="266" spans="1:1" x14ac:dyDescent="0.2">
      <c r="A266" s="15">
        <v>48183</v>
      </c>
    </row>
    <row r="267" spans="1:1" x14ac:dyDescent="0.2">
      <c r="A267" s="15">
        <v>48214</v>
      </c>
    </row>
    <row r="268" spans="1:1" x14ac:dyDescent="0.2">
      <c r="A268" s="15">
        <v>48245</v>
      </c>
    </row>
    <row r="269" spans="1:1" x14ac:dyDescent="0.2">
      <c r="A269" s="15">
        <v>48274</v>
      </c>
    </row>
    <row r="270" spans="1:1" x14ac:dyDescent="0.2">
      <c r="A270" s="15">
        <v>48305</v>
      </c>
    </row>
    <row r="271" spans="1:1" x14ac:dyDescent="0.2">
      <c r="A271" s="15">
        <v>48335</v>
      </c>
    </row>
    <row r="272" spans="1:1" x14ac:dyDescent="0.2">
      <c r="A272" s="15">
        <v>48366</v>
      </c>
    </row>
    <row r="273" spans="1:1" x14ac:dyDescent="0.2">
      <c r="A273" s="15">
        <v>48396</v>
      </c>
    </row>
    <row r="274" spans="1:1" x14ac:dyDescent="0.2">
      <c r="A274" s="15">
        <v>48427</v>
      </c>
    </row>
    <row r="275" spans="1:1" x14ac:dyDescent="0.2">
      <c r="A275" s="15">
        <v>48458</v>
      </c>
    </row>
    <row r="276" spans="1:1" x14ac:dyDescent="0.2">
      <c r="A276" s="15">
        <v>48488</v>
      </c>
    </row>
    <row r="277" spans="1:1" x14ac:dyDescent="0.2">
      <c r="A277" s="15">
        <v>48519</v>
      </c>
    </row>
    <row r="278" spans="1:1" x14ac:dyDescent="0.2">
      <c r="A278" s="15">
        <v>48549</v>
      </c>
    </row>
    <row r="279" spans="1:1" x14ac:dyDescent="0.2">
      <c r="A279" s="15">
        <v>48580</v>
      </c>
    </row>
    <row r="280" spans="1:1" x14ac:dyDescent="0.2">
      <c r="A280" s="15">
        <v>48611</v>
      </c>
    </row>
    <row r="281" spans="1:1" x14ac:dyDescent="0.2">
      <c r="A281" s="15">
        <v>48639</v>
      </c>
    </row>
    <row r="282" spans="1:1" x14ac:dyDescent="0.2">
      <c r="A282" s="15">
        <v>48670</v>
      </c>
    </row>
    <row r="283" spans="1:1" x14ac:dyDescent="0.2">
      <c r="A283" s="15">
        <v>48700</v>
      </c>
    </row>
    <row r="284" spans="1:1" x14ac:dyDescent="0.2">
      <c r="A284" s="15">
        <v>48731</v>
      </c>
    </row>
    <row r="285" spans="1:1" x14ac:dyDescent="0.2">
      <c r="A285" s="15">
        <v>48761</v>
      </c>
    </row>
    <row r="286" spans="1:1" x14ac:dyDescent="0.2">
      <c r="A286" s="15">
        <v>48792</v>
      </c>
    </row>
    <row r="287" spans="1:1" x14ac:dyDescent="0.2">
      <c r="A287" s="15">
        <v>48823</v>
      </c>
    </row>
    <row r="288" spans="1:1" x14ac:dyDescent="0.2">
      <c r="A288" s="15">
        <v>48853</v>
      </c>
    </row>
    <row r="289" spans="1:1" x14ac:dyDescent="0.2">
      <c r="A289" s="15">
        <v>48884</v>
      </c>
    </row>
    <row r="290" spans="1:1" x14ac:dyDescent="0.2">
      <c r="A290" s="15">
        <v>48914</v>
      </c>
    </row>
    <row r="291" spans="1:1" x14ac:dyDescent="0.2">
      <c r="A291" s="15">
        <v>48945</v>
      </c>
    </row>
    <row r="292" spans="1:1" x14ac:dyDescent="0.2">
      <c r="A292" s="15">
        <v>48976</v>
      </c>
    </row>
    <row r="293" spans="1:1" x14ac:dyDescent="0.2">
      <c r="A293" s="15">
        <v>49004</v>
      </c>
    </row>
    <row r="294" spans="1:1" x14ac:dyDescent="0.2">
      <c r="A294" s="15">
        <v>49035</v>
      </c>
    </row>
    <row r="295" spans="1:1" x14ac:dyDescent="0.2">
      <c r="A295" s="15">
        <v>49065</v>
      </c>
    </row>
    <row r="296" spans="1:1" x14ac:dyDescent="0.2">
      <c r="A296" s="15">
        <v>49096</v>
      </c>
    </row>
    <row r="297" spans="1:1" x14ac:dyDescent="0.2">
      <c r="A297" s="15">
        <v>49126</v>
      </c>
    </row>
    <row r="298" spans="1:1" x14ac:dyDescent="0.2">
      <c r="A298" s="15">
        <v>49157</v>
      </c>
    </row>
    <row r="299" spans="1:1" x14ac:dyDescent="0.2">
      <c r="A299" s="15">
        <v>49188</v>
      </c>
    </row>
    <row r="300" spans="1:1" x14ac:dyDescent="0.2">
      <c r="A300" s="15">
        <v>49218</v>
      </c>
    </row>
    <row r="301" spans="1:1" x14ac:dyDescent="0.2">
      <c r="A301" s="15">
        <v>49249</v>
      </c>
    </row>
    <row r="302" spans="1:1" x14ac:dyDescent="0.2">
      <c r="A302" s="15">
        <v>49279</v>
      </c>
    </row>
    <row r="303" spans="1:1" x14ac:dyDescent="0.2">
      <c r="A303" s="15">
        <v>49310</v>
      </c>
    </row>
    <row r="304" spans="1:1" x14ac:dyDescent="0.2">
      <c r="A304" s="15">
        <v>49341</v>
      </c>
    </row>
    <row r="305" spans="1:1" x14ac:dyDescent="0.2">
      <c r="A305" s="15">
        <v>49369</v>
      </c>
    </row>
    <row r="306" spans="1:1" x14ac:dyDescent="0.2">
      <c r="A306" s="15">
        <v>49400</v>
      </c>
    </row>
    <row r="307" spans="1:1" x14ac:dyDescent="0.2">
      <c r="A307" s="15">
        <v>49430</v>
      </c>
    </row>
    <row r="308" spans="1:1" x14ac:dyDescent="0.2">
      <c r="A308" s="15">
        <v>49461</v>
      </c>
    </row>
    <row r="309" spans="1:1" x14ac:dyDescent="0.2">
      <c r="A309" s="15">
        <v>49491</v>
      </c>
    </row>
    <row r="310" spans="1:1" x14ac:dyDescent="0.2">
      <c r="A310" s="15">
        <v>49522</v>
      </c>
    </row>
    <row r="311" spans="1:1" x14ac:dyDescent="0.2">
      <c r="A311" s="15">
        <v>49553</v>
      </c>
    </row>
    <row r="312" spans="1:1" x14ac:dyDescent="0.2">
      <c r="A312" s="15">
        <v>49583</v>
      </c>
    </row>
    <row r="313" spans="1:1" x14ac:dyDescent="0.2">
      <c r="A313" s="15">
        <v>49614</v>
      </c>
    </row>
    <row r="314" spans="1:1" x14ac:dyDescent="0.2">
      <c r="A314" s="15">
        <v>49644</v>
      </c>
    </row>
    <row r="315" spans="1:1" x14ac:dyDescent="0.2">
      <c r="A315" s="15">
        <v>49675</v>
      </c>
    </row>
    <row r="316" spans="1:1" x14ac:dyDescent="0.2">
      <c r="A316" s="15">
        <v>49706</v>
      </c>
    </row>
    <row r="317" spans="1:1" x14ac:dyDescent="0.2">
      <c r="A317" s="15">
        <v>49735</v>
      </c>
    </row>
    <row r="318" spans="1:1" x14ac:dyDescent="0.2">
      <c r="A318" s="15">
        <v>49766</v>
      </c>
    </row>
    <row r="319" spans="1:1" x14ac:dyDescent="0.2">
      <c r="A319" s="15">
        <v>49796</v>
      </c>
    </row>
    <row r="320" spans="1:1" x14ac:dyDescent="0.2">
      <c r="A320" s="15">
        <v>49827</v>
      </c>
    </row>
    <row r="321" spans="1:1" x14ac:dyDescent="0.2">
      <c r="A321" s="15">
        <v>49857</v>
      </c>
    </row>
    <row r="322" spans="1:1" x14ac:dyDescent="0.2">
      <c r="A322" s="15">
        <v>49888</v>
      </c>
    </row>
    <row r="323" spans="1:1" x14ac:dyDescent="0.2">
      <c r="A323" s="15">
        <v>49919</v>
      </c>
    </row>
    <row r="324" spans="1:1" x14ac:dyDescent="0.2">
      <c r="A324" s="15">
        <v>49949</v>
      </c>
    </row>
    <row r="325" spans="1:1" x14ac:dyDescent="0.2">
      <c r="A325" s="15">
        <v>49980</v>
      </c>
    </row>
    <row r="326" spans="1:1" x14ac:dyDescent="0.2">
      <c r="A326" s="15">
        <v>50010</v>
      </c>
    </row>
    <row r="327" spans="1:1" x14ac:dyDescent="0.2">
      <c r="A327" s="15">
        <v>50041</v>
      </c>
    </row>
    <row r="328" spans="1:1" x14ac:dyDescent="0.2">
      <c r="A328" s="15">
        <v>50072</v>
      </c>
    </row>
    <row r="329" spans="1:1" x14ac:dyDescent="0.2">
      <c r="A329" s="15">
        <v>50100</v>
      </c>
    </row>
    <row r="330" spans="1:1" x14ac:dyDescent="0.2">
      <c r="A330" s="15">
        <v>50131</v>
      </c>
    </row>
    <row r="331" spans="1:1" x14ac:dyDescent="0.2">
      <c r="A331" s="15">
        <v>50161</v>
      </c>
    </row>
    <row r="332" spans="1:1" x14ac:dyDescent="0.2">
      <c r="A332" s="15">
        <v>50192</v>
      </c>
    </row>
    <row r="333" spans="1:1" x14ac:dyDescent="0.2">
      <c r="A333" s="15">
        <v>50222</v>
      </c>
    </row>
    <row r="334" spans="1:1" x14ac:dyDescent="0.2">
      <c r="A334" s="15">
        <v>50253</v>
      </c>
    </row>
    <row r="335" spans="1:1" x14ac:dyDescent="0.2">
      <c r="A335" s="15">
        <v>50284</v>
      </c>
    </row>
    <row r="336" spans="1:1" x14ac:dyDescent="0.2">
      <c r="A336" s="15">
        <v>50314</v>
      </c>
    </row>
    <row r="337" spans="1:1" x14ac:dyDescent="0.2">
      <c r="A337" s="15">
        <v>50345</v>
      </c>
    </row>
    <row r="338" spans="1:1" x14ac:dyDescent="0.2">
      <c r="A338" s="15">
        <v>50375</v>
      </c>
    </row>
    <row r="339" spans="1:1" x14ac:dyDescent="0.2">
      <c r="A339" s="15">
        <v>50406</v>
      </c>
    </row>
    <row r="340" spans="1:1" x14ac:dyDescent="0.2">
      <c r="A340" s="15">
        <v>50437</v>
      </c>
    </row>
    <row r="341" spans="1:1" x14ac:dyDescent="0.2">
      <c r="A341" s="15">
        <v>50465</v>
      </c>
    </row>
    <row r="342" spans="1:1" x14ac:dyDescent="0.2">
      <c r="A342" s="15">
        <v>50496</v>
      </c>
    </row>
    <row r="343" spans="1:1" x14ac:dyDescent="0.2">
      <c r="A343" s="15">
        <v>50526</v>
      </c>
    </row>
    <row r="344" spans="1:1" x14ac:dyDescent="0.2">
      <c r="A344" s="15">
        <v>50557</v>
      </c>
    </row>
    <row r="345" spans="1:1" x14ac:dyDescent="0.2">
      <c r="A345" s="15">
        <v>50587</v>
      </c>
    </row>
    <row r="346" spans="1:1" x14ac:dyDescent="0.2">
      <c r="A346" s="15">
        <v>50618</v>
      </c>
    </row>
  </sheetData>
  <mergeCells count="4">
    <mergeCell ref="B1:I1"/>
    <mergeCell ref="L1:S1"/>
    <mergeCell ref="V1:X1"/>
    <mergeCell ref="Z1:A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B43A-DFE7-4A8E-8868-0FE32EC48EFA}">
  <dimension ref="A1:P494"/>
  <sheetViews>
    <sheetView tabSelected="1" zoomScale="130" zoomScaleNormal="130" workbookViewId="0">
      <pane xSplit="1" ySplit="2" topLeftCell="B198" activePane="bottomRight" state="frozen"/>
      <selection pane="topRight"/>
      <selection pane="bottomLeft"/>
      <selection pane="bottomRight" activeCell="B195" sqref="B195:B204"/>
    </sheetView>
  </sheetViews>
  <sheetFormatPr defaultColWidth="9.33203125" defaultRowHeight="11.25" x14ac:dyDescent="0.2"/>
  <cols>
    <col min="1" max="1" width="10.83203125" style="154" bestFit="1" customWidth="1"/>
    <col min="2" max="15" width="10.6640625" style="153" customWidth="1"/>
    <col min="16" max="16384" width="9.33203125" style="154"/>
  </cols>
  <sheetData>
    <row r="1" spans="1:15" x14ac:dyDescent="0.2">
      <c r="A1" s="151" t="s">
        <v>385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2"/>
      <c r="N1" s="152"/>
    </row>
    <row r="2" spans="1:15" ht="22.5" x14ac:dyDescent="0.2">
      <c r="B2" s="153" t="s">
        <v>183</v>
      </c>
      <c r="C2" s="153" t="s">
        <v>442</v>
      </c>
      <c r="D2" s="153" t="s">
        <v>257</v>
      </c>
      <c r="E2" s="153" t="s">
        <v>445</v>
      </c>
      <c r="F2" s="153" t="s">
        <v>348</v>
      </c>
      <c r="G2" s="153" t="s">
        <v>443</v>
      </c>
      <c r="H2" s="153" t="s">
        <v>444</v>
      </c>
      <c r="I2" s="153" t="s">
        <v>267</v>
      </c>
      <c r="J2" s="153" t="s">
        <v>448</v>
      </c>
      <c r="K2" s="153" t="s">
        <v>449</v>
      </c>
      <c r="L2" s="153" t="s">
        <v>177</v>
      </c>
      <c r="M2" s="153" t="s">
        <v>450</v>
      </c>
      <c r="N2" s="153" t="s">
        <v>451</v>
      </c>
    </row>
    <row r="3" spans="1:15" x14ac:dyDescent="0.2">
      <c r="A3" s="155">
        <v>40179</v>
      </c>
      <c r="B3" s="156">
        <f>'[3]Soy Complex'!$AY422</f>
        <v>0</v>
      </c>
      <c r="C3" s="156">
        <f>'[3]Canola Complex'!$AY357</f>
        <v>0</v>
      </c>
      <c r="D3" s="156">
        <f>'[4]Distillers'' Corn Oil Complex'!$R122</f>
        <v>0</v>
      </c>
      <c r="E3" s="156">
        <f>'[4]Poultry Byproduct Complex'!$R261</f>
        <v>0</v>
      </c>
      <c r="F3" s="156">
        <f>'[4]CWG Complex'!$R124</f>
        <v>0</v>
      </c>
      <c r="G3" s="156">
        <f>'[4]Inedible Tallow Complex'!$R121</f>
        <v>0</v>
      </c>
      <c r="H3" s="156">
        <f>'[4]Yellow Grease Complex'!$R122</f>
        <v>0</v>
      </c>
      <c r="I3" s="156">
        <f>'[4]Used Cooking Oil Complex'!$R122</f>
        <v>0</v>
      </c>
      <c r="J3" s="156">
        <f t="shared" ref="J3:J66" si="0">C3+B3</f>
        <v>0</v>
      </c>
      <c r="K3" s="156">
        <f>SUM(E3:I3)</f>
        <v>0</v>
      </c>
      <c r="L3" s="156">
        <f t="shared" ref="L3:L66" si="1">K3+J3</f>
        <v>0</v>
      </c>
      <c r="M3" s="157" t="e">
        <f>#REF!/1000000</f>
        <v>#REF!</v>
      </c>
      <c r="N3" s="156"/>
      <c r="O3" s="156"/>
    </row>
    <row r="4" spans="1:15" x14ac:dyDescent="0.2">
      <c r="A4" s="155">
        <v>40210</v>
      </c>
      <c r="B4" s="156">
        <f>'[3]Soy Complex'!$AY423</f>
        <v>0</v>
      </c>
      <c r="C4" s="156">
        <f>'[3]Canola Complex'!$AY358</f>
        <v>0</v>
      </c>
      <c r="D4" s="156">
        <f>'[4]Distillers'' Corn Oil Complex'!$R123</f>
        <v>0</v>
      </c>
      <c r="E4" s="156">
        <f>'[4]Poultry Byproduct Complex'!$R262</f>
        <v>0</v>
      </c>
      <c r="F4" s="156">
        <f>'[4]CWG Complex'!$R125</f>
        <v>0</v>
      </c>
      <c r="G4" s="156">
        <f>'[4]Inedible Tallow Complex'!$R122</f>
        <v>0</v>
      </c>
      <c r="H4" s="156">
        <f>'[4]Yellow Grease Complex'!$R123</f>
        <v>0</v>
      </c>
      <c r="I4" s="156">
        <f>'[4]Used Cooking Oil Complex'!$R123</f>
        <v>0</v>
      </c>
      <c r="J4" s="156">
        <f t="shared" si="0"/>
        <v>0</v>
      </c>
      <c r="K4" s="156">
        <f t="shared" ref="K4:K67" si="2">SUM(E4:I4)</f>
        <v>0</v>
      </c>
      <c r="L4" s="156">
        <f t="shared" si="1"/>
        <v>0</v>
      </c>
      <c r="M4" s="157">
        <f>'[5]Renewable Diesel'!$B50/1000000</f>
        <v>0</v>
      </c>
      <c r="N4" s="156"/>
      <c r="O4" s="156"/>
    </row>
    <row r="5" spans="1:15" x14ac:dyDescent="0.2">
      <c r="A5" s="155">
        <v>40238</v>
      </c>
      <c r="B5" s="156">
        <f>'[3]Soy Complex'!$AY424</f>
        <v>0</v>
      </c>
      <c r="C5" s="156">
        <f>'[3]Canola Complex'!$AY359</f>
        <v>0</v>
      </c>
      <c r="D5" s="156">
        <f>'[4]Distillers'' Corn Oil Complex'!$R124</f>
        <v>0</v>
      </c>
      <c r="E5" s="156">
        <f>'[4]Poultry Byproduct Complex'!$R263</f>
        <v>0</v>
      </c>
      <c r="F5" s="156">
        <f>'[4]CWG Complex'!$R126</f>
        <v>0</v>
      </c>
      <c r="G5" s="156">
        <f>'[4]Inedible Tallow Complex'!$R123</f>
        <v>0</v>
      </c>
      <c r="H5" s="156">
        <f>'[4]Yellow Grease Complex'!$R124</f>
        <v>0</v>
      </c>
      <c r="I5" s="156">
        <f>'[4]Used Cooking Oil Complex'!$R124</f>
        <v>0</v>
      </c>
      <c r="J5" s="156">
        <f t="shared" si="0"/>
        <v>0</v>
      </c>
      <c r="K5" s="156">
        <f t="shared" si="2"/>
        <v>0</v>
      </c>
      <c r="L5" s="156">
        <f t="shared" si="1"/>
        <v>0</v>
      </c>
      <c r="M5" s="157">
        <f>'[5]Renewable Diesel'!$B51/1000000</f>
        <v>0</v>
      </c>
      <c r="N5" s="156"/>
      <c r="O5" s="156"/>
    </row>
    <row r="6" spans="1:15" x14ac:dyDescent="0.2">
      <c r="A6" s="155">
        <v>40269</v>
      </c>
      <c r="B6" s="156">
        <f>'[3]Soy Complex'!$AY425</f>
        <v>0</v>
      </c>
      <c r="C6" s="156">
        <f>'[3]Canola Complex'!$AY360</f>
        <v>0</v>
      </c>
      <c r="D6" s="156">
        <f>'[4]Distillers'' Corn Oil Complex'!$R125</f>
        <v>0</v>
      </c>
      <c r="E6" s="156">
        <f>'[4]Poultry Byproduct Complex'!$R264</f>
        <v>0</v>
      </c>
      <c r="F6" s="156">
        <f>'[4]CWG Complex'!$R127</f>
        <v>0</v>
      </c>
      <c r="G6" s="156">
        <f>'[4]Inedible Tallow Complex'!$R124</f>
        <v>0</v>
      </c>
      <c r="H6" s="156">
        <f>'[4]Yellow Grease Complex'!$R125</f>
        <v>0</v>
      </c>
      <c r="I6" s="156">
        <f>'[4]Used Cooking Oil Complex'!$R125</f>
        <v>0</v>
      </c>
      <c r="J6" s="156">
        <f t="shared" si="0"/>
        <v>0</v>
      </c>
      <c r="K6" s="156">
        <f t="shared" si="2"/>
        <v>0</v>
      </c>
      <c r="L6" s="156">
        <f t="shared" si="1"/>
        <v>0</v>
      </c>
      <c r="M6" s="157">
        <f>'[5]Renewable Diesel'!$B52/1000000</f>
        <v>0</v>
      </c>
      <c r="N6" s="156"/>
      <c r="O6" s="156"/>
    </row>
    <row r="7" spans="1:15" x14ac:dyDescent="0.2">
      <c r="A7" s="155">
        <v>40299</v>
      </c>
      <c r="B7" s="156">
        <f>'[3]Soy Complex'!$AY426</f>
        <v>0</v>
      </c>
      <c r="C7" s="156">
        <f>'[3]Canola Complex'!$AY361</f>
        <v>0</v>
      </c>
      <c r="D7" s="156">
        <f>'[4]Distillers'' Corn Oil Complex'!$R126</f>
        <v>0</v>
      </c>
      <c r="E7" s="156">
        <f>'[4]Poultry Byproduct Complex'!$R265</f>
        <v>0</v>
      </c>
      <c r="F7" s="156">
        <f>'[4]CWG Complex'!$R128</f>
        <v>0</v>
      </c>
      <c r="G7" s="156">
        <f>'[4]Inedible Tallow Complex'!$R125</f>
        <v>0</v>
      </c>
      <c r="H7" s="156">
        <f>'[4]Yellow Grease Complex'!$R126</f>
        <v>0</v>
      </c>
      <c r="I7" s="156">
        <f>'[4]Used Cooking Oil Complex'!$R126</f>
        <v>0</v>
      </c>
      <c r="J7" s="156">
        <f t="shared" si="0"/>
        <v>0</v>
      </c>
      <c r="K7" s="156">
        <f t="shared" si="2"/>
        <v>0</v>
      </c>
      <c r="L7" s="156">
        <f t="shared" si="1"/>
        <v>0</v>
      </c>
      <c r="M7" s="157">
        <f>'[5]Renewable Diesel'!$B53/1000000</f>
        <v>0</v>
      </c>
      <c r="N7" s="156"/>
      <c r="O7" s="156"/>
    </row>
    <row r="8" spans="1:15" x14ac:dyDescent="0.2">
      <c r="A8" s="155">
        <v>40330</v>
      </c>
      <c r="B8" s="156">
        <f>'[3]Soy Complex'!$AY427</f>
        <v>0</v>
      </c>
      <c r="C8" s="156">
        <f>'[3]Canola Complex'!$AY362</f>
        <v>0</v>
      </c>
      <c r="D8" s="156">
        <f>'[4]Distillers'' Corn Oil Complex'!$R127</f>
        <v>0</v>
      </c>
      <c r="E8" s="156">
        <f>'[4]Poultry Byproduct Complex'!$R266</f>
        <v>0</v>
      </c>
      <c r="F8" s="156">
        <f>'[4]CWG Complex'!$R129</f>
        <v>0</v>
      </c>
      <c r="G8" s="156">
        <f>'[4]Inedible Tallow Complex'!$R126</f>
        <v>0</v>
      </c>
      <c r="H8" s="156">
        <f>'[4]Yellow Grease Complex'!$R127</f>
        <v>0</v>
      </c>
      <c r="I8" s="156">
        <f>'[4]Used Cooking Oil Complex'!$R127</f>
        <v>0</v>
      </c>
      <c r="J8" s="156">
        <f t="shared" si="0"/>
        <v>0</v>
      </c>
      <c r="K8" s="156">
        <f t="shared" si="2"/>
        <v>0</v>
      </c>
      <c r="L8" s="156">
        <f t="shared" si="1"/>
        <v>0</v>
      </c>
      <c r="M8" s="157">
        <f>'[5]Renewable Diesel'!$B54/1000000</f>
        <v>0</v>
      </c>
      <c r="N8" s="156"/>
      <c r="O8" s="156"/>
    </row>
    <row r="9" spans="1:15" x14ac:dyDescent="0.2">
      <c r="A9" s="155">
        <v>40360</v>
      </c>
      <c r="B9" s="156">
        <f>'[3]Soy Complex'!$AY428</f>
        <v>0</v>
      </c>
      <c r="C9" s="156">
        <f>'[3]Canola Complex'!$AY363</f>
        <v>0</v>
      </c>
      <c r="D9" s="156">
        <f>'[4]Distillers'' Corn Oil Complex'!$R128</f>
        <v>0</v>
      </c>
      <c r="E9" s="156">
        <f>'[4]Poultry Byproduct Complex'!$R267</f>
        <v>0</v>
      </c>
      <c r="F9" s="156">
        <f>'[4]CWG Complex'!$R130</f>
        <v>0</v>
      </c>
      <c r="G9" s="156">
        <f>'[4]Inedible Tallow Complex'!$R127</f>
        <v>0</v>
      </c>
      <c r="H9" s="156">
        <f>'[4]Yellow Grease Complex'!$R128</f>
        <v>0</v>
      </c>
      <c r="I9" s="156">
        <f>'[4]Used Cooking Oil Complex'!$R128</f>
        <v>0</v>
      </c>
      <c r="J9" s="156">
        <f t="shared" si="0"/>
        <v>0</v>
      </c>
      <c r="K9" s="156">
        <f t="shared" si="2"/>
        <v>0</v>
      </c>
      <c r="L9" s="156">
        <f t="shared" si="1"/>
        <v>0</v>
      </c>
      <c r="M9" s="157">
        <f>'[5]Renewable Diesel'!$B55/1000000</f>
        <v>0.31499199999999999</v>
      </c>
      <c r="N9" s="156"/>
      <c r="O9" s="157">
        <f t="shared" ref="O9:O23" si="3">SUM(D8:I8,B8:C8)</f>
        <v>0</v>
      </c>
    </row>
    <row r="10" spans="1:15" x14ac:dyDescent="0.2">
      <c r="A10" s="155">
        <v>40391</v>
      </c>
      <c r="B10" s="156">
        <f>'[3]Soy Complex'!$AY429</f>
        <v>0</v>
      </c>
      <c r="C10" s="156">
        <f>'[3]Canola Complex'!$AY364</f>
        <v>0</v>
      </c>
      <c r="D10" s="156">
        <f>'[4]Distillers'' Corn Oil Complex'!$R129</f>
        <v>0</v>
      </c>
      <c r="E10" s="156">
        <f>'[4]Poultry Byproduct Complex'!$R268</f>
        <v>0</v>
      </c>
      <c r="F10" s="156">
        <f>'[4]CWG Complex'!$R131</f>
        <v>0</v>
      </c>
      <c r="G10" s="156">
        <f>'[4]Inedible Tallow Complex'!$R128</f>
        <v>0</v>
      </c>
      <c r="H10" s="156">
        <f>'[4]Yellow Grease Complex'!$R129</f>
        <v>0</v>
      </c>
      <c r="I10" s="156">
        <f>'[4]Used Cooking Oil Complex'!$R129</f>
        <v>0</v>
      </c>
      <c r="J10" s="156">
        <f t="shared" si="0"/>
        <v>0</v>
      </c>
      <c r="K10" s="156">
        <f t="shared" si="2"/>
        <v>0</v>
      </c>
      <c r="L10" s="156">
        <f t="shared" si="1"/>
        <v>0</v>
      </c>
      <c r="M10" s="157">
        <f>'[5]Renewable Diesel'!$B56/1000000</f>
        <v>0.73049799999999998</v>
      </c>
      <c r="N10" s="156"/>
      <c r="O10" s="157">
        <f t="shared" si="3"/>
        <v>0</v>
      </c>
    </row>
    <row r="11" spans="1:15" x14ac:dyDescent="0.2">
      <c r="A11" s="155">
        <v>40422</v>
      </c>
      <c r="B11" s="156">
        <f>'[3]Soy Complex'!$AY430</f>
        <v>0</v>
      </c>
      <c r="C11" s="156">
        <f>'[3]Canola Complex'!$AY365</f>
        <v>0</v>
      </c>
      <c r="D11" s="156">
        <f>'[4]Distillers'' Corn Oil Complex'!$R130</f>
        <v>0</v>
      </c>
      <c r="E11" s="156">
        <f>'[4]Poultry Byproduct Complex'!$R269</f>
        <v>0</v>
      </c>
      <c r="F11" s="156">
        <f>'[4]CWG Complex'!$R132</f>
        <v>0</v>
      </c>
      <c r="G11" s="156">
        <f>'[4]Inedible Tallow Complex'!$R129</f>
        <v>0</v>
      </c>
      <c r="H11" s="156">
        <f>'[4]Yellow Grease Complex'!$R130</f>
        <v>0</v>
      </c>
      <c r="I11" s="156">
        <f>'[4]Used Cooking Oil Complex'!$R130</f>
        <v>0</v>
      </c>
      <c r="J11" s="156">
        <f t="shared" si="0"/>
        <v>0</v>
      </c>
      <c r="K11" s="156">
        <f t="shared" si="2"/>
        <v>0</v>
      </c>
      <c r="L11" s="156">
        <f t="shared" si="1"/>
        <v>0</v>
      </c>
      <c r="M11" s="157">
        <f>'[5]Renewable Diesel'!$B57/1000000</f>
        <v>0.97373600000000005</v>
      </c>
      <c r="N11" s="156"/>
      <c r="O11" s="157">
        <f t="shared" si="3"/>
        <v>0</v>
      </c>
    </row>
    <row r="12" spans="1:15" x14ac:dyDescent="0.2">
      <c r="A12" s="155">
        <v>40452</v>
      </c>
      <c r="B12" s="156">
        <f>'[3]Soy Complex'!$AZ419</f>
        <v>0</v>
      </c>
      <c r="C12" s="156">
        <f>'[3]Canola Complex'!$AZ354</f>
        <v>0</v>
      </c>
      <c r="D12" s="156">
        <f>'[4]Distillers'' Corn Oil Complex'!$R131</f>
        <v>0</v>
      </c>
      <c r="E12" s="156">
        <f>'[4]Poultry Byproduct Complex'!$S258</f>
        <v>0</v>
      </c>
      <c r="F12" s="156">
        <f>'[4]CWG Complex'!$S121</f>
        <v>0</v>
      </c>
      <c r="G12" s="156">
        <f>'[4]Inedible Tallow Complex'!$S118</f>
        <v>0</v>
      </c>
      <c r="H12" s="156">
        <f>'[4]Yellow Grease Complex'!$S119</f>
        <v>0</v>
      </c>
      <c r="I12" s="156">
        <f>'[4]Used Cooking Oil Complex'!$S119</f>
        <v>0</v>
      </c>
      <c r="J12" s="156">
        <f t="shared" si="0"/>
        <v>0</v>
      </c>
      <c r="K12" s="156">
        <f t="shared" si="2"/>
        <v>0</v>
      </c>
      <c r="L12" s="156">
        <f t="shared" si="1"/>
        <v>0</v>
      </c>
      <c r="M12" s="157">
        <f>'[5]Renewable Diesel'!$B58/1000000</f>
        <v>1.453856</v>
      </c>
      <c r="N12" s="156"/>
      <c r="O12" s="157">
        <f t="shared" si="3"/>
        <v>0</v>
      </c>
    </row>
    <row r="13" spans="1:15" x14ac:dyDescent="0.2">
      <c r="A13" s="155">
        <v>40483</v>
      </c>
      <c r="B13" s="156">
        <f>'[3]Soy Complex'!$AZ420</f>
        <v>0</v>
      </c>
      <c r="C13" s="156">
        <f>'[3]Canola Complex'!$AZ355</f>
        <v>0</v>
      </c>
      <c r="D13" s="156">
        <f>'[4]Distillers'' Corn Oil Complex'!$R132</f>
        <v>0</v>
      </c>
      <c r="E13" s="156">
        <f>'[4]Poultry Byproduct Complex'!$S259</f>
        <v>0</v>
      </c>
      <c r="F13" s="156">
        <f>'[4]CWG Complex'!$S122</f>
        <v>0</v>
      </c>
      <c r="G13" s="156">
        <f>'[4]Inedible Tallow Complex'!$S119</f>
        <v>0</v>
      </c>
      <c r="H13" s="156">
        <f>'[4]Yellow Grease Complex'!$S120</f>
        <v>0</v>
      </c>
      <c r="I13" s="156">
        <f>'[4]Used Cooking Oil Complex'!$S120</f>
        <v>0</v>
      </c>
      <c r="J13" s="156">
        <f t="shared" si="0"/>
        <v>0</v>
      </c>
      <c r="K13" s="156">
        <f t="shared" si="2"/>
        <v>0</v>
      </c>
      <c r="L13" s="156">
        <f t="shared" si="1"/>
        <v>0</v>
      </c>
      <c r="M13" s="157">
        <f>'[5]Renewable Diesel'!$B59/1000000</f>
        <v>2.2337760000000002</v>
      </c>
      <c r="N13" s="156"/>
      <c r="O13" s="157">
        <f t="shared" si="3"/>
        <v>0</v>
      </c>
    </row>
    <row r="14" spans="1:15" x14ac:dyDescent="0.2">
      <c r="A14" s="155">
        <v>40513</v>
      </c>
      <c r="B14" s="156">
        <f>'[3]Soy Complex'!$AZ421</f>
        <v>0</v>
      </c>
      <c r="C14" s="156">
        <f>'[3]Canola Complex'!$AZ356</f>
        <v>0</v>
      </c>
      <c r="D14" s="156">
        <f>'[4]Distillers'' Corn Oil Complex'!$R133</f>
        <v>0</v>
      </c>
      <c r="E14" s="156">
        <f>'[4]Poultry Byproduct Complex'!$S260</f>
        <v>0</v>
      </c>
      <c r="F14" s="156">
        <f>'[4]CWG Complex'!$S123</f>
        <v>0</v>
      </c>
      <c r="G14" s="156">
        <f>'[4]Inedible Tallow Complex'!$S120</f>
        <v>0</v>
      </c>
      <c r="H14" s="156">
        <f>'[4]Yellow Grease Complex'!$S121</f>
        <v>0</v>
      </c>
      <c r="I14" s="156">
        <f>'[4]Used Cooking Oil Complex'!$S121</f>
        <v>0</v>
      </c>
      <c r="J14" s="156">
        <f t="shared" si="0"/>
        <v>0</v>
      </c>
      <c r="K14" s="156">
        <f t="shared" si="2"/>
        <v>0</v>
      </c>
      <c r="L14" s="156">
        <f t="shared" si="1"/>
        <v>0</v>
      </c>
      <c r="M14" s="157">
        <f>'[5]Renewable Diesel'!$B60/1000000</f>
        <v>3.0697350000000001</v>
      </c>
      <c r="N14" s="156"/>
      <c r="O14" s="157">
        <f t="shared" si="3"/>
        <v>0</v>
      </c>
    </row>
    <row r="15" spans="1:15" x14ac:dyDescent="0.2">
      <c r="A15" s="155">
        <v>40544</v>
      </c>
      <c r="B15" s="156">
        <f>'[3]Soy Complex'!$AZ422</f>
        <v>0</v>
      </c>
      <c r="C15" s="156">
        <f>'[3]Canola Complex'!$AZ357</f>
        <v>0</v>
      </c>
      <c r="D15" s="156">
        <f>'[4]Distillers'' Corn Oil Complex'!$S119</f>
        <v>0</v>
      </c>
      <c r="E15" s="156">
        <f>'[4]Poultry Byproduct Complex'!$S261</f>
        <v>0</v>
      </c>
      <c r="F15" s="156">
        <f>'[4]CWG Complex'!$S124</f>
        <v>0</v>
      </c>
      <c r="G15" s="156">
        <f>'[4]Inedible Tallow Complex'!$S121</f>
        <v>0</v>
      </c>
      <c r="H15" s="156">
        <f>'[4]Yellow Grease Complex'!$S122</f>
        <v>0</v>
      </c>
      <c r="I15" s="156">
        <f>'[4]Used Cooking Oil Complex'!$S122</f>
        <v>0</v>
      </c>
      <c r="J15" s="156">
        <f t="shared" si="0"/>
        <v>0</v>
      </c>
      <c r="K15" s="156">
        <f t="shared" si="2"/>
        <v>0</v>
      </c>
      <c r="L15" s="156">
        <f t="shared" si="1"/>
        <v>0</v>
      </c>
      <c r="M15" s="157">
        <f>'[5]Renewable Diesel'!$C49/1000000</f>
        <v>4.4278550000000001</v>
      </c>
      <c r="N15" s="156"/>
      <c r="O15" s="157">
        <f t="shared" si="3"/>
        <v>0</v>
      </c>
    </row>
    <row r="16" spans="1:15" x14ac:dyDescent="0.2">
      <c r="A16" s="155">
        <v>40575</v>
      </c>
      <c r="B16" s="156">
        <f>'[3]Soy Complex'!$AZ423</f>
        <v>0</v>
      </c>
      <c r="C16" s="156">
        <f>'[3]Canola Complex'!$AZ358</f>
        <v>0</v>
      </c>
      <c r="D16" s="156">
        <f>'[4]Distillers'' Corn Oil Complex'!$S120</f>
        <v>0</v>
      </c>
      <c r="E16" s="156">
        <f>'[4]Poultry Byproduct Complex'!$S262</f>
        <v>0</v>
      </c>
      <c r="F16" s="156">
        <f>'[4]CWG Complex'!$S125</f>
        <v>0</v>
      </c>
      <c r="G16" s="156">
        <f>'[4]Inedible Tallow Complex'!$S122</f>
        <v>0</v>
      </c>
      <c r="H16" s="156">
        <f>'[4]Yellow Grease Complex'!$S123</f>
        <v>0</v>
      </c>
      <c r="I16" s="156">
        <f>'[4]Used Cooking Oil Complex'!$S123</f>
        <v>0</v>
      </c>
      <c r="J16" s="156">
        <f t="shared" si="0"/>
        <v>0</v>
      </c>
      <c r="K16" s="156">
        <f t="shared" si="2"/>
        <v>0</v>
      </c>
      <c r="L16" s="156">
        <f t="shared" si="1"/>
        <v>0</v>
      </c>
      <c r="M16" s="157">
        <f>'[5]Renewable Diesel'!$C50/1000000</f>
        <v>0.96220600000000001</v>
      </c>
      <c r="N16" s="156"/>
      <c r="O16" s="157">
        <f t="shared" si="3"/>
        <v>0</v>
      </c>
    </row>
    <row r="17" spans="1:16" x14ac:dyDescent="0.2">
      <c r="A17" s="155">
        <v>40603</v>
      </c>
      <c r="B17" s="156">
        <f>'[3]Soy Complex'!$AZ424</f>
        <v>0</v>
      </c>
      <c r="C17" s="156">
        <f>'[3]Canola Complex'!$AZ359</f>
        <v>0</v>
      </c>
      <c r="D17" s="156">
        <f>'[4]Distillers'' Corn Oil Complex'!$S121</f>
        <v>0</v>
      </c>
      <c r="E17" s="156">
        <f>'[4]Poultry Byproduct Complex'!$S263</f>
        <v>0</v>
      </c>
      <c r="F17" s="156">
        <f>'[4]CWG Complex'!$S126</f>
        <v>0</v>
      </c>
      <c r="G17" s="156">
        <f>'[4]Inedible Tallow Complex'!$S123</f>
        <v>0</v>
      </c>
      <c r="H17" s="156">
        <f>'[4]Yellow Grease Complex'!$S124</f>
        <v>0</v>
      </c>
      <c r="I17" s="156">
        <f>'[4]Used Cooking Oil Complex'!$S124</f>
        <v>0</v>
      </c>
      <c r="J17" s="156">
        <f t="shared" si="0"/>
        <v>0</v>
      </c>
      <c r="K17" s="156">
        <f t="shared" si="2"/>
        <v>0</v>
      </c>
      <c r="L17" s="156">
        <f t="shared" si="1"/>
        <v>0</v>
      </c>
      <c r="M17" s="157">
        <f>'[5]Renewable Diesel'!$C51/1000000</f>
        <v>3.151383</v>
      </c>
      <c r="N17" s="156"/>
      <c r="O17" s="157">
        <f t="shared" si="3"/>
        <v>0</v>
      </c>
    </row>
    <row r="18" spans="1:16" x14ac:dyDescent="0.2">
      <c r="A18" s="155">
        <v>40634</v>
      </c>
      <c r="B18" s="156">
        <f>'[3]Soy Complex'!$AZ425</f>
        <v>0</v>
      </c>
      <c r="C18" s="156">
        <f>'[3]Canola Complex'!$AZ360</f>
        <v>0</v>
      </c>
      <c r="D18" s="156">
        <f>'[4]Distillers'' Corn Oil Complex'!$S122</f>
        <v>0</v>
      </c>
      <c r="E18" s="156">
        <f>'[4]Poultry Byproduct Complex'!$S264</f>
        <v>0</v>
      </c>
      <c r="F18" s="156">
        <f>'[4]CWG Complex'!$S127</f>
        <v>0</v>
      </c>
      <c r="G18" s="156">
        <f>'[4]Inedible Tallow Complex'!$S124</f>
        <v>0</v>
      </c>
      <c r="H18" s="156">
        <f>'[4]Yellow Grease Complex'!$S125</f>
        <v>0</v>
      </c>
      <c r="I18" s="156">
        <f>'[4]Used Cooking Oil Complex'!$S125</f>
        <v>0</v>
      </c>
      <c r="J18" s="156">
        <f t="shared" si="0"/>
        <v>0</v>
      </c>
      <c r="K18" s="156">
        <f t="shared" si="2"/>
        <v>0</v>
      </c>
      <c r="L18" s="156">
        <f t="shared" si="1"/>
        <v>0</v>
      </c>
      <c r="M18" s="157">
        <f>'[5]Renewable Diesel'!$C52/1000000</f>
        <v>1.966907</v>
      </c>
      <c r="N18" s="156"/>
      <c r="O18" s="157">
        <f t="shared" si="3"/>
        <v>0</v>
      </c>
    </row>
    <row r="19" spans="1:16" x14ac:dyDescent="0.2">
      <c r="A19" s="155">
        <v>40664</v>
      </c>
      <c r="B19" s="156">
        <f>'[3]Soy Complex'!$AZ426</f>
        <v>0</v>
      </c>
      <c r="C19" s="156">
        <f>'[3]Canola Complex'!$AZ361</f>
        <v>0</v>
      </c>
      <c r="D19" s="156">
        <f>'[4]Distillers'' Corn Oil Complex'!$S123</f>
        <v>0</v>
      </c>
      <c r="E19" s="156">
        <f>'[4]Poultry Byproduct Complex'!$S265</f>
        <v>0</v>
      </c>
      <c r="F19" s="156">
        <f>'[4]CWG Complex'!$S128</f>
        <v>0</v>
      </c>
      <c r="G19" s="156">
        <f>'[4]Inedible Tallow Complex'!$S125</f>
        <v>0</v>
      </c>
      <c r="H19" s="156">
        <f>'[4]Yellow Grease Complex'!$S126</f>
        <v>0</v>
      </c>
      <c r="I19" s="156">
        <f>'[4]Used Cooking Oil Complex'!$S126</f>
        <v>0</v>
      </c>
      <c r="J19" s="156">
        <f t="shared" si="0"/>
        <v>0</v>
      </c>
      <c r="K19" s="156">
        <f t="shared" si="2"/>
        <v>0</v>
      </c>
      <c r="L19" s="156">
        <f t="shared" si="1"/>
        <v>0</v>
      </c>
      <c r="M19" s="157">
        <f>'[5]Renewable Diesel'!$C53/1000000</f>
        <v>7.5256429999999996</v>
      </c>
      <c r="N19" s="156"/>
      <c r="O19" s="157">
        <f t="shared" si="3"/>
        <v>0</v>
      </c>
    </row>
    <row r="20" spans="1:16" x14ac:dyDescent="0.2">
      <c r="A20" s="155">
        <v>40695</v>
      </c>
      <c r="B20" s="156">
        <f>'[3]Soy Complex'!$AZ427</f>
        <v>0</v>
      </c>
      <c r="C20" s="156">
        <f>'[3]Canola Complex'!$AZ362</f>
        <v>0</v>
      </c>
      <c r="D20" s="156">
        <f>'[4]Distillers'' Corn Oil Complex'!$S124</f>
        <v>0</v>
      </c>
      <c r="E20" s="156">
        <f>'[4]Poultry Byproduct Complex'!$S266</f>
        <v>0</v>
      </c>
      <c r="F20" s="156">
        <f>'[4]CWG Complex'!$S129</f>
        <v>0</v>
      </c>
      <c r="G20" s="156">
        <f>'[4]Inedible Tallow Complex'!$S126</f>
        <v>0</v>
      </c>
      <c r="H20" s="156">
        <f>'[4]Yellow Grease Complex'!$S127</f>
        <v>0</v>
      </c>
      <c r="I20" s="156">
        <f>'[4]Used Cooking Oil Complex'!$S127</f>
        <v>0</v>
      </c>
      <c r="J20" s="156">
        <f t="shared" si="0"/>
        <v>0</v>
      </c>
      <c r="K20" s="156">
        <f t="shared" si="2"/>
        <v>0</v>
      </c>
      <c r="L20" s="156">
        <f t="shared" si="1"/>
        <v>0</v>
      </c>
      <c r="M20" s="157">
        <f>'[5]Renewable Diesel'!$C54/1000000</f>
        <v>4.5637270000000001</v>
      </c>
      <c r="N20" s="156"/>
      <c r="O20" s="157">
        <f t="shared" si="3"/>
        <v>0</v>
      </c>
    </row>
    <row r="21" spans="1:16" x14ac:dyDescent="0.2">
      <c r="A21" s="155">
        <v>40725</v>
      </c>
      <c r="B21" s="156">
        <f>'[3]Soy Complex'!$AZ428</f>
        <v>0</v>
      </c>
      <c r="C21" s="156">
        <f>'[3]Canola Complex'!$AZ363</f>
        <v>0</v>
      </c>
      <c r="D21" s="156">
        <f>'[4]Distillers'' Corn Oil Complex'!$S125</f>
        <v>0</v>
      </c>
      <c r="E21" s="156">
        <f>'[4]Poultry Byproduct Complex'!$S267</f>
        <v>0</v>
      </c>
      <c r="F21" s="156">
        <f>'[4]CWG Complex'!$S130</f>
        <v>0</v>
      </c>
      <c r="G21" s="156">
        <f>'[4]Inedible Tallow Complex'!$S127</f>
        <v>0</v>
      </c>
      <c r="H21" s="156">
        <f>'[4]Yellow Grease Complex'!$S128</f>
        <v>0</v>
      </c>
      <c r="I21" s="156">
        <f>'[4]Used Cooking Oil Complex'!$S128</f>
        <v>0</v>
      </c>
      <c r="J21" s="156">
        <f t="shared" si="0"/>
        <v>0</v>
      </c>
      <c r="K21" s="156">
        <f t="shared" si="2"/>
        <v>0</v>
      </c>
      <c r="L21" s="156">
        <f t="shared" si="1"/>
        <v>0</v>
      </c>
      <c r="M21" s="157">
        <f>'[5]Renewable Diesel'!$C55/1000000</f>
        <v>6.4663659999999998</v>
      </c>
      <c r="N21" s="156"/>
      <c r="O21" s="157">
        <f t="shared" si="3"/>
        <v>0</v>
      </c>
    </row>
    <row r="22" spans="1:16" x14ac:dyDescent="0.2">
      <c r="A22" s="155">
        <v>40756</v>
      </c>
      <c r="B22" s="156">
        <f>'[3]Soy Complex'!$AZ429</f>
        <v>0</v>
      </c>
      <c r="C22" s="156">
        <f>'[3]Canola Complex'!$AZ364</f>
        <v>0</v>
      </c>
      <c r="D22" s="156">
        <f>'[4]Distillers'' Corn Oil Complex'!$S126</f>
        <v>0</v>
      </c>
      <c r="E22" s="156">
        <f>'[4]Poultry Byproduct Complex'!$S268</f>
        <v>0</v>
      </c>
      <c r="F22" s="156">
        <f>'[4]CWG Complex'!$S131</f>
        <v>0</v>
      </c>
      <c r="G22" s="156">
        <f>'[4]Inedible Tallow Complex'!$S128</f>
        <v>0</v>
      </c>
      <c r="H22" s="156">
        <f>'[4]Yellow Grease Complex'!$S129</f>
        <v>0</v>
      </c>
      <c r="I22" s="156">
        <f>'[4]Used Cooking Oil Complex'!$S129</f>
        <v>0</v>
      </c>
      <c r="J22" s="156">
        <f t="shared" si="0"/>
        <v>0</v>
      </c>
      <c r="K22" s="156">
        <f t="shared" si="2"/>
        <v>0</v>
      </c>
      <c r="L22" s="156">
        <f t="shared" si="1"/>
        <v>0</v>
      </c>
      <c r="M22" s="157">
        <f>'[5]Renewable Diesel'!$C56/1000000</f>
        <v>8.4453549999999993</v>
      </c>
      <c r="N22" s="156"/>
      <c r="O22" s="157">
        <f t="shared" si="3"/>
        <v>0</v>
      </c>
    </row>
    <row r="23" spans="1:16" x14ac:dyDescent="0.2">
      <c r="A23" s="155">
        <v>40787</v>
      </c>
      <c r="B23" s="156">
        <f>'[3]Soy Complex'!$AZ430</f>
        <v>0</v>
      </c>
      <c r="C23" s="156">
        <f>'[3]Canola Complex'!$AZ365</f>
        <v>0</v>
      </c>
      <c r="D23" s="156">
        <f>'[4]Distillers'' Corn Oil Complex'!$S127</f>
        <v>0</v>
      </c>
      <c r="E23" s="156">
        <f>'[4]Poultry Byproduct Complex'!$S269</f>
        <v>0</v>
      </c>
      <c r="F23" s="156">
        <f>'[4]CWG Complex'!$S132</f>
        <v>0</v>
      </c>
      <c r="G23" s="156">
        <f>'[4]Inedible Tallow Complex'!$S129</f>
        <v>0</v>
      </c>
      <c r="H23" s="156">
        <f>'[4]Yellow Grease Complex'!$S130</f>
        <v>0</v>
      </c>
      <c r="I23" s="156">
        <f>'[4]Used Cooking Oil Complex'!$S130</f>
        <v>0</v>
      </c>
      <c r="J23" s="156">
        <f t="shared" si="0"/>
        <v>0</v>
      </c>
      <c r="K23" s="156">
        <f t="shared" si="2"/>
        <v>0</v>
      </c>
      <c r="L23" s="156">
        <f t="shared" si="1"/>
        <v>0</v>
      </c>
      <c r="M23" s="157">
        <f>'[5]Renewable Diesel'!$C57/1000000</f>
        <v>5.89907</v>
      </c>
      <c r="N23" s="156"/>
      <c r="O23" s="157">
        <f t="shared" si="3"/>
        <v>0</v>
      </c>
    </row>
    <row r="24" spans="1:16" x14ac:dyDescent="0.2">
      <c r="A24" s="155">
        <v>40817</v>
      </c>
      <c r="B24" s="156">
        <f>'[3]Soy Complex'!$BA419</f>
        <v>20</v>
      </c>
      <c r="C24" s="156">
        <f>'[3]Canola Complex'!$BA354</f>
        <v>0</v>
      </c>
      <c r="D24" s="156">
        <f>'[4]Distillers'' Corn Oil Complex'!$S128</f>
        <v>0</v>
      </c>
      <c r="E24" s="156">
        <f>'[4]Poultry Byproduct Complex'!$T258</f>
        <v>0</v>
      </c>
      <c r="F24" s="156">
        <f>'[4]CWG Complex'!$T121</f>
        <v>5.8724241436569038</v>
      </c>
      <c r="G24" s="156">
        <f>'[4]Inedible Tallow Complex'!$T118</f>
        <v>0</v>
      </c>
      <c r="H24" s="156">
        <f>'[4]Yellow Grease Complex'!$T119</f>
        <v>8.8824043025948303</v>
      </c>
      <c r="I24" s="156">
        <f>'[4]Used Cooking Oil Complex'!$T119</f>
        <v>16.418696268764279</v>
      </c>
      <c r="J24" s="156">
        <f t="shared" si="0"/>
        <v>20</v>
      </c>
      <c r="K24" s="156">
        <f t="shared" si="2"/>
        <v>31.173524715016015</v>
      </c>
      <c r="L24" s="156">
        <f t="shared" si="1"/>
        <v>51.173524715016015</v>
      </c>
      <c r="M24" s="157">
        <f>'[5]Renewable Diesel'!$C58/1000000</f>
        <v>6.9180260000000002</v>
      </c>
      <c r="N24" s="158">
        <f>L24/M24</f>
        <v>7.3971281280261181</v>
      </c>
      <c r="O24" s="157">
        <f t="shared" ref="O24:O87" si="4">SUM(D24:I24,B24:C24)</f>
        <v>51.173524715016015</v>
      </c>
      <c r="P24" s="154">
        <f>O24/M24</f>
        <v>7.3971281280261181</v>
      </c>
    </row>
    <row r="25" spans="1:16" x14ac:dyDescent="0.2">
      <c r="A25" s="155">
        <v>40848</v>
      </c>
      <c r="B25" s="156">
        <f>'[3]Soy Complex'!$BA420</f>
        <v>20</v>
      </c>
      <c r="C25" s="156">
        <f>'[3]Canola Complex'!$BA355</f>
        <v>0</v>
      </c>
      <c r="D25" s="156">
        <f>'[4]Distillers'' Corn Oil Complex'!$S129</f>
        <v>0</v>
      </c>
      <c r="E25" s="156">
        <f>'[4]Poultry Byproduct Complex'!$T259</f>
        <v>0</v>
      </c>
      <c r="F25" s="156">
        <f>'[4]CWG Complex'!$T122</f>
        <v>3.7673232710027191</v>
      </c>
      <c r="G25" s="156">
        <f>'[4]Inedible Tallow Complex'!$T119</f>
        <v>0</v>
      </c>
      <c r="H25" s="156">
        <f>'[4]Yellow Grease Complex'!$T120</f>
        <v>5.6983091842514657</v>
      </c>
      <c r="I25" s="156">
        <f>'[4]Used Cooking Oil Complex'!$T120</f>
        <v>10.533049898933701</v>
      </c>
      <c r="J25" s="156">
        <f t="shared" si="0"/>
        <v>20</v>
      </c>
      <c r="K25" s="156">
        <f t="shared" si="2"/>
        <v>19.998682354187885</v>
      </c>
      <c r="L25" s="156">
        <f t="shared" si="1"/>
        <v>39.998682354187885</v>
      </c>
      <c r="M25" s="157">
        <f>'[5]Renewable Diesel'!$C59/1000000</f>
        <v>5.2339200000000003</v>
      </c>
      <c r="N25" s="158">
        <f t="shared" ref="N25:N88" si="5">L25/M25</f>
        <v>7.6422036168279002</v>
      </c>
      <c r="O25" s="157">
        <f t="shared" si="4"/>
        <v>39.998682354187885</v>
      </c>
      <c r="P25" s="154">
        <f>O25/M25</f>
        <v>7.6422036168279002</v>
      </c>
    </row>
    <row r="26" spans="1:16" x14ac:dyDescent="0.2">
      <c r="A26" s="155">
        <v>40878</v>
      </c>
      <c r="B26" s="156">
        <f>'[3]Soy Complex'!$BA421</f>
        <v>20</v>
      </c>
      <c r="C26" s="156">
        <f>'[3]Canola Complex'!$BA356</f>
        <v>0</v>
      </c>
      <c r="D26" s="156">
        <f>'[4]Distillers'' Corn Oil Complex'!$S130</f>
        <v>0</v>
      </c>
      <c r="E26" s="156">
        <f>'[4]Poultry Byproduct Complex'!$T260</f>
        <v>0</v>
      </c>
      <c r="F26" s="156">
        <f>'[4]CWG Complex'!$T123</f>
        <v>5.6370203341304759</v>
      </c>
      <c r="G26" s="156">
        <f>'[4]Inedible Tallow Complex'!$T120</f>
        <v>0</v>
      </c>
      <c r="H26" s="156">
        <f>'[4]Yellow Grease Complex'!$T121</f>
        <v>8.526341497961873</v>
      </c>
      <c r="I26" s="156">
        <f>'[4]Used Cooking Oil Complex'!$T121</f>
        <v>15.760531334731153</v>
      </c>
      <c r="J26" s="156">
        <f t="shared" si="0"/>
        <v>20</v>
      </c>
      <c r="K26" s="156">
        <f t="shared" si="2"/>
        <v>29.923893166823504</v>
      </c>
      <c r="L26" s="156">
        <f t="shared" si="1"/>
        <v>49.923893166823504</v>
      </c>
      <c r="M26" s="157">
        <f>'[5]Renewable Diesel'!$C60/1000000</f>
        <v>6.4808320000000004</v>
      </c>
      <c r="N26" s="158">
        <f t="shared" si="5"/>
        <v>7.7033154333924259</v>
      </c>
      <c r="O26" s="157">
        <f t="shared" si="4"/>
        <v>49.923893166823504</v>
      </c>
      <c r="P26" s="154">
        <f t="shared" ref="P26:P89" si="6">O26/M26</f>
        <v>7.7033154333924259</v>
      </c>
    </row>
    <row r="27" spans="1:16" x14ac:dyDescent="0.2">
      <c r="A27" s="155">
        <v>40909</v>
      </c>
      <c r="B27" s="156">
        <f>'[3]Soy Complex'!$BA422</f>
        <v>10</v>
      </c>
      <c r="C27" s="156">
        <f>'[3]Canola Complex'!$BA357</f>
        <v>0</v>
      </c>
      <c r="D27" s="156">
        <f>'[4]Distillers'' Corn Oil Complex'!$T119</f>
        <v>18.831926520020431</v>
      </c>
      <c r="E27" s="156">
        <f>'[4]Poultry Byproduct Complex'!$T261</f>
        <v>0</v>
      </c>
      <c r="F27" s="156">
        <f>'[4]CWG Complex'!$T124</f>
        <v>3.7716318096448713</v>
      </c>
      <c r="G27" s="156">
        <f>'[4]Inedible Tallow Complex'!$T121</f>
        <v>0</v>
      </c>
      <c r="H27" s="156">
        <f>'[4]Yellow Grease Complex'!$T122</f>
        <v>5.7048261151196629</v>
      </c>
      <c r="I27" s="156">
        <f>'[4]Used Cooking Oil Complex'!$T122</f>
        <v>10.545096131562204</v>
      </c>
      <c r="J27" s="156">
        <f t="shared" si="0"/>
        <v>10</v>
      </c>
      <c r="K27" s="156">
        <f t="shared" si="2"/>
        <v>20.021554056326739</v>
      </c>
      <c r="L27" s="156">
        <f t="shared" si="1"/>
        <v>30.021554056326739</v>
      </c>
      <c r="M27" s="157">
        <f>'[5]Renewable Diesel'!$D49/1000000</f>
        <v>4.2173639999999999</v>
      </c>
      <c r="N27" s="158">
        <f t="shared" si="5"/>
        <v>7.1185589046444031</v>
      </c>
      <c r="O27" s="157">
        <f t="shared" si="4"/>
        <v>48.853480576347167</v>
      </c>
      <c r="P27" s="154">
        <f t="shared" si="6"/>
        <v>11.58388997875146</v>
      </c>
    </row>
    <row r="28" spans="1:16" x14ac:dyDescent="0.2">
      <c r="A28" s="155">
        <v>40940</v>
      </c>
      <c r="B28" s="156">
        <f>'[3]Soy Complex'!$BA423</f>
        <v>15</v>
      </c>
      <c r="C28" s="156">
        <f>'[3]Canola Complex'!$BA358</f>
        <v>0</v>
      </c>
      <c r="D28" s="156">
        <f>'[4]Distillers'' Corn Oil Complex'!$T120</f>
        <v>12.081204163925806</v>
      </c>
      <c r="E28" s="156">
        <f>'[4]Poultry Byproduct Complex'!$T262</f>
        <v>0</v>
      </c>
      <c r="F28" s="156">
        <f>'[4]CWG Complex'!$T125</f>
        <v>1.4931275279293936</v>
      </c>
      <c r="G28" s="156">
        <f>'[4]Inedible Tallow Complex'!$T122</f>
        <v>0</v>
      </c>
      <c r="H28" s="156">
        <f>'[4]Yellow Grease Complex'!$T123</f>
        <v>2.2584476280938217</v>
      </c>
      <c r="I28" s="156">
        <f>'[4]Used Cooking Oil Complex'!$T123</f>
        <v>4.1746315953835964</v>
      </c>
      <c r="J28" s="156">
        <f t="shared" si="0"/>
        <v>15</v>
      </c>
      <c r="K28" s="156">
        <f t="shared" si="2"/>
        <v>7.926206751406812</v>
      </c>
      <c r="L28" s="156">
        <f t="shared" si="1"/>
        <v>22.926206751406813</v>
      </c>
      <c r="M28" s="157">
        <f>'[5]Renewable Diesel'!$D50/1000000</f>
        <v>3.1894840000000002</v>
      </c>
      <c r="N28" s="158">
        <f t="shared" si="5"/>
        <v>7.1880613765131951</v>
      </c>
      <c r="O28" s="157">
        <f t="shared" si="4"/>
        <v>35.007410915332621</v>
      </c>
      <c r="P28" s="154">
        <f t="shared" si="6"/>
        <v>10.975885414484793</v>
      </c>
    </row>
    <row r="29" spans="1:16" x14ac:dyDescent="0.2">
      <c r="A29" s="155">
        <v>40969</v>
      </c>
      <c r="B29" s="156">
        <f>'[3]Soy Complex'!$BA424</f>
        <v>15</v>
      </c>
      <c r="C29" s="156">
        <f>'[3]Canola Complex'!$BA359</f>
        <v>0</v>
      </c>
      <c r="D29" s="156">
        <f>'[4]Distillers'' Corn Oil Complex'!$T121</f>
        <v>18.077024092149479</v>
      </c>
      <c r="E29" s="156">
        <f>'[4]Poultry Byproduct Complex'!$T263</f>
        <v>0</v>
      </c>
      <c r="F29" s="156">
        <f>'[4]CWG Complex'!$T126</f>
        <v>4.7896411437078728</v>
      </c>
      <c r="G29" s="156">
        <f>'[4]Inedible Tallow Complex'!$T123</f>
        <v>0</v>
      </c>
      <c r="H29" s="156">
        <f>'[4]Yellow Grease Complex'!$T124</f>
        <v>7.2446281232443672</v>
      </c>
      <c r="I29" s="156">
        <f>'[4]Used Cooking Oil Complex'!$T124</f>
        <v>13.391345933324468</v>
      </c>
      <c r="J29" s="156">
        <f t="shared" si="0"/>
        <v>15</v>
      </c>
      <c r="K29" s="156">
        <f t="shared" si="2"/>
        <v>25.42561520027671</v>
      </c>
      <c r="L29" s="156">
        <f t="shared" si="1"/>
        <v>40.42561520027671</v>
      </c>
      <c r="M29" s="157">
        <f>'[5]Renewable Diesel'!$D51/1000000</f>
        <v>5.3542699999999996</v>
      </c>
      <c r="N29" s="158">
        <f t="shared" si="5"/>
        <v>7.5501637385258329</v>
      </c>
      <c r="O29" s="157">
        <f t="shared" si="4"/>
        <v>58.502639292426188</v>
      </c>
      <c r="P29" s="154">
        <f t="shared" si="6"/>
        <v>10.926352106342451</v>
      </c>
    </row>
    <row r="30" spans="1:16" x14ac:dyDescent="0.2">
      <c r="A30" s="155">
        <v>41000</v>
      </c>
      <c r="B30" s="156">
        <f>'[3]Soy Complex'!$BA425</f>
        <v>10</v>
      </c>
      <c r="C30" s="156">
        <f>'[3]Canola Complex'!$BA360</f>
        <v>0</v>
      </c>
      <c r="D30" s="156">
        <f>'[4]Distillers'' Corn Oil Complex'!$T122</f>
        <v>12.095020959363737</v>
      </c>
      <c r="E30" s="156">
        <f>'[4]Poultry Byproduct Complex'!$T264</f>
        <v>0</v>
      </c>
      <c r="F30" s="156">
        <f>'[4]CWG Complex'!$T127</f>
        <v>3.2395954990802656</v>
      </c>
      <c r="G30" s="156">
        <f>'[4]Inedible Tallow Complex'!$T124</f>
        <v>0</v>
      </c>
      <c r="H30" s="156">
        <f>'[4]Yellow Grease Complex'!$T125</f>
        <v>4.9000883273697333</v>
      </c>
      <c r="I30" s="156">
        <f>'[4]Used Cooking Oil Complex'!$T125</f>
        <v>9.0575771149820277</v>
      </c>
      <c r="J30" s="156">
        <f t="shared" si="0"/>
        <v>10</v>
      </c>
      <c r="K30" s="156">
        <f t="shared" si="2"/>
        <v>17.197260941432027</v>
      </c>
      <c r="L30" s="156">
        <f t="shared" si="1"/>
        <v>27.197260941432027</v>
      </c>
      <c r="M30" s="157">
        <f>'[5]Renewable Diesel'!$D52/1000000</f>
        <v>3.5523479999999998</v>
      </c>
      <c r="N30" s="158">
        <f t="shared" si="5"/>
        <v>7.6561364318563463</v>
      </c>
      <c r="O30" s="157">
        <f t="shared" si="4"/>
        <v>39.292281900795764</v>
      </c>
      <c r="P30" s="154">
        <f t="shared" si="6"/>
        <v>11.060932628446245</v>
      </c>
    </row>
    <row r="31" spans="1:16" x14ac:dyDescent="0.2">
      <c r="A31" s="155">
        <v>41030</v>
      </c>
      <c r="B31" s="156">
        <f>'[3]Soy Complex'!$BA426</f>
        <v>10</v>
      </c>
      <c r="C31" s="156">
        <f>'[3]Canola Complex'!$BA361</f>
        <v>0</v>
      </c>
      <c r="D31" s="156">
        <f>'[4]Distillers'' Corn Oil Complex'!$T123</f>
        <v>4.7882215594659057</v>
      </c>
      <c r="E31" s="156">
        <f>'[4]Poultry Byproduct Complex'!$T265</f>
        <v>0</v>
      </c>
      <c r="F31" s="156">
        <f>'[4]CWG Complex'!$T128</f>
        <v>3.4184731548993219</v>
      </c>
      <c r="G31" s="156">
        <f>'[4]Inedible Tallow Complex'!$T125</f>
        <v>0</v>
      </c>
      <c r="H31" s="156">
        <f>'[4]Yellow Grease Complex'!$T126</f>
        <v>5.1706518324601261</v>
      </c>
      <c r="I31" s="156">
        <f>'[4]Used Cooking Oil Complex'!$T126</f>
        <v>9.5577007144216157</v>
      </c>
      <c r="J31" s="156">
        <f t="shared" si="0"/>
        <v>10</v>
      </c>
      <c r="K31" s="156">
        <f t="shared" si="2"/>
        <v>18.146825701781061</v>
      </c>
      <c r="L31" s="156">
        <f t="shared" si="1"/>
        <v>28.146825701781061</v>
      </c>
      <c r="M31" s="157">
        <f>'[5]Renewable Diesel'!$D53/1000000</f>
        <v>3.766248</v>
      </c>
      <c r="N31" s="158">
        <f t="shared" si="5"/>
        <v>7.4734392694748362</v>
      </c>
      <c r="O31" s="157">
        <f t="shared" si="4"/>
        <v>32.935047261246972</v>
      </c>
      <c r="P31" s="154">
        <f t="shared" si="6"/>
        <v>8.7447898442287837</v>
      </c>
    </row>
    <row r="32" spans="1:16" x14ac:dyDescent="0.2">
      <c r="A32" s="155">
        <v>41061</v>
      </c>
      <c r="B32" s="156">
        <f>'[3]Soy Complex'!$BA427</f>
        <v>10</v>
      </c>
      <c r="C32" s="156">
        <f>'[3]Canola Complex'!$BA362</f>
        <v>0</v>
      </c>
      <c r="D32" s="156">
        <f>'[4]Distillers'' Corn Oil Complex'!$T124</f>
        <v>15.359614337973317</v>
      </c>
      <c r="E32" s="156">
        <f>'[4]Poultry Byproduct Complex'!$T266</f>
        <v>0</v>
      </c>
      <c r="F32" s="156">
        <f>'[4]CWG Complex'!$T129</f>
        <v>3.1379376067134794</v>
      </c>
      <c r="G32" s="156">
        <f>'[4]Inedible Tallow Complex'!$T126</f>
        <v>0</v>
      </c>
      <c r="H32" s="156">
        <f>'[4]Yellow Grease Complex'!$T127</f>
        <v>4.7463244849662853</v>
      </c>
      <c r="I32" s="156">
        <f>'[4]Used Cooking Oil Complex'!$T127</f>
        <v>8.7733520628975565</v>
      </c>
      <c r="J32" s="156">
        <f t="shared" si="0"/>
        <v>10</v>
      </c>
      <c r="K32" s="156">
        <f t="shared" si="2"/>
        <v>16.65761415457732</v>
      </c>
      <c r="L32" s="156">
        <f t="shared" si="1"/>
        <v>26.65761415457732</v>
      </c>
      <c r="M32" s="157">
        <f>'[5]Renewable Diesel'!$D54/1000000</f>
        <v>3.5926279999999999</v>
      </c>
      <c r="N32" s="158">
        <f t="shared" si="5"/>
        <v>7.4200875110301761</v>
      </c>
      <c r="O32" s="157">
        <f t="shared" si="4"/>
        <v>42.017228492550643</v>
      </c>
      <c r="P32" s="154">
        <f t="shared" si="6"/>
        <v>11.695401943243398</v>
      </c>
    </row>
    <row r="33" spans="1:16" x14ac:dyDescent="0.2">
      <c r="A33" s="155">
        <v>41091</v>
      </c>
      <c r="B33" s="156">
        <f>'[3]Soy Complex'!$BA428</f>
        <v>15</v>
      </c>
      <c r="C33" s="156">
        <f>'[3]Canola Complex'!$BA363</f>
        <v>0</v>
      </c>
      <c r="D33" s="156">
        <f>'[4]Distillers'' Corn Oil Complex'!$T125</f>
        <v>10.388865466941118</v>
      </c>
      <c r="E33" s="156">
        <f>'[4]Poultry Byproduct Complex'!$T267</f>
        <v>0</v>
      </c>
      <c r="F33" s="156">
        <f>'[4]CWG Complex'!$T130</f>
        <v>5.8277841403859982</v>
      </c>
      <c r="G33" s="156">
        <f>'[4]Inedible Tallow Complex'!$T127</f>
        <v>0</v>
      </c>
      <c r="H33" s="156">
        <f>'[4]Yellow Grease Complex'!$T128</f>
        <v>8.8148835398873828</v>
      </c>
      <c r="I33" s="156">
        <f>'[4]Used Cooking Oil Complex'!$T128</f>
        <v>16.29388739304073</v>
      </c>
      <c r="J33" s="156">
        <f t="shared" si="0"/>
        <v>15</v>
      </c>
      <c r="K33" s="156">
        <f t="shared" si="2"/>
        <v>30.936555073314111</v>
      </c>
      <c r="L33" s="156">
        <f t="shared" si="1"/>
        <v>45.936555073314111</v>
      </c>
      <c r="M33" s="157">
        <f>'[5]Renewable Diesel'!$D55/1000000</f>
        <v>6.2787110000000004</v>
      </c>
      <c r="N33" s="158">
        <f t="shared" si="5"/>
        <v>7.3162397621604347</v>
      </c>
      <c r="O33" s="157">
        <f t="shared" si="4"/>
        <v>56.32542054025523</v>
      </c>
      <c r="P33" s="154">
        <f t="shared" si="6"/>
        <v>8.9708573209143125</v>
      </c>
    </row>
    <row r="34" spans="1:16" x14ac:dyDescent="0.2">
      <c r="A34" s="155">
        <v>41122</v>
      </c>
      <c r="B34" s="156">
        <f>'[3]Soy Complex'!$BA429</f>
        <v>20</v>
      </c>
      <c r="C34" s="156">
        <f>'[3]Canola Complex'!$BA364</f>
        <v>0</v>
      </c>
      <c r="D34" s="156">
        <f>'[4]Distillers'' Corn Oil Complex'!$T126</f>
        <v>10.962497545968748</v>
      </c>
      <c r="E34" s="156">
        <f>'[4]Poultry Byproduct Complex'!$T268</f>
        <v>0</v>
      </c>
      <c r="F34" s="156">
        <f>'[4]CWG Complex'!$T131</f>
        <v>4.3243729288969677</v>
      </c>
      <c r="G34" s="156">
        <f>'[4]Inedible Tallow Complex'!$T128</f>
        <v>0</v>
      </c>
      <c r="H34" s="156">
        <f>'[4]Yellow Grease Complex'!$T129</f>
        <v>6.5408812051064924</v>
      </c>
      <c r="I34" s="156">
        <f>'[4]Used Cooking Oil Complex'!$T129</f>
        <v>12.090503672000109</v>
      </c>
      <c r="J34" s="156">
        <f t="shared" si="0"/>
        <v>20</v>
      </c>
      <c r="K34" s="156">
        <f t="shared" si="2"/>
        <v>22.955757806003568</v>
      </c>
      <c r="L34" s="156">
        <f t="shared" si="1"/>
        <v>42.955757806003568</v>
      </c>
      <c r="M34" s="157">
        <f>'[5]Renewable Diesel'!$D56/1000000</f>
        <v>5.4811009999999998</v>
      </c>
      <c r="N34" s="158">
        <f t="shared" si="5"/>
        <v>7.8370673713189323</v>
      </c>
      <c r="O34" s="157">
        <f t="shared" si="4"/>
        <v>53.91825535197232</v>
      </c>
      <c r="P34" s="154">
        <f t="shared" si="6"/>
        <v>9.8371212922316751</v>
      </c>
    </row>
    <row r="35" spans="1:16" x14ac:dyDescent="0.2">
      <c r="A35" s="155">
        <v>41153</v>
      </c>
      <c r="B35" s="156">
        <f>'[3]Soy Complex'!$BA430</f>
        <v>15</v>
      </c>
      <c r="C35" s="156">
        <f>'[3]Canola Complex'!$BA365</f>
        <v>0</v>
      </c>
      <c r="D35" s="156">
        <f>'[4]Distillers'' Corn Oil Complex'!$T127</f>
        <v>10.062864838853088</v>
      </c>
      <c r="E35" s="156">
        <f>'[4]Poultry Byproduct Complex'!$T269</f>
        <v>0</v>
      </c>
      <c r="F35" s="156">
        <f>'[4]CWG Complex'!$T132</f>
        <v>2.7476015168083139</v>
      </c>
      <c r="G35" s="156">
        <f>'[4]Inedible Tallow Complex'!$T129</f>
        <v>0</v>
      </c>
      <c r="H35" s="156">
        <f>'[4]Yellow Grease Complex'!$T130</f>
        <v>4.1559170348885024</v>
      </c>
      <c r="I35" s="156">
        <f>'[4]Used Cooking Oil Complex'!$T130</f>
        <v>7.6820123459235283</v>
      </c>
      <c r="J35" s="156">
        <f t="shared" si="0"/>
        <v>15</v>
      </c>
      <c r="K35" s="156">
        <f t="shared" si="2"/>
        <v>14.585530897620345</v>
      </c>
      <c r="L35" s="156">
        <f t="shared" si="1"/>
        <v>29.585530897620345</v>
      </c>
      <c r="M35" s="157">
        <f>'[5]Renewable Diesel'!$D57/1000000</f>
        <v>3.7389169999999998</v>
      </c>
      <c r="N35" s="158">
        <f t="shared" si="5"/>
        <v>7.9128611032607425</v>
      </c>
      <c r="O35" s="157">
        <f t="shared" si="4"/>
        <v>39.648395736473432</v>
      </c>
      <c r="P35" s="154">
        <f t="shared" si="6"/>
        <v>10.604246025379391</v>
      </c>
    </row>
    <row r="36" spans="1:16" x14ac:dyDescent="0.2">
      <c r="A36" s="155">
        <v>41183</v>
      </c>
      <c r="B36" s="156">
        <f>'[3]Soy Complex'!$BB419</f>
        <v>15</v>
      </c>
      <c r="C36" s="156">
        <f>'[3]Canola Complex'!$BB354</f>
        <v>0</v>
      </c>
      <c r="D36" s="156">
        <f>'[4]Distillers'' Corn Oil Complex'!$T128</f>
        <v>18.688773157646359</v>
      </c>
      <c r="E36" s="156">
        <f>'[4]Poultry Byproduct Complex'!$U258</f>
        <v>0</v>
      </c>
      <c r="F36" s="156">
        <f>'[4]CWG Complex'!$U121</f>
        <v>2.7838677652749415</v>
      </c>
      <c r="G36" s="156">
        <f>'[4]Inedible Tallow Complex'!$U118</f>
        <v>0</v>
      </c>
      <c r="H36" s="156">
        <f>'[4]Yellow Grease Complex'!$U119</f>
        <v>4.2107719761425146</v>
      </c>
      <c r="I36" s="156">
        <f>'[4]Used Cooking Oil Complex'!$U119</f>
        <v>7.7834090611155435</v>
      </c>
      <c r="J36" s="156">
        <f t="shared" si="0"/>
        <v>15</v>
      </c>
      <c r="K36" s="156">
        <f t="shared" si="2"/>
        <v>14.778048802533</v>
      </c>
      <c r="L36" s="156">
        <f t="shared" si="1"/>
        <v>29.778048802533</v>
      </c>
      <c r="M36" s="157">
        <f>'[5]Renewable Diesel'!$D58/1000000</f>
        <v>3.8538540000000001</v>
      </c>
      <c r="N36" s="158">
        <f t="shared" si="5"/>
        <v>7.7268232793803291</v>
      </c>
      <c r="O36" s="157">
        <f t="shared" si="4"/>
        <v>48.46682196017936</v>
      </c>
      <c r="P36" s="154">
        <f t="shared" si="6"/>
        <v>12.576195662881718</v>
      </c>
    </row>
    <row r="37" spans="1:16" x14ac:dyDescent="0.2">
      <c r="A37" s="155">
        <v>41214</v>
      </c>
      <c r="B37" s="156">
        <f>'[3]Soy Complex'!$BB420</f>
        <v>20</v>
      </c>
      <c r="C37" s="156">
        <f>'[3]Canola Complex'!$BB355</f>
        <v>0</v>
      </c>
      <c r="D37" s="156">
        <f>'[4]Distillers'' Corn Oil Complex'!$T129</f>
        <v>13.867573467103288</v>
      </c>
      <c r="E37" s="156">
        <f>'[4]Poultry Byproduct Complex'!$U259</f>
        <v>0</v>
      </c>
      <c r="F37" s="156">
        <f>'[4]CWG Complex'!$U122</f>
        <v>3.7420666011930486</v>
      </c>
      <c r="G37" s="156">
        <f>'[4]Inedible Tallow Complex'!$U119</f>
        <v>0</v>
      </c>
      <c r="H37" s="156">
        <f>'[4]Yellow Grease Complex'!$U120</f>
        <v>5.6601069108634032</v>
      </c>
      <c r="I37" s="156">
        <f>'[4]Used Cooking Oil Complex'!$U120</f>
        <v>10.462434837721991</v>
      </c>
      <c r="J37" s="156">
        <f t="shared" si="0"/>
        <v>20</v>
      </c>
      <c r="K37" s="156">
        <f t="shared" si="2"/>
        <v>19.864608349778443</v>
      </c>
      <c r="L37" s="156">
        <f t="shared" si="1"/>
        <v>39.864608349778443</v>
      </c>
      <c r="M37" s="157">
        <f>'[5]Renewable Diesel'!$D59/1000000</f>
        <v>5.5807089999999997</v>
      </c>
      <c r="N37" s="158">
        <f t="shared" si="5"/>
        <v>7.1432874120077656</v>
      </c>
      <c r="O37" s="157">
        <f t="shared" si="4"/>
        <v>53.732181816881734</v>
      </c>
      <c r="P37" s="154">
        <f t="shared" si="6"/>
        <v>9.6281998966227658</v>
      </c>
    </row>
    <row r="38" spans="1:16" x14ac:dyDescent="0.2">
      <c r="A38" s="155">
        <v>41244</v>
      </c>
      <c r="B38" s="156">
        <f>'[3]Soy Complex'!$BB421</f>
        <v>20</v>
      </c>
      <c r="C38" s="156">
        <f>'[3]Canola Complex'!$BB356</f>
        <v>0</v>
      </c>
      <c r="D38" s="156">
        <f>'[4]Distillers'' Corn Oil Complex'!$T130</f>
        <v>8.8111193273940582</v>
      </c>
      <c r="E38" s="156">
        <f>'[4]Poultry Byproduct Complex'!$U260</f>
        <v>0</v>
      </c>
      <c r="F38" s="156">
        <f>'[4]CWG Complex'!$U123</f>
        <v>1.6463473881767254</v>
      </c>
      <c r="G38" s="156">
        <f>'[4]Inedible Tallow Complex'!$U120</f>
        <v>0</v>
      </c>
      <c r="H38" s="156">
        <f>'[4]Yellow Grease Complex'!$U121</f>
        <v>2.4902021323003884</v>
      </c>
      <c r="I38" s="156">
        <f>'[4]Used Cooking Oil Complex'!$U121</f>
        <v>4.6030186270765894</v>
      </c>
      <c r="J38" s="156">
        <f t="shared" si="0"/>
        <v>20</v>
      </c>
      <c r="K38" s="156">
        <f t="shared" si="2"/>
        <v>8.7395681475537046</v>
      </c>
      <c r="L38" s="156">
        <f t="shared" si="1"/>
        <v>28.739568147553705</v>
      </c>
      <c r="M38" s="157">
        <f>'[5]Renewable Diesel'!$D60/1000000</f>
        <v>3.7954680000000001</v>
      </c>
      <c r="N38" s="158">
        <f t="shared" si="5"/>
        <v>7.5720749450538651</v>
      </c>
      <c r="O38" s="157">
        <f t="shared" si="4"/>
        <v>37.550687474947765</v>
      </c>
      <c r="P38" s="154">
        <f t="shared" si="6"/>
        <v>9.8935592329978181</v>
      </c>
    </row>
    <row r="39" spans="1:16" x14ac:dyDescent="0.2">
      <c r="A39" s="155">
        <v>41275</v>
      </c>
      <c r="B39" s="156">
        <f>'[3]Soy Complex'!$BB422</f>
        <v>5</v>
      </c>
      <c r="C39" s="156">
        <f>'[3]Canola Complex'!$BB357</f>
        <v>0</v>
      </c>
      <c r="D39" s="156">
        <f>'[4]Distillers'' Corn Oil Complex'!$U119</f>
        <v>8.9274193952319774</v>
      </c>
      <c r="E39" s="156">
        <f>'[4]Poultry Byproduct Complex'!$U261</f>
        <v>0</v>
      </c>
      <c r="F39" s="156">
        <f>'[4]CWG Complex'!$U124</f>
        <v>0.89079952703630161</v>
      </c>
      <c r="G39" s="156">
        <f>'[4]Inedible Tallow Complex'!$U121</f>
        <v>0</v>
      </c>
      <c r="H39" s="156">
        <f>'[4]Yellow Grease Complex'!$U122</f>
        <v>1.3473893162576318</v>
      </c>
      <c r="I39" s="156">
        <f>'[4]Used Cooking Oil Complex'!$U122</f>
        <v>2.490584214112995</v>
      </c>
      <c r="J39" s="156">
        <f t="shared" si="0"/>
        <v>5</v>
      </c>
      <c r="K39" s="156">
        <f t="shared" si="2"/>
        <v>4.7287730574069284</v>
      </c>
      <c r="L39" s="156">
        <f t="shared" si="1"/>
        <v>9.7287730574069293</v>
      </c>
      <c r="M39" s="157">
        <f>'[5]Renewable Diesel'!$E49/1000000</f>
        <v>1.278753</v>
      </c>
      <c r="N39" s="158">
        <f t="shared" si="5"/>
        <v>7.6080158227639965</v>
      </c>
      <c r="O39" s="157">
        <f t="shared" si="4"/>
        <v>18.656192452638905</v>
      </c>
      <c r="P39" s="154">
        <f t="shared" si="6"/>
        <v>14.589363585179393</v>
      </c>
    </row>
    <row r="40" spans="1:16" x14ac:dyDescent="0.2">
      <c r="A40" s="155">
        <v>41306</v>
      </c>
      <c r="B40" s="156">
        <f>'[3]Soy Complex'!$BB423</f>
        <v>6</v>
      </c>
      <c r="C40" s="156">
        <f>'[3]Canola Complex'!$BB358</f>
        <v>0</v>
      </c>
      <c r="D40" s="156">
        <f>'[4]Distillers'' Corn Oil Complex'!$U120</f>
        <v>12.000210056831225</v>
      </c>
      <c r="E40" s="156">
        <f>'[4]Poultry Byproduct Complex'!$U262</f>
        <v>0</v>
      </c>
      <c r="F40" s="156">
        <f>'[4]CWG Complex'!$U125</f>
        <v>0.72240306340083849</v>
      </c>
      <c r="G40" s="156">
        <f>'[4]Inedible Tallow Complex'!$U122</f>
        <v>0</v>
      </c>
      <c r="H40" s="156">
        <f>'[4]Yellow Grease Complex'!$U123</f>
        <v>1.0926792618496848</v>
      </c>
      <c r="I40" s="156">
        <f>'[4]Used Cooking Oil Complex'!$U123</f>
        <v>2.0197649542080152</v>
      </c>
      <c r="J40" s="156">
        <f t="shared" si="0"/>
        <v>6</v>
      </c>
      <c r="K40" s="156">
        <f t="shared" si="2"/>
        <v>3.8348472794585384</v>
      </c>
      <c r="L40" s="156">
        <f t="shared" si="1"/>
        <v>9.834847279458538</v>
      </c>
      <c r="M40" s="157">
        <f>'[5]Renewable Diesel'!$E50/1000000</f>
        <v>1.2926899999999999</v>
      </c>
      <c r="N40" s="158">
        <f t="shared" si="5"/>
        <v>7.6080477759234917</v>
      </c>
      <c r="O40" s="157">
        <f t="shared" si="4"/>
        <v>21.835057336289765</v>
      </c>
      <c r="P40" s="154">
        <f t="shared" si="6"/>
        <v>16.891178346153964</v>
      </c>
    </row>
    <row r="41" spans="1:16" x14ac:dyDescent="0.2">
      <c r="A41" s="155">
        <v>41334</v>
      </c>
      <c r="B41" s="156">
        <f>'[3]Soy Complex'!$BB424</f>
        <v>8</v>
      </c>
      <c r="C41" s="156">
        <f>'[3]Canola Complex'!$BB359</f>
        <v>0</v>
      </c>
      <c r="D41" s="156">
        <f>'[4]Distillers'' Corn Oil Complex'!$U121</f>
        <v>5.279573185131814</v>
      </c>
      <c r="E41" s="156">
        <f>'[4]Poultry Byproduct Complex'!$U263</f>
        <v>0</v>
      </c>
      <c r="F41" s="156">
        <f>'[4]CWG Complex'!$U126</f>
        <v>1.2013686030915922</v>
      </c>
      <c r="G41" s="156">
        <f>'[4]Inedible Tallow Complex'!$U123</f>
        <v>0</v>
      </c>
      <c r="H41" s="156">
        <f>'[4]Yellow Grease Complex'!$U124</f>
        <v>1.817144230058624</v>
      </c>
      <c r="I41" s="156">
        <f>'[4]Used Cooking Oil Complex'!$U124</f>
        <v>3.3589035325890628</v>
      </c>
      <c r="J41" s="156">
        <f t="shared" si="0"/>
        <v>8</v>
      </c>
      <c r="K41" s="156">
        <f t="shared" si="2"/>
        <v>6.3774163657392791</v>
      </c>
      <c r="L41" s="156">
        <f t="shared" si="1"/>
        <v>14.377416365739279</v>
      </c>
      <c r="M41" s="157">
        <f>'[5]Renewable Diesel'!$E51/1000000</f>
        <v>1.874493</v>
      </c>
      <c r="N41" s="158">
        <f t="shared" si="5"/>
        <v>7.670029371002868</v>
      </c>
      <c r="O41" s="157">
        <f t="shared" si="4"/>
        <v>19.656989550871092</v>
      </c>
      <c r="P41" s="154">
        <f t="shared" si="6"/>
        <v>10.486563327188254</v>
      </c>
    </row>
    <row r="42" spans="1:16" x14ac:dyDescent="0.2">
      <c r="A42" s="155">
        <v>41365</v>
      </c>
      <c r="B42" s="156">
        <f>'[3]Soy Complex'!$BB425</f>
        <v>7</v>
      </c>
      <c r="C42" s="156">
        <f>'[3]Canola Complex'!$BB360</f>
        <v>0</v>
      </c>
      <c r="D42" s="156">
        <f>'[4]Distillers'' Corn Oil Complex'!$U122</f>
        <v>2.8566518403369416</v>
      </c>
      <c r="E42" s="156">
        <f>'[4]Poultry Byproduct Complex'!$U264</f>
        <v>0</v>
      </c>
      <c r="F42" s="156">
        <f>'[4]CWG Complex'!$U127</f>
        <v>1.0423436182370875</v>
      </c>
      <c r="G42" s="156">
        <f>'[4]Inedible Tallow Complex'!$U124</f>
        <v>0</v>
      </c>
      <c r="H42" s="156">
        <f>'[4]Yellow Grease Complex'!$U125</f>
        <v>1.5766091162560103</v>
      </c>
      <c r="I42" s="156">
        <f>'[4]Used Cooking Oil Complex'!$U125</f>
        <v>2.9142859672363963</v>
      </c>
      <c r="J42" s="156">
        <f t="shared" si="0"/>
        <v>7</v>
      </c>
      <c r="K42" s="156">
        <f t="shared" si="2"/>
        <v>5.5332387017294939</v>
      </c>
      <c r="L42" s="156">
        <f t="shared" si="1"/>
        <v>12.533238701729495</v>
      </c>
      <c r="M42" s="157">
        <f>'[5]Renewable Diesel'!$E52/1000000</f>
        <v>1.6738230000000001</v>
      </c>
      <c r="N42" s="158">
        <f t="shared" si="5"/>
        <v>7.4877921391506117</v>
      </c>
      <c r="O42" s="157">
        <f t="shared" si="4"/>
        <v>15.389890542066436</v>
      </c>
      <c r="P42" s="154">
        <f t="shared" si="6"/>
        <v>9.1944551736153919</v>
      </c>
    </row>
    <row r="43" spans="1:16" x14ac:dyDescent="0.2">
      <c r="A43" s="155">
        <v>41395</v>
      </c>
      <c r="B43" s="156">
        <f>'[3]Soy Complex'!$BB426</f>
        <v>15</v>
      </c>
      <c r="C43" s="156">
        <f>'[3]Canola Complex'!$BB361</f>
        <v>0</v>
      </c>
      <c r="D43" s="156">
        <f>'[4]Distillers'' Corn Oil Complex'!$U123</f>
        <v>2.316631271005325</v>
      </c>
      <c r="E43" s="156">
        <f>'[4]Poultry Byproduct Complex'!$U265</f>
        <v>0</v>
      </c>
      <c r="F43" s="156">
        <f>'[4]CWG Complex'!$U128</f>
        <v>0.98422314233840646</v>
      </c>
      <c r="G43" s="156">
        <f>'[4]Inedible Tallow Complex'!$U125</f>
        <v>0</v>
      </c>
      <c r="H43" s="156">
        <f>'[4]Yellow Grease Complex'!$U126</f>
        <v>1.4886983059054109</v>
      </c>
      <c r="I43" s="156">
        <f>'[4]Used Cooking Oil Complex'!$U126</f>
        <v>2.7517870711361847</v>
      </c>
      <c r="J43" s="156">
        <f t="shared" si="0"/>
        <v>15</v>
      </c>
      <c r="K43" s="156">
        <f t="shared" si="2"/>
        <v>5.2247085193800018</v>
      </c>
      <c r="L43" s="156">
        <f t="shared" si="1"/>
        <v>20.224708519380002</v>
      </c>
      <c r="M43" s="157">
        <f>'[5]Renewable Diesel'!$E53/1000000</f>
        <v>2.7924669999999998</v>
      </c>
      <c r="N43" s="158">
        <f t="shared" si="5"/>
        <v>7.2425953536353349</v>
      </c>
      <c r="O43" s="157">
        <f t="shared" si="4"/>
        <v>22.541339790385329</v>
      </c>
      <c r="P43" s="154">
        <f t="shared" si="6"/>
        <v>8.0721955856184984</v>
      </c>
    </row>
    <row r="44" spans="1:16" x14ac:dyDescent="0.2">
      <c r="A44" s="155">
        <v>41426</v>
      </c>
      <c r="B44" s="156">
        <f>'[3]Soy Complex'!$BB427</f>
        <v>45</v>
      </c>
      <c r="C44" s="156">
        <f>'[3]Canola Complex'!$BB362</f>
        <v>0</v>
      </c>
      <c r="D44" s="156">
        <f>'[4]Distillers'' Corn Oil Complex'!$U124</f>
        <v>3.8525972755761946</v>
      </c>
      <c r="E44" s="156">
        <f>'[4]Poultry Byproduct Complex'!$U266</f>
        <v>0</v>
      </c>
      <c r="F44" s="156">
        <f>'[4]CWG Complex'!$U129</f>
        <v>1.6285899375632027</v>
      </c>
      <c r="G44" s="156">
        <f>'[4]Inedible Tallow Complex'!$U126</f>
        <v>0</v>
      </c>
      <c r="H44" s="156">
        <f>'[4]Yellow Grease Complex'!$U127</f>
        <v>2.4633428912315978</v>
      </c>
      <c r="I44" s="156">
        <f>'[4]Used Cooking Oil Complex'!$U127</f>
        <v>4.5533706144333035</v>
      </c>
      <c r="J44" s="156">
        <f t="shared" si="0"/>
        <v>45</v>
      </c>
      <c r="K44" s="156">
        <f t="shared" si="2"/>
        <v>8.6453034432281051</v>
      </c>
      <c r="L44" s="156">
        <f t="shared" si="1"/>
        <v>53.645303443228102</v>
      </c>
      <c r="M44" s="157">
        <f>'[5]Renewable Diesel'!$E54/1000000</f>
        <v>7.2559750000000003</v>
      </c>
      <c r="N44" s="158">
        <f t="shared" si="5"/>
        <v>7.3932591337798295</v>
      </c>
      <c r="O44" s="157">
        <f t="shared" si="4"/>
        <v>57.497900718804303</v>
      </c>
      <c r="P44" s="154">
        <f t="shared" si="6"/>
        <v>7.9242142811688714</v>
      </c>
    </row>
    <row r="45" spans="1:16" x14ac:dyDescent="0.2">
      <c r="A45" s="155">
        <v>41456</v>
      </c>
      <c r="B45" s="156">
        <f>'[3]Soy Complex'!$BB428</f>
        <v>55</v>
      </c>
      <c r="C45" s="156">
        <f>'[3]Canola Complex'!$BB363</f>
        <v>0</v>
      </c>
      <c r="D45" s="156">
        <f>'[4]Distillers'' Corn Oil Complex'!$U125</f>
        <v>3.3426295422573795</v>
      </c>
      <c r="E45" s="156">
        <f>'[4]Poultry Byproduct Complex'!$U267</f>
        <v>0</v>
      </c>
      <c r="F45" s="156">
        <f>'[4]CWG Complex'!$U130</f>
        <v>11.560162452630509</v>
      </c>
      <c r="G45" s="156">
        <f>'[4]Inedible Tallow Complex'!$U127</f>
        <v>0</v>
      </c>
      <c r="H45" s="156">
        <f>'[4]Yellow Grease Complex'!$U128</f>
        <v>17.485459870750717</v>
      </c>
      <c r="I45" s="156">
        <f>'[4]Used Cooking Oil Complex'!$U128</f>
        <v>32.321029865039442</v>
      </c>
      <c r="J45" s="156">
        <f t="shared" si="0"/>
        <v>55</v>
      </c>
      <c r="K45" s="156">
        <f t="shared" si="2"/>
        <v>61.366652188420666</v>
      </c>
      <c r="L45" s="156">
        <f t="shared" si="1"/>
        <v>116.36665218842066</v>
      </c>
      <c r="M45" s="157">
        <f>'[5]Renewable Diesel'!$E55/1000000</f>
        <v>15.712344999999999</v>
      </c>
      <c r="N45" s="158">
        <f t="shared" si="5"/>
        <v>7.4060652428660818</v>
      </c>
      <c r="O45" s="157">
        <f t="shared" si="4"/>
        <v>119.70928173067804</v>
      </c>
      <c r="P45" s="154">
        <f t="shared" si="6"/>
        <v>7.6188043051930219</v>
      </c>
    </row>
    <row r="46" spans="1:16" x14ac:dyDescent="0.2">
      <c r="A46" s="155">
        <v>41487</v>
      </c>
      <c r="B46" s="156">
        <f>'[3]Soy Complex'!$BB429</f>
        <v>65</v>
      </c>
      <c r="C46" s="156">
        <f>'[3]Canola Complex'!$BB364</f>
        <v>0</v>
      </c>
      <c r="D46" s="156">
        <f>'[4]Distillers'' Corn Oil Complex'!$U126</f>
        <v>3.1562464567279007</v>
      </c>
      <c r="E46" s="156">
        <f>'[4]Poultry Byproduct Complex'!$U268</f>
        <v>0</v>
      </c>
      <c r="F46" s="156">
        <f>'[4]CWG Complex'!$U131</f>
        <v>9.050597514944231</v>
      </c>
      <c r="G46" s="156">
        <f>'[4]Inedible Tallow Complex'!$U128</f>
        <v>0</v>
      </c>
      <c r="H46" s="156">
        <f>'[4]Yellow Grease Complex'!$U129</f>
        <v>13.689587867155181</v>
      </c>
      <c r="I46" s="156">
        <f>'[4]Used Cooking Oil Complex'!$U129</f>
        <v>25.304543407207948</v>
      </c>
      <c r="J46" s="156">
        <f t="shared" si="0"/>
        <v>65</v>
      </c>
      <c r="K46" s="156">
        <f t="shared" si="2"/>
        <v>48.044728789307356</v>
      </c>
      <c r="L46" s="156">
        <f t="shared" si="1"/>
        <v>113.04472878930736</v>
      </c>
      <c r="M46" s="157">
        <f>'[5]Renewable Diesel'!$E56/1000000</f>
        <v>15.256251000000001</v>
      </c>
      <c r="N46" s="158">
        <f t="shared" si="5"/>
        <v>7.4097318397099885</v>
      </c>
      <c r="O46" s="157">
        <f t="shared" si="4"/>
        <v>116.20097524603526</v>
      </c>
      <c r="P46" s="154">
        <f t="shared" si="6"/>
        <v>7.6166140191345342</v>
      </c>
    </row>
    <row r="47" spans="1:16" x14ac:dyDescent="0.2">
      <c r="A47" s="155">
        <v>41518</v>
      </c>
      <c r="B47" s="156">
        <f>'[3]Soy Complex'!$BB430</f>
        <v>75</v>
      </c>
      <c r="C47" s="156">
        <f>'[3]Canola Complex'!$BB365</f>
        <v>0</v>
      </c>
      <c r="D47" s="156">
        <f>'[4]Distillers'' Corn Oil Complex'!$U127</f>
        <v>5.2226278765239602</v>
      </c>
      <c r="E47" s="156">
        <f>'[4]Poultry Byproduct Complex'!$U269</f>
        <v>0</v>
      </c>
      <c r="F47" s="156">
        <f>'[4]CWG Complex'!$U132</f>
        <v>9.9446457534188841</v>
      </c>
      <c r="G47" s="156">
        <f>'[4]Inedible Tallow Complex'!$U129</f>
        <v>0</v>
      </c>
      <c r="H47" s="156">
        <f>'[4]Yellow Grease Complex'!$U130</f>
        <v>15.041891060161495</v>
      </c>
      <c r="I47" s="156">
        <f>'[4]Used Cooking Oil Complex'!$U130</f>
        <v>27.804210685668188</v>
      </c>
      <c r="J47" s="156">
        <f t="shared" si="0"/>
        <v>75</v>
      </c>
      <c r="K47" s="156">
        <f t="shared" si="2"/>
        <v>52.790747499248567</v>
      </c>
      <c r="L47" s="156">
        <f t="shared" si="1"/>
        <v>127.79074749924857</v>
      </c>
      <c r="M47" s="157">
        <f>'[5]Renewable Diesel'!$E57/1000000</f>
        <v>17.641090999999999</v>
      </c>
      <c r="N47" s="158">
        <f t="shared" si="5"/>
        <v>7.2439254181755866</v>
      </c>
      <c r="O47" s="157">
        <f t="shared" si="4"/>
        <v>133.01337537577251</v>
      </c>
      <c r="P47" s="154">
        <f t="shared" si="6"/>
        <v>7.5399744480527033</v>
      </c>
    </row>
    <row r="48" spans="1:16" x14ac:dyDescent="0.2">
      <c r="A48" s="155">
        <v>41548</v>
      </c>
      <c r="B48" s="156">
        <f>'[3]Soy Complex'!$BC419</f>
        <v>75</v>
      </c>
      <c r="C48" s="156">
        <f>'[3]Canola Complex'!$BC354</f>
        <v>0</v>
      </c>
      <c r="D48" s="156">
        <f>'[4]Distillers'' Corn Oil Complex'!$U128</f>
        <v>37.071595058845602</v>
      </c>
      <c r="E48" s="156">
        <f>'[4]Poultry Byproduct Complex'!$V258</f>
        <v>0</v>
      </c>
      <c r="F48" s="156">
        <f>'[4]CWG Complex'!$V121</f>
        <v>11.252966294467813</v>
      </c>
      <c r="G48" s="156">
        <f>'[4]Inedible Tallow Complex'!$V118</f>
        <v>0</v>
      </c>
      <c r="H48" s="156">
        <f>'[4]Yellow Grease Complex'!$V119</f>
        <v>17.020806703633642</v>
      </c>
      <c r="I48" s="156">
        <f>'[4]Used Cooking Oil Complex'!$V119</f>
        <v>31.462140879431576</v>
      </c>
      <c r="J48" s="156">
        <f t="shared" si="0"/>
        <v>75</v>
      </c>
      <c r="K48" s="156">
        <f t="shared" si="2"/>
        <v>59.735913877533036</v>
      </c>
      <c r="L48" s="156">
        <f t="shared" si="1"/>
        <v>134.73591387753305</v>
      </c>
      <c r="M48" s="157">
        <f>'[5]Renewable Diesel'!$E58/1000000</f>
        <v>18.931761999999999</v>
      </c>
      <c r="N48" s="158">
        <f t="shared" si="5"/>
        <v>7.1169241340311089</v>
      </c>
      <c r="O48" s="157">
        <f t="shared" si="4"/>
        <v>171.80750893637861</v>
      </c>
      <c r="P48" s="154">
        <f t="shared" si="6"/>
        <v>9.0750934295697689</v>
      </c>
    </row>
    <row r="49" spans="1:16" x14ac:dyDescent="0.2">
      <c r="A49" s="155">
        <v>41579</v>
      </c>
      <c r="B49" s="156">
        <f>'[3]Soy Complex'!$BC420</f>
        <v>60</v>
      </c>
      <c r="C49" s="156">
        <f>'[3]Canola Complex'!$BC355</f>
        <v>0</v>
      </c>
      <c r="D49" s="156">
        <f>'[4]Distillers'' Corn Oil Complex'!$U129</f>
        <v>29.023821031014958</v>
      </c>
      <c r="E49" s="156">
        <f>'[4]Poultry Byproduct Complex'!$V259</f>
        <v>0</v>
      </c>
      <c r="F49" s="156">
        <f>'[4]CWG Complex'!$V122</f>
        <v>11.462058697409221</v>
      </c>
      <c r="G49" s="156">
        <f>'[4]Inedible Tallow Complex'!$V119</f>
        <v>0</v>
      </c>
      <c r="H49" s="156">
        <f>'[4]Yellow Grease Complex'!$V120</f>
        <v>17.337071880346528</v>
      </c>
      <c r="I49" s="156">
        <f>'[4]Used Cooking Oil Complex'!$V120</f>
        <v>32.046741816288161</v>
      </c>
      <c r="J49" s="156">
        <f t="shared" si="0"/>
        <v>60</v>
      </c>
      <c r="K49" s="156">
        <f t="shared" si="2"/>
        <v>60.845872394043909</v>
      </c>
      <c r="L49" s="156">
        <f t="shared" si="1"/>
        <v>120.84587239404391</v>
      </c>
      <c r="M49" s="157">
        <f>'[5]Renewable Diesel'!$E59/1000000</f>
        <v>15.678898</v>
      </c>
      <c r="N49" s="158">
        <f t="shared" si="5"/>
        <v>7.7075488592402293</v>
      </c>
      <c r="O49" s="157">
        <f t="shared" si="4"/>
        <v>149.86969342505887</v>
      </c>
      <c r="P49" s="154">
        <f t="shared" si="6"/>
        <v>9.5586879527540045</v>
      </c>
    </row>
    <row r="50" spans="1:16" x14ac:dyDescent="0.2">
      <c r="A50" s="155">
        <v>41609</v>
      </c>
      <c r="B50" s="156">
        <f>'[3]Soy Complex'!$BC421</f>
        <v>35</v>
      </c>
      <c r="C50" s="156">
        <f>'[3]Canola Complex'!$BC356</f>
        <v>0</v>
      </c>
      <c r="D50" s="156">
        <f>'[4]Distillers'' Corn Oil Complex'!$U130</f>
        <v>31.890890970180457</v>
      </c>
      <c r="E50" s="156">
        <f>'[4]Poultry Byproduct Complex'!$V260</f>
        <v>0</v>
      </c>
      <c r="F50" s="156">
        <f>'[4]CWG Complex'!$V123</f>
        <v>13.569561234207274</v>
      </c>
      <c r="G50" s="156">
        <f>'[4]Inedible Tallow Complex'!$V120</f>
        <v>0</v>
      </c>
      <c r="H50" s="156">
        <f>'[4]Yellow Grease Complex'!$V121</f>
        <v>20.524799664076969</v>
      </c>
      <c r="I50" s="156">
        <f>'[4]Used Cooking Oil Complex'!$V121</f>
        <v>37.939102993011623</v>
      </c>
      <c r="J50" s="156">
        <f t="shared" si="0"/>
        <v>35</v>
      </c>
      <c r="K50" s="156">
        <f t="shared" si="2"/>
        <v>72.033463891295867</v>
      </c>
      <c r="L50" s="156">
        <f t="shared" si="1"/>
        <v>107.03346389129587</v>
      </c>
      <c r="M50" s="157">
        <f>'[5]Renewable Diesel'!$E60/1000000</f>
        <v>13.897309999999999</v>
      </c>
      <c r="N50" s="158">
        <f t="shared" si="5"/>
        <v>7.7017396813696948</v>
      </c>
      <c r="O50" s="157">
        <f t="shared" si="4"/>
        <v>138.92435486147633</v>
      </c>
      <c r="P50" s="154">
        <f t="shared" si="6"/>
        <v>9.9964924767078198</v>
      </c>
    </row>
    <row r="51" spans="1:16" x14ac:dyDescent="0.2">
      <c r="A51" s="155">
        <v>41640</v>
      </c>
      <c r="B51" s="156">
        <f>'[3]Soy Complex'!$BC422</f>
        <v>25</v>
      </c>
      <c r="C51" s="156">
        <f>'[3]Canola Complex'!$BC357</f>
        <v>0</v>
      </c>
      <c r="D51" s="156">
        <f>'[4]Distillers'' Corn Oil Complex'!$V119</f>
        <v>36.086466032700365</v>
      </c>
      <c r="E51" s="156">
        <f>'[4]Poultry Byproduct Complex'!$V261</f>
        <v>0</v>
      </c>
      <c r="F51" s="156">
        <f>'[4]CWG Complex'!$V124</f>
        <v>10.277036478164135</v>
      </c>
      <c r="G51" s="156">
        <f>'[4]Inedible Tallow Complex'!$V121</f>
        <v>0</v>
      </c>
      <c r="H51" s="156">
        <f>'[4]Yellow Grease Complex'!$V122</f>
        <v>15.544652565699014</v>
      </c>
      <c r="I51" s="156">
        <f>'[4]Used Cooking Oil Complex'!$V122</f>
        <v>28.733541098227288</v>
      </c>
      <c r="J51" s="156">
        <f t="shared" si="0"/>
        <v>25</v>
      </c>
      <c r="K51" s="156">
        <f t="shared" si="2"/>
        <v>54.555230142090437</v>
      </c>
      <c r="L51" s="156">
        <f t="shared" si="1"/>
        <v>79.555230142090437</v>
      </c>
      <c r="M51" s="157">
        <f>'[5]Renewable Diesel'!$F49/1000000</f>
        <v>10.328728999999999</v>
      </c>
      <c r="N51" s="158">
        <f t="shared" si="5"/>
        <v>7.7023252466097665</v>
      </c>
      <c r="O51" s="157">
        <f t="shared" si="4"/>
        <v>115.64169617479081</v>
      </c>
      <c r="P51" s="154">
        <f t="shared" si="6"/>
        <v>11.196120662551106</v>
      </c>
    </row>
    <row r="52" spans="1:16" x14ac:dyDescent="0.2">
      <c r="A52" s="155">
        <v>41671</v>
      </c>
      <c r="B52" s="156">
        <f>'[3]Soy Complex'!$BC423</f>
        <v>25</v>
      </c>
      <c r="C52" s="156">
        <f>'[3]Canola Complex'!$BC358</f>
        <v>0</v>
      </c>
      <c r="D52" s="156">
        <f>'[4]Distillers'' Corn Oil Complex'!$V120</f>
        <v>36.756991981058562</v>
      </c>
      <c r="E52" s="156">
        <f>'[4]Poultry Byproduct Complex'!$V262</f>
        <v>0</v>
      </c>
      <c r="F52" s="156">
        <f>'[4]CWG Complex'!$V125</f>
        <v>11.982783057866795</v>
      </c>
      <c r="G52" s="156">
        <f>'[4]Inedible Tallow Complex'!$V122</f>
        <v>0</v>
      </c>
      <c r="H52" s="156">
        <f>'[4]Yellow Grease Complex'!$V123</f>
        <v>18.124699644732438</v>
      </c>
      <c r="I52" s="156">
        <f>'[4]Used Cooking Oil Complex'!$V123</f>
        <v>33.502633779291948</v>
      </c>
      <c r="J52" s="156">
        <f t="shared" si="0"/>
        <v>25</v>
      </c>
      <c r="K52" s="156">
        <f t="shared" si="2"/>
        <v>63.610116481891183</v>
      </c>
      <c r="L52" s="156">
        <f t="shared" si="1"/>
        <v>88.610116481891183</v>
      </c>
      <c r="M52" s="157">
        <f>'[5]Renewable Diesel'!$F50/1000000</f>
        <v>12.293217</v>
      </c>
      <c r="N52" s="158">
        <f t="shared" si="5"/>
        <v>7.2080494863054305</v>
      </c>
      <c r="O52" s="157">
        <f t="shared" si="4"/>
        <v>125.36710846294974</v>
      </c>
      <c r="P52" s="154">
        <f t="shared" si="6"/>
        <v>10.198071705961892</v>
      </c>
    </row>
    <row r="53" spans="1:16" x14ac:dyDescent="0.2">
      <c r="A53" s="155">
        <v>41699</v>
      </c>
      <c r="B53" s="156">
        <f>'[3]Soy Complex'!$BC424</f>
        <v>30</v>
      </c>
      <c r="C53" s="156">
        <f>'[3]Canola Complex'!$BC359</f>
        <v>0</v>
      </c>
      <c r="D53" s="156">
        <f>'[4]Distillers'' Corn Oil Complex'!$V121</f>
        <v>43.515416090564848</v>
      </c>
      <c r="E53" s="156">
        <f>'[4]Poultry Byproduct Complex'!$V263</f>
        <v>0</v>
      </c>
      <c r="F53" s="156">
        <f>'[4]CWG Complex'!$V126</f>
        <v>14.471894654031134</v>
      </c>
      <c r="G53" s="156">
        <f>'[4]Inedible Tallow Complex'!$V123</f>
        <v>0</v>
      </c>
      <c r="H53" s="156">
        <f>'[4]Yellow Grease Complex'!$V124</f>
        <v>21.889634705714048</v>
      </c>
      <c r="I53" s="156">
        <f>'[4]Used Cooking Oil Complex'!$V124</f>
        <v>40.461934789697473</v>
      </c>
      <c r="J53" s="156">
        <f t="shared" si="0"/>
        <v>30</v>
      </c>
      <c r="K53" s="156">
        <f t="shared" si="2"/>
        <v>76.823464149442657</v>
      </c>
      <c r="L53" s="156">
        <f t="shared" si="1"/>
        <v>106.82346414944266</v>
      </c>
      <c r="M53" s="157">
        <f>'[5]Renewable Diesel'!$F51/1000000</f>
        <v>14.953326000000001</v>
      </c>
      <c r="N53" s="158">
        <f t="shared" si="5"/>
        <v>7.1437929026253189</v>
      </c>
      <c r="O53" s="157">
        <f t="shared" si="4"/>
        <v>150.33888024000751</v>
      </c>
      <c r="P53" s="154">
        <f t="shared" si="6"/>
        <v>10.053875655490124</v>
      </c>
    </row>
    <row r="54" spans="1:16" x14ac:dyDescent="0.2">
      <c r="A54" s="155">
        <v>41730</v>
      </c>
      <c r="B54" s="156">
        <f>'[3]Soy Complex'!$BC425</f>
        <v>35</v>
      </c>
      <c r="C54" s="156">
        <f>'[3]Canola Complex'!$BC360</f>
        <v>0</v>
      </c>
      <c r="D54" s="156">
        <f>'[4]Distillers'' Corn Oil Complex'!$V122</f>
        <v>32.956814948287544</v>
      </c>
      <c r="E54" s="156">
        <f>'[4]Poultry Byproduct Complex'!$V264</f>
        <v>0</v>
      </c>
      <c r="F54" s="156">
        <f>'[4]CWG Complex'!$V127</f>
        <v>12.988143695311152</v>
      </c>
      <c r="G54" s="156">
        <f>'[4]Inedible Tallow Complex'!$V124</f>
        <v>0</v>
      </c>
      <c r="H54" s="156">
        <f>'[4]Yellow Grease Complex'!$V125</f>
        <v>19.645369717813068</v>
      </c>
      <c r="I54" s="156">
        <f>'[4]Used Cooking Oil Complex'!$V125</f>
        <v>36.31351912118263</v>
      </c>
      <c r="J54" s="156">
        <f t="shared" si="0"/>
        <v>35</v>
      </c>
      <c r="K54" s="156">
        <f t="shared" si="2"/>
        <v>68.947032534306857</v>
      </c>
      <c r="L54" s="156">
        <f t="shared" si="1"/>
        <v>103.94703253430686</v>
      </c>
      <c r="M54" s="157">
        <f>'[5]Renewable Diesel'!$F52/1000000</f>
        <v>13.676328</v>
      </c>
      <c r="N54" s="158">
        <f t="shared" si="5"/>
        <v>7.6005074267235226</v>
      </c>
      <c r="O54" s="157">
        <f t="shared" si="4"/>
        <v>136.90384748259439</v>
      </c>
      <c r="P54" s="154">
        <f t="shared" si="6"/>
        <v>10.010278159648875</v>
      </c>
    </row>
    <row r="55" spans="1:16" x14ac:dyDescent="0.2">
      <c r="A55" s="155">
        <v>41760</v>
      </c>
      <c r="B55" s="156">
        <f>'[3]Soy Complex'!$BC426</f>
        <v>30</v>
      </c>
      <c r="C55" s="156">
        <f>'[3]Canola Complex'!$BC361</f>
        <v>0</v>
      </c>
      <c r="D55" s="156">
        <f>'[4]Distillers'' Corn Oil Complex'!$V123</f>
        <v>38.426871855780128</v>
      </c>
      <c r="E55" s="156">
        <f>'[4]Poultry Byproduct Complex'!$V265</f>
        <v>0</v>
      </c>
      <c r="F55" s="156">
        <f>'[4]CWG Complex'!$V128</f>
        <v>15.736737845667692</v>
      </c>
      <c r="G55" s="156">
        <f>'[4]Inedible Tallow Complex'!$V125</f>
        <v>0</v>
      </c>
      <c r="H55" s="156">
        <f>'[4]Yellow Grease Complex'!$V126</f>
        <v>23.802788172265959</v>
      </c>
      <c r="I55" s="156">
        <f>'[4]Used Cooking Oil Complex'!$V126</f>
        <v>43.998306768810501</v>
      </c>
      <c r="J55" s="156">
        <f t="shared" si="0"/>
        <v>30</v>
      </c>
      <c r="K55" s="156">
        <f t="shared" si="2"/>
        <v>83.537832786744161</v>
      </c>
      <c r="L55" s="156">
        <f t="shared" si="1"/>
        <v>113.53783278674416</v>
      </c>
      <c r="M55" s="157">
        <f>'[5]Renewable Diesel'!$F53/1000000</f>
        <v>16.218844000000001</v>
      </c>
      <c r="N55" s="158">
        <f t="shared" si="5"/>
        <v>7.0003653026531456</v>
      </c>
      <c r="O55" s="157">
        <f t="shared" si="4"/>
        <v>151.96470464252428</v>
      </c>
      <c r="P55" s="154">
        <f t="shared" si="6"/>
        <v>9.3696384676074498</v>
      </c>
    </row>
    <row r="56" spans="1:16" x14ac:dyDescent="0.2">
      <c r="A56" s="155">
        <v>41791</v>
      </c>
      <c r="B56" s="156">
        <f>'[3]Soy Complex'!$BC427</f>
        <v>35</v>
      </c>
      <c r="C56" s="156">
        <f>'[3]Canola Complex'!$BC362</f>
        <v>0</v>
      </c>
      <c r="D56" s="156">
        <f>'[4]Distillers'' Corn Oil Complex'!$V124</f>
        <v>46.409055283339484</v>
      </c>
      <c r="E56" s="156">
        <f>'[4]Poultry Byproduct Complex'!$V266</f>
        <v>0</v>
      </c>
      <c r="F56" s="156">
        <f>'[4]CWG Complex'!$V129</f>
        <v>15.157280121725764</v>
      </c>
      <c r="G56" s="156">
        <f>'[4]Inedible Tallow Complex'!$V126</f>
        <v>0</v>
      </c>
      <c r="H56" s="156">
        <f>'[4]Yellow Grease Complex'!$V127</f>
        <v>22.926322567193292</v>
      </c>
      <c r="I56" s="156">
        <f>'[4]Used Cooking Oil Complex'!$V127</f>
        <v>42.378202338808038</v>
      </c>
      <c r="J56" s="156">
        <f t="shared" si="0"/>
        <v>35</v>
      </c>
      <c r="K56" s="156">
        <f t="shared" si="2"/>
        <v>80.461805027727095</v>
      </c>
      <c r="L56" s="156">
        <f t="shared" si="1"/>
        <v>115.4618050277271</v>
      </c>
      <c r="M56" s="157">
        <f>'[5]Renewable Diesel'!$F54/1000000</f>
        <v>15.664923</v>
      </c>
      <c r="N56" s="158">
        <f t="shared" si="5"/>
        <v>7.3707227943429467</v>
      </c>
      <c r="O56" s="157">
        <f t="shared" si="4"/>
        <v>161.87086031106656</v>
      </c>
      <c r="P56" s="154">
        <f t="shared" si="6"/>
        <v>10.333332650985042</v>
      </c>
    </row>
    <row r="57" spans="1:16" x14ac:dyDescent="0.2">
      <c r="A57" s="155">
        <v>41821</v>
      </c>
      <c r="B57" s="156">
        <f>'[3]Soy Complex'!$BC428</f>
        <v>35</v>
      </c>
      <c r="C57" s="156">
        <f>'[3]Canola Complex'!$BC363</f>
        <v>0</v>
      </c>
      <c r="D57" s="156">
        <f>'[4]Distillers'' Corn Oil Complex'!$V125</f>
        <v>41.650902884077595</v>
      </c>
      <c r="E57" s="156">
        <f>'[4]Poultry Byproduct Complex'!$V267</f>
        <v>0</v>
      </c>
      <c r="F57" s="156">
        <f>'[4]CWG Complex'!$V130</f>
        <v>12.841409040912241</v>
      </c>
      <c r="G57" s="156">
        <f>'[4]Inedible Tallow Complex'!$V127</f>
        <v>0</v>
      </c>
      <c r="H57" s="156">
        <f>'[4]Yellow Grease Complex'!$V128</f>
        <v>19.423424488093847</v>
      </c>
      <c r="I57" s="156">
        <f>'[4]Used Cooking Oil Complex'!$V128</f>
        <v>35.903264060624693</v>
      </c>
      <c r="J57" s="156">
        <f t="shared" si="0"/>
        <v>35</v>
      </c>
      <c r="K57" s="156">
        <f t="shared" si="2"/>
        <v>68.168097589630776</v>
      </c>
      <c r="L57" s="156">
        <f t="shared" si="1"/>
        <v>103.16809758963078</v>
      </c>
      <c r="M57" s="157">
        <f>'[5]Renewable Diesel'!$F55/1000000</f>
        <v>13.997563</v>
      </c>
      <c r="N57" s="158">
        <f t="shared" si="5"/>
        <v>7.3704328095991265</v>
      </c>
      <c r="O57" s="157">
        <f t="shared" si="4"/>
        <v>144.81900047370837</v>
      </c>
      <c r="P57" s="154">
        <f t="shared" si="6"/>
        <v>10.346015265207836</v>
      </c>
    </row>
    <row r="58" spans="1:16" x14ac:dyDescent="0.2">
      <c r="A58" s="155">
        <v>41852</v>
      </c>
      <c r="B58" s="156">
        <f>'[3]Soy Complex'!$BC429</f>
        <v>7</v>
      </c>
      <c r="C58" s="156">
        <f>'[3]Canola Complex'!$BC364</f>
        <v>0</v>
      </c>
      <c r="D58" s="156">
        <f>'[4]Distillers'' Corn Oil Complex'!$V126</f>
        <v>50.465205428757088</v>
      </c>
      <c r="E58" s="156">
        <f>'[4]Poultry Byproduct Complex'!$V268</f>
        <v>0</v>
      </c>
      <c r="F58" s="156">
        <f>'[4]CWG Complex'!$V131</f>
        <v>1.5826274409803507</v>
      </c>
      <c r="G58" s="156">
        <f>'[4]Inedible Tallow Complex'!$V128</f>
        <v>0</v>
      </c>
      <c r="H58" s="156">
        <f>'[4]Yellow Grease Complex'!$V129</f>
        <v>2.3938217756891342</v>
      </c>
      <c r="I58" s="156">
        <f>'[4]Used Cooking Oil Complex'!$V129</f>
        <v>4.4248641829005795</v>
      </c>
      <c r="J58" s="156">
        <f t="shared" si="0"/>
        <v>7</v>
      </c>
      <c r="K58" s="156">
        <f t="shared" si="2"/>
        <v>8.4013133995700642</v>
      </c>
      <c r="L58" s="156">
        <f t="shared" si="1"/>
        <v>15.401313399570064</v>
      </c>
      <c r="M58" s="157">
        <f>'[5]Renewable Diesel'!$F56/1000000</f>
        <v>2.0431140000000001</v>
      </c>
      <c r="N58" s="158">
        <f t="shared" si="5"/>
        <v>7.5381566567357785</v>
      </c>
      <c r="O58" s="157">
        <f t="shared" si="4"/>
        <v>65.866518828327145</v>
      </c>
      <c r="P58" s="154">
        <f t="shared" si="6"/>
        <v>32.238298415226531</v>
      </c>
    </row>
    <row r="59" spans="1:16" x14ac:dyDescent="0.2">
      <c r="A59" s="155">
        <v>41883</v>
      </c>
      <c r="B59" s="156">
        <f>'[3]Soy Complex'!$BC430</f>
        <v>15</v>
      </c>
      <c r="C59" s="156">
        <f>'[3]Canola Complex'!$BC365</f>
        <v>0</v>
      </c>
      <c r="D59" s="156">
        <f>'[4]Distillers'' Corn Oil Complex'!$V127</f>
        <v>48.606977035884682</v>
      </c>
      <c r="E59" s="156">
        <f>'[4]Poultry Byproduct Complex'!$V269</f>
        <v>0</v>
      </c>
      <c r="F59" s="156">
        <f>'[4]CWG Complex'!$V132</f>
        <v>5.4196977264671444</v>
      </c>
      <c r="G59" s="156">
        <f>'[4]Inedible Tallow Complex'!$V129</f>
        <v>0</v>
      </c>
      <c r="H59" s="156">
        <f>'[4]Yellow Grease Complex'!$V130</f>
        <v>8.1976276281633229</v>
      </c>
      <c r="I59" s="156">
        <f>'[4]Used Cooking Oil Complex'!$V130</f>
        <v>15.152919588666423</v>
      </c>
      <c r="J59" s="156">
        <f t="shared" si="0"/>
        <v>15</v>
      </c>
      <c r="K59" s="156">
        <f t="shared" si="2"/>
        <v>28.770244943296888</v>
      </c>
      <c r="L59" s="156">
        <f t="shared" si="1"/>
        <v>43.770244943296888</v>
      </c>
      <c r="M59" s="157">
        <f>'[5]Renewable Diesel'!$F57/1000000</f>
        <v>5.9494259999999999</v>
      </c>
      <c r="N59" s="158">
        <f t="shared" si="5"/>
        <v>7.3570534272208592</v>
      </c>
      <c r="O59" s="157">
        <f t="shared" si="4"/>
        <v>92.37722197918157</v>
      </c>
      <c r="P59" s="154">
        <f t="shared" si="6"/>
        <v>15.527081432592249</v>
      </c>
    </row>
    <row r="60" spans="1:16" x14ac:dyDescent="0.2">
      <c r="A60" s="155">
        <v>41913</v>
      </c>
      <c r="B60" s="156">
        <f>'[3]Soy Complex'!$BD419</f>
        <v>30</v>
      </c>
      <c r="C60" s="156">
        <f>'[3]Canola Complex'!$BD354</f>
        <v>0</v>
      </c>
      <c r="D60" s="156">
        <f>'[4]Distillers'' Corn Oil Complex'!$V128</f>
        <v>41.180348278009902</v>
      </c>
      <c r="E60" s="156">
        <f>'[4]Poultry Byproduct Complex'!$W258</f>
        <v>0</v>
      </c>
      <c r="F60" s="156">
        <f>'[4]CWG Complex'!$W121</f>
        <v>14.130295344215407</v>
      </c>
      <c r="G60" s="156">
        <f>'[4]Inedible Tallow Complex'!$W118</f>
        <v>0</v>
      </c>
      <c r="H60" s="156">
        <f>'[4]Yellow Grease Complex'!$W119</f>
        <v>21.372944646371508</v>
      </c>
      <c r="I60" s="156">
        <f>'[4]Used Cooking Oil Complex'!$W119</f>
        <v>39.506858116711904</v>
      </c>
      <c r="J60" s="156">
        <f t="shared" si="0"/>
        <v>30</v>
      </c>
      <c r="K60" s="156">
        <f t="shared" si="2"/>
        <v>75.010098107298816</v>
      </c>
      <c r="L60" s="156">
        <f t="shared" si="1"/>
        <v>105.01009810729882</v>
      </c>
      <c r="M60" s="157">
        <f>'[5]Renewable Diesel'!$F58/1000000</f>
        <v>14.721823000000001</v>
      </c>
      <c r="N60" s="158">
        <f t="shared" si="5"/>
        <v>7.1329548050739922</v>
      </c>
      <c r="O60" s="157">
        <f t="shared" si="4"/>
        <v>146.19044638530872</v>
      </c>
      <c r="P60" s="154">
        <f t="shared" si="6"/>
        <v>9.9301863896413316</v>
      </c>
    </row>
    <row r="61" spans="1:16" x14ac:dyDescent="0.2">
      <c r="A61" s="155">
        <v>41944</v>
      </c>
      <c r="B61" s="156">
        <f>'[3]Soy Complex'!$BD420</f>
        <v>30</v>
      </c>
      <c r="C61" s="156">
        <f>'[3]Canola Complex'!$BD355</f>
        <v>0</v>
      </c>
      <c r="D61" s="156">
        <f>'[4]Distillers'' Corn Oil Complex'!$V129</f>
        <v>5.0752334892742095</v>
      </c>
      <c r="E61" s="156">
        <f>'[4]Poultry Byproduct Complex'!$W259</f>
        <v>0</v>
      </c>
      <c r="F61" s="156">
        <f>'[4]CWG Complex'!$W122</f>
        <v>13.891470903898515</v>
      </c>
      <c r="G61" s="156">
        <f>'[4]Inedible Tallow Complex'!$W119</f>
        <v>13.037149147701001</v>
      </c>
      <c r="H61" s="156">
        <f>'[4]Yellow Grease Complex'!$W120</f>
        <v>21.011707926349015</v>
      </c>
      <c r="I61" s="156">
        <f>'[4]Used Cooking Oil Complex'!$W120</f>
        <v>38.839129449436385</v>
      </c>
      <c r="J61" s="156">
        <f t="shared" si="0"/>
        <v>30</v>
      </c>
      <c r="K61" s="156">
        <f t="shared" si="2"/>
        <v>86.779457427384912</v>
      </c>
      <c r="L61" s="156">
        <f t="shared" si="1"/>
        <v>116.77945742738491</v>
      </c>
      <c r="M61" s="157">
        <f>'[5]Renewable Diesel'!$F59/1000000</f>
        <v>16.462802</v>
      </c>
      <c r="N61" s="158">
        <f t="shared" si="5"/>
        <v>7.0935347110039295</v>
      </c>
      <c r="O61" s="157">
        <f t="shared" si="4"/>
        <v>121.85469091665912</v>
      </c>
      <c r="P61" s="154">
        <f t="shared" si="6"/>
        <v>7.4018196244271861</v>
      </c>
    </row>
    <row r="62" spans="1:16" x14ac:dyDescent="0.2">
      <c r="A62" s="155">
        <v>41974</v>
      </c>
      <c r="B62" s="156">
        <f>'[3]Soy Complex'!$BD421</f>
        <v>40</v>
      </c>
      <c r="C62" s="156">
        <f>'[3]Canola Complex'!$BD356</f>
        <v>0</v>
      </c>
      <c r="D62" s="156">
        <f>'[4]Distillers'' Corn Oil Complex'!$V130</f>
        <v>17.380105191447168</v>
      </c>
      <c r="E62" s="156">
        <f>'[4]Poultry Byproduct Complex'!$W260</f>
        <v>0</v>
      </c>
      <c r="F62" s="156">
        <f>'[4]CWG Complex'!$W123</f>
        <v>16.783959937076965</v>
      </c>
      <c r="G62" s="156">
        <f>'[4]Inedible Tallow Complex'!$W120</f>
        <v>31.503501753338767</v>
      </c>
      <c r="H62" s="156">
        <f>'[4]Yellow Grease Complex'!$W121</f>
        <v>25.386776280576132</v>
      </c>
      <c r="I62" s="156">
        <f>'[4]Used Cooking Oil Complex'!$W121</f>
        <v>46.926232447230888</v>
      </c>
      <c r="J62" s="156">
        <f t="shared" si="0"/>
        <v>40</v>
      </c>
      <c r="K62" s="156">
        <f t="shared" si="2"/>
        <v>120.60047041822276</v>
      </c>
      <c r="L62" s="156">
        <f t="shared" si="1"/>
        <v>160.60047041822276</v>
      </c>
      <c r="M62" s="157">
        <f>'[5]Renewable Diesel'!$F60/1000000</f>
        <v>22.831111</v>
      </c>
      <c r="N62" s="158">
        <f t="shared" si="5"/>
        <v>7.0342818804666472</v>
      </c>
      <c r="O62" s="157">
        <f t="shared" si="4"/>
        <v>177.98057560966993</v>
      </c>
      <c r="P62" s="154">
        <f t="shared" si="6"/>
        <v>7.7955284615658842</v>
      </c>
    </row>
    <row r="63" spans="1:16" x14ac:dyDescent="0.2">
      <c r="A63" s="155">
        <v>42005</v>
      </c>
      <c r="B63" s="156">
        <f>'[3]Soy Complex'!$BD422</f>
        <v>40</v>
      </c>
      <c r="C63" s="156">
        <f>'[3]Canola Complex'!$BD357</f>
        <v>0</v>
      </c>
      <c r="D63" s="156">
        <f>'[4]Distillers'' Corn Oil Complex'!$W119</f>
        <v>45.313600843338243</v>
      </c>
      <c r="E63" s="156">
        <f>'[4]Poultry Byproduct Complex'!$W261</f>
        <v>0</v>
      </c>
      <c r="F63" s="156">
        <f>'[4]CWG Complex'!$W124</f>
        <v>10.762364632597036</v>
      </c>
      <c r="G63" s="156">
        <f>'[4]Inedible Tallow Complex'!$W121</f>
        <v>38.381831895093647</v>
      </c>
      <c r="H63" s="156">
        <f>'[4]Yellow Grease Complex'!$W122</f>
        <v>16.278741381773653</v>
      </c>
      <c r="I63" s="156">
        <f>'[4]Used Cooking Oil Complex'!$W122</f>
        <v>30.090468895569863</v>
      </c>
      <c r="J63" s="156">
        <f t="shared" si="0"/>
        <v>40</v>
      </c>
      <c r="K63" s="156">
        <f t="shared" si="2"/>
        <v>95.513406805034208</v>
      </c>
      <c r="L63" s="156">
        <f t="shared" si="1"/>
        <v>135.51340680503421</v>
      </c>
      <c r="M63" s="157">
        <f>'[5]Renewable Diesel'!$G49/1000000</f>
        <v>17.504678999999999</v>
      </c>
      <c r="N63" s="158">
        <f t="shared" si="5"/>
        <v>7.7415533758165012</v>
      </c>
      <c r="O63" s="157">
        <f t="shared" si="4"/>
        <v>180.82700764837244</v>
      </c>
      <c r="P63" s="154">
        <f t="shared" si="6"/>
        <v>10.330209862652863</v>
      </c>
    </row>
    <row r="64" spans="1:16" x14ac:dyDescent="0.2">
      <c r="A64" s="155">
        <v>42036</v>
      </c>
      <c r="B64" s="156">
        <f>'[3]Soy Complex'!$BD423</f>
        <v>30</v>
      </c>
      <c r="C64" s="156">
        <f>'[3]Canola Complex'!$BD358</f>
        <v>0</v>
      </c>
      <c r="D64" s="156">
        <f>'[4]Distillers'' Corn Oil Complex'!$W120</f>
        <v>52.90878924623771</v>
      </c>
      <c r="E64" s="156">
        <f>'[4]Poultry Byproduct Complex'!$W262</f>
        <v>0</v>
      </c>
      <c r="F64" s="156">
        <f>'[4]CWG Complex'!$W125</f>
        <v>8.1254103208707829</v>
      </c>
      <c r="G64" s="156">
        <f>'[4]Inedible Tallow Complex'!$W122</f>
        <v>28.977659061070604</v>
      </c>
      <c r="H64" s="156">
        <f>'[4]Yellow Grease Complex'!$W123</f>
        <v>12.290185080110216</v>
      </c>
      <c r="I64" s="156">
        <f>'[4]Used Cooking Oil Complex'!$W123</f>
        <v>22.717814799116844</v>
      </c>
      <c r="J64" s="156">
        <f t="shared" si="0"/>
        <v>30</v>
      </c>
      <c r="K64" s="156">
        <f t="shared" si="2"/>
        <v>72.111069261168439</v>
      </c>
      <c r="L64" s="156">
        <f t="shared" si="1"/>
        <v>102.11106926116844</v>
      </c>
      <c r="M64" s="157">
        <f>'[5]Renewable Diesel'!$G50/1000000</f>
        <v>13.481081</v>
      </c>
      <c r="N64" s="158">
        <f t="shared" si="5"/>
        <v>7.5743977253136032</v>
      </c>
      <c r="O64" s="157">
        <f t="shared" si="4"/>
        <v>155.01985850740616</v>
      </c>
      <c r="P64" s="154">
        <f t="shared" si="6"/>
        <v>11.499067360206956</v>
      </c>
    </row>
    <row r="65" spans="1:16" x14ac:dyDescent="0.2">
      <c r="A65" s="155">
        <v>42064</v>
      </c>
      <c r="B65" s="156">
        <f>'[3]Soy Complex'!$BD424</f>
        <v>30</v>
      </c>
      <c r="C65" s="156">
        <f>'[3]Canola Complex'!$BD359</f>
        <v>0</v>
      </c>
      <c r="D65" s="156">
        <f>'[4]Distillers'' Corn Oil Complex'!$W121</f>
        <v>74.027488260093833</v>
      </c>
      <c r="E65" s="156">
        <f>'[4]Poultry Byproduct Complex'!$W263</f>
        <v>0</v>
      </c>
      <c r="F65" s="156">
        <f>'[4]CWG Complex'!$W126</f>
        <v>9.5642908650068819</v>
      </c>
      <c r="G65" s="156">
        <f>'[4]Inedible Tallow Complex'!$W123</f>
        <v>34.109140203688796</v>
      </c>
      <c r="H65" s="156">
        <f>'[4]Yellow Grease Complex'!$W124</f>
        <v>14.466580793958567</v>
      </c>
      <c r="I65" s="156">
        <f>'[4]Used Cooking Oil Complex'!$W124</f>
        <v>26.740777385482971</v>
      </c>
      <c r="J65" s="156">
        <f t="shared" si="0"/>
        <v>30</v>
      </c>
      <c r="K65" s="156">
        <f t="shared" si="2"/>
        <v>84.880789248137219</v>
      </c>
      <c r="L65" s="156">
        <f t="shared" si="1"/>
        <v>114.88078924813722</v>
      </c>
      <c r="M65" s="157">
        <f>'[5]Renewable Diesel'!$G51/1000000</f>
        <v>16.109923999999999</v>
      </c>
      <c r="N65" s="158">
        <f t="shared" si="5"/>
        <v>7.131057182401185</v>
      </c>
      <c r="O65" s="157">
        <f t="shared" si="4"/>
        <v>188.90827750823104</v>
      </c>
      <c r="P65" s="154">
        <f t="shared" si="6"/>
        <v>11.726205381740538</v>
      </c>
    </row>
    <row r="66" spans="1:16" x14ac:dyDescent="0.2">
      <c r="A66" s="155">
        <v>42095</v>
      </c>
      <c r="B66" s="156">
        <f>'[3]Soy Complex'!$BD425</f>
        <v>30</v>
      </c>
      <c r="C66" s="156">
        <f>'[3]Canola Complex'!$BD360</f>
        <v>0</v>
      </c>
      <c r="D66" s="156">
        <f>'[4]Distillers'' Corn Oil Complex'!$W122</f>
        <v>59.128444301991131</v>
      </c>
      <c r="E66" s="156">
        <f>'[4]Poultry Byproduct Complex'!$W264</f>
        <v>0</v>
      </c>
      <c r="F66" s="156">
        <f>'[4]CWG Complex'!$W127</f>
        <v>9.4191072521346886</v>
      </c>
      <c r="G66" s="156">
        <f>'[4]Inedible Tallow Complex'!$W124</f>
        <v>33.591371737983302</v>
      </c>
      <c r="H66" s="156">
        <f>'[4]Yellow Grease Complex'!$W125</f>
        <v>14.246981610368405</v>
      </c>
      <c r="I66" s="156">
        <f>'[4]Used Cooking Oil Complex'!$W125</f>
        <v>26.33485887812768</v>
      </c>
      <c r="J66" s="156">
        <f t="shared" si="0"/>
        <v>30</v>
      </c>
      <c r="K66" s="156">
        <f t="shared" si="2"/>
        <v>83.592319478614073</v>
      </c>
      <c r="L66" s="156">
        <f t="shared" si="1"/>
        <v>113.59231947861407</v>
      </c>
      <c r="M66" s="157">
        <f>'[5]Renewable Diesel'!$G52/1000000</f>
        <v>15.732656</v>
      </c>
      <c r="N66" s="158">
        <f t="shared" si="5"/>
        <v>7.2201616483964353</v>
      </c>
      <c r="O66" s="157">
        <f t="shared" si="4"/>
        <v>172.72076378060521</v>
      </c>
      <c r="P66" s="154">
        <f t="shared" si="6"/>
        <v>10.978487280253583</v>
      </c>
    </row>
    <row r="67" spans="1:16" x14ac:dyDescent="0.2">
      <c r="A67" s="155">
        <v>42125</v>
      </c>
      <c r="B67" s="156">
        <f>'[3]Soy Complex'!$BD426</f>
        <v>30</v>
      </c>
      <c r="C67" s="156">
        <f>'[3]Canola Complex'!$BD361</f>
        <v>0</v>
      </c>
      <c r="D67" s="156">
        <f>'[4]Distillers'' Corn Oil Complex'!$W123</f>
        <v>44.641014125582331</v>
      </c>
      <c r="E67" s="156">
        <f>'[4]Poultry Byproduct Complex'!$W265</f>
        <v>0</v>
      </c>
      <c r="F67" s="156">
        <f>'[4]CWG Complex'!$W128</f>
        <v>9.5590842991049154</v>
      </c>
      <c r="G67" s="156">
        <f>'[4]Inedible Tallow Complex'!$W125</f>
        <v>34.090572022436625</v>
      </c>
      <c r="H67" s="156">
        <f>'[4]Yellow Grease Complex'!$W126</f>
        <v>14.458705541381773</v>
      </c>
      <c r="I67" s="156">
        <f>'[4]Used Cooking Oil Complex'!$W126</f>
        <v>26.726220360639999</v>
      </c>
      <c r="J67" s="156">
        <f t="shared" ref="J67:J130" si="7">C67+B67</f>
        <v>30</v>
      </c>
      <c r="K67" s="156">
        <f t="shared" si="2"/>
        <v>84.834582223563316</v>
      </c>
      <c r="L67" s="156">
        <f t="shared" ref="L67:L130" si="8">K67+J67</f>
        <v>114.83458222356332</v>
      </c>
      <c r="M67" s="157">
        <f>'[5]Renewable Diesel'!$G53/1000000</f>
        <v>15.741161999999999</v>
      </c>
      <c r="N67" s="158">
        <f t="shared" si="5"/>
        <v>7.2951782227743625</v>
      </c>
      <c r="O67" s="157">
        <f t="shared" si="4"/>
        <v>159.47559634914563</v>
      </c>
      <c r="P67" s="154">
        <f t="shared" si="6"/>
        <v>10.131119694285951</v>
      </c>
    </row>
    <row r="68" spans="1:16" x14ac:dyDescent="0.2">
      <c r="A68" s="155">
        <v>42156</v>
      </c>
      <c r="B68" s="156">
        <f>'[3]Soy Complex'!$BD427</f>
        <v>30</v>
      </c>
      <c r="C68" s="156">
        <f>'[3]Canola Complex'!$BD362</f>
        <v>0</v>
      </c>
      <c r="D68" s="156">
        <f>'[4]Distillers'' Corn Oil Complex'!$W124</f>
        <v>52.546225574512761</v>
      </c>
      <c r="E68" s="156">
        <f>'[4]Poultry Byproduct Complex'!$W266</f>
        <v>0</v>
      </c>
      <c r="F68" s="156">
        <f>'[4]CWG Complex'!$W129</f>
        <v>8.6130156456188072</v>
      </c>
      <c r="G68" s="156">
        <f>'[4]Inedible Tallow Complex'!$W126</f>
        <v>30.716606424826217</v>
      </c>
      <c r="H68" s="156">
        <f>'[4]Yellow Grease Complex'!$W127</f>
        <v>13.027718256964997</v>
      </c>
      <c r="I68" s="156">
        <f>'[4]Used Cooking Oil Complex'!$W127</f>
        <v>24.081109331361674</v>
      </c>
      <c r="J68" s="156">
        <f t="shared" si="7"/>
        <v>30</v>
      </c>
      <c r="K68" s="156">
        <f t="shared" ref="K68:K131" si="9">SUM(E68:I68)</f>
        <v>76.438449658771702</v>
      </c>
      <c r="L68" s="156">
        <f t="shared" si="8"/>
        <v>106.4384496587717</v>
      </c>
      <c r="M68" s="157">
        <f>'[5]Renewable Diesel'!$G54/1000000</f>
        <v>14.419983</v>
      </c>
      <c r="N68" s="158">
        <f t="shared" si="5"/>
        <v>7.3813158905091427</v>
      </c>
      <c r="O68" s="157">
        <f t="shared" si="4"/>
        <v>158.98467523328446</v>
      </c>
      <c r="P68" s="154">
        <f t="shared" si="6"/>
        <v>11.025302542540061</v>
      </c>
    </row>
    <row r="69" spans="1:16" x14ac:dyDescent="0.2">
      <c r="A69" s="155">
        <v>42186</v>
      </c>
      <c r="B69" s="156">
        <f>'[3]Soy Complex'!$BD428</f>
        <v>30</v>
      </c>
      <c r="C69" s="156">
        <f>'[3]Canola Complex'!$BD363</f>
        <v>0</v>
      </c>
      <c r="D69" s="156">
        <f>'[4]Distillers'' Corn Oil Complex'!$W125</f>
        <v>51.748586629882077</v>
      </c>
      <c r="E69" s="156">
        <f>'[4]Poultry Byproduct Complex'!$W267</f>
        <v>0</v>
      </c>
      <c r="F69" s="156">
        <f>'[4]CWG Complex'!$W130</f>
        <v>9.3387139765117997</v>
      </c>
      <c r="G69" s="156">
        <f>'[4]Inedible Tallow Complex'!$W127</f>
        <v>33.3046651176642</v>
      </c>
      <c r="H69" s="156">
        <f>'[4]Yellow Grease Complex'!$W128</f>
        <v>14.125381814470867</v>
      </c>
      <c r="I69" s="156">
        <f>'[4]Used Cooking Oil Complex'!$W128</f>
        <v>26.110087515873637</v>
      </c>
      <c r="J69" s="156">
        <f t="shared" si="7"/>
        <v>30</v>
      </c>
      <c r="K69" s="156">
        <f t="shared" si="9"/>
        <v>82.878848424520498</v>
      </c>
      <c r="L69" s="156">
        <f t="shared" si="8"/>
        <v>112.8788484245205</v>
      </c>
      <c r="M69" s="157">
        <f>'[5]Renewable Diesel'!$G55/1000000</f>
        <v>15.521248999999999</v>
      </c>
      <c r="N69" s="158">
        <f t="shared" si="5"/>
        <v>7.272536406349805</v>
      </c>
      <c r="O69" s="157">
        <f t="shared" si="4"/>
        <v>164.62743505440258</v>
      </c>
      <c r="P69" s="154">
        <f t="shared" si="6"/>
        <v>10.606584241667832</v>
      </c>
    </row>
    <row r="70" spans="1:16" x14ac:dyDescent="0.2">
      <c r="A70" s="155">
        <v>42217</v>
      </c>
      <c r="B70" s="156">
        <f>'[3]Soy Complex'!$BD429</f>
        <v>30</v>
      </c>
      <c r="C70" s="156">
        <f>'[3]Canola Complex'!$BD364</f>
        <v>0</v>
      </c>
      <c r="D70" s="156">
        <f>'[4]Distillers'' Corn Oil Complex'!$W126</f>
        <v>52.517620695153198</v>
      </c>
      <c r="E70" s="156">
        <f>'[4]Poultry Byproduct Complex'!$W268</f>
        <v>0</v>
      </c>
      <c r="F70" s="156">
        <f>'[4]CWG Complex'!$W131</f>
        <v>9.0968240505263065</v>
      </c>
      <c r="G70" s="156">
        <f>'[4]Inedible Tallow Complex'!$W128</f>
        <v>32.442012829507014</v>
      </c>
      <c r="H70" s="156">
        <f>'[4]Yellow Grease Complex'!$W129</f>
        <v>13.759508357995713</v>
      </c>
      <c r="I70" s="156">
        <f>'[4]Used Cooking Oil Complex'!$W129</f>
        <v>25.433788064731385</v>
      </c>
      <c r="J70" s="156">
        <f t="shared" si="7"/>
        <v>30</v>
      </c>
      <c r="K70" s="156">
        <f t="shared" si="9"/>
        <v>80.732133302760417</v>
      </c>
      <c r="L70" s="156">
        <f t="shared" si="8"/>
        <v>110.73213330276042</v>
      </c>
      <c r="M70" s="157">
        <f>'[5]Renewable Diesel'!$G56/1000000</f>
        <v>15.100408</v>
      </c>
      <c r="N70" s="158">
        <f t="shared" si="5"/>
        <v>7.3330557229155939</v>
      </c>
      <c r="O70" s="157">
        <f t="shared" si="4"/>
        <v>163.24975399791361</v>
      </c>
      <c r="P70" s="154">
        <f t="shared" si="6"/>
        <v>10.810949876183056</v>
      </c>
    </row>
    <row r="71" spans="1:16" x14ac:dyDescent="0.2">
      <c r="A71" s="155">
        <v>42248</v>
      </c>
      <c r="B71" s="156">
        <f>'[3]Soy Complex'!$BD430</f>
        <v>30</v>
      </c>
      <c r="C71" s="156">
        <f>'[3]Canola Complex'!$BD365</f>
        <v>0</v>
      </c>
      <c r="D71" s="156">
        <f>'[4]Distillers'' Corn Oil Complex'!$W127</f>
        <v>47.319918369208644</v>
      </c>
      <c r="E71" s="156">
        <f>'[4]Poultry Byproduct Complex'!$W269</f>
        <v>0</v>
      </c>
      <c r="F71" s="156">
        <f>'[4]CWG Complex'!$W132</f>
        <v>8.3647093782255162</v>
      </c>
      <c r="G71" s="156">
        <f>'[4]Inedible Tallow Complex'!$W129</f>
        <v>29.831071531804508</v>
      </c>
      <c r="H71" s="156">
        <f>'[4]Yellow Grease Complex'!$W130</f>
        <v>12.652139687723238</v>
      </c>
      <c r="I71" s="156">
        <f>'[4]Used Cooking Oil Complex'!$W130</f>
        <v>23.386870447005094</v>
      </c>
      <c r="J71" s="156">
        <f t="shared" si="7"/>
        <v>30</v>
      </c>
      <c r="K71" s="156">
        <f t="shared" si="9"/>
        <v>74.234791044758353</v>
      </c>
      <c r="L71" s="156">
        <f t="shared" si="8"/>
        <v>104.23479104475835</v>
      </c>
      <c r="M71" s="157">
        <f>'[5]Renewable Diesel'!$G57/1000000</f>
        <v>13.846254999999999</v>
      </c>
      <c r="N71" s="158">
        <f t="shared" si="5"/>
        <v>7.5280132458024465</v>
      </c>
      <c r="O71" s="157">
        <f t="shared" si="4"/>
        <v>151.554709413967</v>
      </c>
      <c r="P71" s="154">
        <f t="shared" si="6"/>
        <v>10.945537938884343</v>
      </c>
    </row>
    <row r="72" spans="1:16" x14ac:dyDescent="0.2">
      <c r="A72" s="155">
        <v>42278</v>
      </c>
      <c r="B72" s="156">
        <f>'[3]Soy Complex'!$BE419</f>
        <v>30</v>
      </c>
      <c r="C72" s="156">
        <f>'[3]Canola Complex'!$BE354</f>
        <v>0</v>
      </c>
      <c r="D72" s="156">
        <f>'[4]Distillers'' Corn Oil Complex'!$W128</f>
        <v>51.306905876423379</v>
      </c>
      <c r="E72" s="156">
        <f>'[4]Poultry Byproduct Complex'!$X258</f>
        <v>0</v>
      </c>
      <c r="F72" s="156">
        <f>'[4]CWG Complex'!$X121</f>
        <v>8.0925558223978431</v>
      </c>
      <c r="G72" s="156">
        <f>'[4]Inedible Tallow Complex'!$X118</f>
        <v>28.860490029874004</v>
      </c>
      <c r="H72" s="156">
        <f>'[4]Yellow Grease Complex'!$X119</f>
        <v>12.240490621491988</v>
      </c>
      <c r="I72" s="156">
        <f>'[4]Used Cooking Oil Complex'!$X119</f>
        <v>22.6259569873693</v>
      </c>
      <c r="J72" s="156">
        <f t="shared" si="7"/>
        <v>30</v>
      </c>
      <c r="K72" s="156">
        <f t="shared" si="9"/>
        <v>71.819493461133135</v>
      </c>
      <c r="L72" s="156">
        <f t="shared" si="8"/>
        <v>101.81949346113313</v>
      </c>
      <c r="M72" s="157">
        <f>'[5]Renewable Diesel'!$G58/1000000</f>
        <v>13.414121</v>
      </c>
      <c r="N72" s="158">
        <f t="shared" si="5"/>
        <v>7.5904707778566438</v>
      </c>
      <c r="O72" s="157">
        <f t="shared" si="4"/>
        <v>153.12639933755651</v>
      </c>
      <c r="P72" s="154">
        <f t="shared" si="6"/>
        <v>11.415313708408959</v>
      </c>
    </row>
    <row r="73" spans="1:16" x14ac:dyDescent="0.2">
      <c r="A73" s="155">
        <v>42309</v>
      </c>
      <c r="B73" s="156">
        <f>'[3]Soy Complex'!$BE420</f>
        <v>30</v>
      </c>
      <c r="C73" s="156">
        <f>'[3]Canola Complex'!$BE355</f>
        <v>0</v>
      </c>
      <c r="D73" s="156">
        <f>'[4]Distillers'' Corn Oil Complex'!$W129</f>
        <v>49.977962330641034</v>
      </c>
      <c r="E73" s="156">
        <f>'[4]Poultry Byproduct Complex'!$X259</f>
        <v>0</v>
      </c>
      <c r="F73" s="156">
        <f>'[4]CWG Complex'!$X122</f>
        <v>7.6622748627163793</v>
      </c>
      <c r="G73" s="156">
        <f>'[4]Inedible Tallow Complex'!$X119</f>
        <v>27.325978607343956</v>
      </c>
      <c r="H73" s="156">
        <f>'[4]Yellow Grease Complex'!$X120</f>
        <v>11.589664088172265</v>
      </c>
      <c r="I73" s="156">
        <f>'[4]Used Cooking Oil Complex'!$X120</f>
        <v>21.422935506900579</v>
      </c>
      <c r="J73" s="156">
        <f t="shared" si="7"/>
        <v>30</v>
      </c>
      <c r="K73" s="156">
        <f t="shared" si="9"/>
        <v>68.000853065133185</v>
      </c>
      <c r="L73" s="156">
        <f t="shared" si="8"/>
        <v>98.000853065133185</v>
      </c>
      <c r="M73" s="157">
        <f>'[5]Renewable Diesel'!$G59/1000000</f>
        <v>12.655566</v>
      </c>
      <c r="N73" s="158">
        <f t="shared" si="5"/>
        <v>7.7436957829569364</v>
      </c>
      <c r="O73" s="157">
        <f t="shared" si="4"/>
        <v>147.97881539577423</v>
      </c>
      <c r="P73" s="154">
        <f t="shared" si="6"/>
        <v>11.692785245304258</v>
      </c>
    </row>
    <row r="74" spans="1:16" x14ac:dyDescent="0.2">
      <c r="A74" s="155">
        <v>42339</v>
      </c>
      <c r="B74" s="156">
        <f>'[3]Soy Complex'!$BE421</f>
        <v>30</v>
      </c>
      <c r="C74" s="156">
        <f>'[3]Canola Complex'!$BE356</f>
        <v>0</v>
      </c>
      <c r="D74" s="156">
        <f>'[4]Distillers'' Corn Oil Complex'!$W130</f>
        <v>45.955723435975209</v>
      </c>
      <c r="E74" s="156">
        <f>'[4]Poultry Byproduct Complex'!$X260</f>
        <v>0</v>
      </c>
      <c r="F74" s="156">
        <f>'[4]CWG Complex'!$X123</f>
        <v>8.0827696137652278</v>
      </c>
      <c r="G74" s="156">
        <f>'[4]Inedible Tallow Complex'!$X120</f>
        <v>28.825589464110816</v>
      </c>
      <c r="H74" s="156">
        <f>'[4]Yellow Grease Complex'!$X121</f>
        <v>12.225688376364936</v>
      </c>
      <c r="I74" s="156">
        <f>'[4]Used Cooking Oil Complex'!$X121</f>
        <v>22.598595750641326</v>
      </c>
      <c r="J74" s="156">
        <f t="shared" si="7"/>
        <v>30</v>
      </c>
      <c r="K74" s="156">
        <f t="shared" si="9"/>
        <v>71.732643204882308</v>
      </c>
      <c r="L74" s="156">
        <f t="shared" si="8"/>
        <v>101.73264320488231</v>
      </c>
      <c r="M74" s="157">
        <f>'[5]Renewable Diesel'!$G60/1000000</f>
        <v>13.320532</v>
      </c>
      <c r="N74" s="158">
        <f t="shared" si="5"/>
        <v>7.6372807936561626</v>
      </c>
      <c r="O74" s="157">
        <f t="shared" si="4"/>
        <v>147.68836664085751</v>
      </c>
      <c r="P74" s="154">
        <f t="shared" si="6"/>
        <v>11.087272388284305</v>
      </c>
    </row>
    <row r="75" spans="1:16" x14ac:dyDescent="0.2">
      <c r="A75" s="155">
        <v>42370</v>
      </c>
      <c r="B75" s="156">
        <f>'[3]Soy Complex'!$BE422</f>
        <v>25</v>
      </c>
      <c r="C75" s="156">
        <f>'[3]Canola Complex'!$BE357</f>
        <v>0</v>
      </c>
      <c r="D75" s="156">
        <f>'[4]Distillers'' Corn Oil Complex'!$X119</f>
        <v>44.460511471254563</v>
      </c>
      <c r="E75" s="156">
        <f>'[4]Poultry Byproduct Complex'!$X261</f>
        <v>0</v>
      </c>
      <c r="F75" s="156">
        <f>'[4]CWG Complex'!$X124</f>
        <v>6.8413708569851455</v>
      </c>
      <c r="G75" s="156">
        <f>'[4]Inedible Tallow Complex'!$X121</f>
        <v>28.678806735619354</v>
      </c>
      <c r="H75" s="156">
        <f>'[4]Yellow Grease Complex'!$X122</f>
        <v>10.347996065878531</v>
      </c>
      <c r="I75" s="156">
        <f>'[4]Used Cooking Oil Complex'!$X122</f>
        <v>19.127772009476526</v>
      </c>
      <c r="J75" s="156">
        <f t="shared" si="7"/>
        <v>25</v>
      </c>
      <c r="K75" s="156">
        <f t="shared" si="9"/>
        <v>64.99594566795956</v>
      </c>
      <c r="L75" s="156">
        <f t="shared" si="8"/>
        <v>89.99594566795956</v>
      </c>
      <c r="M75" s="157">
        <f>'[5]Renewable Diesel'!$H49/1000000</f>
        <v>11.758144</v>
      </c>
      <c r="N75" s="158">
        <f t="shared" si="5"/>
        <v>7.6539244346692437</v>
      </c>
      <c r="O75" s="157">
        <f t="shared" si="4"/>
        <v>134.45645713921414</v>
      </c>
      <c r="P75" s="154">
        <f t="shared" si="6"/>
        <v>11.435176941123883</v>
      </c>
    </row>
    <row r="76" spans="1:16" x14ac:dyDescent="0.2">
      <c r="A76" s="155">
        <v>42401</v>
      </c>
      <c r="B76" s="156">
        <f>'[3]Soy Complex'!$BE423</f>
        <v>15</v>
      </c>
      <c r="C76" s="156">
        <f>'[3]Canola Complex'!$BE358</f>
        <v>0</v>
      </c>
      <c r="D76" s="156">
        <f>'[4]Distillers'' Corn Oil Complex'!$X120</f>
        <v>42.096547358602727</v>
      </c>
      <c r="E76" s="156">
        <f>'[4]Poultry Byproduct Complex'!$X262</f>
        <v>0</v>
      </c>
      <c r="F76" s="156">
        <f>'[4]CWG Complex'!$X125</f>
        <v>4.0127750964301931</v>
      </c>
      <c r="G76" s="156">
        <f>'[4]Inedible Tallow Complex'!$X122</f>
        <v>19.332084556775225</v>
      </c>
      <c r="H76" s="156">
        <f>'[4]Yellow Grease Complex'!$X123</f>
        <v>6.0695702336788457</v>
      </c>
      <c r="I76" s="156">
        <f>'[4]Used Cooking Oil Complex'!$X123</f>
        <v>11.219308055994862</v>
      </c>
      <c r="J76" s="156">
        <f t="shared" si="7"/>
        <v>15</v>
      </c>
      <c r="K76" s="156">
        <f t="shared" si="9"/>
        <v>40.633737942879122</v>
      </c>
      <c r="L76" s="156">
        <f t="shared" si="8"/>
        <v>55.633737942879122</v>
      </c>
      <c r="M76" s="157">
        <f>'[5]Renewable Diesel'!$H50/1000000</f>
        <v>7.3549499999999997</v>
      </c>
      <c r="N76" s="158">
        <f t="shared" si="5"/>
        <v>7.5641218421442868</v>
      </c>
      <c r="O76" s="157">
        <f t="shared" si="4"/>
        <v>97.730285301481857</v>
      </c>
      <c r="P76" s="154">
        <f t="shared" si="6"/>
        <v>13.287688604474791</v>
      </c>
    </row>
    <row r="77" spans="1:16" x14ac:dyDescent="0.2">
      <c r="A77" s="155">
        <v>42430</v>
      </c>
      <c r="B77" s="156">
        <f>'[3]Soy Complex'!$BE424</f>
        <v>25</v>
      </c>
      <c r="C77" s="156">
        <f>'[3]Canola Complex'!$BE359</f>
        <v>0</v>
      </c>
      <c r="D77" s="156">
        <f>'[4]Distillers'' Corn Oil Complex'!$X121</f>
        <v>44.40674602919654</v>
      </c>
      <c r="E77" s="156">
        <f>'[4]Poultry Byproduct Complex'!$X263</f>
        <v>0</v>
      </c>
      <c r="F77" s="156">
        <f>'[4]CWG Complex'!$X126</f>
        <v>8.8949860656389355</v>
      </c>
      <c r="G77" s="156">
        <f>'[4]Inedible Tallow Complex'!$X123</f>
        <v>59.54868713480213</v>
      </c>
      <c r="H77" s="156">
        <f>'[4]Yellow Grease Complex'!$X124</f>
        <v>13.454215936751391</v>
      </c>
      <c r="I77" s="156">
        <f>'[4]Used Cooking Oil Complex'!$X124</f>
        <v>24.869469737530061</v>
      </c>
      <c r="J77" s="156">
        <f t="shared" si="7"/>
        <v>25</v>
      </c>
      <c r="K77" s="156">
        <f t="shared" si="9"/>
        <v>106.76735887472253</v>
      </c>
      <c r="L77" s="156">
        <f t="shared" si="8"/>
        <v>131.76735887472253</v>
      </c>
      <c r="M77" s="157">
        <f>'[5]Renewable Diesel'!$H51/1000000</f>
        <v>17.925080999999999</v>
      </c>
      <c r="N77" s="158">
        <f t="shared" si="5"/>
        <v>7.3510049340765899</v>
      </c>
      <c r="O77" s="157">
        <f t="shared" si="4"/>
        <v>176.17410490391904</v>
      </c>
      <c r="P77" s="154">
        <f t="shared" si="6"/>
        <v>9.8283575345583678</v>
      </c>
    </row>
    <row r="78" spans="1:16" x14ac:dyDescent="0.2">
      <c r="A78" s="155">
        <v>42461</v>
      </c>
      <c r="B78" s="156">
        <f>'[3]Soy Complex'!$BE425</f>
        <v>35</v>
      </c>
      <c r="C78" s="156">
        <f>'[3]Canola Complex'!$BE360</f>
        <v>0</v>
      </c>
      <c r="D78" s="156">
        <f>'[4]Distillers'' Corn Oil Complex'!$X122</f>
        <v>37.998271228483091</v>
      </c>
      <c r="E78" s="156">
        <f>'[4]Poultry Byproduct Complex'!$X264</f>
        <v>0</v>
      </c>
      <c r="F78" s="156">
        <f>'[4]CWG Complex'!$X127</f>
        <v>9.9461118527016037</v>
      </c>
      <c r="G78" s="156">
        <f>'[4]Inedible Tallow Complex'!$X124</f>
        <v>66.585590865872902</v>
      </c>
      <c r="H78" s="156">
        <f>'[4]Yellow Grease Complex'!$X125</f>
        <v>15.044108625898959</v>
      </c>
      <c r="I78" s="156">
        <f>'[4]Used Cooking Oil Complex'!$X125</f>
        <v>27.808309749059038</v>
      </c>
      <c r="J78" s="156">
        <f t="shared" si="7"/>
        <v>35</v>
      </c>
      <c r="K78" s="156">
        <f t="shared" si="9"/>
        <v>119.3841210935325</v>
      </c>
      <c r="L78" s="156">
        <f t="shared" si="8"/>
        <v>154.38412109353249</v>
      </c>
      <c r="M78" s="157">
        <f>'[5]Renewable Diesel'!$H52/1000000</f>
        <v>21.253081000000002</v>
      </c>
      <c r="N78" s="158">
        <f t="shared" si="5"/>
        <v>7.2640819038676074</v>
      </c>
      <c r="O78" s="157">
        <f t="shared" si="4"/>
        <v>192.38239232201562</v>
      </c>
      <c r="P78" s="154">
        <f t="shared" si="6"/>
        <v>9.051976620331688</v>
      </c>
    </row>
    <row r="79" spans="1:16" x14ac:dyDescent="0.2">
      <c r="A79" s="155">
        <v>42491</v>
      </c>
      <c r="B79" s="156">
        <f>'[3]Soy Complex'!$BE426</f>
        <v>40</v>
      </c>
      <c r="C79" s="156">
        <f>'[3]Canola Complex'!$BE361</f>
        <v>0</v>
      </c>
      <c r="D79" s="156">
        <f>'[4]Distillers'' Corn Oil Complex'!$X123</f>
        <v>22.529236612705784</v>
      </c>
      <c r="E79" s="156">
        <f>'[4]Poultry Byproduct Complex'!$X265</f>
        <v>0</v>
      </c>
      <c r="F79" s="156">
        <f>'[4]CWG Complex'!$X128</f>
        <v>9.6933543978175187</v>
      </c>
      <c r="G79" s="156">
        <f>'[4]Inedible Tallow Complex'!$X125</f>
        <v>64.89347190235658</v>
      </c>
      <c r="H79" s="156">
        <f>'[4]Yellow Grease Complex'!$X126</f>
        <v>14.661797360592907</v>
      </c>
      <c r="I79" s="156">
        <f>'[4]Used Cooking Oil Complex'!$X126</f>
        <v>27.101625800507701</v>
      </c>
      <c r="J79" s="156">
        <f t="shared" si="7"/>
        <v>40</v>
      </c>
      <c r="K79" s="156">
        <f t="shared" si="9"/>
        <v>116.35024946127471</v>
      </c>
      <c r="L79" s="156">
        <f t="shared" si="8"/>
        <v>156.3502494612747</v>
      </c>
      <c r="M79" s="157">
        <f>'[5]Renewable Diesel'!$H53/1000000</f>
        <v>21.933496999999999</v>
      </c>
      <c r="N79" s="158">
        <f t="shared" si="5"/>
        <v>7.1283776345046439</v>
      </c>
      <c r="O79" s="157">
        <f t="shared" si="4"/>
        <v>178.87948607398047</v>
      </c>
      <c r="P79" s="154">
        <f t="shared" si="6"/>
        <v>8.1555388123462702</v>
      </c>
    </row>
    <row r="80" spans="1:16" x14ac:dyDescent="0.2">
      <c r="A80" s="155">
        <v>42522</v>
      </c>
      <c r="B80" s="156">
        <f>'[3]Soy Complex'!$BE427</f>
        <v>55</v>
      </c>
      <c r="C80" s="156">
        <f>'[3]Canola Complex'!$BE362</f>
        <v>0</v>
      </c>
      <c r="D80" s="156">
        <f>'[4]Distillers'' Corn Oil Complex'!$X124</f>
        <v>50.475190321607577</v>
      </c>
      <c r="E80" s="156">
        <f>'[4]Poultry Byproduct Complex'!$X266</f>
        <v>0</v>
      </c>
      <c r="F80" s="156">
        <f>'[4]CWG Complex'!$X129</f>
        <v>8.8260616947618775</v>
      </c>
      <c r="G80" s="156">
        <f>'[4]Inedible Tallow Complex'!$X126</f>
        <v>59.087263612940056</v>
      </c>
      <c r="H80" s="156">
        <f>'[4]Yellow Grease Complex'!$X127</f>
        <v>13.349963567805368</v>
      </c>
      <c r="I80" s="156">
        <f>'[4]Used Cooking Oil Complex'!$X127</f>
        <v>24.676764257942303</v>
      </c>
      <c r="J80" s="156">
        <f t="shared" si="7"/>
        <v>55</v>
      </c>
      <c r="K80" s="156">
        <f t="shared" si="9"/>
        <v>105.9400531334496</v>
      </c>
      <c r="L80" s="156">
        <f t="shared" si="8"/>
        <v>160.9400531334496</v>
      </c>
      <c r="M80" s="157">
        <f>'[5]Renewable Diesel'!$H54/1000000</f>
        <v>22.569322</v>
      </c>
      <c r="N80" s="158">
        <f t="shared" si="5"/>
        <v>7.1309210411127815</v>
      </c>
      <c r="O80" s="157">
        <f t="shared" si="4"/>
        <v>211.41524345505718</v>
      </c>
      <c r="P80" s="154">
        <f t="shared" si="6"/>
        <v>9.367372376319377</v>
      </c>
    </row>
    <row r="81" spans="1:16" x14ac:dyDescent="0.2">
      <c r="A81" s="155">
        <v>42552</v>
      </c>
      <c r="B81" s="156">
        <f>'[3]Soy Complex'!$BE428</f>
        <v>60</v>
      </c>
      <c r="C81" s="156">
        <f>'[3]Canola Complex'!$BE363</f>
        <v>0</v>
      </c>
      <c r="D81" s="156">
        <f>'[4]Distillers'' Corn Oil Complex'!$X125</f>
        <v>56.439873544540376</v>
      </c>
      <c r="E81" s="156">
        <f>'[4]Poultry Byproduct Complex'!$X267</f>
        <v>0</v>
      </c>
      <c r="F81" s="156">
        <f>'[4]CWG Complex'!$X130</f>
        <v>7.6455292851873766</v>
      </c>
      <c r="G81" s="156">
        <f>'[4]Inedible Tallow Complex'!$X127</f>
        <v>51.184029747087301</v>
      </c>
      <c r="H81" s="156">
        <f>'[4]Yellow Grease Complex'!$X128</f>
        <v>11.564335367655078</v>
      </c>
      <c r="I81" s="156">
        <f>'[4]Used Cooking Oil Complex'!$X128</f>
        <v>21.376116587734</v>
      </c>
      <c r="J81" s="156">
        <f t="shared" si="7"/>
        <v>60</v>
      </c>
      <c r="K81" s="156">
        <f t="shared" si="9"/>
        <v>91.770010987663767</v>
      </c>
      <c r="L81" s="156">
        <f t="shared" si="8"/>
        <v>151.77001098766377</v>
      </c>
      <c r="M81" s="157">
        <f>'[5]Renewable Diesel'!$H55/1000000</f>
        <v>19.520008000000001</v>
      </c>
      <c r="N81" s="158">
        <f t="shared" si="5"/>
        <v>7.7750998353926786</v>
      </c>
      <c r="O81" s="157">
        <f t="shared" si="4"/>
        <v>208.20988453220414</v>
      </c>
      <c r="P81" s="154">
        <f t="shared" si="6"/>
        <v>10.666485614770451</v>
      </c>
    </row>
    <row r="82" spans="1:16" x14ac:dyDescent="0.2">
      <c r="A82" s="155">
        <v>42583</v>
      </c>
      <c r="B82" s="156">
        <f>'[3]Soy Complex'!$BE429</f>
        <v>60</v>
      </c>
      <c r="C82" s="156">
        <f>'[3]Canola Complex'!$BE364</f>
        <v>0</v>
      </c>
      <c r="D82" s="156">
        <f>'[4]Distillers'' Corn Oil Complex'!$X126</f>
        <v>55.005584547757913</v>
      </c>
      <c r="E82" s="156">
        <f>'[4]Poultry Byproduct Complex'!$X268</f>
        <v>0</v>
      </c>
      <c r="F82" s="156">
        <f>'[4]CWG Complex'!$X131</f>
        <v>9.7397455301895537</v>
      </c>
      <c r="G82" s="156">
        <f>'[4]Inedible Tallow Complex'!$X128</f>
        <v>65.204043611751729</v>
      </c>
      <c r="H82" s="156">
        <f>'[4]Yellow Grease Complex'!$X129</f>
        <v>14.73196681424667</v>
      </c>
      <c r="I82" s="156">
        <f>'[4]Used Cooking Oil Complex'!$X129</f>
        <v>27.231330653792725</v>
      </c>
      <c r="J82" s="156">
        <f t="shared" si="7"/>
        <v>60</v>
      </c>
      <c r="K82" s="156">
        <f t="shared" si="9"/>
        <v>116.90708660998068</v>
      </c>
      <c r="L82" s="156">
        <f t="shared" si="8"/>
        <v>176.90708660998069</v>
      </c>
      <c r="M82" s="157">
        <f>'[5]Renewable Diesel'!$H56/1000000</f>
        <v>24.799963999999999</v>
      </c>
      <c r="N82" s="158">
        <f t="shared" si="5"/>
        <v>7.1333606214098015</v>
      </c>
      <c r="O82" s="157">
        <f t="shared" si="4"/>
        <v>231.9126711577386</v>
      </c>
      <c r="P82" s="154">
        <f t="shared" si="6"/>
        <v>9.3513309599053702</v>
      </c>
    </row>
    <row r="83" spans="1:16" x14ac:dyDescent="0.2">
      <c r="A83" s="155">
        <v>42614</v>
      </c>
      <c r="B83" s="156">
        <f>'[3]Soy Complex'!$BE430</f>
        <v>50</v>
      </c>
      <c r="C83" s="156">
        <f>'[3]Canola Complex'!$BE365</f>
        <v>0</v>
      </c>
      <c r="D83" s="156">
        <f>'[4]Distillers'' Corn Oil Complex'!$X127</f>
        <v>50.084074392684897</v>
      </c>
      <c r="E83" s="156">
        <f>'[4]Poultry Byproduct Complex'!$X269</f>
        <v>0</v>
      </c>
      <c r="F83" s="156">
        <f>'[4]CWG Complex'!$X132</f>
        <v>7.6441314951205657</v>
      </c>
      <c r="G83" s="156">
        <f>'[4]Inedible Tallow Complex'!$X129</f>
        <v>51.17467205245412</v>
      </c>
      <c r="H83" s="156">
        <f>'[4]Yellow Grease Complex'!$X130</f>
        <v>11.562221123826664</v>
      </c>
      <c r="I83" s="156">
        <f>'[4]Used Cooking Oil Complex'!$X130</f>
        <v>21.372208509912468</v>
      </c>
      <c r="J83" s="156">
        <f t="shared" si="7"/>
        <v>50</v>
      </c>
      <c r="K83" s="156">
        <f t="shared" si="9"/>
        <v>91.753233181313817</v>
      </c>
      <c r="L83" s="156">
        <f t="shared" si="8"/>
        <v>141.75323318131382</v>
      </c>
      <c r="M83" s="157">
        <f>'[5]Renewable Diesel'!$H57/1000000</f>
        <v>19.215411</v>
      </c>
      <c r="N83" s="158">
        <f t="shared" si="5"/>
        <v>7.3770596518239353</v>
      </c>
      <c r="O83" s="157">
        <f t="shared" si="4"/>
        <v>191.83730757399871</v>
      </c>
      <c r="P83" s="154">
        <f t="shared" si="6"/>
        <v>9.983513106953513</v>
      </c>
    </row>
    <row r="84" spans="1:16" x14ac:dyDescent="0.2">
      <c r="A84" s="155">
        <v>42644</v>
      </c>
      <c r="B84" s="156">
        <f>'[3]Soy Complex'!$BF419</f>
        <v>50</v>
      </c>
      <c r="C84" s="156">
        <f>'[3]Canola Complex'!$BF354</f>
        <v>0</v>
      </c>
      <c r="D84" s="156">
        <f>'[4]Distillers'' Corn Oil Complex'!$X128</f>
        <v>43.385064679304456</v>
      </c>
      <c r="E84" s="156">
        <f>'[4]Poultry Byproduct Complex'!$Y258</f>
        <v>0</v>
      </c>
      <c r="F84" s="156">
        <f>'[4]CWG Complex'!$Y121</f>
        <v>8.1239342468021096</v>
      </c>
      <c r="G84" s="156">
        <f>'[4]Inedible Tallow Complex'!$Y118</f>
        <v>54.386776459977902</v>
      </c>
      <c r="H84" s="156">
        <f>'[4]Yellow Grease Complex'!$Y119</f>
        <v>12.287952426892769</v>
      </c>
      <c r="I84" s="156">
        <f>'[4]Used Cooking Oil Complex'!$Y119</f>
        <v>22.713687847246391</v>
      </c>
      <c r="J84" s="156">
        <f t="shared" si="7"/>
        <v>50</v>
      </c>
      <c r="K84" s="156">
        <f t="shared" si="9"/>
        <v>97.512350980919166</v>
      </c>
      <c r="L84" s="156">
        <f t="shared" si="8"/>
        <v>147.51235098091917</v>
      </c>
      <c r="M84" s="157">
        <f>'[5]Renewable Diesel'!$H58/1000000</f>
        <v>20.639765000000001</v>
      </c>
      <c r="N84" s="158">
        <f t="shared" si="5"/>
        <v>7.1469976029726681</v>
      </c>
      <c r="O84" s="157">
        <f t="shared" si="4"/>
        <v>190.89741566022363</v>
      </c>
      <c r="P84" s="154">
        <f t="shared" si="6"/>
        <v>9.2490111035771783</v>
      </c>
    </row>
    <row r="85" spans="1:16" x14ac:dyDescent="0.2">
      <c r="A85" s="155">
        <v>42675</v>
      </c>
      <c r="B85" s="156">
        <f>'[3]Soy Complex'!$BF420</f>
        <v>65</v>
      </c>
      <c r="C85" s="156">
        <f>'[3]Canola Complex'!$BF355</f>
        <v>0</v>
      </c>
      <c r="D85" s="156">
        <f>'[4]Distillers'' Corn Oil Complex'!$X129</f>
        <v>55.268834115372051</v>
      </c>
      <c r="E85" s="156">
        <f>'[4]Poultry Byproduct Complex'!$Y259</f>
        <v>0</v>
      </c>
      <c r="F85" s="156">
        <f>'[4]CWG Complex'!$Y122</f>
        <v>10.879099789136434</v>
      </c>
      <c r="G85" s="156">
        <f>'[4]Inedible Tallow Complex'!$Y119</f>
        <v>72.8316047794778</v>
      </c>
      <c r="H85" s="156">
        <f>'[4]Yellow Grease Complex'!$Y120</f>
        <v>16.455310517678047</v>
      </c>
      <c r="I85" s="156">
        <f>'[4]Used Cooking Oil Complex'!$Y120</f>
        <v>30.416848433597153</v>
      </c>
      <c r="J85" s="156">
        <f t="shared" si="7"/>
        <v>65</v>
      </c>
      <c r="K85" s="156">
        <f t="shared" si="9"/>
        <v>130.58286351988943</v>
      </c>
      <c r="L85" s="156">
        <f t="shared" si="8"/>
        <v>195.58286351988943</v>
      </c>
      <c r="M85" s="157">
        <f>'[5]Renewable Diesel'!$H59/1000000</f>
        <v>27.361235000000001</v>
      </c>
      <c r="N85" s="158">
        <f t="shared" si="5"/>
        <v>7.1481738130566628</v>
      </c>
      <c r="O85" s="157">
        <f t="shared" si="4"/>
        <v>250.85169763526147</v>
      </c>
      <c r="P85" s="154">
        <f t="shared" si="6"/>
        <v>9.1681423603598837</v>
      </c>
    </row>
    <row r="86" spans="1:16" x14ac:dyDescent="0.2">
      <c r="A86" s="155">
        <v>42705</v>
      </c>
      <c r="B86" s="156">
        <f>'[3]Soy Complex'!$BF421</f>
        <v>70</v>
      </c>
      <c r="C86" s="156">
        <f>'[3]Canola Complex'!$BF356</f>
        <v>0</v>
      </c>
      <c r="D86" s="156">
        <f>'[4]Distillers'' Corn Oil Complex'!$X130</f>
        <v>43.377132826558281</v>
      </c>
      <c r="E86" s="156">
        <f>'[4]Poultry Byproduct Complex'!$Y260</f>
        <v>0</v>
      </c>
      <c r="F86" s="156">
        <f>'[4]CWG Complex'!$Y123</f>
        <v>10.833556497486649</v>
      </c>
      <c r="G86" s="156">
        <f>'[4]Inedible Tallow Complex'!$Y120</f>
        <v>72.526709054455978</v>
      </c>
      <c r="H86" s="156">
        <f>'[4]Yellow Grease Complex'!$Y121</f>
        <v>16.3864234754944</v>
      </c>
      <c r="I86" s="156">
        <f>'[4]Used Cooking Oil Complex'!$Y121</f>
        <v>30.289514056109237</v>
      </c>
      <c r="J86" s="156">
        <f t="shared" si="7"/>
        <v>70</v>
      </c>
      <c r="K86" s="156">
        <f t="shared" si="9"/>
        <v>130.03620308354627</v>
      </c>
      <c r="L86" s="156">
        <f t="shared" si="8"/>
        <v>200.03620308354627</v>
      </c>
      <c r="M86" s="157">
        <f>'[5]Renewable Diesel'!$H60/1000000</f>
        <v>27.156977000000001</v>
      </c>
      <c r="N86" s="158">
        <f t="shared" si="5"/>
        <v>7.3659230585033919</v>
      </c>
      <c r="O86" s="157">
        <f t="shared" si="4"/>
        <v>243.41333591010454</v>
      </c>
      <c r="P86" s="154">
        <f t="shared" si="6"/>
        <v>8.9631970417806262</v>
      </c>
    </row>
    <row r="87" spans="1:16" x14ac:dyDescent="0.2">
      <c r="A87" s="155">
        <v>42736</v>
      </c>
      <c r="B87" s="156">
        <f>'[3]Soy Complex'!$BF422</f>
        <v>50</v>
      </c>
      <c r="C87" s="156">
        <f>'[3]Canola Complex'!$BF357</f>
        <v>0</v>
      </c>
      <c r="D87" s="156">
        <f>'[4]Distillers'' Corn Oil Complex'!$Z119</f>
        <v>43.385064679304456</v>
      </c>
      <c r="E87" s="156">
        <f>'[4]Poultry Byproduct Complex'!$Y261</f>
        <v>0</v>
      </c>
      <c r="F87" s="156">
        <f>'[4]CWG Complex'!$Y124</f>
        <v>7.3358012685212444</v>
      </c>
      <c r="G87" s="156">
        <f>'[4]Inedible Tallow Complex'!$Y121</f>
        <v>49.110513653275483</v>
      </c>
      <c r="H87" s="156">
        <f>'[4]Yellow Grease Complex'!$Y122</f>
        <v>11.095852608138969</v>
      </c>
      <c r="I87" s="156">
        <f>'[4]Used Cooking Oil Complex'!$Y122</f>
        <v>20.510148785142476</v>
      </c>
      <c r="J87" s="156">
        <f t="shared" si="7"/>
        <v>50</v>
      </c>
      <c r="K87" s="156">
        <f t="shared" si="9"/>
        <v>88.052316315078173</v>
      </c>
      <c r="L87" s="156">
        <f t="shared" si="8"/>
        <v>138.05231631507817</v>
      </c>
      <c r="M87" s="157">
        <f>'[5]Renewable Diesel'!$I49/1000000</f>
        <v>18.560535000000002</v>
      </c>
      <c r="N87" s="158">
        <f t="shared" si="5"/>
        <v>7.4379491924709153</v>
      </c>
      <c r="O87" s="157">
        <f t="shared" si="4"/>
        <v>181.43738099438264</v>
      </c>
      <c r="P87" s="154">
        <f t="shared" si="6"/>
        <v>9.7754391775012213</v>
      </c>
    </row>
    <row r="88" spans="1:16" x14ac:dyDescent="0.2">
      <c r="A88" s="155">
        <v>42767</v>
      </c>
      <c r="B88" s="156">
        <f>'[3]Soy Complex'!$BF423</f>
        <v>55</v>
      </c>
      <c r="C88" s="156">
        <f>'[3]Canola Complex'!$BF358</f>
        <v>0</v>
      </c>
      <c r="D88" s="156">
        <f>'[4]Distillers'' Corn Oil Complex'!$Z120</f>
        <v>51.458800117140107</v>
      </c>
      <c r="E88" s="156">
        <f>'[4]Poultry Byproduct Complex'!$Y262</f>
        <v>0</v>
      </c>
      <c r="F88" s="156">
        <f>'[4]CWG Complex'!$Y125</f>
        <v>8.3586112271138795</v>
      </c>
      <c r="G88" s="156">
        <f>'[4]Inedible Tallow Complex'!$Y122</f>
        <v>55.957853241346854</v>
      </c>
      <c r="H88" s="156">
        <f>'[4]Yellow Grease Complex'!$Y123</f>
        <v>12.642915857436659</v>
      </c>
      <c r="I88" s="156">
        <f>'[4]Used Cooking Oil Complex'!$Y123</f>
        <v>23.369820641259857</v>
      </c>
      <c r="J88" s="156">
        <f t="shared" si="7"/>
        <v>55</v>
      </c>
      <c r="K88" s="156">
        <f t="shared" si="9"/>
        <v>100.32920096715725</v>
      </c>
      <c r="L88" s="156">
        <f t="shared" si="8"/>
        <v>155.32920096715725</v>
      </c>
      <c r="M88" s="157">
        <f>'[5]Renewable Diesel'!$I50/1000000</f>
        <v>21.042625000000001</v>
      </c>
      <c r="N88" s="158">
        <f t="shared" si="5"/>
        <v>7.3816456343805603</v>
      </c>
      <c r="O88" s="157">
        <f t="shared" ref="O88:O151" si="10">SUM(D88:I88,B88:C88)</f>
        <v>206.78800108429735</v>
      </c>
      <c r="P88" s="154">
        <f t="shared" si="6"/>
        <v>9.8271009954460222</v>
      </c>
    </row>
    <row r="89" spans="1:16" x14ac:dyDescent="0.2">
      <c r="A89" s="155">
        <v>42795</v>
      </c>
      <c r="B89" s="156">
        <f>'[3]Soy Complex'!$BF424</f>
        <v>40</v>
      </c>
      <c r="C89" s="156">
        <f>'[3]Canola Complex'!$BF359</f>
        <v>0</v>
      </c>
      <c r="D89" s="156">
        <f>'[4]Distillers'' Corn Oil Complex'!$Z121</f>
        <v>57.211897197053112</v>
      </c>
      <c r="E89" s="156">
        <f>'[4]Poultry Byproduct Complex'!$Y263</f>
        <v>0</v>
      </c>
      <c r="F89" s="156">
        <f>'[4]CWG Complex'!$Y126</f>
        <v>6.2395923164890759</v>
      </c>
      <c r="G89" s="156">
        <f>'[4]Inedible Tallow Complex'!$Y123</f>
        <v>41.771794577469485</v>
      </c>
      <c r="H89" s="156">
        <f>'[4]Yellow Grease Complex'!$Y124</f>
        <v>9.437768846837276</v>
      </c>
      <c r="I89" s="156">
        <f>'[4]Used Cooking Oil Complex'!$Y124</f>
        <v>17.445260863183119</v>
      </c>
      <c r="J89" s="156">
        <f t="shared" si="7"/>
        <v>40</v>
      </c>
      <c r="K89" s="156">
        <f t="shared" si="9"/>
        <v>74.894416603978954</v>
      </c>
      <c r="L89" s="156">
        <f t="shared" si="8"/>
        <v>114.89441660397895</v>
      </c>
      <c r="M89" s="157">
        <f>'[5]Renewable Diesel'!$I51/1000000</f>
        <v>15.856579999999999</v>
      </c>
      <c r="N89" s="158">
        <f t="shared" ref="N89:N152" si="11">L89/M89</f>
        <v>7.2458510349633372</v>
      </c>
      <c r="O89" s="157">
        <f t="shared" si="10"/>
        <v>172.10631380103206</v>
      </c>
      <c r="P89" s="154">
        <f t="shared" si="6"/>
        <v>10.853936586643025</v>
      </c>
    </row>
    <row r="90" spans="1:16" x14ac:dyDescent="0.2">
      <c r="A90" s="155">
        <v>42826</v>
      </c>
      <c r="B90" s="156">
        <f>'[3]Soy Complex'!$BF425</f>
        <v>50</v>
      </c>
      <c r="C90" s="156">
        <f>'[3]Canola Complex'!$BF360</f>
        <v>0</v>
      </c>
      <c r="D90" s="156">
        <f>'[4]Distillers'' Corn Oil Complex'!$Z122</f>
        <v>30.669966186349875</v>
      </c>
      <c r="E90" s="156">
        <f>'[4]Poultry Byproduct Complex'!$Y264</f>
        <v>0</v>
      </c>
      <c r="F90" s="156">
        <f>'[4]CWG Complex'!$Y127</f>
        <v>8.0352460486358002</v>
      </c>
      <c r="G90" s="156">
        <f>'[4]Inedible Tallow Complex'!$Y124</f>
        <v>53.793041323555798</v>
      </c>
      <c r="H90" s="156">
        <f>'[4]Yellow Grease Complex'!$Y125</f>
        <v>12.15380604820643</v>
      </c>
      <c r="I90" s="156">
        <f>'[4]Used Cooking Oil Complex'!$Y125</f>
        <v>22.465724731385723</v>
      </c>
      <c r="J90" s="156">
        <f t="shared" si="7"/>
        <v>50</v>
      </c>
      <c r="K90" s="156">
        <f t="shared" si="9"/>
        <v>96.44781815178375</v>
      </c>
      <c r="L90" s="156">
        <f t="shared" si="8"/>
        <v>146.44781815178374</v>
      </c>
      <c r="M90" s="157">
        <f>'[5]Renewable Diesel'!$I52/1000000</f>
        <v>20.403202</v>
      </c>
      <c r="N90" s="158">
        <f t="shared" si="11"/>
        <v>7.1776879997455172</v>
      </c>
      <c r="O90" s="157">
        <f t="shared" si="10"/>
        <v>177.11778433813362</v>
      </c>
      <c r="P90" s="154">
        <f t="shared" ref="P90:P153" si="12">O90/M90</f>
        <v>8.6808817722891547</v>
      </c>
    </row>
    <row r="91" spans="1:16" x14ac:dyDescent="0.2">
      <c r="A91" s="155">
        <v>42856</v>
      </c>
      <c r="B91" s="156">
        <f>'[3]Soy Complex'!$BF426</f>
        <v>60</v>
      </c>
      <c r="C91" s="156">
        <f>'[3]Canola Complex'!$BF361</f>
        <v>0</v>
      </c>
      <c r="D91" s="156">
        <f>'[4]Distillers'' Corn Oil Complex'!$Z123</f>
        <v>46.356403517354352</v>
      </c>
      <c r="E91" s="156">
        <f>'[4]Poultry Byproduct Complex'!$Y265</f>
        <v>0</v>
      </c>
      <c r="F91" s="156">
        <f>'[4]CWG Complex'!$Y128</f>
        <v>9.6735773275883279</v>
      </c>
      <c r="G91" s="156">
        <f>'[4]Inedible Tallow Complex'!$Y125</f>
        <v>64.761071631144176</v>
      </c>
      <c r="H91" s="156">
        <f>'[4]Yellow Grease Complex'!$Y126</f>
        <v>14.631883320087802</v>
      </c>
      <c r="I91" s="156">
        <f>'[4]Used Cooking Oil Complex'!$Y126</f>
        <v>27.046331138331457</v>
      </c>
      <c r="J91" s="156">
        <f t="shared" si="7"/>
        <v>60</v>
      </c>
      <c r="K91" s="156">
        <f t="shared" si="9"/>
        <v>116.11286341715177</v>
      </c>
      <c r="L91" s="156">
        <f t="shared" si="8"/>
        <v>176.11286341715177</v>
      </c>
      <c r="M91" s="157">
        <f>'[5]Renewable Diesel'!$I53/1000000</f>
        <v>24.392752000000002</v>
      </c>
      <c r="N91" s="158">
        <f t="shared" si="11"/>
        <v>7.2198849648925121</v>
      </c>
      <c r="O91" s="157">
        <f t="shared" si="10"/>
        <v>222.46926693450612</v>
      </c>
      <c r="P91" s="154">
        <f t="shared" si="12"/>
        <v>9.1203020854107031</v>
      </c>
    </row>
    <row r="92" spans="1:16" x14ac:dyDescent="0.2">
      <c r="A92" s="155">
        <v>42887</v>
      </c>
      <c r="B92" s="156">
        <f>'[3]Soy Complex'!$BF427</f>
        <v>50</v>
      </c>
      <c r="C92" s="156">
        <f>'[3]Canola Complex'!$BF362</f>
        <v>0</v>
      </c>
      <c r="D92" s="156">
        <f>'[4]Distillers'' Corn Oil Complex'!$Z124</f>
        <v>52.030300218285369</v>
      </c>
      <c r="E92" s="156">
        <f>'[4]Poultry Byproduct Complex'!$Y266</f>
        <v>0</v>
      </c>
      <c r="F92" s="156">
        <f>'[4]CWG Complex'!$Y129</f>
        <v>7.0079860646056016</v>
      </c>
      <c r="G92" s="156">
        <f>'[4]Inedible Tallow Complex'!$Y126</f>
        <v>46.915910438390988</v>
      </c>
      <c r="H92" s="156">
        <f>'[4]Yellow Grease Complex'!$Y127</f>
        <v>10.600011860521741</v>
      </c>
      <c r="I92" s="156">
        <f>'[4]Used Cooking Oil Complex'!$Y127</f>
        <v>19.593611060055363</v>
      </c>
      <c r="J92" s="156">
        <f t="shared" si="7"/>
        <v>50</v>
      </c>
      <c r="K92" s="156">
        <f t="shared" si="9"/>
        <v>84.117519423573697</v>
      </c>
      <c r="L92" s="156">
        <f t="shared" si="8"/>
        <v>134.1175194235737</v>
      </c>
      <c r="M92" s="157">
        <f>'[5]Renewable Diesel'!$I54/1000000</f>
        <v>17.747237999999999</v>
      </c>
      <c r="N92" s="158">
        <f t="shared" si="11"/>
        <v>7.5570925134138447</v>
      </c>
      <c r="O92" s="157">
        <f t="shared" si="10"/>
        <v>186.14781964185906</v>
      </c>
      <c r="P92" s="154">
        <f t="shared" si="12"/>
        <v>10.488833228125923</v>
      </c>
    </row>
    <row r="93" spans="1:16" x14ac:dyDescent="0.2">
      <c r="A93" s="155">
        <v>42917</v>
      </c>
      <c r="B93" s="156">
        <f>'[3]Soy Complex'!$BF428</f>
        <v>50</v>
      </c>
      <c r="C93" s="156">
        <f>'[3]Canola Complex'!$BF363</f>
        <v>0</v>
      </c>
      <c r="D93" s="156">
        <f>'[4]Distillers'' Corn Oil Complex'!$Z125</f>
        <v>56.586026074362167</v>
      </c>
      <c r="E93" s="156">
        <f>'[4]Poultry Byproduct Complex'!$Y267</f>
        <v>0</v>
      </c>
      <c r="F93" s="156">
        <f>'[4]CWG Complex'!$Y130</f>
        <v>7.7100978970361203</v>
      </c>
      <c r="G93" s="156">
        <f>'[4]Inedible Tallow Complex'!$Y127</f>
        <v>51.616293051080817</v>
      </c>
      <c r="H93" s="156">
        <f>'[4]Yellow Grease Complex'!$Y128</f>
        <v>11.661999381981659</v>
      </c>
      <c r="I93" s="156">
        <f>'[4]Used Cooking Oil Complex'!$Y128</f>
        <v>21.55664381133132</v>
      </c>
      <c r="J93" s="156">
        <f t="shared" si="7"/>
        <v>50</v>
      </c>
      <c r="K93" s="156">
        <f t="shared" si="9"/>
        <v>92.545034141429909</v>
      </c>
      <c r="L93" s="156">
        <f t="shared" si="8"/>
        <v>142.54503414142991</v>
      </c>
      <c r="M93" s="157">
        <f>'[5]Renewable Diesel'!$I55/1000000</f>
        <v>19.651809</v>
      </c>
      <c r="N93" s="158">
        <f t="shared" si="11"/>
        <v>7.25353244281124</v>
      </c>
      <c r="O93" s="157">
        <f t="shared" si="10"/>
        <v>199.13106021579208</v>
      </c>
      <c r="P93" s="154">
        <f t="shared" si="12"/>
        <v>10.132963342753436</v>
      </c>
    </row>
    <row r="94" spans="1:16" x14ac:dyDescent="0.2">
      <c r="A94" s="155">
        <v>42948</v>
      </c>
      <c r="B94" s="156">
        <f>'[3]Soy Complex'!$BF429</f>
        <v>65</v>
      </c>
      <c r="C94" s="156">
        <f>'[3]Canola Complex'!$BF364</f>
        <v>0</v>
      </c>
      <c r="D94" s="156">
        <f>'[4]Distillers'' Corn Oil Complex'!$Z126</f>
        <v>47.452443974608656</v>
      </c>
      <c r="E94" s="156">
        <f>'[4]Poultry Byproduct Complex'!$Y268</f>
        <v>0</v>
      </c>
      <c r="F94" s="156">
        <f>'[4]CWG Complex'!$Y131</f>
        <v>9.7722530581025389</v>
      </c>
      <c r="G94" s="156">
        <f>'[4]Inedible Tallow Complex'!$Y128</f>
        <v>65.4216696535388</v>
      </c>
      <c r="H94" s="156">
        <f>'[4]Yellow Grease Complex'!$Y129</f>
        <v>14.781136458457897</v>
      </c>
      <c r="I94" s="156">
        <f>'[4]Used Cooking Oil Complex'!$Y129</f>
        <v>27.32221837140219</v>
      </c>
      <c r="J94" s="156">
        <f t="shared" si="7"/>
        <v>65</v>
      </c>
      <c r="K94" s="156">
        <f t="shared" si="9"/>
        <v>117.29727754150142</v>
      </c>
      <c r="L94" s="156">
        <f t="shared" si="8"/>
        <v>182.29727754150142</v>
      </c>
      <c r="M94" s="157">
        <f>'[5]Renewable Diesel'!$I56/1000000</f>
        <v>24.672391999999999</v>
      </c>
      <c r="N94" s="158">
        <f t="shared" si="11"/>
        <v>7.3887151898973329</v>
      </c>
      <c r="O94" s="157">
        <f t="shared" si="10"/>
        <v>229.74972151611007</v>
      </c>
      <c r="P94" s="154">
        <f t="shared" si="12"/>
        <v>9.3120165047681667</v>
      </c>
    </row>
    <row r="95" spans="1:16" x14ac:dyDescent="0.2">
      <c r="A95" s="155">
        <v>42979</v>
      </c>
      <c r="B95" s="156">
        <f>'[3]Soy Complex'!$BF430</f>
        <v>60</v>
      </c>
      <c r="C95" s="156">
        <f>'[3]Canola Complex'!$BF365</f>
        <v>0</v>
      </c>
      <c r="D95" s="156">
        <f>'[4]Distillers'' Corn Oil Complex'!$Z127</f>
        <v>25.714584129183852</v>
      </c>
      <c r="E95" s="156">
        <f>'[4]Poultry Byproduct Complex'!$Y269</f>
        <v>0</v>
      </c>
      <c r="F95" s="156">
        <f>'[4]CWG Complex'!$Y132</f>
        <v>8.6974045484892226</v>
      </c>
      <c r="G95" s="156">
        <f>'[4]Inedible Tallow Complex'!$Y129</f>
        <v>58.225950948197124</v>
      </c>
      <c r="H95" s="156">
        <f>'[4]Yellow Grease Complex'!$Y130</f>
        <v>13.155361685915388</v>
      </c>
      <c r="I95" s="156">
        <f>'[4]Used Cooking Oil Complex'!$Y130</f>
        <v>24.317052058042989</v>
      </c>
      <c r="J95" s="156">
        <f t="shared" si="7"/>
        <v>60</v>
      </c>
      <c r="K95" s="156">
        <f t="shared" si="9"/>
        <v>104.39576924064473</v>
      </c>
      <c r="L95" s="156">
        <f t="shared" si="8"/>
        <v>164.39576924064471</v>
      </c>
      <c r="M95" s="157">
        <f>'[5]Renewable Diesel'!$I57/1000000</f>
        <v>21.967037999999999</v>
      </c>
      <c r="N95" s="158">
        <f t="shared" si="11"/>
        <v>7.4837476605013711</v>
      </c>
      <c r="O95" s="157">
        <f t="shared" si="10"/>
        <v>190.11035336982854</v>
      </c>
      <c r="P95" s="154">
        <f t="shared" si="12"/>
        <v>8.6543462696167115</v>
      </c>
    </row>
    <row r="96" spans="1:16" x14ac:dyDescent="0.2">
      <c r="A96" s="155">
        <v>43009</v>
      </c>
      <c r="B96" s="156">
        <f>'[3]Soy Complex'!$BG419</f>
        <v>65</v>
      </c>
      <c r="C96" s="156">
        <f>'[3]Canola Complex'!$BG354</f>
        <v>0</v>
      </c>
      <c r="D96" s="156">
        <f>'[4]Distillers'' Corn Oil Complex'!$Z128</f>
        <v>12.930590088974176</v>
      </c>
      <c r="E96" s="156">
        <f>'[4]Poultry Byproduct Complex'!$Z258</f>
        <v>0</v>
      </c>
      <c r="F96" s="156">
        <f>'[4]CWG Complex'!$Z121</f>
        <v>10.082807897022454</v>
      </c>
      <c r="G96" s="156">
        <f>'[4]Inedible Tallow Complex'!$Z118</f>
        <v>67.500721020744351</v>
      </c>
      <c r="H96" s="156">
        <f>'[4]Yellow Grease Complex'!$Z119</f>
        <v>15.250869837712099</v>
      </c>
      <c r="I96" s="156">
        <f>'[4]Used Cooking Oil Complex'!$Z119</f>
        <v>28.190497884306364</v>
      </c>
      <c r="J96" s="156">
        <f t="shared" si="7"/>
        <v>65</v>
      </c>
      <c r="K96" s="156">
        <f t="shared" si="9"/>
        <v>121.02489663978527</v>
      </c>
      <c r="L96" s="156">
        <f t="shared" si="8"/>
        <v>186.02489663978525</v>
      </c>
      <c r="M96" s="157">
        <f>'[5]Renewable Diesel'!$I58/1000000</f>
        <v>25.346827000000001</v>
      </c>
      <c r="N96" s="158">
        <f t="shared" si="11"/>
        <v>7.3391788502673432</v>
      </c>
      <c r="O96" s="157">
        <f t="shared" si="10"/>
        <v>198.95548672875944</v>
      </c>
      <c r="P96" s="154">
        <f t="shared" si="12"/>
        <v>7.8493251533519137</v>
      </c>
    </row>
    <row r="97" spans="1:16" x14ac:dyDescent="0.2">
      <c r="A97" s="155">
        <v>43040</v>
      </c>
      <c r="B97" s="156">
        <f>'[3]Soy Complex'!$BG420</f>
        <v>65</v>
      </c>
      <c r="C97" s="156">
        <f>'[3]Canola Complex'!$BG355</f>
        <v>0</v>
      </c>
      <c r="D97" s="156">
        <f>'[4]Distillers'' Corn Oil Complex'!$Z129</f>
        <v>31.879968465929078</v>
      </c>
      <c r="E97" s="156">
        <f>'[4]Poultry Byproduct Complex'!$Z259</f>
        <v>0</v>
      </c>
      <c r="F97" s="156">
        <f>'[4]CWG Complex'!$Z122</f>
        <v>9.0683226171118783</v>
      </c>
      <c r="G97" s="156">
        <f>'[4]Inedible Tallow Complex'!$Z119</f>
        <v>60.709112119902564</v>
      </c>
      <c r="H97" s="156">
        <f>'[4]Yellow Grease Complex'!$Z120</f>
        <v>13.716398179201171</v>
      </c>
      <c r="I97" s="156">
        <f>'[4]Used Cooking Oil Complex'!$Z120</f>
        <v>25.354100976910701</v>
      </c>
      <c r="J97" s="156">
        <f t="shared" si="7"/>
        <v>65</v>
      </c>
      <c r="K97" s="156">
        <f t="shared" si="9"/>
        <v>108.84793389312631</v>
      </c>
      <c r="L97" s="156">
        <f t="shared" si="8"/>
        <v>173.84793389312631</v>
      </c>
      <c r="M97" s="157">
        <f>'[5]Renewable Diesel'!$I59/1000000</f>
        <v>23.176779</v>
      </c>
      <c r="N97" s="158">
        <f t="shared" si="11"/>
        <v>7.5009531692529974</v>
      </c>
      <c r="O97" s="157">
        <f t="shared" si="10"/>
        <v>205.72790235905541</v>
      </c>
      <c r="P97" s="154">
        <f t="shared" si="12"/>
        <v>8.876466499467222</v>
      </c>
    </row>
    <row r="98" spans="1:16" x14ac:dyDescent="0.2">
      <c r="A98" s="155">
        <v>43070</v>
      </c>
      <c r="B98" s="156">
        <f>'[3]Soy Complex'!$BG421</f>
        <v>60</v>
      </c>
      <c r="C98" s="156">
        <f>'[3]Canola Complex'!$BG356</f>
        <v>0</v>
      </c>
      <c r="D98" s="156">
        <f>'[4]Distillers'' Corn Oil Complex'!$Z130</f>
        <v>67.395519207619245</v>
      </c>
      <c r="E98" s="156">
        <f>'[4]Poultry Byproduct Complex'!$Z260</f>
        <v>0</v>
      </c>
      <c r="F98" s="156">
        <f>'[4]CWG Complex'!$Z123</f>
        <v>10.082161654350489</v>
      </c>
      <c r="G98" s="156">
        <f>'[4]Inedible Tallow Complex'!$Z120</f>
        <v>67.496394661781878</v>
      </c>
      <c r="H98" s="156">
        <f>'[4]Yellow Grease Complex'!$Z121</f>
        <v>15.249892355747313</v>
      </c>
      <c r="I98" s="156">
        <f>'[4]Used Cooking Oil Complex'!$Z121</f>
        <v>28.188691056003883</v>
      </c>
      <c r="J98" s="156">
        <f t="shared" si="7"/>
        <v>60</v>
      </c>
      <c r="K98" s="156">
        <f t="shared" si="9"/>
        <v>121.01713972788355</v>
      </c>
      <c r="L98" s="156">
        <f t="shared" si="8"/>
        <v>181.01713972788355</v>
      </c>
      <c r="M98" s="157">
        <f>'[5]Renewable Diesel'!$I60/1000000</f>
        <v>25.524348</v>
      </c>
      <c r="N98" s="158">
        <f t="shared" si="11"/>
        <v>7.0919398108771885</v>
      </c>
      <c r="O98" s="157">
        <f t="shared" si="10"/>
        <v>248.41265893550278</v>
      </c>
      <c r="P98" s="154">
        <f t="shared" si="12"/>
        <v>9.7323801938252359</v>
      </c>
    </row>
    <row r="99" spans="1:16" x14ac:dyDescent="0.2">
      <c r="A99" s="155">
        <v>43101</v>
      </c>
      <c r="B99" s="156">
        <f>'[3]Soy Complex'!$BG422</f>
        <v>50</v>
      </c>
      <c r="C99" s="156">
        <f>'[3]Canola Complex'!$BG357</f>
        <v>0</v>
      </c>
      <c r="D99" s="156">
        <f>'[4]Distillers'' Corn Oil Complex'!$AA119</f>
        <v>25</v>
      </c>
      <c r="E99" s="156">
        <f>'[4]Poultry Byproduct Complex'!$Z261</f>
        <v>0</v>
      </c>
      <c r="F99" s="156">
        <f>'[4]CWG Complex'!$Z124</f>
        <v>5.4048121487600334</v>
      </c>
      <c r="G99" s="156">
        <f>'[4]Inedible Tallow Complex'!$Z121</f>
        <v>36.183245852647666</v>
      </c>
      <c r="H99" s="156">
        <f>'[4]Yellow Grease Complex'!$Z122</f>
        <v>8.1751122722834051</v>
      </c>
      <c r="I99" s="156">
        <f>'[4]Used Cooking Oil Complex'!$Z122</f>
        <v>7.722706638601724</v>
      </c>
      <c r="J99" s="156">
        <f t="shared" si="7"/>
        <v>50</v>
      </c>
      <c r="K99" s="156">
        <f t="shared" si="9"/>
        <v>57.485876912292831</v>
      </c>
      <c r="L99" s="156">
        <f t="shared" si="8"/>
        <v>107.48587691229284</v>
      </c>
      <c r="M99" s="157">
        <f>'[5]Renewable Diesel'!$J49/1000000</f>
        <v>13.680652</v>
      </c>
      <c r="N99" s="158">
        <f t="shared" si="11"/>
        <v>7.8567802844698367</v>
      </c>
      <c r="O99" s="157">
        <f t="shared" si="10"/>
        <v>132.48587691229284</v>
      </c>
      <c r="P99" s="154">
        <f t="shared" si="12"/>
        <v>9.6841785692884255</v>
      </c>
    </row>
    <row r="100" spans="1:16" x14ac:dyDescent="0.2">
      <c r="A100" s="155">
        <v>43132</v>
      </c>
      <c r="B100" s="156">
        <f>'[3]Soy Complex'!$BG423</f>
        <v>75</v>
      </c>
      <c r="C100" s="156">
        <f>'[3]Canola Complex'!$BG358</f>
        <v>0</v>
      </c>
      <c r="D100" s="156">
        <f>'[4]Distillers'' Corn Oil Complex'!$AA120</f>
        <v>100</v>
      </c>
      <c r="E100" s="156">
        <f>'[4]Poultry Byproduct Complex'!$Z262</f>
        <v>0</v>
      </c>
      <c r="F100" s="156">
        <f>'[4]CWG Complex'!$Z125</f>
        <v>8.1691532159213516</v>
      </c>
      <c r="G100" s="156">
        <f>'[4]Inedible Tallow Complex'!$Z122</f>
        <v>54.689500963959077</v>
      </c>
      <c r="H100" s="156">
        <f>'[4]Yellow Grease Complex'!$Z123</f>
        <v>12.356348911213049</v>
      </c>
      <c r="I100" s="156">
        <f>'[4]Used Cooking Oil Complex'!$Z123</f>
        <v>11.672556239873021</v>
      </c>
      <c r="J100" s="156">
        <f t="shared" si="7"/>
        <v>75</v>
      </c>
      <c r="K100" s="156">
        <f t="shared" si="9"/>
        <v>86.887559330966496</v>
      </c>
      <c r="L100" s="156">
        <f t="shared" si="8"/>
        <v>161.8875593309665</v>
      </c>
      <c r="M100" s="157">
        <f>'[5]Renewable Diesel'!$J50/1000000</f>
        <v>21.604811999999999</v>
      </c>
      <c r="N100" s="158">
        <f t="shared" si="11"/>
        <v>7.4931251117096735</v>
      </c>
      <c r="O100" s="157">
        <f t="shared" si="10"/>
        <v>261.8875593309665</v>
      </c>
      <c r="P100" s="154">
        <f t="shared" si="12"/>
        <v>12.121723592455538</v>
      </c>
    </row>
    <row r="101" spans="1:16" x14ac:dyDescent="0.2">
      <c r="A101" s="155">
        <v>43160</v>
      </c>
      <c r="B101" s="156">
        <f>'[3]Soy Complex'!$BG424</f>
        <v>85</v>
      </c>
      <c r="C101" s="156">
        <f>'[3]Canola Complex'!$BG359</f>
        <v>0</v>
      </c>
      <c r="D101" s="156">
        <f>'[4]Distillers'' Corn Oil Complex'!$AA121</f>
        <v>100</v>
      </c>
      <c r="E101" s="156">
        <f>'[4]Poultry Byproduct Complex'!$Z263</f>
        <v>0</v>
      </c>
      <c r="F101" s="156">
        <f>'[4]CWG Complex'!$Z126</f>
        <v>9.1690351731975213</v>
      </c>
      <c r="G101" s="156">
        <f>'[4]Inedible Tallow Complex'!$Z123</f>
        <v>61.383345946536373</v>
      </c>
      <c r="H101" s="156">
        <f>'[4]Yellow Grease Complex'!$Z124</f>
        <v>13.868732142078613</v>
      </c>
      <c r="I101" s="156">
        <f>'[4]Used Cooking Oil Complex'!$Z124</f>
        <v>13.101245122435994</v>
      </c>
      <c r="J101" s="156">
        <f t="shared" si="7"/>
        <v>85</v>
      </c>
      <c r="K101" s="156">
        <f t="shared" si="9"/>
        <v>97.522358384248506</v>
      </c>
      <c r="L101" s="156">
        <f t="shared" si="8"/>
        <v>182.52235838424849</v>
      </c>
      <c r="M101" s="157">
        <f>'[5]Renewable Diesel'!$J51/1000000</f>
        <v>25.067979000000001</v>
      </c>
      <c r="N101" s="158">
        <f t="shared" si="11"/>
        <v>7.2810958707221065</v>
      </c>
      <c r="O101" s="157">
        <f t="shared" si="10"/>
        <v>282.52235838424849</v>
      </c>
      <c r="P101" s="154">
        <f t="shared" si="12"/>
        <v>11.270248725844572</v>
      </c>
    </row>
    <row r="102" spans="1:16" x14ac:dyDescent="0.2">
      <c r="A102" s="155">
        <v>43191</v>
      </c>
      <c r="B102" s="156">
        <f>'[3]Soy Complex'!$BG425</f>
        <v>80</v>
      </c>
      <c r="C102" s="156">
        <f>'[3]Canola Complex'!$BG360</f>
        <v>0</v>
      </c>
      <c r="D102" s="156">
        <f>'[4]Distillers'' Corn Oil Complex'!$AA122</f>
        <v>75</v>
      </c>
      <c r="E102" s="156">
        <f>'[4]Poultry Byproduct Complex'!$Z264</f>
        <v>0</v>
      </c>
      <c r="F102" s="156">
        <f>'[4]CWG Complex'!$Z127</f>
        <v>9.9718675696773982</v>
      </c>
      <c r="G102" s="156">
        <f>'[4]Inedible Tallow Complex'!$Z124</f>
        <v>66.758015996256063</v>
      </c>
      <c r="H102" s="156">
        <f>'[4]Yellow Grease Complex'!$Z125</f>
        <v>15.08306573895581</v>
      </c>
      <c r="I102" s="156">
        <f>'[4]Used Cooking Oil Complex'!$Z125</f>
        <v>14.248378252567463</v>
      </c>
      <c r="J102" s="156">
        <f t="shared" si="7"/>
        <v>80</v>
      </c>
      <c r="K102" s="156">
        <f t="shared" si="9"/>
        <v>106.06132755745674</v>
      </c>
      <c r="L102" s="156">
        <f t="shared" si="8"/>
        <v>186.06132755745674</v>
      </c>
      <c r="M102" s="157">
        <f>'[5]Renewable Diesel'!$J52/1000000</f>
        <v>25.750983999999999</v>
      </c>
      <c r="N102" s="158">
        <f t="shared" si="11"/>
        <v>7.2254065148522768</v>
      </c>
      <c r="O102" s="157">
        <f t="shared" si="10"/>
        <v>261.06132755745671</v>
      </c>
      <c r="P102" s="154">
        <f t="shared" si="12"/>
        <v>10.137916576603702</v>
      </c>
    </row>
    <row r="103" spans="1:16" x14ac:dyDescent="0.2">
      <c r="A103" s="155">
        <v>43221</v>
      </c>
      <c r="B103" s="156">
        <f>'[3]Soy Complex'!$BG426</f>
        <v>70</v>
      </c>
      <c r="C103" s="156">
        <f>'[3]Canola Complex'!$BG361</f>
        <v>0</v>
      </c>
      <c r="D103" s="156">
        <f>'[4]Distillers'' Corn Oil Complex'!$AA123</f>
        <v>100</v>
      </c>
      <c r="E103" s="156">
        <f>'[4]Poultry Byproduct Complex'!$Z265</f>
        <v>0</v>
      </c>
      <c r="F103" s="156">
        <f>'[4]CWG Complex'!$Z128</f>
        <v>8.2745372879810599</v>
      </c>
      <c r="G103" s="156">
        <f>'[4]Inedible Tallow Complex'!$Z125</f>
        <v>56.430429612878129</v>
      </c>
      <c r="H103" s="156">
        <f>'[4]Yellow Grease Complex'!$Z126</f>
        <v>12.515748830597143</v>
      </c>
      <c r="I103" s="156">
        <f>'[4]Used Cooking Oil Complex'!$Z126</f>
        <v>12.200660499541463</v>
      </c>
      <c r="J103" s="156">
        <f t="shared" si="7"/>
        <v>70</v>
      </c>
      <c r="K103" s="156">
        <f t="shared" si="9"/>
        <v>89.421376230997794</v>
      </c>
      <c r="L103" s="156">
        <f t="shared" si="8"/>
        <v>159.42137623099779</v>
      </c>
      <c r="M103" s="157">
        <f>'[5]Renewable Diesel'!$J53/1000000</f>
        <v>21.508247000000001</v>
      </c>
      <c r="N103" s="158">
        <f t="shared" si="11"/>
        <v>7.4121045862546486</v>
      </c>
      <c r="O103" s="157">
        <f t="shared" si="10"/>
        <v>259.42137623099779</v>
      </c>
      <c r="P103" s="154">
        <f t="shared" si="12"/>
        <v>12.061483961524051</v>
      </c>
    </row>
    <row r="104" spans="1:16" x14ac:dyDescent="0.2">
      <c r="A104" s="155">
        <v>43252</v>
      </c>
      <c r="B104" s="156">
        <f>'[3]Soy Complex'!$BG427</f>
        <v>40</v>
      </c>
      <c r="C104" s="156">
        <f>'[3]Canola Complex'!$BG362</f>
        <v>0</v>
      </c>
      <c r="D104" s="156">
        <f>'[4]Distillers'' Corn Oil Complex'!$AA124</f>
        <v>100</v>
      </c>
      <c r="E104" s="156">
        <f>'[4]Poultry Byproduct Complex'!$Z266</f>
        <v>0</v>
      </c>
      <c r="F104" s="156">
        <f>'[4]CWG Complex'!$Z129</f>
        <v>4.4374176270868952</v>
      </c>
      <c r="G104" s="156">
        <f>'[4]Inedible Tallow Complex'!$Z126</f>
        <v>30.817430434859904</v>
      </c>
      <c r="H104" s="156">
        <f>'[4]Yellow Grease Complex'!$Z127</f>
        <v>6.7118682947690012</v>
      </c>
      <c r="I104" s="156">
        <f>'[4]Used Cooking Oil Complex'!$Z127</f>
        <v>6.7453516771195634</v>
      </c>
      <c r="J104" s="156">
        <f t="shared" si="7"/>
        <v>40</v>
      </c>
      <c r="K104" s="156">
        <f t="shared" si="9"/>
        <v>48.712068033835372</v>
      </c>
      <c r="L104" s="156">
        <f t="shared" si="8"/>
        <v>88.712068033835379</v>
      </c>
      <c r="M104" s="157">
        <f>'[5]Renewable Diesel'!$J54/1000000</f>
        <v>12.384024999999999</v>
      </c>
      <c r="N104" s="158">
        <f t="shared" si="11"/>
        <v>7.1634277251406857</v>
      </c>
      <c r="O104" s="157">
        <f t="shared" si="10"/>
        <v>188.71206803383538</v>
      </c>
      <c r="P104" s="154">
        <f t="shared" si="12"/>
        <v>15.238346824544958</v>
      </c>
    </row>
    <row r="105" spans="1:16" x14ac:dyDescent="0.2">
      <c r="A105" s="155">
        <v>43282</v>
      </c>
      <c r="B105" s="156">
        <f>'[3]Soy Complex'!$BG428</f>
        <v>45</v>
      </c>
      <c r="C105" s="156">
        <f>'[3]Canola Complex'!$BG363</f>
        <v>0</v>
      </c>
      <c r="D105" s="156">
        <f>'[4]Distillers'' Corn Oil Complex'!$AA125</f>
        <v>100</v>
      </c>
      <c r="E105" s="156">
        <f>'[4]Poultry Byproduct Complex'!$Z267</f>
        <v>0</v>
      </c>
      <c r="F105" s="156">
        <f>'[4]CWG Complex'!$Z130</f>
        <v>0</v>
      </c>
      <c r="G105" s="156">
        <f>'[4]Inedible Tallow Complex'!$Z127</f>
        <v>34.697875923006812</v>
      </c>
      <c r="H105" s="156">
        <f>'[4]Yellow Grease Complex'!$Z128</f>
        <v>0</v>
      </c>
      <c r="I105" s="156">
        <f>'[4]Used Cooking Oil Complex'!$Z128</f>
        <v>0.45589965334307392</v>
      </c>
      <c r="J105" s="156">
        <f t="shared" si="7"/>
        <v>45</v>
      </c>
      <c r="K105" s="156">
        <f t="shared" si="9"/>
        <v>35.153775576349886</v>
      </c>
      <c r="L105" s="156">
        <f t="shared" si="8"/>
        <v>80.153775576349886</v>
      </c>
      <c r="M105" s="157">
        <f>'[5]Renewable Diesel'!$J55/1000000</f>
        <v>10.553514</v>
      </c>
      <c r="N105" s="158">
        <f t="shared" si="11"/>
        <v>7.5949845308728339</v>
      </c>
      <c r="O105" s="157">
        <f t="shared" si="10"/>
        <v>180.15377557634989</v>
      </c>
      <c r="P105" s="154">
        <f t="shared" si="12"/>
        <v>17.070501406105102</v>
      </c>
    </row>
    <row r="106" spans="1:16" x14ac:dyDescent="0.2">
      <c r="A106" s="155">
        <v>43313</v>
      </c>
      <c r="B106" s="156">
        <f>'[3]Soy Complex'!$BG429</f>
        <v>60</v>
      </c>
      <c r="C106" s="156">
        <f>'[3]Canola Complex'!$BG364</f>
        <v>0</v>
      </c>
      <c r="D106" s="156">
        <f>'[4]Distillers'' Corn Oil Complex'!$AA126</f>
        <v>100</v>
      </c>
      <c r="E106" s="156">
        <f>'[4]Poultry Byproduct Complex'!$Z268</f>
        <v>0</v>
      </c>
      <c r="F106" s="156">
        <f>'[4]CWG Complex'!$Z131</f>
        <v>5.902900917836849</v>
      </c>
      <c r="G106" s="156">
        <f>'[4]Inedible Tallow Complex'!$Z128</f>
        <v>34.750786316440831</v>
      </c>
      <c r="H106" s="156">
        <f>'[4]Yellow Grease Complex'!$Z129</f>
        <v>8.9285023063293796</v>
      </c>
      <c r="I106" s="156">
        <f>'[4]Used Cooking Oil Complex'!$Z129</f>
        <v>6.6999426407406375</v>
      </c>
      <c r="J106" s="156">
        <f t="shared" si="7"/>
        <v>60</v>
      </c>
      <c r="K106" s="156">
        <f t="shared" si="9"/>
        <v>56.282132181347698</v>
      </c>
      <c r="L106" s="156">
        <f t="shared" si="8"/>
        <v>116.28213218134769</v>
      </c>
      <c r="M106" s="157">
        <f>'[5]Renewable Diesel'!$J56/1000000</f>
        <v>16.024601000000001</v>
      </c>
      <c r="N106" s="158">
        <f t="shared" si="11"/>
        <v>7.2564759759913953</v>
      </c>
      <c r="O106" s="157">
        <f t="shared" si="10"/>
        <v>216.28213218134769</v>
      </c>
      <c r="P106" s="154">
        <f t="shared" si="12"/>
        <v>13.4968809632981</v>
      </c>
    </row>
    <row r="107" spans="1:16" x14ac:dyDescent="0.2">
      <c r="A107" s="155">
        <v>43344</v>
      </c>
      <c r="B107" s="156">
        <f>'[3]Soy Complex'!$BG430</f>
        <v>125</v>
      </c>
      <c r="C107" s="156">
        <f>'[3]Canola Complex'!$BG365</f>
        <v>0</v>
      </c>
      <c r="D107" s="156">
        <f>'[4]Distillers'' Corn Oil Complex'!$AA127</f>
        <v>100</v>
      </c>
      <c r="E107" s="156">
        <f>'[4]Poultry Byproduct Complex'!$Z269</f>
        <v>0</v>
      </c>
      <c r="F107" s="156">
        <f>'[4]CWG Complex'!$Z132</f>
        <v>13.187057299971132</v>
      </c>
      <c r="G107" s="156">
        <f>'[4]Inedible Tallow Complex'!$Z129</f>
        <v>67.371270080021532</v>
      </c>
      <c r="H107" s="156">
        <f>'[4]Yellow Grease Complex'!$Z130</f>
        <v>19.946238833301759</v>
      </c>
      <c r="I107" s="156">
        <f>'[4]Used Cooking Oil Complex'!$Z130</f>
        <v>17.862739401842877</v>
      </c>
      <c r="J107" s="156">
        <f t="shared" si="7"/>
        <v>125</v>
      </c>
      <c r="K107" s="156">
        <f t="shared" si="9"/>
        <v>118.3673056151373</v>
      </c>
      <c r="L107" s="156">
        <f t="shared" si="8"/>
        <v>243.3673056151373</v>
      </c>
      <c r="M107" s="157">
        <f>'[5]Renewable Diesel'!$J57/1000000</f>
        <v>32.248455999999997</v>
      </c>
      <c r="N107" s="158">
        <f t="shared" si="11"/>
        <v>7.546634344761725</v>
      </c>
      <c r="O107" s="157">
        <f t="shared" si="10"/>
        <v>343.3673056151373</v>
      </c>
      <c r="P107" s="154">
        <f t="shared" si="12"/>
        <v>10.647557998284858</v>
      </c>
    </row>
    <row r="108" spans="1:16" x14ac:dyDescent="0.2">
      <c r="A108" s="155">
        <v>43374</v>
      </c>
      <c r="B108" s="156">
        <f>'[3]Soy Complex'!$BH419</f>
        <v>130</v>
      </c>
      <c r="C108" s="156">
        <f>'[3]Canola Complex'!$BH354</f>
        <v>0</v>
      </c>
      <c r="D108" s="156">
        <f>'[4]Distillers'' Corn Oil Complex'!$AA128</f>
        <v>100</v>
      </c>
      <c r="E108" s="156">
        <f>'[4]Poultry Byproduct Complex'!$AA258</f>
        <v>0</v>
      </c>
      <c r="F108" s="156">
        <f>'[4]CWG Complex'!$AA121</f>
        <v>17.701104649247856</v>
      </c>
      <c r="G108" s="156">
        <f>'[4]Inedible Tallow Complex'!$AA118</f>
        <v>79.858667711728003</v>
      </c>
      <c r="H108" s="156">
        <f>'[4]Yellow Grease Complex'!$AA119</f>
        <v>26.774014316896825</v>
      </c>
      <c r="I108" s="156">
        <f>'[4]Used Cooking Oil Complex'!$AA119</f>
        <v>23.03072208886811</v>
      </c>
      <c r="J108" s="156">
        <f t="shared" si="7"/>
        <v>130</v>
      </c>
      <c r="K108" s="156">
        <f t="shared" si="9"/>
        <v>147.36450876674078</v>
      </c>
      <c r="L108" s="156">
        <f t="shared" si="8"/>
        <v>277.36450876674076</v>
      </c>
      <c r="M108" s="157">
        <f>'[5]Renewable Diesel'!$J58/1000000</f>
        <v>39.005346000000003</v>
      </c>
      <c r="N108" s="158">
        <f t="shared" si="11"/>
        <v>7.1109357360075904</v>
      </c>
      <c r="O108" s="157">
        <f t="shared" si="10"/>
        <v>377.36450876674076</v>
      </c>
      <c r="P108" s="154">
        <f t="shared" si="12"/>
        <v>9.6746868689933105</v>
      </c>
    </row>
    <row r="109" spans="1:16" x14ac:dyDescent="0.2">
      <c r="A109" s="155">
        <v>43405</v>
      </c>
      <c r="B109" s="156">
        <f>'[3]Soy Complex'!$BH420</f>
        <v>150</v>
      </c>
      <c r="C109" s="156">
        <f>'[3]Canola Complex'!$BH355</f>
        <v>0</v>
      </c>
      <c r="D109" s="156">
        <f>'[4]Distillers'' Corn Oil Complex'!$AA129</f>
        <v>50</v>
      </c>
      <c r="E109" s="156">
        <f>'[4]Poultry Byproduct Complex'!$AA259</f>
        <v>0</v>
      </c>
      <c r="F109" s="156">
        <f>'[4]CWG Complex'!$AA122</f>
        <v>19.675178914983647</v>
      </c>
      <c r="G109" s="156">
        <f>'[4]Inedible Tallow Complex'!$AA119</f>
        <v>75.388793860610406</v>
      </c>
      <c r="H109" s="156">
        <f>'[4]Yellow Grease Complex'!$AA120</f>
        <v>29.759923597743516</v>
      </c>
      <c r="I109" s="156">
        <f>'[4]Used Cooking Oil Complex'!$AA120</f>
        <v>30.031044903409331</v>
      </c>
      <c r="J109" s="156">
        <f t="shared" si="7"/>
        <v>150</v>
      </c>
      <c r="K109" s="156">
        <f t="shared" si="9"/>
        <v>154.8549412767469</v>
      </c>
      <c r="L109" s="156">
        <f t="shared" si="8"/>
        <v>304.8549412767469</v>
      </c>
      <c r="M109" s="157">
        <f>'[5]Renewable Diesel'!$J59/1000000</f>
        <v>40.325398999999997</v>
      </c>
      <c r="N109" s="158">
        <f t="shared" si="11"/>
        <v>7.5598741447480018</v>
      </c>
      <c r="O109" s="157">
        <f t="shared" si="10"/>
        <v>354.8549412767469</v>
      </c>
      <c r="P109" s="154">
        <f t="shared" si="12"/>
        <v>8.7997874807573986</v>
      </c>
    </row>
    <row r="110" spans="1:16" x14ac:dyDescent="0.2">
      <c r="A110" s="155">
        <v>43435</v>
      </c>
      <c r="B110" s="156">
        <f>'[3]Soy Complex'!$BH421</f>
        <v>150</v>
      </c>
      <c r="C110" s="156">
        <f>'[3]Canola Complex'!$BH356</f>
        <v>0</v>
      </c>
      <c r="D110" s="156">
        <f>'[4]Distillers'' Corn Oil Complex'!$AA130</f>
        <v>100</v>
      </c>
      <c r="E110" s="156">
        <f>'[4]Poultry Byproduct Complex'!$AA260</f>
        <v>0</v>
      </c>
      <c r="F110" s="156">
        <f>'[4]CWG Complex'!$AA123</f>
        <v>24.03682787108653</v>
      </c>
      <c r="G110" s="156">
        <f>'[4]Inedible Tallow Complex'!$AA120</f>
        <v>92.101193552873127</v>
      </c>
      <c r="H110" s="156">
        <f>'[4]Yellow Grease Complex'!$AA121</f>
        <v>36.35718709682908</v>
      </c>
      <c r="I110" s="156">
        <f>'[4]Used Cooking Oil Complex'!$AA121</f>
        <v>36.688411335481895</v>
      </c>
      <c r="J110" s="156">
        <f t="shared" si="7"/>
        <v>150</v>
      </c>
      <c r="K110" s="156">
        <f t="shared" si="9"/>
        <v>189.18361985627064</v>
      </c>
      <c r="L110" s="156">
        <f t="shared" si="8"/>
        <v>339.18361985627064</v>
      </c>
      <c r="M110" s="157">
        <f>'[5]Renewable Diesel'!$J60/1000000</f>
        <v>47.330432000000002</v>
      </c>
      <c r="N110" s="158">
        <f t="shared" si="11"/>
        <v>7.1662903870446533</v>
      </c>
      <c r="O110" s="157">
        <f t="shared" si="10"/>
        <v>439.18361985627064</v>
      </c>
      <c r="P110" s="154">
        <f t="shared" si="12"/>
        <v>9.279095949436309</v>
      </c>
    </row>
    <row r="111" spans="1:16" x14ac:dyDescent="0.2">
      <c r="A111" s="155">
        <v>43466</v>
      </c>
      <c r="B111" s="156">
        <f>'[3]Soy Complex'!$BH422</f>
        <v>150</v>
      </c>
      <c r="C111" s="156">
        <f>'[3]Canola Complex'!$BH357</f>
        <v>0</v>
      </c>
      <c r="D111" s="156">
        <f>'[4]Distillers'' Corn Oil Complex'!$AB119</f>
        <v>100</v>
      </c>
      <c r="E111" s="156">
        <f>'[4]Poultry Byproduct Complex'!$AA261</f>
        <v>0</v>
      </c>
      <c r="F111" s="156">
        <f>'[4]CWG Complex'!$AA124</f>
        <v>17.908570187061347</v>
      </c>
      <c r="G111" s="156">
        <f>'[4]Inedible Tallow Complex'!$AA121</f>
        <v>68.619732100248754</v>
      </c>
      <c r="H111" s="156">
        <f>'[4]Yellow Grease Complex'!$AA122</f>
        <v>16.337736352138798</v>
      </c>
      <c r="I111" s="156">
        <f>'[4]Used Cooking Oil Complex'!$AA122</f>
        <v>20.243336193620998</v>
      </c>
      <c r="J111" s="156">
        <f t="shared" si="7"/>
        <v>150</v>
      </c>
      <c r="K111" s="156">
        <f t="shared" si="9"/>
        <v>123.10937483306989</v>
      </c>
      <c r="L111" s="156">
        <f t="shared" si="8"/>
        <v>273.10937483306986</v>
      </c>
      <c r="M111" s="157">
        <f>'[5]Renewable Diesel'!$K49/1000000</f>
        <v>36.487020999999999</v>
      </c>
      <c r="N111" s="158">
        <f t="shared" si="11"/>
        <v>7.4851102487394048</v>
      </c>
      <c r="O111" s="157">
        <f t="shared" si="10"/>
        <v>373.10937483306986</v>
      </c>
      <c r="P111" s="154">
        <f t="shared" si="12"/>
        <v>10.225810839231569</v>
      </c>
    </row>
    <row r="112" spans="1:16" x14ac:dyDescent="0.2">
      <c r="A112" s="155">
        <v>43497</v>
      </c>
      <c r="B112" s="156">
        <f>'[3]Soy Complex'!$BH423</f>
        <v>150</v>
      </c>
      <c r="C112" s="156">
        <f>'[3]Canola Complex'!$BH358</f>
        <v>0</v>
      </c>
      <c r="D112" s="156">
        <f>'[4]Distillers'' Corn Oil Complex'!$AB120</f>
        <v>100</v>
      </c>
      <c r="E112" s="156">
        <f>'[4]Poultry Byproduct Complex'!$AA262</f>
        <v>0</v>
      </c>
      <c r="F112" s="156">
        <f>'[4]CWG Complex'!$AA125</f>
        <v>20.200603629913864</v>
      </c>
      <c r="G112" s="156">
        <f>'[4]Inedible Tallow Complex'!$AA122</f>
        <v>77.402048006572869</v>
      </c>
      <c r="H112" s="156">
        <f>'[4]Yellow Grease Complex'!$AA123</f>
        <v>18.428726180386725</v>
      </c>
      <c r="I112" s="156">
        <f>'[4]Used Cooking Oil Complex'!$AA123</f>
        <v>22.834185327082704</v>
      </c>
      <c r="J112" s="156">
        <f t="shared" si="7"/>
        <v>150</v>
      </c>
      <c r="K112" s="156">
        <f t="shared" si="9"/>
        <v>138.86556314395617</v>
      </c>
      <c r="L112" s="156">
        <f t="shared" si="8"/>
        <v>288.86556314395614</v>
      </c>
      <c r="M112" s="157">
        <f>'[5]Renewable Diesel'!$K50/1000000</f>
        <v>40.173701000000001</v>
      </c>
      <c r="N112" s="158">
        <f t="shared" si="11"/>
        <v>7.1904145237690731</v>
      </c>
      <c r="O112" s="157">
        <f t="shared" si="10"/>
        <v>388.86556314395614</v>
      </c>
      <c r="P112" s="154">
        <f t="shared" si="12"/>
        <v>9.6796051512395174</v>
      </c>
    </row>
    <row r="113" spans="1:16" x14ac:dyDescent="0.2">
      <c r="A113" s="155">
        <v>43525</v>
      </c>
      <c r="B113" s="156">
        <f>'[3]Soy Complex'!$BH424</f>
        <v>150</v>
      </c>
      <c r="C113" s="156">
        <f>'[3]Canola Complex'!$BH359</f>
        <v>0</v>
      </c>
      <c r="D113" s="156">
        <f>'[4]Distillers'' Corn Oil Complex'!$AB121</f>
        <v>125</v>
      </c>
      <c r="E113" s="156">
        <f>'[4]Poultry Byproduct Complex'!$AA263</f>
        <v>0</v>
      </c>
      <c r="F113" s="156">
        <f>'[4]CWG Complex'!$AA126</f>
        <v>17.562553203138918</v>
      </c>
      <c r="G113" s="156">
        <f>'[4]Inedible Tallow Complex'!$AA123</f>
        <v>67.293909184690293</v>
      </c>
      <c r="H113" s="156">
        <f>'[4]Yellow Grease Complex'!$AA124</f>
        <v>16.022069931110323</v>
      </c>
      <c r="I113" s="156">
        <f>'[4]Used Cooking Oil Complex'!$AA124</f>
        <v>19.852208478729214</v>
      </c>
      <c r="J113" s="156">
        <f t="shared" si="7"/>
        <v>150</v>
      </c>
      <c r="K113" s="156">
        <f t="shared" si="9"/>
        <v>120.73074079766874</v>
      </c>
      <c r="L113" s="156">
        <f t="shared" si="8"/>
        <v>270.73074079766877</v>
      </c>
      <c r="M113" s="157">
        <f>'[5]Renewable Diesel'!$K51/1000000</f>
        <v>35.740265000000001</v>
      </c>
      <c r="N113" s="158">
        <f t="shared" si="11"/>
        <v>7.5749505717897945</v>
      </c>
      <c r="O113" s="157">
        <f t="shared" si="10"/>
        <v>395.73074079766872</v>
      </c>
      <c r="P113" s="154">
        <f t="shared" si="12"/>
        <v>11.072406452433095</v>
      </c>
    </row>
    <row r="114" spans="1:16" x14ac:dyDescent="0.2">
      <c r="A114" s="155">
        <v>43556</v>
      </c>
      <c r="B114" s="156">
        <f>'[3]Soy Complex'!$BH425</f>
        <v>150</v>
      </c>
      <c r="C114" s="156">
        <f>'[3]Canola Complex'!$BH360</f>
        <v>0</v>
      </c>
      <c r="D114" s="156">
        <f>'[4]Distillers'' Corn Oil Complex'!$AB122</f>
        <v>100</v>
      </c>
      <c r="E114" s="156">
        <f>'[4]Poultry Byproduct Complex'!$AA264</f>
        <v>0</v>
      </c>
      <c r="F114" s="156">
        <f>'[4]CWG Complex'!$AA127</f>
        <v>19.028587940647217</v>
      </c>
      <c r="G114" s="156">
        <f>'[4]Inedible Tallow Complex'!$AA124</f>
        <v>72.911270586895313</v>
      </c>
      <c r="H114" s="156">
        <f>'[4]Yellow Grease Complex'!$AA125</f>
        <v>17.359512774079008</v>
      </c>
      <c r="I114" s="156">
        <f>'[4]Used Cooking Oil Complex'!$AA125</f>
        <v>21.50937226974748</v>
      </c>
      <c r="J114" s="156">
        <f t="shared" si="7"/>
        <v>150</v>
      </c>
      <c r="K114" s="156">
        <f t="shared" si="9"/>
        <v>130.80874357136901</v>
      </c>
      <c r="L114" s="156">
        <f t="shared" si="8"/>
        <v>280.80874357136901</v>
      </c>
      <c r="M114" s="157">
        <f>'[5]Renewable Diesel'!$K52/1000000</f>
        <v>38.557434000000001</v>
      </c>
      <c r="N114" s="158">
        <f t="shared" si="11"/>
        <v>7.2828690719244698</v>
      </c>
      <c r="O114" s="157">
        <f t="shared" si="10"/>
        <v>380.80874357136901</v>
      </c>
      <c r="P114" s="154">
        <f t="shared" si="12"/>
        <v>9.8764026561354932</v>
      </c>
    </row>
    <row r="115" spans="1:16" x14ac:dyDescent="0.2">
      <c r="A115" s="155">
        <v>43586</v>
      </c>
      <c r="B115" s="156">
        <f>'[3]Soy Complex'!$BH426</f>
        <v>150</v>
      </c>
      <c r="C115" s="156">
        <f>'[3]Canola Complex'!$BH361</f>
        <v>0</v>
      </c>
      <c r="D115" s="156">
        <f>'[4]Distillers'' Corn Oil Complex'!$AB123</f>
        <v>75</v>
      </c>
      <c r="E115" s="156">
        <f>'[4]Poultry Byproduct Complex'!$AA265</f>
        <v>0</v>
      </c>
      <c r="F115" s="156">
        <f>'[4]CWG Complex'!$AA128</f>
        <v>19.751928333563626</v>
      </c>
      <c r="G115" s="156">
        <f>'[4]Inedible Tallow Complex'!$AA125</f>
        <v>75.682872309464642</v>
      </c>
      <c r="H115" s="156">
        <f>'[4]Yellow Grease Complex'!$AA126</f>
        <v>18.019406026799928</v>
      </c>
      <c r="I115" s="156">
        <f>'[4]Used Cooking Oil Complex'!$AA126</f>
        <v>22.327015588185713</v>
      </c>
      <c r="J115" s="156">
        <f t="shared" si="7"/>
        <v>150</v>
      </c>
      <c r="K115" s="156">
        <f t="shared" si="9"/>
        <v>135.78122225801391</v>
      </c>
      <c r="L115" s="156">
        <f t="shared" si="8"/>
        <v>285.78122225801394</v>
      </c>
      <c r="M115" s="157">
        <f>'[5]Renewable Diesel'!$K53/1000000</f>
        <v>40.382854999999999</v>
      </c>
      <c r="N115" s="158">
        <f t="shared" si="11"/>
        <v>7.0767958891963918</v>
      </c>
      <c r="O115" s="157">
        <f t="shared" si="10"/>
        <v>360.78122225801388</v>
      </c>
      <c r="P115" s="154">
        <f t="shared" si="12"/>
        <v>8.9340197036097102</v>
      </c>
    </row>
    <row r="116" spans="1:16" x14ac:dyDescent="0.2">
      <c r="A116" s="155">
        <v>43617</v>
      </c>
      <c r="B116" s="156">
        <f>'[3]Soy Complex'!$BH427</f>
        <v>150</v>
      </c>
      <c r="C116" s="156">
        <f>'[3]Canola Complex'!$BH362</f>
        <v>0</v>
      </c>
      <c r="D116" s="156">
        <f>'[4]Distillers'' Corn Oil Complex'!$AB124</f>
        <v>100</v>
      </c>
      <c r="E116" s="156">
        <f>'[4]Poultry Byproduct Complex'!$AA266</f>
        <v>0</v>
      </c>
      <c r="F116" s="156">
        <f>'[4]CWG Complex'!$AA129</f>
        <v>19.932414826842177</v>
      </c>
      <c r="G116" s="156">
        <f>'[4]Inedible Tallow Complex'!$AA126</f>
        <v>76.374437000957158</v>
      </c>
      <c r="H116" s="156">
        <f>'[4]Yellow Grease Complex'!$AA127</f>
        <v>18.18406131259362</v>
      </c>
      <c r="I116" s="156">
        <f>'[4]Used Cooking Oil Complex'!$AA127</f>
        <v>22.531032364716822</v>
      </c>
      <c r="J116" s="156">
        <f t="shared" si="7"/>
        <v>150</v>
      </c>
      <c r="K116" s="156">
        <f t="shared" si="9"/>
        <v>137.02194550510978</v>
      </c>
      <c r="L116" s="156">
        <f t="shared" si="8"/>
        <v>287.02194550510978</v>
      </c>
      <c r="M116" s="157">
        <f>'[5]Renewable Diesel'!$K54/1000000</f>
        <v>39.760652</v>
      </c>
      <c r="N116" s="158">
        <f t="shared" si="11"/>
        <v>7.2187434327060274</v>
      </c>
      <c r="O116" s="157">
        <f t="shared" si="10"/>
        <v>387.02194550510978</v>
      </c>
      <c r="P116" s="154">
        <f t="shared" si="12"/>
        <v>9.7337927332054264</v>
      </c>
    </row>
    <row r="117" spans="1:16" x14ac:dyDescent="0.2">
      <c r="A117" s="155">
        <v>43647</v>
      </c>
      <c r="B117" s="156">
        <f>'[3]Soy Complex'!$BH428</f>
        <v>200</v>
      </c>
      <c r="C117" s="156">
        <f>'[3]Canola Complex'!$BH363</f>
        <v>0</v>
      </c>
      <c r="D117" s="156">
        <f>'[4]Distillers'' Corn Oil Complex'!$AB125</f>
        <v>75</v>
      </c>
      <c r="E117" s="156">
        <f>'[4]Poultry Byproduct Complex'!$AA267</f>
        <v>0</v>
      </c>
      <c r="F117" s="156">
        <f>'[4]CWG Complex'!$AA130</f>
        <v>23.023795701441198</v>
      </c>
      <c r="G117" s="156">
        <f>'[4]Inedible Tallow Complex'!$AA127</f>
        <v>88.219588524448284</v>
      </c>
      <c r="H117" s="156">
        <f>'[4]Yellow Grease Complex'!$AA128</f>
        <v>21.004284544581896</v>
      </c>
      <c r="I117" s="156">
        <f>'[4]Used Cooking Oil Complex'!$AA128</f>
        <v>26.025441002222177</v>
      </c>
      <c r="J117" s="156">
        <f t="shared" si="7"/>
        <v>200</v>
      </c>
      <c r="K117" s="156">
        <f t="shared" si="9"/>
        <v>158.27310977269357</v>
      </c>
      <c r="L117" s="156">
        <f t="shared" si="8"/>
        <v>358.2731097726936</v>
      </c>
      <c r="M117" s="157">
        <f>'[5]Renewable Diesel'!$K55/1000000</f>
        <v>46.282285000000002</v>
      </c>
      <c r="N117" s="158">
        <f t="shared" si="11"/>
        <v>7.7410419509903967</v>
      </c>
      <c r="O117" s="157">
        <f t="shared" si="10"/>
        <v>433.2731097726936</v>
      </c>
      <c r="P117" s="154">
        <f t="shared" si="12"/>
        <v>9.3615323826966108</v>
      </c>
    </row>
    <row r="118" spans="1:16" x14ac:dyDescent="0.2">
      <c r="A118" s="155">
        <v>43678</v>
      </c>
      <c r="B118" s="156">
        <f>'[3]Soy Complex'!$BH429</f>
        <v>125</v>
      </c>
      <c r="C118" s="156">
        <f>'[3]Canola Complex'!$BH364</f>
        <v>0</v>
      </c>
      <c r="D118" s="156">
        <f>'[4]Distillers'' Corn Oil Complex'!$AB126</f>
        <v>100</v>
      </c>
      <c r="E118" s="156">
        <f>'[4]Poultry Byproduct Complex'!$AA268</f>
        <v>0</v>
      </c>
      <c r="F118" s="156">
        <f>'[4]CWG Complex'!$AA131</f>
        <v>14.262558304723646</v>
      </c>
      <c r="G118" s="156">
        <f>'[4]Inedible Tallow Complex'!$AA128</f>
        <v>54.649417553245236</v>
      </c>
      <c r="H118" s="156">
        <f>'[4]Yellow Grease Complex'!$AA129</f>
        <v>13.011531063375138</v>
      </c>
      <c r="I118" s="156">
        <f>'[4]Used Cooking Oil Complex'!$AA129</f>
        <v>16.121988507616241</v>
      </c>
      <c r="J118" s="156">
        <f t="shared" si="7"/>
        <v>125</v>
      </c>
      <c r="K118" s="156">
        <f t="shared" si="9"/>
        <v>98.045495428960265</v>
      </c>
      <c r="L118" s="156">
        <f t="shared" si="8"/>
        <v>223.04549542896027</v>
      </c>
      <c r="M118" s="157">
        <f>'[5]Renewable Diesel'!$K56/1000000</f>
        <v>30.180616000000001</v>
      </c>
      <c r="N118" s="158">
        <f t="shared" si="11"/>
        <v>7.3903559632103022</v>
      </c>
      <c r="O118" s="157">
        <f t="shared" si="10"/>
        <v>323.04549542896029</v>
      </c>
      <c r="P118" s="154">
        <f t="shared" si="12"/>
        <v>10.703740951773824</v>
      </c>
    </row>
    <row r="119" spans="1:16" x14ac:dyDescent="0.2">
      <c r="A119" s="155">
        <v>43709</v>
      </c>
      <c r="B119" s="156">
        <f>'[3]Soy Complex'!$BH430</f>
        <v>175</v>
      </c>
      <c r="C119" s="156">
        <f>'[3]Canola Complex'!$BH365</f>
        <v>0</v>
      </c>
      <c r="D119" s="156">
        <f>'[4]Distillers'' Corn Oil Complex'!$AB127</f>
        <v>125</v>
      </c>
      <c r="E119" s="156">
        <f>'[4]Poultry Byproduct Complex'!$AA269</f>
        <v>0</v>
      </c>
      <c r="F119" s="156">
        <f>'[4]CWG Complex'!$AA132</f>
        <v>20.155688857931118</v>
      </c>
      <c r="G119" s="156">
        <f>'[4]Inedible Tallow Complex'!$AA129</f>
        <v>77.229949419772993</v>
      </c>
      <c r="H119" s="156">
        <f>'[4]Yellow Grease Complex'!$AA130</f>
        <v>18.387751066499593</v>
      </c>
      <c r="I119" s="156">
        <f>'[4]Used Cooking Oil Complex'!$AA130</f>
        <v>22.783414951792587</v>
      </c>
      <c r="J119" s="156">
        <f t="shared" si="7"/>
        <v>175</v>
      </c>
      <c r="K119" s="156">
        <f t="shared" si="9"/>
        <v>138.5568042959963</v>
      </c>
      <c r="L119" s="156">
        <f t="shared" si="8"/>
        <v>313.5568042959963</v>
      </c>
      <c r="M119" s="157">
        <f>'[5]Renewable Diesel'!$K57/1000000</f>
        <v>40.69238</v>
      </c>
      <c r="N119" s="158">
        <f t="shared" si="11"/>
        <v>7.7055410446868997</v>
      </c>
      <c r="O119" s="157">
        <f t="shared" si="10"/>
        <v>438.5568042959963</v>
      </c>
      <c r="P119" s="154">
        <f t="shared" si="12"/>
        <v>10.777369234633028</v>
      </c>
    </row>
    <row r="120" spans="1:16" x14ac:dyDescent="0.2">
      <c r="A120" s="155">
        <v>43739</v>
      </c>
      <c r="B120" s="156">
        <f>'[3]Soy Complex'!$BI419</f>
        <v>200</v>
      </c>
      <c r="C120" s="156">
        <f>'[3]Canola Complex'!$BI354</f>
        <v>0</v>
      </c>
      <c r="D120" s="156">
        <f>'[4]Distillers'' Corn Oil Complex'!$AB128</f>
        <v>100</v>
      </c>
      <c r="E120" s="156">
        <f>'[4]Poultry Byproduct Complex'!$AB258</f>
        <v>0</v>
      </c>
      <c r="F120" s="156">
        <f>'[4]CWG Complex'!$AB121</f>
        <v>25.387848835491077</v>
      </c>
      <c r="G120" s="156">
        <f>'[4]Inedible Tallow Complex'!$AB118</f>
        <v>97.277860124849866</v>
      </c>
      <c r="H120" s="156">
        <f>'[4]Yellow Grease Complex'!$AB119</f>
        <v>23.160976922762881</v>
      </c>
      <c r="I120" s="156">
        <f>'[4]Used Cooking Oil Complex'!$AB119</f>
        <v>9.5494481735205383</v>
      </c>
      <c r="J120" s="156">
        <f t="shared" si="7"/>
        <v>200</v>
      </c>
      <c r="K120" s="156">
        <f t="shared" si="9"/>
        <v>155.37613405662435</v>
      </c>
      <c r="L120" s="156">
        <f t="shared" si="8"/>
        <v>355.37613405662432</v>
      </c>
      <c r="M120" s="157">
        <f>'[5]Renewable Diesel'!$K58/1000000</f>
        <v>48.569223000000001</v>
      </c>
      <c r="N120" s="158">
        <f t="shared" si="11"/>
        <v>7.3168997176797399</v>
      </c>
      <c r="O120" s="157">
        <f t="shared" si="10"/>
        <v>455.37613405662432</v>
      </c>
      <c r="P120" s="154">
        <f t="shared" si="12"/>
        <v>9.3758167400912367</v>
      </c>
    </row>
    <row r="121" spans="1:16" x14ac:dyDescent="0.2">
      <c r="A121" s="155">
        <v>43770</v>
      </c>
      <c r="B121" s="156">
        <f>'[3]Soy Complex'!$BI420</f>
        <v>200</v>
      </c>
      <c r="C121" s="156">
        <f>'[3]Canola Complex'!$BI355</f>
        <v>0</v>
      </c>
      <c r="D121" s="156">
        <f>'[4]Distillers'' Corn Oil Complex'!$AB129</f>
        <v>100</v>
      </c>
      <c r="E121" s="156">
        <f>'[4]Poultry Byproduct Complex'!$AB259</f>
        <v>0</v>
      </c>
      <c r="F121" s="156">
        <f>'[4]CWG Complex'!$AB122</f>
        <v>21.368563598170429</v>
      </c>
      <c r="G121" s="156">
        <f>'[4]Inedible Tallow Complex'!$AB119</f>
        <v>81.877285241507678</v>
      </c>
      <c r="H121" s="156">
        <f>'[4]Yellow Grease Complex'!$AB120</f>
        <v>19.494239609538901</v>
      </c>
      <c r="I121" s="156">
        <f>'[4]Used Cooking Oil Complex'!$AB120</f>
        <v>8.0376242959995139</v>
      </c>
      <c r="J121" s="156">
        <f t="shared" si="7"/>
        <v>200</v>
      </c>
      <c r="K121" s="156">
        <f t="shared" si="9"/>
        <v>130.77771274521652</v>
      </c>
      <c r="L121" s="156">
        <f t="shared" si="8"/>
        <v>330.77771274521649</v>
      </c>
      <c r="M121" s="157">
        <f>'[5]Renewable Diesel'!$K59/1000000</f>
        <v>42.514597000000002</v>
      </c>
      <c r="N121" s="158">
        <f t="shared" si="11"/>
        <v>7.7803327818258863</v>
      </c>
      <c r="O121" s="157">
        <f t="shared" si="10"/>
        <v>430.77771274521649</v>
      </c>
      <c r="P121" s="154">
        <f t="shared" si="12"/>
        <v>10.132466097355138</v>
      </c>
    </row>
    <row r="122" spans="1:16" x14ac:dyDescent="0.2">
      <c r="A122" s="155">
        <v>43800</v>
      </c>
      <c r="B122" s="156">
        <f>'[3]Soy Complex'!$BI421</f>
        <v>200</v>
      </c>
      <c r="C122" s="156">
        <f>'[3]Canola Complex'!$BI356</f>
        <v>0</v>
      </c>
      <c r="D122" s="156">
        <f>'[4]Distillers'' Corn Oil Complex'!$AB130</f>
        <v>125</v>
      </c>
      <c r="E122" s="156">
        <f>'[4]Poultry Byproduct Complex'!$AB260</f>
        <v>0</v>
      </c>
      <c r="F122" s="156">
        <f>'[4]CWG Complex'!$AB123</f>
        <v>28.864079712019564</v>
      </c>
      <c r="G122" s="156">
        <f>'[4]Inedible Tallow Complex'!$AB120</f>
        <v>110.5976298761133</v>
      </c>
      <c r="H122" s="156">
        <f>'[4]Yellow Grease Complex'!$AB121</f>
        <v>26.33229339117192</v>
      </c>
      <c r="I122" s="156">
        <f>'[4]Used Cooking Oil Complex'!$AB121</f>
        <v>10.857006242331554</v>
      </c>
      <c r="J122" s="156">
        <f t="shared" si="7"/>
        <v>200</v>
      </c>
      <c r="K122" s="156">
        <f t="shared" si="9"/>
        <v>176.65100922163634</v>
      </c>
      <c r="L122" s="156">
        <f t="shared" si="8"/>
        <v>376.65100922163634</v>
      </c>
      <c r="M122" s="157">
        <f>'[5]Renewable Diesel'!$K60/1000000</f>
        <v>52.79616</v>
      </c>
      <c r="N122" s="158">
        <f t="shared" si="11"/>
        <v>7.1340606820957495</v>
      </c>
      <c r="O122" s="157">
        <f t="shared" si="10"/>
        <v>501.65100922163634</v>
      </c>
      <c r="P122" s="154">
        <f t="shared" si="12"/>
        <v>9.5016571133513565</v>
      </c>
    </row>
    <row r="123" spans="1:16" x14ac:dyDescent="0.2">
      <c r="A123" s="155">
        <v>43831</v>
      </c>
      <c r="B123" s="156">
        <f>'[3]Soy Complex'!$BI422</f>
        <v>175</v>
      </c>
      <c r="C123" s="156">
        <f>'[3]Canola Complex'!$BI357</f>
        <v>0</v>
      </c>
      <c r="D123" s="156">
        <f>'[4]Distillers'' Corn Oil Complex'!$AC119</f>
        <v>75</v>
      </c>
      <c r="E123" s="156">
        <f>'[4]Poultry Byproduct Complex'!$AB261</f>
        <v>0</v>
      </c>
      <c r="F123" s="156">
        <f>'[4]CWG Complex'!$AB124</f>
        <v>25.900736572615578</v>
      </c>
      <c r="G123" s="156">
        <f>'[4]Inedible Tallow Complex'!$AB121</f>
        <v>90.45039095069238</v>
      </c>
      <c r="H123" s="156">
        <f>'[4]Yellow Grease Complex'!$AB122</f>
        <v>19.971992887716258</v>
      </c>
      <c r="I123" s="156">
        <f>'[4]Used Cooking Oil Complex'!$AB122</f>
        <v>7.9499351862920928</v>
      </c>
      <c r="J123" s="156">
        <f t="shared" si="7"/>
        <v>175</v>
      </c>
      <c r="K123" s="156">
        <f t="shared" si="9"/>
        <v>144.2730555973163</v>
      </c>
      <c r="L123" s="156">
        <f t="shared" si="8"/>
        <v>319.27305559731633</v>
      </c>
      <c r="M123" s="157">
        <f>'[5]Renewable Diesel'!$L49/1000000</f>
        <v>41.857492000000001</v>
      </c>
      <c r="N123" s="158">
        <f t="shared" si="11"/>
        <v>7.6276202978744241</v>
      </c>
      <c r="O123" s="157">
        <f t="shared" si="10"/>
        <v>394.27305559731633</v>
      </c>
      <c r="P123" s="154">
        <f t="shared" si="12"/>
        <v>9.4194142257093745</v>
      </c>
    </row>
    <row r="124" spans="1:16" x14ac:dyDescent="0.2">
      <c r="A124" s="155">
        <v>43862</v>
      </c>
      <c r="B124" s="156">
        <f>'[3]Soy Complex'!$BI423</f>
        <v>150</v>
      </c>
      <c r="C124" s="156">
        <f>'[3]Canola Complex'!$BI358</f>
        <v>0</v>
      </c>
      <c r="D124" s="156">
        <f>'[4]Distillers'' Corn Oil Complex'!$AC120</f>
        <v>100</v>
      </c>
      <c r="E124" s="156">
        <f>'[4]Poultry Byproduct Complex'!$AB262</f>
        <v>0</v>
      </c>
      <c r="F124" s="156">
        <f>'[4]CWG Complex'!$AB125</f>
        <v>23.215910035985935</v>
      </c>
      <c r="G124" s="156">
        <f>'[4]Inedible Tallow Complex'!$AB122</f>
        <v>81.074456440409037</v>
      </c>
      <c r="H124" s="156">
        <f>'[4]Yellow Grease Complex'!$AB123</f>
        <v>16.457847927105902</v>
      </c>
      <c r="I124" s="156">
        <f>'[4]Used Cooking Oil Complex'!$AB123</f>
        <v>7.125858353851366</v>
      </c>
      <c r="J124" s="156">
        <f t="shared" si="7"/>
        <v>150</v>
      </c>
      <c r="K124" s="156">
        <f t="shared" si="9"/>
        <v>127.87407275735225</v>
      </c>
      <c r="L124" s="156">
        <f t="shared" si="8"/>
        <v>277.87407275735222</v>
      </c>
      <c r="M124" s="157">
        <f>'[5]Renewable Diesel'!$L50/1000000</f>
        <v>37.300666</v>
      </c>
      <c r="N124" s="158">
        <f t="shared" si="11"/>
        <v>7.4495740305910951</v>
      </c>
      <c r="O124" s="157">
        <f t="shared" si="10"/>
        <v>377.87407275735222</v>
      </c>
      <c r="P124" s="154">
        <f t="shared" si="12"/>
        <v>10.130491309655227</v>
      </c>
    </row>
    <row r="125" spans="1:16" x14ac:dyDescent="0.2">
      <c r="A125" s="155">
        <v>43891</v>
      </c>
      <c r="B125" s="156">
        <f>'[3]Soy Complex'!$BI424</f>
        <v>165</v>
      </c>
      <c r="C125" s="156">
        <f>'[3]Canola Complex'!$BI359</f>
        <v>0</v>
      </c>
      <c r="D125" s="156">
        <f>'[4]Distillers'' Corn Oil Complex'!$AC121</f>
        <v>125</v>
      </c>
      <c r="E125" s="156">
        <f>'[4]Poultry Byproduct Complex'!$AB263</f>
        <v>0</v>
      </c>
      <c r="F125" s="156">
        <f>'[4]CWG Complex'!$AB126</f>
        <v>28.684863038102449</v>
      </c>
      <c r="G125" s="156">
        <f>'[4]Inedible Tallow Complex'!$AB123</f>
        <v>100.17310005409709</v>
      </c>
      <c r="H125" s="156">
        <f>'[4]Yellow Grease Complex'!$AB124</f>
        <v>20.334809747245913</v>
      </c>
      <c r="I125" s="156">
        <f>'[4]Used Cooking Oil Complex'!$AB124</f>
        <v>8.8044909974369627</v>
      </c>
      <c r="J125" s="156">
        <f t="shared" si="7"/>
        <v>165</v>
      </c>
      <c r="K125" s="156">
        <f t="shared" si="9"/>
        <v>157.99726383688244</v>
      </c>
      <c r="L125" s="156">
        <f t="shared" si="8"/>
        <v>322.99726383688244</v>
      </c>
      <c r="M125" s="157">
        <f>'[5]Renewable Diesel'!$L51/1000000</f>
        <v>45.226785</v>
      </c>
      <c r="N125" s="158">
        <f t="shared" si="11"/>
        <v>7.141725060423429</v>
      </c>
      <c r="O125" s="157">
        <f t="shared" si="10"/>
        <v>447.99726383688238</v>
      </c>
      <c r="P125" s="154">
        <f t="shared" si="12"/>
        <v>9.9055739610251408</v>
      </c>
    </row>
    <row r="126" spans="1:16" x14ac:dyDescent="0.2">
      <c r="A126" s="155">
        <v>43922</v>
      </c>
      <c r="B126" s="156">
        <f>'[3]Soy Complex'!$BI425</f>
        <v>145</v>
      </c>
      <c r="C126" s="156">
        <f>'[3]Canola Complex'!$BI360</f>
        <v>0</v>
      </c>
      <c r="D126" s="156">
        <f>'[4]Distillers'' Corn Oil Complex'!$AC122</f>
        <v>100</v>
      </c>
      <c r="E126" s="156">
        <f>'[4]Poultry Byproduct Complex'!$AB264</f>
        <v>0</v>
      </c>
      <c r="F126" s="156">
        <f>'[4]CWG Complex'!$AB127</f>
        <v>25.16029240774435</v>
      </c>
      <c r="G126" s="156">
        <f>'[4]Inedible Tallow Complex'!$AB124</f>
        <v>87.864616449569837</v>
      </c>
      <c r="H126" s="156">
        <f>'[4]Yellow Grease Complex'!$AB125</f>
        <v>17.836228069729785</v>
      </c>
      <c r="I126" s="156">
        <f>'[4]Used Cooking Oil Complex'!$AB125</f>
        <v>7.7226643091380387</v>
      </c>
      <c r="J126" s="156">
        <f t="shared" si="7"/>
        <v>145</v>
      </c>
      <c r="K126" s="156">
        <f t="shared" si="9"/>
        <v>138.58380123618198</v>
      </c>
      <c r="L126" s="156">
        <f t="shared" si="8"/>
        <v>283.58380123618201</v>
      </c>
      <c r="M126" s="157">
        <f>'[5]Renewable Diesel'!$L52/1000000</f>
        <v>38.638855999999997</v>
      </c>
      <c r="N126" s="158">
        <f t="shared" si="11"/>
        <v>7.3393425839569897</v>
      </c>
      <c r="O126" s="157">
        <f t="shared" si="10"/>
        <v>383.58380123618201</v>
      </c>
      <c r="P126" s="154">
        <f t="shared" si="12"/>
        <v>9.9274109263530477</v>
      </c>
    </row>
    <row r="127" spans="1:16" x14ac:dyDescent="0.2">
      <c r="A127" s="155">
        <v>43952</v>
      </c>
      <c r="B127" s="156">
        <f>'[3]Soy Complex'!$BI426</f>
        <v>175</v>
      </c>
      <c r="C127" s="156">
        <f>'[3]Canola Complex'!$BI361</f>
        <v>0</v>
      </c>
      <c r="D127" s="156">
        <f>'[4]Distillers'' Corn Oil Complex'!$AC123</f>
        <v>75</v>
      </c>
      <c r="E127" s="156">
        <f>'[4]Poultry Byproduct Complex'!$AB265</f>
        <v>0</v>
      </c>
      <c r="F127" s="156">
        <f>'[4]CWG Complex'!$AB128</f>
        <v>28.835399167106448</v>
      </c>
      <c r="G127" s="156">
        <f>'[4]Inedible Tallow Complex'!$AB125</f>
        <v>100.69880138627509</v>
      </c>
      <c r="H127" s="156">
        <f>'[4]Yellow Grease Complex'!$AB126</f>
        <v>20.441525388150914</v>
      </c>
      <c r="I127" s="156">
        <f>'[4]Used Cooking Oil Complex'!$AB126</f>
        <v>8.8506963424248113</v>
      </c>
      <c r="J127" s="156">
        <f t="shared" si="7"/>
        <v>175</v>
      </c>
      <c r="K127" s="156">
        <f t="shared" si="9"/>
        <v>158.82642228395727</v>
      </c>
      <c r="L127" s="156">
        <f t="shared" si="8"/>
        <v>333.8264222839573</v>
      </c>
      <c r="M127" s="157">
        <f>'[5]Renewable Diesel'!$L53/1000000</f>
        <v>46.421171000000001</v>
      </c>
      <c r="N127" s="158">
        <f t="shared" si="11"/>
        <v>7.1912537984868434</v>
      </c>
      <c r="O127" s="157">
        <f t="shared" si="10"/>
        <v>408.8264222839573</v>
      </c>
      <c r="P127" s="154">
        <f t="shared" si="12"/>
        <v>8.8068959372859705</v>
      </c>
    </row>
    <row r="128" spans="1:16" x14ac:dyDescent="0.2">
      <c r="A128" s="155">
        <v>43983</v>
      </c>
      <c r="B128" s="156">
        <f>'[3]Soy Complex'!$BI427</f>
        <v>180</v>
      </c>
      <c r="C128" s="156">
        <f>'[3]Canola Complex'!$BI362</f>
        <v>0</v>
      </c>
      <c r="D128" s="156">
        <f>'[4]Distillers'' Corn Oil Complex'!$AC124</f>
        <v>100</v>
      </c>
      <c r="E128" s="156">
        <f>'[4]Poultry Byproduct Complex'!$AB266</f>
        <v>0</v>
      </c>
      <c r="F128" s="156">
        <f>'[4]CWG Complex'!$AB129</f>
        <v>36.601617799564529</v>
      </c>
      <c r="G128" s="156">
        <f>'[4]Inedible Tallow Complex'!$AB126</f>
        <v>127.8199417270128</v>
      </c>
      <c r="H128" s="156">
        <f>'[4]Yellow Grease Complex'!$AB127</f>
        <v>25.947027650329339</v>
      </c>
      <c r="I128" s="156">
        <f>'[4]Used Cooking Oil Complex'!$AB127</f>
        <v>11.234448425981132</v>
      </c>
      <c r="J128" s="156">
        <f t="shared" si="7"/>
        <v>180</v>
      </c>
      <c r="K128" s="156">
        <f t="shared" si="9"/>
        <v>201.60303560288781</v>
      </c>
      <c r="L128" s="156">
        <f t="shared" si="8"/>
        <v>381.60303560288781</v>
      </c>
      <c r="M128" s="157">
        <f>'[5]Renewable Diesel'!$L54/1000000</f>
        <v>53.207935999999997</v>
      </c>
      <c r="N128" s="158">
        <f t="shared" si="11"/>
        <v>7.1719195347642843</v>
      </c>
      <c r="O128" s="157">
        <f t="shared" si="10"/>
        <v>481.60303560288781</v>
      </c>
      <c r="P128" s="154">
        <f t="shared" si="12"/>
        <v>9.0513384244577324</v>
      </c>
    </row>
    <row r="129" spans="1:16" x14ac:dyDescent="0.2">
      <c r="A129" s="155">
        <v>44013</v>
      </c>
      <c r="B129" s="156">
        <f>'[3]Soy Complex'!$BI428</f>
        <v>190</v>
      </c>
      <c r="C129" s="156">
        <f>'[3]Canola Complex'!$BI363</f>
        <v>0</v>
      </c>
      <c r="D129" s="156">
        <f>'[4]Distillers'' Corn Oil Complex'!$AC125</f>
        <v>100</v>
      </c>
      <c r="E129" s="156">
        <f>'[4]Poultry Byproduct Complex'!$AB267</f>
        <v>0</v>
      </c>
      <c r="F129" s="156">
        <f>'[4]CWG Complex'!$AB130</f>
        <v>27.720550684861088</v>
      </c>
      <c r="G129" s="156">
        <f>'[4]Inedible Tallow Complex'!$AB127</f>
        <v>96.80553445978569</v>
      </c>
      <c r="H129" s="156">
        <f>'[4]Yellow Grease Complex'!$AB128</f>
        <v>19.651205010697758</v>
      </c>
      <c r="I129" s="156">
        <f>'[4]Used Cooking Oil Complex'!$AB128</f>
        <v>8.508506337459572</v>
      </c>
      <c r="J129" s="156">
        <f t="shared" si="7"/>
        <v>190</v>
      </c>
      <c r="K129" s="156">
        <f t="shared" si="9"/>
        <v>152.68579649280412</v>
      </c>
      <c r="L129" s="156">
        <f t="shared" si="8"/>
        <v>342.68579649280412</v>
      </c>
      <c r="M129" s="157">
        <f>'[5]Renewable Diesel'!$L55/1000000</f>
        <v>46.684398999999999</v>
      </c>
      <c r="N129" s="158">
        <f t="shared" si="11"/>
        <v>7.3404778434183999</v>
      </c>
      <c r="O129" s="157">
        <f t="shared" si="10"/>
        <v>442.68579649280412</v>
      </c>
      <c r="P129" s="154">
        <f t="shared" si="12"/>
        <v>9.4825210557557806</v>
      </c>
    </row>
    <row r="130" spans="1:16" x14ac:dyDescent="0.2">
      <c r="A130" s="155">
        <v>44044</v>
      </c>
      <c r="B130" s="156">
        <f>'[3]Soy Complex'!$BI429</f>
        <v>200</v>
      </c>
      <c r="C130" s="156">
        <f>'[3]Canola Complex'!$BI364</f>
        <v>0</v>
      </c>
      <c r="D130" s="156">
        <f>'[4]Distillers'' Corn Oil Complex'!$AC126</f>
        <v>100</v>
      </c>
      <c r="E130" s="156">
        <f>'[4]Poultry Byproduct Complex'!$AB268</f>
        <v>0</v>
      </c>
      <c r="F130" s="156">
        <f>'[4]CWG Complex'!$AB131</f>
        <v>22.982761827727906</v>
      </c>
      <c r="G130" s="156">
        <f>'[4]Inedible Tallow Complex'!$AB128</f>
        <v>80.260257719563043</v>
      </c>
      <c r="H130" s="156">
        <f>'[4]Yellow Grease Complex'!$AB129</f>
        <v>16.292568265441115</v>
      </c>
      <c r="I130" s="156">
        <f>'[4]Used Cooking Oil Complex'!$AB129</f>
        <v>7.0542961749436364</v>
      </c>
      <c r="J130" s="156">
        <f t="shared" si="7"/>
        <v>200</v>
      </c>
      <c r="K130" s="156">
        <f t="shared" si="9"/>
        <v>126.58988398767569</v>
      </c>
      <c r="L130" s="156">
        <f t="shared" si="8"/>
        <v>326.58988398767571</v>
      </c>
      <c r="M130" s="157">
        <f>'[5]Renewable Diesel'!$L56/1000000</f>
        <v>43.952654000000003</v>
      </c>
      <c r="N130" s="158">
        <f t="shared" si="11"/>
        <v>7.4304929114786944</v>
      </c>
      <c r="O130" s="157">
        <f t="shared" si="10"/>
        <v>426.58988398767565</v>
      </c>
      <c r="P130" s="154">
        <f t="shared" si="12"/>
        <v>9.7056683764233131</v>
      </c>
    </row>
    <row r="131" spans="1:16" x14ac:dyDescent="0.2">
      <c r="A131" s="155">
        <v>44075</v>
      </c>
      <c r="B131" s="156">
        <f>'[3]Soy Complex'!$BI430</f>
        <v>225</v>
      </c>
      <c r="C131" s="156">
        <f>'[3]Canola Complex'!$BI365</f>
        <v>0</v>
      </c>
      <c r="D131" s="156">
        <f>'[4]Distillers'' Corn Oil Complex'!$AC127</f>
        <v>100</v>
      </c>
      <c r="E131" s="156">
        <f>'[4]Poultry Byproduct Complex'!$AB269</f>
        <v>0</v>
      </c>
      <c r="F131" s="156">
        <f>'[4]CWG Complex'!$AB132</f>
        <v>23.767852162619732</v>
      </c>
      <c r="G131" s="156">
        <f>'[4]Inedible Tallow Complex'!$AB129</f>
        <v>83.001945297577933</v>
      </c>
      <c r="H131" s="156">
        <f>'[4]Yellow Grease Complex'!$AB130</f>
        <v>16.849121823783744</v>
      </c>
      <c r="I131" s="156">
        <f>'[4]Used Cooking Oil Complex'!$AB130</f>
        <v>7.2952706839224026</v>
      </c>
      <c r="J131" s="156">
        <f t="shared" ref="J131:J194" si="13">C131+B131</f>
        <v>225</v>
      </c>
      <c r="K131" s="156">
        <f t="shared" si="9"/>
        <v>130.91418996790381</v>
      </c>
      <c r="L131" s="156">
        <f t="shared" ref="L131:L183" si="14">K131+J131</f>
        <v>355.91418996790378</v>
      </c>
      <c r="M131" s="157">
        <f>'[5]Renewable Diesel'!$L57/1000000</f>
        <v>48.112771000000002</v>
      </c>
      <c r="N131" s="158">
        <f t="shared" si="11"/>
        <v>7.3974993036236425</v>
      </c>
      <c r="O131" s="157">
        <f t="shared" si="10"/>
        <v>455.91418996790378</v>
      </c>
      <c r="P131" s="154">
        <f t="shared" si="12"/>
        <v>9.4759495346444247</v>
      </c>
    </row>
    <row r="132" spans="1:16" x14ac:dyDescent="0.2">
      <c r="A132" s="155">
        <v>44105</v>
      </c>
      <c r="B132" s="156">
        <f>'[3]Soy Complex'!$BJ419</f>
        <v>125</v>
      </c>
      <c r="C132" s="156">
        <f>'[3]Canola Complex'!$BJ354</f>
        <v>0</v>
      </c>
      <c r="D132" s="156">
        <f>'[4]Distillers'' Corn Oil Complex'!$AC128</f>
        <v>100</v>
      </c>
      <c r="E132" s="156">
        <f>'[4]Poultry Byproduct Complex'!$AC258</f>
        <v>0</v>
      </c>
      <c r="F132" s="156">
        <f>'[4]CWG Complex'!$AC121</f>
        <v>11.082834073754878</v>
      </c>
      <c r="G132" s="156">
        <f>'[4]Inedible Tallow Complex'!$AC118</f>
        <v>37.752600706340999</v>
      </c>
      <c r="H132" s="156">
        <f>'[4]Yellow Grease Complex'!$AC119</f>
        <v>14.749481696811479</v>
      </c>
      <c r="I132" s="156">
        <f>'[4]Used Cooking Oil Complex'!$AC119</f>
        <v>9.8972166087740145</v>
      </c>
      <c r="J132" s="156">
        <f t="shared" si="13"/>
        <v>125</v>
      </c>
      <c r="K132" s="156">
        <f t="shared" ref="K132:K195" si="15">SUM(E132:I132)</f>
        <v>73.482133085681369</v>
      </c>
      <c r="L132" s="156">
        <f t="shared" si="14"/>
        <v>198.48213308568137</v>
      </c>
      <c r="M132" s="157">
        <f>'[5]Renewable Diesel'!$L58/1000000</f>
        <v>25.237496</v>
      </c>
      <c r="N132" s="158">
        <f t="shared" si="11"/>
        <v>7.8645731369578566</v>
      </c>
      <c r="O132" s="157">
        <f t="shared" si="10"/>
        <v>298.48213308568137</v>
      </c>
      <c r="P132" s="154">
        <f t="shared" si="12"/>
        <v>11.826931367742718</v>
      </c>
    </row>
    <row r="133" spans="1:16" x14ac:dyDescent="0.2">
      <c r="A133" s="155">
        <v>44136</v>
      </c>
      <c r="B133" s="156">
        <f>'[3]Soy Complex'!$BJ420</f>
        <v>225</v>
      </c>
      <c r="C133" s="156">
        <f>'[3]Canola Complex'!$BJ355</f>
        <v>0</v>
      </c>
      <c r="D133" s="156">
        <f>'[4]Distillers'' Corn Oil Complex'!$AC129</f>
        <v>125</v>
      </c>
      <c r="E133" s="156">
        <f>'[4]Poultry Byproduct Complex'!$AC259</f>
        <v>0</v>
      </c>
      <c r="F133" s="156">
        <f>'[4]CWG Complex'!$AC122</f>
        <v>22.77617867596371</v>
      </c>
      <c r="G133" s="156">
        <f>'[4]Inedible Tallow Complex'!$AC119</f>
        <v>77.58484638926069</v>
      </c>
      <c r="H133" s="156">
        <f>'[4]Yellow Grease Complex'!$AC120</f>
        <v>30.311455379446894</v>
      </c>
      <c r="I133" s="156">
        <f>'[4]Used Cooking Oil Complex'!$AC120</f>
        <v>20.339632658578616</v>
      </c>
      <c r="J133" s="156">
        <f t="shared" si="13"/>
        <v>225</v>
      </c>
      <c r="K133" s="156">
        <f t="shared" si="15"/>
        <v>151.0121131032499</v>
      </c>
      <c r="L133" s="156">
        <f t="shared" si="14"/>
        <v>376.01211310324993</v>
      </c>
      <c r="M133" s="157">
        <f>'[5]Renewable Diesel'!$L59/1000000</f>
        <v>49.060129000000003</v>
      </c>
      <c r="N133" s="158">
        <f t="shared" si="11"/>
        <v>7.6643115451907988</v>
      </c>
      <c r="O133" s="157">
        <f t="shared" si="10"/>
        <v>501.01211310324993</v>
      </c>
      <c r="P133" s="154">
        <f t="shared" si="12"/>
        <v>10.212205375637106</v>
      </c>
    </row>
    <row r="134" spans="1:16" x14ac:dyDescent="0.2">
      <c r="A134" s="155">
        <v>44166</v>
      </c>
      <c r="B134" s="156">
        <f>'[3]Soy Complex'!$BJ421</f>
        <v>275</v>
      </c>
      <c r="C134" s="156">
        <f>'[3]Canola Complex'!$BJ356</f>
        <v>0</v>
      </c>
      <c r="D134" s="156">
        <f>'[4]Distillers'' Corn Oil Complex'!$AC130</f>
        <v>100</v>
      </c>
      <c r="E134" s="156">
        <f>'[4]Poultry Byproduct Complex'!$AC260</f>
        <v>0</v>
      </c>
      <c r="F134" s="156">
        <f>'[4]CWG Complex'!$AC123</f>
        <v>26.237467198707179</v>
      </c>
      <c r="G134" s="156">
        <f>'[4]Inedible Tallow Complex'!$AC120</f>
        <v>89.375390455784185</v>
      </c>
      <c r="H134" s="156">
        <f>'[4]Yellow Grease Complex'!$AC121</f>
        <v>30.838368458826825</v>
      </c>
      <c r="I134" s="156">
        <f>'[4]Used Cooking Oil Complex'!$AC121</f>
        <v>23.43064006941583</v>
      </c>
      <c r="J134" s="156">
        <f t="shared" si="13"/>
        <v>275</v>
      </c>
      <c r="K134" s="156">
        <f t="shared" si="15"/>
        <v>169.88186618273403</v>
      </c>
      <c r="L134" s="156">
        <f t="shared" si="14"/>
        <v>444.88186618273403</v>
      </c>
      <c r="M134" s="157">
        <f>'[5]Renewable Diesel'!$L60/1000000</f>
        <v>57.807991999999999</v>
      </c>
      <c r="N134" s="158">
        <f t="shared" si="11"/>
        <v>7.695853995114275</v>
      </c>
      <c r="O134" s="157">
        <f t="shared" si="10"/>
        <v>544.88186618273403</v>
      </c>
      <c r="P134" s="154">
        <f t="shared" si="12"/>
        <v>9.4257186131414841</v>
      </c>
    </row>
    <row r="135" spans="1:16" x14ac:dyDescent="0.2">
      <c r="A135" s="155">
        <v>44197</v>
      </c>
      <c r="B135" s="156">
        <f>'[3]Soy Complex'!$BJ422</f>
        <v>175</v>
      </c>
      <c r="C135" s="156">
        <f>'[3]Canola Complex'!$BJ357</f>
        <v>0</v>
      </c>
      <c r="D135" s="156">
        <f>'[4]Distillers'' Corn Oil Complex'!$AD119</f>
        <v>100</v>
      </c>
      <c r="E135" s="156">
        <f>'[4]Poultry Byproduct Complex'!$AC261</f>
        <v>0</v>
      </c>
      <c r="F135" s="156">
        <f>'[4]CWG Complex'!$AC124</f>
        <v>5.9888459600141681</v>
      </c>
      <c r="G135" s="156">
        <f>'[4]Inedible Tallow Complex'!$AC121</f>
        <v>51.040208645626954</v>
      </c>
      <c r="H135" s="156">
        <f>'[4]Yellow Grease Complex'!$AC122</f>
        <v>20.786729519783734</v>
      </c>
      <c r="I135" s="156">
        <f>'[4]Used Cooking Oil Complex'!$AC122</f>
        <v>21.966176319188886</v>
      </c>
      <c r="J135" s="156">
        <f t="shared" si="13"/>
        <v>175</v>
      </c>
      <c r="K135" s="156">
        <f t="shared" si="15"/>
        <v>99.781960444613745</v>
      </c>
      <c r="L135" s="156">
        <f t="shared" si="14"/>
        <v>274.78196044461373</v>
      </c>
      <c r="M135" s="157">
        <f>'[5]Renewable Diesel'!$M49/1000000</f>
        <v>50.374630000000003</v>
      </c>
      <c r="N135" s="158">
        <f t="shared" si="11"/>
        <v>5.4547688081205505</v>
      </c>
      <c r="O135" s="157">
        <f t="shared" si="10"/>
        <v>374.78196044461379</v>
      </c>
      <c r="P135" s="154">
        <f t="shared" si="12"/>
        <v>7.439895051231419</v>
      </c>
    </row>
    <row r="136" spans="1:16" x14ac:dyDescent="0.2">
      <c r="A136" s="155">
        <v>44228</v>
      </c>
      <c r="B136" s="156">
        <f>'[3]Soy Complex'!$BJ423</f>
        <v>225</v>
      </c>
      <c r="C136" s="156">
        <f>'[3]Canola Complex'!$BJ358</f>
        <v>0</v>
      </c>
      <c r="D136" s="156">
        <f>'[4]Distillers'' Corn Oil Complex'!$AD120</f>
        <v>100</v>
      </c>
      <c r="E136" s="156">
        <f>'[4]Poultry Byproduct Complex'!$AC262</f>
        <v>0</v>
      </c>
      <c r="F136" s="156">
        <f>'[4]CWG Complex'!$AC125</f>
        <v>26.825504507983858</v>
      </c>
      <c r="G136" s="156">
        <f>'[4]Inedible Tallow Complex'!$AC122</f>
        <v>58.726461272240613</v>
      </c>
      <c r="H136" s="156">
        <f>'[4]Yellow Grease Complex'!$AC123</f>
        <v>10.984261722250752</v>
      </c>
      <c r="I136" s="156">
        <f>'[4]Used Cooking Oil Complex'!$AC123</f>
        <v>25.321986377236524</v>
      </c>
      <c r="J136" s="156">
        <f t="shared" si="13"/>
        <v>225</v>
      </c>
      <c r="K136" s="156">
        <f t="shared" si="15"/>
        <v>121.85821387971174</v>
      </c>
      <c r="L136" s="156">
        <f t="shared" si="14"/>
        <v>346.85821387971174</v>
      </c>
      <c r="M136" s="157">
        <f>'[5]Renewable Diesel'!$M50/1000000</f>
        <v>51.175710000000002</v>
      </c>
      <c r="N136" s="158">
        <f t="shared" si="11"/>
        <v>6.7777899687119483</v>
      </c>
      <c r="O136" s="157">
        <f t="shared" si="10"/>
        <v>446.85821387971174</v>
      </c>
      <c r="P136" s="154">
        <f t="shared" si="12"/>
        <v>8.7318419984737243</v>
      </c>
    </row>
    <row r="137" spans="1:16" x14ac:dyDescent="0.2">
      <c r="A137" s="155">
        <v>44256</v>
      </c>
      <c r="B137" s="156">
        <f>'[3]Soy Complex'!$BJ424</f>
        <v>225</v>
      </c>
      <c r="C137" s="156">
        <f>'[3]Canola Complex'!$BJ359</f>
        <v>0</v>
      </c>
      <c r="D137" s="156">
        <f>'[4]Distillers'' Corn Oil Complex'!$AD121</f>
        <v>150</v>
      </c>
      <c r="E137" s="156">
        <f>'[4]Poultry Byproduct Complex'!$AC263</f>
        <v>0</v>
      </c>
      <c r="F137" s="156">
        <f>'[4]CWG Complex'!$AC126</f>
        <v>31.65318283519581</v>
      </c>
      <c r="G137" s="156">
        <f>'[4]Inedible Tallow Complex'!$AC123</f>
        <v>69.295226688505878</v>
      </c>
      <c r="H137" s="156">
        <f>'[4]Yellow Grease Complex'!$AC124</f>
        <v>22.026843396563571</v>
      </c>
      <c r="I137" s="156">
        <f>'[4]Used Cooking Oil Complex'!$AC124</f>
        <v>24.753179279303193</v>
      </c>
      <c r="J137" s="156">
        <f t="shared" si="13"/>
        <v>225</v>
      </c>
      <c r="K137" s="156">
        <f t="shared" si="15"/>
        <v>147.72843219956846</v>
      </c>
      <c r="L137" s="156">
        <f t="shared" si="14"/>
        <v>372.72843219956849</v>
      </c>
      <c r="M137" s="157">
        <f>'[5]Renewable Diesel'!$M51/1000000</f>
        <v>59.222033000000003</v>
      </c>
      <c r="N137" s="158">
        <f t="shared" si="11"/>
        <v>6.2937459813236822</v>
      </c>
      <c r="O137" s="157">
        <f t="shared" si="10"/>
        <v>522.72843219956849</v>
      </c>
      <c r="P137" s="154">
        <f t="shared" si="12"/>
        <v>8.8265870946978211</v>
      </c>
    </row>
    <row r="138" spans="1:16" x14ac:dyDescent="0.2">
      <c r="A138" s="155">
        <v>44287</v>
      </c>
      <c r="B138" s="156">
        <f>'[3]Soy Complex'!$BJ425</f>
        <v>150</v>
      </c>
      <c r="C138" s="156">
        <f>'[3]Canola Complex'!$BJ360</f>
        <v>0</v>
      </c>
      <c r="D138" s="156">
        <f>'[4]Distillers'' Corn Oil Complex'!$AD122</f>
        <v>150</v>
      </c>
      <c r="E138" s="156">
        <f>'[4]Poultry Byproduct Complex'!$AC264</f>
        <v>0</v>
      </c>
      <c r="F138" s="156">
        <f>'[4]CWG Complex'!$AC127</f>
        <v>42.184652289280749</v>
      </c>
      <c r="G138" s="156">
        <f>'[4]Inedible Tallow Complex'!$AC124</f>
        <v>72.128994248112278</v>
      </c>
      <c r="H138" s="156">
        <f>'[4]Yellow Grease Complex'!$AC125</f>
        <v>22.927611851197486</v>
      </c>
      <c r="I138" s="156">
        <f>'[4]Used Cooking Oil Complex'!$AC125</f>
        <v>39.408998466586418</v>
      </c>
      <c r="J138" s="156">
        <f t="shared" si="13"/>
        <v>150</v>
      </c>
      <c r="K138" s="156">
        <f t="shared" si="15"/>
        <v>176.65025685517693</v>
      </c>
      <c r="L138" s="156">
        <f t="shared" si="14"/>
        <v>326.65025685517696</v>
      </c>
      <c r="M138" s="157">
        <f>'[5]Renewable Diesel'!$M52/1000000</f>
        <v>50.634433000000001</v>
      </c>
      <c r="N138" s="158">
        <f t="shared" si="11"/>
        <v>6.4511487045816622</v>
      </c>
      <c r="O138" s="157">
        <f t="shared" si="10"/>
        <v>476.65025685517691</v>
      </c>
      <c r="P138" s="154">
        <f t="shared" si="12"/>
        <v>9.4135596789476619</v>
      </c>
    </row>
    <row r="139" spans="1:16" x14ac:dyDescent="0.2">
      <c r="A139" s="155">
        <v>44317</v>
      </c>
      <c r="B139" s="156">
        <f>'[3]Soy Complex'!$BJ426</f>
        <v>175</v>
      </c>
      <c r="C139" s="156">
        <f>'[3]Canola Complex'!$BJ361</f>
        <v>0</v>
      </c>
      <c r="D139" s="156">
        <f>'[4]Distillers'' Corn Oil Complex'!$AD123</f>
        <v>100</v>
      </c>
      <c r="E139" s="156">
        <f>'[4]Poultry Byproduct Complex'!$AC265</f>
        <v>0</v>
      </c>
      <c r="F139" s="156">
        <f>'[4]CWG Complex'!$AC128</f>
        <v>39.677181664278109</v>
      </c>
      <c r="G139" s="156">
        <f>'[4]Inedible Tallow Complex'!$AC125</f>
        <v>103.07605204529671</v>
      </c>
      <c r="H139" s="156">
        <f>'[4]Yellow Grease Complex'!$AC126</f>
        <v>22.214094747103474</v>
      </c>
      <c r="I139" s="156">
        <f>'[4]Used Cooking Oil Complex'!$AC126</f>
        <v>28.970590945231024</v>
      </c>
      <c r="J139" s="156">
        <f t="shared" si="13"/>
        <v>175</v>
      </c>
      <c r="K139" s="156">
        <f t="shared" si="15"/>
        <v>193.93791940190931</v>
      </c>
      <c r="L139" s="156">
        <f t="shared" si="14"/>
        <v>368.93791940190931</v>
      </c>
      <c r="M139" s="157">
        <f>'[5]Renewable Diesel'!$M53/1000000</f>
        <v>60.051437</v>
      </c>
      <c r="N139" s="158">
        <f t="shared" si="11"/>
        <v>6.1436984330934381</v>
      </c>
      <c r="O139" s="157">
        <f t="shared" si="10"/>
        <v>468.93791940190931</v>
      </c>
      <c r="P139" s="154">
        <f t="shared" si="12"/>
        <v>7.8089375180465588</v>
      </c>
    </row>
    <row r="140" spans="1:16" x14ac:dyDescent="0.2">
      <c r="A140" s="155">
        <v>44348</v>
      </c>
      <c r="B140" s="156">
        <f>'[3]Soy Complex'!$BJ427</f>
        <v>225</v>
      </c>
      <c r="C140" s="156">
        <f>'[3]Canola Complex'!$BJ362</f>
        <v>0</v>
      </c>
      <c r="D140" s="156">
        <f>'[4]Distillers'' Corn Oil Complex'!$AD124</f>
        <v>100</v>
      </c>
      <c r="E140" s="156">
        <f>'[4]Poultry Byproduct Complex'!$AC266</f>
        <v>0</v>
      </c>
      <c r="F140" s="156">
        <f>'[4]CWG Complex'!$AC129</f>
        <v>42.205418999045385</v>
      </c>
      <c r="G140" s="156">
        <f>'[4]Inedible Tallow Complex'!$AC126</f>
        <v>110.22639911128921</v>
      </c>
      <c r="H140" s="156">
        <f>'[4]Yellow Grease Complex'!$AC127</f>
        <v>25.939171000907059</v>
      </c>
      <c r="I140" s="156">
        <f>'[4]Used Cooking Oil Complex'!$AC127</f>
        <v>44.986784829291061</v>
      </c>
      <c r="J140" s="156">
        <f t="shared" si="13"/>
        <v>225</v>
      </c>
      <c r="K140" s="156">
        <f t="shared" si="15"/>
        <v>223.35777394053272</v>
      </c>
      <c r="L140" s="156">
        <f t="shared" si="14"/>
        <v>448.35777394053275</v>
      </c>
      <c r="M140" s="157">
        <f>'[5]Renewable Diesel'!$M54/1000000</f>
        <v>68.859544999999997</v>
      </c>
      <c r="N140" s="158">
        <f t="shared" si="11"/>
        <v>6.5111928047234811</v>
      </c>
      <c r="O140" s="157">
        <f t="shared" si="10"/>
        <v>548.35777394053275</v>
      </c>
      <c r="P140" s="154">
        <f t="shared" si="12"/>
        <v>7.9634243000085574</v>
      </c>
    </row>
    <row r="141" spans="1:16" x14ac:dyDescent="0.2">
      <c r="A141" s="155">
        <v>44378</v>
      </c>
      <c r="B141" s="156">
        <f>'[3]Soy Complex'!$BJ428</f>
        <v>175</v>
      </c>
      <c r="C141" s="156">
        <f>'[3]Canola Complex'!$BJ363</f>
        <v>0</v>
      </c>
      <c r="D141" s="156">
        <f>'[4]Distillers'' Corn Oil Complex'!$AD125</f>
        <v>100</v>
      </c>
      <c r="E141" s="156">
        <f>'[4]Poultry Byproduct Complex'!$AC267</f>
        <v>0</v>
      </c>
      <c r="F141" s="156">
        <f>'[4]CWG Complex'!$AC130</f>
        <v>39.386659029678334</v>
      </c>
      <c r="G141" s="156">
        <f>'[4]Inedible Tallow Complex'!$AC127</f>
        <v>112.21608377214092</v>
      </c>
      <c r="H141" s="156">
        <f>'[4]Yellow Grease Complex'!$AC128</f>
        <v>41.370437561614104</v>
      </c>
      <c r="I141" s="156">
        <f>'[4]Used Cooking Oil Complex'!$AC128</f>
        <v>58.724540258144557</v>
      </c>
      <c r="J141" s="156">
        <f t="shared" si="13"/>
        <v>175</v>
      </c>
      <c r="K141" s="156">
        <f t="shared" si="15"/>
        <v>251.6977206215779</v>
      </c>
      <c r="L141" s="156">
        <f t="shared" si="14"/>
        <v>426.6977206215779</v>
      </c>
      <c r="M141" s="157">
        <f>'[5]Renewable Diesel'!$M55/1000000</f>
        <v>69.500573000000003</v>
      </c>
      <c r="N141" s="158">
        <f t="shared" si="11"/>
        <v>6.1394849308879493</v>
      </c>
      <c r="O141" s="157">
        <f t="shared" si="10"/>
        <v>526.6977206215779</v>
      </c>
      <c r="P141" s="154">
        <f t="shared" si="12"/>
        <v>7.5783219891090381</v>
      </c>
    </row>
    <row r="142" spans="1:16" x14ac:dyDescent="0.2">
      <c r="A142" s="155">
        <v>44409</v>
      </c>
      <c r="B142" s="156">
        <f>'[3]Soy Complex'!$BJ429</f>
        <v>300</v>
      </c>
      <c r="C142" s="156">
        <f>'[3]Canola Complex'!$BJ364</f>
        <v>0</v>
      </c>
      <c r="D142" s="156">
        <f>'[4]Distillers'' Corn Oil Complex'!$AD126</f>
        <v>125</v>
      </c>
      <c r="E142" s="156">
        <f>'[4]Poultry Byproduct Complex'!$AC268</f>
        <v>0</v>
      </c>
      <c r="F142" s="156">
        <f>'[4]CWG Complex'!$AC131</f>
        <v>39.682748457597292</v>
      </c>
      <c r="G142" s="156">
        <f>'[4]Inedible Tallow Complex'!$AC128</f>
        <v>80.611634529624979</v>
      </c>
      <c r="H142" s="156">
        <f>'[4]Yellow Grease Complex'!$AC129</f>
        <v>45.632908645469719</v>
      </c>
      <c r="I142" s="156">
        <f>'[4]Used Cooking Oil Complex'!$AC129</f>
        <v>57.914400035189715</v>
      </c>
      <c r="J142" s="156">
        <f t="shared" si="13"/>
        <v>300</v>
      </c>
      <c r="K142" s="156">
        <f t="shared" si="15"/>
        <v>223.84169166788169</v>
      </c>
      <c r="L142" s="156">
        <f t="shared" si="14"/>
        <v>523.84169166788172</v>
      </c>
      <c r="M142" s="157">
        <f>'[5]Renewable Diesel'!$M56/1000000</f>
        <v>82.392520000000005</v>
      </c>
      <c r="N142" s="158">
        <f t="shared" si="11"/>
        <v>6.3578792306374616</v>
      </c>
      <c r="O142" s="157">
        <f t="shared" si="10"/>
        <v>648.84169166788172</v>
      </c>
      <c r="P142" s="154">
        <f t="shared" si="12"/>
        <v>7.8750072417724528</v>
      </c>
    </row>
    <row r="143" spans="1:16" x14ac:dyDescent="0.2">
      <c r="A143" s="155">
        <v>44440</v>
      </c>
      <c r="B143" s="156">
        <f>'[3]Soy Complex'!$BJ430</f>
        <v>200</v>
      </c>
      <c r="C143" s="156">
        <f>'[3]Canola Complex'!$BJ365</f>
        <v>0</v>
      </c>
      <c r="D143" s="156">
        <f>'[4]Distillers'' Corn Oil Complex'!$AD127</f>
        <v>150</v>
      </c>
      <c r="E143" s="156">
        <f>'[4]Poultry Byproduct Complex'!$AC269</f>
        <v>0.75551209858196278</v>
      </c>
      <c r="F143" s="156">
        <f>'[4]CWG Complex'!$AC132</f>
        <v>37.927154019818765</v>
      </c>
      <c r="G143" s="156">
        <f>'[4]Inedible Tallow Complex'!$AC129</f>
        <v>74.852014713039011</v>
      </c>
      <c r="H143" s="156">
        <f>'[4]Yellow Grease Complex'!$AC130</f>
        <v>13.049667802948235</v>
      </c>
      <c r="I143" s="156">
        <f>'[4]Used Cooking Oil Complex'!$AC130</f>
        <v>22.233589202047256</v>
      </c>
      <c r="J143" s="156">
        <f t="shared" si="13"/>
        <v>200</v>
      </c>
      <c r="K143" s="156">
        <f t="shared" si="15"/>
        <v>148.81793783643525</v>
      </c>
      <c r="L143" s="156">
        <f t="shared" si="14"/>
        <v>348.81793783643525</v>
      </c>
      <c r="M143" s="157">
        <f>'[5]Renewable Diesel'!$M57/1000000</f>
        <v>55.747506000000001</v>
      </c>
      <c r="N143" s="158">
        <f t="shared" si="11"/>
        <v>6.2571039112751565</v>
      </c>
      <c r="O143" s="157">
        <f t="shared" si="10"/>
        <v>498.81793783643525</v>
      </c>
      <c r="P143" s="154">
        <f t="shared" si="12"/>
        <v>8.9478072406761164</v>
      </c>
    </row>
    <row r="144" spans="1:16" x14ac:dyDescent="0.2">
      <c r="A144" s="155">
        <v>44470</v>
      </c>
      <c r="B144" s="156">
        <f>'[3]Soy Complex'!$BK419</f>
        <v>175</v>
      </c>
      <c r="C144" s="156">
        <f>'[3]Canola Complex'!$BK354</f>
        <v>0</v>
      </c>
      <c r="D144" s="156">
        <f>'[4]Distillers'' Corn Oil Complex'!$AD128</f>
        <v>150</v>
      </c>
      <c r="E144" s="156">
        <f>'[4]Poultry Byproduct Complex'!$AD258</f>
        <v>0.88558032126876574</v>
      </c>
      <c r="F144" s="156">
        <f>'[4]CWG Complex'!$AD121</f>
        <v>25.017622961455949</v>
      </c>
      <c r="G144" s="156">
        <f>'[4]Inedible Tallow Complex'!$AD118</f>
        <v>75</v>
      </c>
      <c r="H144" s="156">
        <f>'[4]Yellow Grease Complex'!$AD119</f>
        <v>50</v>
      </c>
      <c r="I144" s="156">
        <f>'[4]Used Cooking Oil Complex'!$AD119</f>
        <v>275</v>
      </c>
      <c r="J144" s="156">
        <f t="shared" si="13"/>
        <v>175</v>
      </c>
      <c r="K144" s="156">
        <f t="shared" si="15"/>
        <v>425.90320328272469</v>
      </c>
      <c r="L144" s="156">
        <f t="shared" si="14"/>
        <v>600.90320328272469</v>
      </c>
      <c r="M144" s="157">
        <f>'[5]Renewable Diesel'!$M58/1000000</f>
        <v>77.344973999999993</v>
      </c>
      <c r="N144" s="158">
        <f t="shared" si="11"/>
        <v>7.7691305873698369</v>
      </c>
      <c r="O144" s="157">
        <f t="shared" si="10"/>
        <v>750.90320328272469</v>
      </c>
      <c r="P144" s="154">
        <f t="shared" si="12"/>
        <v>9.7084938354588459</v>
      </c>
    </row>
    <row r="145" spans="1:16" x14ac:dyDescent="0.2">
      <c r="A145" s="155">
        <v>44501</v>
      </c>
      <c r="B145" s="156">
        <f>'[3]Soy Complex'!$BK420</f>
        <v>325</v>
      </c>
      <c r="C145" s="156">
        <f>'[3]Canola Complex'!$BK355</f>
        <v>0</v>
      </c>
      <c r="D145" s="156">
        <f>'[4]Distillers'' Corn Oil Complex'!$AD129</f>
        <v>175</v>
      </c>
      <c r="E145" s="156">
        <f>'[4]Poultry Byproduct Complex'!$AD259</f>
        <v>1.2225087193173301</v>
      </c>
      <c r="F145" s="156">
        <f>'[4]CWG Complex'!$AD122</f>
        <v>13.846146407033714</v>
      </c>
      <c r="G145" s="156">
        <f>'[4]Inedible Tallow Complex'!$AD119</f>
        <v>75</v>
      </c>
      <c r="H145" s="156">
        <f>'[4]Yellow Grease Complex'!$AD120</f>
        <v>50</v>
      </c>
      <c r="I145" s="156">
        <f>'[4]Used Cooking Oil Complex'!$AD120</f>
        <v>325</v>
      </c>
      <c r="J145" s="156">
        <f t="shared" si="13"/>
        <v>325</v>
      </c>
      <c r="K145" s="156">
        <f t="shared" si="15"/>
        <v>465.06865512635102</v>
      </c>
      <c r="L145" s="156">
        <f t="shared" si="14"/>
        <v>790.06865512635102</v>
      </c>
      <c r="M145" s="157">
        <f>'[5]Renewable Diesel'!$M59/1000000</f>
        <v>101.86108400000001</v>
      </c>
      <c r="N145" s="158">
        <f t="shared" si="11"/>
        <v>7.7563346481405109</v>
      </c>
      <c r="O145" s="157">
        <f t="shared" si="10"/>
        <v>965.06865512635102</v>
      </c>
      <c r="P145" s="154">
        <f t="shared" si="12"/>
        <v>9.4743607394395184</v>
      </c>
    </row>
    <row r="146" spans="1:16" x14ac:dyDescent="0.2">
      <c r="A146" s="155">
        <v>44531</v>
      </c>
      <c r="B146" s="156">
        <f>'[3]Soy Complex'!$BK421</f>
        <v>275</v>
      </c>
      <c r="C146" s="156">
        <f>'[3]Canola Complex'!$BK356</f>
        <v>0</v>
      </c>
      <c r="D146" s="156">
        <f>'[4]Distillers'' Corn Oil Complex'!$AD130</f>
        <v>200</v>
      </c>
      <c r="E146" s="156">
        <f>'[4]Poultry Byproduct Complex'!$AD260</f>
        <v>1.3033529114945115</v>
      </c>
      <c r="F146" s="156">
        <f>'[4]CWG Complex'!$AD123</f>
        <v>10.753734767633375</v>
      </c>
      <c r="G146" s="156">
        <f>'[4]Inedible Tallow Complex'!$AD120</f>
        <v>50</v>
      </c>
      <c r="H146" s="156">
        <f>'[4]Yellow Grease Complex'!$AD121</f>
        <v>75</v>
      </c>
      <c r="I146" s="156">
        <f>'[4]Used Cooking Oil Complex'!$AD121</f>
        <v>475</v>
      </c>
      <c r="J146" s="156">
        <f t="shared" si="13"/>
        <v>275</v>
      </c>
      <c r="K146" s="156">
        <f t="shared" si="15"/>
        <v>612.0570876791279</v>
      </c>
      <c r="L146" s="156">
        <f t="shared" si="14"/>
        <v>887.0570876791279</v>
      </c>
      <c r="M146" s="157">
        <f>'[5]Renewable Diesel'!$M60/1000000</f>
        <v>118.27046199999999</v>
      </c>
      <c r="N146" s="158">
        <f t="shared" si="11"/>
        <v>7.5002420103772653</v>
      </c>
      <c r="O146" s="157">
        <f t="shared" si="10"/>
        <v>1087.057087679128</v>
      </c>
      <c r="P146" s="154">
        <f t="shared" si="12"/>
        <v>9.1912813165397811</v>
      </c>
    </row>
    <row r="147" spans="1:16" x14ac:dyDescent="0.2">
      <c r="A147" s="155">
        <v>44562</v>
      </c>
      <c r="B147" s="156">
        <f>'[3]Soy Complex'!$BK422</f>
        <v>125</v>
      </c>
      <c r="C147" s="156">
        <f>'[3]Canola Complex'!$BK357</f>
        <v>0</v>
      </c>
      <c r="D147" s="156">
        <f>'[4]Distillers'' Corn Oil Complex'!$AE119</f>
        <v>175</v>
      </c>
      <c r="E147" s="156">
        <f>'[4]Poultry Byproduct Complex'!$AD261</f>
        <v>0.82414040175265846</v>
      </c>
      <c r="F147" s="156">
        <f>'[4]CWG Complex'!$AD124</f>
        <v>25.188835125358384</v>
      </c>
      <c r="G147" s="156">
        <f>'[4]Inedible Tallow Complex'!$AD121</f>
        <v>75</v>
      </c>
      <c r="H147" s="156">
        <f>'[4]Yellow Grease Complex'!$AD122</f>
        <v>75</v>
      </c>
      <c r="I147" s="156">
        <f>'[4]Used Cooking Oil Complex'!$AD122</f>
        <v>350</v>
      </c>
      <c r="J147" s="156">
        <f t="shared" si="13"/>
        <v>125</v>
      </c>
      <c r="K147" s="156">
        <f t="shared" si="15"/>
        <v>526.01297552711105</v>
      </c>
      <c r="L147" s="156">
        <f t="shared" si="14"/>
        <v>651.01297552711105</v>
      </c>
      <c r="M147" s="157">
        <f>'[5]Renewable Diesel'!$N49/1000000</f>
        <v>87.010244</v>
      </c>
      <c r="N147" s="158">
        <f t="shared" si="11"/>
        <v>7.4820267775264604</v>
      </c>
      <c r="O147" s="157">
        <f t="shared" si="10"/>
        <v>826.01297552711105</v>
      </c>
      <c r="P147" s="154">
        <f t="shared" si="12"/>
        <v>9.4932842106167534</v>
      </c>
    </row>
    <row r="148" spans="1:16" x14ac:dyDescent="0.2">
      <c r="A148" s="155">
        <v>44593</v>
      </c>
      <c r="B148" s="156">
        <f>'[3]Soy Complex'!$BK423</f>
        <v>100</v>
      </c>
      <c r="C148" s="156">
        <f>'[3]Canola Complex'!$BK358</f>
        <v>0</v>
      </c>
      <c r="D148" s="156">
        <f>'[4]Distillers'' Corn Oil Complex'!$AE120</f>
        <v>175</v>
      </c>
      <c r="E148" s="156">
        <f>'[4]Poultry Byproduct Complex'!$AD262</f>
        <v>0.96643943930547882</v>
      </c>
      <c r="F148" s="156">
        <f>'[4]CWG Complex'!$AD125</f>
        <v>19.743035420778099</v>
      </c>
      <c r="G148" s="156">
        <f>'[4]Inedible Tallow Complex'!$AD122</f>
        <v>75</v>
      </c>
      <c r="H148" s="156">
        <f>'[4]Yellow Grease Complex'!$AD123</f>
        <v>25</v>
      </c>
      <c r="I148" s="156">
        <f>'[4]Used Cooking Oil Complex'!$AD123</f>
        <v>550</v>
      </c>
      <c r="J148" s="156">
        <f t="shared" si="13"/>
        <v>100</v>
      </c>
      <c r="K148" s="156">
        <f t="shared" si="15"/>
        <v>670.70947486008356</v>
      </c>
      <c r="L148" s="156">
        <f t="shared" si="14"/>
        <v>770.70947486008356</v>
      </c>
      <c r="M148" s="157">
        <f>'[5]Renewable Diesel'!$N50/1000000</f>
        <v>101.396491</v>
      </c>
      <c r="N148" s="158">
        <f t="shared" si="11"/>
        <v>7.6009481911961192</v>
      </c>
      <c r="O148" s="157">
        <f t="shared" si="10"/>
        <v>945.70947486008356</v>
      </c>
      <c r="P148" s="154">
        <f t="shared" si="12"/>
        <v>9.3268461810979595</v>
      </c>
    </row>
    <row r="149" spans="1:16" x14ac:dyDescent="0.2">
      <c r="A149" s="155">
        <v>44621</v>
      </c>
      <c r="B149" s="156">
        <f>'[3]Soy Complex'!$BK424</f>
        <v>200</v>
      </c>
      <c r="C149" s="156">
        <f>'[3]Canola Complex'!$BK359</f>
        <v>0</v>
      </c>
      <c r="D149" s="156">
        <f>'[4]Distillers'' Corn Oil Complex'!$AE121</f>
        <v>175</v>
      </c>
      <c r="E149" s="156">
        <f>'[4]Poultry Byproduct Complex'!$AD263</f>
        <v>1.0505742243619454</v>
      </c>
      <c r="F149" s="156">
        <f>'[4]CWG Complex'!$AD126</f>
        <v>26.785649829329582</v>
      </c>
      <c r="G149" s="156">
        <f>'[4]Inedible Tallow Complex'!$AD123</f>
        <v>75</v>
      </c>
      <c r="H149" s="156">
        <f>'[4]Yellow Grease Complex'!$AD124</f>
        <v>50</v>
      </c>
      <c r="I149" s="156">
        <f>'[4]Used Cooking Oil Complex'!$AD124</f>
        <v>500</v>
      </c>
      <c r="J149" s="156">
        <f t="shared" si="13"/>
        <v>200</v>
      </c>
      <c r="K149" s="156">
        <f t="shared" si="15"/>
        <v>652.83622405369147</v>
      </c>
      <c r="L149" s="156">
        <f t="shared" si="14"/>
        <v>852.83622405369147</v>
      </c>
      <c r="M149" s="157">
        <f>'[5]Renewable Diesel'!$N51/1000000</f>
        <v>110.055959</v>
      </c>
      <c r="N149" s="158">
        <f t="shared" si="11"/>
        <v>7.7491144668839915</v>
      </c>
      <c r="O149" s="157">
        <f t="shared" si="10"/>
        <v>1027.8362240536915</v>
      </c>
      <c r="P149" s="154">
        <f t="shared" si="12"/>
        <v>9.3392146449216025</v>
      </c>
    </row>
    <row r="150" spans="1:16" x14ac:dyDescent="0.2">
      <c r="A150" s="155">
        <v>44652</v>
      </c>
      <c r="B150" s="156">
        <f>'[3]Soy Complex'!$BK425</f>
        <v>150</v>
      </c>
      <c r="C150" s="156">
        <f>'[3]Canola Complex'!$BK360</f>
        <v>0</v>
      </c>
      <c r="D150" s="156">
        <f>'[4]Distillers'' Corn Oil Complex'!$AE122</f>
        <v>225</v>
      </c>
      <c r="E150" s="156">
        <f>'[4]Poultry Byproduct Complex'!$AD264</f>
        <v>0.97005285080910109</v>
      </c>
      <c r="F150" s="156">
        <f>'[4]CWG Complex'!$AD127</f>
        <v>38.988505099559198</v>
      </c>
      <c r="G150" s="156">
        <f>'[4]Inedible Tallow Complex'!$AD124</f>
        <v>75</v>
      </c>
      <c r="H150" s="156">
        <f>'[4]Yellow Grease Complex'!$AD125</f>
        <v>75</v>
      </c>
      <c r="I150" s="156">
        <f>'[4]Used Cooking Oil Complex'!$AD125</f>
        <v>475</v>
      </c>
      <c r="J150" s="156">
        <f t="shared" si="13"/>
        <v>150</v>
      </c>
      <c r="K150" s="156">
        <f t="shared" si="15"/>
        <v>664.95855795036823</v>
      </c>
      <c r="L150" s="156">
        <f t="shared" si="14"/>
        <v>814.95855795036823</v>
      </c>
      <c r="M150" s="157">
        <f>'[5]Renewable Diesel'!$N52/1000000</f>
        <v>106.480662</v>
      </c>
      <c r="N150" s="158">
        <f t="shared" si="11"/>
        <v>7.6535827505502194</v>
      </c>
      <c r="O150" s="157">
        <f t="shared" si="10"/>
        <v>1039.9585579503682</v>
      </c>
      <c r="P150" s="154">
        <f t="shared" si="12"/>
        <v>9.7666424909188514</v>
      </c>
    </row>
    <row r="151" spans="1:16" x14ac:dyDescent="0.2">
      <c r="A151" s="155">
        <v>44682</v>
      </c>
      <c r="B151" s="156">
        <f>'[3]Soy Complex'!$BK426</f>
        <v>125</v>
      </c>
      <c r="C151" s="156">
        <f>'[3]Canola Complex'!$BK361</f>
        <v>0</v>
      </c>
      <c r="D151" s="156">
        <f>'[4]Distillers'' Corn Oil Complex'!$AE123</f>
        <v>175</v>
      </c>
      <c r="E151" s="156">
        <f>'[4]Poultry Byproduct Complex'!$AD265</f>
        <v>1.1842085578895425</v>
      </c>
      <c r="F151" s="156">
        <f>'[4]CWG Complex'!$AD128</f>
        <v>42.194931195916446</v>
      </c>
      <c r="G151" s="156">
        <f>'[4]Inedible Tallow Complex'!$AD125</f>
        <v>100</v>
      </c>
      <c r="H151" s="156">
        <f>'[4]Yellow Grease Complex'!$AD126</f>
        <v>75</v>
      </c>
      <c r="I151" s="156">
        <f>'[4]Used Cooking Oil Complex'!$AD126</f>
        <v>700</v>
      </c>
      <c r="J151" s="156">
        <f t="shared" si="13"/>
        <v>125</v>
      </c>
      <c r="K151" s="156">
        <f t="shared" si="15"/>
        <v>918.37913975380593</v>
      </c>
      <c r="L151" s="156">
        <f t="shared" si="14"/>
        <v>1043.3791397538059</v>
      </c>
      <c r="M151" s="157">
        <f>'[5]Renewable Diesel'!$N53/1000000</f>
        <v>136.07572200000001</v>
      </c>
      <c r="N151" s="158">
        <f t="shared" si="11"/>
        <v>7.6676362573612202</v>
      </c>
      <c r="O151" s="157">
        <f t="shared" si="10"/>
        <v>1218.3791397538059</v>
      </c>
      <c r="P151" s="154">
        <f t="shared" si="12"/>
        <v>8.953684917826898</v>
      </c>
    </row>
    <row r="152" spans="1:16" x14ac:dyDescent="0.2">
      <c r="A152" s="155">
        <v>44713</v>
      </c>
      <c r="B152" s="156">
        <f>'[3]Soy Complex'!$BK427</f>
        <v>100</v>
      </c>
      <c r="C152" s="156">
        <f>'[3]Canola Complex'!$BK362</f>
        <v>0</v>
      </c>
      <c r="D152" s="156">
        <f>'[4]Distillers'' Corn Oil Complex'!$AE124</f>
        <v>175</v>
      </c>
      <c r="E152" s="156">
        <f>'[4]Poultry Byproduct Complex'!$AD266</f>
        <v>0.99831727157414019</v>
      </c>
      <c r="F152" s="156">
        <f>'[4]CWG Complex'!$AD129</f>
        <v>35.571376600113204</v>
      </c>
      <c r="G152" s="156">
        <f>'[4]Inedible Tallow Complex'!$AD126</f>
        <v>100</v>
      </c>
      <c r="H152" s="156">
        <f>'[4]Yellow Grease Complex'!$AD127</f>
        <v>100</v>
      </c>
      <c r="I152" s="156">
        <f>'[4]Used Cooking Oil Complex'!$AD127</f>
        <v>550</v>
      </c>
      <c r="J152" s="156">
        <f t="shared" si="13"/>
        <v>100</v>
      </c>
      <c r="K152" s="156">
        <f t="shared" si="15"/>
        <v>786.56969387168738</v>
      </c>
      <c r="L152" s="156">
        <f t="shared" si="14"/>
        <v>886.56969387168738</v>
      </c>
      <c r="M152" s="157">
        <f>'[5]Renewable Diesel'!$N54/1000000</f>
        <v>116.253275</v>
      </c>
      <c r="N152" s="158">
        <f t="shared" si="11"/>
        <v>7.6261911234043716</v>
      </c>
      <c r="O152" s="157">
        <f t="shared" ref="O152:O215" si="16">SUM(D152:I152,B152:C152)</f>
        <v>1061.5696938716874</v>
      </c>
      <c r="P152" s="154">
        <f t="shared" si="12"/>
        <v>9.1315250591580099</v>
      </c>
    </row>
    <row r="153" spans="1:16" x14ac:dyDescent="0.2">
      <c r="A153" s="155">
        <v>44743</v>
      </c>
      <c r="B153" s="156">
        <f>'[3]Soy Complex'!$BK428</f>
        <v>175</v>
      </c>
      <c r="C153" s="156">
        <f>'[3]Canola Complex'!$BK363</f>
        <v>0</v>
      </c>
      <c r="D153" s="156">
        <f>'[4]Distillers'' Corn Oil Complex'!$AE125</f>
        <v>225</v>
      </c>
      <c r="E153" s="156">
        <f>'[4]Poultry Byproduct Complex'!$AD267</f>
        <v>0.89798628447988482</v>
      </c>
      <c r="F153" s="156">
        <f>'[4]CWG Complex'!$AD130</f>
        <v>42.285085782848462</v>
      </c>
      <c r="G153" s="156">
        <f>'[4]Inedible Tallow Complex'!$AD127</f>
        <v>100</v>
      </c>
      <c r="H153" s="156">
        <f>'[4]Yellow Grease Complex'!$AD128</f>
        <v>75</v>
      </c>
      <c r="I153" s="156">
        <f>'[4]Used Cooking Oil Complex'!$AD128</f>
        <v>400</v>
      </c>
      <c r="J153" s="156">
        <f t="shared" si="13"/>
        <v>175</v>
      </c>
      <c r="K153" s="156">
        <f t="shared" si="15"/>
        <v>618.18307206732834</v>
      </c>
      <c r="L153" s="156">
        <f t="shared" si="14"/>
        <v>793.18307206732834</v>
      </c>
      <c r="M153" s="157">
        <f>'[5]Renewable Diesel'!$N55/1000000</f>
        <v>108.975538</v>
      </c>
      <c r="N153" s="158">
        <f t="shared" ref="N153:N183" si="17">L153/M153</f>
        <v>7.2785423832211622</v>
      </c>
      <c r="O153" s="157">
        <f t="shared" si="16"/>
        <v>1018.1830720673283</v>
      </c>
      <c r="P153" s="154">
        <f t="shared" si="12"/>
        <v>9.3432259271555811</v>
      </c>
    </row>
    <row r="154" spans="1:16" x14ac:dyDescent="0.2">
      <c r="A154" s="155">
        <v>44774</v>
      </c>
      <c r="B154" s="156">
        <f>'[3]Soy Complex'!$BK429</f>
        <v>125</v>
      </c>
      <c r="C154" s="156">
        <f>'[3]Canola Complex'!$BK364</f>
        <v>0</v>
      </c>
      <c r="D154" s="156">
        <f>'[4]Distillers'' Corn Oil Complex'!$AE126</f>
        <v>250</v>
      </c>
      <c r="E154" s="156">
        <f>'[4]Poultry Byproduct Complex'!$AD268</f>
        <v>0.97674475468991817</v>
      </c>
      <c r="F154" s="156">
        <f>'[4]CWG Complex'!$AD131</f>
        <v>43.627141795865406</v>
      </c>
      <c r="G154" s="156">
        <f>'[4]Inedible Tallow Complex'!$AD128</f>
        <v>100</v>
      </c>
      <c r="H154" s="156">
        <f>'[4]Yellow Grease Complex'!$AD129</f>
        <v>75</v>
      </c>
      <c r="I154" s="156">
        <f>'[4]Used Cooking Oil Complex'!$AD129</f>
        <v>575</v>
      </c>
      <c r="J154" s="156">
        <f t="shared" si="13"/>
        <v>125</v>
      </c>
      <c r="K154" s="156">
        <f t="shared" si="15"/>
        <v>794.60388655055533</v>
      </c>
      <c r="L154" s="156">
        <f t="shared" si="14"/>
        <v>919.60388655055533</v>
      </c>
      <c r="M154" s="157">
        <f>'[5]Renewable Diesel'!$N56/1000000</f>
        <v>122.248954</v>
      </c>
      <c r="N154" s="158">
        <f t="shared" si="17"/>
        <v>7.52238654369636</v>
      </c>
      <c r="O154" s="157">
        <f t="shared" si="16"/>
        <v>1169.6038865505552</v>
      </c>
      <c r="P154" s="154">
        <f t="shared" ref="P154:P217" si="18">O154/M154</f>
        <v>9.5673938163148229</v>
      </c>
    </row>
    <row r="155" spans="1:16" x14ac:dyDescent="0.2">
      <c r="A155" s="155">
        <v>44805</v>
      </c>
      <c r="B155" s="156">
        <f>'[3]Soy Complex'!$BK430</f>
        <v>125</v>
      </c>
      <c r="C155" s="156">
        <f>'[3]Canola Complex'!$BK365</f>
        <v>0</v>
      </c>
      <c r="D155" s="156">
        <f>'[4]Distillers'' Corn Oil Complex'!$AE127</f>
        <v>300</v>
      </c>
      <c r="E155" s="156">
        <f>'[4]Poultry Byproduct Complex'!$AD269</f>
        <v>0.99315602108944989</v>
      </c>
      <c r="F155" s="156">
        <f>'[4]CWG Complex'!$AD132</f>
        <v>44.360165078380383</v>
      </c>
      <c r="G155" s="156">
        <f>'[4]Inedible Tallow Complex'!$AD129</f>
        <v>75</v>
      </c>
      <c r="H155" s="156">
        <f>'[4]Yellow Grease Complex'!$AD130</f>
        <v>75</v>
      </c>
      <c r="I155" s="156">
        <f>'[4]Used Cooking Oil Complex'!$AD130</f>
        <v>625</v>
      </c>
      <c r="J155" s="156">
        <f t="shared" si="13"/>
        <v>125</v>
      </c>
      <c r="K155" s="156">
        <f t="shared" si="15"/>
        <v>820.35332109946989</v>
      </c>
      <c r="L155" s="156">
        <f t="shared" si="14"/>
        <v>945.35332109946989</v>
      </c>
      <c r="M155" s="157">
        <f>'[5]Renewable Diesel'!$N57/1000000</f>
        <v>127.613378</v>
      </c>
      <c r="N155" s="158">
        <f t="shared" si="17"/>
        <v>7.4079484135234628</v>
      </c>
      <c r="O155" s="157">
        <f t="shared" si="16"/>
        <v>1245.3533210994699</v>
      </c>
      <c r="P155" s="154">
        <f t="shared" si="18"/>
        <v>9.7587991213544232</v>
      </c>
    </row>
    <row r="156" spans="1:16" x14ac:dyDescent="0.2">
      <c r="A156" s="155">
        <v>44835</v>
      </c>
      <c r="B156" s="156">
        <f>'[3]Soy Complex'!$BL419</f>
        <v>75</v>
      </c>
      <c r="C156" s="156">
        <f>'[3]Canola Complex'!$BL354</f>
        <v>0</v>
      </c>
      <c r="D156" s="156">
        <f>'[4]Distillers'' Corn Oil Complex'!$AE128</f>
        <v>275</v>
      </c>
      <c r="E156" s="156">
        <f>'[4]Poultry Byproduct Complex'!$AE258</f>
        <v>2.0472533050537822</v>
      </c>
      <c r="F156" s="156">
        <f>'[4]CWG Complex'!$AE121</f>
        <v>42.646067316317762</v>
      </c>
      <c r="G156" s="156">
        <f>'[4]Inedible Tallow Complex'!$AE118</f>
        <v>100</v>
      </c>
      <c r="H156" s="156">
        <f>'[4]Yellow Grease Complex'!$AE119</f>
        <v>75</v>
      </c>
      <c r="I156" s="156">
        <f>'[4]Used Cooking Oil Complex'!$AE119</f>
        <v>550</v>
      </c>
      <c r="J156" s="156">
        <f t="shared" si="13"/>
        <v>75</v>
      </c>
      <c r="K156" s="156">
        <f t="shared" si="15"/>
        <v>769.69332062137153</v>
      </c>
      <c r="L156" s="156">
        <f t="shared" si="14"/>
        <v>844.69332062137153</v>
      </c>
      <c r="M156" s="157">
        <f>'[5]Renewable Diesel'!$N58/1000000</f>
        <v>113.679693</v>
      </c>
      <c r="N156" s="158">
        <f t="shared" si="17"/>
        <v>7.4304679959099778</v>
      </c>
      <c r="O156" s="157">
        <f t="shared" si="16"/>
        <v>1119.6933206213716</v>
      </c>
      <c r="P156" s="154">
        <f t="shared" si="18"/>
        <v>9.84954560548797</v>
      </c>
    </row>
    <row r="157" spans="1:16" x14ac:dyDescent="0.2">
      <c r="A157" s="155">
        <v>44866</v>
      </c>
      <c r="B157" s="156">
        <f>'[3]Soy Complex'!$BL420</f>
        <v>125</v>
      </c>
      <c r="C157" s="156">
        <f>'[3]Canola Complex'!$BL355</f>
        <v>0</v>
      </c>
      <c r="D157" s="156">
        <f>'[4]Distillers'' Corn Oil Complex'!$AE129</f>
        <v>300</v>
      </c>
      <c r="E157" s="156">
        <f>'[4]Poultry Byproduct Complex'!$AE259</f>
        <v>2.6948553905506341</v>
      </c>
      <c r="F157" s="156">
        <f>'[4]CWG Complex'!$AE122</f>
        <v>41.199536434294487</v>
      </c>
      <c r="G157" s="156">
        <f>'[4]Inedible Tallow Complex'!$AE119</f>
        <v>100</v>
      </c>
      <c r="H157" s="156">
        <f>'[4]Yellow Grease Complex'!$AE120</f>
        <v>75</v>
      </c>
      <c r="I157" s="156">
        <f>'[4]Used Cooking Oil Complex'!$AE120</f>
        <v>900</v>
      </c>
      <c r="J157" s="156">
        <f t="shared" si="13"/>
        <v>125</v>
      </c>
      <c r="K157" s="156">
        <f t="shared" si="15"/>
        <v>1118.8943918248451</v>
      </c>
      <c r="L157" s="156">
        <f t="shared" si="14"/>
        <v>1243.8943918248451</v>
      </c>
      <c r="M157" s="157">
        <f>'[5]Renewable Diesel'!$N59/1000000</f>
        <v>171.78763000000001</v>
      </c>
      <c r="N157" s="158">
        <f t="shared" si="17"/>
        <v>7.2408845259978563</v>
      </c>
      <c r="O157" s="157">
        <f t="shared" si="16"/>
        <v>1543.8943918248451</v>
      </c>
      <c r="P157" s="154">
        <f t="shared" si="18"/>
        <v>8.9872267975572218</v>
      </c>
    </row>
    <row r="158" spans="1:16" x14ac:dyDescent="0.2">
      <c r="A158" s="155">
        <v>44896</v>
      </c>
      <c r="B158" s="156">
        <f>'[3]Soy Complex'!$BL421</f>
        <v>150</v>
      </c>
      <c r="C158" s="156">
        <f>'[3]Canola Complex'!$BL356</f>
        <v>51.556572499689651</v>
      </c>
      <c r="D158" s="156">
        <f>'[4]Distillers'' Corn Oil Complex'!$AE130</f>
        <v>300</v>
      </c>
      <c r="E158" s="156">
        <f>'[4]Poultry Byproduct Complex'!$AE260</f>
        <v>2.1842269960846288</v>
      </c>
      <c r="F158" s="156">
        <f>'[4]CWG Complex'!$AE123</f>
        <v>24.537963962559687</v>
      </c>
      <c r="G158" s="156">
        <f>'[4]Inedible Tallow Complex'!$AE120</f>
        <v>100</v>
      </c>
      <c r="H158" s="156">
        <f>'[4]Yellow Grease Complex'!$AE121</f>
        <v>50</v>
      </c>
      <c r="I158" s="156">
        <f>'[4]Used Cooking Oil Complex'!$AE121</f>
        <v>725</v>
      </c>
      <c r="J158" s="156">
        <f t="shared" si="13"/>
        <v>201.55657249968965</v>
      </c>
      <c r="K158" s="156">
        <f t="shared" si="15"/>
        <v>901.72219095864432</v>
      </c>
      <c r="L158" s="156">
        <f t="shared" si="14"/>
        <v>1103.278763458334</v>
      </c>
      <c r="M158" s="157">
        <f>'[5]Renewable Diesel'!$N60/1000000</f>
        <v>153.75916000000001</v>
      </c>
      <c r="N158" s="158">
        <f t="shared" si="17"/>
        <v>7.1753693468300286</v>
      </c>
      <c r="O158" s="157">
        <f t="shared" si="16"/>
        <v>1403.2787634583337</v>
      </c>
      <c r="P158" s="154">
        <f t="shared" si="18"/>
        <v>9.1264726176855646</v>
      </c>
    </row>
    <row r="159" spans="1:16" x14ac:dyDescent="0.2">
      <c r="A159" s="155">
        <v>44927</v>
      </c>
      <c r="B159" s="156">
        <f>'[3]Soy Complex'!$BL422</f>
        <v>225</v>
      </c>
      <c r="C159" s="156">
        <f>'[3]Canola Complex'!$BL357</f>
        <v>146.07996437261107</v>
      </c>
      <c r="D159" s="156">
        <f>'[4]Distillers'' Corn Oil Complex'!$AF119</f>
        <v>250</v>
      </c>
      <c r="E159" s="156">
        <f>'[4]Poultry Byproduct Complex'!$AE261</f>
        <v>2.1733543895632792</v>
      </c>
      <c r="F159" s="156">
        <f>'[4]CWG Complex'!$AE124</f>
        <v>22.653640084626534</v>
      </c>
      <c r="G159" s="156">
        <f>'[4]Inedible Tallow Complex'!$AE121</f>
        <v>125</v>
      </c>
      <c r="H159" s="156">
        <f>'[4]Yellow Grease Complex'!$AE122</f>
        <v>50</v>
      </c>
      <c r="I159" s="156">
        <f>'[4]Used Cooking Oil Complex'!$AE122</f>
        <v>525</v>
      </c>
      <c r="J159" s="156">
        <f t="shared" si="13"/>
        <v>371.07996437261107</v>
      </c>
      <c r="K159" s="156">
        <f t="shared" si="15"/>
        <v>724.82699447418986</v>
      </c>
      <c r="L159" s="156">
        <f t="shared" si="14"/>
        <v>1095.906958846801</v>
      </c>
      <c r="M159" s="157">
        <f>'[5]Renewable Diesel'!$O49/1000000</f>
        <v>148.27837500000001</v>
      </c>
      <c r="N159" s="158">
        <f t="shared" si="17"/>
        <v>7.3908751619836739</v>
      </c>
      <c r="O159" s="157">
        <f t="shared" si="16"/>
        <v>1345.906958846801</v>
      </c>
      <c r="P159" s="154">
        <f t="shared" si="18"/>
        <v>9.0768930995285118</v>
      </c>
    </row>
    <row r="160" spans="1:16" x14ac:dyDescent="0.2">
      <c r="A160" s="155">
        <v>44958</v>
      </c>
      <c r="B160" s="156">
        <f>'[3]Soy Complex'!$BL423</f>
        <v>250</v>
      </c>
      <c r="C160" s="156">
        <f>'[3]Canola Complex'!$BL358</f>
        <v>101.2013087028801</v>
      </c>
      <c r="D160" s="156">
        <f>'[4]Distillers'' Corn Oil Complex'!$AF120</f>
        <v>275</v>
      </c>
      <c r="E160" s="156">
        <f>'[4]Poultry Byproduct Complex'!$AE262</f>
        <v>1.9546584969178649</v>
      </c>
      <c r="F160" s="156">
        <f>'[4]CWG Complex'!$AE125</f>
        <v>19.259742136543952</v>
      </c>
      <c r="G160" s="156">
        <f>'[4]Inedible Tallow Complex'!$AE122</f>
        <v>125</v>
      </c>
      <c r="H160" s="156">
        <f>'[4]Yellow Grease Complex'!$AE123</f>
        <v>50</v>
      </c>
      <c r="I160" s="156">
        <f>'[4]Used Cooking Oil Complex'!$AE123</f>
        <v>500</v>
      </c>
      <c r="J160" s="156">
        <f t="shared" si="13"/>
        <v>351.20130870288011</v>
      </c>
      <c r="K160" s="156">
        <f t="shared" si="15"/>
        <v>696.21440063346176</v>
      </c>
      <c r="L160" s="156">
        <f t="shared" si="14"/>
        <v>1047.4157093363419</v>
      </c>
      <c r="M160" s="157">
        <f>'[5]Renewable Diesel'!$O50/1000000</f>
        <v>141.070359</v>
      </c>
      <c r="N160" s="158">
        <f t="shared" si="17"/>
        <v>7.4247752452118023</v>
      </c>
      <c r="O160" s="157">
        <f t="shared" si="16"/>
        <v>1322.4157093363419</v>
      </c>
      <c r="P160" s="154">
        <f t="shared" si="18"/>
        <v>9.3741571135885611</v>
      </c>
    </row>
    <row r="161" spans="1:16" x14ac:dyDescent="0.2">
      <c r="A161" s="155">
        <v>44986</v>
      </c>
      <c r="B161" s="156">
        <f>'[3]Soy Complex'!$BL424</f>
        <v>150</v>
      </c>
      <c r="C161" s="156">
        <f>'[3]Canola Complex'!$BL359</f>
        <v>130.60040634938554</v>
      </c>
      <c r="D161" s="156">
        <f>'[4]Distillers'' Corn Oil Complex'!$AF121</f>
        <v>300</v>
      </c>
      <c r="E161" s="156">
        <f>'[4]Poultry Byproduct Complex'!$AE263</f>
        <v>2.3738588454061702</v>
      </c>
      <c r="F161" s="156">
        <f>'[4]CWG Complex'!$AE126</f>
        <v>15.69122701761828</v>
      </c>
      <c r="G161" s="156">
        <f>'[4]Inedible Tallow Complex'!$AE123</f>
        <v>125</v>
      </c>
      <c r="H161" s="156">
        <f>'[4]Yellow Grease Complex'!$AE124</f>
        <v>100</v>
      </c>
      <c r="I161" s="156">
        <f>'[4]Used Cooking Oil Complex'!$AE124</f>
        <v>850</v>
      </c>
      <c r="J161" s="156">
        <f t="shared" si="13"/>
        <v>280.60040634938554</v>
      </c>
      <c r="K161" s="156">
        <f t="shared" si="15"/>
        <v>1093.0650858630245</v>
      </c>
      <c r="L161" s="156">
        <f t="shared" si="14"/>
        <v>1373.6654922124101</v>
      </c>
      <c r="M161" s="157">
        <f>'[5]Renewable Diesel'!$O51/1000000</f>
        <v>184.175802</v>
      </c>
      <c r="N161" s="158">
        <f t="shared" si="17"/>
        <v>7.4584471863052348</v>
      </c>
      <c r="O161" s="157">
        <f t="shared" si="16"/>
        <v>1673.6654922124101</v>
      </c>
      <c r="P161" s="154">
        <f t="shared" si="18"/>
        <v>9.0873256640544451</v>
      </c>
    </row>
    <row r="162" spans="1:16" x14ac:dyDescent="0.2">
      <c r="A162" s="155">
        <v>45017</v>
      </c>
      <c r="B162" s="156">
        <f>'[3]Soy Complex'!$BL425</f>
        <v>225</v>
      </c>
      <c r="C162" s="156">
        <f>'[3]Canola Complex'!$BL360</f>
        <v>100.9321089743211</v>
      </c>
      <c r="D162" s="156">
        <f>'[4]Distillers'' Corn Oil Complex'!$AF122</f>
        <v>250</v>
      </c>
      <c r="E162" s="156">
        <f>'[4]Poultry Byproduct Complex'!$AE264</f>
        <v>2.1215567611678705</v>
      </c>
      <c r="F162" s="156">
        <f>'[4]CWG Complex'!$AE127</f>
        <v>11.443236373317834</v>
      </c>
      <c r="G162" s="156">
        <f>'[4]Inedible Tallow Complex'!$AE124</f>
        <v>125</v>
      </c>
      <c r="H162" s="156">
        <f>'[4]Yellow Grease Complex'!$AE125</f>
        <v>100</v>
      </c>
      <c r="I162" s="156">
        <f>'[4]Used Cooking Oil Complex'!$AE125</f>
        <v>775</v>
      </c>
      <c r="J162" s="156">
        <f t="shared" si="13"/>
        <v>325.93210897432107</v>
      </c>
      <c r="K162" s="156">
        <f t="shared" si="15"/>
        <v>1013.5647931344857</v>
      </c>
      <c r="L162" s="156">
        <f t="shared" si="14"/>
        <v>1339.4969021088068</v>
      </c>
      <c r="M162" s="157">
        <f>'[5]Renewable Diesel'!$O52/1000000</f>
        <v>174.40754000000001</v>
      </c>
      <c r="N162" s="158">
        <f t="shared" si="17"/>
        <v>7.680269454570638</v>
      </c>
      <c r="O162" s="157">
        <f t="shared" si="16"/>
        <v>1589.4969021088068</v>
      </c>
      <c r="P162" s="154">
        <f t="shared" si="18"/>
        <v>9.1136937205169382</v>
      </c>
    </row>
    <row r="163" spans="1:16" x14ac:dyDescent="0.2">
      <c r="A163" s="155">
        <v>45047</v>
      </c>
      <c r="B163" s="156">
        <f>'[3]Soy Complex'!$BL426</f>
        <v>300</v>
      </c>
      <c r="C163" s="156">
        <f>'[3]Canola Complex'!$BL361</f>
        <v>122.16582600942689</v>
      </c>
      <c r="D163" s="156">
        <f>'[4]Distillers'' Corn Oil Complex'!$AF123</f>
        <v>250</v>
      </c>
      <c r="E163" s="156">
        <f>'[4]Poultry Byproduct Complex'!$AE265</f>
        <v>2.5941501411745449</v>
      </c>
      <c r="F163" s="156">
        <f>'[4]CWG Complex'!$AE128</f>
        <v>13.992306874219544</v>
      </c>
      <c r="G163" s="156">
        <f>'[4]Inedible Tallow Complex'!$AE125</f>
        <v>125</v>
      </c>
      <c r="H163" s="156">
        <f>'[4]Yellow Grease Complex'!$AE126</f>
        <v>100</v>
      </c>
      <c r="I163" s="156">
        <f>'[4]Used Cooking Oil Complex'!$AE126</f>
        <v>1000</v>
      </c>
      <c r="J163" s="156">
        <f t="shared" si="13"/>
        <v>422.16582600942689</v>
      </c>
      <c r="K163" s="156">
        <f t="shared" si="15"/>
        <v>1241.586457015394</v>
      </c>
      <c r="L163" s="156">
        <f t="shared" si="14"/>
        <v>1663.7522830248208</v>
      </c>
      <c r="M163" s="157">
        <f>'[5]Renewable Diesel'!$O53/1000000</f>
        <v>229.265334</v>
      </c>
      <c r="N163" s="158">
        <f t="shared" si="17"/>
        <v>7.2568855221034889</v>
      </c>
      <c r="O163" s="157">
        <f t="shared" si="16"/>
        <v>1913.7522830248208</v>
      </c>
      <c r="P163" s="154">
        <f t="shared" si="18"/>
        <v>8.3473251260254671</v>
      </c>
    </row>
    <row r="164" spans="1:16" x14ac:dyDescent="0.2">
      <c r="A164" s="155">
        <v>45078</v>
      </c>
      <c r="B164" s="156">
        <f>'[3]Soy Complex'!$BL427</f>
        <v>300</v>
      </c>
      <c r="C164" s="156">
        <f>'[3]Canola Complex'!$BL362</f>
        <v>120.49615156397007</v>
      </c>
      <c r="D164" s="156">
        <f>'[4]Distillers'' Corn Oil Complex'!$AF124</f>
        <v>225</v>
      </c>
      <c r="E164" s="156">
        <f>'[4]Poultry Byproduct Complex'!$AE266</f>
        <v>2.1441244405825155</v>
      </c>
      <c r="F164" s="156">
        <f>'[4]CWG Complex'!$AE129</f>
        <v>46.334547270147297</v>
      </c>
      <c r="G164" s="156">
        <f>'[4]Inedible Tallow Complex'!$AE126</f>
        <v>150</v>
      </c>
      <c r="H164" s="156">
        <f>'[4]Yellow Grease Complex'!$AE127</f>
        <v>100</v>
      </c>
      <c r="I164" s="156">
        <f>'[4]Used Cooking Oil Complex'!$AE127</f>
        <v>775</v>
      </c>
      <c r="J164" s="156">
        <f t="shared" si="13"/>
        <v>420.4961515639701</v>
      </c>
      <c r="K164" s="156">
        <f t="shared" si="15"/>
        <v>1073.4786717107299</v>
      </c>
      <c r="L164" s="156">
        <f t="shared" si="14"/>
        <v>1493.9748232747002</v>
      </c>
      <c r="M164" s="157">
        <f>'[5]Renewable Diesel'!$O54/1000000</f>
        <v>202.49099899999999</v>
      </c>
      <c r="N164" s="158">
        <f t="shared" si="17"/>
        <v>7.3779813949888222</v>
      </c>
      <c r="O164" s="157">
        <f t="shared" si="16"/>
        <v>1718.9748232746999</v>
      </c>
      <c r="P164" s="154">
        <f t="shared" si="18"/>
        <v>8.4891418964983227</v>
      </c>
    </row>
    <row r="165" spans="1:16" x14ac:dyDescent="0.2">
      <c r="A165" s="155">
        <v>45108</v>
      </c>
      <c r="B165" s="156">
        <f>'[3]Soy Complex'!$BL428</f>
        <v>325</v>
      </c>
      <c r="C165" s="156">
        <f>'[3]Canola Complex'!$BL363</f>
        <v>129.52873204713234</v>
      </c>
      <c r="D165" s="156">
        <f>'[4]Distillers'' Corn Oil Complex'!$AF125</f>
        <v>250</v>
      </c>
      <c r="E165" s="156">
        <f>'[4]Poultry Byproduct Complex'!$AE267</f>
        <v>1.9914329415293657</v>
      </c>
      <c r="F165" s="156">
        <f>'[4]CWG Complex'!$AE130</f>
        <v>38.998194290992615</v>
      </c>
      <c r="G165" s="156">
        <f>'[4]Inedible Tallow Complex'!$AE127</f>
        <v>150</v>
      </c>
      <c r="H165" s="156">
        <f>'[4]Yellow Grease Complex'!$AE128</f>
        <v>100</v>
      </c>
      <c r="I165" s="156">
        <f>'[4]Used Cooking Oil Complex'!$AE128</f>
        <v>650</v>
      </c>
      <c r="J165" s="156">
        <f t="shared" si="13"/>
        <v>454.52873204713234</v>
      </c>
      <c r="K165" s="156">
        <f t="shared" si="15"/>
        <v>940.98962723252203</v>
      </c>
      <c r="L165" s="156">
        <f t="shared" si="14"/>
        <v>1395.5183592796543</v>
      </c>
      <c r="M165" s="157">
        <f>'[5]Renewable Diesel'!$O55/1000000</f>
        <v>182.796774</v>
      </c>
      <c r="N165" s="158">
        <f t="shared" si="17"/>
        <v>7.6342614190754503</v>
      </c>
      <c r="O165" s="157">
        <f t="shared" si="16"/>
        <v>1645.5183592796543</v>
      </c>
      <c r="P165" s="154">
        <f t="shared" si="18"/>
        <v>9.0019004344116826</v>
      </c>
    </row>
    <row r="166" spans="1:16" x14ac:dyDescent="0.2">
      <c r="A166" s="155">
        <v>45139</v>
      </c>
      <c r="B166" s="156">
        <f>'[3]Soy Complex'!$BL429</f>
        <v>350</v>
      </c>
      <c r="C166" s="156">
        <f>'[3]Canola Complex'!$BL364</f>
        <v>104.03873049476189</v>
      </c>
      <c r="D166" s="156">
        <f>'[4]Distillers'' Corn Oil Complex'!$AF126</f>
        <v>250</v>
      </c>
      <c r="E166" s="156">
        <f>'[4]Poultry Byproduct Complex'!$AE268</f>
        <v>2.5400546872498198</v>
      </c>
      <c r="F166" s="156">
        <f>'[4]CWG Complex'!$AE131</f>
        <v>18.849286736358728</v>
      </c>
      <c r="G166" s="156">
        <f>'[4]Inedible Tallow Complex'!$AE128</f>
        <v>325</v>
      </c>
      <c r="H166" s="156">
        <f>'[4]Yellow Grease Complex'!$AE129</f>
        <v>150</v>
      </c>
      <c r="I166" s="156">
        <f>'[4]Used Cooking Oil Complex'!$AE129</f>
        <v>850</v>
      </c>
      <c r="J166" s="156">
        <f t="shared" si="13"/>
        <v>454.03873049476192</v>
      </c>
      <c r="K166" s="156">
        <f t="shared" si="15"/>
        <v>1346.3893414236086</v>
      </c>
      <c r="L166" s="156">
        <f t="shared" si="14"/>
        <v>1800.4280719183705</v>
      </c>
      <c r="M166" s="157">
        <f>'[5]Renewable Diesel'!$O56/1000000</f>
        <v>236.47628</v>
      </c>
      <c r="N166" s="158">
        <f t="shared" si="17"/>
        <v>7.6135672969752841</v>
      </c>
      <c r="O166" s="157">
        <f t="shared" si="16"/>
        <v>2050.4280719183703</v>
      </c>
      <c r="P166" s="154">
        <f t="shared" si="18"/>
        <v>8.6707557811649032</v>
      </c>
    </row>
    <row r="167" spans="1:16" x14ac:dyDescent="0.2">
      <c r="A167" s="155">
        <v>45170</v>
      </c>
      <c r="B167" s="156">
        <f>'[3]Soy Complex'!$BL430</f>
        <v>425</v>
      </c>
      <c r="C167" s="156">
        <f>'[3]Canola Complex'!$BL365</f>
        <v>123.60631598724758</v>
      </c>
      <c r="D167" s="156">
        <f>'[4]Distillers'' Corn Oil Complex'!$AF127</f>
        <v>325</v>
      </c>
      <c r="E167" s="156">
        <f>'[4]Poultry Byproduct Complex'!$AE269</f>
        <v>2.4580397321197953</v>
      </c>
      <c r="F167" s="156">
        <f>'[4]CWG Complex'!$AE132</f>
        <v>18.240668577987794</v>
      </c>
      <c r="G167" s="156">
        <f>'[4]Inedible Tallow Complex'!$AE129</f>
        <v>375</v>
      </c>
      <c r="H167" s="156">
        <f>'[4]Yellow Grease Complex'!$AE130</f>
        <v>150</v>
      </c>
      <c r="I167" s="156">
        <f>'[4]Used Cooking Oil Complex'!$AE130</f>
        <v>750</v>
      </c>
      <c r="J167" s="156">
        <f t="shared" si="13"/>
        <v>548.60631598724763</v>
      </c>
      <c r="K167" s="156">
        <f t="shared" si="15"/>
        <v>1295.6987083101076</v>
      </c>
      <c r="L167" s="156">
        <f t="shared" si="14"/>
        <v>1844.3050242973552</v>
      </c>
      <c r="M167" s="157">
        <f>'[5]Renewable Diesel'!$O57/1000000</f>
        <v>234.00850800000001</v>
      </c>
      <c r="N167" s="158">
        <f t="shared" si="17"/>
        <v>7.8813588448559964</v>
      </c>
      <c r="O167" s="157">
        <f t="shared" si="16"/>
        <v>2169.305024297355</v>
      </c>
      <c r="P167" s="154">
        <f t="shared" si="18"/>
        <v>9.2701972370053944</v>
      </c>
    </row>
    <row r="168" spans="1:16" x14ac:dyDescent="0.2">
      <c r="A168" s="155">
        <v>45200</v>
      </c>
      <c r="B168" s="156">
        <f>'[3]Soy Complex'!$BM419</f>
        <v>275</v>
      </c>
      <c r="C168" s="156">
        <f>'[3]Canola Complex'!$BM354</f>
        <v>118.42897831700598</v>
      </c>
      <c r="D168" s="156">
        <f>'[4]Distillers'' Corn Oil Complex'!$AF128</f>
        <v>250</v>
      </c>
      <c r="E168" s="156">
        <f>'[4]Poultry Byproduct Complex'!$AF258</f>
        <v>2.0621475523781059</v>
      </c>
      <c r="F168" s="156">
        <f>'[4]CWG Complex'!$AF121</f>
        <v>39.964994319050767</v>
      </c>
      <c r="G168" s="156">
        <f>'[4]Inedible Tallow Complex'!$AF118</f>
        <v>375</v>
      </c>
      <c r="H168" s="156">
        <f>'[4]Yellow Grease Complex'!$AF119</f>
        <v>125</v>
      </c>
      <c r="I168" s="156">
        <f>'[4]Used Cooking Oil Complex'!$AF119</f>
        <v>500</v>
      </c>
      <c r="J168" s="156">
        <f t="shared" si="13"/>
        <v>393.428978317006</v>
      </c>
      <c r="K168" s="156">
        <f t="shared" si="15"/>
        <v>1042.0271418714287</v>
      </c>
      <c r="L168" s="156">
        <f t="shared" si="14"/>
        <v>1435.4561201884349</v>
      </c>
      <c r="M168" s="157">
        <f>'[5]Renewable Diesel'!$O58/1000000</f>
        <v>214.031283</v>
      </c>
      <c r="N168" s="158">
        <f t="shared" si="17"/>
        <v>6.7067584703888112</v>
      </c>
      <c r="O168" s="157">
        <f t="shared" si="16"/>
        <v>1685.4561201884346</v>
      </c>
      <c r="P168" s="154">
        <f t="shared" si="18"/>
        <v>7.8748120207663037</v>
      </c>
    </row>
    <row r="169" spans="1:16" x14ac:dyDescent="0.2">
      <c r="A169" s="155">
        <v>45231</v>
      </c>
      <c r="B169" s="156">
        <f>'[3]Soy Complex'!$BM420</f>
        <v>275</v>
      </c>
      <c r="C169" s="156">
        <f>'[3]Canola Complex'!$BM355</f>
        <v>153.48099999999999</v>
      </c>
      <c r="D169" s="156">
        <f>'[4]Distillers'' Corn Oil Complex'!$AF129</f>
        <v>325</v>
      </c>
      <c r="E169" s="156">
        <f>'[4]Poultry Byproduct Complex'!$AF259</f>
        <v>1.908103485901439</v>
      </c>
      <c r="F169" s="156">
        <f>'[4]CWG Complex'!$AF122</f>
        <v>20</v>
      </c>
      <c r="G169" s="156">
        <f>'[4]Inedible Tallow Complex'!$AF119</f>
        <v>400</v>
      </c>
      <c r="H169" s="156">
        <f>'[4]Yellow Grease Complex'!$AF120</f>
        <v>125</v>
      </c>
      <c r="I169" s="156">
        <f>'[4]Used Cooking Oil Complex'!$AF120</f>
        <v>500</v>
      </c>
      <c r="J169" s="156">
        <f t="shared" si="13"/>
        <v>428.48099999999999</v>
      </c>
      <c r="K169" s="156">
        <f t="shared" si="15"/>
        <v>1046.9081034859014</v>
      </c>
      <c r="L169" s="156">
        <f t="shared" si="14"/>
        <v>1475.3891034859014</v>
      </c>
      <c r="M169" s="157">
        <f>'[5]Renewable Diesel'!$O59/1000000</f>
        <v>205.61951400000001</v>
      </c>
      <c r="N169" s="158">
        <f t="shared" si="17"/>
        <v>7.1753360115708729</v>
      </c>
      <c r="O169" s="157">
        <f t="shared" si="16"/>
        <v>1800.3891034859014</v>
      </c>
      <c r="P169" s="154">
        <f t="shared" si="18"/>
        <v>8.7559252935784162</v>
      </c>
    </row>
    <row r="170" spans="1:16" x14ac:dyDescent="0.2">
      <c r="A170" s="155">
        <v>45261</v>
      </c>
      <c r="B170" s="156">
        <f>'[3]Soy Complex'!$BM421</f>
        <v>325</v>
      </c>
      <c r="C170" s="156">
        <f>'[3]Canola Complex'!$BM356</f>
        <v>192.85144460311525</v>
      </c>
      <c r="D170" s="156">
        <f>'[4]Distillers'' Corn Oil Complex'!$AF130</f>
        <v>275</v>
      </c>
      <c r="E170" s="156">
        <f>'[4]Poultry Byproduct Complex'!$AF260</f>
        <v>2.4425379621316625</v>
      </c>
      <c r="F170" s="156">
        <f>'[4]CWG Complex'!$AF123</f>
        <v>37.337066481050392</v>
      </c>
      <c r="G170" s="156">
        <f>'[4]Inedible Tallow Complex'!$AF120</f>
        <v>675</v>
      </c>
      <c r="H170" s="156">
        <f>'[4]Yellow Grease Complex'!$AF121</f>
        <v>125</v>
      </c>
      <c r="I170" s="156">
        <f>'[4]Used Cooking Oil Complex'!$AF121</f>
        <v>625</v>
      </c>
      <c r="J170" s="156">
        <f t="shared" si="13"/>
        <v>517.85144460311528</v>
      </c>
      <c r="K170" s="156">
        <f t="shared" si="15"/>
        <v>1464.7796044431821</v>
      </c>
      <c r="L170" s="156">
        <f t="shared" si="14"/>
        <v>1982.6310490462974</v>
      </c>
      <c r="M170" s="157">
        <f>'[5]Renewable Diesel'!$O60/1000000</f>
        <v>274.81642799999997</v>
      </c>
      <c r="N170" s="158">
        <f t="shared" si="17"/>
        <v>7.2143833011551175</v>
      </c>
      <c r="O170" s="157">
        <f t="shared" si="16"/>
        <v>2257.6310490462974</v>
      </c>
      <c r="P170" s="154">
        <f t="shared" si="18"/>
        <v>8.2150512816005943</v>
      </c>
    </row>
    <row r="171" spans="1:16" x14ac:dyDescent="0.2">
      <c r="A171" s="155">
        <v>45292</v>
      </c>
      <c r="B171" s="156">
        <f>'[3]Soy Complex'!$BM422</f>
        <v>300</v>
      </c>
      <c r="C171" s="156">
        <f>'[3]Canola Complex'!$BM357</f>
        <v>222.99070168894596</v>
      </c>
      <c r="D171" s="156">
        <f>'[4]Distillers'' Corn Oil Complex'!$AG119</f>
        <v>350</v>
      </c>
      <c r="E171" s="156">
        <f>'[4]Poultry Byproduct Complex'!$AF261</f>
        <v>2.0116125510223508</v>
      </c>
      <c r="F171" s="156">
        <f>'[4]CWG Complex'!$AF124</f>
        <v>38.985611907851876</v>
      </c>
      <c r="G171" s="156">
        <f>'[4]Inedible Tallow Complex'!$AF121</f>
        <v>525</v>
      </c>
      <c r="H171" s="156">
        <f>'[4]Yellow Grease Complex'!$AF122</f>
        <v>100</v>
      </c>
      <c r="I171" s="156">
        <f>'[4]Used Cooking Oil Complex'!$AF122</f>
        <v>475</v>
      </c>
      <c r="J171" s="156">
        <f t="shared" si="13"/>
        <v>522.99070168894593</v>
      </c>
      <c r="K171" s="156">
        <f t="shared" si="15"/>
        <v>1140.9972244588744</v>
      </c>
      <c r="L171" s="156">
        <f t="shared" si="14"/>
        <v>1663.9879261478204</v>
      </c>
      <c r="M171" s="157">
        <f>'[5]Renewable Diesel'!$P49/1000000</f>
        <v>230.210264</v>
      </c>
      <c r="N171" s="158">
        <f t="shared" si="17"/>
        <v>7.2281222271993073</v>
      </c>
      <c r="O171" s="157">
        <f t="shared" si="16"/>
        <v>2013.9879261478202</v>
      </c>
      <c r="P171" s="154">
        <f t="shared" si="18"/>
        <v>8.7484714675789625</v>
      </c>
    </row>
    <row r="172" spans="1:16" x14ac:dyDescent="0.2">
      <c r="A172" s="155">
        <v>45323</v>
      </c>
      <c r="B172" s="156">
        <f>'[3]Soy Complex'!$BM423</f>
        <v>225</v>
      </c>
      <c r="C172" s="156">
        <f>'[3]Canola Complex'!$BM358</f>
        <v>165.63675300765462</v>
      </c>
      <c r="D172" s="156">
        <f>'[4]Distillers'' Corn Oil Complex'!$AG120</f>
        <v>350</v>
      </c>
      <c r="E172" s="156">
        <f>'[4]Poultry Byproduct Complex'!$AF262</f>
        <v>2.0254184694128581</v>
      </c>
      <c r="F172" s="156">
        <f>'[4]CWG Complex'!$AF125</f>
        <v>39.253174454193235</v>
      </c>
      <c r="G172" s="156">
        <f>'[4]Inedible Tallow Complex'!$AF122</f>
        <v>625</v>
      </c>
      <c r="H172" s="156">
        <f>'[4]Yellow Grease Complex'!$AF123</f>
        <v>100</v>
      </c>
      <c r="I172" s="156">
        <f>'[4]Used Cooking Oil Complex'!$AF123</f>
        <v>550</v>
      </c>
      <c r="J172" s="156">
        <f t="shared" si="13"/>
        <v>390.63675300765465</v>
      </c>
      <c r="K172" s="156">
        <f t="shared" si="15"/>
        <v>1316.2785929236061</v>
      </c>
      <c r="L172" s="156">
        <f t="shared" si="14"/>
        <v>1706.9153459312606</v>
      </c>
      <c r="M172" s="157">
        <f>'[5]Renewable Diesel'!$P50/1000000</f>
        <v>230.07363599999999</v>
      </c>
      <c r="N172" s="158">
        <f t="shared" si="17"/>
        <v>7.4189958293668239</v>
      </c>
      <c r="O172" s="157">
        <f t="shared" si="16"/>
        <v>2056.9153459312606</v>
      </c>
      <c r="P172" s="154">
        <f t="shared" si="18"/>
        <v>8.9402479210232535</v>
      </c>
    </row>
    <row r="173" spans="1:16" x14ac:dyDescent="0.2">
      <c r="A173" s="155">
        <v>45352</v>
      </c>
      <c r="B173" s="156">
        <f>'[3]Soy Complex'!$BM424</f>
        <v>325</v>
      </c>
      <c r="C173" s="156">
        <f>'[3]Canola Complex'!$BM359</f>
        <v>179.44746136889708</v>
      </c>
      <c r="D173" s="156">
        <f>'[4]Distillers'' Corn Oil Complex'!$AG121</f>
        <v>250</v>
      </c>
      <c r="E173" s="156">
        <f>'[4]Poultry Byproduct Complex'!$AF263</f>
        <v>1.8880366711344845</v>
      </c>
      <c r="F173" s="156">
        <f>'[4]CWG Complex'!$AF126</f>
        <v>56.757263749573816</v>
      </c>
      <c r="G173" s="156">
        <f>'[4]Inedible Tallow Complex'!$AF123</f>
        <v>475</v>
      </c>
      <c r="H173" s="156">
        <f>'[4]Yellow Grease Complex'!$AF124</f>
        <v>125</v>
      </c>
      <c r="I173" s="156">
        <f>'[4]Used Cooking Oil Complex'!$AF124</f>
        <v>425</v>
      </c>
      <c r="J173" s="156">
        <f t="shared" si="13"/>
        <v>504.44746136889705</v>
      </c>
      <c r="K173" s="156">
        <f t="shared" si="15"/>
        <v>1083.6453004207083</v>
      </c>
      <c r="L173" s="156">
        <f t="shared" si="14"/>
        <v>1588.0927617896054</v>
      </c>
      <c r="M173" s="157">
        <f>'[5]Renewable Diesel'!$P51/1000000</f>
        <v>215.239327</v>
      </c>
      <c r="N173" s="158">
        <f t="shared" si="17"/>
        <v>7.3782648548682994</v>
      </c>
      <c r="O173" s="157">
        <f t="shared" si="16"/>
        <v>1838.0927617896054</v>
      </c>
      <c r="P173" s="154">
        <f t="shared" si="18"/>
        <v>8.5397626326419687</v>
      </c>
    </row>
    <row r="174" spans="1:16" x14ac:dyDescent="0.2">
      <c r="A174" s="155">
        <v>45383</v>
      </c>
      <c r="B174" s="156">
        <f>'[3]Soy Complex'!$BM425</f>
        <v>400</v>
      </c>
      <c r="C174" s="156">
        <f>'[3]Canola Complex'!$BM360</f>
        <v>183.2167777601274</v>
      </c>
      <c r="D174" s="156">
        <f>'[4]Distillers'' Corn Oil Complex'!$AG122</f>
        <v>300</v>
      </c>
      <c r="E174" s="156">
        <f>'[4]Poultry Byproduct Complex'!$AF264</f>
        <v>2.5971053399290769</v>
      </c>
      <c r="F174" s="156">
        <f>'[4]CWG Complex'!$AF127</f>
        <v>59.166951151108044</v>
      </c>
      <c r="G174" s="156">
        <f>'[4]Inedible Tallow Complex'!$AF124</f>
        <v>400</v>
      </c>
      <c r="H174" s="156">
        <f>'[4]Yellow Grease Complex'!$AF125</f>
        <v>150</v>
      </c>
      <c r="I174" s="156">
        <f>'[4]Used Cooking Oil Complex'!$AF125</f>
        <v>950</v>
      </c>
      <c r="J174" s="156">
        <f t="shared" si="13"/>
        <v>583.21677776012734</v>
      </c>
      <c r="K174" s="156">
        <f t="shared" si="15"/>
        <v>1561.7640564910371</v>
      </c>
      <c r="L174" s="156">
        <f t="shared" si="14"/>
        <v>2144.9808342511642</v>
      </c>
      <c r="M174" s="157">
        <f>'[5]Renewable Diesel'!$P52/1000000</f>
        <v>283.04218600000002</v>
      </c>
      <c r="N174" s="158">
        <f t="shared" si="17"/>
        <v>7.5783079001911187</v>
      </c>
      <c r="O174" s="157">
        <f t="shared" si="16"/>
        <v>2444.9808342511647</v>
      </c>
      <c r="P174" s="154">
        <f t="shared" si="18"/>
        <v>8.6382205734206856</v>
      </c>
    </row>
    <row r="175" spans="1:16" x14ac:dyDescent="0.2">
      <c r="A175" s="155">
        <v>45413</v>
      </c>
      <c r="B175" s="156">
        <f>'[3]Soy Complex'!$BM426</f>
        <v>325</v>
      </c>
      <c r="C175" s="156">
        <f>'[3]Canola Complex'!$BM361</f>
        <v>236.76362369430382</v>
      </c>
      <c r="D175" s="156">
        <f>'[4]Distillers'' Corn Oil Complex'!$AG123</f>
        <v>250</v>
      </c>
      <c r="E175" s="156">
        <f>'[4]Poultry Byproduct Complex'!$AF265</f>
        <v>1.9573915861108051</v>
      </c>
      <c r="F175" s="156">
        <f>'[4]CWG Complex'!$AF128</f>
        <v>44.593066972851631</v>
      </c>
      <c r="G175" s="156">
        <f>'[4]Inedible Tallow Complex'!$AF125</f>
        <v>350</v>
      </c>
      <c r="H175" s="156">
        <f>'[4]Yellow Grease Complex'!$AF126</f>
        <v>100</v>
      </c>
      <c r="I175" s="156">
        <f>'[4]Used Cooking Oil Complex'!$AF126</f>
        <v>575</v>
      </c>
      <c r="J175" s="156">
        <f t="shared" si="13"/>
        <v>561.76362369430376</v>
      </c>
      <c r="K175" s="156">
        <f t="shared" si="15"/>
        <v>1071.5504585589624</v>
      </c>
      <c r="L175" s="156">
        <f t="shared" si="14"/>
        <v>1633.3140822532662</v>
      </c>
      <c r="M175" s="157">
        <f>'[5]Renewable Diesel'!$P53/1000000</f>
        <v>220.40273500000001</v>
      </c>
      <c r="N175" s="158">
        <f t="shared" si="17"/>
        <v>7.4105889940670027</v>
      </c>
      <c r="O175" s="157">
        <f t="shared" si="16"/>
        <v>1883.3140822532662</v>
      </c>
      <c r="P175" s="154">
        <f t="shared" si="18"/>
        <v>8.5448761888243627</v>
      </c>
    </row>
    <row r="176" spans="1:16" x14ac:dyDescent="0.2">
      <c r="A176" s="155">
        <v>45444</v>
      </c>
      <c r="B176" s="156">
        <f>'[3]Soy Complex'!$BM427</f>
        <v>475</v>
      </c>
      <c r="C176" s="156">
        <f>'[3]Canola Complex'!$BM362</f>
        <v>221.58517125267599</v>
      </c>
      <c r="D176" s="156">
        <f>'[4]Distillers'' Corn Oil Complex'!$AG124</f>
        <v>300</v>
      </c>
      <c r="E176" s="156">
        <f>'[4]Poultry Byproduct Complex'!$AF266</f>
        <v>2.303135980062903</v>
      </c>
      <c r="F176" s="156">
        <f>'[4]CWG Complex'!$AF129</f>
        <v>52.469775457957539</v>
      </c>
      <c r="G176" s="156">
        <f>'[4]Inedible Tallow Complex'!$AF126</f>
        <v>475</v>
      </c>
      <c r="H176" s="156">
        <f>'[4]Yellow Grease Complex'!$AF127</f>
        <v>125</v>
      </c>
      <c r="I176" s="156">
        <f>'[4]Used Cooking Oil Complex'!$AF127</f>
        <v>775</v>
      </c>
      <c r="J176" s="156">
        <f t="shared" si="13"/>
        <v>696.58517125267599</v>
      </c>
      <c r="K176" s="156">
        <f t="shared" si="15"/>
        <v>1429.7729114380204</v>
      </c>
      <c r="L176" s="156">
        <f t="shared" si="14"/>
        <v>2126.3580826906964</v>
      </c>
      <c r="M176" s="157">
        <f>'[5]Renewable Diesel'!$P54/1000000</f>
        <v>282.589564</v>
      </c>
      <c r="N176" s="158">
        <f t="shared" si="17"/>
        <v>7.5245456788726157</v>
      </c>
      <c r="O176" s="157">
        <f t="shared" si="16"/>
        <v>2426.3580826906964</v>
      </c>
      <c r="P176" s="154">
        <f t="shared" si="18"/>
        <v>8.5861560078372055</v>
      </c>
    </row>
    <row r="177" spans="1:16" x14ac:dyDescent="0.2">
      <c r="A177" s="155">
        <v>45474</v>
      </c>
      <c r="B177" s="156">
        <f>'[3]Soy Complex'!$BM428</f>
        <v>325</v>
      </c>
      <c r="C177" s="156">
        <f>'[3]Canola Complex'!$BM363</f>
        <v>404.0496515421533</v>
      </c>
      <c r="D177" s="156">
        <f>'[4]Distillers'' Corn Oil Complex'!$AG125</f>
        <v>294.2252865610605</v>
      </c>
      <c r="E177" s="156">
        <f>'[4]Poultry Byproduct Complex'!$AF267</f>
        <v>2.3279776626464415</v>
      </c>
      <c r="F177" s="156">
        <f>'[4]CWG Complex'!$AF130</f>
        <v>53.035715775176904</v>
      </c>
      <c r="G177" s="156">
        <f>'[4]Inedible Tallow Complex'!$AF127</f>
        <v>575</v>
      </c>
      <c r="H177" s="156">
        <f>'[4]Yellow Grease Complex'!$AF128</f>
        <v>125</v>
      </c>
      <c r="I177" s="156">
        <f>'[4]Used Cooking Oil Complex'!$AF128</f>
        <v>750</v>
      </c>
      <c r="J177" s="156">
        <f t="shared" si="13"/>
        <v>729.04965154215324</v>
      </c>
      <c r="K177" s="156">
        <f t="shared" si="15"/>
        <v>1505.3636934378233</v>
      </c>
      <c r="L177" s="156">
        <f t="shared" si="14"/>
        <v>2234.4133449799765</v>
      </c>
      <c r="M177" s="157">
        <f>'[5]Renewable Diesel'!$P55/1000000</f>
        <v>292.63335999999998</v>
      </c>
      <c r="N177" s="158">
        <f t="shared" si="17"/>
        <v>7.6355386992787722</v>
      </c>
      <c r="O177" s="157">
        <f t="shared" si="16"/>
        <v>2528.6386315410368</v>
      </c>
      <c r="P177" s="154">
        <f t="shared" si="18"/>
        <v>8.6409787029784884</v>
      </c>
    </row>
    <row r="178" spans="1:16" x14ac:dyDescent="0.2">
      <c r="A178" s="155">
        <v>45505</v>
      </c>
      <c r="B178" s="156">
        <f>'[3]Soy Complex'!$BM429</f>
        <v>375</v>
      </c>
      <c r="C178" s="156">
        <f>'[3]Canola Complex'!$BM364</f>
        <v>268.26246105254052</v>
      </c>
      <c r="D178" s="156">
        <f>'[4]Distillers'' Corn Oil Complex'!$AG126</f>
        <v>196.87942383997199</v>
      </c>
      <c r="E178" s="156">
        <f>'[4]Poultry Byproduct Complex'!$AF268</f>
        <v>2.043973635889913</v>
      </c>
      <c r="F178" s="156">
        <f>'[4]CWG Complex'!$AF131</f>
        <v>46.565569139430352</v>
      </c>
      <c r="G178" s="156">
        <f>'[4]Inedible Tallow Complex'!$AF128</f>
        <v>475</v>
      </c>
      <c r="H178" s="156">
        <f>'[4]Yellow Grease Complex'!$AF129</f>
        <v>125</v>
      </c>
      <c r="I178" s="156">
        <f>'[4]Used Cooking Oil Complex'!$AF129</f>
        <v>625</v>
      </c>
      <c r="J178" s="156">
        <f t="shared" si="13"/>
        <v>643.26246105254052</v>
      </c>
      <c r="K178" s="156">
        <f t="shared" si="15"/>
        <v>1273.6095427753203</v>
      </c>
      <c r="L178" s="156">
        <f t="shared" si="14"/>
        <v>1916.8720038278607</v>
      </c>
      <c r="M178" s="157">
        <f>'[5]Renewable Diesel'!$P56/1000000</f>
        <v>260.49037299999998</v>
      </c>
      <c r="N178" s="158">
        <f t="shared" si="17"/>
        <v>7.3587057431403071</v>
      </c>
      <c r="O178" s="157">
        <f t="shared" si="16"/>
        <v>2113.7514276678326</v>
      </c>
      <c r="P178" s="154">
        <f t="shared" si="18"/>
        <v>8.1145088139891932</v>
      </c>
    </row>
    <row r="179" spans="1:16" x14ac:dyDescent="0.2">
      <c r="A179" s="155">
        <v>45536</v>
      </c>
      <c r="B179" s="156">
        <f>'[3]Soy Complex'!$BM430</f>
        <v>300</v>
      </c>
      <c r="C179" s="156">
        <f>'[3]Canola Complex'!$BM365</f>
        <v>153.97948991647192</v>
      </c>
      <c r="D179" s="156">
        <f>'[4]Distillers'' Corn Oil Complex'!$AG127</f>
        <v>189.14366479408429</v>
      </c>
      <c r="E179" s="156">
        <f>'[4]Poultry Byproduct Complex'!$AF269</f>
        <v>2.0497995475920767</v>
      </c>
      <c r="F179" s="156">
        <f>'[4]CWG Complex'!$AF132</f>
        <v>46.698294380795424</v>
      </c>
      <c r="G179" s="156">
        <f>'[4]Inedible Tallow Complex'!$AF129</f>
        <v>400</v>
      </c>
      <c r="H179" s="156">
        <f>'[4]Yellow Grease Complex'!$AF130</f>
        <v>100</v>
      </c>
      <c r="I179" s="156">
        <f>'[4]Used Cooking Oil Complex'!$AF130</f>
        <v>900</v>
      </c>
      <c r="J179" s="156">
        <f t="shared" si="13"/>
        <v>453.97948991647195</v>
      </c>
      <c r="K179" s="156">
        <f t="shared" si="15"/>
        <v>1448.7480939283876</v>
      </c>
      <c r="L179" s="156">
        <f t="shared" si="14"/>
        <v>1902.7275838448595</v>
      </c>
      <c r="M179" s="157">
        <f>'[5]Renewable Diesel'!$P57/1000000</f>
        <v>257.92793699999999</v>
      </c>
      <c r="N179" s="158">
        <f t="shared" si="17"/>
        <v>7.3769736073407959</v>
      </c>
      <c r="O179" s="157">
        <f t="shared" si="16"/>
        <v>2091.8712486389436</v>
      </c>
      <c r="P179" s="154">
        <f t="shared" si="18"/>
        <v>8.1102934136170894</v>
      </c>
    </row>
    <row r="180" spans="1:16" x14ac:dyDescent="0.2">
      <c r="A180" s="155">
        <v>45566</v>
      </c>
      <c r="B180" s="156">
        <f>'[3]Soy Complex'!$BN419</f>
        <v>525</v>
      </c>
      <c r="C180" s="156">
        <f>'[3]Canola Complex'!$BN354</f>
        <v>305.68705604539582</v>
      </c>
      <c r="D180" s="156">
        <f>'[4]Distillers'' Corn Oil Complex'!$AG128</f>
        <v>215.09079118514842</v>
      </c>
      <c r="E180" s="156">
        <f>'[4]Poultry Byproduct Complex'!$AG258</f>
        <v>2.4838394687270715</v>
      </c>
      <c r="F180" s="156">
        <f>'[4]CWG Complex'!$AG121</f>
        <v>41.46952504892699</v>
      </c>
      <c r="G180" s="156">
        <f>'[4]Inedible Tallow Complex'!$AG118</f>
        <v>500</v>
      </c>
      <c r="H180" s="156">
        <f>'[4]Yellow Grease Complex'!$AG119</f>
        <v>100</v>
      </c>
      <c r="I180" s="156">
        <f>'[4]Used Cooking Oil Complex'!$AG119</f>
        <v>850</v>
      </c>
      <c r="J180" s="156">
        <f t="shared" si="13"/>
        <v>830.68705604539582</v>
      </c>
      <c r="K180" s="156">
        <f t="shared" si="15"/>
        <v>1493.9533645176541</v>
      </c>
      <c r="L180" s="156">
        <f t="shared" si="14"/>
        <v>2324.6404205630497</v>
      </c>
      <c r="M180" s="157">
        <f>'[5]Renewable Diesel'!$P58/1000000</f>
        <v>289.55729300000002</v>
      </c>
      <c r="N180" s="158">
        <f t="shared" si="17"/>
        <v>8.0282571938640466</v>
      </c>
      <c r="O180" s="157">
        <f t="shared" si="16"/>
        <v>2539.7312117481983</v>
      </c>
      <c r="P180" s="154">
        <f t="shared" si="18"/>
        <v>8.7710835580583986</v>
      </c>
    </row>
    <row r="181" spans="1:16" x14ac:dyDescent="0.2">
      <c r="A181" s="155">
        <v>45597</v>
      </c>
      <c r="B181" s="156">
        <f>'[3]Soy Complex'!$BN420</f>
        <v>575</v>
      </c>
      <c r="C181" s="156">
        <f>'[3]Canola Complex'!$BN355</f>
        <v>286.1257328193683</v>
      </c>
      <c r="D181" s="156">
        <f>'[4]Distillers'' Corn Oil Complex'!$AG129</f>
        <v>201.33132983936451</v>
      </c>
      <c r="E181" s="156">
        <f>'[4]Poultry Byproduct Complex'!$AG259</f>
        <v>2.1805499649340123</v>
      </c>
      <c r="F181" s="156">
        <f>'[4]CWG Complex'!$AG122</f>
        <v>12.565816501386035</v>
      </c>
      <c r="G181" s="156">
        <f>'[4]Inedible Tallow Complex'!$AG119</f>
        <v>600</v>
      </c>
      <c r="H181" s="156">
        <f>'[4]Yellow Grease Complex'!$AG120</f>
        <v>75</v>
      </c>
      <c r="I181" s="156">
        <f>'[4]Used Cooking Oil Complex'!$AG120</f>
        <v>525</v>
      </c>
      <c r="J181" s="156">
        <f t="shared" si="13"/>
        <v>861.1257328193683</v>
      </c>
      <c r="K181" s="156">
        <f t="shared" si="15"/>
        <v>1214.7463664663201</v>
      </c>
      <c r="L181" s="156">
        <f t="shared" si="14"/>
        <v>2075.8720992856884</v>
      </c>
      <c r="M181" s="157">
        <f>'[5]Renewable Diesel'!$P59/1000000</f>
        <v>261.18942399999997</v>
      </c>
      <c r="N181" s="158">
        <f t="shared" si="17"/>
        <v>7.9477647582150519</v>
      </c>
      <c r="O181" s="157">
        <f t="shared" si="16"/>
        <v>2277.2034291250529</v>
      </c>
      <c r="P181" s="154">
        <f t="shared" si="18"/>
        <v>8.7185897279097073</v>
      </c>
    </row>
    <row r="182" spans="1:16" x14ac:dyDescent="0.2">
      <c r="A182" s="155">
        <v>45627</v>
      </c>
      <c r="B182" s="156">
        <f>'[3]Soy Complex'!$BN421</f>
        <v>575</v>
      </c>
      <c r="C182" s="156">
        <f>'[3]Canola Complex'!$BN356</f>
        <v>385.53581233031178</v>
      </c>
      <c r="D182" s="156">
        <f>'[4]Distillers'' Corn Oil Complex'!$AG130</f>
        <v>278.06667403418078</v>
      </c>
      <c r="E182" s="156">
        <f>'[4]Poultry Byproduct Complex'!$AG260</f>
        <v>2.6352050458789842</v>
      </c>
      <c r="F182" s="156">
        <f>'[4]CWG Complex'!$AG123</f>
        <v>7.6301571834763919</v>
      </c>
      <c r="G182" s="156">
        <f>'[4]Inedible Tallow Complex'!$AG120</f>
        <v>600</v>
      </c>
      <c r="H182" s="156">
        <f>'[4]Yellow Grease Complex'!$AG121</f>
        <v>75</v>
      </c>
      <c r="I182" s="156">
        <f>'[4]Used Cooking Oil Complex'!$AG121</f>
        <v>900</v>
      </c>
      <c r="J182" s="156">
        <f t="shared" si="13"/>
        <v>960.53581233031173</v>
      </c>
      <c r="K182" s="156">
        <f t="shared" si="15"/>
        <v>1585.2653622293553</v>
      </c>
      <c r="L182" s="156">
        <f t="shared" si="14"/>
        <v>2545.8011745596668</v>
      </c>
      <c r="M182" s="157">
        <f>'[5]Renewable Diesel'!$P60/1000000</f>
        <v>314.11158899999998</v>
      </c>
      <c r="N182" s="158">
        <f t="shared" si="17"/>
        <v>8.1047667889759616</v>
      </c>
      <c r="O182" s="157">
        <f t="shared" si="16"/>
        <v>2823.8678485938476</v>
      </c>
      <c r="P182" s="154">
        <f t="shared" si="18"/>
        <v>8.9900148465832235</v>
      </c>
    </row>
    <row r="183" spans="1:16" x14ac:dyDescent="0.2">
      <c r="A183" s="155">
        <v>45658</v>
      </c>
      <c r="B183" s="156">
        <f>'[3]Soy Complex'!$BN422</f>
        <v>150</v>
      </c>
      <c r="C183" s="156">
        <f>'[3]Canola Complex'!$BN357</f>
        <v>132.30799919897123</v>
      </c>
      <c r="D183" s="156">
        <f>'[4]Distillers'' Corn Oil Complex'!$AH119</f>
        <v>278.00289324755357</v>
      </c>
      <c r="E183" s="156">
        <f>'[4]Poultry Byproduct Complex'!$AG261</f>
        <v>1.7522045772085939</v>
      </c>
      <c r="F183" s="156">
        <f>'[4]CWG Complex'!$AG124</f>
        <v>25.047278792155979</v>
      </c>
      <c r="G183" s="156">
        <f>'[4]Inedible Tallow Complex'!$AG121</f>
        <v>600</v>
      </c>
      <c r="H183" s="156">
        <f>'[4]Yellow Grease Complex'!$AG122</f>
        <v>75</v>
      </c>
      <c r="I183" s="156">
        <f>'[4]Used Cooking Oil Complex'!$AG122</f>
        <v>550</v>
      </c>
      <c r="J183" s="156">
        <f t="shared" si="13"/>
        <v>282.30799919897123</v>
      </c>
      <c r="K183" s="156">
        <f t="shared" si="15"/>
        <v>1251.7994833693647</v>
      </c>
      <c r="L183" s="156">
        <f t="shared" si="14"/>
        <v>1534.1074825683359</v>
      </c>
      <c r="M183" s="157">
        <f>'[5]Renewable Diesel'!$Q49/1000000</f>
        <v>217.36727500000001</v>
      </c>
      <c r="N183" s="158">
        <f t="shared" si="17"/>
        <v>7.057674539869609</v>
      </c>
      <c r="O183" s="157">
        <f t="shared" si="16"/>
        <v>1812.1103758158893</v>
      </c>
      <c r="P183" s="154">
        <f t="shared" si="18"/>
        <v>8.3366292180637096</v>
      </c>
    </row>
    <row r="184" spans="1:16" x14ac:dyDescent="0.2">
      <c r="A184" s="155">
        <v>45689</v>
      </c>
      <c r="B184" s="159">
        <f>$L184*(AVERAGE(B172/$L172,B160/$L160,B148/$L148,B136/$L136))-248</f>
        <v>144.05957020010334</v>
      </c>
      <c r="C184" s="159">
        <f>$L184*(AVERAGE(C172/$L172,C160/$L160,C148/$L148,C136/$L136))+46</f>
        <v>112.08385520224643</v>
      </c>
      <c r="D184" s="159">
        <f>$L184*(AVERAGE(D172/$L172,D160/$L160,D148/$L148,D136/$L136))*0.75</f>
        <v>251.56937728006048</v>
      </c>
      <c r="E184" s="159">
        <f t="shared" ref="E184:F199" si="19">$L184*(AVERAGE(E172/$L172,E160/$L160,E148/$L148,E136/$L136))</f>
        <v>1.4696233017263627</v>
      </c>
      <c r="F184" s="159">
        <f>$L184*(AVERAGE(F172/$L172,F160/$L160,F148/$L148,F136/$L136))-30</f>
        <v>19.25429929694608</v>
      </c>
      <c r="G184" s="159">
        <f>$L184*(AVERAGE(G172/$L172,G160/$L160,G148/$L148,G136/$L136))+240</f>
        <v>496.65310170710364</v>
      </c>
      <c r="H184" s="159">
        <f>$L184*(AVERAGE(H172/$L172,H160/$L160,H148/$L148,H136/$L136))-34</f>
        <v>24.156405943801673</v>
      </c>
      <c r="I184" s="159">
        <f t="shared" ref="I184:I247" si="20">L184-SUM(E184:H184,B184:C184)</f>
        <v>567.27856116556291</v>
      </c>
      <c r="J184" s="159">
        <f t="shared" si="13"/>
        <v>256.14342540234975</v>
      </c>
      <c r="K184" s="159">
        <f t="shared" si="15"/>
        <v>1108.8119914151407</v>
      </c>
      <c r="L184" s="159">
        <f>M184*N184</f>
        <v>1364.9554168174905</v>
      </c>
      <c r="M184" s="160">
        <f>'[5]Renewable Diesel'!$Q50/1000000</f>
        <v>186.10279199999999</v>
      </c>
      <c r="N184" s="161">
        <f>AVERAGE(N172,N160,N148,N136,N124)</f>
        <v>7.3344166530155572</v>
      </c>
      <c r="O184" s="157">
        <f t="shared" si="16"/>
        <v>1616.524794097551</v>
      </c>
      <c r="P184" s="154">
        <f t="shared" si="18"/>
        <v>8.6861931340479348</v>
      </c>
    </row>
    <row r="185" spans="1:16" x14ac:dyDescent="0.2">
      <c r="A185" s="155">
        <v>45717</v>
      </c>
      <c r="B185" s="159">
        <f t="shared" ref="B185:B191" si="21">$L185*(AVERAGE(B173/$L173,B161/$L161,B149/$L149,B137/$L137))-200</f>
        <v>275.97176341968299</v>
      </c>
      <c r="C185" s="159">
        <f t="shared" ref="C185:C194" si="22">$L185*(AVERAGE(C173/$L173,C161/$L161,C149/$L149,C137/$L137))+50</f>
        <v>135.96727262439788</v>
      </c>
      <c r="D185" s="159">
        <f t="shared" ref="D185:D191" si="23">$L185*(AVERAGE(D173/$L173,D161/$L161,D149/$L149,D137/$L137))*0.75</f>
        <v>304.74572994182546</v>
      </c>
      <c r="E185" s="159">
        <f t="shared" si="19"/>
        <v>1.7141604307395146</v>
      </c>
      <c r="F185" s="159">
        <f>$L185*(AVERAGE(F173/$L173,F161/$L161,F149/$L149,F137/$L137))-25</f>
        <v>42.549533368746722</v>
      </c>
      <c r="G185" s="159">
        <f>$L185*(AVERAGE(G173/$L173,G161/$L161,G149/$L149,G137/$L137))+250</f>
        <v>524.32254147305207</v>
      </c>
      <c r="H185" s="159">
        <f>$L185*(AVERAGE(H173/$L173,H161/$L161,H149/$L149,H137/$L137))-50</f>
        <v>61.237637028491974</v>
      </c>
      <c r="I185" s="159">
        <f t="shared" si="20"/>
        <v>610.89794784209221</v>
      </c>
      <c r="J185" s="159">
        <f t="shared" si="13"/>
        <v>411.93903604408086</v>
      </c>
      <c r="K185" s="159">
        <f t="shared" si="15"/>
        <v>1240.7218201431224</v>
      </c>
      <c r="L185" s="159">
        <f t="shared" ref="L185:L248" si="24">M185*N185</f>
        <v>1652.6608561872033</v>
      </c>
      <c r="M185" s="160">
        <f>'[5]Renewable Diesel'!$Q51/1000000</f>
        <v>229.40051700000001</v>
      </c>
      <c r="N185" s="161">
        <f t="shared" ref="N185:N248" si="25">AVERAGE(N173,N161,N149,N137,N125)</f>
        <v>7.2042595099609272</v>
      </c>
      <c r="O185" s="157">
        <f t="shared" si="16"/>
        <v>1957.4065861290287</v>
      </c>
      <c r="P185" s="154">
        <f t="shared" si="18"/>
        <v>8.5327034643475912</v>
      </c>
    </row>
    <row r="186" spans="1:16" x14ac:dyDescent="0.2">
      <c r="A186" s="155">
        <v>45748</v>
      </c>
      <c r="B186" s="159">
        <f t="shared" si="21"/>
        <v>168.62754024146955</v>
      </c>
      <c r="C186" s="159">
        <f t="shared" si="22"/>
        <v>109.39863975375151</v>
      </c>
      <c r="D186" s="159">
        <f t="shared" si="23"/>
        <v>294.2252865610605</v>
      </c>
      <c r="E186" s="159">
        <f t="shared" si="19"/>
        <v>1.4723139374783538</v>
      </c>
      <c r="F186" s="159">
        <f t="shared" ref="F186:F194" si="26">$L186*(AVERAGE(F174/$L174,F162/$L162,F150/$L150,F138/$L138))-25</f>
        <v>53.738104197431895</v>
      </c>
      <c r="G186" s="159">
        <f t="shared" ref="G186:H201" si="27">$L186*(AVERAGE(G174/$L174,G162/$L162,G150/$L150,G138/$L138))</f>
        <v>218.96395428572077</v>
      </c>
      <c r="H186" s="159">
        <f t="shared" si="27"/>
        <v>113.35512404502745</v>
      </c>
      <c r="I186" s="159">
        <f t="shared" si="20"/>
        <v>812.32324185777168</v>
      </c>
      <c r="J186" s="159">
        <f t="shared" si="13"/>
        <v>278.02617999522107</v>
      </c>
      <c r="K186" s="159">
        <f t="shared" si="15"/>
        <v>1199.85273832343</v>
      </c>
      <c r="L186" s="159">
        <f t="shared" si="24"/>
        <v>1477.8789183186511</v>
      </c>
      <c r="M186" s="160">
        <f>'[5]Renewable Diesel'!$Q52/1000000</f>
        <v>201.33135648154609</v>
      </c>
      <c r="N186" s="161">
        <f t="shared" si="25"/>
        <v>7.3405302787701263</v>
      </c>
      <c r="O186" s="157">
        <f t="shared" si="16"/>
        <v>1772.1042048797117</v>
      </c>
      <c r="P186" s="154">
        <f t="shared" si="18"/>
        <v>8.8019285015950395</v>
      </c>
    </row>
    <row r="187" spans="1:16" x14ac:dyDescent="0.2">
      <c r="A187" s="155">
        <v>45778</v>
      </c>
      <c r="B187" s="159">
        <f t="shared" si="21"/>
        <v>144.33762357398166</v>
      </c>
      <c r="C187" s="159">
        <f t="shared" si="22"/>
        <v>127.2510203109463</v>
      </c>
      <c r="D187" s="159">
        <f t="shared" si="23"/>
        <v>196.87942383997199</v>
      </c>
      <c r="E187" s="159">
        <f t="shared" si="19"/>
        <v>1.3769503242526535</v>
      </c>
      <c r="F187" s="159">
        <f t="shared" si="26"/>
        <v>39.980088702545274</v>
      </c>
      <c r="G187" s="159">
        <f t="shared" si="27"/>
        <v>235.10900650674418</v>
      </c>
      <c r="H187" s="159">
        <f t="shared" si="27"/>
        <v>89.64451920295302</v>
      </c>
      <c r="I187" s="159">
        <f t="shared" si="20"/>
        <v>777.23936456643048</v>
      </c>
      <c r="J187" s="159">
        <f t="shared" si="13"/>
        <v>271.58864388492793</v>
      </c>
      <c r="K187" s="159">
        <f t="shared" si="15"/>
        <v>1143.3499293029256</v>
      </c>
      <c r="L187" s="159">
        <f t="shared" si="24"/>
        <v>1414.9385731878535</v>
      </c>
      <c r="M187" s="160">
        <f>'[5]Renewable Diesel'!$Q53/1000000</f>
        <v>198.33698821685206</v>
      </c>
      <c r="N187" s="161">
        <f t="shared" si="25"/>
        <v>7.1340126010223983</v>
      </c>
      <c r="O187" s="157">
        <f t="shared" si="16"/>
        <v>1611.8179970278256</v>
      </c>
      <c r="P187" s="154">
        <f t="shared" si="18"/>
        <v>8.1266636723632306</v>
      </c>
    </row>
    <row r="188" spans="1:16" x14ac:dyDescent="0.2">
      <c r="A188" s="155">
        <v>45809</v>
      </c>
      <c r="B188" s="159">
        <f t="shared" si="21"/>
        <v>167.89066616330553</v>
      </c>
      <c r="C188" s="159">
        <f t="shared" si="22"/>
        <v>115.46815912664195</v>
      </c>
      <c r="D188" s="159">
        <f t="shared" si="23"/>
        <v>189.14366479408429</v>
      </c>
      <c r="E188" s="159">
        <f t="shared" si="19"/>
        <v>1.2906262268214299</v>
      </c>
      <c r="F188" s="159">
        <f t="shared" si="26"/>
        <v>42.268085087308378</v>
      </c>
      <c r="G188" s="159">
        <f t="shared" si="27"/>
        <v>241.67758809137351</v>
      </c>
      <c r="H188" s="159">
        <f t="shared" si="27"/>
        <v>104.95725218879051</v>
      </c>
      <c r="I188" s="159">
        <f t="shared" si="20"/>
        <v>743.02047011679792</v>
      </c>
      <c r="J188" s="159">
        <f t="shared" si="13"/>
        <v>283.3588252899475</v>
      </c>
      <c r="K188" s="159">
        <f t="shared" si="15"/>
        <v>1133.2140217110918</v>
      </c>
      <c r="L188" s="159">
        <f t="shared" si="24"/>
        <v>1416.5728470010392</v>
      </c>
      <c r="M188" s="160">
        <f>'[5]Renewable Diesel'!$Q54/1000000</f>
        <v>195.59531042807598</v>
      </c>
      <c r="N188" s="161">
        <f t="shared" si="25"/>
        <v>7.2423661073507146</v>
      </c>
      <c r="O188" s="157">
        <f t="shared" si="16"/>
        <v>1605.7165117951233</v>
      </c>
      <c r="P188" s="154">
        <f t="shared" si="18"/>
        <v>8.2093814431485317</v>
      </c>
    </row>
    <row r="189" spans="1:16" x14ac:dyDescent="0.2">
      <c r="A189" s="155">
        <v>45839</v>
      </c>
      <c r="B189" s="159">
        <f>$L189*(AVERAGE(B177/$L177,B165/$L165,B153/$L153,B141/$L141))</f>
        <v>349.15477157656301</v>
      </c>
      <c r="C189" s="159">
        <f t="shared" si="22"/>
        <v>144.6841621137437</v>
      </c>
      <c r="D189" s="159">
        <f t="shared" si="23"/>
        <v>215.09079118514842</v>
      </c>
      <c r="E189" s="159">
        <f t="shared" si="19"/>
        <v>1.2459803518827035</v>
      </c>
      <c r="F189" s="159">
        <f t="shared" si="26"/>
        <v>43.26637486990407</v>
      </c>
      <c r="G189" s="159">
        <f t="shared" si="27"/>
        <v>260.85025439870492</v>
      </c>
      <c r="H189" s="159">
        <f t="shared" si="27"/>
        <v>110.41494070833262</v>
      </c>
      <c r="I189" s="159">
        <f t="shared" si="20"/>
        <v>474.41230584724565</v>
      </c>
      <c r="J189" s="159">
        <f t="shared" si="13"/>
        <v>493.8389336903067</v>
      </c>
      <c r="K189" s="159">
        <f t="shared" si="15"/>
        <v>890.18985617606995</v>
      </c>
      <c r="L189" s="159">
        <f t="shared" si="24"/>
        <v>1384.0287898663767</v>
      </c>
      <c r="M189" s="160">
        <f>'[5]Renewable Diesel'!$Q55/1000000</f>
        <v>192.07520021665866</v>
      </c>
      <c r="N189" s="161">
        <f t="shared" si="25"/>
        <v>7.2056610551763471</v>
      </c>
      <c r="O189" s="157">
        <f t="shared" si="16"/>
        <v>1599.1195810515251</v>
      </c>
      <c r="P189" s="154">
        <f t="shared" si="18"/>
        <v>8.3254869928430963</v>
      </c>
    </row>
    <row r="190" spans="1:16" x14ac:dyDescent="0.2">
      <c r="A190" s="155">
        <v>45870</v>
      </c>
      <c r="B190" s="159">
        <f t="shared" ref="B190:B191" si="28">$L190*(AVERAGE(B178/$L178,B166/$L166,B154/$L154,B142/$L142))</f>
        <v>392.16330349190071</v>
      </c>
      <c r="C190" s="159">
        <f t="shared" si="22"/>
        <v>120.58106004580826</v>
      </c>
      <c r="D190" s="159">
        <f t="shared" si="23"/>
        <v>201.33132983936451</v>
      </c>
      <c r="E190" s="159">
        <f t="shared" si="19"/>
        <v>1.2633360226882597</v>
      </c>
      <c r="F190" s="159">
        <f t="shared" si="26"/>
        <v>31.382571690077782</v>
      </c>
      <c r="G190" s="159">
        <f t="shared" si="27"/>
        <v>246.63128005781343</v>
      </c>
      <c r="H190" s="159">
        <f t="shared" si="27"/>
        <v>113.22206283943144</v>
      </c>
      <c r="I190" s="159">
        <f t="shared" si="20"/>
        <v>522.55755472281157</v>
      </c>
      <c r="J190" s="159">
        <f t="shared" si="13"/>
        <v>512.74436353770898</v>
      </c>
      <c r="K190" s="159">
        <f t="shared" si="15"/>
        <v>915.05680533282248</v>
      </c>
      <c r="L190" s="159">
        <f t="shared" si="24"/>
        <v>1427.8011688705315</v>
      </c>
      <c r="M190" s="160">
        <f>'[5]Renewable Diesel'!$Q56/1000000</f>
        <v>196.75880169768377</v>
      </c>
      <c r="N190" s="161">
        <f t="shared" si="25"/>
        <v>7.256606345185622</v>
      </c>
      <c r="O190" s="157">
        <f t="shared" si="16"/>
        <v>1629.132498709896</v>
      </c>
      <c r="P190" s="154">
        <f t="shared" si="18"/>
        <v>8.2798456010777493</v>
      </c>
    </row>
    <row r="191" spans="1:16" x14ac:dyDescent="0.2">
      <c r="A191" s="155">
        <v>45901</v>
      </c>
      <c r="B191" s="159">
        <f t="shared" si="28"/>
        <v>396.38181534867169</v>
      </c>
      <c r="C191" s="159">
        <f t="shared" si="22"/>
        <v>103.61916437094271</v>
      </c>
      <c r="D191" s="159">
        <f t="shared" si="23"/>
        <v>278.06667403418078</v>
      </c>
      <c r="E191" s="159">
        <f t="shared" si="19"/>
        <v>2.0391952325643583</v>
      </c>
      <c r="F191" s="159">
        <f t="shared" si="26"/>
        <v>43.89234832870784</v>
      </c>
      <c r="G191" s="159">
        <f t="shared" si="27"/>
        <v>256.40592384759276</v>
      </c>
      <c r="H191" s="159">
        <f t="shared" si="27"/>
        <v>90.835665531798995</v>
      </c>
      <c r="I191" s="159">
        <f t="shared" si="20"/>
        <v>556.51946670665586</v>
      </c>
      <c r="J191" s="159">
        <f t="shared" si="13"/>
        <v>500.00097971961441</v>
      </c>
      <c r="K191" s="159">
        <f t="shared" si="15"/>
        <v>949.69259964731987</v>
      </c>
      <c r="L191" s="159">
        <f t="shared" si="24"/>
        <v>1449.6935793669343</v>
      </c>
      <c r="M191" s="160">
        <f>'[5]Renewable Diesel'!$Q57/1000000</f>
        <v>199.56749623015037</v>
      </c>
      <c r="N191" s="161">
        <f t="shared" si="25"/>
        <v>7.2641768161238103</v>
      </c>
      <c r="O191" s="157">
        <f t="shared" si="16"/>
        <v>1727.7602534011148</v>
      </c>
      <c r="P191" s="154">
        <f t="shared" si="18"/>
        <v>8.6575233243823568</v>
      </c>
    </row>
    <row r="192" spans="1:16" x14ac:dyDescent="0.2">
      <c r="A192" s="155">
        <v>45931</v>
      </c>
      <c r="B192" s="159">
        <f>$L192*(AVERAGE(B180/$L180,B168/$L168,B156/$L156,B144/$L144))</f>
        <v>326.51420251748982</v>
      </c>
      <c r="C192" s="159">
        <f t="shared" si="22"/>
        <v>137.62392253685528</v>
      </c>
      <c r="D192" s="159">
        <f>$L192*(AVERAGE(D180/$L180,D168/$L168,D156/$L156,D144/$L144))*0.85-15</f>
        <v>278.00289324755357</v>
      </c>
      <c r="E192" s="159">
        <f t="shared" si="19"/>
        <v>2.6215264006584902</v>
      </c>
      <c r="F192" s="159">
        <f t="shared" si="26"/>
        <v>31.423251320501457</v>
      </c>
      <c r="G192" s="159">
        <f>$L192*(AVERAGE(G180/$L180,G168/$L168,G156/$L156,G144/$L144))*1.305-70</f>
        <v>314.47085694222142</v>
      </c>
      <c r="H192" s="159">
        <f t="shared" si="27"/>
        <v>123.69450388502531</v>
      </c>
      <c r="I192" s="159">
        <f t="shared" si="20"/>
        <v>701.47194697855662</v>
      </c>
      <c r="J192" s="159">
        <f t="shared" si="13"/>
        <v>464.1381250543451</v>
      </c>
      <c r="K192" s="159">
        <f t="shared" si="15"/>
        <v>1173.6820855269634</v>
      </c>
      <c r="L192" s="159">
        <f t="shared" si="24"/>
        <v>1637.8202105813084</v>
      </c>
      <c r="M192" s="160">
        <f>'[5]Renewable Diesel'!$Q58/1000000</f>
        <v>216.64754243543953</v>
      </c>
      <c r="N192" s="161">
        <f t="shared" si="25"/>
        <v>7.5598374768981058</v>
      </c>
      <c r="O192" s="157">
        <f t="shared" si="16"/>
        <v>1915.8231038288618</v>
      </c>
      <c r="P192" s="154">
        <f t="shared" si="18"/>
        <v>8.8430410162615747</v>
      </c>
    </row>
    <row r="193" spans="1:16" x14ac:dyDescent="0.2">
      <c r="A193" s="155">
        <v>45962</v>
      </c>
      <c r="B193" s="159">
        <f>$L193*(AVERAGE(B181/$L181,B169/$L169,B157/$L157,B145/$L145))+100</f>
        <v>531.09518793884081</v>
      </c>
      <c r="C193" s="159">
        <f t="shared" si="22"/>
        <v>156.91344881568767</v>
      </c>
      <c r="D193" s="159">
        <f>$L193*(AVERAGE(D181/$L181,D169/$L169,D157/$L157,D145/$L145))*0.85</f>
        <v>293.05462766594883</v>
      </c>
      <c r="E193" s="159">
        <f t="shared" si="19"/>
        <v>2.6776938594664323</v>
      </c>
      <c r="F193" s="159">
        <f t="shared" si="26"/>
        <v>6.0561100203658249</v>
      </c>
      <c r="G193" s="159">
        <f t="shared" ref="G193:G203" si="29">$L193*(AVERAGE(G181/$L181,G169/$L169,G157/$L157,G145/$L145))*1.305-70</f>
        <v>354.26953767487464</v>
      </c>
      <c r="H193" s="159">
        <f t="shared" si="27"/>
        <v>108.05016147416805</v>
      </c>
      <c r="I193" s="159">
        <f t="shared" si="20"/>
        <v>609.11453154283049</v>
      </c>
      <c r="J193" s="159">
        <f t="shared" si="13"/>
        <v>688.00863675452842</v>
      </c>
      <c r="K193" s="159">
        <f t="shared" si="15"/>
        <v>1080.1680345717054</v>
      </c>
      <c r="L193" s="159">
        <f t="shared" si="24"/>
        <v>1768.1766713262339</v>
      </c>
      <c r="M193" s="160">
        <f>'[5]Renewable Diesel'!$Q59/1000000</f>
        <v>233.98093373434196</v>
      </c>
      <c r="N193" s="161">
        <f t="shared" si="25"/>
        <v>7.5569262978230185</v>
      </c>
      <c r="O193" s="157">
        <f t="shared" si="16"/>
        <v>2061.2312989921829</v>
      </c>
      <c r="P193" s="154">
        <f t="shared" si="18"/>
        <v>8.8093985526721177</v>
      </c>
    </row>
    <row r="194" spans="1:16" x14ac:dyDescent="0.2">
      <c r="A194" s="155">
        <v>45992</v>
      </c>
      <c r="B194" s="159">
        <f>$L194*(AVERAGE(B182/$L182,B170/$L170,B158/$L158,B146/$L146))+100</f>
        <v>547.26643407035294</v>
      </c>
      <c r="C194" s="159">
        <f t="shared" si="22"/>
        <v>208.10880712525565</v>
      </c>
      <c r="D194" s="159">
        <f>$L194*(AVERAGE(D182/$L182,D170/$L170,D158/$L158,D146/$L146))*0.85</f>
        <v>339.0334826063762</v>
      </c>
      <c r="E194" s="159">
        <f t="shared" si="19"/>
        <v>3.0590677751592206</v>
      </c>
      <c r="F194" s="159">
        <f t="shared" si="26"/>
        <v>5.072455794701856</v>
      </c>
      <c r="G194" s="159">
        <f t="shared" si="29"/>
        <v>435.03452508434083</v>
      </c>
      <c r="H194" s="159">
        <f t="shared" si="27"/>
        <v>119.00760040388617</v>
      </c>
      <c r="I194" s="159">
        <f t="shared" si="20"/>
        <v>823.10169537783895</v>
      </c>
      <c r="J194" s="159">
        <f t="shared" si="13"/>
        <v>755.37524119560862</v>
      </c>
      <c r="K194" s="159">
        <f t="shared" si="15"/>
        <v>1385.2753444359271</v>
      </c>
      <c r="L194" s="159">
        <f t="shared" si="24"/>
        <v>2140.6505856315357</v>
      </c>
      <c r="M194" s="160">
        <f>'[5]Renewable Diesel'!$Q60/1000000</f>
        <v>283.9766027301884</v>
      </c>
      <c r="N194" s="161">
        <f t="shared" si="25"/>
        <v>7.5381230884905293</v>
      </c>
      <c r="O194" s="157">
        <f t="shared" si="16"/>
        <v>2479.684068237912</v>
      </c>
      <c r="P194" s="154">
        <f t="shared" si="18"/>
        <v>8.7320013141854051</v>
      </c>
    </row>
    <row r="195" spans="1:16" x14ac:dyDescent="0.2">
      <c r="A195" s="155">
        <v>46023</v>
      </c>
      <c r="B195" s="159">
        <f>$L195*(AVERAGE(B183/$L183,B171/$L171,B159/$L159,B147/$L147))+200</f>
        <v>402.56633760166011</v>
      </c>
      <c r="C195" s="159">
        <f t="shared" ref="B195:C210" si="30">$L195*(AVERAGE(C183/$L183,C171/$L171,C159/$L159,C147/$L147))</f>
        <v>106.03937956835433</v>
      </c>
      <c r="D195" s="159">
        <f>$L195*(AVERAGE(D183/$L183,D171/$L171,D159/$L159,D147/$L147))+100</f>
        <v>366.48144384798451</v>
      </c>
      <c r="E195" s="159">
        <f t="shared" si="19"/>
        <v>1.6796441799039501</v>
      </c>
      <c r="F195" s="159">
        <f t="shared" si="19"/>
        <v>29.728469158495258</v>
      </c>
      <c r="G195" s="159">
        <f t="shared" si="29"/>
        <v>296.30840530107764</v>
      </c>
      <c r="H195" s="159">
        <f t="shared" si="27"/>
        <v>80.924738944168595</v>
      </c>
      <c r="I195" s="159">
        <f>L195-SUM(E195:H195,B195:C195)</f>
        <v>282.4630083539929</v>
      </c>
      <c r="J195" s="159">
        <f t="shared" ref="J195:J258" si="31">C195+B195</f>
        <v>508.60571717001443</v>
      </c>
      <c r="K195" s="159">
        <f t="shared" si="15"/>
        <v>691.10426593763839</v>
      </c>
      <c r="L195" s="159">
        <f t="shared" si="24"/>
        <v>1199.7099831076528</v>
      </c>
      <c r="M195" s="160">
        <f>'[5]Renewable Diesel'!$R49/1000000</f>
        <v>173.30103992010649</v>
      </c>
      <c r="N195" s="161">
        <f t="shared" si="25"/>
        <v>6.9226935029399197</v>
      </c>
      <c r="O195" s="157">
        <f t="shared" si="16"/>
        <v>1566.1914269556373</v>
      </c>
      <c r="P195" s="154">
        <f t="shared" si="18"/>
        <v>9.0374035128563985</v>
      </c>
    </row>
    <row r="196" spans="1:16" x14ac:dyDescent="0.2">
      <c r="A196" s="155">
        <v>46054</v>
      </c>
      <c r="B196" s="159">
        <f t="shared" ref="B196:B204" si="32">$L196*(AVERAGE(B184/$L184,B172/$L172,B160/$L160,B148/$L148))+200</f>
        <v>409.19093927155416</v>
      </c>
      <c r="C196" s="159">
        <f t="shared" si="30"/>
        <v>95.229831596433655</v>
      </c>
      <c r="D196" s="159">
        <f>$L196*(AVERAGE(D184/$L184,D172/$L172,D160/$L160,D148/$L148))*0.85</f>
        <v>257.99538553901431</v>
      </c>
      <c r="E196" s="159">
        <f t="shared" si="19"/>
        <v>1.8589906050589746</v>
      </c>
      <c r="F196" s="159">
        <f t="shared" si="19"/>
        <v>28.007837627078395</v>
      </c>
      <c r="G196" s="159">
        <f t="shared" si="29"/>
        <v>356.6087424929342</v>
      </c>
      <c r="H196" s="159">
        <f t="shared" si="27"/>
        <v>54.027460779242361</v>
      </c>
      <c r="I196" s="159">
        <f t="shared" si="20"/>
        <v>436.34950390004599</v>
      </c>
      <c r="J196" s="159">
        <f t="shared" si="31"/>
        <v>504.42077086798781</v>
      </c>
      <c r="K196" s="159">
        <f t="shared" ref="K196:K259" si="33">SUM(E196:I196)</f>
        <v>876.85253540435997</v>
      </c>
      <c r="L196" s="159">
        <f t="shared" si="24"/>
        <v>1381.2733062723478</v>
      </c>
      <c r="M196" s="160">
        <f>'[5]Renewable Diesel'!$R50/1000000</f>
        <v>188.92087788275504</v>
      </c>
      <c r="N196" s="161">
        <f t="shared" si="25"/>
        <v>7.3113851775004504</v>
      </c>
      <c r="O196" s="157">
        <f t="shared" si="16"/>
        <v>1639.2686918113618</v>
      </c>
      <c r="P196" s="154">
        <f t="shared" si="18"/>
        <v>8.6770118272936347</v>
      </c>
    </row>
    <row r="197" spans="1:16" x14ac:dyDescent="0.2">
      <c r="A197" s="155">
        <v>46082</v>
      </c>
      <c r="B197" s="159">
        <f t="shared" si="32"/>
        <v>459.52671421335242</v>
      </c>
      <c r="C197" s="159">
        <f t="shared" si="30"/>
        <v>105.33610571068151</v>
      </c>
      <c r="D197" s="159">
        <f t="shared" ref="D197:D203" si="34">$L197*(AVERAGE(D185/$L185,D173/$L173,D161/$L161,D149/$L149))*0.85</f>
        <v>236.0374405200015</v>
      </c>
      <c r="E197" s="159">
        <f t="shared" si="19"/>
        <v>1.8815058446450013</v>
      </c>
      <c r="F197" s="159">
        <f t="shared" si="19"/>
        <v>37.84587837056538</v>
      </c>
      <c r="G197" s="159">
        <f t="shared" si="29"/>
        <v>306.53835674651322</v>
      </c>
      <c r="H197" s="159">
        <f t="shared" si="27"/>
        <v>89.680852604501979</v>
      </c>
      <c r="I197" s="159">
        <f t="shared" si="20"/>
        <v>450.39247140717828</v>
      </c>
      <c r="J197" s="159">
        <f t="shared" si="31"/>
        <v>564.86281992403394</v>
      </c>
      <c r="K197" s="159">
        <f t="shared" si="33"/>
        <v>886.33906497340388</v>
      </c>
      <c r="L197" s="159">
        <f t="shared" si="24"/>
        <v>1451.2018848974378</v>
      </c>
      <c r="M197" s="160">
        <f>'[5]Renewable Diesel'!$R51/1000000</f>
        <v>201.08755147234575</v>
      </c>
      <c r="N197" s="161">
        <f t="shared" si="25"/>
        <v>7.2167663998684279</v>
      </c>
      <c r="O197" s="157">
        <f t="shared" si="16"/>
        <v>1687.2393254174392</v>
      </c>
      <c r="P197" s="154">
        <f t="shared" si="18"/>
        <v>8.3905707392805677</v>
      </c>
    </row>
    <row r="198" spans="1:16" x14ac:dyDescent="0.2">
      <c r="A198" s="155">
        <v>46113</v>
      </c>
      <c r="B198" s="159">
        <f t="shared" si="32"/>
        <v>431.56323449267114</v>
      </c>
      <c r="C198" s="159">
        <f t="shared" si="30"/>
        <v>83.309544349947956</v>
      </c>
      <c r="D198" s="159">
        <f t="shared" si="34"/>
        <v>241.78455216548699</v>
      </c>
      <c r="E198" s="159">
        <f t="shared" si="19"/>
        <v>1.7674381472983964</v>
      </c>
      <c r="F198" s="159">
        <f t="shared" si="19"/>
        <v>42.695787658101636</v>
      </c>
      <c r="G198" s="159">
        <f>$L198*(AVERAGE(G186/$L186,G174/$L174,G162/$L162,G150/$L150))*1.305-70</f>
        <v>170.77904883743176</v>
      </c>
      <c r="H198" s="159">
        <f t="shared" si="27"/>
        <v>111.17196232478608</v>
      </c>
      <c r="I198" s="159">
        <f t="shared" si="20"/>
        <v>578.0078836447932</v>
      </c>
      <c r="J198" s="159">
        <f t="shared" si="31"/>
        <v>514.87277884261914</v>
      </c>
      <c r="K198" s="159">
        <f t="shared" si="33"/>
        <v>904.42212061241105</v>
      </c>
      <c r="L198" s="159">
        <f t="shared" si="24"/>
        <v>1419.2948994550302</v>
      </c>
      <c r="M198" s="160">
        <f>'[5]Renewable Diesel'!$R52/1000000</f>
        <v>193.34420249970381</v>
      </c>
      <c r="N198" s="161">
        <f t="shared" si="25"/>
        <v>7.3407678177327522</v>
      </c>
      <c r="O198" s="157">
        <f t="shared" si="16"/>
        <v>1661.0794516205171</v>
      </c>
      <c r="P198" s="154">
        <f t="shared" si="18"/>
        <v>8.5913072652026479</v>
      </c>
    </row>
    <row r="199" spans="1:16" x14ac:dyDescent="0.2">
      <c r="A199" s="155">
        <v>46143</v>
      </c>
      <c r="B199" s="159">
        <f t="shared" si="32"/>
        <v>431.30474745549839</v>
      </c>
      <c r="C199" s="159">
        <f t="shared" si="30"/>
        <v>118.64063168848342</v>
      </c>
      <c r="D199" s="159">
        <f t="shared" si="34"/>
        <v>199.57999804674105</v>
      </c>
      <c r="E199" s="159">
        <f t="shared" si="19"/>
        <v>1.8723248815979963</v>
      </c>
      <c r="F199" s="159">
        <f t="shared" si="19"/>
        <v>40.176026728493767</v>
      </c>
      <c r="G199" s="159">
        <f t="shared" si="29"/>
        <v>206.90240484558075</v>
      </c>
      <c r="H199" s="159">
        <f t="shared" si="27"/>
        <v>98.72629793834254</v>
      </c>
      <c r="I199" s="159">
        <f t="shared" si="20"/>
        <v>641.561457035697</v>
      </c>
      <c r="J199" s="159">
        <f t="shared" si="31"/>
        <v>549.94537914398177</v>
      </c>
      <c r="K199" s="159">
        <f t="shared" si="33"/>
        <v>989.23851142971205</v>
      </c>
      <c r="L199" s="159">
        <f t="shared" si="24"/>
        <v>1539.1838905736938</v>
      </c>
      <c r="M199" s="160">
        <f>'[5]Renewable Diesel'!$R53/1000000</f>
        <v>216.09968158198112</v>
      </c>
      <c r="N199" s="161">
        <f t="shared" si="25"/>
        <v>7.12256436152951</v>
      </c>
      <c r="O199" s="157">
        <f t="shared" si="16"/>
        <v>1738.7638886204347</v>
      </c>
      <c r="P199" s="154">
        <f t="shared" si="18"/>
        <v>8.0461196235534711</v>
      </c>
    </row>
    <row r="200" spans="1:16" x14ac:dyDescent="0.2">
      <c r="A200" s="155">
        <v>46174</v>
      </c>
      <c r="B200" s="159">
        <f t="shared" si="32"/>
        <v>456.52979331067041</v>
      </c>
      <c r="C200" s="159">
        <f t="shared" si="30"/>
        <v>104.2451108871203</v>
      </c>
      <c r="D200" s="159">
        <f t="shared" si="34"/>
        <v>207.1052822567502</v>
      </c>
      <c r="E200" s="159">
        <f t="shared" ref="E200:F215" si="35">$L200*(AVERAGE(E188/$L188,E176/$L176,E164/$L164,E152/$L152))</f>
        <v>1.7827581285380725</v>
      </c>
      <c r="F200" s="159">
        <f t="shared" si="35"/>
        <v>49.172978334317527</v>
      </c>
      <c r="G200" s="159">
        <f t="shared" si="29"/>
        <v>240.0966162147725</v>
      </c>
      <c r="H200" s="159">
        <f t="shared" si="27"/>
        <v>122.33793912304019</v>
      </c>
      <c r="I200" s="159">
        <f t="shared" si="20"/>
        <v>591.21861857163526</v>
      </c>
      <c r="J200" s="159">
        <f t="shared" si="31"/>
        <v>560.77490419779076</v>
      </c>
      <c r="K200" s="159">
        <f t="shared" si="33"/>
        <v>1004.6089103723036</v>
      </c>
      <c r="L200" s="159">
        <f t="shared" si="24"/>
        <v>1565.3838145700943</v>
      </c>
      <c r="M200" s="160">
        <f>'[5]Renewable Diesel'!$R54/1000000</f>
        <v>215.72292855995022</v>
      </c>
      <c r="N200" s="161">
        <f t="shared" si="25"/>
        <v>7.2564554218680017</v>
      </c>
      <c r="O200" s="157">
        <f t="shared" si="16"/>
        <v>1772.4890968268444</v>
      </c>
      <c r="P200" s="154">
        <f t="shared" si="18"/>
        <v>8.2165076686981049</v>
      </c>
    </row>
    <row r="201" spans="1:16" x14ac:dyDescent="0.2">
      <c r="A201" s="155">
        <v>46204</v>
      </c>
      <c r="B201" s="159">
        <f t="shared" si="32"/>
        <v>521.6118727356627</v>
      </c>
      <c r="C201" s="159">
        <f t="shared" si="30"/>
        <v>142.88397880490118</v>
      </c>
      <c r="D201" s="159">
        <f t="shared" si="34"/>
        <v>240.82418472514115</v>
      </c>
      <c r="E201" s="159">
        <f t="shared" si="35"/>
        <v>1.7006453182124521</v>
      </c>
      <c r="F201" s="159">
        <f t="shared" si="35"/>
        <v>51.478237180271478</v>
      </c>
      <c r="G201" s="159">
        <f t="shared" si="29"/>
        <v>264.96181714365571</v>
      </c>
      <c r="H201" s="159">
        <f t="shared" si="27"/>
        <v>114.07505994684448</v>
      </c>
      <c r="I201" s="159">
        <f t="shared" si="20"/>
        <v>414.54309088943182</v>
      </c>
      <c r="J201" s="159">
        <f t="shared" si="31"/>
        <v>664.49585154056388</v>
      </c>
      <c r="K201" s="159">
        <f t="shared" si="33"/>
        <v>846.75885047841598</v>
      </c>
      <c r="L201" s="159">
        <f t="shared" si="24"/>
        <v>1511.25470201898</v>
      </c>
      <c r="M201" s="160">
        <f>'[5]Renewable Diesel'!$R55/1000000</f>
        <v>210.51934009415069</v>
      </c>
      <c r="N201" s="161">
        <f t="shared" si="25"/>
        <v>7.1786976975279355</v>
      </c>
      <c r="O201" s="157">
        <f t="shared" si="16"/>
        <v>1752.0788867441211</v>
      </c>
      <c r="P201" s="154">
        <f t="shared" si="18"/>
        <v>8.322650479336188</v>
      </c>
    </row>
    <row r="202" spans="1:16" x14ac:dyDescent="0.2">
      <c r="A202" s="155">
        <v>46235</v>
      </c>
      <c r="B202" s="159">
        <f t="shared" si="32"/>
        <v>512.57378851292378</v>
      </c>
      <c r="C202" s="159">
        <f t="shared" si="30"/>
        <v>110.16950809308379</v>
      </c>
      <c r="D202" s="159">
        <f>$L202*(AVERAGE(D190/$L190,D178/$L178,D166/$L166,D154/$L154))*0.85+50</f>
        <v>267.17379846089864</v>
      </c>
      <c r="E202" s="159">
        <f t="shared" si="35"/>
        <v>1.7272186304910562</v>
      </c>
      <c r="F202" s="159">
        <f t="shared" si="35"/>
        <v>40.674456498351212</v>
      </c>
      <c r="G202" s="159">
        <f t="shared" si="29"/>
        <v>291.63158007476477</v>
      </c>
      <c r="H202" s="159">
        <f t="shared" ref="H202:H265" si="36">$L202*(AVERAGE(H190/$L190,H178/$L178,H166/$L166,H154/$L154))</f>
        <v>120.78610177631967</v>
      </c>
      <c r="I202" s="159">
        <f t="shared" si="20"/>
        <v>484.09615149580986</v>
      </c>
      <c r="J202" s="159">
        <f t="shared" si="31"/>
        <v>622.74329660600756</v>
      </c>
      <c r="K202" s="159">
        <f t="shared" si="33"/>
        <v>938.9155084757366</v>
      </c>
      <c r="L202" s="159">
        <f t="shared" si="24"/>
        <v>1561.6588050817443</v>
      </c>
      <c r="M202" s="160">
        <f>'[5]Renewable Diesel'!$R56/1000000</f>
        <v>216.24145326312794</v>
      </c>
      <c r="N202" s="161">
        <f t="shared" si="25"/>
        <v>7.2218290319270064</v>
      </c>
      <c r="O202" s="157">
        <f t="shared" si="16"/>
        <v>1828.8326035426428</v>
      </c>
      <c r="P202" s="154">
        <f t="shared" si="18"/>
        <v>8.4573636365515643</v>
      </c>
    </row>
    <row r="203" spans="1:16" x14ac:dyDescent="0.2">
      <c r="A203" s="155">
        <v>46266</v>
      </c>
      <c r="B203" s="159">
        <f t="shared" si="32"/>
        <v>514.85798881918913</v>
      </c>
      <c r="C203" s="159">
        <f t="shared" si="30"/>
        <v>87.03791743382061</v>
      </c>
      <c r="D203" s="159">
        <f t="shared" si="34"/>
        <v>264.60129406396067</v>
      </c>
      <c r="E203" s="159">
        <f t="shared" si="35"/>
        <v>1.9306895502543739</v>
      </c>
      <c r="F203" s="159">
        <f t="shared" si="35"/>
        <v>44.281788977725121</v>
      </c>
      <c r="G203" s="159">
        <f t="shared" si="29"/>
        <v>276.70085396157185</v>
      </c>
      <c r="H203" s="159">
        <f t="shared" si="36"/>
        <v>109.43326566841306</v>
      </c>
      <c r="I203" s="159">
        <f t="shared" si="20"/>
        <v>552.42794387815206</v>
      </c>
      <c r="J203" s="159">
        <f t="shared" si="31"/>
        <v>601.8959062530098</v>
      </c>
      <c r="K203" s="159">
        <f t="shared" si="33"/>
        <v>984.77454203611649</v>
      </c>
      <c r="L203" s="159">
        <f t="shared" si="24"/>
        <v>1586.6704482891262</v>
      </c>
      <c r="M203" s="160">
        <f>'[5]Renewable Diesel'!$R57/1000000</f>
        <v>219.22870434448103</v>
      </c>
      <c r="N203" s="161">
        <f t="shared" si="25"/>
        <v>7.2375123186238444</v>
      </c>
      <c r="O203" s="157">
        <f t="shared" si="16"/>
        <v>1851.2717423530869</v>
      </c>
      <c r="P203" s="154">
        <f t="shared" si="18"/>
        <v>8.4444769579266623</v>
      </c>
    </row>
    <row r="204" spans="1:16" x14ac:dyDescent="0.2">
      <c r="A204" s="155">
        <v>46296</v>
      </c>
      <c r="B204" s="159">
        <f t="shared" si="32"/>
        <v>515.58412495141704</v>
      </c>
      <c r="C204" s="159">
        <f t="shared" si="30"/>
        <v>133.30212730131103</v>
      </c>
      <c r="D204" s="159">
        <f>$L204*(AVERAGE(D192/$L192,D180/$L180,D168/$L168,D156/$L156))*0.9</f>
        <v>306.7383419418739</v>
      </c>
      <c r="E204" s="159">
        <f t="shared" si="35"/>
        <v>2.9204300054582717</v>
      </c>
      <c r="F204" s="159">
        <f t="shared" si="35"/>
        <v>51.595023226205413</v>
      </c>
      <c r="G204" s="159">
        <f>$L204*(AVERAGE(G192/$L192,G180/$L180,G168/$L168,G156/$L156))*1.05</f>
        <v>369.47622199158383</v>
      </c>
      <c r="H204" s="159">
        <f t="shared" si="36"/>
        <v>131.68351413104611</v>
      </c>
      <c r="I204" s="159">
        <f t="shared" si="20"/>
        <v>584.54854319324681</v>
      </c>
      <c r="J204" s="159">
        <f t="shared" si="31"/>
        <v>648.88625225272813</v>
      </c>
      <c r="K204" s="159">
        <f t="shared" si="33"/>
        <v>1140.2237325475403</v>
      </c>
      <c r="L204" s="159">
        <f t="shared" si="24"/>
        <v>1789.1099848002684</v>
      </c>
      <c r="M204" s="160">
        <f>'[5]Renewable Diesel'!$R58/1000000</f>
        <v>238.58329733016379</v>
      </c>
      <c r="N204" s="161">
        <f t="shared" si="25"/>
        <v>7.4988903448861564</v>
      </c>
      <c r="O204" s="157">
        <f t="shared" si="16"/>
        <v>2095.848326742142</v>
      </c>
      <c r="P204" s="154">
        <f t="shared" si="18"/>
        <v>8.7845559609388744</v>
      </c>
    </row>
    <row r="205" spans="1:16" x14ac:dyDescent="0.2">
      <c r="A205" s="155">
        <v>46327</v>
      </c>
      <c r="B205" s="159">
        <f>$L205*(AVERAGE(B193/$L193,B181/$L181,B169/$L169,B157/$L157))+200</f>
        <v>668.90373019669073</v>
      </c>
      <c r="C205" s="159">
        <f t="shared" si="30"/>
        <v>179.37394890036208</v>
      </c>
      <c r="D205" s="159">
        <f>$L205*(AVERAGE(D193/$L193,D181/$L181,D169/$L169,D157/$L157))*0.9</f>
        <v>353.62401298520302</v>
      </c>
      <c r="E205" s="159">
        <f t="shared" si="35"/>
        <v>3.2687072972039242</v>
      </c>
      <c r="F205" s="159">
        <f t="shared" si="35"/>
        <v>30.46791565844962</v>
      </c>
      <c r="G205" s="159">
        <f t="shared" ref="G205:G215" si="37">$L205*(AVERAGE(G193/$L193,G181/$L181,G169/$L169,G157/$L157))*1.05</f>
        <v>479.05451266915475</v>
      </c>
      <c r="H205" s="159">
        <f t="shared" si="36"/>
        <v>131.43901290326349</v>
      </c>
      <c r="I205" s="159">
        <f t="shared" si="20"/>
        <v>677.74604891077229</v>
      </c>
      <c r="J205" s="159">
        <f t="shared" si="31"/>
        <v>848.27767909705278</v>
      </c>
      <c r="K205" s="159">
        <f t="shared" si="33"/>
        <v>1321.9761974388439</v>
      </c>
      <c r="L205" s="159">
        <f t="shared" si="24"/>
        <v>2170.2538765358968</v>
      </c>
      <c r="M205" s="160">
        <f>'[5]Renewable Diesel'!$R59/1000000</f>
        <v>288.00590449351927</v>
      </c>
      <c r="N205" s="161">
        <f t="shared" si="25"/>
        <v>7.5354492483494626</v>
      </c>
      <c r="O205" s="157">
        <f t="shared" si="16"/>
        <v>2523.8778895210999</v>
      </c>
      <c r="P205" s="154">
        <f t="shared" si="18"/>
        <v>8.7632852318063925</v>
      </c>
    </row>
    <row r="206" spans="1:16" x14ac:dyDescent="0.2">
      <c r="A206" s="155">
        <v>46357</v>
      </c>
      <c r="B206" s="159">
        <f>$L206*(AVERAGE(B194/$L194,B182/$L182,B170/$L170,B158/$L158))+200</f>
        <v>680.96417477296563</v>
      </c>
      <c r="C206" s="159">
        <f t="shared" si="30"/>
        <v>241.68791487196421</v>
      </c>
      <c r="D206" s="159">
        <f>$L206*(AVERAGE(D194/$L194,D182/$L182,D170/$L170,D158/$L158))*0.9</f>
        <v>375.71365383115324</v>
      </c>
      <c r="E206" s="159">
        <f t="shared" si="35"/>
        <v>3.4936037258125574</v>
      </c>
      <c r="F206" s="159">
        <f t="shared" si="35"/>
        <v>28.584478439698799</v>
      </c>
      <c r="G206" s="159">
        <f t="shared" si="37"/>
        <v>562.27708932679172</v>
      </c>
      <c r="H206" s="159">
        <f t="shared" si="36"/>
        <v>119.05421211656198</v>
      </c>
      <c r="I206" s="159">
        <f t="shared" si="20"/>
        <v>826.00763714206846</v>
      </c>
      <c r="J206" s="159">
        <f t="shared" si="31"/>
        <v>922.6520896449299</v>
      </c>
      <c r="K206" s="159">
        <f t="shared" si="33"/>
        <v>1539.4170207509335</v>
      </c>
      <c r="L206" s="159">
        <f t="shared" si="24"/>
        <v>2462.0691103958634</v>
      </c>
      <c r="M206" s="160">
        <f>'[5]Renewable Diesel'!$R60/1000000</f>
        <v>327.98826160637503</v>
      </c>
      <c r="N206" s="161">
        <f t="shared" si="25"/>
        <v>7.5065769071657797</v>
      </c>
      <c r="O206" s="157">
        <f t="shared" si="16"/>
        <v>2837.7827642270163</v>
      </c>
      <c r="P206" s="154">
        <f t="shared" si="18"/>
        <v>8.6520863592145663</v>
      </c>
    </row>
    <row r="207" spans="1:16" x14ac:dyDescent="0.2">
      <c r="A207" s="155">
        <v>46388</v>
      </c>
      <c r="B207" s="159">
        <f>$L207*(AVERAGE(B195/$L195,B183/$L183,B171/$L171,B159/$L159))+200</f>
        <v>481.19109891595775</v>
      </c>
      <c r="C207" s="159">
        <f t="shared" si="30"/>
        <v>151.7456541159591</v>
      </c>
      <c r="D207" s="159">
        <f>$L207*(AVERAGE(D195/$L195,D183/$L183,D171/$L171,D159/$L159))*0.9-8.3</f>
        <v>277.59708703974712</v>
      </c>
      <c r="E207" s="159">
        <f t="shared" si="35"/>
        <v>1.9689458718287285</v>
      </c>
      <c r="F207" s="159">
        <f t="shared" si="35"/>
        <v>29.256990876967162</v>
      </c>
      <c r="G207" s="159">
        <f t="shared" si="37"/>
        <v>384.92565725754804</v>
      </c>
      <c r="H207" s="159">
        <f t="shared" si="36"/>
        <v>76.248491269448067</v>
      </c>
      <c r="I207" s="159">
        <f t="shared" si="20"/>
        <v>248.12103650955942</v>
      </c>
      <c r="J207" s="159">
        <f t="shared" si="31"/>
        <v>632.93675303191685</v>
      </c>
      <c r="K207" s="159">
        <f t="shared" si="33"/>
        <v>740.5211217853514</v>
      </c>
      <c r="L207" s="159">
        <f t="shared" si="24"/>
        <v>1373.4578748172682</v>
      </c>
      <c r="M207" s="160">
        <f>'[5]Renewable Diesel'!$S49/1000000</f>
        <v>190.32772721764925</v>
      </c>
      <c r="N207" s="161">
        <f t="shared" si="25"/>
        <v>7.2162784419037935</v>
      </c>
      <c r="O207" s="157">
        <f t="shared" si="16"/>
        <v>1651.0549618570153</v>
      </c>
      <c r="P207" s="154">
        <f t="shared" si="18"/>
        <v>8.6747999673686618</v>
      </c>
    </row>
    <row r="208" spans="1:16" x14ac:dyDescent="0.2">
      <c r="A208" s="155">
        <v>46419</v>
      </c>
      <c r="B208" s="159">
        <f t="shared" si="30"/>
        <v>298.02674295552328</v>
      </c>
      <c r="C208" s="159">
        <f t="shared" si="30"/>
        <v>133.02775055388736</v>
      </c>
      <c r="D208" s="159">
        <f>$L208*(AVERAGE(D196/$L196,D184/$L184,D172/$L172,D160/$L160))*0.9-8.3</f>
        <v>282.98675385420108</v>
      </c>
      <c r="E208" s="159">
        <f t="shared" si="35"/>
        <v>2.1129393887917196</v>
      </c>
      <c r="F208" s="159">
        <f t="shared" si="35"/>
        <v>29.238922840400598</v>
      </c>
      <c r="G208" s="159">
        <f t="shared" si="37"/>
        <v>448.77110113223216</v>
      </c>
      <c r="H208" s="159">
        <f t="shared" si="36"/>
        <v>62.953835824290451</v>
      </c>
      <c r="I208" s="159">
        <f t="shared" si="20"/>
        <v>569.48316301223883</v>
      </c>
      <c r="J208" s="159">
        <f t="shared" si="31"/>
        <v>431.05449350941063</v>
      </c>
      <c r="K208" s="159">
        <f t="shared" si="33"/>
        <v>1112.5599621979536</v>
      </c>
      <c r="L208" s="159">
        <f t="shared" si="24"/>
        <v>1543.6144557073644</v>
      </c>
      <c r="M208" s="160">
        <f>'[5]Renewable Diesel'!$S50/1000000</f>
        <v>208.08745874720728</v>
      </c>
      <c r="N208" s="161">
        <f t="shared" si="25"/>
        <v>7.4181042192581499</v>
      </c>
      <c r="O208" s="157">
        <f t="shared" si="16"/>
        <v>1826.6012095615656</v>
      </c>
      <c r="P208" s="154">
        <f t="shared" si="18"/>
        <v>8.7780456379189662</v>
      </c>
    </row>
    <row r="209" spans="1:16" x14ac:dyDescent="0.2">
      <c r="A209" s="155">
        <v>46447</v>
      </c>
      <c r="B209" s="159">
        <f t="shared" si="30"/>
        <v>328.07635035138748</v>
      </c>
      <c r="C209" s="159">
        <f t="shared" si="30"/>
        <v>149.30437346890295</v>
      </c>
      <c r="D209" s="159">
        <f>$L209*(AVERAGE(D197/$L197,D185/$L185,D173/$L173,D161/$L161))*0.9-8.3</f>
        <v>259.33997322189674</v>
      </c>
      <c r="E209" s="159">
        <f t="shared" si="35"/>
        <v>2.1600899821516517</v>
      </c>
      <c r="F209" s="159">
        <f t="shared" si="35"/>
        <v>40.72229183085642</v>
      </c>
      <c r="G209" s="159">
        <f t="shared" si="37"/>
        <v>396.7925023459041</v>
      </c>
      <c r="H209" s="159">
        <f t="shared" si="36"/>
        <v>102.99557418433406</v>
      </c>
      <c r="I209" s="159">
        <f t="shared" si="20"/>
        <v>625.50642974678635</v>
      </c>
      <c r="J209" s="159">
        <f t="shared" si="31"/>
        <v>477.38072382029043</v>
      </c>
      <c r="K209" s="159">
        <f t="shared" si="33"/>
        <v>1168.1768880900327</v>
      </c>
      <c r="L209" s="159">
        <f t="shared" si="24"/>
        <v>1645.557611910323</v>
      </c>
      <c r="M209" s="160">
        <f>'[5]Renewable Diesel'!$S51/1000000</f>
        <v>222.33147436161846</v>
      </c>
      <c r="N209" s="161">
        <f t="shared" si="25"/>
        <v>7.4013704835773764</v>
      </c>
      <c r="O209" s="157">
        <f t="shared" si="16"/>
        <v>1904.8975851322198</v>
      </c>
      <c r="P209" s="154">
        <f t="shared" si="18"/>
        <v>8.5678268927139634</v>
      </c>
    </row>
    <row r="210" spans="1:16" x14ac:dyDescent="0.2">
      <c r="A210" s="155">
        <v>46478</v>
      </c>
      <c r="B210" s="159">
        <f t="shared" si="30"/>
        <v>309.9125483164155</v>
      </c>
      <c r="C210" s="159">
        <f t="shared" si="30"/>
        <v>117.7233001166195</v>
      </c>
      <c r="D210" s="159">
        <f>$L210*(AVERAGE(D198/$L198,D186/$L186,D174/$L174,D162/$L162))*0.75-8.3</f>
        <v>201.06472251987481</v>
      </c>
      <c r="E210" s="159">
        <f t="shared" si="35"/>
        <v>2.020084276524746</v>
      </c>
      <c r="F210" s="159">
        <f t="shared" si="35"/>
        <v>41.142850800676911</v>
      </c>
      <c r="G210" s="159">
        <f t="shared" si="37"/>
        <v>230.9236614514262</v>
      </c>
      <c r="H210" s="159">
        <f t="shared" si="36"/>
        <v>120.18078937189799</v>
      </c>
      <c r="I210" s="159">
        <f t="shared" si="20"/>
        <v>782.56195107840256</v>
      </c>
      <c r="J210" s="159">
        <f t="shared" si="31"/>
        <v>427.63584843303499</v>
      </c>
      <c r="K210" s="159">
        <f t="shared" si="33"/>
        <v>1176.8293369789285</v>
      </c>
      <c r="L210" s="159">
        <f t="shared" si="24"/>
        <v>1604.4651854119634</v>
      </c>
      <c r="M210" s="160">
        <f>'[5]Renewable Diesel'!$S52/1000000</f>
        <v>213.39685974068041</v>
      </c>
      <c r="N210" s="161">
        <f t="shared" si="25"/>
        <v>7.5186916403629711</v>
      </c>
      <c r="O210" s="157">
        <f t="shared" si="16"/>
        <v>1805.5299079318384</v>
      </c>
      <c r="P210" s="154">
        <f t="shared" si="18"/>
        <v>8.4609019557547196</v>
      </c>
    </row>
    <row r="211" spans="1:16" x14ac:dyDescent="0.2">
      <c r="A211" s="155">
        <v>46508</v>
      </c>
      <c r="B211" s="159">
        <f t="shared" ref="B211:D226" si="38">$L211*(AVERAGE(B199/$L199,B187/$L187,B175/$L175,B163/$L163))</f>
        <v>332.78736923652355</v>
      </c>
      <c r="C211" s="159">
        <f t="shared" si="38"/>
        <v>168.42107220900445</v>
      </c>
      <c r="D211" s="159">
        <f>$L211*(AVERAGE(D199/$L199,D187/$L187,D175/$L175,D163/$L163))*0.9-8.3</f>
        <v>216.72188969612259</v>
      </c>
      <c r="E211" s="159">
        <f t="shared" si="35"/>
        <v>2.1619478350003591</v>
      </c>
      <c r="F211" s="159">
        <f t="shared" si="35"/>
        <v>39.360844303413792</v>
      </c>
      <c r="G211" s="159">
        <f t="shared" si="37"/>
        <v>270.72509347002199</v>
      </c>
      <c r="H211" s="159">
        <f t="shared" si="36"/>
        <v>108.73837331942055</v>
      </c>
      <c r="I211" s="159">
        <f t="shared" si="20"/>
        <v>825.81353247497327</v>
      </c>
      <c r="J211" s="159">
        <f t="shared" si="31"/>
        <v>501.20844144552802</v>
      </c>
      <c r="K211" s="159">
        <f t="shared" si="33"/>
        <v>1246.7997914028299</v>
      </c>
      <c r="L211" s="159">
        <f t="shared" si="24"/>
        <v>1748.0082328483579</v>
      </c>
      <c r="M211" s="160">
        <f>'[5]Renewable Diesel'!$S53/1000000</f>
        <v>238.85318510802395</v>
      </c>
      <c r="N211" s="161">
        <f t="shared" si="25"/>
        <v>7.3183375472167231</v>
      </c>
      <c r="O211" s="157">
        <f t="shared" si="16"/>
        <v>1964.7301225444805</v>
      </c>
      <c r="P211" s="154">
        <f t="shared" si="18"/>
        <v>8.2256810670366818</v>
      </c>
    </row>
    <row r="212" spans="1:16" x14ac:dyDescent="0.2">
      <c r="A212" s="155">
        <v>46539</v>
      </c>
      <c r="B212" s="159">
        <f t="shared" si="38"/>
        <v>368.20441927138347</v>
      </c>
      <c r="C212" s="159">
        <f t="shared" si="38"/>
        <v>146.94135825723549</v>
      </c>
      <c r="D212" s="159">
        <f>$L212*(AVERAGE(D200/$L200,D188/$L188,D176/$L176,D164/$L164))*0.9-8.3</f>
        <v>213.13149685187736</v>
      </c>
      <c r="E212" s="159">
        <f t="shared" si="35"/>
        <v>2.0160026186216031</v>
      </c>
      <c r="F212" s="159">
        <f t="shared" si="35"/>
        <v>51.606761558569922</v>
      </c>
      <c r="G212" s="159">
        <f t="shared" si="37"/>
        <v>300.16033475612727</v>
      </c>
      <c r="H212" s="159">
        <f t="shared" si="36"/>
        <v>122.66784269857139</v>
      </c>
      <c r="I212" s="159">
        <f t="shared" si="20"/>
        <v>773.62466685456582</v>
      </c>
      <c r="J212" s="159">
        <f t="shared" si="31"/>
        <v>515.14577752861896</v>
      </c>
      <c r="K212" s="159">
        <f t="shared" si="33"/>
        <v>1250.0756084864561</v>
      </c>
      <c r="L212" s="159">
        <f t="shared" si="24"/>
        <v>1765.221386015075</v>
      </c>
      <c r="M212" s="160">
        <f>'[5]Renewable Diesel'!$S54/1000000</f>
        <v>238.36601068480832</v>
      </c>
      <c r="N212" s="161">
        <f t="shared" si="25"/>
        <v>7.4055079452969057</v>
      </c>
      <c r="O212" s="157">
        <f t="shared" si="16"/>
        <v>1978.3528828669523</v>
      </c>
      <c r="P212" s="154">
        <f t="shared" si="18"/>
        <v>8.2996433811317623</v>
      </c>
    </row>
    <row r="213" spans="1:16" x14ac:dyDescent="0.2">
      <c r="A213" s="155">
        <v>46569</v>
      </c>
      <c r="B213" s="159">
        <f t="shared" si="38"/>
        <v>418.18501360765862</v>
      </c>
      <c r="C213" s="159">
        <f t="shared" si="38"/>
        <v>202.59960084249667</v>
      </c>
      <c r="D213" s="159">
        <f>$L213*(AVERAGE(D201/$L201,D189/$L189,D177/$L177,D165/$L165))*0.9-8.3</f>
        <v>232.99751725165885</v>
      </c>
      <c r="E213" s="159">
        <f t="shared" si="35"/>
        <v>1.9261994811280483</v>
      </c>
      <c r="F213" s="159">
        <f t="shared" si="35"/>
        <v>50.14519589297106</v>
      </c>
      <c r="G213" s="159">
        <f t="shared" si="37"/>
        <v>327.87978878909377</v>
      </c>
      <c r="H213" s="159">
        <f t="shared" si="36"/>
        <v>121.22671127743985</v>
      </c>
      <c r="I213" s="159">
        <f t="shared" si="20"/>
        <v>592.32121575187489</v>
      </c>
      <c r="J213" s="159">
        <f t="shared" si="31"/>
        <v>620.78461445015523</v>
      </c>
      <c r="K213" s="159">
        <f t="shared" si="33"/>
        <v>1093.4991111925076</v>
      </c>
      <c r="L213" s="159">
        <f t="shared" si="24"/>
        <v>1714.2837256426631</v>
      </c>
      <c r="M213" s="160">
        <f>'[5]Renewable Diesel'!$S55/1000000</f>
        <v>232.08209356796181</v>
      </c>
      <c r="N213" s="161">
        <f t="shared" si="25"/>
        <v>7.3865402508559344</v>
      </c>
      <c r="O213" s="157">
        <f t="shared" si="16"/>
        <v>1947.2812428943216</v>
      </c>
      <c r="P213" s="154">
        <f t="shared" si="18"/>
        <v>8.3904846468652234</v>
      </c>
    </row>
    <row r="214" spans="1:16" x14ac:dyDescent="0.2">
      <c r="A214" s="155">
        <v>46600</v>
      </c>
      <c r="B214" s="159">
        <f t="shared" si="38"/>
        <v>438.03197057076346</v>
      </c>
      <c r="C214" s="159">
        <f t="shared" si="38"/>
        <v>155.6104163019609</v>
      </c>
      <c r="D214" s="159">
        <f>$L214*(AVERAGE(D202/$L202,D190/$L190,D178/$L178,D166/$L166))*0.9-8.3</f>
        <v>211.52435794571673</v>
      </c>
      <c r="E214" s="159">
        <f t="shared" si="35"/>
        <v>1.9710642345768787</v>
      </c>
      <c r="F214" s="159">
        <f t="shared" si="35"/>
        <v>36.522145019393946</v>
      </c>
      <c r="G214" s="159">
        <f t="shared" si="37"/>
        <v>364.91712072880676</v>
      </c>
      <c r="H214" s="159">
        <f t="shared" si="36"/>
        <v>134.62657199008558</v>
      </c>
      <c r="I214" s="159">
        <f t="shared" si="20"/>
        <v>632.94964332733366</v>
      </c>
      <c r="J214" s="159">
        <f t="shared" si="31"/>
        <v>593.64238687272439</v>
      </c>
      <c r="K214" s="159">
        <f t="shared" si="33"/>
        <v>1170.9865453001967</v>
      </c>
      <c r="L214" s="159">
        <f t="shared" si="24"/>
        <v>1764.6289321729212</v>
      </c>
      <c r="M214" s="160">
        <f>'[5]Renewable Diesel'!$S56/1000000</f>
        <v>238.63689718670946</v>
      </c>
      <c r="N214" s="161">
        <f t="shared" si="25"/>
        <v>7.3946189921849168</v>
      </c>
      <c r="O214" s="157">
        <f t="shared" si="16"/>
        <v>1976.1532901186379</v>
      </c>
      <c r="P214" s="154">
        <f t="shared" si="18"/>
        <v>8.2810047960542157</v>
      </c>
    </row>
    <row r="215" spans="1:16" x14ac:dyDescent="0.2">
      <c r="A215" s="155">
        <v>46631</v>
      </c>
      <c r="B215" s="159">
        <f t="shared" si="38"/>
        <v>443.73314123259445</v>
      </c>
      <c r="C215" s="159">
        <f t="shared" si="38"/>
        <v>123.43183849237209</v>
      </c>
      <c r="D215" s="159">
        <f>$L215*(AVERAGE(D203/$L203,D191/$L191,D179/$L179,D167/$L167))*0.9-8.3</f>
        <v>248.56476324699145</v>
      </c>
      <c r="E215" s="159">
        <f t="shared" si="35"/>
        <v>2.2652059207841955</v>
      </c>
      <c r="F215" s="159">
        <f t="shared" si="35"/>
        <v>41.680610658048096</v>
      </c>
      <c r="G215" s="159">
        <f t="shared" si="37"/>
        <v>361.39325070144758</v>
      </c>
      <c r="H215" s="159">
        <f t="shared" si="36"/>
        <v>119.48872638112783</v>
      </c>
      <c r="I215" s="159">
        <f t="shared" si="20"/>
        <v>708.10223153149536</v>
      </c>
      <c r="J215" s="159">
        <f t="shared" si="31"/>
        <v>567.16497972496654</v>
      </c>
      <c r="K215" s="159">
        <f t="shared" si="33"/>
        <v>1232.930025192903</v>
      </c>
      <c r="L215" s="159">
        <f t="shared" si="24"/>
        <v>1800.0950049178696</v>
      </c>
      <c r="M215" s="160">
        <f>'[5]Renewable Diesel'!$S57/1000000</f>
        <v>242.15675552030524</v>
      </c>
      <c r="N215" s="161">
        <f t="shared" si="25"/>
        <v>7.4335940000935823</v>
      </c>
      <c r="O215" s="157">
        <f t="shared" si="16"/>
        <v>2048.6597681648614</v>
      </c>
      <c r="P215" s="154">
        <f t="shared" si="18"/>
        <v>8.4600562299534019</v>
      </c>
    </row>
    <row r="216" spans="1:16" x14ac:dyDescent="0.2">
      <c r="A216" s="155">
        <v>46661</v>
      </c>
      <c r="B216" s="159">
        <f t="shared" ref="B216:B222" si="39">$L216*(AVERAGE(B204/$L204,B192/$L192,B180/$L180,B168/$L168))+200</f>
        <v>643.19985823418654</v>
      </c>
      <c r="C216" s="159">
        <f t="shared" si="38"/>
        <v>182.44925050734844</v>
      </c>
      <c r="D216" s="159">
        <f>$L216*(AVERAGE(D204/$L204,D192/$L192,D180/$L180,D168/$L168))-8.3</f>
        <v>289.40472241345338</v>
      </c>
      <c r="E216" s="159">
        <f t="shared" ref="E216:F231" si="40">$L216*(AVERAGE(E204/$L204,E192/$L192,E180/$L180,E168/$L168))</f>
        <v>2.810179344009299</v>
      </c>
      <c r="F216" s="159">
        <f t="shared" si="40"/>
        <v>45.891685661806193</v>
      </c>
      <c r="G216" s="159">
        <f>$L216*(AVERAGE(G204/$L204,G192/$L192,G180/$L180,G168/$L168))*0.8</f>
        <v>342.76344470165293</v>
      </c>
      <c r="H216" s="159">
        <f t="shared" si="36"/>
        <v>136.74939521961454</v>
      </c>
      <c r="I216" s="159">
        <f t="shared" si="20"/>
        <v>605.12533322888748</v>
      </c>
      <c r="J216" s="159">
        <f t="shared" si="31"/>
        <v>825.64910874153497</v>
      </c>
      <c r="K216" s="159">
        <f t="shared" si="33"/>
        <v>1133.3400381559704</v>
      </c>
      <c r="L216" s="159">
        <f t="shared" si="24"/>
        <v>1958.9891468975056</v>
      </c>
      <c r="M216" s="160">
        <f>'[5]Renewable Diesel'!$S58/1000000</f>
        <v>263.13373324879842</v>
      </c>
      <c r="N216" s="161">
        <f t="shared" si="25"/>
        <v>7.4448422963894201</v>
      </c>
      <c r="O216" s="157">
        <f t="shared" ref="O216:O279" si="41">SUM(D216:I216,B216:C216)</f>
        <v>2248.393869310959</v>
      </c>
      <c r="P216" s="154">
        <f t="shared" si="18"/>
        <v>8.5446812217917181</v>
      </c>
    </row>
    <row r="217" spans="1:16" x14ac:dyDescent="0.2">
      <c r="A217" s="155">
        <v>46692</v>
      </c>
      <c r="B217" s="159">
        <f t="shared" si="39"/>
        <v>839.29193845577379</v>
      </c>
      <c r="C217" s="159">
        <f t="shared" si="38"/>
        <v>246.45576690554614</v>
      </c>
      <c r="D217" s="159">
        <f>$L217*(AVERAGE(D205/$L205,D193/$L193,D181/$L181,D169/$L169))-8.3</f>
        <v>376.9272157505352</v>
      </c>
      <c r="E217" s="159">
        <f t="shared" si="40"/>
        <v>3.1991016849606213</v>
      </c>
      <c r="F217" s="159">
        <f t="shared" si="40"/>
        <v>22.109416201762439</v>
      </c>
      <c r="G217" s="159">
        <f t="shared" ref="G217:G226" si="42">$L217*(AVERAGE(G205/$L205,G193/$L193,G181/$L181,G169/$L169))*0.8</f>
        <v>468.15294423165005</v>
      </c>
      <c r="H217" s="159">
        <f t="shared" si="36"/>
        <v>144.63604733009208</v>
      </c>
      <c r="I217" s="159">
        <f t="shared" si="20"/>
        <v>661.65875296425179</v>
      </c>
      <c r="J217" s="159">
        <f t="shared" si="31"/>
        <v>1085.74770536132</v>
      </c>
      <c r="K217" s="159">
        <f t="shared" si="33"/>
        <v>1299.756262412717</v>
      </c>
      <c r="L217" s="159">
        <f t="shared" si="24"/>
        <v>2385.5039677740369</v>
      </c>
      <c r="M217" s="160">
        <f>'[5]Renewable Diesel'!$S59/1000000</f>
        <v>318.43776519553728</v>
      </c>
      <c r="N217" s="161">
        <f t="shared" si="25"/>
        <v>7.4912721683912524</v>
      </c>
      <c r="O217" s="157">
        <f t="shared" si="41"/>
        <v>2762.4311835245721</v>
      </c>
      <c r="P217" s="154">
        <f t="shared" si="18"/>
        <v>8.6749484057843969</v>
      </c>
    </row>
    <row r="218" spans="1:16" x14ac:dyDescent="0.2">
      <c r="A218" s="155">
        <v>46722</v>
      </c>
      <c r="B218" s="159">
        <f t="shared" si="39"/>
        <v>823.72324065028613</v>
      </c>
      <c r="C218" s="159">
        <f t="shared" si="38"/>
        <v>300.41666384806911</v>
      </c>
      <c r="D218" s="159">
        <f>$L218*(AVERAGE(D206/$L206,D194/$L194,D182/$L182,D170/$L170))-8.3</f>
        <v>369.7874454106302</v>
      </c>
      <c r="E218" s="159">
        <f t="shared" si="40"/>
        <v>3.4602237986268025</v>
      </c>
      <c r="F218" s="159">
        <f t="shared" si="40"/>
        <v>24.223669414891987</v>
      </c>
      <c r="G218" s="159">
        <f t="shared" si="42"/>
        <v>545.36738050042311</v>
      </c>
      <c r="H218" s="159">
        <f t="shared" si="36"/>
        <v>132.8981000529671</v>
      </c>
      <c r="I218" s="159">
        <f t="shared" si="20"/>
        <v>875.80376113836383</v>
      </c>
      <c r="J218" s="159">
        <f t="shared" si="31"/>
        <v>1124.1399044983552</v>
      </c>
      <c r="K218" s="159">
        <f t="shared" si="33"/>
        <v>1581.7531349052729</v>
      </c>
      <c r="L218" s="159">
        <f t="shared" si="24"/>
        <v>2705.8930394036283</v>
      </c>
      <c r="M218" s="160">
        <f>'[5]Renewable Diesel'!$S60/1000000</f>
        <v>360.40880448522427</v>
      </c>
      <c r="N218" s="161">
        <f t="shared" si="25"/>
        <v>7.5078438865234833</v>
      </c>
      <c r="O218" s="157">
        <f t="shared" si="41"/>
        <v>3075.6804848142583</v>
      </c>
      <c r="P218" s="154">
        <f t="shared" ref="P218:P281" si="43">O218/M218</f>
        <v>8.5338661168593966</v>
      </c>
    </row>
    <row r="219" spans="1:16" x14ac:dyDescent="0.2">
      <c r="A219" s="155">
        <v>46753</v>
      </c>
      <c r="B219" s="159">
        <f t="shared" si="39"/>
        <v>535.43433017311065</v>
      </c>
      <c r="C219" s="159">
        <f t="shared" si="38"/>
        <v>145.84406094392176</v>
      </c>
      <c r="D219" s="159">
        <f>$L219*(AVERAGE(D207/$L207,D195/$L195,D183/$L183,D171/$L171))-50</f>
        <v>262.87659280628054</v>
      </c>
      <c r="E219" s="159">
        <f t="shared" si="40"/>
        <v>1.8041250646722971</v>
      </c>
      <c r="F219" s="159">
        <f t="shared" si="40"/>
        <v>29.868994043566826</v>
      </c>
      <c r="G219" s="159">
        <f t="shared" si="42"/>
        <v>343.47820466344757</v>
      </c>
      <c r="H219" s="159">
        <f t="shared" si="36"/>
        <v>80.713556563112277</v>
      </c>
      <c r="I219" s="159">
        <f t="shared" si="20"/>
        <v>254.74426909304702</v>
      </c>
      <c r="J219" s="159">
        <f t="shared" si="31"/>
        <v>681.27839111703247</v>
      </c>
      <c r="K219" s="159">
        <f t="shared" si="33"/>
        <v>710.60914942784598</v>
      </c>
      <c r="L219" s="159">
        <f t="shared" si="24"/>
        <v>1391.8875405448784</v>
      </c>
      <c r="M219" s="160">
        <f>'[5]Renewable Diesel'!$T49/1000000</f>
        <v>194.3127904450902</v>
      </c>
      <c r="N219" s="161">
        <f t="shared" si="25"/>
        <v>7.1631287747792616</v>
      </c>
      <c r="O219" s="157">
        <f t="shared" si="41"/>
        <v>1654.764133351159</v>
      </c>
      <c r="P219" s="154">
        <f t="shared" si="43"/>
        <v>8.5159815242258574</v>
      </c>
    </row>
    <row r="220" spans="1:16" x14ac:dyDescent="0.2">
      <c r="A220" s="155">
        <v>46784</v>
      </c>
      <c r="B220" s="159">
        <f t="shared" si="39"/>
        <v>484.20906543548114</v>
      </c>
      <c r="C220" s="159">
        <f t="shared" si="38"/>
        <v>130.73943227502744</v>
      </c>
      <c r="D220" s="159">
        <f>$L220*(AVERAGE(D208/$L208,D196/$L196,D184/$L184,D172/$L172))-25</f>
        <v>272.03418485626486</v>
      </c>
      <c r="E220" s="159">
        <f t="shared" si="40"/>
        <v>1.9469342718262048</v>
      </c>
      <c r="F220" s="159">
        <f t="shared" si="40"/>
        <v>29.850153641387266</v>
      </c>
      <c r="G220" s="159">
        <f t="shared" si="42"/>
        <v>400.15964739039293</v>
      </c>
      <c r="H220" s="159">
        <f t="shared" si="36"/>
        <v>61.083904168838863</v>
      </c>
      <c r="I220" s="159">
        <f t="shared" si="20"/>
        <v>456.45538004465971</v>
      </c>
      <c r="J220" s="159">
        <f t="shared" si="31"/>
        <v>614.9484977105086</v>
      </c>
      <c r="K220" s="159">
        <f t="shared" si="33"/>
        <v>949.49601951710497</v>
      </c>
      <c r="L220" s="159">
        <f t="shared" si="24"/>
        <v>1564.4445172276135</v>
      </c>
      <c r="M220" s="160">
        <f>'[5]Renewable Diesel'!$T50/1000000</f>
        <v>211.94025730155559</v>
      </c>
      <c r="N220" s="161">
        <f t="shared" si="25"/>
        <v>7.3815354248705578</v>
      </c>
      <c r="O220" s="157">
        <f t="shared" si="41"/>
        <v>1836.4787020838785</v>
      </c>
      <c r="P220" s="154">
        <f t="shared" si="43"/>
        <v>8.6650772508541216</v>
      </c>
    </row>
    <row r="221" spans="1:16" x14ac:dyDescent="0.2">
      <c r="A221" s="155">
        <v>46813</v>
      </c>
      <c r="B221" s="159">
        <f t="shared" si="39"/>
        <v>569.77168987438961</v>
      </c>
      <c r="C221" s="159">
        <f t="shared" si="38"/>
        <v>149.37559260725007</v>
      </c>
      <c r="D221" s="159">
        <f t="shared" si="38"/>
        <v>275.7978363727965</v>
      </c>
      <c r="E221" s="159">
        <f t="shared" si="40"/>
        <v>2.0142323754134512</v>
      </c>
      <c r="F221" s="159">
        <f t="shared" si="40"/>
        <v>46.785460883874862</v>
      </c>
      <c r="G221" s="159">
        <f t="shared" si="42"/>
        <v>356.15768559798829</v>
      </c>
      <c r="H221" s="159">
        <f t="shared" si="36"/>
        <v>100.04033171963165</v>
      </c>
      <c r="I221" s="159">
        <f t="shared" si="20"/>
        <v>442.13544987982164</v>
      </c>
      <c r="J221" s="159">
        <f t="shared" si="31"/>
        <v>719.14728248163965</v>
      </c>
      <c r="K221" s="159">
        <f t="shared" si="33"/>
        <v>947.13316045672991</v>
      </c>
      <c r="L221" s="159">
        <f t="shared" si="24"/>
        <v>1666.2804429383696</v>
      </c>
      <c r="M221" s="160">
        <f>'[5]Renewable Diesel'!$T51/1000000</f>
        <v>227.26690774707708</v>
      </c>
      <c r="N221" s="161">
        <f t="shared" si="25"/>
        <v>7.3318216869160526</v>
      </c>
      <c r="O221" s="157">
        <f t="shared" si="41"/>
        <v>1942.0782793111664</v>
      </c>
      <c r="P221" s="154">
        <f t="shared" si="43"/>
        <v>8.5453632407956395</v>
      </c>
    </row>
    <row r="222" spans="1:16" x14ac:dyDescent="0.2">
      <c r="A222" s="155">
        <v>46844</v>
      </c>
      <c r="B222" s="159">
        <f t="shared" si="39"/>
        <v>524.80451959550896</v>
      </c>
      <c r="C222" s="159">
        <f t="shared" si="38"/>
        <v>118.68019692640695</v>
      </c>
      <c r="D222" s="159">
        <f t="shared" si="38"/>
        <v>258.36672133050843</v>
      </c>
      <c r="E222" s="159">
        <f t="shared" si="40"/>
        <v>1.918090043502747</v>
      </c>
      <c r="F222" s="159">
        <f t="shared" si="40"/>
        <v>48.720461570829322</v>
      </c>
      <c r="G222" s="159">
        <f t="shared" si="42"/>
        <v>195.05831335038721</v>
      </c>
      <c r="H222" s="159">
        <f t="shared" si="36"/>
        <v>122.08134699181714</v>
      </c>
      <c r="I222" s="159">
        <f t="shared" si="20"/>
        <v>617.22180951288487</v>
      </c>
      <c r="J222" s="159">
        <f t="shared" si="31"/>
        <v>643.48471652191597</v>
      </c>
      <c r="K222" s="159">
        <f t="shared" si="33"/>
        <v>985.00002146942131</v>
      </c>
      <c r="L222" s="159">
        <f t="shared" si="24"/>
        <v>1628.4847379913372</v>
      </c>
      <c r="M222" s="160">
        <f>'[5]Renewable Diesel'!$T52/1000000</f>
        <v>217.37146725445896</v>
      </c>
      <c r="N222" s="161">
        <f t="shared" si="25"/>
        <v>7.4917134183255225</v>
      </c>
      <c r="O222" s="157">
        <f t="shared" si="41"/>
        <v>1886.8514593218458</v>
      </c>
      <c r="P222" s="154">
        <f t="shared" si="43"/>
        <v>8.6803087965223309</v>
      </c>
    </row>
    <row r="223" spans="1:16" x14ac:dyDescent="0.2">
      <c r="A223" s="155">
        <v>46874</v>
      </c>
      <c r="B223" s="159">
        <f t="shared" si="38"/>
        <v>339.34894314355574</v>
      </c>
      <c r="C223" s="159">
        <f t="shared" si="38"/>
        <v>179.58279716774683</v>
      </c>
      <c r="D223" s="159">
        <f t="shared" si="38"/>
        <v>240.06978197303715</v>
      </c>
      <c r="E223" s="159">
        <f t="shared" si="40"/>
        <v>2.0340180563543271</v>
      </c>
      <c r="F223" s="159">
        <f t="shared" si="40"/>
        <v>45.817855535663732</v>
      </c>
      <c r="G223" s="159">
        <f t="shared" si="42"/>
        <v>235.64763871219873</v>
      </c>
      <c r="H223" s="159">
        <f t="shared" si="36"/>
        <v>110.36031138728897</v>
      </c>
      <c r="I223" s="159">
        <f t="shared" si="20"/>
        <v>846.42932459726308</v>
      </c>
      <c r="J223" s="159">
        <f t="shared" si="31"/>
        <v>518.93174031130252</v>
      </c>
      <c r="K223" s="159">
        <f t="shared" si="33"/>
        <v>1240.289148288769</v>
      </c>
      <c r="L223" s="159">
        <f t="shared" si="24"/>
        <v>1759.2208886000715</v>
      </c>
      <c r="M223" s="160">
        <f>'[5]Renewable Diesel'!$T53/1000000</f>
        <v>242.70211427576911</v>
      </c>
      <c r="N223" s="161">
        <f t="shared" si="25"/>
        <v>7.2484778051878251</v>
      </c>
      <c r="O223" s="157">
        <f t="shared" si="41"/>
        <v>1999.2906705731086</v>
      </c>
      <c r="P223" s="154">
        <f t="shared" si="43"/>
        <v>8.2376318662861934</v>
      </c>
    </row>
    <row r="224" spans="1:16" x14ac:dyDescent="0.2">
      <c r="A224" s="155">
        <v>46905</v>
      </c>
      <c r="B224" s="159">
        <f t="shared" si="38"/>
        <v>377.54562302412512</v>
      </c>
      <c r="C224" s="159">
        <f t="shared" si="38"/>
        <v>150.43708619842005</v>
      </c>
      <c r="D224" s="159">
        <f>$L224*(AVERAGE(D212/$L212,D200/$L200,D188/$L188,D176/$L176))+25</f>
        <v>261.55628997247516</v>
      </c>
      <c r="E224" s="159">
        <f t="shared" si="40"/>
        <v>1.9166381256837424</v>
      </c>
      <c r="F224" s="159">
        <f t="shared" si="40"/>
        <v>51.629487300650545</v>
      </c>
      <c r="G224" s="159">
        <f t="shared" si="42"/>
        <v>257.30466481178041</v>
      </c>
      <c r="H224" s="159">
        <f t="shared" si="36"/>
        <v>125.76350588181319</v>
      </c>
      <c r="I224" s="159">
        <f t="shared" si="20"/>
        <v>828.68224106736352</v>
      </c>
      <c r="J224" s="159">
        <f t="shared" si="31"/>
        <v>527.98270922254517</v>
      </c>
      <c r="K224" s="159">
        <f t="shared" si="33"/>
        <v>1265.2965371872915</v>
      </c>
      <c r="L224" s="159">
        <f t="shared" si="24"/>
        <v>1793.2792464098366</v>
      </c>
      <c r="M224" s="160">
        <f>'[5]Renewable Diesel'!$T54/1000000</f>
        <v>243.60668290877291</v>
      </c>
      <c r="N224" s="161">
        <f t="shared" si="25"/>
        <v>7.3613713096754125</v>
      </c>
      <c r="O224" s="157">
        <f t="shared" si="41"/>
        <v>2054.8355363823121</v>
      </c>
      <c r="P224" s="154">
        <f t="shared" si="43"/>
        <v>8.4350540463285135</v>
      </c>
    </row>
    <row r="225" spans="1:16" x14ac:dyDescent="0.2">
      <c r="A225" s="155">
        <v>46935</v>
      </c>
      <c r="B225" s="159">
        <f t="shared" si="38"/>
        <v>432.73294732890821</v>
      </c>
      <c r="C225" s="159">
        <f t="shared" si="38"/>
        <v>218.42260508882913</v>
      </c>
      <c r="D225" s="159">
        <f t="shared" si="38"/>
        <v>255.37117757873258</v>
      </c>
      <c r="E225" s="159">
        <f t="shared" si="40"/>
        <v>1.837837173013668</v>
      </c>
      <c r="F225" s="159">
        <f t="shared" si="40"/>
        <v>51.88119084603872</v>
      </c>
      <c r="G225" s="159">
        <f t="shared" si="42"/>
        <v>284.99794504447999</v>
      </c>
      <c r="H225" s="159">
        <f t="shared" si="36"/>
        <v>123.62569636574241</v>
      </c>
      <c r="I225" s="159">
        <f t="shared" si="20"/>
        <v>640.55313654699148</v>
      </c>
      <c r="J225" s="159">
        <f t="shared" si="31"/>
        <v>651.15555241773734</v>
      </c>
      <c r="K225" s="159">
        <f t="shared" si="33"/>
        <v>1102.8958059762663</v>
      </c>
      <c r="L225" s="159">
        <f t="shared" si="24"/>
        <v>1754.0513583940037</v>
      </c>
      <c r="M225" s="160">
        <f>'[5]Renewable Diesel'!$T55/1000000</f>
        <v>236.77352209535536</v>
      </c>
      <c r="N225" s="161">
        <f t="shared" si="25"/>
        <v>7.4081398243828884</v>
      </c>
      <c r="O225" s="157">
        <f t="shared" si="41"/>
        <v>2009.4225359727363</v>
      </c>
      <c r="P225" s="154">
        <f t="shared" si="43"/>
        <v>8.4866860035282379</v>
      </c>
    </row>
    <row r="226" spans="1:16" x14ac:dyDescent="0.2">
      <c r="A226" s="155">
        <v>46966</v>
      </c>
      <c r="B226" s="159">
        <f t="shared" si="38"/>
        <v>469.80602865579829</v>
      </c>
      <c r="C226" s="159">
        <f t="shared" si="38"/>
        <v>171.95826929343676</v>
      </c>
      <c r="D226" s="159">
        <f t="shared" si="38"/>
        <v>239.9728416175376</v>
      </c>
      <c r="E226" s="159">
        <f t="shared" si="40"/>
        <v>1.8734493474028002</v>
      </c>
      <c r="F226" s="159">
        <f t="shared" si="40"/>
        <v>41.747275193382713</v>
      </c>
      <c r="G226" s="159">
        <f t="shared" si="42"/>
        <v>292.30168540948347</v>
      </c>
      <c r="H226" s="159">
        <f t="shared" si="36"/>
        <v>133.81496996594149</v>
      </c>
      <c r="I226" s="159">
        <f t="shared" si="20"/>
        <v>683.79845623268034</v>
      </c>
      <c r="J226" s="159">
        <f t="shared" si="31"/>
        <v>641.76429794923502</v>
      </c>
      <c r="K226" s="159">
        <f t="shared" si="33"/>
        <v>1153.5358361488907</v>
      </c>
      <c r="L226" s="159">
        <f t="shared" si="24"/>
        <v>1795.3001340981259</v>
      </c>
      <c r="M226" s="160">
        <f>'[5]Renewable Diesel'!$T56/1000000</f>
        <v>243.62656818724156</v>
      </c>
      <c r="N226" s="161">
        <f t="shared" si="25"/>
        <v>7.3690654818826271</v>
      </c>
      <c r="O226" s="157">
        <f t="shared" si="41"/>
        <v>2035.2729757156635</v>
      </c>
      <c r="P226" s="154">
        <f t="shared" si="43"/>
        <v>8.3540682400099922</v>
      </c>
    </row>
    <row r="227" spans="1:16" x14ac:dyDescent="0.2">
      <c r="A227" s="155">
        <v>46997</v>
      </c>
      <c r="B227" s="159">
        <f t="shared" ref="B227:F242" si="44">$L227*(AVERAGE(B215/$L215,B203/$L203,B191/$L191,B179/$L179))</f>
        <v>459.61095933214551</v>
      </c>
      <c r="C227" s="159">
        <f t="shared" si="44"/>
        <v>126.50924173184779</v>
      </c>
      <c r="D227" s="159">
        <f t="shared" si="44"/>
        <v>273.38794313557219</v>
      </c>
      <c r="E227" s="159">
        <f t="shared" si="40"/>
        <v>2.274523216174531</v>
      </c>
      <c r="F227" s="159">
        <f t="shared" si="40"/>
        <v>48.563635661644675</v>
      </c>
      <c r="G227" s="159">
        <f>$L227*(AVERAGE(G215/$L215,G203/$L203,G191/$L191,G179/$L179))*0.825</f>
        <v>288.42621638581289</v>
      </c>
      <c r="H227" s="159">
        <f t="shared" si="36"/>
        <v>114.92208913390979</v>
      </c>
      <c r="I227" s="159">
        <f t="shared" si="20"/>
        <v>794.30668245140805</v>
      </c>
      <c r="J227" s="159">
        <f t="shared" si="31"/>
        <v>586.12020106399336</v>
      </c>
      <c r="K227" s="159">
        <f t="shared" si="33"/>
        <v>1248.4931468489499</v>
      </c>
      <c r="L227" s="159">
        <f t="shared" si="24"/>
        <v>1834.6133479129433</v>
      </c>
      <c r="M227" s="160">
        <f>'[5]Renewable Diesel'!$T57/1000000</f>
        <v>246.63014323247262</v>
      </c>
      <c r="N227" s="161">
        <f t="shared" si="25"/>
        <v>7.4387231174076067</v>
      </c>
      <c r="O227" s="157">
        <f t="shared" si="41"/>
        <v>2108.0012910485152</v>
      </c>
      <c r="P227" s="154">
        <f t="shared" si="43"/>
        <v>8.5472167490148241</v>
      </c>
    </row>
    <row r="228" spans="1:16" x14ac:dyDescent="0.2">
      <c r="A228" s="155">
        <v>47027</v>
      </c>
      <c r="B228" s="159">
        <f>$L228*(AVERAGE(B216/$L216,B204/$L204,B192/$L192,B180/$L180))+200</f>
        <v>720.43928750041346</v>
      </c>
      <c r="C228" s="159">
        <f t="shared" si="44"/>
        <v>191.43134178261906</v>
      </c>
      <c r="D228" s="159">
        <f t="shared" si="44"/>
        <v>290.48997857711504</v>
      </c>
      <c r="E228" s="159">
        <f t="shared" si="40"/>
        <v>2.8656774264474025</v>
      </c>
      <c r="F228" s="159">
        <f t="shared" si="40"/>
        <v>44.609138479377421</v>
      </c>
      <c r="G228" s="159">
        <f t="shared" ref="G228:G238" si="45">$L228*(AVERAGE(G216/$L216,G204/$L204,G192/$L192,G180/$L180))*0.825</f>
        <v>325.02746166773107</v>
      </c>
      <c r="H228" s="159">
        <f t="shared" si="36"/>
        <v>130.87029658977724</v>
      </c>
      <c r="I228" s="159">
        <f t="shared" si="20"/>
        <v>583.1566511502831</v>
      </c>
      <c r="J228" s="159">
        <f t="shared" si="31"/>
        <v>911.87062928303249</v>
      </c>
      <c r="K228" s="159">
        <f t="shared" si="33"/>
        <v>1086.5292253136163</v>
      </c>
      <c r="L228" s="159">
        <f t="shared" si="24"/>
        <v>1998.3998545966488</v>
      </c>
      <c r="M228" s="160">
        <f>'[5]Renewable Diesel'!$T58/1000000</f>
        <v>268.32381152612464</v>
      </c>
      <c r="N228" s="161">
        <f t="shared" si="25"/>
        <v>7.4477171564853082</v>
      </c>
      <c r="O228" s="157">
        <f t="shared" si="41"/>
        <v>2288.8898331737641</v>
      </c>
      <c r="P228" s="154">
        <f t="shared" si="43"/>
        <v>8.5303269216228781</v>
      </c>
    </row>
    <row r="229" spans="1:16" x14ac:dyDescent="0.2">
      <c r="A229" s="155">
        <v>47058</v>
      </c>
      <c r="B229" s="159">
        <f>$L229*(AVERAGE(B217/$L217,B205/$L205,B193/$L193,B181/$L181))+200</f>
        <v>956.11158778889558</v>
      </c>
      <c r="C229" s="159">
        <f t="shared" si="44"/>
        <v>252.08335816456676</v>
      </c>
      <c r="D229" s="159">
        <f t="shared" si="44"/>
        <v>356.6529023774832</v>
      </c>
      <c r="E229" s="159">
        <f t="shared" si="40"/>
        <v>3.3070001527420558</v>
      </c>
      <c r="F229" s="159">
        <f t="shared" si="40"/>
        <v>20.033502055200437</v>
      </c>
      <c r="G229" s="159">
        <f t="shared" si="45"/>
        <v>456.91972193794595</v>
      </c>
      <c r="H229" s="159">
        <f t="shared" si="36"/>
        <v>133.47306397055578</v>
      </c>
      <c r="I229" s="159">
        <f t="shared" si="20"/>
        <v>622.26682446332438</v>
      </c>
      <c r="J229" s="159">
        <f t="shared" si="31"/>
        <v>1208.1949459534624</v>
      </c>
      <c r="K229" s="159">
        <f t="shared" si="33"/>
        <v>1236.0001125797685</v>
      </c>
      <c r="L229" s="159">
        <f t="shared" si="24"/>
        <v>2444.1950585332311</v>
      </c>
      <c r="M229" s="160">
        <f>'[5]Renewable Diesel'!$T59/1000000</f>
        <v>324.10578434622977</v>
      </c>
      <c r="N229" s="161">
        <f t="shared" si="25"/>
        <v>7.541349696869931</v>
      </c>
      <c r="O229" s="157">
        <f t="shared" si="41"/>
        <v>2800.8479609107139</v>
      </c>
      <c r="P229" s="154">
        <f t="shared" si="43"/>
        <v>8.641770977831964</v>
      </c>
    </row>
    <row r="230" spans="1:16" x14ac:dyDescent="0.2">
      <c r="A230" s="155">
        <v>47088</v>
      </c>
      <c r="B230" s="159">
        <f>$L230*(AVERAGE(B218/$L218,B206/$L206,B194/$L194,B182/$L182))+200</f>
        <v>937.59833027222714</v>
      </c>
      <c r="C230" s="159">
        <f t="shared" si="44"/>
        <v>317.8357379287969</v>
      </c>
      <c r="D230" s="159">
        <f t="shared" si="44"/>
        <v>386.57537900301452</v>
      </c>
      <c r="E230" s="159">
        <f t="shared" si="40"/>
        <v>3.5833863356430067</v>
      </c>
      <c r="F230" s="159">
        <f t="shared" si="40"/>
        <v>17.99980424945425</v>
      </c>
      <c r="G230" s="159">
        <f t="shared" si="45"/>
        <v>497.59228132874557</v>
      </c>
      <c r="H230" s="159">
        <f t="shared" si="36"/>
        <v>126.70808127541487</v>
      </c>
      <c r="I230" s="159">
        <f t="shared" si="20"/>
        <v>875.47954704244694</v>
      </c>
      <c r="J230" s="159">
        <f t="shared" si="31"/>
        <v>1255.434068201024</v>
      </c>
      <c r="K230" s="159">
        <f t="shared" si="33"/>
        <v>1521.3631002317047</v>
      </c>
      <c r="L230" s="159">
        <f t="shared" si="24"/>
        <v>2776.7971684327285</v>
      </c>
      <c r="M230" s="160">
        <f>'[5]Renewable Diesel'!$T60/1000000</f>
        <v>366.60588386446722</v>
      </c>
      <c r="N230" s="161">
        <f t="shared" si="25"/>
        <v>7.5743387944621743</v>
      </c>
      <c r="O230" s="157">
        <f t="shared" si="41"/>
        <v>3163.3725474357429</v>
      </c>
      <c r="P230" s="154">
        <f t="shared" si="43"/>
        <v>8.6288100837062114</v>
      </c>
    </row>
    <row r="231" spans="1:16" x14ac:dyDescent="0.2">
      <c r="A231" s="155">
        <v>47119</v>
      </c>
      <c r="B231" s="159">
        <f>$L231*(AVERAGE(B219/$L219,B207/$L207,B195/$L195,B183/$L183))+200</f>
        <v>608.13525000702748</v>
      </c>
      <c r="C231" s="159">
        <f t="shared" si="44"/>
        <v>136.20006620274367</v>
      </c>
      <c r="D231" s="159">
        <f t="shared" si="44"/>
        <v>306.58947644403992</v>
      </c>
      <c r="E231" s="159">
        <f t="shared" si="40"/>
        <v>1.8416102764702647</v>
      </c>
      <c r="F231" s="159">
        <f t="shared" si="40"/>
        <v>29.296881370384323</v>
      </c>
      <c r="G231" s="159">
        <f t="shared" si="45"/>
        <v>335.77783776616451</v>
      </c>
      <c r="H231" s="159">
        <f t="shared" si="36"/>
        <v>80.290475651057491</v>
      </c>
      <c r="I231" s="159">
        <f t="shared" si="20"/>
        <v>205.74822515432243</v>
      </c>
      <c r="J231" s="159">
        <f t="shared" si="31"/>
        <v>744.33531620977112</v>
      </c>
      <c r="K231" s="159">
        <f t="shared" si="33"/>
        <v>652.95503021839897</v>
      </c>
      <c r="L231" s="159">
        <f t="shared" si="24"/>
        <v>1397.2903464281701</v>
      </c>
      <c r="M231" s="160">
        <f>'[5]Renewable Diesel'!$U49/1000000</f>
        <v>196.3153831932172</v>
      </c>
      <c r="N231" s="161">
        <f t="shared" si="25"/>
        <v>7.1175794973383786</v>
      </c>
      <c r="O231" s="157">
        <f t="shared" si="41"/>
        <v>1703.8798228722101</v>
      </c>
      <c r="P231" s="154">
        <f t="shared" si="43"/>
        <v>8.6792985611077675</v>
      </c>
    </row>
    <row r="232" spans="1:16" x14ac:dyDescent="0.2">
      <c r="A232" s="155">
        <v>47150</v>
      </c>
      <c r="B232" s="159">
        <f t="shared" si="44"/>
        <v>356.75944753527745</v>
      </c>
      <c r="C232" s="159">
        <f t="shared" si="44"/>
        <v>126.55443434196665</v>
      </c>
      <c r="D232" s="159">
        <f t="shared" si="44"/>
        <v>287.30480071216323</v>
      </c>
      <c r="E232" s="159">
        <f t="shared" si="44"/>
        <v>1.9865779458502559</v>
      </c>
      <c r="F232" s="159">
        <f t="shared" si="44"/>
        <v>28.562921210102839</v>
      </c>
      <c r="G232" s="159">
        <f t="shared" si="45"/>
        <v>380.30531976978318</v>
      </c>
      <c r="H232" s="159">
        <f t="shared" si="36"/>
        <v>53.902845500355916</v>
      </c>
      <c r="I232" s="159">
        <f t="shared" si="20"/>
        <v>629.87687073658697</v>
      </c>
      <c r="J232" s="159">
        <f t="shared" si="31"/>
        <v>483.31388187724411</v>
      </c>
      <c r="K232" s="159">
        <f t="shared" si="33"/>
        <v>1094.6345351626792</v>
      </c>
      <c r="L232" s="159">
        <f t="shared" si="24"/>
        <v>1577.9484170399232</v>
      </c>
      <c r="M232" s="160">
        <f>'[5]Renewable Diesel'!$U50/1000000</f>
        <v>214.0204126848578</v>
      </c>
      <c r="N232" s="161">
        <f t="shared" si="25"/>
        <v>7.3728874608023078</v>
      </c>
      <c r="O232" s="157">
        <f t="shared" si="41"/>
        <v>1865.2532177520868</v>
      </c>
      <c r="P232" s="154">
        <f t="shared" si="43"/>
        <v>8.7153052101560391</v>
      </c>
    </row>
    <row r="233" spans="1:16" x14ac:dyDescent="0.2">
      <c r="A233" s="155">
        <v>47178</v>
      </c>
      <c r="B233" s="159">
        <f t="shared" si="44"/>
        <v>427.94850610429808</v>
      </c>
      <c r="C233" s="159">
        <f t="shared" si="44"/>
        <v>139.97079368371217</v>
      </c>
      <c r="D233" s="159">
        <f t="shared" si="44"/>
        <v>279.8136627823788</v>
      </c>
      <c r="E233" s="159">
        <f t="shared" si="44"/>
        <v>2.0272044049027995</v>
      </c>
      <c r="F233" s="159">
        <f t="shared" si="44"/>
        <v>43.694399485211768</v>
      </c>
      <c r="G233" s="159">
        <f t="shared" si="45"/>
        <v>338.73198700796013</v>
      </c>
      <c r="H233" s="159">
        <f t="shared" si="36"/>
        <v>92.474520590908881</v>
      </c>
      <c r="I233" s="159">
        <f t="shared" si="20"/>
        <v>625.27372585022772</v>
      </c>
      <c r="J233" s="159">
        <f t="shared" si="31"/>
        <v>567.91929978801022</v>
      </c>
      <c r="K233" s="159">
        <f t="shared" si="33"/>
        <v>1102.2018373392114</v>
      </c>
      <c r="L233" s="159">
        <f t="shared" si="24"/>
        <v>1670.1211371272216</v>
      </c>
      <c r="M233" s="160">
        <f>'[5]Renewable Diesel'!$U51/1000000</f>
        <v>228.58029388394294</v>
      </c>
      <c r="N233" s="161">
        <f t="shared" si="25"/>
        <v>7.3064965870382164</v>
      </c>
      <c r="O233" s="157">
        <f t="shared" si="41"/>
        <v>1949.9347999096003</v>
      </c>
      <c r="P233" s="154">
        <f t="shared" si="43"/>
        <v>8.5306338826374972</v>
      </c>
    </row>
    <row r="234" spans="1:16" x14ac:dyDescent="0.2">
      <c r="A234" s="155">
        <v>47209</v>
      </c>
      <c r="B234" s="159">
        <f t="shared" si="44"/>
        <v>380.92723689210959</v>
      </c>
      <c r="C234" s="159">
        <f t="shared" si="44"/>
        <v>113.82706783983748</v>
      </c>
      <c r="D234" s="159">
        <f>$L234*(AVERAGE(D222/$L222,D210/$L210,D198/$L198,D186/$L186))-25</f>
        <v>241.60738503951706</v>
      </c>
      <c r="E234" s="159">
        <f t="shared" si="44"/>
        <v>1.90889825809061</v>
      </c>
      <c r="F234" s="159">
        <f t="shared" si="44"/>
        <v>49.780658393753633</v>
      </c>
      <c r="G234" s="159">
        <f t="shared" si="45"/>
        <v>179.14619992878045</v>
      </c>
      <c r="H234" s="159">
        <f t="shared" si="36"/>
        <v>124.40650210405526</v>
      </c>
      <c r="I234" s="159">
        <f t="shared" si="20"/>
        <v>782.09703360553056</v>
      </c>
      <c r="J234" s="159">
        <f t="shared" si="31"/>
        <v>494.75430473194706</v>
      </c>
      <c r="K234" s="159">
        <f t="shared" si="33"/>
        <v>1137.3392922902106</v>
      </c>
      <c r="L234" s="159">
        <f t="shared" si="24"/>
        <v>1632.0935970221576</v>
      </c>
      <c r="M234" s="160">
        <f>'[5]Renewable Diesel'!$U52/1000000</f>
        <v>218.95534114504278</v>
      </c>
      <c r="N234" s="161">
        <f t="shared" si="25"/>
        <v>7.4540022110764976</v>
      </c>
      <c r="O234" s="157">
        <f t="shared" si="41"/>
        <v>1873.7009820616749</v>
      </c>
      <c r="P234" s="154">
        <f t="shared" si="43"/>
        <v>8.5574572982007204</v>
      </c>
    </row>
    <row r="235" spans="1:16" x14ac:dyDescent="0.2">
      <c r="A235" s="155">
        <v>47239</v>
      </c>
      <c r="B235" s="159">
        <f t="shared" si="44"/>
        <v>338.39482345178175</v>
      </c>
      <c r="C235" s="159">
        <f t="shared" si="44"/>
        <v>161.54679767592074</v>
      </c>
      <c r="D235" s="159">
        <f>$L235*(AVERAGE(D223/$L223,D211/$L211,D199/$L199,D187/$L187))-25</f>
        <v>208.95982487379658</v>
      </c>
      <c r="E235" s="159">
        <f t="shared" si="44"/>
        <v>2.0257606432281747</v>
      </c>
      <c r="F235" s="159">
        <f t="shared" si="44"/>
        <v>45.4961791519938</v>
      </c>
      <c r="G235" s="159">
        <f t="shared" si="45"/>
        <v>214.95556868496823</v>
      </c>
      <c r="H235" s="159">
        <f t="shared" si="36"/>
        <v>111.59105840248056</v>
      </c>
      <c r="I235" s="159">
        <f t="shared" si="20"/>
        <v>894.20837227511129</v>
      </c>
      <c r="J235" s="159">
        <f t="shared" si="31"/>
        <v>499.94162112770249</v>
      </c>
      <c r="K235" s="159">
        <f t="shared" si="33"/>
        <v>1268.276939157782</v>
      </c>
      <c r="L235" s="159">
        <f t="shared" si="24"/>
        <v>1768.2185602854845</v>
      </c>
      <c r="M235" s="160">
        <f>'[5]Renewable Diesel'!$U53/1000000</f>
        <v>244.00003758973341</v>
      </c>
      <c r="N235" s="161">
        <f t="shared" si="25"/>
        <v>7.2467962618046924</v>
      </c>
      <c r="O235" s="157">
        <f t="shared" si="41"/>
        <v>1977.1783851592813</v>
      </c>
      <c r="P235" s="154">
        <f t="shared" si="43"/>
        <v>8.1031888547646407</v>
      </c>
    </row>
    <row r="236" spans="1:16" x14ac:dyDescent="0.2">
      <c r="A236" s="155">
        <v>47270</v>
      </c>
      <c r="B236" s="159">
        <f t="shared" si="44"/>
        <v>373.69609394526805</v>
      </c>
      <c r="C236" s="159">
        <f t="shared" si="44"/>
        <v>142.05459080381885</v>
      </c>
      <c r="D236" s="159">
        <f t="shared" si="44"/>
        <v>239.92159127260896</v>
      </c>
      <c r="E236" s="159">
        <f t="shared" si="44"/>
        <v>1.9200336106309293</v>
      </c>
      <c r="F236" s="159">
        <f t="shared" si="44"/>
        <v>53.749279370721688</v>
      </c>
      <c r="G236" s="159">
        <f t="shared" si="45"/>
        <v>237.00496402052934</v>
      </c>
      <c r="H236" s="159">
        <f t="shared" si="36"/>
        <v>131.52265697908527</v>
      </c>
      <c r="I236" s="159">
        <f t="shared" si="20"/>
        <v>862.55756086497649</v>
      </c>
      <c r="J236" s="159">
        <f t="shared" si="31"/>
        <v>515.75068474908687</v>
      </c>
      <c r="K236" s="159">
        <f t="shared" si="33"/>
        <v>1286.7544948459436</v>
      </c>
      <c r="L236" s="159">
        <f t="shared" si="24"/>
        <v>1802.5051795950305</v>
      </c>
      <c r="M236" s="160">
        <f>'[5]Renewable Diesel'!$U54/1000000</f>
        <v>244.9705224732177</v>
      </c>
      <c r="N236" s="161">
        <f t="shared" si="25"/>
        <v>7.3580492926127308</v>
      </c>
      <c r="O236" s="157">
        <f t="shared" si="41"/>
        <v>2042.4267708676396</v>
      </c>
      <c r="P236" s="154">
        <f t="shared" si="43"/>
        <v>8.337438930395944</v>
      </c>
    </row>
    <row r="237" spans="1:16" x14ac:dyDescent="0.2">
      <c r="A237" s="155">
        <v>47300</v>
      </c>
      <c r="B237" s="159">
        <f t="shared" si="44"/>
        <v>478.59383506975109</v>
      </c>
      <c r="C237" s="159">
        <f t="shared" si="44"/>
        <v>194.32475091592056</v>
      </c>
      <c r="D237" s="159">
        <f t="shared" si="44"/>
        <v>262.27126359516205</v>
      </c>
      <c r="E237" s="159">
        <f t="shared" si="44"/>
        <v>1.8460537548809315</v>
      </c>
      <c r="F237" s="159">
        <f t="shared" si="44"/>
        <v>54.609630424495698</v>
      </c>
      <c r="G237" s="159">
        <f t="shared" si="45"/>
        <v>260.38135762717855</v>
      </c>
      <c r="H237" s="159">
        <f t="shared" si="36"/>
        <v>130.39821382023618</v>
      </c>
      <c r="I237" s="159">
        <f t="shared" si="20"/>
        <v>639.26569798890773</v>
      </c>
      <c r="J237" s="159">
        <f t="shared" si="31"/>
        <v>672.9185859856716</v>
      </c>
      <c r="K237" s="159">
        <f t="shared" si="33"/>
        <v>1086.500953615699</v>
      </c>
      <c r="L237" s="159">
        <f t="shared" si="24"/>
        <v>1759.4195396013708</v>
      </c>
      <c r="M237" s="160">
        <f>'[5]Renewable Diesel'!$U55/1000000</f>
        <v>238.95691024844706</v>
      </c>
      <c r="N237" s="161">
        <f t="shared" si="25"/>
        <v>7.3629155054443753</v>
      </c>
      <c r="O237" s="157">
        <f t="shared" si="41"/>
        <v>2021.6908031965327</v>
      </c>
      <c r="P237" s="154">
        <f t="shared" si="43"/>
        <v>8.4604826916055735</v>
      </c>
    </row>
    <row r="238" spans="1:16" x14ac:dyDescent="0.2">
      <c r="A238" s="155">
        <v>47331</v>
      </c>
      <c r="B238" s="159">
        <f t="shared" si="44"/>
        <v>500.66929691440009</v>
      </c>
      <c r="C238" s="159">
        <f t="shared" si="44"/>
        <v>152.50604029420029</v>
      </c>
      <c r="D238" s="159">
        <f t="shared" si="44"/>
        <v>254.48587393304592</v>
      </c>
      <c r="E238" s="159">
        <f t="shared" si="44"/>
        <v>1.8677626350614358</v>
      </c>
      <c r="F238" s="159">
        <f t="shared" si="44"/>
        <v>41.381523195605766</v>
      </c>
      <c r="G238" s="159">
        <f t="shared" si="45"/>
        <v>270.62521299003924</v>
      </c>
      <c r="H238" s="159">
        <f t="shared" si="36"/>
        <v>138.33662070584177</v>
      </c>
      <c r="I238" s="159">
        <f t="shared" si="20"/>
        <v>694.284438904323</v>
      </c>
      <c r="J238" s="159">
        <f t="shared" si="31"/>
        <v>653.17533720860035</v>
      </c>
      <c r="K238" s="159">
        <f t="shared" si="33"/>
        <v>1146.4955584308711</v>
      </c>
      <c r="L238" s="159">
        <f t="shared" si="24"/>
        <v>1799.6708956394716</v>
      </c>
      <c r="M238" s="160">
        <f>'[5]Renewable Diesel'!$U56/1000000</f>
        <v>245.85113401359109</v>
      </c>
      <c r="N238" s="161">
        <f t="shared" si="25"/>
        <v>7.3201651188640948</v>
      </c>
      <c r="O238" s="157">
        <f t="shared" si="41"/>
        <v>2054.1567695725175</v>
      </c>
      <c r="P238" s="154">
        <f t="shared" si="43"/>
        <v>8.3552869414828894</v>
      </c>
    </row>
    <row r="239" spans="1:16" x14ac:dyDescent="0.2">
      <c r="A239" s="155">
        <v>47362</v>
      </c>
      <c r="B239" s="159">
        <f t="shared" si="44"/>
        <v>500.42342597782152</v>
      </c>
      <c r="C239" s="159">
        <f t="shared" si="44"/>
        <v>120.59195446590932</v>
      </c>
      <c r="D239" s="159">
        <f t="shared" si="44"/>
        <v>295.09498115736056</v>
      </c>
      <c r="E239" s="159">
        <f t="shared" si="44"/>
        <v>2.3407456556280795</v>
      </c>
      <c r="F239" s="159">
        <f t="shared" si="44"/>
        <v>49.273114574976567</v>
      </c>
      <c r="G239" s="159">
        <f>$L239*(AVERAGE(G227/$L227,G215/$L215,G203/$L203,G191/$L191))*0.81</f>
        <v>262.5567065227188</v>
      </c>
      <c r="H239" s="159">
        <f t="shared" si="36"/>
        <v>119.1249976558982</v>
      </c>
      <c r="I239" s="159">
        <f t="shared" si="20"/>
        <v>773.81753152396163</v>
      </c>
      <c r="J239" s="159">
        <f t="shared" si="31"/>
        <v>621.01538044373081</v>
      </c>
      <c r="K239" s="159">
        <f t="shared" si="33"/>
        <v>1207.1130959331833</v>
      </c>
      <c r="L239" s="159">
        <f t="shared" si="24"/>
        <v>1828.128476376914</v>
      </c>
      <c r="M239" s="160">
        <f>'[5]Renewable Diesel'!$U57/1000000</f>
        <v>248.71833123381199</v>
      </c>
      <c r="N239" s="161">
        <f t="shared" si="25"/>
        <v>7.3501959719179286</v>
      </c>
      <c r="O239" s="157">
        <f t="shared" si="41"/>
        <v>2123.2234575342745</v>
      </c>
      <c r="P239" s="154">
        <f t="shared" si="43"/>
        <v>8.5366585044280523</v>
      </c>
    </row>
    <row r="240" spans="1:16" x14ac:dyDescent="0.2">
      <c r="A240" s="155">
        <v>47392</v>
      </c>
      <c r="B240" s="159">
        <f t="shared" si="44"/>
        <v>603.62303294294088</v>
      </c>
      <c r="C240" s="159">
        <f t="shared" si="44"/>
        <v>178.29004987521236</v>
      </c>
      <c r="D240" s="159">
        <f>$L240*(AVERAGE(D228/$L228,D216/$L216,D204/$L204,D192/$L192))*0.98</f>
        <v>318.95228261936296</v>
      </c>
      <c r="E240" s="159">
        <f t="shared" si="44"/>
        <v>3.1307721976233371</v>
      </c>
      <c r="F240" s="159">
        <f t="shared" si="44"/>
        <v>48.116784233161063</v>
      </c>
      <c r="G240" s="159">
        <f t="shared" ref="G240:G251" si="46">$L240*(AVERAGE(G228/$L228,G216/$L216,G204/$L204,G192/$L192))*0.81</f>
        <v>305.95673306794487</v>
      </c>
      <c r="H240" s="159">
        <f t="shared" si="36"/>
        <v>145.94164918062239</v>
      </c>
      <c r="I240" s="159">
        <f t="shared" si="20"/>
        <v>767.41956964987048</v>
      </c>
      <c r="J240" s="159">
        <f t="shared" si="31"/>
        <v>781.91308281815327</v>
      </c>
      <c r="K240" s="159">
        <f t="shared" si="33"/>
        <v>1270.5655083292222</v>
      </c>
      <c r="L240" s="159">
        <f t="shared" si="24"/>
        <v>2052.4785911473755</v>
      </c>
      <c r="M240" s="160">
        <f>'[5]Renewable Diesel'!$U58/1000000</f>
        <v>270.20842665035696</v>
      </c>
      <c r="N240" s="161">
        <f t="shared" si="25"/>
        <v>7.5959088937046078</v>
      </c>
      <c r="O240" s="157">
        <f t="shared" si="41"/>
        <v>2371.4308737667384</v>
      </c>
      <c r="P240" s="154">
        <f t="shared" si="43"/>
        <v>8.776302438692305</v>
      </c>
    </row>
    <row r="241" spans="1:16" x14ac:dyDescent="0.2">
      <c r="A241" s="155">
        <v>47423</v>
      </c>
      <c r="B241" s="159">
        <f t="shared" si="44"/>
        <v>841.13095506228717</v>
      </c>
      <c r="C241" s="159">
        <f t="shared" si="44"/>
        <v>235.14332937858217</v>
      </c>
      <c r="D241" s="159">
        <f t="shared" ref="D241:D251" si="47">$L241*(AVERAGE(D229/$L229,D217/$L217,D205/$L205,D193/$L193))*0.98</f>
        <v>385.81530007099838</v>
      </c>
      <c r="E241" s="159">
        <f t="shared" si="44"/>
        <v>3.5563543943471028</v>
      </c>
      <c r="F241" s="159">
        <f t="shared" si="44"/>
        <v>21.737059357231573</v>
      </c>
      <c r="G241" s="159">
        <f t="shared" si="46"/>
        <v>405.42971802165903</v>
      </c>
      <c r="H241" s="159">
        <f t="shared" si="36"/>
        <v>147.43708661164581</v>
      </c>
      <c r="I241" s="159">
        <f t="shared" si="20"/>
        <v>834.88419712615246</v>
      </c>
      <c r="J241" s="159">
        <f t="shared" si="31"/>
        <v>1076.2742844408695</v>
      </c>
      <c r="K241" s="159">
        <f t="shared" si="33"/>
        <v>1413.0444155110358</v>
      </c>
      <c r="L241" s="159">
        <f t="shared" si="24"/>
        <v>2489.3186999519053</v>
      </c>
      <c r="M241" s="160">
        <f>'[5]Renewable Diesel'!$U59/1000000</f>
        <v>326.91595751048095</v>
      </c>
      <c r="N241" s="161">
        <f t="shared" si="25"/>
        <v>7.6145524339297435</v>
      </c>
      <c r="O241" s="157">
        <f t="shared" si="41"/>
        <v>2875.1340000229038</v>
      </c>
      <c r="P241" s="154">
        <f t="shared" si="43"/>
        <v>8.7947190523140097</v>
      </c>
    </row>
    <row r="242" spans="1:16" x14ac:dyDescent="0.2">
      <c r="A242" s="155">
        <v>47453</v>
      </c>
      <c r="B242" s="159">
        <f t="shared" si="44"/>
        <v>830.25013106064762</v>
      </c>
      <c r="C242" s="159">
        <f t="shared" si="44"/>
        <v>297.55745966502576</v>
      </c>
      <c r="D242" s="159">
        <f t="shared" si="47"/>
        <v>406.61554555902956</v>
      </c>
      <c r="E242" s="159">
        <f t="shared" si="44"/>
        <v>3.8300617796775396</v>
      </c>
      <c r="F242" s="159">
        <f t="shared" si="44"/>
        <v>20.795991731758527</v>
      </c>
      <c r="G242" s="159">
        <f t="shared" si="46"/>
        <v>465.21360611145997</v>
      </c>
      <c r="H242" s="159">
        <f t="shared" si="36"/>
        <v>140.47952547365497</v>
      </c>
      <c r="I242" s="159">
        <f t="shared" si="20"/>
        <v>1069.9193431656436</v>
      </c>
      <c r="J242" s="159">
        <f t="shared" si="31"/>
        <v>1127.8075907256734</v>
      </c>
      <c r="K242" s="159">
        <f t="shared" si="33"/>
        <v>1700.2385282621944</v>
      </c>
      <c r="L242" s="159">
        <f t="shared" si="24"/>
        <v>2828.0461189878679</v>
      </c>
      <c r="M242" s="160">
        <f>'[5]Renewable Diesel'!$U60/1000000</f>
        <v>369.85667091491246</v>
      </c>
      <c r="N242" s="161">
        <f t="shared" si="25"/>
        <v>7.6463298931235855</v>
      </c>
      <c r="O242" s="157">
        <f t="shared" si="41"/>
        <v>3234.6616645468976</v>
      </c>
      <c r="P242" s="154">
        <f t="shared" si="43"/>
        <v>8.7457167030280463</v>
      </c>
    </row>
    <row r="243" spans="1:16" x14ac:dyDescent="0.2">
      <c r="A243" s="155">
        <v>47484</v>
      </c>
      <c r="B243" s="159">
        <f t="shared" ref="B243:C258" si="48">$L243*(AVERAGE(B231/$L231,B219/$L219,B207/$L207,B195/$L195))</f>
        <v>549.46725625220051</v>
      </c>
      <c r="C243" s="159">
        <f t="shared" si="48"/>
        <v>146.37079114159278</v>
      </c>
      <c r="D243" s="159">
        <f t="shared" si="47"/>
        <v>327.51564052345026</v>
      </c>
      <c r="E243" s="159">
        <f t="shared" ref="E243:F258" si="49">$L243*(AVERAGE(E231/$L231,E219/$L219,E207/$L207,E195/$L195))</f>
        <v>1.9878806178607236</v>
      </c>
      <c r="F243" s="159">
        <f t="shared" si="49"/>
        <v>32.296288656750676</v>
      </c>
      <c r="G243" s="159">
        <f t="shared" si="46"/>
        <v>299.80047313993151</v>
      </c>
      <c r="H243" s="159">
        <f t="shared" si="36"/>
        <v>86.998798156098118</v>
      </c>
      <c r="I243" s="159">
        <f t="shared" si="20"/>
        <v>342.67103720026876</v>
      </c>
      <c r="J243" s="159">
        <f t="shared" si="31"/>
        <v>695.83804739379332</v>
      </c>
      <c r="K243" s="159">
        <f t="shared" si="33"/>
        <v>763.75447777090983</v>
      </c>
      <c r="L243" s="159">
        <f t="shared" si="24"/>
        <v>1459.5925251647031</v>
      </c>
      <c r="M243" s="160">
        <f>'[5]Renewable Diesel'!$V49/1000000</f>
        <v>205.70763169478792</v>
      </c>
      <c r="N243" s="161">
        <f t="shared" si="25"/>
        <v>7.0954709513661927</v>
      </c>
      <c r="O243" s="157">
        <f t="shared" si="41"/>
        <v>1787.1081656881533</v>
      </c>
      <c r="P243" s="154">
        <f t="shared" si="43"/>
        <v>8.6876123698692798</v>
      </c>
    </row>
    <row r="244" spans="1:16" x14ac:dyDescent="0.2">
      <c r="A244" s="155">
        <v>47515</v>
      </c>
      <c r="B244" s="159">
        <f t="shared" si="48"/>
        <v>423.10786335647089</v>
      </c>
      <c r="C244" s="159">
        <f t="shared" si="48"/>
        <v>131.6469953565724</v>
      </c>
      <c r="D244" s="159">
        <f t="shared" si="47"/>
        <v>293.74351822893499</v>
      </c>
      <c r="E244" s="159">
        <f t="shared" si="49"/>
        <v>2.1541676902305507</v>
      </c>
      <c r="F244" s="159">
        <f t="shared" si="49"/>
        <v>31.539866480684523</v>
      </c>
      <c r="G244" s="159">
        <f t="shared" si="46"/>
        <v>349.66790211854095</v>
      </c>
      <c r="H244" s="159">
        <f t="shared" si="36"/>
        <v>63.204468520581422</v>
      </c>
      <c r="I244" s="159">
        <f t="shared" si="20"/>
        <v>649.97336953547733</v>
      </c>
      <c r="J244" s="159">
        <f t="shared" si="31"/>
        <v>554.75485871304329</v>
      </c>
      <c r="K244" s="159">
        <f t="shared" si="33"/>
        <v>1096.5397743455148</v>
      </c>
      <c r="L244" s="159">
        <f t="shared" si="24"/>
        <v>1651.294633058558</v>
      </c>
      <c r="M244" s="160">
        <f>'[5]Renewable Diesel'!$V50/1000000</f>
        <v>224.2489923909564</v>
      </c>
      <c r="N244" s="161">
        <f t="shared" si="25"/>
        <v>7.3636657870894053</v>
      </c>
      <c r="O244" s="157">
        <f t="shared" si="41"/>
        <v>1945.0381512874931</v>
      </c>
      <c r="P244" s="154">
        <f t="shared" si="43"/>
        <v>8.6735647306566594</v>
      </c>
    </row>
    <row r="245" spans="1:16" x14ac:dyDescent="0.2">
      <c r="A245" s="155">
        <v>47543</v>
      </c>
      <c r="B245" s="159">
        <f t="shared" si="48"/>
        <v>487.12925165141598</v>
      </c>
      <c r="C245" s="159">
        <f t="shared" si="48"/>
        <v>147.23658133749433</v>
      </c>
      <c r="D245" s="159">
        <f t="shared" si="47"/>
        <v>279.91324753811392</v>
      </c>
      <c r="E245" s="159">
        <f t="shared" si="49"/>
        <v>2.199909670055161</v>
      </c>
      <c r="F245" s="159">
        <f t="shared" si="49"/>
        <v>45.93479387200896</v>
      </c>
      <c r="G245" s="159">
        <f t="shared" si="46"/>
        <v>307.71311013825834</v>
      </c>
      <c r="H245" s="159">
        <f t="shared" si="36"/>
        <v>104.83858328606671</v>
      </c>
      <c r="I245" s="159">
        <f t="shared" si="20"/>
        <v>653.74560533645285</v>
      </c>
      <c r="J245" s="159">
        <f t="shared" si="31"/>
        <v>634.36583298891037</v>
      </c>
      <c r="K245" s="159">
        <f t="shared" si="33"/>
        <v>1114.432002302842</v>
      </c>
      <c r="L245" s="159">
        <f t="shared" si="24"/>
        <v>1748.7978352917523</v>
      </c>
      <c r="M245" s="160">
        <f>'[5]Renewable Diesel'!$V51/1000000</f>
        <v>239.81946750720792</v>
      </c>
      <c r="N245" s="161">
        <f t="shared" si="25"/>
        <v>7.292142933472201</v>
      </c>
      <c r="O245" s="157">
        <f t="shared" si="41"/>
        <v>2028.7110828298662</v>
      </c>
      <c r="P245" s="154">
        <f t="shared" si="43"/>
        <v>8.4593261085816227</v>
      </c>
    </row>
    <row r="246" spans="1:16" x14ac:dyDescent="0.2">
      <c r="A246" s="155">
        <v>47574</v>
      </c>
      <c r="B246" s="159">
        <f t="shared" si="48"/>
        <v>448.71676832529579</v>
      </c>
      <c r="C246" s="159">
        <f t="shared" si="48"/>
        <v>117.06687670699927</v>
      </c>
      <c r="D246" s="159">
        <f t="shared" si="47"/>
        <v>251.57812612669923</v>
      </c>
      <c r="E246" s="159">
        <f t="shared" si="49"/>
        <v>2.0677125032440165</v>
      </c>
      <c r="F246" s="159">
        <f t="shared" si="49"/>
        <v>49.497841311910918</v>
      </c>
      <c r="G246" s="159">
        <f t="shared" si="46"/>
        <v>170.46000630358967</v>
      </c>
      <c r="H246" s="159">
        <f t="shared" si="36"/>
        <v>129.73860214524331</v>
      </c>
      <c r="I246" s="159">
        <f t="shared" si="20"/>
        <v>787.15982806463376</v>
      </c>
      <c r="J246" s="159">
        <f t="shared" si="31"/>
        <v>565.783645032295</v>
      </c>
      <c r="K246" s="159">
        <f t="shared" si="33"/>
        <v>1138.9239903286216</v>
      </c>
      <c r="L246" s="159">
        <f t="shared" si="24"/>
        <v>1704.7076353609168</v>
      </c>
      <c r="M246" s="160">
        <f>'[5]Renewable Diesel'!$V52/1000000</f>
        <v>229.46227814924833</v>
      </c>
      <c r="N246" s="161">
        <f t="shared" si="25"/>
        <v>7.4291410732535734</v>
      </c>
      <c r="O246" s="157">
        <f t="shared" si="41"/>
        <v>1956.2857614876159</v>
      </c>
      <c r="P246" s="154">
        <f t="shared" si="43"/>
        <v>8.5255222656474974</v>
      </c>
    </row>
    <row r="247" spans="1:16" x14ac:dyDescent="0.2">
      <c r="A247" s="155">
        <v>47604</v>
      </c>
      <c r="B247" s="159">
        <f t="shared" si="48"/>
        <v>395.23473656739992</v>
      </c>
      <c r="C247" s="159">
        <f t="shared" si="48"/>
        <v>169.61724100754682</v>
      </c>
      <c r="D247" s="159">
        <f t="shared" si="47"/>
        <v>230.29789946930578</v>
      </c>
      <c r="E247" s="159">
        <f t="shared" si="49"/>
        <v>2.198438650290953</v>
      </c>
      <c r="F247" s="159">
        <f t="shared" si="49"/>
        <v>46.415454292399069</v>
      </c>
      <c r="G247" s="159">
        <f t="shared" si="46"/>
        <v>204.02784457715569</v>
      </c>
      <c r="H247" s="159">
        <f t="shared" si="36"/>
        <v>116.59605149057018</v>
      </c>
      <c r="I247" s="159">
        <f t="shared" si="20"/>
        <v>915.24102340598995</v>
      </c>
      <c r="J247" s="159">
        <f t="shared" si="31"/>
        <v>564.85197757494677</v>
      </c>
      <c r="K247" s="159">
        <f t="shared" si="33"/>
        <v>1284.4788124164058</v>
      </c>
      <c r="L247" s="159">
        <f t="shared" si="24"/>
        <v>1849.3307899913525</v>
      </c>
      <c r="M247" s="160">
        <f>'[5]Renewable Diesel'!$V53/1000000</f>
        <v>256.3516941498354</v>
      </c>
      <c r="N247" s="161">
        <f t="shared" si="25"/>
        <v>7.214037715352231</v>
      </c>
      <c r="O247" s="157">
        <f t="shared" si="41"/>
        <v>2079.6286894606583</v>
      </c>
      <c r="P247" s="154">
        <f t="shared" si="43"/>
        <v>8.1124047038485063</v>
      </c>
    </row>
    <row r="248" spans="1:16" x14ac:dyDescent="0.2">
      <c r="A248" s="155">
        <v>47635</v>
      </c>
      <c r="B248" s="159">
        <f t="shared" si="48"/>
        <v>431.57368609419865</v>
      </c>
      <c r="C248" s="159">
        <f t="shared" si="48"/>
        <v>146.91701166528273</v>
      </c>
      <c r="D248" s="159">
        <f t="shared" si="47"/>
        <v>245.08185698464453</v>
      </c>
      <c r="E248" s="159">
        <f t="shared" si="49"/>
        <v>2.0753729537106849</v>
      </c>
      <c r="F248" s="159">
        <f t="shared" si="49"/>
        <v>56.060849320154489</v>
      </c>
      <c r="G248" s="159">
        <f t="shared" si="46"/>
        <v>227.84614317751499</v>
      </c>
      <c r="H248" s="159">
        <f t="shared" si="36"/>
        <v>136.67170431645829</v>
      </c>
      <c r="I248" s="159">
        <f t="shared" ref="I248:I311" si="50">L248-SUM(E248:H248,B248:C248)</f>
        <v>879.18040461391308</v>
      </c>
      <c r="J248" s="159">
        <f t="shared" si="31"/>
        <v>578.49069775948135</v>
      </c>
      <c r="K248" s="159">
        <f t="shared" si="33"/>
        <v>1301.8344743817515</v>
      </c>
      <c r="L248" s="159">
        <f t="shared" si="24"/>
        <v>1880.325172141233</v>
      </c>
      <c r="M248" s="160">
        <f>'[5]Renewable Diesel'!$V54/1000000</f>
        <v>256.70844304556442</v>
      </c>
      <c r="N248" s="161">
        <f t="shared" si="25"/>
        <v>7.3247500153607534</v>
      </c>
      <c r="O248" s="157">
        <f t="shared" si="41"/>
        <v>2125.4070291258777</v>
      </c>
      <c r="P248" s="154">
        <f t="shared" si="43"/>
        <v>8.2794589999076464</v>
      </c>
    </row>
    <row r="249" spans="1:16" x14ac:dyDescent="0.2">
      <c r="A249" s="155">
        <v>47665</v>
      </c>
      <c r="B249" s="159">
        <f t="shared" si="48"/>
        <v>506.08921254518793</v>
      </c>
      <c r="C249" s="159">
        <f t="shared" si="48"/>
        <v>204.52630244959337</v>
      </c>
      <c r="D249" s="159">
        <f t="shared" si="47"/>
        <v>264.10868198016192</v>
      </c>
      <c r="E249" s="159">
        <f t="shared" si="49"/>
        <v>1.985380274331543</v>
      </c>
      <c r="F249" s="159">
        <f t="shared" si="49"/>
        <v>56.616030876143029</v>
      </c>
      <c r="G249" s="159">
        <f t="shared" si="46"/>
        <v>250.53751149719091</v>
      </c>
      <c r="H249" s="159">
        <f t="shared" si="36"/>
        <v>132.84480197670743</v>
      </c>
      <c r="I249" s="159">
        <f t="shared" si="50"/>
        <v>674.74119690624048</v>
      </c>
      <c r="J249" s="159">
        <f t="shared" si="31"/>
        <v>710.61551499478128</v>
      </c>
      <c r="K249" s="159">
        <f t="shared" si="33"/>
        <v>1116.7249215306133</v>
      </c>
      <c r="L249" s="159">
        <f t="shared" ref="L249:L312" si="51">M249*N249</f>
        <v>1827.3404365253948</v>
      </c>
      <c r="M249" s="160">
        <f>'[5]Renewable Diesel'!$V55/1000000</f>
        <v>250.03321112136015</v>
      </c>
      <c r="N249" s="161">
        <f t="shared" ref="N249:N312" si="52">AVERAGE(N237,N225,N213,N201,N189)</f>
        <v>7.3083908666774962</v>
      </c>
      <c r="O249" s="157">
        <f t="shared" si="41"/>
        <v>2091.4491185055567</v>
      </c>
      <c r="P249" s="154">
        <f t="shared" si="43"/>
        <v>8.3646852717114335</v>
      </c>
    </row>
    <row r="250" spans="1:16" x14ac:dyDescent="0.2">
      <c r="A250" s="155">
        <v>47696</v>
      </c>
      <c r="B250" s="159">
        <f t="shared" si="48"/>
        <v>525.32580916055576</v>
      </c>
      <c r="C250" s="159">
        <f t="shared" si="48"/>
        <v>159.64527352367637</v>
      </c>
      <c r="D250" s="159">
        <f t="shared" si="47"/>
        <v>261.03282144180554</v>
      </c>
      <c r="E250" s="159">
        <f t="shared" si="49"/>
        <v>2.0255429613052209</v>
      </c>
      <c r="F250" s="159">
        <f t="shared" si="49"/>
        <v>43.759134356089582</v>
      </c>
      <c r="G250" s="159">
        <f t="shared" si="46"/>
        <v>269.38335342854759</v>
      </c>
      <c r="H250" s="159">
        <f t="shared" si="36"/>
        <v>143.54554356342723</v>
      </c>
      <c r="I250" s="159">
        <f t="shared" si="50"/>
        <v>738.63013923296262</v>
      </c>
      <c r="J250" s="159">
        <f t="shared" si="31"/>
        <v>684.9710826842321</v>
      </c>
      <c r="K250" s="159">
        <f t="shared" si="33"/>
        <v>1197.3437135423324</v>
      </c>
      <c r="L250" s="159">
        <f t="shared" si="51"/>
        <v>1882.3147962265643</v>
      </c>
      <c r="M250" s="160">
        <f>'[5]Renewable Diesel'!$V56/1000000</f>
        <v>257.41208430610368</v>
      </c>
      <c r="N250" s="161">
        <f t="shared" si="52"/>
        <v>7.3124569940088531</v>
      </c>
      <c r="O250" s="157">
        <f t="shared" si="41"/>
        <v>2143.3476176683698</v>
      </c>
      <c r="P250" s="154">
        <f t="shared" si="43"/>
        <v>8.3265229114869008</v>
      </c>
    </row>
    <row r="251" spans="1:16" x14ac:dyDescent="0.2">
      <c r="A251" s="155">
        <v>47727</v>
      </c>
      <c r="B251" s="159">
        <f t="shared" si="48"/>
        <v>524.23766768938003</v>
      </c>
      <c r="C251" s="159">
        <f t="shared" si="48"/>
        <v>123.65661205955968</v>
      </c>
      <c r="D251" s="159">
        <f t="shared" si="47"/>
        <v>288.61346513773793</v>
      </c>
      <c r="E251" s="159">
        <f t="shared" si="49"/>
        <v>2.3910205651034389</v>
      </c>
      <c r="F251" s="159">
        <f t="shared" si="49"/>
        <v>50.012160922519442</v>
      </c>
      <c r="G251" s="159">
        <f t="shared" si="46"/>
        <v>262.08268353781978</v>
      </c>
      <c r="H251" s="159">
        <f t="shared" si="36"/>
        <v>125.95692890807793</v>
      </c>
      <c r="I251" s="159">
        <f t="shared" si="50"/>
        <v>826.24522491099924</v>
      </c>
      <c r="J251" s="159">
        <f t="shared" si="31"/>
        <v>647.89427974893965</v>
      </c>
      <c r="K251" s="159">
        <f t="shared" si="33"/>
        <v>1266.6880188445198</v>
      </c>
      <c r="L251" s="159">
        <f t="shared" si="51"/>
        <v>1914.5822985934594</v>
      </c>
      <c r="M251" s="160">
        <f>'[5]Renewable Diesel'!$V57/1000000</f>
        <v>260.67037302903577</v>
      </c>
      <c r="N251" s="161">
        <f t="shared" si="52"/>
        <v>7.3448404448333537</v>
      </c>
      <c r="O251" s="157">
        <f t="shared" si="41"/>
        <v>2203.1957637311975</v>
      </c>
      <c r="P251" s="154">
        <f t="shared" si="43"/>
        <v>8.4520374836989483</v>
      </c>
    </row>
    <row r="252" spans="1:16" x14ac:dyDescent="0.2">
      <c r="A252" s="155">
        <v>47757</v>
      </c>
      <c r="B252" s="159">
        <f t="shared" si="48"/>
        <v>675.82684578048543</v>
      </c>
      <c r="C252" s="159">
        <f t="shared" si="48"/>
        <v>186.24767468936889</v>
      </c>
      <c r="D252" s="159">
        <f>$L252*(AVERAGE(D240/$L240,D228/$L228,D216/$L216,D204/$L204))*0.95+50</f>
        <v>363.12904961097405</v>
      </c>
      <c r="E252" s="159">
        <f t="shared" si="49"/>
        <v>3.2040078354068884</v>
      </c>
      <c r="F252" s="159">
        <f t="shared" si="49"/>
        <v>52.120790186592011</v>
      </c>
      <c r="G252" s="159">
        <f>$L252*(AVERAGE(G240/$L240,G228/$L228,G216/$L216,G204/$L204))*0.845</f>
        <v>311.43148654318088</v>
      </c>
      <c r="H252" s="159">
        <f t="shared" si="36"/>
        <v>148.87137614875334</v>
      </c>
      <c r="I252" s="159">
        <f t="shared" si="50"/>
        <v>749.02016192989549</v>
      </c>
      <c r="J252" s="159">
        <f t="shared" si="31"/>
        <v>862.07452046985429</v>
      </c>
      <c r="K252" s="159">
        <f t="shared" si="33"/>
        <v>1264.6478226438285</v>
      </c>
      <c r="L252" s="159">
        <f t="shared" si="51"/>
        <v>2126.7223431136831</v>
      </c>
      <c r="M252" s="160">
        <f>'[5]Renewable Diesel'!$V58/1000000</f>
        <v>283.20654538055896</v>
      </c>
      <c r="N252" s="161">
        <f t="shared" si="52"/>
        <v>7.5094392336727198</v>
      </c>
      <c r="O252" s="157">
        <f t="shared" si="41"/>
        <v>2489.8513927246568</v>
      </c>
      <c r="P252" s="154">
        <f t="shared" si="43"/>
        <v>8.7916449437244371</v>
      </c>
    </row>
    <row r="253" spans="1:16" x14ac:dyDescent="0.2">
      <c r="A253" s="155">
        <v>47788</v>
      </c>
      <c r="B253" s="159">
        <f t="shared" si="48"/>
        <v>896.79677041577372</v>
      </c>
      <c r="C253" s="159">
        <f t="shared" si="48"/>
        <v>247.62255907880561</v>
      </c>
      <c r="D253" s="159">
        <f t="shared" ref="D253:D263" si="53">$L253*(AVERAGE(D241/$L241,D229/$L229,D217/$L217,D205/$L205))*0.95</f>
        <v>381.38900308982664</v>
      </c>
      <c r="E253" s="159">
        <f t="shared" si="49"/>
        <v>3.6339139058981016</v>
      </c>
      <c r="F253" s="159">
        <f t="shared" si="49"/>
        <v>25.975605390176106</v>
      </c>
      <c r="G253" s="159">
        <f t="shared" ref="G253:G262" si="54">$L253*(AVERAGE(G241/$L241,G229/$L229,G217/$L217,G205/$L205))*0.845</f>
        <v>418.30275903502451</v>
      </c>
      <c r="H253" s="159">
        <f t="shared" si="36"/>
        <v>151.73323007799908</v>
      </c>
      <c r="I253" s="159">
        <f t="shared" si="50"/>
        <v>838.28562982435983</v>
      </c>
      <c r="J253" s="159">
        <f t="shared" si="31"/>
        <v>1144.4193294945794</v>
      </c>
      <c r="K253" s="159">
        <f t="shared" si="33"/>
        <v>1437.9311382334577</v>
      </c>
      <c r="L253" s="159">
        <f t="shared" si="51"/>
        <v>2582.3504677280371</v>
      </c>
      <c r="M253" s="160">
        <f>'[5]Renewable Diesel'!$V59/1000000</f>
        <v>342.12788418371906</v>
      </c>
      <c r="N253" s="161">
        <f t="shared" si="52"/>
        <v>7.5479099690726814</v>
      </c>
      <c r="O253" s="157">
        <f t="shared" si="41"/>
        <v>2963.7394708178635</v>
      </c>
      <c r="P253" s="154">
        <f t="shared" si="43"/>
        <v>8.662665651731464</v>
      </c>
    </row>
    <row r="254" spans="1:16" x14ac:dyDescent="0.2">
      <c r="A254" s="155">
        <v>47818</v>
      </c>
      <c r="B254" s="159">
        <f t="shared" si="48"/>
        <v>886.72095565600296</v>
      </c>
      <c r="C254" s="159">
        <f t="shared" si="48"/>
        <v>313.70563512870535</v>
      </c>
      <c r="D254" s="159">
        <f t="shared" si="53"/>
        <v>397.66346457658375</v>
      </c>
      <c r="E254" s="159">
        <f t="shared" si="49"/>
        <v>3.9079437876225276</v>
      </c>
      <c r="F254" s="159">
        <f t="shared" si="49"/>
        <v>25.161251627377975</v>
      </c>
      <c r="G254" s="159">
        <f t="shared" si="54"/>
        <v>478.17375801817826</v>
      </c>
      <c r="H254" s="159">
        <f t="shared" si="36"/>
        <v>141.01018812955786</v>
      </c>
      <c r="I254" s="159">
        <f t="shared" si="50"/>
        <v>1077.2314601956962</v>
      </c>
      <c r="J254" s="159">
        <f t="shared" si="31"/>
        <v>1200.4265907847084</v>
      </c>
      <c r="K254" s="159">
        <f t="shared" si="33"/>
        <v>1725.4846017584327</v>
      </c>
      <c r="L254" s="159">
        <f t="shared" si="51"/>
        <v>2925.9111925431412</v>
      </c>
      <c r="M254" s="160">
        <f>'[5]Renewable Diesel'!$V60/1000000</f>
        <v>387.29975470567996</v>
      </c>
      <c r="N254" s="161">
        <f t="shared" si="52"/>
        <v>7.5546425139531106</v>
      </c>
      <c r="O254" s="157">
        <f t="shared" si="41"/>
        <v>3323.5746571197251</v>
      </c>
      <c r="P254" s="154">
        <f t="shared" si="43"/>
        <v>8.5814013996611056</v>
      </c>
    </row>
    <row r="255" spans="1:16" x14ac:dyDescent="0.2">
      <c r="A255" s="155">
        <v>47849</v>
      </c>
      <c r="B255" s="159">
        <f t="shared" si="48"/>
        <v>611.88961813482968</v>
      </c>
      <c r="C255" s="159">
        <f t="shared" si="48"/>
        <v>163.39463892927913</v>
      </c>
      <c r="D255" s="159">
        <f t="shared" si="53"/>
        <v>313.73450392009863</v>
      </c>
      <c r="E255" s="159">
        <f t="shared" si="49"/>
        <v>2.1401047851794983</v>
      </c>
      <c r="F255" s="159">
        <f t="shared" si="49"/>
        <v>33.964825813157496</v>
      </c>
      <c r="G255" s="159">
        <f t="shared" si="54"/>
        <v>325.17494293971998</v>
      </c>
      <c r="H255" s="159">
        <f t="shared" si="36"/>
        <v>91.215454339830885</v>
      </c>
      <c r="I255" s="159">
        <f t="shared" si="50"/>
        <v>354.64978329704172</v>
      </c>
      <c r="J255" s="159">
        <f t="shared" si="31"/>
        <v>775.28425706410883</v>
      </c>
      <c r="K255" s="159">
        <f t="shared" si="33"/>
        <v>807.14511117492953</v>
      </c>
      <c r="L255" s="159">
        <f t="shared" si="51"/>
        <v>1582.4293682390385</v>
      </c>
      <c r="M255" s="160">
        <f>'[5]Renewable Diesel'!$W49/1000000</f>
        <v>222.78229377920414</v>
      </c>
      <c r="N255" s="161">
        <f t="shared" si="52"/>
        <v>7.1030302336655087</v>
      </c>
      <c r="O255" s="157">
        <f t="shared" si="41"/>
        <v>1896.1638721591371</v>
      </c>
      <c r="P255" s="154">
        <f t="shared" si="43"/>
        <v>8.5112862426957232</v>
      </c>
    </row>
    <row r="256" spans="1:16" x14ac:dyDescent="0.2">
      <c r="A256" s="155">
        <v>47880</v>
      </c>
      <c r="B256" s="159">
        <f t="shared" si="48"/>
        <v>440.83112233549673</v>
      </c>
      <c r="C256" s="159">
        <f t="shared" si="48"/>
        <v>147.55900236630447</v>
      </c>
      <c r="D256" s="159">
        <f t="shared" si="53"/>
        <v>304.95057877302702</v>
      </c>
      <c r="E256" s="159">
        <f t="shared" si="49"/>
        <v>2.3170917889022578</v>
      </c>
      <c r="F256" s="159">
        <f t="shared" si="49"/>
        <v>33.66937731001584</v>
      </c>
      <c r="G256" s="159">
        <f t="shared" si="54"/>
        <v>377.94087655824882</v>
      </c>
      <c r="H256" s="159">
        <f t="shared" si="36"/>
        <v>68.152070322156803</v>
      </c>
      <c r="I256" s="159">
        <f t="shared" si="50"/>
        <v>719.89302297431936</v>
      </c>
      <c r="J256" s="159">
        <f t="shared" si="31"/>
        <v>588.39012470180114</v>
      </c>
      <c r="K256" s="159">
        <f t="shared" si="33"/>
        <v>1201.9724389536432</v>
      </c>
      <c r="L256" s="159">
        <f t="shared" si="51"/>
        <v>1790.3625636554443</v>
      </c>
      <c r="M256" s="160">
        <f>'[5]Renewable Diesel'!$W50/1000000</f>
        <v>242.94168809107899</v>
      </c>
      <c r="N256" s="161">
        <f t="shared" si="52"/>
        <v>7.3695156139041744</v>
      </c>
      <c r="O256" s="157">
        <f t="shared" si="41"/>
        <v>2095.3131424284711</v>
      </c>
      <c r="P256" s="154">
        <f t="shared" si="43"/>
        <v>8.6247574835445153</v>
      </c>
    </row>
    <row r="257" spans="1:16" x14ac:dyDescent="0.2">
      <c r="A257" s="155">
        <v>47908</v>
      </c>
      <c r="B257" s="159">
        <f t="shared" si="48"/>
        <v>510.784105645213</v>
      </c>
      <c r="C257" s="159">
        <f t="shared" si="48"/>
        <v>165.36238888838034</v>
      </c>
      <c r="D257" s="159">
        <f t="shared" si="53"/>
        <v>293.42736044395809</v>
      </c>
      <c r="E257" s="159">
        <f t="shared" si="49"/>
        <v>2.3701083131978899</v>
      </c>
      <c r="F257" s="159">
        <f t="shared" si="49"/>
        <v>49.959769919504701</v>
      </c>
      <c r="G257" s="159">
        <f t="shared" si="54"/>
        <v>334.36748976897258</v>
      </c>
      <c r="H257" s="159">
        <f t="shared" si="36"/>
        <v>112.94428724090949</v>
      </c>
      <c r="I257" s="159">
        <f t="shared" si="50"/>
        <v>722.85734462353548</v>
      </c>
      <c r="J257" s="159">
        <f t="shared" si="31"/>
        <v>676.14649453359334</v>
      </c>
      <c r="K257" s="159">
        <f t="shared" si="33"/>
        <v>1222.4989998661201</v>
      </c>
      <c r="L257" s="159">
        <f t="shared" si="51"/>
        <v>1898.6454943997135</v>
      </c>
      <c r="M257" s="160">
        <f>'[5]Renewable Diesel'!$W51/1000000</f>
        <v>259.74258844060631</v>
      </c>
      <c r="N257" s="161">
        <f t="shared" si="52"/>
        <v>7.309719618174455</v>
      </c>
      <c r="O257" s="157">
        <f t="shared" si="41"/>
        <v>2192.0728548436718</v>
      </c>
      <c r="P257" s="154">
        <f t="shared" si="43"/>
        <v>8.4394048276950908</v>
      </c>
    </row>
    <row r="258" spans="1:16" x14ac:dyDescent="0.2">
      <c r="A258" s="155">
        <v>47939</v>
      </c>
      <c r="B258" s="159">
        <f t="shared" si="48"/>
        <v>468.82245465851935</v>
      </c>
      <c r="C258" s="159">
        <f t="shared" si="48"/>
        <v>131.86969620179377</v>
      </c>
      <c r="D258" s="159">
        <f t="shared" si="53"/>
        <v>255.06449066046818</v>
      </c>
      <c r="E258" s="159">
        <f t="shared" si="49"/>
        <v>2.2325679513769416</v>
      </c>
      <c r="F258" s="159">
        <f t="shared" si="49"/>
        <v>53.318222843037205</v>
      </c>
      <c r="G258" s="159">
        <f t="shared" si="54"/>
        <v>185.33296777454584</v>
      </c>
      <c r="H258" s="159">
        <f t="shared" si="36"/>
        <v>139.99300131569976</v>
      </c>
      <c r="I258" s="159">
        <f t="shared" si="50"/>
        <v>871.40759645580158</v>
      </c>
      <c r="J258" s="159">
        <f t="shared" si="31"/>
        <v>600.69215086031318</v>
      </c>
      <c r="K258" s="159">
        <f t="shared" si="33"/>
        <v>1252.2843563404613</v>
      </c>
      <c r="L258" s="159">
        <f t="shared" si="51"/>
        <v>1852.9765072007744</v>
      </c>
      <c r="M258" s="160">
        <f>'[5]Renewable Diesel'!$W52/1000000</f>
        <v>248.8264453684256</v>
      </c>
      <c r="N258" s="161">
        <f t="shared" si="52"/>
        <v>7.4468632321502621</v>
      </c>
      <c r="O258" s="157">
        <f t="shared" si="41"/>
        <v>2108.0409978612424</v>
      </c>
      <c r="P258" s="154">
        <f t="shared" si="43"/>
        <v>8.4719330967412461</v>
      </c>
    </row>
    <row r="259" spans="1:16" x14ac:dyDescent="0.2">
      <c r="A259" s="155">
        <v>47969</v>
      </c>
      <c r="B259" s="159">
        <f t="shared" ref="B259:C274" si="55">$L259*(AVERAGE(B247/$L247,B235/$L235,B223/$L223,B211/$L211))</f>
        <v>396.05633518699534</v>
      </c>
      <c r="C259" s="159">
        <f t="shared" si="55"/>
        <v>191.66041399732723</v>
      </c>
      <c r="D259" s="159">
        <f t="shared" si="53"/>
        <v>240.13100737335316</v>
      </c>
      <c r="E259" s="159">
        <f t="shared" ref="E259:F274" si="56">$L259*(AVERAGE(E247/$L247,E235/$L235,E223/$L223,E211/$L211))</f>
        <v>2.3749334018124109</v>
      </c>
      <c r="F259" s="159">
        <f t="shared" si="56"/>
        <v>49.930996267864238</v>
      </c>
      <c r="G259" s="159">
        <f t="shared" si="54"/>
        <v>221.04710842771001</v>
      </c>
      <c r="H259" s="159">
        <f t="shared" si="36"/>
        <v>126.14395813183528</v>
      </c>
      <c r="I259" s="159">
        <f t="shared" si="50"/>
        <v>1022.2758093415523</v>
      </c>
      <c r="J259" s="159">
        <f t="shared" ref="J259:J322" si="57">C259+B259</f>
        <v>587.71674918432257</v>
      </c>
      <c r="K259" s="159">
        <f t="shared" si="33"/>
        <v>1421.7728055707744</v>
      </c>
      <c r="L259" s="159">
        <f t="shared" si="51"/>
        <v>2009.4895547550968</v>
      </c>
      <c r="M259" s="160">
        <f>'[5]Renewable Diesel'!$W53/1000000</f>
        <v>277.9360548082077</v>
      </c>
      <c r="N259" s="161">
        <f t="shared" si="52"/>
        <v>7.2300427382181969</v>
      </c>
      <c r="O259" s="157">
        <f t="shared" si="41"/>
        <v>2249.6205621284503</v>
      </c>
      <c r="P259" s="154">
        <f t="shared" si="43"/>
        <v>8.0940220716625682</v>
      </c>
    </row>
    <row r="260" spans="1:16" x14ac:dyDescent="0.2">
      <c r="A260" s="155">
        <v>48000</v>
      </c>
      <c r="B260" s="159">
        <f t="shared" si="55"/>
        <v>437.26344142137685</v>
      </c>
      <c r="C260" s="159">
        <f t="shared" si="55"/>
        <v>165.55181361187852</v>
      </c>
      <c r="D260" s="159">
        <f t="shared" si="53"/>
        <v>257.22808510613464</v>
      </c>
      <c r="E260" s="159">
        <f t="shared" si="56"/>
        <v>2.2373892404315265</v>
      </c>
      <c r="F260" s="159">
        <f t="shared" si="56"/>
        <v>60.105623619359207</v>
      </c>
      <c r="G260" s="159">
        <f t="shared" si="54"/>
        <v>244.40077611017853</v>
      </c>
      <c r="H260" s="159">
        <f t="shared" si="36"/>
        <v>145.73029490303603</v>
      </c>
      <c r="I260" s="159">
        <f t="shared" si="50"/>
        <v>988.08595271503441</v>
      </c>
      <c r="J260" s="159">
        <f t="shared" si="57"/>
        <v>602.81525503325543</v>
      </c>
      <c r="K260" s="159">
        <f t="shared" ref="K260:K323" si="58">SUM(E260:I260)</f>
        <v>1440.5600365880396</v>
      </c>
      <c r="L260" s="159">
        <f t="shared" si="51"/>
        <v>2043.375291621295</v>
      </c>
      <c r="M260" s="160">
        <f>'[5]Renewable Diesel'!$W54/1000000</f>
        <v>278.34248254892327</v>
      </c>
      <c r="N260" s="161">
        <f t="shared" si="52"/>
        <v>7.3412267969627605</v>
      </c>
      <c r="O260" s="157">
        <f t="shared" si="41"/>
        <v>2300.6033767274293</v>
      </c>
      <c r="P260" s="154">
        <f t="shared" si="43"/>
        <v>8.2653691799384603</v>
      </c>
    </row>
    <row r="261" spans="1:16" x14ac:dyDescent="0.2">
      <c r="A261" s="155">
        <v>48030</v>
      </c>
      <c r="B261" s="159">
        <f t="shared" si="55"/>
        <v>516.38957311316676</v>
      </c>
      <c r="C261" s="159">
        <f t="shared" si="55"/>
        <v>231.01108484803294</v>
      </c>
      <c r="D261" s="159">
        <f t="shared" si="53"/>
        <v>271.37699867908026</v>
      </c>
      <c r="E261" s="159">
        <f t="shared" si="56"/>
        <v>2.1393881947880931</v>
      </c>
      <c r="F261" s="159">
        <f t="shared" si="56"/>
        <v>60.027737826416327</v>
      </c>
      <c r="G261" s="159">
        <f t="shared" si="54"/>
        <v>268.13469411357505</v>
      </c>
      <c r="H261" s="159">
        <f t="shared" si="36"/>
        <v>143.05691875102127</v>
      </c>
      <c r="I261" s="159">
        <f t="shared" si="50"/>
        <v>766.08339132304513</v>
      </c>
      <c r="J261" s="159">
        <f t="shared" si="57"/>
        <v>747.40065796119973</v>
      </c>
      <c r="K261" s="159">
        <f t="shared" si="58"/>
        <v>1239.4421302088458</v>
      </c>
      <c r="L261" s="159">
        <f t="shared" si="51"/>
        <v>1986.8427881700454</v>
      </c>
      <c r="M261" s="160">
        <f>'[5]Renewable Diesel'!$W55/1000000</f>
        <v>271.09563563357653</v>
      </c>
      <c r="N261" s="161">
        <f t="shared" si="52"/>
        <v>7.3289368289777261</v>
      </c>
      <c r="O261" s="157">
        <f t="shared" si="41"/>
        <v>2258.2197868491257</v>
      </c>
      <c r="P261" s="154">
        <f t="shared" si="43"/>
        <v>8.3299747027334075</v>
      </c>
    </row>
    <row r="262" spans="1:16" x14ac:dyDescent="0.2">
      <c r="A262" s="155">
        <v>48061</v>
      </c>
      <c r="B262" s="159">
        <f t="shared" si="55"/>
        <v>545.10986561996708</v>
      </c>
      <c r="C262" s="159">
        <f t="shared" si="55"/>
        <v>180.57251863744943</v>
      </c>
      <c r="D262" s="159">
        <f t="shared" si="53"/>
        <v>258.93648464597089</v>
      </c>
      <c r="E262" s="159">
        <f t="shared" si="56"/>
        <v>2.1833192879571812</v>
      </c>
      <c r="F262" s="159">
        <f t="shared" si="56"/>
        <v>46.068625563451668</v>
      </c>
      <c r="G262" s="159">
        <f t="shared" si="54"/>
        <v>286.20170229485041</v>
      </c>
      <c r="H262" s="159">
        <f t="shared" si="36"/>
        <v>155.25596233107979</v>
      </c>
      <c r="I262" s="159">
        <f t="shared" si="50"/>
        <v>827.74646147619887</v>
      </c>
      <c r="J262" s="159">
        <f t="shared" si="57"/>
        <v>725.68238425741652</v>
      </c>
      <c r="K262" s="159">
        <f t="shared" si="58"/>
        <v>1317.4560709535378</v>
      </c>
      <c r="L262" s="159">
        <f t="shared" si="51"/>
        <v>2043.1384552109544</v>
      </c>
      <c r="M262" s="160">
        <f>'[5]Renewable Diesel'!$W56/1000000</f>
        <v>278.9790387578098</v>
      </c>
      <c r="N262" s="161">
        <f t="shared" si="52"/>
        <v>7.3236271237735</v>
      </c>
      <c r="O262" s="157">
        <f t="shared" si="41"/>
        <v>2302.0749398569251</v>
      </c>
      <c r="P262" s="154">
        <f t="shared" si="43"/>
        <v>8.2517846147409895</v>
      </c>
    </row>
    <row r="263" spans="1:16" x14ac:dyDescent="0.2">
      <c r="A263" s="155">
        <v>48092</v>
      </c>
      <c r="B263" s="159">
        <f t="shared" si="55"/>
        <v>543.15687065217571</v>
      </c>
      <c r="C263" s="159">
        <f t="shared" si="55"/>
        <v>139.39474806494988</v>
      </c>
      <c r="D263" s="159">
        <f t="shared" si="53"/>
        <v>296.02458865964837</v>
      </c>
      <c r="E263" s="159">
        <f t="shared" si="56"/>
        <v>2.6141484273668505</v>
      </c>
      <c r="F263" s="159">
        <f t="shared" si="56"/>
        <v>53.401740168546858</v>
      </c>
      <c r="G263" s="159">
        <f>$L263*(AVERAGE(G251/$L251,G239/$L239,G227/$L227,G215/$L215))*0.915</f>
        <v>303.77864396961928</v>
      </c>
      <c r="H263" s="159">
        <f t="shared" si="36"/>
        <v>135.17911565067729</v>
      </c>
      <c r="I263" s="159">
        <f t="shared" si="50"/>
        <v>902.38835553544777</v>
      </c>
      <c r="J263" s="159">
        <f t="shared" si="57"/>
        <v>682.55161871712562</v>
      </c>
      <c r="K263" s="159">
        <f t="shared" si="58"/>
        <v>1397.362003751658</v>
      </c>
      <c r="L263" s="159">
        <f t="shared" si="51"/>
        <v>2079.9136224687836</v>
      </c>
      <c r="M263" s="160">
        <f>'[5]Renewable Diesel'!$W57/1000000</f>
        <v>282.55959833993489</v>
      </c>
      <c r="N263" s="161">
        <f t="shared" si="52"/>
        <v>7.3609731705752637</v>
      </c>
      <c r="O263" s="157">
        <f t="shared" si="41"/>
        <v>2375.9382111284322</v>
      </c>
      <c r="P263" s="154">
        <f t="shared" si="43"/>
        <v>8.4086267997523354</v>
      </c>
    </row>
    <row r="264" spans="1:16" x14ac:dyDescent="0.2">
      <c r="A264" s="155">
        <v>48122</v>
      </c>
      <c r="B264" s="159">
        <f>$L264*(AVERAGE(B252/$L252,B240/$L240,B228/$L228,B216/$L216))-200</f>
        <v>548.80866708216809</v>
      </c>
      <c r="C264" s="159">
        <f t="shared" si="55"/>
        <v>209.18717793686997</v>
      </c>
      <c r="D264" s="159">
        <f>$L264*(AVERAGE(D252/$L252,D240/$L240,D228/$L228,D216/$L216))*0.84</f>
        <v>299.45085555171261</v>
      </c>
      <c r="E264" s="159">
        <f t="shared" si="56"/>
        <v>3.3968043068620779</v>
      </c>
      <c r="F264" s="159">
        <f t="shared" si="56"/>
        <v>53.941892293994222</v>
      </c>
      <c r="G264" s="159">
        <f t="shared" ref="G264:G275" si="59">$L264*(AVERAGE(G252/$L252,G240/$L240,G228/$L228,G216/$L216))*0.915</f>
        <v>333.49905822670092</v>
      </c>
      <c r="H264" s="159">
        <f t="shared" si="36"/>
        <v>159.12034726067748</v>
      </c>
      <c r="I264" s="159">
        <f t="shared" si="50"/>
        <v>994.80818219827438</v>
      </c>
      <c r="J264" s="159">
        <f t="shared" si="57"/>
        <v>757.99584501903803</v>
      </c>
      <c r="K264" s="159">
        <f t="shared" si="58"/>
        <v>1544.7662842865091</v>
      </c>
      <c r="L264" s="159">
        <f t="shared" si="51"/>
        <v>2302.7621293055472</v>
      </c>
      <c r="M264" s="160">
        <f>'[5]Renewable Diesel'!$W58/1000000</f>
        <v>307.06117011684262</v>
      </c>
      <c r="N264" s="161">
        <f t="shared" si="52"/>
        <v>7.4993595850276424</v>
      </c>
      <c r="O264" s="157">
        <f t="shared" si="41"/>
        <v>2602.2129848572595</v>
      </c>
      <c r="P264" s="154">
        <f t="shared" si="43"/>
        <v>8.4745752250832229</v>
      </c>
    </row>
    <row r="265" spans="1:16" x14ac:dyDescent="0.2">
      <c r="A265" s="155">
        <v>48153</v>
      </c>
      <c r="B265" s="159">
        <f t="shared" si="55"/>
        <v>999.75421309428668</v>
      </c>
      <c r="C265" s="159">
        <f t="shared" si="55"/>
        <v>277.76800893675392</v>
      </c>
      <c r="D265" s="159">
        <f t="shared" ref="D265:D275" si="60">$L265*(AVERAGE(D253/$L253,D241/$L241,D229/$L229,D217/$L217))*0.84</f>
        <v>356.69316164777121</v>
      </c>
      <c r="E265" s="159">
        <f t="shared" si="56"/>
        <v>3.8710470683544753</v>
      </c>
      <c r="F265" s="159">
        <f t="shared" si="56"/>
        <v>25.379624188265925</v>
      </c>
      <c r="G265" s="159">
        <f t="shared" si="59"/>
        <v>453.51368144399208</v>
      </c>
      <c r="H265" s="159">
        <f t="shared" si="36"/>
        <v>163.2619752718129</v>
      </c>
      <c r="I265" s="159">
        <f t="shared" si="50"/>
        <v>876.52691293340536</v>
      </c>
      <c r="J265" s="159">
        <f t="shared" si="57"/>
        <v>1277.5222220310407</v>
      </c>
      <c r="K265" s="159">
        <f t="shared" si="58"/>
        <v>1522.5532409058308</v>
      </c>
      <c r="L265" s="159">
        <f t="shared" si="51"/>
        <v>2800.0754629368712</v>
      </c>
      <c r="M265" s="160">
        <f>'[5]Renewable Diesel'!$W59/1000000</f>
        <v>371.06226734164443</v>
      </c>
      <c r="N265" s="161">
        <f t="shared" si="52"/>
        <v>7.5461067033226144</v>
      </c>
      <c r="O265" s="157">
        <f t="shared" si="41"/>
        <v>3156.7686245846426</v>
      </c>
      <c r="P265" s="154">
        <f t="shared" si="43"/>
        <v>8.507382459554</v>
      </c>
    </row>
    <row r="266" spans="1:16" x14ac:dyDescent="0.2">
      <c r="A266" s="155">
        <v>48183</v>
      </c>
      <c r="B266" s="159">
        <f t="shared" si="55"/>
        <v>983.83619646425404</v>
      </c>
      <c r="C266" s="159">
        <f t="shared" si="55"/>
        <v>347.81313593735956</v>
      </c>
      <c r="D266" s="159">
        <f t="shared" si="60"/>
        <v>370.65468241895707</v>
      </c>
      <c r="E266" s="159">
        <f t="shared" si="56"/>
        <v>4.1770823744036374</v>
      </c>
      <c r="F266" s="159">
        <f t="shared" si="56"/>
        <v>24.929205650885372</v>
      </c>
      <c r="G266" s="159">
        <f t="shared" si="59"/>
        <v>515.01518038175675</v>
      </c>
      <c r="H266" s="159">
        <f t="shared" ref="H266:H311" si="61">$L266*(AVERAGE(H254/$L254,H242/$L242,H230/$L230,H218/$L218))</f>
        <v>152.98137817202434</v>
      </c>
      <c r="I266" s="159">
        <f t="shared" si="50"/>
        <v>1148.2226500031265</v>
      </c>
      <c r="J266" s="159">
        <f t="shared" si="57"/>
        <v>1331.6493324016137</v>
      </c>
      <c r="K266" s="159">
        <f t="shared" si="58"/>
        <v>1845.3254965821966</v>
      </c>
      <c r="L266" s="159">
        <f t="shared" si="51"/>
        <v>3176.9748289838103</v>
      </c>
      <c r="M266" s="160">
        <f>'[5]Renewable Diesel'!$W60/1000000</f>
        <v>420.34894946926062</v>
      </c>
      <c r="N266" s="161">
        <f t="shared" si="52"/>
        <v>7.5579463990456262</v>
      </c>
      <c r="O266" s="157">
        <f t="shared" si="41"/>
        <v>3547.6295114027671</v>
      </c>
      <c r="P266" s="154">
        <f t="shared" si="43"/>
        <v>8.4397249377738692</v>
      </c>
    </row>
    <row r="267" spans="1:16" x14ac:dyDescent="0.2">
      <c r="A267" s="155">
        <v>48214</v>
      </c>
      <c r="B267" s="159">
        <f t="shared" si="55"/>
        <v>746.06267599268119</v>
      </c>
      <c r="C267" s="159">
        <f t="shared" si="55"/>
        <v>191.24467076743272</v>
      </c>
      <c r="D267" s="159">
        <f t="shared" si="60"/>
        <v>328.94870289489847</v>
      </c>
      <c r="E267" s="159">
        <f t="shared" si="56"/>
        <v>2.511254607833231</v>
      </c>
      <c r="F267" s="159">
        <f t="shared" si="56"/>
        <v>40.538546787227951</v>
      </c>
      <c r="G267" s="159">
        <f t="shared" si="59"/>
        <v>387.22801631613021</v>
      </c>
      <c r="H267" s="159">
        <f t="shared" si="61"/>
        <v>109.66708533781036</v>
      </c>
      <c r="I267" s="159">
        <f t="shared" si="50"/>
        <v>407.89081212355131</v>
      </c>
      <c r="J267" s="159">
        <f t="shared" si="57"/>
        <v>937.30734676011389</v>
      </c>
      <c r="K267" s="159">
        <f t="shared" si="58"/>
        <v>947.83571517255314</v>
      </c>
      <c r="L267" s="159">
        <f t="shared" si="51"/>
        <v>1885.1430619326673</v>
      </c>
      <c r="M267" s="160">
        <f>'[5]Renewable Diesel'!$X49/1000000</f>
        <v>264.0590131817014</v>
      </c>
      <c r="N267" s="161">
        <f t="shared" si="52"/>
        <v>7.1390975798106284</v>
      </c>
      <c r="O267" s="157">
        <f t="shared" si="41"/>
        <v>2214.0917648275654</v>
      </c>
      <c r="P267" s="154">
        <f t="shared" si="43"/>
        <v>8.3848369277364103</v>
      </c>
    </row>
    <row r="268" spans="1:16" x14ac:dyDescent="0.2">
      <c r="A268" s="155">
        <v>48245</v>
      </c>
      <c r="B268" s="159">
        <f t="shared" si="55"/>
        <v>552.02226759460598</v>
      </c>
      <c r="C268" s="159">
        <f t="shared" si="55"/>
        <v>173.31630986124839</v>
      </c>
      <c r="D268" s="159">
        <f t="shared" si="60"/>
        <v>314.55614087667033</v>
      </c>
      <c r="E268" s="159">
        <f t="shared" si="56"/>
        <v>2.7132758070373466</v>
      </c>
      <c r="F268" s="159">
        <f t="shared" si="56"/>
        <v>39.93061750843296</v>
      </c>
      <c r="G268" s="159">
        <f t="shared" si="59"/>
        <v>447.48666602056727</v>
      </c>
      <c r="H268" s="159">
        <f t="shared" si="61"/>
        <v>79.52710808033865</v>
      </c>
      <c r="I268" s="159">
        <f t="shared" si="50"/>
        <v>832.15109520536339</v>
      </c>
      <c r="J268" s="159">
        <f t="shared" si="57"/>
        <v>725.33857745585442</v>
      </c>
      <c r="K268" s="159">
        <f t="shared" si="58"/>
        <v>1401.8087626217396</v>
      </c>
      <c r="L268" s="159">
        <f t="shared" si="51"/>
        <v>2127.147340077594</v>
      </c>
      <c r="M268" s="160">
        <f>'[5]Renewable Diesel'!$X50/1000000</f>
        <v>288.18676380865526</v>
      </c>
      <c r="N268" s="161">
        <f t="shared" si="52"/>
        <v>7.3811417011849185</v>
      </c>
      <c r="O268" s="157">
        <f t="shared" si="41"/>
        <v>2441.7034809542643</v>
      </c>
      <c r="P268" s="154">
        <f t="shared" si="43"/>
        <v>8.4726427011597938</v>
      </c>
    </row>
    <row r="269" spans="1:16" x14ac:dyDescent="0.2">
      <c r="A269" s="155">
        <v>48274</v>
      </c>
      <c r="B269" s="159">
        <f t="shared" si="55"/>
        <v>646.59123545961188</v>
      </c>
      <c r="C269" s="159">
        <f t="shared" si="55"/>
        <v>194.55064319180474</v>
      </c>
      <c r="D269" s="159">
        <f t="shared" si="60"/>
        <v>307.01984787876626</v>
      </c>
      <c r="E269" s="159">
        <f t="shared" si="56"/>
        <v>2.7815518277426658</v>
      </c>
      <c r="F269" s="159">
        <f t="shared" si="56"/>
        <v>60.282361421249227</v>
      </c>
      <c r="G269" s="159">
        <f t="shared" si="59"/>
        <v>396.89432248159511</v>
      </c>
      <c r="H269" s="159">
        <f t="shared" si="61"/>
        <v>132.53068874969537</v>
      </c>
      <c r="I269" s="159">
        <f t="shared" si="50"/>
        <v>823.71137389428941</v>
      </c>
      <c r="J269" s="159">
        <f t="shared" si="57"/>
        <v>841.14187865141662</v>
      </c>
      <c r="K269" s="159">
        <f t="shared" si="58"/>
        <v>1416.200298374572</v>
      </c>
      <c r="L269" s="159">
        <f t="shared" si="51"/>
        <v>2257.3421770259883</v>
      </c>
      <c r="M269" s="160">
        <f>'[5]Renewable Diesel'!$X51/1000000</f>
        <v>308.03037758673577</v>
      </c>
      <c r="N269" s="161">
        <f t="shared" si="52"/>
        <v>7.328310261835659</v>
      </c>
      <c r="O269" s="157">
        <f t="shared" si="41"/>
        <v>2564.3620249047544</v>
      </c>
      <c r="P269" s="154">
        <f t="shared" si="43"/>
        <v>8.3250296447877989</v>
      </c>
    </row>
    <row r="270" spans="1:16" x14ac:dyDescent="0.2">
      <c r="A270" s="155">
        <v>48305</v>
      </c>
      <c r="B270" s="159">
        <f t="shared" si="55"/>
        <v>590.72020855878213</v>
      </c>
      <c r="C270" s="159">
        <f t="shared" si="55"/>
        <v>155.66313471058825</v>
      </c>
      <c r="D270" s="159">
        <f t="shared" si="60"/>
        <v>274.01300520154547</v>
      </c>
      <c r="E270" s="159">
        <f t="shared" si="56"/>
        <v>2.6261138829469024</v>
      </c>
      <c r="F270" s="159">
        <f t="shared" si="56"/>
        <v>65.155872705040096</v>
      </c>
      <c r="G270" s="159">
        <f t="shared" si="59"/>
        <v>216.60599915761921</v>
      </c>
      <c r="H270" s="159">
        <f t="shared" si="61"/>
        <v>166.89890450422115</v>
      </c>
      <c r="I270" s="159">
        <f t="shared" si="50"/>
        <v>1006.723405044949</v>
      </c>
      <c r="J270" s="159">
        <f t="shared" si="57"/>
        <v>746.38334326937036</v>
      </c>
      <c r="K270" s="159">
        <f t="shared" si="58"/>
        <v>1458.0102952947764</v>
      </c>
      <c r="L270" s="159">
        <f t="shared" si="51"/>
        <v>2204.3936385641468</v>
      </c>
      <c r="M270" s="160">
        <f>'[5]Renewable Diesel'!$X52/1000000</f>
        <v>295.17532688767369</v>
      </c>
      <c r="N270" s="161">
        <f t="shared" si="52"/>
        <v>7.4680823150337661</v>
      </c>
      <c r="O270" s="157">
        <f t="shared" si="41"/>
        <v>2478.4066437656925</v>
      </c>
      <c r="P270" s="154">
        <f t="shared" si="43"/>
        <v>8.3963882411785313</v>
      </c>
    </row>
    <row r="271" spans="1:16" x14ac:dyDescent="0.2">
      <c r="A271" s="155">
        <v>48335</v>
      </c>
      <c r="B271" s="159">
        <f t="shared" si="55"/>
        <v>475.1920590472576</v>
      </c>
      <c r="C271" s="159">
        <f t="shared" si="55"/>
        <v>227.43335414627978</v>
      </c>
      <c r="D271" s="159">
        <f t="shared" si="60"/>
        <v>250.34955397821273</v>
      </c>
      <c r="E271" s="159">
        <f t="shared" si="56"/>
        <v>2.7925718456461803</v>
      </c>
      <c r="F271" s="159">
        <f t="shared" si="56"/>
        <v>60.794521495457303</v>
      </c>
      <c r="G271" s="159">
        <f t="shared" si="59"/>
        <v>260.22013161346774</v>
      </c>
      <c r="H271" s="159">
        <f t="shared" si="61"/>
        <v>150.40994511343038</v>
      </c>
      <c r="I271" s="159">
        <f t="shared" si="50"/>
        <v>1213.8078636339055</v>
      </c>
      <c r="J271" s="159">
        <f t="shared" si="57"/>
        <v>702.62541319353738</v>
      </c>
      <c r="K271" s="159">
        <f t="shared" si="58"/>
        <v>1688.025033701907</v>
      </c>
      <c r="L271" s="159">
        <f t="shared" si="51"/>
        <v>2390.6504468954445</v>
      </c>
      <c r="M271" s="160">
        <f>'[5]Renewable Diesel'!$X53/1000000</f>
        <v>329.67493386319137</v>
      </c>
      <c r="N271" s="161">
        <f t="shared" si="52"/>
        <v>7.2515384135559344</v>
      </c>
      <c r="O271" s="157">
        <f t="shared" si="41"/>
        <v>2641.0000008736574</v>
      </c>
      <c r="P271" s="154">
        <f t="shared" si="43"/>
        <v>8.0109214550403784</v>
      </c>
    </row>
    <row r="272" spans="1:16" x14ac:dyDescent="0.2">
      <c r="A272" s="155">
        <v>48366</v>
      </c>
      <c r="B272" s="159">
        <f t="shared" si="55"/>
        <v>523.07500291341876</v>
      </c>
      <c r="C272" s="159">
        <f t="shared" si="55"/>
        <v>195.44836838760227</v>
      </c>
      <c r="D272" s="159">
        <f t="shared" si="60"/>
        <v>272.99670776489796</v>
      </c>
      <c r="E272" s="159">
        <f t="shared" si="56"/>
        <v>2.6310685659148425</v>
      </c>
      <c r="F272" s="159">
        <f t="shared" si="56"/>
        <v>71.55924666042759</v>
      </c>
      <c r="G272" s="159">
        <f t="shared" si="59"/>
        <v>286.57366113481993</v>
      </c>
      <c r="H272" s="159">
        <f t="shared" si="61"/>
        <v>174.34543276226202</v>
      </c>
      <c r="I272" s="159">
        <f t="shared" si="50"/>
        <v>1175.4171452236487</v>
      </c>
      <c r="J272" s="159">
        <f t="shared" si="57"/>
        <v>718.52337130102103</v>
      </c>
      <c r="K272" s="159">
        <f t="shared" si="58"/>
        <v>1710.5265543470732</v>
      </c>
      <c r="L272" s="159">
        <f t="shared" si="51"/>
        <v>2429.0499256480944</v>
      </c>
      <c r="M272" s="160">
        <f>'[5]Renewable Diesel'!$X54/1000000</f>
        <v>330.11554104007666</v>
      </c>
      <c r="N272" s="161">
        <f t="shared" si="52"/>
        <v>7.3581810719817131</v>
      </c>
      <c r="O272" s="157">
        <f t="shared" si="41"/>
        <v>2702.0466334129924</v>
      </c>
      <c r="P272" s="154">
        <f t="shared" si="43"/>
        <v>8.1851542793162793</v>
      </c>
    </row>
    <row r="273" spans="1:16" x14ac:dyDescent="0.2">
      <c r="A273" s="155">
        <v>48396</v>
      </c>
      <c r="B273" s="159">
        <f t="shared" si="55"/>
        <v>624.42902841302123</v>
      </c>
      <c r="C273" s="159">
        <f t="shared" si="55"/>
        <v>273.98752317494166</v>
      </c>
      <c r="D273" s="159">
        <f t="shared" si="60"/>
        <v>286.10369517548929</v>
      </c>
      <c r="E273" s="159">
        <f t="shared" si="56"/>
        <v>2.5201627901905188</v>
      </c>
      <c r="F273" s="159">
        <f t="shared" si="56"/>
        <v>72.057709571761279</v>
      </c>
      <c r="G273" s="159">
        <f t="shared" si="59"/>
        <v>315.30639164747714</v>
      </c>
      <c r="H273" s="159">
        <f t="shared" si="61"/>
        <v>171.13241068402502</v>
      </c>
      <c r="I273" s="159">
        <f t="shared" si="50"/>
        <v>906.7661171269342</v>
      </c>
      <c r="J273" s="159">
        <f t="shared" si="57"/>
        <v>898.41655158796289</v>
      </c>
      <c r="K273" s="159">
        <f t="shared" si="58"/>
        <v>1467.7827918203882</v>
      </c>
      <c r="L273" s="159">
        <f t="shared" si="51"/>
        <v>2366.1993434083511</v>
      </c>
      <c r="M273" s="160">
        <f>'[5]Renewable Diesel'!$X55/1000000</f>
        <v>321.53883371866874</v>
      </c>
      <c r="N273" s="161">
        <f t="shared" si="52"/>
        <v>7.358984655267685</v>
      </c>
      <c r="O273" s="157">
        <f t="shared" si="41"/>
        <v>2652.3030385838401</v>
      </c>
      <c r="P273" s="154">
        <f t="shared" si="43"/>
        <v>8.248779806499142</v>
      </c>
    </row>
    <row r="274" spans="1:16" x14ac:dyDescent="0.2">
      <c r="A274" s="155">
        <v>48427</v>
      </c>
      <c r="B274" s="159">
        <f t="shared" si="55"/>
        <v>659.17757107099226</v>
      </c>
      <c r="C274" s="159">
        <f t="shared" si="55"/>
        <v>214.74314267764439</v>
      </c>
      <c r="D274" s="159">
        <f t="shared" si="60"/>
        <v>275.6302219754495</v>
      </c>
      <c r="E274" s="159">
        <f t="shared" si="56"/>
        <v>2.5656657975403956</v>
      </c>
      <c r="F274" s="159">
        <f t="shared" si="56"/>
        <v>55.879785511277795</v>
      </c>
      <c r="G274" s="159">
        <f t="shared" si="59"/>
        <v>331.29073237779011</v>
      </c>
      <c r="H274" s="159">
        <f t="shared" si="61"/>
        <v>184.34922903811037</v>
      </c>
      <c r="I274" s="159">
        <f t="shared" si="50"/>
        <v>980.41295610747784</v>
      </c>
      <c r="J274" s="159">
        <f t="shared" si="57"/>
        <v>873.92071374863667</v>
      </c>
      <c r="K274" s="159">
        <f t="shared" si="58"/>
        <v>1554.4983688321965</v>
      </c>
      <c r="L274" s="159">
        <f t="shared" si="51"/>
        <v>2428.4190825808332</v>
      </c>
      <c r="M274" s="160">
        <f>'[5]Renewable Diesel'!$X56/1000000</f>
        <v>330.66768335045754</v>
      </c>
      <c r="N274" s="161">
        <f t="shared" si="52"/>
        <v>7.3439867421427989</v>
      </c>
      <c r="O274" s="157">
        <f t="shared" si="41"/>
        <v>2704.0493045562826</v>
      </c>
      <c r="P274" s="154">
        <f t="shared" si="43"/>
        <v>8.1775433182879294</v>
      </c>
    </row>
    <row r="275" spans="1:16" x14ac:dyDescent="0.2">
      <c r="A275" s="155">
        <v>48458</v>
      </c>
      <c r="B275" s="159">
        <f t="shared" ref="B275:C290" si="62">$L275*(AVERAGE(B263/$L263,B251/$L251,B239/$L239,B227/$L227))</f>
        <v>655.13256378861695</v>
      </c>
      <c r="C275" s="159">
        <f t="shared" si="62"/>
        <v>164.84958860645409</v>
      </c>
      <c r="D275" s="159">
        <f t="shared" si="60"/>
        <v>313.5496248816832</v>
      </c>
      <c r="E275" s="159">
        <f t="shared" ref="E275:F290" si="63">$L275*(AVERAGE(E263/$L263,E251/$L251,E239/$L239,E227/$L227))</f>
        <v>3.1085533470087232</v>
      </c>
      <c r="F275" s="159">
        <f t="shared" si="63"/>
        <v>65.079551423713042</v>
      </c>
      <c r="G275" s="159">
        <f t="shared" si="59"/>
        <v>330.37874666356441</v>
      </c>
      <c r="H275" s="159">
        <f t="shared" si="61"/>
        <v>159.93637730661575</v>
      </c>
      <c r="I275" s="159">
        <f t="shared" si="50"/>
        <v>1095.5466113431128</v>
      </c>
      <c r="J275" s="159">
        <f t="shared" si="57"/>
        <v>819.98215239507101</v>
      </c>
      <c r="K275" s="159">
        <f t="shared" si="58"/>
        <v>1654.0498400840147</v>
      </c>
      <c r="L275" s="159">
        <f t="shared" si="51"/>
        <v>2474.0319924790856</v>
      </c>
      <c r="M275" s="160">
        <f>'[5]Renewable Diesel'!$X57/1000000</f>
        <v>334.97753800954769</v>
      </c>
      <c r="N275" s="161">
        <f t="shared" si="52"/>
        <v>7.3856653409655477</v>
      </c>
      <c r="O275" s="157">
        <f t="shared" si="41"/>
        <v>2787.5816173607691</v>
      </c>
      <c r="P275" s="154">
        <f t="shared" si="43"/>
        <v>8.3216971320665571</v>
      </c>
    </row>
    <row r="276" spans="1:16" x14ac:dyDescent="0.2">
      <c r="A276" s="155">
        <v>48488</v>
      </c>
      <c r="B276" s="159">
        <f>$L276*(AVERAGE(B264/$L264,B252/$L252,B240/$L240,B228/$L228))-200</f>
        <v>626.72759086216161</v>
      </c>
      <c r="C276" s="159">
        <f t="shared" si="62"/>
        <v>246.55875793404635</v>
      </c>
      <c r="D276" s="159">
        <f>$L276*(AVERAGE(D264/$L264,D252/$L252,D240/$L240,D228/$L228))*0.8</f>
        <v>328.61070325551589</v>
      </c>
      <c r="E276" s="159">
        <f t="shared" si="63"/>
        <v>4.0567882969612814</v>
      </c>
      <c r="F276" s="159">
        <f t="shared" si="63"/>
        <v>63.981443020336151</v>
      </c>
      <c r="G276" s="159">
        <f>$L276*(AVERAGE(G264/$L264,G252/$L252,G240/$L240,G228/$L228))*0.98</f>
        <v>403.50383411696475</v>
      </c>
      <c r="H276" s="159">
        <f t="shared" si="61"/>
        <v>188.2558805668391</v>
      </c>
      <c r="I276" s="159">
        <f t="shared" si="50"/>
        <v>1198.3021661966013</v>
      </c>
      <c r="J276" s="159">
        <f t="shared" si="57"/>
        <v>873.2863487962079</v>
      </c>
      <c r="K276" s="159">
        <f t="shared" si="58"/>
        <v>1858.1001121977026</v>
      </c>
      <c r="L276" s="159">
        <f t="shared" si="51"/>
        <v>2731.3864609939105</v>
      </c>
      <c r="M276" s="160">
        <f>'[5]Renewable Diesel'!$X58/1000000</f>
        <v>364.21140358770157</v>
      </c>
      <c r="N276" s="161">
        <f t="shared" si="52"/>
        <v>7.4994534330559386</v>
      </c>
      <c r="O276" s="157">
        <f t="shared" si="41"/>
        <v>3059.9971642494265</v>
      </c>
      <c r="P276" s="154">
        <f t="shared" si="43"/>
        <v>8.4017060808821817</v>
      </c>
    </row>
    <row r="277" spans="1:16" x14ac:dyDescent="0.2">
      <c r="A277" s="155">
        <v>48519</v>
      </c>
      <c r="B277" s="159">
        <f>$L277*(AVERAGE(B265/$L265,B253/$L253,B241/$L241,B229/$L229))-350</f>
        <v>841.14152605837194</v>
      </c>
      <c r="C277" s="159">
        <f t="shared" si="62"/>
        <v>326.3197370767071</v>
      </c>
      <c r="D277" s="159">
        <f t="shared" ref="D277:D287" si="64">$L277*(AVERAGE(D265/$L265,D253/$L253,D241/$L241,D229/$L229))*0.8</f>
        <v>382.91063018428247</v>
      </c>
      <c r="E277" s="159">
        <f t="shared" si="63"/>
        <v>4.6297374708805838</v>
      </c>
      <c r="F277" s="159">
        <f t="shared" si="63"/>
        <v>29.95833836642219</v>
      </c>
      <c r="G277" s="159">
        <f t="shared" ref="G277:G287" si="65">$L277*(AVERAGE(G265/$L265,G253/$L253,G241/$L241,G229/$L229))*0.98</f>
        <v>548.69019999887666</v>
      </c>
      <c r="H277" s="159">
        <f t="shared" si="61"/>
        <v>191.87616105373655</v>
      </c>
      <c r="I277" s="159">
        <f t="shared" si="50"/>
        <v>1381.3519972868389</v>
      </c>
      <c r="J277" s="159">
        <f t="shared" si="57"/>
        <v>1167.461263135079</v>
      </c>
      <c r="K277" s="159">
        <f t="shared" si="58"/>
        <v>2156.5064341767547</v>
      </c>
      <c r="L277" s="159">
        <f t="shared" si="51"/>
        <v>3323.9676973118339</v>
      </c>
      <c r="M277" s="160">
        <f>'[5]Renewable Diesel'!$X59/1000000</f>
        <v>440.36338172453424</v>
      </c>
      <c r="N277" s="161">
        <f t="shared" si="52"/>
        <v>7.5482381943172445</v>
      </c>
      <c r="O277" s="157">
        <f t="shared" si="41"/>
        <v>3706.8783274961165</v>
      </c>
      <c r="P277" s="154">
        <f t="shared" si="43"/>
        <v>8.4177715072024863</v>
      </c>
    </row>
    <row r="278" spans="1:16" x14ac:dyDescent="0.2">
      <c r="A278" s="155">
        <v>48549</v>
      </c>
      <c r="B278" s="159">
        <f>$L278*(AVERAGE(B266/$L266,B254/$L254,B242/$L242,B230/$L230))+350</f>
        <v>1523.2387023989395</v>
      </c>
      <c r="C278" s="159">
        <f t="shared" si="62"/>
        <v>411.56271503150646</v>
      </c>
      <c r="D278" s="159">
        <f t="shared" si="64"/>
        <v>404.09978374270105</v>
      </c>
      <c r="E278" s="159">
        <f t="shared" si="63"/>
        <v>4.994149577137585</v>
      </c>
      <c r="F278" s="159">
        <f t="shared" si="63"/>
        <v>28.560252732968721</v>
      </c>
      <c r="G278" s="159">
        <f t="shared" si="65"/>
        <v>618.55823774575038</v>
      </c>
      <c r="H278" s="159">
        <f t="shared" si="61"/>
        <v>180.75474192315863</v>
      </c>
      <c r="I278" s="159">
        <f t="shared" si="50"/>
        <v>1004.9029909887295</v>
      </c>
      <c r="J278" s="159">
        <f t="shared" si="57"/>
        <v>1934.801417430446</v>
      </c>
      <c r="K278" s="159">
        <f t="shared" si="58"/>
        <v>1837.7703729677448</v>
      </c>
      <c r="L278" s="159">
        <f t="shared" si="51"/>
        <v>3772.5717903981908</v>
      </c>
      <c r="M278" s="160">
        <f>'[5]Renewable Diesel'!$X60/1000000</f>
        <v>498.47541986634047</v>
      </c>
      <c r="N278" s="161">
        <f t="shared" si="52"/>
        <v>7.5682202974215969</v>
      </c>
      <c r="O278" s="157">
        <f t="shared" si="41"/>
        <v>4176.6715741408916</v>
      </c>
      <c r="P278" s="154">
        <f t="shared" si="43"/>
        <v>8.3788917320352727</v>
      </c>
    </row>
    <row r="279" spans="1:16" x14ac:dyDescent="0.2">
      <c r="A279" s="155">
        <v>48580</v>
      </c>
      <c r="B279" s="159">
        <f t="shared" si="62"/>
        <v>746.34052660470479</v>
      </c>
      <c r="C279" s="159">
        <f t="shared" si="62"/>
        <v>188.4259733808419</v>
      </c>
      <c r="D279" s="159">
        <f t="shared" si="64"/>
        <v>305.84190452007027</v>
      </c>
      <c r="E279" s="159">
        <f t="shared" si="63"/>
        <v>2.5115683751764046</v>
      </c>
      <c r="F279" s="159">
        <f t="shared" si="63"/>
        <v>40.292863502574576</v>
      </c>
      <c r="G279" s="159">
        <f t="shared" si="65"/>
        <v>393.03016207260009</v>
      </c>
      <c r="H279" s="159">
        <f t="shared" si="61"/>
        <v>109.032612719669</v>
      </c>
      <c r="I279" s="159">
        <f t="shared" si="50"/>
        <v>393.10726949194441</v>
      </c>
      <c r="J279" s="159">
        <f t="shared" si="57"/>
        <v>934.76649998554672</v>
      </c>
      <c r="K279" s="159">
        <f t="shared" si="58"/>
        <v>937.9744761619645</v>
      </c>
      <c r="L279" s="159">
        <f t="shared" si="51"/>
        <v>1872.7409761475112</v>
      </c>
      <c r="M279" s="160">
        <f>'[5]Renewable Diesel'!$Y49/1000000</f>
        <v>262.89022864060161</v>
      </c>
      <c r="N279" s="161">
        <f t="shared" si="52"/>
        <v>7.1236614073919942</v>
      </c>
      <c r="O279" s="157">
        <f t="shared" si="41"/>
        <v>2178.5828806675813</v>
      </c>
      <c r="P279" s="154">
        <f t="shared" si="43"/>
        <v>8.2870439572173353</v>
      </c>
    </row>
    <row r="280" spans="1:16" x14ac:dyDescent="0.2">
      <c r="A280" s="155">
        <v>48611</v>
      </c>
      <c r="B280" s="159">
        <f t="shared" si="62"/>
        <v>522.27455988858071</v>
      </c>
      <c r="C280" s="159">
        <f t="shared" si="62"/>
        <v>171.16850254491405</v>
      </c>
      <c r="D280" s="159">
        <f t="shared" si="64"/>
        <v>286.77700127307924</v>
      </c>
      <c r="E280" s="159">
        <f t="shared" si="63"/>
        <v>2.7133712079235512</v>
      </c>
      <c r="F280" s="159">
        <f t="shared" si="63"/>
        <v>39.527382312387708</v>
      </c>
      <c r="G280" s="159">
        <f t="shared" si="65"/>
        <v>452.8669050514431</v>
      </c>
      <c r="H280" s="159">
        <f t="shared" si="61"/>
        <v>78.172134384447887</v>
      </c>
      <c r="I280" s="159">
        <f t="shared" si="50"/>
        <v>847.6289984862326</v>
      </c>
      <c r="J280" s="159">
        <f t="shared" si="57"/>
        <v>693.44306243349479</v>
      </c>
      <c r="K280" s="159">
        <f t="shared" si="58"/>
        <v>1420.9087914424349</v>
      </c>
      <c r="L280" s="159">
        <f t="shared" si="51"/>
        <v>2114.3518538759295</v>
      </c>
      <c r="M280" s="160">
        <f>'[5]Renewable Diesel'!$Y50/1000000</f>
        <v>286.74040806441189</v>
      </c>
      <c r="N280" s="161">
        <f t="shared" si="52"/>
        <v>7.3737491975702723</v>
      </c>
      <c r="O280" s="157">
        <f t="shared" ref="O280:O343" si="66">SUM(D280:I280,B280:C280)</f>
        <v>2401.1288551490088</v>
      </c>
      <c r="P280" s="154">
        <f t="shared" si="43"/>
        <v>8.37387681547008</v>
      </c>
    </row>
    <row r="281" spans="1:16" x14ac:dyDescent="0.2">
      <c r="A281" s="155">
        <v>48639</v>
      </c>
      <c r="B281" s="159">
        <f t="shared" si="62"/>
        <v>611.24895568523505</v>
      </c>
      <c r="C281" s="159">
        <f t="shared" si="62"/>
        <v>191.33944957067499</v>
      </c>
      <c r="D281" s="159">
        <f t="shared" si="64"/>
        <v>277.2547128851524</v>
      </c>
      <c r="E281" s="159">
        <f t="shared" si="63"/>
        <v>2.7765001019648059</v>
      </c>
      <c r="F281" s="159">
        <f t="shared" si="63"/>
        <v>59.118861500481643</v>
      </c>
      <c r="G281" s="159">
        <f t="shared" si="65"/>
        <v>401.47682115990062</v>
      </c>
      <c r="H281" s="159">
        <f t="shared" si="61"/>
        <v>130.92071130459072</v>
      </c>
      <c r="I281" s="159">
        <f t="shared" si="50"/>
        <v>845.71230652945746</v>
      </c>
      <c r="J281" s="159">
        <f t="shared" si="57"/>
        <v>802.58840525591006</v>
      </c>
      <c r="K281" s="159">
        <f t="shared" si="58"/>
        <v>1440.0052005963953</v>
      </c>
      <c r="L281" s="159">
        <f t="shared" si="51"/>
        <v>2242.5936058523052</v>
      </c>
      <c r="M281" s="160">
        <f>'[5]Renewable Diesel'!$Y51/1000000</f>
        <v>306.62922356984637</v>
      </c>
      <c r="N281" s="161">
        <f t="shared" si="52"/>
        <v>7.3136982174873166</v>
      </c>
      <c r="O281" s="157">
        <f t="shared" si="66"/>
        <v>2519.8483187374577</v>
      </c>
      <c r="P281" s="154">
        <f t="shared" si="43"/>
        <v>8.2179000729311351</v>
      </c>
    </row>
    <row r="282" spans="1:16" x14ac:dyDescent="0.2">
      <c r="A282" s="155">
        <v>48670</v>
      </c>
      <c r="B282" s="159">
        <f>$L282*(AVERAGE(B270/$L270,B258/$L258,B246/$L246,B234/$L234))</f>
        <v>557.13322158471249</v>
      </c>
      <c r="C282" s="159">
        <f t="shared" si="62"/>
        <v>153.4064323556504</v>
      </c>
      <c r="D282" s="159">
        <f t="shared" si="64"/>
        <v>244.21250641723401</v>
      </c>
      <c r="E282" s="159">
        <f t="shared" si="63"/>
        <v>2.6163176854633701</v>
      </c>
      <c r="F282" s="159">
        <f t="shared" si="63"/>
        <v>64.532514702987939</v>
      </c>
      <c r="G282" s="159">
        <f t="shared" si="65"/>
        <v>218.93096332267893</v>
      </c>
      <c r="H282" s="159">
        <f t="shared" si="61"/>
        <v>166.21584474581931</v>
      </c>
      <c r="I282" s="159">
        <f t="shared" si="50"/>
        <v>1027.1440588663202</v>
      </c>
      <c r="J282" s="159">
        <f t="shared" si="57"/>
        <v>710.53965394036288</v>
      </c>
      <c r="K282" s="159">
        <f t="shared" si="58"/>
        <v>1479.4396993232697</v>
      </c>
      <c r="L282" s="159">
        <f t="shared" si="51"/>
        <v>2189.9793532636327</v>
      </c>
      <c r="M282" s="160">
        <f>'[5]Renewable Diesel'!$Y52/1000000</f>
        <v>293.6431974874647</v>
      </c>
      <c r="N282" s="161">
        <f t="shared" si="52"/>
        <v>7.4579604499679251</v>
      </c>
      <c r="O282" s="157">
        <f t="shared" si="66"/>
        <v>2434.1918596808664</v>
      </c>
      <c r="P282" s="154">
        <f t="shared" ref="P282:P345" si="67">O282/M282</f>
        <v>8.2896245528888137</v>
      </c>
    </row>
    <row r="283" spans="1:16" x14ac:dyDescent="0.2">
      <c r="A283" s="155">
        <v>48700</v>
      </c>
      <c r="B283" s="159">
        <f>$L283*(AVERAGE(B271/$L271,B259/$L259,B247/$L247,B235/$L235))+100</f>
        <v>575.15830547981909</v>
      </c>
      <c r="C283" s="159">
        <f t="shared" si="62"/>
        <v>221.62861618704358</v>
      </c>
      <c r="D283" s="159">
        <f t="shared" si="64"/>
        <v>221.59773165584235</v>
      </c>
      <c r="E283" s="159">
        <f t="shared" si="63"/>
        <v>2.7789662794876304</v>
      </c>
      <c r="F283" s="159">
        <f t="shared" si="63"/>
        <v>59.979987911120176</v>
      </c>
      <c r="G283" s="159">
        <f t="shared" si="65"/>
        <v>262.04921764924427</v>
      </c>
      <c r="H283" s="159">
        <f t="shared" si="61"/>
        <v>149.40513301673985</v>
      </c>
      <c r="I283" s="159">
        <f t="shared" si="50"/>
        <v>1101.9500646430361</v>
      </c>
      <c r="J283" s="159">
        <f t="shared" si="57"/>
        <v>796.78692166686267</v>
      </c>
      <c r="K283" s="159">
        <f t="shared" si="58"/>
        <v>1576.1633694996281</v>
      </c>
      <c r="L283" s="159">
        <f t="shared" si="51"/>
        <v>2372.9502911664908</v>
      </c>
      <c r="M283" s="160">
        <f>'[5]Renewable Diesel'!$Y53/1000000</f>
        <v>327.83804139430305</v>
      </c>
      <c r="N283" s="161">
        <f t="shared" si="52"/>
        <v>7.2381785868237758</v>
      </c>
      <c r="O283" s="157">
        <f t="shared" si="66"/>
        <v>2594.5480228223328</v>
      </c>
      <c r="P283" s="154">
        <f t="shared" si="67"/>
        <v>7.9141151886695571</v>
      </c>
    </row>
    <row r="284" spans="1:16" x14ac:dyDescent="0.2">
      <c r="A284" s="155">
        <v>48731</v>
      </c>
      <c r="B284" s="159">
        <f>$L284*(AVERAGE(B272/$L272,B260/$L260,B248/$L248,B236/$L236))+100</f>
        <v>622.83750697937091</v>
      </c>
      <c r="C284" s="159">
        <f t="shared" si="62"/>
        <v>192.20697929271748</v>
      </c>
      <c r="D284" s="159">
        <f t="shared" si="64"/>
        <v>242.27611470676612</v>
      </c>
      <c r="E284" s="159">
        <f t="shared" si="63"/>
        <v>2.623955624535502</v>
      </c>
      <c r="F284" s="159">
        <f t="shared" si="63"/>
        <v>71.533696949383696</v>
      </c>
      <c r="G284" s="159">
        <f t="shared" si="65"/>
        <v>290.00171052081384</v>
      </c>
      <c r="H284" s="159">
        <f t="shared" si="61"/>
        <v>174.29176167682152</v>
      </c>
      <c r="I284" s="159">
        <f t="shared" si="50"/>
        <v>1060.974966274043</v>
      </c>
      <c r="J284" s="159">
        <f t="shared" si="57"/>
        <v>815.04448627208842</v>
      </c>
      <c r="K284" s="159">
        <f t="shared" si="58"/>
        <v>1599.4260910455976</v>
      </c>
      <c r="L284" s="159">
        <f t="shared" si="51"/>
        <v>2414.4705773176861</v>
      </c>
      <c r="M284" s="160">
        <f>'[5]Renewable Diesel'!$Y54/1000000</f>
        <v>328.55680866775873</v>
      </c>
      <c r="N284" s="161">
        <f t="shared" si="52"/>
        <v>7.3487156973186725</v>
      </c>
      <c r="O284" s="157">
        <f t="shared" si="66"/>
        <v>2656.7466920244519</v>
      </c>
      <c r="P284" s="154">
        <f t="shared" si="67"/>
        <v>8.0861105962074014</v>
      </c>
    </row>
    <row r="285" spans="1:16" x14ac:dyDescent="0.2">
      <c r="A285" s="155">
        <v>48761</v>
      </c>
      <c r="B285" s="159">
        <f>$L285*(AVERAGE(B273/$L273,B261/$L261,B249/$L249,B237/$L237))+100</f>
        <v>731.07506107334973</v>
      </c>
      <c r="C285" s="159">
        <f t="shared" si="62"/>
        <v>267.32949087529272</v>
      </c>
      <c r="D285" s="159">
        <f t="shared" si="64"/>
        <v>259.35390765373467</v>
      </c>
      <c r="E285" s="159">
        <f t="shared" si="63"/>
        <v>2.5163493784456987</v>
      </c>
      <c r="F285" s="159">
        <f t="shared" si="63"/>
        <v>72.172415614863453</v>
      </c>
      <c r="G285" s="159">
        <f t="shared" si="65"/>
        <v>318.98192191025998</v>
      </c>
      <c r="H285" s="159">
        <f t="shared" si="61"/>
        <v>171.26691845627872</v>
      </c>
      <c r="I285" s="159">
        <f t="shared" si="50"/>
        <v>789.72104488964146</v>
      </c>
      <c r="J285" s="159">
        <f t="shared" si="57"/>
        <v>998.40455194864239</v>
      </c>
      <c r="K285" s="159">
        <f t="shared" si="58"/>
        <v>1354.6586502494893</v>
      </c>
      <c r="L285" s="159">
        <f t="shared" si="51"/>
        <v>2353.0632021981319</v>
      </c>
      <c r="M285" s="160">
        <f>'[5]Renewable Diesel'!$Y55/1000000</f>
        <v>319.99342768153832</v>
      </c>
      <c r="N285" s="161">
        <f t="shared" si="52"/>
        <v>7.3534735361500339</v>
      </c>
      <c r="O285" s="157">
        <f t="shared" si="66"/>
        <v>2612.4171098518664</v>
      </c>
      <c r="P285" s="154">
        <f t="shared" si="67"/>
        <v>8.1639711439691762</v>
      </c>
    </row>
    <row r="286" spans="1:16" x14ac:dyDescent="0.2">
      <c r="A286" s="155">
        <v>48792</v>
      </c>
      <c r="B286" s="159">
        <f>$L286*(AVERAGE(B274/$L274,B262/$L262,B250/$L250,B238/$L238))+100</f>
        <v>761.2583858538959</v>
      </c>
      <c r="C286" s="159">
        <f t="shared" si="62"/>
        <v>209.0641268060177</v>
      </c>
      <c r="D286" s="159">
        <f t="shared" si="64"/>
        <v>251.25104785977115</v>
      </c>
      <c r="E286" s="159">
        <f t="shared" si="63"/>
        <v>2.5586825106626137</v>
      </c>
      <c r="F286" s="159">
        <f t="shared" si="63"/>
        <v>55.410358443677723</v>
      </c>
      <c r="G286" s="159">
        <f t="shared" si="65"/>
        <v>337.16330494131239</v>
      </c>
      <c r="H286" s="159">
        <f t="shared" si="61"/>
        <v>184.11537196614816</v>
      </c>
      <c r="I286" s="159">
        <f t="shared" si="50"/>
        <v>864.81953232858518</v>
      </c>
      <c r="J286" s="159">
        <f t="shared" si="57"/>
        <v>970.32251265991363</v>
      </c>
      <c r="K286" s="159">
        <f t="shared" si="58"/>
        <v>1444.0672501903859</v>
      </c>
      <c r="L286" s="159">
        <f t="shared" si="51"/>
        <v>2414.3897628502996</v>
      </c>
      <c r="M286" s="160">
        <f>'[5]Renewable Diesel'!$Y56/1000000</f>
        <v>329.21131118897267</v>
      </c>
      <c r="N286" s="161">
        <f t="shared" si="52"/>
        <v>7.333860292134375</v>
      </c>
      <c r="O286" s="157">
        <f t="shared" si="66"/>
        <v>2665.6408107100706</v>
      </c>
      <c r="P286" s="154">
        <f t="shared" si="67"/>
        <v>8.0970511039942643</v>
      </c>
    </row>
    <row r="287" spans="1:16" x14ac:dyDescent="0.2">
      <c r="A287" s="155">
        <v>48823</v>
      </c>
      <c r="B287" s="159">
        <f>$L287*(AVERAGE(B275/$L275,B263/$L263,B251/$L251,B239/$L239))+100</f>
        <v>759.896155884878</v>
      </c>
      <c r="C287" s="159">
        <f t="shared" si="62"/>
        <v>162.40998121855554</v>
      </c>
      <c r="D287" s="159">
        <f t="shared" si="64"/>
        <v>285.83144505317625</v>
      </c>
      <c r="E287" s="159">
        <f t="shared" si="63"/>
        <v>3.09975892500943</v>
      </c>
      <c r="F287" s="159">
        <f t="shared" si="63"/>
        <v>64.578784228641297</v>
      </c>
      <c r="G287" s="159">
        <f t="shared" si="65"/>
        <v>337.41702656474268</v>
      </c>
      <c r="H287" s="159">
        <f t="shared" si="61"/>
        <v>160.18857400179684</v>
      </c>
      <c r="I287" s="159">
        <f t="shared" si="50"/>
        <v>971.27741255649744</v>
      </c>
      <c r="J287" s="159">
        <f t="shared" si="57"/>
        <v>922.30613710343357</v>
      </c>
      <c r="K287" s="159">
        <f t="shared" si="58"/>
        <v>1536.5615562766877</v>
      </c>
      <c r="L287" s="159">
        <f t="shared" si="51"/>
        <v>2458.8676933801212</v>
      </c>
      <c r="M287" s="160">
        <f>'[5]Renewable Diesel'!$Y57/1000000</f>
        <v>333.35698957658457</v>
      </c>
      <c r="N287" s="161">
        <f t="shared" si="52"/>
        <v>7.3760796091399401</v>
      </c>
      <c r="O287" s="157">
        <f t="shared" si="66"/>
        <v>2744.6991384332973</v>
      </c>
      <c r="P287" s="154">
        <f t="shared" si="67"/>
        <v>8.2335130933342473</v>
      </c>
    </row>
    <row r="288" spans="1:16" x14ac:dyDescent="0.2">
      <c r="A288" s="155">
        <v>48853</v>
      </c>
      <c r="B288" s="159">
        <f>$L288*(AVERAGE(B276/$L276,B264/$L264,B252/$L252,B240/$L240))+50</f>
        <v>784.60101692597186</v>
      </c>
      <c r="C288" s="159">
        <f t="shared" si="62"/>
        <v>241.91865700597322</v>
      </c>
      <c r="D288" s="159">
        <f>$L288*(AVERAGE(D276/$L276,D264/$L264,D252/$L252,D240/$L240))*0.91</f>
        <v>356.94628675028787</v>
      </c>
      <c r="E288" s="159">
        <f t="shared" si="63"/>
        <v>4.0771584666089611</v>
      </c>
      <c r="F288" s="159">
        <f t="shared" si="63"/>
        <v>64.502485793342558</v>
      </c>
      <c r="G288" s="159">
        <f>$L288*(AVERAGE(G276/$L276,G264/$L264,G252/$L252,G240/$L240))*1.01</f>
        <v>404.11876444501121</v>
      </c>
      <c r="H288" s="159">
        <f t="shared" si="61"/>
        <v>189.92021042636958</v>
      </c>
      <c r="I288" s="159">
        <f t="shared" si="50"/>
        <v>1032.4792863842397</v>
      </c>
      <c r="J288" s="159">
        <f t="shared" si="57"/>
        <v>1026.5196739319451</v>
      </c>
      <c r="K288" s="159">
        <f t="shared" si="58"/>
        <v>1695.0979055155719</v>
      </c>
      <c r="L288" s="159">
        <f t="shared" si="51"/>
        <v>2721.6175794475171</v>
      </c>
      <c r="M288" s="160">
        <f>'[5]Renewable Diesel'!$Y58/1000000</f>
        <v>362.38101827605021</v>
      </c>
      <c r="N288" s="161">
        <f t="shared" si="52"/>
        <v>7.5103756603892435</v>
      </c>
      <c r="O288" s="157">
        <f t="shared" si="66"/>
        <v>3078.5638661978051</v>
      </c>
      <c r="P288" s="154">
        <f t="shared" si="67"/>
        <v>8.4953783750689009</v>
      </c>
    </row>
    <row r="289" spans="1:16" x14ac:dyDescent="0.2">
      <c r="A289" s="155">
        <v>48884</v>
      </c>
      <c r="B289" s="159">
        <f t="shared" ref="B289:B299" si="68">$L289*(AVERAGE(B277/$L277,B265/$L265,B253/$L253,B241/$L241))+50</f>
        <v>1122.2560548924234</v>
      </c>
      <c r="C289" s="159">
        <f t="shared" si="62"/>
        <v>320.96569007098424</v>
      </c>
      <c r="D289" s="159">
        <f t="shared" ref="D289:D299" si="69">$L289*(AVERAGE(D277/$L277,D265/$L265,D253/$L253,D241/$L241))*0.91</f>
        <v>410.75611645322016</v>
      </c>
      <c r="E289" s="159">
        <f t="shared" si="63"/>
        <v>4.6450494010969585</v>
      </c>
      <c r="F289" s="159">
        <f t="shared" si="63"/>
        <v>30.519933452824414</v>
      </c>
      <c r="G289" s="159">
        <f t="shared" ref="G289:G299" si="70">$L289*(AVERAGE(G277/$L277,G265/$L265,G253/$L253,G241/$L241))*1.01</f>
        <v>545.0440469573565</v>
      </c>
      <c r="H289" s="159">
        <f t="shared" si="61"/>
        <v>193.72434103233778</v>
      </c>
      <c r="I289" s="159">
        <f t="shared" si="50"/>
        <v>1094.1315059906315</v>
      </c>
      <c r="J289" s="159">
        <f t="shared" si="57"/>
        <v>1443.2217449634077</v>
      </c>
      <c r="K289" s="159">
        <f t="shared" si="58"/>
        <v>1868.0648768342471</v>
      </c>
      <c r="L289" s="159">
        <f t="shared" si="51"/>
        <v>3311.2866217976548</v>
      </c>
      <c r="M289" s="160">
        <f>'[5]Renewable Diesel'!$Y59/1000000</f>
        <v>438.02223240879124</v>
      </c>
      <c r="N289" s="161">
        <f t="shared" si="52"/>
        <v>7.5596313995024431</v>
      </c>
      <c r="O289" s="157">
        <f t="shared" si="66"/>
        <v>3722.0427382508751</v>
      </c>
      <c r="P289" s="154">
        <f t="shared" si="67"/>
        <v>8.4973831528652166</v>
      </c>
    </row>
    <row r="290" spans="1:16" x14ac:dyDescent="0.2">
      <c r="A290" s="155">
        <v>48914</v>
      </c>
      <c r="B290" s="159">
        <f t="shared" si="68"/>
        <v>1280.9324273091433</v>
      </c>
      <c r="C290" s="159">
        <f t="shared" si="62"/>
        <v>404.96714604423431</v>
      </c>
      <c r="D290" s="159">
        <f t="shared" si="69"/>
        <v>430.48293723512131</v>
      </c>
      <c r="E290" s="159">
        <f t="shared" si="63"/>
        <v>5.0066335068113084</v>
      </c>
      <c r="F290" s="159">
        <f t="shared" si="63"/>
        <v>29.475086994636118</v>
      </c>
      <c r="G290" s="159">
        <f t="shared" si="70"/>
        <v>620.63241808523924</v>
      </c>
      <c r="H290" s="159">
        <f t="shared" si="61"/>
        <v>182.21711566947391</v>
      </c>
      <c r="I290" s="159">
        <f t="shared" si="50"/>
        <v>1235.1146509008499</v>
      </c>
      <c r="J290" s="159">
        <f t="shared" si="57"/>
        <v>1685.8995733533777</v>
      </c>
      <c r="K290" s="159">
        <f t="shared" si="58"/>
        <v>2072.4459051570102</v>
      </c>
      <c r="L290" s="159">
        <f t="shared" si="51"/>
        <v>3758.3454785103881</v>
      </c>
      <c r="M290" s="160">
        <f>'[5]Renewable Diesel'!$Y60/1000000</f>
        <v>495.80460801874244</v>
      </c>
      <c r="N290" s="161">
        <f t="shared" si="52"/>
        <v>7.5802955796012181</v>
      </c>
      <c r="O290" s="157">
        <f t="shared" si="66"/>
        <v>4188.8284157455091</v>
      </c>
      <c r="P290" s="154">
        <f t="shared" si="67"/>
        <v>8.44854676216959</v>
      </c>
    </row>
    <row r="291" spans="1:16" x14ac:dyDescent="0.2">
      <c r="A291" s="155">
        <v>48945</v>
      </c>
      <c r="B291" s="159">
        <f t="shared" si="68"/>
        <v>758.64470343151402</v>
      </c>
      <c r="C291" s="159">
        <f t="shared" ref="C291:C306" si="71">$L291*(AVERAGE(C279/$L279,C267/$L267,C255/$L255,C243/$L243))</f>
        <v>184.55357748683008</v>
      </c>
      <c r="D291" s="159">
        <f t="shared" si="69"/>
        <v>314.87620428828677</v>
      </c>
      <c r="E291" s="159">
        <f t="shared" ref="E291:G306" si="72">$L291*(AVERAGE(E279/$L279,E267/$L267,E255/$L255,E243/$L243))</f>
        <v>2.4514298795685501</v>
      </c>
      <c r="F291" s="159">
        <f t="shared" si="72"/>
        <v>39.408794742896781</v>
      </c>
      <c r="G291" s="159">
        <f t="shared" si="70"/>
        <v>379.67720564274748</v>
      </c>
      <c r="H291" s="159">
        <f t="shared" si="61"/>
        <v>106.31043934060148</v>
      </c>
      <c r="I291" s="159">
        <f t="shared" si="50"/>
        <v>349.00457393435272</v>
      </c>
      <c r="J291" s="159">
        <f t="shared" si="57"/>
        <v>943.19828091834415</v>
      </c>
      <c r="K291" s="159">
        <f t="shared" si="58"/>
        <v>876.85244354016709</v>
      </c>
      <c r="L291" s="159">
        <f t="shared" si="51"/>
        <v>1820.0507244585112</v>
      </c>
      <c r="M291" s="160">
        <f>'[5]Renewable Diesel'!$Z49/1000000</f>
        <v>255.77713345371302</v>
      </c>
      <c r="N291" s="161">
        <f t="shared" si="52"/>
        <v>7.1157679339145403</v>
      </c>
      <c r="O291" s="157">
        <f t="shared" si="66"/>
        <v>2134.9269287467978</v>
      </c>
      <c r="P291" s="154">
        <f t="shared" si="67"/>
        <v>8.3468248311303679</v>
      </c>
    </row>
    <row r="292" spans="1:16" x14ac:dyDescent="0.2">
      <c r="A292" s="155">
        <v>48976</v>
      </c>
      <c r="B292" s="159">
        <f t="shared" si="68"/>
        <v>568.38038660105167</v>
      </c>
      <c r="C292" s="159">
        <f t="shared" si="71"/>
        <v>166.75636827831411</v>
      </c>
      <c r="D292" s="159">
        <f t="shared" si="69"/>
        <v>295.34972890188368</v>
      </c>
      <c r="E292" s="159">
        <f t="shared" si="72"/>
        <v>2.6498013329000796</v>
      </c>
      <c r="F292" s="159">
        <f t="shared" si="72"/>
        <v>38.724005368933774</v>
      </c>
      <c r="G292" s="159">
        <f t="shared" si="70"/>
        <v>439.72384420501589</v>
      </c>
      <c r="H292" s="159">
        <f t="shared" si="61"/>
        <v>77.425039017862957</v>
      </c>
      <c r="I292" s="159">
        <f t="shared" si="50"/>
        <v>761.40876048268069</v>
      </c>
      <c r="J292" s="159">
        <f t="shared" si="57"/>
        <v>735.13675487936575</v>
      </c>
      <c r="K292" s="159">
        <f t="shared" si="58"/>
        <v>1319.9314504073934</v>
      </c>
      <c r="L292" s="159">
        <f t="shared" si="51"/>
        <v>2055.0682052867592</v>
      </c>
      <c r="M292" s="160">
        <f>'[5]Renewable Diesel'!$Z50/1000000</f>
        <v>278.75945426224507</v>
      </c>
      <c r="N292" s="161">
        <f t="shared" si="52"/>
        <v>7.3721919521102164</v>
      </c>
      <c r="O292" s="157">
        <f t="shared" si="66"/>
        <v>2350.4179341886434</v>
      </c>
      <c r="P292" s="154">
        <f t="shared" si="67"/>
        <v>8.431706613894681</v>
      </c>
    </row>
    <row r="293" spans="1:16" x14ac:dyDescent="0.2">
      <c r="A293" s="155">
        <v>49004</v>
      </c>
      <c r="B293" s="159">
        <f t="shared" si="68"/>
        <v>653.20370787535876</v>
      </c>
      <c r="C293" s="159">
        <f t="shared" si="71"/>
        <v>186.8594733676687</v>
      </c>
      <c r="D293" s="159">
        <f t="shared" si="69"/>
        <v>284.85345128139039</v>
      </c>
      <c r="E293" s="159">
        <f t="shared" si="72"/>
        <v>2.7127621851148258</v>
      </c>
      <c r="F293" s="159">
        <f t="shared" si="72"/>
        <v>57.588737836678789</v>
      </c>
      <c r="G293" s="159">
        <f t="shared" si="70"/>
        <v>389.1962311056169</v>
      </c>
      <c r="H293" s="159">
        <f t="shared" si="61"/>
        <v>128.93181590609456</v>
      </c>
      <c r="I293" s="159">
        <f t="shared" si="50"/>
        <v>761.93429385502805</v>
      </c>
      <c r="J293" s="159">
        <f t="shared" si="57"/>
        <v>840.06318124302743</v>
      </c>
      <c r="K293" s="159">
        <f t="shared" si="58"/>
        <v>1340.3638408885331</v>
      </c>
      <c r="L293" s="159">
        <f t="shared" si="51"/>
        <v>2180.4270221315605</v>
      </c>
      <c r="M293" s="160">
        <f>'[5]Renewable Diesel'!$Z51/1000000</f>
        <v>298.27703033242477</v>
      </c>
      <c r="N293" s="161">
        <f t="shared" si="52"/>
        <v>7.3100735236015693</v>
      </c>
      <c r="O293" s="157">
        <f t="shared" si="66"/>
        <v>2465.2804734129509</v>
      </c>
      <c r="P293" s="154">
        <f t="shared" si="67"/>
        <v>8.2650697932235584</v>
      </c>
    </row>
    <row r="294" spans="1:16" x14ac:dyDescent="0.2">
      <c r="A294" s="155">
        <v>49035</v>
      </c>
      <c r="B294" s="159">
        <f t="shared" si="68"/>
        <v>602.21052498515746</v>
      </c>
      <c r="C294" s="159">
        <f t="shared" si="71"/>
        <v>149.13896767102784</v>
      </c>
      <c r="D294" s="159">
        <f t="shared" si="69"/>
        <v>252.09888946248068</v>
      </c>
      <c r="E294" s="159">
        <f t="shared" si="72"/>
        <v>2.5540920347237823</v>
      </c>
      <c r="F294" s="159">
        <f t="shared" si="72"/>
        <v>62.119123239842864</v>
      </c>
      <c r="G294" s="159">
        <f t="shared" si="70"/>
        <v>213.85670538179477</v>
      </c>
      <c r="H294" s="159">
        <f t="shared" si="61"/>
        <v>161.24188217576568</v>
      </c>
      <c r="I294" s="159">
        <f t="shared" si="50"/>
        <v>935.61242770500098</v>
      </c>
      <c r="J294" s="159">
        <f t="shared" si="57"/>
        <v>751.34949265618525</v>
      </c>
      <c r="K294" s="159">
        <f t="shared" si="58"/>
        <v>1375.3842305371281</v>
      </c>
      <c r="L294" s="159">
        <f t="shared" si="51"/>
        <v>2126.7337231933134</v>
      </c>
      <c r="M294" s="160">
        <f>'[5]Renewable Diesel'!$Z52/1000000</f>
        <v>285.42126234656848</v>
      </c>
      <c r="N294" s="161">
        <f t="shared" si="52"/>
        <v>7.4512098562964058</v>
      </c>
      <c r="O294" s="157">
        <f t="shared" si="66"/>
        <v>2378.832612655794</v>
      </c>
      <c r="P294" s="154">
        <f t="shared" si="67"/>
        <v>8.3344618165388535</v>
      </c>
    </row>
    <row r="295" spans="1:16" x14ac:dyDescent="0.2">
      <c r="A295" s="155">
        <v>49065</v>
      </c>
      <c r="B295" s="159">
        <f t="shared" si="68"/>
        <v>541.09776225591736</v>
      </c>
      <c r="C295" s="159">
        <f t="shared" si="71"/>
        <v>216.5237586155427</v>
      </c>
      <c r="D295" s="159">
        <f t="shared" si="69"/>
        <v>231.92239174608412</v>
      </c>
      <c r="E295" s="159">
        <f t="shared" si="72"/>
        <v>2.7149081103757551</v>
      </c>
      <c r="F295" s="159">
        <f t="shared" si="72"/>
        <v>58.019378218771543</v>
      </c>
      <c r="G295" s="159">
        <f t="shared" si="70"/>
        <v>255.93756011099194</v>
      </c>
      <c r="H295" s="159">
        <f t="shared" si="61"/>
        <v>145.0873847400776</v>
      </c>
      <c r="I295" s="159">
        <f t="shared" si="50"/>
        <v>1086.3430898358099</v>
      </c>
      <c r="J295" s="159">
        <f t="shared" si="57"/>
        <v>757.62152087146001</v>
      </c>
      <c r="K295" s="159">
        <f t="shared" si="58"/>
        <v>1548.1023210160267</v>
      </c>
      <c r="L295" s="159">
        <f t="shared" si="51"/>
        <v>2305.7238418874867</v>
      </c>
      <c r="M295" s="160">
        <f>'[5]Renewable Diesel'!$Z53/1000000</f>
        <v>318.64096261132664</v>
      </c>
      <c r="N295" s="161">
        <f t="shared" si="52"/>
        <v>7.2361187431509659</v>
      </c>
      <c r="O295" s="157">
        <f t="shared" si="66"/>
        <v>2537.6462336335708</v>
      </c>
      <c r="P295" s="154">
        <f t="shared" si="67"/>
        <v>7.9639673845981713</v>
      </c>
    </row>
    <row r="296" spans="1:16" x14ac:dyDescent="0.2">
      <c r="A296" s="155">
        <v>49096</v>
      </c>
      <c r="B296" s="159">
        <f t="shared" si="68"/>
        <v>587.95438814862962</v>
      </c>
      <c r="C296" s="159">
        <f t="shared" si="71"/>
        <v>187.30833656140913</v>
      </c>
      <c r="D296" s="159">
        <f t="shared" si="69"/>
        <v>250.40200366872332</v>
      </c>
      <c r="E296" s="159">
        <f t="shared" si="72"/>
        <v>2.5633490007852515</v>
      </c>
      <c r="F296" s="159">
        <f t="shared" si="72"/>
        <v>69.423842422066485</v>
      </c>
      <c r="G296" s="159">
        <f t="shared" si="70"/>
        <v>283.7929088978633</v>
      </c>
      <c r="H296" s="159">
        <f t="shared" si="61"/>
        <v>168.9679598756185</v>
      </c>
      <c r="I296" s="159">
        <f t="shared" si="50"/>
        <v>1047.0513206850198</v>
      </c>
      <c r="J296" s="159">
        <f t="shared" si="57"/>
        <v>775.26272471003881</v>
      </c>
      <c r="K296" s="159">
        <f t="shared" si="58"/>
        <v>1571.7993808813535</v>
      </c>
      <c r="L296" s="159">
        <f t="shared" si="51"/>
        <v>2347.0621055913921</v>
      </c>
      <c r="M296" s="160">
        <f>'[5]Renewable Diesel'!$Z54/1000000</f>
        <v>319.49402872717371</v>
      </c>
      <c r="N296" s="161">
        <f t="shared" si="52"/>
        <v>7.3461845748473262</v>
      </c>
      <c r="O296" s="157">
        <f t="shared" si="66"/>
        <v>2597.4641092601155</v>
      </c>
      <c r="P296" s="154">
        <f t="shared" si="67"/>
        <v>8.1299300635073024</v>
      </c>
    </row>
    <row r="297" spans="1:16" x14ac:dyDescent="0.2">
      <c r="A297" s="155">
        <v>49126</v>
      </c>
      <c r="B297" s="159">
        <f t="shared" si="68"/>
        <v>684.81684650765374</v>
      </c>
      <c r="C297" s="159">
        <f t="shared" si="71"/>
        <v>261.36306138217316</v>
      </c>
      <c r="D297" s="159">
        <f t="shared" si="69"/>
        <v>266.24716052700069</v>
      </c>
      <c r="E297" s="159">
        <f t="shared" si="72"/>
        <v>2.4547043158106794</v>
      </c>
      <c r="F297" s="159">
        <f t="shared" si="72"/>
        <v>69.864736343442701</v>
      </c>
      <c r="G297" s="159">
        <f t="shared" si="70"/>
        <v>312.017323782907</v>
      </c>
      <c r="H297" s="159">
        <f t="shared" si="61"/>
        <v>165.52836579913716</v>
      </c>
      <c r="I297" s="159">
        <f t="shared" si="50"/>
        <v>788.60962930309097</v>
      </c>
      <c r="J297" s="159">
        <f t="shared" si="57"/>
        <v>946.17990788982684</v>
      </c>
      <c r="K297" s="159">
        <f t="shared" si="58"/>
        <v>1338.4747595443885</v>
      </c>
      <c r="L297" s="159">
        <f t="shared" si="51"/>
        <v>2284.6546674342153</v>
      </c>
      <c r="M297" s="160">
        <f>'[5]Renewable Diesel'!$Z55/1000000</f>
        <v>311.15316781072767</v>
      </c>
      <c r="N297" s="161">
        <f t="shared" si="52"/>
        <v>7.3425402785034635</v>
      </c>
      <c r="O297" s="157">
        <f t="shared" si="66"/>
        <v>2550.9018279612164</v>
      </c>
      <c r="P297" s="154">
        <f t="shared" si="67"/>
        <v>8.1982190504739219</v>
      </c>
    </row>
    <row r="298" spans="1:16" x14ac:dyDescent="0.2">
      <c r="A298" s="155">
        <v>49157</v>
      </c>
      <c r="B298" s="159">
        <f t="shared" si="68"/>
        <v>714.79552059329285</v>
      </c>
      <c r="C298" s="159">
        <f t="shared" si="71"/>
        <v>204.3834980377971</v>
      </c>
      <c r="D298" s="159">
        <f t="shared" si="69"/>
        <v>257.96950711975717</v>
      </c>
      <c r="E298" s="159">
        <f t="shared" si="72"/>
        <v>2.5009799891475462</v>
      </c>
      <c r="F298" s="159">
        <f t="shared" si="72"/>
        <v>53.856277058312699</v>
      </c>
      <c r="G298" s="159">
        <f t="shared" si="70"/>
        <v>331.54095996326424</v>
      </c>
      <c r="H298" s="159">
        <f t="shared" si="61"/>
        <v>178.67896933702406</v>
      </c>
      <c r="I298" s="159">
        <f t="shared" si="50"/>
        <v>862.0402796841604</v>
      </c>
      <c r="J298" s="159">
        <f t="shared" si="57"/>
        <v>919.17901863109</v>
      </c>
      <c r="K298" s="159">
        <f t="shared" si="58"/>
        <v>1428.6174660319089</v>
      </c>
      <c r="L298" s="159">
        <f t="shared" si="51"/>
        <v>2347.7964846629989</v>
      </c>
      <c r="M298" s="160">
        <f>'[5]Renewable Diesel'!$Z56/1000000</f>
        <v>320.43870651265905</v>
      </c>
      <c r="N298" s="161">
        <f t="shared" si="52"/>
        <v>7.3268192541847252</v>
      </c>
      <c r="O298" s="157">
        <f t="shared" si="66"/>
        <v>2605.7659917827559</v>
      </c>
      <c r="P298" s="154">
        <f t="shared" si="67"/>
        <v>8.1318702729185244</v>
      </c>
    </row>
    <row r="299" spans="1:16" x14ac:dyDescent="0.2">
      <c r="A299" s="155">
        <v>49188</v>
      </c>
      <c r="B299" s="159">
        <f t="shared" si="68"/>
        <v>712.07627531097523</v>
      </c>
      <c r="C299" s="159">
        <f t="shared" si="71"/>
        <v>157.80917691796859</v>
      </c>
      <c r="D299" s="159">
        <f t="shared" si="69"/>
        <v>291.27380975483067</v>
      </c>
      <c r="E299" s="159">
        <f t="shared" si="72"/>
        <v>2.9991684333513575</v>
      </c>
      <c r="F299" s="159">
        <f t="shared" si="72"/>
        <v>62.317463085117957</v>
      </c>
      <c r="G299" s="159">
        <f t="shared" si="70"/>
        <v>333.92782150898324</v>
      </c>
      <c r="H299" s="159">
        <f t="shared" si="61"/>
        <v>155.59109866182126</v>
      </c>
      <c r="I299" s="159">
        <f t="shared" si="50"/>
        <v>963.71346910207421</v>
      </c>
      <c r="J299" s="159">
        <f t="shared" si="57"/>
        <v>869.88545222894379</v>
      </c>
      <c r="K299" s="159">
        <f t="shared" si="58"/>
        <v>1518.5490207913481</v>
      </c>
      <c r="L299" s="159">
        <f t="shared" si="51"/>
        <v>2388.434473020292</v>
      </c>
      <c r="M299" s="160">
        <f>'[5]Renewable Diesel'!$Z57/1000000</f>
        <v>324.35906304280564</v>
      </c>
      <c r="N299" s="161">
        <f t="shared" si="52"/>
        <v>7.3635509074864061</v>
      </c>
      <c r="O299" s="157">
        <f t="shared" si="66"/>
        <v>2679.7082827751224</v>
      </c>
      <c r="P299" s="154">
        <f t="shared" si="67"/>
        <v>8.2615489687164416</v>
      </c>
    </row>
    <row r="300" spans="1:16" x14ac:dyDescent="0.2">
      <c r="A300" s="155">
        <v>49218</v>
      </c>
      <c r="B300" s="159">
        <f>$L300*(AVERAGE(B288/$L288,B276/$L276,B264/$L264,B252/$L252))+50</f>
        <v>761.44699134103064</v>
      </c>
      <c r="C300" s="159">
        <f t="shared" si="71"/>
        <v>236.90087127548509</v>
      </c>
      <c r="D300" s="159">
        <f>$L300*(AVERAGE(D288/$L288,D276/$L276,D264/$L264,D252/$L252))*0.975</f>
        <v>356.72992395975973</v>
      </c>
      <c r="E300" s="159">
        <f t="shared" si="72"/>
        <v>3.9519282288406163</v>
      </c>
      <c r="F300" s="159">
        <f t="shared" si="72"/>
        <v>62.977535439152369</v>
      </c>
      <c r="G300" s="159">
        <f t="shared" si="72"/>
        <v>389.21704050433084</v>
      </c>
      <c r="H300" s="159">
        <f t="shared" si="61"/>
        <v>184.05272798747049</v>
      </c>
      <c r="I300" s="159">
        <f t="shared" si="50"/>
        <v>1011.5480911873826</v>
      </c>
      <c r="J300" s="159">
        <f t="shared" si="57"/>
        <v>998.34786261651573</v>
      </c>
      <c r="K300" s="159">
        <f t="shared" si="58"/>
        <v>1651.7473233471769</v>
      </c>
      <c r="L300" s="159">
        <f t="shared" si="51"/>
        <v>2650.0951859636925</v>
      </c>
      <c r="M300" s="160">
        <f>'[5]Renewable Diesel'!$Z58/1000000</f>
        <v>352.27008106497885</v>
      </c>
      <c r="N300" s="161">
        <f t="shared" si="52"/>
        <v>7.5229073611700299</v>
      </c>
      <c r="O300" s="157">
        <f t="shared" si="66"/>
        <v>3006.8251099234521</v>
      </c>
      <c r="P300" s="154">
        <f t="shared" si="67"/>
        <v>8.5355676554570099</v>
      </c>
    </row>
    <row r="301" spans="1:16" x14ac:dyDescent="0.2">
      <c r="A301" s="155">
        <v>49249</v>
      </c>
      <c r="B301" s="159">
        <f t="shared" ref="B301:B311" si="73">$L301*(AVERAGE(B289/$L289,B277/$L277,B265/$L265,B253/$L253))+50</f>
        <v>1093.4016259008199</v>
      </c>
      <c r="C301" s="159">
        <f t="shared" si="71"/>
        <v>314.07020591414283</v>
      </c>
      <c r="D301" s="159">
        <f t="shared" ref="D301:D311" si="74">$L301*(AVERAGE(D289/$L289,D277/$L277,D265/$L265,D253/$L253))*0.975</f>
        <v>403.63298196794415</v>
      </c>
      <c r="E301" s="159">
        <f t="shared" si="72"/>
        <v>4.4956769780521268</v>
      </c>
      <c r="F301" s="159">
        <f t="shared" si="72"/>
        <v>30.06544593553858</v>
      </c>
      <c r="G301" s="159">
        <f t="shared" si="72"/>
        <v>526.10731804174986</v>
      </c>
      <c r="H301" s="159">
        <f t="shared" si="61"/>
        <v>187.78007630090252</v>
      </c>
      <c r="I301" s="159">
        <f t="shared" si="50"/>
        <v>1063.7181872434894</v>
      </c>
      <c r="J301" s="159">
        <f t="shared" si="57"/>
        <v>1407.4718318149628</v>
      </c>
      <c r="K301" s="159">
        <f t="shared" si="58"/>
        <v>1812.1667044997325</v>
      </c>
      <c r="L301" s="159">
        <f t="shared" si="51"/>
        <v>3219.6385363146951</v>
      </c>
      <c r="M301" s="160">
        <f>'[5]Renewable Diesel'!$Z59/1000000</f>
        <v>425.69298524432094</v>
      </c>
      <c r="N301" s="161">
        <f t="shared" si="52"/>
        <v>7.5632877400289447</v>
      </c>
      <c r="O301" s="157">
        <f t="shared" si="66"/>
        <v>3623.2715182826391</v>
      </c>
      <c r="P301" s="154">
        <f t="shared" si="67"/>
        <v>8.511466347520642</v>
      </c>
    </row>
    <row r="302" spans="1:16" x14ac:dyDescent="0.2">
      <c r="A302" s="155">
        <v>49279</v>
      </c>
      <c r="B302" s="159">
        <f t="shared" si="73"/>
        <v>1289.554412104472</v>
      </c>
      <c r="C302" s="159">
        <f t="shared" si="71"/>
        <v>395.92363624859854</v>
      </c>
      <c r="D302" s="159">
        <f t="shared" si="74"/>
        <v>422.26064806622105</v>
      </c>
      <c r="E302" s="159">
        <f t="shared" si="72"/>
        <v>4.8459570557525495</v>
      </c>
      <c r="F302" s="159">
        <f t="shared" si="72"/>
        <v>29.095028459977822</v>
      </c>
      <c r="G302" s="159">
        <f t="shared" si="72"/>
        <v>597.83200839279448</v>
      </c>
      <c r="H302" s="159">
        <f t="shared" si="61"/>
        <v>176.01926101126438</v>
      </c>
      <c r="I302" s="159">
        <f t="shared" si="50"/>
        <v>1159.6622783773105</v>
      </c>
      <c r="J302" s="159">
        <f t="shared" si="57"/>
        <v>1685.4780483530706</v>
      </c>
      <c r="K302" s="159">
        <f t="shared" si="58"/>
        <v>1967.4545332970997</v>
      </c>
      <c r="L302" s="159">
        <f t="shared" si="51"/>
        <v>3652.9325816501705</v>
      </c>
      <c r="M302" s="160">
        <f>'[5]Renewable Diesel'!$Z60/1000000</f>
        <v>481.82271000184312</v>
      </c>
      <c r="N302" s="161">
        <f t="shared" si="52"/>
        <v>7.5814869366290285</v>
      </c>
      <c r="O302" s="157">
        <f t="shared" si="66"/>
        <v>4075.1932297163917</v>
      </c>
      <c r="P302" s="154">
        <f t="shared" si="67"/>
        <v>8.4578687245788036</v>
      </c>
    </row>
    <row r="303" spans="1:16" x14ac:dyDescent="0.2">
      <c r="A303" s="155">
        <v>49310</v>
      </c>
      <c r="B303" s="159">
        <f t="shared" si="73"/>
        <v>820.0987280895439</v>
      </c>
      <c r="C303" s="159">
        <f t="shared" si="71"/>
        <v>196.02935921719723</v>
      </c>
      <c r="D303" s="159">
        <f t="shared" si="74"/>
        <v>333.21310869537729</v>
      </c>
      <c r="E303" s="159">
        <f t="shared" si="72"/>
        <v>2.5894545579852588</v>
      </c>
      <c r="F303" s="159">
        <f t="shared" si="72"/>
        <v>41.515570497212657</v>
      </c>
      <c r="G303" s="159">
        <f t="shared" si="72"/>
        <v>399.7413758646378</v>
      </c>
      <c r="H303" s="159">
        <f t="shared" si="61"/>
        <v>112.03492823631896</v>
      </c>
      <c r="I303" s="159">
        <f t="shared" si="50"/>
        <v>355.89898773378513</v>
      </c>
      <c r="J303" s="159">
        <f t="shared" si="57"/>
        <v>1016.1280873067411</v>
      </c>
      <c r="K303" s="159">
        <f t="shared" si="58"/>
        <v>911.78031688993985</v>
      </c>
      <c r="L303" s="159">
        <f t="shared" si="51"/>
        <v>1927.908404196681</v>
      </c>
      <c r="M303" s="160">
        <f>'[5]Renewable Diesel'!$AA49/1000000</f>
        <v>270.94848935168307</v>
      </c>
      <c r="N303" s="161">
        <f t="shared" si="52"/>
        <v>7.1154056212297734</v>
      </c>
      <c r="O303" s="157">
        <f t="shared" si="66"/>
        <v>2261.1215128920585</v>
      </c>
      <c r="P303" s="154">
        <f t="shared" si="67"/>
        <v>8.3452080441651404</v>
      </c>
    </row>
    <row r="304" spans="1:16" x14ac:dyDescent="0.2">
      <c r="A304" s="155">
        <v>49341</v>
      </c>
      <c r="B304" s="159">
        <f t="shared" si="73"/>
        <v>610.20306850287659</v>
      </c>
      <c r="C304" s="159">
        <f t="shared" si="71"/>
        <v>177.42099770551198</v>
      </c>
      <c r="D304" s="159">
        <f t="shared" si="74"/>
        <v>317.08555619413573</v>
      </c>
      <c r="E304" s="159">
        <f t="shared" si="72"/>
        <v>2.7987439645096801</v>
      </c>
      <c r="F304" s="159">
        <f t="shared" si="72"/>
        <v>40.881191633220418</v>
      </c>
      <c r="G304" s="159">
        <f t="shared" si="72"/>
        <v>462.40157097311373</v>
      </c>
      <c r="H304" s="159">
        <f t="shared" si="61"/>
        <v>81.690854334158033</v>
      </c>
      <c r="I304" s="159">
        <f t="shared" si="50"/>
        <v>801.57313347667741</v>
      </c>
      <c r="J304" s="159">
        <f t="shared" si="57"/>
        <v>787.62406620838851</v>
      </c>
      <c r="K304" s="159">
        <f t="shared" si="58"/>
        <v>1389.3454943816791</v>
      </c>
      <c r="L304" s="159">
        <f t="shared" si="51"/>
        <v>2176.9695605900679</v>
      </c>
      <c r="M304" s="160">
        <f>'[5]Renewable Diesel'!$AA50/1000000</f>
        <v>295.30031929712442</v>
      </c>
      <c r="N304" s="161">
        <f t="shared" si="52"/>
        <v>7.372052850371797</v>
      </c>
      <c r="O304" s="157">
        <f t="shared" si="66"/>
        <v>2494.0551167842036</v>
      </c>
      <c r="P304" s="154">
        <f t="shared" si="67"/>
        <v>8.4458260076405214</v>
      </c>
    </row>
    <row r="305" spans="1:16" x14ac:dyDescent="0.2">
      <c r="A305" s="155">
        <v>49369</v>
      </c>
      <c r="B305" s="159">
        <f t="shared" si="73"/>
        <v>701.34301858474259</v>
      </c>
      <c r="C305" s="159">
        <f t="shared" si="71"/>
        <v>198.87943682719091</v>
      </c>
      <c r="D305" s="159">
        <f t="shared" si="74"/>
        <v>306.84334709280699</v>
      </c>
      <c r="E305" s="159">
        <f t="shared" si="72"/>
        <v>2.866659859000376</v>
      </c>
      <c r="F305" s="159">
        <f t="shared" si="72"/>
        <v>61.109044516639166</v>
      </c>
      <c r="G305" s="159">
        <f t="shared" si="72"/>
        <v>409.80335850355038</v>
      </c>
      <c r="H305" s="159">
        <f t="shared" si="61"/>
        <v>136.1532458180636</v>
      </c>
      <c r="I305" s="159">
        <f t="shared" si="50"/>
        <v>800.38307209835421</v>
      </c>
      <c r="J305" s="159">
        <f t="shared" si="57"/>
        <v>900.22245541193354</v>
      </c>
      <c r="K305" s="159">
        <f t="shared" si="58"/>
        <v>1410.3153807956078</v>
      </c>
      <c r="L305" s="159">
        <f t="shared" si="51"/>
        <v>2310.5378362075412</v>
      </c>
      <c r="M305" s="160">
        <f>'[5]Renewable Diesel'!$AA51/1000000</f>
        <v>316.04493911158488</v>
      </c>
      <c r="N305" s="161">
        <f t="shared" si="52"/>
        <v>7.3107889109142405</v>
      </c>
      <c r="O305" s="157">
        <f t="shared" si="66"/>
        <v>2617.3811833003483</v>
      </c>
      <c r="P305" s="154">
        <f t="shared" si="67"/>
        <v>8.2816740893175282</v>
      </c>
    </row>
    <row r="306" spans="1:16" x14ac:dyDescent="0.2">
      <c r="A306" s="155">
        <v>49400</v>
      </c>
      <c r="B306" s="159">
        <f t="shared" si="73"/>
        <v>646.24249373467683</v>
      </c>
      <c r="C306" s="159">
        <f t="shared" si="71"/>
        <v>158.8160881130396</v>
      </c>
      <c r="D306" s="159">
        <f t="shared" si="74"/>
        <v>270.20133543848846</v>
      </c>
      <c r="E306" s="159">
        <f t="shared" si="72"/>
        <v>2.6990438068936635</v>
      </c>
      <c r="F306" s="159">
        <f t="shared" si="72"/>
        <v>65.906194156763632</v>
      </c>
      <c r="G306" s="159">
        <f t="shared" si="72"/>
        <v>224.63325948452254</v>
      </c>
      <c r="H306" s="159">
        <f t="shared" si="61"/>
        <v>170.65639409053472</v>
      </c>
      <c r="I306" s="159">
        <f t="shared" si="50"/>
        <v>984.10494250641455</v>
      </c>
      <c r="J306" s="159">
        <f t="shared" si="57"/>
        <v>805.05858184771637</v>
      </c>
      <c r="K306" s="159">
        <f t="shared" si="58"/>
        <v>1447.9998340451291</v>
      </c>
      <c r="L306" s="159">
        <f t="shared" si="51"/>
        <v>2253.0584158928455</v>
      </c>
      <c r="M306" s="160">
        <f>'[5]Renewable Diesel'!$AA52/1000000</f>
        <v>302.39750853541153</v>
      </c>
      <c r="N306" s="161">
        <f t="shared" si="52"/>
        <v>7.4506513853403877</v>
      </c>
      <c r="O306" s="157">
        <f t="shared" si="66"/>
        <v>2523.259751331334</v>
      </c>
      <c r="P306" s="154">
        <f t="shared" si="67"/>
        <v>8.3441816817609578</v>
      </c>
    </row>
    <row r="307" spans="1:16" x14ac:dyDescent="0.2">
      <c r="A307" s="155">
        <v>49430</v>
      </c>
      <c r="B307" s="159">
        <f t="shared" si="73"/>
        <v>583.11501533164687</v>
      </c>
      <c r="C307" s="159">
        <f t="shared" ref="B307:C336" si="75">$L307*(AVERAGE(C295/$L295,C283/$L283,C271/$L271,C259/$L259))</f>
        <v>230.74252213002148</v>
      </c>
      <c r="D307" s="159">
        <f t="shared" si="74"/>
        <v>249.01377696339011</v>
      </c>
      <c r="E307" s="159">
        <f t="shared" ref="E307:G322" si="76">$L307*(AVERAGE(E295/$L295,E283/$L283,E271/$L271,E259/$L259))</f>
        <v>2.8695222271120269</v>
      </c>
      <c r="F307" s="159">
        <f t="shared" si="76"/>
        <v>61.510708786845093</v>
      </c>
      <c r="G307" s="159">
        <f t="shared" si="76"/>
        <v>268.89230160019594</v>
      </c>
      <c r="H307" s="159">
        <f t="shared" si="61"/>
        <v>153.64426009205712</v>
      </c>
      <c r="I307" s="159">
        <f t="shared" si="50"/>
        <v>1142.1271728831171</v>
      </c>
      <c r="J307" s="159">
        <f t="shared" si="57"/>
        <v>813.85753746166836</v>
      </c>
      <c r="K307" s="159">
        <f t="shared" si="58"/>
        <v>1629.0439655893274</v>
      </c>
      <c r="L307" s="159">
        <f t="shared" si="51"/>
        <v>2442.9015030509954</v>
      </c>
      <c r="M307" s="160">
        <f>'[5]Renewable Diesel'!$AA53/1000000</f>
        <v>337.69797664706579</v>
      </c>
      <c r="N307" s="161">
        <f t="shared" si="52"/>
        <v>7.2339832394202217</v>
      </c>
      <c r="O307" s="157">
        <f t="shared" si="66"/>
        <v>2691.9152800143852</v>
      </c>
      <c r="P307" s="154">
        <f t="shared" si="67"/>
        <v>7.9713692890370913</v>
      </c>
    </row>
    <row r="308" spans="1:16" x14ac:dyDescent="0.2">
      <c r="A308" s="155">
        <v>49461</v>
      </c>
      <c r="B308" s="159">
        <f t="shared" si="73"/>
        <v>632.82105406341964</v>
      </c>
      <c r="C308" s="159">
        <f t="shared" si="75"/>
        <v>199.42805617540751</v>
      </c>
      <c r="D308" s="159">
        <f t="shared" si="74"/>
        <v>269.82717714039882</v>
      </c>
      <c r="E308" s="159">
        <f t="shared" si="76"/>
        <v>2.7077965627946186</v>
      </c>
      <c r="F308" s="159">
        <f t="shared" si="76"/>
        <v>73.384542806434936</v>
      </c>
      <c r="G308" s="159">
        <f t="shared" si="76"/>
        <v>297.44417463864437</v>
      </c>
      <c r="H308" s="159">
        <f t="shared" si="61"/>
        <v>178.53259084835807</v>
      </c>
      <c r="I308" s="159">
        <f t="shared" si="50"/>
        <v>1101.5921797636461</v>
      </c>
      <c r="J308" s="159">
        <f t="shared" si="57"/>
        <v>832.24911023882714</v>
      </c>
      <c r="K308" s="159">
        <f t="shared" si="58"/>
        <v>1653.6612846198782</v>
      </c>
      <c r="L308" s="159">
        <f t="shared" si="51"/>
        <v>2485.9103948587053</v>
      </c>
      <c r="M308" s="160">
        <f>'[5]Renewable Diesel'!$AA54/1000000</f>
        <v>338.50410654127819</v>
      </c>
      <c r="N308" s="161">
        <f t="shared" si="52"/>
        <v>7.3438116312942459</v>
      </c>
      <c r="O308" s="157">
        <f t="shared" si="66"/>
        <v>2755.7375719991041</v>
      </c>
      <c r="P308" s="154">
        <f t="shared" si="67"/>
        <v>8.1409280382335965</v>
      </c>
    </row>
    <row r="309" spans="1:16" x14ac:dyDescent="0.2">
      <c r="A309" s="155">
        <v>49491</v>
      </c>
      <c r="B309" s="159">
        <f t="shared" si="73"/>
        <v>735.8377444681671</v>
      </c>
      <c r="C309" s="159">
        <f t="shared" si="75"/>
        <v>278.19068712016133</v>
      </c>
      <c r="D309" s="159">
        <f t="shared" si="74"/>
        <v>285.49451333976555</v>
      </c>
      <c r="E309" s="159">
        <f t="shared" si="76"/>
        <v>2.5914107636443049</v>
      </c>
      <c r="F309" s="159">
        <f t="shared" si="76"/>
        <v>73.719550407298556</v>
      </c>
      <c r="G309" s="159">
        <f t="shared" si="76"/>
        <v>326.72715476777677</v>
      </c>
      <c r="H309" s="159">
        <f t="shared" si="61"/>
        <v>175.08958240156551</v>
      </c>
      <c r="I309" s="159">
        <f t="shared" si="50"/>
        <v>826.51898116447228</v>
      </c>
      <c r="J309" s="159">
        <f t="shared" si="57"/>
        <v>1014.0284315883284</v>
      </c>
      <c r="K309" s="159">
        <f t="shared" si="58"/>
        <v>1404.6466795047575</v>
      </c>
      <c r="L309" s="159">
        <f t="shared" si="51"/>
        <v>2418.6751110930859</v>
      </c>
      <c r="M309" s="160">
        <f>'[5]Renewable Diesel'!$AA55/1000000</f>
        <v>329.58868568030601</v>
      </c>
      <c r="N309" s="161">
        <f t="shared" si="52"/>
        <v>7.3384652331152811</v>
      </c>
      <c r="O309" s="157">
        <f t="shared" si="66"/>
        <v>2704.1696244328518</v>
      </c>
      <c r="P309" s="154">
        <f t="shared" si="67"/>
        <v>8.2046797779212568</v>
      </c>
    </row>
    <row r="310" spans="1:16" x14ac:dyDescent="0.2">
      <c r="A310" s="155">
        <v>49522</v>
      </c>
      <c r="B310" s="159">
        <f t="shared" si="73"/>
        <v>770.13735436257355</v>
      </c>
      <c r="C310" s="159">
        <f t="shared" si="75"/>
        <v>217.94047745642521</v>
      </c>
      <c r="D310" s="159">
        <f t="shared" si="74"/>
        <v>275.38370885635283</v>
      </c>
      <c r="E310" s="159">
        <f t="shared" si="76"/>
        <v>2.64308152451291</v>
      </c>
      <c r="F310" s="159">
        <f t="shared" si="76"/>
        <v>56.869733729043205</v>
      </c>
      <c r="G310" s="159">
        <f t="shared" si="76"/>
        <v>346.61370803066387</v>
      </c>
      <c r="H310" s="159">
        <f t="shared" si="61"/>
        <v>189.21660225613144</v>
      </c>
      <c r="I310" s="159">
        <f t="shared" si="50"/>
        <v>904.10515029236308</v>
      </c>
      <c r="J310" s="159">
        <f t="shared" si="57"/>
        <v>988.07783181899879</v>
      </c>
      <c r="K310" s="159">
        <f t="shared" si="58"/>
        <v>1499.4482758327144</v>
      </c>
      <c r="L310" s="159">
        <f t="shared" si="51"/>
        <v>2487.5261076517131</v>
      </c>
      <c r="M310" s="160">
        <f>'[5]Renewable Diesel'!$AA56/1000000</f>
        <v>339.44802986728587</v>
      </c>
      <c r="N310" s="161">
        <f t="shared" si="52"/>
        <v>7.3281500812488503</v>
      </c>
      <c r="O310" s="157">
        <f t="shared" si="66"/>
        <v>2762.9098165080659</v>
      </c>
      <c r="P310" s="154">
        <f t="shared" si="67"/>
        <v>8.1394192141526993</v>
      </c>
    </row>
    <row r="311" spans="1:16" x14ac:dyDescent="0.2">
      <c r="A311" s="155">
        <v>49553</v>
      </c>
      <c r="B311" s="159">
        <f t="shared" si="73"/>
        <v>767.09245738587504</v>
      </c>
      <c r="C311" s="159">
        <f t="shared" si="75"/>
        <v>168.19386180900685</v>
      </c>
      <c r="D311" s="159">
        <f t="shared" si="74"/>
        <v>312.99044221696158</v>
      </c>
      <c r="E311" s="159">
        <f t="shared" si="76"/>
        <v>3.183003138938937</v>
      </c>
      <c r="F311" s="159">
        <f t="shared" si="76"/>
        <v>66.02783588450859</v>
      </c>
      <c r="G311" s="159">
        <f t="shared" si="76"/>
        <v>352.25832204640062</v>
      </c>
      <c r="H311" s="159">
        <f t="shared" si="61"/>
        <v>164.49498403282655</v>
      </c>
      <c r="I311" s="159">
        <f t="shared" si="50"/>
        <v>1010.1275707492603</v>
      </c>
      <c r="J311" s="159">
        <f t="shared" si="57"/>
        <v>935.28631919488191</v>
      </c>
      <c r="K311" s="159">
        <f t="shared" si="58"/>
        <v>1596.0917158519351</v>
      </c>
      <c r="L311" s="159">
        <f t="shared" si="51"/>
        <v>2531.3780350468169</v>
      </c>
      <c r="M311" s="160">
        <f>'[5]Renewable Diesel'!$AA57/1000000</f>
        <v>343.64672572550035</v>
      </c>
      <c r="N311" s="161">
        <f t="shared" si="52"/>
        <v>7.3662218946001019</v>
      </c>
      <c r="O311" s="157">
        <f t="shared" si="66"/>
        <v>2844.3684772637785</v>
      </c>
      <c r="P311" s="154">
        <f t="shared" si="67"/>
        <v>8.2770131775846334</v>
      </c>
    </row>
    <row r="312" spans="1:16" x14ac:dyDescent="0.2">
      <c r="A312" s="155">
        <v>49583</v>
      </c>
      <c r="B312" s="159">
        <f>$L312*(AVERAGE(B300/$L300,B288/$L288,B276/$L276,B264/$L264))-50</f>
        <v>680.97040746343419</v>
      </c>
      <c r="C312" s="159">
        <f t="shared" si="75"/>
        <v>251.77920734079677</v>
      </c>
      <c r="D312" s="159">
        <f>$L312*(AVERAGE(D300/$L300,D288/$L288,D276/$L276,D264/$L264))*0.975</f>
        <v>352.53309576818992</v>
      </c>
      <c r="E312" s="159">
        <f t="shared" si="76"/>
        <v>4.16815083773513</v>
      </c>
      <c r="F312" s="159">
        <f t="shared" si="76"/>
        <v>66.073387529445057</v>
      </c>
      <c r="G312" s="159">
        <f t="shared" si="76"/>
        <v>411.87099831780296</v>
      </c>
      <c r="H312" s="159">
        <f>$L312*(AVERAGE(H300/$L300,H288/$L288,H276/$L276,H264/$L264))+10</f>
        <v>204.23765258619804</v>
      </c>
      <c r="I312" s="159">
        <f t="shared" ref="I312:I375" si="77">L312-SUM(E312:H312,B312:C312)</f>
        <v>1183.181729502337</v>
      </c>
      <c r="J312" s="159">
        <f t="shared" si="57"/>
        <v>932.74961480423099</v>
      </c>
      <c r="K312" s="159">
        <f t="shared" si="58"/>
        <v>1869.5319187735181</v>
      </c>
      <c r="L312" s="159">
        <f t="shared" si="51"/>
        <v>2802.2815335777491</v>
      </c>
      <c r="M312" s="160">
        <f>'[5]Renewable Diesel'!$AA58/1000000</f>
        <v>373.22415201937724</v>
      </c>
      <c r="N312" s="161">
        <f t="shared" si="52"/>
        <v>7.5083070546631152</v>
      </c>
      <c r="O312" s="157">
        <f t="shared" si="66"/>
        <v>3154.814629345939</v>
      </c>
      <c r="P312" s="154">
        <f t="shared" si="67"/>
        <v>8.4528683695211289</v>
      </c>
    </row>
    <row r="313" spans="1:16" x14ac:dyDescent="0.2">
      <c r="A313" s="155">
        <v>49614</v>
      </c>
      <c r="B313" s="159">
        <f t="shared" ref="B313:B323" si="78">$L313*(AVERAGE(B301/$L301,B289/$L289,B277/$L277,B265/$L265))-50</f>
        <v>1047.2455336235594</v>
      </c>
      <c r="C313" s="159">
        <f t="shared" si="75"/>
        <v>333.65646758362436</v>
      </c>
      <c r="D313" s="159">
        <f t="shared" ref="D313:D323" si="79">$L313*(AVERAGE(D301/$L301,D289/$L289,D277/$L277,D265/$L265))*0.975</f>
        <v>408.45636963345936</v>
      </c>
      <c r="E313" s="159">
        <f t="shared" si="76"/>
        <v>4.7465663415766253</v>
      </c>
      <c r="F313" s="159">
        <f t="shared" si="76"/>
        <v>31.191553597033067</v>
      </c>
      <c r="G313" s="159">
        <f t="shared" si="76"/>
        <v>557.76151080507361</v>
      </c>
      <c r="H313" s="159">
        <f>$L313*(AVERAGE(H301/$L301,H289/$L289,H277/$L277,H265/$L265))</f>
        <v>198.27657451844388</v>
      </c>
      <c r="I313" s="159">
        <f t="shared" si="77"/>
        <v>1233.0739724191335</v>
      </c>
      <c r="J313" s="159">
        <f t="shared" si="57"/>
        <v>1380.9020012071837</v>
      </c>
      <c r="K313" s="159">
        <f t="shared" si="58"/>
        <v>2025.0501776812607</v>
      </c>
      <c r="L313" s="159">
        <f t="shared" ref="L313:L376" si="80">M313*N313</f>
        <v>3405.9521788884445</v>
      </c>
      <c r="M313" s="160">
        <f>'[5]Renewable Diesel'!$AA59/1000000</f>
        <v>450.93823456570317</v>
      </c>
      <c r="N313" s="161">
        <f t="shared" ref="N313:N376" si="81">AVERAGE(N301,N289,N277,N265,N253)</f>
        <v>7.5530348012487867</v>
      </c>
      <c r="O313" s="157">
        <f t="shared" si="66"/>
        <v>3814.4085485219034</v>
      </c>
      <c r="P313" s="154">
        <f t="shared" si="67"/>
        <v>8.4588270768291469</v>
      </c>
    </row>
    <row r="314" spans="1:16" x14ac:dyDescent="0.2">
      <c r="A314" s="155">
        <v>49644</v>
      </c>
      <c r="B314" s="159">
        <f t="shared" si="78"/>
        <v>1309.1927228648219</v>
      </c>
      <c r="C314" s="159">
        <f t="shared" si="75"/>
        <v>419.85333438629397</v>
      </c>
      <c r="D314" s="159">
        <f t="shared" si="79"/>
        <v>427.44708113841796</v>
      </c>
      <c r="E314" s="159">
        <f t="shared" si="76"/>
        <v>5.1163007751771383</v>
      </c>
      <c r="F314" s="159">
        <f t="shared" si="76"/>
        <v>30.157655416588508</v>
      </c>
      <c r="G314" s="159">
        <f t="shared" si="76"/>
        <v>632.48352640747146</v>
      </c>
      <c r="H314" s="159">
        <f>$L314*(AVERAGE(H302/$L302,H290/$L290,H278/$L278,H266/$L266))</f>
        <v>186.14846110172167</v>
      </c>
      <c r="I314" s="159">
        <f t="shared" si="77"/>
        <v>1280.3496485452065</v>
      </c>
      <c r="J314" s="159">
        <f t="shared" si="57"/>
        <v>1729.0460572511158</v>
      </c>
      <c r="K314" s="159">
        <f t="shared" si="58"/>
        <v>2134.2555922461652</v>
      </c>
      <c r="L314" s="159">
        <f t="shared" si="80"/>
        <v>3863.3016494972812</v>
      </c>
      <c r="M314" s="160">
        <f>'[5]Renewable Diesel'!$AA60/1000000</f>
        <v>510.44358660780591</v>
      </c>
      <c r="N314" s="161">
        <f t="shared" si="81"/>
        <v>7.5685183453301166</v>
      </c>
      <c r="O314" s="157">
        <f t="shared" si="66"/>
        <v>4290.7487306356988</v>
      </c>
      <c r="P314" s="154">
        <f t="shared" si="67"/>
        <v>8.4059215223962678</v>
      </c>
    </row>
    <row r="315" spans="1:16" x14ac:dyDescent="0.2">
      <c r="A315" s="155">
        <v>49675</v>
      </c>
      <c r="B315" s="159">
        <f t="shared" si="78"/>
        <v>802.10954641739386</v>
      </c>
      <c r="C315" s="159">
        <f t="shared" si="75"/>
        <v>210.95471749426807</v>
      </c>
      <c r="D315" s="159">
        <f t="shared" si="79"/>
        <v>347.07061372247074</v>
      </c>
      <c r="E315" s="159">
        <f t="shared" si="76"/>
        <v>2.7926200237147389</v>
      </c>
      <c r="F315" s="159">
        <f t="shared" si="76"/>
        <v>44.886852740476577</v>
      </c>
      <c r="G315" s="159">
        <f t="shared" si="76"/>
        <v>432.81532269871525</v>
      </c>
      <c r="H315" s="159">
        <f>$L315*(AVERAGE(H303/$L303,H291/$L291,H279/$L279,H267/$L267))</f>
        <v>121.27847053642188</v>
      </c>
      <c r="I315" s="159">
        <f t="shared" si="77"/>
        <v>467.92797737326168</v>
      </c>
      <c r="J315" s="159">
        <f t="shared" si="57"/>
        <v>1013.0642639116619</v>
      </c>
      <c r="K315" s="159">
        <f t="shared" si="58"/>
        <v>1069.7012433725902</v>
      </c>
      <c r="L315" s="159">
        <f t="shared" si="80"/>
        <v>2082.7655072842522</v>
      </c>
      <c r="M315" s="160">
        <f>'[5]Renewable Diesel'!$AB49/1000000</f>
        <v>292.54820423721026</v>
      </c>
      <c r="N315" s="161">
        <f t="shared" si="81"/>
        <v>7.1193925552024897</v>
      </c>
      <c r="O315" s="157">
        <f t="shared" si="66"/>
        <v>2429.8361210067233</v>
      </c>
      <c r="P315" s="154">
        <f t="shared" si="67"/>
        <v>8.3057632411119204</v>
      </c>
    </row>
    <row r="316" spans="1:16" x14ac:dyDescent="0.2">
      <c r="A316" s="155">
        <v>49706</v>
      </c>
      <c r="B316" s="159">
        <f t="shared" si="78"/>
        <v>575.71998923715455</v>
      </c>
      <c r="C316" s="159">
        <f t="shared" si="75"/>
        <v>191.27971649649677</v>
      </c>
      <c r="D316" s="159">
        <f t="shared" si="79"/>
        <v>328.66486212956892</v>
      </c>
      <c r="E316" s="159">
        <f t="shared" si="76"/>
        <v>3.0208405257272739</v>
      </c>
      <c r="F316" s="159">
        <f t="shared" si="76"/>
        <v>44.183303697034127</v>
      </c>
      <c r="G316" s="159">
        <f t="shared" si="76"/>
        <v>500.70074722207619</v>
      </c>
      <c r="H316" s="159">
        <f>$L316*(AVERAGE(H304/$L304,H292/$L292,H280/$L280,H268/$L268))</f>
        <v>88.00263821821045</v>
      </c>
      <c r="I316" s="159">
        <f t="shared" si="77"/>
        <v>950.74808133756142</v>
      </c>
      <c r="J316" s="159">
        <f t="shared" si="57"/>
        <v>766.99970573365135</v>
      </c>
      <c r="K316" s="159">
        <f t="shared" si="58"/>
        <v>1586.6556110006095</v>
      </c>
      <c r="L316" s="159">
        <f t="shared" si="80"/>
        <v>2353.6553167342609</v>
      </c>
      <c r="M316" s="160">
        <f>'[5]Renewable Diesel'!$AB50/1000000</f>
        <v>319.19465898223018</v>
      </c>
      <c r="N316" s="161">
        <f t="shared" si="81"/>
        <v>7.3737302630282757</v>
      </c>
      <c r="O316" s="157">
        <f t="shared" si="66"/>
        <v>2682.3201788638298</v>
      </c>
      <c r="P316" s="154">
        <f t="shared" si="67"/>
        <v>8.4033993156920488</v>
      </c>
    </row>
    <row r="317" spans="1:16" x14ac:dyDescent="0.2">
      <c r="A317" s="155">
        <v>49735</v>
      </c>
      <c r="B317" s="159">
        <f t="shared" si="78"/>
        <v>674.91953073831462</v>
      </c>
      <c r="C317" s="159">
        <f t="shared" si="75"/>
        <v>214.13480150300836</v>
      </c>
      <c r="D317" s="159">
        <f t="shared" si="79"/>
        <v>318.13732854987444</v>
      </c>
      <c r="E317" s="159">
        <f t="shared" si="76"/>
        <v>3.0909655352583858</v>
      </c>
      <c r="F317" s="159">
        <f t="shared" si="76"/>
        <v>66.075971555117164</v>
      </c>
      <c r="G317" s="159">
        <f t="shared" si="76"/>
        <v>443.3314434448364</v>
      </c>
      <c r="H317" s="159">
        <f>$L317*(AVERAGE(H305/$L305,H293/$L293,H281/$L281,H269/$L269))-10</f>
        <v>136.68354565296255</v>
      </c>
      <c r="I317" s="159">
        <f t="shared" si="77"/>
        <v>956.92687802221781</v>
      </c>
      <c r="J317" s="159">
        <f t="shared" si="57"/>
        <v>889.05433224132298</v>
      </c>
      <c r="K317" s="159">
        <f t="shared" si="58"/>
        <v>1606.1088042103922</v>
      </c>
      <c r="L317" s="159">
        <f t="shared" si="80"/>
        <v>2495.1631364517152</v>
      </c>
      <c r="M317" s="160">
        <f>'[5]Renewable Diesel'!$AB51/1000000</f>
        <v>341.12474672358979</v>
      </c>
      <c r="N317" s="161">
        <f t="shared" si="81"/>
        <v>7.314518106402649</v>
      </c>
      <c r="O317" s="157">
        <f t="shared" si="66"/>
        <v>2813.3004650015896</v>
      </c>
      <c r="P317" s="154">
        <f t="shared" si="67"/>
        <v>8.2471309748781749</v>
      </c>
    </row>
    <row r="318" spans="1:16" x14ac:dyDescent="0.2">
      <c r="A318" s="155">
        <v>49766</v>
      </c>
      <c r="B318" s="159">
        <f t="shared" si="78"/>
        <v>615.45230809381962</v>
      </c>
      <c r="C318" s="159">
        <f t="shared" si="75"/>
        <v>171.3508153439814</v>
      </c>
      <c r="D318" s="159">
        <f t="shared" si="79"/>
        <v>281.70153751580239</v>
      </c>
      <c r="E318" s="159">
        <f t="shared" si="76"/>
        <v>2.9148723384405075</v>
      </c>
      <c r="F318" s="159">
        <f t="shared" si="76"/>
        <v>71.570027930314566</v>
      </c>
      <c r="G318" s="159">
        <f t="shared" si="76"/>
        <v>242.75280672758416</v>
      </c>
      <c r="H318" s="159">
        <f>$L318*(AVERAGE(H306/$L306,H294/$L294,H282/$L282,H270/$L270))</f>
        <v>184.68716855470115</v>
      </c>
      <c r="I318" s="159">
        <f t="shared" si="77"/>
        <v>1148.0088480342768</v>
      </c>
      <c r="J318" s="159">
        <f t="shared" si="57"/>
        <v>786.80312343780099</v>
      </c>
      <c r="K318" s="159">
        <f t="shared" si="58"/>
        <v>1649.9337235853172</v>
      </c>
      <c r="L318" s="159">
        <f t="shared" si="80"/>
        <v>2436.7368470231181</v>
      </c>
      <c r="M318" s="160">
        <f>'[5]Renewable Diesel'!$AB52/1000000</f>
        <v>326.86144374999731</v>
      </c>
      <c r="N318" s="161">
        <f t="shared" si="81"/>
        <v>7.4549534477577497</v>
      </c>
      <c r="O318" s="157">
        <f t="shared" si="66"/>
        <v>2718.4383845389207</v>
      </c>
      <c r="P318" s="154">
        <f t="shared" si="67"/>
        <v>8.3167912169480012</v>
      </c>
    </row>
    <row r="319" spans="1:16" x14ac:dyDescent="0.2">
      <c r="A319" s="155">
        <v>49796</v>
      </c>
      <c r="B319" s="159">
        <f t="shared" si="78"/>
        <v>554.02351724645609</v>
      </c>
      <c r="C319" s="159">
        <f t="shared" si="75"/>
        <v>248.92979896897</v>
      </c>
      <c r="D319" s="159">
        <f t="shared" si="79"/>
        <v>257.98817952422519</v>
      </c>
      <c r="E319" s="159">
        <f t="shared" si="76"/>
        <v>3.0985141113200658</v>
      </c>
      <c r="F319" s="159">
        <f t="shared" si="76"/>
        <v>66.740721995159959</v>
      </c>
      <c r="G319" s="159">
        <f t="shared" si="76"/>
        <v>290.84300793993248</v>
      </c>
      <c r="H319" s="159">
        <f>$L319*(AVERAGE(H307/$L307,H295/$L295,H283/$L283,H271/$L271))</f>
        <v>166.23997608867617</v>
      </c>
      <c r="I319" s="159">
        <f t="shared" si="77"/>
        <v>1312.0338076973251</v>
      </c>
      <c r="J319" s="159">
        <f t="shared" si="57"/>
        <v>802.95331621542607</v>
      </c>
      <c r="K319" s="159">
        <f t="shared" si="58"/>
        <v>1838.9560278324138</v>
      </c>
      <c r="L319" s="159">
        <f t="shared" si="80"/>
        <v>2641.90934404784</v>
      </c>
      <c r="M319" s="160">
        <f>'[5]Renewable Diesel'!$AB53/1000000</f>
        <v>365.00683042158005</v>
      </c>
      <c r="N319" s="161">
        <f t="shared" si="81"/>
        <v>7.2379723442338193</v>
      </c>
      <c r="O319" s="157">
        <f t="shared" si="66"/>
        <v>2899.897523572065</v>
      </c>
      <c r="P319" s="154">
        <f t="shared" si="67"/>
        <v>7.9447760476775349</v>
      </c>
    </row>
    <row r="320" spans="1:16" x14ac:dyDescent="0.2">
      <c r="A320" s="155">
        <v>49827</v>
      </c>
      <c r="B320" s="159">
        <f t="shared" si="78"/>
        <v>606.96811882194652</v>
      </c>
      <c r="C320" s="159">
        <f t="shared" si="75"/>
        <v>214.94308135555519</v>
      </c>
      <c r="D320" s="159">
        <f t="shared" si="79"/>
        <v>280.18834282858472</v>
      </c>
      <c r="E320" s="159">
        <f t="shared" si="76"/>
        <v>2.9218881165736619</v>
      </c>
      <c r="F320" s="159">
        <f t="shared" si="76"/>
        <v>79.360952880061916</v>
      </c>
      <c r="G320" s="159">
        <f t="shared" si="76"/>
        <v>321.41190172865538</v>
      </c>
      <c r="H320" s="159">
        <f>$L320*(AVERAGE(H308/$L308,H296/$L296,H284/$L284,H272/$L272))</f>
        <v>193.23549579713827</v>
      </c>
      <c r="I320" s="159">
        <f t="shared" si="77"/>
        <v>1267.1249778900772</v>
      </c>
      <c r="J320" s="159">
        <f t="shared" si="57"/>
        <v>821.91120017750177</v>
      </c>
      <c r="K320" s="159">
        <f t="shared" si="58"/>
        <v>1864.0552164125065</v>
      </c>
      <c r="L320" s="159">
        <f t="shared" si="80"/>
        <v>2685.9664165900081</v>
      </c>
      <c r="M320" s="160">
        <f>'[5]Renewable Diesel'!$AB54/1000000</f>
        <v>365.55578146483305</v>
      </c>
      <c r="N320" s="161">
        <f t="shared" si="81"/>
        <v>7.3476239544809427</v>
      </c>
      <c r="O320" s="157">
        <f t="shared" si="66"/>
        <v>2966.1547594185927</v>
      </c>
      <c r="P320" s="154">
        <f t="shared" si="67"/>
        <v>8.1140961511613803</v>
      </c>
    </row>
    <row r="321" spans="1:16" x14ac:dyDescent="0.2">
      <c r="A321" s="155">
        <v>49857</v>
      </c>
      <c r="B321" s="159">
        <f t="shared" si="78"/>
        <v>720.62726354118684</v>
      </c>
      <c r="C321" s="159">
        <f t="shared" si="75"/>
        <v>300.00748441104525</v>
      </c>
      <c r="D321" s="159">
        <f t="shared" si="79"/>
        <v>296.89895035631338</v>
      </c>
      <c r="E321" s="159">
        <f t="shared" si="76"/>
        <v>2.7987641057213479</v>
      </c>
      <c r="F321" s="159">
        <f t="shared" si="76"/>
        <v>79.892350887718791</v>
      </c>
      <c r="G321" s="159">
        <f t="shared" si="76"/>
        <v>353.39734986611029</v>
      </c>
      <c r="H321" s="159">
        <f>$L321*(AVERAGE(H309/$L309,H297/$L297,H285/$L285,H273/$L273))+25</f>
        <v>214.59036914085442</v>
      </c>
      <c r="I321" s="159">
        <f t="shared" si="77"/>
        <v>944.16464500675215</v>
      </c>
      <c r="J321" s="159">
        <f t="shared" si="57"/>
        <v>1020.6347479522321</v>
      </c>
      <c r="K321" s="159">
        <f t="shared" si="58"/>
        <v>1594.8434790071569</v>
      </c>
      <c r="L321" s="159">
        <f t="shared" si="80"/>
        <v>2615.4782269593888</v>
      </c>
      <c r="M321" s="160">
        <f>'[5]Renewable Diesel'!$AB55/1000000</f>
        <v>356.11482216137313</v>
      </c>
      <c r="N321" s="161">
        <f t="shared" si="81"/>
        <v>7.3444801064028367</v>
      </c>
      <c r="O321" s="157">
        <f t="shared" si="66"/>
        <v>2912.3771773157027</v>
      </c>
      <c r="P321" s="154">
        <f t="shared" si="67"/>
        <v>8.1781970198251432</v>
      </c>
    </row>
    <row r="322" spans="1:16" x14ac:dyDescent="0.2">
      <c r="A322" s="155">
        <v>49888</v>
      </c>
      <c r="B322" s="159">
        <f t="shared" si="78"/>
        <v>756.05227714585567</v>
      </c>
      <c r="C322" s="159">
        <f t="shared" si="75"/>
        <v>234.73223907420339</v>
      </c>
      <c r="D322" s="159">
        <f t="shared" si="79"/>
        <v>286.76099038263339</v>
      </c>
      <c r="E322" s="159">
        <f t="shared" si="76"/>
        <v>2.8488863787678387</v>
      </c>
      <c r="F322" s="159">
        <f t="shared" si="76"/>
        <v>61.596458971738343</v>
      </c>
      <c r="G322" s="159">
        <f t="shared" si="76"/>
        <v>373.64198319322696</v>
      </c>
      <c r="H322" s="159">
        <f>$L322*(AVERAGE(H310/$L310,H298/$L298,H286/$L286,H274/$L274))+25</f>
        <v>229.29388322192924</v>
      </c>
      <c r="I322" s="159">
        <f t="shared" si="77"/>
        <v>1026.8916195746906</v>
      </c>
      <c r="J322" s="159">
        <f t="shared" si="57"/>
        <v>990.784516220059</v>
      </c>
      <c r="K322" s="159">
        <f t="shared" si="58"/>
        <v>1694.2728313403532</v>
      </c>
      <c r="L322" s="159">
        <f t="shared" si="80"/>
        <v>2685.0573475604119</v>
      </c>
      <c r="M322" s="160">
        <f>'[5]Renewable Diesel'!$AB56/1000000</f>
        <v>366.24629828555049</v>
      </c>
      <c r="N322" s="161">
        <f t="shared" si="81"/>
        <v>7.3312886986968504</v>
      </c>
      <c r="O322" s="157">
        <f t="shared" si="66"/>
        <v>2971.8183379430452</v>
      </c>
      <c r="P322" s="154">
        <f t="shared" si="67"/>
        <v>8.1142617737149489</v>
      </c>
    </row>
    <row r="323" spans="1:16" x14ac:dyDescent="0.2">
      <c r="A323" s="155">
        <v>49919</v>
      </c>
      <c r="B323" s="159">
        <f t="shared" si="78"/>
        <v>753.18547099740761</v>
      </c>
      <c r="C323" s="159">
        <f t="shared" si="75"/>
        <v>181.27726309019414</v>
      </c>
      <c r="D323" s="159">
        <f t="shared" si="79"/>
        <v>325.61946222149152</v>
      </c>
      <c r="E323" s="159">
        <f t="shared" ref="E323:H338" si="82">$L323*(AVERAGE(E311/$L311,E299/$L299,E287/$L287,E275/$L275))</f>
        <v>3.4384371918906087</v>
      </c>
      <c r="F323" s="159">
        <f t="shared" si="82"/>
        <v>71.59793800388465</v>
      </c>
      <c r="G323" s="159">
        <f t="shared" si="82"/>
        <v>375.76981771967439</v>
      </c>
      <c r="H323" s="159">
        <f>$L323*(AVERAGE(H311/$L311,H299/$L299,H287/$L287,H275/$L275))+25</f>
        <v>202.66863218071276</v>
      </c>
      <c r="I323" s="159">
        <f t="shared" si="77"/>
        <v>1146.2749808964829</v>
      </c>
      <c r="J323" s="159">
        <f t="shared" ref="J323:J386" si="83">C323+B323</f>
        <v>934.4627340876018</v>
      </c>
      <c r="K323" s="159">
        <f t="shared" si="58"/>
        <v>1799.7498059926452</v>
      </c>
      <c r="L323" s="159">
        <f t="shared" si="80"/>
        <v>2734.212540080247</v>
      </c>
      <c r="M323" s="160">
        <f>'[5]Renewable Diesel'!$AB57/1000000</f>
        <v>370.96712754239712</v>
      </c>
      <c r="N323" s="161">
        <f t="shared" si="81"/>
        <v>7.3704981845534521</v>
      </c>
      <c r="O323" s="157">
        <f t="shared" si="66"/>
        <v>3059.8320023017386</v>
      </c>
      <c r="P323" s="154">
        <f t="shared" si="67"/>
        <v>8.2482564494937254</v>
      </c>
    </row>
    <row r="324" spans="1:16" x14ac:dyDescent="0.2">
      <c r="A324" s="155">
        <v>49949</v>
      </c>
      <c r="B324" s="159">
        <f>$L324*(AVERAGE(B312/$L312,B300/$L300,B288/$L288,B276/$L276))</f>
        <v>793.46095405251128</v>
      </c>
      <c r="C324" s="159">
        <f t="shared" si="75"/>
        <v>271.33105811273151</v>
      </c>
      <c r="D324" s="159">
        <f>$L324*(AVERAGE(D312/$L312,D300/$L300,D288/$L288,D276/$L276))*0.96</f>
        <v>372.02169262277283</v>
      </c>
      <c r="E324" s="159">
        <f t="shared" si="82"/>
        <v>4.5136064220454406</v>
      </c>
      <c r="F324" s="159">
        <f t="shared" si="82"/>
        <v>71.518021146360951</v>
      </c>
      <c r="G324" s="159">
        <f t="shared" si="82"/>
        <v>446.71436755623995</v>
      </c>
      <c r="H324" s="159">
        <f t="shared" si="82"/>
        <v>212.76549733926066</v>
      </c>
      <c r="I324" s="159">
        <f t="shared" si="77"/>
        <v>1227.9633375115618</v>
      </c>
      <c r="J324" s="159">
        <f t="shared" si="83"/>
        <v>1064.7920121652428</v>
      </c>
      <c r="K324" s="159">
        <f t="shared" ref="K324:K387" si="84">SUM(E324:I324)</f>
        <v>1963.4748299754688</v>
      </c>
      <c r="L324" s="159">
        <f t="shared" si="80"/>
        <v>3028.2668421407116</v>
      </c>
      <c r="M324" s="160">
        <f>'[5]Renewable Diesel'!$AB58/1000000</f>
        <v>403.33435346090243</v>
      </c>
      <c r="N324" s="161">
        <f t="shared" si="81"/>
        <v>7.508080618861193</v>
      </c>
      <c r="O324" s="157">
        <f t="shared" si="66"/>
        <v>3400.2885347634842</v>
      </c>
      <c r="P324" s="154">
        <f t="shared" si="67"/>
        <v>8.4304461189247402</v>
      </c>
    </row>
    <row r="325" spans="1:16" x14ac:dyDescent="0.2">
      <c r="A325" s="155">
        <v>49980</v>
      </c>
      <c r="B325" s="159">
        <f t="shared" ref="B325:B335" si="85">$L325*(AVERAGE(B313/$L313,B301/$L301,B289/$L289,B277/$L277))</f>
        <v>1140.9572075746871</v>
      </c>
      <c r="C325" s="159">
        <f t="shared" si="75"/>
        <v>359.68935816574054</v>
      </c>
      <c r="D325" s="159">
        <f t="shared" ref="D325:D335" si="86">$L325*(AVERAGE(D313/$L313,D301/$L301,D289/$L289,D277/$L277))*0.96</f>
        <v>428.32757637667146</v>
      </c>
      <c r="E325" s="159">
        <f t="shared" si="82"/>
        <v>5.1433663146118853</v>
      </c>
      <c r="F325" s="159">
        <f t="shared" si="82"/>
        <v>33.818336311184758</v>
      </c>
      <c r="G325" s="159">
        <f t="shared" si="82"/>
        <v>604.83838093978261</v>
      </c>
      <c r="H325" s="159">
        <f t="shared" si="82"/>
        <v>214.33954293841859</v>
      </c>
      <c r="I325" s="159">
        <f t="shared" si="77"/>
        <v>1324.5403196997704</v>
      </c>
      <c r="J325" s="159">
        <f t="shared" si="83"/>
        <v>1500.6465657404276</v>
      </c>
      <c r="K325" s="159">
        <f t="shared" si="84"/>
        <v>2182.6799462037684</v>
      </c>
      <c r="L325" s="159">
        <f t="shared" si="80"/>
        <v>3683.3265119441958</v>
      </c>
      <c r="M325" s="160">
        <f>'[5]Renewable Diesel'!$AB59/1000000</f>
        <v>487.59562741366341</v>
      </c>
      <c r="N325" s="161">
        <f t="shared" si="81"/>
        <v>7.5540597676840067</v>
      </c>
      <c r="O325" s="157">
        <f t="shared" si="66"/>
        <v>4111.6540883208672</v>
      </c>
      <c r="P325" s="154">
        <f t="shared" si="67"/>
        <v>8.4325081218020177</v>
      </c>
    </row>
    <row r="326" spans="1:16" x14ac:dyDescent="0.2">
      <c r="A326" s="155">
        <v>50010</v>
      </c>
      <c r="B326" s="159">
        <f t="shared" si="85"/>
        <v>1501.069613877791</v>
      </c>
      <c r="C326" s="159">
        <f t="shared" si="75"/>
        <v>453.41483114097485</v>
      </c>
      <c r="D326" s="159">
        <f t="shared" si="86"/>
        <v>449.3087586272685</v>
      </c>
      <c r="E326" s="159">
        <f t="shared" si="82"/>
        <v>5.5454549918073939</v>
      </c>
      <c r="F326" s="159">
        <f t="shared" si="82"/>
        <v>32.586064542453059</v>
      </c>
      <c r="G326" s="159">
        <f t="shared" si="82"/>
        <v>685.98376022306729</v>
      </c>
      <c r="H326" s="159">
        <f t="shared" si="82"/>
        <v>201.43203194270248</v>
      </c>
      <c r="I326" s="159">
        <f t="shared" si="77"/>
        <v>1299.7992321495981</v>
      </c>
      <c r="J326" s="159">
        <f t="shared" si="83"/>
        <v>1954.4844450187659</v>
      </c>
      <c r="K326" s="159">
        <f t="shared" si="84"/>
        <v>2225.3465438496282</v>
      </c>
      <c r="L326" s="159">
        <f t="shared" si="80"/>
        <v>4179.8309888683943</v>
      </c>
      <c r="M326" s="160">
        <f>'[5]Renewable Diesel'!$AB60/1000000</f>
        <v>552.06299722252447</v>
      </c>
      <c r="N326" s="161">
        <f t="shared" si="81"/>
        <v>7.5712935116055178</v>
      </c>
      <c r="O326" s="157">
        <f t="shared" si="66"/>
        <v>4629.139747495662</v>
      </c>
      <c r="P326" s="154">
        <f t="shared" si="67"/>
        <v>8.3851657705465765</v>
      </c>
    </row>
    <row r="327" spans="1:16" x14ac:dyDescent="0.2">
      <c r="A327" s="155">
        <v>50041</v>
      </c>
      <c r="B327" s="159">
        <f t="shared" si="85"/>
        <v>963.49378988542833</v>
      </c>
      <c r="C327" s="159">
        <f t="shared" si="75"/>
        <v>239.9947941107402</v>
      </c>
      <c r="D327" s="159">
        <f t="shared" si="86"/>
        <v>384.46050557087983</v>
      </c>
      <c r="E327" s="159">
        <f t="shared" si="82"/>
        <v>3.1834793706206983</v>
      </c>
      <c r="F327" s="159">
        <f t="shared" si="82"/>
        <v>51.114527660774229</v>
      </c>
      <c r="G327" s="159">
        <f t="shared" si="82"/>
        <v>494.01516967607512</v>
      </c>
      <c r="H327" s="159">
        <f t="shared" si="82"/>
        <v>138.06172077514165</v>
      </c>
      <c r="I327" s="159">
        <f t="shared" si="77"/>
        <v>480.56671755895059</v>
      </c>
      <c r="J327" s="159">
        <f t="shared" si="83"/>
        <v>1203.4885839961685</v>
      </c>
      <c r="K327" s="159">
        <f t="shared" si="84"/>
        <v>1166.9416150415623</v>
      </c>
      <c r="L327" s="159">
        <f t="shared" si="80"/>
        <v>2370.4301990377307</v>
      </c>
      <c r="M327" s="160">
        <f>'[5]Renewable Diesel'!$AC49/1000000</f>
        <v>332.80102216583555</v>
      </c>
      <c r="N327" s="161">
        <f t="shared" si="81"/>
        <v>7.1226650195098857</v>
      </c>
      <c r="O327" s="157">
        <f t="shared" si="66"/>
        <v>2754.8907046086106</v>
      </c>
      <c r="P327" s="154">
        <f t="shared" si="67"/>
        <v>8.2778913558620086</v>
      </c>
    </row>
    <row r="328" spans="1:16" x14ac:dyDescent="0.2">
      <c r="A328" s="155">
        <v>50072</v>
      </c>
      <c r="B328" s="159">
        <f t="shared" si="85"/>
        <v>702.30147565579648</v>
      </c>
      <c r="C328" s="159">
        <f t="shared" si="75"/>
        <v>217.60248424837724</v>
      </c>
      <c r="D328" s="159">
        <f t="shared" si="86"/>
        <v>363.08197764818891</v>
      </c>
      <c r="E328" s="159">
        <f t="shared" si="82"/>
        <v>3.4440676796130907</v>
      </c>
      <c r="F328" s="159">
        <f t="shared" si="82"/>
        <v>50.296090959572147</v>
      </c>
      <c r="G328" s="159">
        <f t="shared" si="82"/>
        <v>571.55411479109853</v>
      </c>
      <c r="H328" s="159">
        <f t="shared" si="82"/>
        <v>100.17949171289139</v>
      </c>
      <c r="I328" s="159">
        <f t="shared" si="77"/>
        <v>1033.8966576612854</v>
      </c>
      <c r="J328" s="159">
        <f t="shared" si="83"/>
        <v>919.90395990417369</v>
      </c>
      <c r="K328" s="159">
        <f t="shared" si="84"/>
        <v>1759.3704228044605</v>
      </c>
      <c r="L328" s="159">
        <f t="shared" si="80"/>
        <v>2679.2743827086342</v>
      </c>
      <c r="M328" s="160">
        <f>'[5]Renewable Diesel'!$AC50/1000000</f>
        <v>363.31246739881755</v>
      </c>
      <c r="N328" s="161">
        <f t="shared" si="81"/>
        <v>7.374573192853096</v>
      </c>
      <c r="O328" s="157">
        <f t="shared" si="66"/>
        <v>3042.3563603568227</v>
      </c>
      <c r="P328" s="154">
        <f t="shared" si="67"/>
        <v>8.3739387809588965</v>
      </c>
    </row>
    <row r="329" spans="1:16" x14ac:dyDescent="0.2">
      <c r="A329" s="155">
        <v>50100</v>
      </c>
      <c r="B329" s="159">
        <f t="shared" si="85"/>
        <v>813.32792420861233</v>
      </c>
      <c r="C329" s="159">
        <f t="shared" si="75"/>
        <v>243.3331967790285</v>
      </c>
      <c r="D329" s="159">
        <f t="shared" si="86"/>
        <v>350.53917137059489</v>
      </c>
      <c r="E329" s="159">
        <f t="shared" si="82"/>
        <v>3.5208351985551265</v>
      </c>
      <c r="F329" s="159">
        <f t="shared" si="82"/>
        <v>75.007340022851821</v>
      </c>
      <c r="G329" s="159">
        <f t="shared" si="82"/>
        <v>505.63394386519764</v>
      </c>
      <c r="H329" s="159">
        <f t="shared" si="82"/>
        <v>164.07255956489215</v>
      </c>
      <c r="I329" s="159">
        <f t="shared" si="77"/>
        <v>1033.5200496494938</v>
      </c>
      <c r="J329" s="159">
        <f t="shared" si="83"/>
        <v>1056.6611209876407</v>
      </c>
      <c r="K329" s="159">
        <f t="shared" si="84"/>
        <v>1781.7547283009903</v>
      </c>
      <c r="L329" s="159">
        <f t="shared" si="80"/>
        <v>2838.4158492886313</v>
      </c>
      <c r="M329" s="160">
        <f>'[5]Renewable Diesel'!$AC51/1000000</f>
        <v>388.00143002523913</v>
      </c>
      <c r="N329" s="161">
        <f t="shared" si="81"/>
        <v>7.3154778040482871</v>
      </c>
      <c r="O329" s="157">
        <f t="shared" si="66"/>
        <v>3188.9550206592266</v>
      </c>
      <c r="P329" s="154">
        <f t="shared" si="67"/>
        <v>8.2189259468754745</v>
      </c>
    </row>
    <row r="330" spans="1:16" x14ac:dyDescent="0.2">
      <c r="A330" s="155">
        <v>50131</v>
      </c>
      <c r="B330" s="159">
        <f t="shared" si="85"/>
        <v>746.84527217756624</v>
      </c>
      <c r="C330" s="159">
        <f t="shared" si="75"/>
        <v>194.85464831167704</v>
      </c>
      <c r="D330" s="159">
        <f t="shared" si="86"/>
        <v>309.95500862445544</v>
      </c>
      <c r="E330" s="159">
        <f t="shared" si="82"/>
        <v>3.3215865721482896</v>
      </c>
      <c r="F330" s="159">
        <f t="shared" si="82"/>
        <v>81.343633142799163</v>
      </c>
      <c r="G330" s="159">
        <f t="shared" si="82"/>
        <v>277.28452875723741</v>
      </c>
      <c r="H330" s="159">
        <f t="shared" si="82"/>
        <v>210.29703156302068</v>
      </c>
      <c r="I330" s="159">
        <f t="shared" si="77"/>
        <v>1259.9430013709471</v>
      </c>
      <c r="J330" s="159">
        <f t="shared" si="83"/>
        <v>941.69992048924325</v>
      </c>
      <c r="K330" s="159">
        <f t="shared" si="84"/>
        <v>1832.1897814061526</v>
      </c>
      <c r="L330" s="159">
        <f t="shared" si="80"/>
        <v>2773.8897018953958</v>
      </c>
      <c r="M330" s="160">
        <f>'[5]Renewable Diesel'!$AC52/1000000</f>
        <v>372.00604933358062</v>
      </c>
      <c r="N330" s="161">
        <f t="shared" si="81"/>
        <v>7.4565714908792469</v>
      </c>
      <c r="O330" s="157">
        <f t="shared" si="66"/>
        <v>3083.8447105198511</v>
      </c>
      <c r="P330" s="154">
        <f t="shared" si="67"/>
        <v>8.2897703304672454</v>
      </c>
    </row>
    <row r="331" spans="1:16" x14ac:dyDescent="0.2">
      <c r="A331" s="155">
        <v>50161</v>
      </c>
      <c r="B331" s="159">
        <f t="shared" si="85"/>
        <v>695.80450870767402</v>
      </c>
      <c r="C331" s="159">
        <f t="shared" si="75"/>
        <v>282.68142252308422</v>
      </c>
      <c r="D331" s="159">
        <f t="shared" si="86"/>
        <v>284.05822341239394</v>
      </c>
      <c r="E331" s="159">
        <f t="shared" si="82"/>
        <v>3.5306988289857957</v>
      </c>
      <c r="F331" s="159">
        <f t="shared" si="82"/>
        <v>75.847372507743458</v>
      </c>
      <c r="G331" s="159">
        <f t="shared" si="82"/>
        <v>332.0094356365903</v>
      </c>
      <c r="H331" s="159">
        <f t="shared" si="82"/>
        <v>189.24360209919743</v>
      </c>
      <c r="I331" s="159">
        <f t="shared" si="77"/>
        <v>1428.2703837718504</v>
      </c>
      <c r="J331" s="159">
        <f t="shared" si="83"/>
        <v>978.4859312307583</v>
      </c>
      <c r="K331" s="159">
        <f t="shared" si="84"/>
        <v>2028.9014928443676</v>
      </c>
      <c r="L331" s="159">
        <f t="shared" si="80"/>
        <v>3007.3874240751256</v>
      </c>
      <c r="M331" s="160">
        <f>'[5]Renewable Diesel'!$AC53/1000000</f>
        <v>415.41034878232517</v>
      </c>
      <c r="N331" s="161">
        <f t="shared" si="81"/>
        <v>7.2395582654369433</v>
      </c>
      <c r="O331" s="157">
        <f t="shared" si="66"/>
        <v>3291.4456474875196</v>
      </c>
      <c r="P331" s="154">
        <f t="shared" si="67"/>
        <v>7.9233597745833615</v>
      </c>
    </row>
    <row r="332" spans="1:16" x14ac:dyDescent="0.2">
      <c r="A332" s="155">
        <v>50192</v>
      </c>
      <c r="B332" s="159">
        <f t="shared" si="85"/>
        <v>755.63175416060847</v>
      </c>
      <c r="C332" s="159">
        <f t="shared" si="75"/>
        <v>244.22960344512134</v>
      </c>
      <c r="D332" s="159">
        <f t="shared" si="86"/>
        <v>307.97566928513237</v>
      </c>
      <c r="E332" s="159">
        <f t="shared" si="82"/>
        <v>3.3281216625133907</v>
      </c>
      <c r="F332" s="159">
        <f t="shared" si="82"/>
        <v>90.3640268364381</v>
      </c>
      <c r="G332" s="159">
        <f t="shared" si="82"/>
        <v>366.99387992836137</v>
      </c>
      <c r="H332" s="159">
        <f t="shared" si="82"/>
        <v>219.99338889417893</v>
      </c>
      <c r="I332" s="159">
        <f t="shared" si="77"/>
        <v>1375.5807663927578</v>
      </c>
      <c r="J332" s="159">
        <f t="shared" si="83"/>
        <v>999.86135760572984</v>
      </c>
      <c r="K332" s="159">
        <f t="shared" si="84"/>
        <v>2056.2601837142497</v>
      </c>
      <c r="L332" s="159">
        <f t="shared" si="80"/>
        <v>3056.1215413199793</v>
      </c>
      <c r="M332" s="160">
        <f>'[5]Renewable Diesel'!$AC54/1000000</f>
        <v>415.86089526614876</v>
      </c>
      <c r="N332" s="161">
        <f t="shared" si="81"/>
        <v>7.3489033859845803</v>
      </c>
      <c r="O332" s="157">
        <f t="shared" si="66"/>
        <v>3364.0972106051117</v>
      </c>
      <c r="P332" s="154">
        <f t="shared" si="67"/>
        <v>8.0894771518541244</v>
      </c>
    </row>
    <row r="333" spans="1:16" x14ac:dyDescent="0.2">
      <c r="A333" s="155">
        <v>50222</v>
      </c>
      <c r="B333" s="159">
        <f t="shared" si="85"/>
        <v>885.93806376013424</v>
      </c>
      <c r="C333" s="159">
        <f t="shared" si="75"/>
        <v>340.71893384596353</v>
      </c>
      <c r="D333" s="159">
        <f t="shared" si="86"/>
        <v>327.50434311116982</v>
      </c>
      <c r="E333" s="159">
        <f t="shared" si="82"/>
        <v>3.1898418739063277</v>
      </c>
      <c r="F333" s="159">
        <f t="shared" si="82"/>
        <v>91.018711246719747</v>
      </c>
      <c r="G333" s="159">
        <f t="shared" si="82"/>
        <v>403.69451348983461</v>
      </c>
      <c r="H333" s="159">
        <f t="shared" si="82"/>
        <v>223.06681052364573</v>
      </c>
      <c r="I333" s="159">
        <f t="shared" si="77"/>
        <v>1029.8334210022385</v>
      </c>
      <c r="J333" s="159">
        <f t="shared" si="83"/>
        <v>1226.6569976060978</v>
      </c>
      <c r="K333" s="159">
        <f t="shared" si="84"/>
        <v>1750.8032981363449</v>
      </c>
      <c r="L333" s="159">
        <f t="shared" si="80"/>
        <v>2977.4602957424427</v>
      </c>
      <c r="M333" s="160">
        <f>'[5]Renewable Diesel'!$AC55/1000000</f>
        <v>405.22957833277349</v>
      </c>
      <c r="N333" s="161">
        <f t="shared" si="81"/>
        <v>7.3475887618878604</v>
      </c>
      <c r="O333" s="157">
        <f t="shared" si="66"/>
        <v>3304.9646388536125</v>
      </c>
      <c r="P333" s="154">
        <f t="shared" si="67"/>
        <v>8.1557833276908127</v>
      </c>
    </row>
    <row r="334" spans="1:16" x14ac:dyDescent="0.2">
      <c r="A334" s="155">
        <v>50253</v>
      </c>
      <c r="B334" s="159">
        <f t="shared" si="85"/>
        <v>924.51288117497131</v>
      </c>
      <c r="C334" s="159">
        <f t="shared" si="75"/>
        <v>266.20695076675293</v>
      </c>
      <c r="D334" s="159">
        <f t="shared" si="86"/>
        <v>316.2211841184594</v>
      </c>
      <c r="E334" s="159">
        <f t="shared" si="82"/>
        <v>3.2436569669470035</v>
      </c>
      <c r="F334" s="159">
        <f t="shared" si="82"/>
        <v>70.003961232545791</v>
      </c>
      <c r="G334" s="159">
        <f t="shared" si="82"/>
        <v>427.05426828765917</v>
      </c>
      <c r="H334" s="159">
        <f>$L334*(AVERAGE(H322/$L322,H310/$L310,H298/$L298,H286/$L286))-5</f>
        <v>234.59665509701389</v>
      </c>
      <c r="I334" s="159">
        <f t="shared" si="77"/>
        <v>1128.2709921524679</v>
      </c>
      <c r="J334" s="159">
        <f t="shared" si="83"/>
        <v>1190.7198319417244</v>
      </c>
      <c r="K334" s="159">
        <f t="shared" si="84"/>
        <v>1863.1695337366336</v>
      </c>
      <c r="L334" s="159">
        <f t="shared" si="80"/>
        <v>3053.889365678358</v>
      </c>
      <c r="M334" s="160">
        <f>'[5]Renewable Diesel'!$AC56/1000000</f>
        <v>416.46855418677683</v>
      </c>
      <c r="N334" s="161">
        <f t="shared" si="81"/>
        <v>7.33282101368152</v>
      </c>
      <c r="O334" s="157">
        <f t="shared" si="66"/>
        <v>3370.1105497968174</v>
      </c>
      <c r="P334" s="154">
        <f t="shared" si="67"/>
        <v>8.0921128760309671</v>
      </c>
    </row>
    <row r="335" spans="1:16" x14ac:dyDescent="0.2">
      <c r="A335" s="155">
        <v>50284</v>
      </c>
      <c r="B335" s="159">
        <f t="shared" si="85"/>
        <v>922.06853265889367</v>
      </c>
      <c r="C335" s="159">
        <f t="shared" si="75"/>
        <v>205.97883699082456</v>
      </c>
      <c r="D335" s="159">
        <f t="shared" si="86"/>
        <v>359.04675403912398</v>
      </c>
      <c r="E335" s="159">
        <f t="shared" si="82"/>
        <v>3.9127206054122201</v>
      </c>
      <c r="F335" s="159">
        <f t="shared" si="82"/>
        <v>81.363609159077058</v>
      </c>
      <c r="G335" s="159">
        <f t="shared" si="82"/>
        <v>430.53768938369905</v>
      </c>
      <c r="H335" s="159">
        <f>$L335*(AVERAGE(H323/$L323,H311/$L311,H299/$L299,H287/$L287))</f>
        <v>209.50190730629885</v>
      </c>
      <c r="I335" s="159">
        <f t="shared" si="77"/>
        <v>1257.3222445500278</v>
      </c>
      <c r="J335" s="159">
        <f t="shared" si="83"/>
        <v>1128.0473696497183</v>
      </c>
      <c r="K335" s="159">
        <f t="shared" si="84"/>
        <v>1982.638171004515</v>
      </c>
      <c r="L335" s="159">
        <f t="shared" si="80"/>
        <v>3110.6855406542331</v>
      </c>
      <c r="M335" s="160">
        <f>'[5]Renewable Diesel'!$AC57/1000000</f>
        <v>421.93643803856435</v>
      </c>
      <c r="N335" s="161">
        <f t="shared" si="81"/>
        <v>7.3724031873490885</v>
      </c>
      <c r="O335" s="157">
        <f t="shared" si="66"/>
        <v>3469.7322946933573</v>
      </c>
      <c r="P335" s="154">
        <f t="shared" si="67"/>
        <v>8.2233530501014211</v>
      </c>
    </row>
    <row r="336" spans="1:16" x14ac:dyDescent="0.2">
      <c r="A336" s="155">
        <v>50314</v>
      </c>
      <c r="B336" s="159">
        <f t="shared" si="75"/>
        <v>931.23797207906784</v>
      </c>
      <c r="C336" s="159">
        <f t="shared" si="75"/>
        <v>308.27230214774318</v>
      </c>
      <c r="D336" s="159">
        <f>$L336*(AVERAGE(D324/$L324,D312/$L312,D300/$L300,D288/$L288))*0.89</f>
        <v>394.53359535945702</v>
      </c>
      <c r="E336" s="159">
        <f t="shared" si="82"/>
        <v>5.1422380984253993</v>
      </c>
      <c r="F336" s="159">
        <f t="shared" si="82"/>
        <v>81.572793965327989</v>
      </c>
      <c r="G336" s="159">
        <f t="shared" si="82"/>
        <v>508.29910239271516</v>
      </c>
      <c r="H336" s="159">
        <f>$L336*(AVERAGE(H324/$L324,H312/$L312,H300/$L300,H288/$L288))-10</f>
        <v>233.33723559863685</v>
      </c>
      <c r="I336" s="159">
        <f t="shared" si="77"/>
        <v>1379.1352259392002</v>
      </c>
      <c r="J336" s="159">
        <f t="shared" si="83"/>
        <v>1239.5102742268109</v>
      </c>
      <c r="K336" s="159">
        <f t="shared" si="84"/>
        <v>2207.4865959943054</v>
      </c>
      <c r="L336" s="159">
        <f t="shared" si="80"/>
        <v>3446.9968702211168</v>
      </c>
      <c r="M336" s="160">
        <f>'[5]Renewable Diesel'!$AC58/1000000</f>
        <v>458.99830558736232</v>
      </c>
      <c r="N336" s="161">
        <f t="shared" si="81"/>
        <v>7.5098248256279039</v>
      </c>
      <c r="O336" s="157">
        <f t="shared" si="66"/>
        <v>3841.5304655805735</v>
      </c>
      <c r="P336" s="154">
        <f t="shared" si="67"/>
        <v>8.3693783153833561</v>
      </c>
    </row>
    <row r="337" spans="1:16" x14ac:dyDescent="0.2">
      <c r="A337" s="155">
        <v>50345</v>
      </c>
      <c r="B337" s="159">
        <f t="shared" ref="B337:C352" si="87">$L337*(AVERAGE(B325/$L325,B313/$L313,B301/$L301,B289/$L289))</f>
        <v>1358.5133550074972</v>
      </c>
      <c r="C337" s="159">
        <f t="shared" si="87"/>
        <v>408.98743911967921</v>
      </c>
      <c r="D337" s="159">
        <f>$L337*(AVERAGE(D325/$L325,D313/$L313,D301/$L301,D289/$L289))*0.89</f>
        <v>453.13855750018803</v>
      </c>
      <c r="E337" s="159">
        <f t="shared" si="82"/>
        <v>5.8598029847991766</v>
      </c>
      <c r="F337" s="159">
        <f t="shared" si="82"/>
        <v>38.681293448195134</v>
      </c>
      <c r="G337" s="159">
        <f t="shared" si="82"/>
        <v>687.74705993729674</v>
      </c>
      <c r="H337" s="159">
        <f>$L337*(AVERAGE(H325/$L325,H313/$L313,H301/$L301,H289/$L289))-10</f>
        <v>234.52961406399609</v>
      </c>
      <c r="I337" s="159">
        <f t="shared" si="77"/>
        <v>1459.400188053934</v>
      </c>
      <c r="J337" s="159">
        <f t="shared" si="83"/>
        <v>1767.5007941271765</v>
      </c>
      <c r="K337" s="159">
        <f t="shared" si="84"/>
        <v>2426.217958488221</v>
      </c>
      <c r="L337" s="159">
        <f t="shared" si="80"/>
        <v>4193.7187526153975</v>
      </c>
      <c r="M337" s="160">
        <f>'[5]Renewable Diesel'!$AC59/1000000</f>
        <v>555.04404536868401</v>
      </c>
      <c r="N337" s="161">
        <f t="shared" si="81"/>
        <v>7.5556503805562851</v>
      </c>
      <c r="O337" s="157">
        <f t="shared" si="66"/>
        <v>4646.8573101155853</v>
      </c>
      <c r="P337" s="154">
        <f t="shared" si="67"/>
        <v>8.3720514594998381</v>
      </c>
    </row>
    <row r="338" spans="1:16" x14ac:dyDescent="0.2">
      <c r="A338" s="155">
        <v>50375</v>
      </c>
      <c r="B338" s="159">
        <f t="shared" si="87"/>
        <v>1656.2134519354865</v>
      </c>
      <c r="C338" s="159">
        <f t="shared" si="87"/>
        <v>515.59090610824114</v>
      </c>
      <c r="D338" s="159">
        <f t="shared" ref="D338:D346" si="88">$L338*(AVERAGE(D326/$L326,D314/$L314,D302/$L302,D290/$L290))*0.89</f>
        <v>474.7427672090152</v>
      </c>
      <c r="E338" s="159">
        <f t="shared" si="82"/>
        <v>6.3183336501339129</v>
      </c>
      <c r="F338" s="159">
        <f t="shared" si="82"/>
        <v>37.37563163534206</v>
      </c>
      <c r="G338" s="159">
        <f t="shared" si="82"/>
        <v>781.34686116413025</v>
      </c>
      <c r="H338" s="159">
        <f>$L338*(AVERAGE(H326/$L326,H314/$L314,H302/$L302,H290/$L290))-15</f>
        <v>214.71151018365794</v>
      </c>
      <c r="I338" s="159">
        <f t="shared" si="77"/>
        <v>1548.2116039873513</v>
      </c>
      <c r="J338" s="159">
        <f t="shared" si="83"/>
        <v>2171.8043580437279</v>
      </c>
      <c r="K338" s="159">
        <f t="shared" si="84"/>
        <v>2587.9639406206152</v>
      </c>
      <c r="L338" s="159">
        <f t="shared" si="80"/>
        <v>4759.7682986643431</v>
      </c>
      <c r="M338" s="160">
        <f>'[5]Renewable Diesel'!$AC60/1000000</f>
        <v>628.43828786428332</v>
      </c>
      <c r="N338" s="161">
        <f t="shared" si="81"/>
        <v>7.5739629341174961</v>
      </c>
      <c r="O338" s="157">
        <f t="shared" si="66"/>
        <v>5234.5110658733583</v>
      </c>
      <c r="P338" s="154">
        <f t="shared" si="67"/>
        <v>8.3293955300887017</v>
      </c>
    </row>
    <row r="339" spans="1:16" x14ac:dyDescent="0.2">
      <c r="A339" s="155">
        <v>50406</v>
      </c>
      <c r="B339" s="159">
        <f t="shared" si="87"/>
        <v>1067.6004060401642</v>
      </c>
      <c r="C339" s="159">
        <f t="shared" si="87"/>
        <v>265.04670160240084</v>
      </c>
      <c r="D339" s="159">
        <f t="shared" si="88"/>
        <v>392.36838999167009</v>
      </c>
      <c r="E339" s="159">
        <f t="shared" ref="E339:H354" si="89">$L339*(AVERAGE(E327/$L327,E315/$L315,E303/$L303,E291/$L291))</f>
        <v>3.5115521469661934</v>
      </c>
      <c r="F339" s="159">
        <f t="shared" si="89"/>
        <v>56.393756827381445</v>
      </c>
      <c r="G339" s="159">
        <f t="shared" si="89"/>
        <v>543.78035860526427</v>
      </c>
      <c r="H339" s="159">
        <f>$L339*(AVERAGE(H327/$L327,H315/$L315,H303/$L303,H291/$L291))-15</f>
        <v>137.25110178072123</v>
      </c>
      <c r="I339" s="159">
        <f t="shared" si="77"/>
        <v>540.21695802098748</v>
      </c>
      <c r="J339" s="159">
        <f t="shared" si="83"/>
        <v>1332.6471076425651</v>
      </c>
      <c r="K339" s="159">
        <f t="shared" si="84"/>
        <v>1281.1537273813206</v>
      </c>
      <c r="L339" s="159">
        <f t="shared" si="80"/>
        <v>2613.8008350238856</v>
      </c>
      <c r="M339" s="160">
        <f>'[5]Renewable Diesel'!$AD49/1000000</f>
        <v>367.13890577510347</v>
      </c>
      <c r="N339" s="161">
        <f t="shared" si="81"/>
        <v>7.1193785074497367</v>
      </c>
      <c r="O339" s="157">
        <f t="shared" si="66"/>
        <v>3006.1692250155556</v>
      </c>
      <c r="P339" s="154">
        <f t="shared" si="67"/>
        <v>8.1880976865389208</v>
      </c>
    </row>
    <row r="340" spans="1:16" x14ac:dyDescent="0.2">
      <c r="A340" s="155">
        <v>50437</v>
      </c>
      <c r="B340" s="159">
        <f t="shared" si="87"/>
        <v>785.7680911313663</v>
      </c>
      <c r="C340" s="159">
        <f t="shared" si="87"/>
        <v>240.19837843655657</v>
      </c>
      <c r="D340" s="159">
        <f t="shared" si="88"/>
        <v>371.18398675500185</v>
      </c>
      <c r="E340" s="159">
        <f t="shared" si="89"/>
        <v>3.8002225654226822</v>
      </c>
      <c r="F340" s="159">
        <f t="shared" si="89"/>
        <v>55.531454088245304</v>
      </c>
      <c r="G340" s="159">
        <f t="shared" si="89"/>
        <v>629.75970246156066</v>
      </c>
      <c r="H340" s="159">
        <f>$L340*(AVERAGE(H328/$L328,H316/$L316,H304/$L304,H292/$L292))-15</f>
        <v>95.802336837868111</v>
      </c>
      <c r="I340" s="159">
        <f t="shared" si="77"/>
        <v>1144.2528731450861</v>
      </c>
      <c r="J340" s="159">
        <f t="shared" si="83"/>
        <v>1025.9664695679228</v>
      </c>
      <c r="K340" s="159">
        <f t="shared" si="84"/>
        <v>1929.1465890981829</v>
      </c>
      <c r="L340" s="159">
        <f t="shared" si="80"/>
        <v>2955.1130586661056</v>
      </c>
      <c r="M340" s="160">
        <f>'[5]Renewable Diesel'!$AD50/1000000</f>
        <v>400.78788250954102</v>
      </c>
      <c r="N340" s="161">
        <f t="shared" si="81"/>
        <v>7.3732594911867313</v>
      </c>
      <c r="O340" s="157">
        <f t="shared" si="66"/>
        <v>3326.2970454211077</v>
      </c>
      <c r="P340" s="154">
        <f t="shared" si="67"/>
        <v>8.2993952426740911</v>
      </c>
    </row>
    <row r="341" spans="1:16" x14ac:dyDescent="0.2">
      <c r="A341" s="155">
        <v>50465</v>
      </c>
      <c r="B341" s="159">
        <f t="shared" si="87"/>
        <v>907.80835171354124</v>
      </c>
      <c r="C341" s="159">
        <f t="shared" si="87"/>
        <v>268.64653894096637</v>
      </c>
      <c r="D341" s="159">
        <f t="shared" si="88"/>
        <v>358.26679198317282</v>
      </c>
      <c r="E341" s="159">
        <f t="shared" si="89"/>
        <v>3.8843170646723388</v>
      </c>
      <c r="F341" s="159">
        <f t="shared" si="89"/>
        <v>82.761815679766798</v>
      </c>
      <c r="G341" s="159">
        <f t="shared" si="89"/>
        <v>556.87882974134959</v>
      </c>
      <c r="H341" s="159">
        <f>$L341*(AVERAGE(H329/$L329,H317/$L317,H305/$L305,H293/$L293))-15</f>
        <v>165.47555730249502</v>
      </c>
      <c r="I341" s="159">
        <f t="shared" si="77"/>
        <v>1144.5104594139227</v>
      </c>
      <c r="J341" s="159">
        <f t="shared" si="83"/>
        <v>1176.4548906545076</v>
      </c>
      <c r="K341" s="159">
        <f t="shared" si="84"/>
        <v>1953.5109792022065</v>
      </c>
      <c r="L341" s="159">
        <f t="shared" si="80"/>
        <v>3129.9658698567141</v>
      </c>
      <c r="M341" s="160">
        <f>'[5]Renewable Diesel'!$AD51/1000000</f>
        <v>428.00544627289241</v>
      </c>
      <c r="N341" s="161">
        <f t="shared" si="81"/>
        <v>7.3129113124908134</v>
      </c>
      <c r="O341" s="157">
        <f t="shared" si="66"/>
        <v>3488.232661839887</v>
      </c>
      <c r="P341" s="154">
        <f t="shared" si="67"/>
        <v>8.1499726048248018</v>
      </c>
    </row>
    <row r="342" spans="1:16" x14ac:dyDescent="0.2">
      <c r="A342" s="155">
        <v>50496</v>
      </c>
      <c r="B342" s="159">
        <f t="shared" si="87"/>
        <v>834.93931902882093</v>
      </c>
      <c r="C342" s="159">
        <f t="shared" si="87"/>
        <v>215.02825013715116</v>
      </c>
      <c r="D342" s="159">
        <f t="shared" si="88"/>
        <v>317.03668834586057</v>
      </c>
      <c r="E342" s="159">
        <f t="shared" si="89"/>
        <v>3.6650294649313704</v>
      </c>
      <c r="F342" s="159">
        <f t="shared" si="89"/>
        <v>89.593539950238068</v>
      </c>
      <c r="G342" s="159">
        <f t="shared" si="89"/>
        <v>305.77271822750038</v>
      </c>
      <c r="H342" s="159">
        <f>$L342*(AVERAGE(H330/$L330,H318/$L318,H306/$L306,H294/$L294))-15</f>
        <v>216.84178938688339</v>
      </c>
      <c r="I342" s="159">
        <f t="shared" si="77"/>
        <v>1393.0923443116665</v>
      </c>
      <c r="J342" s="159">
        <f t="shared" si="83"/>
        <v>1049.967569165972</v>
      </c>
      <c r="K342" s="159">
        <f t="shared" si="84"/>
        <v>2008.9654213412196</v>
      </c>
      <c r="L342" s="159">
        <f t="shared" si="80"/>
        <v>3058.9329905071918</v>
      </c>
      <c r="M342" s="160">
        <f>'[5]Renewable Diesel'!$AD52/1000000</f>
        <v>410.35986985578813</v>
      </c>
      <c r="N342" s="161">
        <f t="shared" si="81"/>
        <v>7.454269326048343</v>
      </c>
      <c r="O342" s="157">
        <f t="shared" si="66"/>
        <v>3375.9696788530528</v>
      </c>
      <c r="P342" s="154">
        <f t="shared" si="67"/>
        <v>8.2268514219956792</v>
      </c>
    </row>
    <row r="343" spans="1:16" x14ac:dyDescent="0.2">
      <c r="A343" s="155">
        <v>50526</v>
      </c>
      <c r="B343" s="159">
        <f t="shared" si="87"/>
        <v>758.12898685077232</v>
      </c>
      <c r="C343" s="159">
        <f t="shared" si="87"/>
        <v>312.20768261251936</v>
      </c>
      <c r="D343" s="159">
        <f t="shared" si="88"/>
        <v>291.1790563955098</v>
      </c>
      <c r="E343" s="159">
        <f t="shared" si="89"/>
        <v>3.8957028091986192</v>
      </c>
      <c r="F343" s="159">
        <f t="shared" si="89"/>
        <v>83.59012183048921</v>
      </c>
      <c r="G343" s="159">
        <f t="shared" si="89"/>
        <v>366.07790905025144</v>
      </c>
      <c r="H343" s="159">
        <f>$L343*(AVERAGE(H331/$L331,H319/$L319,H307/$L307,H295/$L295))-10</f>
        <v>198.64900525650015</v>
      </c>
      <c r="I343" s="159">
        <f t="shared" si="77"/>
        <v>1593.6892398978957</v>
      </c>
      <c r="J343" s="159">
        <f t="shared" si="83"/>
        <v>1070.3366694632916</v>
      </c>
      <c r="K343" s="159">
        <f t="shared" si="84"/>
        <v>2245.9019788443352</v>
      </c>
      <c r="L343" s="159">
        <f t="shared" si="80"/>
        <v>3316.238648307627</v>
      </c>
      <c r="M343" s="160">
        <f>'[5]Renewable Diesel'!$AD53/1000000</f>
        <v>458.22361586661657</v>
      </c>
      <c r="N343" s="161">
        <f t="shared" si="81"/>
        <v>7.2371622358131464</v>
      </c>
      <c r="O343" s="157">
        <f t="shared" si="66"/>
        <v>3607.4177047031367</v>
      </c>
      <c r="P343" s="154">
        <f t="shared" si="67"/>
        <v>7.8726141119562305</v>
      </c>
    </row>
    <row r="344" spans="1:16" x14ac:dyDescent="0.2">
      <c r="A344" s="155">
        <v>50557</v>
      </c>
      <c r="B344" s="159">
        <f t="shared" si="87"/>
        <v>824.29753291940949</v>
      </c>
      <c r="C344" s="159">
        <f t="shared" si="87"/>
        <v>269.59953528443538</v>
      </c>
      <c r="D344" s="159">
        <f t="shared" si="88"/>
        <v>315.19654196657422</v>
      </c>
      <c r="E344" s="159">
        <f t="shared" si="89"/>
        <v>3.6721815553516666</v>
      </c>
      <c r="F344" s="159">
        <f t="shared" si="89"/>
        <v>99.604989669574636</v>
      </c>
      <c r="G344" s="159">
        <f t="shared" si="89"/>
        <v>404.70441837239213</v>
      </c>
      <c r="H344" s="159">
        <f>$L344*(AVERAGE(H332/$L332,H320/$L320,H308/$L308,H296/$L296))-10</f>
        <v>232.44143784666437</v>
      </c>
      <c r="I344" s="159">
        <f t="shared" si="77"/>
        <v>1536.0093868226274</v>
      </c>
      <c r="J344" s="159">
        <f t="shared" si="83"/>
        <v>1093.8970682038448</v>
      </c>
      <c r="K344" s="159">
        <f t="shared" si="84"/>
        <v>2276.4324142666101</v>
      </c>
      <c r="L344" s="159">
        <f t="shared" si="80"/>
        <v>3370.3294824704553</v>
      </c>
      <c r="M344" s="160">
        <f>'[5]Renewable Diesel'!$AD54/1000000</f>
        <v>458.73248028835752</v>
      </c>
      <c r="N344" s="161">
        <f t="shared" si="81"/>
        <v>7.347047848785154</v>
      </c>
      <c r="O344" s="157">
        <f t="shared" ref="O344:O407" si="90">SUM(D344:I344,B344:C344)</f>
        <v>3685.5260244370293</v>
      </c>
      <c r="P344" s="154">
        <f t="shared" si="67"/>
        <v>8.0341510200461972</v>
      </c>
    </row>
    <row r="345" spans="1:16" x14ac:dyDescent="0.2">
      <c r="A345" s="155">
        <v>50587</v>
      </c>
      <c r="B345" s="159">
        <f t="shared" si="87"/>
        <v>966.21337385094887</v>
      </c>
      <c r="C345" s="159">
        <f t="shared" si="87"/>
        <v>376.41679317272008</v>
      </c>
      <c r="D345" s="159">
        <f t="shared" si="88"/>
        <v>334.66817529004504</v>
      </c>
      <c r="E345" s="159">
        <f t="shared" si="89"/>
        <v>3.5193088980615759</v>
      </c>
      <c r="F345" s="159">
        <f t="shared" si="89"/>
        <v>100.29024268731501</v>
      </c>
      <c r="G345" s="159">
        <f t="shared" si="89"/>
        <v>445.20849263199085</v>
      </c>
      <c r="H345" s="159">
        <f>$L345*(AVERAGE(H333/$L333,H321/$L321,H309/$L309,H297/$L297))-10</f>
        <v>237.74698424527031</v>
      </c>
      <c r="I345" s="159">
        <f t="shared" si="77"/>
        <v>1154.1120314641698</v>
      </c>
      <c r="J345" s="159">
        <f t="shared" si="83"/>
        <v>1342.6301670236689</v>
      </c>
      <c r="K345" s="159">
        <f t="shared" si="84"/>
        <v>1940.8770599268075</v>
      </c>
      <c r="L345" s="159">
        <f t="shared" si="80"/>
        <v>3283.5072269504767</v>
      </c>
      <c r="M345" s="160">
        <f>'[5]Renewable Diesel'!$AD55/1000000</f>
        <v>447.02094442079215</v>
      </c>
      <c r="N345" s="161">
        <f t="shared" si="81"/>
        <v>7.3453095832118951</v>
      </c>
      <c r="O345" s="157">
        <f t="shared" si="90"/>
        <v>3618.1754022405216</v>
      </c>
      <c r="P345" s="154">
        <f t="shared" si="67"/>
        <v>8.0939728829230013</v>
      </c>
    </row>
    <row r="346" spans="1:16" x14ac:dyDescent="0.2">
      <c r="A346" s="155">
        <v>50618</v>
      </c>
      <c r="B346" s="159">
        <f t="shared" si="87"/>
        <v>1008.9536569279728</v>
      </c>
      <c r="C346" s="159">
        <f t="shared" si="87"/>
        <v>294.05528403202027</v>
      </c>
      <c r="D346" s="159">
        <f t="shared" si="88"/>
        <v>322.90751893756578</v>
      </c>
      <c r="E346" s="159">
        <f t="shared" si="89"/>
        <v>3.5790423796915256</v>
      </c>
      <c r="F346" s="159">
        <f t="shared" si="89"/>
        <v>77.176142346321825</v>
      </c>
      <c r="G346" s="159">
        <f t="shared" si="89"/>
        <v>471.10884928032488</v>
      </c>
      <c r="H346" s="159">
        <f>$L346*(AVERAGE(H334/$L334,H322/$L322,H310/$L310,H298/$L298))</f>
        <v>264.69525488733547</v>
      </c>
      <c r="I346" s="159">
        <f t="shared" si="77"/>
        <v>1248.2016732729194</v>
      </c>
      <c r="J346" s="159">
        <f t="shared" si="83"/>
        <v>1303.0089409599932</v>
      </c>
      <c r="K346" s="159">
        <f t="shared" si="84"/>
        <v>2064.7609621665933</v>
      </c>
      <c r="L346" s="159">
        <f t="shared" si="80"/>
        <v>3367.7699031265861</v>
      </c>
      <c r="M346" s="160">
        <f>'[5]Renewable Diesel'!$AD56/1000000</f>
        <v>459.41334634739809</v>
      </c>
      <c r="N346" s="161">
        <f t="shared" si="81"/>
        <v>7.330587867989264</v>
      </c>
      <c r="O346" s="157">
        <f t="shared" si="90"/>
        <v>3690.6774220641514</v>
      </c>
      <c r="P346" s="154">
        <f t="shared" ref="P346:P409" si="91">O346/M346</f>
        <v>8.0334571283293617</v>
      </c>
    </row>
    <row r="347" spans="1:16" x14ac:dyDescent="0.2">
      <c r="A347" s="155">
        <v>50649</v>
      </c>
      <c r="B347" s="159">
        <f t="shared" si="87"/>
        <v>1005.9368665126558</v>
      </c>
      <c r="C347" s="159">
        <f t="shared" si="87"/>
        <v>227.27437232388422</v>
      </c>
      <c r="D347" s="159">
        <f>$L347*(AVERAGE(D335/$L335,D323/$L323,D311/$L311,D299/$L299))*0.9075</f>
        <v>373.62851470256709</v>
      </c>
      <c r="E347" s="159">
        <f t="shared" si="89"/>
        <v>4.3121320145479709</v>
      </c>
      <c r="F347" s="159">
        <f t="shared" si="89"/>
        <v>89.627228472589536</v>
      </c>
      <c r="G347" s="159">
        <f t="shared" si="89"/>
        <v>475.76564127376469</v>
      </c>
      <c r="H347" s="159">
        <f>$L347*(AVERAGE(H335/$L335,H323/$L323,H311/$L311,H299/$L299))</f>
        <v>232.90519040299799</v>
      </c>
      <c r="I347" s="159">
        <f t="shared" si="77"/>
        <v>1394.3211117116894</v>
      </c>
      <c r="J347" s="159">
        <f t="shared" si="83"/>
        <v>1233.2112388365399</v>
      </c>
      <c r="K347" s="159">
        <f t="shared" si="84"/>
        <v>2196.9313038755895</v>
      </c>
      <c r="L347" s="159">
        <f t="shared" si="80"/>
        <v>3430.1425427121294</v>
      </c>
      <c r="M347" s="160">
        <f>'[5]Renewable Diesel'!$AD57/1000000</f>
        <v>465.43535269876645</v>
      </c>
      <c r="N347" s="161">
        <f t="shared" si="81"/>
        <v>7.3697507566257983</v>
      </c>
      <c r="O347" s="157">
        <f t="shared" si="90"/>
        <v>3803.7710574146963</v>
      </c>
      <c r="P347" s="154">
        <f t="shared" si="91"/>
        <v>8.1725013696510675</v>
      </c>
    </row>
    <row r="348" spans="1:16" x14ac:dyDescent="0.2">
      <c r="A348" s="155">
        <v>50679</v>
      </c>
      <c r="B348" s="159">
        <f t="shared" si="87"/>
        <v>1010.306196821689</v>
      </c>
      <c r="C348" s="159">
        <f t="shared" si="87"/>
        <v>340.6696139034114</v>
      </c>
      <c r="D348" s="159">
        <f t="shared" ref="D348:D359" si="92">$L348*(AVERAGE(D336/$L336,D324/$L324,D312/$L312,D300/$L300))*0.9075</f>
        <v>429.48756092725574</v>
      </c>
      <c r="E348" s="159">
        <f t="shared" si="89"/>
        <v>5.6680642483474282</v>
      </c>
      <c r="F348" s="159">
        <f t="shared" si="89"/>
        <v>89.975141376980929</v>
      </c>
      <c r="G348" s="159">
        <f t="shared" si="89"/>
        <v>559.89139897722271</v>
      </c>
      <c r="H348" s="159">
        <f t="shared" ref="H348:H353" si="93">$L348*(AVERAGE(H336/$L336,H324/$L324,H312/$L312,H300/$L300))-25</f>
        <v>241.51521399526632</v>
      </c>
      <c r="I348" s="159">
        <f t="shared" si="77"/>
        <v>1555.4397222476782</v>
      </c>
      <c r="J348" s="159">
        <f t="shared" si="83"/>
        <v>1350.9758107251005</v>
      </c>
      <c r="K348" s="159">
        <f t="shared" si="84"/>
        <v>2452.4895408454959</v>
      </c>
      <c r="L348" s="159">
        <f t="shared" si="80"/>
        <v>3803.4653515705963</v>
      </c>
      <c r="M348" s="160">
        <f>'[5]Renewable Diesel'!$AD58/1000000</f>
        <v>506.32540438053087</v>
      </c>
      <c r="N348" s="161">
        <f t="shared" si="81"/>
        <v>7.5118991041422971</v>
      </c>
      <c r="O348" s="157">
        <f t="shared" si="90"/>
        <v>4232.9529124978517</v>
      </c>
      <c r="P348" s="154">
        <f t="shared" si="91"/>
        <v>8.3601432515058232</v>
      </c>
    </row>
    <row r="349" spans="1:16" x14ac:dyDescent="0.2">
      <c r="A349" s="155">
        <v>50710</v>
      </c>
      <c r="B349" s="159">
        <f t="shared" si="87"/>
        <v>1481.5386044275619</v>
      </c>
      <c r="C349" s="159">
        <f t="shared" si="87"/>
        <v>451.92692006450733</v>
      </c>
      <c r="D349" s="159">
        <f t="shared" si="92"/>
        <v>492.9927108229619</v>
      </c>
      <c r="E349" s="159">
        <f t="shared" si="89"/>
        <v>6.458818024882321</v>
      </c>
      <c r="F349" s="159">
        <f t="shared" si="89"/>
        <v>42.685288600847215</v>
      </c>
      <c r="G349" s="159">
        <f t="shared" si="89"/>
        <v>758.09741807323405</v>
      </c>
      <c r="H349" s="159">
        <f t="shared" si="93"/>
        <v>241.80791787418963</v>
      </c>
      <c r="I349" s="159">
        <f t="shared" si="77"/>
        <v>1644.4674792257561</v>
      </c>
      <c r="J349" s="159">
        <f t="shared" si="83"/>
        <v>1933.4655244920693</v>
      </c>
      <c r="K349" s="159">
        <f t="shared" si="84"/>
        <v>2693.5169217989092</v>
      </c>
      <c r="L349" s="159">
        <f t="shared" si="80"/>
        <v>4626.9824462909783</v>
      </c>
      <c r="M349" s="160">
        <f>'[5]Renewable Diesel'!$AD59/1000000</f>
        <v>612.26692157508739</v>
      </c>
      <c r="N349" s="161">
        <f t="shared" si="81"/>
        <v>7.557132817804094</v>
      </c>
      <c r="O349" s="157">
        <f t="shared" si="90"/>
        <v>5119.9751571139404</v>
      </c>
      <c r="P349" s="154">
        <f t="shared" si="91"/>
        <v>8.3623252811740141</v>
      </c>
    </row>
    <row r="350" spans="1:16" x14ac:dyDescent="0.2">
      <c r="A350" s="155">
        <v>50740</v>
      </c>
      <c r="B350" s="159">
        <f t="shared" si="87"/>
        <v>1836.6546925033806</v>
      </c>
      <c r="C350" s="159">
        <f t="shared" si="87"/>
        <v>569.59642303780129</v>
      </c>
      <c r="D350" s="159">
        <f t="shared" si="92"/>
        <v>516.44544246012651</v>
      </c>
      <c r="E350" s="159">
        <f t="shared" si="89"/>
        <v>6.9647964835352969</v>
      </c>
      <c r="F350" s="159">
        <f t="shared" si="89"/>
        <v>41.249085827761121</v>
      </c>
      <c r="G350" s="159">
        <f t="shared" si="89"/>
        <v>860.7684824444857</v>
      </c>
      <c r="H350" s="159">
        <f t="shared" si="93"/>
        <v>224.00934985369759</v>
      </c>
      <c r="I350" s="159">
        <f t="shared" si="77"/>
        <v>1712.1634939864016</v>
      </c>
      <c r="J350" s="159">
        <f t="shared" si="83"/>
        <v>2406.2511155411821</v>
      </c>
      <c r="K350" s="159">
        <f t="shared" si="84"/>
        <v>2845.155208595881</v>
      </c>
      <c r="L350" s="159">
        <f t="shared" si="80"/>
        <v>5251.4063241370632</v>
      </c>
      <c r="M350" s="160">
        <f>'[5]Renewable Diesel'!$AD60/1000000</f>
        <v>693.24475961271594</v>
      </c>
      <c r="N350" s="161">
        <f t="shared" si="81"/>
        <v>7.5751114614566761</v>
      </c>
      <c r="O350" s="157">
        <f t="shared" si="90"/>
        <v>5767.8517665971895</v>
      </c>
      <c r="P350" s="154">
        <f t="shared" si="91"/>
        <v>8.3200798659039616</v>
      </c>
    </row>
    <row r="351" spans="1:16" x14ac:dyDescent="0.2">
      <c r="A351" s="155">
        <v>50771</v>
      </c>
      <c r="B351" s="159">
        <f t="shared" si="87"/>
        <v>1066.0443891493305</v>
      </c>
      <c r="C351" s="159">
        <f t="shared" si="87"/>
        <v>266.02633906789316</v>
      </c>
      <c r="D351" s="159">
        <f t="shared" si="92"/>
        <v>387.93574141836325</v>
      </c>
      <c r="E351" s="159">
        <f t="shared" si="89"/>
        <v>3.5222553751939345</v>
      </c>
      <c r="F351" s="159">
        <f t="shared" si="89"/>
        <v>56.551207007989007</v>
      </c>
      <c r="G351" s="159">
        <f t="shared" si="89"/>
        <v>545.41554694148249</v>
      </c>
      <c r="H351" s="159">
        <f t="shared" si="93"/>
        <v>123.94293795017339</v>
      </c>
      <c r="I351" s="159">
        <f t="shared" si="77"/>
        <v>561.9424985916603</v>
      </c>
      <c r="J351" s="159">
        <f t="shared" si="83"/>
        <v>1332.0707282172236</v>
      </c>
      <c r="K351" s="159">
        <f t="shared" si="84"/>
        <v>1291.3744458664992</v>
      </c>
      <c r="L351" s="159">
        <f t="shared" si="80"/>
        <v>2623.445174083723</v>
      </c>
      <c r="M351" s="160">
        <f>'[5]Renewable Diesel'!$AE49/1000000</f>
        <v>368.53790728145384</v>
      </c>
      <c r="N351" s="161">
        <f t="shared" si="81"/>
        <v>7.118521927461285</v>
      </c>
      <c r="O351" s="157">
        <f t="shared" si="90"/>
        <v>3011.3809155020863</v>
      </c>
      <c r="P351" s="154">
        <f t="shared" si="91"/>
        <v>8.1711564970772006</v>
      </c>
    </row>
    <row r="352" spans="1:16" x14ac:dyDescent="0.2">
      <c r="A352" s="155">
        <v>50802</v>
      </c>
      <c r="B352" s="159">
        <f>$L352*(AVERAGE(B340/$L340,B328/$L328,B316/$L316,B304/$L304))-200</f>
        <v>580.1470429588793</v>
      </c>
      <c r="C352" s="159">
        <f t="shared" si="87"/>
        <v>241.00011858701006</v>
      </c>
      <c r="D352" s="159">
        <f t="shared" si="92"/>
        <v>367.40707264394206</v>
      </c>
      <c r="E352" s="159">
        <f t="shared" si="89"/>
        <v>3.8087542764565563</v>
      </c>
      <c r="F352" s="159">
        <f t="shared" si="89"/>
        <v>55.65493767818618</v>
      </c>
      <c r="G352" s="159">
        <f t="shared" si="89"/>
        <v>630.95435637644948</v>
      </c>
      <c r="H352" s="159">
        <f t="shared" si="93"/>
        <v>82.23057855153634</v>
      </c>
      <c r="I352" s="159">
        <f t="shared" si="77"/>
        <v>1369.9198881998732</v>
      </c>
      <c r="J352" s="159">
        <f t="shared" si="83"/>
        <v>821.14716154588939</v>
      </c>
      <c r="K352" s="159">
        <f t="shared" si="84"/>
        <v>2142.568515082502</v>
      </c>
      <c r="L352" s="159">
        <f t="shared" si="80"/>
        <v>2963.7156766283911</v>
      </c>
      <c r="M352" s="160">
        <f>'[5]Renewable Diesel'!$AE50/1000000</f>
        <v>401.95995389041195</v>
      </c>
      <c r="N352" s="161">
        <f t="shared" si="81"/>
        <v>7.3731615499100229</v>
      </c>
      <c r="O352" s="157">
        <f t="shared" si="90"/>
        <v>3331.1227492723333</v>
      </c>
      <c r="P352" s="154">
        <f t="shared" si="91"/>
        <v>8.2872005458048967</v>
      </c>
    </row>
    <row r="353" spans="1:16" x14ac:dyDescent="0.2">
      <c r="A353" s="155">
        <v>50830</v>
      </c>
      <c r="B353" s="159">
        <f>$L353*(AVERAGE(B341/$L341,B329/$L329,B317/$L317,B305/$L305))-200</f>
        <v>704.01965033026613</v>
      </c>
      <c r="C353" s="159">
        <f t="shared" ref="B353:C368" si="94">$L353*(AVERAGE(C341/$L341,C329/$L329,C317/$L317,C305/$L305))</f>
        <v>269.84672370053516</v>
      </c>
      <c r="D353" s="159">
        <f t="shared" si="92"/>
        <v>355.26762838273754</v>
      </c>
      <c r="E353" s="159">
        <f t="shared" si="89"/>
        <v>3.8977098456957244</v>
      </c>
      <c r="F353" s="159">
        <f t="shared" si="89"/>
        <v>83.123259022598887</v>
      </c>
      <c r="G353" s="159">
        <f t="shared" si="89"/>
        <v>558.69854991199543</v>
      </c>
      <c r="H353" s="159">
        <f t="shared" si="93"/>
        <v>151.29122770047542</v>
      </c>
      <c r="I353" s="159">
        <f t="shared" si="77"/>
        <v>1371.8642411152618</v>
      </c>
      <c r="J353" s="159">
        <f t="shared" si="83"/>
        <v>973.86637403080135</v>
      </c>
      <c r="K353" s="159">
        <f t="shared" si="84"/>
        <v>2168.8749875960275</v>
      </c>
      <c r="L353" s="159">
        <f t="shared" si="80"/>
        <v>3142.7413616268286</v>
      </c>
      <c r="M353" s="160">
        <f>'[5]Renewable Diesel'!$AE51/1000000</f>
        <v>429.76167269802204</v>
      </c>
      <c r="N353" s="161">
        <f t="shared" si="81"/>
        <v>7.3127539314915113</v>
      </c>
      <c r="O353" s="157">
        <f t="shared" si="90"/>
        <v>3498.0089900095663</v>
      </c>
      <c r="P353" s="154">
        <f t="shared" si="91"/>
        <v>8.139415895440937</v>
      </c>
    </row>
    <row r="354" spans="1:16" x14ac:dyDescent="0.2">
      <c r="A354" s="155">
        <v>50861</v>
      </c>
      <c r="B354" s="159">
        <f>$L354*(AVERAGE(B342/$L342,B330/$L330,B318/$L318,B306/$L306))-200</f>
        <v>629.54213775593212</v>
      </c>
      <c r="C354" s="159">
        <f t="shared" si="94"/>
        <v>215.7850543416377</v>
      </c>
      <c r="D354" s="159">
        <f>$L354*(AVERAGE(D342/$L342,D330/$L330,D318/$L318,D306/$L306))*0.95</f>
        <v>328.54375529469837</v>
      </c>
      <c r="E354" s="159">
        <f t="shared" si="89"/>
        <v>3.6735628007230634</v>
      </c>
      <c r="F354" s="159">
        <f t="shared" si="89"/>
        <v>89.91645297000295</v>
      </c>
      <c r="G354" s="159">
        <f t="shared" si="89"/>
        <v>306.20722498238564</v>
      </c>
      <c r="H354" s="159">
        <f t="shared" si="89"/>
        <v>228.73765281675909</v>
      </c>
      <c r="I354" s="159">
        <f t="shared" si="77"/>
        <v>1593.9892665398243</v>
      </c>
      <c r="J354" s="159">
        <f t="shared" si="83"/>
        <v>845.32719209756988</v>
      </c>
      <c r="K354" s="159">
        <f t="shared" si="84"/>
        <v>2222.524160109695</v>
      </c>
      <c r="L354" s="159">
        <f t="shared" si="80"/>
        <v>3067.8513522072649</v>
      </c>
      <c r="M354" s="160">
        <f>'[5]Renewable Diesel'!$AE52/1000000</f>
        <v>411.59704179497294</v>
      </c>
      <c r="N354" s="161">
        <f t="shared" si="81"/>
        <v>7.453531101264427</v>
      </c>
      <c r="O354" s="157">
        <f t="shared" si="90"/>
        <v>3396.3951075019627</v>
      </c>
      <c r="P354" s="154">
        <f t="shared" si="91"/>
        <v>8.2517480997684007</v>
      </c>
    </row>
    <row r="355" spans="1:16" x14ac:dyDescent="0.2">
      <c r="A355" s="155">
        <v>50891</v>
      </c>
      <c r="B355" s="159">
        <f>$L355*(AVERAGE(B343/$L343,B331/$L331,B319/$L319,B307/$L307))-200</f>
        <v>555.34086213238288</v>
      </c>
      <c r="C355" s="159">
        <f t="shared" si="94"/>
        <v>313.33422293261111</v>
      </c>
      <c r="D355" s="159">
        <f t="shared" si="92"/>
        <v>288.1425300589699</v>
      </c>
      <c r="E355" s="159">
        <f t="shared" ref="E355:H370" si="95">$L355*(AVERAGE(E343/$L343,E331/$L331,E319/$L319,E307/$L307))</f>
        <v>3.9050203112142547</v>
      </c>
      <c r="F355" s="159">
        <f t="shared" si="95"/>
        <v>83.874589000046015</v>
      </c>
      <c r="G355" s="159">
        <f t="shared" si="95"/>
        <v>366.65827727881515</v>
      </c>
      <c r="H355" s="159">
        <f t="shared" si="95"/>
        <v>206.7559066771345</v>
      </c>
      <c r="I355" s="159">
        <f t="shared" si="77"/>
        <v>1796.2331831493</v>
      </c>
      <c r="J355" s="159">
        <f t="shared" si="83"/>
        <v>868.67508506499394</v>
      </c>
      <c r="K355" s="159">
        <f t="shared" si="84"/>
        <v>2457.4269764165101</v>
      </c>
      <c r="L355" s="159">
        <f t="shared" si="80"/>
        <v>3326.1020614815038</v>
      </c>
      <c r="M355" s="160">
        <f>'[5]Renewable Diesel'!$AE53/1000000</f>
        <v>459.59940871388926</v>
      </c>
      <c r="N355" s="161">
        <f t="shared" si="81"/>
        <v>7.2369589656110191</v>
      </c>
      <c r="O355" s="157">
        <f t="shared" si="90"/>
        <v>3614.2445915404737</v>
      </c>
      <c r="P355" s="154">
        <f t="shared" si="91"/>
        <v>7.8639017435951937</v>
      </c>
    </row>
    <row r="356" spans="1:16" x14ac:dyDescent="0.2">
      <c r="A356" s="155">
        <v>50922</v>
      </c>
      <c r="B356" s="159">
        <f t="shared" si="94"/>
        <v>822.34950079395503</v>
      </c>
      <c r="C356" s="159">
        <f t="shared" si="94"/>
        <v>270.76096999879815</v>
      </c>
      <c r="D356" s="159">
        <f t="shared" si="92"/>
        <v>312.48556139111474</v>
      </c>
      <c r="E356" s="159">
        <f t="shared" si="95"/>
        <v>3.683660920356751</v>
      </c>
      <c r="F356" s="159">
        <f t="shared" si="95"/>
        <v>99.954175160404318</v>
      </c>
      <c r="G356" s="159">
        <f t="shared" si="95"/>
        <v>405.50438704603033</v>
      </c>
      <c r="H356" s="159">
        <f t="shared" si="95"/>
        <v>240.7862707249692</v>
      </c>
      <c r="I356" s="159">
        <f t="shared" si="77"/>
        <v>1539.8371025594483</v>
      </c>
      <c r="J356" s="159">
        <f t="shared" si="83"/>
        <v>1093.1104707927532</v>
      </c>
      <c r="K356" s="159">
        <f t="shared" si="84"/>
        <v>2289.7655964112091</v>
      </c>
      <c r="L356" s="159">
        <f t="shared" si="80"/>
        <v>3382.8760672039621</v>
      </c>
      <c r="M356" s="160">
        <f>'[5]Renewable Diesel'!$AE54/1000000</f>
        <v>460.46109031863699</v>
      </c>
      <c r="N356" s="161">
        <f t="shared" si="81"/>
        <v>7.3467142790784496</v>
      </c>
      <c r="O356" s="157">
        <f t="shared" si="90"/>
        <v>3695.3616285950766</v>
      </c>
      <c r="P356" s="154">
        <f t="shared" si="91"/>
        <v>8.0253504721493467</v>
      </c>
    </row>
    <row r="357" spans="1:16" x14ac:dyDescent="0.2">
      <c r="A357" s="155">
        <v>50952</v>
      </c>
      <c r="B357" s="159">
        <f t="shared" si="94"/>
        <v>964.71150836452671</v>
      </c>
      <c r="C357" s="159">
        <f t="shared" si="94"/>
        <v>377.78786385206735</v>
      </c>
      <c r="D357" s="159">
        <f t="shared" si="92"/>
        <v>331.39312518687802</v>
      </c>
      <c r="E357" s="159">
        <f t="shared" si="95"/>
        <v>3.5281305446773219</v>
      </c>
      <c r="F357" s="159">
        <f t="shared" si="95"/>
        <v>100.57310606034217</v>
      </c>
      <c r="G357" s="159">
        <f t="shared" si="95"/>
        <v>445.78884013982275</v>
      </c>
      <c r="H357" s="159">
        <f t="shared" si="95"/>
        <v>248.48197121614882</v>
      </c>
      <c r="I357" s="159">
        <f t="shared" si="77"/>
        <v>1152.8771336808009</v>
      </c>
      <c r="J357" s="159">
        <f t="shared" si="83"/>
        <v>1342.4993722165941</v>
      </c>
      <c r="K357" s="159">
        <f t="shared" si="84"/>
        <v>1951.2491816417919</v>
      </c>
      <c r="L357" s="159">
        <f t="shared" si="80"/>
        <v>3293.748553858386</v>
      </c>
      <c r="M357" s="160">
        <f>'[5]Renewable Diesel'!$AE55/1000000</f>
        <v>448.51491247089086</v>
      </c>
      <c r="N357" s="161">
        <f t="shared" si="81"/>
        <v>7.3436767926242679</v>
      </c>
      <c r="O357" s="157">
        <f t="shared" si="90"/>
        <v>3625.141679045264</v>
      </c>
      <c r="P357" s="154">
        <f t="shared" si="91"/>
        <v>8.0825443664162222</v>
      </c>
    </row>
    <row r="358" spans="1:16" x14ac:dyDescent="0.2">
      <c r="A358" s="155">
        <v>50983</v>
      </c>
      <c r="B358" s="159">
        <f t="shared" si="94"/>
        <v>1009.2900824213392</v>
      </c>
      <c r="C358" s="159">
        <f t="shared" si="94"/>
        <v>295.57271577867414</v>
      </c>
      <c r="D358" s="159">
        <f t="shared" si="92"/>
        <v>319.96791610365699</v>
      </c>
      <c r="E358" s="159">
        <f t="shared" si="95"/>
        <v>3.5926986485628927</v>
      </c>
      <c r="F358" s="159">
        <f t="shared" si="95"/>
        <v>77.496993655457871</v>
      </c>
      <c r="G358" s="159">
        <f t="shared" si="95"/>
        <v>472.06454344371684</v>
      </c>
      <c r="H358" s="159">
        <f t="shared" si="95"/>
        <v>267.96939831539214</v>
      </c>
      <c r="I358" s="159">
        <f t="shared" si="77"/>
        <v>1256.6324953307817</v>
      </c>
      <c r="J358" s="159">
        <f t="shared" si="83"/>
        <v>1304.8627982000135</v>
      </c>
      <c r="K358" s="159">
        <f t="shared" si="84"/>
        <v>2077.7561293939116</v>
      </c>
      <c r="L358" s="159">
        <f t="shared" si="80"/>
        <v>3382.6189275939246</v>
      </c>
      <c r="M358" s="160">
        <f>'[5]Renewable Diesel'!$AE56/1000000</f>
        <v>461.48017325302555</v>
      </c>
      <c r="N358" s="161">
        <f t="shared" si="81"/>
        <v>7.3299333831602427</v>
      </c>
      <c r="O358" s="157">
        <f t="shared" si="90"/>
        <v>3702.586843697582</v>
      </c>
      <c r="P358" s="154">
        <f t="shared" si="91"/>
        <v>8.023284765621959</v>
      </c>
    </row>
    <row r="359" spans="1:16" x14ac:dyDescent="0.2">
      <c r="A359" s="155">
        <v>51014</v>
      </c>
      <c r="B359" s="159">
        <f t="shared" si="94"/>
        <v>1005.6696776334801</v>
      </c>
      <c r="C359" s="159">
        <f t="shared" si="94"/>
        <v>228.32140810707625</v>
      </c>
      <c r="D359" s="159">
        <f t="shared" si="92"/>
        <v>364.90975372233584</v>
      </c>
      <c r="E359" s="159">
        <f t="shared" si="95"/>
        <v>4.3301895459262916</v>
      </c>
      <c r="F359" s="159">
        <f t="shared" si="95"/>
        <v>90.009743156956262</v>
      </c>
      <c r="G359" s="159">
        <f t="shared" si="95"/>
        <v>476.668025481303</v>
      </c>
      <c r="H359" s="159">
        <f t="shared" si="95"/>
        <v>236.18688370924244</v>
      </c>
      <c r="I359" s="159">
        <f t="shared" si="77"/>
        <v>1402.3452976971278</v>
      </c>
      <c r="J359" s="159">
        <f t="shared" si="83"/>
        <v>1233.9910857405564</v>
      </c>
      <c r="K359" s="159">
        <f t="shared" si="84"/>
        <v>2209.5401395905556</v>
      </c>
      <c r="L359" s="159">
        <f t="shared" si="80"/>
        <v>3443.5312253311122</v>
      </c>
      <c r="M359" s="160">
        <f>'[5]Renewable Diesel'!$AE57/1000000</f>
        <v>467.33232568381385</v>
      </c>
      <c r="N359" s="161">
        <f t="shared" si="81"/>
        <v>7.3684849861229695</v>
      </c>
      <c r="O359" s="157">
        <f t="shared" si="90"/>
        <v>3808.4409790534482</v>
      </c>
      <c r="P359" s="154">
        <f t="shared" si="91"/>
        <v>8.1493206648626977</v>
      </c>
    </row>
    <row r="360" spans="1:16" x14ac:dyDescent="0.2">
      <c r="A360" s="155">
        <v>51044</v>
      </c>
      <c r="B360" s="159">
        <f>$L360*(AVERAGE(B348/$L348,B336/$L336,B324/$L324,B312/$L312))</f>
        <v>992.84950619042093</v>
      </c>
      <c r="C360" s="159">
        <f>$L360*(AVERAGE(C348/$L348,C336/$L336,C324/$L324,C312/$L312))</f>
        <v>341.93018344901191</v>
      </c>
      <c r="D360" s="159">
        <f>$L360*(AVERAGE(D348/$L348,D336/$L336,D324/$L324,D312/$L312))*1.075-200</f>
        <v>288.15032950391895</v>
      </c>
      <c r="E360" s="159">
        <f t="shared" si="95"/>
        <v>5.6853051190432815</v>
      </c>
      <c r="F360" s="159">
        <f t="shared" si="95"/>
        <v>90.160841493081975</v>
      </c>
      <c r="G360" s="159">
        <f t="shared" si="95"/>
        <v>562.01000001516559</v>
      </c>
      <c r="H360" s="159">
        <f>$L360*(AVERAGE(H348/$L348,H336/$L336,H324/$L324,H312/$L312))+15</f>
        <v>276.69255382312531</v>
      </c>
      <c r="I360" s="159">
        <f t="shared" si="77"/>
        <v>1546.3483699086851</v>
      </c>
      <c r="J360" s="159">
        <f t="shared" si="83"/>
        <v>1334.7796896394329</v>
      </c>
      <c r="K360" s="159">
        <f t="shared" si="84"/>
        <v>2480.8970703591012</v>
      </c>
      <c r="L360" s="159">
        <f t="shared" si="80"/>
        <v>3815.6767599985342</v>
      </c>
      <c r="M360" s="160">
        <f>'[5]Renewable Diesel'!$AE58/1000000</f>
        <v>507.93041099449977</v>
      </c>
      <c r="N360" s="161">
        <f t="shared" si="81"/>
        <v>7.5122037928929073</v>
      </c>
      <c r="O360" s="157">
        <f t="shared" si="90"/>
        <v>4103.8270895024534</v>
      </c>
      <c r="P360" s="154">
        <f t="shared" si="91"/>
        <v>8.0795065636400594</v>
      </c>
    </row>
    <row r="361" spans="1:16" x14ac:dyDescent="0.2">
      <c r="A361" s="155">
        <v>51075</v>
      </c>
      <c r="B361" s="159">
        <f t="shared" ref="B361:C376" si="96">$L361*(AVERAGE(B349/$L349,B337/$L337,B325/$L325,B313/$L313))</f>
        <v>1463.0089629802583</v>
      </c>
      <c r="C361" s="159">
        <f t="shared" si="94"/>
        <v>453.28493847275888</v>
      </c>
      <c r="D361" s="159">
        <f t="shared" ref="D361:D371" si="97">$L361*(AVERAGE(D349/$L349,D337/$L337,D325/$L325,D313/$L313))*1.075-200</f>
        <v>362.09136326191924</v>
      </c>
      <c r="E361" s="159">
        <f t="shared" si="95"/>
        <v>6.4756795208475095</v>
      </c>
      <c r="F361" s="159">
        <f t="shared" si="95"/>
        <v>42.669110651949737</v>
      </c>
      <c r="G361" s="159">
        <f t="shared" si="95"/>
        <v>760.64150724187425</v>
      </c>
      <c r="H361" s="159">
        <f>$L361*(AVERAGE(H349/$L349,H337/$L337,H325/$L325,H313/$L313))+15</f>
        <v>275.49276709975794</v>
      </c>
      <c r="I361" s="159">
        <f t="shared" si="77"/>
        <v>1637.8434353196217</v>
      </c>
      <c r="J361" s="159">
        <f t="shared" si="83"/>
        <v>1916.293901453017</v>
      </c>
      <c r="K361" s="159">
        <f t="shared" si="84"/>
        <v>2723.1224998340513</v>
      </c>
      <c r="L361" s="159">
        <f t="shared" si="80"/>
        <v>4639.4164012870679</v>
      </c>
      <c r="M361" s="160">
        <f>'[5]Renewable Diesel'!$AE59/1000000</f>
        <v>613.95284632622713</v>
      </c>
      <c r="N361" s="161">
        <f t="shared" si="81"/>
        <v>7.5566331014644232</v>
      </c>
      <c r="O361" s="157">
        <f t="shared" si="90"/>
        <v>5001.5077645489873</v>
      </c>
      <c r="P361" s="154">
        <f t="shared" si="91"/>
        <v>8.1464037417157105</v>
      </c>
    </row>
    <row r="362" spans="1:16" x14ac:dyDescent="0.2">
      <c r="A362" s="155">
        <v>51105</v>
      </c>
      <c r="B362" s="159">
        <f t="shared" si="96"/>
        <v>1836.8445464254185</v>
      </c>
      <c r="C362" s="159">
        <f t="shared" si="94"/>
        <v>571.09718540254073</v>
      </c>
      <c r="D362" s="159">
        <f t="shared" si="97"/>
        <v>388.85973305090124</v>
      </c>
      <c r="E362" s="159">
        <f t="shared" si="95"/>
        <v>6.9814316680789146</v>
      </c>
      <c r="F362" s="159">
        <f t="shared" si="95"/>
        <v>41.205373106029178</v>
      </c>
      <c r="G362" s="159">
        <f t="shared" si="95"/>
        <v>863.21074895713002</v>
      </c>
      <c r="H362" s="159">
        <f>$L362*(AVERAGE(H350/$L350,H338/$L338,H326/$L326,H314/$L314))+15</f>
        <v>257.34303913869843</v>
      </c>
      <c r="I362" s="159">
        <f t="shared" si="77"/>
        <v>1687.5853269380141</v>
      </c>
      <c r="J362" s="159">
        <f t="shared" si="83"/>
        <v>2407.9417318279593</v>
      </c>
      <c r="K362" s="159">
        <f t="shared" si="84"/>
        <v>2856.3259198079504</v>
      </c>
      <c r="L362" s="159">
        <f t="shared" si="80"/>
        <v>5264.2676516359097</v>
      </c>
      <c r="M362" s="160">
        <f>'[5]Renewable Diesel'!$AE60/1000000</f>
        <v>695.03773112350711</v>
      </c>
      <c r="N362" s="161">
        <f t="shared" si="81"/>
        <v>7.5740746378277661</v>
      </c>
      <c r="O362" s="157">
        <f t="shared" si="90"/>
        <v>5653.1273846868116</v>
      </c>
      <c r="P362" s="154">
        <f t="shared" si="91"/>
        <v>8.1335546712675661</v>
      </c>
    </row>
    <row r="363" spans="1:16" x14ac:dyDescent="0.2">
      <c r="A363" s="155">
        <v>51136</v>
      </c>
      <c r="B363" s="159">
        <f t="shared" si="96"/>
        <v>927.14769500905959</v>
      </c>
      <c r="C363" s="159">
        <f t="shared" si="94"/>
        <v>233.94664703652731</v>
      </c>
      <c r="D363" s="159">
        <f t="shared" si="97"/>
        <v>188.90982468719545</v>
      </c>
      <c r="E363" s="159">
        <f t="shared" si="95"/>
        <v>3.0993154247273549</v>
      </c>
      <c r="F363" s="159">
        <f t="shared" si="95"/>
        <v>49.778446152876285</v>
      </c>
      <c r="G363" s="159">
        <f t="shared" si="95"/>
        <v>480.29265072237143</v>
      </c>
      <c r="H363" s="159">
        <f>$L363*(AVERAGE(H351/$L351,H339/$L339,H327/$L327,H315/$L315))+10</f>
        <v>134.79892674054284</v>
      </c>
      <c r="I363" s="159">
        <f t="shared" si="77"/>
        <v>479.59751191176565</v>
      </c>
      <c r="J363" s="159">
        <f t="shared" si="83"/>
        <v>1161.0943420455869</v>
      </c>
      <c r="K363" s="159">
        <f t="shared" si="84"/>
        <v>1147.5668509522834</v>
      </c>
      <c r="L363" s="159">
        <f t="shared" si="80"/>
        <v>2308.6611929978703</v>
      </c>
      <c r="M363" s="160">
        <f>'[5]Renewable Diesel'!$AF49/1000000</f>
        <v>324.29240180549533</v>
      </c>
      <c r="N363" s="161">
        <f t="shared" si="81"/>
        <v>7.1190727261706339</v>
      </c>
      <c r="O363" s="157">
        <f t="shared" si="90"/>
        <v>2497.5710176850657</v>
      </c>
      <c r="P363" s="154">
        <f t="shared" si="91"/>
        <v>7.7016020226803317</v>
      </c>
    </row>
    <row r="364" spans="1:16" x14ac:dyDescent="0.2">
      <c r="A364" s="155">
        <v>51167</v>
      </c>
      <c r="B364" s="159">
        <f t="shared" si="96"/>
        <v>630.43642005531387</v>
      </c>
      <c r="C364" s="159">
        <f t="shared" si="94"/>
        <v>211.63726788659628</v>
      </c>
      <c r="D364" s="159">
        <f t="shared" si="97"/>
        <v>167.23151249520123</v>
      </c>
      <c r="E364" s="159">
        <f t="shared" si="95"/>
        <v>3.3462629270458253</v>
      </c>
      <c r="F364" s="159">
        <f t="shared" si="95"/>
        <v>48.901356898231874</v>
      </c>
      <c r="G364" s="159">
        <f t="shared" si="95"/>
        <v>554.70798687161914</v>
      </c>
      <c r="H364" s="159">
        <f t="shared" si="95"/>
        <v>87.852146416128292</v>
      </c>
      <c r="I364" s="159">
        <f t="shared" si="77"/>
        <v>1067.2011438129634</v>
      </c>
      <c r="J364" s="159">
        <f t="shared" si="83"/>
        <v>842.07368794191018</v>
      </c>
      <c r="K364" s="159">
        <f t="shared" si="84"/>
        <v>1762.0088969259887</v>
      </c>
      <c r="L364" s="159">
        <f t="shared" si="80"/>
        <v>2604.0825848678987</v>
      </c>
      <c r="M364" s="160">
        <f>'[5]Renewable Diesel'!$AF50/1000000</f>
        <v>353.17469714437715</v>
      </c>
      <c r="N364" s="161">
        <f t="shared" si="81"/>
        <v>7.3733554694699848</v>
      </c>
      <c r="O364" s="157">
        <f t="shared" si="90"/>
        <v>2771.3140973630998</v>
      </c>
      <c r="P364" s="154">
        <f t="shared" si="91"/>
        <v>7.8468647945925518</v>
      </c>
    </row>
    <row r="365" spans="1:16" x14ac:dyDescent="0.2">
      <c r="A365" s="155">
        <v>51196</v>
      </c>
      <c r="B365" s="159">
        <f t="shared" si="96"/>
        <v>740.99674990214294</v>
      </c>
      <c r="C365" s="159">
        <f t="shared" si="94"/>
        <v>237.46130009463536</v>
      </c>
      <c r="D365" s="159">
        <f t="shared" si="97"/>
        <v>155.86781035372167</v>
      </c>
      <c r="E365" s="159">
        <f t="shared" si="95"/>
        <v>3.431722148613594</v>
      </c>
      <c r="F365" s="159">
        <f t="shared" si="95"/>
        <v>73.193264096722118</v>
      </c>
      <c r="G365" s="159">
        <f t="shared" si="95"/>
        <v>492.23441402457343</v>
      </c>
      <c r="H365" s="159">
        <f t="shared" si="95"/>
        <v>147.76659357931052</v>
      </c>
      <c r="I365" s="159">
        <f t="shared" si="77"/>
        <v>1072.1877489665869</v>
      </c>
      <c r="J365" s="159">
        <f t="shared" si="83"/>
        <v>978.4580499967783</v>
      </c>
      <c r="K365" s="159">
        <f t="shared" si="84"/>
        <v>1788.8137428158066</v>
      </c>
      <c r="L365" s="159">
        <f t="shared" si="80"/>
        <v>2767.2717928125849</v>
      </c>
      <c r="M365" s="160">
        <f>'[5]Renewable Diesel'!$AF51/1000000</f>
        <v>378.38945096765258</v>
      </c>
      <c r="N365" s="161">
        <f t="shared" si="81"/>
        <v>7.3132900130694996</v>
      </c>
      <c r="O365" s="157">
        <f t="shared" si="90"/>
        <v>2923.1396031663071</v>
      </c>
      <c r="P365" s="154">
        <f t="shared" si="91"/>
        <v>7.7252143147515966</v>
      </c>
    </row>
    <row r="366" spans="1:16" x14ac:dyDescent="0.2">
      <c r="A366" s="155">
        <v>51227</v>
      </c>
      <c r="B366" s="159">
        <f t="shared" si="96"/>
        <v>674.03894327527019</v>
      </c>
      <c r="C366" s="159">
        <f t="shared" si="94"/>
        <v>189.54425326778826</v>
      </c>
      <c r="D366" s="159">
        <f t="shared" si="97"/>
        <v>117.43963269089221</v>
      </c>
      <c r="E366" s="159">
        <f t="shared" si="95"/>
        <v>3.2282317066993484</v>
      </c>
      <c r="F366" s="159">
        <f t="shared" si="95"/>
        <v>79.063311035047164</v>
      </c>
      <c r="G366" s="159">
        <f t="shared" si="95"/>
        <v>269.18977111552522</v>
      </c>
      <c r="H366" s="159">
        <f t="shared" si="95"/>
        <v>200.23145023822752</v>
      </c>
      <c r="I366" s="159">
        <f t="shared" si="77"/>
        <v>1280.9383838923943</v>
      </c>
      <c r="J366" s="159">
        <f t="shared" si="83"/>
        <v>863.58319654305842</v>
      </c>
      <c r="K366" s="159">
        <f t="shared" si="84"/>
        <v>1832.6511479878936</v>
      </c>
      <c r="L366" s="159">
        <f t="shared" si="80"/>
        <v>2696.2343445309521</v>
      </c>
      <c r="M366" s="160">
        <f>'[5]Renewable Diesel'!$AF52/1000000</f>
        <v>361.71666573921573</v>
      </c>
      <c r="N366" s="161">
        <f t="shared" si="81"/>
        <v>7.4539953502580305</v>
      </c>
      <c r="O366" s="157">
        <f t="shared" si="90"/>
        <v>2813.6739772218448</v>
      </c>
      <c r="P366" s="154">
        <f t="shared" si="91"/>
        <v>7.7786683438312991</v>
      </c>
    </row>
    <row r="367" spans="1:16" x14ac:dyDescent="0.2">
      <c r="A367" s="155">
        <v>51257</v>
      </c>
      <c r="B367" s="159">
        <f t="shared" si="96"/>
        <v>611.38302166576489</v>
      </c>
      <c r="C367" s="159">
        <f t="shared" si="94"/>
        <v>275.17935309677569</v>
      </c>
      <c r="D367" s="159">
        <f t="shared" si="97"/>
        <v>87.939794786191328</v>
      </c>
      <c r="E367" s="159">
        <f t="shared" si="95"/>
        <v>3.4313510111785797</v>
      </c>
      <c r="F367" s="159">
        <f t="shared" si="95"/>
        <v>73.737534408714524</v>
      </c>
      <c r="G367" s="159">
        <f t="shared" si="95"/>
        <v>322.34472055192077</v>
      </c>
      <c r="H367" s="159">
        <f t="shared" si="95"/>
        <v>181.1642052828756</v>
      </c>
      <c r="I367" s="159">
        <f t="shared" si="77"/>
        <v>1455.7773133338119</v>
      </c>
      <c r="J367" s="159">
        <f t="shared" si="83"/>
        <v>886.56237476254057</v>
      </c>
      <c r="K367" s="159">
        <f t="shared" si="84"/>
        <v>2036.4551245885013</v>
      </c>
      <c r="L367" s="159">
        <f t="shared" si="80"/>
        <v>2923.0174993510418</v>
      </c>
      <c r="M367" s="160">
        <f>'[5]Renewable Diesel'!$AF53/1000000</f>
        <v>403.8919719483311</v>
      </c>
      <c r="N367" s="161">
        <f t="shared" si="81"/>
        <v>7.2371270101030287</v>
      </c>
      <c r="O367" s="157">
        <f t="shared" si="90"/>
        <v>3010.957294137233</v>
      </c>
      <c r="P367" s="154">
        <f t="shared" si="91"/>
        <v>7.4548579899043332</v>
      </c>
    </row>
    <row r="368" spans="1:16" x14ac:dyDescent="0.2">
      <c r="A368" s="155">
        <v>51288</v>
      </c>
      <c r="B368" s="159">
        <f t="shared" si="96"/>
        <v>715.12440603434334</v>
      </c>
      <c r="C368" s="159">
        <f t="shared" si="94"/>
        <v>238.13027573009384</v>
      </c>
      <c r="D368" s="159">
        <f t="shared" si="97"/>
        <v>112.80327191670409</v>
      </c>
      <c r="E368" s="159">
        <f t="shared" si="95"/>
        <v>3.2413393869102638</v>
      </c>
      <c r="F368" s="159">
        <f t="shared" si="95"/>
        <v>87.978982121839053</v>
      </c>
      <c r="G368" s="159">
        <f t="shared" si="95"/>
        <v>357.00296120797714</v>
      </c>
      <c r="H368" s="159">
        <f t="shared" si="95"/>
        <v>211.41401702073534</v>
      </c>
      <c r="I368" s="159">
        <f t="shared" si="77"/>
        <v>1364.014590957242</v>
      </c>
      <c r="J368" s="159">
        <f t="shared" si="83"/>
        <v>953.25468176443724</v>
      </c>
      <c r="K368" s="159">
        <f t="shared" si="84"/>
        <v>2023.6518906947038</v>
      </c>
      <c r="L368" s="159">
        <f t="shared" si="80"/>
        <v>2976.906572459141</v>
      </c>
      <c r="M368" s="160">
        <f>'[5]Renewable Diesel'!$AF54/1000000</f>
        <v>405.19659980051375</v>
      </c>
      <c r="N368" s="161">
        <f t="shared" si="81"/>
        <v>7.346820219924675</v>
      </c>
      <c r="O368" s="157">
        <f t="shared" si="90"/>
        <v>3089.709844375845</v>
      </c>
      <c r="P368" s="154">
        <f t="shared" si="91"/>
        <v>7.6252116772375924</v>
      </c>
    </row>
    <row r="369" spans="1:16" x14ac:dyDescent="0.2">
      <c r="A369" s="155">
        <v>51318</v>
      </c>
      <c r="B369" s="159">
        <f t="shared" si="96"/>
        <v>840.07259443120779</v>
      </c>
      <c r="C369" s="159">
        <f t="shared" si="96"/>
        <v>331.9625970293626</v>
      </c>
      <c r="D369" s="159">
        <f t="shared" si="97"/>
        <v>131.61975138944143</v>
      </c>
      <c r="E369" s="159">
        <f t="shared" si="95"/>
        <v>3.1021447718348059</v>
      </c>
      <c r="F369" s="159">
        <f t="shared" si="95"/>
        <v>88.475242065000828</v>
      </c>
      <c r="G369" s="159">
        <f t="shared" si="95"/>
        <v>392.17531752707725</v>
      </c>
      <c r="H369" s="159">
        <f t="shared" si="95"/>
        <v>220.70167665444521</v>
      </c>
      <c r="I369" s="159">
        <f t="shared" si="77"/>
        <v>1019.7467179397606</v>
      </c>
      <c r="J369" s="159">
        <f t="shared" si="83"/>
        <v>1172.0351914605703</v>
      </c>
      <c r="K369" s="159">
        <f t="shared" si="84"/>
        <v>1724.2010989581186</v>
      </c>
      <c r="L369" s="159">
        <f t="shared" si="80"/>
        <v>2896.2362904186889</v>
      </c>
      <c r="M369" s="160">
        <f>'[5]Renewable Diesel'!$AF55/1000000</f>
        <v>394.37283667875039</v>
      </c>
      <c r="N369" s="161">
        <f t="shared" si="81"/>
        <v>7.343904095448428</v>
      </c>
      <c r="O369" s="157">
        <f t="shared" si="90"/>
        <v>3027.8560418081306</v>
      </c>
      <c r="P369" s="154">
        <f t="shared" si="91"/>
        <v>7.6776485604523828</v>
      </c>
    </row>
    <row r="370" spans="1:16" x14ac:dyDescent="0.2">
      <c r="A370" s="155">
        <v>51349</v>
      </c>
      <c r="B370" s="159">
        <f t="shared" si="96"/>
        <v>880.89505451989123</v>
      </c>
      <c r="C370" s="159">
        <f t="shared" si="96"/>
        <v>260.24713498987313</v>
      </c>
      <c r="D370" s="159">
        <f t="shared" si="97"/>
        <v>121.04215588819733</v>
      </c>
      <c r="E370" s="159">
        <f t="shared" si="95"/>
        <v>3.1651101275606406</v>
      </c>
      <c r="F370" s="159">
        <f t="shared" si="95"/>
        <v>68.316554576889914</v>
      </c>
      <c r="G370" s="159">
        <f t="shared" si="95"/>
        <v>416.08362120658876</v>
      </c>
      <c r="H370" s="159">
        <f t="shared" si="95"/>
        <v>238.45006818056498</v>
      </c>
      <c r="I370" s="159">
        <f t="shared" si="77"/>
        <v>1113.1763342114959</v>
      </c>
      <c r="J370" s="159">
        <f t="shared" si="83"/>
        <v>1141.1421895097644</v>
      </c>
      <c r="K370" s="159">
        <f t="shared" si="84"/>
        <v>1839.1916883031004</v>
      </c>
      <c r="L370" s="159">
        <f t="shared" si="80"/>
        <v>2980.3338778128646</v>
      </c>
      <c r="M370" s="160">
        <f>'[5]Renewable Diesel'!$AF56/1000000</f>
        <v>406.56313011718686</v>
      </c>
      <c r="N370" s="161">
        <f t="shared" si="81"/>
        <v>7.330556208955346</v>
      </c>
      <c r="O370" s="157">
        <f t="shared" si="90"/>
        <v>3101.3760337010622</v>
      </c>
      <c r="P370" s="154">
        <f t="shared" si="91"/>
        <v>7.6282766536334181</v>
      </c>
    </row>
    <row r="371" spans="1:16" x14ac:dyDescent="0.2">
      <c r="A371" s="155">
        <v>51380</v>
      </c>
      <c r="B371" s="159">
        <f t="shared" si="96"/>
        <v>877.14362670866933</v>
      </c>
      <c r="C371" s="159">
        <f t="shared" si="96"/>
        <v>200.92695441976676</v>
      </c>
      <c r="D371" s="159">
        <f t="shared" si="97"/>
        <v>166.19625749049925</v>
      </c>
      <c r="E371" s="159">
        <f t="shared" ref="E371:H386" si="98">$L371*(AVERAGE(E359/$L359,E347/$L347,E335/$L335,E323/$L323))</f>
        <v>3.8126953956274083</v>
      </c>
      <c r="F371" s="159">
        <f t="shared" si="98"/>
        <v>79.293498354945228</v>
      </c>
      <c r="G371" s="159">
        <f t="shared" si="98"/>
        <v>419.14139826344257</v>
      </c>
      <c r="H371" s="159">
        <f t="shared" si="98"/>
        <v>210.69128047648047</v>
      </c>
      <c r="I371" s="159">
        <f t="shared" si="77"/>
        <v>1240.950933028485</v>
      </c>
      <c r="J371" s="159">
        <f t="shared" si="83"/>
        <v>1078.0705811284361</v>
      </c>
      <c r="K371" s="159">
        <f t="shared" si="84"/>
        <v>1953.8898055189807</v>
      </c>
      <c r="L371" s="159">
        <f t="shared" si="80"/>
        <v>3031.9603866474167</v>
      </c>
      <c r="M371" s="160">
        <f>'[5]Renewable Diesel'!$AF57/1000000</f>
        <v>411.42166876684036</v>
      </c>
      <c r="N371" s="161">
        <f t="shared" si="81"/>
        <v>7.3694718018502812</v>
      </c>
      <c r="O371" s="157">
        <f t="shared" si="90"/>
        <v>3198.1566441379159</v>
      </c>
      <c r="P371" s="154">
        <f t="shared" si="91"/>
        <v>7.7734278160987325</v>
      </c>
    </row>
    <row r="372" spans="1:16" x14ac:dyDescent="0.2">
      <c r="A372" s="155">
        <v>51410</v>
      </c>
      <c r="B372" s="159">
        <f>$L372*(AVERAGE(B360/$L360,B348/$L348,B336/$L336,B324/$L324))</f>
        <v>886.93280663166706</v>
      </c>
      <c r="C372" s="159">
        <f t="shared" si="96"/>
        <v>300.29051745910709</v>
      </c>
      <c r="D372" s="159">
        <f>$L372*(AVERAGE(D360/$L360,D348/$L348,D336/$L336,D324/$L324))*1.125-200</f>
        <v>201.51642826897722</v>
      </c>
      <c r="E372" s="159">
        <f t="shared" si="98"/>
        <v>4.9984047114571704</v>
      </c>
      <c r="F372" s="159">
        <f t="shared" si="98"/>
        <v>79.27582039116902</v>
      </c>
      <c r="G372" s="159">
        <f t="shared" si="98"/>
        <v>494.15671284716831</v>
      </c>
      <c r="H372" s="159">
        <f t="shared" si="98"/>
        <v>229.66703970639952</v>
      </c>
      <c r="I372" s="159">
        <f t="shared" si="77"/>
        <v>1357.8966662739106</v>
      </c>
      <c r="J372" s="159">
        <f t="shared" si="83"/>
        <v>1187.2233240907742</v>
      </c>
      <c r="K372" s="159">
        <f t="shared" si="84"/>
        <v>2165.9946439301048</v>
      </c>
      <c r="L372" s="159">
        <f t="shared" si="80"/>
        <v>3353.2179680208787</v>
      </c>
      <c r="M372" s="160">
        <f>'[5]Renewable Diesel'!$AF58/1000000</f>
        <v>446.49664492050312</v>
      </c>
      <c r="N372" s="161">
        <f t="shared" si="81"/>
        <v>7.510063079237483</v>
      </c>
      <c r="O372" s="157">
        <f t="shared" si="90"/>
        <v>3554.7343962898558</v>
      </c>
      <c r="P372" s="154">
        <f t="shared" si="91"/>
        <v>7.9613910579837874</v>
      </c>
    </row>
    <row r="373" spans="1:16" x14ac:dyDescent="0.2">
      <c r="A373" s="155">
        <v>51441</v>
      </c>
      <c r="B373" s="159">
        <f t="shared" ref="B373:C388" si="99">$L373*(AVERAGE(B361/$L361,B349/$L349,B337/$L337,B325/$L325))</f>
        <v>1292.9153376546533</v>
      </c>
      <c r="C373" s="159">
        <f t="shared" si="96"/>
        <v>397.83685447906691</v>
      </c>
      <c r="D373" s="159">
        <f t="shared" ref="D373:D383" si="100">$L373*(AVERAGE(D361/$L361,D349/$L349,D337/$L337,D325/$L325))*1.125-200</f>
        <v>268.6316846508343</v>
      </c>
      <c r="E373" s="159">
        <f t="shared" si="98"/>
        <v>5.6895497102731394</v>
      </c>
      <c r="F373" s="159">
        <f t="shared" si="98"/>
        <v>37.514380007867132</v>
      </c>
      <c r="G373" s="159">
        <f t="shared" si="98"/>
        <v>668.23476389487905</v>
      </c>
      <c r="H373" s="159">
        <f>$L373*(AVERAGE(H361/$L361,H349/$L349,H337/$L337,H325/$L325))+70</f>
        <v>299.96797854651959</v>
      </c>
      <c r="I373" s="159">
        <f t="shared" si="77"/>
        <v>1372.4490343369193</v>
      </c>
      <c r="J373" s="159">
        <f t="shared" si="83"/>
        <v>1690.7521921337202</v>
      </c>
      <c r="K373" s="159">
        <f t="shared" si="84"/>
        <v>2383.855706496458</v>
      </c>
      <c r="L373" s="159">
        <f t="shared" si="80"/>
        <v>4074.6078986301782</v>
      </c>
      <c r="M373" s="160">
        <f>'[5]Renewable Diesel'!$AF59/1000000</f>
        <v>539.30442554450042</v>
      </c>
      <c r="N373" s="161">
        <f t="shared" si="81"/>
        <v>7.5553021737515191</v>
      </c>
      <c r="O373" s="157">
        <f t="shared" si="90"/>
        <v>4343.2395832810125</v>
      </c>
      <c r="P373" s="154">
        <f t="shared" si="91"/>
        <v>8.0534098693811522</v>
      </c>
    </row>
    <row r="374" spans="1:16" x14ac:dyDescent="0.2">
      <c r="A374" s="155">
        <v>51471</v>
      </c>
      <c r="B374" s="159">
        <f t="shared" si="99"/>
        <v>1624.3023248904046</v>
      </c>
      <c r="C374" s="159">
        <f t="shared" si="96"/>
        <v>501.18407949514739</v>
      </c>
      <c r="D374" s="159">
        <f t="shared" si="100"/>
        <v>293.24312244610013</v>
      </c>
      <c r="E374" s="159">
        <f t="shared" si="98"/>
        <v>6.1316282973130711</v>
      </c>
      <c r="F374" s="159">
        <f t="shared" si="98"/>
        <v>36.201517680099805</v>
      </c>
      <c r="G374" s="159">
        <f t="shared" si="98"/>
        <v>758.17232951478718</v>
      </c>
      <c r="H374" s="159">
        <f t="shared" si="98"/>
        <v>213.57977051792034</v>
      </c>
      <c r="I374" s="159">
        <f t="shared" si="77"/>
        <v>1482.2922555821892</v>
      </c>
      <c r="J374" s="159">
        <f t="shared" si="83"/>
        <v>2125.4864043855519</v>
      </c>
      <c r="K374" s="159">
        <f t="shared" si="84"/>
        <v>2496.3775015923097</v>
      </c>
      <c r="L374" s="159">
        <f t="shared" si="80"/>
        <v>4621.8639059778616</v>
      </c>
      <c r="M374" s="160">
        <f>'[5]Renewable Diesel'!$AF60/1000000</f>
        <v>610.34105591532546</v>
      </c>
      <c r="N374" s="161">
        <f t="shared" si="81"/>
        <v>7.5725921780675147</v>
      </c>
      <c r="O374" s="157">
        <f t="shared" si="90"/>
        <v>4915.1070284239622</v>
      </c>
      <c r="P374" s="154">
        <f t="shared" si="91"/>
        <v>8.0530499804782103</v>
      </c>
    </row>
    <row r="375" spans="1:16" x14ac:dyDescent="0.2">
      <c r="A375" s="155">
        <v>51502</v>
      </c>
      <c r="B375" s="159">
        <f t="shared" si="99"/>
        <v>990.58758044880324</v>
      </c>
      <c r="C375" s="159">
        <f t="shared" si="96"/>
        <v>247.44604615195817</v>
      </c>
      <c r="D375" s="159">
        <f t="shared" si="100"/>
        <v>172.19161950016934</v>
      </c>
      <c r="E375" s="159">
        <f t="shared" si="98"/>
        <v>3.2787701368035238</v>
      </c>
      <c r="F375" s="159">
        <f t="shared" si="98"/>
        <v>52.650643002461287</v>
      </c>
      <c r="G375" s="159">
        <f t="shared" si="98"/>
        <v>508.08748644696198</v>
      </c>
      <c r="H375" s="159">
        <f t="shared" si="98"/>
        <v>132.08134685174358</v>
      </c>
      <c r="I375" s="159">
        <f t="shared" si="77"/>
        <v>507.45382646804205</v>
      </c>
      <c r="J375" s="159">
        <f t="shared" si="83"/>
        <v>1238.0336266007614</v>
      </c>
      <c r="K375" s="159">
        <f t="shared" si="84"/>
        <v>1203.5520729060124</v>
      </c>
      <c r="L375" s="159">
        <f t="shared" si="80"/>
        <v>2441.5856995067738</v>
      </c>
      <c r="M375" s="160">
        <f>'[5]Renewable Diesel'!$AG49/1000000</f>
        <v>342.92867657374359</v>
      </c>
      <c r="N375" s="161">
        <f t="shared" si="81"/>
        <v>7.1198061471588066</v>
      </c>
      <c r="O375" s="157">
        <f t="shared" si="90"/>
        <v>2613.7773190069429</v>
      </c>
      <c r="P375" s="154">
        <f t="shared" si="91"/>
        <v>7.6219269415483675</v>
      </c>
    </row>
    <row r="376" spans="1:16" x14ac:dyDescent="0.2">
      <c r="A376" s="155">
        <v>51533</v>
      </c>
      <c r="B376" s="159">
        <f t="shared" si="99"/>
        <v>665.38427690436879</v>
      </c>
      <c r="C376" s="159">
        <f t="shared" si="96"/>
        <v>223.95149257372654</v>
      </c>
      <c r="D376" s="159">
        <f t="shared" si="100"/>
        <v>148.21873907022132</v>
      </c>
      <c r="E376" s="159">
        <f t="shared" si="98"/>
        <v>3.5420039278933975</v>
      </c>
      <c r="F376" s="159">
        <f t="shared" si="98"/>
        <v>51.750862328523667</v>
      </c>
      <c r="G376" s="159">
        <f t="shared" si="98"/>
        <v>587.17404955527059</v>
      </c>
      <c r="H376" s="159">
        <f t="shared" si="98"/>
        <v>90.446408510175061</v>
      </c>
      <c r="I376" s="159">
        <f t="shared" ref="I376:I439" si="101">L376-SUM(E376:H376,B376:C376)</f>
        <v>1133.3354109802556</v>
      </c>
      <c r="J376" s="159">
        <f t="shared" si="83"/>
        <v>889.33576947809536</v>
      </c>
      <c r="K376" s="159">
        <f t="shared" si="84"/>
        <v>1866.2487353021183</v>
      </c>
      <c r="L376" s="159">
        <f t="shared" si="80"/>
        <v>2755.5845047802136</v>
      </c>
      <c r="M376" s="160">
        <f>'[5]Renewable Diesel'!$AG50/1000000</f>
        <v>373.70870781553322</v>
      </c>
      <c r="N376" s="161">
        <f t="shared" si="81"/>
        <v>7.3736159932896213</v>
      </c>
      <c r="O376" s="157">
        <f t="shared" si="90"/>
        <v>2903.8032438504351</v>
      </c>
      <c r="P376" s="154">
        <f t="shared" si="91"/>
        <v>7.7702316888044924</v>
      </c>
    </row>
    <row r="377" spans="1:16" x14ac:dyDescent="0.2">
      <c r="A377" s="155">
        <v>51561</v>
      </c>
      <c r="B377" s="159">
        <f t="shared" si="99"/>
        <v>781.4670054092104</v>
      </c>
      <c r="C377" s="159">
        <f t="shared" si="99"/>
        <v>251.06112327858364</v>
      </c>
      <c r="D377" s="159">
        <f t="shared" si="100"/>
        <v>135.18935615000288</v>
      </c>
      <c r="E377" s="159">
        <f t="shared" si="98"/>
        <v>3.6293325131777623</v>
      </c>
      <c r="F377" s="159">
        <f t="shared" si="98"/>
        <v>77.363860995906279</v>
      </c>
      <c r="G377" s="159">
        <f t="shared" si="98"/>
        <v>520.58659084839974</v>
      </c>
      <c r="H377" s="159">
        <f t="shared" si="98"/>
        <v>155.22320815786082</v>
      </c>
      <c r="I377" s="159">
        <f t="shared" si="101"/>
        <v>1136.506801463026</v>
      </c>
      <c r="J377" s="159">
        <f t="shared" si="83"/>
        <v>1032.5281286877939</v>
      </c>
      <c r="K377" s="159">
        <f t="shared" si="84"/>
        <v>1893.3097939783706</v>
      </c>
      <c r="L377" s="159">
        <f t="shared" ref="L377:L440" si="102">M377*N377</f>
        <v>2925.8379226661646</v>
      </c>
      <c r="M377" s="160">
        <f>'[5]Renewable Diesel'!$AG51/1000000</f>
        <v>400.04400307578817</v>
      </c>
      <c r="N377" s="161">
        <f t="shared" ref="N377:N440" si="103">AVERAGE(N365,N353,N341,N329,N317)</f>
        <v>7.3137902335005522</v>
      </c>
      <c r="O377" s="157">
        <f t="shared" si="90"/>
        <v>3061.0272788161674</v>
      </c>
      <c r="P377" s="154">
        <f t="shared" si="91"/>
        <v>7.651726448293382</v>
      </c>
    </row>
    <row r="378" spans="1:16" x14ac:dyDescent="0.2">
      <c r="A378" s="155">
        <v>51592</v>
      </c>
      <c r="B378" s="159">
        <f t="shared" si="99"/>
        <v>711.40519823026784</v>
      </c>
      <c r="C378" s="159">
        <f t="shared" si="99"/>
        <v>200.55491756624963</v>
      </c>
      <c r="D378" s="159">
        <f t="shared" si="100"/>
        <v>93.713310837349013</v>
      </c>
      <c r="E378" s="159">
        <f t="shared" si="98"/>
        <v>3.4167839607370953</v>
      </c>
      <c r="F378" s="159">
        <f t="shared" si="98"/>
        <v>83.628124888879839</v>
      </c>
      <c r="G378" s="159">
        <f t="shared" si="98"/>
        <v>285.00231841364803</v>
      </c>
      <c r="H378" s="159">
        <f t="shared" si="98"/>
        <v>210.78722278912821</v>
      </c>
      <c r="I378" s="159">
        <f t="shared" si="101"/>
        <v>1358.2691814756695</v>
      </c>
      <c r="J378" s="159">
        <f t="shared" si="83"/>
        <v>911.96011579651747</v>
      </c>
      <c r="K378" s="159">
        <f t="shared" si="84"/>
        <v>1941.1036315280626</v>
      </c>
      <c r="L378" s="159">
        <f t="shared" si="102"/>
        <v>2853.0637473245802</v>
      </c>
      <c r="M378" s="160">
        <f>'[5]Renewable Diesel'!$AG52/1000000</f>
        <v>382.72197009857024</v>
      </c>
      <c r="N378" s="161">
        <f t="shared" si="103"/>
        <v>7.4546641432415601</v>
      </c>
      <c r="O378" s="157">
        <f t="shared" si="90"/>
        <v>2946.7770581619293</v>
      </c>
      <c r="P378" s="154">
        <f t="shared" si="91"/>
        <v>7.699524167381834</v>
      </c>
    </row>
    <row r="379" spans="1:16" x14ac:dyDescent="0.2">
      <c r="A379" s="155">
        <v>51622</v>
      </c>
      <c r="B379" s="159">
        <f t="shared" si="99"/>
        <v>646.52603922806691</v>
      </c>
      <c r="C379" s="159">
        <f t="shared" si="99"/>
        <v>291.12355523850681</v>
      </c>
      <c r="D379" s="159">
        <f t="shared" si="100"/>
        <v>60.082891774899508</v>
      </c>
      <c r="E379" s="159">
        <f t="shared" si="98"/>
        <v>3.6317823930979234</v>
      </c>
      <c r="F379" s="159">
        <f t="shared" si="98"/>
        <v>77.999122222105555</v>
      </c>
      <c r="G379" s="159">
        <f t="shared" si="98"/>
        <v>341.24213928968163</v>
      </c>
      <c r="H379" s="159">
        <f t="shared" si="98"/>
        <v>190.97114725263714</v>
      </c>
      <c r="I379" s="159">
        <f t="shared" si="101"/>
        <v>1541.5538149747272</v>
      </c>
      <c r="J379" s="159">
        <f t="shared" si="83"/>
        <v>937.64959446657372</v>
      </c>
      <c r="K379" s="159">
        <f t="shared" si="84"/>
        <v>2155.3980061322495</v>
      </c>
      <c r="L379" s="159">
        <f t="shared" si="102"/>
        <v>3093.047600598823</v>
      </c>
      <c r="M379" s="160">
        <f>'[5]Renewable Diesel'!$AG53/1000000</f>
        <v>427.34898791155643</v>
      </c>
      <c r="N379" s="161">
        <f t="shared" si="103"/>
        <v>7.2377557642395915</v>
      </c>
      <c r="O379" s="157">
        <f t="shared" si="90"/>
        <v>3153.130492373723</v>
      </c>
      <c r="P379" s="154">
        <f t="shared" si="91"/>
        <v>7.3783502045552769</v>
      </c>
    </row>
    <row r="380" spans="1:16" x14ac:dyDescent="0.2">
      <c r="A380" s="155">
        <v>51653</v>
      </c>
      <c r="B380" s="159">
        <f t="shared" si="99"/>
        <v>767.51103501173804</v>
      </c>
      <c r="C380" s="159">
        <f t="shared" si="99"/>
        <v>251.81557369433821</v>
      </c>
      <c r="D380" s="159">
        <f t="shared" si="100"/>
        <v>87.384893208284666</v>
      </c>
      <c r="E380" s="159">
        <f t="shared" si="98"/>
        <v>3.428742549415329</v>
      </c>
      <c r="F380" s="159">
        <f t="shared" si="98"/>
        <v>93.05016326795274</v>
      </c>
      <c r="G380" s="159">
        <f t="shared" si="98"/>
        <v>377.76277416773621</v>
      </c>
      <c r="H380" s="159">
        <f t="shared" si="98"/>
        <v>222.85853117445075</v>
      </c>
      <c r="I380" s="159">
        <f t="shared" si="101"/>
        <v>1431.8764273543318</v>
      </c>
      <c r="J380" s="159">
        <f t="shared" si="83"/>
        <v>1019.3266087060763</v>
      </c>
      <c r="K380" s="159">
        <f t="shared" si="84"/>
        <v>2128.9766385138869</v>
      </c>
      <c r="L380" s="159">
        <f t="shared" si="102"/>
        <v>3148.3032472199629</v>
      </c>
      <c r="M380" s="160">
        <f>'[5]Renewable Diesel'!$AG54/1000000</f>
        <v>428.49087393320309</v>
      </c>
      <c r="N380" s="161">
        <f t="shared" si="103"/>
        <v>7.3474219376507603</v>
      </c>
      <c r="O380" s="157">
        <f t="shared" si="90"/>
        <v>3235.6881404282476</v>
      </c>
      <c r="P380" s="154">
        <f t="shared" si="91"/>
        <v>7.5513583538599587</v>
      </c>
    </row>
    <row r="381" spans="1:16" x14ac:dyDescent="0.2">
      <c r="A381" s="155">
        <v>51683</v>
      </c>
      <c r="B381" s="159">
        <f t="shared" si="99"/>
        <v>899.91640633093118</v>
      </c>
      <c r="C381" s="159">
        <f t="shared" si="99"/>
        <v>351.14540709821972</v>
      </c>
      <c r="D381" s="159">
        <f t="shared" si="100"/>
        <v>108.50359529347963</v>
      </c>
      <c r="E381" s="159">
        <f t="shared" si="98"/>
        <v>3.2828009692069635</v>
      </c>
      <c r="F381" s="159">
        <f t="shared" si="98"/>
        <v>93.607254972454911</v>
      </c>
      <c r="G381" s="159">
        <f t="shared" si="98"/>
        <v>415.13829407525981</v>
      </c>
      <c r="H381" s="159">
        <f t="shared" si="98"/>
        <v>229.02267179397265</v>
      </c>
      <c r="I381" s="159">
        <f t="shared" si="101"/>
        <v>1072.0604542763683</v>
      </c>
      <c r="J381" s="159">
        <f t="shared" si="83"/>
        <v>1251.0618134291508</v>
      </c>
      <c r="K381" s="159">
        <f t="shared" si="84"/>
        <v>1813.1114760872626</v>
      </c>
      <c r="L381" s="159">
        <f t="shared" si="102"/>
        <v>3064.1732895164137</v>
      </c>
      <c r="M381" s="160">
        <f>'[5]Renewable Diesel'!$AG55/1000000</f>
        <v>417.17858162669512</v>
      </c>
      <c r="N381" s="161">
        <f t="shared" si="103"/>
        <v>7.3449918679150574</v>
      </c>
      <c r="O381" s="157">
        <f t="shared" si="90"/>
        <v>3172.6768848098936</v>
      </c>
      <c r="P381" s="154">
        <f t="shared" si="91"/>
        <v>7.6050809522357206</v>
      </c>
    </row>
    <row r="382" spans="1:16" x14ac:dyDescent="0.2">
      <c r="A382" s="155">
        <v>51714</v>
      </c>
      <c r="B382" s="159">
        <f t="shared" si="99"/>
        <v>942.14795599408887</v>
      </c>
      <c r="C382" s="159">
        <f t="shared" si="99"/>
        <v>275.00894970898247</v>
      </c>
      <c r="D382" s="159">
        <f t="shared" si="100"/>
        <v>96.492137398385523</v>
      </c>
      <c r="E382" s="159">
        <f t="shared" si="98"/>
        <v>3.3463768506958678</v>
      </c>
      <c r="F382" s="159">
        <f t="shared" si="98"/>
        <v>72.198158654645638</v>
      </c>
      <c r="G382" s="159">
        <f t="shared" si="98"/>
        <v>440.16833451119624</v>
      </c>
      <c r="H382" s="159">
        <f t="shared" si="98"/>
        <v>247.80403927478514</v>
      </c>
      <c r="I382" s="159">
        <f t="shared" si="101"/>
        <v>1169.6153074382401</v>
      </c>
      <c r="J382" s="159">
        <f t="shared" si="83"/>
        <v>1217.1569057030713</v>
      </c>
      <c r="K382" s="159">
        <f t="shared" si="84"/>
        <v>1933.132216729563</v>
      </c>
      <c r="L382" s="159">
        <f t="shared" si="102"/>
        <v>3150.2891224326345</v>
      </c>
      <c r="M382" s="160">
        <f>'[5]Renewable Diesel'!$AG56/1000000</f>
        <v>429.71941564624353</v>
      </c>
      <c r="N382" s="161">
        <f t="shared" si="103"/>
        <v>7.3310374344966451</v>
      </c>
      <c r="O382" s="157">
        <f t="shared" si="90"/>
        <v>3246.7812598310202</v>
      </c>
      <c r="P382" s="154">
        <f t="shared" si="91"/>
        <v>7.5555842757262264</v>
      </c>
    </row>
    <row r="383" spans="1:16" x14ac:dyDescent="0.2">
      <c r="A383" s="155">
        <v>51745</v>
      </c>
      <c r="B383" s="159">
        <f t="shared" si="99"/>
        <v>938.55231733032542</v>
      </c>
      <c r="C383" s="159">
        <f t="shared" si="99"/>
        <v>212.43030309197204</v>
      </c>
      <c r="D383" s="159">
        <f t="shared" si="100"/>
        <v>147.25967241056617</v>
      </c>
      <c r="E383" s="159">
        <f t="shared" si="98"/>
        <v>4.0313864163169466</v>
      </c>
      <c r="F383" s="159">
        <f t="shared" si="98"/>
        <v>83.815878074486619</v>
      </c>
      <c r="G383" s="159">
        <f t="shared" si="98"/>
        <v>443.83593387597938</v>
      </c>
      <c r="H383" s="159">
        <f t="shared" si="98"/>
        <v>219.06551809340755</v>
      </c>
      <c r="I383" s="159">
        <f t="shared" si="101"/>
        <v>1304.1755216294355</v>
      </c>
      <c r="J383" s="159">
        <f t="shared" si="83"/>
        <v>1150.9826204222975</v>
      </c>
      <c r="K383" s="159">
        <f t="shared" si="84"/>
        <v>2054.9242380896258</v>
      </c>
      <c r="L383" s="159">
        <f t="shared" si="102"/>
        <v>3205.9068585119235</v>
      </c>
      <c r="M383" s="160">
        <f>'[5]Renewable Diesel'!$AG57/1000000</f>
        <v>434.9869585297854</v>
      </c>
      <c r="N383" s="161">
        <f t="shared" si="103"/>
        <v>7.3701217833003181</v>
      </c>
      <c r="O383" s="157">
        <f t="shared" si="90"/>
        <v>3353.1665309224891</v>
      </c>
      <c r="P383" s="154">
        <f t="shared" si="91"/>
        <v>7.7086599153590107</v>
      </c>
    </row>
    <row r="384" spans="1:16" x14ac:dyDescent="0.2">
      <c r="A384" s="155">
        <v>51775</v>
      </c>
      <c r="B384" s="159">
        <f>$L384*(AVERAGE(B372/$L372,B360/$L360,B348/$L348,B336/$L336))-200</f>
        <v>740.57641238275392</v>
      </c>
      <c r="C384" s="159">
        <f t="shared" si="99"/>
        <v>317.6656192941619</v>
      </c>
      <c r="D384" s="159">
        <f>$L384*(AVERAGE(D372/$L372,D360/$L360,D348/$L348,D336/$L336))*1.09</f>
        <v>350.92100396023659</v>
      </c>
      <c r="E384" s="159">
        <f t="shared" si="98"/>
        <v>5.2884260496990239</v>
      </c>
      <c r="F384" s="159">
        <f t="shared" si="98"/>
        <v>83.895771127262279</v>
      </c>
      <c r="G384" s="159">
        <f t="shared" si="98"/>
        <v>522.68665633281705</v>
      </c>
      <c r="H384" s="159">
        <f>$L384*(AVERAGE(H372/$L372,H360/$L360,H348/$L348,H336/$L336))-4</f>
        <v>237.41901142663613</v>
      </c>
      <c r="I384" s="159">
        <f t="shared" si="101"/>
        <v>1640.1672377559369</v>
      </c>
      <c r="J384" s="159">
        <f t="shared" si="83"/>
        <v>1058.2420316769158</v>
      </c>
      <c r="K384" s="159">
        <f t="shared" si="84"/>
        <v>2489.4571026923513</v>
      </c>
      <c r="L384" s="159">
        <f t="shared" si="102"/>
        <v>3547.6991343692671</v>
      </c>
      <c r="M384" s="160">
        <f>'[5]Renewable Diesel'!$AG58/1000000</f>
        <v>472.37063098572713</v>
      </c>
      <c r="N384" s="161">
        <f t="shared" si="103"/>
        <v>7.5104142841523567</v>
      </c>
      <c r="O384" s="157">
        <f t="shared" si="90"/>
        <v>3898.6201383295038</v>
      </c>
      <c r="P384" s="154">
        <f t="shared" si="91"/>
        <v>8.2533076414890463</v>
      </c>
    </row>
    <row r="385" spans="1:16" x14ac:dyDescent="0.2">
      <c r="A385" s="155">
        <v>51806</v>
      </c>
      <c r="B385" s="159">
        <f>$L385*(AVERAGE(B373/$L373,B361/$L361,B349/$L349,B337/$L337))-200</f>
        <v>1176.4834808145667</v>
      </c>
      <c r="C385" s="159">
        <f t="shared" si="99"/>
        <v>421.03088944004895</v>
      </c>
      <c r="D385" s="159">
        <f t="shared" ref="D385:D395" si="104">$L385*(AVERAGE(D373/$L373,D361/$L361,D349/$L349,D337/$L337))*1.09</f>
        <v>421.36376349653921</v>
      </c>
      <c r="E385" s="159">
        <f t="shared" si="98"/>
        <v>6.0214363371402104</v>
      </c>
      <c r="F385" s="159">
        <f t="shared" si="98"/>
        <v>39.730426994083707</v>
      </c>
      <c r="G385" s="159">
        <f t="shared" si="98"/>
        <v>706.99440649964856</v>
      </c>
      <c r="H385" s="159">
        <f t="shared" si="98"/>
        <v>260.01634163777908</v>
      </c>
      <c r="I385" s="159">
        <f t="shared" si="101"/>
        <v>1702.0513183024605</v>
      </c>
      <c r="J385" s="159">
        <f t="shared" si="83"/>
        <v>1597.5143702546156</v>
      </c>
      <c r="K385" s="159">
        <f t="shared" si="84"/>
        <v>2714.8139297711123</v>
      </c>
      <c r="L385" s="159">
        <f t="shared" si="102"/>
        <v>4312.3283000257279</v>
      </c>
      <c r="M385" s="160">
        <f>'[5]Renewable Diesel'!$AG59/1000000</f>
        <v>570.73421915428582</v>
      </c>
      <c r="N385" s="161">
        <f t="shared" si="103"/>
        <v>7.5557556482520667</v>
      </c>
      <c r="O385" s="157">
        <f t="shared" si="90"/>
        <v>4733.6920635222668</v>
      </c>
      <c r="P385" s="154">
        <f t="shared" si="91"/>
        <v>8.2940393350457473</v>
      </c>
    </row>
    <row r="386" spans="1:16" x14ac:dyDescent="0.2">
      <c r="A386" s="155">
        <v>51836</v>
      </c>
      <c r="B386" s="159">
        <f t="shared" si="99"/>
        <v>1709.9665589618446</v>
      </c>
      <c r="C386" s="159">
        <f t="shared" si="99"/>
        <v>530.46773409368927</v>
      </c>
      <c r="D386" s="159">
        <f t="shared" si="104"/>
        <v>447.14380317402686</v>
      </c>
      <c r="E386" s="159">
        <f t="shared" si="98"/>
        <v>6.4904051425402463</v>
      </c>
      <c r="F386" s="159">
        <f t="shared" si="98"/>
        <v>38.365011625604893</v>
      </c>
      <c r="G386" s="159">
        <f t="shared" si="98"/>
        <v>802.44960537082</v>
      </c>
      <c r="H386" s="159">
        <f t="shared" si="98"/>
        <v>223.65687624509752</v>
      </c>
      <c r="I386" s="159">
        <f t="shared" si="101"/>
        <v>1580.9602387095224</v>
      </c>
      <c r="J386" s="159">
        <f t="shared" si="83"/>
        <v>2240.434293055534</v>
      </c>
      <c r="K386" s="159">
        <f t="shared" si="84"/>
        <v>2651.9221370935848</v>
      </c>
      <c r="L386" s="159">
        <f t="shared" si="102"/>
        <v>4892.3564301491188</v>
      </c>
      <c r="M386" s="160">
        <f>'[5]Renewable Diesel'!$AG60/1000000</f>
        <v>645.99148915770172</v>
      </c>
      <c r="N386" s="161">
        <f t="shared" si="103"/>
        <v>7.5734069446149928</v>
      </c>
      <c r="O386" s="157">
        <f t="shared" si="90"/>
        <v>5339.5002333231459</v>
      </c>
      <c r="P386" s="154">
        <f t="shared" si="91"/>
        <v>8.265589133821619</v>
      </c>
    </row>
    <row r="387" spans="1:16" x14ac:dyDescent="0.2">
      <c r="A387" s="155">
        <v>51867</v>
      </c>
      <c r="B387" s="159">
        <f t="shared" si="99"/>
        <v>1046.5772576355751</v>
      </c>
      <c r="C387" s="159">
        <f t="shared" si="99"/>
        <v>261.61809633382097</v>
      </c>
      <c r="D387" s="159">
        <f t="shared" si="104"/>
        <v>316.70560701398165</v>
      </c>
      <c r="E387" s="159">
        <f t="shared" ref="E387:H402" si="105">$L387*(AVERAGE(E375/$L375,E363/$L363,E351/$L351,E339/$L339))</f>
        <v>3.4656193425148278</v>
      </c>
      <c r="F387" s="159">
        <f t="shared" si="105"/>
        <v>55.65269076228418</v>
      </c>
      <c r="G387" s="159">
        <f t="shared" si="105"/>
        <v>536.85321418564001</v>
      </c>
      <c r="H387" s="159">
        <f t="shared" si="105"/>
        <v>136.93574978786651</v>
      </c>
      <c r="I387" s="159">
        <f t="shared" si="101"/>
        <v>539.67644602182327</v>
      </c>
      <c r="J387" s="159">
        <f t="shared" ref="J387:J450" si="106">C387+B387</f>
        <v>1308.1953539693959</v>
      </c>
      <c r="K387" s="159">
        <f t="shared" si="84"/>
        <v>1272.5837201001286</v>
      </c>
      <c r="L387" s="159">
        <f t="shared" si="102"/>
        <v>2580.779074069525</v>
      </c>
      <c r="M387" s="160">
        <f>'[5]Renewable Diesel'!$AH49/1000000</f>
        <v>362.47462886067655</v>
      </c>
      <c r="N387" s="161">
        <f t="shared" si="103"/>
        <v>7.1198888655500694</v>
      </c>
      <c r="O387" s="157">
        <f t="shared" si="90"/>
        <v>2897.484681083507</v>
      </c>
      <c r="P387" s="154">
        <f t="shared" si="91"/>
        <v>7.9936206575087105</v>
      </c>
    </row>
    <row r="388" spans="1:16" x14ac:dyDescent="0.2">
      <c r="A388" s="155">
        <v>51898</v>
      </c>
      <c r="B388" s="159">
        <f t="shared" si="99"/>
        <v>688.31523322255305</v>
      </c>
      <c r="C388" s="159">
        <f t="shared" si="99"/>
        <v>236.77224327375001</v>
      </c>
      <c r="D388" s="159">
        <f t="shared" si="104"/>
        <v>291.76917092292649</v>
      </c>
      <c r="E388" s="159">
        <f t="shared" si="105"/>
        <v>3.7441023239684905</v>
      </c>
      <c r="F388" s="159">
        <f t="shared" si="105"/>
        <v>54.71013021354571</v>
      </c>
      <c r="G388" s="159">
        <f t="shared" si="105"/>
        <v>620.5095545360216</v>
      </c>
      <c r="H388" s="159">
        <f t="shared" si="105"/>
        <v>92.281959567686783</v>
      </c>
      <c r="I388" s="159">
        <f t="shared" si="101"/>
        <v>1216.5106017454759</v>
      </c>
      <c r="J388" s="159">
        <f t="shared" si="106"/>
        <v>925.087476496303</v>
      </c>
      <c r="K388" s="159">
        <f t="shared" ref="K388:K451" si="107">SUM(E388:I388)</f>
        <v>1987.7563483866984</v>
      </c>
      <c r="L388" s="159">
        <f t="shared" si="102"/>
        <v>2912.8438248830016</v>
      </c>
      <c r="M388" s="160">
        <f>'[5]Renewable Diesel'!$AH50/1000000</f>
        <v>395.03723216588793</v>
      </c>
      <c r="N388" s="161">
        <f t="shared" si="103"/>
        <v>7.3735931393418923</v>
      </c>
      <c r="O388" s="157">
        <f t="shared" si="90"/>
        <v>3204.6129958059282</v>
      </c>
      <c r="P388" s="154">
        <f t="shared" si="91"/>
        <v>8.1121796500948946</v>
      </c>
    </row>
    <row r="389" spans="1:16" x14ac:dyDescent="0.2">
      <c r="A389" s="155">
        <v>51926</v>
      </c>
      <c r="B389" s="159">
        <f t="shared" ref="B389:C404" si="108">$L389*(AVERAGE(B377/$L377,B365/$L365,B353/$L353,B341/$L341))</f>
        <v>810.92965809883265</v>
      </c>
      <c r="C389" s="159">
        <f t="shared" si="108"/>
        <v>265.41945755290129</v>
      </c>
      <c r="D389" s="159">
        <f t="shared" si="104"/>
        <v>278.12067824825226</v>
      </c>
      <c r="E389" s="159">
        <f t="shared" si="105"/>
        <v>3.8360198575792128</v>
      </c>
      <c r="F389" s="159">
        <f t="shared" si="105"/>
        <v>81.781585569779395</v>
      </c>
      <c r="G389" s="159">
        <f t="shared" si="105"/>
        <v>550.06738097001198</v>
      </c>
      <c r="H389" s="159">
        <f t="shared" si="105"/>
        <v>160.38878861442041</v>
      </c>
      <c r="I389" s="159">
        <f t="shared" si="101"/>
        <v>1220.0268269369717</v>
      </c>
      <c r="J389" s="159">
        <f t="shared" si="106"/>
        <v>1076.3491156517339</v>
      </c>
      <c r="K389" s="159">
        <f t="shared" si="107"/>
        <v>2016.1006019487627</v>
      </c>
      <c r="L389" s="159">
        <f t="shared" si="102"/>
        <v>3092.4497176004966</v>
      </c>
      <c r="M389" s="160">
        <f>'[5]Renewable Diesel'!$AH51/1000000</f>
        <v>422.83291871840817</v>
      </c>
      <c r="N389" s="161">
        <f t="shared" si="103"/>
        <v>7.3136446589201327</v>
      </c>
      <c r="O389" s="157">
        <f t="shared" si="90"/>
        <v>3370.5703958487488</v>
      </c>
      <c r="P389" s="154">
        <f t="shared" si="91"/>
        <v>7.9714001598192263</v>
      </c>
    </row>
    <row r="390" spans="1:16" x14ac:dyDescent="0.2">
      <c r="A390" s="155">
        <v>51957</v>
      </c>
      <c r="B390" s="159">
        <f t="shared" si="108"/>
        <v>736.98911547563671</v>
      </c>
      <c r="C390" s="159">
        <f t="shared" si="108"/>
        <v>212.03233994976753</v>
      </c>
      <c r="D390" s="159">
        <f t="shared" si="104"/>
        <v>235.97373131925121</v>
      </c>
      <c r="E390" s="159">
        <f t="shared" si="105"/>
        <v>3.6117999851163458</v>
      </c>
      <c r="F390" s="159">
        <f t="shared" si="105"/>
        <v>88.3889004009161</v>
      </c>
      <c r="G390" s="159">
        <f t="shared" si="105"/>
        <v>301.20850899433634</v>
      </c>
      <c r="H390" s="159">
        <f t="shared" si="105"/>
        <v>221.3550540150969</v>
      </c>
      <c r="I390" s="159">
        <f t="shared" si="101"/>
        <v>1452.2330127525729</v>
      </c>
      <c r="J390" s="159">
        <f t="shared" si="106"/>
        <v>949.02145542540427</v>
      </c>
      <c r="K390" s="159">
        <f t="shared" si="107"/>
        <v>2066.7972761480387</v>
      </c>
      <c r="L390" s="159">
        <f t="shared" si="102"/>
        <v>3015.8187315734426</v>
      </c>
      <c r="M390" s="160">
        <f>'[5]Renewable Diesel'!$AH52/1000000</f>
        <v>404.55774823663205</v>
      </c>
      <c r="N390" s="161">
        <f t="shared" si="103"/>
        <v>7.4546062823383226</v>
      </c>
      <c r="O390" s="157">
        <f t="shared" si="90"/>
        <v>3251.7924628926939</v>
      </c>
      <c r="P390" s="154">
        <f t="shared" si="91"/>
        <v>8.037894409553294</v>
      </c>
    </row>
    <row r="391" spans="1:16" x14ac:dyDescent="0.2">
      <c r="A391" s="155">
        <v>51987</v>
      </c>
      <c r="B391" s="159">
        <f t="shared" si="108"/>
        <v>665.14576649987794</v>
      </c>
      <c r="C391" s="159">
        <f t="shared" si="108"/>
        <v>307.83312563776678</v>
      </c>
      <c r="D391" s="159">
        <f t="shared" si="104"/>
        <v>199.52032378891593</v>
      </c>
      <c r="E391" s="159">
        <f t="shared" si="105"/>
        <v>3.8390848617009055</v>
      </c>
      <c r="F391" s="159">
        <f t="shared" si="105"/>
        <v>82.446099953186959</v>
      </c>
      <c r="G391" s="159">
        <f t="shared" si="105"/>
        <v>360.64821950952393</v>
      </c>
      <c r="H391" s="159">
        <f t="shared" si="105"/>
        <v>200.89668803179677</v>
      </c>
      <c r="I391" s="159">
        <f t="shared" si="101"/>
        <v>1648.673522838993</v>
      </c>
      <c r="J391" s="159">
        <f t="shared" si="106"/>
        <v>972.97889213764472</v>
      </c>
      <c r="K391" s="159">
        <f t="shared" si="107"/>
        <v>2296.5036151952017</v>
      </c>
      <c r="L391" s="159">
        <f t="shared" si="102"/>
        <v>3269.4825073328461</v>
      </c>
      <c r="M391" s="160">
        <f>'[5]Renewable Diesel'!$AH53/1000000</f>
        <v>451.7287099638163</v>
      </c>
      <c r="N391" s="161">
        <f t="shared" si="103"/>
        <v>7.2377124482407451</v>
      </c>
      <c r="O391" s="157">
        <f t="shared" si="90"/>
        <v>3469.0028311217625</v>
      </c>
      <c r="P391" s="154">
        <f t="shared" si="91"/>
        <v>7.6793941908178285</v>
      </c>
    </row>
    <row r="392" spans="1:16" x14ac:dyDescent="0.2">
      <c r="A392" s="155">
        <v>52018</v>
      </c>
      <c r="B392" s="159">
        <f t="shared" si="108"/>
        <v>808.3620136902947</v>
      </c>
      <c r="C392" s="159">
        <f t="shared" si="108"/>
        <v>266.22258040097114</v>
      </c>
      <c r="D392" s="159">
        <f t="shared" si="104"/>
        <v>228.09856821431987</v>
      </c>
      <c r="E392" s="159">
        <f t="shared" si="105"/>
        <v>3.6241826853856471</v>
      </c>
      <c r="F392" s="159">
        <f t="shared" si="105"/>
        <v>98.341946933151405</v>
      </c>
      <c r="G392" s="159">
        <f t="shared" si="105"/>
        <v>399.20914754211361</v>
      </c>
      <c r="H392" s="159">
        <f t="shared" si="105"/>
        <v>234.56121033034168</v>
      </c>
      <c r="I392" s="159">
        <f t="shared" si="101"/>
        <v>1517.3801311781947</v>
      </c>
      <c r="J392" s="159">
        <f t="shared" si="106"/>
        <v>1074.5845940912659</v>
      </c>
      <c r="K392" s="159">
        <f t="shared" si="107"/>
        <v>2253.1166186691871</v>
      </c>
      <c r="L392" s="159">
        <f t="shared" si="102"/>
        <v>3327.701212760453</v>
      </c>
      <c r="M392" s="160">
        <f>'[5]Renewable Diesel'!$AH54/1000000</f>
        <v>452.90981518144463</v>
      </c>
      <c r="N392" s="161">
        <f t="shared" si="103"/>
        <v>7.3473815342847235</v>
      </c>
      <c r="O392" s="157">
        <f t="shared" si="90"/>
        <v>3555.7997809747731</v>
      </c>
      <c r="P392" s="154">
        <f t="shared" si="91"/>
        <v>7.8510106466786311</v>
      </c>
    </row>
    <row r="393" spans="1:16" x14ac:dyDescent="0.2">
      <c r="A393" s="155">
        <v>52048</v>
      </c>
      <c r="B393" s="159">
        <f t="shared" si="108"/>
        <v>948.1287751299094</v>
      </c>
      <c r="C393" s="159">
        <f t="shared" si="108"/>
        <v>371.30998311001434</v>
      </c>
      <c r="D393" s="159">
        <f t="shared" si="104"/>
        <v>250.12766554304184</v>
      </c>
      <c r="E393" s="159">
        <f t="shared" si="105"/>
        <v>3.4700880500750597</v>
      </c>
      <c r="F393" s="159">
        <f t="shared" si="105"/>
        <v>98.930744876787557</v>
      </c>
      <c r="G393" s="159">
        <f t="shared" si="105"/>
        <v>438.73758193196318</v>
      </c>
      <c r="H393" s="159">
        <f t="shared" si="105"/>
        <v>241.94467681675184</v>
      </c>
      <c r="I393" s="159">
        <f t="shared" si="101"/>
        <v>1136.4505749820482</v>
      </c>
      <c r="J393" s="159">
        <f t="shared" si="106"/>
        <v>1319.4387582399238</v>
      </c>
      <c r="K393" s="159">
        <f t="shared" si="107"/>
        <v>1919.5336666576259</v>
      </c>
      <c r="L393" s="159">
        <f t="shared" si="102"/>
        <v>3238.9724248975494</v>
      </c>
      <c r="M393" s="160">
        <f>'[5]Renewable Diesel'!$AH55/1000000</f>
        <v>440.97084772339889</v>
      </c>
      <c r="N393" s="161">
        <f t="shared" si="103"/>
        <v>7.3450942202175025</v>
      </c>
      <c r="O393" s="157">
        <f t="shared" si="90"/>
        <v>3489.1000904405919</v>
      </c>
      <c r="P393" s="154">
        <f t="shared" si="91"/>
        <v>7.9123146313498411</v>
      </c>
    </row>
    <row r="394" spans="1:16" x14ac:dyDescent="0.2">
      <c r="A394" s="155">
        <v>52079</v>
      </c>
      <c r="B394" s="159">
        <f t="shared" si="108"/>
        <v>992.72740619986087</v>
      </c>
      <c r="C394" s="159">
        <f t="shared" si="108"/>
        <v>290.76895970713895</v>
      </c>
      <c r="D394" s="159">
        <f t="shared" si="104"/>
        <v>237.46092383021991</v>
      </c>
      <c r="E394" s="159">
        <f t="shared" si="105"/>
        <v>3.5369533152592769</v>
      </c>
      <c r="F394" s="159">
        <f t="shared" si="105"/>
        <v>76.303857434830547</v>
      </c>
      <c r="G394" s="159">
        <f t="shared" si="105"/>
        <v>465.12767499596328</v>
      </c>
      <c r="H394" s="159">
        <f t="shared" si="105"/>
        <v>263.44312954863284</v>
      </c>
      <c r="I394" s="159">
        <f t="shared" si="101"/>
        <v>1237.7083348950136</v>
      </c>
      <c r="J394" s="159">
        <f t="shared" si="106"/>
        <v>1283.4963659069999</v>
      </c>
      <c r="K394" s="159">
        <f t="shared" si="107"/>
        <v>2046.1199501896997</v>
      </c>
      <c r="L394" s="159">
        <f t="shared" si="102"/>
        <v>3329.6163160966994</v>
      </c>
      <c r="M394" s="160">
        <f>'[5]Renewable Diesel'!$AH56/1000000</f>
        <v>454.18389550973092</v>
      </c>
      <c r="N394" s="161">
        <f t="shared" si="103"/>
        <v>7.330987181656603</v>
      </c>
      <c r="O394" s="157">
        <f t="shared" si="90"/>
        <v>3567.0772399269194</v>
      </c>
      <c r="P394" s="154">
        <f t="shared" si="91"/>
        <v>7.8538170886125016</v>
      </c>
    </row>
    <row r="395" spans="1:16" x14ac:dyDescent="0.2">
      <c r="A395" s="155">
        <v>52110</v>
      </c>
      <c r="B395" s="159">
        <f t="shared" si="108"/>
        <v>988.90303372628102</v>
      </c>
      <c r="C395" s="159">
        <f t="shared" si="108"/>
        <v>224.56747700469401</v>
      </c>
      <c r="D395" s="159">
        <f t="shared" si="104"/>
        <v>291.4537889136999</v>
      </c>
      <c r="E395" s="159">
        <f t="shared" si="105"/>
        <v>4.2606933377304248</v>
      </c>
      <c r="F395" s="159">
        <f t="shared" si="105"/>
        <v>88.579304274213158</v>
      </c>
      <c r="G395" s="159">
        <f t="shared" si="105"/>
        <v>469.14515270959663</v>
      </c>
      <c r="H395" s="159">
        <f t="shared" si="105"/>
        <v>232.37443794634055</v>
      </c>
      <c r="I395" s="159">
        <f t="shared" si="101"/>
        <v>1380.6626025301011</v>
      </c>
      <c r="J395" s="159">
        <f t="shared" si="106"/>
        <v>1213.4705107309751</v>
      </c>
      <c r="K395" s="159">
        <f t="shared" si="107"/>
        <v>2175.0221907979821</v>
      </c>
      <c r="L395" s="159">
        <f t="shared" si="102"/>
        <v>3388.4927015289568</v>
      </c>
      <c r="M395" s="160">
        <f>'[5]Renewable Diesel'!$AH57/1000000</f>
        <v>459.76544383089225</v>
      </c>
      <c r="N395" s="161">
        <f t="shared" si="103"/>
        <v>7.3700465030496911</v>
      </c>
      <c r="O395" s="157">
        <f t="shared" si="90"/>
        <v>3679.9464904426568</v>
      </c>
      <c r="P395" s="154">
        <f t="shared" si="91"/>
        <v>8.0039649343376684</v>
      </c>
    </row>
    <row r="396" spans="1:16" x14ac:dyDescent="0.2">
      <c r="A396" s="155">
        <v>52140</v>
      </c>
      <c r="B396" s="159">
        <f>$L396*(AVERAGE(B384/$L384,B372/$L372,B360/$L360,B348/$L348))-200</f>
        <v>736.71260892166038</v>
      </c>
      <c r="C396" s="159">
        <f t="shared" si="108"/>
        <v>335.90888082572621</v>
      </c>
      <c r="D396" s="159">
        <f>$L396*(AVERAGE(D384/$L384,D372/$L372,D360/$L360,D348/$L348))*1.02</f>
        <v>332.27452906768679</v>
      </c>
      <c r="E396" s="159">
        <f t="shared" si="105"/>
        <v>5.5893641564338665</v>
      </c>
      <c r="F396" s="159">
        <f t="shared" si="105"/>
        <v>88.670909754542976</v>
      </c>
      <c r="G396" s="159">
        <f t="shared" si="105"/>
        <v>552.41355097791757</v>
      </c>
      <c r="H396" s="159">
        <f>$L396*(AVERAGE(H384/$L384,H372/$L372,H360/$L360,H348/$L348))-25</f>
        <v>229.48289860441784</v>
      </c>
      <c r="I396" s="159">
        <f t="shared" si="101"/>
        <v>1801.5191196609253</v>
      </c>
      <c r="J396" s="159">
        <f t="shared" si="106"/>
        <v>1072.6214897473865</v>
      </c>
      <c r="K396" s="159">
        <f t="shared" si="107"/>
        <v>2677.6758431542376</v>
      </c>
      <c r="L396" s="159">
        <f t="shared" si="102"/>
        <v>3750.297332901624</v>
      </c>
      <c r="M396" s="160">
        <f>'[5]Renewable Diesel'!$AH58/1000000</f>
        <v>499.31523669568378</v>
      </c>
      <c r="N396" s="161">
        <f t="shared" si="103"/>
        <v>7.5108810172105906</v>
      </c>
      <c r="O396" s="157">
        <f t="shared" si="90"/>
        <v>4082.5718619693107</v>
      </c>
      <c r="P396" s="154">
        <f t="shared" si="91"/>
        <v>8.1763414411034763</v>
      </c>
    </row>
    <row r="397" spans="1:16" x14ac:dyDescent="0.2">
      <c r="A397" s="155">
        <v>52171</v>
      </c>
      <c r="B397" s="159">
        <f>$L397*(AVERAGE(B385/$L385,B373/$L373,B361/$L361,B349/$L349))</f>
        <v>1396.8568879988754</v>
      </c>
      <c r="C397" s="159">
        <f t="shared" si="108"/>
        <v>445.20914374978173</v>
      </c>
      <c r="D397" s="159">
        <f t="shared" ref="D397:D407" si="109">$L397*(AVERAGE(D385/$L385,D373/$L373,D361/$L361,D349/$L349))*1.02</f>
        <v>404.80903565656956</v>
      </c>
      <c r="E397" s="159">
        <f t="shared" si="105"/>
        <v>6.3643425097109878</v>
      </c>
      <c r="F397" s="159">
        <f t="shared" si="105"/>
        <v>41.988263357088449</v>
      </c>
      <c r="G397" s="159">
        <f t="shared" si="105"/>
        <v>747.32925978605124</v>
      </c>
      <c r="H397" s="159">
        <f>$L397*(AVERAGE(H385/$L385,H373/$L373,H361/$L361,H349/$L349))-25</f>
        <v>254.85306760741156</v>
      </c>
      <c r="I397" s="159">
        <f t="shared" si="101"/>
        <v>1666.0794853236798</v>
      </c>
      <c r="J397" s="159">
        <f t="shared" si="106"/>
        <v>1842.0660317486572</v>
      </c>
      <c r="K397" s="159">
        <f t="shared" si="107"/>
        <v>2716.6144185839421</v>
      </c>
      <c r="L397" s="159">
        <f t="shared" si="102"/>
        <v>4558.6804503325993</v>
      </c>
      <c r="M397" s="160">
        <f>'[5]Renewable Diesel'!$AH59/1000000</f>
        <v>603.31170482833284</v>
      </c>
      <c r="N397" s="161">
        <f t="shared" si="103"/>
        <v>7.5560948243656778</v>
      </c>
      <c r="O397" s="157">
        <f t="shared" si="90"/>
        <v>4963.4894859891692</v>
      </c>
      <c r="P397" s="154">
        <f t="shared" si="91"/>
        <v>8.2270730805753018</v>
      </c>
    </row>
    <row r="398" spans="1:16" x14ac:dyDescent="0.2">
      <c r="A398" s="155">
        <v>52201</v>
      </c>
      <c r="B398" s="159">
        <f>$L398*(AVERAGE(B386/$L386,B374/$L374,B362/$L362,B350/$L350))-200</f>
        <v>1609.6949140050569</v>
      </c>
      <c r="C398" s="159">
        <f t="shared" si="108"/>
        <v>560.91701095950214</v>
      </c>
      <c r="D398" s="159">
        <f t="shared" si="109"/>
        <v>431.33415950122719</v>
      </c>
      <c r="E398" s="159">
        <f t="shared" si="105"/>
        <v>6.8602566899874864</v>
      </c>
      <c r="F398" s="159">
        <f t="shared" si="105"/>
        <v>40.543681363655011</v>
      </c>
      <c r="G398" s="159">
        <f t="shared" si="105"/>
        <v>848.13008057526588</v>
      </c>
      <c r="H398" s="159">
        <f>$L398*(AVERAGE(H386/$L386,H374/$L374,H362/$L362,H350/$L350))-25</f>
        <v>212.22106834527645</v>
      </c>
      <c r="I398" s="159">
        <f t="shared" si="101"/>
        <v>1893.5605109351795</v>
      </c>
      <c r="J398" s="159">
        <f t="shared" si="106"/>
        <v>2170.611924964559</v>
      </c>
      <c r="K398" s="159">
        <f t="shared" si="107"/>
        <v>3001.3155979093644</v>
      </c>
      <c r="L398" s="159">
        <f t="shared" si="102"/>
        <v>5171.9275228739234</v>
      </c>
      <c r="M398" s="160">
        <f>'[5]Renewable Diesel'!$AH60/1000000</f>
        <v>682.86821524964091</v>
      </c>
      <c r="N398" s="161">
        <f t="shared" si="103"/>
        <v>7.5738296312168902</v>
      </c>
      <c r="O398" s="157">
        <f t="shared" si="90"/>
        <v>5603.2616823751514</v>
      </c>
      <c r="P398" s="154">
        <f t="shared" si="91"/>
        <v>8.2054802921625623</v>
      </c>
    </row>
    <row r="399" spans="1:16" x14ac:dyDescent="0.2">
      <c r="A399" s="155">
        <v>52232</v>
      </c>
      <c r="B399" s="159">
        <f t="shared" si="108"/>
        <v>1135.1044300873018</v>
      </c>
      <c r="C399" s="159">
        <f t="shared" si="108"/>
        <v>284.23758803195039</v>
      </c>
      <c r="D399" s="159">
        <f t="shared" si="109"/>
        <v>302.42488453863547</v>
      </c>
      <c r="E399" s="159">
        <f t="shared" si="105"/>
        <v>3.7651186719929108</v>
      </c>
      <c r="F399" s="159">
        <f t="shared" si="105"/>
        <v>60.461278162947295</v>
      </c>
      <c r="G399" s="159">
        <f t="shared" si="105"/>
        <v>583.29863094368682</v>
      </c>
      <c r="H399" s="159">
        <f>$L399*(AVERAGE(H387/$L387,H375/$L375,H363/$L363,H351/$L351))-25</f>
        <v>124.1719491126355</v>
      </c>
      <c r="I399" s="159">
        <f t="shared" si="101"/>
        <v>613.08880336428274</v>
      </c>
      <c r="J399" s="159">
        <f t="shared" si="106"/>
        <v>1419.3420181192523</v>
      </c>
      <c r="K399" s="159">
        <f t="shared" si="107"/>
        <v>1384.7857802555452</v>
      </c>
      <c r="L399" s="159">
        <f t="shared" si="102"/>
        <v>2804.1277983747973</v>
      </c>
      <c r="M399" s="160">
        <f>'[5]Renewable Diesel'!$AI49/1000000</f>
        <v>393.87503693947525</v>
      </c>
      <c r="N399" s="161">
        <f t="shared" si="103"/>
        <v>7.1193336347581049</v>
      </c>
      <c r="O399" s="157">
        <f t="shared" si="90"/>
        <v>3106.5526829134333</v>
      </c>
      <c r="P399" s="154">
        <f t="shared" si="91"/>
        <v>7.8871530093713487</v>
      </c>
    </row>
    <row r="400" spans="1:16" x14ac:dyDescent="0.2">
      <c r="A400" s="155">
        <v>52263</v>
      </c>
      <c r="B400" s="159">
        <f t="shared" si="108"/>
        <v>724.55459167061815</v>
      </c>
      <c r="C400" s="159">
        <f t="shared" si="108"/>
        <v>257.29748717637597</v>
      </c>
      <c r="D400" s="159">
        <f t="shared" si="109"/>
        <v>276.16236522726194</v>
      </c>
      <c r="E400" s="159">
        <f t="shared" si="105"/>
        <v>4.0681498340599909</v>
      </c>
      <c r="F400" s="159">
        <f t="shared" si="105"/>
        <v>59.444884047012209</v>
      </c>
      <c r="G400" s="159">
        <f t="shared" si="105"/>
        <v>674.22746678173769</v>
      </c>
      <c r="H400" s="159">
        <f>$L400*(AVERAGE(H388/$L388,H376/$L376,H364/$L364,H352/$L352))-10</f>
        <v>89.696553890578457</v>
      </c>
      <c r="I400" s="159">
        <f t="shared" si="101"/>
        <v>1356.030354145435</v>
      </c>
      <c r="J400" s="159">
        <f t="shared" si="106"/>
        <v>981.85207884699412</v>
      </c>
      <c r="K400" s="159">
        <f t="shared" si="107"/>
        <v>2183.4674086988234</v>
      </c>
      <c r="L400" s="159">
        <f t="shared" si="102"/>
        <v>3165.3194875458175</v>
      </c>
      <c r="M400" s="160">
        <f>'[5]Renewable Diesel'!$AI50/1000000</f>
        <v>429.28916377650756</v>
      </c>
      <c r="N400" s="161">
        <f t="shared" si="103"/>
        <v>7.3733971286396507</v>
      </c>
      <c r="O400" s="157">
        <f t="shared" si="90"/>
        <v>3441.4818527730795</v>
      </c>
      <c r="P400" s="154">
        <f t="shared" si="91"/>
        <v>8.0166986338484687</v>
      </c>
    </row>
    <row r="401" spans="1:16" x14ac:dyDescent="0.2">
      <c r="A401" s="155">
        <v>52291</v>
      </c>
      <c r="B401" s="159">
        <f t="shared" si="108"/>
        <v>857.73993598785353</v>
      </c>
      <c r="C401" s="159">
        <f t="shared" si="108"/>
        <v>288.38438049960337</v>
      </c>
      <c r="D401" s="159">
        <f t="shared" si="109"/>
        <v>261.76416096880155</v>
      </c>
      <c r="E401" s="159">
        <f t="shared" si="105"/>
        <v>4.1674795414885768</v>
      </c>
      <c r="F401" s="159">
        <f t="shared" si="105"/>
        <v>88.861369951209653</v>
      </c>
      <c r="G401" s="159">
        <f t="shared" si="105"/>
        <v>597.62778991392577</v>
      </c>
      <c r="H401" s="159">
        <f t="shared" si="105"/>
        <v>173.42431317124726</v>
      </c>
      <c r="I401" s="159">
        <f t="shared" si="101"/>
        <v>1349.8352018674309</v>
      </c>
      <c r="J401" s="159">
        <f t="shared" si="106"/>
        <v>1146.1243164874568</v>
      </c>
      <c r="K401" s="159">
        <f t="shared" si="107"/>
        <v>2213.9161544453023</v>
      </c>
      <c r="L401" s="159">
        <f t="shared" si="102"/>
        <v>3360.040470932759</v>
      </c>
      <c r="M401" s="160">
        <f>'[5]Renewable Diesel'!$AI51/1000000</f>
        <v>459.44383041338159</v>
      </c>
      <c r="N401" s="161">
        <f t="shared" si="103"/>
        <v>7.3132780298945024</v>
      </c>
      <c r="O401" s="157">
        <f t="shared" si="90"/>
        <v>3621.8046319015612</v>
      </c>
      <c r="P401" s="154">
        <f t="shared" si="91"/>
        <v>7.8830194077105489</v>
      </c>
    </row>
    <row r="402" spans="1:16" x14ac:dyDescent="0.2">
      <c r="A402" s="155">
        <v>52322</v>
      </c>
      <c r="B402" s="159">
        <f t="shared" si="108"/>
        <v>777.42344478516384</v>
      </c>
      <c r="C402" s="159">
        <f t="shared" si="108"/>
        <v>230.41044977783955</v>
      </c>
      <c r="D402" s="159">
        <f>$L402*(AVERAGE(D390/$L390,D378/$L378,D366/$L366,D354/$L354))</f>
        <v>214.43696933823335</v>
      </c>
      <c r="E402" s="159">
        <f t="shared" si="105"/>
        <v>3.9242679672036935</v>
      </c>
      <c r="F402" s="159">
        <f t="shared" si="105"/>
        <v>96.061946261634347</v>
      </c>
      <c r="G402" s="159">
        <f t="shared" si="105"/>
        <v>327.23348267092263</v>
      </c>
      <c r="H402" s="159">
        <f t="shared" si="105"/>
        <v>242.58767341728802</v>
      </c>
      <c r="I402" s="159">
        <f t="shared" si="101"/>
        <v>1599.4419766285507</v>
      </c>
      <c r="J402" s="159">
        <f t="shared" si="106"/>
        <v>1007.8338945630034</v>
      </c>
      <c r="K402" s="159">
        <f t="shared" si="107"/>
        <v>2269.2493469455994</v>
      </c>
      <c r="L402" s="159">
        <f t="shared" si="102"/>
        <v>3277.0832415086029</v>
      </c>
      <c r="M402" s="160">
        <f>'[5]Renewable Diesel'!$AI52/1000000</f>
        <v>439.62831967919084</v>
      </c>
      <c r="N402" s="161">
        <f t="shared" si="103"/>
        <v>7.4542132406301365</v>
      </c>
      <c r="O402" s="157">
        <f t="shared" si="90"/>
        <v>3491.5202108468361</v>
      </c>
      <c r="P402" s="154">
        <f t="shared" si="91"/>
        <v>7.9419820210733842</v>
      </c>
    </row>
    <row r="403" spans="1:16" x14ac:dyDescent="0.2">
      <c r="A403" s="155">
        <v>52352</v>
      </c>
      <c r="B403" s="159">
        <f t="shared" si="108"/>
        <v>700.41479616078732</v>
      </c>
      <c r="C403" s="159">
        <f t="shared" si="108"/>
        <v>334.50970374927596</v>
      </c>
      <c r="D403" s="159">
        <f t="shared" si="109"/>
        <v>178.62215300564731</v>
      </c>
      <c r="E403" s="159">
        <f t="shared" ref="E403:H418" si="110">$L403*(AVERAGE(E391/$L391,E379/$L379,E367/$L367,E355/$L355))</f>
        <v>4.1712248389768973</v>
      </c>
      <c r="F403" s="159">
        <f t="shared" si="110"/>
        <v>89.598207606874709</v>
      </c>
      <c r="G403" s="159">
        <f t="shared" si="110"/>
        <v>391.82013513609138</v>
      </c>
      <c r="H403" s="159">
        <f t="shared" si="110"/>
        <v>219.67285680346257</v>
      </c>
      <c r="I403" s="159">
        <f t="shared" si="101"/>
        <v>1812.5475983085157</v>
      </c>
      <c r="J403" s="159">
        <f t="shared" si="106"/>
        <v>1034.9244999100633</v>
      </c>
      <c r="K403" s="159">
        <f t="shared" si="107"/>
        <v>2517.8100226939214</v>
      </c>
      <c r="L403" s="159">
        <f t="shared" si="102"/>
        <v>3552.7345226039847</v>
      </c>
      <c r="M403" s="160">
        <f>'[5]Renewable Diesel'!$AI53/1000000</f>
        <v>490.88931985094069</v>
      </c>
      <c r="N403" s="161">
        <f t="shared" si="103"/>
        <v>7.2373432848015069</v>
      </c>
      <c r="O403" s="157">
        <f t="shared" si="90"/>
        <v>3731.356675609632</v>
      </c>
      <c r="P403" s="154">
        <f t="shared" si="91"/>
        <v>7.6012178809322322</v>
      </c>
    </row>
    <row r="404" spans="1:16" x14ac:dyDescent="0.2">
      <c r="A404" s="155">
        <v>52383</v>
      </c>
      <c r="B404" s="159">
        <f t="shared" si="108"/>
        <v>876.84344414822579</v>
      </c>
      <c r="C404" s="159">
        <f t="shared" si="108"/>
        <v>289.27783239747674</v>
      </c>
      <c r="D404" s="159">
        <f t="shared" si="109"/>
        <v>208.89987586763331</v>
      </c>
      <c r="E404" s="159">
        <f t="shared" si="110"/>
        <v>3.9374983290920578</v>
      </c>
      <c r="F404" s="159">
        <f t="shared" si="110"/>
        <v>106.85431349714798</v>
      </c>
      <c r="G404" s="159">
        <f t="shared" si="110"/>
        <v>433.66551467381191</v>
      </c>
      <c r="H404" s="159">
        <f t="shared" si="110"/>
        <v>256.24108353210539</v>
      </c>
      <c r="I404" s="159">
        <f t="shared" si="101"/>
        <v>1648.9532187840032</v>
      </c>
      <c r="J404" s="159">
        <f t="shared" si="106"/>
        <v>1166.1212765457026</v>
      </c>
      <c r="K404" s="159">
        <f t="shared" si="107"/>
        <v>2449.6516288161606</v>
      </c>
      <c r="L404" s="159">
        <f t="shared" si="102"/>
        <v>3615.7729053618632</v>
      </c>
      <c r="M404" s="160">
        <f>'[5]Renewable Diesel'!$AI54/1000000</f>
        <v>492.13759767026903</v>
      </c>
      <c r="N404" s="161">
        <f t="shared" si="103"/>
        <v>7.3470771639447516</v>
      </c>
      <c r="O404" s="157">
        <f t="shared" si="90"/>
        <v>3824.6727812294962</v>
      </c>
      <c r="P404" s="154">
        <f t="shared" si="91"/>
        <v>7.7715516947600038</v>
      </c>
    </row>
    <row r="405" spans="1:16" x14ac:dyDescent="0.2">
      <c r="A405" s="155">
        <v>52413</v>
      </c>
      <c r="B405" s="159">
        <f t="shared" ref="B405:C407" si="111">$L405*(AVERAGE(B393/$L393,B381/$L381,B369/$L369,B357/$L357))</f>
        <v>1028.8710184126578</v>
      </c>
      <c r="C405" s="159">
        <f t="shared" si="111"/>
        <v>403.45995680892639</v>
      </c>
      <c r="D405" s="159">
        <f t="shared" si="109"/>
        <v>232.16445810739305</v>
      </c>
      <c r="E405" s="159">
        <f t="shared" si="110"/>
        <v>3.7701459415378515</v>
      </c>
      <c r="F405" s="159">
        <f t="shared" si="110"/>
        <v>107.49699675648989</v>
      </c>
      <c r="G405" s="159">
        <f t="shared" si="110"/>
        <v>476.60876362603926</v>
      </c>
      <c r="H405" s="159">
        <f t="shared" si="110"/>
        <v>264.9100108219983</v>
      </c>
      <c r="I405" s="159">
        <f t="shared" si="101"/>
        <v>1234.3061418188304</v>
      </c>
      <c r="J405" s="159">
        <f t="shared" si="106"/>
        <v>1432.3309752215841</v>
      </c>
      <c r="K405" s="159">
        <f t="shared" si="107"/>
        <v>2087.0920589648958</v>
      </c>
      <c r="L405" s="159">
        <f t="shared" si="102"/>
        <v>3519.42303418648</v>
      </c>
      <c r="M405" s="160">
        <f>'[5]Renewable Diesel'!$AI55/1000000</f>
        <v>479.18542611763957</v>
      </c>
      <c r="N405" s="161">
        <f t="shared" si="103"/>
        <v>7.3445953118834311</v>
      </c>
      <c r="O405" s="157">
        <f t="shared" si="90"/>
        <v>3751.5874922938733</v>
      </c>
      <c r="P405" s="154">
        <f t="shared" si="91"/>
        <v>7.8290934736668349</v>
      </c>
    </row>
    <row r="406" spans="1:16" x14ac:dyDescent="0.2">
      <c r="A406" s="155">
        <v>52444</v>
      </c>
      <c r="B406" s="159">
        <f t="shared" si="111"/>
        <v>1077.2948929247896</v>
      </c>
      <c r="C406" s="159">
        <f t="shared" si="111"/>
        <v>315.93247940308964</v>
      </c>
      <c r="D406" s="159">
        <f t="shared" si="109"/>
        <v>218.77216508889293</v>
      </c>
      <c r="E406" s="159">
        <f t="shared" si="110"/>
        <v>3.8424781567116293</v>
      </c>
      <c r="F406" s="159">
        <f t="shared" si="110"/>
        <v>82.904636880031134</v>
      </c>
      <c r="G406" s="159">
        <f t="shared" si="110"/>
        <v>505.18593579117646</v>
      </c>
      <c r="H406" s="159">
        <f t="shared" si="110"/>
        <v>286.70517728102033</v>
      </c>
      <c r="I406" s="159">
        <f t="shared" si="101"/>
        <v>1345.7599055573792</v>
      </c>
      <c r="J406" s="159">
        <f t="shared" si="106"/>
        <v>1393.2273723278793</v>
      </c>
      <c r="K406" s="159">
        <f t="shared" si="107"/>
        <v>2224.3981336663187</v>
      </c>
      <c r="L406" s="159">
        <f t="shared" si="102"/>
        <v>3617.6255059941977</v>
      </c>
      <c r="M406" s="160">
        <f>'[5]Renewable Diesel'!$AI56/1000000</f>
        <v>493.49513425461197</v>
      </c>
      <c r="N406" s="161">
        <f t="shared" si="103"/>
        <v>7.3306204152516203</v>
      </c>
      <c r="O406" s="157">
        <f t="shared" si="90"/>
        <v>3836.3976710830907</v>
      </c>
      <c r="P406" s="154">
        <f t="shared" si="91"/>
        <v>7.7739321115651663</v>
      </c>
    </row>
    <row r="407" spans="1:16" x14ac:dyDescent="0.2">
      <c r="A407" s="155">
        <v>52475</v>
      </c>
      <c r="B407" s="159">
        <f t="shared" si="111"/>
        <v>1073.1571494665122</v>
      </c>
      <c r="C407" s="159">
        <f t="shared" si="111"/>
        <v>244.01213787023221</v>
      </c>
      <c r="D407" s="159">
        <f t="shared" si="109"/>
        <v>274.82400407937627</v>
      </c>
      <c r="E407" s="159">
        <f t="shared" si="110"/>
        <v>4.6295929381753487</v>
      </c>
      <c r="F407" s="159">
        <f t="shared" si="110"/>
        <v>96.254446504764843</v>
      </c>
      <c r="G407" s="159">
        <f t="shared" si="110"/>
        <v>509.50802600887829</v>
      </c>
      <c r="H407" s="159">
        <f t="shared" si="110"/>
        <v>253.10426261401147</v>
      </c>
      <c r="I407" s="159">
        <f t="shared" si="101"/>
        <v>1501.0108973703241</v>
      </c>
      <c r="J407" s="159">
        <f t="shared" si="106"/>
        <v>1317.1692873367444</v>
      </c>
      <c r="K407" s="159">
        <f t="shared" si="107"/>
        <v>2364.5072254361539</v>
      </c>
      <c r="L407" s="159">
        <f t="shared" si="102"/>
        <v>3681.6765127728981</v>
      </c>
      <c r="M407" s="160">
        <f>'[5]Renewable Diesel'!$AI57/1000000</f>
        <v>499.57784943475701</v>
      </c>
      <c r="N407" s="161">
        <f t="shared" si="103"/>
        <v>7.3695751661898115</v>
      </c>
      <c r="O407" s="157">
        <f t="shared" si="90"/>
        <v>3956.5005168522748</v>
      </c>
      <c r="P407" s="154">
        <f t="shared" si="91"/>
        <v>7.9196876349278149</v>
      </c>
    </row>
    <row r="408" spans="1:16" x14ac:dyDescent="0.2">
      <c r="A408" s="155">
        <v>52505</v>
      </c>
      <c r="B408" s="159">
        <f>$L408*(AVERAGE(B396/$L396,B384/$L384,B372/$L372,B360/$L360))-200</f>
        <v>747.43845158645217</v>
      </c>
      <c r="C408" s="159">
        <f t="shared" ref="C408:D414" si="112">$L408*(AVERAGE(C396/$L396,C384/$L384,C372/$L372,C360/$L360))</f>
        <v>365.03432559819822</v>
      </c>
      <c r="D408" s="159">
        <f t="shared" si="112"/>
        <v>329.22497542198261</v>
      </c>
      <c r="E408" s="159">
        <f t="shared" si="110"/>
        <v>6.0741360081107629</v>
      </c>
      <c r="F408" s="159">
        <f t="shared" si="110"/>
        <v>96.346512566543183</v>
      </c>
      <c r="G408" s="159">
        <f t="shared" si="110"/>
        <v>600.40544926495056</v>
      </c>
      <c r="H408" s="159">
        <f>$L408*(AVERAGE(H396/$L396,H384/$L384,H372/$L372,H360/$L360))-25</f>
        <v>249.1962079545105</v>
      </c>
      <c r="I408" s="159">
        <f t="shared" si="101"/>
        <v>2010.9726323198615</v>
      </c>
      <c r="J408" s="159">
        <f t="shared" si="106"/>
        <v>1112.4727771846503</v>
      </c>
      <c r="K408" s="159">
        <f t="shared" si="107"/>
        <v>2962.9949381139768</v>
      </c>
      <c r="L408" s="159">
        <f t="shared" si="102"/>
        <v>4075.4677152986269</v>
      </c>
      <c r="M408" s="160">
        <f>'[5]Renewable Diesel'!$AI58/1000000</f>
        <v>542.593217690762</v>
      </c>
      <c r="N408" s="161">
        <f t="shared" si="103"/>
        <v>7.5110922555271271</v>
      </c>
      <c r="O408" s="157">
        <f t="shared" ref="O408:O471" si="113">SUM(D408:I408,B408:C408)</f>
        <v>4404.6926907206098</v>
      </c>
      <c r="P408" s="154">
        <f t="shared" si="91"/>
        <v>8.1178543098394549</v>
      </c>
    </row>
    <row r="409" spans="1:16" x14ac:dyDescent="0.2">
      <c r="A409" s="155">
        <v>52536</v>
      </c>
      <c r="B409" s="159">
        <f>$L409*(AVERAGE(B397/$L397,B385/$L385,B373/$L373,B361/$L361))-300</f>
        <v>1200.9324353863381</v>
      </c>
      <c r="C409" s="159">
        <f t="shared" si="112"/>
        <v>483.80657605215453</v>
      </c>
      <c r="D409" s="159">
        <f t="shared" si="112"/>
        <v>409.30900266183392</v>
      </c>
      <c r="E409" s="159">
        <f t="shared" si="110"/>
        <v>6.9165161170695502</v>
      </c>
      <c r="F409" s="159">
        <f t="shared" si="110"/>
        <v>45.611451129052263</v>
      </c>
      <c r="G409" s="159">
        <f t="shared" si="110"/>
        <v>812.25507486554307</v>
      </c>
      <c r="H409" s="159">
        <f>$L409*(AVERAGE(H397/$L397,H385/$L385,H373/$L373,H361/$L361))-25</f>
        <v>283.63677955154799</v>
      </c>
      <c r="I409" s="159">
        <f t="shared" si="101"/>
        <v>2120.8662580907662</v>
      </c>
      <c r="J409" s="159">
        <f t="shared" si="106"/>
        <v>1684.7390114384925</v>
      </c>
      <c r="K409" s="159">
        <f t="shared" si="107"/>
        <v>3269.2860797539788</v>
      </c>
      <c r="L409" s="159">
        <f t="shared" si="102"/>
        <v>4954.0250911924713</v>
      </c>
      <c r="M409" s="160">
        <f>'[5]Renewable Diesel'!$AI59/1000000</f>
        <v>655.62528377727415</v>
      </c>
      <c r="N409" s="161">
        <f t="shared" si="103"/>
        <v>7.5561837131275569</v>
      </c>
      <c r="O409" s="157">
        <f t="shared" si="113"/>
        <v>5363.334093854306</v>
      </c>
      <c r="P409" s="154">
        <f t="shared" si="91"/>
        <v>8.1804869741361461</v>
      </c>
    </row>
    <row r="410" spans="1:16" x14ac:dyDescent="0.2">
      <c r="A410" s="155">
        <v>52566</v>
      </c>
      <c r="B410" s="159">
        <f>$L410*(AVERAGE(B398/$L398,B386/$L386,B374/$L374,B362/$L362))-200</f>
        <v>1712.5430001567754</v>
      </c>
      <c r="C410" s="159">
        <f t="shared" si="112"/>
        <v>609.55009441520917</v>
      </c>
      <c r="D410" s="159">
        <f t="shared" si="112"/>
        <v>438.55352089466305</v>
      </c>
      <c r="E410" s="159">
        <f t="shared" si="110"/>
        <v>7.4554918855429033</v>
      </c>
      <c r="F410" s="159">
        <f t="shared" si="110"/>
        <v>44.038049456401644</v>
      </c>
      <c r="G410" s="159">
        <f t="shared" si="110"/>
        <v>921.79517993797845</v>
      </c>
      <c r="H410" s="159">
        <f>$L410*(AVERAGE(H398/$L398,H386/$L386,H374/$L374,H362/$L362))-25</f>
        <v>230.51396824814424</v>
      </c>
      <c r="I410" s="159">
        <f t="shared" si="101"/>
        <v>2094.5994668384374</v>
      </c>
      <c r="J410" s="159">
        <f t="shared" si="106"/>
        <v>2322.0930945719847</v>
      </c>
      <c r="K410" s="159">
        <f t="shared" si="107"/>
        <v>3298.4021563665046</v>
      </c>
      <c r="L410" s="159">
        <f t="shared" si="102"/>
        <v>5620.4952509384893</v>
      </c>
      <c r="M410" s="160">
        <f>'[5]Renewable Diesel'!$AI60/1000000</f>
        <v>742.09683995330363</v>
      </c>
      <c r="N410" s="161">
        <f t="shared" si="103"/>
        <v>7.573802970636768</v>
      </c>
      <c r="O410" s="157">
        <f t="shared" si="113"/>
        <v>6059.0487718331524</v>
      </c>
      <c r="P410" s="154">
        <f t="shared" ref="P410:P473" si="114">O410/M410</f>
        <v>8.1647683235174764</v>
      </c>
    </row>
    <row r="411" spans="1:16" x14ac:dyDescent="0.2">
      <c r="A411" s="155">
        <v>52597</v>
      </c>
      <c r="B411" s="159">
        <f>$L411*(AVERAGE(B399/$L399,B387/$L387,B375/$L375,B363/$L363))-200</f>
        <v>956.64018428279701</v>
      </c>
      <c r="C411" s="159">
        <f t="shared" si="112"/>
        <v>289.88052676484409</v>
      </c>
      <c r="D411" s="159">
        <f t="shared" si="112"/>
        <v>273.79366475974223</v>
      </c>
      <c r="E411" s="159">
        <f t="shared" si="110"/>
        <v>3.8403114847177817</v>
      </c>
      <c r="F411" s="159">
        <f t="shared" si="110"/>
        <v>61.671499212353368</v>
      </c>
      <c r="G411" s="159">
        <f t="shared" si="110"/>
        <v>595.01802605211094</v>
      </c>
      <c r="H411" s="159">
        <f>$L411*(AVERAGE(H399/$L399,H387/$L387,H375/$L375,H363/$L363))-25</f>
        <v>125.03000146591401</v>
      </c>
      <c r="I411" s="159">
        <f t="shared" si="101"/>
        <v>827.99549518124263</v>
      </c>
      <c r="J411" s="159">
        <f t="shared" si="106"/>
        <v>1246.520711047641</v>
      </c>
      <c r="K411" s="159">
        <f t="shared" si="107"/>
        <v>1613.5553333963387</v>
      </c>
      <c r="L411" s="159">
        <f t="shared" si="102"/>
        <v>2860.0760444439798</v>
      </c>
      <c r="M411" s="160">
        <f>'[5]Renewable Diesel'!$AJ49/1000000</f>
        <v>401.73417858368697</v>
      </c>
      <c r="N411" s="161">
        <f t="shared" si="103"/>
        <v>7.1193246602197799</v>
      </c>
      <c r="O411" s="157">
        <f t="shared" si="113"/>
        <v>3133.8697092037219</v>
      </c>
      <c r="P411" s="154">
        <f t="shared" si="114"/>
        <v>7.8008540877755861</v>
      </c>
    </row>
    <row r="412" spans="1:16" x14ac:dyDescent="0.2">
      <c r="A412" s="155">
        <v>52628</v>
      </c>
      <c r="B412" s="159">
        <f t="shared" ref="B412:B419" si="115">$L412*(AVERAGE(B400/$L400,B388/$L388,B376/$L376,B364/$L364))</f>
        <v>765.73144837135339</v>
      </c>
      <c r="C412" s="159">
        <f t="shared" si="112"/>
        <v>262.39319665820108</v>
      </c>
      <c r="D412" s="159">
        <f t="shared" si="112"/>
        <v>246.49777917865617</v>
      </c>
      <c r="E412" s="159">
        <f t="shared" si="110"/>
        <v>4.1491859534612638</v>
      </c>
      <c r="F412" s="159">
        <f t="shared" si="110"/>
        <v>60.628893578396365</v>
      </c>
      <c r="G412" s="159">
        <f t="shared" si="110"/>
        <v>687.73481445918878</v>
      </c>
      <c r="H412" s="159">
        <f>$L412*(AVERAGE(H400/$L400,H388/$L388,H376/$L376,H364/$L364))-25</f>
        <v>77.157939973322428</v>
      </c>
      <c r="I412" s="159">
        <f t="shared" si="101"/>
        <v>1370.5147938937446</v>
      </c>
      <c r="J412" s="159">
        <f t="shared" si="106"/>
        <v>1028.1246450295544</v>
      </c>
      <c r="K412" s="159">
        <f t="shared" si="107"/>
        <v>2200.1856278581135</v>
      </c>
      <c r="L412" s="159">
        <f t="shared" si="102"/>
        <v>3228.3102728876679</v>
      </c>
      <c r="M412" s="160">
        <f>'[5]Renewable Diesel'!$AJ50/1000000</f>
        <v>437.83050935546811</v>
      </c>
      <c r="N412" s="161">
        <f t="shared" si="103"/>
        <v>7.3734246561302346</v>
      </c>
      <c r="O412" s="157">
        <f t="shared" si="113"/>
        <v>3474.8080520663243</v>
      </c>
      <c r="P412" s="154">
        <f t="shared" si="114"/>
        <v>7.9364228344470602</v>
      </c>
    </row>
    <row r="413" spans="1:16" x14ac:dyDescent="0.2">
      <c r="A413" s="155">
        <v>52657</v>
      </c>
      <c r="B413" s="159">
        <f t="shared" si="115"/>
        <v>901.66678492764015</v>
      </c>
      <c r="C413" s="159">
        <f t="shared" si="112"/>
        <v>294.11689883108551</v>
      </c>
      <c r="D413" s="159">
        <f t="shared" si="112"/>
        <v>231.65335420299633</v>
      </c>
      <c r="E413" s="159">
        <f t="shared" si="110"/>
        <v>4.250833340084327</v>
      </c>
      <c r="F413" s="159">
        <f t="shared" si="110"/>
        <v>90.634850653991819</v>
      </c>
      <c r="G413" s="159">
        <f t="shared" si="110"/>
        <v>609.64734453950643</v>
      </c>
      <c r="H413" s="159">
        <f>$L413*(AVERAGE(H401/$L401,H389/$L389,H377/$L377,H365/$L365))</f>
        <v>179.86651191170981</v>
      </c>
      <c r="I413" s="159">
        <f t="shared" si="101"/>
        <v>1347.0060068637108</v>
      </c>
      <c r="J413" s="159">
        <f t="shared" si="106"/>
        <v>1195.7836837587256</v>
      </c>
      <c r="K413" s="159">
        <f t="shared" si="107"/>
        <v>2231.4055473090034</v>
      </c>
      <c r="L413" s="159">
        <f t="shared" si="102"/>
        <v>3427.189231067729</v>
      </c>
      <c r="M413" s="160">
        <f>'[5]Renewable Diesel'!$AJ51/1000000</f>
        <v>468.62089021794412</v>
      </c>
      <c r="N413" s="161">
        <f t="shared" si="103"/>
        <v>7.3133513733752391</v>
      </c>
      <c r="O413" s="157">
        <f t="shared" si="113"/>
        <v>3658.8425852707251</v>
      </c>
      <c r="P413" s="154">
        <f t="shared" si="114"/>
        <v>7.8076813510577532</v>
      </c>
    </row>
    <row r="414" spans="1:16" x14ac:dyDescent="0.2">
      <c r="A414" s="155">
        <v>52688</v>
      </c>
      <c r="B414" s="159">
        <f t="shared" si="115"/>
        <v>819.6550929125832</v>
      </c>
      <c r="C414" s="159">
        <f t="shared" si="112"/>
        <v>234.9729897066884</v>
      </c>
      <c r="D414" s="159">
        <f t="shared" si="112"/>
        <v>183.89716301987474</v>
      </c>
      <c r="E414" s="159">
        <f t="shared" si="110"/>
        <v>4.0024142032094243</v>
      </c>
      <c r="F414" s="159">
        <f t="shared" si="110"/>
        <v>97.977197520268007</v>
      </c>
      <c r="G414" s="159">
        <f t="shared" si="110"/>
        <v>333.782740372126</v>
      </c>
      <c r="H414" s="159">
        <f>$L414*(AVERAGE(H402/$L402,H390/$L390,H378/$L378,H366/$L366))</f>
        <v>246.96963286255911</v>
      </c>
      <c r="I414" s="159">
        <f t="shared" si="101"/>
        <v>1604.9469613645997</v>
      </c>
      <c r="J414" s="159">
        <f t="shared" si="106"/>
        <v>1054.6280826192715</v>
      </c>
      <c r="K414" s="159">
        <f t="shared" si="107"/>
        <v>2287.6789463227624</v>
      </c>
      <c r="L414" s="159">
        <f t="shared" si="102"/>
        <v>3342.3070289420339</v>
      </c>
      <c r="M414" s="160">
        <f>'[5]Renewable Diesel'!$AJ52/1000000</f>
        <v>448.37891680213147</v>
      </c>
      <c r="N414" s="161">
        <f t="shared" si="103"/>
        <v>7.454202023546495</v>
      </c>
      <c r="O414" s="157">
        <f t="shared" si="113"/>
        <v>3526.2041919619087</v>
      </c>
      <c r="P414" s="154">
        <f t="shared" si="114"/>
        <v>7.8643398693030298</v>
      </c>
    </row>
    <row r="415" spans="1:16" x14ac:dyDescent="0.2">
      <c r="A415" s="155">
        <v>52718</v>
      </c>
      <c r="B415" s="159">
        <f t="shared" si="115"/>
        <v>741.70467565351009</v>
      </c>
      <c r="C415" s="159">
        <f t="shared" ref="C415:C420" si="116">$L415*(AVERAGE(C403/$L403,C391/$L391,C379/$L379,C367/$L367))</f>
        <v>341.12638162645698</v>
      </c>
      <c r="D415" s="159">
        <f>$L415*(AVERAGE(D403/$L403,D391/$L391,D379/$L379,D367/$L367))*0.95</f>
        <v>138.39177200322999</v>
      </c>
      <c r="E415" s="159">
        <f t="shared" si="110"/>
        <v>4.2543190737200867</v>
      </c>
      <c r="F415" s="159">
        <f t="shared" si="110"/>
        <v>91.384582812717781</v>
      </c>
      <c r="G415" s="159">
        <f t="shared" si="110"/>
        <v>399.66805158597418</v>
      </c>
      <c r="H415" s="159">
        <f>$L415*(AVERAGE(H403/$L403,H391/$L391,H379/$L379,H367/$L367))</f>
        <v>223.74867724201442</v>
      </c>
      <c r="I415" s="159">
        <f t="shared" si="101"/>
        <v>1821.5938707823436</v>
      </c>
      <c r="J415" s="159">
        <f t="shared" si="106"/>
        <v>1082.8310572799671</v>
      </c>
      <c r="K415" s="159">
        <f t="shared" si="107"/>
        <v>2540.64950149677</v>
      </c>
      <c r="L415" s="159">
        <f t="shared" si="102"/>
        <v>3623.4805587767373</v>
      </c>
      <c r="M415" s="160">
        <f>'[5]Renewable Diesel'!$AJ53/1000000</f>
        <v>500.66195388548073</v>
      </c>
      <c r="N415" s="161">
        <f t="shared" si="103"/>
        <v>7.2373794945991774</v>
      </c>
      <c r="O415" s="157">
        <f t="shared" si="113"/>
        <v>3761.8723307799669</v>
      </c>
      <c r="P415" s="154">
        <f t="shared" si="114"/>
        <v>7.5137970872067532</v>
      </c>
    </row>
    <row r="416" spans="1:16" x14ac:dyDescent="0.2">
      <c r="A416" s="155">
        <v>52749</v>
      </c>
      <c r="B416" s="159">
        <f t="shared" si="115"/>
        <v>893.7985876043025</v>
      </c>
      <c r="C416" s="159">
        <f t="shared" si="116"/>
        <v>295.01833687731943</v>
      </c>
      <c r="D416" s="159">
        <f>$L416*(AVERAGE(D404/$L404,D392/$L392,D380/$L380,D368/$L368))</f>
        <v>176.99155476749414</v>
      </c>
      <c r="E416" s="159">
        <f t="shared" si="110"/>
        <v>4.0161244415501738</v>
      </c>
      <c r="F416" s="159">
        <f t="shared" si="110"/>
        <v>108.99119920392786</v>
      </c>
      <c r="G416" s="159">
        <f t="shared" si="110"/>
        <v>442.38082524616289</v>
      </c>
      <c r="H416" s="159">
        <f>$L416*(AVERAGE(H404/$L404,H392/$L392,H380/$L380,H368/$L368))</f>
        <v>261.06780548492014</v>
      </c>
      <c r="I416" s="159">
        <f t="shared" si="101"/>
        <v>1682.6472407435647</v>
      </c>
      <c r="J416" s="159">
        <f t="shared" si="106"/>
        <v>1188.816924481622</v>
      </c>
      <c r="K416" s="159">
        <f t="shared" si="107"/>
        <v>2499.1031951201257</v>
      </c>
      <c r="L416" s="159">
        <f t="shared" si="102"/>
        <v>3687.9201196017475</v>
      </c>
      <c r="M416" s="160">
        <f>'[5]Renewable Diesel'!$AJ54/1000000</f>
        <v>501.95704962916807</v>
      </c>
      <c r="N416" s="161">
        <f t="shared" si="103"/>
        <v>7.347083026976672</v>
      </c>
      <c r="O416" s="157">
        <f t="shared" si="113"/>
        <v>3864.9116743692421</v>
      </c>
      <c r="P416" s="154">
        <f t="shared" si="114"/>
        <v>7.6996860134239204</v>
      </c>
    </row>
    <row r="417" spans="1:16" x14ac:dyDescent="0.2">
      <c r="A417" s="155">
        <v>52779</v>
      </c>
      <c r="B417" s="159">
        <f t="shared" si="115"/>
        <v>1048.8546327269173</v>
      </c>
      <c r="C417" s="159">
        <f t="shared" si="116"/>
        <v>411.43597859055239</v>
      </c>
      <c r="D417" s="159">
        <f>$L417*(AVERAGE(D405/$L405,D393/$L393,D381/$L381,D369/$L369))</f>
        <v>201.05212376028513</v>
      </c>
      <c r="E417" s="159">
        <f t="shared" si="110"/>
        <v>3.84525618475773</v>
      </c>
      <c r="F417" s="159">
        <f t="shared" si="110"/>
        <v>109.64496179840373</v>
      </c>
      <c r="G417" s="159">
        <f t="shared" si="110"/>
        <v>486.16528839603194</v>
      </c>
      <c r="H417" s="159">
        <f>$L417*(AVERAGE(H405/$L405,H393/$L393,H381/$L381,H369/$L369))-1</f>
        <v>269.0303856534432</v>
      </c>
      <c r="I417" s="159">
        <f t="shared" si="101"/>
        <v>1260.4946580725591</v>
      </c>
      <c r="J417" s="159">
        <f t="shared" si="106"/>
        <v>1460.2906113174697</v>
      </c>
      <c r="K417" s="159">
        <f t="shared" si="107"/>
        <v>2129.1805501051958</v>
      </c>
      <c r="L417" s="159">
        <f t="shared" si="102"/>
        <v>3589.4711614226653</v>
      </c>
      <c r="M417" s="160">
        <f>'[5]Renewable Diesel'!$AJ55/1000000</f>
        <v>488.73230266466373</v>
      </c>
      <c r="N417" s="161">
        <f t="shared" si="103"/>
        <v>7.344452457617737</v>
      </c>
      <c r="O417" s="157">
        <f t="shared" si="113"/>
        <v>3790.5232851829505</v>
      </c>
      <c r="P417" s="154">
        <f t="shared" si="114"/>
        <v>7.755827197253546</v>
      </c>
    </row>
    <row r="418" spans="1:16" x14ac:dyDescent="0.2">
      <c r="A418" s="155">
        <v>52810</v>
      </c>
      <c r="B418" s="159">
        <f t="shared" si="115"/>
        <v>1098.3019638526105</v>
      </c>
      <c r="C418" s="159">
        <f t="shared" si="116"/>
        <v>322.20665784927229</v>
      </c>
      <c r="D418" s="159">
        <f>$L418*(AVERAGE(D406/$L406,D394/$L394,D382/$L382,D370/$L370))</f>
        <v>187.29877850850949</v>
      </c>
      <c r="E418" s="159">
        <f t="shared" si="110"/>
        <v>3.9193751352311645</v>
      </c>
      <c r="F418" s="159">
        <f t="shared" si="110"/>
        <v>84.568782683809346</v>
      </c>
      <c r="G418" s="159">
        <f t="shared" si="110"/>
        <v>515.37276265634637</v>
      </c>
      <c r="H418" s="159">
        <f>$L418*(AVERAGE(H406/$L406,H394/$L394,H382/$L382,H370/$L370))</f>
        <v>292.46969964915809</v>
      </c>
      <c r="I418" s="159">
        <f t="shared" si="101"/>
        <v>1373.1407542895076</v>
      </c>
      <c r="J418" s="159">
        <f t="shared" si="106"/>
        <v>1420.5086217018827</v>
      </c>
      <c r="K418" s="159">
        <f t="shared" si="107"/>
        <v>2269.4713744140527</v>
      </c>
      <c r="L418" s="159">
        <f t="shared" si="102"/>
        <v>3689.9799961159351</v>
      </c>
      <c r="M418" s="160">
        <f>'[5]Renewable Diesel'!$AJ56/1000000</f>
        <v>503.36486006139029</v>
      </c>
      <c r="N418" s="161">
        <f t="shared" si="103"/>
        <v>7.3306269247040916</v>
      </c>
      <c r="O418" s="157">
        <f t="shared" si="113"/>
        <v>3877.2787746244448</v>
      </c>
      <c r="P418" s="154">
        <f t="shared" si="114"/>
        <v>7.7027203967944295</v>
      </c>
    </row>
    <row r="419" spans="1:16" x14ac:dyDescent="0.2">
      <c r="A419" s="155">
        <v>52841</v>
      </c>
      <c r="B419" s="159">
        <f t="shared" si="115"/>
        <v>1094.0619538030526</v>
      </c>
      <c r="C419" s="159">
        <f t="shared" si="116"/>
        <v>248.85963994095465</v>
      </c>
      <c r="D419" s="159">
        <f>$L419*(AVERAGE(D407/$L407,D395/$L395,D383/$L383,D371/$L371))</f>
        <v>245.4096134316506</v>
      </c>
      <c r="E419" s="159">
        <f t="shared" ref="E419:G420" si="117">$L419*(AVERAGE(E407/$L407,E395/$L395,E383/$L383,E371/$L371))</f>
        <v>4.7220288116022475</v>
      </c>
      <c r="F419" s="159">
        <f t="shared" si="117"/>
        <v>98.181682140218825</v>
      </c>
      <c r="G419" s="159">
        <f t="shared" si="117"/>
        <v>519.65083387416246</v>
      </c>
      <c r="H419" s="159">
        <f>$L419*(AVERAGE(H407/$L407,H395/$L395,H383/$L383,H371/$L371))</f>
        <v>258.30741310909622</v>
      </c>
      <c r="I419" s="159">
        <f t="shared" si="101"/>
        <v>1531.4147697228223</v>
      </c>
      <c r="J419" s="159">
        <f t="shared" si="106"/>
        <v>1342.9215937440072</v>
      </c>
      <c r="K419" s="159">
        <f t="shared" si="107"/>
        <v>2412.276727657902</v>
      </c>
      <c r="L419" s="159">
        <f t="shared" si="102"/>
        <v>3755.1983214019092</v>
      </c>
      <c r="M419" s="160">
        <f>'[5]Renewable Diesel'!$AJ57/1000000</f>
        <v>509.55667475729842</v>
      </c>
      <c r="N419" s="161">
        <f t="shared" si="103"/>
        <v>7.3695400481026141</v>
      </c>
      <c r="O419" s="157">
        <f t="shared" si="113"/>
        <v>4000.6079348335602</v>
      </c>
      <c r="P419" s="154">
        <f t="shared" si="114"/>
        <v>7.8511540188126228</v>
      </c>
    </row>
    <row r="420" spans="1:16" x14ac:dyDescent="0.2">
      <c r="A420" s="155">
        <v>52871</v>
      </c>
      <c r="B420" s="159">
        <f>$L420*(AVERAGE(B408/$L408,B396/$L396,B384/$L384,B372/$L372))-200</f>
        <v>686.47612889949141</v>
      </c>
      <c r="C420" s="159">
        <f t="shared" si="116"/>
        <v>372.25072620104936</v>
      </c>
      <c r="D420" s="159">
        <f>$L420*(AVERAGE(D408/$L408,D396/$L396,D384/$L384,D372/$L372))*1.03</f>
        <v>351.48199506238115</v>
      </c>
      <c r="E420" s="159">
        <f t="shared" si="117"/>
        <v>6.1954090887606332</v>
      </c>
      <c r="F420" s="159">
        <f t="shared" si="117"/>
        <v>98.275054207084764</v>
      </c>
      <c r="G420" s="159">
        <f t="shared" si="117"/>
        <v>612.38221014654948</v>
      </c>
      <c r="H420" s="159">
        <f>$L420*(AVERAGE(H408/$L408,H396/$L396,H384/$L384,H372/$L372))</f>
        <v>267.83639571953103</v>
      </c>
      <c r="I420" s="159">
        <f t="shared" si="101"/>
        <v>2113.1217908608273</v>
      </c>
      <c r="J420" s="159">
        <f t="shared" si="106"/>
        <v>1058.7268551005409</v>
      </c>
      <c r="K420" s="159">
        <f t="shared" si="107"/>
        <v>3097.8108600227533</v>
      </c>
      <c r="L420" s="159">
        <f t="shared" si="102"/>
        <v>4156.5377151232942</v>
      </c>
      <c r="M420" s="160">
        <f>'[5]Renewable Diesel'!$AJ58/1000000</f>
        <v>553.39847727520532</v>
      </c>
      <c r="N420" s="161">
        <f t="shared" si="103"/>
        <v>7.5109308858040933</v>
      </c>
      <c r="O420" s="157">
        <f t="shared" si="113"/>
        <v>4508.0197101856756</v>
      </c>
      <c r="P420" s="154">
        <f t="shared" si="114"/>
        <v>8.1460645363211501</v>
      </c>
    </row>
    <row r="421" spans="1:16" x14ac:dyDescent="0.2">
      <c r="A421" s="155">
        <v>52902</v>
      </c>
      <c r="B421" s="159">
        <f>$L421*(AVERAGE(B409/$L409,B397/$L397,B385/$L385,B373/$L373))-200</f>
        <v>1238.6264431227382</v>
      </c>
      <c r="C421" s="159">
        <f t="shared" ref="B421:D436" si="118">$L421*(AVERAGE(C409/$L409,C397/$L397,C385/$L385,C373/$L373))</f>
        <v>493.36004463445801</v>
      </c>
      <c r="D421" s="159">
        <f t="shared" ref="D421:D431" si="119">$L421*(AVERAGE(D409/$L409,D397/$L397,D385/$L385,D373/$L373))*1.03</f>
        <v>435.91301107947794</v>
      </c>
      <c r="E421" s="159">
        <f t="shared" ref="E421:G436" si="120">$L421*(AVERAGE(E409/$L409,E397/$L397,E385/$L385,E373/$L373))</f>
        <v>7.0543174953649945</v>
      </c>
      <c r="F421" s="159">
        <f t="shared" si="120"/>
        <v>46.529778793230896</v>
      </c>
      <c r="G421" s="159">
        <f t="shared" si="120"/>
        <v>828.39532271826772</v>
      </c>
      <c r="H421" s="159">
        <f>$L421*(AVERAGE(H409/$L409,H397/$L397,H385/$L385,H373/$L373))-5</f>
        <v>307.07973495528415</v>
      </c>
      <c r="I421" s="159">
        <f t="shared" si="101"/>
        <v>2131.3693550075172</v>
      </c>
      <c r="J421" s="159">
        <f t="shared" si="106"/>
        <v>1731.9864877571963</v>
      </c>
      <c r="K421" s="159">
        <f t="shared" si="107"/>
        <v>3320.428508969665</v>
      </c>
      <c r="L421" s="159">
        <f t="shared" si="102"/>
        <v>5052.4149967268613</v>
      </c>
      <c r="M421" s="160">
        <f>'[5]Renewable Diesel'!$AJ59/1000000</f>
        <v>668.66319227012843</v>
      </c>
      <c r="N421" s="161">
        <f t="shared" si="103"/>
        <v>7.555993892192248</v>
      </c>
      <c r="O421" s="157">
        <f t="shared" si="113"/>
        <v>5488.328007806339</v>
      </c>
      <c r="P421" s="154">
        <f t="shared" si="114"/>
        <v>8.2079110548515857</v>
      </c>
    </row>
    <row r="422" spans="1:16" x14ac:dyDescent="0.2">
      <c r="A422" s="155">
        <v>52932</v>
      </c>
      <c r="B422" s="159">
        <f>$L422*(AVERAGE(B410/$L410,B398/$L398,B386/$L386,B374/$L374))-200</f>
        <v>1687.1082696919827</v>
      </c>
      <c r="C422" s="159">
        <f t="shared" si="118"/>
        <v>621.59550395370036</v>
      </c>
      <c r="D422" s="159">
        <f t="shared" si="119"/>
        <v>466.81265359899737</v>
      </c>
      <c r="E422" s="159">
        <f t="shared" si="120"/>
        <v>7.603838318263997</v>
      </c>
      <c r="F422" s="159">
        <f t="shared" si="120"/>
        <v>44.923148277390005</v>
      </c>
      <c r="G422" s="159">
        <f t="shared" si="120"/>
        <v>940.12900425967553</v>
      </c>
      <c r="H422" s="159">
        <f t="shared" ref="H422:H428" si="121">$L422*(AVERAGE(H410/$L410,H398/$L398,H386/$L386,H374/$L374))-5</f>
        <v>244.30353923757968</v>
      </c>
      <c r="I422" s="159">
        <f t="shared" si="101"/>
        <v>2186.3522955785475</v>
      </c>
      <c r="J422" s="159">
        <f t="shared" si="106"/>
        <v>2308.7037736456832</v>
      </c>
      <c r="K422" s="159">
        <f t="shared" si="107"/>
        <v>3423.3118256714565</v>
      </c>
      <c r="L422" s="159">
        <f t="shared" si="102"/>
        <v>5732.0155993171393</v>
      </c>
      <c r="M422" s="160">
        <f>'[5]Renewable Diesel'!$AJ60/1000000</f>
        <v>756.84747637819601</v>
      </c>
      <c r="N422" s="161">
        <f t="shared" si="103"/>
        <v>7.5735412724727862</v>
      </c>
      <c r="O422" s="157">
        <f t="shared" si="113"/>
        <v>6198.828252916137</v>
      </c>
      <c r="P422" s="154">
        <f t="shared" si="114"/>
        <v>8.1903269104891461</v>
      </c>
    </row>
    <row r="423" spans="1:16" x14ac:dyDescent="0.2">
      <c r="A423" s="155">
        <v>52963</v>
      </c>
      <c r="B423" s="159">
        <f>$L423*(AVERAGE(B411/$L411,B399/$L399,B387/$L387,B375/$L375))-200</f>
        <v>902.39292284187241</v>
      </c>
      <c r="C423" s="159">
        <f t="shared" si="118"/>
        <v>288.25806264209575</v>
      </c>
      <c r="D423" s="159">
        <f t="shared" si="119"/>
        <v>290.59666684378931</v>
      </c>
      <c r="E423" s="159">
        <f t="shared" si="120"/>
        <v>3.8188138324016214</v>
      </c>
      <c r="F423" s="159">
        <f t="shared" si="120"/>
        <v>61.324239127220018</v>
      </c>
      <c r="G423" s="159">
        <f t="shared" si="120"/>
        <v>591.66112952907497</v>
      </c>
      <c r="H423" s="159">
        <f t="shared" si="121"/>
        <v>133.75094365547719</v>
      </c>
      <c r="I423" s="159">
        <f t="shared" si="101"/>
        <v>862.72318321980174</v>
      </c>
      <c r="J423" s="159">
        <f t="shared" si="106"/>
        <v>1190.6509854839683</v>
      </c>
      <c r="K423" s="159">
        <f t="shared" si="107"/>
        <v>1653.2783093639755</v>
      </c>
      <c r="L423" s="159">
        <f t="shared" si="102"/>
        <v>2843.9292948479438</v>
      </c>
      <c r="M423" s="160">
        <f>'[5]Renewable Diesel'!$AK49/1000000</f>
        <v>399.45715346708329</v>
      </c>
      <c r="N423" s="161">
        <f t="shared" si="103"/>
        <v>7.1194852067714791</v>
      </c>
      <c r="O423" s="157">
        <f t="shared" si="113"/>
        <v>3134.5259616917328</v>
      </c>
      <c r="P423" s="154">
        <f t="shared" si="114"/>
        <v>7.846964147432721</v>
      </c>
    </row>
    <row r="424" spans="1:16" x14ac:dyDescent="0.2">
      <c r="A424" s="155">
        <v>52994</v>
      </c>
      <c r="B424" s="159">
        <f t="shared" si="118"/>
        <v>757.42882395487743</v>
      </c>
      <c r="C424" s="159">
        <f t="shared" si="118"/>
        <v>260.90230769704056</v>
      </c>
      <c r="D424" s="159">
        <f>$L424*(AVERAGE(D412/$L412,D400/$L400,D388/$L388,D376/$L376))</f>
        <v>254.83045065311416</v>
      </c>
      <c r="E424" s="159">
        <f t="shared" si="120"/>
        <v>4.1257114501734931</v>
      </c>
      <c r="F424" s="159">
        <f t="shared" si="120"/>
        <v>60.284348267466171</v>
      </c>
      <c r="G424" s="159">
        <f t="shared" si="120"/>
        <v>683.82567292467263</v>
      </c>
      <c r="H424" s="159">
        <f t="shared" si="121"/>
        <v>88.682105705280563</v>
      </c>
      <c r="I424" s="159">
        <f t="shared" si="101"/>
        <v>1354.6446637729418</v>
      </c>
      <c r="J424" s="159">
        <f t="shared" si="106"/>
        <v>1018.331131651918</v>
      </c>
      <c r="K424" s="159">
        <f t="shared" si="107"/>
        <v>2191.5625021205346</v>
      </c>
      <c r="L424" s="159">
        <f t="shared" si="102"/>
        <v>3209.8936337724526</v>
      </c>
      <c r="M424" s="160">
        <f>'[5]Renewable Diesel'!$AK50/1000000</f>
        <v>435.32969764782507</v>
      </c>
      <c r="N424" s="161">
        <f t="shared" si="103"/>
        <v>7.3734772773742776</v>
      </c>
      <c r="O424" s="157">
        <f t="shared" si="113"/>
        <v>3464.7240844255671</v>
      </c>
      <c r="P424" s="154">
        <f t="shared" si="114"/>
        <v>7.9588507357668821</v>
      </c>
    </row>
    <row r="425" spans="1:16" x14ac:dyDescent="0.2">
      <c r="A425" s="155">
        <v>53022</v>
      </c>
      <c r="B425" s="159">
        <f t="shared" si="118"/>
        <v>892.60477322982081</v>
      </c>
      <c r="C425" s="159">
        <f t="shared" si="118"/>
        <v>292.46825322841187</v>
      </c>
      <c r="D425" s="159">
        <f t="shared" si="118"/>
        <v>239.94893420908437</v>
      </c>
      <c r="E425" s="159">
        <f t="shared" si="120"/>
        <v>4.2270904007759205</v>
      </c>
      <c r="F425" s="159">
        <f t="shared" si="120"/>
        <v>90.121459967768175</v>
      </c>
      <c r="G425" s="159">
        <f t="shared" si="120"/>
        <v>606.22289483835334</v>
      </c>
      <c r="H425" s="159">
        <f t="shared" si="121"/>
        <v>173.07391802283914</v>
      </c>
      <c r="I425" s="159">
        <f t="shared" si="101"/>
        <v>1349.1798728613203</v>
      </c>
      <c r="J425" s="159">
        <f t="shared" si="106"/>
        <v>1185.0730264582326</v>
      </c>
      <c r="K425" s="159">
        <f t="shared" si="107"/>
        <v>2222.8252360910569</v>
      </c>
      <c r="L425" s="159">
        <f t="shared" si="102"/>
        <v>3407.8982625492895</v>
      </c>
      <c r="M425" s="160">
        <f>'[5]Renewable Diesel'!$AK51/1000000</f>
        <v>465.97550287264113</v>
      </c>
      <c r="N425" s="161">
        <f t="shared" si="103"/>
        <v>7.313470861751985</v>
      </c>
      <c r="O425" s="157">
        <f t="shared" si="113"/>
        <v>3647.8471967583737</v>
      </c>
      <c r="P425" s="154">
        <f t="shared" si="114"/>
        <v>7.8284098075331467</v>
      </c>
    </row>
    <row r="426" spans="1:16" x14ac:dyDescent="0.2">
      <c r="A426" s="155">
        <v>53053</v>
      </c>
      <c r="B426" s="159">
        <f t="shared" si="118"/>
        <v>811.04427976367845</v>
      </c>
      <c r="C426" s="159">
        <f t="shared" si="118"/>
        <v>233.63986211645533</v>
      </c>
      <c r="D426" s="159">
        <f t="shared" si="118"/>
        <v>192.37655726235283</v>
      </c>
      <c r="E426" s="159">
        <f t="shared" si="120"/>
        <v>3.9798209226995946</v>
      </c>
      <c r="F426" s="159">
        <f t="shared" si="120"/>
        <v>97.412497542082292</v>
      </c>
      <c r="G426" s="159">
        <f t="shared" si="120"/>
        <v>331.90773233717516</v>
      </c>
      <c r="H426" s="159">
        <f>$L426*(AVERAGE(H414/$L414,H402/$L402,H390/$L390,H378/$L378))-7</f>
        <v>238.25723641571932</v>
      </c>
      <c r="I426" s="159">
        <f t="shared" si="101"/>
        <v>1607.0672914632705</v>
      </c>
      <c r="J426" s="159">
        <f t="shared" si="106"/>
        <v>1044.6841418801337</v>
      </c>
      <c r="K426" s="159">
        <f t="shared" si="107"/>
        <v>2278.6245786809468</v>
      </c>
      <c r="L426" s="159">
        <f t="shared" si="102"/>
        <v>3323.3087205610805</v>
      </c>
      <c r="M426" s="160">
        <f>'[5]Renewable Diesel'!$AK52/1000000</f>
        <v>445.82222049405357</v>
      </c>
      <c r="N426" s="161">
        <f t="shared" si="103"/>
        <v>7.4543362080029096</v>
      </c>
      <c r="O426" s="157">
        <f t="shared" si="113"/>
        <v>3515.6852778234334</v>
      </c>
      <c r="P426" s="154">
        <f t="shared" si="114"/>
        <v>7.8858457838359941</v>
      </c>
    </row>
    <row r="427" spans="1:16" x14ac:dyDescent="0.2">
      <c r="A427" s="155">
        <v>53083</v>
      </c>
      <c r="B427" s="159">
        <f t="shared" si="118"/>
        <v>733.46031466538113</v>
      </c>
      <c r="C427" s="159">
        <f t="shared" si="118"/>
        <v>339.1863333405671</v>
      </c>
      <c r="D427" s="159">
        <f t="shared" si="119"/>
        <v>156.71393436298143</v>
      </c>
      <c r="E427" s="159">
        <f t="shared" si="120"/>
        <v>4.2302833409339637</v>
      </c>
      <c r="F427" s="159">
        <f t="shared" si="120"/>
        <v>90.858838674269194</v>
      </c>
      <c r="G427" s="159">
        <f t="shared" si="120"/>
        <v>397.41322977803128</v>
      </c>
      <c r="H427" s="159">
        <f t="shared" si="121"/>
        <v>217.26943169982562</v>
      </c>
      <c r="I427" s="159">
        <f t="shared" si="101"/>
        <v>1820.4444790564971</v>
      </c>
      <c r="J427" s="159">
        <f t="shared" si="106"/>
        <v>1072.6466480059482</v>
      </c>
      <c r="K427" s="159">
        <f t="shared" si="107"/>
        <v>2530.2162625495571</v>
      </c>
      <c r="L427" s="159">
        <f t="shared" si="102"/>
        <v>3602.8629105555056</v>
      </c>
      <c r="M427" s="160">
        <f>'[5]Renewable Diesel'!$AK53/1000000</f>
        <v>497.80739627595096</v>
      </c>
      <c r="N427" s="161">
        <f t="shared" si="103"/>
        <v>7.2374636003968096</v>
      </c>
      <c r="O427" s="157">
        <f t="shared" si="113"/>
        <v>3759.576844918487</v>
      </c>
      <c r="P427" s="154">
        <f t="shared" si="114"/>
        <v>7.552271969126048</v>
      </c>
    </row>
    <row r="428" spans="1:16" x14ac:dyDescent="0.2">
      <c r="A428" s="155">
        <v>53114</v>
      </c>
      <c r="B428" s="159">
        <f t="shared" si="118"/>
        <v>890.70515230638398</v>
      </c>
      <c r="C428" s="159">
        <f t="shared" si="118"/>
        <v>293.35444981239959</v>
      </c>
      <c r="D428" s="159">
        <f t="shared" si="119"/>
        <v>190.80789826519651</v>
      </c>
      <c r="E428" s="159">
        <f t="shared" si="120"/>
        <v>3.9935846496677945</v>
      </c>
      <c r="F428" s="159">
        <f t="shared" si="120"/>
        <v>108.37512880413493</v>
      </c>
      <c r="G428" s="159">
        <f t="shared" si="120"/>
        <v>439.90862840801549</v>
      </c>
      <c r="H428" s="159">
        <f t="shared" si="121"/>
        <v>254.38363472310607</v>
      </c>
      <c r="I428" s="159">
        <f t="shared" si="101"/>
        <v>1676.3616795238295</v>
      </c>
      <c r="J428" s="159">
        <f t="shared" si="106"/>
        <v>1184.0596021187835</v>
      </c>
      <c r="K428" s="159">
        <f t="shared" si="107"/>
        <v>2483.0226561087538</v>
      </c>
      <c r="L428" s="159">
        <f t="shared" si="102"/>
        <v>3667.0822582275373</v>
      </c>
      <c r="M428" s="160">
        <f>'[5]Renewable Diesel'!$AK54/1000000</f>
        <v>499.11583075627993</v>
      </c>
      <c r="N428" s="161">
        <f t="shared" si="103"/>
        <v>7.3471567765563162</v>
      </c>
      <c r="O428" s="157">
        <f t="shared" si="113"/>
        <v>3857.8901564927341</v>
      </c>
      <c r="P428" s="154">
        <f t="shared" si="114"/>
        <v>7.7294485944216742</v>
      </c>
    </row>
    <row r="429" spans="1:16" x14ac:dyDescent="0.2">
      <c r="A429" s="155">
        <v>53144</v>
      </c>
      <c r="B429" s="159">
        <f t="shared" si="118"/>
        <v>1044.8265071656172</v>
      </c>
      <c r="C429" s="159">
        <f t="shared" si="118"/>
        <v>409.10847863631523</v>
      </c>
      <c r="D429" s="159">
        <f t="shared" si="119"/>
        <v>215.6214202492356</v>
      </c>
      <c r="E429" s="159">
        <f t="shared" si="120"/>
        <v>3.8236137765737177</v>
      </c>
      <c r="F429" s="159">
        <f t="shared" si="120"/>
        <v>109.02179947963877</v>
      </c>
      <c r="G429" s="159">
        <f t="shared" si="120"/>
        <v>483.44024530302102</v>
      </c>
      <c r="H429" s="159">
        <f>$L429*(AVERAGE(H417/$L417,H405/$L405,H393/$L393,H381/$L381))</f>
        <v>267.38216605544113</v>
      </c>
      <c r="I429" s="159">
        <f t="shared" si="101"/>
        <v>1251.5284768474735</v>
      </c>
      <c r="J429" s="159">
        <f t="shared" si="106"/>
        <v>1453.9349858019323</v>
      </c>
      <c r="K429" s="159">
        <f t="shared" si="107"/>
        <v>2115.1963014621479</v>
      </c>
      <c r="L429" s="159">
        <f t="shared" si="102"/>
        <v>3569.1312872640806</v>
      </c>
      <c r="M429" s="160">
        <f>'[5]Renewable Diesel'!$AK55/1000000</f>
        <v>485.95261805736914</v>
      </c>
      <c r="N429" s="161">
        <f t="shared" si="103"/>
        <v>7.3446075906164312</v>
      </c>
      <c r="O429" s="157">
        <f t="shared" si="113"/>
        <v>3784.7527075133157</v>
      </c>
      <c r="P429" s="154">
        <f t="shared" si="114"/>
        <v>7.7883163231903954</v>
      </c>
    </row>
    <row r="430" spans="1:16" x14ac:dyDescent="0.2">
      <c r="A430" s="155">
        <v>53175</v>
      </c>
      <c r="B430" s="159">
        <f t="shared" si="118"/>
        <v>1094.0438591842365</v>
      </c>
      <c r="C430" s="159">
        <f t="shared" si="118"/>
        <v>320.39706860123789</v>
      </c>
      <c r="D430" s="159">
        <f t="shared" si="119"/>
        <v>201.42094932023466</v>
      </c>
      <c r="E430" s="159">
        <f t="shared" si="120"/>
        <v>3.897541237609802</v>
      </c>
      <c r="F430" s="159">
        <f t="shared" si="120"/>
        <v>84.090705050198665</v>
      </c>
      <c r="G430" s="159">
        <f t="shared" si="120"/>
        <v>512.53502221884492</v>
      </c>
      <c r="H430" s="159">
        <f>$L430*(AVERAGE(H418/$L418,H406/$L406,H394/$L394,H382/$L382))</f>
        <v>290.14334745444359</v>
      </c>
      <c r="I430" s="159">
        <f t="shared" si="101"/>
        <v>1364.170908282797</v>
      </c>
      <c r="J430" s="159">
        <f t="shared" si="106"/>
        <v>1414.4409277854743</v>
      </c>
      <c r="K430" s="159">
        <f t="shared" si="107"/>
        <v>2254.8375242438942</v>
      </c>
      <c r="L430" s="159">
        <f t="shared" si="102"/>
        <v>3669.2784520293685</v>
      </c>
      <c r="M430" s="160">
        <f>'[5]Renewable Diesel'!$AK56/1000000</f>
        <v>500.53140909394165</v>
      </c>
      <c r="N430" s="161">
        <f t="shared" si="103"/>
        <v>7.3307656330128612</v>
      </c>
      <c r="O430" s="157">
        <f t="shared" si="113"/>
        <v>3870.6994013496032</v>
      </c>
      <c r="P430" s="154">
        <f t="shared" si="114"/>
        <v>7.7331798385166586</v>
      </c>
    </row>
    <row r="431" spans="1:16" x14ac:dyDescent="0.2">
      <c r="A431" s="155">
        <v>53206</v>
      </c>
      <c r="B431" s="159">
        <f t="shared" si="118"/>
        <v>1089.8222222735817</v>
      </c>
      <c r="C431" s="159">
        <f t="shared" si="118"/>
        <v>247.46161274701009</v>
      </c>
      <c r="D431" s="159">
        <f t="shared" si="119"/>
        <v>261.48269187202561</v>
      </c>
      <c r="E431" s="159">
        <f t="shared" si="120"/>
        <v>4.6954483429291018</v>
      </c>
      <c r="F431" s="159">
        <f t="shared" si="120"/>
        <v>97.623188884200857</v>
      </c>
      <c r="G431" s="159">
        <f t="shared" si="120"/>
        <v>516.86084090381564</v>
      </c>
      <c r="H431" s="159">
        <f>$L431*(AVERAGE(H419/$L419,H407/$L407,H395/$L395,H383/$L383))</f>
        <v>256.1985627522721</v>
      </c>
      <c r="I431" s="159">
        <f t="shared" si="101"/>
        <v>1521.4258844753108</v>
      </c>
      <c r="J431" s="159">
        <f t="shared" si="106"/>
        <v>1337.2838350205918</v>
      </c>
      <c r="K431" s="159">
        <f t="shared" si="107"/>
        <v>2396.8039253585284</v>
      </c>
      <c r="L431" s="159">
        <f t="shared" si="102"/>
        <v>3734.08776037912</v>
      </c>
      <c r="M431" s="160">
        <f>'[5]Renewable Diesel'!$AK57/1000000</f>
        <v>506.67759734702884</v>
      </c>
      <c r="N431" s="161">
        <f t="shared" si="103"/>
        <v>7.3697510604985439</v>
      </c>
      <c r="O431" s="157">
        <f t="shared" si="113"/>
        <v>3995.5704522511455</v>
      </c>
      <c r="P431" s="154">
        <f t="shared" si="114"/>
        <v>7.885824187159665</v>
      </c>
    </row>
    <row r="432" spans="1:16" x14ac:dyDescent="0.2">
      <c r="A432" s="155">
        <v>53236</v>
      </c>
      <c r="B432" s="159">
        <f>$L432*(AVERAGE(B420/$L420,B408/$L408,B396/$L396,B384/$L384))+300</f>
        <v>1078.7559131879207</v>
      </c>
      <c r="C432" s="159">
        <f t="shared" si="118"/>
        <v>370.12371962496275</v>
      </c>
      <c r="D432" s="159">
        <f>$L432*(AVERAGE(D420/$L420,D408/$L408,D396/$L396,D384/$L384))*1.075</f>
        <v>391.90925464060081</v>
      </c>
      <c r="E432" s="159">
        <f t="shared" si="120"/>
        <v>6.1598127692401077</v>
      </c>
      <c r="F432" s="159">
        <f t="shared" si="120"/>
        <v>97.71400389591588</v>
      </c>
      <c r="G432" s="159">
        <f t="shared" si="120"/>
        <v>608.83541774911168</v>
      </c>
      <c r="H432" s="159">
        <f>$L432*(AVERAGE(H420/$L420,H408/$L408,H396/$L396,H384/$L384))+10</f>
        <v>272.11364311356692</v>
      </c>
      <c r="I432" s="159">
        <f t="shared" si="101"/>
        <v>1699.0280476732401</v>
      </c>
      <c r="J432" s="159">
        <f t="shared" si="106"/>
        <v>1448.8796328128833</v>
      </c>
      <c r="K432" s="159">
        <f t="shared" si="107"/>
        <v>2683.8509252010745</v>
      </c>
      <c r="L432" s="159">
        <f t="shared" si="102"/>
        <v>4132.7305580139582</v>
      </c>
      <c r="M432" s="160">
        <f>'[5]Renewable Diesel'!$AK58/1000000</f>
        <v>550.2474598193495</v>
      </c>
      <c r="N432" s="161">
        <f t="shared" si="103"/>
        <v>7.5106763043863314</v>
      </c>
      <c r="O432" s="157">
        <f t="shared" si="113"/>
        <v>4524.6398126545591</v>
      </c>
      <c r="P432" s="154">
        <f t="shared" si="114"/>
        <v>8.2229181287634354</v>
      </c>
    </row>
    <row r="433" spans="1:16" x14ac:dyDescent="0.2">
      <c r="A433" s="155">
        <v>53267</v>
      </c>
      <c r="B433" s="159">
        <f>$L433*(AVERAGE(B421/$L421,B409/$L409,B397/$L397,B385/$L385))</f>
        <v>1339.7618223181526</v>
      </c>
      <c r="C433" s="159">
        <f t="shared" si="118"/>
        <v>490.5444724139536</v>
      </c>
      <c r="D433" s="159">
        <f>$L433*(AVERAGE(D421/$L421,D409/$L409,D397/$L397,D385/$L385))*1.075</f>
        <v>479.82287026387888</v>
      </c>
      <c r="E433" s="159">
        <f t="shared" si="120"/>
        <v>7.0137284930558534</v>
      </c>
      <c r="F433" s="159">
        <f t="shared" si="120"/>
        <v>46.266213554765542</v>
      </c>
      <c r="G433" s="159">
        <f t="shared" si="120"/>
        <v>823.59641811904339</v>
      </c>
      <c r="H433" s="159">
        <f t="shared" ref="H433:H440" si="122">$L433*(AVERAGE(H421/$L421,H409/$L409,H397/$L397,H385/$L385))+10</f>
        <v>304.16520275827918</v>
      </c>
      <c r="I433" s="159">
        <f t="shared" si="101"/>
        <v>2012.1010044825143</v>
      </c>
      <c r="J433" s="159">
        <f t="shared" si="106"/>
        <v>1830.3062947321062</v>
      </c>
      <c r="K433" s="159">
        <f t="shared" si="107"/>
        <v>3193.1425674076581</v>
      </c>
      <c r="L433" s="159">
        <f t="shared" si="102"/>
        <v>5023.4488621397641</v>
      </c>
      <c r="M433" s="160">
        <f>'[5]Renewable Diesel'!$AK59/1000000</f>
        <v>664.84091018463346</v>
      </c>
      <c r="N433" s="161">
        <f t="shared" si="103"/>
        <v>7.5558660503378139</v>
      </c>
      <c r="O433" s="157">
        <f t="shared" si="113"/>
        <v>5503.271732403643</v>
      </c>
      <c r="P433" s="154">
        <f t="shared" si="114"/>
        <v>8.2775768580115283</v>
      </c>
    </row>
    <row r="434" spans="1:16" x14ac:dyDescent="0.2">
      <c r="A434" s="155">
        <v>53297</v>
      </c>
      <c r="B434" s="159">
        <f>$L434*(AVERAGE(B422/$L422,B410/$L410,B398/$L398,B386/$L386))</f>
        <v>1794.9091212458839</v>
      </c>
      <c r="C434" s="159">
        <f t="shared" si="118"/>
        <v>618.03453130092805</v>
      </c>
      <c r="D434" s="159">
        <f>$L434*(AVERAGE(D422/$L422,D410/$L410,D398/$L398,D386/$L386))*1.075</f>
        <v>511.96870214071663</v>
      </c>
      <c r="E434" s="159">
        <f t="shared" si="120"/>
        <v>7.5600447136250732</v>
      </c>
      <c r="F434" s="159">
        <f t="shared" si="120"/>
        <v>44.671778216968157</v>
      </c>
      <c r="G434" s="159">
        <f t="shared" si="120"/>
        <v>934.69422020528123</v>
      </c>
      <c r="H434" s="159">
        <f t="shared" si="122"/>
        <v>252.75766834416578</v>
      </c>
      <c r="I434" s="159">
        <f t="shared" si="101"/>
        <v>2046.4840001947164</v>
      </c>
      <c r="J434" s="159">
        <f t="shared" si="106"/>
        <v>2412.9436525468118</v>
      </c>
      <c r="K434" s="159">
        <f t="shared" si="107"/>
        <v>3286.1677116747569</v>
      </c>
      <c r="L434" s="159">
        <f t="shared" si="102"/>
        <v>5699.1113642215687</v>
      </c>
      <c r="M434" s="160">
        <f>'[5]Renewable Diesel'!$AK60/1000000</f>
        <v>752.51344544148162</v>
      </c>
      <c r="N434" s="161">
        <f t="shared" si="103"/>
        <v>7.5734345994017911</v>
      </c>
      <c r="O434" s="157">
        <f t="shared" si="113"/>
        <v>6211.0800663622858</v>
      </c>
      <c r="P434" s="154">
        <f t="shared" si="114"/>
        <v>8.2537795224620787</v>
      </c>
    </row>
    <row r="435" spans="1:16" x14ac:dyDescent="0.2">
      <c r="A435" s="155">
        <v>53328</v>
      </c>
      <c r="B435" s="159">
        <f>$L435*(AVERAGE(B423/$L423,B411/$L411,B399/$L399,B387/$L387))</f>
        <v>990.92875080553392</v>
      </c>
      <c r="C435" s="159">
        <f t="shared" si="118"/>
        <v>274.78832624107696</v>
      </c>
      <c r="D435" s="159">
        <f>$L435*(AVERAGE(D423/$L423,D411/$L411,D399/$L399,D387/$L387))*1.075</f>
        <v>312.17558179143595</v>
      </c>
      <c r="E435" s="159">
        <f t="shared" si="120"/>
        <v>3.6401932993574313</v>
      </c>
      <c r="F435" s="159">
        <f t="shared" si="120"/>
        <v>58.456239111158773</v>
      </c>
      <c r="G435" s="159">
        <f t="shared" si="120"/>
        <v>563.95993108450591</v>
      </c>
      <c r="H435" s="159">
        <f t="shared" si="122"/>
        <v>137.47422087156548</v>
      </c>
      <c r="I435" s="159">
        <f t="shared" si="101"/>
        <v>681.70591518403626</v>
      </c>
      <c r="J435" s="159">
        <f t="shared" si="106"/>
        <v>1265.7170770466109</v>
      </c>
      <c r="K435" s="159">
        <f t="shared" si="107"/>
        <v>1445.2364995506239</v>
      </c>
      <c r="L435" s="159">
        <f t="shared" si="102"/>
        <v>2710.9535765972346</v>
      </c>
      <c r="M435" s="160">
        <f>'[5]Renewable Diesel'!$AL49/1000000</f>
        <v>380.77502591852135</v>
      </c>
      <c r="N435" s="161">
        <f t="shared" si="103"/>
        <v>7.119567702891648</v>
      </c>
      <c r="O435" s="157">
        <f t="shared" si="113"/>
        <v>3023.1291583886705</v>
      </c>
      <c r="P435" s="154">
        <f t="shared" si="114"/>
        <v>7.9394102885191922</v>
      </c>
    </row>
    <row r="436" spans="1:16" x14ac:dyDescent="0.2">
      <c r="A436" s="155">
        <v>53359</v>
      </c>
      <c r="B436" s="159">
        <f t="shared" si="118"/>
        <v>717.42281167969213</v>
      </c>
      <c r="C436" s="159">
        <f t="shared" si="118"/>
        <v>248.57725737576885</v>
      </c>
      <c r="D436" s="159">
        <f t="shared" si="118"/>
        <v>262.35841678517289</v>
      </c>
      <c r="E436" s="159">
        <f t="shared" si="120"/>
        <v>3.9306446721342501</v>
      </c>
      <c r="F436" s="159">
        <f t="shared" si="120"/>
        <v>57.435287248357398</v>
      </c>
      <c r="G436" s="159">
        <f t="shared" si="120"/>
        <v>651.46714417489352</v>
      </c>
      <c r="H436" s="159">
        <f>$L436*(AVERAGE(H424/$L424,H412/$L412,H400/$L400,H388/$L388))+14</f>
        <v>99.282171958738445</v>
      </c>
      <c r="I436" s="159">
        <f t="shared" si="101"/>
        <v>1280.0598033456788</v>
      </c>
      <c r="J436" s="159">
        <f t="shared" si="106"/>
        <v>966.00006905546093</v>
      </c>
      <c r="K436" s="159">
        <f t="shared" si="107"/>
        <v>2092.1750513998022</v>
      </c>
      <c r="L436" s="159">
        <f t="shared" si="102"/>
        <v>3058.1751204552634</v>
      </c>
      <c r="M436" s="160">
        <f>'[5]Renewable Diesel'!$AL50/1000000</f>
        <v>414.75207712690269</v>
      </c>
      <c r="N436" s="161">
        <f t="shared" si="103"/>
        <v>7.3735016389551351</v>
      </c>
      <c r="O436" s="157">
        <f t="shared" si="113"/>
        <v>3320.5335372404365</v>
      </c>
      <c r="P436" s="154">
        <f t="shared" si="114"/>
        <v>8.0060684933578887</v>
      </c>
    </row>
    <row r="437" spans="1:16" x14ac:dyDescent="0.2">
      <c r="A437" s="155">
        <v>53387</v>
      </c>
      <c r="B437" s="159">
        <f t="shared" ref="B437:H452" si="123">$L437*(AVERAGE(B425/$L425,B413/$L413,B401/$L401,B389/$L389))</f>
        <v>846.82858061135437</v>
      </c>
      <c r="C437" s="159">
        <f t="shared" si="123"/>
        <v>278.85528729933515</v>
      </c>
      <c r="D437" s="159">
        <f t="shared" si="123"/>
        <v>248.43311535674101</v>
      </c>
      <c r="E437" s="159">
        <f t="shared" si="123"/>
        <v>4.0301440305507548</v>
      </c>
      <c r="F437" s="159">
        <f t="shared" si="123"/>
        <v>85.926292991382994</v>
      </c>
      <c r="G437" s="159">
        <f t="shared" si="123"/>
        <v>577.95298018292112</v>
      </c>
      <c r="H437" s="159">
        <f t="shared" si="122"/>
        <v>177.93828720982012</v>
      </c>
      <c r="I437" s="159">
        <f t="shared" si="101"/>
        <v>1277.6280523507567</v>
      </c>
      <c r="J437" s="159">
        <f t="shared" si="106"/>
        <v>1125.6838679106895</v>
      </c>
      <c r="K437" s="159">
        <f t="shared" si="107"/>
        <v>2123.4757567654315</v>
      </c>
      <c r="L437" s="159">
        <f t="shared" si="102"/>
        <v>3249.159624676121</v>
      </c>
      <c r="M437" s="160">
        <f>'[5]Renewable Diesel'!$AL51/1000000</f>
        <v>444.26833948293</v>
      </c>
      <c r="N437" s="161">
        <f t="shared" si="103"/>
        <v>7.3135070314884825</v>
      </c>
      <c r="O437" s="157">
        <f t="shared" si="113"/>
        <v>3497.5927400328619</v>
      </c>
      <c r="P437" s="154">
        <f t="shared" si="114"/>
        <v>7.8727031147517748</v>
      </c>
    </row>
    <row r="438" spans="1:16" x14ac:dyDescent="0.2">
      <c r="A438" s="155">
        <v>53418</v>
      </c>
      <c r="B438" s="159">
        <f t="shared" si="123"/>
        <v>768.56682250024653</v>
      </c>
      <c r="C438" s="159">
        <f t="shared" si="123"/>
        <v>222.61898633058439</v>
      </c>
      <c r="D438" s="159">
        <f t="shared" ref="D438:D443" si="124">$L438*(AVERAGE(D426/$L426,D414/$L414,D402/$L402,D390/$L390))*1.1</f>
        <v>223.43057728069655</v>
      </c>
      <c r="E438" s="159">
        <f t="shared" si="123"/>
        <v>3.7919437624950696</v>
      </c>
      <c r="F438" s="159">
        <f t="shared" si="123"/>
        <v>92.814774162576796</v>
      </c>
      <c r="G438" s="159">
        <f t="shared" si="123"/>
        <v>316.22519257231056</v>
      </c>
      <c r="H438" s="159">
        <f t="shared" si="122"/>
        <v>241.94881791479841</v>
      </c>
      <c r="I438" s="159">
        <f t="shared" si="101"/>
        <v>1520.4813458478452</v>
      </c>
      <c r="J438" s="159">
        <f t="shared" si="106"/>
        <v>991.18580883083087</v>
      </c>
      <c r="K438" s="159">
        <f t="shared" si="107"/>
        <v>2175.2620742600261</v>
      </c>
      <c r="L438" s="159">
        <f t="shared" si="102"/>
        <v>3166.447883090857</v>
      </c>
      <c r="M438" s="160">
        <f>'[5]Renewable Diesel'!$AL52/1000000</f>
        <v>424.77543769649986</v>
      </c>
      <c r="N438" s="161">
        <f t="shared" si="103"/>
        <v>7.4544043795518844</v>
      </c>
      <c r="O438" s="157">
        <f t="shared" si="113"/>
        <v>3389.8784603715535</v>
      </c>
      <c r="P438" s="154">
        <f t="shared" si="114"/>
        <v>7.9804013121719306</v>
      </c>
    </row>
    <row r="439" spans="1:16" x14ac:dyDescent="0.2">
      <c r="A439" s="155">
        <v>53448</v>
      </c>
      <c r="B439" s="159">
        <f t="shared" si="123"/>
        <v>694.14908082473414</v>
      </c>
      <c r="C439" s="159">
        <f t="shared" si="123"/>
        <v>323.1878640192204</v>
      </c>
      <c r="D439" s="159">
        <f t="shared" si="124"/>
        <v>182.18501645882</v>
      </c>
      <c r="E439" s="159">
        <f t="shared" si="123"/>
        <v>4.0304943766357377</v>
      </c>
      <c r="F439" s="159">
        <f t="shared" si="123"/>
        <v>86.569119636650299</v>
      </c>
      <c r="G439" s="159">
        <f t="shared" si="123"/>
        <v>378.62883688476711</v>
      </c>
      <c r="H439" s="159">
        <f t="shared" si="122"/>
        <v>220.53987878409768</v>
      </c>
      <c r="I439" s="159">
        <f t="shared" si="101"/>
        <v>1725.6233693701502</v>
      </c>
      <c r="J439" s="159">
        <f t="shared" si="106"/>
        <v>1017.3369448439546</v>
      </c>
      <c r="K439" s="159">
        <f t="shared" si="107"/>
        <v>2415.3916990523012</v>
      </c>
      <c r="L439" s="159">
        <f t="shared" si="102"/>
        <v>3432.7286438962556</v>
      </c>
      <c r="M439" s="160">
        <f>'[5]Renewable Diesel'!$AL53/1000000</f>
        <v>474.29554119663419</v>
      </c>
      <c r="N439" s="161">
        <f t="shared" si="103"/>
        <v>7.2375309184555663</v>
      </c>
      <c r="O439" s="157">
        <f t="shared" si="113"/>
        <v>3614.9136603550755</v>
      </c>
      <c r="P439" s="154">
        <f t="shared" si="114"/>
        <v>7.6216479944862039</v>
      </c>
    </row>
    <row r="440" spans="1:16" x14ac:dyDescent="0.2">
      <c r="A440" s="155">
        <v>53479</v>
      </c>
      <c r="B440" s="159">
        <f t="shared" si="123"/>
        <v>848.27641316508902</v>
      </c>
      <c r="C440" s="159">
        <f t="shared" si="123"/>
        <v>279.64831820114944</v>
      </c>
      <c r="D440" s="159">
        <f t="shared" si="124"/>
        <v>217.58403074936783</v>
      </c>
      <c r="E440" s="159">
        <f t="shared" si="123"/>
        <v>3.8068161939916396</v>
      </c>
      <c r="F440" s="159">
        <f t="shared" si="123"/>
        <v>103.30581244823554</v>
      </c>
      <c r="G440" s="159">
        <f t="shared" si="123"/>
        <v>419.31492080036003</v>
      </c>
      <c r="H440" s="159">
        <f t="shared" si="122"/>
        <v>256.01664581422813</v>
      </c>
      <c r="I440" s="159">
        <f t="shared" ref="I440:I494" si="125">L440-SUM(E440:H440,B440:C440)</f>
        <v>1585.2468044454563</v>
      </c>
      <c r="J440" s="159">
        <f t="shared" si="106"/>
        <v>1127.9247313662386</v>
      </c>
      <c r="K440" s="159">
        <f t="shared" si="107"/>
        <v>2367.6909997022717</v>
      </c>
      <c r="L440" s="159">
        <f t="shared" si="102"/>
        <v>3495.6157310685098</v>
      </c>
      <c r="M440" s="160">
        <f>'[5]Renewable Diesel'!$AL54/1000000</f>
        <v>475.7736648911565</v>
      </c>
      <c r="N440" s="161">
        <f t="shared" si="103"/>
        <v>7.347224087882644</v>
      </c>
      <c r="O440" s="157">
        <f t="shared" si="113"/>
        <v>3713.199761817878</v>
      </c>
      <c r="P440" s="154">
        <f t="shared" si="114"/>
        <v>7.8045508522783678</v>
      </c>
    </row>
    <row r="441" spans="1:16" x14ac:dyDescent="0.2">
      <c r="A441" s="155">
        <v>53509</v>
      </c>
      <c r="B441" s="159">
        <f t="shared" si="123"/>
        <v>994.91121935384763</v>
      </c>
      <c r="C441" s="159">
        <f t="shared" si="123"/>
        <v>389.90311519649288</v>
      </c>
      <c r="D441" s="159">
        <f t="shared" si="124"/>
        <v>242.83903048657396</v>
      </c>
      <c r="E441" s="159">
        <f t="shared" si="123"/>
        <v>3.6438604844425004</v>
      </c>
      <c r="F441" s="159">
        <f t="shared" si="123"/>
        <v>103.8950032690387</v>
      </c>
      <c r="G441" s="159">
        <f t="shared" si="123"/>
        <v>460.69198443720086</v>
      </c>
      <c r="H441" s="159">
        <f>$L441*(AVERAGE(H429/$L429,H417/$L417,H405/$L405,H393/$L393))</f>
        <v>254.9622723452722</v>
      </c>
      <c r="I441" s="159">
        <f t="shared" si="125"/>
        <v>1193.3727526028301</v>
      </c>
      <c r="J441" s="159">
        <f t="shared" si="106"/>
        <v>1384.8143345503404</v>
      </c>
      <c r="K441" s="159">
        <f t="shared" si="107"/>
        <v>2016.5658731387844</v>
      </c>
      <c r="L441" s="159">
        <f t="shared" ref="L441:L494" si="126">M441*N441</f>
        <v>3401.3802076891247</v>
      </c>
      <c r="M441" s="160">
        <f>'[5]Renewable Diesel'!$AL55/1000000</f>
        <v>463.10371350400578</v>
      </c>
      <c r="N441" s="161">
        <f t="shared" ref="N441:N494" si="127">AVERAGE(N429,N417,N405,N393,N381)</f>
        <v>7.344748289650032</v>
      </c>
      <c r="O441" s="157">
        <f t="shared" si="113"/>
        <v>3644.2192381756986</v>
      </c>
      <c r="P441" s="154">
        <f t="shared" si="114"/>
        <v>7.8691211750436043</v>
      </c>
    </row>
    <row r="442" spans="1:16" x14ac:dyDescent="0.2">
      <c r="A442" s="155">
        <v>53540</v>
      </c>
      <c r="B442" s="159">
        <f t="shared" si="123"/>
        <v>1042.5264544894003</v>
      </c>
      <c r="C442" s="159">
        <f t="shared" si="123"/>
        <v>305.56107170422285</v>
      </c>
      <c r="D442" s="159">
        <f t="shared" si="124"/>
        <v>228.48460455900548</v>
      </c>
      <c r="E442" s="159">
        <f t="shared" si="123"/>
        <v>3.7167962578693685</v>
      </c>
      <c r="F442" s="159">
        <f t="shared" si="123"/>
        <v>80.191351024767755</v>
      </c>
      <c r="G442" s="159">
        <f t="shared" si="123"/>
        <v>488.73540014158488</v>
      </c>
      <c r="H442" s="159">
        <f>$L442*(AVERAGE(H430/$L430,H418/$L418,H406/$L406,H394/$L394))</f>
        <v>277.05174458078909</v>
      </c>
      <c r="I442" s="159">
        <f t="shared" si="125"/>
        <v>1301.365112265054</v>
      </c>
      <c r="J442" s="159">
        <f t="shared" si="106"/>
        <v>1348.087526193623</v>
      </c>
      <c r="K442" s="159">
        <f t="shared" si="107"/>
        <v>2151.0604042700652</v>
      </c>
      <c r="L442" s="159">
        <f t="shared" si="126"/>
        <v>3499.1479304636882</v>
      </c>
      <c r="M442" s="160">
        <f>'[5]Renewable Diesel'!$AL56/1000000</f>
        <v>477.32093933113725</v>
      </c>
      <c r="N442" s="161">
        <f t="shared" si="127"/>
        <v>7.3308075178243639</v>
      </c>
      <c r="O442" s="157">
        <f t="shared" si="113"/>
        <v>3727.6325350226939</v>
      </c>
      <c r="P442" s="154">
        <f t="shared" si="114"/>
        <v>7.8094888111260525</v>
      </c>
    </row>
    <row r="443" spans="1:16" x14ac:dyDescent="0.2">
      <c r="A443" s="155">
        <v>53571</v>
      </c>
      <c r="B443" s="159">
        <f t="shared" si="123"/>
        <v>1038.2229372911736</v>
      </c>
      <c r="C443" s="159">
        <f t="shared" si="123"/>
        <v>235.93479323311891</v>
      </c>
      <c r="D443" s="159">
        <f t="shared" si="124"/>
        <v>289.82311928147476</v>
      </c>
      <c r="E443" s="159">
        <f t="shared" si="123"/>
        <v>4.4765561600941011</v>
      </c>
      <c r="F443" s="159">
        <f t="shared" si="123"/>
        <v>93.072412896400081</v>
      </c>
      <c r="G443" s="159">
        <f t="shared" si="123"/>
        <v>492.74557198444114</v>
      </c>
      <c r="H443" s="159">
        <f>$L443*(AVERAGE(H431/$L431,H419/$L419,H407/$L407,H395/$L395))-4</f>
        <v>240.50488619157829</v>
      </c>
      <c r="I443" s="159">
        <f t="shared" si="125"/>
        <v>1455.0775851262601</v>
      </c>
      <c r="J443" s="159">
        <f t="shared" si="106"/>
        <v>1274.1577305242924</v>
      </c>
      <c r="K443" s="159">
        <f t="shared" si="107"/>
        <v>2285.8770123587738</v>
      </c>
      <c r="L443" s="159">
        <f t="shared" si="126"/>
        <v>3560.0347428830664</v>
      </c>
      <c r="M443" s="160">
        <f>'[5]Renewable Diesel'!$AL57/1000000</f>
        <v>483.05671848419172</v>
      </c>
      <c r="N443" s="161">
        <f t="shared" si="127"/>
        <v>7.3698069122281966</v>
      </c>
      <c r="O443" s="157">
        <f t="shared" si="113"/>
        <v>3849.8578621645406</v>
      </c>
      <c r="P443" s="154">
        <f t="shared" si="114"/>
        <v>7.9697843231436787</v>
      </c>
    </row>
    <row r="444" spans="1:16" x14ac:dyDescent="0.2">
      <c r="A444" s="155">
        <v>53601</v>
      </c>
      <c r="B444" s="159">
        <f>$L444*(AVERAGE(B432/$L432,B420/$L420,B408/$L408,B396/$L396))</f>
        <v>793.54397226789104</v>
      </c>
      <c r="C444" s="159">
        <f t="shared" si="123"/>
        <v>352.70742013128324</v>
      </c>
      <c r="D444" s="159">
        <f>$L444*(AVERAGE(D432/$L432,D420/$L420,D408/$L408,D396/$L396))</f>
        <v>343.37338746722793</v>
      </c>
      <c r="E444" s="159">
        <f t="shared" si="123"/>
        <v>5.8695024036224162</v>
      </c>
      <c r="F444" s="159">
        <f t="shared" si="123"/>
        <v>93.107463805501894</v>
      </c>
      <c r="G444" s="159">
        <f t="shared" si="123"/>
        <v>580.14698175287128</v>
      </c>
      <c r="H444" s="159">
        <f>$L444*(AVERAGE(H432/$L432,H420/$L420,H408/$L408,H396/$L396))</f>
        <v>248.70565107151313</v>
      </c>
      <c r="I444" s="159">
        <f t="shared" si="125"/>
        <v>1863.9866711433156</v>
      </c>
      <c r="J444" s="159">
        <f t="shared" si="106"/>
        <v>1146.2513923991742</v>
      </c>
      <c r="K444" s="159">
        <f t="shared" si="107"/>
        <v>2791.8162701768242</v>
      </c>
      <c r="L444" s="159">
        <f t="shared" si="126"/>
        <v>3938.0676625759984</v>
      </c>
      <c r="M444" s="160">
        <f>'[5]Renewable Diesel'!$AL58/1000000</f>
        <v>524.3207399237001</v>
      </c>
      <c r="N444" s="161">
        <f t="shared" si="127"/>
        <v>7.5107989494160989</v>
      </c>
      <c r="O444" s="157">
        <f t="shared" si="113"/>
        <v>4281.4410500432268</v>
      </c>
      <c r="P444" s="154">
        <f t="shared" si="114"/>
        <v>8.1656908148746279</v>
      </c>
    </row>
    <row r="445" spans="1:16" x14ac:dyDescent="0.2">
      <c r="A445" s="155">
        <v>53632</v>
      </c>
      <c r="B445" s="159">
        <f t="shared" si="123"/>
        <v>1269.0196327833062</v>
      </c>
      <c r="C445" s="159">
        <f t="shared" si="123"/>
        <v>467.34229644781755</v>
      </c>
      <c r="D445" s="159">
        <f>$L445*(AVERAGE(D433/$L433,D421/$L421,D409/$L409,D397/$L397))*1.05</f>
        <v>443.72066652300549</v>
      </c>
      <c r="E445" s="159">
        <f t="shared" si="123"/>
        <v>6.6815428713374452</v>
      </c>
      <c r="F445" s="159">
        <f t="shared" si="123"/>
        <v>44.072199849188465</v>
      </c>
      <c r="G445" s="159">
        <f t="shared" si="123"/>
        <v>784.61149089376966</v>
      </c>
      <c r="H445" s="159">
        <f>$L445*(AVERAGE(H433/$L433,H421/$L421,H409/$L409,H397/$L397))+20</f>
        <v>300.54228941987873</v>
      </c>
      <c r="I445" s="159">
        <f t="shared" si="125"/>
        <v>1913.3716429904316</v>
      </c>
      <c r="J445" s="159">
        <f t="shared" si="106"/>
        <v>1736.3619292311237</v>
      </c>
      <c r="K445" s="159">
        <f t="shared" si="107"/>
        <v>3049.2791660246057</v>
      </c>
      <c r="L445" s="159">
        <f t="shared" si="126"/>
        <v>4785.6410952557299</v>
      </c>
      <c r="M445" s="160">
        <f>'[5]Renewable Diesel'!$AL59/1000000</f>
        <v>633.35819298578224</v>
      </c>
      <c r="N445" s="161">
        <f t="shared" si="127"/>
        <v>7.5559788256550728</v>
      </c>
      <c r="O445" s="157">
        <f t="shared" si="113"/>
        <v>5229.3617617787349</v>
      </c>
      <c r="P445" s="154">
        <f t="shared" si="114"/>
        <v>8.2565629049913074</v>
      </c>
    </row>
    <row r="446" spans="1:16" x14ac:dyDescent="0.2">
      <c r="A446" s="155">
        <v>53662</v>
      </c>
      <c r="B446" s="159">
        <f t="shared" si="123"/>
        <v>1662.8364500539647</v>
      </c>
      <c r="C446" s="159">
        <f t="shared" si="123"/>
        <v>588.73662214523904</v>
      </c>
      <c r="D446" s="159">
        <f t="shared" ref="D446:D454" si="128">$L446*(AVERAGE(D434/$L434,D422/$L422,D410/$L410,D398/$L398))*1.1</f>
        <v>496.68818027615208</v>
      </c>
      <c r="E446" s="159">
        <f t="shared" si="123"/>
        <v>7.2012414595553267</v>
      </c>
      <c r="F446" s="159">
        <f t="shared" si="123"/>
        <v>42.547845558342019</v>
      </c>
      <c r="G446" s="159">
        <f t="shared" si="123"/>
        <v>890.33280234641938</v>
      </c>
      <c r="H446" s="159">
        <f>$L446*(AVERAGE(H434/$L434,H422/$L422,H410/$L410,H398/$L398))+20</f>
        <v>249.38829370174469</v>
      </c>
      <c r="I446" s="159">
        <f t="shared" si="125"/>
        <v>1987.6996789244818</v>
      </c>
      <c r="J446" s="159">
        <f t="shared" si="106"/>
        <v>2251.5730721992036</v>
      </c>
      <c r="K446" s="159">
        <f t="shared" si="107"/>
        <v>3177.1698619905428</v>
      </c>
      <c r="L446" s="159">
        <f t="shared" si="126"/>
        <v>5428.7429341897468</v>
      </c>
      <c r="M446" s="160">
        <f>'[5]Renewable Diesel'!$AL60/1000000</f>
        <v>716.79791959206682</v>
      </c>
      <c r="N446" s="161">
        <f t="shared" si="127"/>
        <v>7.5736030836686457</v>
      </c>
      <c r="O446" s="157">
        <f t="shared" si="113"/>
        <v>5925.4311144658996</v>
      </c>
      <c r="P446" s="154">
        <f t="shared" si="114"/>
        <v>8.2665294534310192</v>
      </c>
    </row>
    <row r="447" spans="1:16" x14ac:dyDescent="0.2">
      <c r="A447" s="155">
        <v>53693</v>
      </c>
      <c r="B447" s="159">
        <f t="shared" si="123"/>
        <v>1003.0026567510287</v>
      </c>
      <c r="C447" s="159">
        <f t="shared" si="123"/>
        <v>285.95293696038192</v>
      </c>
      <c r="D447" s="159">
        <f t="shared" si="128"/>
        <v>326.55387513009225</v>
      </c>
      <c r="E447" s="159">
        <f t="shared" si="123"/>
        <v>3.7881223826322685</v>
      </c>
      <c r="F447" s="159">
        <f t="shared" si="123"/>
        <v>60.831805329978103</v>
      </c>
      <c r="G447" s="159">
        <f t="shared" si="123"/>
        <v>586.89455501706175</v>
      </c>
      <c r="H447" s="159">
        <f>$L447*(AVERAGE(H435/$L435,H423/$L423,H411/$L411,H399/$L399))+20</f>
        <v>150.99972317652561</v>
      </c>
      <c r="I447" s="159">
        <f t="shared" si="125"/>
        <v>729.69562427361188</v>
      </c>
      <c r="J447" s="159">
        <f t="shared" si="106"/>
        <v>1288.9555937114105</v>
      </c>
      <c r="K447" s="159">
        <f t="shared" si="107"/>
        <v>1532.2098301798096</v>
      </c>
      <c r="L447" s="159">
        <f t="shared" si="126"/>
        <v>2821.1654238912201</v>
      </c>
      <c r="M447" s="160">
        <f>'[5]Renewable Diesel'!$AM49/1000000</f>
        <v>396.25781208964474</v>
      </c>
      <c r="N447" s="161">
        <f t="shared" si="127"/>
        <v>7.1195200140382155</v>
      </c>
      <c r="O447" s="157">
        <f t="shared" si="113"/>
        <v>3147.7192990213125</v>
      </c>
      <c r="P447" s="154">
        <f t="shared" si="114"/>
        <v>7.9436144928524692</v>
      </c>
    </row>
    <row r="448" spans="1:16" x14ac:dyDescent="0.2">
      <c r="A448" s="155">
        <v>53724</v>
      </c>
      <c r="B448" s="159">
        <f>$L448*(AVERAGE(B436/$L436,B424/$L424,B412/$L412,B400/$L400))+200</f>
        <v>945.74160825902618</v>
      </c>
      <c r="C448" s="159">
        <f t="shared" si="123"/>
        <v>258.8593674270046</v>
      </c>
      <c r="D448" s="159">
        <f t="shared" si="128"/>
        <v>287.94267780158748</v>
      </c>
      <c r="E448" s="159">
        <f t="shared" si="123"/>
        <v>4.0931970011040892</v>
      </c>
      <c r="F448" s="159">
        <f t="shared" si="123"/>
        <v>59.810358021698129</v>
      </c>
      <c r="G448" s="159">
        <f t="shared" si="123"/>
        <v>678.41957660939056</v>
      </c>
      <c r="H448" s="159">
        <f>$L448*(AVERAGE(H436/$L436,H424/$L424,H412/$L412,H400/$L400))+20</f>
        <v>109.43428662861541</v>
      </c>
      <c r="I448" s="159">
        <f t="shared" si="125"/>
        <v>1128.3412646085358</v>
      </c>
      <c r="J448" s="159">
        <f t="shared" si="106"/>
        <v>1204.6009756860308</v>
      </c>
      <c r="K448" s="159">
        <f t="shared" si="107"/>
        <v>1980.098682869344</v>
      </c>
      <c r="L448" s="159">
        <f t="shared" si="126"/>
        <v>3184.6996585553748</v>
      </c>
      <c r="M448" s="160">
        <f>'[5]Renewable Diesel'!$AM50/1000000</f>
        <v>431.91277261670194</v>
      </c>
      <c r="N448" s="161">
        <f t="shared" si="127"/>
        <v>7.3734787680882379</v>
      </c>
      <c r="O448" s="157">
        <f t="shared" si="113"/>
        <v>3472.6423363569625</v>
      </c>
      <c r="P448" s="154">
        <f t="shared" si="114"/>
        <v>8.0401473550279459</v>
      </c>
    </row>
    <row r="449" spans="1:16" x14ac:dyDescent="0.2">
      <c r="A449" s="155">
        <v>53752</v>
      </c>
      <c r="B449" s="159">
        <f>$L449*(AVERAGE(B437/$L437,B425/$L425,B413/$L413,B401/$L401))+200</f>
        <v>1079.6793614701755</v>
      </c>
      <c r="C449" s="159">
        <f t="shared" si="123"/>
        <v>290.11405932789904</v>
      </c>
      <c r="D449" s="159">
        <f t="shared" si="128"/>
        <v>271.78746285579984</v>
      </c>
      <c r="E449" s="159">
        <f t="shared" si="123"/>
        <v>4.1928454869816951</v>
      </c>
      <c r="F449" s="159">
        <f t="shared" si="123"/>
        <v>89.396820810666171</v>
      </c>
      <c r="G449" s="159">
        <f t="shared" si="123"/>
        <v>601.29836415703198</v>
      </c>
      <c r="H449" s="159">
        <f>$L449*(AVERAGE(H437/$L437,H425/$L425,H413/$L413,H401/$L401))+20</f>
        <v>197.17161136441598</v>
      </c>
      <c r="I449" s="159">
        <f t="shared" si="125"/>
        <v>1118.5346090050216</v>
      </c>
      <c r="J449" s="159">
        <f t="shared" si="106"/>
        <v>1369.7934207980745</v>
      </c>
      <c r="K449" s="159">
        <f t="shared" si="107"/>
        <v>2010.5942508241174</v>
      </c>
      <c r="L449" s="159">
        <f t="shared" si="126"/>
        <v>3380.3876716221921</v>
      </c>
      <c r="M449" s="160">
        <f>'[5]Renewable Diesel'!$AM51/1000000</f>
        <v>462.21516395904553</v>
      </c>
      <c r="N449" s="161">
        <f t="shared" si="127"/>
        <v>7.3134503910860671</v>
      </c>
      <c r="O449" s="157">
        <f t="shared" si="113"/>
        <v>3652.1751344779918</v>
      </c>
      <c r="P449" s="154">
        <f t="shared" si="114"/>
        <v>7.9014610926992264</v>
      </c>
    </row>
    <row r="450" spans="1:16" x14ac:dyDescent="0.2">
      <c r="A450" s="155">
        <v>53783</v>
      </c>
      <c r="B450" s="159">
        <f>$L450*(AVERAGE(B438/$L438,B426/$L426,B414/$L414,B402/$L402))+200</f>
        <v>998.93176009502986</v>
      </c>
      <c r="C450" s="159">
        <f t="shared" si="123"/>
        <v>231.80792118344274</v>
      </c>
      <c r="D450" s="159">
        <f t="shared" si="128"/>
        <v>225.68723669262121</v>
      </c>
      <c r="E450" s="159">
        <f t="shared" si="123"/>
        <v>3.948412191271315</v>
      </c>
      <c r="F450" s="159">
        <f t="shared" si="123"/>
        <v>96.649142304134926</v>
      </c>
      <c r="G450" s="159">
        <f t="shared" si="123"/>
        <v>329.27201417376932</v>
      </c>
      <c r="H450" s="159">
        <f t="shared" si="123"/>
        <v>244.00673517212135</v>
      </c>
      <c r="I450" s="159">
        <f t="shared" si="125"/>
        <v>1392.5451312497648</v>
      </c>
      <c r="J450" s="159">
        <f t="shared" si="106"/>
        <v>1230.7396812784725</v>
      </c>
      <c r="K450" s="159">
        <f t="shared" si="107"/>
        <v>2066.4214350910615</v>
      </c>
      <c r="L450" s="159">
        <f t="shared" si="126"/>
        <v>3297.1611163695343</v>
      </c>
      <c r="M450" s="160">
        <f>'[5]Renewable Diesel'!$AM52/1000000</f>
        <v>442.31355422764301</v>
      </c>
      <c r="N450" s="161">
        <f t="shared" si="127"/>
        <v>7.4543524268139496</v>
      </c>
      <c r="O450" s="157">
        <f t="shared" si="113"/>
        <v>3522.8483530621556</v>
      </c>
      <c r="P450" s="154">
        <f t="shared" si="114"/>
        <v>7.964595069245993</v>
      </c>
    </row>
    <row r="451" spans="1:16" x14ac:dyDescent="0.2">
      <c r="A451" s="155">
        <v>53813</v>
      </c>
      <c r="B451" s="159">
        <f t="shared" si="123"/>
        <v>721.72745770263987</v>
      </c>
      <c r="C451" s="159">
        <f t="shared" si="123"/>
        <v>336.53400013121353</v>
      </c>
      <c r="D451" s="159">
        <f t="shared" si="128"/>
        <v>181.89379056702626</v>
      </c>
      <c r="E451" s="159">
        <f t="shared" si="123"/>
        <v>4.1969128549973984</v>
      </c>
      <c r="F451" s="159">
        <f t="shared" si="123"/>
        <v>90.146776612306823</v>
      </c>
      <c r="G451" s="159">
        <f t="shared" si="123"/>
        <v>394.26220023609363</v>
      </c>
      <c r="H451" s="159">
        <f t="shared" si="123"/>
        <v>221.73916192402731</v>
      </c>
      <c r="I451" s="159">
        <f t="shared" si="125"/>
        <v>1805.9203799249267</v>
      </c>
      <c r="J451" s="159">
        <f t="shared" ref="J451:J494" si="129">C451+B451</f>
        <v>1058.2614578338535</v>
      </c>
      <c r="K451" s="159">
        <f t="shared" si="107"/>
        <v>2516.2654315523519</v>
      </c>
      <c r="L451" s="159">
        <f t="shared" si="126"/>
        <v>3574.5268893862053</v>
      </c>
      <c r="M451" s="160">
        <f>'[5]Renewable Diesel'!$AM53/1000000</f>
        <v>493.89068447622213</v>
      </c>
      <c r="N451" s="161">
        <f t="shared" si="127"/>
        <v>7.2374859492987609</v>
      </c>
      <c r="O451" s="157">
        <f t="shared" si="113"/>
        <v>3756.4206799532312</v>
      </c>
      <c r="P451" s="154">
        <f t="shared" si="114"/>
        <v>7.6057735001358999</v>
      </c>
    </row>
    <row r="452" spans="1:16" x14ac:dyDescent="0.2">
      <c r="A452" s="155">
        <v>53844</v>
      </c>
      <c r="B452" s="159">
        <f t="shared" si="123"/>
        <v>882.53279353167636</v>
      </c>
      <c r="C452" s="159">
        <f t="shared" si="123"/>
        <v>291.01454917856131</v>
      </c>
      <c r="D452" s="159">
        <f t="shared" si="128"/>
        <v>220.12634502380908</v>
      </c>
      <c r="E452" s="159">
        <f t="shared" si="123"/>
        <v>3.9615078779613579</v>
      </c>
      <c r="F452" s="159">
        <f t="shared" si="123"/>
        <v>107.50580258816206</v>
      </c>
      <c r="G452" s="159">
        <f t="shared" si="123"/>
        <v>436.35095757215504</v>
      </c>
      <c r="H452" s="159">
        <f t="shared" si="123"/>
        <v>258.52035581287896</v>
      </c>
      <c r="I452" s="159">
        <f t="shared" si="125"/>
        <v>1657.8333354637768</v>
      </c>
      <c r="J452" s="159">
        <f t="shared" si="129"/>
        <v>1173.5473427102377</v>
      </c>
      <c r="K452" s="159">
        <f t="shared" ref="K452:K494" si="130">SUM(E452:I452)</f>
        <v>2464.1719593149342</v>
      </c>
      <c r="L452" s="159">
        <f t="shared" si="126"/>
        <v>3637.7193020251721</v>
      </c>
      <c r="M452" s="160">
        <f>'[5]Renewable Diesel'!$AM54/1000000</f>
        <v>495.11745528483743</v>
      </c>
      <c r="N452" s="161">
        <f t="shared" si="127"/>
        <v>7.3471845179290209</v>
      </c>
      <c r="O452" s="157">
        <f t="shared" si="113"/>
        <v>3857.8456470489809</v>
      </c>
      <c r="P452" s="154">
        <f t="shared" si="114"/>
        <v>7.7917787100226361</v>
      </c>
    </row>
    <row r="453" spans="1:16" x14ac:dyDescent="0.2">
      <c r="A453" s="155">
        <v>53874</v>
      </c>
      <c r="B453" s="159">
        <f t="shared" ref="B453:C468" si="131">$L453*(AVERAGE(B441/$L441,B429/$L429,B417/$L417,B405/$L405))</f>
        <v>1035.5178000452772</v>
      </c>
      <c r="C453" s="159">
        <f t="shared" si="131"/>
        <v>405.88757229939574</v>
      </c>
      <c r="D453" s="159">
        <f t="shared" si="128"/>
        <v>247.12146672605854</v>
      </c>
      <c r="E453" s="159">
        <f t="shared" ref="E453:H468" si="132">$L453*(AVERAGE(E441/$L441,E429/$L429,E417/$L417,E405/$L405))</f>
        <v>3.7932466333856616</v>
      </c>
      <c r="F453" s="159">
        <f t="shared" si="132"/>
        <v>108.15697595016812</v>
      </c>
      <c r="G453" s="159">
        <f t="shared" si="132"/>
        <v>479.574562794869</v>
      </c>
      <c r="H453" s="159">
        <f t="shared" si="132"/>
        <v>265.64955456579634</v>
      </c>
      <c r="I453" s="159">
        <f t="shared" si="125"/>
        <v>1242.3001516089435</v>
      </c>
      <c r="J453" s="159">
        <f t="shared" si="129"/>
        <v>1441.405372344673</v>
      </c>
      <c r="K453" s="159">
        <f t="shared" si="130"/>
        <v>2099.4744915531628</v>
      </c>
      <c r="L453" s="159">
        <f t="shared" si="126"/>
        <v>3540.8798638978355</v>
      </c>
      <c r="M453" s="160">
        <f>'[5]Renewable Diesel'!$AM55/1000000</f>
        <v>482.10002713165693</v>
      </c>
      <c r="N453" s="161">
        <f t="shared" si="127"/>
        <v>7.3446995739970262</v>
      </c>
      <c r="O453" s="157">
        <f t="shared" si="113"/>
        <v>3788.0013306238939</v>
      </c>
      <c r="P453" s="154">
        <f t="shared" si="114"/>
        <v>7.8572933363254647</v>
      </c>
    </row>
    <row r="454" spans="1:16" x14ac:dyDescent="0.2">
      <c r="A454" s="155">
        <v>53905</v>
      </c>
      <c r="B454" s="159">
        <f t="shared" si="131"/>
        <v>1084.1249152341541</v>
      </c>
      <c r="C454" s="159">
        <f t="shared" si="131"/>
        <v>317.80705060998184</v>
      </c>
      <c r="D454" s="159">
        <f t="shared" si="128"/>
        <v>231.61841370015992</v>
      </c>
      <c r="E454" s="159">
        <f t="shared" si="132"/>
        <v>3.8657309088633158</v>
      </c>
      <c r="F454" s="159">
        <f t="shared" si="132"/>
        <v>83.406672877814628</v>
      </c>
      <c r="G454" s="159">
        <f t="shared" si="132"/>
        <v>508.30830733792158</v>
      </c>
      <c r="H454" s="159">
        <f t="shared" si="132"/>
        <v>288.20888590138367</v>
      </c>
      <c r="I454" s="159">
        <f t="shared" si="125"/>
        <v>1353.6997928781457</v>
      </c>
      <c r="J454" s="159">
        <f t="shared" si="129"/>
        <v>1401.9319658441359</v>
      </c>
      <c r="K454" s="159">
        <f t="shared" si="130"/>
        <v>2237.489389904129</v>
      </c>
      <c r="L454" s="159">
        <f t="shared" si="126"/>
        <v>3639.4213557482644</v>
      </c>
      <c r="M454" s="160">
        <f>'[5]Renewable Diesel'!$AM56/1000000</f>
        <v>496.45883836562479</v>
      </c>
      <c r="N454" s="161">
        <f t="shared" si="127"/>
        <v>7.3307615344899073</v>
      </c>
      <c r="O454" s="157">
        <f t="shared" si="113"/>
        <v>3871.0397694484254</v>
      </c>
      <c r="P454" s="154">
        <f t="shared" si="114"/>
        <v>7.7973025562242855</v>
      </c>
    </row>
    <row r="455" spans="1:16" x14ac:dyDescent="0.2">
      <c r="A455" s="155">
        <v>53936</v>
      </c>
      <c r="B455" s="159">
        <f t="shared" si="131"/>
        <v>1080.0114618901362</v>
      </c>
      <c r="C455" s="159">
        <f t="shared" si="131"/>
        <v>245.47474976703438</v>
      </c>
      <c r="D455" s="159">
        <f>$L455*(AVERAGE(D443/$L443,D431/$L431,D419/$L419,D407/$L407))*1.075</f>
        <v>290.10757604821964</v>
      </c>
      <c r="E455" s="159">
        <f t="shared" si="132"/>
        <v>4.657614386179044</v>
      </c>
      <c r="F455" s="159">
        <f t="shared" si="132"/>
        <v>96.838198568870141</v>
      </c>
      <c r="G455" s="159">
        <f t="shared" si="132"/>
        <v>512.63133639693103</v>
      </c>
      <c r="H455" s="159">
        <f t="shared" si="132"/>
        <v>253.44664442022813</v>
      </c>
      <c r="I455" s="159">
        <f t="shared" si="125"/>
        <v>1510.929172374566</v>
      </c>
      <c r="J455" s="159">
        <f t="shared" si="129"/>
        <v>1325.4862116571705</v>
      </c>
      <c r="K455" s="159">
        <f t="shared" si="130"/>
        <v>2378.5029661467743</v>
      </c>
      <c r="L455" s="159">
        <f t="shared" si="126"/>
        <v>3703.989177803945</v>
      </c>
      <c r="M455" s="160">
        <f>'[5]Renewable Diesel'!$AM57/1000000</f>
        <v>502.59401262212805</v>
      </c>
      <c r="N455" s="161">
        <f t="shared" si="127"/>
        <v>7.3697439380137713</v>
      </c>
      <c r="O455" s="157">
        <f t="shared" si="113"/>
        <v>3994.0967538521645</v>
      </c>
      <c r="P455" s="154">
        <f t="shared" si="114"/>
        <v>7.9469644554940198</v>
      </c>
    </row>
    <row r="456" spans="1:16" x14ac:dyDescent="0.2">
      <c r="A456" s="155">
        <v>53966</v>
      </c>
      <c r="B456" s="159">
        <f>$L456*(AVERAGE(B444/$L444,B432/$L432,B420/$L420,B408/$L408))+250</f>
        <v>1081.4053163061058</v>
      </c>
      <c r="C456" s="159">
        <f t="shared" si="131"/>
        <v>367.22299668681319</v>
      </c>
      <c r="D456" s="159">
        <f>$L456*(AVERAGE(D444/$L444,D432/$L432,D420/$L420,D408/$L408))</f>
        <v>356.06846909149681</v>
      </c>
      <c r="E456" s="159">
        <f t="shared" si="132"/>
        <v>6.1112211646304226</v>
      </c>
      <c r="F456" s="159">
        <f t="shared" si="132"/>
        <v>96.939846249747063</v>
      </c>
      <c r="G456" s="159">
        <f t="shared" si="132"/>
        <v>604.05079612589054</v>
      </c>
      <c r="H456" s="159">
        <f>$L456*(AVERAGE(H444/$L444,H432/$L432,H420/$L420,H408/$L408))+15</f>
        <v>275.95752934083362</v>
      </c>
      <c r="I456" s="159">
        <f t="shared" si="125"/>
        <v>1668.5075480016508</v>
      </c>
      <c r="J456" s="159">
        <f t="shared" si="129"/>
        <v>1448.6283129929188</v>
      </c>
      <c r="K456" s="159">
        <f t="shared" si="130"/>
        <v>2651.5669408827525</v>
      </c>
      <c r="L456" s="159">
        <f t="shared" si="126"/>
        <v>4100.1952538756714</v>
      </c>
      <c r="M456" s="160">
        <f>'[5]Renewable Diesel'!$AM58/1000000</f>
        <v>545.90107971907059</v>
      </c>
      <c r="N456" s="161">
        <f t="shared" si="127"/>
        <v>7.5108758824688477</v>
      </c>
      <c r="O456" s="157">
        <f t="shared" si="113"/>
        <v>4456.2637229671682</v>
      </c>
      <c r="P456" s="154">
        <f t="shared" si="114"/>
        <v>8.1631341071177808</v>
      </c>
    </row>
    <row r="457" spans="1:16" x14ac:dyDescent="0.2">
      <c r="A457" s="155">
        <v>53997</v>
      </c>
      <c r="B457" s="159">
        <f>$L457*(AVERAGE(B445/$L445,B433/$L433,B421/$L421,B409/$L409))+200</f>
        <v>1470.2950759644866</v>
      </c>
      <c r="C457" s="159">
        <f t="shared" si="131"/>
        <v>486.73030209844922</v>
      </c>
      <c r="D457" s="159">
        <f t="shared" ref="D457:D467" si="133">$L457*(AVERAGE(D445/$L445,D433/$L433,D421/$L421,D409/$L409))*1.075</f>
        <v>478.39027166112049</v>
      </c>
      <c r="E457" s="159">
        <f t="shared" si="132"/>
        <v>6.9589402323747098</v>
      </c>
      <c r="F457" s="159">
        <f t="shared" si="132"/>
        <v>45.899660663301972</v>
      </c>
      <c r="G457" s="159">
        <f t="shared" si="132"/>
        <v>817.19533090895527</v>
      </c>
      <c r="H457" s="159">
        <f t="shared" si="132"/>
        <v>300.77847369167353</v>
      </c>
      <c r="I457" s="159">
        <f t="shared" si="125"/>
        <v>1856.4047798266347</v>
      </c>
      <c r="J457" s="159">
        <f t="shared" si="129"/>
        <v>1957.0253780629359</v>
      </c>
      <c r="K457" s="159">
        <f t="shared" si="130"/>
        <v>3027.2371853229401</v>
      </c>
      <c r="L457" s="159">
        <f t="shared" si="126"/>
        <v>4984.2625633858761</v>
      </c>
      <c r="M457" s="160">
        <f>'[5]Renewable Diesel'!$AM59/1000000</f>
        <v>659.64095916620397</v>
      </c>
      <c r="N457" s="161">
        <f t="shared" si="127"/>
        <v>7.5560234611356734</v>
      </c>
      <c r="O457" s="157">
        <f t="shared" si="113"/>
        <v>5462.6528350469962</v>
      </c>
      <c r="P457" s="154">
        <f t="shared" si="114"/>
        <v>8.2812517311718654</v>
      </c>
    </row>
    <row r="458" spans="1:16" x14ac:dyDescent="0.2">
      <c r="A458" s="155">
        <v>54027</v>
      </c>
      <c r="B458" s="159">
        <f>$L458*(AVERAGE(B446/$L446,B434/$L434,B422/$L422,B410/$L410))+200</f>
        <v>1925.1242280086315</v>
      </c>
      <c r="C458" s="159">
        <f t="shared" si="131"/>
        <v>613.25130585105774</v>
      </c>
      <c r="D458" s="159">
        <f t="shared" si="133"/>
        <v>517.91830921191365</v>
      </c>
      <c r="E458" s="159">
        <f t="shared" si="132"/>
        <v>7.5012898121699125</v>
      </c>
      <c r="F458" s="159">
        <f t="shared" si="132"/>
        <v>44.317779210971786</v>
      </c>
      <c r="G458" s="159">
        <f t="shared" si="132"/>
        <v>927.44181009629085</v>
      </c>
      <c r="H458" s="159">
        <f t="shared" si="132"/>
        <v>245.87787596574339</v>
      </c>
      <c r="I458" s="159">
        <f t="shared" si="125"/>
        <v>1891.3580988782032</v>
      </c>
      <c r="J458" s="159">
        <f t="shared" si="129"/>
        <v>2538.3755338596893</v>
      </c>
      <c r="K458" s="159">
        <f t="shared" si="130"/>
        <v>3116.4968539633792</v>
      </c>
      <c r="L458" s="159">
        <f t="shared" si="126"/>
        <v>5654.8723878230685</v>
      </c>
      <c r="M458" s="160">
        <f>'[5]Renewable Diesel'!$AM60/1000000</f>
        <v>746.65163144184578</v>
      </c>
      <c r="N458" s="161">
        <f t="shared" si="127"/>
        <v>7.5736423114793769</v>
      </c>
      <c r="O458" s="157">
        <f t="shared" si="113"/>
        <v>6172.7906970349823</v>
      </c>
      <c r="P458" s="154">
        <f t="shared" si="114"/>
        <v>8.267296871922472</v>
      </c>
    </row>
    <row r="459" spans="1:16" x14ac:dyDescent="0.2">
      <c r="A459" s="155">
        <v>54058</v>
      </c>
      <c r="B459" s="159">
        <f>$L459*(AVERAGE(B447/$L447,B435/$L435,B423/$L423,B411/$L411))+200</f>
        <v>1203.0076723795178</v>
      </c>
      <c r="C459" s="159">
        <f t="shared" si="131"/>
        <v>296.21396796875405</v>
      </c>
      <c r="D459" s="159">
        <f>$L459*(AVERAGE(D447/$L447,D435/$L435,D423/$L423,D411/$L411))</f>
        <v>313.29586995674555</v>
      </c>
      <c r="E459" s="159">
        <f t="shared" si="132"/>
        <v>3.9241269029222479</v>
      </c>
      <c r="F459" s="159">
        <f t="shared" si="132"/>
        <v>63.016134580885144</v>
      </c>
      <c r="G459" s="159">
        <f t="shared" si="132"/>
        <v>607.9740881038756</v>
      </c>
      <c r="H459" s="159">
        <f t="shared" si="132"/>
        <v>142.4541512921833</v>
      </c>
      <c r="I459" s="159">
        <f t="shared" si="125"/>
        <v>605.83872772220548</v>
      </c>
      <c r="J459" s="159">
        <f t="shared" si="129"/>
        <v>1499.2216403482719</v>
      </c>
      <c r="K459" s="159">
        <f t="shared" si="130"/>
        <v>1423.2072286020716</v>
      </c>
      <c r="L459" s="159">
        <f t="shared" si="126"/>
        <v>2922.4288689503433</v>
      </c>
      <c r="M459" s="160">
        <f>'[5]Renewable Diesel'!$AN49/1000000</f>
        <v>410.48541823343174</v>
      </c>
      <c r="N459" s="161">
        <f t="shared" si="127"/>
        <v>7.1194462437358457</v>
      </c>
      <c r="O459" s="157">
        <f t="shared" si="113"/>
        <v>3235.724738907089</v>
      </c>
      <c r="P459" s="154">
        <f t="shared" si="114"/>
        <v>7.8826788849951823</v>
      </c>
    </row>
    <row r="460" spans="1:16" x14ac:dyDescent="0.2">
      <c r="A460" s="155">
        <v>54089</v>
      </c>
      <c r="B460" s="159">
        <f>$L460*(AVERAGE(B448/$L448,B436/$L436,B424/$L424,B412/$L412))</f>
        <v>828.62585096468831</v>
      </c>
      <c r="C460" s="159">
        <f t="shared" si="131"/>
        <v>268.14216090352562</v>
      </c>
      <c r="D460" s="159">
        <f t="shared" si="133"/>
        <v>294.30218973742399</v>
      </c>
      <c r="E460" s="159">
        <f t="shared" si="132"/>
        <v>4.2400717758768289</v>
      </c>
      <c r="F460" s="159">
        <f t="shared" si="132"/>
        <v>61.95637730481414</v>
      </c>
      <c r="G460" s="159">
        <f t="shared" si="132"/>
        <v>702.77367976464359</v>
      </c>
      <c r="H460" s="159">
        <f t="shared" si="132"/>
        <v>97.611867807344453</v>
      </c>
      <c r="I460" s="159">
        <f t="shared" si="125"/>
        <v>1335.5970660797675</v>
      </c>
      <c r="J460" s="159">
        <f t="shared" si="129"/>
        <v>1096.768011868214</v>
      </c>
      <c r="K460" s="159">
        <f t="shared" si="130"/>
        <v>2202.1790627324463</v>
      </c>
      <c r="L460" s="159">
        <f t="shared" si="126"/>
        <v>3298.9470746006605</v>
      </c>
      <c r="M460" s="160">
        <f>'[5]Renewable Diesel'!$AN50/1000000</f>
        <v>447.4085316435964</v>
      </c>
      <c r="N460" s="161">
        <f t="shared" si="127"/>
        <v>7.373455893837507</v>
      </c>
      <c r="O460" s="157">
        <f t="shared" si="113"/>
        <v>3593.2492643380842</v>
      </c>
      <c r="P460" s="154">
        <f t="shared" si="114"/>
        <v>8.0312488703287634</v>
      </c>
    </row>
    <row r="461" spans="1:16" x14ac:dyDescent="0.2">
      <c r="A461" s="155">
        <v>54118</v>
      </c>
      <c r="B461" s="159">
        <f>$L461*(AVERAGE(B449/$L449,B437/$L437,B425/$L425,B413/$L413))</f>
        <v>967.39899499517651</v>
      </c>
      <c r="C461" s="159">
        <f t="shared" si="131"/>
        <v>300.52717858635231</v>
      </c>
      <c r="D461" s="159">
        <f t="shared" si="133"/>
        <v>277.49721986222011</v>
      </c>
      <c r="E461" s="159">
        <f t="shared" si="132"/>
        <v>4.3434359517960717</v>
      </c>
      <c r="F461" s="159">
        <f t="shared" si="132"/>
        <v>92.606199207618644</v>
      </c>
      <c r="G461" s="159">
        <f t="shared" si="132"/>
        <v>622.90318223622228</v>
      </c>
      <c r="H461" s="159">
        <f t="shared" si="132"/>
        <v>189.4115308305154</v>
      </c>
      <c r="I461" s="159">
        <f t="shared" si="125"/>
        <v>1324.5803631465287</v>
      </c>
      <c r="J461" s="159">
        <f t="shared" si="129"/>
        <v>1267.9261735815289</v>
      </c>
      <c r="K461" s="159">
        <f t="shared" si="130"/>
        <v>2233.8447113726811</v>
      </c>
      <c r="L461" s="159">
        <f t="shared" si="126"/>
        <v>3501.77088495421</v>
      </c>
      <c r="M461" s="160">
        <f>'[5]Renewable Diesel'!$AN51/1000000</f>
        <v>478.81496439649663</v>
      </c>
      <c r="N461" s="161">
        <f t="shared" si="127"/>
        <v>7.3134115375192552</v>
      </c>
      <c r="O461" s="157">
        <f t="shared" si="113"/>
        <v>3779.2681048164304</v>
      </c>
      <c r="P461" s="154">
        <f t="shared" si="114"/>
        <v>7.892961552652932</v>
      </c>
    </row>
    <row r="462" spans="1:16" x14ac:dyDescent="0.2">
      <c r="A462" s="155">
        <v>54149</v>
      </c>
      <c r="B462" s="159">
        <f t="shared" si="131"/>
        <v>883.72176979018639</v>
      </c>
      <c r="C462" s="159">
        <f t="shared" si="131"/>
        <v>240.11983507614036</v>
      </c>
      <c r="D462" s="159">
        <f t="shared" si="133"/>
        <v>231.23622573035851</v>
      </c>
      <c r="E462" s="159">
        <f t="shared" si="132"/>
        <v>4.0900788497386875</v>
      </c>
      <c r="F462" s="159">
        <f t="shared" si="132"/>
        <v>100.11586389619085</v>
      </c>
      <c r="G462" s="159">
        <f t="shared" si="132"/>
        <v>341.09262570108939</v>
      </c>
      <c r="H462" s="159">
        <f t="shared" si="132"/>
        <v>252.74252462808195</v>
      </c>
      <c r="I462" s="159">
        <f t="shared" si="125"/>
        <v>1593.5566925056539</v>
      </c>
      <c r="J462" s="159">
        <f t="shared" si="129"/>
        <v>1123.8416048663266</v>
      </c>
      <c r="K462" s="159">
        <f t="shared" si="130"/>
        <v>2291.597785580755</v>
      </c>
      <c r="L462" s="159">
        <f t="shared" si="126"/>
        <v>3415.4393904470817</v>
      </c>
      <c r="M462" s="160">
        <f>'[5]Renewable Diesel'!$AN52/1000000</f>
        <v>458.18368348848298</v>
      </c>
      <c r="N462" s="161">
        <f t="shared" si="127"/>
        <v>7.4543016557090755</v>
      </c>
      <c r="O462" s="157">
        <f t="shared" si="113"/>
        <v>3646.6756161774401</v>
      </c>
      <c r="P462" s="154">
        <f t="shared" si="114"/>
        <v>7.9589818397998533</v>
      </c>
    </row>
    <row r="463" spans="1:16" x14ac:dyDescent="0.2">
      <c r="A463" s="155">
        <v>54179</v>
      </c>
      <c r="B463" s="159">
        <f t="shared" si="131"/>
        <v>752.02454278041137</v>
      </c>
      <c r="C463" s="159">
        <f t="shared" si="131"/>
        <v>348.59928024753066</v>
      </c>
      <c r="D463" s="159">
        <f t="shared" si="133"/>
        <v>184.74235777199002</v>
      </c>
      <c r="E463" s="159">
        <f t="shared" si="132"/>
        <v>4.3474943028583981</v>
      </c>
      <c r="F463" s="159">
        <f t="shared" si="132"/>
        <v>93.380330015891928</v>
      </c>
      <c r="G463" s="159">
        <f t="shared" si="132"/>
        <v>408.41550432445752</v>
      </c>
      <c r="H463" s="159">
        <f t="shared" si="132"/>
        <v>229.87972583444667</v>
      </c>
      <c r="I463" s="159">
        <f t="shared" si="125"/>
        <v>1866.1083485775696</v>
      </c>
      <c r="J463" s="159">
        <f t="shared" si="129"/>
        <v>1100.6238230279421</v>
      </c>
      <c r="K463" s="159">
        <f t="shared" si="130"/>
        <v>2602.1314030552239</v>
      </c>
      <c r="L463" s="159">
        <f t="shared" si="126"/>
        <v>3702.7552260831662</v>
      </c>
      <c r="M463" s="160">
        <f>'[5]Renewable Diesel'!$AN53/1000000</f>
        <v>511.61113512325238</v>
      </c>
      <c r="N463" s="161">
        <f t="shared" si="127"/>
        <v>7.237440649510364</v>
      </c>
      <c r="O463" s="157">
        <f t="shared" si="113"/>
        <v>3887.4975838551559</v>
      </c>
      <c r="P463" s="154">
        <f t="shared" si="114"/>
        <v>7.5985398224739926</v>
      </c>
    </row>
    <row r="464" spans="1:16" x14ac:dyDescent="0.2">
      <c r="A464" s="155">
        <v>54210</v>
      </c>
      <c r="B464" s="159">
        <f t="shared" si="131"/>
        <v>914.30891368984476</v>
      </c>
      <c r="C464" s="159">
        <f t="shared" si="131"/>
        <v>301.45639671337352</v>
      </c>
      <c r="D464" s="159">
        <f t="shared" si="133"/>
        <v>225.61836900662482</v>
      </c>
      <c r="E464" s="159">
        <f t="shared" si="132"/>
        <v>4.1037460193907771</v>
      </c>
      <c r="F464" s="159">
        <f t="shared" si="132"/>
        <v>111.36578503355943</v>
      </c>
      <c r="G464" s="159">
        <f t="shared" si="132"/>
        <v>452.0288032458318</v>
      </c>
      <c r="H464" s="159">
        <f t="shared" si="132"/>
        <v>267.98816997437649</v>
      </c>
      <c r="I464" s="159">
        <f t="shared" si="125"/>
        <v>1717.0537299193047</v>
      </c>
      <c r="J464" s="159">
        <f t="shared" si="129"/>
        <v>1215.7653104032183</v>
      </c>
      <c r="K464" s="159">
        <f t="shared" si="130"/>
        <v>2552.5402341924632</v>
      </c>
      <c r="L464" s="159">
        <f t="shared" si="126"/>
        <v>3768.3055445956816</v>
      </c>
      <c r="M464" s="160">
        <f>'[5]Renewable Diesel'!$AN54/1000000</f>
        <v>512.89385003131952</v>
      </c>
      <c r="N464" s="161">
        <f t="shared" si="127"/>
        <v>7.3471451146578817</v>
      </c>
      <c r="O464" s="157">
        <f t="shared" si="113"/>
        <v>3993.9239136023066</v>
      </c>
      <c r="P464" s="154">
        <f t="shared" si="114"/>
        <v>7.7870380262083865</v>
      </c>
    </row>
    <row r="465" spans="1:16" x14ac:dyDescent="0.2">
      <c r="A465" s="155">
        <v>54240</v>
      </c>
      <c r="B465" s="159">
        <f t="shared" si="131"/>
        <v>1072.7678882493119</v>
      </c>
      <c r="C465" s="159">
        <f t="shared" si="131"/>
        <v>420.44203491146988</v>
      </c>
      <c r="D465" s="159">
        <f t="shared" si="133"/>
        <v>253.93987202186938</v>
      </c>
      <c r="E465" s="159">
        <f t="shared" si="132"/>
        <v>3.9293739118459508</v>
      </c>
      <c r="F465" s="159">
        <f t="shared" si="132"/>
        <v>112.03871876246387</v>
      </c>
      <c r="G465" s="159">
        <f t="shared" si="132"/>
        <v>496.79671346520882</v>
      </c>
      <c r="H465" s="159">
        <f t="shared" si="132"/>
        <v>274.9540260179964</v>
      </c>
      <c r="I465" s="159">
        <f t="shared" si="125"/>
        <v>1286.9938964785983</v>
      </c>
      <c r="J465" s="159">
        <f t="shared" si="129"/>
        <v>1493.2099231607817</v>
      </c>
      <c r="K465" s="159">
        <f t="shared" si="130"/>
        <v>2174.7127286361133</v>
      </c>
      <c r="L465" s="159">
        <f t="shared" si="126"/>
        <v>3667.922651796895</v>
      </c>
      <c r="M465" s="160">
        <f>'[5]Renewable Diesel'!$AN55/1000000</f>
        <v>499.40260078882289</v>
      </c>
      <c r="N465" s="161">
        <f t="shared" si="127"/>
        <v>7.344620644752931</v>
      </c>
      <c r="O465" s="157">
        <f t="shared" si="113"/>
        <v>3921.8625238187647</v>
      </c>
      <c r="P465" s="154">
        <f t="shared" si="114"/>
        <v>7.8531079286011991</v>
      </c>
    </row>
    <row r="466" spans="1:16" x14ac:dyDescent="0.2">
      <c r="A466" s="155">
        <v>54271</v>
      </c>
      <c r="B466" s="159">
        <f t="shared" si="131"/>
        <v>1123.1538402826523</v>
      </c>
      <c r="C466" s="159">
        <f t="shared" si="131"/>
        <v>329.21497886216679</v>
      </c>
      <c r="D466" s="159">
        <f t="shared" si="133"/>
        <v>237.694331678472</v>
      </c>
      <c r="E466" s="159">
        <f t="shared" si="132"/>
        <v>4.0046117686778127</v>
      </c>
      <c r="F466" s="159">
        <f t="shared" si="132"/>
        <v>86.403241904175999</v>
      </c>
      <c r="G466" s="159">
        <f t="shared" si="132"/>
        <v>526.58676720373251</v>
      </c>
      <c r="H466" s="159">
        <f t="shared" si="132"/>
        <v>298.50322670723767</v>
      </c>
      <c r="I466" s="159">
        <f t="shared" si="125"/>
        <v>1402.2802010764608</v>
      </c>
      <c r="J466" s="159">
        <f t="shared" si="129"/>
        <v>1452.3688191448191</v>
      </c>
      <c r="K466" s="159">
        <f t="shared" si="130"/>
        <v>2317.7780486602846</v>
      </c>
      <c r="L466" s="159">
        <f t="shared" si="126"/>
        <v>3770.1468678051037</v>
      </c>
      <c r="M466" s="160">
        <f>'[5]Renewable Diesel'!$AN56/1000000</f>
        <v>514.29446448160763</v>
      </c>
      <c r="N466" s="161">
        <f t="shared" si="127"/>
        <v>7.3307164050565685</v>
      </c>
      <c r="O466" s="157">
        <f t="shared" si="113"/>
        <v>4007.841199483576</v>
      </c>
      <c r="P466" s="154">
        <f t="shared" si="114"/>
        <v>7.7928919641850545</v>
      </c>
    </row>
    <row r="467" spans="1:16" x14ac:dyDescent="0.2">
      <c r="A467" s="155">
        <v>54302</v>
      </c>
      <c r="B467" s="159">
        <f t="shared" si="131"/>
        <v>1118.8788753217507</v>
      </c>
      <c r="C467" s="159">
        <f t="shared" si="131"/>
        <v>254.28405669968092</v>
      </c>
      <c r="D467" s="159">
        <f t="shared" si="133"/>
        <v>304.31481882405285</v>
      </c>
      <c r="E467" s="159">
        <f t="shared" si="132"/>
        <v>4.8248316766834476</v>
      </c>
      <c r="F467" s="159">
        <f t="shared" si="132"/>
        <v>100.31517467215015</v>
      </c>
      <c r="G467" s="159">
        <f t="shared" si="132"/>
        <v>531.04599384560163</v>
      </c>
      <c r="H467" s="159">
        <f t="shared" si="132"/>
        <v>262.23779072607607</v>
      </c>
      <c r="I467" s="159">
        <f t="shared" si="125"/>
        <v>1565.3901915529505</v>
      </c>
      <c r="J467" s="159">
        <f t="shared" si="129"/>
        <v>1373.1629320214315</v>
      </c>
      <c r="K467" s="159">
        <f t="shared" si="130"/>
        <v>2463.8139824734617</v>
      </c>
      <c r="L467" s="159">
        <f t="shared" si="126"/>
        <v>3836.9769144948932</v>
      </c>
      <c r="M467" s="160">
        <f>'[5]Renewable Diesel'!$AN57/1000000</f>
        <v>520.6433836052413</v>
      </c>
      <c r="N467" s="161">
        <f t="shared" si="127"/>
        <v>7.3696834250065875</v>
      </c>
      <c r="O467" s="157">
        <f t="shared" si="113"/>
        <v>4141.2917333189462</v>
      </c>
      <c r="P467" s="154">
        <f t="shared" si="114"/>
        <v>7.9541810454637956</v>
      </c>
    </row>
    <row r="468" spans="1:16" x14ac:dyDescent="0.2">
      <c r="A468" s="155">
        <v>54332</v>
      </c>
      <c r="B468" s="159">
        <f>$L468*(AVERAGE(B456/$L456,B444/$L444,B432/$L432,B420/$L420))-250</f>
        <v>696.55336808609104</v>
      </c>
      <c r="C468" s="159">
        <f t="shared" si="131"/>
        <v>380.39390104018406</v>
      </c>
      <c r="D468" s="159">
        <f>$L468*(AVERAGE(D456/$L456,D444/$L444,D432/$L432,D420/$L420))*1.025</f>
        <v>384.66225808711977</v>
      </c>
      <c r="E468" s="159">
        <f t="shared" si="132"/>
        <v>6.3305800828395595</v>
      </c>
      <c r="F468" s="159">
        <f t="shared" si="132"/>
        <v>100.42076874720367</v>
      </c>
      <c r="G468" s="159">
        <f t="shared" si="132"/>
        <v>625.72758888575731</v>
      </c>
      <c r="H468" s="159">
        <f>$L468*(AVERAGE(H456/$L456,H444/$L444,H432/$L432,H420/$L420))-15</f>
        <v>261.86075548539725</v>
      </c>
      <c r="I468" s="159">
        <f t="shared" si="125"/>
        <v>2176.042427269791</v>
      </c>
      <c r="J468" s="159">
        <f t="shared" si="129"/>
        <v>1076.9472691262752</v>
      </c>
      <c r="K468" s="159">
        <f t="shared" si="130"/>
        <v>3170.3821204709889</v>
      </c>
      <c r="L468" s="159">
        <f t="shared" si="126"/>
        <v>4247.3293895972638</v>
      </c>
      <c r="M468" s="160">
        <f>'[5]Renewable Diesel'!$AN58/1000000</f>
        <v>565.49063475281753</v>
      </c>
      <c r="N468" s="161">
        <f t="shared" si="127"/>
        <v>7.5108748555205</v>
      </c>
      <c r="O468" s="157">
        <f t="shared" si="113"/>
        <v>4631.9916476843828</v>
      </c>
      <c r="P468" s="154">
        <f t="shared" si="114"/>
        <v>8.1911023154416682</v>
      </c>
    </row>
    <row r="469" spans="1:16" x14ac:dyDescent="0.2">
      <c r="A469" s="155">
        <v>54363</v>
      </c>
      <c r="B469" s="159">
        <f t="shared" ref="B469:C484" si="134">$L469*(AVERAGE(B457/$L457,B445/$L445,B433/$L433,B421/$L421))</f>
        <v>1383.7176567338306</v>
      </c>
      <c r="C469" s="159">
        <f t="shared" si="134"/>
        <v>504.18144117512827</v>
      </c>
      <c r="D469" s="159">
        <f>$L469*(AVERAGE(D457/$L457,D445/$L445,D433/$L433,D421/$L421))*1.05</f>
        <v>502.13038236992423</v>
      </c>
      <c r="E469" s="159">
        <f t="shared" ref="E469:H484" si="135">$L469*(AVERAGE(E457/$L457,E445/$L445,E433/$L433,E421/$L421))</f>
        <v>7.2086070333961159</v>
      </c>
      <c r="F469" s="159">
        <f t="shared" si="135"/>
        <v>47.548594547624717</v>
      </c>
      <c r="G469" s="159">
        <f>$L469*(AVERAGE(G457/$L457,G445/$L445,G433/$L433,G421/$L421))*0.9</f>
        <v>761.85279165217094</v>
      </c>
      <c r="H469" s="159">
        <f>$L469*(AVERAGE(H457/$L457,H445/$L445,H433/$L433,H421/$L421))-15</f>
        <v>300.55802199803213</v>
      </c>
      <c r="I469" s="159">
        <f t="shared" si="125"/>
        <v>2157.9778393504216</v>
      </c>
      <c r="J469" s="159">
        <f t="shared" si="129"/>
        <v>1887.899097908959</v>
      </c>
      <c r="K469" s="159">
        <f t="shared" si="130"/>
        <v>3275.1458545816454</v>
      </c>
      <c r="L469" s="159">
        <f t="shared" si="126"/>
        <v>5163.0449524906044</v>
      </c>
      <c r="M469" s="160">
        <f>'[5]Renewable Diesel'!$AN59/1000000</f>
        <v>683.30315960383518</v>
      </c>
      <c r="N469" s="161">
        <f t="shared" si="127"/>
        <v>7.5560091884896732</v>
      </c>
      <c r="O469" s="157">
        <f t="shared" si="113"/>
        <v>5665.1753348605289</v>
      </c>
      <c r="P469" s="154">
        <f t="shared" si="114"/>
        <v>8.2908665871603446</v>
      </c>
    </row>
    <row r="470" spans="1:16" x14ac:dyDescent="0.2">
      <c r="A470" s="155">
        <v>54393</v>
      </c>
      <c r="B470" s="159">
        <f t="shared" si="134"/>
        <v>1839.3285573064591</v>
      </c>
      <c r="C470" s="159">
        <f t="shared" si="134"/>
        <v>635.23647287046026</v>
      </c>
      <c r="D470" s="159">
        <f>$L470*(AVERAGE(D458/$L458,D446/$L446,D434/$L434,D422/$L422))*1.05</f>
        <v>544.86613260307672</v>
      </c>
      <c r="E470" s="159">
        <f t="shared" si="135"/>
        <v>7.7703490820405126</v>
      </c>
      <c r="F470" s="159">
        <f t="shared" si="135"/>
        <v>45.90977231405121</v>
      </c>
      <c r="G470" s="159">
        <f>$L470*(AVERAGE(G458/$L458,G446/$L446,G434/$L434,G422/$L422))*0.75</f>
        <v>720.52767711051047</v>
      </c>
      <c r="H470" s="159">
        <f>$L470*(AVERAGE(H458/$L458,H446/$L446,H434/$L434,H422/$L422))-15</f>
        <v>243.3090497174382</v>
      </c>
      <c r="I470" s="159">
        <f t="shared" si="125"/>
        <v>2365.5832341875953</v>
      </c>
      <c r="J470" s="159">
        <f t="shared" si="129"/>
        <v>2474.5650301769192</v>
      </c>
      <c r="K470" s="159">
        <f t="shared" si="130"/>
        <v>3383.1000824116354</v>
      </c>
      <c r="L470" s="159">
        <f t="shared" si="126"/>
        <v>5857.6651125885546</v>
      </c>
      <c r="M470" s="160">
        <f>'[5]Renewable Diesel'!$AN60/1000000</f>
        <v>773.431573274843</v>
      </c>
      <c r="N470" s="161">
        <f t="shared" si="127"/>
        <v>7.5736048475318736</v>
      </c>
      <c r="O470" s="157">
        <f t="shared" si="113"/>
        <v>6402.5312451916316</v>
      </c>
      <c r="P470" s="154">
        <f t="shared" si="114"/>
        <v>8.2780836294052591</v>
      </c>
    </row>
    <row r="471" spans="1:16" x14ac:dyDescent="0.2">
      <c r="A471" s="155">
        <v>54424</v>
      </c>
      <c r="B471" s="159">
        <f t="shared" si="134"/>
        <v>1097.6949693764884</v>
      </c>
      <c r="C471" s="159">
        <f t="shared" si="134"/>
        <v>306.92917836926716</v>
      </c>
      <c r="D471" s="159">
        <f>$L471*(AVERAGE(D459/$L459,D447/$L447,D435/$L435,D423/$L423))*1.05</f>
        <v>349.97727954886028</v>
      </c>
      <c r="E471" s="159">
        <f t="shared" si="135"/>
        <v>4.0660546536326079</v>
      </c>
      <c r="F471" s="159">
        <f t="shared" si="135"/>
        <v>65.294949987504424</v>
      </c>
      <c r="G471" s="159">
        <f>$L471*(AVERAGE(G459/$L459,G447/$L447,G435/$L435,G423/$L423))*0.75</f>
        <v>472.46657589868795</v>
      </c>
      <c r="H471" s="159">
        <f>$L471*(AVERAGE(H459/$L459,H447/$L447,H435/$L435,H423/$L423))-12.5</f>
        <v>138.9130311915585</v>
      </c>
      <c r="I471" s="159">
        <f t="shared" si="125"/>
        <v>942.74464307001699</v>
      </c>
      <c r="J471" s="159">
        <f t="shared" si="129"/>
        <v>1404.6241477457556</v>
      </c>
      <c r="K471" s="159">
        <f t="shared" si="130"/>
        <v>1623.4852548014005</v>
      </c>
      <c r="L471" s="159">
        <f t="shared" si="126"/>
        <v>3028.1094025471562</v>
      </c>
      <c r="M471" s="160">
        <f>'[5]Renewable Diesel'!$AO49/1000000</f>
        <v>425.32799879783437</v>
      </c>
      <c r="N471" s="161">
        <f t="shared" si="127"/>
        <v>7.1194687655313942</v>
      </c>
      <c r="O471" s="157">
        <f t="shared" si="113"/>
        <v>3378.0866820960164</v>
      </c>
      <c r="P471" s="154">
        <f t="shared" si="114"/>
        <v>7.942309680162106</v>
      </c>
    </row>
    <row r="472" spans="1:16" x14ac:dyDescent="0.2">
      <c r="A472" s="155">
        <v>54455</v>
      </c>
      <c r="B472" s="159">
        <f t="shared" si="134"/>
        <v>870.5421847840712</v>
      </c>
      <c r="C472" s="159">
        <f t="shared" si="134"/>
        <v>277.84054048748294</v>
      </c>
      <c r="D472" s="159">
        <f>$L472*(AVERAGE(D460/$L460,D448/$L448,D436/$L436,D424/$L424))*1.05</f>
        <v>309.38827602988317</v>
      </c>
      <c r="E472" s="159">
        <f t="shared" si="135"/>
        <v>4.3934244471317401</v>
      </c>
      <c r="F472" s="159">
        <f t="shared" si="135"/>
        <v>64.197037295160669</v>
      </c>
      <c r="G472" s="159">
        <f>$L472*(AVERAGE(G460/$L460,G448/$L448,G436/$L436,G424/$L424))*0.75</f>
        <v>546.13844258592894</v>
      </c>
      <c r="H472" s="159">
        <f>$L472*(AVERAGE(H460/$L460,H448/$L448,H436/$L436,H424/$L424))-10</f>
        <v>96.002714589611486</v>
      </c>
      <c r="I472" s="159">
        <f t="shared" si="125"/>
        <v>1559.127173692204</v>
      </c>
      <c r="J472" s="159">
        <f t="shared" si="129"/>
        <v>1148.3827252715541</v>
      </c>
      <c r="K472" s="159">
        <f t="shared" si="130"/>
        <v>2269.8587926100367</v>
      </c>
      <c r="L472" s="159">
        <f t="shared" si="126"/>
        <v>3418.2415178815909</v>
      </c>
      <c r="M472" s="160">
        <f>'[5]Renewable Diesel'!$AO50/1000000</f>
        <v>463.58669781772699</v>
      </c>
      <c r="N472" s="161">
        <f t="shared" si="127"/>
        <v>7.3734676468770788</v>
      </c>
      <c r="O472" s="157">
        <f t="shared" ref="O472:O494" si="136">SUM(D472:I472,B472:C472)</f>
        <v>3727.6297939114743</v>
      </c>
      <c r="P472" s="154">
        <f t="shared" si="114"/>
        <v>8.0408471844830718</v>
      </c>
    </row>
    <row r="473" spans="1:16" x14ac:dyDescent="0.2">
      <c r="A473" s="155">
        <v>54483</v>
      </c>
      <c r="B473" s="159">
        <f t="shared" si="134"/>
        <v>1014.3271029427477</v>
      </c>
      <c r="C473" s="159">
        <f t="shared" si="134"/>
        <v>311.3975523809774</v>
      </c>
      <c r="D473" s="159">
        <f t="shared" ref="D473:D479" si="137">$L473*(AVERAGE(D461/$L461,D449/$L449,D437/$L437,D425/$L425))*1.025</f>
        <v>284.99243694421762</v>
      </c>
      <c r="E473" s="159">
        <f t="shared" si="135"/>
        <v>4.5005309663704347</v>
      </c>
      <c r="F473" s="159">
        <f t="shared" si="135"/>
        <v>95.954813515444812</v>
      </c>
      <c r="G473" s="159">
        <f t="shared" si="135"/>
        <v>645.42608261931059</v>
      </c>
      <c r="H473" s="159">
        <f t="shared" si="135"/>
        <v>197.71975003673057</v>
      </c>
      <c r="I473" s="159">
        <f t="shared" si="125"/>
        <v>1359.0781491607363</v>
      </c>
      <c r="J473" s="159">
        <f t="shared" si="129"/>
        <v>1325.7246553237251</v>
      </c>
      <c r="K473" s="159">
        <f t="shared" si="130"/>
        <v>2302.679326298593</v>
      </c>
      <c r="L473" s="159">
        <f t="shared" si="126"/>
        <v>3628.4039816223176</v>
      </c>
      <c r="M473" s="160">
        <f>'[5]Renewable Diesel'!$AO51/1000000</f>
        <v>496.1283411475851</v>
      </c>
      <c r="N473" s="161">
        <f t="shared" si="127"/>
        <v>7.3134382390442054</v>
      </c>
      <c r="O473" s="157">
        <f t="shared" si="136"/>
        <v>3913.3964185665354</v>
      </c>
      <c r="P473" s="154">
        <f t="shared" si="114"/>
        <v>7.8878711293020105</v>
      </c>
    </row>
    <row r="474" spans="1:16" x14ac:dyDescent="0.2">
      <c r="A474" s="155">
        <v>54514</v>
      </c>
      <c r="B474" s="159">
        <f t="shared" si="134"/>
        <v>927.62959807204675</v>
      </c>
      <c r="C474" s="159">
        <f t="shared" si="134"/>
        <v>248.80462984770506</v>
      </c>
      <c r="D474" s="159">
        <f t="shared" si="137"/>
        <v>239.95516515618459</v>
      </c>
      <c r="E474" s="159">
        <f t="shared" si="135"/>
        <v>4.238010132509527</v>
      </c>
      <c r="F474" s="159">
        <f t="shared" si="135"/>
        <v>103.73498976395952</v>
      </c>
      <c r="G474" s="159">
        <f t="shared" si="135"/>
        <v>353.42912995529133</v>
      </c>
      <c r="H474" s="159">
        <f t="shared" si="135"/>
        <v>261.97796433520938</v>
      </c>
      <c r="I474" s="159">
        <f t="shared" si="125"/>
        <v>1639.1366074056084</v>
      </c>
      <c r="J474" s="159">
        <f t="shared" si="129"/>
        <v>1176.4342279197517</v>
      </c>
      <c r="K474" s="159">
        <f t="shared" si="130"/>
        <v>2362.5167015925781</v>
      </c>
      <c r="L474" s="159">
        <f t="shared" si="126"/>
        <v>3538.9509295123298</v>
      </c>
      <c r="M474" s="160">
        <f>'[5]Renewable Diesel'!$AO52/1000000</f>
        <v>474.75172027144509</v>
      </c>
      <c r="N474" s="161">
        <f t="shared" si="127"/>
        <v>7.4543193387248632</v>
      </c>
      <c r="O474" s="157">
        <f t="shared" si="136"/>
        <v>3778.9060946685145</v>
      </c>
      <c r="P474" s="154">
        <f t="shared" ref="P474:P494" si="138">O474/M474</f>
        <v>7.9597522943316115</v>
      </c>
    </row>
    <row r="475" spans="1:16" x14ac:dyDescent="0.2">
      <c r="A475" s="155">
        <v>54544</v>
      </c>
      <c r="B475" s="159">
        <f>$L475*(AVERAGE(B463/$L463,B451/$L451,B439/$L439,B427/$L427))+200</f>
        <v>977.69052286918918</v>
      </c>
      <c r="C475" s="159">
        <f t="shared" si="134"/>
        <v>361.20852707491821</v>
      </c>
      <c r="D475" s="159">
        <f t="shared" si="137"/>
        <v>194.02291176906442</v>
      </c>
      <c r="E475" s="159">
        <f t="shared" si="135"/>
        <v>4.5047425502629501</v>
      </c>
      <c r="F475" s="159">
        <f t="shared" si="135"/>
        <v>96.75640765057058</v>
      </c>
      <c r="G475" s="159">
        <f t="shared" si="135"/>
        <v>423.18633036337133</v>
      </c>
      <c r="H475" s="159">
        <f t="shared" si="135"/>
        <v>238.51322570144382</v>
      </c>
      <c r="I475" s="159">
        <f t="shared" si="125"/>
        <v>1734.8017443697795</v>
      </c>
      <c r="J475" s="159">
        <f t="shared" si="129"/>
        <v>1338.8990499441074</v>
      </c>
      <c r="K475" s="159">
        <f t="shared" si="130"/>
        <v>2497.7624506354282</v>
      </c>
      <c r="L475" s="159">
        <f t="shared" si="126"/>
        <v>3836.6615005795356</v>
      </c>
      <c r="M475" s="160">
        <f>'[5]Renewable Diesel'!$AO53/1000000</f>
        <v>530.11159103694376</v>
      </c>
      <c r="N475" s="161">
        <f t="shared" si="127"/>
        <v>7.237460122452136</v>
      </c>
      <c r="O475" s="157">
        <f t="shared" si="136"/>
        <v>4030.6844123486003</v>
      </c>
      <c r="P475" s="154">
        <f t="shared" si="138"/>
        <v>7.6034640262519737</v>
      </c>
    </row>
    <row r="476" spans="1:16" x14ac:dyDescent="0.2">
      <c r="A476" s="155">
        <v>54575</v>
      </c>
      <c r="B476" s="159">
        <f>$L476*(AVERAGE(B464/$L464,B452/$L452,B440/$L440,B428/$L428))+200</f>
        <v>1147.6378752335745</v>
      </c>
      <c r="C476" s="159">
        <f t="shared" si="134"/>
        <v>312.35941228413179</v>
      </c>
      <c r="D476" s="159">
        <f t="shared" si="137"/>
        <v>234.79055853415247</v>
      </c>
      <c r="E476" s="159">
        <f t="shared" si="135"/>
        <v>4.2521641609763989</v>
      </c>
      <c r="F476" s="159">
        <f t="shared" si="135"/>
        <v>115.39263502920009</v>
      </c>
      <c r="G476" s="159">
        <f t="shared" si="135"/>
        <v>468.3761608522392</v>
      </c>
      <c r="H476" s="159">
        <f t="shared" si="135"/>
        <v>277.99756159966807</v>
      </c>
      <c r="I476" s="159">
        <f t="shared" si="125"/>
        <v>1578.5565921662742</v>
      </c>
      <c r="J476" s="159">
        <f t="shared" si="129"/>
        <v>1459.9972875177064</v>
      </c>
      <c r="K476" s="159">
        <f t="shared" si="130"/>
        <v>2444.5751138083579</v>
      </c>
      <c r="L476" s="159">
        <f t="shared" si="126"/>
        <v>3904.5724013260642</v>
      </c>
      <c r="M476" s="160">
        <f>'[5]Renewable Diesel'!$AO54/1000000</f>
        <v>531.43977940409593</v>
      </c>
      <c r="N476" s="161">
        <f t="shared" si="127"/>
        <v>7.3471587048005063</v>
      </c>
      <c r="O476" s="157">
        <f t="shared" si="136"/>
        <v>4139.3629598602165</v>
      </c>
      <c r="P476" s="154">
        <f t="shared" si="138"/>
        <v>7.7889595778879954</v>
      </c>
    </row>
    <row r="477" spans="1:16" x14ac:dyDescent="0.2">
      <c r="A477" s="155">
        <v>54605</v>
      </c>
      <c r="B477" s="159">
        <f>$L477*(AVERAGE(B465/$L465,B453/$L453,B441/$L441,B429/$L429))+200</f>
        <v>1311.8155327118382</v>
      </c>
      <c r="C477" s="159">
        <f t="shared" si="134"/>
        <v>435.64878660031661</v>
      </c>
      <c r="D477" s="159">
        <f t="shared" si="137"/>
        <v>263.75991338449234</v>
      </c>
      <c r="E477" s="159">
        <f t="shared" si="135"/>
        <v>4.0714798580102771</v>
      </c>
      <c r="F477" s="159">
        <f t="shared" si="135"/>
        <v>116.0893583334893</v>
      </c>
      <c r="G477" s="159">
        <f t="shared" si="135"/>
        <v>514.76240289709608</v>
      </c>
      <c r="H477" s="159">
        <f t="shared" si="135"/>
        <v>284.90769719415738</v>
      </c>
      <c r="I477" s="159">
        <f t="shared" si="125"/>
        <v>1133.2596179031893</v>
      </c>
      <c r="J477" s="159">
        <f t="shared" si="129"/>
        <v>1747.4643193121547</v>
      </c>
      <c r="K477" s="159">
        <f t="shared" si="130"/>
        <v>2053.0905561859427</v>
      </c>
      <c r="L477" s="159">
        <f t="shared" si="126"/>
        <v>3800.5548754980973</v>
      </c>
      <c r="M477" s="160">
        <f>'[5]Renewable Diesel'!$AO55/1000000</f>
        <v>517.46066101597353</v>
      </c>
      <c r="N477" s="161">
        <f t="shared" si="127"/>
        <v>7.3446257113268318</v>
      </c>
      <c r="O477" s="157">
        <f t="shared" si="136"/>
        <v>4064.3147888825902</v>
      </c>
      <c r="P477" s="154">
        <f t="shared" si="138"/>
        <v>7.8543454509233284</v>
      </c>
    </row>
    <row r="478" spans="1:16" x14ac:dyDescent="0.2">
      <c r="A478" s="155">
        <v>54636</v>
      </c>
      <c r="B478" s="159">
        <f t="shared" si="134"/>
        <v>1164.0250402813385</v>
      </c>
      <c r="C478" s="159">
        <f t="shared" si="134"/>
        <v>341.12190922134306</v>
      </c>
      <c r="D478" s="159">
        <f t="shared" si="137"/>
        <v>247.13471965121553</v>
      </c>
      <c r="E478" s="159">
        <f t="shared" si="135"/>
        <v>4.1494455838727555</v>
      </c>
      <c r="F478" s="159">
        <f t="shared" si="135"/>
        <v>89.526949150202029</v>
      </c>
      <c r="G478" s="159">
        <f t="shared" si="135"/>
        <v>545.63323882606323</v>
      </c>
      <c r="H478" s="159">
        <f t="shared" si="135"/>
        <v>309.21442611132869</v>
      </c>
      <c r="I478" s="159">
        <f t="shared" si="125"/>
        <v>1452.8088599241742</v>
      </c>
      <c r="J478" s="159">
        <f t="shared" si="129"/>
        <v>1505.1469495026815</v>
      </c>
      <c r="K478" s="159">
        <f t="shared" si="130"/>
        <v>2401.3329195956412</v>
      </c>
      <c r="L478" s="159">
        <f t="shared" si="126"/>
        <v>3906.479869098323</v>
      </c>
      <c r="M478" s="160">
        <f>'[5]Renewable Diesel'!$AO56/1000000</f>
        <v>532.89056932980839</v>
      </c>
      <c r="N478" s="161">
        <f t="shared" si="127"/>
        <v>7.3307356030175583</v>
      </c>
      <c r="O478" s="157">
        <f t="shared" si="136"/>
        <v>4153.6145887495377</v>
      </c>
      <c r="P478" s="154">
        <f t="shared" si="138"/>
        <v>7.7944982099670952</v>
      </c>
    </row>
    <row r="479" spans="1:16" x14ac:dyDescent="0.2">
      <c r="A479" s="155">
        <v>54667</v>
      </c>
      <c r="B479" s="159">
        <f t="shared" si="134"/>
        <v>1159.5969893679815</v>
      </c>
      <c r="C479" s="159">
        <f t="shared" si="134"/>
        <v>263.48085578150824</v>
      </c>
      <c r="D479" s="159">
        <f t="shared" si="137"/>
        <v>314.87484429890071</v>
      </c>
      <c r="E479" s="159">
        <f t="shared" si="135"/>
        <v>4.9993013792568721</v>
      </c>
      <c r="F479" s="159">
        <f t="shared" si="135"/>
        <v>103.94161087943765</v>
      </c>
      <c r="G479" s="159">
        <f t="shared" si="135"/>
        <v>550.27024657880293</v>
      </c>
      <c r="H479" s="159">
        <f t="shared" si="135"/>
        <v>271.28190226602044</v>
      </c>
      <c r="I479" s="159">
        <f t="shared" si="125"/>
        <v>1622.1604553571747</v>
      </c>
      <c r="J479" s="159">
        <f t="shared" si="129"/>
        <v>1423.0778451494898</v>
      </c>
      <c r="K479" s="159">
        <f t="shared" si="130"/>
        <v>2552.6535164606926</v>
      </c>
      <c r="L479" s="159">
        <f t="shared" si="126"/>
        <v>3975.7313616101819</v>
      </c>
      <c r="M479" s="160">
        <f>'[5]Renewable Diesel'!$AO57/1000000</f>
        <v>539.46953374594193</v>
      </c>
      <c r="N479" s="161">
        <f t="shared" si="127"/>
        <v>7.3697050767699421</v>
      </c>
      <c r="O479" s="157">
        <f t="shared" si="136"/>
        <v>4290.6062059090837</v>
      </c>
      <c r="P479" s="154">
        <f t="shared" si="138"/>
        <v>7.9533800103894361</v>
      </c>
    </row>
    <row r="480" spans="1:16" x14ac:dyDescent="0.2">
      <c r="A480" s="155">
        <v>54697</v>
      </c>
      <c r="B480" s="159">
        <f>$L480*(AVERAGE(B468/$L468,B456/$L456,B444/$L444,B432/$L432))</f>
        <v>979.50119993259068</v>
      </c>
      <c r="C480" s="159">
        <f t="shared" si="134"/>
        <v>394.14977546843716</v>
      </c>
      <c r="D480" s="159">
        <f>$L480*(AVERAGE(D468/$L468,D456/$L456,D444/$L444,D432/$L432))*1.01</f>
        <v>399.40887410420424</v>
      </c>
      <c r="E480" s="159">
        <f t="shared" si="135"/>
        <v>6.5594152798857799</v>
      </c>
      <c r="F480" s="159">
        <f t="shared" si="135"/>
        <v>104.05114044548074</v>
      </c>
      <c r="G480" s="159">
        <f t="shared" si="135"/>
        <v>648.34210795058061</v>
      </c>
      <c r="H480" s="159">
        <f>$L480*(AVERAGE(H468/$L468,H456/$L456,H444/$L444,H432/$L432))-25</f>
        <v>258.80697680966347</v>
      </c>
      <c r="I480" s="159">
        <f t="shared" si="125"/>
        <v>2009.4765882390661</v>
      </c>
      <c r="J480" s="159">
        <f t="shared" si="129"/>
        <v>1373.6509754010278</v>
      </c>
      <c r="K480" s="159">
        <f t="shared" si="130"/>
        <v>3027.2362287246769</v>
      </c>
      <c r="L480" s="159">
        <f t="shared" si="126"/>
        <v>4400.8872041257046</v>
      </c>
      <c r="M480" s="160">
        <f>'[5]Renewable Diesel'!$AO58/1000000</f>
        <v>585.93875752156669</v>
      </c>
      <c r="N480" s="161">
        <f t="shared" si="127"/>
        <v>7.5108313755191745</v>
      </c>
      <c r="O480" s="157">
        <f t="shared" si="136"/>
        <v>4800.2960782299087</v>
      </c>
      <c r="P480" s="154">
        <f t="shared" si="138"/>
        <v>8.19248772437318</v>
      </c>
    </row>
    <row r="481" spans="1:16" x14ac:dyDescent="0.2">
      <c r="A481" s="155">
        <v>54728</v>
      </c>
      <c r="B481" s="159">
        <f>$L481*(AVERAGE(B469/$L469,B457/$L457,B445/$L445,B433/$L433))-200</f>
        <v>1264.3053911693437</v>
      </c>
      <c r="C481" s="159">
        <f t="shared" si="134"/>
        <v>522.4151798343604</v>
      </c>
      <c r="D481" s="159">
        <f t="shared" ref="D481:D494" si="139">$L481*(AVERAGE(D469/$L469,D457/$L457,D445/$L445,D433/$L433))*1.01</f>
        <v>515.29193304612841</v>
      </c>
      <c r="E481" s="159">
        <f t="shared" si="135"/>
        <v>7.469192472149822</v>
      </c>
      <c r="F481" s="159">
        <f t="shared" si="135"/>
        <v>49.267732074743648</v>
      </c>
      <c r="G481" s="159">
        <f t="shared" si="135"/>
        <v>855.17305452056951</v>
      </c>
      <c r="H481" s="159">
        <f>$L481*(AVERAGE(H469/$L469,H457/$L457,H445/$L445,H433/$L433))-25</f>
        <v>298.53603563837788</v>
      </c>
      <c r="I481" s="159">
        <f t="shared" si="125"/>
        <v>2352.5508192337402</v>
      </c>
      <c r="J481" s="159">
        <f t="shared" si="129"/>
        <v>1786.7205710037042</v>
      </c>
      <c r="K481" s="159">
        <f t="shared" si="130"/>
        <v>3562.9968339395809</v>
      </c>
      <c r="L481" s="159">
        <f t="shared" si="126"/>
        <v>5349.7174049432851</v>
      </c>
      <c r="M481" s="160">
        <f>'[5]Renewable Diesel'!$AO59/1000000</f>
        <v>708.01159508728233</v>
      </c>
      <c r="N481" s="161">
        <f t="shared" si="127"/>
        <v>7.5559742835620964</v>
      </c>
      <c r="O481" s="157">
        <f t="shared" si="136"/>
        <v>5865.0093379894124</v>
      </c>
      <c r="P481" s="154">
        <f t="shared" si="138"/>
        <v>8.283775828934532</v>
      </c>
    </row>
    <row r="482" spans="1:16" x14ac:dyDescent="0.2">
      <c r="A482" s="155">
        <v>54758</v>
      </c>
      <c r="B482" s="159">
        <f t="shared" si="134"/>
        <v>1935.6810490463156</v>
      </c>
      <c r="C482" s="159">
        <f t="shared" si="134"/>
        <v>658.2075587964722</v>
      </c>
      <c r="D482" s="159">
        <f t="shared" si="139"/>
        <v>560.80250645186754</v>
      </c>
      <c r="E482" s="159">
        <f t="shared" si="135"/>
        <v>8.0512440888246708</v>
      </c>
      <c r="F482" s="159">
        <f t="shared" si="135"/>
        <v>47.570139701990378</v>
      </c>
      <c r="G482" s="159">
        <f t="shared" si="135"/>
        <v>933.21447095191843</v>
      </c>
      <c r="H482" s="159">
        <f>$L482*(AVERAGE(H470/$L470,H458/$L458,H446/$L446,H434/$L434))-25</f>
        <v>241.00344500576148</v>
      </c>
      <c r="I482" s="159">
        <f t="shared" si="125"/>
        <v>2245.7227122352538</v>
      </c>
      <c r="J482" s="159">
        <f t="shared" si="129"/>
        <v>2593.8886078427877</v>
      </c>
      <c r="K482" s="159">
        <f t="shared" si="130"/>
        <v>3475.5620119837486</v>
      </c>
      <c r="L482" s="159">
        <f t="shared" si="126"/>
        <v>6069.4506198265362</v>
      </c>
      <c r="M482" s="160">
        <f>'[5]Renewable Diesel'!$AO60/1000000</f>
        <v>801.3993992506671</v>
      </c>
      <c r="N482" s="161">
        <f t="shared" si="127"/>
        <v>7.5735652229108954</v>
      </c>
      <c r="O482" s="157">
        <f t="shared" si="136"/>
        <v>6630.2531262784041</v>
      </c>
      <c r="P482" s="154">
        <f t="shared" si="138"/>
        <v>8.2733442681363289</v>
      </c>
    </row>
    <row r="483" spans="1:16" x14ac:dyDescent="0.2">
      <c r="A483" s="155">
        <v>54789</v>
      </c>
      <c r="B483" s="159">
        <f t="shared" si="134"/>
        <v>1180.6026641012106</v>
      </c>
      <c r="C483" s="159">
        <f t="shared" si="134"/>
        <v>320.13338174648715</v>
      </c>
      <c r="D483" s="159">
        <f t="shared" si="139"/>
        <v>361.80877824442518</v>
      </c>
      <c r="E483" s="159">
        <f t="shared" si="135"/>
        <v>4.2409485161702385</v>
      </c>
      <c r="F483" s="159">
        <f t="shared" si="135"/>
        <v>68.103598028956341</v>
      </c>
      <c r="G483" s="159">
        <f t="shared" si="135"/>
        <v>615.98287890870142</v>
      </c>
      <c r="H483" s="159">
        <f>$L483*(AVERAGE(H471/$L471,H459/$L459,H447/$L447,H435/$L435))-25</f>
        <v>132.0138838936563</v>
      </c>
      <c r="I483" s="159">
        <f t="shared" si="125"/>
        <v>837.29522522737034</v>
      </c>
      <c r="J483" s="159">
        <f t="shared" si="129"/>
        <v>1500.7360458476978</v>
      </c>
      <c r="K483" s="159">
        <f t="shared" si="130"/>
        <v>1657.6365345748545</v>
      </c>
      <c r="L483" s="159">
        <f t="shared" si="126"/>
        <v>3158.3725804225523</v>
      </c>
      <c r="M483" s="160">
        <f>'[5]Renewable Diesel'!$AP49/1000000</f>
        <v>443.62295822248586</v>
      </c>
      <c r="N483" s="161">
        <f t="shared" si="127"/>
        <v>7.1194975865937149</v>
      </c>
      <c r="O483" s="157">
        <f t="shared" si="136"/>
        <v>3520.1813586669773</v>
      </c>
      <c r="P483" s="154">
        <f t="shared" si="138"/>
        <v>7.9350748049011823</v>
      </c>
    </row>
    <row r="484" spans="1:16" x14ac:dyDescent="0.2">
      <c r="A484" s="155">
        <v>54820</v>
      </c>
      <c r="B484" s="159">
        <f t="shared" si="134"/>
        <v>925.01695017801751</v>
      </c>
      <c r="C484" s="159">
        <f t="shared" si="134"/>
        <v>289.90346345317721</v>
      </c>
      <c r="D484" s="159">
        <f t="shared" si="139"/>
        <v>320.53806381811108</v>
      </c>
      <c r="E484" s="159">
        <f t="shared" si="135"/>
        <v>4.5841371796229664</v>
      </c>
      <c r="F484" s="159">
        <f t="shared" si="135"/>
        <v>66.98398095787222</v>
      </c>
      <c r="G484" s="159">
        <f t="shared" si="135"/>
        <v>712.30317332214156</v>
      </c>
      <c r="H484" s="159">
        <f>$L484*(AVERAGE(H472/$L472,H460/$L460,H448/$L448,H436/$L436))-25</f>
        <v>86.012734229710063</v>
      </c>
      <c r="I484" s="159">
        <f t="shared" si="125"/>
        <v>1481.8344094796739</v>
      </c>
      <c r="J484" s="159">
        <f t="shared" si="129"/>
        <v>1214.9204136311946</v>
      </c>
      <c r="K484" s="159">
        <f t="shared" si="130"/>
        <v>2351.7184351690207</v>
      </c>
      <c r="L484" s="159">
        <f t="shared" si="126"/>
        <v>3566.6388488002153</v>
      </c>
      <c r="M484" s="160">
        <f>'[5]Renewable Diesel'!$AP50/1000000</f>
        <v>483.71198743685954</v>
      </c>
      <c r="N484" s="161">
        <f t="shared" si="127"/>
        <v>7.3734762450264473</v>
      </c>
      <c r="O484" s="157">
        <f t="shared" si="136"/>
        <v>3887.1769126183262</v>
      </c>
      <c r="P484" s="154">
        <f t="shared" si="138"/>
        <v>8.0361393010251412</v>
      </c>
    </row>
    <row r="485" spans="1:16" x14ac:dyDescent="0.2">
      <c r="A485" s="155">
        <v>54848</v>
      </c>
      <c r="B485" s="159">
        <f t="shared" ref="B485:C494" si="140">$L485*(AVERAGE(B473/$L473,B461/$L461,B449/$L449,B437/$L437))</f>
        <v>1074.4888536885601</v>
      </c>
      <c r="C485" s="159">
        <f t="shared" si="140"/>
        <v>324.7486319628328</v>
      </c>
      <c r="D485" s="159">
        <f t="shared" si="139"/>
        <v>300.63347317578018</v>
      </c>
      <c r="E485" s="159">
        <f t="shared" ref="E485:H494" si="141">$L485*(AVERAGE(E473/$L473,E461/$L461,E449/$L449,E437/$L437))</f>
        <v>4.6934514374626692</v>
      </c>
      <c r="F485" s="159">
        <f t="shared" si="141"/>
        <v>100.06896829256243</v>
      </c>
      <c r="G485" s="159">
        <f t="shared" si="141"/>
        <v>673.08990345016537</v>
      </c>
      <c r="H485" s="159">
        <f>$L485*(AVERAGE(H473/$L473,H461/$L461,H449/$L449,H437/$L437))-11.5</f>
        <v>198.20196455592051</v>
      </c>
      <c r="I485" s="159">
        <f t="shared" si="125"/>
        <v>1408.6627479457966</v>
      </c>
      <c r="J485" s="159">
        <f t="shared" si="129"/>
        <v>1399.2374856513929</v>
      </c>
      <c r="K485" s="159">
        <f t="shared" si="130"/>
        <v>2384.7170356819079</v>
      </c>
      <c r="L485" s="159">
        <f t="shared" si="126"/>
        <v>3783.9545213333008</v>
      </c>
      <c r="M485" s="160">
        <f>'[5]Renewable Diesel'!$AP51/1000000</f>
        <v>517.39625178451206</v>
      </c>
      <c r="N485" s="161">
        <f t="shared" si="127"/>
        <v>7.3134556121779992</v>
      </c>
      <c r="O485" s="157">
        <f t="shared" si="136"/>
        <v>4084.5879945090805</v>
      </c>
      <c r="P485" s="154">
        <f t="shared" si="138"/>
        <v>7.8945063487051534</v>
      </c>
    </row>
    <row r="486" spans="1:16" x14ac:dyDescent="0.2">
      <c r="A486" s="155">
        <v>54879</v>
      </c>
      <c r="B486" s="159">
        <f t="shared" si="140"/>
        <v>984.54221875684527</v>
      </c>
      <c r="C486" s="159">
        <f t="shared" si="140"/>
        <v>259.5959694702297</v>
      </c>
      <c r="D486" s="159">
        <f t="shared" si="139"/>
        <v>255.94372914953226</v>
      </c>
      <c r="E486" s="159">
        <f t="shared" si="141"/>
        <v>4.42179102904195</v>
      </c>
      <c r="F486" s="159">
        <f t="shared" si="141"/>
        <v>108.23420325773915</v>
      </c>
      <c r="G486" s="159">
        <f t="shared" si="141"/>
        <v>368.7526864384555</v>
      </c>
      <c r="H486" s="159">
        <f t="shared" si="141"/>
        <v>275.49420985499592</v>
      </c>
      <c r="I486" s="159">
        <f t="shared" si="125"/>
        <v>1691.3875777643393</v>
      </c>
      <c r="J486" s="159">
        <f t="shared" si="129"/>
        <v>1244.138188227075</v>
      </c>
      <c r="K486" s="159">
        <f t="shared" si="130"/>
        <v>2448.2904683445718</v>
      </c>
      <c r="L486" s="159">
        <f t="shared" si="126"/>
        <v>3692.4286565716466</v>
      </c>
      <c r="M486" s="160">
        <f>'[5]Renewable Diesel'!$AP52/1000000</f>
        <v>495.33926125581235</v>
      </c>
      <c r="N486" s="161">
        <f t="shared" si="127"/>
        <v>7.4543428017605367</v>
      </c>
      <c r="O486" s="157">
        <f t="shared" si="136"/>
        <v>3948.3723857211789</v>
      </c>
      <c r="P486" s="154">
        <f t="shared" si="138"/>
        <v>7.9710467038510942</v>
      </c>
    </row>
    <row r="487" spans="1:16" x14ac:dyDescent="0.2">
      <c r="A487" s="155">
        <v>54909</v>
      </c>
      <c r="B487" s="159">
        <f t="shared" si="140"/>
        <v>862.71952623250888</v>
      </c>
      <c r="C487" s="159">
        <f t="shared" si="140"/>
        <v>376.88153240572586</v>
      </c>
      <c r="D487" s="159">
        <f t="shared" si="139"/>
        <v>206.62748870628221</v>
      </c>
      <c r="E487" s="159">
        <f t="shared" si="141"/>
        <v>4.7001536572690812</v>
      </c>
      <c r="F487" s="159">
        <f t="shared" si="141"/>
        <v>100.95430069919196</v>
      </c>
      <c r="G487" s="159">
        <f t="shared" si="141"/>
        <v>441.54086994191584</v>
      </c>
      <c r="H487" s="159">
        <f t="shared" si="141"/>
        <v>250.72408322993206</v>
      </c>
      <c r="I487" s="159">
        <f t="shared" si="125"/>
        <v>1965.5835186155359</v>
      </c>
      <c r="J487" s="159">
        <f t="shared" si="129"/>
        <v>1239.6010586382347</v>
      </c>
      <c r="K487" s="159">
        <f t="shared" si="130"/>
        <v>2763.5029261438449</v>
      </c>
      <c r="L487" s="159">
        <f t="shared" si="126"/>
        <v>4003.1039847820798</v>
      </c>
      <c r="M487" s="160">
        <f>'[5]Renewable Diesel'!$AP53/1000000</f>
        <v>553.10771981817891</v>
      </c>
      <c r="N487" s="161">
        <f t="shared" si="127"/>
        <v>7.2374762480227277</v>
      </c>
      <c r="O487" s="157">
        <f t="shared" si="136"/>
        <v>4209.7314734883621</v>
      </c>
      <c r="P487" s="154">
        <f t="shared" si="138"/>
        <v>7.611051740287067</v>
      </c>
    </row>
    <row r="488" spans="1:16" x14ac:dyDescent="0.2">
      <c r="A488" s="155">
        <v>54940</v>
      </c>
      <c r="B488" s="159">
        <f t="shared" si="140"/>
        <v>1040.3567189833216</v>
      </c>
      <c r="C488" s="159">
        <f t="shared" si="140"/>
        <v>325.79771759313411</v>
      </c>
      <c r="D488" s="159">
        <f t="shared" si="139"/>
        <v>249.63558312244297</v>
      </c>
      <c r="E488" s="159">
        <f t="shared" si="141"/>
        <v>4.435062722212181</v>
      </c>
      <c r="F488" s="159">
        <f t="shared" si="141"/>
        <v>120.35611706438584</v>
      </c>
      <c r="G488" s="159">
        <f t="shared" si="141"/>
        <v>488.51827982934952</v>
      </c>
      <c r="H488" s="159">
        <f t="shared" si="141"/>
        <v>291.81765329552769</v>
      </c>
      <c r="I488" s="159">
        <f t="shared" si="125"/>
        <v>1801.2517929381524</v>
      </c>
      <c r="J488" s="159">
        <f t="shared" si="129"/>
        <v>1366.1544365764557</v>
      </c>
      <c r="K488" s="159">
        <f t="shared" si="130"/>
        <v>2706.3789058496277</v>
      </c>
      <c r="L488" s="159">
        <f t="shared" si="126"/>
        <v>4072.5333424260834</v>
      </c>
      <c r="M488" s="160">
        <f>'[5]Renewable Diesel'!$AP54/1000000</f>
        <v>554.29930350247605</v>
      </c>
      <c r="N488" s="161">
        <f t="shared" si="127"/>
        <v>7.347173840365274</v>
      </c>
      <c r="O488" s="157">
        <f t="shared" si="136"/>
        <v>4322.1689255485262</v>
      </c>
      <c r="P488" s="154">
        <f t="shared" si="138"/>
        <v>7.7975362737023879</v>
      </c>
    </row>
    <row r="489" spans="1:16" x14ac:dyDescent="0.2">
      <c r="A489" s="155">
        <v>54970</v>
      </c>
      <c r="B489" s="159">
        <f t="shared" si="140"/>
        <v>1211.8313102400994</v>
      </c>
      <c r="C489" s="159">
        <f t="shared" si="140"/>
        <v>454.48098118216922</v>
      </c>
      <c r="D489" s="159">
        <f t="shared" si="139"/>
        <v>280.13037557060784</v>
      </c>
      <c r="E489" s="159">
        <f t="shared" si="141"/>
        <v>4.2474331954222793</v>
      </c>
      <c r="F489" s="159">
        <f t="shared" si="141"/>
        <v>121.10633876048449</v>
      </c>
      <c r="G489" s="159">
        <f t="shared" si="141"/>
        <v>537.00400149215398</v>
      </c>
      <c r="H489" s="159">
        <f t="shared" si="141"/>
        <v>297.27048192876072</v>
      </c>
      <c r="I489" s="159">
        <f t="shared" si="125"/>
        <v>1338.8735308570531</v>
      </c>
      <c r="J489" s="159">
        <f t="shared" si="129"/>
        <v>1666.3122914222686</v>
      </c>
      <c r="K489" s="159">
        <f t="shared" si="130"/>
        <v>2298.5017862338746</v>
      </c>
      <c r="L489" s="159">
        <f t="shared" si="126"/>
        <v>3964.8140776561431</v>
      </c>
      <c r="M489" s="160">
        <f>'[5]Renewable Diesel'!$AP55/1000000</f>
        <v>539.82265784982314</v>
      </c>
      <c r="N489" s="161">
        <f t="shared" si="127"/>
        <v>7.3446603620686499</v>
      </c>
      <c r="O489" s="157">
        <f t="shared" si="136"/>
        <v>4244.9444532267507</v>
      </c>
      <c r="P489" s="154">
        <f t="shared" si="138"/>
        <v>7.8635907394751854</v>
      </c>
    </row>
    <row r="490" spans="1:16" x14ac:dyDescent="0.2">
      <c r="A490" s="155">
        <v>55001</v>
      </c>
      <c r="B490" s="159">
        <f t="shared" si="140"/>
        <v>1213.5377282831043</v>
      </c>
      <c r="C490" s="159">
        <f t="shared" si="140"/>
        <v>355.69189869591764</v>
      </c>
      <c r="D490" s="159">
        <f t="shared" si="139"/>
        <v>262.52434389779404</v>
      </c>
      <c r="E490" s="159">
        <f t="shared" si="141"/>
        <v>4.3266224798793278</v>
      </c>
      <c r="F490" s="159">
        <f t="shared" si="141"/>
        <v>93.350000172969743</v>
      </c>
      <c r="G490" s="159">
        <f t="shared" si="141"/>
        <v>568.92396311996322</v>
      </c>
      <c r="H490" s="159">
        <f t="shared" si="141"/>
        <v>322.50061686853155</v>
      </c>
      <c r="I490" s="159">
        <f t="shared" si="125"/>
        <v>1514.9646087365572</v>
      </c>
      <c r="J490" s="159">
        <f t="shared" si="129"/>
        <v>1569.229626979022</v>
      </c>
      <c r="K490" s="159">
        <f t="shared" si="130"/>
        <v>2504.0658113779009</v>
      </c>
      <c r="L490" s="159">
        <f t="shared" si="126"/>
        <v>4073.2954383569231</v>
      </c>
      <c r="M490" s="160">
        <f>'[5]Renewable Diesel'!$AP56/1000000</f>
        <v>555.64456033273007</v>
      </c>
      <c r="N490" s="161">
        <f t="shared" si="127"/>
        <v>7.330757338680252</v>
      </c>
      <c r="O490" s="157">
        <f t="shared" si="136"/>
        <v>4335.8197822547172</v>
      </c>
      <c r="P490" s="154">
        <f t="shared" si="138"/>
        <v>7.803225464239854</v>
      </c>
    </row>
    <row r="491" spans="1:16" x14ac:dyDescent="0.2">
      <c r="A491" s="155">
        <v>55032</v>
      </c>
      <c r="B491" s="159">
        <f t="shared" si="140"/>
        <v>1209.1475995184112</v>
      </c>
      <c r="C491" s="159">
        <f t="shared" si="140"/>
        <v>274.78548248218982</v>
      </c>
      <c r="D491" s="159">
        <f>$L491*(AVERAGE(D479/$L479,D467/$L467,D455/$L455,D443/$L443))*1.05</f>
        <v>346.37652051591056</v>
      </c>
      <c r="E491" s="159">
        <f t="shared" si="141"/>
        <v>5.2137691010495635</v>
      </c>
      <c r="F491" s="159">
        <f t="shared" si="141"/>
        <v>108.40092019732734</v>
      </c>
      <c r="G491" s="159">
        <f t="shared" si="141"/>
        <v>573.86672470235555</v>
      </c>
      <c r="H491" s="159">
        <f t="shared" si="141"/>
        <v>282.52976598535145</v>
      </c>
      <c r="I491" s="159">
        <f t="shared" si="125"/>
        <v>1692.3447588212894</v>
      </c>
      <c r="J491" s="159">
        <f t="shared" si="129"/>
        <v>1483.933082000601</v>
      </c>
      <c r="K491" s="159">
        <f t="shared" si="130"/>
        <v>2662.3559388073731</v>
      </c>
      <c r="L491" s="159">
        <f t="shared" si="126"/>
        <v>4146.2890208079743</v>
      </c>
      <c r="M491" s="160">
        <f>'[5]Renewable Diesel'!$AP57/1000000</f>
        <v>562.61009202643618</v>
      </c>
      <c r="N491" s="161">
        <f t="shared" si="127"/>
        <v>7.3697380825034084</v>
      </c>
      <c r="O491" s="157">
        <f t="shared" si="136"/>
        <v>4492.665541323885</v>
      </c>
      <c r="P491" s="154">
        <f t="shared" si="138"/>
        <v>7.9853980669667433</v>
      </c>
    </row>
    <row r="492" spans="1:16" x14ac:dyDescent="0.2">
      <c r="A492" s="155">
        <v>55062</v>
      </c>
      <c r="B492" s="159">
        <f>$L492*(AVERAGE(B480/$L480,B468/$L468,B456/$L456,B444/$L444))-200</f>
        <v>777.75936925360077</v>
      </c>
      <c r="C492" s="159">
        <f t="shared" si="140"/>
        <v>411.21518215664878</v>
      </c>
      <c r="D492" s="159">
        <f t="shared" si="139"/>
        <v>411.97602281157117</v>
      </c>
      <c r="E492" s="159">
        <f t="shared" si="141"/>
        <v>6.8433506992593198</v>
      </c>
      <c r="F492" s="159">
        <f t="shared" si="141"/>
        <v>108.55469691962719</v>
      </c>
      <c r="G492" s="159">
        <f t="shared" si="141"/>
        <v>676.40930669128659</v>
      </c>
      <c r="H492" s="159">
        <f>$L492*(AVERAGE(H480/$L480,H468/$L468,H456/$L456,H444/$L444))-30</f>
        <v>258.01712541720747</v>
      </c>
      <c r="I492" s="159">
        <f t="shared" si="125"/>
        <v>2352.60266030808</v>
      </c>
      <c r="J492" s="159">
        <f t="shared" si="129"/>
        <v>1188.9745514102497</v>
      </c>
      <c r="K492" s="159">
        <f t="shared" si="130"/>
        <v>3402.4271400354605</v>
      </c>
      <c r="L492" s="159">
        <f t="shared" si="126"/>
        <v>4591.4016914457097</v>
      </c>
      <c r="M492" s="160">
        <f>'[5]Renewable Diesel'!$AP58/1000000</f>
        <v>611.30567684576067</v>
      </c>
      <c r="N492" s="161">
        <f t="shared" si="127"/>
        <v>7.5108114734621907</v>
      </c>
      <c r="O492" s="157">
        <f t="shared" si="136"/>
        <v>5003.3777142572808</v>
      </c>
      <c r="P492" s="154">
        <f t="shared" si="138"/>
        <v>8.1847394908450841</v>
      </c>
    </row>
    <row r="493" spans="1:16" x14ac:dyDescent="0.2">
      <c r="A493" s="155">
        <v>55093</v>
      </c>
      <c r="B493" s="159">
        <f>$L493*(AVERAGE(B481/$L481,B469/$L469,B457/$L457,B445/$L445))-200</f>
        <v>1285.5903369392565</v>
      </c>
      <c r="C493" s="159">
        <f t="shared" si="140"/>
        <v>545.13292091095559</v>
      </c>
      <c r="D493" s="159">
        <f t="shared" si="139"/>
        <v>538.83154263200072</v>
      </c>
      <c r="E493" s="159">
        <f t="shared" si="141"/>
        <v>7.7939407166046113</v>
      </c>
      <c r="F493" s="159">
        <f t="shared" si="141"/>
        <v>51.409040224710552</v>
      </c>
      <c r="G493" s="159">
        <f t="shared" si="141"/>
        <v>886.63968332879824</v>
      </c>
      <c r="H493" s="159">
        <f>$L493*(AVERAGE(H481/$L481,H469/$L469,H457/$L457,H445/$L445))-27.5</f>
        <v>303.48161867474749</v>
      </c>
      <c r="I493" s="159">
        <f t="shared" si="125"/>
        <v>2502.2801587801905</v>
      </c>
      <c r="J493" s="159">
        <f t="shared" si="129"/>
        <v>1830.7232578502121</v>
      </c>
      <c r="K493" s="159">
        <f t="shared" si="130"/>
        <v>3751.6044417250514</v>
      </c>
      <c r="L493" s="159">
        <f t="shared" si="126"/>
        <v>5582.3276995752631</v>
      </c>
      <c r="M493" s="160">
        <f>'[5]Renewable Diesel'!$AP59/1000000</f>
        <v>738.79692908413995</v>
      </c>
      <c r="N493" s="161">
        <f t="shared" si="127"/>
        <v>7.5559703618360654</v>
      </c>
      <c r="O493" s="157">
        <f t="shared" si="136"/>
        <v>6121.1592422072645</v>
      </c>
      <c r="P493" s="154">
        <f t="shared" si="138"/>
        <v>8.2853068295714838</v>
      </c>
    </row>
    <row r="494" spans="1:16" x14ac:dyDescent="0.2">
      <c r="A494" s="155">
        <v>55123</v>
      </c>
      <c r="B494" s="159">
        <f t="shared" si="140"/>
        <v>2026.3079625549824</v>
      </c>
      <c r="C494" s="159">
        <f t="shared" si="140"/>
        <v>686.88626460529372</v>
      </c>
      <c r="D494" s="159">
        <f t="shared" si="139"/>
        <v>589.33593685973119</v>
      </c>
      <c r="E494" s="159">
        <f t="shared" si="141"/>
        <v>8.4019885660156604</v>
      </c>
      <c r="F494" s="159">
        <f t="shared" si="141"/>
        <v>49.641415697043342</v>
      </c>
      <c r="G494" s="159">
        <f t="shared" si="141"/>
        <v>957.63891323010716</v>
      </c>
      <c r="H494" s="159">
        <f>$L494*(AVERAGE(H482/$L482,H470/$L470,H458/$L458,H446/$L446))-5</f>
        <v>265.24056064037438</v>
      </c>
      <c r="I494" s="159">
        <f t="shared" si="125"/>
        <v>2339.7562830267043</v>
      </c>
      <c r="J494" s="159">
        <f t="shared" si="129"/>
        <v>2713.1942271602761</v>
      </c>
      <c r="K494" s="159">
        <f t="shared" si="130"/>
        <v>3620.6791611602448</v>
      </c>
      <c r="L494" s="159">
        <f t="shared" si="126"/>
        <v>6333.8733883205214</v>
      </c>
      <c r="M494" s="160">
        <f>'[5]Renewable Diesel'!$AP60/1000000</f>
        <v>836.3127795015688</v>
      </c>
      <c r="N494" s="161">
        <f t="shared" si="127"/>
        <v>7.5735700129985162</v>
      </c>
      <c r="O494" s="157">
        <f t="shared" si="136"/>
        <v>6923.2093251802526</v>
      </c>
      <c r="P494" s="154">
        <f t="shared" si="138"/>
        <v>8.2782536568511986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EE85-9CC2-4286-8583-8B2605FDA0B6}">
  <dimension ref="A1:P494"/>
  <sheetViews>
    <sheetView zoomScale="130" zoomScaleNormal="130" workbookViewId="0">
      <pane xSplit="1" ySplit="2" topLeftCell="B27" activePane="bottomRight" state="frozen"/>
      <selection pane="topRight"/>
      <selection pane="bottomLeft"/>
      <selection pane="bottomRight" activeCell="M4" sqref="M4"/>
    </sheetView>
  </sheetViews>
  <sheetFormatPr defaultColWidth="9.33203125" defaultRowHeight="11.25" x14ac:dyDescent="0.2"/>
  <cols>
    <col min="1" max="1" width="10.83203125" style="154" bestFit="1" customWidth="1"/>
    <col min="2" max="14" width="10.6640625" style="154" customWidth="1"/>
    <col min="15" max="16384" width="9.33203125" style="154"/>
  </cols>
  <sheetData>
    <row r="1" spans="1:16" x14ac:dyDescent="0.2">
      <c r="A1" s="162" t="s">
        <v>154</v>
      </c>
      <c r="B1" s="163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</row>
    <row r="2" spans="1:16" ht="33.75" x14ac:dyDescent="0.2">
      <c r="B2" s="153" t="s">
        <v>183</v>
      </c>
      <c r="C2" s="153" t="s">
        <v>442</v>
      </c>
      <c r="D2" s="153" t="s">
        <v>257</v>
      </c>
      <c r="E2" s="153" t="s">
        <v>445</v>
      </c>
      <c r="F2" s="153" t="s">
        <v>348</v>
      </c>
      <c r="G2" s="153" t="s">
        <v>443</v>
      </c>
      <c r="H2" s="153" t="s">
        <v>444</v>
      </c>
      <c r="I2" s="153" t="s">
        <v>267</v>
      </c>
      <c r="J2" s="153" t="s">
        <v>448</v>
      </c>
      <c r="K2" s="153" t="s">
        <v>449</v>
      </c>
      <c r="L2" s="153" t="s">
        <v>177</v>
      </c>
      <c r="M2" s="153" t="s">
        <v>353</v>
      </c>
      <c r="N2" s="153" t="s">
        <v>452</v>
      </c>
      <c r="O2" s="153" t="s">
        <v>177</v>
      </c>
      <c r="P2" s="153" t="s">
        <v>452</v>
      </c>
    </row>
    <row r="3" spans="1:16" x14ac:dyDescent="0.2">
      <c r="A3" s="155">
        <v>40179</v>
      </c>
      <c r="B3" s="164">
        <f>'[3]Soy Complex'!$AY454</f>
        <v>0</v>
      </c>
      <c r="C3" s="164">
        <f>'[3]Canola Complex'!$AY389</f>
        <v>0</v>
      </c>
      <c r="D3" s="164">
        <f>'[4]Distillers'' Corn Oil Complex'!$R154</f>
        <v>0</v>
      </c>
      <c r="E3" s="164">
        <f>'[4]Poultry Byproduct Complex'!$R293</f>
        <v>0</v>
      </c>
      <c r="F3" s="164">
        <f>'[4]CWG Complex'!$R156</f>
        <v>0</v>
      </c>
      <c r="G3" s="164">
        <f>'[4]Inedible Tallow Complex'!$R153</f>
        <v>0</v>
      </c>
      <c r="H3" s="164">
        <f>'[4]Yellow Grease Complex'!$R154</f>
        <v>0</v>
      </c>
      <c r="I3" s="164">
        <f>'[4]Used Cooking Oil Complex'!$R154</f>
        <v>0</v>
      </c>
      <c r="J3" s="164">
        <f t="shared" ref="J3:J66" si="0">SUM(B3:C3)</f>
        <v>0</v>
      </c>
      <c r="K3" s="164">
        <f>SUM(E3:I3)</f>
        <v>0</v>
      </c>
      <c r="L3" s="164">
        <v>0</v>
      </c>
      <c r="M3" s="164" t="e">
        <f>#REF!</f>
        <v>#REF!</v>
      </c>
    </row>
    <row r="4" spans="1:16" x14ac:dyDescent="0.2">
      <c r="A4" s="155">
        <v>40210</v>
      </c>
      <c r="B4" s="164">
        <f>'[3]Soy Complex'!$AY455</f>
        <v>0</v>
      </c>
      <c r="C4" s="164">
        <f>'[3]Canola Complex'!$AY390</f>
        <v>0</v>
      </c>
      <c r="D4" s="164">
        <f>'[4]Distillers'' Corn Oil Complex'!$R155</f>
        <v>0</v>
      </c>
      <c r="E4" s="164">
        <f>'[4]Poultry Byproduct Complex'!$R294</f>
        <v>0</v>
      </c>
      <c r="F4" s="164">
        <f>'[4]CWG Complex'!$R157</f>
        <v>0</v>
      </c>
      <c r="G4" s="164">
        <f>'[4]Inedible Tallow Complex'!$R154</f>
        <v>0</v>
      </c>
      <c r="H4" s="164">
        <f>'[4]Yellow Grease Complex'!$R155</f>
        <v>0</v>
      </c>
      <c r="I4" s="164">
        <f>'[4]Used Cooking Oil Complex'!$R155</f>
        <v>0</v>
      </c>
      <c r="J4" s="164">
        <f t="shared" si="0"/>
        <v>0</v>
      </c>
      <c r="K4" s="164">
        <f t="shared" ref="K4:K59" si="1">SUM(E4:I4)</f>
        <v>0</v>
      </c>
      <c r="L4" s="164">
        <v>0</v>
      </c>
      <c r="M4" s="164">
        <f>[5]SAF!$B20</f>
        <v>0</v>
      </c>
    </row>
    <row r="5" spans="1:16" x14ac:dyDescent="0.2">
      <c r="A5" s="155">
        <v>40238</v>
      </c>
      <c r="B5" s="164">
        <f>'[3]Soy Complex'!$AY456</f>
        <v>0</v>
      </c>
      <c r="C5" s="164">
        <f>'[3]Canola Complex'!$AY391</f>
        <v>0</v>
      </c>
      <c r="D5" s="164">
        <f>'[4]Distillers'' Corn Oil Complex'!$R156</f>
        <v>0</v>
      </c>
      <c r="E5" s="164">
        <f>'[4]Poultry Byproduct Complex'!$R295</f>
        <v>0</v>
      </c>
      <c r="F5" s="164">
        <f>'[4]CWG Complex'!$R158</f>
        <v>0</v>
      </c>
      <c r="G5" s="164">
        <f>'[4]Inedible Tallow Complex'!$R155</f>
        <v>0</v>
      </c>
      <c r="H5" s="164">
        <f>'[4]Yellow Grease Complex'!$R156</f>
        <v>0</v>
      </c>
      <c r="I5" s="164">
        <f>'[4]Used Cooking Oil Complex'!$R156</f>
        <v>0</v>
      </c>
      <c r="J5" s="164">
        <f t="shared" si="0"/>
        <v>0</v>
      </c>
      <c r="K5" s="164">
        <f t="shared" si="1"/>
        <v>0</v>
      </c>
      <c r="L5" s="164">
        <v>0</v>
      </c>
      <c r="M5" s="164">
        <f>[5]SAF!$B21</f>
        <v>0</v>
      </c>
    </row>
    <row r="6" spans="1:16" x14ac:dyDescent="0.2">
      <c r="A6" s="155">
        <v>40269</v>
      </c>
      <c r="B6" s="164">
        <f>'[3]Soy Complex'!$AY457</f>
        <v>0</v>
      </c>
      <c r="C6" s="164">
        <f>'[3]Canola Complex'!$AY392</f>
        <v>0</v>
      </c>
      <c r="D6" s="164">
        <f>'[4]Distillers'' Corn Oil Complex'!$R157</f>
        <v>0</v>
      </c>
      <c r="E6" s="164">
        <f>'[4]Poultry Byproduct Complex'!$R296</f>
        <v>0</v>
      </c>
      <c r="F6" s="164">
        <f>'[4]CWG Complex'!$R159</f>
        <v>0</v>
      </c>
      <c r="G6" s="164">
        <f>'[4]Inedible Tallow Complex'!$R156</f>
        <v>0</v>
      </c>
      <c r="H6" s="164">
        <f>'[4]Yellow Grease Complex'!$R157</f>
        <v>0</v>
      </c>
      <c r="I6" s="164">
        <f>'[4]Used Cooking Oil Complex'!$R157</f>
        <v>0</v>
      </c>
      <c r="J6" s="164">
        <f t="shared" si="0"/>
        <v>0</v>
      </c>
      <c r="K6" s="164">
        <f t="shared" si="1"/>
        <v>0</v>
      </c>
      <c r="L6" s="164">
        <v>0</v>
      </c>
      <c r="M6" s="164">
        <f>[5]SAF!$B22</f>
        <v>0</v>
      </c>
    </row>
    <row r="7" spans="1:16" x14ac:dyDescent="0.2">
      <c r="A7" s="155">
        <v>40299</v>
      </c>
      <c r="B7" s="164">
        <f>'[3]Soy Complex'!$AY458</f>
        <v>0</v>
      </c>
      <c r="C7" s="164">
        <f>'[3]Canola Complex'!$AY393</f>
        <v>0</v>
      </c>
      <c r="D7" s="164">
        <f>'[4]Distillers'' Corn Oil Complex'!$R158</f>
        <v>0</v>
      </c>
      <c r="E7" s="164">
        <f>'[4]Poultry Byproduct Complex'!$R297</f>
        <v>0</v>
      </c>
      <c r="F7" s="164">
        <f>'[4]CWG Complex'!$R160</f>
        <v>0</v>
      </c>
      <c r="G7" s="164">
        <f>'[4]Inedible Tallow Complex'!$R157</f>
        <v>0</v>
      </c>
      <c r="H7" s="164">
        <f>'[4]Yellow Grease Complex'!$R158</f>
        <v>0</v>
      </c>
      <c r="I7" s="164">
        <f>'[4]Used Cooking Oil Complex'!$R158</f>
        <v>0</v>
      </c>
      <c r="J7" s="164">
        <f t="shared" si="0"/>
        <v>0</v>
      </c>
      <c r="K7" s="164">
        <f t="shared" si="1"/>
        <v>0</v>
      </c>
      <c r="L7" s="164">
        <v>0</v>
      </c>
      <c r="M7" s="164">
        <f>[5]SAF!$B23</f>
        <v>0</v>
      </c>
    </row>
    <row r="8" spans="1:16" x14ac:dyDescent="0.2">
      <c r="A8" s="155">
        <v>40330</v>
      </c>
      <c r="B8" s="164">
        <f>'[3]Soy Complex'!$AY459</f>
        <v>0</v>
      </c>
      <c r="C8" s="164">
        <f>'[3]Canola Complex'!$AY394</f>
        <v>0</v>
      </c>
      <c r="D8" s="164">
        <f>'[4]Distillers'' Corn Oil Complex'!$R159</f>
        <v>0</v>
      </c>
      <c r="E8" s="164">
        <f>'[4]Poultry Byproduct Complex'!$R298</f>
        <v>0</v>
      </c>
      <c r="F8" s="164">
        <f>'[4]CWG Complex'!$R161</f>
        <v>0</v>
      </c>
      <c r="G8" s="164">
        <f>'[4]Inedible Tallow Complex'!$R158</f>
        <v>0</v>
      </c>
      <c r="H8" s="164">
        <f>'[4]Yellow Grease Complex'!$R159</f>
        <v>0</v>
      </c>
      <c r="I8" s="164">
        <f>'[4]Used Cooking Oil Complex'!$R159</f>
        <v>0</v>
      </c>
      <c r="J8" s="164">
        <f t="shared" si="0"/>
        <v>0</v>
      </c>
      <c r="K8" s="164">
        <f t="shared" si="1"/>
        <v>0</v>
      </c>
      <c r="L8" s="164">
        <v>0</v>
      </c>
      <c r="M8" s="164">
        <f>[5]SAF!$B24</f>
        <v>0</v>
      </c>
    </row>
    <row r="9" spans="1:16" x14ac:dyDescent="0.2">
      <c r="A9" s="155">
        <v>40360</v>
      </c>
      <c r="B9" s="164">
        <f>'[3]Soy Complex'!$AY460</f>
        <v>0</v>
      </c>
      <c r="C9" s="164">
        <f>'[3]Canola Complex'!$AY395</f>
        <v>0</v>
      </c>
      <c r="D9" s="164">
        <f>'[4]Distillers'' Corn Oil Complex'!$R160</f>
        <v>0</v>
      </c>
      <c r="E9" s="164">
        <f>'[4]Poultry Byproduct Complex'!$R299</f>
        <v>0</v>
      </c>
      <c r="F9" s="164">
        <f>'[4]CWG Complex'!$R162</f>
        <v>0</v>
      </c>
      <c r="G9" s="164">
        <f>'[4]Inedible Tallow Complex'!$R159</f>
        <v>0</v>
      </c>
      <c r="H9" s="164">
        <f>'[4]Yellow Grease Complex'!$R160</f>
        <v>0</v>
      </c>
      <c r="I9" s="164">
        <f>'[4]Used Cooking Oil Complex'!$R160</f>
        <v>0</v>
      </c>
      <c r="J9" s="164">
        <f t="shared" si="0"/>
        <v>0</v>
      </c>
      <c r="K9" s="164">
        <f t="shared" si="1"/>
        <v>0</v>
      </c>
      <c r="L9" s="164">
        <v>0</v>
      </c>
      <c r="M9" s="164">
        <f>[5]SAF!$B25</f>
        <v>0</v>
      </c>
    </row>
    <row r="10" spans="1:16" x14ac:dyDescent="0.2">
      <c r="A10" s="155">
        <v>40391</v>
      </c>
      <c r="B10" s="164">
        <f>'[3]Soy Complex'!$AY461</f>
        <v>0</v>
      </c>
      <c r="C10" s="164">
        <f>'[3]Canola Complex'!$AY396</f>
        <v>0</v>
      </c>
      <c r="D10" s="164">
        <f>'[4]Distillers'' Corn Oil Complex'!$R161</f>
        <v>0</v>
      </c>
      <c r="E10" s="164">
        <f>'[4]Poultry Byproduct Complex'!$R300</f>
        <v>0</v>
      </c>
      <c r="F10" s="164">
        <f>'[4]CWG Complex'!$R163</f>
        <v>0</v>
      </c>
      <c r="G10" s="164">
        <f>'[4]Inedible Tallow Complex'!$R160</f>
        <v>0</v>
      </c>
      <c r="H10" s="164">
        <f>'[4]Yellow Grease Complex'!$R161</f>
        <v>0</v>
      </c>
      <c r="I10" s="164">
        <f>'[4]Used Cooking Oil Complex'!$R161</f>
        <v>0</v>
      </c>
      <c r="J10" s="164">
        <f t="shared" si="0"/>
        <v>0</v>
      </c>
      <c r="K10" s="164">
        <f t="shared" si="1"/>
        <v>0</v>
      </c>
      <c r="L10" s="164">
        <v>0</v>
      </c>
      <c r="M10" s="164">
        <f>[5]SAF!$B26</f>
        <v>0</v>
      </c>
    </row>
    <row r="11" spans="1:16" x14ac:dyDescent="0.2">
      <c r="A11" s="155">
        <v>40422</v>
      </c>
      <c r="B11" s="164">
        <f>'[3]Soy Complex'!$AY462</f>
        <v>0</v>
      </c>
      <c r="C11" s="164">
        <f>'[3]Canola Complex'!$AY397</f>
        <v>0</v>
      </c>
      <c r="D11" s="164">
        <f>'[4]Distillers'' Corn Oil Complex'!$R162</f>
        <v>0</v>
      </c>
      <c r="E11" s="164">
        <f>'[4]Poultry Byproduct Complex'!$R301</f>
        <v>0</v>
      </c>
      <c r="F11" s="164">
        <f>'[4]CWG Complex'!$R164</f>
        <v>0</v>
      </c>
      <c r="G11" s="164">
        <f>'[4]Inedible Tallow Complex'!$R161</f>
        <v>0</v>
      </c>
      <c r="H11" s="164">
        <f>'[4]Yellow Grease Complex'!$R162</f>
        <v>0</v>
      </c>
      <c r="I11" s="164">
        <f>'[4]Used Cooking Oil Complex'!$R162</f>
        <v>0</v>
      </c>
      <c r="J11" s="164">
        <f t="shared" si="0"/>
        <v>0</v>
      </c>
      <c r="K11" s="164">
        <f t="shared" si="1"/>
        <v>0</v>
      </c>
      <c r="L11" s="164">
        <v>0</v>
      </c>
      <c r="M11" s="164">
        <f>[5]SAF!$B27</f>
        <v>0</v>
      </c>
    </row>
    <row r="12" spans="1:16" x14ac:dyDescent="0.2">
      <c r="A12" s="155">
        <v>40452</v>
      </c>
      <c r="B12" s="164">
        <f>'[3]Soy Complex'!$AZ451</f>
        <v>0</v>
      </c>
      <c r="C12" s="164">
        <f>'[3]Canola Complex'!$AZ386</f>
        <v>0</v>
      </c>
      <c r="D12" s="164">
        <f>'[4]Distillers'' Corn Oil Complex'!$S151</f>
        <v>0</v>
      </c>
      <c r="E12" s="164">
        <f>'[4]Poultry Byproduct Complex'!$S290</f>
        <v>0</v>
      </c>
      <c r="F12" s="164">
        <f>'[4]CWG Complex'!$S153</f>
        <v>0</v>
      </c>
      <c r="G12" s="164">
        <f>'[4]Inedible Tallow Complex'!$S150</f>
        <v>0</v>
      </c>
      <c r="H12" s="164">
        <f>'[4]Yellow Grease Complex'!$S151</f>
        <v>0</v>
      </c>
      <c r="I12" s="164">
        <f>'[4]Used Cooking Oil Complex'!$S151</f>
        <v>0</v>
      </c>
      <c r="J12" s="164">
        <f t="shared" si="0"/>
        <v>0</v>
      </c>
      <c r="K12" s="164">
        <f t="shared" si="1"/>
        <v>0</v>
      </c>
      <c r="L12" s="164">
        <v>0</v>
      </c>
      <c r="M12" s="164">
        <f>[5]SAF!$B28</f>
        <v>0</v>
      </c>
    </row>
    <row r="13" spans="1:16" x14ac:dyDescent="0.2">
      <c r="A13" s="155">
        <v>40483</v>
      </c>
      <c r="B13" s="164">
        <f>'[3]Soy Complex'!$AZ452</f>
        <v>0</v>
      </c>
      <c r="C13" s="164">
        <f>'[3]Canola Complex'!$AZ387</f>
        <v>0</v>
      </c>
      <c r="D13" s="164">
        <f>'[4]Distillers'' Corn Oil Complex'!$S152</f>
        <v>0</v>
      </c>
      <c r="E13" s="164">
        <f>'[4]Poultry Byproduct Complex'!$S291</f>
        <v>0</v>
      </c>
      <c r="F13" s="164">
        <f>'[4]CWG Complex'!$S154</f>
        <v>0</v>
      </c>
      <c r="G13" s="164">
        <f>'[4]Inedible Tallow Complex'!$S151</f>
        <v>0</v>
      </c>
      <c r="H13" s="164">
        <f>'[4]Yellow Grease Complex'!$S152</f>
        <v>0</v>
      </c>
      <c r="I13" s="164">
        <f>'[4]Used Cooking Oil Complex'!$S152</f>
        <v>0</v>
      </c>
      <c r="J13" s="164">
        <f t="shared" si="0"/>
        <v>0</v>
      </c>
      <c r="K13" s="164">
        <f t="shared" si="1"/>
        <v>0</v>
      </c>
      <c r="L13" s="164">
        <v>0</v>
      </c>
      <c r="M13" s="164">
        <f>[5]SAF!$B29</f>
        <v>0</v>
      </c>
    </row>
    <row r="14" spans="1:16" x14ac:dyDescent="0.2">
      <c r="A14" s="155">
        <v>40513</v>
      </c>
      <c r="B14" s="164">
        <f>'[3]Soy Complex'!$AZ453</f>
        <v>0</v>
      </c>
      <c r="C14" s="164">
        <f>'[3]Canola Complex'!$AZ388</f>
        <v>0</v>
      </c>
      <c r="D14" s="164">
        <f>'[4]Distillers'' Corn Oil Complex'!$S153</f>
        <v>0</v>
      </c>
      <c r="E14" s="164">
        <f>'[4]Poultry Byproduct Complex'!$S292</f>
        <v>0</v>
      </c>
      <c r="F14" s="164">
        <f>'[4]CWG Complex'!$S155</f>
        <v>0</v>
      </c>
      <c r="G14" s="164">
        <f>'[4]Inedible Tallow Complex'!$S152</f>
        <v>0</v>
      </c>
      <c r="H14" s="164">
        <f>'[4]Yellow Grease Complex'!$S153</f>
        <v>0</v>
      </c>
      <c r="I14" s="164">
        <f>'[4]Used Cooking Oil Complex'!$S153</f>
        <v>0</v>
      </c>
      <c r="J14" s="164">
        <f t="shared" si="0"/>
        <v>0</v>
      </c>
      <c r="K14" s="164">
        <f t="shared" si="1"/>
        <v>0</v>
      </c>
      <c r="L14" s="164">
        <v>0</v>
      </c>
      <c r="M14" s="164">
        <f>[5]SAF!$B30</f>
        <v>0</v>
      </c>
    </row>
    <row r="15" spans="1:16" x14ac:dyDescent="0.2">
      <c r="A15" s="155">
        <v>40544</v>
      </c>
      <c r="B15" s="164">
        <f>'[3]Soy Complex'!$AZ454</f>
        <v>0</v>
      </c>
      <c r="C15" s="164">
        <f>'[3]Canola Complex'!$AZ389</f>
        <v>0</v>
      </c>
      <c r="D15" s="164">
        <f>'[4]Distillers'' Corn Oil Complex'!$S154</f>
        <v>0</v>
      </c>
      <c r="E15" s="164">
        <f>'[4]Poultry Byproduct Complex'!$S293</f>
        <v>0</v>
      </c>
      <c r="F15" s="164">
        <f>'[4]CWG Complex'!$S156</f>
        <v>0</v>
      </c>
      <c r="G15" s="164">
        <f>'[4]Inedible Tallow Complex'!$S153</f>
        <v>0</v>
      </c>
      <c r="H15" s="164">
        <f>'[4]Yellow Grease Complex'!$S154</f>
        <v>0</v>
      </c>
      <c r="I15" s="164">
        <f>'[4]Used Cooking Oil Complex'!$S154</f>
        <v>0</v>
      </c>
      <c r="J15" s="164">
        <f t="shared" si="0"/>
        <v>0</v>
      </c>
      <c r="K15" s="164">
        <f t="shared" si="1"/>
        <v>0</v>
      </c>
      <c r="L15" s="164">
        <v>0</v>
      </c>
      <c r="M15" s="164">
        <f>[5]SAF!$C19</f>
        <v>0</v>
      </c>
    </row>
    <row r="16" spans="1:16" x14ac:dyDescent="0.2">
      <c r="A16" s="155">
        <v>40575</v>
      </c>
      <c r="B16" s="164">
        <f>'[3]Soy Complex'!$AZ455</f>
        <v>0</v>
      </c>
      <c r="C16" s="164">
        <f>'[3]Canola Complex'!$AZ390</f>
        <v>0</v>
      </c>
      <c r="D16" s="164">
        <f>'[4]Distillers'' Corn Oil Complex'!$S155</f>
        <v>0</v>
      </c>
      <c r="E16" s="164">
        <f>'[4]Poultry Byproduct Complex'!$S294</f>
        <v>0</v>
      </c>
      <c r="F16" s="164">
        <f>'[4]CWG Complex'!$S157</f>
        <v>0</v>
      </c>
      <c r="G16" s="164">
        <f>'[4]Inedible Tallow Complex'!$S154</f>
        <v>0</v>
      </c>
      <c r="H16" s="164">
        <f>'[4]Yellow Grease Complex'!$S155</f>
        <v>0</v>
      </c>
      <c r="I16" s="164">
        <f>'[4]Used Cooking Oil Complex'!$S155</f>
        <v>0</v>
      </c>
      <c r="J16" s="164">
        <f t="shared" si="0"/>
        <v>0</v>
      </c>
      <c r="K16" s="164">
        <f t="shared" si="1"/>
        <v>0</v>
      </c>
      <c r="L16" s="164">
        <v>0</v>
      </c>
      <c r="M16" s="164">
        <f>[5]SAF!$C20</f>
        <v>0</v>
      </c>
    </row>
    <row r="17" spans="1:13" x14ac:dyDescent="0.2">
      <c r="A17" s="155">
        <v>40603</v>
      </c>
      <c r="B17" s="164">
        <f>'[3]Soy Complex'!$AZ456</f>
        <v>0</v>
      </c>
      <c r="C17" s="164">
        <f>'[3]Canola Complex'!$AZ391</f>
        <v>0</v>
      </c>
      <c r="D17" s="164">
        <f>'[4]Distillers'' Corn Oil Complex'!$S156</f>
        <v>0</v>
      </c>
      <c r="E17" s="164">
        <f>'[4]Poultry Byproduct Complex'!$S295</f>
        <v>0</v>
      </c>
      <c r="F17" s="164">
        <f>'[4]CWG Complex'!$S158</f>
        <v>0</v>
      </c>
      <c r="G17" s="164">
        <f>'[4]Inedible Tallow Complex'!$S155</f>
        <v>0</v>
      </c>
      <c r="H17" s="164">
        <f>'[4]Yellow Grease Complex'!$S156</f>
        <v>0</v>
      </c>
      <c r="I17" s="164">
        <f>'[4]Used Cooking Oil Complex'!$S156</f>
        <v>0</v>
      </c>
      <c r="J17" s="164">
        <f t="shared" si="0"/>
        <v>0</v>
      </c>
      <c r="K17" s="164">
        <f t="shared" si="1"/>
        <v>0</v>
      </c>
      <c r="L17" s="164">
        <v>0</v>
      </c>
      <c r="M17" s="164">
        <f>[5]SAF!$C21</f>
        <v>0</v>
      </c>
    </row>
    <row r="18" spans="1:13" x14ac:dyDescent="0.2">
      <c r="A18" s="155">
        <v>40634</v>
      </c>
      <c r="B18" s="164">
        <f>'[3]Soy Complex'!$AZ457</f>
        <v>0</v>
      </c>
      <c r="C18" s="164">
        <f>'[3]Canola Complex'!$AZ392</f>
        <v>0</v>
      </c>
      <c r="D18" s="164">
        <f>'[4]Distillers'' Corn Oil Complex'!$S157</f>
        <v>0</v>
      </c>
      <c r="E18" s="164">
        <f>'[4]Poultry Byproduct Complex'!$S296</f>
        <v>0</v>
      </c>
      <c r="F18" s="164">
        <f>'[4]CWG Complex'!$S159</f>
        <v>0</v>
      </c>
      <c r="G18" s="164">
        <f>'[4]Inedible Tallow Complex'!$S156</f>
        <v>0</v>
      </c>
      <c r="H18" s="164">
        <f>'[4]Yellow Grease Complex'!$S157</f>
        <v>0</v>
      </c>
      <c r="I18" s="164">
        <f>'[4]Used Cooking Oil Complex'!$S157</f>
        <v>0</v>
      </c>
      <c r="J18" s="164">
        <f t="shared" si="0"/>
        <v>0</v>
      </c>
      <c r="K18" s="164">
        <f t="shared" si="1"/>
        <v>0</v>
      </c>
      <c r="L18" s="164">
        <v>0</v>
      </c>
      <c r="M18" s="164">
        <f>[5]SAF!$C22</f>
        <v>0</v>
      </c>
    </row>
    <row r="19" spans="1:13" x14ac:dyDescent="0.2">
      <c r="A19" s="155">
        <v>40664</v>
      </c>
      <c r="B19" s="164">
        <f>'[3]Soy Complex'!$AZ458</f>
        <v>0</v>
      </c>
      <c r="C19" s="164">
        <f>'[3]Canola Complex'!$AZ393</f>
        <v>0</v>
      </c>
      <c r="D19" s="164">
        <f>'[4]Distillers'' Corn Oil Complex'!$S158</f>
        <v>0</v>
      </c>
      <c r="E19" s="164">
        <f>'[4]Poultry Byproduct Complex'!$S297</f>
        <v>0</v>
      </c>
      <c r="F19" s="164">
        <f>'[4]CWG Complex'!$S160</f>
        <v>0</v>
      </c>
      <c r="G19" s="164">
        <f>'[4]Inedible Tallow Complex'!$S157</f>
        <v>0</v>
      </c>
      <c r="H19" s="164">
        <f>'[4]Yellow Grease Complex'!$S158</f>
        <v>0</v>
      </c>
      <c r="I19" s="164">
        <f>'[4]Used Cooking Oil Complex'!$S158</f>
        <v>0</v>
      </c>
      <c r="J19" s="164">
        <f t="shared" si="0"/>
        <v>0</v>
      </c>
      <c r="K19" s="164">
        <f t="shared" si="1"/>
        <v>0</v>
      </c>
      <c r="L19" s="164">
        <v>0</v>
      </c>
      <c r="M19" s="164">
        <f>[5]SAF!$C23</f>
        <v>0</v>
      </c>
    </row>
    <row r="20" spans="1:13" x14ac:dyDescent="0.2">
      <c r="A20" s="155">
        <v>40695</v>
      </c>
      <c r="B20" s="164">
        <f>'[3]Soy Complex'!$AZ459</f>
        <v>0</v>
      </c>
      <c r="C20" s="164">
        <f>'[3]Canola Complex'!$AZ394</f>
        <v>0</v>
      </c>
      <c r="D20" s="164">
        <f>'[4]Distillers'' Corn Oil Complex'!$S159</f>
        <v>0</v>
      </c>
      <c r="E20" s="164">
        <f>'[4]Poultry Byproduct Complex'!$S298</f>
        <v>0</v>
      </c>
      <c r="F20" s="164">
        <f>'[4]CWG Complex'!$S161</f>
        <v>0</v>
      </c>
      <c r="G20" s="164">
        <f>'[4]Inedible Tallow Complex'!$S158</f>
        <v>0</v>
      </c>
      <c r="H20" s="164">
        <f>'[4]Yellow Grease Complex'!$S159</f>
        <v>0</v>
      </c>
      <c r="I20" s="164">
        <f>'[4]Used Cooking Oil Complex'!$S159</f>
        <v>0</v>
      </c>
      <c r="J20" s="164">
        <f t="shared" si="0"/>
        <v>0</v>
      </c>
      <c r="K20" s="164">
        <f t="shared" si="1"/>
        <v>0</v>
      </c>
      <c r="L20" s="164">
        <v>0</v>
      </c>
      <c r="M20" s="164">
        <f>[5]SAF!$C24</f>
        <v>0</v>
      </c>
    </row>
    <row r="21" spans="1:13" x14ac:dyDescent="0.2">
      <c r="A21" s="155">
        <v>40725</v>
      </c>
      <c r="B21" s="164">
        <f>'[3]Soy Complex'!$AZ460</f>
        <v>0</v>
      </c>
      <c r="C21" s="164">
        <f>'[3]Canola Complex'!$AZ395</f>
        <v>0</v>
      </c>
      <c r="D21" s="164">
        <f>'[4]Distillers'' Corn Oil Complex'!$S160</f>
        <v>0</v>
      </c>
      <c r="E21" s="164">
        <f>'[4]Poultry Byproduct Complex'!$S299</f>
        <v>0</v>
      </c>
      <c r="F21" s="164">
        <f>'[4]CWG Complex'!$S162</f>
        <v>0</v>
      </c>
      <c r="G21" s="164">
        <f>'[4]Inedible Tallow Complex'!$S159</f>
        <v>0</v>
      </c>
      <c r="H21" s="164">
        <f>'[4]Yellow Grease Complex'!$S160</f>
        <v>0</v>
      </c>
      <c r="I21" s="164">
        <f>'[4]Used Cooking Oil Complex'!$S160</f>
        <v>0</v>
      </c>
      <c r="J21" s="164">
        <f t="shared" si="0"/>
        <v>0</v>
      </c>
      <c r="K21" s="164">
        <f t="shared" si="1"/>
        <v>0</v>
      </c>
      <c r="L21" s="164">
        <v>0</v>
      </c>
      <c r="M21" s="164">
        <f>[5]SAF!$C25</f>
        <v>0</v>
      </c>
    </row>
    <row r="22" spans="1:13" x14ac:dyDescent="0.2">
      <c r="A22" s="155">
        <v>40756</v>
      </c>
      <c r="B22" s="164">
        <f>'[3]Soy Complex'!$AZ461</f>
        <v>0</v>
      </c>
      <c r="C22" s="164">
        <f>'[3]Canola Complex'!$AZ396</f>
        <v>0</v>
      </c>
      <c r="D22" s="164">
        <f>'[4]Distillers'' Corn Oil Complex'!$S161</f>
        <v>0</v>
      </c>
      <c r="E22" s="164">
        <f>'[4]Poultry Byproduct Complex'!$S300</f>
        <v>0</v>
      </c>
      <c r="F22" s="164">
        <f>'[4]CWG Complex'!$S163</f>
        <v>0</v>
      </c>
      <c r="G22" s="164">
        <f>'[4]Inedible Tallow Complex'!$S160</f>
        <v>0</v>
      </c>
      <c r="H22" s="164">
        <f>'[4]Yellow Grease Complex'!$S161</f>
        <v>0</v>
      </c>
      <c r="I22" s="164">
        <f>'[4]Used Cooking Oil Complex'!$S161</f>
        <v>0</v>
      </c>
      <c r="J22" s="164">
        <f t="shared" si="0"/>
        <v>0</v>
      </c>
      <c r="K22" s="164">
        <f t="shared" si="1"/>
        <v>0</v>
      </c>
      <c r="L22" s="164">
        <v>0</v>
      </c>
      <c r="M22" s="164">
        <f>[5]SAF!$C26</f>
        <v>0</v>
      </c>
    </row>
    <row r="23" spans="1:13" x14ac:dyDescent="0.2">
      <c r="A23" s="155">
        <v>40787</v>
      </c>
      <c r="B23" s="164">
        <f>'[3]Soy Complex'!$AZ462</f>
        <v>0</v>
      </c>
      <c r="C23" s="164">
        <f>'[3]Canola Complex'!$AZ397</f>
        <v>0</v>
      </c>
      <c r="D23" s="164">
        <f>'[4]Distillers'' Corn Oil Complex'!$T151</f>
        <v>0</v>
      </c>
      <c r="E23" s="164">
        <f>'[4]Poultry Byproduct Complex'!$S301</f>
        <v>0</v>
      </c>
      <c r="F23" s="164">
        <f>'[4]CWG Complex'!$S164</f>
        <v>0</v>
      </c>
      <c r="G23" s="164">
        <f>'[4]Inedible Tallow Complex'!$S161</f>
        <v>0</v>
      </c>
      <c r="H23" s="164">
        <f>'[4]Yellow Grease Complex'!$S162</f>
        <v>0</v>
      </c>
      <c r="I23" s="164">
        <f>'[4]Used Cooking Oil Complex'!$S162</f>
        <v>0</v>
      </c>
      <c r="J23" s="164">
        <f t="shared" si="0"/>
        <v>0</v>
      </c>
      <c r="K23" s="164">
        <f t="shared" si="1"/>
        <v>0</v>
      </c>
      <c r="L23" s="164">
        <v>0</v>
      </c>
      <c r="M23" s="164">
        <f>[5]SAF!$C27</f>
        <v>0</v>
      </c>
    </row>
    <row r="24" spans="1:13" x14ac:dyDescent="0.2">
      <c r="A24" s="155">
        <v>40817</v>
      </c>
      <c r="B24" s="164">
        <f>'[3]Soy Complex'!$BA451</f>
        <v>0</v>
      </c>
      <c r="C24" s="164">
        <f>'[3]Canola Complex'!$BA386</f>
        <v>0</v>
      </c>
      <c r="D24" s="164">
        <f>'[4]Distillers'' Corn Oil Complex'!$T151</f>
        <v>0</v>
      </c>
      <c r="E24" s="164">
        <f>'[4]Poultry Byproduct Complex'!$T290</f>
        <v>0</v>
      </c>
      <c r="F24" s="164">
        <f>'[4]CWG Complex'!$T153</f>
        <v>0</v>
      </c>
      <c r="G24" s="164">
        <f>'[4]Inedible Tallow Complex'!$T150</f>
        <v>0</v>
      </c>
      <c r="H24" s="164">
        <f>'[4]Yellow Grease Complex'!$T151</f>
        <v>0</v>
      </c>
      <c r="I24" s="164">
        <f>'[4]Used Cooking Oil Complex'!$T151</f>
        <v>0</v>
      </c>
      <c r="J24" s="164">
        <f t="shared" si="0"/>
        <v>0</v>
      </c>
      <c r="K24" s="164">
        <f t="shared" si="1"/>
        <v>0</v>
      </c>
      <c r="L24" s="164">
        <v>0</v>
      </c>
      <c r="M24" s="164">
        <f>[5]SAF!$C28</f>
        <v>0</v>
      </c>
    </row>
    <row r="25" spans="1:13" x14ac:dyDescent="0.2">
      <c r="A25" s="155">
        <v>40848</v>
      </c>
      <c r="B25" s="164">
        <f>'[3]Soy Complex'!$BA452</f>
        <v>0</v>
      </c>
      <c r="C25" s="164">
        <f>'[3]Canola Complex'!$BA387</f>
        <v>0</v>
      </c>
      <c r="D25" s="164">
        <f>'[4]Distillers'' Corn Oil Complex'!$T152</f>
        <v>0</v>
      </c>
      <c r="E25" s="164">
        <f>'[4]Poultry Byproduct Complex'!$T291</f>
        <v>0</v>
      </c>
      <c r="F25" s="164">
        <f>'[4]CWG Complex'!$T154</f>
        <v>0</v>
      </c>
      <c r="G25" s="164">
        <f>'[4]Inedible Tallow Complex'!$T151</f>
        <v>0</v>
      </c>
      <c r="H25" s="164">
        <f>'[4]Yellow Grease Complex'!$T152</f>
        <v>0</v>
      </c>
      <c r="I25" s="164">
        <f>'[4]Used Cooking Oil Complex'!$T152</f>
        <v>0</v>
      </c>
      <c r="J25" s="164">
        <f t="shared" si="0"/>
        <v>0</v>
      </c>
      <c r="K25" s="164">
        <f t="shared" si="1"/>
        <v>0</v>
      </c>
      <c r="L25" s="164">
        <v>0</v>
      </c>
      <c r="M25" s="164">
        <f>[5]SAF!$C29</f>
        <v>0</v>
      </c>
    </row>
    <row r="26" spans="1:13" x14ac:dyDescent="0.2">
      <c r="A26" s="155">
        <v>40878</v>
      </c>
      <c r="B26" s="164">
        <f>'[3]Soy Complex'!$BA453</f>
        <v>0</v>
      </c>
      <c r="C26" s="164">
        <f>'[3]Canola Complex'!$BA388</f>
        <v>0</v>
      </c>
      <c r="D26" s="164">
        <f>'[4]Distillers'' Corn Oil Complex'!$T153</f>
        <v>0</v>
      </c>
      <c r="E26" s="164">
        <f>'[4]Poultry Byproduct Complex'!$T292</f>
        <v>0</v>
      </c>
      <c r="F26" s="164">
        <f>'[4]CWG Complex'!$T155</f>
        <v>0</v>
      </c>
      <c r="G26" s="164">
        <f>'[4]Inedible Tallow Complex'!$T152</f>
        <v>0</v>
      </c>
      <c r="H26" s="164">
        <f>'[4]Yellow Grease Complex'!$T153</f>
        <v>0</v>
      </c>
      <c r="I26" s="164">
        <f>'[4]Used Cooking Oil Complex'!$T153</f>
        <v>0</v>
      </c>
      <c r="J26" s="164">
        <f t="shared" si="0"/>
        <v>0</v>
      </c>
      <c r="K26" s="164">
        <f t="shared" si="1"/>
        <v>0</v>
      </c>
      <c r="L26" s="164">
        <v>0</v>
      </c>
      <c r="M26" s="164">
        <f>[5]SAF!$C30</f>
        <v>0</v>
      </c>
    </row>
    <row r="27" spans="1:13" x14ac:dyDescent="0.2">
      <c r="A27" s="155">
        <v>40909</v>
      </c>
      <c r="B27" s="164">
        <f>'[3]Soy Complex'!$BA454</f>
        <v>0</v>
      </c>
      <c r="C27" s="164">
        <f>'[3]Canola Complex'!$BA389</f>
        <v>0</v>
      </c>
      <c r="D27" s="164">
        <f>'[4]Distillers'' Corn Oil Complex'!$T154</f>
        <v>0</v>
      </c>
      <c r="E27" s="164">
        <f>'[4]Poultry Byproduct Complex'!$T293</f>
        <v>0</v>
      </c>
      <c r="F27" s="164">
        <f>'[4]CWG Complex'!$T156</f>
        <v>0</v>
      </c>
      <c r="G27" s="164">
        <f>'[4]Inedible Tallow Complex'!$T153</f>
        <v>0</v>
      </c>
      <c r="H27" s="164">
        <f>'[4]Yellow Grease Complex'!$T154</f>
        <v>0</v>
      </c>
      <c r="I27" s="164">
        <f>'[4]Used Cooking Oil Complex'!$T154</f>
        <v>0</v>
      </c>
      <c r="J27" s="164">
        <f t="shared" si="0"/>
        <v>0</v>
      </c>
      <c r="K27" s="164">
        <f t="shared" si="1"/>
        <v>0</v>
      </c>
      <c r="L27" s="164">
        <v>0</v>
      </c>
      <c r="M27" s="164">
        <f>[5]SAF!$D19</f>
        <v>0</v>
      </c>
    </row>
    <row r="28" spans="1:13" x14ac:dyDescent="0.2">
      <c r="A28" s="155">
        <v>40940</v>
      </c>
      <c r="B28" s="164">
        <f>'[3]Soy Complex'!$BA455</f>
        <v>0</v>
      </c>
      <c r="C28" s="164">
        <f>'[3]Canola Complex'!$BA390</f>
        <v>0</v>
      </c>
      <c r="D28" s="164">
        <f>'[4]Distillers'' Corn Oil Complex'!$T155</f>
        <v>0</v>
      </c>
      <c r="E28" s="164">
        <f>'[4]Poultry Byproduct Complex'!$T294</f>
        <v>0</v>
      </c>
      <c r="F28" s="164">
        <f>'[4]CWG Complex'!$T157</f>
        <v>0</v>
      </c>
      <c r="G28" s="164">
        <f>'[4]Inedible Tallow Complex'!$T154</f>
        <v>0</v>
      </c>
      <c r="H28" s="164">
        <f>'[4]Yellow Grease Complex'!$T155</f>
        <v>0</v>
      </c>
      <c r="I28" s="164">
        <f>'[4]Used Cooking Oil Complex'!$T155</f>
        <v>0</v>
      </c>
      <c r="J28" s="164">
        <f t="shared" si="0"/>
        <v>0</v>
      </c>
      <c r="K28" s="164">
        <f t="shared" si="1"/>
        <v>0</v>
      </c>
      <c r="L28" s="164">
        <v>0</v>
      </c>
      <c r="M28" s="164">
        <f>[5]SAF!$D20</f>
        <v>0</v>
      </c>
    </row>
    <row r="29" spans="1:13" x14ac:dyDescent="0.2">
      <c r="A29" s="155">
        <v>40969</v>
      </c>
      <c r="B29" s="164">
        <f>'[3]Soy Complex'!$BA456</f>
        <v>0</v>
      </c>
      <c r="C29" s="164">
        <f>'[3]Canola Complex'!$BA391</f>
        <v>0</v>
      </c>
      <c r="D29" s="164">
        <f>'[4]Distillers'' Corn Oil Complex'!$T156</f>
        <v>0</v>
      </c>
      <c r="E29" s="164">
        <f>'[4]Poultry Byproduct Complex'!$T295</f>
        <v>0</v>
      </c>
      <c r="F29" s="164">
        <f>'[4]CWG Complex'!$T158</f>
        <v>0</v>
      </c>
      <c r="G29" s="164">
        <f>'[4]Inedible Tallow Complex'!$T155</f>
        <v>0</v>
      </c>
      <c r="H29" s="164">
        <f>'[4]Yellow Grease Complex'!$T156</f>
        <v>0</v>
      </c>
      <c r="I29" s="164">
        <f>'[4]Used Cooking Oil Complex'!$T156</f>
        <v>0</v>
      </c>
      <c r="J29" s="164">
        <f t="shared" si="0"/>
        <v>0</v>
      </c>
      <c r="K29" s="164">
        <f t="shared" si="1"/>
        <v>0</v>
      </c>
      <c r="L29" s="164">
        <v>0</v>
      </c>
      <c r="M29" s="164">
        <f>[5]SAF!$D21</f>
        <v>0</v>
      </c>
    </row>
    <row r="30" spans="1:13" x14ac:dyDescent="0.2">
      <c r="A30" s="155">
        <v>41000</v>
      </c>
      <c r="B30" s="164">
        <f>'[3]Soy Complex'!$BA457</f>
        <v>0</v>
      </c>
      <c r="C30" s="164">
        <f>'[3]Canola Complex'!$BA392</f>
        <v>0</v>
      </c>
      <c r="D30" s="164">
        <f>'[4]Distillers'' Corn Oil Complex'!$T157</f>
        <v>0</v>
      </c>
      <c r="E30" s="164">
        <f>'[4]Poultry Byproduct Complex'!$T296</f>
        <v>0</v>
      </c>
      <c r="F30" s="164">
        <f>'[4]CWG Complex'!$T159</f>
        <v>0</v>
      </c>
      <c r="G30" s="164">
        <f>'[4]Inedible Tallow Complex'!$T156</f>
        <v>0</v>
      </c>
      <c r="H30" s="164">
        <f>'[4]Yellow Grease Complex'!$T157</f>
        <v>0</v>
      </c>
      <c r="I30" s="164">
        <f>'[4]Used Cooking Oil Complex'!$T157</f>
        <v>0</v>
      </c>
      <c r="J30" s="164">
        <f t="shared" si="0"/>
        <v>0</v>
      </c>
      <c r="K30" s="164">
        <f t="shared" si="1"/>
        <v>0</v>
      </c>
      <c r="L30" s="164">
        <v>0</v>
      </c>
      <c r="M30" s="164">
        <f>[5]SAF!$D22</f>
        <v>0</v>
      </c>
    </row>
    <row r="31" spans="1:13" x14ac:dyDescent="0.2">
      <c r="A31" s="155">
        <v>41030</v>
      </c>
      <c r="B31" s="164">
        <f>'[3]Soy Complex'!$BA458</f>
        <v>0</v>
      </c>
      <c r="C31" s="164">
        <f>'[3]Canola Complex'!$BA393</f>
        <v>0</v>
      </c>
      <c r="D31" s="164">
        <f>'[4]Distillers'' Corn Oil Complex'!$T158</f>
        <v>0</v>
      </c>
      <c r="E31" s="164">
        <f>'[4]Poultry Byproduct Complex'!$T297</f>
        <v>0</v>
      </c>
      <c r="F31" s="164">
        <f>'[4]CWG Complex'!$T160</f>
        <v>0</v>
      </c>
      <c r="G31" s="164">
        <f>'[4]Inedible Tallow Complex'!$T157</f>
        <v>0</v>
      </c>
      <c r="H31" s="164">
        <f>'[4]Yellow Grease Complex'!$T158</f>
        <v>0</v>
      </c>
      <c r="I31" s="164">
        <f>'[4]Used Cooking Oil Complex'!$T158</f>
        <v>0</v>
      </c>
      <c r="J31" s="164">
        <f t="shared" si="0"/>
        <v>0</v>
      </c>
      <c r="K31" s="164">
        <f t="shared" si="1"/>
        <v>0</v>
      </c>
      <c r="L31" s="164">
        <v>0</v>
      </c>
      <c r="M31" s="164">
        <f>[5]SAF!$D23</f>
        <v>0</v>
      </c>
    </row>
    <row r="32" spans="1:13" x14ac:dyDescent="0.2">
      <c r="A32" s="155">
        <v>41061</v>
      </c>
      <c r="B32" s="164">
        <f>'[3]Soy Complex'!$BA459</f>
        <v>0</v>
      </c>
      <c r="C32" s="164">
        <f>'[3]Canola Complex'!$BA394</f>
        <v>0</v>
      </c>
      <c r="D32" s="164">
        <f>'[4]Distillers'' Corn Oil Complex'!$T159</f>
        <v>0</v>
      </c>
      <c r="E32" s="164">
        <f>'[4]Poultry Byproduct Complex'!$T298</f>
        <v>0</v>
      </c>
      <c r="F32" s="164">
        <f>'[4]CWG Complex'!$T161</f>
        <v>0</v>
      </c>
      <c r="G32" s="164">
        <f>'[4]Inedible Tallow Complex'!$T158</f>
        <v>0</v>
      </c>
      <c r="H32" s="164">
        <f>'[4]Yellow Grease Complex'!$T159</f>
        <v>0</v>
      </c>
      <c r="I32" s="164">
        <f>'[4]Used Cooking Oil Complex'!$T159</f>
        <v>0</v>
      </c>
      <c r="J32" s="164">
        <f t="shared" si="0"/>
        <v>0</v>
      </c>
      <c r="K32" s="164">
        <f t="shared" si="1"/>
        <v>0</v>
      </c>
      <c r="L32" s="164">
        <v>0</v>
      </c>
      <c r="M32" s="164">
        <f>[5]SAF!$D24</f>
        <v>0</v>
      </c>
    </row>
    <row r="33" spans="1:13" x14ac:dyDescent="0.2">
      <c r="A33" s="155">
        <v>41091</v>
      </c>
      <c r="B33" s="164">
        <f>'[3]Soy Complex'!$BA460</f>
        <v>0</v>
      </c>
      <c r="C33" s="164">
        <f>'[3]Canola Complex'!$BA395</f>
        <v>0</v>
      </c>
      <c r="D33" s="164">
        <f>'[4]Distillers'' Corn Oil Complex'!$T160</f>
        <v>0</v>
      </c>
      <c r="E33" s="164">
        <f>'[4]Poultry Byproduct Complex'!$T299</f>
        <v>0</v>
      </c>
      <c r="F33" s="164">
        <f>'[4]CWG Complex'!$T162</f>
        <v>0</v>
      </c>
      <c r="G33" s="164">
        <f>'[4]Inedible Tallow Complex'!$T159</f>
        <v>0</v>
      </c>
      <c r="H33" s="164">
        <f>'[4]Yellow Grease Complex'!$T160</f>
        <v>0</v>
      </c>
      <c r="I33" s="164">
        <f>'[4]Used Cooking Oil Complex'!$T160</f>
        <v>0</v>
      </c>
      <c r="J33" s="164">
        <f t="shared" si="0"/>
        <v>0</v>
      </c>
      <c r="K33" s="164">
        <f t="shared" si="1"/>
        <v>0</v>
      </c>
      <c r="L33" s="164">
        <v>0</v>
      </c>
      <c r="M33" s="164">
        <f>[5]SAF!$D25</f>
        <v>0</v>
      </c>
    </row>
    <row r="34" spans="1:13" x14ac:dyDescent="0.2">
      <c r="A34" s="155">
        <v>41122</v>
      </c>
      <c r="B34" s="164">
        <f>'[3]Soy Complex'!$BA461</f>
        <v>0</v>
      </c>
      <c r="C34" s="164">
        <f>'[3]Canola Complex'!$BA396</f>
        <v>0</v>
      </c>
      <c r="D34" s="164">
        <f>'[4]Distillers'' Corn Oil Complex'!$T161</f>
        <v>0</v>
      </c>
      <c r="E34" s="164">
        <f>'[4]Poultry Byproduct Complex'!$T300</f>
        <v>0</v>
      </c>
      <c r="F34" s="164">
        <f>'[4]CWG Complex'!$T163</f>
        <v>0</v>
      </c>
      <c r="G34" s="164">
        <f>'[4]Inedible Tallow Complex'!$T160</f>
        <v>0</v>
      </c>
      <c r="H34" s="164">
        <f>'[4]Yellow Grease Complex'!$T161</f>
        <v>0</v>
      </c>
      <c r="I34" s="164">
        <f>'[4]Used Cooking Oil Complex'!$T161</f>
        <v>0</v>
      </c>
      <c r="J34" s="164">
        <f t="shared" si="0"/>
        <v>0</v>
      </c>
      <c r="K34" s="164">
        <f t="shared" si="1"/>
        <v>0</v>
      </c>
      <c r="L34" s="164">
        <v>0</v>
      </c>
      <c r="M34" s="164">
        <f>[5]SAF!$D26</f>
        <v>0</v>
      </c>
    </row>
    <row r="35" spans="1:13" x14ac:dyDescent="0.2">
      <c r="A35" s="155">
        <v>41153</v>
      </c>
      <c r="B35" s="164">
        <f>'[3]Soy Complex'!$BA462</f>
        <v>0</v>
      </c>
      <c r="C35" s="164">
        <f>'[3]Canola Complex'!$BA397</f>
        <v>0</v>
      </c>
      <c r="D35" s="164">
        <f>'[4]Distillers'' Corn Oil Complex'!$T162</f>
        <v>0</v>
      </c>
      <c r="E35" s="164">
        <f>'[4]Poultry Byproduct Complex'!$T301</f>
        <v>0</v>
      </c>
      <c r="F35" s="164">
        <f>'[4]CWG Complex'!$T164</f>
        <v>0</v>
      </c>
      <c r="G35" s="164">
        <f>'[4]Inedible Tallow Complex'!$T161</f>
        <v>0</v>
      </c>
      <c r="H35" s="164">
        <f>'[4]Yellow Grease Complex'!$T162</f>
        <v>0</v>
      </c>
      <c r="I35" s="164">
        <f>'[4]Used Cooking Oil Complex'!$T162</f>
        <v>0</v>
      </c>
      <c r="J35" s="164">
        <f t="shared" si="0"/>
        <v>0</v>
      </c>
      <c r="K35" s="164">
        <f t="shared" si="1"/>
        <v>0</v>
      </c>
      <c r="L35" s="164">
        <v>0</v>
      </c>
      <c r="M35" s="164">
        <f>[5]SAF!$D27</f>
        <v>0</v>
      </c>
    </row>
    <row r="36" spans="1:13" x14ac:dyDescent="0.2">
      <c r="A36" s="155">
        <v>41183</v>
      </c>
      <c r="B36" s="164">
        <f>'[3]Soy Complex'!$BB451</f>
        <v>0</v>
      </c>
      <c r="C36" s="164">
        <f>'[3]Canola Complex'!$BB386</f>
        <v>0</v>
      </c>
      <c r="D36" s="164">
        <f>'[4]Distillers'' Corn Oil Complex'!$U151</f>
        <v>0</v>
      </c>
      <c r="E36" s="164">
        <f>'[4]Poultry Byproduct Complex'!$U290</f>
        <v>0</v>
      </c>
      <c r="F36" s="164">
        <f>'[4]CWG Complex'!$U153</f>
        <v>0</v>
      </c>
      <c r="G36" s="164">
        <f>'[4]Inedible Tallow Complex'!$U150</f>
        <v>0</v>
      </c>
      <c r="H36" s="164">
        <f>'[4]Yellow Grease Complex'!$U151</f>
        <v>0</v>
      </c>
      <c r="I36" s="164">
        <f>'[4]Used Cooking Oil Complex'!$U151</f>
        <v>0</v>
      </c>
      <c r="J36" s="164">
        <f t="shared" si="0"/>
        <v>0</v>
      </c>
      <c r="K36" s="164">
        <f t="shared" si="1"/>
        <v>0</v>
      </c>
      <c r="L36" s="164">
        <v>0</v>
      </c>
      <c r="M36" s="164">
        <f>[5]SAF!$D28</f>
        <v>0</v>
      </c>
    </row>
    <row r="37" spans="1:13" x14ac:dyDescent="0.2">
      <c r="A37" s="155">
        <v>41214</v>
      </c>
      <c r="B37" s="164">
        <f>'[3]Soy Complex'!$BB452</f>
        <v>0</v>
      </c>
      <c r="C37" s="164">
        <f>'[3]Canola Complex'!$BB387</f>
        <v>0</v>
      </c>
      <c r="D37" s="164">
        <f>'[4]Distillers'' Corn Oil Complex'!$U152</f>
        <v>0</v>
      </c>
      <c r="E37" s="164">
        <f>'[4]Poultry Byproduct Complex'!$U291</f>
        <v>0</v>
      </c>
      <c r="F37" s="164">
        <f>'[4]CWG Complex'!$U154</f>
        <v>0</v>
      </c>
      <c r="G37" s="164">
        <f>'[4]Inedible Tallow Complex'!$U151</f>
        <v>0</v>
      </c>
      <c r="H37" s="164">
        <f>'[4]Yellow Grease Complex'!$U152</f>
        <v>0</v>
      </c>
      <c r="I37" s="164">
        <f>'[4]Used Cooking Oil Complex'!$U152</f>
        <v>0</v>
      </c>
      <c r="J37" s="164">
        <f t="shared" si="0"/>
        <v>0</v>
      </c>
      <c r="K37" s="164">
        <f t="shared" si="1"/>
        <v>0</v>
      </c>
      <c r="L37" s="164">
        <v>0</v>
      </c>
      <c r="M37" s="164">
        <f>[5]SAF!$D29</f>
        <v>0</v>
      </c>
    </row>
    <row r="38" spans="1:13" x14ac:dyDescent="0.2">
      <c r="A38" s="155">
        <v>41244</v>
      </c>
      <c r="B38" s="164">
        <f>'[3]Soy Complex'!$BB453</f>
        <v>0</v>
      </c>
      <c r="C38" s="164">
        <f>'[3]Canola Complex'!$BB388</f>
        <v>0</v>
      </c>
      <c r="D38" s="164">
        <f>'[4]Distillers'' Corn Oil Complex'!$U153</f>
        <v>0</v>
      </c>
      <c r="E38" s="164">
        <f>'[4]Poultry Byproduct Complex'!$U292</f>
        <v>0</v>
      </c>
      <c r="F38" s="164">
        <f>'[4]CWG Complex'!$U155</f>
        <v>0</v>
      </c>
      <c r="G38" s="164">
        <f>'[4]Inedible Tallow Complex'!$U152</f>
        <v>0</v>
      </c>
      <c r="H38" s="164">
        <f>'[4]Yellow Grease Complex'!$U153</f>
        <v>0</v>
      </c>
      <c r="I38" s="164">
        <f>'[4]Used Cooking Oil Complex'!$U153</f>
        <v>0</v>
      </c>
      <c r="J38" s="164">
        <f t="shared" si="0"/>
        <v>0</v>
      </c>
      <c r="K38" s="164">
        <f t="shared" si="1"/>
        <v>0</v>
      </c>
      <c r="L38" s="164">
        <v>0</v>
      </c>
      <c r="M38" s="164">
        <f>[5]SAF!$D30</f>
        <v>0</v>
      </c>
    </row>
    <row r="39" spans="1:13" x14ac:dyDescent="0.2">
      <c r="A39" s="155">
        <v>41275</v>
      </c>
      <c r="B39" s="164">
        <f>'[3]Soy Complex'!$BB454</f>
        <v>0</v>
      </c>
      <c r="C39" s="164">
        <f>'[3]Canola Complex'!$BB389</f>
        <v>0</v>
      </c>
      <c r="D39" s="164">
        <f>'[4]Distillers'' Corn Oil Complex'!$U154</f>
        <v>0</v>
      </c>
      <c r="E39" s="164">
        <f>'[4]Poultry Byproduct Complex'!$U293</f>
        <v>0</v>
      </c>
      <c r="F39" s="164">
        <f>'[4]CWG Complex'!$U156</f>
        <v>0</v>
      </c>
      <c r="G39" s="164">
        <f>'[4]Inedible Tallow Complex'!$U153</f>
        <v>0</v>
      </c>
      <c r="H39" s="164">
        <f>'[4]Yellow Grease Complex'!$U154</f>
        <v>0</v>
      </c>
      <c r="I39" s="164">
        <f>'[4]Used Cooking Oil Complex'!$U154</f>
        <v>0</v>
      </c>
      <c r="J39" s="164">
        <f t="shared" si="0"/>
        <v>0</v>
      </c>
      <c r="K39" s="164">
        <f t="shared" si="1"/>
        <v>0</v>
      </c>
      <c r="L39" s="164">
        <v>0</v>
      </c>
      <c r="M39" s="164">
        <f>[5]SAF!$E19</f>
        <v>0</v>
      </c>
    </row>
    <row r="40" spans="1:13" x14ac:dyDescent="0.2">
      <c r="A40" s="155">
        <v>41306</v>
      </c>
      <c r="B40" s="164">
        <f>'[3]Soy Complex'!$BB455</f>
        <v>0</v>
      </c>
      <c r="C40" s="164">
        <f>'[3]Canola Complex'!$BB390</f>
        <v>0</v>
      </c>
      <c r="D40" s="164">
        <f>'[4]Distillers'' Corn Oil Complex'!$U155</f>
        <v>0</v>
      </c>
      <c r="E40" s="164">
        <f>'[4]Poultry Byproduct Complex'!$U294</f>
        <v>0</v>
      </c>
      <c r="F40" s="164">
        <f>'[4]CWG Complex'!$U157</f>
        <v>0</v>
      </c>
      <c r="G40" s="164">
        <f>'[4]Inedible Tallow Complex'!$U154</f>
        <v>0</v>
      </c>
      <c r="H40" s="164">
        <f>'[4]Yellow Grease Complex'!$U155</f>
        <v>0</v>
      </c>
      <c r="I40" s="164">
        <f>'[4]Used Cooking Oil Complex'!$U155</f>
        <v>0</v>
      </c>
      <c r="J40" s="164">
        <f t="shared" si="0"/>
        <v>0</v>
      </c>
      <c r="K40" s="164">
        <f t="shared" si="1"/>
        <v>0</v>
      </c>
      <c r="L40" s="164">
        <v>0</v>
      </c>
      <c r="M40" s="164">
        <f>[5]SAF!$E20</f>
        <v>0</v>
      </c>
    </row>
    <row r="41" spans="1:13" x14ac:dyDescent="0.2">
      <c r="A41" s="155">
        <v>41334</v>
      </c>
      <c r="B41" s="164">
        <f>'[3]Soy Complex'!$BB456</f>
        <v>0</v>
      </c>
      <c r="C41" s="164">
        <f>'[3]Canola Complex'!$BB391</f>
        <v>0</v>
      </c>
      <c r="D41" s="164">
        <f>'[4]Distillers'' Corn Oil Complex'!$U156</f>
        <v>0</v>
      </c>
      <c r="E41" s="164">
        <f>'[4]Poultry Byproduct Complex'!$U295</f>
        <v>0</v>
      </c>
      <c r="F41" s="164">
        <f>'[4]CWG Complex'!$U158</f>
        <v>0</v>
      </c>
      <c r="G41" s="164">
        <f>'[4]Inedible Tallow Complex'!$U155</f>
        <v>0</v>
      </c>
      <c r="H41" s="164">
        <f>'[4]Yellow Grease Complex'!$U156</f>
        <v>0</v>
      </c>
      <c r="I41" s="164">
        <f>'[4]Used Cooking Oil Complex'!$U156</f>
        <v>0</v>
      </c>
      <c r="J41" s="164">
        <f t="shared" si="0"/>
        <v>0</v>
      </c>
      <c r="K41" s="164">
        <f t="shared" si="1"/>
        <v>0</v>
      </c>
      <c r="L41" s="164">
        <v>0</v>
      </c>
      <c r="M41" s="164">
        <f>[5]SAF!$E21</f>
        <v>0</v>
      </c>
    </row>
    <row r="42" spans="1:13" x14ac:dyDescent="0.2">
      <c r="A42" s="155">
        <v>41365</v>
      </c>
      <c r="B42" s="164">
        <f>'[3]Soy Complex'!$BB457</f>
        <v>0</v>
      </c>
      <c r="C42" s="164">
        <f>'[3]Canola Complex'!$BB392</f>
        <v>0</v>
      </c>
      <c r="D42" s="164">
        <f>'[4]Distillers'' Corn Oil Complex'!$U157</f>
        <v>0</v>
      </c>
      <c r="E42" s="164">
        <f>'[4]Poultry Byproduct Complex'!$U296</f>
        <v>0</v>
      </c>
      <c r="F42" s="164">
        <f>'[4]CWG Complex'!$U159</f>
        <v>0</v>
      </c>
      <c r="G42" s="164">
        <f>'[4]Inedible Tallow Complex'!$U156</f>
        <v>0</v>
      </c>
      <c r="H42" s="164">
        <f>'[4]Yellow Grease Complex'!$U157</f>
        <v>0</v>
      </c>
      <c r="I42" s="164">
        <f>'[4]Used Cooking Oil Complex'!$U157</f>
        <v>0</v>
      </c>
      <c r="J42" s="164">
        <f t="shared" si="0"/>
        <v>0</v>
      </c>
      <c r="K42" s="164">
        <f t="shared" si="1"/>
        <v>0</v>
      </c>
      <c r="L42" s="164">
        <v>0</v>
      </c>
      <c r="M42" s="164">
        <f>[5]SAF!$E22</f>
        <v>0</v>
      </c>
    </row>
    <row r="43" spans="1:13" x14ac:dyDescent="0.2">
      <c r="A43" s="155">
        <v>41395</v>
      </c>
      <c r="B43" s="164">
        <f>'[3]Soy Complex'!$BB458</f>
        <v>0</v>
      </c>
      <c r="C43" s="164">
        <f>'[3]Canola Complex'!$BB393</f>
        <v>0</v>
      </c>
      <c r="D43" s="164">
        <f>'[4]Distillers'' Corn Oil Complex'!$U158</f>
        <v>0</v>
      </c>
      <c r="E43" s="164">
        <f>'[4]Poultry Byproduct Complex'!$U297</f>
        <v>0</v>
      </c>
      <c r="F43" s="164">
        <f>'[4]CWG Complex'!$U160</f>
        <v>0</v>
      </c>
      <c r="G43" s="164">
        <f>'[4]Inedible Tallow Complex'!$U157</f>
        <v>0</v>
      </c>
      <c r="H43" s="164">
        <f>'[4]Yellow Grease Complex'!$U158</f>
        <v>0</v>
      </c>
      <c r="I43" s="164">
        <f>'[4]Used Cooking Oil Complex'!$U158</f>
        <v>0</v>
      </c>
      <c r="J43" s="164">
        <f t="shared" si="0"/>
        <v>0</v>
      </c>
      <c r="K43" s="164">
        <f t="shared" si="1"/>
        <v>0</v>
      </c>
      <c r="L43" s="164">
        <v>0</v>
      </c>
      <c r="M43" s="164">
        <f>[5]SAF!$E23</f>
        <v>0</v>
      </c>
    </row>
    <row r="44" spans="1:13" x14ac:dyDescent="0.2">
      <c r="A44" s="155">
        <v>41426</v>
      </c>
      <c r="B44" s="164">
        <f>'[3]Soy Complex'!$BB459</f>
        <v>0</v>
      </c>
      <c r="C44" s="164">
        <f>'[3]Canola Complex'!$BB394</f>
        <v>0</v>
      </c>
      <c r="D44" s="164">
        <f>'[4]Distillers'' Corn Oil Complex'!$U159</f>
        <v>0</v>
      </c>
      <c r="E44" s="164">
        <f>'[4]Poultry Byproduct Complex'!$U298</f>
        <v>0</v>
      </c>
      <c r="F44" s="164">
        <f>'[4]CWG Complex'!$U161</f>
        <v>0</v>
      </c>
      <c r="G44" s="164">
        <f>'[4]Inedible Tallow Complex'!$U158</f>
        <v>0</v>
      </c>
      <c r="H44" s="164">
        <f>'[4]Yellow Grease Complex'!$U159</f>
        <v>0</v>
      </c>
      <c r="I44" s="164">
        <f>'[4]Used Cooking Oil Complex'!$U159</f>
        <v>0</v>
      </c>
      <c r="J44" s="164">
        <f t="shared" si="0"/>
        <v>0</v>
      </c>
      <c r="K44" s="164">
        <f t="shared" si="1"/>
        <v>0</v>
      </c>
      <c r="L44" s="164">
        <v>0</v>
      </c>
      <c r="M44" s="164">
        <f>[5]SAF!$E24</f>
        <v>0</v>
      </c>
    </row>
    <row r="45" spans="1:13" x14ac:dyDescent="0.2">
      <c r="A45" s="155">
        <v>41456</v>
      </c>
      <c r="B45" s="164">
        <f>'[3]Soy Complex'!$BB460</f>
        <v>0</v>
      </c>
      <c r="C45" s="164">
        <f>'[3]Canola Complex'!$BB395</f>
        <v>0</v>
      </c>
      <c r="D45" s="164">
        <f>'[4]Distillers'' Corn Oil Complex'!$U160</f>
        <v>0</v>
      </c>
      <c r="E45" s="164">
        <f>'[4]Poultry Byproduct Complex'!$U299</f>
        <v>0</v>
      </c>
      <c r="F45" s="164">
        <f>'[4]CWG Complex'!$U162</f>
        <v>0</v>
      </c>
      <c r="G45" s="164">
        <f>'[4]Inedible Tallow Complex'!$U159</f>
        <v>0</v>
      </c>
      <c r="H45" s="164">
        <f>'[4]Yellow Grease Complex'!$U160</f>
        <v>0</v>
      </c>
      <c r="I45" s="164">
        <f>'[4]Used Cooking Oil Complex'!$U160</f>
        <v>0</v>
      </c>
      <c r="J45" s="164">
        <f t="shared" si="0"/>
        <v>0</v>
      </c>
      <c r="K45" s="164">
        <f t="shared" si="1"/>
        <v>0</v>
      </c>
      <c r="L45" s="164">
        <v>0</v>
      </c>
      <c r="M45" s="164">
        <f>[5]SAF!$E25</f>
        <v>0</v>
      </c>
    </row>
    <row r="46" spans="1:13" x14ac:dyDescent="0.2">
      <c r="A46" s="155">
        <v>41487</v>
      </c>
      <c r="B46" s="164">
        <f>'[3]Soy Complex'!$BB461</f>
        <v>0</v>
      </c>
      <c r="C46" s="164">
        <f>'[3]Canola Complex'!$BB396</f>
        <v>0</v>
      </c>
      <c r="D46" s="164">
        <f>'[4]Distillers'' Corn Oil Complex'!$U161</f>
        <v>0</v>
      </c>
      <c r="E46" s="164">
        <f>'[4]Poultry Byproduct Complex'!$U300</f>
        <v>0</v>
      </c>
      <c r="F46" s="164">
        <f>'[4]CWG Complex'!$U163</f>
        <v>0</v>
      </c>
      <c r="G46" s="164">
        <f>'[4]Inedible Tallow Complex'!$U160</f>
        <v>0</v>
      </c>
      <c r="H46" s="164">
        <f>'[4]Yellow Grease Complex'!$U161</f>
        <v>0</v>
      </c>
      <c r="I46" s="164">
        <f>'[4]Used Cooking Oil Complex'!$U161</f>
        <v>0</v>
      </c>
      <c r="J46" s="164">
        <f t="shared" si="0"/>
        <v>0</v>
      </c>
      <c r="K46" s="164">
        <f t="shared" si="1"/>
        <v>0</v>
      </c>
      <c r="L46" s="164">
        <v>0</v>
      </c>
      <c r="M46" s="164">
        <f>[5]SAF!$E26</f>
        <v>0</v>
      </c>
    </row>
    <row r="47" spans="1:13" x14ac:dyDescent="0.2">
      <c r="A47" s="155">
        <v>41518</v>
      </c>
      <c r="B47" s="164">
        <f>'[3]Soy Complex'!$BB462</f>
        <v>0</v>
      </c>
      <c r="C47" s="164">
        <f>'[3]Canola Complex'!$BB397</f>
        <v>0</v>
      </c>
      <c r="D47" s="164">
        <f>'[4]Distillers'' Corn Oil Complex'!$U162</f>
        <v>0</v>
      </c>
      <c r="E47" s="164">
        <f>'[4]Poultry Byproduct Complex'!$U301</f>
        <v>0</v>
      </c>
      <c r="F47" s="164">
        <f>'[4]CWG Complex'!$U164</f>
        <v>0</v>
      </c>
      <c r="G47" s="164">
        <f>'[4]Inedible Tallow Complex'!$U161</f>
        <v>0</v>
      </c>
      <c r="H47" s="164">
        <f>'[4]Yellow Grease Complex'!$U162</f>
        <v>0</v>
      </c>
      <c r="I47" s="164">
        <f>'[4]Used Cooking Oil Complex'!$U162</f>
        <v>0</v>
      </c>
      <c r="J47" s="164">
        <f t="shared" si="0"/>
        <v>0</v>
      </c>
      <c r="K47" s="164">
        <f t="shared" si="1"/>
        <v>0</v>
      </c>
      <c r="L47" s="164">
        <v>0</v>
      </c>
      <c r="M47" s="164">
        <f>[5]SAF!$E27</f>
        <v>0</v>
      </c>
    </row>
    <row r="48" spans="1:13" x14ac:dyDescent="0.2">
      <c r="A48" s="155">
        <v>41548</v>
      </c>
      <c r="B48" s="164">
        <f>'[3]Soy Complex'!$BC451</f>
        <v>0</v>
      </c>
      <c r="C48" s="164">
        <f>'[3]Canola Complex'!$BC386</f>
        <v>0</v>
      </c>
      <c r="D48" s="164">
        <f>'[4]Distillers'' Corn Oil Complex'!$V151</f>
        <v>0</v>
      </c>
      <c r="E48" s="164">
        <f>'[4]Poultry Byproduct Complex'!$V290</f>
        <v>0</v>
      </c>
      <c r="F48" s="164">
        <f>'[4]CWG Complex'!$V153</f>
        <v>0</v>
      </c>
      <c r="G48" s="164">
        <f>'[4]Inedible Tallow Complex'!$V150</f>
        <v>0</v>
      </c>
      <c r="H48" s="164">
        <f>'[4]Yellow Grease Complex'!$V151</f>
        <v>0</v>
      </c>
      <c r="I48" s="164">
        <f>'[4]Used Cooking Oil Complex'!$V151</f>
        <v>0</v>
      </c>
      <c r="J48" s="164">
        <f t="shared" si="0"/>
        <v>0</v>
      </c>
      <c r="K48" s="164">
        <f t="shared" si="1"/>
        <v>0</v>
      </c>
      <c r="L48" s="164">
        <v>0</v>
      </c>
      <c r="M48" s="164">
        <f>[5]SAF!$E28</f>
        <v>0</v>
      </c>
    </row>
    <row r="49" spans="1:13" x14ac:dyDescent="0.2">
      <c r="A49" s="155">
        <v>41579</v>
      </c>
      <c r="B49" s="164">
        <f>'[3]Soy Complex'!$BC452</f>
        <v>0</v>
      </c>
      <c r="C49" s="164">
        <f>'[3]Canola Complex'!$BC387</f>
        <v>0</v>
      </c>
      <c r="D49" s="164">
        <f>'[4]Distillers'' Corn Oil Complex'!$V152</f>
        <v>0</v>
      </c>
      <c r="E49" s="164">
        <f>'[4]Poultry Byproduct Complex'!$V291</f>
        <v>0</v>
      </c>
      <c r="F49" s="164">
        <f>'[4]CWG Complex'!$V154</f>
        <v>0</v>
      </c>
      <c r="G49" s="164">
        <f>'[4]Inedible Tallow Complex'!$V151</f>
        <v>0</v>
      </c>
      <c r="H49" s="164">
        <f>'[4]Yellow Grease Complex'!$V152</f>
        <v>0</v>
      </c>
      <c r="I49" s="164">
        <f>'[4]Used Cooking Oil Complex'!$V152</f>
        <v>0</v>
      </c>
      <c r="J49" s="164">
        <f t="shared" si="0"/>
        <v>0</v>
      </c>
      <c r="K49" s="164">
        <f t="shared" si="1"/>
        <v>0</v>
      </c>
      <c r="L49" s="164">
        <v>0</v>
      </c>
      <c r="M49" s="164">
        <f>[5]SAF!$E29</f>
        <v>0</v>
      </c>
    </row>
    <row r="50" spans="1:13" x14ac:dyDescent="0.2">
      <c r="A50" s="155">
        <v>41609</v>
      </c>
      <c r="B50" s="164">
        <f>'[3]Soy Complex'!$BC453</f>
        <v>0</v>
      </c>
      <c r="C50" s="164">
        <f>'[3]Canola Complex'!$BC388</f>
        <v>0</v>
      </c>
      <c r="D50" s="164">
        <f>'[4]Distillers'' Corn Oil Complex'!$V153</f>
        <v>0</v>
      </c>
      <c r="E50" s="164">
        <f>'[4]Poultry Byproduct Complex'!$V292</f>
        <v>0</v>
      </c>
      <c r="F50" s="164">
        <f>'[4]CWG Complex'!$V155</f>
        <v>0</v>
      </c>
      <c r="G50" s="164">
        <f>'[4]Inedible Tallow Complex'!$V152</f>
        <v>0</v>
      </c>
      <c r="H50" s="164">
        <f>'[4]Yellow Grease Complex'!$V153</f>
        <v>0</v>
      </c>
      <c r="I50" s="164">
        <f>'[4]Used Cooking Oil Complex'!$V153</f>
        <v>0</v>
      </c>
      <c r="J50" s="164">
        <f t="shared" si="0"/>
        <v>0</v>
      </c>
      <c r="K50" s="164">
        <f t="shared" si="1"/>
        <v>0</v>
      </c>
      <c r="L50" s="164">
        <v>0</v>
      </c>
      <c r="M50" s="164">
        <f>[5]SAF!$E30</f>
        <v>0</v>
      </c>
    </row>
    <row r="51" spans="1:13" x14ac:dyDescent="0.2">
      <c r="A51" s="155">
        <v>41640</v>
      </c>
      <c r="B51" s="164">
        <f>'[3]Soy Complex'!$BC454</f>
        <v>0</v>
      </c>
      <c r="C51" s="164">
        <f>'[3]Canola Complex'!$BC389</f>
        <v>0</v>
      </c>
      <c r="D51" s="164">
        <f>'[4]Distillers'' Corn Oil Complex'!$V154</f>
        <v>0</v>
      </c>
      <c r="E51" s="164">
        <f>'[4]Poultry Byproduct Complex'!$V293</f>
        <v>0</v>
      </c>
      <c r="F51" s="164">
        <f>'[4]CWG Complex'!$V156</f>
        <v>0</v>
      </c>
      <c r="G51" s="164">
        <f>'[4]Inedible Tallow Complex'!$V153</f>
        <v>0</v>
      </c>
      <c r="H51" s="164">
        <f>'[4]Yellow Grease Complex'!$V154</f>
        <v>0</v>
      </c>
      <c r="I51" s="164">
        <f>'[4]Used Cooking Oil Complex'!$V154</f>
        <v>0</v>
      </c>
      <c r="J51" s="164">
        <f t="shared" si="0"/>
        <v>0</v>
      </c>
      <c r="K51" s="164">
        <f t="shared" si="1"/>
        <v>0</v>
      </c>
      <c r="L51" s="164">
        <v>0</v>
      </c>
      <c r="M51" s="164">
        <f>[5]SAF!$F19</f>
        <v>0</v>
      </c>
    </row>
    <row r="52" spans="1:13" x14ac:dyDescent="0.2">
      <c r="A52" s="155">
        <v>41671</v>
      </c>
      <c r="B52" s="164">
        <f>'[3]Soy Complex'!$BC455</f>
        <v>0</v>
      </c>
      <c r="C52" s="164">
        <f>'[3]Canola Complex'!$BC390</f>
        <v>0</v>
      </c>
      <c r="D52" s="164">
        <f>'[4]Distillers'' Corn Oil Complex'!$V155</f>
        <v>0</v>
      </c>
      <c r="E52" s="164">
        <f>'[4]Poultry Byproduct Complex'!$V294</f>
        <v>0</v>
      </c>
      <c r="F52" s="164">
        <f>'[4]CWG Complex'!$V157</f>
        <v>0</v>
      </c>
      <c r="G52" s="164">
        <f>'[4]Inedible Tallow Complex'!$V154</f>
        <v>0</v>
      </c>
      <c r="H52" s="164">
        <f>'[4]Yellow Grease Complex'!$V155</f>
        <v>0</v>
      </c>
      <c r="I52" s="164">
        <f>'[4]Used Cooking Oil Complex'!$V155</f>
        <v>0</v>
      </c>
      <c r="J52" s="164">
        <f t="shared" si="0"/>
        <v>0</v>
      </c>
      <c r="K52" s="164">
        <f t="shared" si="1"/>
        <v>0</v>
      </c>
      <c r="L52" s="164">
        <v>0</v>
      </c>
      <c r="M52" s="164">
        <f>[5]SAF!$F20</f>
        <v>0</v>
      </c>
    </row>
    <row r="53" spans="1:13" x14ac:dyDescent="0.2">
      <c r="A53" s="155">
        <v>41699</v>
      </c>
      <c r="B53" s="164">
        <f>'[3]Soy Complex'!$BC456</f>
        <v>0</v>
      </c>
      <c r="C53" s="164">
        <f>'[3]Canola Complex'!$BC391</f>
        <v>0</v>
      </c>
      <c r="D53" s="164">
        <f>'[4]Distillers'' Corn Oil Complex'!$V156</f>
        <v>0</v>
      </c>
      <c r="E53" s="164">
        <f>'[4]Poultry Byproduct Complex'!$V295</f>
        <v>0</v>
      </c>
      <c r="F53" s="164">
        <f>'[4]CWG Complex'!$V158</f>
        <v>0</v>
      </c>
      <c r="G53" s="164">
        <f>'[4]Inedible Tallow Complex'!$V155</f>
        <v>0</v>
      </c>
      <c r="H53" s="164">
        <f>'[4]Yellow Grease Complex'!$V156</f>
        <v>0</v>
      </c>
      <c r="I53" s="164">
        <f>'[4]Used Cooking Oil Complex'!$V156</f>
        <v>0</v>
      </c>
      <c r="J53" s="164">
        <f t="shared" si="0"/>
        <v>0</v>
      </c>
      <c r="K53" s="164">
        <f t="shared" si="1"/>
        <v>0</v>
      </c>
      <c r="L53" s="164">
        <v>0</v>
      </c>
      <c r="M53" s="164">
        <f>[5]SAF!$F21</f>
        <v>0</v>
      </c>
    </row>
    <row r="54" spans="1:13" x14ac:dyDescent="0.2">
      <c r="A54" s="155">
        <v>41730</v>
      </c>
      <c r="B54" s="164">
        <f>'[3]Soy Complex'!$BC457</f>
        <v>0</v>
      </c>
      <c r="C54" s="164">
        <f>'[3]Canola Complex'!$BC392</f>
        <v>0</v>
      </c>
      <c r="D54" s="164">
        <f>'[4]Distillers'' Corn Oil Complex'!$V157</f>
        <v>0</v>
      </c>
      <c r="E54" s="164">
        <f>'[4]Poultry Byproduct Complex'!$V296</f>
        <v>0</v>
      </c>
      <c r="F54" s="164">
        <f>'[4]CWG Complex'!$V159</f>
        <v>0</v>
      </c>
      <c r="G54" s="164">
        <f>'[4]Inedible Tallow Complex'!$V156</f>
        <v>0</v>
      </c>
      <c r="H54" s="164">
        <f>'[4]Yellow Grease Complex'!$V157</f>
        <v>0</v>
      </c>
      <c r="I54" s="164">
        <f>'[4]Used Cooking Oil Complex'!$V157</f>
        <v>0</v>
      </c>
      <c r="J54" s="164">
        <f t="shared" si="0"/>
        <v>0</v>
      </c>
      <c r="K54" s="164">
        <f t="shared" si="1"/>
        <v>0</v>
      </c>
      <c r="L54" s="164">
        <v>0</v>
      </c>
      <c r="M54" s="164">
        <f>[5]SAF!$F22</f>
        <v>0</v>
      </c>
    </row>
    <row r="55" spans="1:13" x14ac:dyDescent="0.2">
      <c r="A55" s="155">
        <v>41760</v>
      </c>
      <c r="B55" s="164">
        <f>'[3]Soy Complex'!$BC458</f>
        <v>0</v>
      </c>
      <c r="C55" s="164">
        <f>'[3]Canola Complex'!$BC393</f>
        <v>0</v>
      </c>
      <c r="D55" s="164">
        <f>'[4]Distillers'' Corn Oil Complex'!$V158</f>
        <v>0</v>
      </c>
      <c r="E55" s="164">
        <f>'[4]Poultry Byproduct Complex'!$V297</f>
        <v>0</v>
      </c>
      <c r="F55" s="164">
        <f>'[4]CWG Complex'!$V160</f>
        <v>0</v>
      </c>
      <c r="G55" s="164">
        <f>'[4]Inedible Tallow Complex'!$V157</f>
        <v>0</v>
      </c>
      <c r="H55" s="164">
        <f>'[4]Yellow Grease Complex'!$V158</f>
        <v>0</v>
      </c>
      <c r="I55" s="164">
        <f>'[4]Used Cooking Oil Complex'!$V158</f>
        <v>0</v>
      </c>
      <c r="J55" s="164">
        <f t="shared" si="0"/>
        <v>0</v>
      </c>
      <c r="K55" s="164">
        <f t="shared" si="1"/>
        <v>0</v>
      </c>
      <c r="L55" s="164">
        <v>0</v>
      </c>
      <c r="M55" s="164">
        <f>[5]SAF!$F23</f>
        <v>0</v>
      </c>
    </row>
    <row r="56" spans="1:13" x14ac:dyDescent="0.2">
      <c r="A56" s="155">
        <v>41791</v>
      </c>
      <c r="B56" s="164">
        <f>'[3]Soy Complex'!$BC459</f>
        <v>0</v>
      </c>
      <c r="C56" s="164">
        <f>'[3]Canola Complex'!$BC394</f>
        <v>0</v>
      </c>
      <c r="D56" s="164">
        <f>'[4]Distillers'' Corn Oil Complex'!$V159</f>
        <v>0</v>
      </c>
      <c r="E56" s="164">
        <f>'[4]Poultry Byproduct Complex'!$V298</f>
        <v>0</v>
      </c>
      <c r="F56" s="164">
        <f>'[4]CWG Complex'!$V161</f>
        <v>0</v>
      </c>
      <c r="G56" s="164">
        <f>'[4]Inedible Tallow Complex'!$V158</f>
        <v>0</v>
      </c>
      <c r="H56" s="164">
        <f>'[4]Yellow Grease Complex'!$V159</f>
        <v>0</v>
      </c>
      <c r="I56" s="164">
        <f>'[4]Used Cooking Oil Complex'!$V159</f>
        <v>0</v>
      </c>
      <c r="J56" s="164">
        <f t="shared" si="0"/>
        <v>0</v>
      </c>
      <c r="K56" s="164">
        <f t="shared" si="1"/>
        <v>0</v>
      </c>
      <c r="L56" s="164">
        <v>0</v>
      </c>
      <c r="M56" s="164">
        <f>[5]SAF!$F24</f>
        <v>0</v>
      </c>
    </row>
    <row r="57" spans="1:13" x14ac:dyDescent="0.2">
      <c r="A57" s="155">
        <v>41821</v>
      </c>
      <c r="B57" s="164">
        <f>'[3]Soy Complex'!$BC460</f>
        <v>0</v>
      </c>
      <c r="C57" s="164">
        <f>'[3]Canola Complex'!$BC395</f>
        <v>0</v>
      </c>
      <c r="D57" s="164">
        <f>'[4]Distillers'' Corn Oil Complex'!$V160</f>
        <v>0</v>
      </c>
      <c r="E57" s="164">
        <f>'[4]Poultry Byproduct Complex'!$V299</f>
        <v>0</v>
      </c>
      <c r="F57" s="164">
        <f>'[4]CWG Complex'!$V162</f>
        <v>0</v>
      </c>
      <c r="G57" s="164">
        <f>'[4]Inedible Tallow Complex'!$V159</f>
        <v>0</v>
      </c>
      <c r="H57" s="164">
        <f>'[4]Yellow Grease Complex'!$V160</f>
        <v>0</v>
      </c>
      <c r="I57" s="164">
        <f>'[4]Used Cooking Oil Complex'!$V160</f>
        <v>0</v>
      </c>
      <c r="J57" s="164">
        <f t="shared" si="0"/>
        <v>0</v>
      </c>
      <c r="K57" s="164">
        <f t="shared" si="1"/>
        <v>0</v>
      </c>
      <c r="L57" s="164">
        <v>0</v>
      </c>
      <c r="M57" s="164">
        <f>[5]SAF!$F25</f>
        <v>0</v>
      </c>
    </row>
    <row r="58" spans="1:13" x14ac:dyDescent="0.2">
      <c r="A58" s="155">
        <v>41852</v>
      </c>
      <c r="B58" s="164">
        <f>'[3]Soy Complex'!$BC461</f>
        <v>0</v>
      </c>
      <c r="C58" s="164">
        <f>'[3]Canola Complex'!$BC396</f>
        <v>0</v>
      </c>
      <c r="D58" s="164">
        <f>'[4]Distillers'' Corn Oil Complex'!$V161</f>
        <v>0</v>
      </c>
      <c r="E58" s="164">
        <f>'[4]Poultry Byproduct Complex'!$V300</f>
        <v>0</v>
      </c>
      <c r="F58" s="164">
        <f>'[4]CWG Complex'!$V163</f>
        <v>0</v>
      </c>
      <c r="G58" s="164">
        <f>'[4]Inedible Tallow Complex'!$V160</f>
        <v>0</v>
      </c>
      <c r="H58" s="164">
        <f>'[4]Yellow Grease Complex'!$V161</f>
        <v>0</v>
      </c>
      <c r="I58" s="164">
        <f>'[4]Used Cooking Oil Complex'!$V161</f>
        <v>0</v>
      </c>
      <c r="J58" s="164">
        <f t="shared" si="0"/>
        <v>0</v>
      </c>
      <c r="K58" s="164">
        <f t="shared" si="1"/>
        <v>0</v>
      </c>
      <c r="L58" s="164">
        <v>0</v>
      </c>
      <c r="M58" s="164">
        <f>[5]SAF!$F26</f>
        <v>0</v>
      </c>
    </row>
    <row r="59" spans="1:13" x14ac:dyDescent="0.2">
      <c r="A59" s="155">
        <v>41883</v>
      </c>
      <c r="B59" s="164">
        <f>'[3]Soy Complex'!$BC462</f>
        <v>0</v>
      </c>
      <c r="C59" s="164">
        <f>'[3]Canola Complex'!$BC397</f>
        <v>0</v>
      </c>
      <c r="D59" s="164">
        <f>'[4]Distillers'' Corn Oil Complex'!$V162</f>
        <v>0</v>
      </c>
      <c r="E59" s="164">
        <f>'[4]Poultry Byproduct Complex'!$V301</f>
        <v>0</v>
      </c>
      <c r="F59" s="164">
        <f>'[4]CWG Complex'!$V164</f>
        <v>0</v>
      </c>
      <c r="G59" s="164">
        <f>'[4]Inedible Tallow Complex'!$V161</f>
        <v>0</v>
      </c>
      <c r="H59" s="164">
        <f>'[4]Yellow Grease Complex'!$V162</f>
        <v>0</v>
      </c>
      <c r="I59" s="164">
        <f>'[4]Used Cooking Oil Complex'!$V162</f>
        <v>0</v>
      </c>
      <c r="J59" s="164">
        <f t="shared" si="0"/>
        <v>0</v>
      </c>
      <c r="K59" s="164">
        <f t="shared" si="1"/>
        <v>0</v>
      </c>
      <c r="L59" s="164">
        <v>0</v>
      </c>
      <c r="M59" s="164">
        <f>[5]SAF!$F27</f>
        <v>0</v>
      </c>
    </row>
    <row r="60" spans="1:13" x14ac:dyDescent="0.2">
      <c r="A60" s="155">
        <v>41913</v>
      </c>
      <c r="B60" s="164">
        <f>'[3]Soy Complex'!$BD451</f>
        <v>0</v>
      </c>
      <c r="C60" s="164">
        <f>'[3]Canola Complex'!$BD386</f>
        <v>0</v>
      </c>
      <c r="D60" s="164">
        <f>'[4]Distillers'' Corn Oil Complex'!$W151</f>
        <v>0</v>
      </c>
      <c r="E60" s="164">
        <f>'[4]Poultry Byproduct Complex'!$W290</f>
        <v>0</v>
      </c>
      <c r="F60" s="164">
        <f>'[4]CWG Complex'!$W153</f>
        <v>0</v>
      </c>
      <c r="G60" s="164">
        <f>'[4]Inedible Tallow Complex'!$W150</f>
        <v>0</v>
      </c>
      <c r="H60" s="164">
        <f>'[4]Yellow Grease Complex'!$W151</f>
        <v>0</v>
      </c>
      <c r="I60" s="164">
        <f>'[4]Used Cooking Oil Complex'!$W151</f>
        <v>0</v>
      </c>
      <c r="J60" s="164">
        <f t="shared" si="0"/>
        <v>0</v>
      </c>
      <c r="K60" s="164">
        <f>SUM(D60:I60)</f>
        <v>0</v>
      </c>
      <c r="L60" s="164">
        <v>0</v>
      </c>
      <c r="M60" s="164">
        <f>[5]SAF!$F28</f>
        <v>0</v>
      </c>
    </row>
    <row r="61" spans="1:13" x14ac:dyDescent="0.2">
      <c r="A61" s="155">
        <v>41944</v>
      </c>
      <c r="B61" s="164">
        <f>'[3]Soy Complex'!$BD452</f>
        <v>0</v>
      </c>
      <c r="C61" s="164">
        <f>'[3]Canola Complex'!$BD387</f>
        <v>0</v>
      </c>
      <c r="D61" s="164">
        <f>'[4]Distillers'' Corn Oil Complex'!$W152</f>
        <v>0</v>
      </c>
      <c r="E61" s="164">
        <f>'[4]Poultry Byproduct Complex'!$W291</f>
        <v>0</v>
      </c>
      <c r="F61" s="164">
        <f>'[4]CWG Complex'!$W154</f>
        <v>0</v>
      </c>
      <c r="G61" s="164">
        <f>'[4]Inedible Tallow Complex'!$W151</f>
        <v>0</v>
      </c>
      <c r="H61" s="164">
        <f>'[4]Yellow Grease Complex'!$W152</f>
        <v>0</v>
      </c>
      <c r="I61" s="164">
        <f>'[4]Used Cooking Oil Complex'!$W152</f>
        <v>0</v>
      </c>
      <c r="J61" s="164">
        <f t="shared" si="0"/>
        <v>0</v>
      </c>
      <c r="K61" s="164">
        <f t="shared" ref="K61:K124" si="2">SUM(D61:I61)</f>
        <v>0</v>
      </c>
      <c r="L61" s="164">
        <v>0</v>
      </c>
      <c r="M61" s="164">
        <f>[5]SAF!$F29</f>
        <v>0</v>
      </c>
    </row>
    <row r="62" spans="1:13" x14ac:dyDescent="0.2">
      <c r="A62" s="155">
        <v>41974</v>
      </c>
      <c r="B62" s="164">
        <f>'[3]Soy Complex'!$BD453</f>
        <v>0</v>
      </c>
      <c r="C62" s="164">
        <f>'[3]Canola Complex'!$BD388</f>
        <v>0</v>
      </c>
      <c r="D62" s="164">
        <f>'[4]Distillers'' Corn Oil Complex'!$W153</f>
        <v>0</v>
      </c>
      <c r="E62" s="164">
        <f>'[4]Poultry Byproduct Complex'!$W292</f>
        <v>0</v>
      </c>
      <c r="F62" s="164">
        <f>'[4]CWG Complex'!$W155</f>
        <v>0</v>
      </c>
      <c r="G62" s="164">
        <f>'[4]Inedible Tallow Complex'!$W152</f>
        <v>0</v>
      </c>
      <c r="H62" s="164">
        <f>'[4]Yellow Grease Complex'!$W153</f>
        <v>0</v>
      </c>
      <c r="I62" s="164">
        <f>'[4]Used Cooking Oil Complex'!$W153</f>
        <v>0</v>
      </c>
      <c r="J62" s="164">
        <f t="shared" si="0"/>
        <v>0</v>
      </c>
      <c r="K62" s="164">
        <f t="shared" si="2"/>
        <v>0</v>
      </c>
      <c r="L62" s="164">
        <v>0</v>
      </c>
      <c r="M62" s="164">
        <f>[5]SAF!$F30</f>
        <v>0</v>
      </c>
    </row>
    <row r="63" spans="1:13" x14ac:dyDescent="0.2">
      <c r="A63" s="155">
        <v>42005</v>
      </c>
      <c r="B63" s="164">
        <f>$L63*('RD Feedstock Use'!B63/'RD Feedstock Use'!$L63)</f>
        <v>0</v>
      </c>
      <c r="C63" s="164">
        <f>$L63*('RD Feedstock Use'!C63/'RD Feedstock Use'!$L63)</f>
        <v>0</v>
      </c>
      <c r="D63" s="164">
        <f>'[4]Distillers'' Corn Oil Complex'!$W154</f>
        <v>0</v>
      </c>
      <c r="E63" s="164">
        <f>$L63*('RD Feedstock Use'!E63/'RD Feedstock Use'!$L63)</f>
        <v>0</v>
      </c>
      <c r="F63" s="164">
        <f>$L63*('RD Feedstock Use'!F63/'RD Feedstock Use'!$L63)</f>
        <v>0</v>
      </c>
      <c r="G63" s="164">
        <f>$L63*('RD Feedstock Use'!G63/'RD Feedstock Use'!$L63)</f>
        <v>0</v>
      </c>
      <c r="H63" s="164">
        <f>$L63*('RD Feedstock Use'!H63/'RD Feedstock Use'!$L63)</f>
        <v>0</v>
      </c>
      <c r="I63" s="164">
        <f>$L63*('RD Feedstock Use'!I63/'RD Feedstock Use'!$L63)</f>
        <v>0</v>
      </c>
      <c r="J63" s="164">
        <f t="shared" si="0"/>
        <v>0</v>
      </c>
      <c r="K63" s="164">
        <f t="shared" si="2"/>
        <v>0</v>
      </c>
      <c r="L63" s="164"/>
    </row>
    <row r="64" spans="1:13" x14ac:dyDescent="0.2">
      <c r="A64" s="155">
        <v>42036</v>
      </c>
      <c r="B64" s="164">
        <f>$L64*('RD Feedstock Use'!B64/'RD Feedstock Use'!$L64)</f>
        <v>0</v>
      </c>
      <c r="C64" s="164">
        <f>$L64*('RD Feedstock Use'!C64/'RD Feedstock Use'!$L64)</f>
        <v>0</v>
      </c>
      <c r="D64" s="164">
        <f>'[4]Distillers'' Corn Oil Complex'!$W155</f>
        <v>0</v>
      </c>
      <c r="E64" s="164">
        <f>$L64*('RD Feedstock Use'!E64/'RD Feedstock Use'!$L64)</f>
        <v>0</v>
      </c>
      <c r="F64" s="164">
        <f>$L64*('RD Feedstock Use'!F64/'RD Feedstock Use'!$L64)</f>
        <v>0</v>
      </c>
      <c r="G64" s="164">
        <f>$L64*('RD Feedstock Use'!G64/'RD Feedstock Use'!$L64)</f>
        <v>0</v>
      </c>
      <c r="H64" s="164">
        <f>$L64*('RD Feedstock Use'!H64/'RD Feedstock Use'!$L64)</f>
        <v>0</v>
      </c>
      <c r="I64" s="164">
        <f>$L64*('RD Feedstock Use'!I64/'RD Feedstock Use'!$L64)</f>
        <v>0</v>
      </c>
      <c r="J64" s="164">
        <f t="shared" si="0"/>
        <v>0</v>
      </c>
      <c r="K64" s="164">
        <f t="shared" si="2"/>
        <v>0</v>
      </c>
      <c r="L64" s="164"/>
    </row>
    <row r="65" spans="1:14" x14ac:dyDescent="0.2">
      <c r="A65" s="155">
        <v>42064</v>
      </c>
      <c r="B65" s="164">
        <f>$L65*('RD Feedstock Use'!B65/'RD Feedstock Use'!$L65)</f>
        <v>0</v>
      </c>
      <c r="C65" s="164">
        <f>$L65*('RD Feedstock Use'!C65/'RD Feedstock Use'!$L65)</f>
        <v>0</v>
      </c>
      <c r="D65" s="164">
        <f>'[4]Distillers'' Corn Oil Complex'!$W156</f>
        <v>0</v>
      </c>
      <c r="E65" s="164">
        <f>$L65*('RD Feedstock Use'!E65/'RD Feedstock Use'!$L65)</f>
        <v>0</v>
      </c>
      <c r="F65" s="164">
        <f>$L65*('RD Feedstock Use'!F65/'RD Feedstock Use'!$L65)</f>
        <v>0</v>
      </c>
      <c r="G65" s="164">
        <f>$L65*('RD Feedstock Use'!G65/'RD Feedstock Use'!$L65)</f>
        <v>0</v>
      </c>
      <c r="H65" s="164">
        <f>$L65*('RD Feedstock Use'!H65/'RD Feedstock Use'!$L65)</f>
        <v>0</v>
      </c>
      <c r="I65" s="164">
        <f>$L65*('RD Feedstock Use'!I65/'RD Feedstock Use'!$L65)</f>
        <v>0</v>
      </c>
      <c r="J65" s="164">
        <f t="shared" si="0"/>
        <v>0</v>
      </c>
      <c r="K65" s="164">
        <f t="shared" si="2"/>
        <v>0</v>
      </c>
      <c r="L65" s="164"/>
    </row>
    <row r="66" spans="1:14" x14ac:dyDescent="0.2">
      <c r="A66" s="155">
        <v>42095</v>
      </c>
      <c r="B66" s="164">
        <f>$L66*('RD Feedstock Use'!B66/'RD Feedstock Use'!$L66)</f>
        <v>0</v>
      </c>
      <c r="C66" s="164">
        <f>$L66*('RD Feedstock Use'!C66/'RD Feedstock Use'!$L66)</f>
        <v>0</v>
      </c>
      <c r="D66" s="164">
        <f>'[4]Distillers'' Corn Oil Complex'!$W157</f>
        <v>0</v>
      </c>
      <c r="E66" s="164">
        <f>$L66*('RD Feedstock Use'!E66/'RD Feedstock Use'!$L66)</f>
        <v>0</v>
      </c>
      <c r="F66" s="164">
        <f>$L66*('RD Feedstock Use'!F66/'RD Feedstock Use'!$L66)</f>
        <v>0</v>
      </c>
      <c r="G66" s="164">
        <f>$L66*('RD Feedstock Use'!G66/'RD Feedstock Use'!$L66)</f>
        <v>0</v>
      </c>
      <c r="H66" s="164">
        <f>$L66*('RD Feedstock Use'!H66/'RD Feedstock Use'!$L66)</f>
        <v>0</v>
      </c>
      <c r="I66" s="164">
        <f>$L66*('RD Feedstock Use'!I66/'RD Feedstock Use'!$L66)</f>
        <v>0</v>
      </c>
      <c r="J66" s="164">
        <f t="shared" si="0"/>
        <v>0</v>
      </c>
      <c r="K66" s="164">
        <f t="shared" si="2"/>
        <v>0</v>
      </c>
      <c r="L66" s="164"/>
    </row>
    <row r="67" spans="1:14" x14ac:dyDescent="0.2">
      <c r="A67" s="155">
        <v>42125</v>
      </c>
      <c r="B67" s="164">
        <f>$L67*('RD Feedstock Use'!B67/'RD Feedstock Use'!$L67)</f>
        <v>0</v>
      </c>
      <c r="C67" s="164">
        <f>$L67*('RD Feedstock Use'!C67/'RD Feedstock Use'!$L67)</f>
        <v>0</v>
      </c>
      <c r="D67" s="164">
        <f>'[4]Distillers'' Corn Oil Complex'!$W158</f>
        <v>0</v>
      </c>
      <c r="E67" s="164">
        <f>$L67*('RD Feedstock Use'!E67/'RD Feedstock Use'!$L67)</f>
        <v>0</v>
      </c>
      <c r="F67" s="164">
        <f>$L67*('RD Feedstock Use'!F67/'RD Feedstock Use'!$L67)</f>
        <v>0</v>
      </c>
      <c r="G67" s="164">
        <f>$L67*('RD Feedstock Use'!G67/'RD Feedstock Use'!$L67)</f>
        <v>0</v>
      </c>
      <c r="H67" s="164">
        <f>$L67*('RD Feedstock Use'!H67/'RD Feedstock Use'!$L67)</f>
        <v>0</v>
      </c>
      <c r="I67" s="164">
        <f>$L67*('RD Feedstock Use'!I67/'RD Feedstock Use'!$L67)</f>
        <v>0</v>
      </c>
      <c r="J67" s="164">
        <f t="shared" ref="J67:J130" si="3">SUM(B67:C67)</f>
        <v>0</v>
      </c>
      <c r="K67" s="164">
        <f t="shared" si="2"/>
        <v>0</v>
      </c>
      <c r="L67" s="164"/>
    </row>
    <row r="68" spans="1:14" x14ac:dyDescent="0.2">
      <c r="A68" s="155">
        <v>42156</v>
      </c>
      <c r="B68" s="164">
        <f>$L68*('RD Feedstock Use'!B68/'RD Feedstock Use'!$L68)</f>
        <v>0</v>
      </c>
      <c r="C68" s="164">
        <f>$L68*('RD Feedstock Use'!C68/'RD Feedstock Use'!$L68)</f>
        <v>0</v>
      </c>
      <c r="D68" s="164">
        <f>'[4]Distillers'' Corn Oil Complex'!$W159</f>
        <v>0</v>
      </c>
      <c r="E68" s="164">
        <f>$L68*('RD Feedstock Use'!E68/'RD Feedstock Use'!$L68)</f>
        <v>0</v>
      </c>
      <c r="F68" s="164">
        <f>$L68*('RD Feedstock Use'!F68/'RD Feedstock Use'!$L68)</f>
        <v>0</v>
      </c>
      <c r="G68" s="164">
        <f>$L68*('RD Feedstock Use'!G68/'RD Feedstock Use'!$L68)</f>
        <v>0</v>
      </c>
      <c r="H68" s="164">
        <f>$L68*('RD Feedstock Use'!H68/'RD Feedstock Use'!$L68)</f>
        <v>0</v>
      </c>
      <c r="I68" s="164">
        <f>$L68*('RD Feedstock Use'!I68/'RD Feedstock Use'!$L68)</f>
        <v>0</v>
      </c>
      <c r="J68" s="164">
        <f t="shared" si="3"/>
        <v>0</v>
      </c>
      <c r="K68" s="164">
        <f t="shared" si="2"/>
        <v>0</v>
      </c>
      <c r="L68" s="164"/>
    </row>
    <row r="69" spans="1:14" x14ac:dyDescent="0.2">
      <c r="A69" s="155">
        <v>42186</v>
      </c>
      <c r="B69" s="164">
        <f>$L69*('RD Feedstock Use'!B69/'RD Feedstock Use'!$L69)</f>
        <v>0</v>
      </c>
      <c r="C69" s="164">
        <f>$L69*('RD Feedstock Use'!C69/'RD Feedstock Use'!$L69)</f>
        <v>0</v>
      </c>
      <c r="D69" s="164">
        <f>'[4]Distillers'' Corn Oil Complex'!$W160</f>
        <v>0</v>
      </c>
      <c r="E69" s="164">
        <f>$L69*('RD Feedstock Use'!E69/'RD Feedstock Use'!$L69)</f>
        <v>0</v>
      </c>
      <c r="F69" s="164">
        <f>$L69*('RD Feedstock Use'!F69/'RD Feedstock Use'!$L69)</f>
        <v>0</v>
      </c>
      <c r="G69" s="164">
        <f>$L69*('RD Feedstock Use'!G69/'RD Feedstock Use'!$L69)</f>
        <v>0</v>
      </c>
      <c r="H69" s="164">
        <f>$L69*('RD Feedstock Use'!H69/'RD Feedstock Use'!$L69)</f>
        <v>0</v>
      </c>
      <c r="I69" s="164">
        <f>$L69*('RD Feedstock Use'!I69/'RD Feedstock Use'!$L69)</f>
        <v>0</v>
      </c>
      <c r="J69" s="164">
        <f t="shared" si="3"/>
        <v>0</v>
      </c>
      <c r="K69" s="164">
        <f t="shared" si="2"/>
        <v>0</v>
      </c>
      <c r="L69" s="164"/>
    </row>
    <row r="70" spans="1:14" x14ac:dyDescent="0.2">
      <c r="A70" s="155">
        <v>42217</v>
      </c>
      <c r="B70" s="164">
        <f>$L70*('RD Feedstock Use'!B70/'RD Feedstock Use'!$L70)</f>
        <v>0</v>
      </c>
      <c r="C70" s="164">
        <f>$L70*('RD Feedstock Use'!C70/'RD Feedstock Use'!$L70)</f>
        <v>0</v>
      </c>
      <c r="D70" s="164">
        <f>'[4]Distillers'' Corn Oil Complex'!$W161</f>
        <v>0</v>
      </c>
      <c r="E70" s="164">
        <f>$L70*('RD Feedstock Use'!E70/'RD Feedstock Use'!$L70)</f>
        <v>0</v>
      </c>
      <c r="F70" s="164">
        <f>$L70*('RD Feedstock Use'!F70/'RD Feedstock Use'!$L70)</f>
        <v>0</v>
      </c>
      <c r="G70" s="164">
        <f>$L70*('RD Feedstock Use'!G70/'RD Feedstock Use'!$L70)</f>
        <v>0</v>
      </c>
      <c r="H70" s="164">
        <f>$L70*('RD Feedstock Use'!H70/'RD Feedstock Use'!$L70)</f>
        <v>0</v>
      </c>
      <c r="I70" s="164">
        <f>$L70*('RD Feedstock Use'!I70/'RD Feedstock Use'!$L70)</f>
        <v>0</v>
      </c>
      <c r="J70" s="164">
        <f t="shared" si="3"/>
        <v>0</v>
      </c>
      <c r="K70" s="164">
        <f t="shared" si="2"/>
        <v>0</v>
      </c>
      <c r="L70" s="164"/>
    </row>
    <row r="71" spans="1:14" x14ac:dyDescent="0.2">
      <c r="A71" s="155">
        <v>42248</v>
      </c>
      <c r="B71" s="164">
        <f>$L71*('RD Feedstock Use'!B71/'RD Feedstock Use'!$L71)</f>
        <v>0</v>
      </c>
      <c r="C71" s="164">
        <f>$L71*('RD Feedstock Use'!C71/'RD Feedstock Use'!$L71)</f>
        <v>0</v>
      </c>
      <c r="D71" s="164">
        <f>'[4]Distillers'' Corn Oil Complex'!$W162</f>
        <v>0</v>
      </c>
      <c r="E71" s="164">
        <f>$L71*('RD Feedstock Use'!E71/'RD Feedstock Use'!$L71)</f>
        <v>0</v>
      </c>
      <c r="F71" s="164">
        <f>$L71*('RD Feedstock Use'!F71/'RD Feedstock Use'!$L71)</f>
        <v>0</v>
      </c>
      <c r="G71" s="164">
        <f>$L71*('RD Feedstock Use'!G71/'RD Feedstock Use'!$L71)</f>
        <v>0</v>
      </c>
      <c r="H71" s="164">
        <f>$L71*('RD Feedstock Use'!H71/'RD Feedstock Use'!$L71)</f>
        <v>0</v>
      </c>
      <c r="I71" s="164">
        <f>$L71*('RD Feedstock Use'!I71/'RD Feedstock Use'!$L71)</f>
        <v>0</v>
      </c>
      <c r="J71" s="164">
        <f t="shared" si="3"/>
        <v>0</v>
      </c>
      <c r="K71" s="164">
        <f t="shared" si="2"/>
        <v>0</v>
      </c>
      <c r="L71" s="164"/>
    </row>
    <row r="72" spans="1:14" x14ac:dyDescent="0.2">
      <c r="A72" s="155">
        <v>42278</v>
      </c>
      <c r="B72" s="164">
        <f>$L72*('RD Feedstock Use'!B72/'RD Feedstock Use'!$L72)</f>
        <v>0</v>
      </c>
      <c r="C72" s="164">
        <f>$L72*('RD Feedstock Use'!C72/'RD Feedstock Use'!$L72)</f>
        <v>0</v>
      </c>
      <c r="D72" s="164">
        <f>'[4]Distillers'' Corn Oil Complex'!$X151</f>
        <v>0</v>
      </c>
      <c r="E72" s="164">
        <f>$L72*('RD Feedstock Use'!E72/'RD Feedstock Use'!$L72)</f>
        <v>0</v>
      </c>
      <c r="F72" s="164">
        <f>$L72*('RD Feedstock Use'!F72/'RD Feedstock Use'!$L72)</f>
        <v>0</v>
      </c>
      <c r="G72" s="164">
        <f>$L72*('RD Feedstock Use'!G72/'RD Feedstock Use'!$L72)</f>
        <v>0</v>
      </c>
      <c r="H72" s="164">
        <f>$L72*('RD Feedstock Use'!H72/'RD Feedstock Use'!$L72)</f>
        <v>0</v>
      </c>
      <c r="I72" s="164">
        <f>$L72*('RD Feedstock Use'!I72/'RD Feedstock Use'!$L72)</f>
        <v>0</v>
      </c>
      <c r="J72" s="164">
        <f t="shared" si="3"/>
        <v>0</v>
      </c>
      <c r="K72" s="164">
        <f t="shared" si="2"/>
        <v>0</v>
      </c>
      <c r="L72" s="164"/>
    </row>
    <row r="73" spans="1:14" x14ac:dyDescent="0.2">
      <c r="A73" s="155">
        <v>42309</v>
      </c>
      <c r="B73" s="164">
        <f>$L73*('RD Feedstock Use'!B73/'RD Feedstock Use'!$L73)</f>
        <v>0</v>
      </c>
      <c r="C73" s="164">
        <f>$L73*('RD Feedstock Use'!C73/'RD Feedstock Use'!$L73)</f>
        <v>0</v>
      </c>
      <c r="D73" s="164">
        <f>'[4]Distillers'' Corn Oil Complex'!$X152</f>
        <v>0</v>
      </c>
      <c r="E73" s="164">
        <f>$L73*('RD Feedstock Use'!E73/'RD Feedstock Use'!$L73)</f>
        <v>0</v>
      </c>
      <c r="F73" s="164">
        <f>$L73*('RD Feedstock Use'!F73/'RD Feedstock Use'!$L73)</f>
        <v>0</v>
      </c>
      <c r="G73" s="164">
        <f>$L73*('RD Feedstock Use'!G73/'RD Feedstock Use'!$L73)</f>
        <v>0</v>
      </c>
      <c r="H73" s="164">
        <f>$L73*('RD Feedstock Use'!H73/'RD Feedstock Use'!$L73)</f>
        <v>0</v>
      </c>
      <c r="I73" s="164">
        <f>$L73*('RD Feedstock Use'!I73/'RD Feedstock Use'!$L73)</f>
        <v>0</v>
      </c>
      <c r="J73" s="164">
        <f t="shared" si="3"/>
        <v>0</v>
      </c>
      <c r="K73" s="164">
        <f t="shared" si="2"/>
        <v>0</v>
      </c>
      <c r="L73" s="164"/>
    </row>
    <row r="74" spans="1:14" x14ac:dyDescent="0.2">
      <c r="A74" s="155">
        <v>42339</v>
      </c>
      <c r="B74" s="164">
        <f>$L74*('RD Feedstock Use'!B74/'RD Feedstock Use'!$L74)</f>
        <v>0</v>
      </c>
      <c r="C74" s="164">
        <f>$L74*('RD Feedstock Use'!C74/'RD Feedstock Use'!$L74)</f>
        <v>0</v>
      </c>
      <c r="D74" s="164">
        <f>'[4]Distillers'' Corn Oil Complex'!$X153</f>
        <v>0</v>
      </c>
      <c r="E74" s="164">
        <f>$L74*('RD Feedstock Use'!E74/'RD Feedstock Use'!$L74)</f>
        <v>0</v>
      </c>
      <c r="F74" s="164">
        <f>$L74*('RD Feedstock Use'!F74/'RD Feedstock Use'!$L74)</f>
        <v>0</v>
      </c>
      <c r="G74" s="164">
        <f>$L74*('RD Feedstock Use'!G74/'RD Feedstock Use'!$L74)</f>
        <v>0</v>
      </c>
      <c r="H74" s="164">
        <f>$L74*('RD Feedstock Use'!H74/'RD Feedstock Use'!$L74)</f>
        <v>0</v>
      </c>
      <c r="I74" s="164">
        <f>$L74*('RD Feedstock Use'!I74/'RD Feedstock Use'!$L74)</f>
        <v>0</v>
      </c>
      <c r="J74" s="164">
        <f t="shared" si="3"/>
        <v>0</v>
      </c>
      <c r="K74" s="164">
        <f t="shared" si="2"/>
        <v>0</v>
      </c>
      <c r="L74" s="164"/>
    </row>
    <row r="75" spans="1:14" x14ac:dyDescent="0.2">
      <c r="A75" s="155">
        <v>42370</v>
      </c>
      <c r="B75" s="164">
        <f>$L75*('RD Feedstock Use'!B75/'RD Feedstock Use'!$L75)</f>
        <v>0</v>
      </c>
      <c r="C75" s="164">
        <f>$L75*('RD Feedstock Use'!C75/'RD Feedstock Use'!$L75)</f>
        <v>0</v>
      </c>
      <c r="D75" s="164">
        <f>'[4]Distillers'' Corn Oil Complex'!$X154</f>
        <v>0</v>
      </c>
      <c r="E75" s="164">
        <f>$L75*('RD Feedstock Use'!E75/'RD Feedstock Use'!$L75)</f>
        <v>0</v>
      </c>
      <c r="F75" s="164">
        <f>$L75*('RD Feedstock Use'!F75/'RD Feedstock Use'!$L75)</f>
        <v>0</v>
      </c>
      <c r="G75" s="164">
        <f>$L75*('RD Feedstock Use'!G75/'RD Feedstock Use'!$L75)</f>
        <v>0</v>
      </c>
      <c r="H75" s="164">
        <f>$L75*('RD Feedstock Use'!H75/'RD Feedstock Use'!$L75)</f>
        <v>0</v>
      </c>
      <c r="I75" s="164">
        <f>$L75*('RD Feedstock Use'!I75/'RD Feedstock Use'!$L75)</f>
        <v>0</v>
      </c>
      <c r="J75" s="164">
        <f t="shared" si="3"/>
        <v>0</v>
      </c>
      <c r="K75" s="164">
        <f t="shared" si="2"/>
        <v>0</v>
      </c>
      <c r="L75" s="164"/>
      <c r="M75" s="165">
        <f>[5]SAF!$H19/1000000</f>
        <v>0</v>
      </c>
      <c r="N75" s="166"/>
    </row>
    <row r="76" spans="1:14" x14ac:dyDescent="0.2">
      <c r="A76" s="155">
        <v>42401</v>
      </c>
      <c r="B76" s="164">
        <f>$L76*('RD Feedstock Use'!B76/'RD Feedstock Use'!$L76)</f>
        <v>0</v>
      </c>
      <c r="C76" s="164">
        <f>$L76*('RD Feedstock Use'!C76/'RD Feedstock Use'!$L76)</f>
        <v>0</v>
      </c>
      <c r="D76" s="164">
        <f>'[4]Distillers'' Corn Oil Complex'!$X155</f>
        <v>0</v>
      </c>
      <c r="E76" s="164">
        <f>$L76*('RD Feedstock Use'!E76/'RD Feedstock Use'!$L76)</f>
        <v>0</v>
      </c>
      <c r="F76" s="164">
        <f>$L76*('RD Feedstock Use'!F76/'RD Feedstock Use'!$L76)</f>
        <v>0</v>
      </c>
      <c r="G76" s="164">
        <f>$L76*('RD Feedstock Use'!G76/'RD Feedstock Use'!$L76)</f>
        <v>0</v>
      </c>
      <c r="H76" s="164">
        <f>$L76*('RD Feedstock Use'!H76/'RD Feedstock Use'!$L76)</f>
        <v>0</v>
      </c>
      <c r="I76" s="164">
        <f>$L76*('RD Feedstock Use'!I76/'RD Feedstock Use'!$L76)</f>
        <v>0</v>
      </c>
      <c r="J76" s="164">
        <f t="shared" si="3"/>
        <v>0</v>
      </c>
      <c r="K76" s="164">
        <f t="shared" si="2"/>
        <v>0</v>
      </c>
      <c r="L76" s="164"/>
      <c r="M76" s="165">
        <f>[5]SAF!$H20/1000000</f>
        <v>0</v>
      </c>
      <c r="N76" s="166"/>
    </row>
    <row r="77" spans="1:14" x14ac:dyDescent="0.2">
      <c r="A77" s="155">
        <v>42430</v>
      </c>
      <c r="B77" s="164">
        <f>$L77*('RD Feedstock Use'!B77/'RD Feedstock Use'!$L77)</f>
        <v>0</v>
      </c>
      <c r="C77" s="164">
        <f>$L77*('RD Feedstock Use'!C77/'RD Feedstock Use'!$L77)</f>
        <v>0</v>
      </c>
      <c r="D77" s="164">
        <f>'[4]Distillers'' Corn Oil Complex'!$X156</f>
        <v>0</v>
      </c>
      <c r="E77" s="164">
        <f>$L77*('RD Feedstock Use'!E77/'RD Feedstock Use'!$L77)</f>
        <v>0</v>
      </c>
      <c r="F77" s="164">
        <f>$L77*('RD Feedstock Use'!F77/'RD Feedstock Use'!$L77)</f>
        <v>0</v>
      </c>
      <c r="G77" s="164">
        <f>$L77*('RD Feedstock Use'!G77/'RD Feedstock Use'!$L77)</f>
        <v>0</v>
      </c>
      <c r="H77" s="164">
        <f>$L77*('RD Feedstock Use'!H77/'RD Feedstock Use'!$L77)</f>
        <v>0</v>
      </c>
      <c r="I77" s="164">
        <f>$L77*('RD Feedstock Use'!I77/'RD Feedstock Use'!$L77)</f>
        <v>0</v>
      </c>
      <c r="J77" s="164">
        <f t="shared" si="3"/>
        <v>0</v>
      </c>
      <c r="K77" s="164">
        <f t="shared" si="2"/>
        <v>0</v>
      </c>
      <c r="L77" s="164"/>
      <c r="M77" s="165">
        <f>[5]SAF!$H21/1000000</f>
        <v>0</v>
      </c>
      <c r="N77" s="166"/>
    </row>
    <row r="78" spans="1:14" x14ac:dyDescent="0.2">
      <c r="A78" s="155">
        <v>42461</v>
      </c>
      <c r="B78" s="164">
        <f>$L78*('RD Feedstock Use'!B78/'RD Feedstock Use'!$L78)</f>
        <v>0</v>
      </c>
      <c r="C78" s="164">
        <f>$L78*('RD Feedstock Use'!C78/'RD Feedstock Use'!$L78)</f>
        <v>0</v>
      </c>
      <c r="D78" s="164">
        <f>'[4]Distillers'' Corn Oil Complex'!$X157</f>
        <v>0</v>
      </c>
      <c r="E78" s="164">
        <f>$L78*('RD Feedstock Use'!E78/'RD Feedstock Use'!$L78)</f>
        <v>0</v>
      </c>
      <c r="F78" s="164">
        <f>$L78*('RD Feedstock Use'!F78/'RD Feedstock Use'!$L78)</f>
        <v>0</v>
      </c>
      <c r="G78" s="164">
        <f>$L78*('RD Feedstock Use'!G78/'RD Feedstock Use'!$L78)</f>
        <v>0</v>
      </c>
      <c r="H78" s="164">
        <f>$L78*('RD Feedstock Use'!H78/'RD Feedstock Use'!$L78)</f>
        <v>0</v>
      </c>
      <c r="I78" s="164">
        <f>$L78*('RD Feedstock Use'!I78/'RD Feedstock Use'!$L78)</f>
        <v>0</v>
      </c>
      <c r="J78" s="164">
        <f t="shared" si="3"/>
        <v>0</v>
      </c>
      <c r="K78" s="164">
        <f t="shared" si="2"/>
        <v>0</v>
      </c>
      <c r="L78" s="164"/>
      <c r="M78" s="165">
        <f>[5]SAF!$H22/1000000</f>
        <v>0</v>
      </c>
      <c r="N78" s="166"/>
    </row>
    <row r="79" spans="1:14" x14ac:dyDescent="0.2">
      <c r="A79" s="155">
        <v>42491</v>
      </c>
      <c r="B79" s="164">
        <f>$L79*('RD Feedstock Use'!B79/'RD Feedstock Use'!$L79)</f>
        <v>0</v>
      </c>
      <c r="C79" s="164">
        <f>$L79*('RD Feedstock Use'!C79/'RD Feedstock Use'!$L79)</f>
        <v>0</v>
      </c>
      <c r="D79" s="164">
        <f>'[4]Distillers'' Corn Oil Complex'!$X158</f>
        <v>0</v>
      </c>
      <c r="E79" s="164">
        <f>$L79*('RD Feedstock Use'!E79/'RD Feedstock Use'!$L79)</f>
        <v>0</v>
      </c>
      <c r="F79" s="164">
        <f>$L79*('RD Feedstock Use'!F79/'RD Feedstock Use'!$L79)</f>
        <v>0</v>
      </c>
      <c r="G79" s="164">
        <f>$L79*('RD Feedstock Use'!G79/'RD Feedstock Use'!$L79)</f>
        <v>0</v>
      </c>
      <c r="H79" s="164">
        <f>$L79*('RD Feedstock Use'!H79/'RD Feedstock Use'!$L79)</f>
        <v>0</v>
      </c>
      <c r="I79" s="164">
        <f>$L79*('RD Feedstock Use'!I79/'RD Feedstock Use'!$L79)</f>
        <v>0</v>
      </c>
      <c r="J79" s="164">
        <f t="shared" si="3"/>
        <v>0</v>
      </c>
      <c r="K79" s="164">
        <f t="shared" si="2"/>
        <v>0</v>
      </c>
      <c r="L79" s="164"/>
      <c r="M79" s="165">
        <f>[5]SAF!$H23/1000000</f>
        <v>0</v>
      </c>
      <c r="N79" s="166"/>
    </row>
    <row r="80" spans="1:14" x14ac:dyDescent="0.2">
      <c r="A80" s="155">
        <v>42522</v>
      </c>
      <c r="B80" s="164">
        <f>$L80*('RD Feedstock Use'!B80/'RD Feedstock Use'!$L80)</f>
        <v>0</v>
      </c>
      <c r="C80" s="164">
        <f>$L80*('RD Feedstock Use'!C80/'RD Feedstock Use'!$L80)</f>
        <v>0</v>
      </c>
      <c r="D80" s="164">
        <f>'[4]Distillers'' Corn Oil Complex'!$X159</f>
        <v>0</v>
      </c>
      <c r="E80" s="164">
        <f>$L80*('RD Feedstock Use'!E80/'RD Feedstock Use'!$L80)</f>
        <v>0</v>
      </c>
      <c r="F80" s="164">
        <f>$L80*('RD Feedstock Use'!F80/'RD Feedstock Use'!$L80)</f>
        <v>0</v>
      </c>
      <c r="G80" s="164">
        <f>$L80*('RD Feedstock Use'!G80/'RD Feedstock Use'!$L80)</f>
        <v>0</v>
      </c>
      <c r="H80" s="164">
        <f>$L80*('RD Feedstock Use'!H80/'RD Feedstock Use'!$L80)</f>
        <v>0</v>
      </c>
      <c r="I80" s="164">
        <f>$L80*('RD Feedstock Use'!I80/'RD Feedstock Use'!$L80)</f>
        <v>0</v>
      </c>
      <c r="J80" s="164">
        <f t="shared" si="3"/>
        <v>0</v>
      </c>
      <c r="K80" s="164">
        <f t="shared" si="2"/>
        <v>0</v>
      </c>
      <c r="L80" s="164"/>
      <c r="M80" s="165">
        <f>[5]SAF!$H24/1000000</f>
        <v>0</v>
      </c>
      <c r="N80" s="166"/>
    </row>
    <row r="81" spans="1:14" x14ac:dyDescent="0.2">
      <c r="A81" s="155">
        <v>42552</v>
      </c>
      <c r="B81" s="164">
        <f>$L81*('RD Feedstock Use'!B81/'RD Feedstock Use'!$L81)</f>
        <v>0</v>
      </c>
      <c r="C81" s="164">
        <f>$L81*('RD Feedstock Use'!C81/'RD Feedstock Use'!$L81)</f>
        <v>0</v>
      </c>
      <c r="D81" s="164">
        <f>'[4]Distillers'' Corn Oil Complex'!$X160</f>
        <v>0</v>
      </c>
      <c r="E81" s="164">
        <f>$L81*('RD Feedstock Use'!E81/'RD Feedstock Use'!$L81)</f>
        <v>0</v>
      </c>
      <c r="F81" s="164">
        <f>$L81*('RD Feedstock Use'!F81/'RD Feedstock Use'!$L81)</f>
        <v>0</v>
      </c>
      <c r="G81" s="164">
        <f>$L81*('RD Feedstock Use'!G81/'RD Feedstock Use'!$L81)</f>
        <v>0</v>
      </c>
      <c r="H81" s="164">
        <f>$L81*('RD Feedstock Use'!H81/'RD Feedstock Use'!$L81)</f>
        <v>0</v>
      </c>
      <c r="I81" s="164">
        <f>$L81*('RD Feedstock Use'!I81/'RD Feedstock Use'!$L81)</f>
        <v>0</v>
      </c>
      <c r="J81" s="164">
        <f t="shared" si="3"/>
        <v>0</v>
      </c>
      <c r="K81" s="164">
        <f t="shared" si="2"/>
        <v>0</v>
      </c>
      <c r="L81" s="164"/>
      <c r="M81" s="165">
        <f>[5]SAF!$H25/1000000</f>
        <v>0</v>
      </c>
      <c r="N81" s="166"/>
    </row>
    <row r="82" spans="1:14" x14ac:dyDescent="0.2">
      <c r="A82" s="155">
        <v>42583</v>
      </c>
      <c r="B82" s="164">
        <f>$L82*('RD Feedstock Use'!B82/'RD Feedstock Use'!$L82)</f>
        <v>0</v>
      </c>
      <c r="C82" s="164">
        <f>$L82*('RD Feedstock Use'!C82/'RD Feedstock Use'!$L82)</f>
        <v>0</v>
      </c>
      <c r="D82" s="164">
        <f>'[4]Distillers'' Corn Oil Complex'!$X161</f>
        <v>0</v>
      </c>
      <c r="E82" s="164">
        <f>$L82*('RD Feedstock Use'!E82/'RD Feedstock Use'!$L82)</f>
        <v>0</v>
      </c>
      <c r="F82" s="164">
        <f>$L82*('RD Feedstock Use'!F82/'RD Feedstock Use'!$L82)</f>
        <v>0</v>
      </c>
      <c r="G82" s="164">
        <f>$L82*('RD Feedstock Use'!G82/'RD Feedstock Use'!$L82)</f>
        <v>0</v>
      </c>
      <c r="H82" s="164">
        <f>$L82*('RD Feedstock Use'!H82/'RD Feedstock Use'!$L82)</f>
        <v>0</v>
      </c>
      <c r="I82" s="164">
        <f>$L82*('RD Feedstock Use'!I82/'RD Feedstock Use'!$L82)</f>
        <v>0</v>
      </c>
      <c r="J82" s="164">
        <f t="shared" si="3"/>
        <v>0</v>
      </c>
      <c r="K82" s="164">
        <f t="shared" si="2"/>
        <v>0</v>
      </c>
      <c r="L82" s="164"/>
      <c r="M82" s="165">
        <f>[5]SAF!$H26/1000000</f>
        <v>0</v>
      </c>
      <c r="N82" s="166"/>
    </row>
    <row r="83" spans="1:14" x14ac:dyDescent="0.2">
      <c r="A83" s="155">
        <v>42614</v>
      </c>
      <c r="B83" s="164">
        <f>$L83*('RD Feedstock Use'!B83/'RD Feedstock Use'!$L83)</f>
        <v>0.59751113097966113</v>
      </c>
      <c r="C83" s="164">
        <f>$L83*('RD Feedstock Use'!C83/'RD Feedstock Use'!$L83)</f>
        <v>0</v>
      </c>
      <c r="D83" s="164">
        <f>'[4]Distillers'' Corn Oil Complex'!$X162</f>
        <v>0</v>
      </c>
      <c r="E83" s="164">
        <f>$L83*('RD Feedstock Use'!E83/'RD Feedstock Use'!$L83)</f>
        <v>0</v>
      </c>
      <c r="F83" s="164">
        <f>$L83*('RD Feedstock Use'!F83/'RD Feedstock Use'!$L83)</f>
        <v>9.1349073100134737E-2</v>
      </c>
      <c r="G83" s="164">
        <f>$L83*('RD Feedstock Use'!G83/'RD Feedstock Use'!$L83)</f>
        <v>0.61154872351150225</v>
      </c>
      <c r="H83" s="164">
        <f>$L83*('RD Feedstock Use'!H83/'RD Feedstock Use'!$L83)</f>
        <v>0.13817111640669194</v>
      </c>
      <c r="I83" s="164">
        <f>$L83*('RD Feedstock Use'!I83/'RD Feedstock Use'!$L83)</f>
        <v>0.25540264956581871</v>
      </c>
      <c r="J83" s="164">
        <f t="shared" si="3"/>
        <v>0.59751113097966113</v>
      </c>
      <c r="K83" s="164">
        <f t="shared" si="2"/>
        <v>1.0964715625841475</v>
      </c>
      <c r="L83" s="164">
        <v>1.6939826935638087</v>
      </c>
      <c r="M83" s="165">
        <f>[5]SAF!$H27/1000000</f>
        <v>0.23079</v>
      </c>
      <c r="N83" s="166">
        <f>AVERAGE(N107,N119,N131,N143,N154)</f>
        <v>7.33993107831279</v>
      </c>
    </row>
    <row r="84" spans="1:14" x14ac:dyDescent="0.2">
      <c r="A84" s="155">
        <v>42644</v>
      </c>
      <c r="B84" s="164">
        <f>$L84*('RD Feedstock Use'!B84/'RD Feedstock Use'!$L84)</f>
        <v>0.46482843885060909</v>
      </c>
      <c r="C84" s="164">
        <f>$L84*('RD Feedstock Use'!C84/'RD Feedstock Use'!$L84)</f>
        <v>0</v>
      </c>
      <c r="D84" s="164">
        <f>'[4]Distillers'' Corn Oil Complex'!$Y151</f>
        <v>0</v>
      </c>
      <c r="E84" s="164">
        <f>$L84*('RD Feedstock Use'!E84/'RD Feedstock Use'!$L84)</f>
        <v>0</v>
      </c>
      <c r="F84" s="164">
        <f>$L84*('RD Feedstock Use'!F84/'RD Feedstock Use'!$L84)</f>
        <v>7.5524713465320456E-2</v>
      </c>
      <c r="G84" s="164">
        <f>$L84*('RD Feedstock Use'!G84/'RD Feedstock Use'!$L84)</f>
        <v>0.50561040792017165</v>
      </c>
      <c r="H84" s="164">
        <f>$L84*('RD Feedstock Use'!H84/'RD Feedstock Use'!$L84)</f>
        <v>0.11423579486526238</v>
      </c>
      <c r="I84" s="164">
        <f>$L84*('RD Feedstock Use'!I84/'RD Feedstock Use'!$L84)</f>
        <v>0.21115936125151183</v>
      </c>
      <c r="J84" s="164">
        <f t="shared" si="3"/>
        <v>0.46482843885060909</v>
      </c>
      <c r="K84" s="164">
        <f t="shared" si="2"/>
        <v>0.90653027750226622</v>
      </c>
      <c r="L84" s="164">
        <v>1.3713587163528753</v>
      </c>
      <c r="M84" s="165">
        <f>[5]SAF!$H28/1000000</f>
        <v>0.181093</v>
      </c>
      <c r="N84" s="166">
        <f t="shared" ref="N84:N98" si="4">AVERAGE(N108,N120,N132,N144,N155)</f>
        <v>7.5726765604019777</v>
      </c>
    </row>
    <row r="85" spans="1:14" x14ac:dyDescent="0.2">
      <c r="A85" s="155">
        <v>42675</v>
      </c>
      <c r="B85" s="164">
        <f>$L85*('RD Feedstock Use'!B85/'RD Feedstock Use'!$L85)</f>
        <v>0.47374004613455029</v>
      </c>
      <c r="C85" s="164">
        <f>$L85*('RD Feedstock Use'!C85/'RD Feedstock Use'!$L85)</f>
        <v>0</v>
      </c>
      <c r="D85" s="164">
        <f>'[4]Distillers'' Corn Oil Complex'!$Y152</f>
        <v>0</v>
      </c>
      <c r="E85" s="164">
        <f>$L85*('RD Feedstock Use'!E85/'RD Feedstock Use'!$L85)</f>
        <v>0</v>
      </c>
      <c r="F85" s="164">
        <f>$L85*('RD Feedstock Use'!F85/'RD Feedstock Use'!$L85)</f>
        <v>7.929023440012109E-2</v>
      </c>
      <c r="G85" s="164">
        <f>$L85*('RD Feedstock Use'!G85/'RD Feedstock Use'!$L85)</f>
        <v>0.53081919705050995</v>
      </c>
      <c r="H85" s="164">
        <f>$L85*('RD Feedstock Use'!H85/'RD Feedstock Use'!$L85)</f>
        <v>0.11993137790466382</v>
      </c>
      <c r="I85" s="164">
        <f>$L85*('RD Feedstock Use'!I85/'RD Feedstock Use'!$L85)</f>
        <v>0.22168737200307601</v>
      </c>
      <c r="J85" s="164">
        <f t="shared" si="3"/>
        <v>0.47374004613455029</v>
      </c>
      <c r="K85" s="164">
        <f t="shared" si="2"/>
        <v>0.95172818135837078</v>
      </c>
      <c r="L85" s="164">
        <v>1.4254682274929211</v>
      </c>
      <c r="M85" s="165">
        <f>[5]SAF!$H29/1000000</f>
        <v>0.192991</v>
      </c>
      <c r="N85" s="166">
        <f t="shared" si="4"/>
        <v>7.3861901720438841</v>
      </c>
    </row>
    <row r="86" spans="1:14" x14ac:dyDescent="0.2">
      <c r="A86" s="155">
        <v>42705</v>
      </c>
      <c r="B86" s="164">
        <f>$L86*('RD Feedstock Use'!B86/'RD Feedstock Use'!$L86)</f>
        <v>0.46230447089802534</v>
      </c>
      <c r="C86" s="164">
        <f>$L86*('RD Feedstock Use'!C86/'RD Feedstock Use'!$L86)</f>
        <v>0</v>
      </c>
      <c r="D86" s="164">
        <f>'[4]Distillers'' Corn Oil Complex'!$Y153</f>
        <v>0</v>
      </c>
      <c r="E86" s="164">
        <f>$L86*('RD Feedstock Use'!E86/'RD Feedstock Use'!$L86)</f>
        <v>0</v>
      </c>
      <c r="F86" s="164">
        <f>$L86*('RD Feedstock Use'!F86/'RD Feedstock Use'!$L86)</f>
        <v>7.1548594350206135E-2</v>
      </c>
      <c r="G86" s="164">
        <f>$L86*('RD Feedstock Use'!G86/'RD Feedstock Use'!$L86)</f>
        <v>0.47899174079136131</v>
      </c>
      <c r="H86" s="164">
        <f>$L86*('RD Feedstock Use'!H86/'RD Feedstock Use'!$L86)</f>
        <v>0.10822166906784886</v>
      </c>
      <c r="I86" s="164">
        <f>$L86*('RD Feedstock Use'!I86/'RD Feedstock Use'!$L86)</f>
        <v>0.20004253956382687</v>
      </c>
      <c r="J86" s="164">
        <f t="shared" si="3"/>
        <v>0.46230447089802534</v>
      </c>
      <c r="K86" s="164">
        <f t="shared" si="2"/>
        <v>0.85880454377324311</v>
      </c>
      <c r="L86" s="164">
        <v>1.3211090146712685</v>
      </c>
      <c r="M86" s="165">
        <f>[5]SAF!$H30/1000000</f>
        <v>0.17877199999999999</v>
      </c>
      <c r="N86" s="166">
        <f t="shared" si="4"/>
        <v>7.3899101350953647</v>
      </c>
    </row>
    <row r="87" spans="1:14" x14ac:dyDescent="0.2">
      <c r="A87" s="155">
        <v>42736</v>
      </c>
      <c r="B87" s="164">
        <f>$L87*('RD Feedstock Use'!B87/'RD Feedstock Use'!$L87)</f>
        <v>0.56828105634869963</v>
      </c>
      <c r="C87" s="164">
        <f>$L87*('RD Feedstock Use'!C87/'RD Feedstock Use'!$L87)</f>
        <v>0</v>
      </c>
      <c r="D87" s="164">
        <f>'[4]Distillers'' Corn Oil Complex'!$Y154</f>
        <v>0</v>
      </c>
      <c r="E87" s="164">
        <f>$L87*('RD Feedstock Use'!E87/'RD Feedstock Use'!$L87)</f>
        <v>0</v>
      </c>
      <c r="F87" s="164">
        <f>$L87*('RD Feedstock Use'!F87/'RD Feedstock Use'!$L87)</f>
        <v>8.3375937880787662E-2</v>
      </c>
      <c r="G87" s="164">
        <f>$L87*('RD Feedstock Use'!G87/'RD Feedstock Use'!$L87)</f>
        <v>0.55817149153421253</v>
      </c>
      <c r="H87" s="164">
        <f>$L87*('RD Feedstock Use'!H87/'RD Feedstock Use'!$L87)</f>
        <v>0.12611125682485375</v>
      </c>
      <c r="I87" s="164">
        <f>$L87*('RD Feedstock Use'!I87/'RD Feedstock Use'!$L87)</f>
        <v>0.23311058034979526</v>
      </c>
      <c r="J87" s="164">
        <f t="shared" si="3"/>
        <v>0.56828105634869963</v>
      </c>
      <c r="K87" s="164">
        <f t="shared" si="2"/>
        <v>1.0007692665896493</v>
      </c>
      <c r="L87" s="164">
        <v>1.5690503229383488</v>
      </c>
      <c r="M87" s="165">
        <f>[5]SAF!$I19/1000000</f>
        <v>0.21033099999999999</v>
      </c>
      <c r="N87" s="166">
        <f t="shared" si="4"/>
        <v>7.4599099654275829</v>
      </c>
    </row>
    <row r="88" spans="1:14" x14ac:dyDescent="0.2">
      <c r="A88" s="155">
        <v>42767</v>
      </c>
      <c r="B88" s="164">
        <f>$L88*('RD Feedstock Use'!B88/'RD Feedstock Use'!$L88)</f>
        <v>0.49787455695443322</v>
      </c>
      <c r="C88" s="164">
        <f>$L88*('RD Feedstock Use'!C88/'RD Feedstock Use'!$L88)</f>
        <v>0</v>
      </c>
      <c r="D88" s="164">
        <f>'[4]Distillers'' Corn Oil Complex'!$Y155</f>
        <v>0</v>
      </c>
      <c r="E88" s="164">
        <f>$L88*('RD Feedstock Use'!E88/'RD Feedstock Use'!$L88)</f>
        <v>0</v>
      </c>
      <c r="F88" s="164">
        <f>$L88*('RD Feedstock Use'!F88/'RD Feedstock Use'!$L88)</f>
        <v>7.566436111733954E-2</v>
      </c>
      <c r="G88" s="164">
        <f>$L88*('RD Feedstock Use'!G88/'RD Feedstock Use'!$L88)</f>
        <v>0.50654529801194115</v>
      </c>
      <c r="H88" s="164">
        <f>$L88*('RD Feedstock Use'!H88/'RD Feedstock Use'!$L88)</f>
        <v>0.11444702056606282</v>
      </c>
      <c r="I88" s="164">
        <f>$L88*('RD Feedstock Use'!I88/'RD Feedstock Use'!$L88)</f>
        <v>0.21154980177948765</v>
      </c>
      <c r="J88" s="164">
        <f t="shared" si="3"/>
        <v>0.49787455695443322</v>
      </c>
      <c r="K88" s="164">
        <f t="shared" si="2"/>
        <v>0.90820648147483118</v>
      </c>
      <c r="L88" s="164">
        <v>1.4060810384292644</v>
      </c>
      <c r="M88" s="165">
        <f>[5]SAF!$I20/1000000</f>
        <v>0.19062200000000001</v>
      </c>
      <c r="N88" s="166">
        <f t="shared" si="4"/>
        <v>7.3762789102478425</v>
      </c>
    </row>
    <row r="89" spans="1:14" x14ac:dyDescent="0.2">
      <c r="A89" s="155">
        <v>42795</v>
      </c>
      <c r="B89" s="164">
        <f>$L89*('RD Feedstock Use'!B89/'RD Feedstock Use'!$L89)</f>
        <v>0.47287667462649607</v>
      </c>
      <c r="C89" s="164">
        <f>$L89*('RD Feedstock Use'!C89/'RD Feedstock Use'!$L89)</f>
        <v>0</v>
      </c>
      <c r="D89" s="164">
        <f>'[4]Distillers'' Corn Oil Complex'!$Y156</f>
        <v>0</v>
      </c>
      <c r="E89" s="164">
        <f>$L89*('RD Feedstock Use'!E89/'RD Feedstock Use'!$L89)</f>
        <v>0</v>
      </c>
      <c r="F89" s="164">
        <f>$L89*('RD Feedstock Use'!F89/'RD Feedstock Use'!$L89)</f>
        <v>7.376394164115975E-2</v>
      </c>
      <c r="G89" s="164">
        <f>$L89*('RD Feedstock Use'!G89/'RD Feedstock Use'!$L89)</f>
        <v>0.49382268282437175</v>
      </c>
      <c r="H89" s="164">
        <f>$L89*('RD Feedstock Use'!H89/'RD Feedstock Use'!$L89)</f>
        <v>0.11157251870464879</v>
      </c>
      <c r="I89" s="164">
        <f>$L89*('RD Feedstock Use'!I89/'RD Feedstock Use'!$L89)</f>
        <v>0.20623642362434474</v>
      </c>
      <c r="J89" s="164">
        <f t="shared" si="3"/>
        <v>0.47287667462649607</v>
      </c>
      <c r="K89" s="164">
        <f t="shared" si="2"/>
        <v>0.88539556679452502</v>
      </c>
      <c r="L89" s="164">
        <v>1.3582722414210211</v>
      </c>
      <c r="M89" s="165">
        <f>[5]SAF!$I21/1000000</f>
        <v>0.18482499999999999</v>
      </c>
      <c r="N89" s="166">
        <f t="shared" si="4"/>
        <v>7.3489638383390838</v>
      </c>
    </row>
    <row r="90" spans="1:14" x14ac:dyDescent="0.2">
      <c r="A90" s="155">
        <v>42826</v>
      </c>
      <c r="B90" s="164">
        <f>$L90*('RD Feedstock Use'!B90/'RD Feedstock Use'!$L90)</f>
        <v>0</v>
      </c>
      <c r="C90" s="164">
        <f>$L90*('RD Feedstock Use'!C90/'RD Feedstock Use'!$L90)</f>
        <v>0</v>
      </c>
      <c r="D90" s="164">
        <f>'[4]Distillers'' Corn Oil Complex'!$Y157</f>
        <v>0</v>
      </c>
      <c r="E90" s="164">
        <f>$L90*('RD Feedstock Use'!E90/'RD Feedstock Use'!$L90)</f>
        <v>0</v>
      </c>
      <c r="F90" s="164">
        <f>$L90*('RD Feedstock Use'!F90/'RD Feedstock Use'!$L90)</f>
        <v>0</v>
      </c>
      <c r="G90" s="164">
        <f>$L90*('RD Feedstock Use'!G90/'RD Feedstock Use'!$L90)</f>
        <v>0</v>
      </c>
      <c r="H90" s="164">
        <f>$L90*('RD Feedstock Use'!H90/'RD Feedstock Use'!$L90)</f>
        <v>0</v>
      </c>
      <c r="I90" s="164">
        <f>$L90*('RD Feedstock Use'!I90/'RD Feedstock Use'!$L90)</f>
        <v>0</v>
      </c>
      <c r="J90" s="164">
        <f t="shared" si="3"/>
        <v>0</v>
      </c>
      <c r="K90" s="164">
        <f>SUM(D90:I90)</f>
        <v>0</v>
      </c>
      <c r="L90" s="164"/>
      <c r="M90" s="165">
        <f>[5]SAF!$I22/1000000</f>
        <v>0</v>
      </c>
      <c r="N90" s="166"/>
    </row>
    <row r="91" spans="1:14" x14ac:dyDescent="0.2">
      <c r="A91" s="155">
        <v>42856</v>
      </c>
      <c r="B91" s="164">
        <f>$L91*('RD Feedstock Use'!B91/'RD Feedstock Use'!$L91)</f>
        <v>0.34320703778954376</v>
      </c>
      <c r="C91" s="164">
        <f>$L91*('RD Feedstock Use'!C91/'RD Feedstock Use'!$L91)</f>
        <v>0</v>
      </c>
      <c r="D91" s="164">
        <f>'[4]Distillers'' Corn Oil Complex'!$Y158</f>
        <v>0</v>
      </c>
      <c r="E91" s="164">
        <f>$L91*('RD Feedstock Use'!E91/'RD Feedstock Use'!$L91)</f>
        <v>0</v>
      </c>
      <c r="F91" s="164">
        <f>$L91*('RD Feedstock Use'!F91/'RD Feedstock Use'!$L91)</f>
        <v>5.5333996990494683E-2</v>
      </c>
      <c r="G91" s="164">
        <f>$L91*('RD Feedstock Use'!G91/'RD Feedstock Use'!$L91)</f>
        <v>0.37044092597669082</v>
      </c>
      <c r="H91" s="164">
        <f>$L91*('RD Feedstock Use'!H91/'RD Feedstock Use'!$L91)</f>
        <v>8.3696088859492826E-2</v>
      </c>
      <c r="I91" s="164">
        <f>$L91*('RD Feedstock Use'!I91/'RD Feedstock Use'!$L91)</f>
        <v>0.15470818655103064</v>
      </c>
      <c r="J91" s="164">
        <f t="shared" si="3"/>
        <v>0.34320703778954376</v>
      </c>
      <c r="K91" s="164">
        <f t="shared" si="2"/>
        <v>0.664179198377709</v>
      </c>
      <c r="L91" s="164">
        <v>1.0073862361672528</v>
      </c>
      <c r="M91" s="165">
        <f>[5]SAF!$I23/1000000</f>
        <v>0.13448499999999999</v>
      </c>
      <c r="N91" s="166">
        <f t="shared" si="4"/>
        <v>7.490695885543019</v>
      </c>
    </row>
    <row r="92" spans="1:14" x14ac:dyDescent="0.2">
      <c r="A92" s="155">
        <v>42887</v>
      </c>
      <c r="B92" s="164">
        <f>$L92*('RD Feedstock Use'!B92/'RD Feedstock Use'!$L92)</f>
        <v>0.35677750552692217</v>
      </c>
      <c r="C92" s="164">
        <f>$L92*('RD Feedstock Use'!C92/'RD Feedstock Use'!$L92)</f>
        <v>0</v>
      </c>
      <c r="D92" s="164">
        <f>'[4]Distillers'' Corn Oil Complex'!$Y159</f>
        <v>0</v>
      </c>
      <c r="E92" s="164">
        <f>$L92*('RD Feedstock Use'!E92/'RD Feedstock Use'!$L92)</f>
        <v>0</v>
      </c>
      <c r="F92" s="164">
        <f>$L92*('RD Feedstock Use'!F92/'RD Feedstock Use'!$L92)</f>
        <v>5.0005835737948374E-2</v>
      </c>
      <c r="G92" s="164">
        <f>$L92*('RD Feedstock Use'!G92/'RD Feedstock Use'!$L92)</f>
        <v>0.33477082991467255</v>
      </c>
      <c r="H92" s="164">
        <f>$L92*('RD Feedstock Use'!H92/'RD Feedstock Use'!$L92)</f>
        <v>7.5636915803054733E-2</v>
      </c>
      <c r="I92" s="164">
        <f>$L92*('RD Feedstock Use'!I92/'RD Feedstock Use'!$L92)</f>
        <v>0.13981119356542532</v>
      </c>
      <c r="J92" s="164">
        <f t="shared" si="3"/>
        <v>0.35677750552692217</v>
      </c>
      <c r="K92" s="164">
        <f t="shared" si="2"/>
        <v>0.60022477502110094</v>
      </c>
      <c r="L92" s="164">
        <v>0.95700228054802317</v>
      </c>
      <c r="M92" s="165">
        <f>[5]SAF!$I24/1000000</f>
        <v>0.127471</v>
      </c>
      <c r="N92" s="166">
        <f t="shared" si="4"/>
        <v>7.5076078523587571</v>
      </c>
    </row>
    <row r="93" spans="1:14" x14ac:dyDescent="0.2">
      <c r="A93" s="155">
        <v>42917</v>
      </c>
      <c r="B93" s="164">
        <f>$L93*('RD Feedstock Use'!B93/'RD Feedstock Use'!$L93)</f>
        <v>0.32015191793045383</v>
      </c>
      <c r="C93" s="164">
        <f>$L93*('RD Feedstock Use'!C93/'RD Feedstock Use'!$L93)</f>
        <v>0</v>
      </c>
      <c r="D93" s="164">
        <f>'[4]Distillers'' Corn Oil Complex'!$Y160</f>
        <v>0</v>
      </c>
      <c r="E93" s="164">
        <f>$L93*('RD Feedstock Use'!E93/'RD Feedstock Use'!$L93)</f>
        <v>0</v>
      </c>
      <c r="F93" s="164">
        <f>$L93*('RD Feedstock Use'!F93/'RD Feedstock Use'!$L93)</f>
        <v>4.9368052583353444E-2</v>
      </c>
      <c r="G93" s="164">
        <f>$L93*('RD Feedstock Use'!G93/'RD Feedstock Use'!$L93)</f>
        <v>0.33050110433527757</v>
      </c>
      <c r="H93" s="164">
        <f>$L93*('RD Feedstock Use'!H93/'RD Feedstock Use'!$L93)</f>
        <v>7.4672229380903898E-2</v>
      </c>
      <c r="I93" s="164">
        <f>$L93*('RD Feedstock Use'!I93/'RD Feedstock Use'!$L93)</f>
        <v>0.13802801720682739</v>
      </c>
      <c r="J93" s="164">
        <f t="shared" si="3"/>
        <v>0.32015191793045383</v>
      </c>
      <c r="K93" s="164">
        <f t="shared" si="2"/>
        <v>0.59256940350636222</v>
      </c>
      <c r="L93" s="164">
        <v>0.91272132143681606</v>
      </c>
      <c r="M93" s="165">
        <f>[5]SAF!$I25/1000000</f>
        <v>0.120661</v>
      </c>
      <c r="N93" s="166">
        <f t="shared" si="4"/>
        <v>7.564344083314543</v>
      </c>
    </row>
    <row r="94" spans="1:14" x14ac:dyDescent="0.2">
      <c r="A94" s="155">
        <v>42948</v>
      </c>
      <c r="B94" s="164">
        <f>$L94*('RD Feedstock Use'!B94/'RD Feedstock Use'!$L94)</f>
        <v>0.463875120710184</v>
      </c>
      <c r="C94" s="164">
        <f>$L94*('RD Feedstock Use'!C94/'RD Feedstock Use'!$L94)</f>
        <v>0</v>
      </c>
      <c r="D94" s="164">
        <f>'[4]Distillers'' Corn Oil Complex'!$Y161</f>
        <v>0</v>
      </c>
      <c r="E94" s="164">
        <f>$L94*('RD Feedstock Use'!E94/'RD Feedstock Use'!$L94)</f>
        <v>0</v>
      </c>
      <c r="F94" s="164">
        <f>$L94*('RD Feedstock Use'!F94/'RD Feedstock Use'!$L94)</f>
        <v>6.9740077952888918E-2</v>
      </c>
      <c r="G94" s="164">
        <f>$L94*('RD Feedstock Use'!G94/'RD Feedstock Use'!$L94)</f>
        <v>0.46688438319380143</v>
      </c>
      <c r="H94" s="164">
        <f>$L94*('RD Feedstock Use'!H94/'RD Feedstock Use'!$L94)</f>
        <v>0.10548617629078244</v>
      </c>
      <c r="I94" s="164">
        <f>$L94*('RD Feedstock Use'!I94/'RD Feedstock Use'!$L94)</f>
        <v>0.19498611300160304</v>
      </c>
      <c r="J94" s="164">
        <f t="shared" si="3"/>
        <v>0.463875120710184</v>
      </c>
      <c r="K94" s="164">
        <f t="shared" si="2"/>
        <v>0.83709675043907583</v>
      </c>
      <c r="L94" s="164">
        <v>1.3009718711492597</v>
      </c>
      <c r="M94" s="165">
        <f>[5]SAF!$I26/1000000</f>
        <v>0.174175</v>
      </c>
      <c r="N94" s="166">
        <f t="shared" si="4"/>
        <v>7.4693375693943427</v>
      </c>
    </row>
    <row r="95" spans="1:14" x14ac:dyDescent="0.2">
      <c r="A95" s="155">
        <v>42979</v>
      </c>
      <c r="B95" s="164">
        <f>$L95*('RD Feedstock Use'!B95/'RD Feedstock Use'!$L95)</f>
        <v>0.36883020010362039</v>
      </c>
      <c r="C95" s="164">
        <f>$L95*('RD Feedstock Use'!C95/'RD Feedstock Use'!$L95)</f>
        <v>0</v>
      </c>
      <c r="D95" s="164">
        <f>'[4]Distillers'' Corn Oil Complex'!$Y162</f>
        <v>0</v>
      </c>
      <c r="E95" s="164">
        <f>$L95*('RD Feedstock Use'!E95/'RD Feedstock Use'!$L95)</f>
        <v>0</v>
      </c>
      <c r="F95" s="164">
        <f>$L95*('RD Feedstock Use'!F95/'RD Feedstock Use'!$L95)</f>
        <v>5.3464424333356964E-2</v>
      </c>
      <c r="G95" s="164">
        <f>$L95*('RD Feedstock Use'!G95/'RD Feedstock Use'!$L95)</f>
        <v>0.35792481899078543</v>
      </c>
      <c r="H95" s="164">
        <f>$L95*('RD Feedstock Use'!H95/'RD Feedstock Use'!$L95)</f>
        <v>8.086824471752789E-2</v>
      </c>
      <c r="I95" s="164">
        <f>$L95*('RD Feedstock Use'!I95/'RD Feedstock Use'!$L95)</f>
        <v>0.14948105294163583</v>
      </c>
      <c r="J95" s="164">
        <f t="shared" si="3"/>
        <v>0.36883020010362039</v>
      </c>
      <c r="K95" s="164">
        <f t="shared" si="2"/>
        <v>0.64173854098330607</v>
      </c>
      <c r="L95" s="164">
        <v>1.0105687410869264</v>
      </c>
      <c r="M95" s="165">
        <f>[5]SAF!$I27/1000000</f>
        <v>0.13795199999999999</v>
      </c>
      <c r="N95" s="166">
        <f t="shared" si="4"/>
        <v>7.3255098953761193</v>
      </c>
    </row>
    <row r="96" spans="1:14" x14ac:dyDescent="0.2">
      <c r="A96" s="155">
        <v>43009</v>
      </c>
      <c r="B96" s="164">
        <f>$L96*('RD Feedstock Use'!B96/'RD Feedstock Use'!$L96)</f>
        <v>0.41683444120699348</v>
      </c>
      <c r="C96" s="164">
        <f>$L96*('RD Feedstock Use'!C96/'RD Feedstock Use'!$L96)</f>
        <v>0</v>
      </c>
      <c r="D96" s="164">
        <f>'[4]Distillers'' Corn Oil Complex'!$Z151</f>
        <v>0.36415179127325842</v>
      </c>
      <c r="E96" s="164">
        <f>$L96*('RD Feedstock Use'!E96/'RD Feedstock Use'!$L96)</f>
        <v>0</v>
      </c>
      <c r="F96" s="164">
        <f>$L96*('RD Feedstock Use'!F96/'RD Feedstock Use'!$L96)</f>
        <v>6.4659409162351009E-2</v>
      </c>
      <c r="G96" s="164">
        <f>$L96*('RD Feedstock Use'!G96/'RD Feedstock Use'!$L96)</f>
        <v>0.43287115888847899</v>
      </c>
      <c r="H96" s="164">
        <f>$L96*('RD Feedstock Use'!H96/'RD Feedstock Use'!$L96)</f>
        <v>9.7801350872666379E-2</v>
      </c>
      <c r="I96" s="164">
        <f>$L96*('RD Feedstock Use'!I96/'RD Feedstock Use'!$L96)</f>
        <v>0.18078108358387349</v>
      </c>
      <c r="J96" s="164">
        <f t="shared" si="3"/>
        <v>0.41683444120699348</v>
      </c>
      <c r="K96" s="164">
        <f t="shared" si="2"/>
        <v>1.1402647937806283</v>
      </c>
      <c r="L96" s="164">
        <v>1.1929474437143632</v>
      </c>
      <c r="M96" s="165">
        <f>[5]SAF!$I28/1000000</f>
        <v>0.160272</v>
      </c>
      <c r="N96" s="166">
        <f t="shared" si="4"/>
        <v>7.4432679676697315</v>
      </c>
    </row>
    <row r="97" spans="1:14" x14ac:dyDescent="0.2">
      <c r="A97" s="155">
        <v>43040</v>
      </c>
      <c r="B97" s="164">
        <f>$L97*('RD Feedstock Use'!B97/'RD Feedstock Use'!$L97)</f>
        <v>0.19010980815464307</v>
      </c>
      <c r="C97" s="164">
        <f>$L97*('RD Feedstock Use'!C97/'RD Feedstock Use'!$L97)</f>
        <v>0</v>
      </c>
      <c r="D97" s="164">
        <f>'[4]Distillers'' Corn Oil Complex'!$Z152</f>
        <v>0.15667624457690726</v>
      </c>
      <c r="E97" s="164">
        <f>$L97*('RD Feedstock Use'!E97/'RD Feedstock Use'!$L97)</f>
        <v>0</v>
      </c>
      <c r="F97" s="164">
        <f>$L97*('RD Feedstock Use'!F97/'RD Feedstock Use'!$L97)</f>
        <v>2.6522724200362304E-2</v>
      </c>
      <c r="G97" s="164">
        <f>$L97*('RD Feedstock Use'!G97/'RD Feedstock Use'!$L97)</f>
        <v>0.17755996397466758</v>
      </c>
      <c r="H97" s="164">
        <f>$L97*('RD Feedstock Use'!H97/'RD Feedstock Use'!$L97)</f>
        <v>4.0117258868009695E-2</v>
      </c>
      <c r="I97" s="164">
        <f>$L97*('RD Feedstock Use'!I97/'RD Feedstock Use'!$L97)</f>
        <v>7.4154819579291403E-2</v>
      </c>
      <c r="J97" s="164">
        <f t="shared" si="3"/>
        <v>0.19010980815464307</v>
      </c>
      <c r="K97" s="164">
        <f t="shared" si="2"/>
        <v>0.4750310111992383</v>
      </c>
      <c r="L97" s="164">
        <v>0.50846457477697404</v>
      </c>
      <c r="M97" s="165">
        <f>[5]SAF!$I29/1000000</f>
        <v>6.8957000000000004E-2</v>
      </c>
      <c r="N97" s="166">
        <f t="shared" si="4"/>
        <v>7.3736469796681119</v>
      </c>
    </row>
    <row r="98" spans="1:14" x14ac:dyDescent="0.2">
      <c r="A98" s="155">
        <v>43070</v>
      </c>
      <c r="B98" s="164">
        <f>$L98*('RD Feedstock Use'!B98/'RD Feedstock Use'!$L98)</f>
        <v>0.49723861251368601</v>
      </c>
      <c r="C98" s="164">
        <f>$L98*('RD Feedstock Use'!C98/'RD Feedstock Use'!$L98)</f>
        <v>0</v>
      </c>
      <c r="D98" s="164">
        <f>'[4]Distillers'' Corn Oil Complex'!$Z153</f>
        <v>0.45729369086555122</v>
      </c>
      <c r="E98" s="164">
        <f>$L98*('RD Feedstock Use'!E98/'RD Feedstock Use'!$L98)</f>
        <v>0</v>
      </c>
      <c r="F98" s="164">
        <f>$L98*('RD Feedstock Use'!F98/'RD Feedstock Use'!$L98)</f>
        <v>8.3554001202465436E-2</v>
      </c>
      <c r="G98" s="164">
        <f>$L98*('RD Feedstock Use'!G98/'RD Feedstock Use'!$L98)</f>
        <v>0.55936356052167635</v>
      </c>
      <c r="H98" s="164">
        <f>$L98*('RD Feedstock Use'!H98/'RD Feedstock Use'!$L98)</f>
        <v>0.12638058859924767</v>
      </c>
      <c r="I98" s="164">
        <f>$L98*('RD Feedstock Use'!I98/'RD Feedstock Use'!$L98)</f>
        <v>0.23360842715440533</v>
      </c>
      <c r="J98" s="164">
        <f t="shared" si="3"/>
        <v>0.49723861251368601</v>
      </c>
      <c r="K98" s="164">
        <f t="shared" si="2"/>
        <v>1.4602002683433462</v>
      </c>
      <c r="L98" s="164">
        <v>1.5001451899914806</v>
      </c>
      <c r="M98" s="165">
        <f>[5]SAF!$I30/1000000</f>
        <v>0.201266</v>
      </c>
      <c r="N98" s="166">
        <f t="shared" si="4"/>
        <v>7.4535450100438254</v>
      </c>
    </row>
    <row r="99" spans="1:14" x14ac:dyDescent="0.2">
      <c r="A99" s="155">
        <v>43101</v>
      </c>
      <c r="B99" s="164">
        <f>$L99*('RD Feedstock Use'!B99/'RD Feedstock Use'!$L99)</f>
        <v>0.46517739294065014</v>
      </c>
      <c r="C99" s="164">
        <f>$L99*('RD Feedstock Use'!C99/'RD Feedstock Use'!$L99)</f>
        <v>0</v>
      </c>
      <c r="D99" s="164">
        <f>'[4]Distillers'' Corn Oil Complex'!$Z154</f>
        <v>0.31744224422202272</v>
      </c>
      <c r="E99" s="164">
        <f>$L99*('RD Feedstock Use'!E99/'RD Feedstock Use'!$L99)</f>
        <v>0</v>
      </c>
      <c r="F99" s="164">
        <f>$L99*('RD Feedstock Use'!F99/'RD Feedstock Use'!$L99)</f>
        <v>5.0283928493882912E-2</v>
      </c>
      <c r="G99" s="164">
        <f>$L99*('RD Feedstock Use'!G99/'RD Feedstock Use'!$L99)</f>
        <v>0.33663255947730464</v>
      </c>
      <c r="H99" s="164">
        <f>$L99*('RD Feedstock Use'!H99/'RD Feedstock Use'!$L99)</f>
        <v>7.6057548276358175E-2</v>
      </c>
      <c r="I99" s="164">
        <f>$L99*('RD Feedstock Use'!I99/'RD Feedstock Use'!$L99)</f>
        <v>7.1848570811804027E-2</v>
      </c>
      <c r="J99" s="164">
        <f t="shared" si="3"/>
        <v>0.46517739294065014</v>
      </c>
      <c r="K99" s="164">
        <f t="shared" si="2"/>
        <v>0.85226485128137253</v>
      </c>
      <c r="L99" s="164">
        <v>1</v>
      </c>
      <c r="M99" s="165">
        <f>[5]SAF!$J19/1000000</f>
        <v>0.139714</v>
      </c>
      <c r="N99" s="166">
        <f t="shared" ref="N99:N162" si="5">L99/M99</f>
        <v>7.1574788496499995</v>
      </c>
    </row>
    <row r="100" spans="1:14" x14ac:dyDescent="0.2">
      <c r="A100" s="155">
        <v>43132</v>
      </c>
      <c r="B100" s="164">
        <f>$L100*('RD Feedstock Use'!B100/'RD Feedstock Use'!$L100)</f>
        <v>0.81074790763674198</v>
      </c>
      <c r="C100" s="164">
        <f>$L100*('RD Feedstock Use'!C100/'RD Feedstock Use'!$L100)</f>
        <v>0</v>
      </c>
      <c r="D100" s="164">
        <f>'[4]Distillers'' Corn Oil Complex'!$Z155</f>
        <v>0.54074741511848867</v>
      </c>
      <c r="E100" s="164">
        <f>$L100*('RD Feedstock Use'!E100/'RD Feedstock Use'!$L100)</f>
        <v>0</v>
      </c>
      <c r="F100" s="164">
        <f>$L100*('RD Feedstock Use'!F100/'RD Feedstock Use'!$L100)</f>
        <v>8.8308318359629295E-2</v>
      </c>
      <c r="G100" s="164">
        <f>$L100*('RD Feedstock Use'!G100/'RD Feedstock Use'!$L100)</f>
        <v>0.59119197968303205</v>
      </c>
      <c r="H100" s="164">
        <f>$L100*('RD Feedstock Use'!H100/'RD Feedstock Use'!$L100)</f>
        <v>0.13357178701060685</v>
      </c>
      <c r="I100" s="164">
        <f>$L100*('RD Feedstock Use'!I100/'RD Feedstock Use'!$L100)</f>
        <v>0.12618000730998996</v>
      </c>
      <c r="J100" s="164">
        <f t="shared" si="3"/>
        <v>0.81074790763674198</v>
      </c>
      <c r="K100" s="164">
        <f t="shared" si="2"/>
        <v>1.4799995074817467</v>
      </c>
      <c r="L100" s="164">
        <v>1.75</v>
      </c>
      <c r="M100" s="165">
        <f>[5]SAF!$J20/1000000</f>
        <v>0.23799600000000001</v>
      </c>
      <c r="N100" s="166">
        <f t="shared" si="5"/>
        <v>7.3530647573908805</v>
      </c>
    </row>
    <row r="101" spans="1:14" x14ac:dyDescent="0.2">
      <c r="A101" s="155">
        <v>43160</v>
      </c>
      <c r="B101" s="164">
        <f>$L101*('RD Feedstock Use'!B101/'RD Feedstock Use'!$L101)</f>
        <v>0.34927227855445886</v>
      </c>
      <c r="C101" s="164">
        <f>$L101*('RD Feedstock Use'!C101/'RD Feedstock Use'!$L101)</f>
        <v>0</v>
      </c>
      <c r="D101" s="164">
        <f>'[4]Distillers'' Corn Oil Complex'!$Z156</f>
        <v>0.23581982140518298</v>
      </c>
      <c r="E101" s="164">
        <f>$L101*('RD Feedstock Use'!E101/'RD Feedstock Use'!$L101)</f>
        <v>0</v>
      </c>
      <c r="F101" s="164">
        <f>$L101*('RD Feedstock Use'!F101/'RD Feedstock Use'!$L101)</f>
        <v>3.767635067163147E-2</v>
      </c>
      <c r="G101" s="164">
        <f>$L101*('RD Feedstock Use'!G101/'RD Feedstock Use'!$L101)</f>
        <v>0.25222942475345134</v>
      </c>
      <c r="H101" s="164">
        <f>$L101*('RD Feedstock Use'!H101/'RD Feedstock Use'!$L101)</f>
        <v>5.6987807952061847E-2</v>
      </c>
      <c r="I101" s="164">
        <f>$L101*('RD Feedstock Use'!I101/'RD Feedstock Use'!$L101)</f>
        <v>5.3834138068396584E-2</v>
      </c>
      <c r="J101" s="164">
        <f t="shared" si="3"/>
        <v>0.34927227855445886</v>
      </c>
      <c r="K101" s="164">
        <f t="shared" si="2"/>
        <v>0.63654754285072412</v>
      </c>
      <c r="L101" s="164">
        <v>0.75</v>
      </c>
      <c r="M101" s="165">
        <f>[5]SAF!$J21/1000000</f>
        <v>0.10378999999999999</v>
      </c>
      <c r="N101" s="166">
        <f t="shared" si="5"/>
        <v>7.2261296849407461</v>
      </c>
    </row>
    <row r="102" spans="1:14" x14ac:dyDescent="0.2">
      <c r="A102" s="155">
        <v>43191</v>
      </c>
      <c r="B102" s="164">
        <f>$L102*('RD Feedstock Use'!B102/'RD Feedstock Use'!$L102)</f>
        <v>0.58045377520295838</v>
      </c>
      <c r="C102" s="164">
        <f>$L102*('RD Feedstock Use'!C102/'RD Feedstock Use'!$L102)</f>
        <v>0</v>
      </c>
      <c r="D102" s="164">
        <f>'[4]Distillers'' Corn Oil Complex'!$Z157</f>
        <v>0.41950435403530739</v>
      </c>
      <c r="E102" s="164">
        <f>$L102*('RD Feedstock Use'!E102/'RD Feedstock Use'!$L102)</f>
        <v>0</v>
      </c>
      <c r="F102" s="164">
        <f>$L102*('RD Feedstock Use'!F102/'RD Feedstock Use'!$L102)</f>
        <v>7.2352602208039948E-2</v>
      </c>
      <c r="G102" s="164">
        <f>$L102*('RD Feedstock Use'!G102/'RD Feedstock Use'!$L102)</f>
        <v>0.48437428012607903</v>
      </c>
      <c r="H102" s="164">
        <f>$L102*('RD Feedstock Use'!H102/'RD Feedstock Use'!$L102)</f>
        <v>0.10943778062264126</v>
      </c>
      <c r="I102" s="164">
        <f>$L102*('RD Feedstock Use'!I102/'RD Feedstock Use'!$L102)</f>
        <v>0.10338156184028145</v>
      </c>
      <c r="J102" s="164">
        <f t="shared" si="3"/>
        <v>0.58045377520295838</v>
      </c>
      <c r="K102" s="164">
        <f t="shared" si="2"/>
        <v>1.1890505788323489</v>
      </c>
      <c r="L102" s="164">
        <v>1.35</v>
      </c>
      <c r="M102" s="165">
        <f>[5]SAF!$J22/1000000</f>
        <v>0.18463399999999999</v>
      </c>
      <c r="N102" s="166">
        <f t="shared" si="5"/>
        <v>7.3117627305913331</v>
      </c>
    </row>
    <row r="103" spans="1:14" x14ac:dyDescent="0.2">
      <c r="A103" s="155">
        <v>43221</v>
      </c>
      <c r="B103" s="164">
        <f>$L103*('RD Feedstock Use'!B103/'RD Feedstock Use'!$L103)</f>
        <v>0.2195439584543909</v>
      </c>
      <c r="C103" s="164">
        <f>$L103*('RD Feedstock Use'!C103/'RD Feedstock Use'!$L103)</f>
        <v>0</v>
      </c>
      <c r="D103" s="164">
        <f>'[4]Distillers'' Corn Oil Complex'!$Z158</f>
        <v>0.14406844007428904</v>
      </c>
      <c r="E103" s="164">
        <f>$L103*('RD Feedstock Use'!E103/'RD Feedstock Use'!$L103)</f>
        <v>0</v>
      </c>
      <c r="F103" s="164">
        <f>$L103*('RD Feedstock Use'!F103/'RD Feedstock Use'!$L103)</f>
        <v>2.5951781008311744E-2</v>
      </c>
      <c r="G103" s="164">
        <f>$L103*('RD Feedstock Use'!G103/'RD Feedstock Use'!$L103)</f>
        <v>0.17698514134990209</v>
      </c>
      <c r="H103" s="164">
        <f>$L103*('RD Feedstock Use'!H103/'RD Feedstock Use'!$L103)</f>
        <v>3.9253672018431579E-2</v>
      </c>
      <c r="I103" s="164">
        <f>$L103*('RD Feedstock Use'!I103/'RD Feedstock Use'!$L103)</f>
        <v>3.8265447168963698E-2</v>
      </c>
      <c r="J103" s="164">
        <f t="shared" si="3"/>
        <v>0.2195439584543909</v>
      </c>
      <c r="K103" s="164">
        <f t="shared" si="2"/>
        <v>0.42452448161989814</v>
      </c>
      <c r="L103" s="164">
        <v>0.5</v>
      </c>
      <c r="M103" s="165">
        <f>[5]SAF!$J23/1000000</f>
        <v>6.4188999999999996E-2</v>
      </c>
      <c r="N103" s="166">
        <f t="shared" si="5"/>
        <v>7.7894966427269479</v>
      </c>
    </row>
    <row r="104" spans="1:14" x14ac:dyDescent="0.2">
      <c r="A104" s="155">
        <v>43252</v>
      </c>
      <c r="B104" s="164">
        <f>$L104*('RD Feedstock Use'!B104/'RD Feedstock Use'!$L104)</f>
        <v>0.49598663378265639</v>
      </c>
      <c r="C104" s="164">
        <f>$L104*('RD Feedstock Use'!C104/'RD Feedstock Use'!$L104)</f>
        <v>0</v>
      </c>
      <c r="D104" s="164">
        <f>'[4]Distillers'' Corn Oil Complex'!$Z159</f>
        <v>0.3109523754712486</v>
      </c>
      <c r="E104" s="164">
        <f>$L104*('RD Feedstock Use'!E104/'RD Feedstock Use'!$L104)</f>
        <v>0</v>
      </c>
      <c r="F104" s="164">
        <f>$L104*('RD Feedstock Use'!F104/'RD Feedstock Use'!$L104)</f>
        <v>5.5022495788666304E-2</v>
      </c>
      <c r="G104" s="164">
        <f>$L104*('RD Feedstock Use'!G104/'RD Feedstock Use'!$L104)</f>
        <v>0.38212583958043367</v>
      </c>
      <c r="H104" s="164">
        <f>$L104*('RD Feedstock Use'!H104/'RD Feedstock Use'!$L104)</f>
        <v>8.3224924047875376E-2</v>
      </c>
      <c r="I104" s="164">
        <f>$L104*('RD Feedstock Use'!I104/'RD Feedstock Use'!$L104)</f>
        <v>8.3640106800368194E-2</v>
      </c>
      <c r="J104" s="164">
        <f t="shared" si="3"/>
        <v>0.49598663378265639</v>
      </c>
      <c r="K104" s="164">
        <f t="shared" si="2"/>
        <v>0.91496574168859213</v>
      </c>
      <c r="L104" s="164">
        <v>1.1000000000000001</v>
      </c>
      <c r="M104" s="165">
        <f>[5]SAF!$J24/1000000</f>
        <v>0.14019400000000001</v>
      </c>
      <c r="N104" s="166">
        <f t="shared" si="5"/>
        <v>7.8462701684808192</v>
      </c>
    </row>
    <row r="105" spans="1:14" x14ac:dyDescent="0.2">
      <c r="A105" s="155">
        <v>43282</v>
      </c>
      <c r="B105" s="164">
        <f>$L105*('RD Feedstock Use'!B105/'RD Feedstock Use'!$L105)</f>
        <v>0.33685250390084681</v>
      </c>
      <c r="C105" s="164">
        <f>$L105*('RD Feedstock Use'!C105/'RD Feedstock Use'!$L105)</f>
        <v>0</v>
      </c>
      <c r="D105" s="164">
        <f>'[4]Distillers'' Corn Oil Complex'!$Z160</f>
        <v>0.13053095303558962</v>
      </c>
      <c r="E105" s="164">
        <f>$L105*('RD Feedstock Use'!E105/'RD Feedstock Use'!$L105)</f>
        <v>0</v>
      </c>
      <c r="F105" s="164">
        <f>$L105*('RD Feedstock Use'!F105/'RD Feedstock Use'!$L105)</f>
        <v>0</v>
      </c>
      <c r="G105" s="164">
        <f>$L105*('RD Feedstock Use'!G105/'RD Feedstock Use'!$L105)</f>
        <v>0.25973480854901665</v>
      </c>
      <c r="H105" s="164">
        <f>$L105*('RD Feedstock Use'!H105/'RD Feedstock Use'!$L105)</f>
        <v>0</v>
      </c>
      <c r="I105" s="164">
        <f>$L105*('RD Feedstock Use'!I105/'RD Feedstock Use'!$L105)</f>
        <v>3.4126875501365003E-3</v>
      </c>
      <c r="J105" s="164">
        <f t="shared" si="3"/>
        <v>0.33685250390084681</v>
      </c>
      <c r="K105" s="164">
        <f t="shared" si="2"/>
        <v>0.39367844913474276</v>
      </c>
      <c r="L105" s="164">
        <v>0.6</v>
      </c>
      <c r="M105" s="165">
        <f>[5]SAF!$J25/1000000</f>
        <v>8.2230999999999999E-2</v>
      </c>
      <c r="N105" s="166">
        <f t="shared" si="5"/>
        <v>7.2965183446632045</v>
      </c>
    </row>
    <row r="106" spans="1:14" x14ac:dyDescent="0.2">
      <c r="A106" s="155">
        <v>43313</v>
      </c>
      <c r="B106" s="164">
        <f>$L106*('RD Feedstock Use'!B106/'RD Feedstock Use'!$L106)</f>
        <v>0.25799320529497627</v>
      </c>
      <c r="C106" s="164">
        <f>$L106*('RD Feedstock Use'!C106/'RD Feedstock Use'!$L106)</f>
        <v>0</v>
      </c>
      <c r="D106" s="164">
        <f>'[4]Distillers'' Corn Oil Complex'!$Z161</f>
        <v>0.16043705477714609</v>
      </c>
      <c r="E106" s="164">
        <f>$L106*('RD Feedstock Use'!E106/'RD Feedstock Use'!$L106)</f>
        <v>0</v>
      </c>
      <c r="F106" s="164">
        <f>$L106*('RD Feedstock Use'!F106/'RD Feedstock Use'!$L106)</f>
        <v>2.5381805472189767E-2</v>
      </c>
      <c r="G106" s="164">
        <f>$L106*('RD Feedstock Use'!G106/'RD Feedstock Use'!$L106)</f>
        <v>0.14942444580498951</v>
      </c>
      <c r="H106" s="164">
        <f>$L106*('RD Feedstock Use'!H106/'RD Feedstock Use'!$L106)</f>
        <v>3.8391548808225075E-2</v>
      </c>
      <c r="I106" s="164">
        <f>$L106*('RD Feedstock Use'!I106/'RD Feedstock Use'!$L106)</f>
        <v>2.8808994619619409E-2</v>
      </c>
      <c r="J106" s="164">
        <f t="shared" si="3"/>
        <v>0.25799320529497627</v>
      </c>
      <c r="K106" s="164">
        <f t="shared" si="2"/>
        <v>0.40244384948216988</v>
      </c>
      <c r="L106" s="164">
        <v>0.5</v>
      </c>
      <c r="M106" s="165">
        <f>[5]SAF!$J26/1000000</f>
        <v>7.0236000000000007E-2</v>
      </c>
      <c r="N106" s="166">
        <f t="shared" si="5"/>
        <v>7.1188564269035819</v>
      </c>
    </row>
    <row r="107" spans="1:14" x14ac:dyDescent="0.2">
      <c r="A107" s="155">
        <v>43344</v>
      </c>
      <c r="B107" s="164">
        <f>$L107*('RD Feedstock Use'!B107/'RD Feedstock Use'!$L107)</f>
        <v>0.59067095983437978</v>
      </c>
      <c r="C107" s="164">
        <f>$L107*('RD Feedstock Use'!C107/'RD Feedstock Use'!$L107)</f>
        <v>0</v>
      </c>
      <c r="D107" s="164">
        <f>'[4]Distillers'' Corn Oil Complex'!$Z162</f>
        <v>0.35392681878538262</v>
      </c>
      <c r="E107" s="164">
        <f>$L107*('RD Feedstock Use'!E107/'RD Feedstock Use'!$L107)</f>
        <v>0</v>
      </c>
      <c r="F107" s="164">
        <f>$L107*('RD Feedstock Use'!F107/'RD Feedstock Use'!$L107)</f>
        <v>6.2313694342119308E-2</v>
      </c>
      <c r="G107" s="164">
        <f>$L107*('RD Feedstock Use'!G107/'RD Feedstock Use'!$L107)</f>
        <v>0.31835402210742042</v>
      </c>
      <c r="H107" s="164">
        <f>$L107*('RD Feedstock Use'!H107/'RD Feedstock Use'!$L107)</f>
        <v>9.4253312294017039E-2</v>
      </c>
      <c r="I107" s="164">
        <f>$L107*('RD Feedstock Use'!I107/'RD Feedstock Use'!$L107)</f>
        <v>8.4408011422063417E-2</v>
      </c>
      <c r="J107" s="164">
        <f t="shared" si="3"/>
        <v>0.59067095983437978</v>
      </c>
      <c r="K107" s="164">
        <f t="shared" si="2"/>
        <v>0.91325585895100281</v>
      </c>
      <c r="L107" s="164">
        <v>1.1499999999999999</v>
      </c>
      <c r="M107" s="165">
        <f>[5]SAF!$J27/1000000</f>
        <v>0.15108199999999999</v>
      </c>
      <c r="N107" s="166">
        <f t="shared" si="5"/>
        <v>7.6117605009200302</v>
      </c>
    </row>
    <row r="108" spans="1:14" x14ac:dyDescent="0.2">
      <c r="A108" s="155">
        <v>43374</v>
      </c>
      <c r="B108" s="164">
        <f>$L108*('RD Feedstock Use'!B108/'RD Feedstock Use'!$L108)</f>
        <v>0.82022029787280382</v>
      </c>
      <c r="C108" s="164">
        <f>$L108*('RD Feedstock Use'!C108/'RD Feedstock Use'!$L108)</f>
        <v>0</v>
      </c>
      <c r="D108" s="164">
        <f>'[4]Distillers'' Corn Oil Complex'!$AA151</f>
        <v>0.54855373870345925</v>
      </c>
      <c r="E108" s="164">
        <f>$L108*('RD Feedstock Use'!E108/'RD Feedstock Use'!$L108)</f>
        <v>0</v>
      </c>
      <c r="F108" s="164">
        <f>$L108*('RD Feedstock Use'!F108/'RD Feedstock Use'!$L108)</f>
        <v>0.11168311790833652</v>
      </c>
      <c r="G108" s="164">
        <f>$L108*('RD Feedstock Use'!G108/'RD Feedstock Use'!$L108)</f>
        <v>0.5038592324479908</v>
      </c>
      <c r="H108" s="164">
        <f>$L108*('RD Feedstock Use'!H108/'RD Feedstock Use'!$L108)</f>
        <v>0.16892761537119866</v>
      </c>
      <c r="I108" s="164">
        <f>$L108*('RD Feedstock Use'!I108/'RD Feedstock Use'!$L108)</f>
        <v>0.14530973639967049</v>
      </c>
      <c r="J108" s="164">
        <f t="shared" si="3"/>
        <v>0.82022029787280382</v>
      </c>
      <c r="K108" s="164">
        <f t="shared" si="2"/>
        <v>1.4783334408306557</v>
      </c>
      <c r="L108" s="164">
        <v>1.75</v>
      </c>
      <c r="M108" s="165">
        <f>[5]SAF!$J28/1000000</f>
        <v>0.22908899999999999</v>
      </c>
      <c r="N108" s="166">
        <f t="shared" si="5"/>
        <v>7.6389525468267792</v>
      </c>
    </row>
    <row r="109" spans="1:14" x14ac:dyDescent="0.2">
      <c r="A109" s="155">
        <v>43405</v>
      </c>
      <c r="B109" s="164">
        <f>$L109*('RD Feedstock Use'!B109/'RD Feedstock Use'!$L109)</f>
        <v>0.5412410220709305</v>
      </c>
      <c r="C109" s="164">
        <f>$L109*('RD Feedstock Use'!C109/'RD Feedstock Use'!$L109)</f>
        <v>0</v>
      </c>
      <c r="D109" s="164">
        <f>'[4]Distillers'' Corn Oil Complex'!$AA152</f>
        <v>0.37629801450015199</v>
      </c>
      <c r="E109" s="164">
        <f>$L109*('RD Feedstock Use'!E109/'RD Feedstock Use'!$L109)</f>
        <v>0</v>
      </c>
      <c r="F109" s="164">
        <f>$L109*('RD Feedstock Use'!F109/'RD Feedstock Use'!$L109)</f>
        <v>7.0993426302494472E-2</v>
      </c>
      <c r="G109" s="164">
        <f>$L109*('RD Feedstock Use'!G109/'RD Feedstock Use'!$L109)</f>
        <v>0.27202338561207651</v>
      </c>
      <c r="H109" s="164">
        <f>$L109*('RD Feedstock Use'!H109/'RD Feedstock Use'!$L109)</f>
        <v>0.1073819430986367</v>
      </c>
      <c r="I109" s="164">
        <f>$L109*('RD Feedstock Use'!I109/'RD Feedstock Use'!$L109)</f>
        <v>0.10836022291586184</v>
      </c>
      <c r="J109" s="164">
        <f t="shared" si="3"/>
        <v>0.5412410220709305</v>
      </c>
      <c r="K109" s="164">
        <f t="shared" si="2"/>
        <v>0.93505699242922158</v>
      </c>
      <c r="L109" s="164">
        <v>1.1000000000000001</v>
      </c>
      <c r="M109" s="165">
        <f>[5]SAF!$J29/1000000</f>
        <v>0.152783</v>
      </c>
      <c r="N109" s="166">
        <f t="shared" si="5"/>
        <v>7.1997538993212604</v>
      </c>
    </row>
    <row r="110" spans="1:14" x14ac:dyDescent="0.2">
      <c r="A110" s="155">
        <v>43435</v>
      </c>
      <c r="B110" s="164">
        <f>$L110*('RD Feedstock Use'!B110/'RD Feedstock Use'!$L110)</f>
        <v>0.8844766741009642</v>
      </c>
      <c r="C110" s="164">
        <f>$L110*('RD Feedstock Use'!C110/'RD Feedstock Use'!$L110)</f>
        <v>0</v>
      </c>
      <c r="D110" s="164">
        <f>'[4]Distillers'' Corn Oil Complex'!$AA153</f>
        <v>0.67051551198445747</v>
      </c>
      <c r="E110" s="164">
        <f>$L110*('RD Feedstock Use'!E110/'RD Feedstock Use'!$L110)</f>
        <v>0</v>
      </c>
      <c r="F110" s="164">
        <f>$L110*('RD Feedstock Use'!F110/'RD Feedstock Use'!$L110)</f>
        <v>0.1417334238090398</v>
      </c>
      <c r="G110" s="164">
        <f>$L110*('RD Feedstock Use'!G110/'RD Feedstock Use'!$L110)</f>
        <v>0.54307571569582924</v>
      </c>
      <c r="H110" s="164">
        <f>$L110*('RD Feedstock Use'!H110/'RD Feedstock Use'!$L110)</f>
        <v>0.2143805594871325</v>
      </c>
      <c r="I110" s="164">
        <f>$L110*('RD Feedstock Use'!I110/'RD Feedstock Use'!$L110)</f>
        <v>0.21633362690703425</v>
      </c>
      <c r="J110" s="164">
        <f t="shared" si="3"/>
        <v>0.8844766741009642</v>
      </c>
      <c r="K110" s="164">
        <f t="shared" si="2"/>
        <v>1.786038837883493</v>
      </c>
      <c r="L110" s="164">
        <v>2</v>
      </c>
      <c r="M110" s="165">
        <f>[5]SAF!$J30/1000000</f>
        <v>0.27223999999999998</v>
      </c>
      <c r="N110" s="166">
        <f t="shared" si="5"/>
        <v>7.3464590067587432</v>
      </c>
    </row>
    <row r="111" spans="1:14" x14ac:dyDescent="0.2">
      <c r="A111" s="155">
        <v>43466</v>
      </c>
      <c r="B111" s="164">
        <f>$L111*('RD Feedstock Use'!B111/'RD Feedstock Use'!$L111)</f>
        <v>0.82384575827001427</v>
      </c>
      <c r="C111" s="164">
        <f>$L111*('RD Feedstock Use'!C111/'RD Feedstock Use'!$L111)</f>
        <v>0</v>
      </c>
      <c r="D111" s="164">
        <f>'[4]Distillers'' Corn Oil Complex'!$AA154</f>
        <v>0.47936539118988752</v>
      </c>
      <c r="E111" s="164">
        <f>$L111*('RD Feedstock Use'!E111/'RD Feedstock Use'!$L111)</f>
        <v>0</v>
      </c>
      <c r="F111" s="164">
        <f>$L111*('RD Feedstock Use'!F111/'RD Feedstock Use'!$L111)</f>
        <v>9.8359330568608849E-2</v>
      </c>
      <c r="G111" s="164">
        <f>$L111*('RD Feedstock Use'!G111/'RD Feedstock Use'!$L111)</f>
        <v>0.37688050149609781</v>
      </c>
      <c r="H111" s="164">
        <f>$L111*('RD Feedstock Use'!H111/'RD Feedstock Use'!$L111)</f>
        <v>8.9731831956289101E-2</v>
      </c>
      <c r="I111" s="164">
        <f>$L111*('RD Feedstock Use'!I111/'RD Feedstock Use'!$L111)</f>
        <v>0.11118257770899009</v>
      </c>
      <c r="J111" s="164">
        <f t="shared" si="3"/>
        <v>0.82384575827001427</v>
      </c>
      <c r="K111" s="164">
        <f t="shared" si="2"/>
        <v>1.1555196329198736</v>
      </c>
      <c r="L111" s="164">
        <v>1.5</v>
      </c>
      <c r="M111" s="165">
        <f>[5]SAF!$K19/1000000</f>
        <v>0.19463</v>
      </c>
      <c r="N111" s="166">
        <f t="shared" si="5"/>
        <v>7.7069311000359662</v>
      </c>
    </row>
    <row r="112" spans="1:14" x14ac:dyDescent="0.2">
      <c r="A112" s="155">
        <v>43497</v>
      </c>
      <c r="B112" s="164">
        <f>$L112*('RD Feedstock Use'!B112/'RD Feedstock Use'!$L112)</f>
        <v>0.72698177558585098</v>
      </c>
      <c r="C112" s="164">
        <f>$L112*('RD Feedstock Use'!C112/'RD Feedstock Use'!$L112)</f>
        <v>0</v>
      </c>
      <c r="D112" s="164">
        <f>'[4]Distillers'' Corn Oil Complex'!$AA155</f>
        <v>0.46207296755764066</v>
      </c>
      <c r="E112" s="164">
        <f>$L112*('RD Feedstock Use'!E112/'RD Feedstock Use'!$L112)</f>
        <v>0</v>
      </c>
      <c r="F112" s="164">
        <f>$L112*('RD Feedstock Use'!F112/'RD Feedstock Use'!$L112)</f>
        <v>9.7903137965205111E-2</v>
      </c>
      <c r="G112" s="164">
        <f>$L112*('RD Feedstock Use'!G112/'RD Feedstock Use'!$L112)</f>
        <v>0.37513252195866414</v>
      </c>
      <c r="H112" s="164">
        <f>$L112*('RD Feedstock Use'!H112/'RD Feedstock Use'!$L112)</f>
        <v>8.931565386935332E-2</v>
      </c>
      <c r="I112" s="164">
        <f>$L112*('RD Feedstock Use'!I112/'RD Feedstock Use'!$L112)</f>
        <v>0.11066691062092646</v>
      </c>
      <c r="J112" s="164">
        <f t="shared" si="3"/>
        <v>0.72698177558585098</v>
      </c>
      <c r="K112" s="164">
        <f t="shared" si="2"/>
        <v>1.1350911919717896</v>
      </c>
      <c r="L112" s="164">
        <v>1.4</v>
      </c>
      <c r="M112" s="165">
        <f>[5]SAF!$K20/1000000</f>
        <v>0.187609</v>
      </c>
      <c r="N112" s="166">
        <f t="shared" si="5"/>
        <v>7.4623285663267751</v>
      </c>
    </row>
    <row r="113" spans="1:14" x14ac:dyDescent="0.2">
      <c r="A113" s="155">
        <v>43525</v>
      </c>
      <c r="B113" s="164">
        <f>$L113*('RD Feedstock Use'!B113/'RD Feedstock Use'!$L113)</f>
        <v>0.77567844486837922</v>
      </c>
      <c r="C113" s="164">
        <f>$L113*('RD Feedstock Use'!C113/'RD Feedstock Use'!$L113)</f>
        <v>0</v>
      </c>
      <c r="D113" s="164">
        <f>'[4]Distillers'' Corn Oil Complex'!$AA156</f>
        <v>0.45303637699978372</v>
      </c>
      <c r="E113" s="164">
        <f>$L113*('RD Feedstock Use'!E113/'RD Feedstock Use'!$L113)</f>
        <v>0</v>
      </c>
      <c r="F113" s="164">
        <f>$L113*('RD Feedstock Use'!F113/'RD Feedstock Use'!$L113)</f>
        <v>9.0819293043526469E-2</v>
      </c>
      <c r="G113" s="164">
        <f>$L113*('RD Feedstock Use'!G113/'RD Feedstock Use'!$L113)</f>
        <v>0.34798956550329674</v>
      </c>
      <c r="H113" s="164">
        <f>$L113*('RD Feedstock Use'!H113/'RD Feedstock Use'!$L113)</f>
        <v>8.2853161918240506E-2</v>
      </c>
      <c r="I113" s="164">
        <f>$L113*('RD Feedstock Use'!I113/'RD Feedstock Use'!$L113)</f>
        <v>0.10265953466655685</v>
      </c>
      <c r="J113" s="164">
        <f t="shared" si="3"/>
        <v>0.77567844486837922</v>
      </c>
      <c r="K113" s="164">
        <f t="shared" si="2"/>
        <v>1.0773579321314042</v>
      </c>
      <c r="L113" s="164">
        <v>1.4</v>
      </c>
      <c r="M113" s="165">
        <f>[5]SAF!$K21/1000000</f>
        <v>0.18393999999999999</v>
      </c>
      <c r="N113" s="166">
        <f t="shared" si="5"/>
        <v>7.6111775578993148</v>
      </c>
    </row>
    <row r="114" spans="1:14" x14ac:dyDescent="0.2">
      <c r="A114" s="155">
        <v>43556</v>
      </c>
      <c r="B114" s="164">
        <f>$L114*('RD Feedstock Use'!B114/'RD Feedstock Use'!$L114)</f>
        <v>0.93479995195834864</v>
      </c>
      <c r="C114" s="164">
        <f>$L114*('RD Feedstock Use'!C114/'RD Feedstock Use'!$L114)</f>
        <v>0</v>
      </c>
      <c r="D114" s="164">
        <f>'[4]Distillers'' Corn Oil Complex'!$AA157</f>
        <v>0.60582593689530173</v>
      </c>
      <c r="E114" s="164">
        <f>$L114*('RD Feedstock Use'!E114/'RD Feedstock Use'!$L114)</f>
        <v>0</v>
      </c>
      <c r="F114" s="164">
        <f>$L114*('RD Feedstock Use'!F114/'RD Feedstock Use'!$L114)</f>
        <v>0.11858615395168155</v>
      </c>
      <c r="G114" s="164">
        <f>$L114*('RD Feedstock Use'!G114/'RD Feedstock Use'!$L114)</f>
        <v>0.45438301494567934</v>
      </c>
      <c r="H114" s="164">
        <f>$L114*('RD Feedstock Use'!H114/'RD Feedstock Use'!$L114)</f>
        <v>0.10818447804819598</v>
      </c>
      <c r="I114" s="164">
        <f>$L114*('RD Feedstock Use'!I114/'RD Feedstock Use'!$L114)</f>
        <v>0.13404640109609456</v>
      </c>
      <c r="J114" s="164">
        <f t="shared" si="3"/>
        <v>0.93479995195834864</v>
      </c>
      <c r="K114" s="164">
        <f t="shared" si="2"/>
        <v>1.4210259849369531</v>
      </c>
      <c r="L114" s="164">
        <v>1.75</v>
      </c>
      <c r="M114" s="165">
        <f>[5]SAF!$K22/1000000</f>
        <v>0.245975</v>
      </c>
      <c r="N114" s="166">
        <f t="shared" si="5"/>
        <v>7.1145441609919704</v>
      </c>
    </row>
    <row r="115" spans="1:14" x14ac:dyDescent="0.2">
      <c r="A115" s="155">
        <v>43586</v>
      </c>
      <c r="B115" s="164">
        <f>$L115*('RD Feedstock Use'!B115/'RD Feedstock Use'!$L115)</f>
        <v>0.99726636252780576</v>
      </c>
      <c r="C115" s="164">
        <f>$L115*('RD Feedstock Use'!C115/'RD Feedstock Use'!$L115)</f>
        <v>0</v>
      </c>
      <c r="D115" s="164">
        <f>'[4]Distillers'' Corn Oil Complex'!$AA158</f>
        <v>0.62630050143808325</v>
      </c>
      <c r="E115" s="164">
        <f>$L115*('RD Feedstock Use'!E115/'RD Feedstock Use'!$L115)</f>
        <v>0</v>
      </c>
      <c r="F115" s="164">
        <f>$L115*('RD Feedstock Use'!F115/'RD Feedstock Use'!$L115)</f>
        <v>0.131319558147486</v>
      </c>
      <c r="G115" s="164">
        <f>$L115*('RD Feedstock Use'!G115/'RD Feedstock Use'!$L115)</f>
        <v>0.50317321849144137</v>
      </c>
      <c r="H115" s="164">
        <f>$L115*('RD Feedstock Use'!H115/'RD Feedstock Use'!$L115)</f>
        <v>0.11980098335505592</v>
      </c>
      <c r="I115" s="164">
        <f>$L115*('RD Feedstock Use'!I115/'RD Feedstock Use'!$L115)</f>
        <v>0.14843987747821055</v>
      </c>
      <c r="J115" s="164">
        <f t="shared" si="3"/>
        <v>0.99726636252780576</v>
      </c>
      <c r="K115" s="164">
        <f t="shared" si="2"/>
        <v>1.5290341389102771</v>
      </c>
      <c r="L115" s="164">
        <v>1.9</v>
      </c>
      <c r="M115" s="165">
        <f>[5]SAF!$K23/1000000</f>
        <v>0.25428800000000001</v>
      </c>
      <c r="N115" s="166">
        <f t="shared" si="5"/>
        <v>7.4718429497262937</v>
      </c>
    </row>
    <row r="116" spans="1:14" x14ac:dyDescent="0.2">
      <c r="A116" s="155">
        <v>43617</v>
      </c>
      <c r="B116" s="164">
        <f>$L116*('RD Feedstock Use'!B116/'RD Feedstock Use'!$L116)</f>
        <v>0.914564214029156</v>
      </c>
      <c r="C116" s="164">
        <f>$L116*('RD Feedstock Use'!C116/'RD Feedstock Use'!$L116)</f>
        <v>0</v>
      </c>
      <c r="D116" s="164">
        <f>'[4]Distillers'' Corn Oil Complex'!$AA159</f>
        <v>0.54992665662789342</v>
      </c>
      <c r="E116" s="164">
        <f>$L116*('RD Feedstock Use'!E116/'RD Feedstock Use'!$L116)</f>
        <v>0</v>
      </c>
      <c r="F116" s="164">
        <f>$L116*('RD Feedstock Use'!F116/'RD Feedstock Use'!$L116)</f>
        <v>0.12152982199876008</v>
      </c>
      <c r="G116" s="164">
        <f>$L116*('RD Feedstock Use'!G116/'RD Feedstock Use'!$L116)</f>
        <v>0.46566217965133117</v>
      </c>
      <c r="H116" s="164">
        <f>$L116*('RD Feedstock Use'!H116/'RD Feedstock Use'!$L116)</f>
        <v>0.1108699449480678</v>
      </c>
      <c r="I116" s="164">
        <f>$L116*('RD Feedstock Use'!I116/'RD Feedstock Use'!$L116)</f>
        <v>0.13737383937268477</v>
      </c>
      <c r="J116" s="164">
        <f t="shared" si="3"/>
        <v>0.914564214029156</v>
      </c>
      <c r="K116" s="164">
        <f t="shared" si="2"/>
        <v>1.3853624425987374</v>
      </c>
      <c r="L116" s="164">
        <v>1.75</v>
      </c>
      <c r="M116" s="165">
        <f>[5]SAF!$K24/1000000</f>
        <v>0.22327900000000001</v>
      </c>
      <c r="N116" s="166">
        <f t="shared" si="5"/>
        <v>7.8377276859892779</v>
      </c>
    </row>
    <row r="117" spans="1:14" x14ac:dyDescent="0.2">
      <c r="A117" s="155">
        <v>43647</v>
      </c>
      <c r="B117" s="164">
        <f>$L117*('RD Feedstock Use'!B117/'RD Feedstock Use'!$L117)</f>
        <v>0.61405669027066823</v>
      </c>
      <c r="C117" s="164">
        <f>$L117*('RD Feedstock Use'!C117/'RD Feedstock Use'!$L117)</f>
        <v>0</v>
      </c>
      <c r="D117" s="164">
        <f>'[4]Distillers'' Corn Oil Complex'!$AA160</f>
        <v>0.36110156758219691</v>
      </c>
      <c r="E117" s="164">
        <f>$L117*('RD Feedstock Use'!E117/'RD Feedstock Use'!$L117)</f>
        <v>0</v>
      </c>
      <c r="F117" s="164">
        <f>$L117*('RD Feedstock Use'!F117/'RD Feedstock Use'!$L117)</f>
        <v>7.0689578929475097E-2</v>
      </c>
      <c r="G117" s="164">
        <f>$L117*('RD Feedstock Use'!G117/'RD Feedstock Use'!$L117)</f>
        <v>0.27085914273181466</v>
      </c>
      <c r="H117" s="164">
        <f>$L117*('RD Feedstock Use'!H117/'RD Feedstock Use'!$L117)</f>
        <v>6.4489107244746546E-2</v>
      </c>
      <c r="I117" s="164">
        <f>$L117*('RD Feedstock Use'!I117/'RD Feedstock Use'!$L117)</f>
        <v>7.9905480823295461E-2</v>
      </c>
      <c r="J117" s="164">
        <f t="shared" si="3"/>
        <v>0.61405669027066823</v>
      </c>
      <c r="K117" s="164">
        <f t="shared" si="2"/>
        <v>0.84704487731152867</v>
      </c>
      <c r="L117" s="164">
        <v>1.1000000000000001</v>
      </c>
      <c r="M117" s="165">
        <f>[5]SAF!$K25/1000000</f>
        <v>0.14661299999999999</v>
      </c>
      <c r="N117" s="166">
        <f t="shared" si="5"/>
        <v>7.5027453227203598</v>
      </c>
    </row>
    <row r="118" spans="1:14" x14ac:dyDescent="0.2">
      <c r="A118" s="155">
        <v>43678</v>
      </c>
      <c r="B118" s="164">
        <f>$L118*('RD Feedstock Use'!B118/'RD Feedstock Use'!$L118)</f>
        <v>1.1208475630462786</v>
      </c>
      <c r="C118" s="164">
        <f>$L118*('RD Feedstock Use'!C118/'RD Feedstock Use'!$L118)</f>
        <v>0</v>
      </c>
      <c r="D118" s="164">
        <f>'[4]Distillers'' Corn Oil Complex'!$AA161</f>
        <v>0.66932590357904886</v>
      </c>
      <c r="E118" s="164">
        <f>$L118*('RD Feedstock Use'!E118/'RD Feedstock Use'!$L118)</f>
        <v>0</v>
      </c>
      <c r="F118" s="164">
        <f>$L118*('RD Feedstock Use'!F118/'RD Feedstock Use'!$L118)</f>
        <v>0.12788922974923969</v>
      </c>
      <c r="G118" s="164">
        <f>$L118*('RD Feedstock Use'!G118/'RD Feedstock Use'!$L118)</f>
        <v>0.49002933189162756</v>
      </c>
      <c r="H118" s="164">
        <f>$L118*('RD Feedstock Use'!H118/'RD Feedstock Use'!$L118)</f>
        <v>0.11667154307107983</v>
      </c>
      <c r="I118" s="164">
        <f>$L118*('RD Feedstock Use'!I118/'RD Feedstock Use'!$L118)</f>
        <v>0.1445623322417742</v>
      </c>
      <c r="J118" s="164">
        <f t="shared" si="3"/>
        <v>1.1208475630462786</v>
      </c>
      <c r="K118" s="164">
        <f t="shared" si="2"/>
        <v>1.5484783405327702</v>
      </c>
      <c r="L118" s="164">
        <v>2</v>
      </c>
      <c r="M118" s="165">
        <f>[5]SAF!$K26/1000000</f>
        <v>0.27175700000000003</v>
      </c>
      <c r="N118" s="166">
        <f t="shared" si="5"/>
        <v>7.3595160382253253</v>
      </c>
    </row>
    <row r="119" spans="1:14" x14ac:dyDescent="0.2">
      <c r="A119" s="155">
        <v>43709</v>
      </c>
      <c r="B119" s="164">
        <f>$L119*('RD Feedstock Use'!B119/'RD Feedstock Use'!$L119)</f>
        <v>1.1162251789937285</v>
      </c>
      <c r="C119" s="164">
        <f>$L119*('RD Feedstock Use'!C119/'RD Feedstock Use'!$L119)</f>
        <v>0</v>
      </c>
      <c r="D119" s="164">
        <f>'[4]Distillers'' Corn Oil Complex'!$AA162</f>
        <v>0.6786161787450985</v>
      </c>
      <c r="E119" s="164">
        <f>$L119*('RD Feedstock Use'!E119/'RD Feedstock Use'!$L119)</f>
        <v>0</v>
      </c>
      <c r="F119" s="164">
        <f>$L119*('RD Feedstock Use'!F119/'RD Feedstock Use'!$L119)</f>
        <v>0.12856164230392036</v>
      </c>
      <c r="G119" s="164">
        <f>$L119*('RD Feedstock Use'!G119/'RD Feedstock Use'!$L119)</f>
        <v>0.49260579494150125</v>
      </c>
      <c r="H119" s="164">
        <f>$L119*('RD Feedstock Use'!H119/'RD Feedstock Use'!$L119)</f>
        <v>0.11728497557426075</v>
      </c>
      <c r="I119" s="164">
        <f>$L119*('RD Feedstock Use'!I119/'RD Feedstock Use'!$L119)</f>
        <v>0.14532240818658898</v>
      </c>
      <c r="J119" s="164">
        <f t="shared" si="3"/>
        <v>1.1162251789937285</v>
      </c>
      <c r="K119" s="164">
        <f t="shared" si="2"/>
        <v>1.5623909997513696</v>
      </c>
      <c r="L119" s="164">
        <v>2</v>
      </c>
      <c r="M119" s="165">
        <f>[5]SAF!$K27/1000000</f>
        <v>0.27552900000000002</v>
      </c>
      <c r="N119" s="166">
        <f t="shared" si="5"/>
        <v>7.2587640502451638</v>
      </c>
    </row>
    <row r="120" spans="1:14" x14ac:dyDescent="0.2">
      <c r="A120" s="155">
        <v>43739</v>
      </c>
      <c r="B120" s="164">
        <f>$L120*('RD Feedstock Use'!B120/'RD Feedstock Use'!$L120)</f>
        <v>0.90045438996478144</v>
      </c>
      <c r="C120" s="164">
        <f>$L120*('RD Feedstock Use'!C120/'RD Feedstock Use'!$L120)</f>
        <v>0</v>
      </c>
      <c r="D120" s="164">
        <f>'[4]Distillers'' Corn Oil Complex'!$AB151</f>
        <v>0.53341252752175261</v>
      </c>
      <c r="E120" s="164">
        <f>$L120*('RD Feedstock Use'!E120/'RD Feedstock Use'!$L120)</f>
        <v>0</v>
      </c>
      <c r="F120" s="164">
        <f>$L120*('RD Feedstock Use'!F120/'RD Feedstock Use'!$L120)</f>
        <v>0.11430299967840102</v>
      </c>
      <c r="G120" s="164">
        <f>$L120*('RD Feedstock Use'!G120/'RD Feedstock Use'!$L120)</f>
        <v>0.43797138097900512</v>
      </c>
      <c r="H120" s="164">
        <f>$L120*('RD Feedstock Use'!H120/'RD Feedstock Use'!$L120)</f>
        <v>0.10427701672987416</v>
      </c>
      <c r="I120" s="164">
        <f>$L120*('RD Feedstock Use'!I120/'RD Feedstock Use'!$L120)</f>
        <v>4.2994212647938658E-2</v>
      </c>
      <c r="J120" s="164">
        <f t="shared" si="3"/>
        <v>0.90045438996478144</v>
      </c>
      <c r="K120" s="164">
        <f t="shared" si="2"/>
        <v>1.2329581375569714</v>
      </c>
      <c r="L120" s="164">
        <v>1.6</v>
      </c>
      <c r="M120" s="165">
        <f>[5]SAF!$K28/1000000</f>
        <v>0.21657399999999999</v>
      </c>
      <c r="N120" s="166">
        <f t="shared" si="5"/>
        <v>7.3877750791877146</v>
      </c>
    </row>
    <row r="121" spans="1:14" x14ac:dyDescent="0.2">
      <c r="A121" s="155">
        <v>43770</v>
      </c>
      <c r="B121" s="164">
        <f>$L121*('RD Feedstock Use'!B121/'RD Feedstock Use'!$L121)</f>
        <v>0.42324496060541966</v>
      </c>
      <c r="C121" s="164">
        <f>$L121*('RD Feedstock Use'!C121/'RD Feedstock Use'!$L121)</f>
        <v>0</v>
      </c>
      <c r="D121" s="164">
        <f>'[4]Distillers'' Corn Oil Complex'!$AB152</f>
        <v>0.22456013739782152</v>
      </c>
      <c r="E121" s="164">
        <f>$L121*('RD Feedstock Use'!E121/'RD Feedstock Use'!$L121)</f>
        <v>0</v>
      </c>
      <c r="F121" s="164">
        <f>$L121*('RD Feedstock Use'!F121/'RD Feedstock Use'!$L121)</f>
        <v>4.5220684291510237E-2</v>
      </c>
      <c r="G121" s="164">
        <f>$L121*('RD Feedstock Use'!G121/'RD Feedstock Use'!$L121)</f>
        <v>0.17327074183260316</v>
      </c>
      <c r="H121" s="164">
        <f>$L121*('RD Feedstock Use'!H121/'RD Feedstock Use'!$L121)</f>
        <v>4.1254193377859523E-2</v>
      </c>
      <c r="I121" s="164">
        <f>$L121*('RD Feedstock Use'!I121/'RD Feedstock Use'!$L121)</f>
        <v>1.7009419892607392E-2</v>
      </c>
      <c r="J121" s="164">
        <f t="shared" si="3"/>
        <v>0.42324496060541966</v>
      </c>
      <c r="K121" s="164">
        <f t="shared" si="2"/>
        <v>0.50131517679240178</v>
      </c>
      <c r="L121" s="164">
        <v>0.7</v>
      </c>
      <c r="M121" s="165">
        <f>[5]SAF!$K29/1000000</f>
        <v>9.1175000000000006E-2</v>
      </c>
      <c r="N121" s="166">
        <f t="shared" si="5"/>
        <v>7.6775431861804213</v>
      </c>
    </row>
    <row r="122" spans="1:14" x14ac:dyDescent="0.2">
      <c r="A122" s="155">
        <v>43800</v>
      </c>
      <c r="B122" s="164">
        <f>$L122*('RD Feedstock Use'!B122/'RD Feedstock Use'!$L122)</f>
        <v>0.53099552398202154</v>
      </c>
      <c r="C122" s="164">
        <f>$L122*('RD Feedstock Use'!C122/'RD Feedstock Use'!$L122)</f>
        <v>0</v>
      </c>
      <c r="D122" s="164">
        <f>'[4]Distillers'' Corn Oil Complex'!$AB153</f>
        <v>0.33824532327123691</v>
      </c>
      <c r="E122" s="164">
        <f>$L122*('RD Feedstock Use'!E122/'RD Feedstock Use'!$L122)</f>
        <v>0</v>
      </c>
      <c r="F122" s="164">
        <f>$L122*('RD Feedstock Use'!F122/'RD Feedstock Use'!$L122)</f>
        <v>7.6633485654713326E-2</v>
      </c>
      <c r="G122" s="164">
        <f>$L122*('RD Feedstock Use'!G122/'RD Feedstock Use'!$L122)</f>
        <v>0.29363423213618228</v>
      </c>
      <c r="H122" s="164">
        <f>$L122*('RD Feedstock Use'!H122/'RD Feedstock Use'!$L122)</f>
        <v>6.9911649634468276E-2</v>
      </c>
      <c r="I122" s="164">
        <f>$L122*('RD Feedstock Use'!I122/'RD Feedstock Use'!$L122)</f>
        <v>2.8825108592614609E-2</v>
      </c>
      <c r="J122" s="164">
        <f t="shared" si="3"/>
        <v>0.53099552398202154</v>
      </c>
      <c r="K122" s="164">
        <f t="shared" si="2"/>
        <v>0.80724979928921536</v>
      </c>
      <c r="L122" s="164">
        <v>1</v>
      </c>
      <c r="M122" s="165">
        <f>[5]SAF!$K30/1000000</f>
        <v>0.13733300000000001</v>
      </c>
      <c r="N122" s="166">
        <f t="shared" si="5"/>
        <v>7.2815710717744455</v>
      </c>
    </row>
    <row r="123" spans="1:14" x14ac:dyDescent="0.2">
      <c r="A123" s="155">
        <v>43831</v>
      </c>
      <c r="B123" s="164">
        <f>$L123*('RD Feedstock Use'!B123/'RD Feedstock Use'!$L123)</f>
        <v>0.16443604958075672</v>
      </c>
      <c r="C123" s="164">
        <f>$L123*('RD Feedstock Use'!C123/'RD Feedstock Use'!$L123)</f>
        <v>0</v>
      </c>
      <c r="D123" s="164">
        <f>'[4]Distillers'' Corn Oil Complex'!$AB154</f>
        <v>9.812655562458257E-2</v>
      </c>
      <c r="E123" s="164">
        <f>$L123*('RD Feedstock Use'!E123/'RD Feedstock Use'!$L123)</f>
        <v>0</v>
      </c>
      <c r="F123" s="164">
        <f>$L123*('RD Feedstock Use'!F123/'RD Feedstock Use'!$L123)</f>
        <v>2.4337227447044193E-2</v>
      </c>
      <c r="G123" s="164">
        <f>$L123*('RD Feedstock Use'!G123/'RD Feedstock Use'!$L123)</f>
        <v>8.4990314119810742E-2</v>
      </c>
      <c r="H123" s="164">
        <f>$L123*('RD Feedstock Use'!H123/'RD Feedstock Use'!$L123)</f>
        <v>1.876637492977732E-2</v>
      </c>
      <c r="I123" s="164">
        <f>$L123*('RD Feedstock Use'!I123/'RD Feedstock Use'!$L123)</f>
        <v>7.4700339226110215E-3</v>
      </c>
      <c r="J123" s="164">
        <f t="shared" si="3"/>
        <v>0.16443604958075672</v>
      </c>
      <c r="K123" s="164">
        <f t="shared" si="2"/>
        <v>0.23369050604382585</v>
      </c>
      <c r="L123" s="164">
        <v>0.3</v>
      </c>
      <c r="M123" s="165">
        <f>[5]SAF!$L19/1000000</f>
        <v>4.1590000000000002E-2</v>
      </c>
      <c r="N123" s="166">
        <f>L123/M123</f>
        <v>7.2132724212551089</v>
      </c>
    </row>
    <row r="124" spans="1:14" x14ac:dyDescent="0.2">
      <c r="A124" s="155">
        <v>43862</v>
      </c>
      <c r="B124" s="164">
        <f>$L124*('RD Feedstock Use'!B124/'RD Feedstock Use'!$L124)</f>
        <v>0</v>
      </c>
      <c r="C124" s="164">
        <f>$L124*('RD Feedstock Use'!C124/'RD Feedstock Use'!$L124)</f>
        <v>0</v>
      </c>
      <c r="D124" s="164">
        <f>'[4]Distillers'' Corn Oil Complex'!$AB155</f>
        <v>0</v>
      </c>
      <c r="E124" s="164">
        <f>$L124*('RD Feedstock Use'!E124/'RD Feedstock Use'!$L124)</f>
        <v>0</v>
      </c>
      <c r="F124" s="164">
        <f>$L124*('RD Feedstock Use'!F124/'RD Feedstock Use'!$L124)</f>
        <v>0</v>
      </c>
      <c r="G124" s="164">
        <f>$L124*('RD Feedstock Use'!G124/'RD Feedstock Use'!$L124)</f>
        <v>0</v>
      </c>
      <c r="H124" s="164">
        <f>$L124*('RD Feedstock Use'!H124/'RD Feedstock Use'!$L124)</f>
        <v>0</v>
      </c>
      <c r="I124" s="164">
        <f>$L124*('RD Feedstock Use'!I124/'RD Feedstock Use'!$L124)</f>
        <v>0</v>
      </c>
      <c r="J124" s="164">
        <f t="shared" si="3"/>
        <v>0</v>
      </c>
      <c r="K124" s="164">
        <f t="shared" si="2"/>
        <v>0</v>
      </c>
      <c r="L124" s="164">
        <v>0</v>
      </c>
      <c r="M124" s="165">
        <f>[5]SAF!$L20/1000000</f>
        <v>0</v>
      </c>
      <c r="N124" s="166"/>
    </row>
    <row r="125" spans="1:14" x14ac:dyDescent="0.2">
      <c r="A125" s="155">
        <v>43891</v>
      </c>
      <c r="B125" s="164">
        <f>$L125*('RD Feedstock Use'!B125/'RD Feedstock Use'!$L125)</f>
        <v>1.0216804813760094</v>
      </c>
      <c r="C125" s="164">
        <f>$L125*('RD Feedstock Use'!C125/'RD Feedstock Use'!$L125)</f>
        <v>0</v>
      </c>
      <c r="D125" s="164">
        <f>'[4]Distillers'' Corn Oil Complex'!$AB156</f>
        <v>0.66257485236424696</v>
      </c>
      <c r="E125" s="164">
        <f>$L125*('RD Feedstock Use'!E125/'RD Feedstock Use'!$L125)</f>
        <v>0</v>
      </c>
      <c r="F125" s="164">
        <f>$L125*('RD Feedstock Use'!F125/'RD Feedstock Use'!$L125)</f>
        <v>0.17761675561802068</v>
      </c>
      <c r="G125" s="164">
        <f>$L125*('RD Feedstock Use'!G125/'RD Feedstock Use'!$L125)</f>
        <v>0.62027212778301266</v>
      </c>
      <c r="H125" s="164">
        <f>$L125*('RD Feedstock Use'!H125/'RD Feedstock Use'!$L125)</f>
        <v>0.12591320128033803</v>
      </c>
      <c r="I125" s="164">
        <f>$L125*('RD Feedstock Use'!I125/'RD Feedstock Use'!$L125)</f>
        <v>5.4517433942619022E-2</v>
      </c>
      <c r="J125" s="164">
        <f t="shared" si="3"/>
        <v>1.0216804813760094</v>
      </c>
      <c r="K125" s="164">
        <f t="shared" ref="K125:K183" si="6">SUM(D125:I125)</f>
        <v>1.6408943709882375</v>
      </c>
      <c r="L125" s="164">
        <v>2</v>
      </c>
      <c r="M125" s="165">
        <f>[5]SAF!$L21/1000000</f>
        <v>0.28082600000000002</v>
      </c>
      <c r="N125" s="166">
        <f t="shared" si="5"/>
        <v>7.1218476921652547</v>
      </c>
    </row>
    <row r="126" spans="1:14" x14ac:dyDescent="0.2">
      <c r="A126" s="155">
        <v>43922</v>
      </c>
      <c r="B126" s="164">
        <f>$L126*('RD Feedstock Use'!B126/'RD Feedstock Use'!$L126)</f>
        <v>4.6018143289966487</v>
      </c>
      <c r="C126" s="164">
        <f>$L126*('RD Feedstock Use'!C126/'RD Feedstock Use'!$L126)</f>
        <v>0</v>
      </c>
      <c r="D126" s="164">
        <f>'[4]Distillers'' Corn Oil Complex'!$AB157</f>
        <v>2.9125160273700641</v>
      </c>
      <c r="E126" s="164">
        <f>$L126*('RD Feedstock Use'!E126/'RD Feedstock Use'!$L126)</f>
        <v>0</v>
      </c>
      <c r="F126" s="164">
        <f>$L126*('RD Feedstock Use'!F126/'RD Feedstock Use'!$L126)</f>
        <v>0.79850340774967965</v>
      </c>
      <c r="G126" s="164">
        <f>$L126*('RD Feedstock Use'!G126/'RD Feedstock Use'!$L126)</f>
        <v>2.7885286275132772</v>
      </c>
      <c r="H126" s="164">
        <f>$L126*('RD Feedstock Use'!H126/'RD Feedstock Use'!$L126)</f>
        <v>0.56606213728644672</v>
      </c>
      <c r="I126" s="164">
        <f>$L126*('RD Feedstock Use'!I126/'RD Feedstock Use'!$L126)</f>
        <v>0.24509149845394781</v>
      </c>
      <c r="J126" s="164">
        <f t="shared" si="3"/>
        <v>4.6018143289966487</v>
      </c>
      <c r="K126" s="164">
        <f t="shared" si="6"/>
        <v>7.3107016983734159</v>
      </c>
      <c r="L126" s="164">
        <v>9</v>
      </c>
      <c r="M126" s="165">
        <f>[5]SAF!$L22/1000000</f>
        <v>1.234442</v>
      </c>
      <c r="N126" s="166">
        <f t="shared" si="5"/>
        <v>7.2907435100231517</v>
      </c>
    </row>
    <row r="127" spans="1:14" x14ac:dyDescent="0.2">
      <c r="A127" s="155">
        <v>43952</v>
      </c>
      <c r="B127" s="164">
        <f>$L127*('RD Feedstock Use'!B127/'RD Feedstock Use'!$L127)</f>
        <v>0</v>
      </c>
      <c r="C127" s="164">
        <f>$L127*('RD Feedstock Use'!C127/'RD Feedstock Use'!$L127)</f>
        <v>0</v>
      </c>
      <c r="D127" s="164">
        <f>'[4]Distillers'' Corn Oil Complex'!$AB158</f>
        <v>0</v>
      </c>
      <c r="E127" s="164">
        <f>$L127*('RD Feedstock Use'!E127/'RD Feedstock Use'!$L127)</f>
        <v>0</v>
      </c>
      <c r="F127" s="164">
        <f>$L127*('RD Feedstock Use'!F127/'RD Feedstock Use'!$L127)</f>
        <v>0</v>
      </c>
      <c r="G127" s="164">
        <f>$L127*('RD Feedstock Use'!G127/'RD Feedstock Use'!$L127)</f>
        <v>0</v>
      </c>
      <c r="H127" s="164">
        <f>$L127*('RD Feedstock Use'!H127/'RD Feedstock Use'!$L127)</f>
        <v>0</v>
      </c>
      <c r="I127" s="164">
        <f>$L127*('RD Feedstock Use'!I127/'RD Feedstock Use'!$L127)</f>
        <v>0</v>
      </c>
      <c r="J127" s="164">
        <f t="shared" si="3"/>
        <v>0</v>
      </c>
      <c r="K127" s="164">
        <f t="shared" si="6"/>
        <v>0</v>
      </c>
      <c r="L127" s="164">
        <v>0</v>
      </c>
      <c r="M127" s="165">
        <f>[5]SAF!$L23/1000000</f>
        <v>0</v>
      </c>
      <c r="N127" s="166"/>
    </row>
    <row r="128" spans="1:14" x14ac:dyDescent="0.2">
      <c r="A128" s="155">
        <v>43983</v>
      </c>
      <c r="B128" s="164">
        <f>$L128*('RD Feedstock Use'!B128/'RD Feedstock Use'!$L128)</f>
        <v>1.8867774436397888</v>
      </c>
      <c r="C128" s="164">
        <f>$L128*('RD Feedstock Use'!C128/'RD Feedstock Use'!$L128)</f>
        <v>0</v>
      </c>
      <c r="D128" s="164">
        <f>'[4]Distillers'' Corn Oil Complex'!$AB159</f>
        <v>1.1997746857495397</v>
      </c>
      <c r="E128" s="164">
        <f>$L128*('RD Feedstock Use'!E128/'RD Feedstock Use'!$L128)</f>
        <v>0</v>
      </c>
      <c r="F128" s="164">
        <f>$L128*('RD Feedstock Use'!F128/'RD Feedstock Use'!$L128)</f>
        <v>0.38366170480523865</v>
      </c>
      <c r="G128" s="164">
        <f>$L128*('RD Feedstock Use'!G128/'RD Feedstock Use'!$L128)</f>
        <v>1.3398210160993334</v>
      </c>
      <c r="H128" s="164">
        <f>$L128*('RD Feedstock Use'!H128/'RD Feedstock Use'!$L128)</f>
        <v>0.27197925833410724</v>
      </c>
      <c r="I128" s="164">
        <f>$L128*('RD Feedstock Use'!I128/'RD Feedstock Use'!$L128)</f>
        <v>0.11776057712153183</v>
      </c>
      <c r="J128" s="164">
        <f t="shared" si="3"/>
        <v>1.8867774436397888</v>
      </c>
      <c r="K128" s="164">
        <f t="shared" si="6"/>
        <v>3.3129972421097511</v>
      </c>
      <c r="L128" s="164">
        <v>4</v>
      </c>
      <c r="M128" s="165">
        <f>[5]SAF!$L24/1000000</f>
        <v>0.50851299999999999</v>
      </c>
      <c r="N128" s="166">
        <f t="shared" si="5"/>
        <v>7.8660722538066876</v>
      </c>
    </row>
    <row r="129" spans="1:14" x14ac:dyDescent="0.2">
      <c r="A129" s="155">
        <v>44013</v>
      </c>
      <c r="B129" s="164">
        <f>$L129*('RD Feedstock Use'!B129/'RD Feedstock Use'!$L129)</f>
        <v>6.6533250672613633</v>
      </c>
      <c r="C129" s="164">
        <f>$L129*('RD Feedstock Use'!C129/'RD Feedstock Use'!$L129)</f>
        <v>0</v>
      </c>
      <c r="D129" s="164">
        <f>'[4]Distillers'' Corn Oil Complex'!$AB160</f>
        <v>3.7391740607798467</v>
      </c>
      <c r="E129" s="164">
        <f>$L129*('RD Feedstock Use'!E129/'RD Feedstock Use'!$L129)</f>
        <v>0</v>
      </c>
      <c r="F129" s="164">
        <f>$L129*('RD Feedstock Use'!F129/'RD Feedstock Use'!$L129)</f>
        <v>0.97070439342039716</v>
      </c>
      <c r="G129" s="164">
        <f>$L129*('RD Feedstock Use'!G129/'RD Feedstock Use'!$L129)</f>
        <v>3.3898878372153995</v>
      </c>
      <c r="H129" s="164">
        <f>$L129*('RD Feedstock Use'!H129/'RD Feedstock Use'!$L129)</f>
        <v>0.68813607841877644</v>
      </c>
      <c r="I129" s="164">
        <f>$L129*('RD Feedstock Use'!I129/'RD Feedstock Use'!$L129)</f>
        <v>0.29794662368406288</v>
      </c>
      <c r="J129" s="164">
        <f t="shared" si="3"/>
        <v>6.6533250672613633</v>
      </c>
      <c r="K129" s="164">
        <f t="shared" si="6"/>
        <v>9.0858489935184821</v>
      </c>
      <c r="L129" s="164">
        <v>12</v>
      </c>
      <c r="M129" s="165">
        <f>[5]SAF!$L25/1000000</f>
        <v>1.5367249999999999</v>
      </c>
      <c r="N129" s="166">
        <f t="shared" si="5"/>
        <v>7.808814199027152</v>
      </c>
    </row>
    <row r="130" spans="1:14" x14ac:dyDescent="0.2">
      <c r="A130" s="155">
        <v>44044</v>
      </c>
      <c r="B130" s="164">
        <f>$L130*('RD Feedstock Use'!B130/'RD Feedstock Use'!$L130)</f>
        <v>0.30619441967704558</v>
      </c>
      <c r="C130" s="164">
        <f>$L130*('RD Feedstock Use'!C130/'RD Feedstock Use'!$L130)</f>
        <v>0</v>
      </c>
      <c r="D130" s="164">
        <f>'[4]Distillers'' Corn Oil Complex'!$AB161</f>
        <v>0.1593000174543</v>
      </c>
      <c r="E130" s="164">
        <f>$L130*('RD Feedstock Use'!E130/'RD Feedstock Use'!$L130)</f>
        <v>0</v>
      </c>
      <c r="F130" s="164">
        <f>$L130*('RD Feedstock Use'!F130/'RD Feedstock Use'!$L130)</f>
        <v>3.5185967102084506E-2</v>
      </c>
      <c r="G130" s="164">
        <f>$L130*('RD Feedstock Use'!G130/'RD Feedstock Use'!$L130)</f>
        <v>0.12287621517785861</v>
      </c>
      <c r="H130" s="164">
        <f>$L130*('RD Feedstock Use'!H130/'RD Feedstock Use'!$L130)</f>
        <v>2.4943467425426958E-2</v>
      </c>
      <c r="I130" s="164">
        <f>$L130*('RD Feedstock Use'!I130/'RD Feedstock Use'!$L130)</f>
        <v>1.0799930617584346E-2</v>
      </c>
      <c r="J130" s="164">
        <f t="shared" si="3"/>
        <v>0.30619441967704558</v>
      </c>
      <c r="K130" s="164">
        <f t="shared" si="6"/>
        <v>0.35310559777725442</v>
      </c>
      <c r="L130" s="164">
        <v>0.5</v>
      </c>
      <c r="M130" s="165">
        <f>[5]SAF!$L26/1000000</f>
        <v>6.3854999999999995E-2</v>
      </c>
      <c r="N130" s="166">
        <f t="shared" si="5"/>
        <v>7.8302403883799236</v>
      </c>
    </row>
    <row r="131" spans="1:14" x14ac:dyDescent="0.2">
      <c r="A131" s="155">
        <v>44075</v>
      </c>
      <c r="B131" s="164">
        <f>$L131*('RD Feedstock Use'!B131/'RD Feedstock Use'!$L131)</f>
        <v>1.7384808401592493</v>
      </c>
      <c r="C131" s="164">
        <f>$L131*('RD Feedstock Use'!C131/'RD Feedstock Use'!$L131)</f>
        <v>0</v>
      </c>
      <c r="D131" s="164">
        <f>'[4]Distillers'' Corn Oil Complex'!$AB162</f>
        <v>0.94527209532198309</v>
      </c>
      <c r="E131" s="164">
        <f>$L131*('RD Feedstock Use'!E131/'RD Feedstock Use'!$L131)</f>
        <v>0</v>
      </c>
      <c r="F131" s="164">
        <f>$L131*('RD Feedstock Use'!F131/'RD Feedstock Use'!$L131)</f>
        <v>0.18364424709534213</v>
      </c>
      <c r="G131" s="164">
        <f>$L131*('RD Feedstock Use'!G131/'RD Feedstock Use'!$L131)</f>
        <v>0.64132129598126819</v>
      </c>
      <c r="H131" s="164">
        <f>$L131*('RD Feedstock Use'!H131/'RD Feedstock Use'!$L131)</f>
        <v>0.13018611317403156</v>
      </c>
      <c r="I131" s="164">
        <f>$L131*('RD Feedstock Use'!I131/'RD Feedstock Use'!$L131)</f>
        <v>5.6367503590109155E-2</v>
      </c>
      <c r="J131" s="164">
        <f t="shared" ref="J131:J194" si="7">SUM(B131:C131)</f>
        <v>1.7384808401592493</v>
      </c>
      <c r="K131" s="164">
        <f t="shared" si="6"/>
        <v>1.9567912551627342</v>
      </c>
      <c r="L131" s="164">
        <v>2.75</v>
      </c>
      <c r="M131" s="165">
        <f>[5]SAF!$L27/1000000</f>
        <v>0.37116900000000003</v>
      </c>
      <c r="N131" s="166">
        <f t="shared" si="5"/>
        <v>7.4090239217175995</v>
      </c>
    </row>
    <row r="132" spans="1:14" x14ac:dyDescent="0.2">
      <c r="A132" s="155">
        <v>44105</v>
      </c>
      <c r="B132" s="164">
        <f>$L132*('RD Feedstock Use'!B132/'RD Feedstock Use'!$L132)</f>
        <v>0.87240629599601516</v>
      </c>
      <c r="C132" s="164">
        <f>$L132*('RD Feedstock Use'!C132/'RD Feedstock Use'!$L132)</f>
        <v>0</v>
      </c>
      <c r="D132" s="164">
        <f>'[4]Distillers'' Corn Oil Complex'!$AC151</f>
        <v>0.47984715079165219</v>
      </c>
      <c r="E132" s="164">
        <f>$L132*('RD Feedstock Use'!E132/'RD Feedstock Use'!$L132)</f>
        <v>0</v>
      </c>
      <c r="F132" s="164">
        <f>$L132*('RD Feedstock Use'!F132/'RD Feedstock Use'!$L132)</f>
        <v>7.7349873787383366E-2</v>
      </c>
      <c r="G132" s="164">
        <f>$L132*('RD Feedstock Use'!G132/'RD Feedstock Use'!$L132)</f>
        <v>0.26348485237148395</v>
      </c>
      <c r="H132" s="164">
        <f>$L132*('RD Feedstock Use'!H132/'RD Feedstock Use'!$L132)</f>
        <v>0.10294032555981057</v>
      </c>
      <c r="I132" s="164">
        <f>$L132*('RD Feedstock Use'!I132/'RD Feedstock Use'!$L132)</f>
        <v>6.9075152658646236E-2</v>
      </c>
      <c r="J132" s="164">
        <f t="shared" si="7"/>
        <v>0.87240629599601516</v>
      </c>
      <c r="K132" s="164">
        <f t="shared" si="6"/>
        <v>0.99269735516897639</v>
      </c>
      <c r="L132" s="164">
        <v>1.3852565003733393</v>
      </c>
      <c r="M132" s="165">
        <f>[5]SAF!$L28/1000000</f>
        <v>0.188416</v>
      </c>
      <c r="N132" s="166">
        <f t="shared" si="5"/>
        <v>7.3521171257926037</v>
      </c>
    </row>
    <row r="133" spans="1:14" x14ac:dyDescent="0.2">
      <c r="A133" s="155">
        <v>44136</v>
      </c>
      <c r="B133" s="164">
        <f>$L133*('RD Feedstock Use'!B133/'RD Feedstock Use'!$L133)</f>
        <v>0.79669486627871555</v>
      </c>
      <c r="C133" s="164">
        <f>$L133*('RD Feedstock Use'!C133/'RD Feedstock Use'!$L133)</f>
        <v>0</v>
      </c>
      <c r="D133" s="164">
        <f>'[4]Distillers'' Corn Oil Complex'!$AC152</f>
        <v>0.47929960102188635</v>
      </c>
      <c r="E133" s="164">
        <f>$L133*('RD Feedstock Use'!E133/'RD Feedstock Use'!$L133)</f>
        <v>0</v>
      </c>
      <c r="F133" s="164">
        <f>$L133*('RD Feedstock Use'!F133/'RD Feedstock Use'!$L133)</f>
        <v>8.0647398331497949E-2</v>
      </c>
      <c r="G133" s="164">
        <f>$L133*('RD Feedstock Use'!G133/'RD Feedstock Use'!$L133)</f>
        <v>0.27471755030820766</v>
      </c>
      <c r="H133" s="164">
        <f>$L133*('RD Feedstock Use'!H133/'RD Feedstock Use'!$L133)</f>
        <v>0.10732880395662975</v>
      </c>
      <c r="I133" s="164">
        <f>$L133*('RD Feedstock Use'!I133/'RD Feedstock Use'!$L133)</f>
        <v>7.2019915204819943E-2</v>
      </c>
      <c r="J133" s="164">
        <f t="shared" si="7"/>
        <v>0.79669486627871555</v>
      </c>
      <c r="K133" s="164">
        <f t="shared" si="6"/>
        <v>1.0140132688230417</v>
      </c>
      <c r="L133" s="164">
        <v>1.3314085340798709</v>
      </c>
      <c r="M133" s="165">
        <f>[5]SAF!$L29/1000000</f>
        <v>0.18820100000000001</v>
      </c>
      <c r="N133" s="166">
        <f t="shared" si="5"/>
        <v>7.0743967039488149</v>
      </c>
    </row>
    <row r="134" spans="1:14" x14ac:dyDescent="0.2">
      <c r="A134" s="155">
        <v>44166</v>
      </c>
      <c r="B134" s="164">
        <f>$L134*('RD Feedstock Use'!B134/'RD Feedstock Use'!$L134)</f>
        <v>0.90699171261332956</v>
      </c>
      <c r="C134" s="164">
        <f>$L134*('RD Feedstock Use'!C134/'RD Feedstock Use'!$L134)</f>
        <v>0</v>
      </c>
      <c r="D134" s="164">
        <f>'[4]Distillers'' Corn Oil Complex'!$AC153</f>
        <v>0.4957541082891293</v>
      </c>
      <c r="E134" s="164">
        <f>$L134*('RD Feedstock Use'!E134/'RD Feedstock Use'!$L134)</f>
        <v>0</v>
      </c>
      <c r="F134" s="164">
        <f>$L134*('RD Feedstock Use'!F134/'RD Feedstock Use'!$L134)</f>
        <v>8.6535146578878119E-2</v>
      </c>
      <c r="G134" s="164">
        <f>$L134*('RD Feedstock Use'!G134/'RD Feedstock Use'!$L134)</f>
        <v>0.29477359438173356</v>
      </c>
      <c r="H134" s="164">
        <f>$L134*('RD Feedstock Use'!H134/'RD Feedstock Use'!$L134)</f>
        <v>0.10170961680971718</v>
      </c>
      <c r="I134" s="164">
        <f>$L134*('RD Feedstock Use'!I134/'RD Feedstock Use'!$L134)</f>
        <v>7.7277804960676252E-2</v>
      </c>
      <c r="J134" s="164">
        <f t="shared" si="7"/>
        <v>0.90699171261332956</v>
      </c>
      <c r="K134" s="164">
        <f t="shared" si="6"/>
        <v>1.0560502710201343</v>
      </c>
      <c r="L134" s="164">
        <v>1.4672878753443348</v>
      </c>
      <c r="M134" s="165">
        <f>[5]SAF!$L30/1000000</f>
        <v>0.194662</v>
      </c>
      <c r="N134" s="166">
        <f t="shared" si="5"/>
        <v>7.5376184121417369</v>
      </c>
    </row>
    <row r="135" spans="1:14" x14ac:dyDescent="0.2">
      <c r="A135" s="155">
        <v>44197</v>
      </c>
      <c r="B135" s="164">
        <f>$L135*('RD Feedstock Use'!B135/'RD Feedstock Use'!$L135)</f>
        <v>1.3342358753585957</v>
      </c>
      <c r="C135" s="164">
        <f>$L135*('RD Feedstock Use'!C135/'RD Feedstock Use'!$L135)</f>
        <v>0</v>
      </c>
      <c r="D135" s="164">
        <f>'[4]Distillers'' Corn Oil Complex'!$AC154</f>
        <v>0.67143030138568172</v>
      </c>
      <c r="E135" s="164">
        <f>$L135*('RD Feedstock Use'!E135/'RD Feedstock Use'!$L135)</f>
        <v>0</v>
      </c>
      <c r="F135" s="164">
        <f>$L135*('RD Feedstock Use'!F135/'RD Feedstock Use'!$L135)</f>
        <v>4.5660189324841671E-2</v>
      </c>
      <c r="G135" s="164">
        <f>$L135*('RD Feedstock Use'!G135/'RD Feedstock Use'!$L135)</f>
        <v>0.38914101406161966</v>
      </c>
      <c r="H135" s="164">
        <f>$L135*('RD Feedstock Use'!H135/'RD Feedstock Use'!$L135)</f>
        <v>0.1584822871809772</v>
      </c>
      <c r="I135" s="164">
        <f>$L135*('RD Feedstock Use'!I135/'RD Feedstock Use'!$L135)</f>
        <v>0.16747463136865279</v>
      </c>
      <c r="J135" s="164">
        <f t="shared" si="7"/>
        <v>1.3342358753585957</v>
      </c>
      <c r="K135" s="164">
        <f t="shared" si="6"/>
        <v>1.432188423321773</v>
      </c>
      <c r="L135" s="164">
        <v>2.0949939972946869</v>
      </c>
      <c r="M135" s="165">
        <f>[5]SAF!$M19/1000000</f>
        <v>0.289825</v>
      </c>
      <c r="N135" s="166">
        <f t="shared" si="5"/>
        <v>7.228479245388379</v>
      </c>
    </row>
    <row r="136" spans="1:14" x14ac:dyDescent="0.2">
      <c r="A136" s="155">
        <v>44228</v>
      </c>
      <c r="B136" s="164">
        <f>$L136*('RD Feedstock Use'!B136/'RD Feedstock Use'!$L136)</f>
        <v>1.4358813688750331</v>
      </c>
      <c r="C136" s="164">
        <f>$L136*('RD Feedstock Use'!C136/'RD Feedstock Use'!$L136)</f>
        <v>0</v>
      </c>
      <c r="D136" s="164">
        <f>'[4]Distillers'' Corn Oil Complex'!$AC155</f>
        <v>0.52630464778362085</v>
      </c>
      <c r="E136" s="164">
        <f>$L136*('RD Feedstock Use'!E136/'RD Feedstock Use'!$L136)</f>
        <v>0</v>
      </c>
      <c r="F136" s="164">
        <f>$L136*('RD Feedstock Use'!F136/'RD Feedstock Use'!$L136)</f>
        <v>0.17119218726083216</v>
      </c>
      <c r="G136" s="164">
        <f>$L136*('RD Feedstock Use'!G136/'RD Feedstock Use'!$L136)</f>
        <v>0.37477436267009545</v>
      </c>
      <c r="H136" s="164">
        <f>$L136*('RD Feedstock Use'!H136/'RD Feedstock Use'!$L136)</f>
        <v>7.0098207812564609E-2</v>
      </c>
      <c r="I136" s="164">
        <f>$L136*('RD Feedstock Use'!I136/'RD Feedstock Use'!$L136)</f>
        <v>0.16159719316436144</v>
      </c>
      <c r="J136" s="164">
        <f t="shared" si="7"/>
        <v>1.4358813688750331</v>
      </c>
      <c r="K136" s="164">
        <f t="shared" si="6"/>
        <v>1.3039665986914746</v>
      </c>
      <c r="L136" s="164">
        <v>2.2135433197828869</v>
      </c>
      <c r="M136" s="165">
        <f>[5]SAF!$M20/1000000</f>
        <v>0.29472500000000001</v>
      </c>
      <c r="N136" s="166">
        <f t="shared" si="5"/>
        <v>7.5105380262376347</v>
      </c>
    </row>
    <row r="137" spans="1:14" x14ac:dyDescent="0.2">
      <c r="A137" s="155">
        <v>44256</v>
      </c>
      <c r="B137" s="164">
        <f>$L137*('RD Feedstock Use'!B137/'RD Feedstock Use'!$L137)</f>
        <v>1.3534018538448966</v>
      </c>
      <c r="C137" s="164">
        <f>$L137*('RD Feedstock Use'!C137/'RD Feedstock Use'!$L137)</f>
        <v>0</v>
      </c>
      <c r="D137" s="164">
        <f>'[4]Distillers'' Corn Oil Complex'!$AC156</f>
        <v>0.51591337881949195</v>
      </c>
      <c r="E137" s="164">
        <f>$L137*('RD Feedstock Use'!E137/'RD Feedstock Use'!$L137)</f>
        <v>0</v>
      </c>
      <c r="F137" s="164">
        <f>$L137*('RD Feedstock Use'!F137/'RD Feedstock Use'!$L137)</f>
        <v>0.19039767257442433</v>
      </c>
      <c r="G137" s="164">
        <f>$L137*('RD Feedstock Use'!G137/'RD Feedstock Use'!$L137)</f>
        <v>0.41681905894589433</v>
      </c>
      <c r="H137" s="164">
        <f>$L137*('RD Feedstock Use'!H137/'RD Feedstock Use'!$L137)</f>
        <v>0.13249409194337938</v>
      </c>
      <c r="I137" s="164">
        <f>$L137*('RD Feedstock Use'!I137/'RD Feedstock Use'!$L137)</f>
        <v>0.14889332766739569</v>
      </c>
      <c r="J137" s="164">
        <f t="shared" si="7"/>
        <v>1.3534018538448966</v>
      </c>
      <c r="K137" s="164">
        <f t="shared" si="6"/>
        <v>1.4045175299505857</v>
      </c>
      <c r="L137" s="164">
        <v>2.2420060049759907</v>
      </c>
      <c r="M137" s="165">
        <f>[5]SAF!$M21/1000000</f>
        <v>0.288906</v>
      </c>
      <c r="N137" s="166">
        <f t="shared" si="5"/>
        <v>7.7603303668874677</v>
      </c>
    </row>
    <row r="138" spans="1:14" x14ac:dyDescent="0.2">
      <c r="A138" s="155">
        <v>44287</v>
      </c>
      <c r="B138" s="164">
        <f>$L138*('RD Feedstock Use'!B138/'RD Feedstock Use'!$L138)</f>
        <v>1.0498810973969201</v>
      </c>
      <c r="C138" s="164">
        <f>$L138*('RD Feedstock Use'!C138/'RD Feedstock Use'!$L138)</f>
        <v>0</v>
      </c>
      <c r="D138" s="164">
        <f>'[4]Distillers'' Corn Oil Complex'!$AC157</f>
        <v>0.65392649769890931</v>
      </c>
      <c r="E138" s="164">
        <f>$L138*('RD Feedstock Use'!E138/'RD Feedstock Use'!$L138)</f>
        <v>0</v>
      </c>
      <c r="F138" s="164">
        <f>$L138*('RD Feedstock Use'!F138/'RD Feedstock Use'!$L138)</f>
        <v>0.2952591269251838</v>
      </c>
      <c r="G138" s="164">
        <f>$L138*('RD Feedstock Use'!G138/'RD Feedstock Use'!$L138)</f>
        <v>0.50484578423562843</v>
      </c>
      <c r="H138" s="164">
        <f>$L138*('RD Feedstock Use'!H138/'RD Feedstock Use'!$L138)</f>
        <v>0.160475108606839</v>
      </c>
      <c r="I138" s="164">
        <f>$L138*('RD Feedstock Use'!I138/'RD Feedstock Use'!$L138)</f>
        <v>0.27583175038275526</v>
      </c>
      <c r="J138" s="164">
        <f t="shared" si="7"/>
        <v>1.0498810973969201</v>
      </c>
      <c r="K138" s="164">
        <f t="shared" si="6"/>
        <v>1.8903382678493157</v>
      </c>
      <c r="L138" s="164">
        <v>2.2862928675473269</v>
      </c>
      <c r="M138" s="165">
        <f>[5]SAF!$M22/1000000</f>
        <v>0.29328900000000002</v>
      </c>
      <c r="N138" s="166">
        <f t="shared" si="5"/>
        <v>7.795358392395646</v>
      </c>
    </row>
    <row r="139" spans="1:14" x14ac:dyDescent="0.2">
      <c r="A139" s="155">
        <v>44317</v>
      </c>
      <c r="B139" s="164">
        <f>$L139*('RD Feedstock Use'!B139/'RD Feedstock Use'!$L139)</f>
        <v>0.98257860782242612</v>
      </c>
      <c r="C139" s="164">
        <f>$L139*('RD Feedstock Use'!C139/'RD Feedstock Use'!$L139)</f>
        <v>0</v>
      </c>
      <c r="D139" s="164">
        <f>'[4]Distillers'' Corn Oil Complex'!$AC158</f>
        <v>0.50803944273436352</v>
      </c>
      <c r="E139" s="164">
        <f>$L139*('RD Feedstock Use'!E139/'RD Feedstock Use'!$L139)</f>
        <v>0</v>
      </c>
      <c r="F139" s="164">
        <f>$L139*('RD Feedstock Use'!F139/'RD Feedstock Use'!$L139)</f>
        <v>0.22277685669716502</v>
      </c>
      <c r="G139" s="164">
        <f>$L139*('RD Feedstock Use'!G139/'RD Feedstock Use'!$L139)</f>
        <v>0.57874470696285474</v>
      </c>
      <c r="H139" s="164">
        <f>$L139*('RD Feedstock Use'!H139/'RD Feedstock Use'!$L139)</f>
        <v>0.12472625308939657</v>
      </c>
      <c r="I139" s="164">
        <f>$L139*('RD Feedstock Use'!I139/'RD Feedstock Use'!$L139)</f>
        <v>0.16266218810718905</v>
      </c>
      <c r="J139" s="164">
        <f t="shared" si="7"/>
        <v>0.98257860782242612</v>
      </c>
      <c r="K139" s="164">
        <f t="shared" si="6"/>
        <v>1.5969494475909689</v>
      </c>
      <c r="L139" s="164">
        <v>2.0714886126790315</v>
      </c>
      <c r="M139" s="165">
        <f>[5]SAF!$M23/1000000</f>
        <v>0.28749599999999997</v>
      </c>
      <c r="N139" s="166">
        <f t="shared" si="5"/>
        <v>7.2052780305779267</v>
      </c>
    </row>
    <row r="140" spans="1:14" x14ac:dyDescent="0.2">
      <c r="A140" s="155">
        <v>44348</v>
      </c>
      <c r="B140" s="164">
        <f>$L140*('RD Feedstock Use'!B140/'RD Feedstock Use'!$L140)</f>
        <v>1.2992657022627576</v>
      </c>
      <c r="C140" s="164">
        <f>$L140*('RD Feedstock Use'!C140/'RD Feedstock Use'!$L140)</f>
        <v>0</v>
      </c>
      <c r="D140" s="164">
        <f>'[4]Distillers'' Corn Oil Complex'!$AC159</f>
        <v>0.57525924787277449</v>
      </c>
      <c r="E140" s="164">
        <f>$L140*('RD Feedstock Use'!E140/'RD Feedstock Use'!$L140)</f>
        <v>0</v>
      </c>
      <c r="F140" s="164">
        <f>$L140*('RD Feedstock Use'!F140/'RD Feedstock Use'!$L140)</f>
        <v>0.24371579268928281</v>
      </c>
      <c r="G140" s="164">
        <f>$L140*('RD Feedstock Use'!G140/'RD Feedstock Use'!$L140)</f>
        <v>0.63650391044099641</v>
      </c>
      <c r="H140" s="164">
        <f>$L140*('RD Feedstock Use'!H140/'RD Feedstock Use'!$L140)</f>
        <v>0.14978611211825452</v>
      </c>
      <c r="I140" s="164">
        <f>$L140*('RD Feedstock Use'!I140/'RD Feedstock Use'!$L140)</f>
        <v>0.25977682926121076</v>
      </c>
      <c r="J140" s="164">
        <f t="shared" si="7"/>
        <v>1.2992657022627576</v>
      </c>
      <c r="K140" s="164">
        <f t="shared" si="6"/>
        <v>1.8650418923825189</v>
      </c>
      <c r="L140" s="164">
        <v>2.5890483467725023</v>
      </c>
      <c r="M140" s="165">
        <f>[5]SAF!$M24/1000000</f>
        <v>0.357317</v>
      </c>
      <c r="N140" s="166">
        <f t="shared" si="5"/>
        <v>7.2458023177528705</v>
      </c>
    </row>
    <row r="141" spans="1:14" x14ac:dyDescent="0.2">
      <c r="A141" s="155">
        <v>44378</v>
      </c>
      <c r="B141" s="164">
        <f>$L141*('RD Feedstock Use'!B141/'RD Feedstock Use'!$L141)</f>
        <v>3.4265520354232128</v>
      </c>
      <c r="C141" s="164">
        <f>$L141*('RD Feedstock Use'!C141/'RD Feedstock Use'!$L141)</f>
        <v>0</v>
      </c>
      <c r="D141" s="164">
        <f>'[4]Distillers'' Corn Oil Complex'!$AC160</f>
        <v>1.6994145256767124</v>
      </c>
      <c r="E141" s="164">
        <f>$L141*('RD Feedstock Use'!E141/'RD Feedstock Use'!$L141)</f>
        <v>0</v>
      </c>
      <c r="F141" s="164">
        <f>$L141*('RD Feedstock Use'!F141/'RD Feedstock Use'!$L141)</f>
        <v>0.77120249523808204</v>
      </c>
      <c r="G141" s="164">
        <f>$L141*('RD Feedstock Use'!G141/'RD Feedstock Use'!$L141)</f>
        <v>2.1972242871808643</v>
      </c>
      <c r="H141" s="164">
        <f>$L141*('RD Feedstock Use'!H141/'RD Feedstock Use'!$L141)</f>
        <v>0.8100454687605585</v>
      </c>
      <c r="I141" s="164">
        <f>$L141*('RD Feedstock Use'!I141/'RD Feedstock Use'!$L141)</f>
        <v>1.1498439597190722</v>
      </c>
      <c r="J141" s="164">
        <f t="shared" si="7"/>
        <v>3.4265520354232128</v>
      </c>
      <c r="K141" s="164">
        <f t="shared" si="6"/>
        <v>6.6277307365752884</v>
      </c>
      <c r="L141" s="164">
        <v>8.3548682463217894</v>
      </c>
      <c r="M141" s="165">
        <f>[5]SAF!$M25/1000000</f>
        <v>1.093159</v>
      </c>
      <c r="N141" s="166">
        <f t="shared" si="5"/>
        <v>7.6428664506460535</v>
      </c>
    </row>
    <row r="142" spans="1:14" x14ac:dyDescent="0.2">
      <c r="A142" s="155">
        <v>44409</v>
      </c>
      <c r="B142" s="164">
        <f>$L142*('RD Feedstock Use'!B142/'RD Feedstock Use'!$L142)</f>
        <v>3.0256708543844768</v>
      </c>
      <c r="C142" s="164">
        <f>$L142*('RD Feedstock Use'!C142/'RD Feedstock Use'!$L142)</f>
        <v>0</v>
      </c>
      <c r="D142" s="164">
        <f>'[4]Distillers'' Corn Oil Complex'!$AC161</f>
        <v>1.2845542461581902</v>
      </c>
      <c r="E142" s="164">
        <f>$L142*('RD Feedstock Use'!E142/'RD Feedstock Use'!$L142)</f>
        <v>0</v>
      </c>
      <c r="F142" s="164">
        <f>$L142*('RD Feedstock Use'!F142/'RD Feedstock Use'!$L142)</f>
        <v>0.40022311810007555</v>
      </c>
      <c r="G142" s="164">
        <f>$L142*('RD Feedstock Use'!G142/'RD Feedstock Use'!$L142)</f>
        <v>0.81301424373526532</v>
      </c>
      <c r="H142" s="164">
        <f>$L142*('RD Feedstock Use'!H142/'RD Feedstock Use'!$L142)</f>
        <v>0.46023387229795709</v>
      </c>
      <c r="I142" s="164">
        <f>$L142*('RD Feedstock Use'!I142/'RD Feedstock Use'!$L142)</f>
        <v>0.5840997074521227</v>
      </c>
      <c r="J142" s="164">
        <f t="shared" si="7"/>
        <v>3.0256708543844768</v>
      </c>
      <c r="K142" s="164">
        <f t="shared" si="6"/>
        <v>3.5421251877436108</v>
      </c>
      <c r="L142" s="164">
        <v>5.2832417959698974</v>
      </c>
      <c r="M142" s="165">
        <f>[5]SAF!$M26/1000000</f>
        <v>0.72205799999999998</v>
      </c>
      <c r="N142" s="166">
        <f t="shared" si="5"/>
        <v>7.3169216267528334</v>
      </c>
    </row>
    <row r="143" spans="1:14" x14ac:dyDescent="0.2">
      <c r="A143" s="155">
        <v>44440</v>
      </c>
      <c r="B143" s="164">
        <f>$L143*('RD Feedstock Use'!B143/'RD Feedstock Use'!$L143)</f>
        <v>1.2164538330686159</v>
      </c>
      <c r="C143" s="164">
        <f>$L143*('RD Feedstock Use'!C143/'RD Feedstock Use'!$L143)</f>
        <v>0</v>
      </c>
      <c r="D143" s="164">
        <f>'[4]Distillers'' Corn Oil Complex'!$AC162</f>
        <v>0.51147057560362663</v>
      </c>
      <c r="E143" s="164">
        <f>$L143*('RD Feedstock Use'!E143/'RD Feedstock Use'!$L143)</f>
        <v>4.595227941248713E-3</v>
      </c>
      <c r="F143" s="164">
        <f>$L143*('RD Feedstock Use'!F143/'RD Feedstock Use'!$L143)</f>
        <v>0.2306831594239615</v>
      </c>
      <c r="G143" s="164">
        <f>$L143*('RD Feedstock Use'!G143/'RD Feedstock Use'!$L143)</f>
        <v>0.4552701010529237</v>
      </c>
      <c r="H143" s="164">
        <f>$L143*('RD Feedstock Use'!H143/'RD Feedstock Use'!$L143)</f>
        <v>7.9371592095842422E-2</v>
      </c>
      <c r="I143" s="164">
        <f>$L143*('RD Feedstock Use'!I143/'RD Feedstock Use'!$L143)</f>
        <v>0.13523067403851685</v>
      </c>
      <c r="J143" s="164">
        <f t="shared" si="7"/>
        <v>1.2164538330686159</v>
      </c>
      <c r="K143" s="164">
        <f t="shared" si="6"/>
        <v>1.4166213301561199</v>
      </c>
      <c r="L143" s="164">
        <v>2.1216045876211092</v>
      </c>
      <c r="M143" s="165">
        <f>[5]SAF!$M27/1000000</f>
        <v>0.300122</v>
      </c>
      <c r="N143" s="166">
        <f t="shared" si="5"/>
        <v>7.0691405082636702</v>
      </c>
    </row>
    <row r="144" spans="1:14" x14ac:dyDescent="0.2">
      <c r="A144" s="155">
        <v>44470</v>
      </c>
      <c r="B144" s="164">
        <f>$L144*('RD Feedstock Use'!B144/'RD Feedstock Use'!$L144)</f>
        <v>1.0001555173555585</v>
      </c>
      <c r="C144" s="164">
        <f>$L144*('RD Feedstock Use'!C144/'RD Feedstock Use'!$L144)</f>
        <v>0</v>
      </c>
      <c r="D144" s="164">
        <f>'[4]Distillers'' Corn Oil Complex'!$AD151</f>
        <v>0.60976698223962433</v>
      </c>
      <c r="E144" s="164">
        <f>$L144*('RD Feedstock Use'!E144/'RD Feedstock Use'!$L144)</f>
        <v>5.0612459678769373E-3</v>
      </c>
      <c r="F144" s="164">
        <f>$L144*('RD Feedstock Use'!F144/'RD Feedstock Use'!$L144)</f>
        <v>0.14298007792012157</v>
      </c>
      <c r="G144" s="164">
        <f>$L144*('RD Feedstock Use'!G144/'RD Feedstock Use'!$L144)</f>
        <v>0.42863807886666794</v>
      </c>
      <c r="H144" s="164">
        <f>$L144*('RD Feedstock Use'!H144/'RD Feedstock Use'!$L144)</f>
        <v>0.28575871924444529</v>
      </c>
      <c r="I144" s="164">
        <f>$L144*('RD Feedstock Use'!I144/'RD Feedstock Use'!$L144)</f>
        <v>1.5716729558444493</v>
      </c>
      <c r="J144" s="164">
        <f t="shared" si="7"/>
        <v>1.0001555173555585</v>
      </c>
      <c r="K144" s="164">
        <f t="shared" si="6"/>
        <v>3.0438780600831854</v>
      </c>
      <c r="L144" s="164">
        <v>3.4342665951991194</v>
      </c>
      <c r="M144" s="165">
        <f>[5]SAF!$M28/1000000</f>
        <v>0.43774099999999999</v>
      </c>
      <c r="N144" s="166">
        <f t="shared" si="5"/>
        <v>7.8454305061648766</v>
      </c>
    </row>
    <row r="145" spans="1:14" x14ac:dyDescent="0.2">
      <c r="A145" s="155">
        <v>44501</v>
      </c>
      <c r="B145" s="164">
        <f>$L145*('RD Feedstock Use'!B145/'RD Feedstock Use'!$L145)</f>
        <v>1.2912547554520366</v>
      </c>
      <c r="C145" s="164">
        <f>$L145*('RD Feedstock Use'!C145/'RD Feedstock Use'!$L145)</f>
        <v>0</v>
      </c>
      <c r="D145" s="164">
        <f>'[4]Distillers'' Corn Oil Complex'!$AD152</f>
        <v>0.6004960760238951</v>
      </c>
      <c r="E145" s="164">
        <f>$L145*('RD Feedstock Use'!E145/'RD Feedstock Use'!$L145)</f>
        <v>4.8571390689233279E-3</v>
      </c>
      <c r="F145" s="164">
        <f>$L145*('RD Feedstock Use'!F145/'RD Feedstock Use'!$L145)</f>
        <v>5.5012007362361275E-2</v>
      </c>
      <c r="G145" s="164">
        <f>$L145*('RD Feedstock Use'!G145/'RD Feedstock Use'!$L145)</f>
        <v>0.29798186664277765</v>
      </c>
      <c r="H145" s="164">
        <f>$L145*('RD Feedstock Use'!H145/'RD Feedstock Use'!$L145)</f>
        <v>0.1986545777618518</v>
      </c>
      <c r="I145" s="164">
        <f>$L145*('RD Feedstock Use'!I145/'RD Feedstock Use'!$L145)</f>
        <v>1.2912547554520366</v>
      </c>
      <c r="J145" s="164">
        <f t="shared" si="7"/>
        <v>1.2912547554520366</v>
      </c>
      <c r="K145" s="164">
        <f t="shared" si="6"/>
        <v>2.4482564223118457</v>
      </c>
      <c r="L145" s="164">
        <v>3.1390151017399872</v>
      </c>
      <c r="M145" s="165">
        <f>[5]SAF!$M29/1000000</f>
        <v>0.40348200000000001</v>
      </c>
      <c r="N145" s="166">
        <f t="shared" si="5"/>
        <v>7.7798144693938944</v>
      </c>
    </row>
    <row r="146" spans="1:14" x14ac:dyDescent="0.2">
      <c r="A146" s="155">
        <v>44531</v>
      </c>
      <c r="B146" s="164">
        <f>$L146*('RD Feedstock Use'!B146/'RD Feedstock Use'!$L146)</f>
        <v>0.72501212606661969</v>
      </c>
      <c r="C146" s="164">
        <f>$L146*('RD Feedstock Use'!C146/'RD Feedstock Use'!$L146)</f>
        <v>0</v>
      </c>
      <c r="D146" s="164">
        <f>'[4]Distillers'' Corn Oil Complex'!$AD153</f>
        <v>0.52202602196782499</v>
      </c>
      <c r="E146" s="164">
        <f>$L146*('RD Feedstock Use'!E146/'RD Feedstock Use'!$L146)</f>
        <v>3.4361696922827439E-3</v>
      </c>
      <c r="F146" s="164">
        <f>$L146*('RD Feedstock Use'!F146/'RD Feedstock Use'!$L146)</f>
        <v>2.8351229480139635E-2</v>
      </c>
      <c r="G146" s="164">
        <f>$L146*('RD Feedstock Use'!G146/'RD Feedstock Use'!$L146)</f>
        <v>0.13182038655756723</v>
      </c>
      <c r="H146" s="164">
        <f>$L146*('RD Feedstock Use'!H146/'RD Feedstock Use'!$L146)</f>
        <v>0.19773057983635081</v>
      </c>
      <c r="I146" s="164">
        <f>$L146*('RD Feedstock Use'!I146/'RD Feedstock Use'!$L146)</f>
        <v>1.2522936722968885</v>
      </c>
      <c r="J146" s="164">
        <f t="shared" si="7"/>
        <v>0.72501212606661969</v>
      </c>
      <c r="K146" s="164">
        <f t="shared" si="6"/>
        <v>2.1356580598310542</v>
      </c>
      <c r="L146" s="164">
        <v>2.3386441639298488</v>
      </c>
      <c r="M146" s="165">
        <f>[5]SAF!$M30/1000000</f>
        <v>0.30850300000000003</v>
      </c>
      <c r="N146" s="166">
        <f t="shared" si="5"/>
        <v>7.580620492928265</v>
      </c>
    </row>
    <row r="147" spans="1:14" x14ac:dyDescent="0.2">
      <c r="A147" s="155">
        <v>44562</v>
      </c>
      <c r="B147" s="164">
        <f>$L147*('RD Feedstock Use'!B147/'RD Feedstock Use'!$L147)</f>
        <v>0.59733835757383436</v>
      </c>
      <c r="C147" s="164">
        <f>$L147*('RD Feedstock Use'!C147/'RD Feedstock Use'!$L147)</f>
        <v>0</v>
      </c>
      <c r="D147" s="164">
        <f>'[4]Distillers'' Corn Oil Complex'!$AD154</f>
        <v>0.68191187433821754</v>
      </c>
      <c r="E147" s="164">
        <f>$L147*('RD Feedstock Use'!E147/'RD Feedstock Use'!$L147)</f>
        <v>3.9383253919453836E-3</v>
      </c>
      <c r="F147" s="164">
        <f>$L147*('RD Feedstock Use'!F147/'RD Feedstock Use'!$L147)</f>
        <v>0.12037005922383748</v>
      </c>
      <c r="G147" s="164">
        <f>$L147*('RD Feedstock Use'!G147/'RD Feedstock Use'!$L147)</f>
        <v>0.35840301454430057</v>
      </c>
      <c r="H147" s="164">
        <f>$L147*('RD Feedstock Use'!H147/'RD Feedstock Use'!$L147)</f>
        <v>0.35840301454430057</v>
      </c>
      <c r="I147" s="164">
        <f>$L147*('RD Feedstock Use'!I147/'RD Feedstock Use'!$L147)</f>
        <v>1.6725474012067361</v>
      </c>
      <c r="J147" s="164">
        <f t="shared" si="7"/>
        <v>0.59733835757383436</v>
      </c>
      <c r="K147" s="164">
        <f t="shared" si="6"/>
        <v>3.1955736892493376</v>
      </c>
      <c r="L147" s="164">
        <v>3.1110001724849545</v>
      </c>
      <c r="M147" s="165">
        <f>[5]SAF!$N19/1000000</f>
        <v>0.40211999999999998</v>
      </c>
      <c r="N147" s="166">
        <f t="shared" si="5"/>
        <v>7.7364969971276105</v>
      </c>
    </row>
    <row r="148" spans="1:14" x14ac:dyDescent="0.2">
      <c r="A148" s="155">
        <v>44593</v>
      </c>
      <c r="B148" s="164">
        <f>$L148*('RD Feedstock Use'!B148/'RD Feedstock Use'!$L148)</f>
        <v>2.2946846290285139</v>
      </c>
      <c r="C148" s="164">
        <f>$L148*('RD Feedstock Use'!C148/'RD Feedstock Use'!$L148)</f>
        <v>0</v>
      </c>
      <c r="D148" s="164">
        <f>'[4]Distillers'' Corn Oil Complex'!$AD155</f>
        <v>1.0139066868738926</v>
      </c>
      <c r="E148" s="164">
        <f>$L148*('RD Feedstock Use'!E148/'RD Feedstock Use'!$L148)</f>
        <v>2.217673726261218E-2</v>
      </c>
      <c r="F148" s="164">
        <f>$L148*('RD Feedstock Use'!F148/'RD Feedstock Use'!$L148)</f>
        <v>0.45304039910425004</v>
      </c>
      <c r="G148" s="164">
        <f>$L148*('RD Feedstock Use'!G148/'RD Feedstock Use'!$L148)</f>
        <v>1.7210134717713856</v>
      </c>
      <c r="H148" s="164">
        <f>$L148*('RD Feedstock Use'!H148/'RD Feedstock Use'!$L148)</f>
        <v>0.57367115725712847</v>
      </c>
      <c r="I148" s="164">
        <f>$L148*('RD Feedstock Use'!I148/'RD Feedstock Use'!$L148)</f>
        <v>12.620765459656829</v>
      </c>
      <c r="J148" s="164">
        <f t="shared" si="7"/>
        <v>2.2946846290285139</v>
      </c>
      <c r="K148" s="164">
        <f t="shared" si="6"/>
        <v>16.404573911926096</v>
      </c>
      <c r="L148" s="164">
        <v>17.685351854080718</v>
      </c>
      <c r="M148" s="165">
        <f>[5]SAF!$N20/1000000</f>
        <v>2.5198689999999999</v>
      </c>
      <c r="N148" s="166">
        <f t="shared" si="5"/>
        <v>7.0183616108935496</v>
      </c>
    </row>
    <row r="149" spans="1:14" x14ac:dyDescent="0.2">
      <c r="A149" s="155">
        <v>44621</v>
      </c>
      <c r="B149" s="164">
        <f>$L149*('RD Feedstock Use'!B149/'RD Feedstock Use'!$L149)</f>
        <v>4.8478120646550034</v>
      </c>
      <c r="C149" s="164">
        <f>$L149*('RD Feedstock Use'!C149/'RD Feedstock Use'!$L149)</f>
        <v>0</v>
      </c>
      <c r="D149" s="164">
        <f>'[4]Distillers'' Corn Oil Complex'!$AD156</f>
        <v>0.93862466170377512</v>
      </c>
      <c r="E149" s="164">
        <f>$L149*('RD Feedstock Use'!E149/'RD Feedstock Use'!$L149)</f>
        <v>2.5464931998387057E-2</v>
      </c>
      <c r="F149" s="164">
        <f>$L149*('RD Feedstock Use'!F149/'RD Feedstock Use'!$L149)</f>
        <v>0.64925898201124099</v>
      </c>
      <c r="G149" s="164">
        <f>$L149*('RD Feedstock Use'!G149/'RD Feedstock Use'!$L149)</f>
        <v>1.8179295242456264</v>
      </c>
      <c r="H149" s="164">
        <f>$L149*('RD Feedstock Use'!H149/'RD Feedstock Use'!$L149)</f>
        <v>1.2119530161637508</v>
      </c>
      <c r="I149" s="164">
        <f>$L149*('RD Feedstock Use'!I149/'RD Feedstock Use'!$L149)</f>
        <v>12.11953016163751</v>
      </c>
      <c r="J149" s="164">
        <f t="shared" si="7"/>
        <v>4.8478120646550034</v>
      </c>
      <c r="K149" s="164">
        <f t="shared" si="6"/>
        <v>16.762761277760291</v>
      </c>
      <c r="L149" s="164">
        <v>20.671948680711516</v>
      </c>
      <c r="M149" s="165">
        <f>[5]SAF!$N21/1000000</f>
        <v>2.9225080000000001</v>
      </c>
      <c r="N149" s="166">
        <f t="shared" si="5"/>
        <v>7.0733591424596662</v>
      </c>
    </row>
    <row r="150" spans="1:14" x14ac:dyDescent="0.2">
      <c r="A150" s="155">
        <v>44652</v>
      </c>
      <c r="B150" s="164">
        <f>$L150*('RD Feedstock Use'!B150/'RD Feedstock Use'!$L150)</f>
        <v>0.53350588012712663</v>
      </c>
      <c r="C150" s="164">
        <f>$L150*('RD Feedstock Use'!C150/'RD Feedstock Use'!$L150)</f>
        <v>0</v>
      </c>
      <c r="D150" s="164">
        <f>'[4]Distillers'' Corn Oil Complex'!$AD157</f>
        <v>0.37683483737953793</v>
      </c>
      <c r="E150" s="164">
        <f>$L150*('RD Feedstock Use'!E150/'RD Feedstock Use'!$L150)</f>
        <v>3.4501926662715847E-3</v>
      </c>
      <c r="F150" s="164">
        <f>$L150*('RD Feedstock Use'!F150/'RD Feedstock Use'!$L150)</f>
        <v>0.1386706448532086</v>
      </c>
      <c r="G150" s="164">
        <f>$L150*('RD Feedstock Use'!G150/'RD Feedstock Use'!$L150)</f>
        <v>0.26675294006356332</v>
      </c>
      <c r="H150" s="164">
        <f>$L150*('RD Feedstock Use'!H150/'RD Feedstock Use'!$L150)</f>
        <v>0.26675294006356332</v>
      </c>
      <c r="I150" s="164">
        <f>$L150*('RD Feedstock Use'!I150/'RD Feedstock Use'!$L150)</f>
        <v>1.6894352870692342</v>
      </c>
      <c r="J150" s="164">
        <f t="shared" si="7"/>
        <v>0.53350588012712663</v>
      </c>
      <c r="K150" s="164">
        <f t="shared" si="6"/>
        <v>2.7418968420953789</v>
      </c>
      <c r="L150" s="164">
        <v>2.8985678848429672</v>
      </c>
      <c r="M150" s="165">
        <f>[5]SAF!$N22/1000000</f>
        <v>0.40899099999999999</v>
      </c>
      <c r="N150" s="166">
        <f t="shared" si="5"/>
        <v>7.087118994899563</v>
      </c>
    </row>
    <row r="151" spans="1:14" x14ac:dyDescent="0.2">
      <c r="A151" s="155">
        <v>44682</v>
      </c>
      <c r="B151" s="164">
        <f>$L151*('RD Feedstock Use'!B151/'RD Feedstock Use'!$L151)</f>
        <v>0.18588886102328089</v>
      </c>
      <c r="C151" s="164">
        <f>$L151*('RD Feedstock Use'!C151/'RD Feedstock Use'!$L151)</f>
        <v>0</v>
      </c>
      <c r="D151" s="164">
        <f>'[4]Distillers'' Corn Oil Complex'!$AD158</f>
        <v>0.19757146308136264</v>
      </c>
      <c r="E151" s="164">
        <f>$L151*('RD Feedstock Use'!E151/'RD Feedstock Use'!$L151)</f>
        <v>1.7610494403208724E-3</v>
      </c>
      <c r="F151" s="164">
        <f>$L151*('RD Feedstock Use'!F151/'RD Feedstock Use'!$L151)</f>
        <v>6.2748541607716896E-2</v>
      </c>
      <c r="G151" s="164">
        <f>$L151*('RD Feedstock Use'!G151/'RD Feedstock Use'!$L151)</f>
        <v>0.14871108881862471</v>
      </c>
      <c r="H151" s="164">
        <f>$L151*('RD Feedstock Use'!H151/'RD Feedstock Use'!$L151)</f>
        <v>0.11153331661396854</v>
      </c>
      <c r="I151" s="164">
        <f>$L151*('RD Feedstock Use'!I151/'RD Feedstock Use'!$L151)</f>
        <v>1.040977621730373</v>
      </c>
      <c r="J151" s="164">
        <f t="shared" si="7"/>
        <v>0.18588886102328089</v>
      </c>
      <c r="K151" s="164">
        <f t="shared" si="6"/>
        <v>1.5633030812923667</v>
      </c>
      <c r="L151" s="164">
        <v>1.5516204792342849</v>
      </c>
      <c r="M151" s="165">
        <f>[5]SAF!$N23/1000000</f>
        <v>0.20283100000000001</v>
      </c>
      <c r="N151" s="166">
        <f t="shared" si="5"/>
        <v>7.6498192053201182</v>
      </c>
    </row>
    <row r="152" spans="1:14" x14ac:dyDescent="0.2">
      <c r="A152" s="155">
        <v>44713</v>
      </c>
      <c r="B152" s="164">
        <f>$L152*('RD Feedstock Use'!B152/'RD Feedstock Use'!$L152)</f>
        <v>1.8967101578202876</v>
      </c>
      <c r="C152" s="164">
        <f>$L152*('RD Feedstock Use'!C152/'RD Feedstock Use'!$L152)</f>
        <v>0</v>
      </c>
      <c r="D152" s="164">
        <f>'[4]Distillers'' Corn Oil Complex'!$AD159</f>
        <v>1.1014410438218039</v>
      </c>
      <c r="E152" s="164">
        <f>$L152*('RD Feedstock Use'!E152/'RD Feedstock Use'!$L152)</f>
        <v>1.8935185097221065E-2</v>
      </c>
      <c r="F152" s="164">
        <f>$L152*('RD Feedstock Use'!F152/'RD Feedstock Use'!$L152)</f>
        <v>0.67468591325085603</v>
      </c>
      <c r="G152" s="164">
        <f>$L152*('RD Feedstock Use'!G152/'RD Feedstock Use'!$L152)</f>
        <v>1.8967101578202876</v>
      </c>
      <c r="H152" s="164">
        <f>$L152*('RD Feedstock Use'!H152/'RD Feedstock Use'!$L152)</f>
        <v>1.8967101578202876</v>
      </c>
      <c r="I152" s="164">
        <f>$L152*('RD Feedstock Use'!I152/'RD Feedstock Use'!$L152)</f>
        <v>10.431905868011583</v>
      </c>
      <c r="J152" s="164">
        <f t="shared" si="7"/>
        <v>1.8967101578202876</v>
      </c>
      <c r="K152" s="164">
        <f t="shared" si="6"/>
        <v>16.02038832582204</v>
      </c>
      <c r="L152" s="164">
        <v>16.815657439820523</v>
      </c>
      <c r="M152" s="165">
        <f>[5]SAF!$N24/1000000</f>
        <v>2.3317489999999998</v>
      </c>
      <c r="N152" s="166">
        <f t="shared" si="5"/>
        <v>7.2116070125131495</v>
      </c>
    </row>
    <row r="153" spans="1:14" x14ac:dyDescent="0.2">
      <c r="A153" s="155">
        <v>44743</v>
      </c>
      <c r="B153" s="164">
        <f>$L153*('RD Feedstock Use'!B153/'RD Feedstock Use'!$L153)</f>
        <v>1.8832074089125255</v>
      </c>
      <c r="C153" s="164">
        <f>$L153*('RD Feedstock Use'!C153/'RD Feedstock Use'!$L153)</f>
        <v>0</v>
      </c>
      <c r="D153" s="164">
        <f>'[4]Distillers'' Corn Oil Complex'!$AD160</f>
        <v>1.6454838005261112</v>
      </c>
      <c r="E153" s="164">
        <f>$L153*('RD Feedstock Use'!E153/'RD Feedstock Use'!$L153)</f>
        <v>9.6633967087677141E-3</v>
      </c>
      <c r="F153" s="164">
        <f>$L153*('RD Feedstock Use'!F153/'RD Feedstock Use'!$L153)</f>
        <v>0.45503763904435385</v>
      </c>
      <c r="G153" s="164">
        <f>$L153*('RD Feedstock Use'!G153/'RD Feedstock Use'!$L153)</f>
        <v>1.076118519378586</v>
      </c>
      <c r="H153" s="164">
        <f>$L153*('RD Feedstock Use'!H153/'RD Feedstock Use'!$L153)</f>
        <v>0.80708888953393942</v>
      </c>
      <c r="I153" s="164">
        <f>$L153*('RD Feedstock Use'!I153/'RD Feedstock Use'!$L153)</f>
        <v>4.3044740775143442</v>
      </c>
      <c r="J153" s="164">
        <f t="shared" si="7"/>
        <v>1.8832074089125255</v>
      </c>
      <c r="K153" s="164">
        <f t="shared" si="6"/>
        <v>8.2978663227061027</v>
      </c>
      <c r="L153" s="164">
        <v>8.5355899310925167</v>
      </c>
      <c r="M153" s="165">
        <f>[5]SAF!$N25/1000000</f>
        <v>1.1379729999999999</v>
      </c>
      <c r="N153" s="166">
        <f t="shared" si="5"/>
        <v>7.5006963531582187</v>
      </c>
    </row>
    <row r="154" spans="1:14" x14ac:dyDescent="0.2">
      <c r="A154" s="155">
        <v>44774</v>
      </c>
      <c r="B154" s="164">
        <f>$L154*('RD Feedstock Use'!B154/'RD Feedstock Use'!$L154)</f>
        <v>2.0379361121180506</v>
      </c>
      <c r="C154" s="164">
        <f>$L154*('RD Feedstock Use'!C154/'RD Feedstock Use'!$L154)</f>
        <v>0</v>
      </c>
      <c r="D154" s="164">
        <f>'[4]Distillers'' Corn Oil Complex'!$AD161</f>
        <v>0.59663520859089902</v>
      </c>
      <c r="E154" s="164">
        <f>$L154*('RD Feedstock Use'!E154/'RD Feedstock Use'!$L154)</f>
        <v>1.5924347263235765E-2</v>
      </c>
      <c r="F154" s="164">
        <f>$L154*('RD Feedstock Use'!F154/'RD Feedstock Use'!$L154)</f>
        <v>0.71127462187431068</v>
      </c>
      <c r="G154" s="164">
        <f>$L154*('RD Feedstock Use'!G154/'RD Feedstock Use'!$L154)</f>
        <v>1.6303488896944403</v>
      </c>
      <c r="H154" s="164">
        <f>$L154*('RD Feedstock Use'!H154/'RD Feedstock Use'!$L154)</f>
        <v>1.2227616672708304</v>
      </c>
      <c r="I154" s="164">
        <f>$L154*('RD Feedstock Use'!I154/'RD Feedstock Use'!$L154)</f>
        <v>9.3745061157430314</v>
      </c>
      <c r="J154" s="164">
        <f t="shared" si="7"/>
        <v>2.0379361121180506</v>
      </c>
      <c r="K154" s="164">
        <f t="shared" si="6"/>
        <v>13.551450850436748</v>
      </c>
      <c r="L154" s="164">
        <v>14.992751753963899</v>
      </c>
      <c r="M154" s="165">
        <f>[5]SAF!$N26/1000000</f>
        <v>2.0395620000000001</v>
      </c>
      <c r="N154" s="166">
        <f t="shared" si="5"/>
        <v>7.350966410417481</v>
      </c>
    </row>
    <row r="155" spans="1:14" x14ac:dyDescent="0.2">
      <c r="A155" s="155">
        <v>44805</v>
      </c>
      <c r="B155" s="164">
        <f>$L155*('RD Feedstock Use'!B155/'RD Feedstock Use'!$L155)</f>
        <v>0.39754067713512048</v>
      </c>
      <c r="C155" s="164">
        <f>$L155*('RD Feedstock Use'!C155/'RD Feedstock Use'!$L155)</f>
        <v>0</v>
      </c>
      <c r="D155" s="164">
        <f>'[4]Distillers'' Corn Oil Complex'!$AD162</f>
        <v>0.61858171859598987</v>
      </c>
      <c r="E155" s="164">
        <f>$L155*('RD Feedstock Use'!E155/'RD Feedstock Use'!$L155)</f>
        <v>3.1585593369977756E-3</v>
      </c>
      <c r="F155" s="164">
        <f>$L155*('RD Feedstock Use'!F155/'RD Feedstock Use'!$L155)</f>
        <v>0.14107976050468052</v>
      </c>
      <c r="G155" s="164">
        <f>$L155*('RD Feedstock Use'!G155/'RD Feedstock Use'!$L155)</f>
        <v>0.2385244062810723</v>
      </c>
      <c r="H155" s="164">
        <f>$L155*('RD Feedstock Use'!H155/'RD Feedstock Use'!$L155)</f>
        <v>0.2385244062810723</v>
      </c>
      <c r="I155" s="164">
        <f>$L155*('RD Feedstock Use'!I155/'RD Feedstock Use'!$L155)</f>
        <v>1.9877033856756026</v>
      </c>
      <c r="J155" s="164">
        <f t="shared" si="7"/>
        <v>0.39754067713512048</v>
      </c>
      <c r="K155" s="164">
        <f t="shared" si="6"/>
        <v>3.2275722366754156</v>
      </c>
      <c r="L155" s="164">
        <v>3.0065311952145461</v>
      </c>
      <c r="M155" s="165">
        <f>[5]SAF!$N27/1000000</f>
        <v>0.393571</v>
      </c>
      <c r="N155" s="166">
        <f t="shared" si="5"/>
        <v>7.6391075440379144</v>
      </c>
    </row>
    <row r="156" spans="1:14" x14ac:dyDescent="0.2">
      <c r="A156" s="155">
        <v>44835</v>
      </c>
      <c r="B156" s="164">
        <f>$L156*('RD Feedstock Use'!B156/'RD Feedstock Use'!$L156)</f>
        <v>1.1280152766948717</v>
      </c>
      <c r="C156" s="164">
        <f>$L156*('RD Feedstock Use'!C156/'RD Feedstock Use'!$L156)</f>
        <v>0</v>
      </c>
      <c r="D156" s="164">
        <f>'[4]Distillers'' Corn Oil Complex'!$AE151</f>
        <v>2.6678619081365396</v>
      </c>
      <c r="E156" s="164">
        <f>$L156*('RD Feedstock Use'!E156/'RD Feedstock Use'!$L156)</f>
        <v>3.0791106711529771E-2</v>
      </c>
      <c r="F156" s="164">
        <f>$L156*('RD Feedstock Use'!F156/'RD Feedstock Use'!$L156)</f>
        <v>0.64140553898352404</v>
      </c>
      <c r="G156" s="164">
        <f>$L156*('RD Feedstock Use'!G156/'RD Feedstock Use'!$L156)</f>
        <v>1.5040203689264955</v>
      </c>
      <c r="H156" s="164">
        <f>$L156*('RD Feedstock Use'!H156/'RD Feedstock Use'!$L156)</f>
        <v>1.1280152766948717</v>
      </c>
      <c r="I156" s="164">
        <f>$L156*('RD Feedstock Use'!I156/'RD Feedstock Use'!$L156)</f>
        <v>8.2721120290957266</v>
      </c>
      <c r="J156" s="164">
        <f t="shared" si="7"/>
        <v>1.1280152766948717</v>
      </c>
      <c r="K156" s="164">
        <f t="shared" si="6"/>
        <v>14.244206228548688</v>
      </c>
      <c r="L156" s="164">
        <v>12.704359597107018</v>
      </c>
      <c r="M156" s="165">
        <f>[5]SAF!$N28/1000000</f>
        <v>1.7646310000000001</v>
      </c>
      <c r="N156" s="166">
        <f t="shared" si="5"/>
        <v>7.1994426013750283</v>
      </c>
    </row>
    <row r="157" spans="1:14" x14ac:dyDescent="0.2">
      <c r="A157" s="155">
        <v>44866</v>
      </c>
      <c r="B157" s="164">
        <f>$L157*('RD Feedstock Use'!B157/'RD Feedstock Use'!$L157)</f>
        <v>0.11019090185969335</v>
      </c>
      <c r="C157" s="164">
        <f>$L157*('RD Feedstock Use'!C157/'RD Feedstock Use'!$L157)</f>
        <v>0</v>
      </c>
      <c r="D157" s="164">
        <f>'[4]Distillers'' Corn Oil Complex'!$AE152</f>
        <v>0.16453394083071346</v>
      </c>
      <c r="E157" s="164">
        <f>$L157*('RD Feedstock Use'!E157/'RD Feedstock Use'!$L157)</f>
        <v>2.3755883669298442E-3</v>
      </c>
      <c r="F157" s="164">
        <f>$L157*('RD Feedstock Use'!F157/'RD Feedstock Use'!$L157)</f>
        <v>3.6318512607169638E-2</v>
      </c>
      <c r="G157" s="164">
        <f>$L157*('RD Feedstock Use'!G157/'RD Feedstock Use'!$L157)</f>
        <v>8.8152721487754673E-2</v>
      </c>
      <c r="H157" s="164">
        <f>$L157*('RD Feedstock Use'!H157/'RD Feedstock Use'!$L157)</f>
        <v>6.6114541115816008E-2</v>
      </c>
      <c r="I157" s="164">
        <f>$L157*('RD Feedstock Use'!I157/'RD Feedstock Use'!$L157)</f>
        <v>0.79337449338979216</v>
      </c>
      <c r="J157" s="164">
        <f t="shared" si="7"/>
        <v>0.11019090185969335</v>
      </c>
      <c r="K157" s="164">
        <f t="shared" si="6"/>
        <v>1.1508697977981757</v>
      </c>
      <c r="L157" s="164">
        <v>1.0965267588271557</v>
      </c>
      <c r="M157" s="165">
        <f>[5]SAF!$N29/1000000</f>
        <v>0.152226</v>
      </c>
      <c r="N157" s="166">
        <f t="shared" si="5"/>
        <v>7.2032816918736327</v>
      </c>
    </row>
    <row r="158" spans="1:14" x14ac:dyDescent="0.2">
      <c r="A158" s="155">
        <v>44896</v>
      </c>
      <c r="B158" s="164">
        <f>$L158*('RD Feedstock Use'!B158/'RD Feedstock Use'!$L158)</f>
        <v>1.5562674562291678</v>
      </c>
      <c r="C158" s="164">
        <f>$L158*('RD Feedstock Use'!C158/'RD Feedstock Use'!$L158)</f>
        <v>0.53490543957324455</v>
      </c>
      <c r="D158" s="164">
        <f>'[4]Distillers'' Corn Oil Complex'!$AE153</f>
        <v>0.12693221856556294</v>
      </c>
      <c r="E158" s="164">
        <f>$L158*('RD Feedstock Use'!E158/'RD Feedstock Use'!$L158)</f>
        <v>2.2661609273491347E-2</v>
      </c>
      <c r="F158" s="164">
        <f>$L158*('RD Feedstock Use'!F158/'RD Feedstock Use'!$L158)</f>
        <v>0.25458423171370503</v>
      </c>
      <c r="G158" s="164">
        <f>$L158*('RD Feedstock Use'!G158/'RD Feedstock Use'!$L158)</f>
        <v>1.0375116374861117</v>
      </c>
      <c r="H158" s="164">
        <f>$L158*('RD Feedstock Use'!H158/'RD Feedstock Use'!$L158)</f>
        <v>0.51875581874305587</v>
      </c>
      <c r="I158" s="164">
        <f>$L158*('RD Feedstock Use'!I158/'RD Feedstock Use'!$L158)</f>
        <v>7.5219593717743116</v>
      </c>
      <c r="J158" s="164">
        <f t="shared" si="7"/>
        <v>2.0911728958024125</v>
      </c>
      <c r="K158" s="164">
        <f t="shared" si="6"/>
        <v>9.482404887556239</v>
      </c>
      <c r="L158" s="164">
        <v>11.446645564793087</v>
      </c>
      <c r="M158" s="165">
        <f>[5]SAF!$N30/1000000</f>
        <v>1.5438460000000001</v>
      </c>
      <c r="N158" s="166">
        <f t="shared" si="5"/>
        <v>7.4143700633308551</v>
      </c>
    </row>
    <row r="159" spans="1:14" x14ac:dyDescent="0.2">
      <c r="A159" s="155">
        <v>44927</v>
      </c>
      <c r="B159" s="164">
        <f>$L159*('RD Feedstock Use'!B159/'RD Feedstock Use'!$L159)</f>
        <v>0.15571265542750762</v>
      </c>
      <c r="C159" s="164">
        <f>$L159*('RD Feedstock Use'!C159/'RD Feedstock Use'!$L159)</f>
        <v>0.10109555180984435</v>
      </c>
      <c r="D159" s="164">
        <f>'[4]Distillers'' Corn Oil Complex'!$AE154</f>
        <v>0.12946456692254774</v>
      </c>
      <c r="E159" s="164">
        <f>$L159*('RD Feedstock Use'!E159/'RD Feedstock Use'!$L159)</f>
        <v>1.5040834808174581E-3</v>
      </c>
      <c r="F159" s="164">
        <f>$L159*('RD Feedstock Use'!F159/'RD Feedstock Use'!$L159)</f>
        <v>1.5677593123005453E-2</v>
      </c>
      <c r="G159" s="164">
        <f>$L159*('RD Feedstock Use'!G159/'RD Feedstock Use'!$L159)</f>
        <v>8.6507030793059797E-2</v>
      </c>
      <c r="H159" s="164">
        <f>$L159*('RD Feedstock Use'!H159/'RD Feedstock Use'!$L159)</f>
        <v>3.4602812317223917E-2</v>
      </c>
      <c r="I159" s="164">
        <f>$L159*('RD Feedstock Use'!I159/'RD Feedstock Use'!$L159)</f>
        <v>0.36332952933085116</v>
      </c>
      <c r="J159" s="164">
        <f t="shared" si="7"/>
        <v>0.25680820723735198</v>
      </c>
      <c r="K159" s="164">
        <f t="shared" si="6"/>
        <v>0.63108561596750556</v>
      </c>
      <c r="L159" s="164">
        <v>0.75842925628230984</v>
      </c>
      <c r="M159" s="165">
        <f>[5]SAF!$O19/1000000</f>
        <v>0.100937</v>
      </c>
      <c r="N159" s="166">
        <f t="shared" si="5"/>
        <v>7.5138874375334108</v>
      </c>
    </row>
    <row r="160" spans="1:14" x14ac:dyDescent="0.2">
      <c r="A160" s="155">
        <v>44958</v>
      </c>
      <c r="B160" s="164">
        <f>$L160*('RD Feedstock Use'!B160/'RD Feedstock Use'!$L160)</f>
        <v>5.2510191998980815</v>
      </c>
      <c r="C160" s="164">
        <f>$L160*('RD Feedstock Use'!C160/'RD Feedstock Use'!$L160)</f>
        <v>2.1256400602145451</v>
      </c>
      <c r="D160" s="164">
        <f>'[4]Distillers'' Corn Oil Complex'!$AE155</f>
        <v>2.0067774416601174</v>
      </c>
      <c r="E160" s="164">
        <f>$L160*('RD Feedstock Use'!E160/'RD Feedstock Use'!$L160)</f>
        <v>4.1055797186238537E-2</v>
      </c>
      <c r="F160" s="164">
        <f>$L160*('RD Feedstock Use'!F160/'RD Feedstock Use'!$L160)</f>
        <v>0.40453310297631362</v>
      </c>
      <c r="G160" s="164">
        <f>$L160*('RD Feedstock Use'!G160/'RD Feedstock Use'!$L160)</f>
        <v>2.6255095999490408</v>
      </c>
      <c r="H160" s="164">
        <f>$L160*('RD Feedstock Use'!H160/'RD Feedstock Use'!$L160)</f>
        <v>1.0502038399796163</v>
      </c>
      <c r="I160" s="164">
        <f>$L160*('RD Feedstock Use'!I160/'RD Feedstock Use'!$L160)</f>
        <v>10.502038399796163</v>
      </c>
      <c r="J160" s="164">
        <f t="shared" si="7"/>
        <v>7.3766592601126266</v>
      </c>
      <c r="K160" s="164">
        <f t="shared" si="6"/>
        <v>16.630118181547488</v>
      </c>
      <c r="L160" s="164">
        <v>22</v>
      </c>
      <c r="M160" s="165">
        <f>[5]SAF!$O20/1000000</f>
        <v>3.0648759999999999</v>
      </c>
      <c r="N160" s="166">
        <f t="shared" si="5"/>
        <v>7.1781044322837202</v>
      </c>
    </row>
    <row r="161" spans="1:14" x14ac:dyDescent="0.2">
      <c r="A161" s="155">
        <v>44986</v>
      </c>
      <c r="B161" s="164">
        <f>$L161*('RD Feedstock Use'!B161/'RD Feedstock Use'!$L161)</f>
        <v>1.7534628575776887</v>
      </c>
      <c r="C161" s="164">
        <f>$L161*('RD Feedstock Use'!C161/'RD Feedstock Use'!$L161)</f>
        <v>1.5266864114546728</v>
      </c>
      <c r="D161" s="164">
        <f>'[4]Distillers'' Corn Oil Complex'!$AE156</f>
        <v>0.74568117154995917</v>
      </c>
      <c r="E161" s="164">
        <f>$L161*('RD Feedstock Use'!E161/'RD Feedstock Use'!$L161)</f>
        <v>2.7749822097013176E-2</v>
      </c>
      <c r="F161" s="164">
        <f>$L161*('RD Feedstock Use'!F161/'RD Feedstock Use'!$L161)</f>
        <v>0.18342655843475458</v>
      </c>
      <c r="G161" s="164">
        <f>$L161*('RD Feedstock Use'!G161/'RD Feedstock Use'!$L161)</f>
        <v>1.4612190479814073</v>
      </c>
      <c r="H161" s="164">
        <f>$L161*('RD Feedstock Use'!H161/'RD Feedstock Use'!$L161)</f>
        <v>1.1689752383851257</v>
      </c>
      <c r="I161" s="164">
        <f>$L161*('RD Feedstock Use'!I161/'RD Feedstock Use'!$L161)</f>
        <v>9.9362895262735691</v>
      </c>
      <c r="J161" s="164">
        <f t="shared" si="7"/>
        <v>3.2801492690323615</v>
      </c>
      <c r="K161" s="164">
        <f t="shared" si="6"/>
        <v>13.52334136472183</v>
      </c>
      <c r="L161" s="164">
        <v>16.057809462204233</v>
      </c>
      <c r="M161" s="165">
        <f>[5]SAF!$O21/1000000</f>
        <v>2.2118060000000002</v>
      </c>
      <c r="N161" s="166">
        <f t="shared" si="5"/>
        <v>7.2600442634680578</v>
      </c>
    </row>
    <row r="162" spans="1:14" x14ac:dyDescent="0.2">
      <c r="A162" s="155">
        <v>45017</v>
      </c>
      <c r="B162" s="164">
        <f>$L162*('RD Feedstock Use'!B162/'RD Feedstock Use'!$L162)</f>
        <v>2.9647106851899085</v>
      </c>
      <c r="C162" s="164">
        <f>$L162*('RD Feedstock Use'!C162/'RD Feedstock Use'!$L162)</f>
        <v>1.3299311197996533</v>
      </c>
      <c r="D162" s="164">
        <f>'[4]Distillers'' Corn Oil Complex'!$AE157</f>
        <v>1.3179069347579038</v>
      </c>
      <c r="E162" s="164">
        <f>$L162*('RD Feedstock Use'!E162/'RD Feedstock Use'!$L162)</f>
        <v>2.7954675551427912E-2</v>
      </c>
      <c r="F162" s="164">
        <f>$L162*('RD Feedstock Use'!F162/'RD Feedstock Use'!$L162)</f>
        <v>0.15078171177390753</v>
      </c>
      <c r="G162" s="164">
        <f>$L162*('RD Feedstock Use'!G162/'RD Feedstock Use'!$L162)</f>
        <v>1.6470614917721711</v>
      </c>
      <c r="H162" s="164">
        <f>$L162*('RD Feedstock Use'!H162/'RD Feedstock Use'!$L162)</f>
        <v>1.317649193417737</v>
      </c>
      <c r="I162" s="164">
        <f>$L162*('RD Feedstock Use'!I162/'RD Feedstock Use'!$L162)</f>
        <v>10.211781248987462</v>
      </c>
      <c r="J162" s="164">
        <f t="shared" si="7"/>
        <v>4.2946418049895616</v>
      </c>
      <c r="K162" s="164">
        <f t="shared" si="6"/>
        <v>14.673135256260609</v>
      </c>
      <c r="L162" s="164">
        <v>17.649870126492267</v>
      </c>
      <c r="M162" s="165">
        <f>[5]SAF!$O22/1000000</f>
        <v>2.3114499999999998</v>
      </c>
      <c r="N162" s="166">
        <f t="shared" si="5"/>
        <v>7.6358433565477384</v>
      </c>
    </row>
    <row r="163" spans="1:14" x14ac:dyDescent="0.2">
      <c r="A163" s="155">
        <v>45047</v>
      </c>
      <c r="B163" s="164">
        <f>$L163*('RD Feedstock Use'!B163/'RD Feedstock Use'!$L163)</f>
        <v>2.1637836574174023</v>
      </c>
      <c r="C163" s="164">
        <f>$L163*('RD Feedstock Use'!C163/'RD Feedstock Use'!$L163)</f>
        <v>0.88113472604698584</v>
      </c>
      <c r="D163" s="164">
        <f>'[4]Distillers'' Corn Oil Complex'!$AE158</f>
        <v>2.2568586591387509</v>
      </c>
      <c r="E163" s="164">
        <f>$L163*('RD Feedstock Use'!E163/'RD Feedstock Use'!$L163)</f>
        <v>1.871059893453509E-2</v>
      </c>
      <c r="F163" s="164">
        <f>$L163*('RD Feedstock Use'!F163/'RD Feedstock Use'!$L163)</f>
        <v>0.10092108314668474</v>
      </c>
      <c r="G163" s="164">
        <f>$L163*('RD Feedstock Use'!G163/'RD Feedstock Use'!$L163)</f>
        <v>0.90157652392391774</v>
      </c>
      <c r="H163" s="164">
        <f>$L163*('RD Feedstock Use'!H163/'RD Feedstock Use'!$L163)</f>
        <v>0.7212612191391341</v>
      </c>
      <c r="I163" s="164">
        <f>$L163*('RD Feedstock Use'!I163/'RD Feedstock Use'!$L163)</f>
        <v>7.2126121913913419</v>
      </c>
      <c r="J163" s="164">
        <f t="shared" si="7"/>
        <v>3.0449183834643883</v>
      </c>
      <c r="K163" s="164">
        <f t="shared" si="6"/>
        <v>11.211940275674365</v>
      </c>
      <c r="L163" s="164">
        <v>12</v>
      </c>
      <c r="M163" s="165">
        <f>[5]SAF!$O23/1000000</f>
        <v>1.6267149999999999</v>
      </c>
      <c r="N163" s="166">
        <f t="shared" ref="N163:N183" si="8">L163/M163</f>
        <v>7.3768299917318032</v>
      </c>
    </row>
    <row r="164" spans="1:14" x14ac:dyDescent="0.2">
      <c r="A164" s="155">
        <v>45078</v>
      </c>
      <c r="B164" s="164">
        <f>$L164*('RD Feedstock Use'!B164/'RD Feedstock Use'!$L164)</f>
        <v>3.5975417616051852</v>
      </c>
      <c r="C164" s="164">
        <f>$L164*('RD Feedstock Use'!C164/'RD Feedstock Use'!$L164)</f>
        <v>1.444966457880301</v>
      </c>
      <c r="D164" s="164">
        <f>'[4]Distillers'' Corn Oil Complex'!$AE159</f>
        <v>1.8426852120282931</v>
      </c>
      <c r="E164" s="164">
        <f>$L164*('RD Feedstock Use'!E164/'RD Feedstock Use'!$L164)</f>
        <v>2.5711924056913187E-2</v>
      </c>
      <c r="F164" s="164">
        <f>$L164*('RD Feedstock Use'!F164/'RD Feedstock Use'!$L164)</f>
        <v>0.5556348960314148</v>
      </c>
      <c r="G164" s="164">
        <f>$L164*('RD Feedstock Use'!G164/'RD Feedstock Use'!$L164)</f>
        <v>1.7987708808025926</v>
      </c>
      <c r="H164" s="164">
        <f>$L164*('RD Feedstock Use'!H164/'RD Feedstock Use'!$L164)</f>
        <v>1.1991805872017285</v>
      </c>
      <c r="I164" s="164">
        <f>$L164*('RD Feedstock Use'!I164/'RD Feedstock Use'!$L164)</f>
        <v>9.2936495508133969</v>
      </c>
      <c r="J164" s="164">
        <f t="shared" si="7"/>
        <v>5.0425082194854864</v>
      </c>
      <c r="K164" s="164">
        <f t="shared" si="6"/>
        <v>14.71563305093434</v>
      </c>
      <c r="L164" s="164">
        <v>17.915456058391534</v>
      </c>
      <c r="M164" s="165">
        <f>[5]SAF!$O24/1000000</f>
        <v>2.4319850000000001</v>
      </c>
      <c r="N164" s="166">
        <f t="shared" si="8"/>
        <v>7.3665980910209292</v>
      </c>
    </row>
    <row r="165" spans="1:14" x14ac:dyDescent="0.2">
      <c r="A165" s="155">
        <v>45108</v>
      </c>
      <c r="B165" s="164">
        <f>$L165*('RD Feedstock Use'!B165/'RD Feedstock Use'!$L165)</f>
        <v>3.0884057089740855</v>
      </c>
      <c r="C165" s="164">
        <f>$L165*('RD Feedstock Use'!C165/'RD Feedstock Use'!$L165)</f>
        <v>1.2308839247093479</v>
      </c>
      <c r="D165" s="164">
        <f>'[4]Distillers'' Corn Oil Complex'!$AE160</f>
        <v>2.7223969918743958</v>
      </c>
      <c r="E165" s="164">
        <f>$L165*('RD Feedstock Use'!E165/'RD Feedstock Use'!$L165)</f>
        <v>1.8924162663564153E-2</v>
      </c>
      <c r="F165" s="164">
        <f>$L165*('RD Feedstock Use'!F165/'RD Feedstock Use'!$L165)</f>
        <v>0.37059152580917593</v>
      </c>
      <c r="G165" s="164">
        <f>$L165*('RD Feedstock Use'!G165/'RD Feedstock Use'!$L165)</f>
        <v>1.4254180195265012</v>
      </c>
      <c r="H165" s="164">
        <f>$L165*('RD Feedstock Use'!H165/'RD Feedstock Use'!$L165)</f>
        <v>0.95027867968433399</v>
      </c>
      <c r="I165" s="164">
        <f>$L165*('RD Feedstock Use'!I165/'RD Feedstock Use'!$L165)</f>
        <v>6.176811417948171</v>
      </c>
      <c r="J165" s="164">
        <f t="shared" si="7"/>
        <v>4.3192896336834332</v>
      </c>
      <c r="K165" s="164">
        <f t="shared" si="6"/>
        <v>11.664420797506143</v>
      </c>
      <c r="L165" s="164">
        <v>13.261313439315179</v>
      </c>
      <c r="M165" s="165">
        <f>[5]SAF!$O25/1000000</f>
        <v>1.7707619999999999</v>
      </c>
      <c r="N165" s="166">
        <f t="shared" si="8"/>
        <v>7.4890433831961492</v>
      </c>
    </row>
    <row r="166" spans="1:14" x14ac:dyDescent="0.2">
      <c r="A166" s="155">
        <v>45139</v>
      </c>
      <c r="B166" s="164">
        <f>$L166*('RD Feedstock Use'!B166/'RD Feedstock Use'!$L166)</f>
        <v>4.8989073898030133</v>
      </c>
      <c r="C166" s="164">
        <f>$L166*('RD Feedstock Use'!C166/'RD Feedstock Use'!$L166)</f>
        <v>1.4562174447043232</v>
      </c>
      <c r="D166" s="164">
        <f>'[4]Distillers'' Corn Oil Complex'!$AE161</f>
        <v>2.9307803625982971</v>
      </c>
      <c r="E166" s="164">
        <f>$L166*('RD Feedstock Use'!E166/'RD Feedstock Use'!$L166)</f>
        <v>3.555283622249121E-2</v>
      </c>
      <c r="F166" s="164">
        <f>$L166*('RD Feedstock Use'!F166/'RD Feedstock Use'!$L166)</f>
        <v>0.26383117167218201</v>
      </c>
      <c r="G166" s="164">
        <f>$L166*('RD Feedstock Use'!G166/'RD Feedstock Use'!$L166)</f>
        <v>4.5489854333885127</v>
      </c>
      <c r="H166" s="164">
        <f>$L166*('RD Feedstock Use'!H166/'RD Feedstock Use'!$L166)</f>
        <v>2.0995317384870056</v>
      </c>
      <c r="I166" s="164">
        <f>$L166*('RD Feedstock Use'!I166/'RD Feedstock Use'!$L166)</f>
        <v>11.897346518093032</v>
      </c>
      <c r="J166" s="164">
        <f t="shared" si="7"/>
        <v>6.3551248345073361</v>
      </c>
      <c r="K166" s="164">
        <f t="shared" si="6"/>
        <v>21.77602806046152</v>
      </c>
      <c r="L166" s="164">
        <v>25.200372532370562</v>
      </c>
      <c r="M166" s="165">
        <f>[5]SAF!$O26/1000000</f>
        <v>3.4751880000000002</v>
      </c>
      <c r="N166" s="166">
        <f t="shared" si="8"/>
        <v>7.2515134526162504</v>
      </c>
    </row>
    <row r="167" spans="1:14" x14ac:dyDescent="0.2">
      <c r="A167" s="155">
        <v>45170</v>
      </c>
      <c r="B167" s="164">
        <f>$L167*('RD Feedstock Use'!B167/'RD Feedstock Use'!$L167)</f>
        <v>3.7043020113556548</v>
      </c>
      <c r="C167" s="164">
        <f>$L167*('RD Feedstock Use'!C167/'RD Feedstock Use'!$L167)</f>
        <v>1.0773532351242914</v>
      </c>
      <c r="D167" s="164">
        <f>'[4]Distillers'' Corn Oil Complex'!$AE162</f>
        <v>0.92993485861982306</v>
      </c>
      <c r="E167" s="164">
        <f>$L167*('RD Feedstock Use'!E167/'RD Feedstock Use'!$L167)</f>
        <v>2.1424285938078762E-2</v>
      </c>
      <c r="F167" s="164">
        <f>$L167*('RD Feedstock Use'!F167/'RD Feedstock Use'!$L167)</f>
        <v>0.15898575365155784</v>
      </c>
      <c r="G167" s="164">
        <f>$L167*('RD Feedstock Use'!G167/'RD Feedstock Use'!$L167)</f>
        <v>3.268501774725578</v>
      </c>
      <c r="H167" s="164">
        <f>$L167*('RD Feedstock Use'!H167/'RD Feedstock Use'!$L167)</f>
        <v>1.3074007098902312</v>
      </c>
      <c r="I167" s="164">
        <f>$L167*('RD Feedstock Use'!I167/'RD Feedstock Use'!$L167)</f>
        <v>6.537003549451156</v>
      </c>
      <c r="J167" s="164">
        <f t="shared" si="7"/>
        <v>4.7816552464799464</v>
      </c>
      <c r="K167" s="164">
        <f t="shared" si="6"/>
        <v>12.223250932276425</v>
      </c>
      <c r="L167" s="164">
        <v>16.074971320136548</v>
      </c>
      <c r="M167" s="165">
        <f>[5]SAF!$O27/1000000</f>
        <v>2.1630639999999999</v>
      </c>
      <c r="N167" s="166">
        <f t="shared" si="8"/>
        <v>7.4315745258284309</v>
      </c>
    </row>
    <row r="168" spans="1:14" x14ac:dyDescent="0.2">
      <c r="A168" s="155">
        <v>45200</v>
      </c>
      <c r="B168" s="164">
        <f>$L168*('RD Feedstock Use'!B168/'RD Feedstock Use'!$L168)</f>
        <v>3.9573750819421325</v>
      </c>
      <c r="C168" s="164">
        <f>$L168*('RD Feedstock Use'!C168/'RD Feedstock Use'!$L168)</f>
        <v>1.7042468646239437</v>
      </c>
      <c r="D168" s="164">
        <f>'[4]Distillers'' Corn Oil Complex'!$AF151</f>
        <v>1.6490059097773133</v>
      </c>
      <c r="E168" s="164">
        <f>$L168*('RD Feedstock Use'!E168/'RD Feedstock Use'!$L168)</f>
        <v>2.9675241232978451E-2</v>
      </c>
      <c r="F168" s="164">
        <f>$L168*('RD Feedstock Use'!F168/'RD Feedstock Use'!$L168)</f>
        <v>0.57511444606607409</v>
      </c>
      <c r="G168" s="164">
        <f>$L168*('RD Feedstock Use'!G168/'RD Feedstock Use'!$L168)</f>
        <v>5.3964205662847258</v>
      </c>
      <c r="H168" s="164">
        <f>$L168*('RD Feedstock Use'!H168/'RD Feedstock Use'!$L168)</f>
        <v>1.7988068554282419</v>
      </c>
      <c r="I168" s="164">
        <f>$L168*('RD Feedstock Use'!I168/'RD Feedstock Use'!$L168)</f>
        <v>7.1952274217129677</v>
      </c>
      <c r="J168" s="164">
        <f t="shared" si="7"/>
        <v>5.6616219465660764</v>
      </c>
      <c r="K168" s="164">
        <f t="shared" si="6"/>
        <v>16.644250440502301</v>
      </c>
      <c r="L168" s="164">
        <v>20.656866477291064</v>
      </c>
      <c r="M168" s="165">
        <f>[5]SAF!$O28/1000000</f>
        <v>2.895877</v>
      </c>
      <c r="N168" s="166">
        <f t="shared" si="8"/>
        <v>7.1331988469437979</v>
      </c>
    </row>
    <row r="169" spans="1:14" x14ac:dyDescent="0.2">
      <c r="A169" s="155">
        <v>45231</v>
      </c>
      <c r="B169" s="164">
        <f>$L169*('RD Feedstock Use'!B169/'RD Feedstock Use'!$L169)</f>
        <v>0</v>
      </c>
      <c r="C169" s="164">
        <f>$L169*('RD Feedstock Use'!C169/'RD Feedstock Use'!$L169)</f>
        <v>0</v>
      </c>
      <c r="D169" s="164">
        <f>'[4]Distillers'' Corn Oil Complex'!$AF152</f>
        <v>0</v>
      </c>
      <c r="E169" s="164">
        <f>$L169*('RD Feedstock Use'!E169/'RD Feedstock Use'!$L169)</f>
        <v>0</v>
      </c>
      <c r="F169" s="164">
        <f>$L169*('RD Feedstock Use'!F169/'RD Feedstock Use'!$L169)</f>
        <v>0</v>
      </c>
      <c r="G169" s="164">
        <f>$L169*('RD Feedstock Use'!G169/'RD Feedstock Use'!$L169)</f>
        <v>0</v>
      </c>
      <c r="H169" s="164">
        <f>$L169*('RD Feedstock Use'!H169/'RD Feedstock Use'!$L169)</f>
        <v>0</v>
      </c>
      <c r="I169" s="164">
        <f>$L169*('RD Feedstock Use'!I169/'RD Feedstock Use'!$L169)</f>
        <v>0</v>
      </c>
      <c r="J169" s="164">
        <f t="shared" si="7"/>
        <v>0</v>
      </c>
      <c r="K169" s="164">
        <f t="shared" si="6"/>
        <v>0</v>
      </c>
      <c r="L169" s="164">
        <v>0</v>
      </c>
      <c r="M169" s="165">
        <f>[5]SAF!$O29/1000000</f>
        <v>0</v>
      </c>
      <c r="N169" s="166"/>
    </row>
    <row r="170" spans="1:14" x14ac:dyDescent="0.2">
      <c r="A170" s="155">
        <v>45261</v>
      </c>
      <c r="B170" s="164">
        <f>$L170*('RD Feedstock Use'!B170/'RD Feedstock Use'!$L170)</f>
        <v>2.8953376327414064</v>
      </c>
      <c r="C170" s="164">
        <f>$L170*('RD Feedstock Use'!C170/'RD Feedstock Use'!$L170)</f>
        <v>1.7180616771936748</v>
      </c>
      <c r="D170" s="164">
        <f>'[4]Distillers'' Corn Oil Complex'!$AF153</f>
        <v>9.9732725740063449E-2</v>
      </c>
      <c r="E170" s="164">
        <f>$L170*('RD Feedstock Use'!E170/'RD Feedstock Use'!$L170)</f>
        <v>2.1759914095874792E-2</v>
      </c>
      <c r="F170" s="164">
        <f>$L170*('RD Feedstock Use'!F170/'RD Feedstock Use'!$L170)</f>
        <v>0.33262588824231681</v>
      </c>
      <c r="G170" s="164">
        <f>$L170*('RD Feedstock Use'!G170/'RD Feedstock Use'!$L170)</f>
        <v>6.01339354492446</v>
      </c>
      <c r="H170" s="164">
        <f>$L170*('RD Feedstock Use'!H170/'RD Feedstock Use'!$L170)</f>
        <v>1.1135913972082334</v>
      </c>
      <c r="I170" s="164">
        <f>$L170*('RD Feedstock Use'!I170/'RD Feedstock Use'!$L170)</f>
        <v>5.5679569860411666</v>
      </c>
      <c r="J170" s="164">
        <f t="shared" si="7"/>
        <v>4.6133993099350814</v>
      </c>
      <c r="K170" s="164">
        <f t="shared" si="6"/>
        <v>13.149060456252116</v>
      </c>
      <c r="L170" s="164">
        <v>17.662727040447134</v>
      </c>
      <c r="M170" s="165">
        <f>[5]SAF!$O30/1000000</f>
        <v>2.422129</v>
      </c>
      <c r="N170" s="166">
        <f>L170/M170</f>
        <v>7.2922321810469777</v>
      </c>
    </row>
    <row r="171" spans="1:14" x14ac:dyDescent="0.2">
      <c r="A171" s="155">
        <v>45292</v>
      </c>
      <c r="B171" s="164">
        <f>$L171*('RD Feedstock Use'!B171/'RD Feedstock Use'!$L171)</f>
        <v>12.782800939640961</v>
      </c>
      <c r="C171" s="164">
        <f>$L171*('RD Feedstock Use'!C171/'RD Feedstock Use'!$L171)</f>
        <v>9.5014858369355188</v>
      </c>
      <c r="D171" s="164">
        <f>'[4]Distillers'' Corn Oil Complex'!$AF154</f>
        <v>0.63915761438580088</v>
      </c>
      <c r="E171" s="164">
        <f>$L171*('RD Feedstock Use'!E171/'RD Feedstock Use'!$L171)</f>
        <v>8.5713476024673524E-2</v>
      </c>
      <c r="F171" s="164">
        <f>$L171*('RD Feedstock Use'!F171/'RD Feedstock Use'!$L171)</f>
        <v>1.6611510550938893</v>
      </c>
      <c r="G171" s="164">
        <f>$L171*('RD Feedstock Use'!G171/'RD Feedstock Use'!$L171)</f>
        <v>22.369901644371684</v>
      </c>
      <c r="H171" s="164">
        <f>$L171*('RD Feedstock Use'!H171/'RD Feedstock Use'!$L171)</f>
        <v>4.2609336465469871</v>
      </c>
      <c r="I171" s="164">
        <f>$L171*('RD Feedstock Use'!I171/'RD Feedstock Use'!$L171)</f>
        <v>20.23943482109819</v>
      </c>
      <c r="J171" s="164">
        <f t="shared" si="7"/>
        <v>22.284286776576479</v>
      </c>
      <c r="K171" s="164">
        <f t="shared" si="6"/>
        <v>49.256292257521224</v>
      </c>
      <c r="L171" s="164">
        <v>70.901421419711909</v>
      </c>
      <c r="M171" s="165">
        <f>[5]SAF!$P19/1000000</f>
        <v>9.6606260000000006</v>
      </c>
      <c r="N171" s="166">
        <f t="shared" si="8"/>
        <v>7.3392160528429429</v>
      </c>
    </row>
    <row r="172" spans="1:14" x14ac:dyDescent="0.2">
      <c r="A172" s="155">
        <v>45323</v>
      </c>
      <c r="B172" s="164">
        <f>$L172*('RD Feedstock Use'!B172/'RD Feedstock Use'!$L172)</f>
        <v>1.221193499191993</v>
      </c>
      <c r="C172" s="164">
        <f>$L172*('RD Feedstock Use'!C172/'RD Feedstock Use'!$L172)</f>
        <v>0.89899789333430047</v>
      </c>
      <c r="D172" s="164">
        <f>'[4]Distillers'' Corn Oil Complex'!$AF155</f>
        <v>1.3576556376026356</v>
      </c>
      <c r="E172" s="164">
        <f>$L172*('RD Feedstock Use'!E172/'RD Feedstock Use'!$L172)</f>
        <v>1.0993012746623907E-2</v>
      </c>
      <c r="F172" s="164">
        <f>$L172*('RD Feedstock Use'!F172/'RD Feedstock Use'!$L172)</f>
        <v>0.21304765096048883</v>
      </c>
      <c r="G172" s="164">
        <f>$L172*('RD Feedstock Use'!G172/'RD Feedstock Use'!$L172)</f>
        <v>3.392204164422203</v>
      </c>
      <c r="H172" s="164">
        <f>$L172*('RD Feedstock Use'!H172/'RD Feedstock Use'!$L172)</f>
        <v>0.54275266630755248</v>
      </c>
      <c r="I172" s="164">
        <f>$L172*('RD Feedstock Use'!I172/'RD Feedstock Use'!$L172)</f>
        <v>2.9851396646915385</v>
      </c>
      <c r="J172" s="164">
        <f t="shared" si="7"/>
        <v>2.1201913925262934</v>
      </c>
      <c r="K172" s="164">
        <f t="shared" si="6"/>
        <v>8.501792796731042</v>
      </c>
      <c r="L172" s="164">
        <v>9.2643285516546996</v>
      </c>
      <c r="M172" s="165">
        <f>[5]SAF!$P20/1000000</f>
        <v>1.254939</v>
      </c>
      <c r="N172" s="166">
        <f t="shared" si="8"/>
        <v>7.3822939215808097</v>
      </c>
    </row>
    <row r="173" spans="1:14" x14ac:dyDescent="0.2">
      <c r="A173" s="155">
        <v>45352</v>
      </c>
      <c r="B173" s="164">
        <f>$L173*('RD Feedstock Use'!B173/'RD Feedstock Use'!$L173)</f>
        <v>11.413171075468401</v>
      </c>
      <c r="C173" s="164">
        <f>$L173*('RD Feedstock Use'!C173/'RD Feedstock Use'!$L173)</f>
        <v>6.301737155882245</v>
      </c>
      <c r="D173" s="164">
        <f>'[4]Distillers'' Corn Oil Complex'!$AF156</f>
        <v>3.0609971634533442</v>
      </c>
      <c r="E173" s="164">
        <f>$L173*('RD Feedstock Use'!E173/'RD Feedstock Use'!$L173)</f>
        <v>6.6303032382817678E-2</v>
      </c>
      <c r="F173" s="164">
        <f>$L173*('RD Feedstock Use'!F173/'RD Feedstock Use'!$L173)</f>
        <v>1.9931703413826678</v>
      </c>
      <c r="G173" s="164">
        <f>$L173*('RD Feedstock Use'!G173/'RD Feedstock Use'!$L173)</f>
        <v>16.680788494915358</v>
      </c>
      <c r="H173" s="164">
        <f>$L173*('RD Feedstock Use'!H173/'RD Feedstock Use'!$L173)</f>
        <v>4.3896811828724625</v>
      </c>
      <c r="I173" s="164">
        <f>$L173*('RD Feedstock Use'!I173/'RD Feedstock Use'!$L173)</f>
        <v>14.924916021766371</v>
      </c>
      <c r="J173" s="164">
        <f t="shared" si="7"/>
        <v>17.714908231350648</v>
      </c>
      <c r="K173" s="164">
        <f t="shared" si="6"/>
        <v>41.11585623677302</v>
      </c>
      <c r="L173" s="164">
        <v>55.769767304670324</v>
      </c>
      <c r="M173" s="165">
        <f>[5]SAF!$P21/1000000</f>
        <v>7.7826979999999999</v>
      </c>
      <c r="N173" s="166">
        <f t="shared" si="8"/>
        <v>7.1658655269252804</v>
      </c>
    </row>
    <row r="174" spans="1:14" x14ac:dyDescent="0.2">
      <c r="A174" s="155">
        <v>45383</v>
      </c>
      <c r="B174" s="164">
        <f>$L174*('RD Feedstock Use'!B174/'RD Feedstock Use'!$L174)</f>
        <v>11.390732569272336</v>
      </c>
      <c r="C174" s="164">
        <f>$L174*('RD Feedstock Use'!C174/'RD Feedstock Use'!$L174)</f>
        <v>5.217433294173536</v>
      </c>
      <c r="D174" s="164">
        <f>'[4]Distillers'' Corn Oil Complex'!$AF157</f>
        <v>3.0950489829388785</v>
      </c>
      <c r="E174" s="164">
        <f>$L174*('RD Feedstock Use'!E174/'RD Feedstock Use'!$L174)</f>
        <v>7.3957330953403094E-2</v>
      </c>
      <c r="F174" s="164">
        <f>$L174*('RD Feedstock Use'!F174/'RD Feedstock Use'!$L174)</f>
        <v>1.6848872937536792</v>
      </c>
      <c r="G174" s="164">
        <f>$L174*('RD Feedstock Use'!G174/'RD Feedstock Use'!$L174)</f>
        <v>11.390732569272336</v>
      </c>
      <c r="H174" s="164">
        <f>$L174*('RD Feedstock Use'!H174/'RD Feedstock Use'!$L174)</f>
        <v>4.2715247134771266</v>
      </c>
      <c r="I174" s="164">
        <f>$L174*('RD Feedstock Use'!I174/'RD Feedstock Use'!$L174)</f>
        <v>27.052989852021796</v>
      </c>
      <c r="J174" s="164">
        <f t="shared" si="7"/>
        <v>16.608165863445873</v>
      </c>
      <c r="K174" s="164">
        <f t="shared" si="6"/>
        <v>47.569140742417218</v>
      </c>
      <c r="L174" s="164">
        <v>61.082257622924203</v>
      </c>
      <c r="M174" s="165">
        <f>[5]SAF!$P22/1000000</f>
        <v>8.4032409999999995</v>
      </c>
      <c r="N174" s="166">
        <f t="shared" si="8"/>
        <v>7.268892754941124</v>
      </c>
    </row>
    <row r="175" spans="1:14" x14ac:dyDescent="0.2">
      <c r="A175" s="155">
        <v>45413</v>
      </c>
      <c r="B175" s="164">
        <f>$L175*('RD Feedstock Use'!B175/'RD Feedstock Use'!$L175)</f>
        <v>27.053484665537908</v>
      </c>
      <c r="C175" s="164">
        <f>$L175*('RD Feedstock Use'!C175/'RD Feedstock Use'!$L175)</f>
        <v>19.708557116833958</v>
      </c>
      <c r="D175" s="164">
        <f>'[4]Distillers'' Corn Oil Complex'!$AF158</f>
        <v>3.5227041969997632</v>
      </c>
      <c r="E175" s="164">
        <f>$L175*('RD Feedstock Use'!E175/'RD Feedstock Use'!$L175)</f>
        <v>0.16293619464400491</v>
      </c>
      <c r="F175" s="164">
        <f>$L175*('RD Feedstock Use'!F175/'RD Feedstock Use'!$L175)</f>
        <v>3.7119933955056821</v>
      </c>
      <c r="G175" s="164">
        <f>$L175*('RD Feedstock Use'!G175/'RD Feedstock Use'!$L175)</f>
        <v>29.134521947502368</v>
      </c>
      <c r="H175" s="164">
        <f>$L175*('RD Feedstock Use'!H175/'RD Feedstock Use'!$L175)</f>
        <v>8.3241491278578188</v>
      </c>
      <c r="I175" s="164">
        <f>$L175*('RD Feedstock Use'!I175/'RD Feedstock Use'!$L175)</f>
        <v>47.863857485182464</v>
      </c>
      <c r="J175" s="164">
        <f t="shared" si="7"/>
        <v>46.762041782371867</v>
      </c>
      <c r="K175" s="164">
        <f t="shared" si="6"/>
        <v>92.720162347692096</v>
      </c>
      <c r="L175" s="164">
        <v>135.95949993306419</v>
      </c>
      <c r="M175" s="165">
        <f>[5]SAF!$P23/1000000</f>
        <v>18.055498</v>
      </c>
      <c r="N175" s="166">
        <f t="shared" si="8"/>
        <v>7.5300886152829563</v>
      </c>
    </row>
    <row r="176" spans="1:14" x14ac:dyDescent="0.2">
      <c r="A176" s="155">
        <v>45444</v>
      </c>
      <c r="B176" s="164">
        <f>$L176*('RD Feedstock Use'!B176/'RD Feedstock Use'!$L176)</f>
        <v>10.314314891357469</v>
      </c>
      <c r="C176" s="164">
        <f>$L176*('RD Feedstock Use'!C176/'RD Feedstock Use'!$L176)</f>
        <v>4.8115773295904649</v>
      </c>
      <c r="D176" s="164">
        <f>'[4]Distillers'' Corn Oil Complex'!$AF159</f>
        <v>3.0911004090010388</v>
      </c>
      <c r="E176" s="164">
        <f>$L176*('RD Feedstock Use'!E176/'RD Feedstock Use'!$L176)</f>
        <v>5.0011094181018893E-2</v>
      </c>
      <c r="F176" s="164">
        <f>$L176*('RD Feedstock Use'!F176/'RD Feedstock Use'!$L176)</f>
        <v>1.139346918636198</v>
      </c>
      <c r="G176" s="164">
        <f>$L176*('RD Feedstock Use'!G176/'RD Feedstock Use'!$L176)</f>
        <v>10.314314891357469</v>
      </c>
      <c r="H176" s="164">
        <f>$L176*('RD Feedstock Use'!H176/'RD Feedstock Use'!$L176)</f>
        <v>2.7142933924624915</v>
      </c>
      <c r="I176" s="164">
        <f>$L176*('RD Feedstock Use'!I176/'RD Feedstock Use'!$L176)</f>
        <v>16.828619033267447</v>
      </c>
      <c r="J176" s="164">
        <f t="shared" si="7"/>
        <v>15.125892220947934</v>
      </c>
      <c r="K176" s="164">
        <f t="shared" si="6"/>
        <v>34.13768573890566</v>
      </c>
      <c r="L176" s="164">
        <v>46.172477550852555</v>
      </c>
      <c r="M176" s="165">
        <f>[5]SAF!$P24/1000000</f>
        <v>6.2692639999999997</v>
      </c>
      <c r="N176" s="166">
        <f t="shared" si="8"/>
        <v>7.3648960309938385</v>
      </c>
    </row>
    <row r="177" spans="1:16" x14ac:dyDescent="0.2">
      <c r="A177" s="155">
        <v>45474</v>
      </c>
      <c r="B177" s="164">
        <f>$L177*('RD Feedstock Use'!B177/'RD Feedstock Use'!$L177)</f>
        <v>10.748547847774065</v>
      </c>
      <c r="C177" s="164">
        <f>$L177*('RD Feedstock Use'!C177/'RD Feedstock Use'!$L177)</f>
        <v>13.362913884545453</v>
      </c>
      <c r="D177" s="164">
        <f>'[4]Distillers'' Corn Oil Complex'!$AF160</f>
        <v>3.3898458508061116</v>
      </c>
      <c r="E177" s="164">
        <f>$L177*('RD Feedstock Use'!E177/'RD Feedstock Use'!$L177)</f>
        <v>7.6991936293860017E-2</v>
      </c>
      <c r="F177" s="164">
        <f>$L177*('RD Feedstock Use'!F177/'RD Feedstock Use'!$L177)</f>
        <v>1.7540213189244145</v>
      </c>
      <c r="G177" s="164">
        <f>$L177*('RD Feedstock Use'!G177/'RD Feedstock Use'!$L177)</f>
        <v>19.016661576831034</v>
      </c>
      <c r="H177" s="164">
        <f>$L177*('RD Feedstock Use'!H177/'RD Feedstock Use'!$L177)</f>
        <v>4.1340568645284863</v>
      </c>
      <c r="I177" s="164">
        <f>$L177*('RD Feedstock Use'!I177/'RD Feedstock Use'!$L177)</f>
        <v>24.804341187170916</v>
      </c>
      <c r="J177" s="164">
        <f t="shared" si="7"/>
        <v>24.111461732319519</v>
      </c>
      <c r="K177" s="164">
        <f t="shared" si="6"/>
        <v>53.17591873455482</v>
      </c>
      <c r="L177" s="164">
        <v>73.897534616068228</v>
      </c>
      <c r="M177" s="165">
        <f>[5]SAF!$P25/1000000</f>
        <v>10.194334</v>
      </c>
      <c r="N177" s="166">
        <f t="shared" si="8"/>
        <v>7.2488830183578674</v>
      </c>
    </row>
    <row r="178" spans="1:16" x14ac:dyDescent="0.2">
      <c r="A178" s="155">
        <v>45505</v>
      </c>
      <c r="B178" s="164">
        <f>$L178*('RD Feedstock Use'!B178/'RD Feedstock Use'!$L178)</f>
        <v>16.08873651964976</v>
      </c>
      <c r="C178" s="164">
        <f>$L178*('RD Feedstock Use'!C178/'RD Feedstock Use'!$L178)</f>
        <v>11.509344143965683</v>
      </c>
      <c r="D178" s="164">
        <f>'[4]Distillers'' Corn Oil Complex'!$AF161</f>
        <v>4.1592425556456281</v>
      </c>
      <c r="E178" s="164">
        <f>$L178*('RD Feedstock Use'!E178/'RD Feedstock Use'!$L178)</f>
        <v>8.769320874918228E-2</v>
      </c>
      <c r="F178" s="164">
        <f>$L178*('RD Feedstock Use'!F178/'RD Feedstock Use'!$L178)</f>
        <v>1.9978164607248776</v>
      </c>
      <c r="G178" s="164">
        <f>$L178*('RD Feedstock Use'!G178/'RD Feedstock Use'!$L178)</f>
        <v>20.379066258223034</v>
      </c>
      <c r="H178" s="164">
        <f>$L178*('RD Feedstock Use'!H178/'RD Feedstock Use'!$L178)</f>
        <v>5.3629121732165883</v>
      </c>
      <c r="I178" s="164">
        <f>$L178*('RD Feedstock Use'!I178/'RD Feedstock Use'!$L178)</f>
        <v>26.814560866082935</v>
      </c>
      <c r="J178" s="164">
        <f t="shared" si="7"/>
        <v>27.598080663615441</v>
      </c>
      <c r="K178" s="164">
        <f t="shared" si="6"/>
        <v>58.801291522642245</v>
      </c>
      <c r="L178" s="164">
        <v>82.24012963061206</v>
      </c>
      <c r="M178" s="165">
        <f>[5]SAF!$P26/1000000</f>
        <v>11.018725999999999</v>
      </c>
      <c r="N178" s="166">
        <f t="shared" si="8"/>
        <v>7.4636695413437151</v>
      </c>
    </row>
    <row r="179" spans="1:16" x14ac:dyDescent="0.2">
      <c r="A179" s="155">
        <v>45536</v>
      </c>
      <c r="B179" s="164">
        <f>$L179*('RD Feedstock Use'!B179/'RD Feedstock Use'!$L179)</f>
        <v>25.386001993281681</v>
      </c>
      <c r="C179" s="164">
        <f>$L179*('RD Feedstock Use'!C179/'RD Feedstock Use'!$L179)</f>
        <v>13.029745459813508</v>
      </c>
      <c r="D179" s="164">
        <f>'[4]Distillers'' Corn Oil Complex'!$AF162</f>
        <v>9.3970577217692828</v>
      </c>
      <c r="E179" s="164">
        <f>$L179*('RD Feedstock Use'!E179/'RD Feedstock Use'!$L179)</f>
        <v>0.17345405133666783</v>
      </c>
      <c r="F179" s="164">
        <f>$L179*('RD Feedstock Use'!F179/'RD Feedstock Use'!$L179)</f>
        <v>3.9516099807790908</v>
      </c>
      <c r="G179" s="164">
        <f>$L179*('RD Feedstock Use'!G179/'RD Feedstock Use'!$L179)</f>
        <v>33.848002657708911</v>
      </c>
      <c r="H179" s="164">
        <f>$L179*('RD Feedstock Use'!H179/'RD Feedstock Use'!$L179)</f>
        <v>8.4620006644272276</v>
      </c>
      <c r="I179" s="164">
        <f>$L179*('RD Feedstock Use'!I179/'RD Feedstock Use'!$L179)</f>
        <v>76.158005979845029</v>
      </c>
      <c r="J179" s="164">
        <f t="shared" si="7"/>
        <v>38.415747453095193</v>
      </c>
      <c r="K179" s="164">
        <f t="shared" si="6"/>
        <v>131.99013105586621</v>
      </c>
      <c r="L179" s="164">
        <v>161.00882078719212</v>
      </c>
      <c r="M179" s="165">
        <f>[5]SAF!$P27/1000000</f>
        <v>20.695121</v>
      </c>
      <c r="N179" s="166">
        <f t="shared" si="8"/>
        <v>7.7800376613981683</v>
      </c>
    </row>
    <row r="180" spans="1:16" x14ac:dyDescent="0.2">
      <c r="A180" s="155">
        <v>45566</v>
      </c>
      <c r="B180" s="164">
        <f>$L180*('RD Feedstock Use'!B180/'RD Feedstock Use'!$L180)</f>
        <v>16.250755828461838</v>
      </c>
      <c r="C180" s="164">
        <f>$L180*('RD Feedstock Use'!C180/'RD Feedstock Use'!$L180)</f>
        <v>9.4621823004096317</v>
      </c>
      <c r="D180" s="164">
        <f>'[4]Distillers'' Corn Oil Complex'!$AG151</f>
        <v>2.2767485897945545</v>
      </c>
      <c r="E180" s="164">
        <f>$L180*('RD Feedstock Use'!E180/'RD Feedstock Use'!$L180)</f>
        <v>7.6884321377866702E-2</v>
      </c>
      <c r="F180" s="164">
        <f>$L180*('RD Feedstock Use'!F180/'RD Feedstock Use'!$L180)</f>
        <v>1.2836402397950371</v>
      </c>
      <c r="G180" s="164">
        <f>$L180*('RD Feedstock Use'!G180/'RD Feedstock Use'!$L180)</f>
        <v>15.476910312820799</v>
      </c>
      <c r="H180" s="164">
        <f>$L180*('RD Feedstock Use'!H180/'RD Feedstock Use'!$L180)</f>
        <v>3.0953820625641599</v>
      </c>
      <c r="I180" s="164">
        <f>$L180*('RD Feedstock Use'!I180/'RD Feedstock Use'!$L180)</f>
        <v>26.310747531795357</v>
      </c>
      <c r="J180" s="164">
        <f t="shared" si="7"/>
        <v>25.712938128871471</v>
      </c>
      <c r="K180" s="164">
        <f t="shared" si="6"/>
        <v>48.520313058147778</v>
      </c>
      <c r="L180" s="164">
        <v>71.956502597224684</v>
      </c>
      <c r="M180" s="165">
        <f>[5]SAF!$P28/1000000</f>
        <v>9.2663410000000006</v>
      </c>
      <c r="N180" s="166">
        <f t="shared" si="8"/>
        <v>7.7653631133609995</v>
      </c>
    </row>
    <row r="181" spans="1:16" x14ac:dyDescent="0.2">
      <c r="A181" s="155">
        <v>45597</v>
      </c>
      <c r="B181" s="164">
        <f>$L181*('RD Feedstock Use'!B181/'RD Feedstock Use'!$L181)</f>
        <v>7.3070480839843936</v>
      </c>
      <c r="C181" s="164">
        <f>$L181*('RD Feedstock Use'!C181/'RD Feedstock Use'!$L181)</f>
        <v>3.6360599787415571</v>
      </c>
      <c r="D181" s="164">
        <f>'[4]Distillers'' Corn Oil Complex'!$AG152</f>
        <v>1.2246676319487977</v>
      </c>
      <c r="E181" s="164">
        <f>$L181*('RD Feedstock Use'!E181/'RD Feedstock Use'!$L181)</f>
        <v>2.7710232075310107E-2</v>
      </c>
      <c r="F181" s="164">
        <f>$L181*('RD Feedstock Use'!F181/'RD Feedstock Use'!$L181)</f>
        <v>0.15968526154809093</v>
      </c>
      <c r="G181" s="164">
        <f>$L181*('RD Feedstock Use'!G181/'RD Feedstock Use'!$L181)</f>
        <v>7.6247458267663228</v>
      </c>
      <c r="H181" s="164">
        <f>$L181*('RD Feedstock Use'!H181/'RD Feedstock Use'!$L181)</f>
        <v>0.95309322834579036</v>
      </c>
      <c r="I181" s="164">
        <f>$L181*('RD Feedstock Use'!I181/'RD Feedstock Use'!$L181)</f>
        <v>6.6716525984205326</v>
      </c>
      <c r="J181" s="164">
        <f t="shared" si="7"/>
        <v>10.943108062725951</v>
      </c>
      <c r="K181" s="164">
        <f t="shared" si="6"/>
        <v>16.661554779104847</v>
      </c>
      <c r="L181" s="164">
        <v>26.379995209881997</v>
      </c>
      <c r="M181" s="165">
        <f>[5]SAF!$P29/1000000</f>
        <v>3.6557140000000001</v>
      </c>
      <c r="N181" s="166">
        <f t="shared" si="8"/>
        <v>7.2160992927460947</v>
      </c>
    </row>
    <row r="182" spans="1:16" x14ac:dyDescent="0.2">
      <c r="A182" s="155">
        <v>45627</v>
      </c>
      <c r="B182" s="164">
        <f>$L182*('RD Feedstock Use'!B182/'RD Feedstock Use'!$L182)</f>
        <v>9.2798795553025517</v>
      </c>
      <c r="C182" s="164">
        <f>$L182*('RD Feedstock Use'!C182/'RD Feedstock Use'!$L182)</f>
        <v>6.2221320046626465</v>
      </c>
      <c r="D182" s="164">
        <f>'[4]Distillers'' Corn Oil Complex'!$AG153</f>
        <v>1.1094979261115343</v>
      </c>
      <c r="E182" s="164">
        <f>$L182*('RD Feedstock Use'!E182/'RD Feedstock Use'!$L182)</f>
        <v>4.2529365963969584E-2</v>
      </c>
      <c r="F182" s="164">
        <f>$L182*('RD Feedstock Use'!F182/'RD Feedstock Use'!$L182)</f>
        <v>0.12314250374032604</v>
      </c>
      <c r="G182" s="164">
        <f>$L182*('RD Feedstock Use'!G182/'RD Feedstock Use'!$L182)</f>
        <v>9.6833525794461419</v>
      </c>
      <c r="H182" s="164">
        <f>$L182*('RD Feedstock Use'!H182/'RD Feedstock Use'!$L182)</f>
        <v>1.2104190724307677</v>
      </c>
      <c r="I182" s="164">
        <f>$L182*('RD Feedstock Use'!I182/'RD Feedstock Use'!$L182)</f>
        <v>14.525028869169214</v>
      </c>
      <c r="J182" s="164">
        <f t="shared" si="7"/>
        <v>15.502011559965197</v>
      </c>
      <c r="K182" s="164">
        <f t="shared" si="6"/>
        <v>26.69397031686195</v>
      </c>
      <c r="L182" s="164">
        <v>41.086483950715611</v>
      </c>
      <c r="M182" s="165">
        <f>[5]SAF!$P30/1000000</f>
        <v>5.5646849999999999</v>
      </c>
      <c r="N182" s="166">
        <f t="shared" si="8"/>
        <v>7.3834339141776422</v>
      </c>
    </row>
    <row r="183" spans="1:16" x14ac:dyDescent="0.2">
      <c r="A183" s="155">
        <v>45658</v>
      </c>
      <c r="B183" s="164">
        <f>$L183*('RD Feedstock Use'!B183/'RD Feedstock Use'!$L183)</f>
        <v>12.383409861247708</v>
      </c>
      <c r="C183" s="164">
        <f>$L183*('RD Feedstock Use'!C183/'RD Feedstock Use'!$L183)</f>
        <v>10.922827880016628</v>
      </c>
      <c r="D183" s="164">
        <f>'[4]Distillers'' Corn Oil Complex'!$AG154</f>
        <v>5.2702273774285056</v>
      </c>
      <c r="E183" s="164">
        <f>$L183*('RD Feedstock Use'!E183/'RD Feedstock Use'!$L183)</f>
        <v>0.14465511626885513</v>
      </c>
      <c r="F183" s="164">
        <f>$L183*('RD Feedstock Use'!F183/'RD Feedstock Use'!$L183)</f>
        <v>2.0678047946146996</v>
      </c>
      <c r="G183" s="164">
        <f>$L183*('RD Feedstock Use'!G183/'RD Feedstock Use'!$L183)</f>
        <v>49.533639444990833</v>
      </c>
      <c r="H183" s="164">
        <f>$L183*('RD Feedstock Use'!H183/'RD Feedstock Use'!$L183)</f>
        <v>6.1917049306238541</v>
      </c>
      <c r="I183" s="164">
        <f>$L183*('RD Feedstock Use'!I183/'RD Feedstock Use'!$L183)</f>
        <v>45.405836157908261</v>
      </c>
      <c r="J183" s="164">
        <f t="shared" si="7"/>
        <v>23.306237741264336</v>
      </c>
      <c r="K183" s="164">
        <f t="shared" si="6"/>
        <v>108.61386782183502</v>
      </c>
      <c r="L183" s="164">
        <v>126.64987818567084</v>
      </c>
      <c r="M183" s="165">
        <f>[5]SAF!$Q19/1000000</f>
        <v>16.37255</v>
      </c>
      <c r="N183" s="166">
        <f t="shared" si="8"/>
        <v>7.7355010786756395</v>
      </c>
    </row>
    <row r="184" spans="1:16" x14ac:dyDescent="0.2">
      <c r="A184" s="155">
        <v>45689</v>
      </c>
      <c r="B184" s="167">
        <f>$L184*('RD Feedstock Use'!B184/'RD Feedstock Use'!$L184)</f>
        <v>12.071845930658828</v>
      </c>
      <c r="C184" s="167">
        <f>$L184*('RD Feedstock Use'!C184/'RD Feedstock Use'!$L184)</f>
        <v>9.3923578241719703</v>
      </c>
      <c r="D184" s="167">
        <f>$L184*('RD Feedstock Use'!D184/'RD Feedstock Use'!$L184)*0.25</f>
        <v>5.2702273774285056</v>
      </c>
      <c r="E184" s="167">
        <f>$L184*('RD Feedstock Use'!E184/'RD Feedstock Use'!$L184)</f>
        <v>0.12315090243504041</v>
      </c>
      <c r="F184" s="167">
        <f>$L184*('RD Feedstock Use'!F184/'RD Feedstock Use'!$L184)</f>
        <v>1.6134640294474438</v>
      </c>
      <c r="G184" s="167">
        <f>$L184*('RD Feedstock Use'!G184/'RD Feedstock Use'!$L184)</f>
        <v>41.618336889829777</v>
      </c>
      <c r="H184" s="167">
        <f>$L184*('RD Feedstock Use'!H184/'RD Feedstock Use'!$L184)</f>
        <v>2.0242487908784264</v>
      </c>
      <c r="I184" s="167">
        <f>$L184*('RD Feedstock Use'!I184/'RD Feedstock Use'!$L184)</f>
        <v>47.536580739788867</v>
      </c>
      <c r="J184" s="167">
        <f t="shared" si="7"/>
        <v>21.464203754830798</v>
      </c>
      <c r="K184" s="167">
        <f>$L184*('RD Feedstock Use'!K184/'RD Feedstock Use'!$L184)</f>
        <v>92.915781352379568</v>
      </c>
      <c r="L184" s="167">
        <f>N184*M184</f>
        <v>114.37998510721036</v>
      </c>
      <c r="M184" s="168">
        <f>[5]SAF!$Q20/1000000</f>
        <v>15.728119</v>
      </c>
      <c r="N184" s="169">
        <f>AVERAGE(N172,N160,N148,N136,N124)</f>
        <v>7.2723244977489276</v>
      </c>
      <c r="O184" s="167">
        <f t="shared" ref="O184:O247" si="9">K184+J184+D184</f>
        <v>119.65021248463887</v>
      </c>
      <c r="P184" s="170">
        <f>O184/M184</f>
        <v>7.6074076299040509</v>
      </c>
    </row>
    <row r="185" spans="1:16" x14ac:dyDescent="0.2">
      <c r="A185" s="155">
        <v>45717</v>
      </c>
      <c r="B185" s="167">
        <f>$L185*('RD Feedstock Use'!B185/'RD Feedstock Use'!$L185)</f>
        <v>10.724810603875145</v>
      </c>
      <c r="C185" s="167">
        <f>$L185*('RD Feedstock Use'!C185/'RD Feedstock Use'!$L185)</f>
        <v>5.2839581454010487</v>
      </c>
      <c r="D185" s="167">
        <f>$L185*('RD Feedstock Use'!D185/'RD Feedstock Use'!$L185)*0.25</f>
        <v>2.9607560167264695</v>
      </c>
      <c r="E185" s="167">
        <f>$L185*('RD Feedstock Use'!E185/'RD Feedstock Use'!$L185)</f>
        <v>6.6615677403129347E-2</v>
      </c>
      <c r="F185" s="167">
        <f>$L185*('RD Feedstock Use'!F185/'RD Feedstock Use'!$L185)</f>
        <v>1.6535593388556329</v>
      </c>
      <c r="G185" s="167">
        <f>$L185*('RD Feedstock Use'!G185/'RD Feedstock Use'!$L185)</f>
        <v>20.376214881409457</v>
      </c>
      <c r="H185" s="167">
        <f>$L185*('RD Feedstock Use'!H185/'RD Feedstock Use'!$L185)</f>
        <v>2.3798161479319884</v>
      </c>
      <c r="I185" s="167">
        <f>$L185*('RD Feedstock Use'!I185/'RD Feedstock Use'!$L185)</f>
        <v>23.740707048129646</v>
      </c>
      <c r="J185" s="167">
        <f t="shared" si="7"/>
        <v>16.008768749276193</v>
      </c>
      <c r="K185" s="167">
        <f>$L185*('RD Feedstock Use'!K185/'RD Feedstock Use'!$L185)</f>
        <v>48.21691309372985</v>
      </c>
      <c r="L185" s="167">
        <f t="shared" ref="L185:L248" si="10">N185*M185</f>
        <v>64.225681843006043</v>
      </c>
      <c r="M185" s="168">
        <f>[5]SAF!$Q21/1000000</f>
        <v>8.826708</v>
      </c>
      <c r="N185" s="169">
        <f t="shared" ref="N185:N248" si="11">AVERAGE(N173,N161,N149,N137,N125)</f>
        <v>7.2762893983811452</v>
      </c>
      <c r="O185" s="167">
        <f t="shared" si="9"/>
        <v>67.186437859732507</v>
      </c>
      <c r="P185" s="170">
        <f t="shared" ref="P185:P248" si="12">O185/M185</f>
        <v>7.6117209110953379</v>
      </c>
    </row>
    <row r="186" spans="1:16" x14ac:dyDescent="0.2">
      <c r="A186" s="155">
        <v>45748</v>
      </c>
      <c r="B186" s="167">
        <f>$L186*('RD Feedstock Use'!B186/'RD Feedstock Use'!$L186)</f>
        <v>11.260296632755036</v>
      </c>
      <c r="C186" s="167">
        <f>$L186*('RD Feedstock Use'!C186/'RD Feedstock Use'!$L186)</f>
        <v>7.3052191420402703</v>
      </c>
      <c r="D186" s="167">
        <f>$L186*('RD Feedstock Use'!D186/'RD Feedstock Use'!$L186)*0.25</f>
        <v>4.9118074052297258</v>
      </c>
      <c r="E186" s="167">
        <f>$L186*('RD Feedstock Use'!E186/'RD Feedstock Use'!$L186)</f>
        <v>9.8315445085693773E-2</v>
      </c>
      <c r="F186" s="167">
        <f>$L186*('RD Feedstock Use'!F186/'RD Feedstock Use'!$L186)</f>
        <v>3.5884232959722158</v>
      </c>
      <c r="G186" s="167">
        <f>$L186*('RD Feedstock Use'!G186/'RD Feedstock Use'!$L186)</f>
        <v>14.621568182798407</v>
      </c>
      <c r="H186" s="167">
        <f>$L186*('RD Feedstock Use'!H186/'RD Feedstock Use'!$L186)</f>
        <v>7.5694179003143143</v>
      </c>
      <c r="I186" s="167">
        <f>$L186*('RD Feedstock Use'!I186/'RD Feedstock Use'!$L186)</f>
        <v>54.243812439542751</v>
      </c>
      <c r="J186" s="167">
        <f t="shared" si="7"/>
        <v>18.565515774795308</v>
      </c>
      <c r="K186" s="167">
        <f>$L186*('RD Feedstock Use'!K186/'RD Feedstock Use'!$L186)</f>
        <v>80.121537263713378</v>
      </c>
      <c r="L186" s="167">
        <f t="shared" si="10"/>
        <v>98.687053038508679</v>
      </c>
      <c r="M186" s="168">
        <f>[5]SAF!$Q22/1000000</f>
        <v>13.308048905589283</v>
      </c>
      <c r="N186" s="169">
        <f t="shared" si="11"/>
        <v>7.4155914017614437</v>
      </c>
      <c r="O186" s="167">
        <f t="shared" si="9"/>
        <v>103.5988604437384</v>
      </c>
      <c r="P186" s="170">
        <f t="shared" si="12"/>
        <v>7.7846768657596108</v>
      </c>
    </row>
    <row r="187" spans="1:16" x14ac:dyDescent="0.2">
      <c r="A187" s="155">
        <v>45778</v>
      </c>
      <c r="B187" s="167">
        <f>$L187*('RD Feedstock Use'!B187/'RD Feedstock Use'!$L187)</f>
        <v>11.913017290655773</v>
      </c>
      <c r="C187" s="167">
        <f>$L187*('RD Feedstock Use'!C187/'RD Feedstock Use'!$L187)</f>
        <v>10.50276128760621</v>
      </c>
      <c r="D187" s="167">
        <f>$L187*('RD Feedstock Use'!D187/'RD Feedstock Use'!$L187)*0.25</f>
        <v>4.0623988436004712</v>
      </c>
      <c r="E187" s="167">
        <f>$L187*('RD Feedstock Use'!E187/'RD Feedstock Use'!$L187)</f>
        <v>0.11364765897498716</v>
      </c>
      <c r="F187" s="167">
        <f>$L187*('RD Feedstock Use'!F187/'RD Feedstock Use'!$L187)</f>
        <v>3.2997875134839645</v>
      </c>
      <c r="G187" s="167">
        <f>$L187*('RD Feedstock Use'!G187/'RD Feedstock Use'!$L187)</f>
        <v>19.40490351961585</v>
      </c>
      <c r="H187" s="167">
        <f>$L187*('RD Feedstock Use'!H187/'RD Feedstock Use'!$L187)</f>
        <v>7.3988796602981441</v>
      </c>
      <c r="I187" s="167">
        <f>$L187*('RD Feedstock Use'!I187/'RD Feedstock Use'!$L187)</f>
        <v>64.150051523553486</v>
      </c>
      <c r="J187" s="167">
        <f t="shared" si="7"/>
        <v>22.415778578261985</v>
      </c>
      <c r="K187" s="167">
        <f>$L187*('RD Feedstock Use'!K187/'RD Feedstock Use'!$L187)</f>
        <v>94.367269875926439</v>
      </c>
      <c r="L187" s="167">
        <f t="shared" si="10"/>
        <v>116.78304845418842</v>
      </c>
      <c r="M187" s="168">
        <f>[5]SAF!$Q23/1000000</f>
        <v>15.695583131274738</v>
      </c>
      <c r="N187" s="169">
        <f t="shared" si="11"/>
        <v>7.4405039607282006</v>
      </c>
      <c r="O187" s="167">
        <f t="shared" si="9"/>
        <v>120.84544729778889</v>
      </c>
      <c r="P187" s="170">
        <f t="shared" si="12"/>
        <v>7.6993282942762677</v>
      </c>
    </row>
    <row r="188" spans="1:16" x14ac:dyDescent="0.2">
      <c r="A188" s="155">
        <v>45809</v>
      </c>
      <c r="B188" s="167">
        <f>$L188*('RD Feedstock Use'!B188/'RD Feedstock Use'!$L188)</f>
        <v>13.945728190839812</v>
      </c>
      <c r="C188" s="167">
        <f>$L188*('RD Feedstock Use'!C188/'RD Feedstock Use'!$L188)</f>
        <v>9.591286988583855</v>
      </c>
      <c r="D188" s="167">
        <f>$L188*('RD Feedstock Use'!D188/'RD Feedstock Use'!$L188)*0.25</f>
        <v>3.9277736495367592</v>
      </c>
      <c r="E188" s="167">
        <f>$L188*('RD Feedstock Use'!E188/'RD Feedstock Use'!$L188)</f>
        <v>0.107205021973727</v>
      </c>
      <c r="F188" s="167">
        <f>$L188*('RD Feedstock Use'!F188/'RD Feedstock Use'!$L188)</f>
        <v>3.5109707957292358</v>
      </c>
      <c r="G188" s="167">
        <f>$L188*('RD Feedstock Use'!G188/'RD Feedstock Use'!$L188)</f>
        <v>20.074790519097206</v>
      </c>
      <c r="H188" s="167">
        <f>$L188*('RD Feedstock Use'!H188/'RD Feedstock Use'!$L188)</f>
        <v>8.7182053900397793</v>
      </c>
      <c r="I188" s="167">
        <f>$L188*('RD Feedstock Use'!I188/'RD Feedstock Use'!$L188)</f>
        <v>61.718508558420432</v>
      </c>
      <c r="J188" s="167">
        <f t="shared" si="7"/>
        <v>23.537015179423669</v>
      </c>
      <c r="K188" s="167">
        <f>$L188*('RD Feedstock Use'!K188/'RD Feedstock Use'!$L188)</f>
        <v>94.129680285260378</v>
      </c>
      <c r="L188" s="167">
        <f t="shared" si="10"/>
        <v>117.66669546468404</v>
      </c>
      <c r="M188" s="168">
        <f>[5]SAF!$Q24/1000000</f>
        <v>15.877313805032866</v>
      </c>
      <c r="N188" s="169">
        <f t="shared" si="11"/>
        <v>7.4109951412174953</v>
      </c>
      <c r="O188" s="167">
        <f t="shared" si="9"/>
        <v>121.5944691142208</v>
      </c>
      <c r="P188" s="170">
        <f t="shared" si="12"/>
        <v>7.6583778973794177</v>
      </c>
    </row>
    <row r="189" spans="1:16" x14ac:dyDescent="0.2">
      <c r="A189" s="155">
        <v>45839</v>
      </c>
      <c r="B189" s="167">
        <f>$L189*('RD Feedstock Use'!B189/'RD Feedstock Use'!$L189)</f>
        <v>35.455339789860531</v>
      </c>
      <c r="C189" s="167">
        <f>$L189*('RD Feedstock Use'!C189/'RD Feedstock Use'!$L189)</f>
        <v>14.692126665750504</v>
      </c>
      <c r="D189" s="167">
        <f>$L189*('RD Feedstock Use'!D189/'RD Feedstock Use'!$L189)*0.25</f>
        <v>5.4604130517138811</v>
      </c>
      <c r="E189" s="167">
        <f>$L189*('RD Feedstock Use'!E189/'RD Feedstock Use'!$L189)</f>
        <v>0.12652456831111683</v>
      </c>
      <c r="F189" s="167">
        <f>$L189*('RD Feedstock Use'!F189/'RD Feedstock Use'!$L189)</f>
        <v>4.3935358968781815</v>
      </c>
      <c r="G189" s="167">
        <f>$L189*('RD Feedstock Use'!G189/'RD Feedstock Use'!$L189)</f>
        <v>26.488351747899902</v>
      </c>
      <c r="H189" s="167">
        <f>$L189*('RD Feedstock Use'!H189/'RD Feedstock Use'!$L189)</f>
        <v>11.212217501752788</v>
      </c>
      <c r="I189" s="167">
        <f>$L189*('RD Feedstock Use'!I189/'RD Feedstock Use'!$L189)</f>
        <v>48.17476624579632</v>
      </c>
      <c r="J189" s="167">
        <f t="shared" si="7"/>
        <v>50.147466455611038</v>
      </c>
      <c r="K189" s="167">
        <f>$L189*('RD Feedstock Use'!K189/'RD Feedstock Use'!$L189)</f>
        <v>90.395395960638311</v>
      </c>
      <c r="L189" s="167">
        <f t="shared" si="10"/>
        <v>140.54286241624933</v>
      </c>
      <c r="M189" s="168">
        <f>[5]SAF!$Q25/1000000</f>
        <v>18.644432350191234</v>
      </c>
      <c r="N189" s="169">
        <f t="shared" si="11"/>
        <v>7.5380606808770878</v>
      </c>
      <c r="O189" s="167">
        <f t="shared" si="9"/>
        <v>146.00327546796325</v>
      </c>
      <c r="P189" s="170">
        <f t="shared" si="12"/>
        <v>7.8309316543212271</v>
      </c>
    </row>
    <row r="190" spans="1:16" x14ac:dyDescent="0.2">
      <c r="A190" s="155">
        <v>45870</v>
      </c>
      <c r="B190" s="167">
        <f>$L190*('RD Feedstock Use'!B190/'RD Feedstock Use'!$L190)</f>
        <v>37.043731462465075</v>
      </c>
      <c r="C190" s="167">
        <f>$L190*('RD Feedstock Use'!C190/'RD Feedstock Use'!$L190)</f>
        <v>11.390082570253924</v>
      </c>
      <c r="D190" s="167">
        <f>$L190*('RD Feedstock Use'!D190/'RD Feedstock Use'!$L190)*0.25</f>
        <v>4.7544375335111075</v>
      </c>
      <c r="E190" s="167">
        <f>$L190*('RD Feedstock Use'!E190/'RD Feedstock Use'!$L190)</f>
        <v>0.11933467500558503</v>
      </c>
      <c r="F190" s="167">
        <f>$L190*('RD Feedstock Use'!F190/'RD Feedstock Use'!$L190)</f>
        <v>2.9643965866704547</v>
      </c>
      <c r="G190" s="167">
        <f>$L190*('RD Feedstock Use'!G190/'RD Feedstock Use'!$L190)</f>
        <v>23.296781793083671</v>
      </c>
      <c r="H190" s="167">
        <f>$L190*('RD Feedstock Use'!H190/'RD Feedstock Use'!$L190)</f>
        <v>10.694951960330133</v>
      </c>
      <c r="I190" s="167">
        <f>$L190*('RD Feedstock Use'!I190/'RD Feedstock Use'!$L190)</f>
        <v>49.360767717099819</v>
      </c>
      <c r="J190" s="167">
        <f t="shared" si="7"/>
        <v>48.433814032718999</v>
      </c>
      <c r="K190" s="167">
        <f>$L190*('RD Feedstock Use'!K190/'RD Feedstock Use'!$L190)</f>
        <v>86.436232732189652</v>
      </c>
      <c r="L190" s="167">
        <f t="shared" si="10"/>
        <v>134.87004676490866</v>
      </c>
      <c r="M190" s="168">
        <f>[5]SAF!$Q26/1000000</f>
        <v>18.1212100751398</v>
      </c>
      <c r="N190" s="169">
        <f t="shared" si="11"/>
        <v>7.4426622839020409</v>
      </c>
      <c r="O190" s="167">
        <f t="shared" si="9"/>
        <v>139.62448429841973</v>
      </c>
      <c r="P190" s="170">
        <f t="shared" si="12"/>
        <v>7.70503093995739</v>
      </c>
    </row>
    <row r="191" spans="1:16" x14ac:dyDescent="0.2">
      <c r="A191" s="155">
        <v>45901</v>
      </c>
      <c r="B191" s="167">
        <f>$L191*('RD Feedstock Use'!B191/'RD Feedstock Use'!$L191)</f>
        <v>39.930880772620959</v>
      </c>
      <c r="C191" s="167">
        <f>$L191*('RD Feedstock Use'!C191/'RD Feedstock Use'!$L191)</f>
        <v>10.438431678847682</v>
      </c>
      <c r="D191" s="167">
        <f>$L191*('RD Feedstock Use'!D191/'RD Feedstock Use'!$L191)*0.25</f>
        <v>7.0029998714314994</v>
      </c>
      <c r="E191" s="167">
        <f>$L191*('RD Feedstock Use'!E191/'RD Feedstock Use'!$L191)</f>
        <v>0.20542532111872605</v>
      </c>
      <c r="F191" s="167">
        <f>$L191*('RD Feedstock Use'!F191/'RD Feedstock Use'!$L191)</f>
        <v>4.4216461504478417</v>
      </c>
      <c r="G191" s="167">
        <f>$L191*('RD Feedstock Use'!G191/'RD Feedstock Use'!$L191)</f>
        <v>25.829929573196463</v>
      </c>
      <c r="H191" s="167">
        <f>$L191*('RD Feedstock Use'!H191/'RD Feedstock Use'!$L191)</f>
        <v>9.1506421076894533</v>
      </c>
      <c r="I191" s="167">
        <f>$L191*('RD Feedstock Use'!I191/'RD Feedstock Use'!$L191)</f>
        <v>56.062895955906882</v>
      </c>
      <c r="J191" s="167">
        <f t="shared" si="7"/>
        <v>50.369312451468645</v>
      </c>
      <c r="K191" s="167">
        <f>$L191*('RD Feedstock Use'!K191/'RD Feedstock Use'!$L191)</f>
        <v>95.670539108359364</v>
      </c>
      <c r="L191" s="167">
        <f t="shared" si="10"/>
        <v>146.03985155982801</v>
      </c>
      <c r="M191" s="168">
        <f>[5]SAF!$Q27/1000000</f>
        <v>19.561239887186893</v>
      </c>
      <c r="N191" s="169">
        <f t="shared" si="11"/>
        <v>7.4657768322491567</v>
      </c>
      <c r="O191" s="167">
        <f t="shared" si="9"/>
        <v>153.04285143125952</v>
      </c>
      <c r="P191" s="170">
        <f t="shared" si="12"/>
        <v>7.8237807170652029</v>
      </c>
    </row>
    <row r="192" spans="1:16" x14ac:dyDescent="0.2">
      <c r="A192" s="155">
        <v>45931</v>
      </c>
      <c r="B192" s="167">
        <f>$L192*('RD Feedstock Use'!B192/'RD Feedstock Use'!$L192)</f>
        <v>30.072922357846057</v>
      </c>
      <c r="C192" s="167">
        <f>$L192*('RD Feedstock Use'!C192/'RD Feedstock Use'!$L192)</f>
        <v>12.675569715260322</v>
      </c>
      <c r="D192" s="167">
        <f>$L192*('RD Feedstock Use'!D192/'RD Feedstock Use'!$L192)*0.25</f>
        <v>6.4012218759782895</v>
      </c>
      <c r="E192" s="167">
        <f>$L192*('RD Feedstock Use'!E192/'RD Feedstock Use'!$L192)</f>
        <v>0.24145032374762776</v>
      </c>
      <c r="F192" s="167">
        <f>$L192*('RD Feedstock Use'!F192/'RD Feedstock Use'!$L192)</f>
        <v>2.8941742500218051</v>
      </c>
      <c r="G192" s="167">
        <f>$L192*('RD Feedstock Use'!G192/'RD Feedstock Use'!$L192)</f>
        <v>28.963694662323821</v>
      </c>
      <c r="H192" s="167">
        <f>$L192*('RD Feedstock Use'!H192/'RD Feedstock Use'!$L192)</f>
        <v>11.392629119180194</v>
      </c>
      <c r="I192" s="167">
        <f>$L192*('RD Feedstock Use'!I192/'RD Feedstock Use'!$L192)</f>
        <v>64.607637998727682</v>
      </c>
      <c r="J192" s="167">
        <f t="shared" si="7"/>
        <v>42.748492073106377</v>
      </c>
      <c r="K192" s="167">
        <f>$L192*('RD Feedstock Use'!K192/'RD Feedstock Use'!$L192)</f>
        <v>108.09958635400115</v>
      </c>
      <c r="L192" s="167">
        <f t="shared" si="10"/>
        <v>150.84807842710751</v>
      </c>
      <c r="M192" s="168">
        <f>[5]SAF!$Q28/1000000</f>
        <v>20.223333555152788</v>
      </c>
      <c r="N192" s="169">
        <f t="shared" si="11"/>
        <v>7.4591104387274614</v>
      </c>
      <c r="O192" s="167">
        <f t="shared" si="9"/>
        <v>157.24930030308579</v>
      </c>
      <c r="P192" s="170">
        <f t="shared" si="12"/>
        <v>7.7756369826091101</v>
      </c>
    </row>
    <row r="193" spans="1:16" x14ac:dyDescent="0.2">
      <c r="A193" s="155">
        <v>45962</v>
      </c>
      <c r="B193" s="167">
        <f>$L193*('RD Feedstock Use'!B193/'RD Feedstock Use'!$L193)</f>
        <v>44.236058344396575</v>
      </c>
      <c r="C193" s="167">
        <f>$L193*('RD Feedstock Use'!C193/'RD Feedstock Use'!$L193)</f>
        <v>13.069658009461339</v>
      </c>
      <c r="D193" s="167">
        <f>$L193*('RD Feedstock Use'!D193/'RD Feedstock Use'!$L193)*0.25</f>
        <v>6.102287265036928</v>
      </c>
      <c r="E193" s="167">
        <f>$L193*('RD Feedstock Use'!E193/'RD Feedstock Use'!$L193)</f>
        <v>0.22303086995664878</v>
      </c>
      <c r="F193" s="167">
        <f>$L193*('RD Feedstock Use'!F193/'RD Feedstock Use'!$L193)</f>
        <v>0.50442640469157796</v>
      </c>
      <c r="G193" s="167">
        <f>$L193*('RD Feedstock Use'!G193/'RD Feedstock Use'!$L193)</f>
        <v>29.507870329325659</v>
      </c>
      <c r="H193" s="167">
        <f>$L193*('RD Feedstock Use'!H193/'RD Feedstock Use'!$L193)</f>
        <v>8.9997299083854347</v>
      </c>
      <c r="I193" s="167">
        <f>$L193*('RD Feedstock Use'!I193/'RD Feedstock Use'!$L193)</f>
        <v>50.734456963016804</v>
      </c>
      <c r="J193" s="167">
        <f t="shared" si="7"/>
        <v>57.305716353857918</v>
      </c>
      <c r="K193" s="167">
        <f>$L193*('RD Feedstock Use'!K193/'RD Feedstock Use'!$L193)</f>
        <v>89.96951447537613</v>
      </c>
      <c r="L193" s="167">
        <f t="shared" si="10"/>
        <v>147.27523082923403</v>
      </c>
      <c r="M193" s="168">
        <f>[5]SAF!$Q29/1000000</f>
        <v>20.123971125173316</v>
      </c>
      <c r="N193" s="169">
        <f t="shared" si="11"/>
        <v>7.3183980394906092</v>
      </c>
      <c r="O193" s="167">
        <f t="shared" si="9"/>
        <v>153.37751809427095</v>
      </c>
      <c r="P193" s="170">
        <f t="shared" si="12"/>
        <v>7.6216327851121379</v>
      </c>
    </row>
    <row r="194" spans="1:16" x14ac:dyDescent="0.2">
      <c r="A194" s="155">
        <v>45992</v>
      </c>
      <c r="B194" s="167">
        <f>$L194*('RD Feedstock Use'!B194/'RD Feedstock Use'!$L194)</f>
        <v>32.460944423434668</v>
      </c>
      <c r="C194" s="167">
        <f>$L194*('RD Feedstock Use'!C194/'RD Feedstock Use'!$L194)</f>
        <v>12.343911487273454</v>
      </c>
      <c r="D194" s="167">
        <f>$L194*('RD Feedstock Use'!D194/'RD Feedstock Use'!$L194)*0.25</f>
        <v>5.0274173379845495</v>
      </c>
      <c r="E194" s="167">
        <f>$L194*('RD Feedstock Use'!E194/'RD Feedstock Use'!$L194)</f>
        <v>0.18144768773485206</v>
      </c>
      <c r="F194" s="167">
        <f>$L194*('RD Feedstock Use'!F194/'RD Feedstock Use'!$L194)</f>
        <v>0.30087119434220394</v>
      </c>
      <c r="G194" s="167">
        <f>$L194*('RD Feedstock Use'!G194/'RD Feedstock Use'!$L194)</f>
        <v>25.803942397868131</v>
      </c>
      <c r="H194" s="167">
        <f>$L194*('RD Feedstock Use'!H194/'RD Feedstock Use'!$L194)</f>
        <v>7.0589001301334262</v>
      </c>
      <c r="I194" s="167">
        <f>$L194*('RD Feedstock Use'!I194/'RD Feedstock Use'!$L194)</f>
        <v>48.822030230818271</v>
      </c>
      <c r="J194" s="167">
        <f t="shared" si="7"/>
        <v>44.80485591070812</v>
      </c>
      <c r="K194" s="167">
        <f>$L194*('RD Feedstock Use'!K194/'RD Feedstock Use'!$L194)</f>
        <v>82.167191640896888</v>
      </c>
      <c r="L194" s="167">
        <f t="shared" si="10"/>
        <v>126.97204755160502</v>
      </c>
      <c r="M194" s="168">
        <f>[5]SAF!$Q30/1000000</f>
        <v>17.062339941113247</v>
      </c>
      <c r="N194" s="169">
        <f t="shared" si="11"/>
        <v>7.4416550127250956</v>
      </c>
      <c r="O194" s="167">
        <f t="shared" si="9"/>
        <v>131.99946488958958</v>
      </c>
      <c r="P194" s="170">
        <f t="shared" si="12"/>
        <v>7.7363049467514688</v>
      </c>
    </row>
    <row r="195" spans="1:16" x14ac:dyDescent="0.2">
      <c r="A195" s="155">
        <v>46023</v>
      </c>
      <c r="B195" s="167">
        <f>$L195*('RD Feedstock Use'!B195/'RD Feedstock Use'!$L195)</f>
        <v>65.986125807774215</v>
      </c>
      <c r="C195" s="167">
        <f>$L195*('RD Feedstock Use'!C195/'RD Feedstock Use'!$L195)</f>
        <v>17.381303867735255</v>
      </c>
      <c r="D195" s="167">
        <f>$L195*('RD Feedstock Use'!D195/'RD Feedstock Use'!$L195)*0.25</f>
        <v>15.01782961041855</v>
      </c>
      <c r="E195" s="167">
        <f>$L195*('RD Feedstock Use'!E195/'RD Feedstock Use'!$L195)</f>
        <v>0.27531664179310344</v>
      </c>
      <c r="F195" s="167">
        <f>$L195*('RD Feedstock Use'!F195/'RD Feedstock Use'!$L195)</f>
        <v>4.8729024827358396</v>
      </c>
      <c r="G195" s="167">
        <f>$L195*('RD Feedstock Use'!G195/'RD Feedstock Use'!$L195)</f>
        <v>48.568998159614701</v>
      </c>
      <c r="H195" s="167">
        <f>$L195*('RD Feedstock Use'!H195/'RD Feedstock Use'!$L195)</f>
        <v>13.264670952728894</v>
      </c>
      <c r="I195" s="167">
        <f>$L195*('RD Feedstock Use'!I195/'RD Feedstock Use'!$L195)</f>
        <v>46.299548333651067</v>
      </c>
      <c r="J195" s="167">
        <f t="shared" ref="J195:J258" si="13">SUM(B195:C195)</f>
        <v>83.36742967550947</v>
      </c>
      <c r="K195" s="167">
        <f>$L195*('RD Feedstock Use'!K195/'RD Feedstock Use'!$L195)</f>
        <v>113.2814365705236</v>
      </c>
      <c r="L195" s="167">
        <f t="shared" si="10"/>
        <v>196.64886624603307</v>
      </c>
      <c r="M195" s="168">
        <f>[5]SAF!$R19/1000000</f>
        <v>26.182438797614935</v>
      </c>
      <c r="N195" s="169">
        <f t="shared" si="11"/>
        <v>7.5107161623135967</v>
      </c>
      <c r="O195" s="167">
        <f t="shared" si="9"/>
        <v>211.66669585645161</v>
      </c>
      <c r="P195" s="170">
        <f t="shared" si="12"/>
        <v>8.084300224764899</v>
      </c>
    </row>
    <row r="196" spans="1:16" x14ac:dyDescent="0.2">
      <c r="A196" s="155">
        <v>46054</v>
      </c>
      <c r="B196" s="167">
        <f>$L196*('RD Feedstock Use'!B196/'RD Feedstock Use'!$L196)</f>
        <v>107.2209139677765</v>
      </c>
      <c r="C196" s="167">
        <f>$L196*('RD Feedstock Use'!C196/'RD Feedstock Use'!$L196)</f>
        <v>24.953215237229159</v>
      </c>
      <c r="D196" s="167">
        <f>$L196*('RD Feedstock Use'!D196/'RD Feedstock Use'!$L196)*0.25</f>
        <v>16.900729208598221</v>
      </c>
      <c r="E196" s="167">
        <f>$L196*('RD Feedstock Use'!E196/'RD Feedstock Use'!$L196)</f>
        <v>0.48711408929721012</v>
      </c>
      <c r="F196" s="167">
        <f>$L196*('RD Feedstock Use'!F196/'RD Feedstock Use'!$L196)</f>
        <v>7.3389355932036109</v>
      </c>
      <c r="G196" s="167">
        <f>$L196*('RD Feedstock Use'!G196/'RD Feedstock Use'!$L196)</f>
        <v>93.442722282804766</v>
      </c>
      <c r="H196" s="167">
        <f>$L196*('RD Feedstock Use'!H196/'RD Feedstock Use'!$L196)</f>
        <v>14.156896373172625</v>
      </c>
      <c r="I196" s="167">
        <f>$L196*('RD Feedstock Use'!I196/'RD Feedstock Use'!$L196)</f>
        <v>114.33731328664641</v>
      </c>
      <c r="J196" s="167">
        <f t="shared" si="13"/>
        <v>132.17412920500567</v>
      </c>
      <c r="K196" s="167">
        <f>$L196*('RD Feedstock Use'!K196/'RD Feedstock Use'!$L196)</f>
        <v>229.76298162512461</v>
      </c>
      <c r="L196" s="167">
        <f t="shared" si="10"/>
        <v>361.93711083013028</v>
      </c>
      <c r="M196" s="168">
        <f>[5]SAF!$R20/1000000</f>
        <v>49.769109030017034</v>
      </c>
      <c r="N196" s="169">
        <f t="shared" si="11"/>
        <v>7.2723244977489285</v>
      </c>
      <c r="O196" s="167">
        <f t="shared" si="9"/>
        <v>378.83784003872847</v>
      </c>
      <c r="P196" s="170">
        <f t="shared" si="12"/>
        <v>7.6119072135738177</v>
      </c>
    </row>
    <row r="197" spans="1:16" x14ac:dyDescent="0.2">
      <c r="A197" s="155">
        <v>46082</v>
      </c>
      <c r="B197" s="167">
        <f>$L197*('RD Feedstock Use'!B197/'RD Feedstock Use'!$L197)</f>
        <v>46.586672270779545</v>
      </c>
      <c r="C197" s="167">
        <f>$L197*('RD Feedstock Use'!C197/'RD Feedstock Use'!$L197)</f>
        <v>10.678940926044469</v>
      </c>
      <c r="D197" s="167">
        <f>$L197*('RD Feedstock Use'!D197/'RD Feedstock Use'!$L197)*0.25</f>
        <v>5.9823501795553584</v>
      </c>
      <c r="E197" s="167">
        <f>$L197*('RD Feedstock Use'!E197/'RD Feedstock Use'!$L197)</f>
        <v>0.19074646467525436</v>
      </c>
      <c r="F197" s="167">
        <f>$L197*('RD Feedstock Use'!F197/'RD Feedstock Use'!$L197)</f>
        <v>3.8368031235518605</v>
      </c>
      <c r="G197" s="167">
        <f>$L197*('RD Feedstock Use'!G197/'RD Feedstock Use'!$L197)</f>
        <v>31.076761203360235</v>
      </c>
      <c r="H197" s="167">
        <f>$L197*('RD Feedstock Use'!H197/'RD Feedstock Use'!$L197)</f>
        <v>9.0918163406496966</v>
      </c>
      <c r="I197" s="167">
        <f>$L197*('RD Feedstock Use'!I197/'RD Feedstock Use'!$L197)</f>
        <v>45.660645637526208</v>
      </c>
      <c r="J197" s="167">
        <f t="shared" si="13"/>
        <v>57.265613196824013</v>
      </c>
      <c r="K197" s="167">
        <f>$L197*('RD Feedstock Use'!K197/'RD Feedstock Use'!$L197)</f>
        <v>89.856772769763253</v>
      </c>
      <c r="L197" s="167">
        <f t="shared" si="10"/>
        <v>147.12238596658727</v>
      </c>
      <c r="M197" s="168">
        <f>[5]SAF!$R21/1000000</f>
        <v>20.133954750928382</v>
      </c>
      <c r="N197" s="169">
        <f t="shared" si="11"/>
        <v>7.3071777396243238</v>
      </c>
      <c r="O197" s="167">
        <f t="shared" si="9"/>
        <v>153.10473614614264</v>
      </c>
      <c r="P197" s="170">
        <f t="shared" si="12"/>
        <v>7.604305167075184</v>
      </c>
    </row>
    <row r="198" spans="1:16" x14ac:dyDescent="0.2">
      <c r="A198" s="155">
        <v>46113</v>
      </c>
      <c r="B198" s="167">
        <f>$L198*('RD Feedstock Use'!B198/'RD Feedstock Use'!$L198)</f>
        <v>71.982582711532217</v>
      </c>
      <c r="C198" s="167">
        <f>$L198*('RD Feedstock Use'!C198/'RD Feedstock Use'!$L198)</f>
        <v>13.895614101325933</v>
      </c>
      <c r="D198" s="167">
        <f>$L198*('RD Feedstock Use'!D198/'RD Feedstock Use'!$L198)*0.25</f>
        <v>10.082112616174737</v>
      </c>
      <c r="E198" s="167">
        <f>$L198*('RD Feedstock Use'!E198/'RD Feedstock Use'!$L198)</f>
        <v>0.29479981716928355</v>
      </c>
      <c r="F198" s="167">
        <f>$L198*('RD Feedstock Use'!F198/'RD Feedstock Use'!$L198)</f>
        <v>7.1214432113204253</v>
      </c>
      <c r="G198" s="167">
        <f>$L198*('RD Feedstock Use'!G198/'RD Feedstock Use'!$L198)</f>
        <v>28.485088686455278</v>
      </c>
      <c r="H198" s="167">
        <f>$L198*('RD Feedstock Use'!H198/'RD Feedstock Use'!$L198)</f>
        <v>18.542925656432757</v>
      </c>
      <c r="I198" s="167">
        <f>$L198*('RD Feedstock Use'!I198/'RD Feedstock Use'!$L198)</f>
        <v>96.408815596374879</v>
      </c>
      <c r="J198" s="167">
        <f t="shared" si="13"/>
        <v>85.87819681285815</v>
      </c>
      <c r="K198" s="167">
        <f>$L198*('RD Feedstock Use'!K198/'RD Feedstock Use'!$L198)</f>
        <v>150.85307296775261</v>
      </c>
      <c r="L198" s="167">
        <f t="shared" si="10"/>
        <v>236.73126978061077</v>
      </c>
      <c r="M198" s="168">
        <f>[5]SAF!$R22/1000000</f>
        <v>31.816320088426924</v>
      </c>
      <c r="N198" s="169">
        <f t="shared" si="11"/>
        <v>7.4405609801091028</v>
      </c>
      <c r="O198" s="167">
        <f t="shared" si="9"/>
        <v>246.8133823967855</v>
      </c>
      <c r="P198" s="170">
        <f t="shared" si="12"/>
        <v>7.757445918032583</v>
      </c>
    </row>
    <row r="199" spans="1:16" x14ac:dyDescent="0.2">
      <c r="A199" s="155">
        <v>46143</v>
      </c>
      <c r="B199" s="167">
        <f>$L199*('RD Feedstock Use'!B199/'RD Feedstock Use'!$L199)</f>
        <v>87.110468352877817</v>
      </c>
      <c r="C199" s="167">
        <f>$L199*('RD Feedstock Use'!C199/'RD Feedstock Use'!$L199)</f>
        <v>23.961806710999412</v>
      </c>
      <c r="D199" s="167">
        <f>$L199*('RD Feedstock Use'!D199/'RD Feedstock Use'!$L199)*0.25</f>
        <v>10.077275526344554</v>
      </c>
      <c r="E199" s="167">
        <f>$L199*('RD Feedstock Use'!E199/'RD Feedstock Use'!$L199)</f>
        <v>0.3781527987042998</v>
      </c>
      <c r="F199" s="167">
        <f>$L199*('RD Feedstock Use'!F199/'RD Feedstock Use'!$L199)</f>
        <v>8.1143380069980111</v>
      </c>
      <c r="G199" s="167">
        <f>$L199*('RD Feedstock Use'!G199/'RD Feedstock Use'!$L199)</f>
        <v>41.788006034630783</v>
      </c>
      <c r="H199" s="167">
        <f>$L199*('RD Feedstock Use'!H199/'RD Feedstock Use'!$L199)</f>
        <v>19.939715718158478</v>
      </c>
      <c r="I199" s="167">
        <f>$L199*('RD Feedstock Use'!I199/'RD Feedstock Use'!$L199)</f>
        <v>129.57594213659937</v>
      </c>
      <c r="J199" s="167">
        <f t="shared" si="13"/>
        <v>111.07227506387723</v>
      </c>
      <c r="K199" s="167">
        <f>$L199*('RD Feedstock Use'!K199/'RD Feedstock Use'!$L199)</f>
        <v>199.79615469509093</v>
      </c>
      <c r="L199" s="167">
        <f t="shared" si="10"/>
        <v>310.86842975896815</v>
      </c>
      <c r="M199" s="168">
        <f>[5]SAF!$R23/1000000</f>
        <v>41.780561021103672</v>
      </c>
      <c r="N199" s="169">
        <f t="shared" si="11"/>
        <v>7.4405039607282006</v>
      </c>
      <c r="O199" s="167">
        <f t="shared" si="9"/>
        <v>320.94570528531273</v>
      </c>
      <c r="P199" s="170">
        <f t="shared" si="12"/>
        <v>7.6816992745310593</v>
      </c>
    </row>
    <row r="200" spans="1:16" x14ac:dyDescent="0.2">
      <c r="A200" s="155">
        <v>46174</v>
      </c>
      <c r="B200" s="167">
        <f>$L200*('RD Feedstock Use'!B200/'RD Feedstock Use'!$L200)</f>
        <v>85.585507310349655</v>
      </c>
      <c r="C200" s="167">
        <f>$L200*('RD Feedstock Use'!C200/'RD Feedstock Use'!$L200)</f>
        <v>19.542800558969162</v>
      </c>
      <c r="D200" s="167">
        <f>$L200*('RD Feedstock Use'!D200/'RD Feedstock Use'!$L200)*0.25</f>
        <v>9.7064917275481335</v>
      </c>
      <c r="E200" s="167">
        <f>$L200*('RD Feedstock Use'!E200/'RD Feedstock Use'!$L200)</f>
        <v>0.33421314682687175</v>
      </c>
      <c r="F200" s="167">
        <f>$L200*('RD Feedstock Use'!F200/'RD Feedstock Use'!$L200)</f>
        <v>9.21844391837862</v>
      </c>
      <c r="G200" s="167">
        <f>$L200*('RD Feedstock Use'!G200/'RD Feedstock Use'!$L200)</f>
        <v>45.010842672990876</v>
      </c>
      <c r="H200" s="167">
        <f>$L200*('RD Feedstock Use'!H200/'RD Feedstock Use'!$L200)</f>
        <v>22.934657795757371</v>
      </c>
      <c r="I200" s="167">
        <f>$L200*('RD Feedstock Use'!I200/'RD Feedstock Use'!$L200)</f>
        <v>110.83558213109694</v>
      </c>
      <c r="J200" s="167">
        <f t="shared" si="13"/>
        <v>105.12830786931882</v>
      </c>
      <c r="K200" s="167">
        <f>$L200*('RD Feedstock Use'!K200/'RD Feedstock Use'!$L200)</f>
        <v>188.33373966505067</v>
      </c>
      <c r="L200" s="167">
        <f t="shared" si="10"/>
        <v>293.4620475343695</v>
      </c>
      <c r="M200" s="168">
        <f>[5]SAF!$R24/1000000</f>
        <v>40.090554729911325</v>
      </c>
      <c r="N200" s="169">
        <f t="shared" si="11"/>
        <v>7.3199797186996562</v>
      </c>
      <c r="O200" s="167">
        <f t="shared" si="9"/>
        <v>303.16853926191766</v>
      </c>
      <c r="P200" s="170">
        <f t="shared" si="12"/>
        <v>7.5620938972871183</v>
      </c>
    </row>
    <row r="201" spans="1:16" x14ac:dyDescent="0.2">
      <c r="A201" s="155">
        <v>46204</v>
      </c>
      <c r="B201" s="167">
        <f>$L201*('RD Feedstock Use'!B201/'RD Feedstock Use'!$L201)</f>
        <v>113.91296216770688</v>
      </c>
      <c r="C201" s="167">
        <f>$L201*('RD Feedstock Use'!C201/'RD Feedstock Use'!$L201)</f>
        <v>31.20392407214722</v>
      </c>
      <c r="D201" s="167">
        <f>$L201*('RD Feedstock Use'!D201/'RD Feedstock Use'!$L201)*0.25</f>
        <v>13.148184348157121</v>
      </c>
      <c r="E201" s="167">
        <f>$L201*('RD Feedstock Use'!E201/'RD Feedstock Use'!$L201)</f>
        <v>0.37139788398259332</v>
      </c>
      <c r="F201" s="167">
        <f>$L201*('RD Feedstock Use'!F201/'RD Feedstock Use'!$L201)</f>
        <v>11.242149174292713</v>
      </c>
      <c r="G201" s="167">
        <f>$L201*('RD Feedstock Use'!G201/'RD Feedstock Use'!$L201)</f>
        <v>57.864069109231629</v>
      </c>
      <c r="H201" s="167">
        <f>$L201*('RD Feedstock Use'!H201/'RD Feedstock Use'!$L201)</f>
        <v>24.912446719917892</v>
      </c>
      <c r="I201" s="167">
        <f>$L201*('RD Feedstock Use'!I201/'RD Feedstock Use'!$L201)</f>
        <v>90.530591609640624</v>
      </c>
      <c r="J201" s="167">
        <f t="shared" si="13"/>
        <v>145.1168862398541</v>
      </c>
      <c r="K201" s="167">
        <f>$L201*('RD Feedstock Use'!K201/'RD Feedstock Use'!$L201)</f>
        <v>184.9206544970655</v>
      </c>
      <c r="L201" s="167">
        <f t="shared" si="10"/>
        <v>330.0375407369196</v>
      </c>
      <c r="M201" s="168">
        <f>[5]SAF!$R25/1000000</f>
        <v>44.09961393714179</v>
      </c>
      <c r="N201" s="169">
        <f t="shared" si="11"/>
        <v>7.483909977247075</v>
      </c>
      <c r="O201" s="167">
        <f t="shared" si="9"/>
        <v>343.18572508507674</v>
      </c>
      <c r="P201" s="170">
        <f t="shared" si="12"/>
        <v>7.7820573571061855</v>
      </c>
    </row>
    <row r="202" spans="1:16" x14ac:dyDescent="0.2">
      <c r="A202" s="155">
        <v>46235</v>
      </c>
      <c r="B202" s="167">
        <f>$L202*('RD Feedstock Use'!B202/'RD Feedstock Use'!$L202)</f>
        <v>114.19877332991263</v>
      </c>
      <c r="C202" s="167">
        <f>$L202*('RD Feedstock Use'!C202/'RD Feedstock Use'!$L202)</f>
        <v>24.54519322786798</v>
      </c>
      <c r="D202" s="167">
        <f>$L202*('RD Feedstock Use'!D202/'RD Feedstock Use'!$L202)*0.25</f>
        <v>14.881233070191724</v>
      </c>
      <c r="E202" s="167">
        <f>$L202*('RD Feedstock Use'!E202/'RD Feedstock Use'!$L202)</f>
        <v>0.38481532472992808</v>
      </c>
      <c r="F202" s="167">
        <f>$L202*('RD Feedstock Use'!F202/'RD Feedstock Use'!$L202)</f>
        <v>9.0620572921775242</v>
      </c>
      <c r="G202" s="167">
        <f>$L202*('RD Feedstock Use'!G202/'RD Feedstock Use'!$L202)</f>
        <v>64.97399877864143</v>
      </c>
      <c r="H202" s="167">
        <f>$L202*('RD Feedstock Use'!H202/'RD Feedstock Use'!$L202)</f>
        <v>26.910515065890657</v>
      </c>
      <c r="I202" s="167">
        <f>$L202*('RD Feedstock Use'!I202/'RD Feedstock Use'!$L202)</f>
        <v>107.85410396216378</v>
      </c>
      <c r="J202" s="167">
        <f t="shared" si="13"/>
        <v>138.7439665577806</v>
      </c>
      <c r="K202" s="167">
        <f>$L202*('RD Feedstock Use'!K202/'RD Feedstock Use'!$L202)</f>
        <v>209.18549042360331</v>
      </c>
      <c r="L202" s="167">
        <f t="shared" si="10"/>
        <v>347.92945698138396</v>
      </c>
      <c r="M202" s="168">
        <f>[5]SAF!$R26/1000000</f>
        <v>47.239990308537671</v>
      </c>
      <c r="N202" s="169">
        <f t="shared" si="11"/>
        <v>7.365146663006465</v>
      </c>
      <c r="O202" s="167">
        <f t="shared" si="9"/>
        <v>362.81069005157565</v>
      </c>
      <c r="P202" s="170">
        <f t="shared" si="12"/>
        <v>7.6801601287798098</v>
      </c>
    </row>
    <row r="203" spans="1:16" x14ac:dyDescent="0.2">
      <c r="A203" s="155">
        <v>46266</v>
      </c>
      <c r="B203" s="167">
        <f>$L203*('RD Feedstock Use'!B203/'RD Feedstock Use'!$L203)</f>
        <v>138.77269998391995</v>
      </c>
      <c r="C203" s="167">
        <f>$L203*('RD Feedstock Use'!C203/'RD Feedstock Use'!$L203)</f>
        <v>23.459841481668409</v>
      </c>
      <c r="D203" s="167">
        <f>$L203*('RD Feedstock Use'!D203/'RD Feedstock Use'!$L203)*0.25</f>
        <v>17.829885518873798</v>
      </c>
      <c r="E203" s="167">
        <f>$L203*('RD Feedstock Use'!E203/'RD Feedstock Use'!$L203)</f>
        <v>0.52039010278158815</v>
      </c>
      <c r="F203" s="167">
        <f>$L203*('RD Feedstock Use'!F203/'RD Feedstock Use'!$L203)</f>
        <v>11.935530864832662</v>
      </c>
      <c r="G203" s="167">
        <f>$L203*('RD Feedstock Use'!G203/'RD Feedstock Use'!$L203)</f>
        <v>74.580807574083664</v>
      </c>
      <c r="H203" s="167">
        <f>$L203*('RD Feedstock Use'!H203/'RD Feedstock Use'!$L203)</f>
        <v>29.496191327811999</v>
      </c>
      <c r="I203" s="167">
        <f>$L203*('RD Feedstock Use'!I203/'RD Feedstock Use'!$L203)</f>
        <v>148.89915080148276</v>
      </c>
      <c r="J203" s="167">
        <f t="shared" si="13"/>
        <v>162.23254146558835</v>
      </c>
      <c r="K203" s="167">
        <f>$L203*('RD Feedstock Use'!K203/'RD Feedstock Use'!$L203)</f>
        <v>265.43207067099269</v>
      </c>
      <c r="L203" s="167">
        <f t="shared" si="10"/>
        <v>427.66461213658101</v>
      </c>
      <c r="M203" s="168">
        <f>[5]SAF!$R27/1000000</f>
        <v>57.196378827984162</v>
      </c>
      <c r="N203" s="169">
        <f t="shared" si="11"/>
        <v>7.4771274143554676</v>
      </c>
      <c r="O203" s="167">
        <f t="shared" si="9"/>
        <v>445.49449765545484</v>
      </c>
      <c r="P203" s="170">
        <f t="shared" si="12"/>
        <v>7.7888584344694589</v>
      </c>
    </row>
    <row r="204" spans="1:16" x14ac:dyDescent="0.2">
      <c r="A204" s="155">
        <v>46296</v>
      </c>
      <c r="B204" s="167">
        <f>$L204*('RD Feedstock Use'!B204/'RD Feedstock Use'!$L204)</f>
        <v>122.83132674219132</v>
      </c>
      <c r="C204" s="167">
        <f>$L204*('RD Feedstock Use'!C204/'RD Feedstock Use'!$L204)</f>
        <v>31.757527746843238</v>
      </c>
      <c r="D204" s="167">
        <f>$L204*('RD Feedstock Use'!D204/'RD Feedstock Use'!$L204)*0.15</f>
        <v>10.961473311548506</v>
      </c>
      <c r="E204" s="167">
        <f>$L204*('RD Feedstock Use'!E204/'RD Feedstock Use'!$L204)</f>
        <v>0.69575511515593391</v>
      </c>
      <c r="F204" s="167">
        <f>$L204*('RD Feedstock Use'!F204/'RD Feedstock Use'!$L204)</f>
        <v>12.291854712877674</v>
      </c>
      <c r="G204" s="167">
        <f>$L204*('RD Feedstock Use'!G204/'RD Feedstock Use'!$L204)</f>
        <v>88.022986648774463</v>
      </c>
      <c r="H204" s="167">
        <f>$L204*('RD Feedstock Use'!H204/'RD Feedstock Use'!$L204)</f>
        <v>31.371913850750609</v>
      </c>
      <c r="I204" s="167">
        <f>$L204*('RD Feedstock Use'!I204/'RD Feedstock Use'!$L204)</f>
        <v>139.26121777393234</v>
      </c>
      <c r="J204" s="167">
        <f t="shared" si="13"/>
        <v>154.58885448903456</v>
      </c>
      <c r="K204" s="167">
        <f>$L204*('RD Feedstock Use'!K204/'RD Feedstock Use'!$L204)</f>
        <v>271.64372810149098</v>
      </c>
      <c r="L204" s="167">
        <f t="shared" si="10"/>
        <v>426.23258259052557</v>
      </c>
      <c r="M204" s="168">
        <f>[5]SAF!$R28/1000000</f>
        <v>56.979087494944743</v>
      </c>
      <c r="N204" s="169">
        <f t="shared" si="11"/>
        <v>7.4805091013144338</v>
      </c>
      <c r="O204" s="167">
        <f t="shared" si="9"/>
        <v>437.19405590207407</v>
      </c>
      <c r="P204" s="170">
        <f t="shared" si="12"/>
        <v>7.6728862311258057</v>
      </c>
    </row>
    <row r="205" spans="1:16" x14ac:dyDescent="0.2">
      <c r="A205" s="155">
        <v>46327</v>
      </c>
      <c r="B205" s="167">
        <f>$L205*('RD Feedstock Use'!B205/'RD Feedstock Use'!$L205)</f>
        <v>109.54782786864286</v>
      </c>
      <c r="C205" s="167">
        <f>$L205*('RD Feedstock Use'!C205/'RD Feedstock Use'!$L205)</f>
        <v>29.376464192354742</v>
      </c>
      <c r="D205" s="167">
        <f>$L205*('RD Feedstock Use'!D205/'RD Feedstock Use'!$L205)*0.15</f>
        <v>8.687066783137233</v>
      </c>
      <c r="E205" s="167">
        <f>$L205*('RD Feedstock Use'!E205/'RD Feedstock Use'!$L205)</f>
        <v>0.53532334801269399</v>
      </c>
      <c r="F205" s="167">
        <f>$L205*('RD Feedstock Use'!F205/'RD Feedstock Use'!$L205)</f>
        <v>4.9897972299940978</v>
      </c>
      <c r="G205" s="167">
        <f>$L205*('RD Feedstock Use'!G205/'RD Feedstock Use'!$L205)</f>
        <v>78.45580600686084</v>
      </c>
      <c r="H205" s="167">
        <f>$L205*('RD Feedstock Use'!H205/'RD Feedstock Use'!$L205)</f>
        <v>21.526054812875774</v>
      </c>
      <c r="I205" s="167">
        <f>$L205*('RD Feedstock Use'!I205/'RD Feedstock Use'!$L205)</f>
        <v>110.99595375690041</v>
      </c>
      <c r="J205" s="167">
        <f t="shared" si="13"/>
        <v>138.9242920609976</v>
      </c>
      <c r="K205" s="167">
        <f>$L205*('RD Feedstock Use'!K205/'RD Feedstock Use'!$L205)</f>
        <v>216.50293515464378</v>
      </c>
      <c r="L205" s="167">
        <f t="shared" si="10"/>
        <v>355.42722721564138</v>
      </c>
      <c r="M205" s="168">
        <f>[5]SAF!$R29/1000000</f>
        <v>48.164797349602125</v>
      </c>
      <c r="N205" s="169">
        <f t="shared" si="11"/>
        <v>7.3793983733760582</v>
      </c>
      <c r="O205" s="167">
        <f t="shared" si="9"/>
        <v>364.11429399877863</v>
      </c>
      <c r="P205" s="170">
        <f t="shared" si="12"/>
        <v>7.5597597007596766</v>
      </c>
    </row>
    <row r="206" spans="1:16" x14ac:dyDescent="0.2">
      <c r="A206" s="155">
        <v>46357</v>
      </c>
      <c r="B206" s="167">
        <f>$L206*('RD Feedstock Use'!B206/'RD Feedstock Use'!$L206)</f>
        <v>89.344395031438594</v>
      </c>
      <c r="C206" s="167">
        <f>$L206*('RD Feedstock Use'!C206/'RD Feedstock Use'!$L206)</f>
        <v>31.710127111818711</v>
      </c>
      <c r="D206" s="167">
        <f>$L206*('RD Feedstock Use'!D206/'RD Feedstock Use'!$L206)*0.15</f>
        <v>7.3942015637872522</v>
      </c>
      <c r="E206" s="167">
        <f>$L206*('RD Feedstock Use'!E206/'RD Feedstock Use'!$L206)</f>
        <v>0.45837053243860981</v>
      </c>
      <c r="F206" s="167">
        <f>$L206*('RD Feedstock Use'!F206/'RD Feedstock Use'!$L206)</f>
        <v>3.7503631293607333</v>
      </c>
      <c r="G206" s="167">
        <f>$L206*('RD Feedstock Use'!G206/'RD Feedstock Use'!$L206)</f>
        <v>73.77231908373038</v>
      </c>
      <c r="H206" s="167">
        <f>$L206*('RD Feedstock Use'!H206/'RD Feedstock Use'!$L206)</f>
        <v>15.620243988672573</v>
      </c>
      <c r="I206" s="167">
        <f>$L206*('RD Feedstock Use'!I206/'RD Feedstock Use'!$L206)</f>
        <v>108.37450098811863</v>
      </c>
      <c r="J206" s="167">
        <f t="shared" si="13"/>
        <v>121.0545221432573</v>
      </c>
      <c r="K206" s="167">
        <f>$L206*('RD Feedstock Use'!K206/'RD Feedstock Use'!$L206)</f>
        <v>201.97579772232095</v>
      </c>
      <c r="L206" s="167">
        <f t="shared" si="10"/>
        <v>323.03031986557824</v>
      </c>
      <c r="M206" s="168">
        <f>[5]SAF!$R30/1000000</f>
        <v>43.520641180795693</v>
      </c>
      <c r="N206" s="169">
        <f t="shared" si="11"/>
        <v>7.422462332841766</v>
      </c>
      <c r="O206" s="167">
        <f t="shared" si="9"/>
        <v>330.42452142936548</v>
      </c>
      <c r="P206" s="170">
        <f t="shared" si="12"/>
        <v>7.5923633582671473</v>
      </c>
    </row>
    <row r="207" spans="1:16" x14ac:dyDescent="0.2">
      <c r="A207" s="155">
        <v>46388</v>
      </c>
      <c r="B207" s="167">
        <f>$L207*('RD Feedstock Use'!B207/'RD Feedstock Use'!$L207)</f>
        <v>190.4557009365482</v>
      </c>
      <c r="C207" s="167">
        <f>$L207*('RD Feedstock Use'!C207/'RD Feedstock Use'!$L207)</f>
        <v>60.061013148079148</v>
      </c>
      <c r="D207" s="167">
        <f>$L207*('RD Feedstock Use'!D207/'RD Feedstock Use'!$L207)*0.15</f>
        <v>16.48096190137538</v>
      </c>
      <c r="E207" s="167">
        <f>$L207*('RD Feedstock Use'!E207/'RD Feedstock Use'!$L207)</f>
        <v>0.77930985625060045</v>
      </c>
      <c r="F207" s="167">
        <f>$L207*('RD Feedstock Use'!F207/'RD Feedstock Use'!$L207)</f>
        <v>11.579933039742659</v>
      </c>
      <c r="G207" s="167">
        <f>$L207*('RD Feedstock Use'!G207/'RD Feedstock Use'!$L207)</f>
        <v>152.35378631609305</v>
      </c>
      <c r="H207" s="167">
        <f>$L207*('RD Feedstock Use'!H207/'RD Feedstock Use'!$L207)</f>
        <v>30.179194675031457</v>
      </c>
      <c r="I207" s="167">
        <f>$L207*('RD Feedstock Use'!I207/'RD Feedstock Use'!$L207)</f>
        <v>98.20644237183717</v>
      </c>
      <c r="J207" s="167">
        <f t="shared" si="13"/>
        <v>250.51671408462735</v>
      </c>
      <c r="K207" s="167">
        <f>$L207*('RD Feedstock Use'!K207/'RD Feedstock Use'!$L207)</f>
        <v>293.09866625895489</v>
      </c>
      <c r="L207" s="167">
        <f t="shared" si="10"/>
        <v>543.61538034358227</v>
      </c>
      <c r="M207" s="168">
        <f>[5]SAF!$S19/1000000</f>
        <v>71.838724914646065</v>
      </c>
      <c r="N207" s="169">
        <f t="shared" si="11"/>
        <v>7.567163545698639</v>
      </c>
      <c r="O207" s="167">
        <f t="shared" si="9"/>
        <v>560.09634224495767</v>
      </c>
      <c r="P207" s="170">
        <f t="shared" si="12"/>
        <v>7.7965796707893471</v>
      </c>
    </row>
    <row r="208" spans="1:16" x14ac:dyDescent="0.2">
      <c r="A208" s="155">
        <v>46419</v>
      </c>
      <c r="B208" s="167">
        <f>$L208*('RD Feedstock Use'!B208/'RD Feedstock Use'!$L208)</f>
        <v>190.27491445725957</v>
      </c>
      <c r="C208" s="167">
        <f>$L208*('RD Feedstock Use'!C208/'RD Feedstock Use'!$L208)</f>
        <v>84.93145147333324</v>
      </c>
      <c r="D208" s="167">
        <f>$L208*('RD Feedstock Use'!D208/'RD Feedstock Use'!$L208)*0.15</f>
        <v>27.100896977313248</v>
      </c>
      <c r="E208" s="167">
        <f>$L208*('RD Feedstock Use'!E208/'RD Feedstock Use'!$L208)</f>
        <v>1.3490043123939319</v>
      </c>
      <c r="F208" s="167">
        <f>$L208*('RD Feedstock Use'!F208/'RD Feedstock Use'!$L208)</f>
        <v>18.667564820214505</v>
      </c>
      <c r="G208" s="167">
        <f>$L208*('RD Feedstock Use'!G208/'RD Feedstock Use'!$L208)</f>
        <v>286.5175186361347</v>
      </c>
      <c r="H208" s="167">
        <f>$L208*('RD Feedstock Use'!H208/'RD Feedstock Use'!$L208)</f>
        <v>40.192821648931265</v>
      </c>
      <c r="I208" s="167">
        <f>$L208*('RD Feedstock Use'!I208/'RD Feedstock Use'!$L208)</f>
        <v>363.58602940265155</v>
      </c>
      <c r="J208" s="167">
        <f t="shared" si="13"/>
        <v>275.20636593059282</v>
      </c>
      <c r="K208" s="167">
        <f>$L208*('RD Feedstock Use'!K208/'RD Feedstock Use'!$L208)</f>
        <v>710.31293882032583</v>
      </c>
      <c r="L208" s="167">
        <f t="shared" si="10"/>
        <v>985.51930475091876</v>
      </c>
      <c r="M208" s="168">
        <f>[5]SAF!$S20/1000000</f>
        <v>136.41006387786058</v>
      </c>
      <c r="N208" s="169">
        <f t="shared" si="11"/>
        <v>7.2246817920511877</v>
      </c>
      <c r="O208" s="167">
        <f t="shared" si="9"/>
        <v>1012.6202017282319</v>
      </c>
      <c r="P208" s="170">
        <f t="shared" si="12"/>
        <v>7.423354061580941</v>
      </c>
    </row>
    <row r="209" spans="1:16" x14ac:dyDescent="0.2">
      <c r="A209" s="155">
        <v>46447</v>
      </c>
      <c r="B209" s="167">
        <f>$L209*('RD Feedstock Use'!B209/'RD Feedstock Use'!$L209)</f>
        <v>79.231498494041119</v>
      </c>
      <c r="C209" s="167">
        <f>$L209*('RD Feedstock Use'!C209/'RD Feedstock Use'!$L209)</f>
        <v>36.057488535778297</v>
      </c>
      <c r="D209" s="167">
        <f>$L209*('RD Feedstock Use'!D209/'RD Feedstock Use'!$L209)*0.15</f>
        <v>9.394716203606631</v>
      </c>
      <c r="E209" s="167">
        <f>$L209*('RD Feedstock Use'!E209/'RD Feedstock Use'!$L209)</f>
        <v>0.52166870908108454</v>
      </c>
      <c r="F209" s="167">
        <f>$L209*('RD Feedstock Use'!F209/'RD Feedstock Use'!$L209)</f>
        <v>9.8345650346776292</v>
      </c>
      <c r="G209" s="167">
        <f>$L209*('RD Feedstock Use'!G209/'RD Feedstock Use'!$L209)</f>
        <v>95.826671195269086</v>
      </c>
      <c r="H209" s="167">
        <f>$L209*('RD Feedstock Use'!H209/'RD Feedstock Use'!$L209)</f>
        <v>24.873763903245798</v>
      </c>
      <c r="I209" s="167">
        <f>$L209*('RD Feedstock Use'!I209/'RD Feedstock Use'!$L209)</f>
        <v>151.06182354630045</v>
      </c>
      <c r="J209" s="167">
        <f t="shared" si="13"/>
        <v>115.28898702981942</v>
      </c>
      <c r="K209" s="167">
        <f>$L209*('RD Feedstock Use'!K209/'RD Feedstock Use'!$L209)</f>
        <v>282.11849238857405</v>
      </c>
      <c r="L209" s="167">
        <f t="shared" si="10"/>
        <v>397.40747941839345</v>
      </c>
      <c r="M209" s="168">
        <f>[5]SAF!$S21/1000000</f>
        <v>55.068922522667556</v>
      </c>
      <c r="N209" s="169">
        <f t="shared" si="11"/>
        <v>7.2165472141716949</v>
      </c>
      <c r="O209" s="167">
        <f t="shared" si="9"/>
        <v>406.80219562200006</v>
      </c>
      <c r="P209" s="170">
        <f t="shared" si="12"/>
        <v>7.387146451876764</v>
      </c>
    </row>
    <row r="210" spans="1:16" x14ac:dyDescent="0.2">
      <c r="A210" s="155">
        <v>46478</v>
      </c>
      <c r="B210" s="167">
        <f>$L210*('RD Feedstock Use'!B210/'RD Feedstock Use'!$L210)</f>
        <v>124.57803229980836</v>
      </c>
      <c r="C210" s="167">
        <f>$L210*('RD Feedstock Use'!C210/'RD Feedstock Use'!$L210)</f>
        <v>47.322178995459019</v>
      </c>
      <c r="D210" s="167">
        <f>$L210*('RD Feedstock Use'!D210/'RD Feedstock Use'!$L210)*0.15</f>
        <v>12.123539833659363</v>
      </c>
      <c r="E210" s="167">
        <f>$L210*('RD Feedstock Use'!E210/'RD Feedstock Use'!$L210)</f>
        <v>0.81202947610980913</v>
      </c>
      <c r="F210" s="167">
        <f>$L210*('RD Feedstock Use'!F210/'RD Feedstock Use'!$L210)</f>
        <v>16.538521669409398</v>
      </c>
      <c r="G210" s="167">
        <f>$L210*('RD Feedstock Use'!G210/'RD Feedstock Use'!$L210)</f>
        <v>92.826236018407755</v>
      </c>
      <c r="H210" s="167">
        <f>$L210*('RD Feedstock Use'!H210/'RD Feedstock Use'!$L210)</f>
        <v>48.310035658519794</v>
      </c>
      <c r="I210" s="167">
        <f>$L210*('RD Feedstock Use'!I210/'RD Feedstock Use'!$L210)</f>
        <v>314.57270300172098</v>
      </c>
      <c r="J210" s="167">
        <f t="shared" si="13"/>
        <v>171.90021129526738</v>
      </c>
      <c r="K210" s="167">
        <f>$L210*('RD Feedstock Use'!K210/'RD Feedstock Use'!$L210)</f>
        <v>473.05952582416774</v>
      </c>
      <c r="L210" s="167">
        <f t="shared" si="10"/>
        <v>644.95973711943509</v>
      </c>
      <c r="M210" s="168">
        <f>[5]SAF!$S22/1000000</f>
        <v>87.516229652979362</v>
      </c>
      <c r="N210" s="169">
        <f t="shared" si="11"/>
        <v>7.3696014976517947</v>
      </c>
      <c r="O210" s="167">
        <f t="shared" si="9"/>
        <v>657.08327695309447</v>
      </c>
      <c r="P210" s="170">
        <f t="shared" si="12"/>
        <v>7.50813054399819</v>
      </c>
    </row>
    <row r="211" spans="1:16" x14ac:dyDescent="0.2">
      <c r="A211" s="155">
        <v>46508</v>
      </c>
      <c r="B211" s="167">
        <f>$L211*('RD Feedstock Use'!B211/'RD Feedstock Use'!$L211)</f>
        <v>164.3284652139078</v>
      </c>
      <c r="C211" s="167">
        <f>$L211*('RD Feedstock Use'!C211/'RD Feedstock Use'!$L211)</f>
        <v>83.165344794429018</v>
      </c>
      <c r="D211" s="167">
        <f>$L211*('RD Feedstock Use'!D211/'RD Feedstock Use'!$L211)*0.15</f>
        <v>16.052401084388741</v>
      </c>
      <c r="E211" s="167">
        <f>$L211*('RD Feedstock Use'!E211/'RD Feedstock Use'!$L211)</f>
        <v>1.0675572525880255</v>
      </c>
      <c r="F211" s="167">
        <f>$L211*('RD Feedstock Use'!F211/'RD Feedstock Use'!$L211)</f>
        <v>19.436155731338665</v>
      </c>
      <c r="G211" s="167">
        <f>$L211*('RD Feedstock Use'!G211/'RD Feedstock Use'!$L211)</f>
        <v>133.68247480931703</v>
      </c>
      <c r="H211" s="167">
        <f>$L211*('RD Feedstock Use'!H211/'RD Feedstock Use'!$L211)</f>
        <v>53.694375596140297</v>
      </c>
      <c r="I211" s="167">
        <f>$L211*('RD Feedstock Use'!I211/'RD Feedstock Use'!$L211)</f>
        <v>407.78191388639499</v>
      </c>
      <c r="J211" s="167">
        <f t="shared" si="13"/>
        <v>247.49381000833682</v>
      </c>
      <c r="K211" s="167">
        <f>$L211*('RD Feedstock Use'!K211/'RD Feedstock Use'!$L211)</f>
        <v>615.662477275779</v>
      </c>
      <c r="L211" s="167">
        <f t="shared" si="10"/>
        <v>863.15628728411582</v>
      </c>
      <c r="M211" s="168">
        <f>[5]SAF!$S23/1000000</f>
        <v>115.27888102848986</v>
      </c>
      <c r="N211" s="169">
        <f t="shared" si="11"/>
        <v>7.4875491467582567</v>
      </c>
      <c r="O211" s="167">
        <f t="shared" si="9"/>
        <v>879.20868836850457</v>
      </c>
      <c r="P211" s="170">
        <f t="shared" si="12"/>
        <v>7.6267975584462704</v>
      </c>
    </row>
    <row r="212" spans="1:16" x14ac:dyDescent="0.2">
      <c r="A212" s="155">
        <v>46539</v>
      </c>
      <c r="B212" s="167">
        <f>$L212*('RD Feedstock Use'!B212/'RD Feedstock Use'!$L212)</f>
        <v>168.16171126761338</v>
      </c>
      <c r="C212" s="167">
        <f>$L212*('RD Feedstock Use'!C212/'RD Feedstock Use'!$L212)</f>
        <v>67.109216965459183</v>
      </c>
      <c r="D212" s="167">
        <f>$L212*('RD Feedstock Use'!D212/'RD Feedstock Use'!$L212)*0.15</f>
        <v>14.600812222689614</v>
      </c>
      <c r="E212" s="167">
        <f>$L212*('RD Feedstock Use'!E212/'RD Feedstock Use'!$L212)</f>
        <v>0.92072346914861269</v>
      </c>
      <c r="F212" s="167">
        <f>$L212*('RD Feedstock Use'!F212/'RD Feedstock Use'!$L212)</f>
        <v>23.569193856612877</v>
      </c>
      <c r="G212" s="167">
        <f>$L212*('RD Feedstock Use'!G212/'RD Feedstock Use'!$L212)</f>
        <v>137.08546911830331</v>
      </c>
      <c r="H212" s="167">
        <f>$L212*('RD Feedstock Use'!H212/'RD Feedstock Use'!$L212)</f>
        <v>56.023320921888157</v>
      </c>
      <c r="I212" s="167">
        <f>$L212*('RD Feedstock Use'!I212/'RD Feedstock Use'!$L212)</f>
        <v>353.32016958008273</v>
      </c>
      <c r="J212" s="167">
        <f t="shared" si="13"/>
        <v>235.27092823307257</v>
      </c>
      <c r="K212" s="167">
        <f>$L212*('RD Feedstock Use'!K212/'RD Feedstock Use'!$L212)</f>
        <v>570.91887694603577</v>
      </c>
      <c r="L212" s="167">
        <f t="shared" si="10"/>
        <v>806.18980517910825</v>
      </c>
      <c r="M212" s="168">
        <f>[5]SAF!$S24/1000000</f>
        <v>109.91276307836901</v>
      </c>
      <c r="N212" s="169">
        <f t="shared" si="11"/>
        <v>7.3348151988890136</v>
      </c>
      <c r="O212" s="167">
        <f t="shared" si="9"/>
        <v>820.79061740179793</v>
      </c>
      <c r="P212" s="170">
        <f t="shared" si="12"/>
        <v>7.4676552059433279</v>
      </c>
    </row>
    <row r="213" spans="1:16" x14ac:dyDescent="0.2">
      <c r="A213" s="155">
        <v>46569</v>
      </c>
      <c r="B213" s="167">
        <f>$L213*('RD Feedstock Use'!B213/'RD Feedstock Use'!$L213)</f>
        <v>217.62749637873253</v>
      </c>
      <c r="C213" s="167">
        <f>$L213*('RD Feedstock Use'!C213/'RD Feedstock Use'!$L213)</f>
        <v>105.43477758399426</v>
      </c>
      <c r="D213" s="167">
        <f>$L213*('RD Feedstock Use'!D213/'RD Feedstock Use'!$L213)*0.15</f>
        <v>18.188121773361324</v>
      </c>
      <c r="E213" s="167">
        <f>$L213*('RD Feedstock Use'!E213/'RD Feedstock Use'!$L213)</f>
        <v>1.0024127048158611</v>
      </c>
      <c r="F213" s="167">
        <f>$L213*('RD Feedstock Use'!F213/'RD Feedstock Use'!$L213)</f>
        <v>26.096041423060058</v>
      </c>
      <c r="G213" s="167">
        <f>$L213*('RD Feedstock Use'!G213/'RD Feedstock Use'!$L213)</f>
        <v>170.63179029725822</v>
      </c>
      <c r="H213" s="167">
        <f>$L213*('RD Feedstock Use'!H213/'RD Feedstock Use'!$L213)</f>
        <v>63.08754453426814</v>
      </c>
      <c r="I213" s="167">
        <f>$L213*('RD Feedstock Use'!I213/'RD Feedstock Use'!$L213)</f>
        <v>308.24964798242792</v>
      </c>
      <c r="J213" s="167">
        <f t="shared" si="13"/>
        <v>323.06227396272681</v>
      </c>
      <c r="K213" s="167">
        <f>$L213*('RD Feedstock Use'!K213/'RD Feedstock Use'!$L213)</f>
        <v>569.06743694183024</v>
      </c>
      <c r="L213" s="167">
        <f t="shared" si="10"/>
        <v>892.1297109045571</v>
      </c>
      <c r="M213" s="168">
        <f>[5]SAF!$S25/1000000</f>
        <v>119.7149091293344</v>
      </c>
      <c r="N213" s="169">
        <f t="shared" si="11"/>
        <v>7.4521186825672796</v>
      </c>
      <c r="O213" s="167">
        <f t="shared" si="9"/>
        <v>910.31783267791832</v>
      </c>
      <c r="P213" s="170">
        <f t="shared" si="12"/>
        <v>7.604047309549836</v>
      </c>
    </row>
    <row r="214" spans="1:16" x14ac:dyDescent="0.2">
      <c r="A214" s="155">
        <v>46600</v>
      </c>
      <c r="B214" s="167">
        <f>$L214*('RD Feedstock Use'!B214/'RD Feedstock Use'!$L214)</f>
        <v>238.92386397990165</v>
      </c>
      <c r="C214" s="167">
        <f>$L214*('RD Feedstock Use'!C214/'RD Feedstock Use'!$L214)</f>
        <v>84.877462003379847</v>
      </c>
      <c r="D214" s="167">
        <f>$L214*('RD Feedstock Use'!D214/'RD Feedstock Use'!$L214)*0.15</f>
        <v>17.306345308679038</v>
      </c>
      <c r="E214" s="167">
        <f>$L214*('RD Feedstock Use'!E214/'RD Feedstock Use'!$L214)</f>
        <v>1.0751139522169109</v>
      </c>
      <c r="F214" s="167">
        <f>$L214*('RD Feedstock Use'!F214/'RD Feedstock Use'!$L214)</f>
        <v>19.920947773510168</v>
      </c>
      <c r="G214" s="167">
        <f>$L214*('RD Feedstock Use'!G214/'RD Feedstock Use'!$L214)</f>
        <v>199.04348169687253</v>
      </c>
      <c r="H214" s="167">
        <f>$L214*('RD Feedstock Use'!H214/'RD Feedstock Use'!$L214)</f>
        <v>73.431856428943803</v>
      </c>
      <c r="I214" s="167">
        <f>$L214*('RD Feedstock Use'!I214/'RD Feedstock Use'!$L214)</f>
        <v>345.24140850133824</v>
      </c>
      <c r="J214" s="167">
        <f t="shared" si="13"/>
        <v>323.80132598328152</v>
      </c>
      <c r="K214" s="167">
        <f>$L214*('RD Feedstock Use'!K214/'RD Feedstock Use'!$L214)</f>
        <v>638.71280835288155</v>
      </c>
      <c r="L214" s="167">
        <f t="shared" si="10"/>
        <v>962.51413433616312</v>
      </c>
      <c r="M214" s="168">
        <f>[5]SAF!$S26/1000000</f>
        <v>130.51407787124597</v>
      </c>
      <c r="N214" s="169">
        <f t="shared" si="11"/>
        <v>7.3747916702571903</v>
      </c>
      <c r="O214" s="167">
        <f t="shared" si="9"/>
        <v>979.82047964484218</v>
      </c>
      <c r="P214" s="170">
        <f t="shared" si="12"/>
        <v>7.5073930385613208</v>
      </c>
    </row>
    <row r="215" spans="1:16" x14ac:dyDescent="0.2">
      <c r="A215" s="155">
        <v>46631</v>
      </c>
      <c r="B215" s="167">
        <f>$L215*('RD Feedstock Use'!B215/'RD Feedstock Use'!$L215)</f>
        <v>295.21247087911934</v>
      </c>
      <c r="C215" s="167">
        <f>$L215*('RD Feedstock Use'!C215/'RD Feedstock Use'!$L215)</f>
        <v>82.118315357890495</v>
      </c>
      <c r="D215" s="167">
        <f>$L215*('RD Feedstock Use'!D215/'RD Feedstock Use'!$L215)*0.15</f>
        <v>24.805252677700228</v>
      </c>
      <c r="E215" s="167">
        <f>$L215*('RD Feedstock Use'!E215/'RD Feedstock Use'!$L215)</f>
        <v>1.5070252248167941</v>
      </c>
      <c r="F215" s="167">
        <f>$L215*('RD Feedstock Use'!F215/'RD Feedstock Use'!$L215)</f>
        <v>27.729810818126687</v>
      </c>
      <c r="G215" s="167">
        <f>$L215*('RD Feedstock Use'!G215/'RD Feedstock Use'!$L215)</f>
        <v>240.43233327638276</v>
      </c>
      <c r="H215" s="167">
        <f>$L215*('RD Feedstock Use'!H215/'RD Feedstock Use'!$L215)</f>
        <v>79.494991199410237</v>
      </c>
      <c r="I215" s="167">
        <f>$L215*('RD Feedstock Use'!I215/'RD Feedstock Use'!$L215)</f>
        <v>471.09532730587011</v>
      </c>
      <c r="J215" s="167">
        <f t="shared" si="13"/>
        <v>377.33078623700982</v>
      </c>
      <c r="K215" s="167">
        <f>$L215*('RD Feedstock Use'!K215/'RD Feedstock Use'!$L215)</f>
        <v>820.25948782460648</v>
      </c>
      <c r="L215" s="167">
        <f t="shared" si="10"/>
        <v>1197.5902740616164</v>
      </c>
      <c r="M215" s="168">
        <f>[5]SAF!$S27/1000000</f>
        <v>158.4381369146937</v>
      </c>
      <c r="N215" s="169">
        <f t="shared" si="11"/>
        <v>7.5587247955738279</v>
      </c>
      <c r="O215" s="167">
        <f t="shared" si="9"/>
        <v>1222.3955267393167</v>
      </c>
      <c r="P215" s="170">
        <f t="shared" si="12"/>
        <v>7.7152859188029908</v>
      </c>
    </row>
    <row r="216" spans="1:16" x14ac:dyDescent="0.2">
      <c r="A216" s="155">
        <v>46661</v>
      </c>
      <c r="B216" s="167">
        <f>$L216*('RD Feedstock Use'!B216/'RD Feedstock Use'!$L216)</f>
        <v>375.63485005135021</v>
      </c>
      <c r="C216" s="167">
        <f>$L216*('RD Feedstock Use'!C216/'RD Feedstock Use'!$L216)</f>
        <v>106.55210193058842</v>
      </c>
      <c r="D216" s="167">
        <f>$L216*('RD Feedstock Use'!D216/'RD Feedstock Use'!$L216)*0.175</f>
        <v>29.577645533250568</v>
      </c>
      <c r="E216" s="167">
        <f>$L216*('RD Feedstock Use'!E216/'RD Feedstock Use'!$L216)</f>
        <v>1.6411715316641047</v>
      </c>
      <c r="F216" s="167">
        <f>$L216*('RD Feedstock Use'!F216/'RD Feedstock Use'!$L216)</f>
        <v>26.801181998861377</v>
      </c>
      <c r="G216" s="167">
        <f>$L216*('RD Feedstock Use'!G216/'RD Feedstock Use'!$L216)</f>
        <v>200.17711991893955</v>
      </c>
      <c r="H216" s="167">
        <f>$L216*('RD Feedstock Use'!H216/'RD Feedstock Use'!$L216)</f>
        <v>79.8629506992676</v>
      </c>
      <c r="I216" s="167">
        <f>$L216*('RD Feedstock Use'!I216/'RD Feedstock Use'!$L216)</f>
        <v>353.39896441168867</v>
      </c>
      <c r="J216" s="167">
        <f t="shared" si="13"/>
        <v>482.18695198193865</v>
      </c>
      <c r="K216" s="167">
        <f>$L216*('RD Feedstock Use'!K216/'RD Feedstock Use'!$L216)</f>
        <v>661.88138856042133</v>
      </c>
      <c r="L216" s="167">
        <f t="shared" si="10"/>
        <v>1144.0683405423601</v>
      </c>
      <c r="M216" s="168">
        <f>[5]SAF!$S28/1000000</f>
        <v>154.44677787649684</v>
      </c>
      <c r="N216" s="169">
        <f t="shared" si="11"/>
        <v>7.407524820344344</v>
      </c>
      <c r="O216" s="167">
        <f t="shared" si="9"/>
        <v>1173.6459860756104</v>
      </c>
      <c r="P216" s="170">
        <f t="shared" si="12"/>
        <v>7.5990318620574584</v>
      </c>
    </row>
    <row r="217" spans="1:16" x14ac:dyDescent="0.2">
      <c r="A217" s="155">
        <v>46692</v>
      </c>
      <c r="B217" s="167">
        <f>$L217*('RD Feedstock Use'!B217/'RD Feedstock Use'!$L217)</f>
        <v>340.73541874303623</v>
      </c>
      <c r="C217" s="167">
        <f>$L217*('RD Feedstock Use'!C217/'RD Feedstock Use'!$L217)</f>
        <v>100.05601756726809</v>
      </c>
      <c r="D217" s="167">
        <f>$L217*('RD Feedstock Use'!D217/'RD Feedstock Use'!$L217)*0.175</f>
        <v>26.779334093062168</v>
      </c>
      <c r="E217" s="167">
        <f>$L217*('RD Feedstock Use'!E217/'RD Feedstock Use'!$L217)</f>
        <v>1.2987700730596849</v>
      </c>
      <c r="F217" s="167">
        <f>$L217*('RD Feedstock Use'!F217/'RD Feedstock Use'!$L217)</f>
        <v>8.9759722958051107</v>
      </c>
      <c r="G217" s="167">
        <f>$L217*('RD Feedstock Use'!G217/'RD Feedstock Use'!$L217)</f>
        <v>190.06055244859499</v>
      </c>
      <c r="H217" s="167">
        <f>$L217*('RD Feedstock Use'!H217/'RD Feedstock Use'!$L217)</f>
        <v>58.719286930162099</v>
      </c>
      <c r="I217" s="167">
        <f>$L217*('RD Feedstock Use'!I217/'RD Feedstock Use'!$L217)</f>
        <v>268.61996633862526</v>
      </c>
      <c r="J217" s="167">
        <f t="shared" si="13"/>
        <v>440.79143631030433</v>
      </c>
      <c r="K217" s="167">
        <f>$L217*('RD Feedstock Use'!K217/'RD Feedstock Use'!$L217)</f>
        <v>527.67454808624711</v>
      </c>
      <c r="L217" s="167">
        <f t="shared" si="10"/>
        <v>968.46598439655145</v>
      </c>
      <c r="M217" s="168">
        <f>[5]SAF!$S29/1000000</f>
        <v>133.04393776577484</v>
      </c>
      <c r="N217" s="169">
        <f t="shared" si="11"/>
        <v>7.2792943493715985</v>
      </c>
      <c r="O217" s="167">
        <f t="shared" si="9"/>
        <v>995.24531848961362</v>
      </c>
      <c r="P217" s="170">
        <f t="shared" si="12"/>
        <v>7.4805762307017156</v>
      </c>
    </row>
    <row r="218" spans="1:16" x14ac:dyDescent="0.2">
      <c r="A218" s="155">
        <v>46722</v>
      </c>
      <c r="B218" s="167">
        <f>$L218*('RD Feedstock Use'!B218/'RD Feedstock Use'!$L218)</f>
        <v>267.94667122630204</v>
      </c>
      <c r="C218" s="167">
        <f>$L218*('RD Feedstock Use'!C218/'RD Feedstock Use'!$L218)</f>
        <v>97.721711718919082</v>
      </c>
      <c r="D218" s="167">
        <f>$L218*('RD Feedstock Use'!D218/'RD Feedstock Use'!$L218)*0.175</f>
        <v>21.050249986447092</v>
      </c>
      <c r="E218" s="167">
        <f>$L218*('RD Feedstock Use'!E218/'RD Feedstock Use'!$L218)</f>
        <v>1.1255666986015125</v>
      </c>
      <c r="F218" s="167">
        <f>$L218*('RD Feedstock Use'!F218/'RD Feedstock Use'!$L218)</f>
        <v>7.879650912219816</v>
      </c>
      <c r="G218" s="167">
        <f>$L218*('RD Feedstock Use'!G218/'RD Feedstock Use'!$L218)</f>
        <v>177.40105776927572</v>
      </c>
      <c r="H218" s="167">
        <f>$L218*('RD Feedstock Use'!H218/'RD Feedstock Use'!$L218)</f>
        <v>43.230058063410539</v>
      </c>
      <c r="I218" s="167">
        <f>$L218*('RD Feedstock Use'!I218/'RD Feedstock Use'!$L218)</f>
        <v>284.88780073661798</v>
      </c>
      <c r="J218" s="167">
        <f t="shared" si="13"/>
        <v>365.66838294522114</v>
      </c>
      <c r="K218" s="167">
        <f>$L218*('RD Feedstock Use'!K218/'RD Feedstock Use'!$L218)</f>
        <v>514.52413418012554</v>
      </c>
      <c r="L218" s="167">
        <f t="shared" si="10"/>
        <v>880.19251712534674</v>
      </c>
      <c r="M218" s="168">
        <f>[5]SAF!$S30/1000000</f>
        <v>119.09250160839956</v>
      </c>
      <c r="N218" s="169">
        <f t="shared" si="11"/>
        <v>7.390830700824468</v>
      </c>
      <c r="O218" s="167">
        <f t="shared" si="9"/>
        <v>901.2427671117938</v>
      </c>
      <c r="P218" s="170">
        <f t="shared" si="12"/>
        <v>7.5675861615138782</v>
      </c>
    </row>
    <row r="219" spans="1:16" x14ac:dyDescent="0.2">
      <c r="A219" s="155">
        <v>46753</v>
      </c>
      <c r="B219" s="167">
        <f>$L219*('RD Feedstock Use'!B219/'RD Feedstock Use'!$L219)</f>
        <v>271.99141031097213</v>
      </c>
      <c r="C219" s="167">
        <f>$L219*('RD Feedstock Use'!C219/'RD Feedstock Use'!$L219)</f>
        <v>74.086269008547745</v>
      </c>
      <c r="D219" s="167">
        <f>$L219*('RD Feedstock Use'!D219/'RD Feedstock Use'!$L219)*0.175</f>
        <v>23.368936128173143</v>
      </c>
      <c r="E219" s="167">
        <f>$L219*('RD Feedstock Use'!E219/'RD Feedstock Use'!$L219)</f>
        <v>0.91646443469349848</v>
      </c>
      <c r="F219" s="167">
        <f>$L219*('RD Feedstock Use'!F219/'RD Feedstock Use'!$L219)</f>
        <v>15.17293411472733</v>
      </c>
      <c r="G219" s="167">
        <f>$L219*('RD Feedstock Use'!G219/'RD Feedstock Use'!$L219)</f>
        <v>174.48100734834711</v>
      </c>
      <c r="H219" s="167">
        <f>$L219*('RD Feedstock Use'!H219/'RD Feedstock Use'!$L219)</f>
        <v>41.00109545407296</v>
      </c>
      <c r="I219" s="167">
        <f>$L219*('RD Feedstock Use'!I219/'RD Feedstock Use'!$L219)</f>
        <v>129.40569760787312</v>
      </c>
      <c r="J219" s="167">
        <f t="shared" si="13"/>
        <v>346.07767931951986</v>
      </c>
      <c r="K219" s="167">
        <f>$L219*('RD Feedstock Use'!K219/'RD Feedstock Use'!$L219)</f>
        <v>360.97719895971397</v>
      </c>
      <c r="L219" s="167">
        <f t="shared" si="10"/>
        <v>707.05487827923389</v>
      </c>
      <c r="M219" s="168">
        <f>[5]SAF!$T19/1000000</f>
        <v>93.857296725430231</v>
      </c>
      <c r="N219" s="169">
        <f t="shared" si="11"/>
        <v>7.5332968554128454</v>
      </c>
      <c r="O219" s="167">
        <f t="shared" si="9"/>
        <v>730.42381440740701</v>
      </c>
      <c r="P219" s="170">
        <f t="shared" si="12"/>
        <v>7.7822805460100346</v>
      </c>
    </row>
    <row r="220" spans="1:16" x14ac:dyDescent="0.2">
      <c r="A220" s="155">
        <v>46784</v>
      </c>
      <c r="B220" s="167">
        <f>$L220*('RD Feedstock Use'!B220/'RD Feedstock Use'!$L220)</f>
        <v>401.78275897211131</v>
      </c>
      <c r="C220" s="167">
        <f>$L220*('RD Feedstock Use'!C220/'RD Feedstock Use'!$L220)</f>
        <v>108.48382146390703</v>
      </c>
      <c r="D220" s="167">
        <f>$L220*('RD Feedstock Use'!D220/'RD Feedstock Use'!$L220)*0.175</f>
        <v>39.50207523458176</v>
      </c>
      <c r="E220" s="167">
        <f>$L220*('RD Feedstock Use'!E220/'RD Feedstock Use'!$L220)</f>
        <v>1.6155100742861286</v>
      </c>
      <c r="F220" s="167">
        <f>$L220*('RD Feedstock Use'!F220/'RD Feedstock Use'!$L220)</f>
        <v>24.768799144624946</v>
      </c>
      <c r="G220" s="167">
        <f>$L220*('RD Feedstock Use'!G220/'RD Feedstock Use'!$L220)</f>
        <v>332.04096873572934</v>
      </c>
      <c r="H220" s="167">
        <f>$L220*('RD Feedstock Use'!H220/'RD Feedstock Use'!$L220)</f>
        <v>50.685667199707375</v>
      </c>
      <c r="I220" s="167">
        <f>$L220*('RD Feedstock Use'!I220/'RD Feedstock Use'!$L220)</f>
        <v>378.75354889745188</v>
      </c>
      <c r="J220" s="167">
        <f t="shared" si="13"/>
        <v>510.26658043601833</v>
      </c>
      <c r="K220" s="167">
        <f>$L220*('RD Feedstock Use'!K220/'RD Feedstock Use'!$L220)</f>
        <v>787.86449405179951</v>
      </c>
      <c r="L220" s="167">
        <f t="shared" si="10"/>
        <v>1298.1310744878178</v>
      </c>
      <c r="M220" s="168">
        <f>[5]SAF!$T20/1000000</f>
        <v>178.65961365068796</v>
      </c>
      <c r="N220" s="169">
        <f t="shared" si="11"/>
        <v>7.2659458282827147</v>
      </c>
      <c r="O220" s="167">
        <f t="shared" si="9"/>
        <v>1337.6331497223996</v>
      </c>
      <c r="P220" s="170">
        <f t="shared" si="12"/>
        <v>7.4870482611571951</v>
      </c>
    </row>
    <row r="221" spans="1:16" x14ac:dyDescent="0.2">
      <c r="A221" s="155">
        <v>46813</v>
      </c>
      <c r="B221" s="167">
        <f>$L221*('RD Feedstock Use'!B221/'RD Feedstock Use'!$L221)</f>
        <v>177.12654703490966</v>
      </c>
      <c r="C221" s="167">
        <f>$L221*('RD Feedstock Use'!C221/'RD Feedstock Use'!$L221)</f>
        <v>46.436815657949822</v>
      </c>
      <c r="D221" s="167">
        <f>$L221*('RD Feedstock Use'!D221/'RD Feedstock Use'!$L221)*0.175</f>
        <v>15.004160224697822</v>
      </c>
      <c r="E221" s="167">
        <f>$L221*('RD Feedstock Use'!E221/'RD Feedstock Use'!$L221)</f>
        <v>0.62617015187532732</v>
      </c>
      <c r="F221" s="167">
        <f>$L221*('RD Feedstock Use'!F221/'RD Feedstock Use'!$L221)</f>
        <v>14.544329395559307</v>
      </c>
      <c r="G221" s="167">
        <f>$L221*('RD Feedstock Use'!G221/'RD Feedstock Use'!$L221)</f>
        <v>110.71975349253347</v>
      </c>
      <c r="H221" s="167">
        <f>$L221*('RD Feedstock Use'!H221/'RD Feedstock Use'!$L221)</f>
        <v>31.099822677451314</v>
      </c>
      <c r="I221" s="167">
        <f>$L221*('RD Feedstock Use'!I221/'RD Feedstock Use'!$L221)</f>
        <v>137.44790580276822</v>
      </c>
      <c r="J221" s="167">
        <f t="shared" si="13"/>
        <v>223.56336269285947</v>
      </c>
      <c r="K221" s="167">
        <f>$L221*('RD Feedstock Use'!K221/'RD Feedstock Use'!$L221)</f>
        <v>294.43798152018763</v>
      </c>
      <c r="L221" s="167">
        <f t="shared" si="10"/>
        <v>518.0013442130471</v>
      </c>
      <c r="M221" s="168">
        <f>[5]SAF!$T21/1000000</f>
        <v>71.495946131616193</v>
      </c>
      <c r="N221" s="169">
        <f t="shared" si="11"/>
        <v>7.2451848285141009</v>
      </c>
      <c r="O221" s="167">
        <f t="shared" si="9"/>
        <v>533.00550443774489</v>
      </c>
      <c r="P221" s="170">
        <f t="shared" si="12"/>
        <v>7.4550451218106861</v>
      </c>
    </row>
    <row r="222" spans="1:16" x14ac:dyDescent="0.2">
      <c r="A222" s="155">
        <v>46844</v>
      </c>
      <c r="B222" s="167">
        <f>$L222*('RD Feedstock Use'!B222/'RD Feedstock Use'!$L222)</f>
        <v>274.47526799325624</v>
      </c>
      <c r="C222" s="167">
        <f>$L222*('RD Feedstock Use'!C222/'RD Feedstock Use'!$L222)</f>
        <v>62.070309306739311</v>
      </c>
      <c r="D222" s="167">
        <f>$L222*('RD Feedstock Use'!D222/'RD Feedstock Use'!$L222)*0.175</f>
        <v>23.64722992128171</v>
      </c>
      <c r="E222" s="167">
        <f>$L222*('RD Feedstock Use'!E222/'RD Feedstock Use'!$L222)</f>
        <v>1.0031702454304059</v>
      </c>
      <c r="F222" s="167">
        <f>$L222*('RD Feedstock Use'!F222/'RD Feedstock Use'!$L222)</f>
        <v>25.481033884226779</v>
      </c>
      <c r="G222" s="167">
        <f>$L222*('RD Feedstock Use'!G222/'RD Feedstock Use'!$L222)</f>
        <v>102.01642865504438</v>
      </c>
      <c r="H222" s="167">
        <f>$L222*('RD Feedstock Use'!H222/'RD Feedstock Use'!$L222)</f>
        <v>63.849127020443952</v>
      </c>
      <c r="I222" s="167">
        <f>$L222*('RD Feedstock Use'!I222/'RD Feedstock Use'!$L222)</f>
        <v>322.80995161380349</v>
      </c>
      <c r="J222" s="167">
        <f t="shared" si="13"/>
        <v>336.54557729999556</v>
      </c>
      <c r="K222" s="167">
        <f>$L222*('RD Feedstock Use'!K222/'RD Feedstock Use'!$L222)</f>
        <v>515.15971141894897</v>
      </c>
      <c r="L222" s="167">
        <f t="shared" si="10"/>
        <v>851.70528871894453</v>
      </c>
      <c r="M222" s="168">
        <f>[5]SAF!$T22/1000000</f>
        <v>114.69082268038088</v>
      </c>
      <c r="N222" s="169">
        <f t="shared" si="11"/>
        <v>7.4260979982022404</v>
      </c>
      <c r="O222" s="167">
        <f t="shared" si="9"/>
        <v>875.35251864022621</v>
      </c>
      <c r="P222" s="170">
        <f t="shared" si="12"/>
        <v>7.632280405553014</v>
      </c>
    </row>
    <row r="223" spans="1:16" x14ac:dyDescent="0.2">
      <c r="A223" s="155">
        <v>46874</v>
      </c>
      <c r="B223" s="167">
        <f>$L223*('RD Feedstock Use'!B223/'RD Feedstock Use'!$L223)</f>
        <v>217.24662816652838</v>
      </c>
      <c r="C223" s="167">
        <f>$L223*('RD Feedstock Use'!C223/'RD Feedstock Use'!$L223)</f>
        <v>114.96649083389802</v>
      </c>
      <c r="D223" s="167">
        <f>$L223*('RD Feedstock Use'!D223/'RD Feedstock Use'!$L223)*0.175</f>
        <v>26.895652836450012</v>
      </c>
      <c r="E223" s="167">
        <f>$L223*('RD Feedstock Use'!E223/'RD Feedstock Use'!$L223)</f>
        <v>1.3021509961970974</v>
      </c>
      <c r="F223" s="167">
        <f>$L223*('RD Feedstock Use'!F223/'RD Feedstock Use'!$L223)</f>
        <v>29.331974730014938</v>
      </c>
      <c r="G223" s="167">
        <f>$L223*('RD Feedstock Use'!G223/'RD Feedstock Use'!$L223)</f>
        <v>150.85844815486243</v>
      </c>
      <c r="H223" s="167">
        <f>$L223*('RD Feedstock Use'!H223/'RD Feedstock Use'!$L223)</f>
        <v>70.651186681769829</v>
      </c>
      <c r="I223" s="167">
        <f>$L223*('RD Feedstock Use'!I223/'RD Feedstock Use'!$L223)</f>
        <v>541.87266666169762</v>
      </c>
      <c r="J223" s="167">
        <f t="shared" si="13"/>
        <v>332.21311900042639</v>
      </c>
      <c r="K223" s="167">
        <f>$L223*('RD Feedstock Use'!K223/'RD Feedstock Use'!$L223)</f>
        <v>794.01642722454199</v>
      </c>
      <c r="L223" s="167">
        <f t="shared" si="10"/>
        <v>1126.2295462249683</v>
      </c>
      <c r="M223" s="168">
        <f>[5]SAF!$T23/1000000</f>
        <v>151.06843384608757</v>
      </c>
      <c r="N223" s="169">
        <f t="shared" si="11"/>
        <v>7.4550951350458829</v>
      </c>
      <c r="O223" s="167">
        <f t="shared" si="9"/>
        <v>1153.1251990614182</v>
      </c>
      <c r="P223" s="170">
        <f t="shared" si="12"/>
        <v>7.6331313544711268</v>
      </c>
    </row>
    <row r="224" spans="1:16" x14ac:dyDescent="0.2">
      <c r="A224" s="155">
        <v>46905</v>
      </c>
      <c r="B224" s="167">
        <f>$L224*('RD Feedstock Use'!B224/'RD Feedstock Use'!$L224)</f>
        <v>223.00419559165027</v>
      </c>
      <c r="C224" s="167">
        <f>$L224*('RD Feedstock Use'!C224/'RD Feedstock Use'!$L224)</f>
        <v>88.858403723797622</v>
      </c>
      <c r="D224" s="167">
        <f>$L224*('RD Feedstock Use'!D224/'RD Feedstock Use'!$L224)*0.175</f>
        <v>27.036272269579953</v>
      </c>
      <c r="E224" s="167">
        <f>$L224*('RD Feedstock Use'!E224/'RD Feedstock Use'!$L224)</f>
        <v>1.1320972020143887</v>
      </c>
      <c r="F224" s="167">
        <f>$L224*('RD Feedstock Use'!F224/'RD Feedstock Use'!$L224)</f>
        <v>30.495896607322553</v>
      </c>
      <c r="G224" s="167">
        <f>$L224*('RD Feedstock Use'!G224/'RD Feedstock Use'!$L224)</f>
        <v>151.98168459408603</v>
      </c>
      <c r="H224" s="167">
        <f>$L224*('RD Feedstock Use'!H224/'RD Feedstock Use'!$L224)</f>
        <v>74.284504318481808</v>
      </c>
      <c r="I224" s="167">
        <f>$L224*('RD Feedstock Use'!I224/'RD Feedstock Use'!$L224)</f>
        <v>489.47625214159802</v>
      </c>
      <c r="J224" s="167">
        <f t="shared" si="13"/>
        <v>311.86259931544788</v>
      </c>
      <c r="K224" s="167">
        <f>$L224*('RD Feedstock Use'!K224/'RD Feedstock Use'!$L224)</f>
        <v>747.37043486350285</v>
      </c>
      <c r="L224" s="167">
        <f t="shared" si="10"/>
        <v>1059.2330341789507</v>
      </c>
      <c r="M224" s="168">
        <f>[5]SAF!$T24/1000000</f>
        <v>143.92815363409781</v>
      </c>
      <c r="N224" s="169">
        <f t="shared" si="11"/>
        <v>7.3594568361641874</v>
      </c>
      <c r="O224" s="167">
        <f t="shared" si="9"/>
        <v>1086.2693064485306</v>
      </c>
      <c r="P224" s="170">
        <f t="shared" si="12"/>
        <v>7.5473024493186029</v>
      </c>
    </row>
    <row r="225" spans="1:16" x14ac:dyDescent="0.2">
      <c r="A225" s="155">
        <v>46935</v>
      </c>
      <c r="B225" s="167">
        <f>$L225*('RD Feedstock Use'!B225/'RD Feedstock Use'!$L225)</f>
        <v>287.76715706166016</v>
      </c>
      <c r="C225" s="167">
        <f>$L225*('RD Feedstock Use'!C225/'RD Feedstock Use'!$L225)</f>
        <v>145.25090472632732</v>
      </c>
      <c r="D225" s="167">
        <f>$L225*('RD Feedstock Use'!D225/'RD Feedstock Use'!$L225)*0.175</f>
        <v>29.718794671546668</v>
      </c>
      <c r="E225" s="167">
        <f>$L225*('RD Feedstock Use'!E225/'RD Feedstock Use'!$L225)</f>
        <v>1.2221606459246632</v>
      </c>
      <c r="F225" s="167">
        <f>$L225*('RD Feedstock Use'!F225/'RD Feedstock Use'!$L225)</f>
        <v>34.500961590498768</v>
      </c>
      <c r="G225" s="167">
        <f>$L225*('RD Feedstock Use'!G225/'RD Feedstock Use'!$L225)</f>
        <v>189.52346688667882</v>
      </c>
      <c r="H225" s="167">
        <f>$L225*('RD Feedstock Use'!H225/'RD Feedstock Use'!$L225)</f>
        <v>82.211015829811146</v>
      </c>
      <c r="I225" s="167">
        <f>$L225*('RD Feedstock Use'!I225/'RD Feedstock Use'!$L225)</f>
        <v>425.96746143055509</v>
      </c>
      <c r="J225" s="167">
        <f t="shared" si="13"/>
        <v>433.01806178798745</v>
      </c>
      <c r="K225" s="167">
        <f>$L225*('RD Feedstock Use'!K225/'RD Feedstock Use'!$L225)</f>
        <v>733.42506638346845</v>
      </c>
      <c r="L225" s="167">
        <f t="shared" si="10"/>
        <v>1166.443128171456</v>
      </c>
      <c r="M225" s="168">
        <f>[5]SAF!$T25/1000000</f>
        <v>156.72936616105363</v>
      </c>
      <c r="N225" s="169">
        <f t="shared" si="11"/>
        <v>7.4424031484490909</v>
      </c>
      <c r="O225" s="167">
        <f t="shared" si="9"/>
        <v>1196.1619228430027</v>
      </c>
      <c r="P225" s="170">
        <f t="shared" si="12"/>
        <v>7.6320216953716118</v>
      </c>
    </row>
    <row r="226" spans="1:16" x14ac:dyDescent="0.2">
      <c r="A226" s="155">
        <v>46966</v>
      </c>
      <c r="B226" s="167">
        <f>$L226*('RD Feedstock Use'!B226/'RD Feedstock Use'!$L226)</f>
        <v>329.79470670189784</v>
      </c>
      <c r="C226" s="167">
        <f>$L226*('RD Feedstock Use'!C226/'RD Feedstock Use'!$L226)</f>
        <v>120.71136496237686</v>
      </c>
      <c r="D226" s="167">
        <f>$L226*('RD Feedstock Use'!D226/'RD Feedstock Use'!$L226)*0.175</f>
        <v>29.479847885775968</v>
      </c>
      <c r="E226" s="167">
        <f>$L226*('RD Feedstock Use'!E226/'RD Feedstock Use'!$L226)</f>
        <v>1.3151250523867515</v>
      </c>
      <c r="F226" s="167">
        <f>$L226*('RD Feedstock Use'!F226/'RD Feedstock Use'!$L226)</f>
        <v>29.305776295374375</v>
      </c>
      <c r="G226" s="167">
        <f>$L226*('RD Feedstock Use'!G226/'RD Feedstock Use'!$L226)</f>
        <v>205.19010555038619</v>
      </c>
      <c r="H226" s="167">
        <f>$L226*('RD Feedstock Use'!H226/'RD Feedstock Use'!$L226)</f>
        <v>93.935509721978704</v>
      </c>
      <c r="I226" s="167">
        <f>$L226*('RD Feedstock Use'!I226/'RD Feedstock Use'!$L226)</f>
        <v>480.01323431651559</v>
      </c>
      <c r="J226" s="167">
        <f t="shared" si="13"/>
        <v>450.50607166427471</v>
      </c>
      <c r="K226" s="167">
        <f>$L226*('RD Feedstock Use'!K226/'RD Feedstock Use'!$L226)</f>
        <v>809.75975093664147</v>
      </c>
      <c r="L226" s="167">
        <f t="shared" si="10"/>
        <v>1260.2658226009164</v>
      </c>
      <c r="M226" s="168">
        <f>[5]SAF!$T26/1000000</f>
        <v>170.77798437477324</v>
      </c>
      <c r="N226" s="169">
        <f t="shared" si="11"/>
        <v>7.3795567222251321</v>
      </c>
      <c r="O226" s="167">
        <f t="shared" si="9"/>
        <v>1289.7456704866922</v>
      </c>
      <c r="P226" s="170">
        <f t="shared" si="12"/>
        <v>7.5521776135754015</v>
      </c>
    </row>
    <row r="227" spans="1:16" x14ac:dyDescent="0.2">
      <c r="A227" s="155">
        <v>46997</v>
      </c>
      <c r="B227" s="167">
        <f>$L227*('RD Feedstock Use'!B227/'RD Feedstock Use'!$L227)</f>
        <v>392.48397134798688</v>
      </c>
      <c r="C227" s="167">
        <f>$L227*('RD Feedstock Use'!C227/'RD Feedstock Use'!$L227)</f>
        <v>108.03234474497297</v>
      </c>
      <c r="D227" s="167">
        <f>$L227*('RD Feedstock Use'!D227/'RD Feedstock Use'!$L227)*0.175</f>
        <v>40.85535191409307</v>
      </c>
      <c r="E227" s="167">
        <f>$L227*('RD Feedstock Use'!E227/'RD Feedstock Use'!$L227)</f>
        <v>1.9423251049204009</v>
      </c>
      <c r="F227" s="167">
        <f>$L227*('RD Feedstock Use'!F227/'RD Feedstock Use'!$L227)</f>
        <v>41.470831364150904</v>
      </c>
      <c r="G227" s="167">
        <f>$L227*('RD Feedstock Use'!G227/'RD Feedstock Use'!$L227)</f>
        <v>246.30106081993981</v>
      </c>
      <c r="H227" s="167">
        <f>$L227*('RD Feedstock Use'!H227/'RD Feedstock Use'!$L227)</f>
        <v>98.137516138487712</v>
      </c>
      <c r="I227" s="167">
        <f>$L227*('RD Feedstock Use'!I227/'RD Feedstock Use'!$L227)</f>
        <v>678.29679616381759</v>
      </c>
      <c r="J227" s="167">
        <f t="shared" si="13"/>
        <v>500.51631609295987</v>
      </c>
      <c r="K227" s="167">
        <f>$L227*('RD Feedstock Use'!K227/'RD Feedstock Use'!$L227)</f>
        <v>1066.1485295913162</v>
      </c>
      <c r="L227" s="167">
        <f t="shared" si="10"/>
        <v>1566.6648456842763</v>
      </c>
      <c r="M227" s="168">
        <f>[5]SAF!$T27/1000000</f>
        <v>207.70753117644347</v>
      </c>
      <c r="N227" s="169">
        <f t="shared" si="11"/>
        <v>7.5426482458810096</v>
      </c>
      <c r="O227" s="167">
        <f t="shared" si="9"/>
        <v>1607.5201975983691</v>
      </c>
      <c r="P227" s="170">
        <f t="shared" si="12"/>
        <v>7.7393447820282084</v>
      </c>
    </row>
    <row r="228" spans="1:16" x14ac:dyDescent="0.2">
      <c r="A228" s="155">
        <v>47027</v>
      </c>
      <c r="B228" s="167">
        <f>$L228*('RD Feedstock Use'!B228/'RD Feedstock Use'!$L228)</f>
        <v>543.56951320978226</v>
      </c>
      <c r="C228" s="167">
        <f>$L228*('RD Feedstock Use'!C228/'RD Feedstock Use'!$L228)</f>
        <v>144.43443475563367</v>
      </c>
      <c r="D228" s="167">
        <f>$L228*('RD Feedstock Use'!D228/'RD Feedstock Use'!$L228)*0.175</f>
        <v>38.355434417218085</v>
      </c>
      <c r="E228" s="167">
        <f>$L228*('RD Feedstock Use'!E228/'RD Feedstock Use'!$L228)</f>
        <v>2.1621459444761086</v>
      </c>
      <c r="F228" s="167">
        <f>$L228*('RD Feedstock Use'!F228/'RD Feedstock Use'!$L228)</f>
        <v>33.657475527289357</v>
      </c>
      <c r="G228" s="167">
        <f>$L228*('RD Feedstock Use'!G228/'RD Feedstock Use'!$L228)</f>
        <v>245.23234946211667</v>
      </c>
      <c r="H228" s="167">
        <f>$L228*('RD Feedstock Use'!H228/'RD Feedstock Use'!$L228)</f>
        <v>98.741288329426681</v>
      </c>
      <c r="I228" s="167">
        <f>$L228*('RD Feedstock Use'!I228/'RD Feedstock Use'!$L228)</f>
        <v>439.99013170228346</v>
      </c>
      <c r="J228" s="167">
        <f t="shared" si="13"/>
        <v>688.00394796541593</v>
      </c>
      <c r="K228" s="167">
        <f>$L228*('RD Feedstock Use'!K228/'RD Feedstock Use'!$L228)</f>
        <v>819.78339096559228</v>
      </c>
      <c r="L228" s="167">
        <f t="shared" si="10"/>
        <v>1507.7873389310082</v>
      </c>
      <c r="M228" s="168">
        <f>[5]SAF!$T28/1000000</f>
        <v>202.41089347973917</v>
      </c>
      <c r="N228" s="169">
        <f t="shared" si="11"/>
        <v>7.4491412641382073</v>
      </c>
      <c r="O228" s="167">
        <f t="shared" si="9"/>
        <v>1546.1427733482262</v>
      </c>
      <c r="P228" s="170">
        <f t="shared" si="12"/>
        <v>7.6386341998089708</v>
      </c>
    </row>
    <row r="229" spans="1:16" x14ac:dyDescent="0.2">
      <c r="A229" s="155">
        <v>47058</v>
      </c>
      <c r="B229" s="167">
        <f>$L229*('RD Feedstock Use'!B229/'RD Feedstock Use'!$L229)</f>
        <v>498.47758878738944</v>
      </c>
      <c r="C229" s="167">
        <f>$L229*('RD Feedstock Use'!C229/'RD Feedstock Use'!$L229)</f>
        <v>131.42598223487457</v>
      </c>
      <c r="D229" s="167">
        <f>$L229*('RD Feedstock Use'!D229/'RD Feedstock Use'!$L229)*0.175</f>
        <v>32.540248637610894</v>
      </c>
      <c r="E229" s="167">
        <f>$L229*('RD Feedstock Use'!E229/'RD Feedstock Use'!$L229)</f>
        <v>1.7241350102979411</v>
      </c>
      <c r="F229" s="167">
        <f>$L229*('RD Feedstock Use'!F229/'RD Feedstock Use'!$L229)</f>
        <v>10.4446509455426</v>
      </c>
      <c r="G229" s="167">
        <f>$L229*('RD Feedstock Use'!G229/'RD Feedstock Use'!$L229)</f>
        <v>238.2193084677067</v>
      </c>
      <c r="H229" s="167">
        <f>$L229*('RD Feedstock Use'!H229/'RD Feedstock Use'!$L229)</f>
        <v>69.587412124114778</v>
      </c>
      <c r="I229" s="167">
        <f>$L229*('RD Feedstock Use'!I229/'RD Feedstock Use'!$L229)</f>
        <v>324.42454437582978</v>
      </c>
      <c r="J229" s="167">
        <f t="shared" si="13"/>
        <v>629.90357102226403</v>
      </c>
      <c r="K229" s="167">
        <f>$L229*('RD Feedstock Use'!K229/'RD Feedstock Use'!$L229)</f>
        <v>644.40005092349168</v>
      </c>
      <c r="L229" s="167">
        <f t="shared" si="10"/>
        <v>1274.3036219457558</v>
      </c>
      <c r="M229" s="168">
        <f>[5]SAF!$T29/1000000</f>
        <v>174.60286039938072</v>
      </c>
      <c r="N229" s="169">
        <f t="shared" si="11"/>
        <v>7.2982975137460899</v>
      </c>
      <c r="O229" s="167">
        <f t="shared" si="9"/>
        <v>1306.8438705833667</v>
      </c>
      <c r="P229" s="170">
        <f t="shared" si="12"/>
        <v>7.4846647276804967</v>
      </c>
    </row>
    <row r="230" spans="1:16" x14ac:dyDescent="0.2">
      <c r="A230" s="155">
        <v>47088</v>
      </c>
      <c r="B230" s="167">
        <f>$L230*('RD Feedstock Use'!B230/'RD Feedstock Use'!$L230)</f>
        <v>391.56413532476927</v>
      </c>
      <c r="C230" s="167">
        <f>$L230*('RD Feedstock Use'!C230/'RD Feedstock Use'!$L230)</f>
        <v>132.73602552306696</v>
      </c>
      <c r="D230" s="167">
        <f>$L230*('RD Feedstock Use'!D230/'RD Feedstock Use'!$L230)*0.175</f>
        <v>28.252593458983583</v>
      </c>
      <c r="E230" s="167">
        <f>$L230*('RD Feedstock Use'!E230/'RD Feedstock Use'!$L230)</f>
        <v>1.496510314436307</v>
      </c>
      <c r="F230" s="167">
        <f>$L230*('RD Feedstock Use'!F230/'RD Feedstock Use'!$L230)</f>
        <v>7.5171611972754731</v>
      </c>
      <c r="G230" s="167">
        <f>$L230*('RD Feedstock Use'!G230/'RD Feedstock Use'!$L230)</f>
        <v>207.80678153106237</v>
      </c>
      <c r="H230" s="167">
        <f>$L230*('RD Feedstock Use'!H230/'RD Feedstock Use'!$L230)</f>
        <v>52.916412797858889</v>
      </c>
      <c r="I230" s="167">
        <f>$L230*('RD Feedstock Use'!I230/'RD Feedstock Use'!$L230)</f>
        <v>365.62180281684607</v>
      </c>
      <c r="J230" s="167">
        <f t="shared" si="13"/>
        <v>524.3001608478362</v>
      </c>
      <c r="K230" s="167">
        <f>$L230*('RD Feedstock Use'!K230/'RD Feedstock Use'!$L230)</f>
        <v>635.35866865747914</v>
      </c>
      <c r="L230" s="167">
        <f t="shared" si="10"/>
        <v>1159.6588295053152</v>
      </c>
      <c r="M230" s="168">
        <f>[5]SAF!$T30/1000000</f>
        <v>157.00508324319091</v>
      </c>
      <c r="N230" s="169">
        <f t="shared" si="11"/>
        <v>7.3861228283231899</v>
      </c>
      <c r="O230" s="167">
        <f t="shared" si="9"/>
        <v>1187.9114229642987</v>
      </c>
      <c r="P230" s="170">
        <f t="shared" si="12"/>
        <v>7.5660698266966255</v>
      </c>
    </row>
    <row r="231" spans="1:16" x14ac:dyDescent="0.2">
      <c r="A231" s="155">
        <v>47119</v>
      </c>
      <c r="B231" s="167">
        <f>$L231*('RD Feedstock Use'!B231/'RD Feedstock Use'!$L231)</f>
        <v>412.20611237760926</v>
      </c>
      <c r="C231" s="167">
        <f>$L231*('RD Feedstock Use'!C231/'RD Feedstock Use'!$L231)</f>
        <v>92.319101374829387</v>
      </c>
      <c r="D231" s="167">
        <f>$L231*('RD Feedstock Use'!D231/'RD Feedstock Use'!$L231)*0.175</f>
        <v>36.3671729790358</v>
      </c>
      <c r="E231" s="167">
        <f>$L231*('RD Feedstock Use'!E231/'RD Feedstock Use'!$L231)</f>
        <v>1.2482799057770286</v>
      </c>
      <c r="F231" s="167">
        <f>$L231*('RD Feedstock Use'!F231/'RD Feedstock Use'!$L231)</f>
        <v>19.858006215450551</v>
      </c>
      <c r="G231" s="167">
        <f>$L231*('RD Feedstock Use'!G231/'RD Feedstock Use'!$L231)</f>
        <v>227.596866201311</v>
      </c>
      <c r="H231" s="167">
        <f>$L231*('RD Feedstock Use'!H231/'RD Feedstock Use'!$L231)</f>
        <v>54.42247399519934</v>
      </c>
      <c r="I231" s="167">
        <f>$L231*('RD Feedstock Use'!I231/'RD Feedstock Use'!$L231)</f>
        <v>139.46022043365556</v>
      </c>
      <c r="J231" s="167">
        <f t="shared" si="13"/>
        <v>504.52521375243862</v>
      </c>
      <c r="K231" s="167">
        <f>$L231*('RD Feedstock Use'!K231/'RD Feedstock Use'!$L231)</f>
        <v>442.58584675139343</v>
      </c>
      <c r="L231" s="167">
        <f t="shared" si="10"/>
        <v>947.11106050383205</v>
      </c>
      <c r="M231" s="168">
        <f>[5]SAF!$U19/1000000</f>
        <v>125.6585644711547</v>
      </c>
      <c r="N231" s="169">
        <f t="shared" si="11"/>
        <v>7.5371787389887315</v>
      </c>
      <c r="O231" s="167">
        <f t="shared" si="9"/>
        <v>983.47823348286784</v>
      </c>
      <c r="P231" s="170">
        <f t="shared" si="12"/>
        <v>7.8265913479270104</v>
      </c>
    </row>
    <row r="232" spans="1:16" x14ac:dyDescent="0.2">
      <c r="A232" s="155">
        <v>47150</v>
      </c>
      <c r="B232" s="167">
        <f>$L232*('RD Feedstock Use'!B232/'RD Feedstock Use'!$L232)</f>
        <v>376.46860467195489</v>
      </c>
      <c r="C232" s="167">
        <f>$L232*('RD Feedstock Use'!C232/'RD Feedstock Use'!$L232)</f>
        <v>133.54592748957981</v>
      </c>
      <c r="D232" s="167">
        <f>$L232*('RD Feedstock Use'!D232/'RD Feedstock Use'!$L232)*0.175</f>
        <v>53.055964411619954</v>
      </c>
      <c r="E232" s="167">
        <f>$L232*('RD Feedstock Use'!E232/'RD Feedstock Use'!$L232)</f>
        <v>2.0963263412172739</v>
      </c>
      <c r="F232" s="167">
        <f>$L232*('RD Feedstock Use'!F232/'RD Feedstock Use'!$L232)</f>
        <v>30.140878307810215</v>
      </c>
      <c r="G232" s="167">
        <f>$L232*('RD Feedstock Use'!G232/'RD Feedstock Use'!$L232)</f>
        <v>401.31526739426994</v>
      </c>
      <c r="H232" s="167">
        <f>$L232*('RD Feedstock Use'!H232/'RD Feedstock Use'!$L232)</f>
        <v>56.880705398447361</v>
      </c>
      <c r="I232" s="167">
        <f>$L232*('RD Feedstock Use'!I232/'RD Feedstock Use'!$L232)</f>
        <v>664.67438572286778</v>
      </c>
      <c r="J232" s="167">
        <f t="shared" si="13"/>
        <v>510.0145321615347</v>
      </c>
      <c r="K232" s="167">
        <f>$L232*('RD Feedstock Use'!K232/'RD Feedstock Use'!$L232)</f>
        <v>1155.1075631646124</v>
      </c>
      <c r="L232" s="167">
        <f t="shared" si="10"/>
        <v>1665.1220953261472</v>
      </c>
      <c r="M232" s="168">
        <f>[5]SAF!$U20/1000000</f>
        <v>228.6152083670066</v>
      </c>
      <c r="N232" s="169">
        <f t="shared" si="11"/>
        <v>7.2835141074825147</v>
      </c>
      <c r="O232" s="167">
        <f t="shared" si="9"/>
        <v>1718.1780597377672</v>
      </c>
      <c r="P232" s="170">
        <f t="shared" si="12"/>
        <v>7.5155895008502505</v>
      </c>
    </row>
    <row r="233" spans="1:16" x14ac:dyDescent="0.2">
      <c r="A233" s="155">
        <v>47178</v>
      </c>
      <c r="B233" s="167">
        <f>$L233*('RD Feedstock Use'!B233/'RD Feedstock Use'!$L233)</f>
        <v>175.68699440257939</v>
      </c>
      <c r="C233" s="167">
        <f>$L233*('RD Feedstock Use'!C233/'RD Feedstock Use'!$L233)</f>
        <v>57.462633227282936</v>
      </c>
      <c r="D233" s="167">
        <f>$L233*('RD Feedstock Use'!D233/'RD Feedstock Use'!$L233)*0.175</f>
        <v>20.102731107865115</v>
      </c>
      <c r="E233" s="167">
        <f>$L233*('RD Feedstock Use'!E233/'RD Feedstock Use'!$L233)</f>
        <v>0.83223435496756226</v>
      </c>
      <c r="F233" s="167">
        <f>$L233*('RD Feedstock Use'!F233/'RD Feedstock Use'!$L233)</f>
        <v>17.937993960216254</v>
      </c>
      <c r="G233" s="167">
        <f>$L233*('RD Feedstock Use'!G233/'RD Feedstock Use'!$L233)</f>
        <v>139.06066701150795</v>
      </c>
      <c r="H233" s="167">
        <f>$L233*('RD Feedstock Use'!H233/'RD Feedstock Use'!$L233)</f>
        <v>37.963844597407387</v>
      </c>
      <c r="I233" s="167">
        <f>$L233*('RD Feedstock Use'!I233/'RD Feedstock Use'!$L233)</f>
        <v>256.69551361106062</v>
      </c>
      <c r="J233" s="167">
        <f t="shared" si="13"/>
        <v>233.14962762986232</v>
      </c>
      <c r="K233" s="167">
        <f>$L233*('RD Feedstock Use'!K233/'RD Feedstock Use'!$L233)</f>
        <v>452.49025353515981</v>
      </c>
      <c r="L233" s="167">
        <f t="shared" si="10"/>
        <v>685.63988116502208</v>
      </c>
      <c r="M233" s="168">
        <f>[5]SAF!$U21/1000000</f>
        <v>94.672703868440294</v>
      </c>
      <c r="N233" s="169">
        <f t="shared" si="11"/>
        <v>7.2422129415233085</v>
      </c>
      <c r="O233" s="167">
        <f t="shared" si="9"/>
        <v>705.7426122728873</v>
      </c>
      <c r="P233" s="170">
        <f t="shared" si="12"/>
        <v>7.4545521933503238</v>
      </c>
    </row>
    <row r="234" spans="1:16" x14ac:dyDescent="0.2">
      <c r="A234" s="155">
        <v>47209</v>
      </c>
      <c r="B234" s="167">
        <f>$L234*('RD Feedstock Use'!B234/'RD Feedstock Use'!$L234)</f>
        <v>258.62264886727132</v>
      </c>
      <c r="C234" s="167">
        <f>$L234*('RD Feedstock Use'!C234/'RD Feedstock Use'!$L234)</f>
        <v>77.280527477406892</v>
      </c>
      <c r="D234" s="167">
        <f>$L234*('RD Feedstock Use'!D234/'RD Feedstock Use'!$L234)*0.175</f>
        <v>28.70600674962936</v>
      </c>
      <c r="E234" s="167">
        <f>$L234*('RD Feedstock Use'!E234/'RD Feedstock Use'!$L234)</f>
        <v>1.2960068908523346</v>
      </c>
      <c r="F234" s="167">
        <f>$L234*('RD Feedstock Use'!F234/'RD Feedstock Use'!$L234)</f>
        <v>33.797545802154751</v>
      </c>
      <c r="G234" s="167">
        <f>$L234*('RD Feedstock Use'!G234/'RD Feedstock Use'!$L234)</f>
        <v>121.62759780080893</v>
      </c>
      <c r="H234" s="167">
        <f>$L234*('RD Feedstock Use'!H234/'RD Feedstock Use'!$L234)</f>
        <v>84.463215003907166</v>
      </c>
      <c r="I234" s="167">
        <f>$L234*('RD Feedstock Use'!I234/'RD Feedstock Use'!$L234)</f>
        <v>530.98856399072929</v>
      </c>
      <c r="J234" s="167">
        <f t="shared" si="13"/>
        <v>335.90317634467823</v>
      </c>
      <c r="K234" s="167">
        <f>$L234*('RD Feedstock Use'!K234/'RD Feedstock Use'!$L234)</f>
        <v>772.1729294884525</v>
      </c>
      <c r="L234" s="167">
        <f t="shared" si="10"/>
        <v>1108.0761058331307</v>
      </c>
      <c r="M234" s="168">
        <f>[5]SAF!$U22/1000000</f>
        <v>150.06145147635485</v>
      </c>
      <c r="N234" s="169">
        <f t="shared" si="11"/>
        <v>7.3841489265331406</v>
      </c>
      <c r="O234" s="167">
        <f t="shared" si="9"/>
        <v>1136.78211258276</v>
      </c>
      <c r="P234" s="170">
        <f t="shared" si="12"/>
        <v>7.5754439357924142</v>
      </c>
    </row>
    <row r="235" spans="1:16" x14ac:dyDescent="0.2">
      <c r="A235" s="155">
        <v>47239</v>
      </c>
      <c r="B235" s="167">
        <f>$L235*('RD Feedstock Use'!B235/'RD Feedstock Use'!$L235)</f>
        <v>284.62487164577783</v>
      </c>
      <c r="C235" s="167">
        <f>$L235*('RD Feedstock Use'!C235/'RD Feedstock Use'!$L235)</f>
        <v>135.87748206156337</v>
      </c>
      <c r="D235" s="167">
        <f>$L235*('RD Feedstock Use'!D235/'RD Feedstock Use'!$L235)*0.175</f>
        <v>30.75742553403175</v>
      </c>
      <c r="E235" s="167">
        <f>$L235*('RD Feedstock Use'!E235/'RD Feedstock Use'!$L235)</f>
        <v>1.7038731774395639</v>
      </c>
      <c r="F235" s="167">
        <f>$L235*('RD Feedstock Use'!F235/'RD Feedstock Use'!$L235)</f>
        <v>38.266968801178237</v>
      </c>
      <c r="G235" s="167">
        <f>$L235*('RD Feedstock Use'!G235/'RD Feedstock Use'!$L235)</f>
        <v>180.79975492066626</v>
      </c>
      <c r="H235" s="167">
        <f>$L235*('RD Feedstock Use'!H235/'RD Feedstock Use'!$L235)</f>
        <v>93.859564252903738</v>
      </c>
      <c r="I235" s="167">
        <f>$L235*('RD Feedstock Use'!I235/'RD Feedstock Use'!$L235)</f>
        <v>752.12126647572495</v>
      </c>
      <c r="J235" s="167">
        <f t="shared" si="13"/>
        <v>420.50235370734117</v>
      </c>
      <c r="K235" s="167">
        <f>$L235*('RD Feedstock Use'!K235/'RD Feedstock Use'!$L235)</f>
        <v>1066.7514276279128</v>
      </c>
      <c r="L235" s="167">
        <f t="shared" si="10"/>
        <v>1487.253781335254</v>
      </c>
      <c r="M235" s="168">
        <f>[5]SAF!$U23/1000000</f>
        <v>199.07695303664704</v>
      </c>
      <c r="N235" s="169">
        <f t="shared" si="11"/>
        <v>7.4707481637087003</v>
      </c>
      <c r="O235" s="167">
        <f t="shared" si="9"/>
        <v>1518.0112068692856</v>
      </c>
      <c r="P235" s="170">
        <f t="shared" si="12"/>
        <v>7.6252483459993625</v>
      </c>
    </row>
    <row r="236" spans="1:16" x14ac:dyDescent="0.2">
      <c r="A236" s="155">
        <v>47270</v>
      </c>
      <c r="B236" s="167">
        <f>$L236*('RD Feedstock Use'!B236/'RD Feedstock Use'!$L236)</f>
        <v>285.00348548881141</v>
      </c>
      <c r="C236" s="167">
        <f>$L236*('RD Feedstock Use'!C236/'RD Feedstock Use'!$L236)</f>
        <v>108.33951482164773</v>
      </c>
      <c r="D236" s="167">
        <f>$L236*('RD Feedstock Use'!D236/'RD Feedstock Use'!$L236)*0.175</f>
        <v>32.021302607401104</v>
      </c>
      <c r="E236" s="167">
        <f>$L236*('RD Feedstock Use'!E236/'RD Feedstock Use'!$L236)</f>
        <v>1.4643350041695329</v>
      </c>
      <c r="F236" s="167">
        <f>$L236*('RD Feedstock Use'!F236/'RD Feedstock Use'!$L236)</f>
        <v>40.992486170891439</v>
      </c>
      <c r="G236" s="167">
        <f>$L236*('RD Feedstock Use'!G236/'RD Feedstock Use'!$L236)</f>
        <v>180.75447380484061</v>
      </c>
      <c r="H236" s="167">
        <f>$L236*('RD Feedstock Use'!H236/'RD Feedstock Use'!$L236)</f>
        <v>100.30721826404388</v>
      </c>
      <c r="I236" s="167">
        <f>$L236*('RD Feedstock Use'!I236/'RD Feedstock Use'!$L236)</f>
        <v>657.83912453002711</v>
      </c>
      <c r="J236" s="167">
        <f t="shared" si="13"/>
        <v>393.34300031045916</v>
      </c>
      <c r="K236" s="167">
        <f>$L236*('RD Feedstock Use'!K236/'RD Feedstock Use'!$L236)</f>
        <v>981.35763777397244</v>
      </c>
      <c r="L236" s="167">
        <f t="shared" si="10"/>
        <v>1374.7006380844316</v>
      </c>
      <c r="M236" s="168">
        <f>[5]SAF!$U24/1000000</f>
        <v>186.83002140693691</v>
      </c>
      <c r="N236" s="169">
        <f t="shared" si="11"/>
        <v>7.3580285851928382</v>
      </c>
      <c r="O236" s="167">
        <f t="shared" si="9"/>
        <v>1406.7219406918327</v>
      </c>
      <c r="P236" s="170">
        <f t="shared" si="12"/>
        <v>7.5294212894609336</v>
      </c>
    </row>
    <row r="237" spans="1:16" x14ac:dyDescent="0.2">
      <c r="A237" s="155">
        <v>47300</v>
      </c>
      <c r="B237" s="167">
        <f>$L237*('RD Feedstock Use'!B237/'RD Feedstock Use'!$L237)</f>
        <v>414.24762670715575</v>
      </c>
      <c r="C237" s="167">
        <f>$L237*('RD Feedstock Use'!C237/'RD Feedstock Use'!$L237)</f>
        <v>168.19808568083056</v>
      </c>
      <c r="D237" s="167">
        <f>$L237*('RD Feedstock Use'!D237/'RD Feedstock Use'!$L237)*0.175</f>
        <v>39.726626408259108</v>
      </c>
      <c r="E237" s="167">
        <f>$L237*('RD Feedstock Use'!E237/'RD Feedstock Use'!$L237)</f>
        <v>1.5978546539819243</v>
      </c>
      <c r="F237" s="167">
        <f>$L237*('RD Feedstock Use'!F237/'RD Feedstock Use'!$L237)</f>
        <v>47.267449225302435</v>
      </c>
      <c r="G237" s="167">
        <f>$L237*('RD Feedstock Use'!G237/'RD Feedstock Use'!$L237)</f>
        <v>225.37348275730679</v>
      </c>
      <c r="H237" s="167">
        <f>$L237*('RD Feedstock Use'!H237/'RD Feedstock Use'!$L237)</f>
        <v>112.86637362140806</v>
      </c>
      <c r="I237" s="167">
        <f>$L237*('RD Feedstock Use'!I237/'RD Feedstock Use'!$L237)</f>
        <v>553.31740365732855</v>
      </c>
      <c r="J237" s="167">
        <f t="shared" si="13"/>
        <v>582.4457123879863</v>
      </c>
      <c r="K237" s="167">
        <f>$L237*('RD Feedstock Use'!K237/'RD Feedstock Use'!$L237)</f>
        <v>940.42256391532771</v>
      </c>
      <c r="L237" s="167">
        <f t="shared" si="10"/>
        <v>1522.8682763033141</v>
      </c>
      <c r="M237" s="168">
        <f>[5]SAF!$U25/1000000</f>
        <v>204.87728907731122</v>
      </c>
      <c r="N237" s="169">
        <f t="shared" si="11"/>
        <v>7.4330751014996794</v>
      </c>
      <c r="O237" s="167">
        <f t="shared" si="9"/>
        <v>1562.594902711573</v>
      </c>
      <c r="P237" s="170">
        <f t="shared" si="12"/>
        <v>7.6269795922666761</v>
      </c>
    </row>
    <row r="238" spans="1:16" x14ac:dyDescent="0.2">
      <c r="A238" s="155">
        <v>47331</v>
      </c>
      <c r="B238" s="167">
        <f>$L238*('RD Feedstock Use'!B238/'RD Feedstock Use'!$L238)</f>
        <v>457.91507399242079</v>
      </c>
      <c r="C238" s="167">
        <f>$L238*('RD Feedstock Use'!C238/'RD Feedstock Use'!$L238)</f>
        <v>139.48291847732287</v>
      </c>
      <c r="D238" s="167">
        <f>$L238*('RD Feedstock Use'!D238/'RD Feedstock Use'!$L238)*0.175</f>
        <v>40.731997626569175</v>
      </c>
      <c r="E238" s="167">
        <f>$L238*('RD Feedstock Use'!E238/'RD Feedstock Use'!$L238)</f>
        <v>1.7082666552661878</v>
      </c>
      <c r="F238" s="167">
        <f>$L238*('RD Feedstock Use'!F238/'RD Feedstock Use'!$L238)</f>
        <v>37.847783702372027</v>
      </c>
      <c r="G238" s="167">
        <f>$L238*('RD Feedstock Use'!G238/'RD Feedstock Use'!$L238)</f>
        <v>247.51540626573663</v>
      </c>
      <c r="H238" s="167">
        <f>$L238*('RD Feedstock Use'!H238/'RD Feedstock Use'!$L238)</f>
        <v>126.52348425752855</v>
      </c>
      <c r="I238" s="167">
        <f>$L238*('RD Feedstock Use'!I238/'RD Feedstock Use'!$L238)</f>
        <v>634.99661787132732</v>
      </c>
      <c r="J238" s="167">
        <f t="shared" si="13"/>
        <v>597.39799246974371</v>
      </c>
      <c r="K238" s="167">
        <f>$L238*('RD Feedstock Use'!K238/'RD Feedstock Use'!$L238)</f>
        <v>1048.5915587522306</v>
      </c>
      <c r="L238" s="167">
        <f t="shared" si="10"/>
        <v>1645.9895512219744</v>
      </c>
      <c r="M238" s="168">
        <f>[5]SAF!$U26/1000000</f>
        <v>222.27586658954854</v>
      </c>
      <c r="N238" s="169">
        <f t="shared" si="11"/>
        <v>7.4051653761469085</v>
      </c>
      <c r="O238" s="167">
        <f t="shared" si="9"/>
        <v>1686.7215488485435</v>
      </c>
      <c r="P238" s="170">
        <f t="shared" si="12"/>
        <v>7.5884151290397153</v>
      </c>
    </row>
    <row r="239" spans="1:16" x14ac:dyDescent="0.2">
      <c r="A239" s="155">
        <v>47362</v>
      </c>
      <c r="B239" s="167">
        <f>$L239*('RD Feedstock Use'!B239/'RD Feedstock Use'!$L239)</f>
        <v>563.68528878555992</v>
      </c>
      <c r="C239" s="167">
        <f>$L239*('RD Feedstock Use'!C239/'RD Feedstock Use'!$L239)</f>
        <v>135.83678770734414</v>
      </c>
      <c r="D239" s="167">
        <f>$L239*('RD Feedstock Use'!D239/'RD Feedstock Use'!$L239)*0.175</f>
        <v>58.169983521194993</v>
      </c>
      <c r="E239" s="167">
        <f>$L239*('RD Feedstock Use'!E239/'RD Feedstock Use'!$L239)</f>
        <v>2.6366549253526266</v>
      </c>
      <c r="F239" s="167">
        <f>$L239*('RD Feedstock Use'!F239/'RD Feedstock Use'!$L239)</f>
        <v>55.502057611089128</v>
      </c>
      <c r="G239" s="167">
        <f>$L239*('RD Feedstock Use'!G239/'RD Feedstock Use'!$L239)</f>
        <v>295.7482508930417</v>
      </c>
      <c r="H239" s="167">
        <f>$L239*('RD Feedstock Use'!H239/'RD Feedstock Use'!$L239)</f>
        <v>134.18438310324049</v>
      </c>
      <c r="I239" s="167">
        <f>$L239*('RD Feedstock Use'!I239/'RD Feedstock Use'!$L239)</f>
        <v>871.64096659165011</v>
      </c>
      <c r="J239" s="167">
        <f t="shared" si="13"/>
        <v>699.52207649290403</v>
      </c>
      <c r="K239" s="167">
        <f>$L239*('RD Feedstock Use'!K239/'RD Feedstock Use'!$L239)</f>
        <v>1359.7123131243741</v>
      </c>
      <c r="L239" s="167">
        <f t="shared" si="10"/>
        <v>2059.2343896172779</v>
      </c>
      <c r="M239" s="168">
        <f>[5]SAF!$U27/1000000</f>
        <v>272.2104012153174</v>
      </c>
      <c r="N239" s="169">
        <f t="shared" si="11"/>
        <v>7.5648629898915258</v>
      </c>
      <c r="O239" s="167">
        <f t="shared" si="9"/>
        <v>2117.4043731384727</v>
      </c>
      <c r="P239" s="170">
        <f t="shared" si="12"/>
        <v>7.7785579231545006</v>
      </c>
    </row>
    <row r="240" spans="1:16" x14ac:dyDescent="0.2">
      <c r="A240" s="155">
        <v>47392</v>
      </c>
      <c r="B240" s="167">
        <f>$L240*('RD Feedstock Use'!B240/'RD Feedstock Use'!$L240)</f>
        <v>579.76296459426771</v>
      </c>
      <c r="C240" s="167">
        <f>$L240*('RD Feedstock Use'!C240/'RD Feedstock Use'!$L240)</f>
        <v>171.24258391757544</v>
      </c>
      <c r="D240" s="167">
        <f>$L240*('RD Feedstock Use'!D240/'RD Feedstock Use'!$L240)*0.125</f>
        <v>38.293088327402835</v>
      </c>
      <c r="E240" s="167">
        <f>$L240*('RD Feedstock Use'!E240/'RD Feedstock Use'!$L240)</f>
        <v>3.0070187380258471</v>
      </c>
      <c r="F240" s="167">
        <f>$L240*('RD Feedstock Use'!F240/'RD Feedstock Use'!$L240)</f>
        <v>46.214819434163566</v>
      </c>
      <c r="G240" s="167">
        <f>$L240*('RD Feedstock Use'!G240/'RD Feedstock Use'!$L240)</f>
        <v>293.86284637984693</v>
      </c>
      <c r="H240" s="167">
        <f>$L240*('RD Feedstock Use'!H240/'RD Feedstock Use'!$L240)</f>
        <v>140.17285386578737</v>
      </c>
      <c r="I240" s="167">
        <f>$L240*('RD Feedstock Use'!I240/'RD Feedstock Use'!$L240)</f>
        <v>737.08493630315706</v>
      </c>
      <c r="J240" s="167">
        <f t="shared" si="13"/>
        <v>751.00554851184313</v>
      </c>
      <c r="K240" s="167">
        <f>$L240*('RD Feedstock Use'!K240/'RD Feedstock Use'!$L240)</f>
        <v>1220.3424747209808</v>
      </c>
      <c r="L240" s="167">
        <f t="shared" si="10"/>
        <v>1971.3480232328241</v>
      </c>
      <c r="M240" s="168">
        <f>[5]SAF!$U28/1000000</f>
        <v>262.4150016669106</v>
      </c>
      <c r="N240" s="169">
        <f t="shared" si="11"/>
        <v>7.5123297475770894</v>
      </c>
      <c r="O240" s="167">
        <f t="shared" si="9"/>
        <v>2009.6411115602266</v>
      </c>
      <c r="P240" s="170">
        <f t="shared" si="12"/>
        <v>7.6582554304997785</v>
      </c>
    </row>
    <row r="241" spans="1:16" x14ac:dyDescent="0.2">
      <c r="A241" s="155">
        <v>47423</v>
      </c>
      <c r="B241" s="167">
        <f>$L241*('RD Feedstock Use'!B241/'RD Feedstock Use'!$L241)</f>
        <v>557.03424829457651</v>
      </c>
      <c r="C241" s="167">
        <f>$L241*('RD Feedstock Use'!C241/'RD Feedstock Use'!$L241)</f>
        <v>155.72234850420293</v>
      </c>
      <c r="D241" s="167">
        <f>$L241*('RD Feedstock Use'!D241/'RD Feedstock Use'!$L241)*0.125</f>
        <v>31.938001800159707</v>
      </c>
      <c r="E241" s="167">
        <f>$L241*('RD Feedstock Use'!E241/'RD Feedstock Use'!$L241)</f>
        <v>2.3551757128918824</v>
      </c>
      <c r="F241" s="167">
        <f>$L241*('RD Feedstock Use'!F241/'RD Feedstock Use'!$L241)</f>
        <v>14.395245408954709</v>
      </c>
      <c r="G241" s="167">
        <f>$L241*('RD Feedstock Use'!G241/'RD Feedstock Use'!$L241)</f>
        <v>268.49355246681324</v>
      </c>
      <c r="H241" s="167">
        <f>$L241*('RD Feedstock Use'!H241/'RD Feedstock Use'!$L241)</f>
        <v>97.639382092861879</v>
      </c>
      <c r="I241" s="167">
        <f>$L241*('RD Feedstock Use'!I241/'RD Feedstock Use'!$L241)</f>
        <v>552.89736795473061</v>
      </c>
      <c r="J241" s="167">
        <f t="shared" si="13"/>
        <v>712.75659679877947</v>
      </c>
      <c r="K241" s="167">
        <f>$L241*('RD Feedstock Use'!K241/'RD Feedstock Use'!$L241)</f>
        <v>935.78072363625222</v>
      </c>
      <c r="L241" s="167">
        <f t="shared" si="10"/>
        <v>1648.5373204350317</v>
      </c>
      <c r="M241" s="168">
        <f>[5]SAF!$U29/1000000</f>
        <v>225.87970925137935</v>
      </c>
      <c r="N241" s="169">
        <f t="shared" si="11"/>
        <v>7.2982975137460908</v>
      </c>
      <c r="O241" s="167">
        <f t="shared" si="9"/>
        <v>1680.4753222351915</v>
      </c>
      <c r="P241" s="170">
        <f t="shared" si="12"/>
        <v>7.4396913640658475</v>
      </c>
    </row>
    <row r="242" spans="1:16" x14ac:dyDescent="0.2">
      <c r="A242" s="155">
        <v>47453</v>
      </c>
      <c r="B242" s="167">
        <f>$L242*('RD Feedstock Use'!B242/'RD Feedstock Use'!$L242)</f>
        <v>442.08328330675312</v>
      </c>
      <c r="C242" s="167">
        <f>$L242*('RD Feedstock Use'!C242/'RD Feedstock Use'!$L242)</f>
        <v>158.44041912174336</v>
      </c>
      <c r="D242" s="167">
        <f>$L242*('RD Feedstock Use'!D242/'RD Feedstock Use'!$L242)*0.125</f>
        <v>27.063822199380599</v>
      </c>
      <c r="E242" s="167">
        <f>$L242*('RD Feedstock Use'!E242/'RD Feedstock Use'!$L242)</f>
        <v>2.0393929774687005</v>
      </c>
      <c r="F242" s="167">
        <f>$L242*('RD Feedstock Use'!F242/'RD Feedstock Use'!$L242)</f>
        <v>11.073241617741262</v>
      </c>
      <c r="G242" s="167">
        <f>$L242*('RD Feedstock Use'!G242/'RD Feedstock Use'!$L242)</f>
        <v>247.71228661655658</v>
      </c>
      <c r="H242" s="167">
        <f>$L242*('RD Feedstock Use'!H242/'RD Feedstock Use'!$L242)</f>
        <v>74.8011322556859</v>
      </c>
      <c r="I242" s="167">
        <f>$L242*('RD Feedstock Use'!I242/'RD Feedstock Use'!$L242)</f>
        <v>569.69994752764626</v>
      </c>
      <c r="J242" s="167">
        <f t="shared" si="13"/>
        <v>600.52370242849645</v>
      </c>
      <c r="K242" s="167">
        <f>$L242*('RD Feedstock Use'!K242/'RD Feedstock Use'!$L242)</f>
        <v>905.32600099509864</v>
      </c>
      <c r="L242" s="167">
        <f t="shared" si="10"/>
        <v>1505.8497034235952</v>
      </c>
      <c r="M242" s="168">
        <f>[5]SAF!$U30/1000000</f>
        <v>203.35852052710911</v>
      </c>
      <c r="N242" s="169">
        <f t="shared" si="11"/>
        <v>7.4049009577784322</v>
      </c>
      <c r="O242" s="167">
        <f t="shared" si="9"/>
        <v>1532.9135256229758</v>
      </c>
      <c r="P242" s="170">
        <f t="shared" si="12"/>
        <v>7.5379852373514282</v>
      </c>
    </row>
    <row r="243" spans="1:16" x14ac:dyDescent="0.2">
      <c r="A243" s="155">
        <v>47484</v>
      </c>
      <c r="B243" s="167">
        <f>$L243*('RD Feedstock Use'!B243/'RD Feedstock Use'!$L243)</f>
        <v>482.979064803749</v>
      </c>
      <c r="C243" s="167">
        <f>$L243*('RD Feedstock Use'!C243/'RD Feedstock Use'!$L243)</f>
        <v>128.6592185717131</v>
      </c>
      <c r="D243" s="167">
        <f>$L243*('RD Feedstock Use'!D243/'RD Feedstock Use'!$L243)*0.125</f>
        <v>35.985583301075771</v>
      </c>
      <c r="E243" s="167">
        <f>$L243*('RD Feedstock Use'!E243/'RD Feedstock Use'!$L243)</f>
        <v>1.7473374633905239</v>
      </c>
      <c r="F243" s="167">
        <f>$L243*('RD Feedstock Use'!F243/'RD Feedstock Use'!$L243)</f>
        <v>28.388281766711554</v>
      </c>
      <c r="G243" s="167">
        <f>$L243*('RD Feedstock Use'!G243/'RD Feedstock Use'!$L243)</f>
        <v>263.52316811829263</v>
      </c>
      <c r="H243" s="167">
        <f>$L243*('RD Feedstock Use'!H243/'RD Feedstock Use'!$L243)</f>
        <v>76.471523451792791</v>
      </c>
      <c r="I243" s="167">
        <f>$L243*('RD Feedstock Use'!I243/'RD Feedstock Use'!$L243)</f>
        <v>301.20618690033848</v>
      </c>
      <c r="J243" s="167">
        <f t="shared" si="13"/>
        <v>611.63828337546215</v>
      </c>
      <c r="K243" s="167">
        <f>$L243*('RD Feedstock Use'!K243/'RD Feedstock Use'!$L243)</f>
        <v>671.33649770052614</v>
      </c>
      <c r="L243" s="167">
        <f t="shared" si="10"/>
        <v>1282.9747810759882</v>
      </c>
      <c r="M243" s="168">
        <f>[5]SAF!$V19/1000000</f>
        <v>169.33001331358821</v>
      </c>
      <c r="N243" s="169">
        <f t="shared" si="11"/>
        <v>7.5767712762178903</v>
      </c>
      <c r="O243" s="167">
        <f t="shared" si="9"/>
        <v>1318.960364377064</v>
      </c>
      <c r="P243" s="170">
        <f t="shared" si="12"/>
        <v>7.7892887301345386</v>
      </c>
    </row>
    <row r="244" spans="1:16" x14ac:dyDescent="0.2">
      <c r="A244" s="155">
        <v>47515</v>
      </c>
      <c r="B244" s="167">
        <f>$L244*('RD Feedstock Use'!B244/'RD Feedstock Use'!$L244)</f>
        <v>580.60789338229415</v>
      </c>
      <c r="C244" s="167">
        <f>$L244*('RD Feedstock Use'!C244/'RD Feedstock Use'!$L244)</f>
        <v>180.65200688480468</v>
      </c>
      <c r="D244" s="167">
        <f>$L244*('RD Feedstock Use'!D244/'RD Feedstock Use'!$L244)*0.125</f>
        <v>50.386030396791597</v>
      </c>
      <c r="E244" s="167">
        <f>$L244*('RD Feedstock Use'!E244/'RD Feedstock Use'!$L244)</f>
        <v>2.9560470814583226</v>
      </c>
      <c r="F244" s="167">
        <f>$L244*('RD Feedstock Use'!F244/'RD Feedstock Use'!$L244)</f>
        <v>43.28044222491998</v>
      </c>
      <c r="G244" s="167">
        <f>$L244*('RD Feedstock Use'!G244/'RD Feedstock Use'!$L244)</f>
        <v>479.83023152043575</v>
      </c>
      <c r="H244" s="167">
        <f>$L244*('RD Feedstock Use'!H244/'RD Feedstock Use'!$L244)</f>
        <v>86.732052269056652</v>
      </c>
      <c r="I244" s="167">
        <f>$L244*('RD Feedstock Use'!I244/'RD Feedstock Use'!$L244)</f>
        <v>891.9230804336064</v>
      </c>
      <c r="J244" s="167">
        <f t="shared" si="13"/>
        <v>761.25990026709883</v>
      </c>
      <c r="K244" s="167">
        <f>$L244*('RD Feedstock Use'!K244/'RD Feedstock Use'!$L244)</f>
        <v>1504.7218535294774</v>
      </c>
      <c r="L244" s="167">
        <f t="shared" si="10"/>
        <v>2265.981753796576</v>
      </c>
      <c r="M244" s="168">
        <f>[5]SAF!$V20/1000000</f>
        <v>311.95721397490871</v>
      </c>
      <c r="N244" s="169">
        <f t="shared" si="11"/>
        <v>7.2637581446628543</v>
      </c>
      <c r="O244" s="167">
        <f t="shared" si="9"/>
        <v>2316.3677841933682</v>
      </c>
      <c r="P244" s="170">
        <f t="shared" si="12"/>
        <v>7.4252739812571793</v>
      </c>
    </row>
    <row r="245" spans="1:16" x14ac:dyDescent="0.2">
      <c r="A245" s="155">
        <v>47543</v>
      </c>
      <c r="B245" s="167">
        <f>$L245*('RD Feedstock Use'!B245/'RD Feedstock Use'!$L245)</f>
        <v>256.81898284195353</v>
      </c>
      <c r="C245" s="167">
        <f>$L245*('RD Feedstock Use'!C245/'RD Feedstock Use'!$L245)</f>
        <v>77.62446810170313</v>
      </c>
      <c r="D245" s="167">
        <f>$L245*('RD Feedstock Use'!D245/'RD Feedstock Use'!$L245)*0.125</f>
        <v>18.446602024263136</v>
      </c>
      <c r="E245" s="167">
        <f>$L245*('RD Feedstock Use'!E245/'RD Feedstock Use'!$L245)</f>
        <v>1.1598124355957096</v>
      </c>
      <c r="F245" s="167">
        <f>$L245*('RD Feedstock Use'!F245/'RD Feedstock Use'!$L245)</f>
        <v>24.217242137012718</v>
      </c>
      <c r="G245" s="167">
        <f>$L245*('RD Feedstock Use'!G245/'RD Feedstock Use'!$L245)</f>
        <v>162.22915722045784</v>
      </c>
      <c r="H245" s="167">
        <f>$L245*('RD Feedstock Use'!H245/'RD Feedstock Use'!$L245)+10</f>
        <v>65.271856967821691</v>
      </c>
      <c r="I245" s="167">
        <f>$L245*('RD Feedstock Use'!I245/'RD Feedstock Use'!$L245)</f>
        <v>344.66064361917694</v>
      </c>
      <c r="J245" s="167">
        <f t="shared" si="13"/>
        <v>334.44345094365667</v>
      </c>
      <c r="K245" s="167">
        <f>$L245*('RD Feedstock Use'!K245/'RD Feedstock Use'!$L245)</f>
        <v>587.53871238006479</v>
      </c>
      <c r="L245" s="167">
        <f t="shared" si="10"/>
        <v>921.98216332372158</v>
      </c>
      <c r="M245" s="168">
        <f>[5]SAF!$V21/1000000</f>
        <v>127.03884203956484</v>
      </c>
      <c r="N245" s="169">
        <f t="shared" si="11"/>
        <v>7.257482424442915</v>
      </c>
      <c r="O245" s="167">
        <f t="shared" si="9"/>
        <v>940.42876534798461</v>
      </c>
      <c r="P245" s="170">
        <f t="shared" si="12"/>
        <v>7.4026868495471527</v>
      </c>
    </row>
    <row r="246" spans="1:16" x14ac:dyDescent="0.2">
      <c r="A246" s="155">
        <v>47574</v>
      </c>
      <c r="B246" s="167">
        <f>$L246*('RD Feedstock Use'!B246/'RD Feedstock Use'!$L246)</f>
        <v>394.70919351972202</v>
      </c>
      <c r="C246" s="167">
        <f>$L246*('RD Feedstock Use'!C246/'RD Feedstock Use'!$L246)</f>
        <v>102.97670101642942</v>
      </c>
      <c r="D246" s="167">
        <f>$L246*('RD Feedstock Use'!D246/'RD Feedstock Use'!$L246)*0.125</f>
        <v>27.662271136334322</v>
      </c>
      <c r="E246" s="167">
        <f>$L246*('RD Feedstock Use'!E246/'RD Feedstock Use'!$L246)</f>
        <v>1.8188425131338744</v>
      </c>
      <c r="F246" s="167">
        <f>$L246*('RD Feedstock Use'!F246/'RD Feedstock Use'!$L246)</f>
        <v>43.540278421304883</v>
      </c>
      <c r="G246" s="167">
        <f>$L246*('RD Feedstock Use'!G246/'RD Feedstock Use'!$L246)</f>
        <v>149.94343061117931</v>
      </c>
      <c r="H246" s="167">
        <f>$L246*('RD Feedstock Use'!H246/'RD Feedstock Use'!$L246)</f>
        <v>114.12325688707324</v>
      </c>
      <c r="I246" s="167">
        <f>$L246*('RD Feedstock Use'!I246/'RD Feedstock Use'!$L246)</f>
        <v>692.4172280570408</v>
      </c>
      <c r="J246" s="167">
        <f t="shared" si="13"/>
        <v>497.68589453615141</v>
      </c>
      <c r="K246" s="167">
        <f>$L246*('RD Feedstock Use'!K246/'RD Feedstock Use'!$L246)</f>
        <v>1001.8430364897321</v>
      </c>
      <c r="L246" s="167">
        <f t="shared" si="10"/>
        <v>1499.5289310258836</v>
      </c>
      <c r="M246" s="168">
        <f>[5]SAF!$V22/1000000</f>
        <v>202.4420696704239</v>
      </c>
      <c r="N246" s="169">
        <f t="shared" si="11"/>
        <v>7.407200160851545</v>
      </c>
      <c r="O246" s="167">
        <f t="shared" si="9"/>
        <v>1527.1912021622179</v>
      </c>
      <c r="P246" s="170">
        <f t="shared" si="12"/>
        <v>7.5438430591452077</v>
      </c>
    </row>
    <row r="247" spans="1:16" x14ac:dyDescent="0.2">
      <c r="A247" s="155">
        <v>47604</v>
      </c>
      <c r="B247" s="167">
        <f>$L247*('RD Feedstock Use'!B247/'RD Feedstock Use'!$L247)</f>
        <v>424.66917685424374</v>
      </c>
      <c r="C247" s="167">
        <f>$L247*('RD Feedstock Use'!C247/'RD Feedstock Use'!$L247)</f>
        <v>182.2491989053174</v>
      </c>
      <c r="D247" s="167">
        <f>$L247*('RD Feedstock Use'!D247/'RD Feedstock Use'!$L247)*0.125</f>
        <v>30.93111838052392</v>
      </c>
      <c r="E247" s="167">
        <f>$L247*('RD Feedstock Use'!E247/'RD Feedstock Use'!$L247)</f>
        <v>2.3621636602389171</v>
      </c>
      <c r="F247" s="167">
        <f>$L247*('RD Feedstock Use'!F247/'RD Feedstock Use'!$L247)</f>
        <v>49.872166952884996</v>
      </c>
      <c r="G247" s="167">
        <f>$L247*('RD Feedstock Use'!G247/'RD Feedstock Use'!$L247)</f>
        <v>219.22247412874023</v>
      </c>
      <c r="H247" s="167">
        <f>$L247*('RD Feedstock Use'!H247/'RD Feedstock Use'!$L247)</f>
        <v>125.27934574017797</v>
      </c>
      <c r="I247" s="167">
        <f>$L247*('RD Feedstock Use'!I247/'RD Feedstock Use'!$L247)</f>
        <v>983.40205470977412</v>
      </c>
      <c r="J247" s="167">
        <f t="shared" si="13"/>
        <v>606.91837575956117</v>
      </c>
      <c r="K247" s="167">
        <f>$L247*('RD Feedstock Use'!K247/'RD Feedstock Use'!$L247)</f>
        <v>1380.1382051918163</v>
      </c>
      <c r="L247" s="167">
        <f t="shared" si="10"/>
        <v>1987.0565809513773</v>
      </c>
      <c r="M247" s="168">
        <f>[5]SAF!$V23/1000000</f>
        <v>266.40146528689945</v>
      </c>
      <c r="N247" s="169">
        <f t="shared" si="11"/>
        <v>7.4588800733938481</v>
      </c>
      <c r="O247" s="167">
        <f t="shared" si="9"/>
        <v>2017.9876993319012</v>
      </c>
      <c r="P247" s="170">
        <f t="shared" si="12"/>
        <v>7.5749872364952706</v>
      </c>
    </row>
    <row r="248" spans="1:16" x14ac:dyDescent="0.2">
      <c r="A248" s="155">
        <v>47635</v>
      </c>
      <c r="B248" s="167">
        <f>$L248*('RD Feedstock Use'!B248/'RD Feedstock Use'!$L248)</f>
        <v>427.74386561980765</v>
      </c>
      <c r="C248" s="167">
        <f>$L248*('RD Feedstock Use'!C248/'RD Feedstock Use'!$L248)</f>
        <v>145.61325799020526</v>
      </c>
      <c r="D248" s="167">
        <f>$L248*('RD Feedstock Use'!D248/'RD Feedstock Use'!$L248)*0.125</f>
        <v>30.363372547292883</v>
      </c>
      <c r="E248" s="167">
        <f>$L248*('RD Feedstock Use'!E248/'RD Feedstock Use'!$L248)</f>
        <v>2.0569559230013943</v>
      </c>
      <c r="F248" s="167">
        <f>$L248*('RD Feedstock Use'!F248/'RD Feedstock Use'!$L248)</f>
        <v>55.563360720974195</v>
      </c>
      <c r="G248" s="167">
        <f>$L248*('RD Feedstock Use'!G248/'RD Feedstock Use'!$L248)</f>
        <v>225.82421771665219</v>
      </c>
      <c r="H248" s="167">
        <f>$L248*('RD Feedstock Use'!H248/'RD Feedstock Use'!$L248)</f>
        <v>135.45886834353746</v>
      </c>
      <c r="I248" s="167">
        <f>$L248*('RD Feedstock Use'!I248/'RD Feedstock Use'!$L248)</f>
        <v>871.37848521343608</v>
      </c>
      <c r="J248" s="167">
        <f t="shared" si="13"/>
        <v>573.35712361001288</v>
      </c>
      <c r="K248" s="167">
        <f>$L248*('RD Feedstock Use'!K248/'RD Feedstock Use'!$L248)</f>
        <v>1290.2818879176014</v>
      </c>
      <c r="L248" s="167">
        <f t="shared" si="10"/>
        <v>1863.6390115276142</v>
      </c>
      <c r="M248" s="168">
        <f>[5]SAF!$V24/1000000</f>
        <v>253.32695188233765</v>
      </c>
      <c r="N248" s="169">
        <f t="shared" si="11"/>
        <v>7.3566550960326378</v>
      </c>
      <c r="O248" s="167">
        <f t="shared" ref="O248:O311" si="14">K248+J248+D248</f>
        <v>1894.002384074907</v>
      </c>
      <c r="P248" s="170">
        <f t="shared" si="12"/>
        <v>7.4765135332090962</v>
      </c>
    </row>
    <row r="249" spans="1:16" x14ac:dyDescent="0.2">
      <c r="A249" s="155">
        <v>47665</v>
      </c>
      <c r="B249" s="167">
        <f>$L249*('RD Feedstock Use'!B249/'RD Feedstock Use'!$L249)</f>
        <v>573.03241450680127</v>
      </c>
      <c r="C249" s="167">
        <f>$L249*('RD Feedstock Use'!C249/'RD Feedstock Use'!$L249)</f>
        <v>231.5801206933929</v>
      </c>
      <c r="D249" s="167">
        <f>$L249*('RD Feedstock Use'!D249/'RD Feedstock Use'!$L249)*0.125</f>
        <v>37.380473633832871</v>
      </c>
      <c r="E249" s="167">
        <f>$L249*('RD Feedstock Use'!E249/'RD Feedstock Use'!$L249)</f>
        <v>2.2479974362480548</v>
      </c>
      <c r="F249" s="167">
        <f>$L249*('RD Feedstock Use'!F249/'RD Feedstock Use'!$L249)</f>
        <v>64.104944481208605</v>
      </c>
      <c r="G249" s="167">
        <f>$L249*('RD Feedstock Use'!G249/'RD Feedstock Use'!$L249)</f>
        <v>283.67748527131863</v>
      </c>
      <c r="H249" s="167">
        <f>$L249*('RD Feedstock Use'!H249/'RD Feedstock Use'!$L249)</f>
        <v>150.41691414158231</v>
      </c>
      <c r="I249" s="167">
        <f>$L249*('RD Feedstock Use'!I249/'RD Feedstock Use'!$L249)</f>
        <v>763.99292386788181</v>
      </c>
      <c r="J249" s="167">
        <f t="shared" si="13"/>
        <v>804.6125352001942</v>
      </c>
      <c r="K249" s="167">
        <f>$L249*('RD Feedstock Use'!K249/'RD Feedstock Use'!$L249)</f>
        <v>1264.4402651982393</v>
      </c>
      <c r="L249" s="167">
        <f t="shared" ref="L249:L312" si="15">N249*M249</f>
        <v>2069.0528003984336</v>
      </c>
      <c r="M249" s="168">
        <f>[5]SAF!$V25/1000000</f>
        <v>276.98483996866105</v>
      </c>
      <c r="N249" s="169">
        <f t="shared" ref="N249:N312" si="16">AVERAGE(N237,N225,N213,N201,N189)</f>
        <v>7.4699135181280427</v>
      </c>
      <c r="O249" s="167">
        <f t="shared" si="14"/>
        <v>2106.4332740322666</v>
      </c>
      <c r="P249" s="170">
        <f t="shared" ref="P249:P312" si="17">O249/M249</f>
        <v>7.6048684623699812</v>
      </c>
    </row>
    <row r="250" spans="1:16" x14ac:dyDescent="0.2">
      <c r="A250" s="155">
        <v>47696</v>
      </c>
      <c r="B250" s="167">
        <f>$L250*('RD Feedstock Use'!B250/'RD Feedstock Use'!$L250)</f>
        <v>619.49700076338979</v>
      </c>
      <c r="C250" s="167">
        <f>$L250*('RD Feedstock Use'!C250/'RD Feedstock Use'!$L250)</f>
        <v>188.26367638781232</v>
      </c>
      <c r="D250" s="167">
        <f>$L250*('RD Feedstock Use'!D250/'RD Feedstock Use'!$L250)*0.125</f>
        <v>38.478275568262802</v>
      </c>
      <c r="E250" s="167">
        <f>$L250*('RD Feedstock Use'!E250/'RD Feedstock Use'!$L250)</f>
        <v>2.3886467551463255</v>
      </c>
      <c r="F250" s="167">
        <f>$L250*('RD Feedstock Use'!F250/'RD Feedstock Use'!$L250)</f>
        <v>51.603503991014584</v>
      </c>
      <c r="G250" s="167">
        <f>$L250*('RD Feedstock Use'!G250/'RD Feedstock Use'!$L250)</f>
        <v>317.67367335566246</v>
      </c>
      <c r="H250" s="167">
        <f>$L250*('RD Feedstock Use'!H250/'RD Feedstock Use'!$L250)</f>
        <v>169.2778693904132</v>
      </c>
      <c r="I250" s="167">
        <f>$L250*('RD Feedstock Use'!I250/'RD Feedstock Use'!$L250)</f>
        <v>871.03878764200419</v>
      </c>
      <c r="J250" s="167">
        <f t="shared" si="13"/>
        <v>807.76067715120212</v>
      </c>
      <c r="K250" s="167">
        <f>$L250*('RD Feedstock Use'!K250/'RD Feedstock Use'!$L250)</f>
        <v>1411.9824811342407</v>
      </c>
      <c r="L250" s="167">
        <f t="shared" si="15"/>
        <v>2219.7431582854429</v>
      </c>
      <c r="M250" s="168">
        <f>[5]SAF!$V26/1000000</f>
        <v>300.23044613837601</v>
      </c>
      <c r="N250" s="169">
        <f t="shared" si="16"/>
        <v>7.3934645431075463</v>
      </c>
      <c r="O250" s="167">
        <f t="shared" si="14"/>
        <v>2258.2214338537055</v>
      </c>
      <c r="P250" s="170">
        <f t="shared" si="17"/>
        <v>7.5216270131807113</v>
      </c>
    </row>
    <row r="251" spans="1:16" x14ac:dyDescent="0.2">
      <c r="A251" s="155">
        <v>47727</v>
      </c>
      <c r="B251" s="167">
        <f>$L251*('RD Feedstock Use'!B251/'RD Feedstock Use'!$L251)</f>
        <v>750.7501580236891</v>
      </c>
      <c r="C251" s="167">
        <f>$L251*('RD Feedstock Use'!C251/'RD Feedstock Use'!$L251)</f>
        <v>177.08613242838345</v>
      </c>
      <c r="D251" s="167">
        <f>$L251*('RD Feedstock Use'!D251/'RD Feedstock Use'!$L251)*0.125</f>
        <v>51.664688059077498</v>
      </c>
      <c r="E251" s="167">
        <f>$L251*('RD Feedstock Use'!E251/'RD Feedstock Use'!$L251)</f>
        <v>3.4241321784471634</v>
      </c>
      <c r="F251" s="167">
        <f>$L251*('RD Feedstock Use'!F251/'RD Feedstock Use'!$L251)</f>
        <v>71.621403859012034</v>
      </c>
      <c r="G251" s="167">
        <f>$L251*('RD Feedstock Use'!G251/'RD Feedstock Use'!$L251)</f>
        <v>375.323308888734</v>
      </c>
      <c r="H251" s="167">
        <f>$L251*('RD Feedstock Use'!H251/'RD Feedstock Use'!$L251)</f>
        <v>180.38036964933966</v>
      </c>
      <c r="I251" s="167">
        <f>$L251*('RD Feedstock Use'!I251/'RD Feedstock Use'!$L251)</f>
        <v>1183.2490707931959</v>
      </c>
      <c r="J251" s="167">
        <f t="shared" si="13"/>
        <v>927.83629045207249</v>
      </c>
      <c r="K251" s="167">
        <f>$L251*('RD Feedstock Use'!K251/'RD Feedstock Use'!$L251)</f>
        <v>1813.9982853687288</v>
      </c>
      <c r="L251" s="167">
        <f t="shared" si="15"/>
        <v>2741.8345758208011</v>
      </c>
      <c r="M251" s="168">
        <f>[5]SAF!$V27/1000000</f>
        <v>364.51705031771888</v>
      </c>
      <c r="N251" s="169">
        <f t="shared" si="16"/>
        <v>7.5218280555901966</v>
      </c>
      <c r="O251" s="167">
        <f t="shared" si="14"/>
        <v>2793.499263879879</v>
      </c>
      <c r="P251" s="170">
        <f t="shared" si="17"/>
        <v>7.6635626823080578</v>
      </c>
    </row>
    <row r="252" spans="1:16" x14ac:dyDescent="0.2">
      <c r="A252" s="155">
        <v>47757</v>
      </c>
      <c r="B252" s="167">
        <f>$L252*('RD Feedstock Use'!B252/'RD Feedstock Use'!$L252)</f>
        <v>842.98206744670017</v>
      </c>
      <c r="C252" s="167">
        <f>$L252*('RD Feedstock Use'!C252/'RD Feedstock Use'!$L252)</f>
        <v>232.31312997853411</v>
      </c>
      <c r="D252" s="167">
        <f>$L252*('RD Feedstock Use'!D252/'RD Feedstock Use'!$L252)*0.19</f>
        <v>86.059236905756123</v>
      </c>
      <c r="E252" s="167">
        <f>$L252*('RD Feedstock Use'!E252/'RD Feedstock Use'!$L252)</f>
        <v>3.9964691637656675</v>
      </c>
      <c r="F252" s="167">
        <f>$L252*('RD Feedstock Use'!F252/'RD Feedstock Use'!$L252)</f>
        <v>65.012054112334127</v>
      </c>
      <c r="G252" s="167">
        <f>$L252*('RD Feedstock Use'!G252/'RD Feedstock Use'!$L252)</f>
        <v>388.45920376392127</v>
      </c>
      <c r="H252" s="167">
        <f>$L252*('RD Feedstock Use'!H252/'RD Feedstock Use'!$L252)</f>
        <v>185.69238738153598</v>
      </c>
      <c r="I252" s="167">
        <f>$L252*('RD Feedstock Use'!I252/'RD Feedstock Use'!$L252)</f>
        <v>934.27860790841271</v>
      </c>
      <c r="J252" s="167">
        <f t="shared" si="13"/>
        <v>1075.2951974252342</v>
      </c>
      <c r="K252" s="167">
        <f>$L252*('RD Feedstock Use'!K252/'RD Feedstock Use'!$L252)</f>
        <v>1577.4387223299696</v>
      </c>
      <c r="L252" s="167">
        <f t="shared" si="15"/>
        <v>2652.7339197552042</v>
      </c>
      <c r="M252" s="168">
        <f>[5]SAF!$V28/1000000</f>
        <v>355.51224473193037</v>
      </c>
      <c r="N252" s="169">
        <f t="shared" si="16"/>
        <v>7.4617230744203074</v>
      </c>
      <c r="O252" s="167">
        <f t="shared" si="14"/>
        <v>2738.79315666096</v>
      </c>
      <c r="P252" s="170">
        <f t="shared" si="17"/>
        <v>7.7037941653067765</v>
      </c>
    </row>
    <row r="253" spans="1:16" x14ac:dyDescent="0.2">
      <c r="A253" s="155">
        <v>47788</v>
      </c>
      <c r="B253" s="167">
        <f>$L253*('RD Feedstock Use'!B253/'RD Feedstock Use'!$L253)</f>
        <v>781.19844185480019</v>
      </c>
      <c r="C253" s="167">
        <f>$L253*('RD Feedstock Use'!C253/'RD Feedstock Use'!$L253)</f>
        <v>215.7036730080743</v>
      </c>
      <c r="D253" s="167">
        <f>$L253*('RD Feedstock Use'!D253/'RD Feedstock Use'!$L253)*0.19</f>
        <v>63.123213540429418</v>
      </c>
      <c r="E253" s="167">
        <f>$L253*('RD Feedstock Use'!E253/'RD Feedstock Use'!$L253)</f>
        <v>3.1654974401903315</v>
      </c>
      <c r="F253" s="167">
        <f>$L253*('RD Feedstock Use'!F253/'RD Feedstock Use'!$L253)</f>
        <v>22.627314377629705</v>
      </c>
      <c r="G253" s="167">
        <f>$L253*('RD Feedstock Use'!G253/'RD Feedstock Use'!$L253)</f>
        <v>364.38296207313971</v>
      </c>
      <c r="H253" s="167">
        <f>$L253*('RD Feedstock Use'!H253/'RD Feedstock Use'!$L253)</f>
        <v>132.17460948211718</v>
      </c>
      <c r="I253" s="167">
        <f>$L253*('RD Feedstock Use'!I253/'RD Feedstock Use'!$L253)</f>
        <v>730.22946720074549</v>
      </c>
      <c r="J253" s="167">
        <f t="shared" si="13"/>
        <v>996.90211486287444</v>
      </c>
      <c r="K253" s="167">
        <f>$L253*('RD Feedstock Use'!K253/'RD Feedstock Use'!$L253)</f>
        <v>1252.5798505738223</v>
      </c>
      <c r="L253" s="167">
        <f t="shared" si="15"/>
        <v>2249.481965436697</v>
      </c>
      <c r="M253" s="168">
        <f>[5]SAF!$V29/1000000</f>
        <v>307.52738162205281</v>
      </c>
      <c r="N253" s="169">
        <f t="shared" si="16"/>
        <v>7.3147371579460891</v>
      </c>
      <c r="O253" s="167">
        <f t="shared" si="14"/>
        <v>2312.6051789771259</v>
      </c>
      <c r="P253" s="170">
        <f t="shared" si="17"/>
        <v>7.5199976235588926</v>
      </c>
    </row>
    <row r="254" spans="1:16" x14ac:dyDescent="0.2">
      <c r="A254" s="155">
        <v>47818</v>
      </c>
      <c r="B254" s="167">
        <f>$L254*('RD Feedstock Use'!B254/'RD Feedstock Use'!$L254)</f>
        <v>619.90499162342951</v>
      </c>
      <c r="C254" s="167">
        <f>$L254*('RD Feedstock Use'!C254/'RD Feedstock Use'!$L254)</f>
        <v>219.3110333936047</v>
      </c>
      <c r="D254" s="167">
        <f>$L254*('RD Feedstock Use'!D254/'RD Feedstock Use'!$L254)*0.19</f>
        <v>52.821101576464393</v>
      </c>
      <c r="E254" s="167">
        <f>$L254*('RD Feedstock Use'!E254/'RD Feedstock Use'!$L254)</f>
        <v>2.7320363249324049</v>
      </c>
      <c r="F254" s="167">
        <f>$L254*('RD Feedstock Use'!F254/'RD Feedstock Use'!$L254)</f>
        <v>17.59018480370246</v>
      </c>
      <c r="G254" s="167">
        <f>$L254*('RD Feedstock Use'!G254/'RD Feedstock Use'!$L254)</f>
        <v>334.29039605758175</v>
      </c>
      <c r="H254" s="167">
        <f>$L254*('RD Feedstock Use'!H254/'RD Feedstock Use'!$L254)</f>
        <v>98.579963554152215</v>
      </c>
      <c r="I254" s="167">
        <f>$L254*('RD Feedstock Use'!I254/'RD Feedstock Use'!$L254)</f>
        <v>753.09053547187034</v>
      </c>
      <c r="J254" s="167">
        <f t="shared" si="13"/>
        <v>839.21602501703421</v>
      </c>
      <c r="K254" s="167">
        <f>$L254*('RD Feedstock Use'!K254/'RD Feedstock Use'!$L254)</f>
        <v>1206.2831162122391</v>
      </c>
      <c r="L254" s="167">
        <f t="shared" si="15"/>
        <v>2045.4991412292734</v>
      </c>
      <c r="M254" s="168">
        <f>[5]SAF!$V30/1000000</f>
        <v>276.07578368819708</v>
      </c>
      <c r="N254" s="169">
        <f t="shared" si="16"/>
        <v>7.4091943664985909</v>
      </c>
      <c r="O254" s="167">
        <f t="shared" si="14"/>
        <v>2098.320242805738</v>
      </c>
      <c r="P254" s="170">
        <f t="shared" si="17"/>
        <v>7.6005226346675991</v>
      </c>
    </row>
    <row r="255" spans="1:16" x14ac:dyDescent="0.2">
      <c r="A255" s="155">
        <v>47849</v>
      </c>
      <c r="B255" s="167">
        <f>$L255*('RD Feedstock Use'!B255/'RD Feedstock Use'!$L255)</f>
        <v>564.83450281459136</v>
      </c>
      <c r="C255" s="167">
        <f>$L255*('RD Feedstock Use'!C255/'RD Feedstock Use'!$L255)</f>
        <v>150.82937658512907</v>
      </c>
      <c r="D255" s="167">
        <f>$L255*('RD Feedstock Use'!D255/'RD Feedstock Use'!$L255)*0.19</f>
        <v>55.025502613944155</v>
      </c>
      <c r="E255" s="167">
        <f>$L255*('RD Feedstock Use'!E255/'RD Feedstock Use'!$L255)</f>
        <v>1.9755279162811843</v>
      </c>
      <c r="F255" s="167">
        <f>$L255*('RD Feedstock Use'!F255/'RD Feedstock Use'!$L255)</f>
        <v>31.352886097066797</v>
      </c>
      <c r="G255" s="167">
        <f>$L255*('RD Feedstock Use'!G255/'RD Feedstock Use'!$L255)</f>
        <v>300.16856272702472</v>
      </c>
      <c r="H255" s="167">
        <f>$L255*('RD Feedstock Use'!H255/'RD Feedstock Use'!$L255)</f>
        <v>84.200866094271035</v>
      </c>
      <c r="I255" s="167">
        <f>$L255*('RD Feedstock Use'!I255/'RD Feedstock Use'!$L255)</f>
        <v>327.37674914717547</v>
      </c>
      <c r="J255" s="167">
        <f t="shared" si="13"/>
        <v>715.66387939972037</v>
      </c>
      <c r="K255" s="167">
        <f>$L255*('RD Feedstock Use'!K255/'RD Feedstock Use'!$L255)</f>
        <v>745.07459198181925</v>
      </c>
      <c r="L255" s="167">
        <f t="shared" si="15"/>
        <v>1460.7384713815397</v>
      </c>
      <c r="M255" s="168">
        <f>[5]SAF!$W19/1000000</f>
        <v>193.6028588713778</v>
      </c>
      <c r="N255" s="169">
        <f t="shared" si="16"/>
        <v>7.5450253157263418</v>
      </c>
      <c r="O255" s="167">
        <f t="shared" si="14"/>
        <v>1515.7639739954836</v>
      </c>
      <c r="P255" s="170">
        <f t="shared" si="17"/>
        <v>7.8292437561704507</v>
      </c>
    </row>
    <row r="256" spans="1:16" x14ac:dyDescent="0.2">
      <c r="A256" s="155">
        <v>47880</v>
      </c>
      <c r="B256" s="167">
        <f>$L256*('RD Feedstock Use'!B256/'RD Feedstock Use'!$L256)</f>
        <v>647.52829549087039</v>
      </c>
      <c r="C256" s="167">
        <f>$L256*('RD Feedstock Use'!C256/'RD Feedstock Use'!$L256)</f>
        <v>216.74655995333441</v>
      </c>
      <c r="D256" s="167">
        <f>$L256*('RD Feedstock Use'!D256/'RD Feedstock Use'!$L256)*0.19</f>
        <v>85.107839511835991</v>
      </c>
      <c r="E256" s="167">
        <f>$L256*('RD Feedstock Use'!E256/'RD Feedstock Use'!$L256)</f>
        <v>3.4035312402963624</v>
      </c>
      <c r="F256" s="167">
        <f>$L256*('RD Feedstock Use'!F256/'RD Feedstock Use'!$L256)</f>
        <v>49.456296062511477</v>
      </c>
      <c r="G256" s="167">
        <f>$L256*('RD Feedstock Use'!G256/'RD Feedstock Use'!$L256)</f>
        <v>555.15003182519695</v>
      </c>
      <c r="H256" s="167">
        <f>$L256*('RD Feedstock Use'!H256/'RD Feedstock Use'!$L256)</f>
        <v>100.10725580371903</v>
      </c>
      <c r="I256" s="167">
        <f>$L256*('RD Feedstock Use'!I256/'RD Feedstock Use'!$L256)</f>
        <v>1057.4369151449439</v>
      </c>
      <c r="J256" s="167">
        <f t="shared" si="13"/>
        <v>864.27485544420483</v>
      </c>
      <c r="K256" s="167">
        <f>$L256*('RD Feedstock Use'!K256/'RD Feedstock Use'!$L256)</f>
        <v>1765.5540300766679</v>
      </c>
      <c r="L256" s="167">
        <f t="shared" si="15"/>
        <v>2629.8288855208725</v>
      </c>
      <c r="M256" s="168">
        <f>[5]SAF!$W20/1000000</f>
        <v>362.13338407200052</v>
      </c>
      <c r="N256" s="169">
        <f t="shared" si="16"/>
        <v>7.2620448740456398</v>
      </c>
      <c r="O256" s="167">
        <f t="shared" si="14"/>
        <v>2714.9367250327091</v>
      </c>
      <c r="P256" s="170">
        <f t="shared" si="17"/>
        <v>7.4970628073685592</v>
      </c>
    </row>
    <row r="257" spans="1:16" x14ac:dyDescent="0.2">
      <c r="A257" s="155">
        <v>47908</v>
      </c>
      <c r="B257" s="167">
        <f>$L257*('RD Feedstock Use'!B257/'RD Feedstock Use'!$L257)</f>
        <v>286.09409090654731</v>
      </c>
      <c r="C257" s="167">
        <f>$L257*('RD Feedstock Use'!C257/'RD Feedstock Use'!$L257)</f>
        <v>92.620740928099167</v>
      </c>
      <c r="D257" s="167">
        <f>$L257*('RD Feedstock Use'!D257/'RD Feedstock Use'!$L257)*0.19</f>
        <v>31.22667340477112</v>
      </c>
      <c r="E257" s="167">
        <f>$L257*('RD Feedstock Use'!E257/'RD Feedstock Use'!$L257)</f>
        <v>1.3275158246317593</v>
      </c>
      <c r="F257" s="167">
        <f>$L257*('RD Feedstock Use'!F257/'RD Feedstock Use'!$L257)</f>
        <v>27.982849894998331</v>
      </c>
      <c r="G257" s="167">
        <f>$L257*('RD Feedstock Use'!G257/'RD Feedstock Use'!$L257)</f>
        <v>187.28179275140488</v>
      </c>
      <c r="H257" s="167">
        <f>$L257*('RD Feedstock Use'!H257/'RD Feedstock Use'!$L257)</f>
        <v>63.260960597940212</v>
      </c>
      <c r="I257" s="167">
        <f>$L257*('RD Feedstock Use'!I257/'RD Feedstock Use'!$L257)</f>
        <v>404.87793684174778</v>
      </c>
      <c r="J257" s="167">
        <f t="shared" si="13"/>
        <v>378.71483183464647</v>
      </c>
      <c r="K257" s="167">
        <f>$L257*('RD Feedstock Use'!K257/'RD Feedstock Use'!$L257)</f>
        <v>684.73105591072283</v>
      </c>
      <c r="L257" s="167">
        <f t="shared" si="15"/>
        <v>1063.4458877453694</v>
      </c>
      <c r="M257" s="168">
        <f>[5]SAF!$W21/1000000</f>
        <v>146.60694606226252</v>
      </c>
      <c r="N257" s="169">
        <f t="shared" si="16"/>
        <v>7.253721029655269</v>
      </c>
      <c r="O257" s="167">
        <f t="shared" si="14"/>
        <v>1094.6725611501406</v>
      </c>
      <c r="P257" s="170">
        <f t="shared" si="17"/>
        <v>7.4667168954276146</v>
      </c>
    </row>
    <row r="258" spans="1:16" x14ac:dyDescent="0.2">
      <c r="A258" s="155">
        <v>47939</v>
      </c>
      <c r="B258" s="167">
        <f>$L258*('RD Feedstock Use'!B258/'RD Feedstock Use'!$L258)</f>
        <v>438.18770429911331</v>
      </c>
      <c r="C258" s="167">
        <f>$L258*('RD Feedstock Use'!C258/'RD Feedstock Use'!$L258)</f>
        <v>123.25279830586177</v>
      </c>
      <c r="D258" s="167">
        <f>$L258*('RD Feedstock Use'!D258/'RD Feedstock Use'!$L258)*0.19</f>
        <v>45.295534108977037</v>
      </c>
      <c r="E258" s="167">
        <f>$L258*('RD Feedstock Use'!E258/'RD Feedstock Use'!$L258)</f>
        <v>2.0866829555299313</v>
      </c>
      <c r="F258" s="167">
        <f>$L258*('RD Feedstock Use'!F258/'RD Feedstock Use'!$L258)</f>
        <v>49.834195083331551</v>
      </c>
      <c r="G258" s="167">
        <f>$L258*('RD Feedstock Use'!G258/'RD Feedstock Use'!$L258)</f>
        <v>173.22256404979993</v>
      </c>
      <c r="H258" s="167">
        <f>$L258*('RD Feedstock Use'!H258/'RD Feedstock Use'!$L258)</f>
        <v>130.84529389521319</v>
      </c>
      <c r="I258" s="167">
        <f>$L258*('RD Feedstock Use'!I258/'RD Feedstock Use'!$L258)</f>
        <v>814.46630895250166</v>
      </c>
      <c r="J258" s="167">
        <f t="shared" si="13"/>
        <v>561.44050260497511</v>
      </c>
      <c r="K258" s="167">
        <f>$L258*('RD Feedstock Use'!K258/'RD Feedstock Use'!$L258)</f>
        <v>1170.4550449363762</v>
      </c>
      <c r="L258" s="167">
        <f t="shared" si="15"/>
        <v>1731.8955475413513</v>
      </c>
      <c r="M258" s="168">
        <f>[5]SAF!$W22/1000000</f>
        <v>233.86542744251125</v>
      </c>
      <c r="N258" s="169">
        <f t="shared" si="16"/>
        <v>7.4055219126695651</v>
      </c>
      <c r="O258" s="167">
        <f t="shared" si="14"/>
        <v>1777.1910816503284</v>
      </c>
      <c r="P258" s="170">
        <f t="shared" si="17"/>
        <v>7.5992039571013432</v>
      </c>
    </row>
    <row r="259" spans="1:16" x14ac:dyDescent="0.2">
      <c r="A259" s="155">
        <v>47969</v>
      </c>
      <c r="B259" s="167">
        <f>$L259*('RD Feedstock Use'!B259/'RD Feedstock Use'!$L259)</f>
        <v>453.44069696693066</v>
      </c>
      <c r="C259" s="167">
        <f>$L259*('RD Feedstock Use'!C259/'RD Feedstock Use'!$L259)</f>
        <v>219.42997493749505</v>
      </c>
      <c r="D259" s="167">
        <f>$L259*('RD Feedstock Use'!D259/'RD Feedstock Use'!$L259)*0.19</f>
        <v>52.235454196468424</v>
      </c>
      <c r="E259" s="167">
        <f>$L259*('RD Feedstock Use'!E259/'RD Feedstock Use'!$L259)</f>
        <v>2.7190360595025354</v>
      </c>
      <c r="F259" s="167">
        <f>$L259*('RD Feedstock Use'!F259/'RD Feedstock Use'!$L259)</f>
        <v>57.165467981376686</v>
      </c>
      <c r="G259" s="167">
        <f>$L259*('RD Feedstock Use'!G259/'RD Feedstock Use'!$L259)</f>
        <v>253.07448966991467</v>
      </c>
      <c r="H259" s="167">
        <f>$L259*('RD Feedstock Use'!H259/'RD Feedstock Use'!$L259)</f>
        <v>144.4208795863868</v>
      </c>
      <c r="I259" s="167">
        <f>$L259*('RD Feedstock Use'!I259/'RD Feedstock Use'!$L259)</f>
        <v>1170.3927302700729</v>
      </c>
      <c r="J259" s="167">
        <f t="shared" ref="J259:J322" si="18">SUM(B259:C259)</f>
        <v>672.87067190442576</v>
      </c>
      <c r="K259" s="167">
        <f>$L259*('RD Feedstock Use'!K259/'RD Feedstock Use'!$L259)</f>
        <v>1627.7726035672538</v>
      </c>
      <c r="L259" s="167">
        <f t="shared" si="15"/>
        <v>2300.6432754716793</v>
      </c>
      <c r="M259" s="168">
        <f>[5]SAF!$W23/1000000</f>
        <v>308.29162186943631</v>
      </c>
      <c r="N259" s="169">
        <f t="shared" si="16"/>
        <v>7.4625552959269781</v>
      </c>
      <c r="O259" s="167">
        <f t="shared" si="14"/>
        <v>2352.878729668148</v>
      </c>
      <c r="P259" s="170">
        <f t="shared" si="17"/>
        <v>7.6319905010737168</v>
      </c>
    </row>
    <row r="260" spans="1:16" x14ac:dyDescent="0.2">
      <c r="A260" s="155">
        <v>48000</v>
      </c>
      <c r="B260" s="167">
        <f>$L260*('RD Feedstock Use'!B260/'RD Feedstock Use'!$L260)</f>
        <v>460.54560755864418</v>
      </c>
      <c r="C260" s="167">
        <f>$L260*('RD Feedstock Use'!C260/'RD Feedstock Use'!$L260)</f>
        <v>174.36664801996091</v>
      </c>
      <c r="D260" s="167">
        <f>$L260*('RD Feedstock Use'!D260/'RD Feedstock Use'!$L260)*0.19</f>
        <v>51.475605247812481</v>
      </c>
      <c r="E260" s="167">
        <f>$L260*('RD Feedstock Use'!E260/'RD Feedstock Use'!$L260)</f>
        <v>2.3565194101985947</v>
      </c>
      <c r="F260" s="167">
        <f>$L260*('RD Feedstock Use'!F260/'RD Feedstock Use'!$L260)</f>
        <v>63.30595774823378</v>
      </c>
      <c r="G260" s="167">
        <f>$L260*('RD Feedstock Use'!G260/'RD Feedstock Use'!$L260)</f>
        <v>257.41393690628269</v>
      </c>
      <c r="H260" s="167">
        <f>$L260*('RD Feedstock Use'!H260/'RD Feedstock Use'!$L260)</f>
        <v>153.48972918397286</v>
      </c>
      <c r="I260" s="167">
        <f>$L260*('RD Feedstock Use'!I260/'RD Feedstock Use'!$L260)</f>
        <v>1040.6967569346411</v>
      </c>
      <c r="J260" s="167">
        <f t="shared" si="18"/>
        <v>634.91225557860503</v>
      </c>
      <c r="K260" s="167">
        <f>$L260*('RD Feedstock Use'!K260/'RD Feedstock Use'!$L260)</f>
        <v>1517.2629001833288</v>
      </c>
      <c r="L260" s="167">
        <f t="shared" si="15"/>
        <v>2152.1751557619341</v>
      </c>
      <c r="M260" s="168">
        <f>[5]SAF!$W24/1000000</f>
        <v>292.98087873686876</v>
      </c>
      <c r="N260" s="169">
        <f t="shared" si="16"/>
        <v>7.3457870869956681</v>
      </c>
      <c r="O260" s="167">
        <f t="shared" si="14"/>
        <v>2203.650761009746</v>
      </c>
      <c r="P260" s="170">
        <f t="shared" si="17"/>
        <v>7.5214832125235151</v>
      </c>
    </row>
    <row r="261" spans="1:16" x14ac:dyDescent="0.2">
      <c r="A261" s="155">
        <v>48030</v>
      </c>
      <c r="B261" s="167">
        <f>$L261*('RD Feedstock Use'!B261/'RD Feedstock Use'!$L261)</f>
        <v>619.83216284957109</v>
      </c>
      <c r="C261" s="167">
        <f>$L261*('RD Feedstock Use'!C261/'RD Feedstock Use'!$L261)</f>
        <v>277.28697057212344</v>
      </c>
      <c r="D261" s="167">
        <f>$L261*('RD Feedstock Use'!D261/'RD Feedstock Use'!$L261)*0.19</f>
        <v>61.890398550675563</v>
      </c>
      <c r="E261" s="167">
        <f>$L261*('RD Feedstock Use'!E261/'RD Feedstock Use'!$L261)</f>
        <v>2.5679480783391746</v>
      </c>
      <c r="F261" s="167">
        <f>$L261*('RD Feedstock Use'!F261/'RD Feedstock Use'!$L261)</f>
        <v>72.052428060472678</v>
      </c>
      <c r="G261" s="167">
        <f>$L261*('RD Feedstock Use'!G261/'RD Feedstock Use'!$L261)</f>
        <v>321.84714030041619</v>
      </c>
      <c r="H261" s="167">
        <f>$L261*('RD Feedstock Use'!H261/'RD Feedstock Use'!$L261)</f>
        <v>171.71392293122187</v>
      </c>
      <c r="I261" s="167">
        <f>$L261*('RD Feedstock Use'!I261/'RD Feedstock Use'!$L261)</f>
        <v>919.54437132454575</v>
      </c>
      <c r="J261" s="167">
        <f t="shared" si="18"/>
        <v>897.11913342169453</v>
      </c>
      <c r="K261" s="167">
        <f>$L261*('RD Feedstock Use'!K261/'RD Feedstock Use'!$L261)</f>
        <v>1487.7258106949955</v>
      </c>
      <c r="L261" s="167">
        <f t="shared" si="15"/>
        <v>2384.8449441166899</v>
      </c>
      <c r="M261" s="168">
        <f>[5]SAF!$W25/1000000</f>
        <v>319.84362676435575</v>
      </c>
      <c r="N261" s="169">
        <f t="shared" si="16"/>
        <v>7.4562840855782326</v>
      </c>
      <c r="O261" s="167">
        <f t="shared" si="14"/>
        <v>2446.7353426673653</v>
      </c>
      <c r="P261" s="170">
        <f t="shared" si="17"/>
        <v>7.6497861389934574</v>
      </c>
    </row>
    <row r="262" spans="1:16" x14ac:dyDescent="0.2">
      <c r="A262" s="155">
        <v>48061</v>
      </c>
      <c r="B262" s="167">
        <f>$L262*('RD Feedstock Use'!B262/'RD Feedstock Use'!$L262)</f>
        <v>684.50295219264729</v>
      </c>
      <c r="C262" s="167">
        <f>$L262*('RD Feedstock Use'!C262/'RD Feedstock Use'!$L262)</f>
        <v>226.74772534454101</v>
      </c>
      <c r="D262" s="167">
        <f>$L262*('RD Feedstock Use'!D262/'RD Feedstock Use'!$L262)*0.19</f>
        <v>61.77860992133099</v>
      </c>
      <c r="E262" s="167">
        <f>$L262*('RD Feedstock Use'!E262/'RD Feedstock Use'!$L262)</f>
        <v>2.7416280504960593</v>
      </c>
      <c r="F262" s="167">
        <f>$L262*('RD Feedstock Use'!F262/'RD Feedstock Use'!$L262)</f>
        <v>57.849090964031248</v>
      </c>
      <c r="G262" s="167">
        <f>$L262*('RD Feedstock Use'!G262/'RD Feedstock Use'!$L262)</f>
        <v>359.38793718322739</v>
      </c>
      <c r="H262" s="167">
        <f>$L262*('RD Feedstock Use'!H262/'RD Feedstock Use'!$L262)</f>
        <v>194.95733110657869</v>
      </c>
      <c r="I262" s="167">
        <f>$L262*('RD Feedstock Use'!I262/'RD Feedstock Use'!$L262)</f>
        <v>1039.4141296692053</v>
      </c>
      <c r="J262" s="167">
        <f t="shared" si="18"/>
        <v>911.25067753718827</v>
      </c>
      <c r="K262" s="167">
        <f>$L262*('RD Feedstock Use'!K262/'RD Feedstock Use'!$L262)</f>
        <v>1654.3501169735384</v>
      </c>
      <c r="L262" s="167">
        <f t="shared" si="15"/>
        <v>2565.6007945107267</v>
      </c>
      <c r="M262" s="168">
        <f>[5]SAF!$W26/1000000</f>
        <v>347.47170885113047</v>
      </c>
      <c r="N262" s="169">
        <f t="shared" si="16"/>
        <v>7.383624994948649</v>
      </c>
      <c r="O262" s="167">
        <f t="shared" si="14"/>
        <v>2627.3794044320575</v>
      </c>
      <c r="P262" s="170">
        <f t="shared" si="17"/>
        <v>7.5614196422469675</v>
      </c>
    </row>
    <row r="263" spans="1:16" x14ac:dyDescent="0.2">
      <c r="A263" s="155">
        <v>48092</v>
      </c>
      <c r="B263" s="167">
        <f>$L263*('RD Feedstock Use'!B263/'RD Feedstock Use'!$L263)</f>
        <v>831.70218854776476</v>
      </c>
      <c r="C263" s="167">
        <f>$L263*('RD Feedstock Use'!C263/'RD Feedstock Use'!$L263)</f>
        <v>213.44647062731346</v>
      </c>
      <c r="D263" s="167">
        <f>$L263*('RD Feedstock Use'!D263/'RD Feedstock Use'!$L263)*0.19</f>
        <v>86.123952757417058</v>
      </c>
      <c r="E263" s="167">
        <f>$L263*('RD Feedstock Use'!E263/'RD Feedstock Use'!$L263)</f>
        <v>4.0028821979534657</v>
      </c>
      <c r="F263" s="167">
        <f>$L263*('RD Feedstock Use'!F263/'RD Feedstock Use'!$L263)</f>
        <v>81.770749060231182</v>
      </c>
      <c r="G263" s="167">
        <f>$L263*('RD Feedstock Use'!G263/'RD Feedstock Use'!$L263)</f>
        <v>465.15726243182814</v>
      </c>
      <c r="H263" s="167">
        <f>$L263*('RD Feedstock Use'!H263/'RD Feedstock Use'!$L263)</f>
        <v>206.99133603451429</v>
      </c>
      <c r="I263" s="167">
        <f>$L263*('RD Feedstock Use'!I263/'RD Feedstock Use'!$L263)</f>
        <v>1381.7709224918633</v>
      </c>
      <c r="J263" s="167">
        <f t="shared" si="18"/>
        <v>1045.1486591750781</v>
      </c>
      <c r="K263" s="167">
        <f>$L263*('RD Feedstock Use'!K263/'RD Feedstock Use'!$L263)</f>
        <v>2139.6931522163904</v>
      </c>
      <c r="L263" s="167">
        <f t="shared" si="15"/>
        <v>3184.8418113914686</v>
      </c>
      <c r="M263" s="168">
        <f>[5]SAF!$W27/1000000</f>
        <v>422.78316987744756</v>
      </c>
      <c r="N263" s="169">
        <f t="shared" si="16"/>
        <v>7.533038300258406</v>
      </c>
      <c r="O263" s="167">
        <f t="shared" si="14"/>
        <v>3270.9657641488857</v>
      </c>
      <c r="P263" s="170">
        <f t="shared" si="17"/>
        <v>7.7367454458914313</v>
      </c>
    </row>
    <row r="264" spans="1:16" x14ac:dyDescent="0.2">
      <c r="A264" s="155">
        <v>48122</v>
      </c>
      <c r="B264" s="167">
        <f>$L264*('RD Feedstock Use'!B264/'RD Feedstock Use'!$L264)</f>
        <v>732.5489927329462</v>
      </c>
      <c r="C264" s="167">
        <f>$L264*('RD Feedstock Use'!C264/'RD Feedstock Use'!$L264)</f>
        <v>279.2227340450483</v>
      </c>
      <c r="D264" s="167">
        <f>$L264*('RD Feedstock Use'!D264/'RD Feedstock Use'!$L264)*0.19</f>
        <v>75.9442457733102</v>
      </c>
      <c r="E264" s="167">
        <f>$L264*('RD Feedstock Use'!E264/'RD Feedstock Use'!$L264)</f>
        <v>4.5340493376905702</v>
      </c>
      <c r="F264" s="167">
        <f>$L264*('RD Feedstock Use'!F264/'RD Feedstock Use'!$L264)</f>
        <v>72.001557621462112</v>
      </c>
      <c r="G264" s="167">
        <f>$L264*('RD Feedstock Use'!G264/'RD Feedstock Use'!$L264)</f>
        <v>445.15404700191897</v>
      </c>
      <c r="H264" s="167">
        <f>$L264*('RD Feedstock Use'!H264/'RD Feedstock Use'!$L264)</f>
        <v>212.39360290874185</v>
      </c>
      <c r="I264" s="167">
        <f>$L264*('RD Feedstock Use'!I264/'RD Feedstock Use'!$L264)</f>
        <v>1327.8684823006463</v>
      </c>
      <c r="J264" s="167">
        <f t="shared" si="18"/>
        <v>1011.7717267779944</v>
      </c>
      <c r="K264" s="167">
        <f>$L264*('RD Feedstock Use'!K264/'RD Feedstock Use'!$L264)</f>
        <v>2061.9517391704599</v>
      </c>
      <c r="L264" s="167">
        <f t="shared" si="15"/>
        <v>3073.7234659484543</v>
      </c>
      <c r="M264" s="168">
        <f>[5]SAF!$W28/1000000</f>
        <v>411.90328355131447</v>
      </c>
      <c r="N264" s="169">
        <f t="shared" si="16"/>
        <v>7.462245601558875</v>
      </c>
      <c r="O264" s="167">
        <f t="shared" si="14"/>
        <v>3149.6677117217646</v>
      </c>
      <c r="P264" s="170">
        <f t="shared" si="17"/>
        <v>7.6466195767273666</v>
      </c>
    </row>
    <row r="265" spans="1:16" x14ac:dyDescent="0.2">
      <c r="A265" s="155">
        <v>48153</v>
      </c>
      <c r="B265" s="167">
        <f>$L265*('RD Feedstock Use'!B265/'RD Feedstock Use'!$L265)</f>
        <v>927.78442100347468</v>
      </c>
      <c r="C265" s="167">
        <f>$L265*('RD Feedstock Use'!C265/'RD Feedstock Use'!$L265)</f>
        <v>257.7721883732334</v>
      </c>
      <c r="D265" s="167">
        <f>$L265*('RD Feedstock Use'!D265/'RD Feedstock Use'!$L265)*0.19</f>
        <v>62.892986379015653</v>
      </c>
      <c r="E265" s="167">
        <f>$L265*('RD Feedstock Use'!E265/'RD Feedstock Use'!$L265)</f>
        <v>3.5923801229850296</v>
      </c>
      <c r="F265" s="167">
        <f>$L265*('RD Feedstock Use'!F265/'RD Feedstock Use'!$L265)</f>
        <v>23.552608855648188</v>
      </c>
      <c r="G265" s="167">
        <f>$L265*('RD Feedstock Use'!G265/'RD Feedstock Use'!$L265)</f>
        <v>420.8663717989117</v>
      </c>
      <c r="H265" s="167">
        <f>$L265*('RD Feedstock Use'!H265/'RD Feedstock Use'!$L265)</f>
        <v>151.50915616612386</v>
      </c>
      <c r="I265" s="167">
        <f>$L265*('RD Feedstock Use'!I265/'RD Feedstock Use'!$L265)</f>
        <v>813.42794434734446</v>
      </c>
      <c r="J265" s="167">
        <f t="shared" si="18"/>
        <v>1185.5566093767081</v>
      </c>
      <c r="K265" s="167">
        <f>$L265*('RD Feedstock Use'!K265/'RD Feedstock Use'!$L265)</f>
        <v>1412.9484612910132</v>
      </c>
      <c r="L265" s="167">
        <f t="shared" si="15"/>
        <v>2598.5050706677212</v>
      </c>
      <c r="M265" s="168">
        <f>[5]SAF!$W29/1000000</f>
        <v>355.27800120339344</v>
      </c>
      <c r="N265" s="169">
        <f t="shared" si="16"/>
        <v>7.3140049816371846</v>
      </c>
      <c r="O265" s="167">
        <f t="shared" si="14"/>
        <v>2661.398057046737</v>
      </c>
      <c r="P265" s="170">
        <f t="shared" si="17"/>
        <v>7.4910296951460014</v>
      </c>
    </row>
    <row r="266" spans="1:16" x14ac:dyDescent="0.2">
      <c r="A266" s="155">
        <v>48183</v>
      </c>
      <c r="B266" s="167">
        <f>$L266*('RD Feedstock Use'!B266/'RD Feedstock Use'!$L266)</f>
        <v>731.83406231038055</v>
      </c>
      <c r="C266" s="167">
        <f>$L266*('RD Feedstock Use'!C266/'RD Feedstock Use'!$L266)</f>
        <v>258.72345529950093</v>
      </c>
      <c r="D266" s="167">
        <f>$L266*('RD Feedstock Use'!D266/'RD Feedstock Use'!$L266)*0.19</f>
        <v>52.385719650830268</v>
      </c>
      <c r="E266" s="167">
        <f>$L266*('RD Feedstock Use'!E266/'RD Feedstock Use'!$L266)</f>
        <v>3.1071545991609311</v>
      </c>
      <c r="F266" s="167">
        <f>$L266*('RD Feedstock Use'!F266/'RD Feedstock Use'!$L266)</f>
        <v>18.543779856061843</v>
      </c>
      <c r="G266" s="167">
        <f>$L266*('RD Feedstock Use'!G266/'RD Feedstock Use'!$L266)</f>
        <v>383.0979719640643</v>
      </c>
      <c r="H266" s="167">
        <f>$L266*('RD Feedstock Use'!H266/'RD Feedstock Use'!$L266)</f>
        <v>113.79636554116244</v>
      </c>
      <c r="I266" s="167">
        <f>$L266*('RD Feedstock Use'!I266/'RD Feedstock Use'!$L266)</f>
        <v>854.11418019433438</v>
      </c>
      <c r="J266" s="167">
        <f t="shared" si="18"/>
        <v>990.55751760988142</v>
      </c>
      <c r="K266" s="167">
        <f>$L266*('RD Feedstock Use'!K266/'RD Feedstock Use'!$L266)</f>
        <v>1372.6594521547838</v>
      </c>
      <c r="L266" s="167">
        <f t="shared" si="15"/>
        <v>2363.2169697646655</v>
      </c>
      <c r="M266" s="168">
        <f>[5]SAF!$W30/1000000</f>
        <v>319.23706965708203</v>
      </c>
      <c r="N266" s="169">
        <f t="shared" si="16"/>
        <v>7.4027022372532896</v>
      </c>
      <c r="O266" s="167">
        <f t="shared" si="14"/>
        <v>2415.6026894154952</v>
      </c>
      <c r="P266" s="170">
        <f t="shared" si="17"/>
        <v>7.5667988432868603</v>
      </c>
    </row>
    <row r="267" spans="1:16" x14ac:dyDescent="0.2">
      <c r="A267" s="155">
        <v>48214</v>
      </c>
      <c r="B267" s="167">
        <f>$L267*('RD Feedstock Use'!B267/'RD Feedstock Use'!$L267)</f>
        <v>723.54595366216938</v>
      </c>
      <c r="C267" s="167">
        <f>$L267*('RD Feedstock Use'!C267/'RD Feedstock Use'!$L267)</f>
        <v>185.47276542029715</v>
      </c>
      <c r="D267" s="167">
        <f>$L267*('RD Feedstock Use'!D267/'RD Feedstock Use'!$L267)*0.19</f>
        <v>60.613949758060251</v>
      </c>
      <c r="E267" s="167">
        <f>$L267*('RD Feedstock Use'!E267/'RD Feedstock Use'!$L267)</f>
        <v>2.4354630898745522</v>
      </c>
      <c r="F267" s="167">
        <f>$L267*('RD Feedstock Use'!F267/'RD Feedstock Use'!$L267)</f>
        <v>39.315063518243953</v>
      </c>
      <c r="G267" s="167">
        <f>$L267*('RD Feedstock Use'!G267/'RD Feedstock Use'!$L267)</f>
        <v>375.54118891870831</v>
      </c>
      <c r="H267" s="167">
        <f>$L267*('RD Feedstock Use'!H267/'RD Feedstock Use'!$L267)</f>
        <v>106.35725174231197</v>
      </c>
      <c r="I267" s="167">
        <f>$L267*('RD Feedstock Use'!I267/'RD Feedstock Use'!$L267)</f>
        <v>395.58036629467694</v>
      </c>
      <c r="J267" s="167">
        <f t="shared" si="18"/>
        <v>909.01871908246653</v>
      </c>
      <c r="K267" s="167">
        <f>$L267*('RD Feedstock Use'!K267/'RD Feedstock Use'!$L267)</f>
        <v>919.22933356381566</v>
      </c>
      <c r="L267" s="167">
        <f t="shared" si="15"/>
        <v>1828.2480526462825</v>
      </c>
      <c r="M267" s="168">
        <f>[5]SAF!$X19/1000000</f>
        <v>242.09154840398534</v>
      </c>
      <c r="N267" s="169">
        <f t="shared" si="16"/>
        <v>7.5518871464088901</v>
      </c>
      <c r="O267" s="167">
        <f t="shared" si="14"/>
        <v>1888.8620024043425</v>
      </c>
      <c r="P267" s="170">
        <f t="shared" si="17"/>
        <v>7.80226329608311</v>
      </c>
    </row>
    <row r="268" spans="1:16" x14ac:dyDescent="0.2">
      <c r="A268" s="155">
        <v>48245</v>
      </c>
      <c r="B268" s="167">
        <f>$L268*('RD Feedstock Use'!B268/'RD Feedstock Use'!$L268)</f>
        <v>855.84902931989507</v>
      </c>
      <c r="C268" s="167">
        <f>$L268*('RD Feedstock Use'!C268/'RD Feedstock Use'!$L268)</f>
        <v>268.70763059324275</v>
      </c>
      <c r="D268" s="167">
        <f>$L268*('RD Feedstock Use'!D268/'RD Feedstock Use'!$L268)*0.19</f>
        <v>92.660008285004182</v>
      </c>
      <c r="E268" s="167">
        <f>$L268*('RD Feedstock Use'!E268/'RD Feedstock Use'!$L268)</f>
        <v>4.206631873472559</v>
      </c>
      <c r="F268" s="167">
        <f>$L268*('RD Feedstock Use'!F268/'RD Feedstock Use'!$L268)</f>
        <v>61.907974081642436</v>
      </c>
      <c r="G268" s="167">
        <f>$L268*('RD Feedstock Use'!G268/'RD Feedstock Use'!$L268)</f>
        <v>693.77822459247614</v>
      </c>
      <c r="H268" s="167">
        <f>$L268*('RD Feedstock Use'!H268/'RD Feedstock Use'!$L268)</f>
        <v>123.29792157072991</v>
      </c>
      <c r="I268" s="167">
        <f>$L268*('RD Feedstock Use'!I268/'RD Feedstock Use'!$L268)</f>
        <v>1290.1575695167789</v>
      </c>
      <c r="J268" s="167">
        <f t="shared" si="18"/>
        <v>1124.5566599131378</v>
      </c>
      <c r="K268" s="167">
        <f>$L268*('RD Feedstock Use'!K268/'RD Feedstock Use'!$L268)</f>
        <v>2173.3483216350996</v>
      </c>
      <c r="L268" s="167">
        <f t="shared" si="15"/>
        <v>3297.9049815482376</v>
      </c>
      <c r="M268" s="168">
        <f>[5]SAF!$X20/1000000</f>
        <v>454.25757595181398</v>
      </c>
      <c r="N268" s="169">
        <f t="shared" si="16"/>
        <v>7.2599889493049812</v>
      </c>
      <c r="O268" s="167">
        <f t="shared" si="14"/>
        <v>3390.5649898332417</v>
      </c>
      <c r="P268" s="170">
        <f t="shared" si="17"/>
        <v>7.4639701555421079</v>
      </c>
    </row>
    <row r="269" spans="1:16" x14ac:dyDescent="0.2">
      <c r="A269" s="155">
        <v>48274</v>
      </c>
      <c r="B269" s="167">
        <f>$L269*('RD Feedstock Use'!B269/'RD Feedstock Use'!$L269)</f>
        <v>380.31484806018267</v>
      </c>
      <c r="C269" s="167">
        <f>$L269*('RD Feedstock Use'!C269/'RD Feedstock Use'!$L269)</f>
        <v>114.43164436478618</v>
      </c>
      <c r="D269" s="167">
        <f>$L269*('RD Feedstock Use'!D269/'RD Feedstock Use'!$L269)*0.19</f>
        <v>34.311011462675026</v>
      </c>
      <c r="E269" s="167">
        <f>$L269*('RD Feedstock Use'!E269/'RD Feedstock Use'!$L269)</f>
        <v>1.6360652646142355</v>
      </c>
      <c r="F269" s="167">
        <f>$L269*('RD Feedstock Use'!F269/'RD Feedstock Use'!$L269)</f>
        <v>35.457141803561406</v>
      </c>
      <c r="G269" s="167">
        <f>$L269*('RD Feedstock Use'!G269/'RD Feedstock Use'!$L269)</f>
        <v>233.44703063171272</v>
      </c>
      <c r="H269" s="167">
        <f>$L269*('RD Feedstock Use'!H269/'RD Feedstock Use'!$L269)</f>
        <v>77.952477532925229</v>
      </c>
      <c r="I269" s="167">
        <f>$L269*('RD Feedstock Use'!I269/'RD Feedstock Use'!$L269)</f>
        <v>484.49414224640969</v>
      </c>
      <c r="J269" s="167">
        <f t="shared" si="18"/>
        <v>494.74649242496884</v>
      </c>
      <c r="K269" s="167">
        <f>$L269*('RD Feedstock Use'!K269/'RD Feedstock Use'!$L269)</f>
        <v>832.98685747922354</v>
      </c>
      <c r="L269" s="167">
        <f t="shared" si="15"/>
        <v>1327.7333499041922</v>
      </c>
      <c r="M269" s="168">
        <f>[5]SAF!$X21/1000000</f>
        <v>183.31187461042629</v>
      </c>
      <c r="N269" s="169">
        <f t="shared" si="16"/>
        <v>7.2430296876614575</v>
      </c>
      <c r="O269" s="167">
        <f t="shared" si="14"/>
        <v>1362.0443613668674</v>
      </c>
      <c r="P269" s="170">
        <f t="shared" si="17"/>
        <v>7.4302025674085712</v>
      </c>
    </row>
    <row r="270" spans="1:16" x14ac:dyDescent="0.2">
      <c r="A270" s="155">
        <v>48305</v>
      </c>
      <c r="B270" s="167">
        <f>$L270*('RD Feedstock Use'!B270/'RD Feedstock Use'!$L270)</f>
        <v>580.69947674297441</v>
      </c>
      <c r="C270" s="167">
        <f>$L270*('RD Feedstock Use'!C270/'RD Feedstock Use'!$L270)</f>
        <v>153.02253006571172</v>
      </c>
      <c r="D270" s="167">
        <f>$L270*('RD Feedstock Use'!D270/'RD Feedstock Use'!$L270)*0.19</f>
        <v>51.179304893951283</v>
      </c>
      <c r="E270" s="167">
        <f>$L270*('RD Feedstock Use'!E270/'RD Feedstock Use'!$L270)</f>
        <v>2.5815655797781583</v>
      </c>
      <c r="F270" s="167">
        <f>$L270*('RD Feedstock Use'!F270/'RD Feedstock Use'!$L270)</f>
        <v>64.050595592216993</v>
      </c>
      <c r="G270" s="167">
        <f>$L270*('RD Feedstock Use'!G270/'RD Feedstock Use'!$L270)</f>
        <v>212.93158511895069</v>
      </c>
      <c r="H270" s="167">
        <f>$L270*('RD Feedstock Use'!H270/'RD Feedstock Use'!$L270)</f>
        <v>164.06770093583589</v>
      </c>
      <c r="I270" s="167">
        <f>$L270*('RD Feedstock Use'!I270/'RD Feedstock Use'!$L270)</f>
        <v>989.64576810534811</v>
      </c>
      <c r="J270" s="167">
        <f t="shared" si="18"/>
        <v>733.72200680868616</v>
      </c>
      <c r="K270" s="167">
        <f>$L270*('RD Feedstock Use'!K270/'RD Feedstock Use'!$L270)</f>
        <v>1433.2772153321298</v>
      </c>
      <c r="L270" s="167">
        <f t="shared" si="15"/>
        <v>2166.9992221408161</v>
      </c>
      <c r="M270" s="168">
        <f>[5]SAF!$X22/1000000</f>
        <v>292.89654558886434</v>
      </c>
      <c r="N270" s="169">
        <f t="shared" si="16"/>
        <v>7.398514099181658</v>
      </c>
      <c r="O270" s="167">
        <f t="shared" si="14"/>
        <v>2218.1785270347673</v>
      </c>
      <c r="P270" s="170">
        <f t="shared" si="17"/>
        <v>7.5732491913660196</v>
      </c>
    </row>
    <row r="271" spans="1:16" x14ac:dyDescent="0.2">
      <c r="A271" s="155">
        <v>48335</v>
      </c>
      <c r="B271" s="167">
        <f>$L271*('RD Feedstock Use'!B271/'RD Feedstock Use'!$L271)</f>
        <v>572.93471190891614</v>
      </c>
      <c r="C271" s="167">
        <f>$L271*('RD Feedstock Use'!C271/'RD Feedstock Use'!$L271)</f>
        <v>274.21431136187942</v>
      </c>
      <c r="D271" s="167">
        <f>$L271*('RD Feedstock Use'!D271/'RD Feedstock Use'!$L271)*0.19</f>
        <v>57.350391073025101</v>
      </c>
      <c r="E271" s="167">
        <f>$L271*('RD Feedstock Use'!E271/'RD Feedstock Use'!$L271)</f>
        <v>3.3669782889009285</v>
      </c>
      <c r="F271" s="167">
        <f>$L271*('RD Feedstock Use'!F271/'RD Feedstock Use'!$L271)</f>
        <v>73.299397570901505</v>
      </c>
      <c r="G271" s="167">
        <f>$L271*('RD Feedstock Use'!G271/'RD Feedstock Use'!$L271)</f>
        <v>313.74502856335721</v>
      </c>
      <c r="H271" s="167">
        <f>$L271*('RD Feedstock Use'!H271/'RD Feedstock Use'!$L271)</f>
        <v>181.34789277534844</v>
      </c>
      <c r="I271" s="167">
        <f>$L271*('RD Feedstock Use'!I271/'RD Feedstock Use'!$L271)</f>
        <v>1463.4770203403339</v>
      </c>
      <c r="J271" s="167">
        <f t="shared" si="18"/>
        <v>847.14902327079562</v>
      </c>
      <c r="K271" s="167">
        <f>$L271*('RD Feedstock Use'!K271/'RD Feedstock Use'!$L271)</f>
        <v>2035.2363175388418</v>
      </c>
      <c r="L271" s="167">
        <f t="shared" si="15"/>
        <v>2882.3853408096375</v>
      </c>
      <c r="M271" s="168">
        <f>[5]SAF!$X23/1000000</f>
        <v>386.01829839756545</v>
      </c>
      <c r="N271" s="169">
        <f t="shared" si="16"/>
        <v>7.4669655629667329</v>
      </c>
      <c r="O271" s="167">
        <f t="shared" si="14"/>
        <v>2939.7357318826625</v>
      </c>
      <c r="P271" s="170">
        <f t="shared" si="17"/>
        <v>7.615534662698785</v>
      </c>
    </row>
    <row r="272" spans="1:16" x14ac:dyDescent="0.2">
      <c r="A272" s="155">
        <v>48366</v>
      </c>
      <c r="B272" s="167">
        <f>$L272*('RD Feedstock Use'!B272/'RD Feedstock Use'!$L272)</f>
        <v>581.06290438046369</v>
      </c>
      <c r="C272" s="167">
        <f>$L272*('RD Feedstock Use'!C272/'RD Feedstock Use'!$L272)</f>
        <v>217.11570225909102</v>
      </c>
      <c r="D272" s="167">
        <f>$L272*('RD Feedstock Use'!D272/'RD Feedstock Use'!$L272)*0.19</f>
        <v>57.619594156026366</v>
      </c>
      <c r="E272" s="167">
        <f>$L272*('RD Feedstock Use'!E272/'RD Feedstock Use'!$L272)</f>
        <v>2.9227478545513197</v>
      </c>
      <c r="F272" s="167">
        <f>$L272*('RD Feedstock Use'!F272/'RD Feedstock Use'!$L272)</f>
        <v>79.492278293154442</v>
      </c>
      <c r="G272" s="167">
        <f>$L272*('RD Feedstock Use'!G272/'RD Feedstock Use'!$L272)</f>
        <v>318.34311127558095</v>
      </c>
      <c r="H272" s="167">
        <f>$L272*('RD Feedstock Use'!H272/'RD Feedstock Use'!$L272)</f>
        <v>193.67330299107658</v>
      </c>
      <c r="I272" s="167">
        <f>$L272*('RD Feedstock Use'!I272/'RD Feedstock Use'!$L272)</f>
        <v>1305.7234554473591</v>
      </c>
      <c r="J272" s="167">
        <f t="shared" si="18"/>
        <v>798.17860663955469</v>
      </c>
      <c r="K272" s="167">
        <f>$L272*('RD Feedstock Use'!K272/'RD Feedstock Use'!$L272)</f>
        <v>1900.1548958617225</v>
      </c>
      <c r="L272" s="167">
        <f t="shared" si="15"/>
        <v>2698.3335025012775</v>
      </c>
      <c r="M272" s="168">
        <f>[5]SAF!$X24/1000000</f>
        <v>367.07283151779978</v>
      </c>
      <c r="N272" s="169">
        <f t="shared" si="16"/>
        <v>7.350948560654869</v>
      </c>
      <c r="O272" s="167">
        <f t="shared" si="14"/>
        <v>2755.9530966573034</v>
      </c>
      <c r="P272" s="170">
        <f t="shared" si="17"/>
        <v>7.5079190286619291</v>
      </c>
    </row>
    <row r="273" spans="1:16" x14ac:dyDescent="0.2">
      <c r="A273" s="155">
        <v>48396</v>
      </c>
      <c r="B273" s="167">
        <f>$L273*('RD Feedstock Use'!B273/'RD Feedstock Use'!$L273)</f>
        <v>787.08231021987217</v>
      </c>
      <c r="C273" s="167">
        <f>$L273*('RD Feedstock Use'!C273/'RD Feedstock Use'!$L273)</f>
        <v>345.35667449674389</v>
      </c>
      <c r="D273" s="167">
        <f>$L273*('RD Feedstock Use'!D273/'RD Feedstock Use'!$L273)*0.19</f>
        <v>68.519492130852015</v>
      </c>
      <c r="E273" s="167">
        <f>$L273*('RD Feedstock Use'!E273/'RD Feedstock Use'!$L273)</f>
        <v>3.1766228999227435</v>
      </c>
      <c r="F273" s="167">
        <f>$L273*('RD Feedstock Use'!F273/'RD Feedstock Use'!$L273)</f>
        <v>90.827533535773995</v>
      </c>
      <c r="G273" s="167">
        <f>$L273*('RD Feedstock Use'!G273/'RD Feedstock Use'!$L273)</f>
        <v>397.43841473179816</v>
      </c>
      <c r="H273" s="167">
        <f>$L273*('RD Feedstock Use'!H273/'RD Feedstock Use'!$L273)</f>
        <v>215.70953146910031</v>
      </c>
      <c r="I273" s="167">
        <f>$L273*('RD Feedstock Use'!I273/'RD Feedstock Use'!$L273)</f>
        <v>1142.9634719436879</v>
      </c>
      <c r="J273" s="167">
        <f t="shared" si="18"/>
        <v>1132.438984716616</v>
      </c>
      <c r="K273" s="167">
        <f>$L273*('RD Feedstock Use'!K273/'RD Feedstock Use'!$L273)</f>
        <v>1850.1155745802832</v>
      </c>
      <c r="L273" s="167">
        <f t="shared" si="15"/>
        <v>2982.5545592968992</v>
      </c>
      <c r="M273" s="168">
        <f>[5]SAF!$X25/1000000</f>
        <v>400.30211639205299</v>
      </c>
      <c r="N273" s="169">
        <f t="shared" si="16"/>
        <v>7.4507589072444649</v>
      </c>
      <c r="O273" s="167">
        <f t="shared" si="14"/>
        <v>3051.0740514277513</v>
      </c>
      <c r="P273" s="170">
        <f t="shared" si="17"/>
        <v>7.6219283548317582</v>
      </c>
    </row>
    <row r="274" spans="1:16" x14ac:dyDescent="0.2">
      <c r="A274" s="155">
        <v>48427</v>
      </c>
      <c r="B274" s="167">
        <f>$L274*('RD Feedstock Use'!B274/'RD Feedstock Use'!$L274)</f>
        <v>872.92280072930123</v>
      </c>
      <c r="C274" s="167">
        <f>$L274*('RD Feedstock Use'!C274/'RD Feedstock Use'!$L274)</f>
        <v>284.37585526312267</v>
      </c>
      <c r="D274" s="167">
        <f>$L274*('RD Feedstock Use'!D274/'RD Feedstock Use'!$L274)*0.19</f>
        <v>69.351179438479093</v>
      </c>
      <c r="E274" s="167">
        <f>$L274*('RD Feedstock Use'!E274/'RD Feedstock Use'!$L274)</f>
        <v>3.3976097974412638</v>
      </c>
      <c r="F274" s="167">
        <f>$L274*('RD Feedstock Use'!F274/'RD Feedstock Use'!$L274)</f>
        <v>73.999391079712353</v>
      </c>
      <c r="G274" s="167">
        <f>$L274*('RD Feedstock Use'!G274/'RD Feedstock Use'!$L274)</f>
        <v>438.71522129161849</v>
      </c>
      <c r="H274" s="167">
        <f>$L274*('RD Feedstock Use'!H274/'RD Feedstock Use'!$L274)</f>
        <v>244.12639687175223</v>
      </c>
      <c r="I274" s="167">
        <f>$L274*('RD Feedstock Use'!I274/'RD Feedstock Use'!$L274)</f>
        <v>1298.3221230148047</v>
      </c>
      <c r="J274" s="167">
        <f t="shared" si="18"/>
        <v>1157.2986559924238</v>
      </c>
      <c r="K274" s="167">
        <f>$L274*('RD Feedstock Use'!K274/'RD Feedstock Use'!$L274)</f>
        <v>2058.5607420553292</v>
      </c>
      <c r="L274" s="167">
        <f t="shared" si="15"/>
        <v>3215.8593980477531</v>
      </c>
      <c r="M274" s="168">
        <f>[5]SAF!$X26/1000000</f>
        <v>435.32148467285987</v>
      </c>
      <c r="N274" s="169">
        <f t="shared" si="16"/>
        <v>7.3873206613370854</v>
      </c>
      <c r="O274" s="167">
        <f t="shared" si="14"/>
        <v>3285.2105774862321</v>
      </c>
      <c r="P274" s="170">
        <f t="shared" si="17"/>
        <v>7.5466309225583892</v>
      </c>
    </row>
    <row r="275" spans="1:16" x14ac:dyDescent="0.2">
      <c r="A275" s="155">
        <v>48458</v>
      </c>
      <c r="B275" s="167">
        <f>$L275*('RD Feedstock Use'!B275/'RD Feedstock Use'!$L275)</f>
        <v>1058.199448099851</v>
      </c>
      <c r="C275" s="167">
        <f>$L275*('RD Feedstock Use'!C275/'RD Feedstock Use'!$L275)</f>
        <v>266.27243603040114</v>
      </c>
      <c r="D275" s="167">
        <f>$L275*('RD Feedstock Use'!D275/'RD Feedstock Use'!$L275)*0.19</f>
        <v>96.227284499120387</v>
      </c>
      <c r="E275" s="167">
        <f>$L275*('RD Feedstock Use'!E275/'RD Feedstock Use'!$L275)</f>
        <v>5.0210745397399377</v>
      </c>
      <c r="F275" s="167">
        <f>$L275*('RD Feedstock Use'!F275/'RD Feedstock Use'!$L275)</f>
        <v>105.11940514893939</v>
      </c>
      <c r="G275" s="167">
        <f>$L275*('RD Feedstock Use'!G275/'RD Feedstock Use'!$L275)</f>
        <v>533.64254306263933</v>
      </c>
      <c r="H275" s="167">
        <f>$L275*('RD Feedstock Use'!H275/'RD Feedstock Use'!$L275)</f>
        <v>258.33639716855572</v>
      </c>
      <c r="I275" s="167">
        <f>$L275*('RD Feedstock Use'!I275/'RD Feedstock Use'!$L275)</f>
        <v>1769.5759355735554</v>
      </c>
      <c r="J275" s="167">
        <f t="shared" si="18"/>
        <v>1324.4718841302522</v>
      </c>
      <c r="K275" s="167">
        <f>$L275*('RD Feedstock Use'!K275/'RD Feedstock Use'!$L275)</f>
        <v>2671.6953554934298</v>
      </c>
      <c r="L275" s="167">
        <f t="shared" si="15"/>
        <v>3996.1672396236818</v>
      </c>
      <c r="M275" s="168">
        <f>[5]SAF!$X27/1000000</f>
        <v>529.69915865717712</v>
      </c>
      <c r="N275" s="169">
        <f t="shared" si="16"/>
        <v>7.5442204774389934</v>
      </c>
      <c r="O275" s="167">
        <f t="shared" si="14"/>
        <v>4092.3945241228021</v>
      </c>
      <c r="P275" s="170">
        <f t="shared" si="17"/>
        <v>7.7258845086658177</v>
      </c>
    </row>
    <row r="276" spans="1:16" x14ac:dyDescent="0.2">
      <c r="A276" s="155">
        <v>48488</v>
      </c>
      <c r="B276" s="167">
        <f>$L276*('RD Feedstock Use'!B276/'RD Feedstock Use'!$L276)</f>
        <v>882.98165594900729</v>
      </c>
      <c r="C276" s="167">
        <f>$L276*('RD Feedstock Use'!C276/'RD Feedstock Use'!$L276)</f>
        <v>347.37079321790338</v>
      </c>
      <c r="D276" s="167">
        <f>$L276*('RD Feedstock Use'!D276/'RD Feedstock Use'!$L276)*0.25</f>
        <v>115.74295880446509</v>
      </c>
      <c r="E276" s="167">
        <f>$L276*('RD Feedstock Use'!E276/'RD Feedstock Use'!$L276)</f>
        <v>5.7155129286038457</v>
      </c>
      <c r="F276" s="167">
        <f>$L276*('RD Feedstock Use'!F276/'RD Feedstock Use'!$L276)</f>
        <v>90.141939387711588</v>
      </c>
      <c r="G276" s="167">
        <f>$L276*('RD Feedstock Use'!G276/'RD Feedstock Use'!$L276)</f>
        <v>568.48699311329733</v>
      </c>
      <c r="H276" s="167">
        <f>$L276*('RD Feedstock Use'!H276/'RD Feedstock Use'!$L276)</f>
        <v>265.22925045692608</v>
      </c>
      <c r="I276" s="167">
        <f>$L276*('RD Feedstock Use'!I276/'RD Feedstock Use'!$L276)</f>
        <v>1688.2595348642703</v>
      </c>
      <c r="J276" s="167">
        <f t="shared" si="18"/>
        <v>1230.3524491669107</v>
      </c>
      <c r="K276" s="167">
        <f>$L276*('RD Feedstock Use'!K276/'RD Feedstock Use'!$L276)</f>
        <v>2617.8332307508094</v>
      </c>
      <c r="L276" s="167">
        <f t="shared" si="15"/>
        <v>3848.1856799177199</v>
      </c>
      <c r="M276" s="168">
        <f>[5]SAF!$X28/1000000</f>
        <v>515.93990055258416</v>
      </c>
      <c r="N276" s="169">
        <f t="shared" si="16"/>
        <v>7.4585929016077639</v>
      </c>
      <c r="O276" s="167">
        <f t="shared" si="14"/>
        <v>3963.9286387221855</v>
      </c>
      <c r="P276" s="170">
        <f t="shared" si="17"/>
        <v>7.682927089912452</v>
      </c>
    </row>
    <row r="277" spans="1:16" x14ac:dyDescent="0.2">
      <c r="A277" s="155">
        <v>48519</v>
      </c>
      <c r="B277" s="167">
        <f>$L277*('RD Feedstock Use'!B277/'RD Feedstock Use'!$L277)</f>
        <v>823.24911658000951</v>
      </c>
      <c r="C277" s="167">
        <f>$L277*('RD Feedstock Use'!C277/'RD Feedstock Use'!$L277)</f>
        <v>319.37840060030203</v>
      </c>
      <c r="D277" s="167">
        <f>$L277*('RD Feedstock Use'!D277/'RD Feedstock Use'!$L277)*0.25</f>
        <v>93.69137899584257</v>
      </c>
      <c r="E277" s="167">
        <f>$L277*('RD Feedstock Use'!E277/'RD Feedstock Use'!$L277)</f>
        <v>4.5312556387036702</v>
      </c>
      <c r="F277" s="167">
        <f>$L277*('RD Feedstock Use'!F277/'RD Feedstock Use'!$L277)</f>
        <v>29.32107716751883</v>
      </c>
      <c r="G277" s="167">
        <f>$L277*('RD Feedstock Use'!G277/'RD Feedstock Use'!$L277)</f>
        <v>537.01869237381709</v>
      </c>
      <c r="H277" s="167">
        <f>$L277*('RD Feedstock Use'!H277/'RD Feedstock Use'!$L277)</f>
        <v>187.79465189463292</v>
      </c>
      <c r="I277" s="167">
        <f>$L277*('RD Feedstock Use'!I277/'RD Feedstock Use'!$L277)</f>
        <v>1351.9684574145074</v>
      </c>
      <c r="J277" s="167">
        <f t="shared" si="18"/>
        <v>1142.6275171803115</v>
      </c>
      <c r="K277" s="167">
        <f>$L277*('RD Feedstock Use'!K277/'RD Feedstock Use'!$L277)</f>
        <v>2110.6341344891798</v>
      </c>
      <c r="L277" s="167">
        <f t="shared" si="15"/>
        <v>3253.2616516694916</v>
      </c>
      <c r="M277" s="168">
        <f>[5]SAF!$X29/1000000</f>
        <v>445.59573902338173</v>
      </c>
      <c r="N277" s="169">
        <f t="shared" si="16"/>
        <v>7.3009263032894109</v>
      </c>
      <c r="O277" s="167">
        <f t="shared" si="14"/>
        <v>3346.9530306653342</v>
      </c>
      <c r="P277" s="170">
        <f t="shared" si="17"/>
        <v>7.5111872433989086</v>
      </c>
    </row>
    <row r="278" spans="1:16" x14ac:dyDescent="0.2">
      <c r="A278" s="155">
        <v>48549</v>
      </c>
      <c r="B278" s="167">
        <f>$L278*('RD Feedstock Use'!B278/'RD Feedstock Use'!$L278)</f>
        <v>1195.8515963706936</v>
      </c>
      <c r="C278" s="167">
        <f>$L278*('RD Feedstock Use'!C278/'RD Feedstock Use'!$L278)</f>
        <v>323.10624001476037</v>
      </c>
      <c r="D278" s="167">
        <f>$L278*('RD Feedstock Use'!D278/'RD Feedstock Use'!$L278)*0.25</f>
        <v>79.311825966722111</v>
      </c>
      <c r="E278" s="167">
        <f>$L278*('RD Feedstock Use'!E278/'RD Feedstock Use'!$L278)</f>
        <v>3.9207654945533661</v>
      </c>
      <c r="F278" s="167">
        <f>$L278*('RD Feedstock Use'!F278/'RD Feedstock Use'!$L278)</f>
        <v>22.421846142487361</v>
      </c>
      <c r="G278" s="167">
        <f>$L278*('RD Feedstock Use'!G278/'RD Feedstock Use'!$L278)</f>
        <v>485.61256675762206</v>
      </c>
      <c r="H278" s="167">
        <f>$L278*('RD Feedstock Use'!H278/'RD Feedstock Use'!$L278)</f>
        <v>141.90543237902205</v>
      </c>
      <c r="I278" s="167">
        <f>$L278*('RD Feedstock Use'!I278/'RD Feedstock Use'!$L278)</f>
        <v>788.92089866084916</v>
      </c>
      <c r="J278" s="167">
        <f t="shared" si="18"/>
        <v>1518.9578363854539</v>
      </c>
      <c r="K278" s="167">
        <f>$L278*('RD Feedstock Use'!K278/'RD Feedstock Use'!$L278)</f>
        <v>1442.781509434534</v>
      </c>
      <c r="L278" s="167">
        <f t="shared" si="15"/>
        <v>2961.7393458199881</v>
      </c>
      <c r="M278" s="168">
        <f>[5]SAF!$X30/1000000</f>
        <v>400.30265362388661</v>
      </c>
      <c r="N278" s="169">
        <f t="shared" si="16"/>
        <v>7.3987502181355937</v>
      </c>
      <c r="O278" s="167">
        <f t="shared" si="14"/>
        <v>3041.0511717867098</v>
      </c>
      <c r="P278" s="170">
        <f t="shared" si="17"/>
        <v>7.5968798714084915</v>
      </c>
    </row>
    <row r="279" spans="1:16" x14ac:dyDescent="0.2">
      <c r="A279" s="155">
        <v>48580</v>
      </c>
      <c r="B279" s="167">
        <f>$L279*('RD Feedstock Use'!B279/'RD Feedstock Use'!$L279)</f>
        <v>761.30549177252567</v>
      </c>
      <c r="C279" s="167">
        <f>$L279*('RD Feedstock Use'!C279/'RD Feedstock Use'!$L279)</f>
        <v>192.20412561543242</v>
      </c>
      <c r="D279" s="167">
        <f>$L279*('RD Feedstock Use'!D279/'RD Feedstock Use'!$L279)*0.25</f>
        <v>77.993594487138139</v>
      </c>
      <c r="E279" s="167">
        <f>$L279*('RD Feedstock Use'!E279/'RD Feedstock Use'!$L279)</f>
        <v>2.5619281398030176</v>
      </c>
      <c r="F279" s="167">
        <f>$L279*('RD Feedstock Use'!F279/'RD Feedstock Use'!$L279)</f>
        <v>41.100780636018882</v>
      </c>
      <c r="G279" s="167">
        <f>$L279*('RD Feedstock Use'!G279/'RD Feedstock Use'!$L279)</f>
        <v>400.91085791539018</v>
      </c>
      <c r="H279" s="167">
        <f>$L279*('RD Feedstock Use'!H279/'RD Feedstock Use'!$L279)</f>
        <v>111.21883897074669</v>
      </c>
      <c r="I279" s="167">
        <f>$L279*('RD Feedstock Use'!I279/'RD Feedstock Use'!$L279)</f>
        <v>400.98951142502909</v>
      </c>
      <c r="J279" s="167">
        <f t="shared" si="18"/>
        <v>953.50961738795809</v>
      </c>
      <c r="K279" s="167">
        <f>$L279*('RD Feedstock Use'!K279/'RD Feedstock Use'!$L279)</f>
        <v>956.78191708698796</v>
      </c>
      <c r="L279" s="167">
        <f t="shared" si="15"/>
        <v>1910.291534474946</v>
      </c>
      <c r="M279" s="168">
        <f>[5]SAF!$Y19/1000000</f>
        <v>253.05789932075388</v>
      </c>
      <c r="N279" s="169">
        <f t="shared" si="16"/>
        <v>7.5488318665509393</v>
      </c>
      <c r="O279" s="167">
        <f t="shared" si="14"/>
        <v>1988.2851289620842</v>
      </c>
      <c r="P279" s="170">
        <f t="shared" si="17"/>
        <v>7.8570364106354544</v>
      </c>
    </row>
    <row r="280" spans="1:16" x14ac:dyDescent="0.2">
      <c r="A280" s="155">
        <v>48611</v>
      </c>
      <c r="B280" s="167">
        <f>$L280*('RD Feedstock Use'!B280/'RD Feedstock Use'!$L280)</f>
        <v>851.19976431928728</v>
      </c>
      <c r="C280" s="167">
        <f>$L280*('RD Feedstock Use'!C280/'RD Feedstock Use'!$L280)</f>
        <v>278.9693395293823</v>
      </c>
      <c r="D280" s="167">
        <f>$L280*('RD Feedstock Use'!D280/'RD Feedstock Use'!$L280)*0.25</f>
        <v>116.84683432977904</v>
      </c>
      <c r="E280" s="167">
        <f>$L280*('RD Feedstock Use'!E280/'RD Feedstock Use'!$L280)</f>
        <v>4.4222351806451936</v>
      </c>
      <c r="F280" s="167">
        <f>$L280*('RD Feedstock Use'!F280/'RD Feedstock Use'!$L280)</f>
        <v>64.421476925164754</v>
      </c>
      <c r="G280" s="167">
        <f>$L280*('RD Feedstock Use'!G280/'RD Feedstock Use'!$L280)</f>
        <v>738.07960879815721</v>
      </c>
      <c r="H280" s="167">
        <f>$L280*('RD Feedstock Use'!H280/'RD Feedstock Use'!$L280)</f>
        <v>127.40444868418062</v>
      </c>
      <c r="I280" s="167">
        <f>$L280*('RD Feedstock Use'!I280/'RD Feedstock Use'!$L280)</f>
        <v>1381.4603642490188</v>
      </c>
      <c r="J280" s="167">
        <f t="shared" si="18"/>
        <v>1130.1691038486697</v>
      </c>
      <c r="K280" s="167">
        <f>$L280*('RD Feedstock Use'!K280/'RD Feedstock Use'!$L280)</f>
        <v>2315.7881338371667</v>
      </c>
      <c r="L280" s="167">
        <f t="shared" si="15"/>
        <v>3445.9572376858359</v>
      </c>
      <c r="M280" s="168">
        <f>[5]SAF!$Y20/1000000</f>
        <v>474.18925934671609</v>
      </c>
      <c r="N280" s="169">
        <f t="shared" si="16"/>
        <v>7.2670503807557409</v>
      </c>
      <c r="O280" s="167">
        <f t="shared" si="14"/>
        <v>3562.8040720156155</v>
      </c>
      <c r="P280" s="170">
        <f t="shared" si="17"/>
        <v>7.5134643009924789</v>
      </c>
    </row>
    <row r="281" spans="1:16" x14ac:dyDescent="0.2">
      <c r="A281" s="155">
        <v>48639</v>
      </c>
      <c r="B281" s="167">
        <f>$L281*('RD Feedstock Use'!B281/'RD Feedstock Use'!$L281)</f>
        <v>378.14135460613056</v>
      </c>
      <c r="C281" s="167">
        <f>$L281*('RD Feedstock Use'!C281/'RD Feedstock Use'!$L281)</f>
        <v>118.36970513779508</v>
      </c>
      <c r="D281" s="167">
        <f>$L281*('RD Feedstock Use'!D281/'RD Feedstock Use'!$L281)*0.25</f>
        <v>42.880021195207512</v>
      </c>
      <c r="E281" s="167">
        <f>$L281*('RD Feedstock Use'!E281/'RD Feedstock Use'!$L281)</f>
        <v>1.7176463041054031</v>
      </c>
      <c r="F281" s="167">
        <f>$L281*('RD Feedstock Use'!F281/'RD Feedstock Use'!$L281)</f>
        <v>36.573128121753861</v>
      </c>
      <c r="G281" s="167">
        <f>$L281*('RD Feedstock Use'!G281/'RD Feedstock Use'!$L281)</f>
        <v>248.36850449286615</v>
      </c>
      <c r="H281" s="167">
        <f>$L281*('RD Feedstock Use'!H281/'RD Feedstock Use'!$L281)</f>
        <v>80.992424867568474</v>
      </c>
      <c r="I281" s="167">
        <f>$L281*('RD Feedstock Use'!I281/'RD Feedstock Use'!$L281)</f>
        <v>523.18911013862862</v>
      </c>
      <c r="J281" s="167">
        <f t="shared" si="18"/>
        <v>496.51105974392567</v>
      </c>
      <c r="K281" s="167">
        <f>$L281*('RD Feedstock Use'!K281/'RD Feedstock Use'!$L281)</f>
        <v>890.8408139249226</v>
      </c>
      <c r="L281" s="167">
        <f t="shared" si="15"/>
        <v>1387.3518736688482</v>
      </c>
      <c r="M281" s="168">
        <f>[5]SAF!$Y21/1000000</f>
        <v>191.40306862090603</v>
      </c>
      <c r="N281" s="169">
        <f t="shared" si="16"/>
        <v>7.2483261823594107</v>
      </c>
      <c r="O281" s="167">
        <f t="shared" si="14"/>
        <v>1430.2318948640559</v>
      </c>
      <c r="P281" s="170">
        <f t="shared" si="17"/>
        <v>7.4723561391629572</v>
      </c>
    </row>
    <row r="282" spans="1:16" x14ac:dyDescent="0.2">
      <c r="A282" s="155">
        <v>48670</v>
      </c>
      <c r="B282" s="167">
        <f>$L282*('RD Feedstock Use'!B282/'RD Feedstock Use'!$L282)</f>
        <v>576.2769117709106</v>
      </c>
      <c r="C282" s="167">
        <f>$L282*('RD Feedstock Use'!C282/'RD Feedstock Use'!$L282)</f>
        <v>158.67764056907049</v>
      </c>
      <c r="D282" s="167">
        <f>$L282*('RD Feedstock Use'!D282/'RD Feedstock Use'!$L282)*0.25</f>
        <v>63.150976984307604</v>
      </c>
      <c r="E282" s="167">
        <f>$L282*('RD Feedstock Use'!E282/'RD Feedstock Use'!$L282)</f>
        <v>2.7062171444414522</v>
      </c>
      <c r="F282" s="167">
        <f>$L282*('RD Feedstock Use'!F282/'RD Feedstock Use'!$L282)</f>
        <v>66.74992055951958</v>
      </c>
      <c r="G282" s="167">
        <f>$L282*('RD Feedstock Use'!G282/'RD Feedstock Use'!$L282)</f>
        <v>226.45366412679533</v>
      </c>
      <c r="H282" s="167">
        <f>$L282*('RD Feedstock Use'!H282/'RD Feedstock Use'!$L282)</f>
        <v>171.92719799594559</v>
      </c>
      <c r="I282" s="167">
        <f>$L282*('RD Feedstock Use'!I282/'RD Feedstock Use'!$L282)</f>
        <v>1062.4378214310448</v>
      </c>
      <c r="J282" s="167">
        <f t="shared" si="18"/>
        <v>734.95455233998109</v>
      </c>
      <c r="K282" s="167">
        <f>$L282*('RD Feedstock Use'!K282/'RD Feedstock Use'!$L282)</f>
        <v>1530.2748212577465</v>
      </c>
      <c r="L282" s="167">
        <f t="shared" si="15"/>
        <v>2265.2293735977278</v>
      </c>
      <c r="M282" s="168">
        <f>[5]SAF!$Y22/1000000</f>
        <v>305.9344445542323</v>
      </c>
      <c r="N282" s="169">
        <f t="shared" si="16"/>
        <v>7.4042966194876296</v>
      </c>
      <c r="O282" s="167">
        <f t="shared" si="14"/>
        <v>2328.3803505820351</v>
      </c>
      <c r="P282" s="170">
        <f t="shared" si="17"/>
        <v>7.6107165833342068</v>
      </c>
    </row>
    <row r="283" spans="1:16" x14ac:dyDescent="0.2">
      <c r="A283" s="155">
        <v>48700</v>
      </c>
      <c r="B283" s="167">
        <f>$L283*('RD Feedstock Use'!B283/'RD Feedstock Use'!$L283)</f>
        <v>729.38352646998328</v>
      </c>
      <c r="C283" s="167">
        <f>$L283*('RD Feedstock Use'!C283/'RD Feedstock Use'!$L283)</f>
        <v>281.05698918198135</v>
      </c>
      <c r="D283" s="167">
        <f>$L283*('RD Feedstock Use'!D283/'RD Feedstock Use'!$L283)*0.25</f>
        <v>70.254455787632949</v>
      </c>
      <c r="E283" s="167">
        <f>$L283*('RD Feedstock Use'!E283/'RD Feedstock Use'!$L283)</f>
        <v>3.5241292798213397</v>
      </c>
      <c r="F283" s="167">
        <f>$L283*('RD Feedstock Use'!F283/'RD Feedstock Use'!$L283)</f>
        <v>76.063258903552111</v>
      </c>
      <c r="G283" s="167">
        <f>$L283*('RD Feedstock Use'!G283/'RD Feedstock Use'!$L283)</f>
        <v>332.31613045777777</v>
      </c>
      <c r="H283" s="167">
        <f>$L283*('RD Feedstock Use'!H283/'RD Feedstock Use'!$L283)</f>
        <v>189.46721581557733</v>
      </c>
      <c r="I283" s="167">
        <f>$L283*('RD Feedstock Use'!I283/'RD Feedstock Use'!$L283)</f>
        <v>1397.4313097550585</v>
      </c>
      <c r="J283" s="167">
        <f t="shared" si="18"/>
        <v>1010.4405156519647</v>
      </c>
      <c r="K283" s="167">
        <f>$L283*('RD Feedstock Use'!K283/'RD Feedstock Use'!$L283)</f>
        <v>1998.8020442117872</v>
      </c>
      <c r="L283" s="167">
        <f t="shared" si="15"/>
        <v>3009.2425598637519</v>
      </c>
      <c r="M283" s="168">
        <f>[5]SAF!$Y23/1000000</f>
        <v>403.22973463312559</v>
      </c>
      <c r="N283" s="169">
        <f t="shared" si="16"/>
        <v>7.4628488462084279</v>
      </c>
      <c r="O283" s="167">
        <f t="shared" si="14"/>
        <v>3079.497015651385</v>
      </c>
      <c r="P283" s="170">
        <f t="shared" si="17"/>
        <v>7.6370781992385401</v>
      </c>
    </row>
    <row r="284" spans="1:16" x14ac:dyDescent="0.2">
      <c r="A284" s="155">
        <v>48731</v>
      </c>
      <c r="B284" s="167">
        <f>$L284*('RD Feedstock Use'!B284/'RD Feedstock Use'!$L284)</f>
        <v>727.19439146986963</v>
      </c>
      <c r="C284" s="167">
        <f>$L284*('RD Feedstock Use'!C284/'RD Feedstock Use'!$L284)</f>
        <v>224.41140068923133</v>
      </c>
      <c r="D284" s="167">
        <f>$L284*('RD Feedstock Use'!D284/'RD Feedstock Use'!$L284)*0.25</f>
        <v>70.717414184124621</v>
      </c>
      <c r="E284" s="167">
        <f>$L284*('RD Feedstock Use'!E284/'RD Feedstock Use'!$L284)</f>
        <v>3.0636013281891761</v>
      </c>
      <c r="F284" s="167">
        <f>$L284*('RD Feedstock Use'!F284/'RD Feedstock Use'!$L284)</f>
        <v>83.519220727373551</v>
      </c>
      <c r="G284" s="167">
        <f>$L284*('RD Feedstock Use'!G284/'RD Feedstock Use'!$L284)</f>
        <v>338.59171139221286</v>
      </c>
      <c r="H284" s="167">
        <f>$L284*('RD Feedstock Use'!H284/'RD Feedstock Use'!$L284)</f>
        <v>203.49447512477067</v>
      </c>
      <c r="I284" s="167">
        <f>$L284*('RD Feedstock Use'!I284/'RD Feedstock Use'!$L284)</f>
        <v>1238.7421057960985</v>
      </c>
      <c r="J284" s="167">
        <f t="shared" si="18"/>
        <v>951.60579215910093</v>
      </c>
      <c r="K284" s="167">
        <f>$L284*('RD Feedstock Use'!K284/'RD Feedstock Use'!$L284)</f>
        <v>1867.4111143686446</v>
      </c>
      <c r="L284" s="167">
        <f t="shared" si="15"/>
        <v>2819.016906527746</v>
      </c>
      <c r="M284" s="168">
        <f>[5]SAF!$Y24/1000000</f>
        <v>383.32196571480091</v>
      </c>
      <c r="N284" s="169">
        <f t="shared" si="16"/>
        <v>7.3541752330080401</v>
      </c>
      <c r="O284" s="167">
        <f t="shared" si="14"/>
        <v>2889.7343207118702</v>
      </c>
      <c r="P284" s="170">
        <f t="shared" si="17"/>
        <v>7.5386609147827688</v>
      </c>
    </row>
    <row r="285" spans="1:16" x14ac:dyDescent="0.2">
      <c r="A285" s="155">
        <v>48761</v>
      </c>
      <c r="B285" s="167">
        <f>$L285*('RD Feedstock Use'!B285/'RD Feedstock Use'!$L285)</f>
        <v>967.81584600722613</v>
      </c>
      <c r="C285" s="167">
        <f>$L285*('RD Feedstock Use'!C285/'RD Feedstock Use'!$L285)</f>
        <v>353.89761072453564</v>
      </c>
      <c r="D285" s="167">
        <f>$L285*('RD Feedstock Use'!D285/'RD Feedstock Use'!$L285)*0.25</f>
        <v>85.834832466674499</v>
      </c>
      <c r="E285" s="167">
        <f>$L285*('RD Feedstock Use'!E285/'RD Feedstock Use'!$L285)</f>
        <v>3.3312076040107708</v>
      </c>
      <c r="F285" s="167">
        <f>$L285*('RD Feedstock Use'!F285/'RD Feedstock Use'!$L285)</f>
        <v>95.543687913703991</v>
      </c>
      <c r="G285" s="167">
        <f>$L285*('RD Feedstock Use'!G285/'RD Feedstock Use'!$L285)</f>
        <v>422.27641873235143</v>
      </c>
      <c r="H285" s="167">
        <f>$L285*('RD Feedstock Use'!H285/'RD Feedstock Use'!$L285)</f>
        <v>226.72752280108705</v>
      </c>
      <c r="I285" s="167">
        <f>$L285*('RD Feedstock Use'!I285/'RD Feedstock Use'!$L285)</f>
        <v>1045.4528978836213</v>
      </c>
      <c r="J285" s="167">
        <f t="shared" si="18"/>
        <v>1321.7134567317617</v>
      </c>
      <c r="K285" s="167">
        <f>$L285*('RD Feedstock Use'!K285/'RD Feedstock Use'!$L285)</f>
        <v>1793.3317349347747</v>
      </c>
      <c r="L285" s="167">
        <f t="shared" si="15"/>
        <v>3115.0451916665365</v>
      </c>
      <c r="M285" s="168">
        <f>[5]SAF!$Y25/1000000</f>
        <v>418.09954324597805</v>
      </c>
      <c r="N285" s="169">
        <f t="shared" si="16"/>
        <v>7.4504869521799026</v>
      </c>
      <c r="O285" s="167">
        <f t="shared" si="14"/>
        <v>3200.8800241332106</v>
      </c>
      <c r="P285" s="170">
        <f t="shared" si="17"/>
        <v>7.6557845514077867</v>
      </c>
    </row>
    <row r="286" spans="1:16" x14ac:dyDescent="0.2">
      <c r="A286" s="155">
        <v>48792</v>
      </c>
      <c r="B286" s="167">
        <f>$L286*('RD Feedstock Use'!B286/'RD Feedstock Use'!$L286)</f>
        <v>1059.0987248523277</v>
      </c>
      <c r="C286" s="167">
        <f>$L286*('RD Feedstock Use'!C286/'RD Feedstock Use'!$L286)</f>
        <v>290.85991593282034</v>
      </c>
      <c r="D286" s="167">
        <f>$L286*('RD Feedstock Use'!D286/'RD Feedstock Use'!$L286)*0.25</f>
        <v>87.388089691653605</v>
      </c>
      <c r="E286" s="167">
        <f>$L286*('RD Feedstock Use'!E286/'RD Feedstock Use'!$L286)</f>
        <v>3.5597603057010163</v>
      </c>
      <c r="F286" s="167">
        <f>$L286*('RD Feedstock Use'!F286/'RD Feedstock Use'!$L286)</f>
        <v>77.089515283937487</v>
      </c>
      <c r="G286" s="167">
        <f>$L286*('RD Feedstock Use'!G286/'RD Feedstock Use'!$L286)</f>
        <v>469.07756021603234</v>
      </c>
      <c r="H286" s="167">
        <f>$L286*('RD Feedstock Use'!H286/'RD Feedstock Use'!$L286)</f>
        <v>256.15002645433464</v>
      </c>
      <c r="I286" s="167">
        <f>$L286*('RD Feedstock Use'!I286/'RD Feedstock Use'!$L286)</f>
        <v>1203.1778971987314</v>
      </c>
      <c r="J286" s="167">
        <f t="shared" si="18"/>
        <v>1349.958640785148</v>
      </c>
      <c r="K286" s="167">
        <f>$L286*('RD Feedstock Use'!K286/'RD Feedstock Use'!$L286)</f>
        <v>2009.054759458737</v>
      </c>
      <c r="L286" s="167">
        <f t="shared" si="15"/>
        <v>3359.0134002438849</v>
      </c>
      <c r="M286" s="168">
        <f>[5]SAF!$Y26/1000000</f>
        <v>454.5456403650158</v>
      </c>
      <c r="N286" s="169">
        <f t="shared" si="16"/>
        <v>7.3898264595530634</v>
      </c>
      <c r="O286" s="167">
        <f t="shared" si="14"/>
        <v>3446.4014899355384</v>
      </c>
      <c r="P286" s="170">
        <f t="shared" si="17"/>
        <v>7.5820801782807976</v>
      </c>
    </row>
    <row r="287" spans="1:16" x14ac:dyDescent="0.2">
      <c r="A287" s="155">
        <v>48823</v>
      </c>
      <c r="B287" s="167">
        <f>$L287*('RD Feedstock Use'!B287/'RD Feedstock Use'!$L287)</f>
        <v>1289.3220468007871</v>
      </c>
      <c r="C287" s="167">
        <f>$L287*('RD Feedstock Use'!C287/'RD Feedstock Use'!$L287)</f>
        <v>275.56234859715329</v>
      </c>
      <c r="D287" s="167">
        <f>$L287*('RD Feedstock Use'!D287/'RD Feedstock Use'!$L287)*0.25</f>
        <v>121.24313990865187</v>
      </c>
      <c r="E287" s="167">
        <f>$L287*('RD Feedstock Use'!E287/'RD Feedstock Use'!$L287)</f>
        <v>5.2593864185669572</v>
      </c>
      <c r="F287" s="167">
        <f>$L287*('RD Feedstock Use'!F287/'RD Feedstock Use'!$L287)</f>
        <v>109.57135342344365</v>
      </c>
      <c r="G287" s="167">
        <f>$L287*('RD Feedstock Use'!G287/'RD Feedstock Use'!$L287)</f>
        <v>572.49823932758102</v>
      </c>
      <c r="H287" s="167">
        <f>$L287*('RD Feedstock Use'!H287/'RD Feedstock Use'!$L287)</f>
        <v>271.79326873366296</v>
      </c>
      <c r="I287" s="167">
        <f>$L287*('RD Feedstock Use'!I287/'RD Feedstock Use'!$L287)</f>
        <v>1647.9743605367496</v>
      </c>
      <c r="J287" s="167">
        <f t="shared" si="18"/>
        <v>1564.8843953979404</v>
      </c>
      <c r="K287" s="167">
        <f>$L287*('RD Feedstock Use'!K287/'RD Feedstock Use'!$L287)</f>
        <v>2607.0966084400043</v>
      </c>
      <c r="L287" s="167">
        <f t="shared" si="15"/>
        <v>4171.9810038379446</v>
      </c>
      <c r="M287" s="168">
        <f>[5]SAF!$Y27/1000000</f>
        <v>553.21630927787578</v>
      </c>
      <c r="N287" s="169">
        <f t="shared" si="16"/>
        <v>7.5413196138120258</v>
      </c>
      <c r="O287" s="167">
        <f t="shared" si="14"/>
        <v>4293.2241437465964</v>
      </c>
      <c r="P287" s="170">
        <f t="shared" si="17"/>
        <v>7.7604800721631415</v>
      </c>
    </row>
    <row r="288" spans="1:16" x14ac:dyDescent="0.2">
      <c r="A288" s="155">
        <v>48853</v>
      </c>
      <c r="B288" s="167">
        <f>$L288*('RD Feedstock Use'!B288/'RD Feedstock Use'!$L288)</f>
        <v>1160.09623729138</v>
      </c>
      <c r="C288" s="167">
        <f>$L288*('RD Feedstock Use'!C288/'RD Feedstock Use'!$L288)</f>
        <v>357.69635479543746</v>
      </c>
      <c r="D288" s="167">
        <f>$L288*('RD Feedstock Use'!D288/'RD Feedstock Use'!$L288)*0.25</f>
        <v>131.94350862446342</v>
      </c>
      <c r="E288" s="167">
        <f>$L288*('RD Feedstock Use'!E288/'RD Feedstock Use'!$L288)</f>
        <v>6.0284094640677992</v>
      </c>
      <c r="F288" s="167">
        <f>$L288*('RD Feedstock Use'!F288/'RD Feedstock Use'!$L288)</f>
        <v>95.372156612763632</v>
      </c>
      <c r="G288" s="167">
        <f>$L288*('RD Feedstock Use'!G288/'RD Feedstock Use'!$L288)</f>
        <v>597.52236861519702</v>
      </c>
      <c r="H288" s="167">
        <f>$L288*('RD Feedstock Use'!H288/'RD Feedstock Use'!$L288)</f>
        <v>280.81243427958299</v>
      </c>
      <c r="I288" s="167">
        <f>$L288*('RD Feedstock Use'!I288/'RD Feedstock Use'!$L288)</f>
        <v>1526.6043624420352</v>
      </c>
      <c r="J288" s="167">
        <f t="shared" si="18"/>
        <v>1517.7925920868174</v>
      </c>
      <c r="K288" s="167">
        <f>$L288*('RD Feedstock Use'!K288/'RD Feedstock Use'!$L288)</f>
        <v>2506.3397314136464</v>
      </c>
      <c r="L288" s="167">
        <f t="shared" si="15"/>
        <v>4024.1323235004638</v>
      </c>
      <c r="M288" s="168">
        <f>[5]SAF!$Y28/1000000</f>
        <v>538.79188246172919</v>
      </c>
      <c r="N288" s="169">
        <f t="shared" si="16"/>
        <v>7.4688065178604486</v>
      </c>
      <c r="O288" s="167">
        <f t="shared" si="14"/>
        <v>4156.0758321249268</v>
      </c>
      <c r="P288" s="170">
        <f t="shared" si="17"/>
        <v>7.7136942248199816</v>
      </c>
    </row>
    <row r="289" spans="1:16" x14ac:dyDescent="0.2">
      <c r="A289" s="155">
        <v>48884</v>
      </c>
      <c r="B289" s="167">
        <f>$L289*('RD Feedstock Use'!B289/'RD Feedstock Use'!$L289)</f>
        <v>1152.2877809561141</v>
      </c>
      <c r="C289" s="167">
        <f>$L289*('RD Feedstock Use'!C289/'RD Feedstock Use'!$L289)</f>
        <v>329.55477599129074</v>
      </c>
      <c r="D289" s="167">
        <f>$L289*('RD Feedstock Use'!D289/'RD Feedstock Use'!$L289)*0.25</f>
        <v>105.43700162691538</v>
      </c>
      <c r="E289" s="167">
        <f>$L289*('RD Feedstock Use'!E289/'RD Feedstock Use'!$L289)</f>
        <v>4.7693515606245596</v>
      </c>
      <c r="F289" s="167">
        <f>$L289*('RD Feedstock Use'!F289/'RD Feedstock Use'!$L289)</f>
        <v>31.336651061022263</v>
      </c>
      <c r="G289" s="167">
        <f>$L289*('RD Feedstock Use'!G289/'RD Feedstock Use'!$L289)</f>
        <v>559.62950046372032</v>
      </c>
      <c r="H289" s="167">
        <f>$L289*('RD Feedstock Use'!H289/'RD Feedstock Use'!$L289)</f>
        <v>198.90843098791379</v>
      </c>
      <c r="I289" s="167">
        <f>$L289*('RD Feedstock Use'!I289/'RD Feedstock Use'!$L289)</f>
        <v>1123.4106152654876</v>
      </c>
      <c r="J289" s="167">
        <f t="shared" si="18"/>
        <v>1481.8425569474048</v>
      </c>
      <c r="K289" s="167">
        <f>$L289*('RD Feedstock Use'!K289/'RD Feedstock Use'!$L289)</f>
        <v>1918.0545493387685</v>
      </c>
      <c r="L289" s="167">
        <f t="shared" si="15"/>
        <v>3399.8971062861733</v>
      </c>
      <c r="M289" s="168">
        <f>[5]SAF!$Y29/1000000</f>
        <v>465.40444919100986</v>
      </c>
      <c r="N289" s="169">
        <f t="shared" si="16"/>
        <v>7.3052526940729736</v>
      </c>
      <c r="O289" s="167">
        <f t="shared" si="14"/>
        <v>3505.3341079130887</v>
      </c>
      <c r="P289" s="170">
        <f t="shared" si="17"/>
        <v>7.5318018854487576</v>
      </c>
    </row>
    <row r="290" spans="1:16" x14ac:dyDescent="0.2">
      <c r="A290" s="155">
        <v>48914</v>
      </c>
      <c r="B290" s="167">
        <f>$L290*('RD Feedstock Use'!B290/'RD Feedstock Use'!$L290)</f>
        <v>1054.8838204077817</v>
      </c>
      <c r="C290" s="167">
        <f>$L290*('RD Feedstock Use'!C290/'RD Feedstock Use'!$L290)</f>
        <v>333.501815592399</v>
      </c>
      <c r="D290" s="167">
        <f>$L290*('RD Feedstock Use'!D290/'RD Feedstock Use'!$L290)*0.25</f>
        <v>88.628696520099922</v>
      </c>
      <c r="E290" s="167">
        <f>$L290*('RD Feedstock Use'!E290/'RD Feedstock Use'!$L290)</f>
        <v>4.1231032710612237</v>
      </c>
      <c r="F290" s="167">
        <f>$L290*('RD Feedstock Use'!F290/'RD Feedstock Use'!$L290)</f>
        <v>24.273561753034969</v>
      </c>
      <c r="G290" s="167">
        <f>$L290*('RD Feedstock Use'!G290/'RD Feedstock Use'!$L290)</f>
        <v>511.10822265152245</v>
      </c>
      <c r="H290" s="167">
        <f>$L290*('RD Feedstock Use'!H290/'RD Feedstock Use'!$L290)</f>
        <v>150.06091111682892</v>
      </c>
      <c r="I290" s="167">
        <f>$L290*('RD Feedstock Use'!I290/'RD Feedstock Use'!$L290)</f>
        <v>1017.1515950462127</v>
      </c>
      <c r="J290" s="167">
        <f t="shared" si="18"/>
        <v>1388.3856360001807</v>
      </c>
      <c r="K290" s="167">
        <f>$L290*('RD Feedstock Use'!K290/'RD Feedstock Use'!$L290)</f>
        <v>1706.7173938386602</v>
      </c>
      <c r="L290" s="167">
        <f t="shared" si="15"/>
        <v>3095.1030298388409</v>
      </c>
      <c r="M290" s="168">
        <f>[5]SAF!$Y30/1000000</f>
        <v>418.23828208050861</v>
      </c>
      <c r="N290" s="169">
        <f t="shared" si="16"/>
        <v>7.400334121597818</v>
      </c>
      <c r="O290" s="167">
        <f t="shared" si="14"/>
        <v>3183.7317263589407</v>
      </c>
      <c r="P290" s="170">
        <f t="shared" si="17"/>
        <v>7.6122436963962317</v>
      </c>
    </row>
    <row r="291" spans="1:16" x14ac:dyDescent="0.2">
      <c r="A291" s="155">
        <v>48945</v>
      </c>
      <c r="B291" s="167">
        <f>$L291*('RD Feedstock Use'!B291/'RD Feedstock Use'!$L291)</f>
        <v>867.1123643903461</v>
      </c>
      <c r="C291" s="167">
        <f>$L291*('RD Feedstock Use'!C291/'RD Feedstock Use'!$L291)</f>
        <v>210.94023092424931</v>
      </c>
      <c r="D291" s="167">
        <f>$L291*('RD Feedstock Use'!D291/'RD Feedstock Use'!$L291)*0.25</f>
        <v>89.973952482527878</v>
      </c>
      <c r="E291" s="167">
        <f>$L291*('RD Feedstock Use'!E291/'RD Feedstock Use'!$L291)</f>
        <v>2.8019244705657127</v>
      </c>
      <c r="F291" s="167">
        <f>$L291*('RD Feedstock Use'!F291/'RD Feedstock Use'!$L291)</f>
        <v>45.043289741192936</v>
      </c>
      <c r="G291" s="167">
        <f>$L291*('RD Feedstock Use'!G291/'RD Feedstock Use'!$L291)</f>
        <v>433.96177156560447</v>
      </c>
      <c r="H291" s="167">
        <f>$L291*('RD Feedstock Use'!H291/'RD Feedstock Use'!$L291)</f>
        <v>121.51023529069845</v>
      </c>
      <c r="I291" s="167">
        <f>$L291*('RD Feedstock Use'!I291/'RD Feedstock Use'!$L291)</f>
        <v>398.90370277208598</v>
      </c>
      <c r="J291" s="167">
        <f t="shared" si="18"/>
        <v>1078.0525953145955</v>
      </c>
      <c r="K291" s="167">
        <f>$L291*('RD Feedstock Use'!K291/'RD Feedstock Use'!$L291)</f>
        <v>1002.2209238401476</v>
      </c>
      <c r="L291" s="167">
        <f t="shared" si="15"/>
        <v>2080.2735191547431</v>
      </c>
      <c r="M291" s="168">
        <f>[5]SAF!$Z19/1000000</f>
        <v>275.46217670737104</v>
      </c>
      <c r="N291" s="169">
        <f t="shared" si="16"/>
        <v>7.5519388687785582</v>
      </c>
      <c r="O291" s="167">
        <f t="shared" si="14"/>
        <v>2170.2474716372708</v>
      </c>
      <c r="P291" s="170">
        <f t="shared" si="17"/>
        <v>7.87856793109846</v>
      </c>
    </row>
    <row r="292" spans="1:16" x14ac:dyDescent="0.2">
      <c r="A292" s="155">
        <v>48976</v>
      </c>
      <c r="B292" s="167">
        <f>$L292*('RD Feedstock Use'!B292/'RD Feedstock Use'!$L292)</f>
        <v>1035.2564497742158</v>
      </c>
      <c r="C292" s="167">
        <f>$L292*('RD Feedstock Use'!C292/'RD Feedstock Use'!$L292)</f>
        <v>303.7325176426657</v>
      </c>
      <c r="D292" s="167">
        <f>$L292*('RD Feedstock Use'!D292/'RD Feedstock Use'!$L292)*0.25-15</f>
        <v>119.48859205593823</v>
      </c>
      <c r="E292" s="167">
        <f>$L292*('RD Feedstock Use'!E292/'RD Feedstock Use'!$L292)</f>
        <v>4.8263873722134614</v>
      </c>
      <c r="F292" s="167">
        <f>$L292*('RD Feedstock Use'!F292/'RD Feedstock Use'!$L292)</f>
        <v>70.53247660253777</v>
      </c>
      <c r="G292" s="167">
        <f>$L292*('RD Feedstock Use'!G292/'RD Feedstock Use'!$L292)</f>
        <v>800.91951897749163</v>
      </c>
      <c r="H292" s="167">
        <f>$L292*('RD Feedstock Use'!H292/'RD Feedstock Use'!$L292)</f>
        <v>141.02311217421348</v>
      </c>
      <c r="I292" s="167">
        <f>$L292*('RD Feedstock Use'!I292/'RD Feedstock Use'!$L292)</f>
        <v>1386.8411873219054</v>
      </c>
      <c r="J292" s="167">
        <f t="shared" si="18"/>
        <v>1338.9889674168815</v>
      </c>
      <c r="K292" s="167">
        <f>$L292*('RD Feedstock Use'!K292/'RD Feedstock Use'!$L292)</f>
        <v>2404.1426824483619</v>
      </c>
      <c r="L292" s="167">
        <f t="shared" si="15"/>
        <v>3743.1316498652432</v>
      </c>
      <c r="M292" s="168">
        <f>[5]SAF!$Z20/1000000</f>
        <v>515.06700381089399</v>
      </c>
      <c r="N292" s="169">
        <f t="shared" si="16"/>
        <v>7.2672712912503474</v>
      </c>
      <c r="O292" s="167">
        <f t="shared" si="14"/>
        <v>3862.6202419211813</v>
      </c>
      <c r="P292" s="170">
        <f t="shared" si="17"/>
        <v>7.4992577923693515</v>
      </c>
    </row>
    <row r="293" spans="1:16" x14ac:dyDescent="0.2">
      <c r="A293" s="155">
        <v>49004</v>
      </c>
      <c r="B293" s="167">
        <f>$L293*('RD Feedstock Use'!B293/'RD Feedstock Use'!$L293)</f>
        <v>452.10647189881416</v>
      </c>
      <c r="C293" s="167">
        <f>$L293*('RD Feedstock Use'!C293/'RD Feedstock Use'!$L293)</f>
        <v>129.33236022176294</v>
      </c>
      <c r="D293" s="167">
        <f>$L293*('RD Feedstock Use'!D293/'RD Feedstock Use'!$L293)*0.25-15</f>
        <v>34.289405171136949</v>
      </c>
      <c r="E293" s="167">
        <f>$L293*('RD Feedstock Use'!E293/'RD Feedstock Use'!$L293)</f>
        <v>1.8776031517059431</v>
      </c>
      <c r="F293" s="167">
        <f>$L293*('RD Feedstock Use'!F293/'RD Feedstock Use'!$L293)</f>
        <v>39.859297751283904</v>
      </c>
      <c r="G293" s="167">
        <f>$L293*('RD Feedstock Use'!G293/'RD Feedstock Use'!$L293)</f>
        <v>269.37712202186623</v>
      </c>
      <c r="H293" s="167">
        <f>$L293*('RD Feedstock Use'!H293/'RD Feedstock Use'!$L293)</f>
        <v>89.238483649169083</v>
      </c>
      <c r="I293" s="167">
        <f>$L293*('RD Feedstock Use'!I293/'RD Feedstock Use'!$L293)</f>
        <v>527.36293634028516</v>
      </c>
      <c r="J293" s="167">
        <f t="shared" si="18"/>
        <v>581.4388321205771</v>
      </c>
      <c r="K293" s="167">
        <f>$L293*('RD Feedstock Use'!K293/'RD Feedstock Use'!$L293)</f>
        <v>927.71544291431019</v>
      </c>
      <c r="L293" s="167">
        <f t="shared" si="15"/>
        <v>1509.1542750348874</v>
      </c>
      <c r="M293" s="168">
        <f>[5]SAF!$Z21/1000000</f>
        <v>208.18923401892437</v>
      </c>
      <c r="N293" s="169">
        <f t="shared" si="16"/>
        <v>7.248954453128472</v>
      </c>
      <c r="O293" s="167">
        <f t="shared" si="14"/>
        <v>1543.4436802060241</v>
      </c>
      <c r="P293" s="170">
        <f t="shared" si="17"/>
        <v>7.4136575192246745</v>
      </c>
    </row>
    <row r="294" spans="1:16" x14ac:dyDescent="0.2">
      <c r="A294" s="155">
        <v>49035</v>
      </c>
      <c r="B294" s="167">
        <f>$L294*('RD Feedstock Use'!B294/'RD Feedstock Use'!$L294)</f>
        <v>696.88084725969316</v>
      </c>
      <c r="C294" s="167">
        <f>$L294*('RD Feedstock Use'!C294/'RD Feedstock Use'!$L294)</f>
        <v>172.58431368761521</v>
      </c>
      <c r="D294" s="167">
        <f>$L294*('RD Feedstock Use'!D294/'RD Feedstock Use'!$L294)*0.25-15</f>
        <v>57.932504661127965</v>
      </c>
      <c r="E294" s="167">
        <f>$L294*('RD Feedstock Use'!E294/'RD Feedstock Use'!$L294)</f>
        <v>2.9556072956071491</v>
      </c>
      <c r="F294" s="167">
        <f>$L294*('RD Feedstock Use'!F294/'RD Feedstock Use'!$L294)</f>
        <v>71.884541100436479</v>
      </c>
      <c r="G294" s="167">
        <f>$L294*('RD Feedstock Use'!G294/'RD Feedstock Use'!$L294)</f>
        <v>247.47598365588988</v>
      </c>
      <c r="H294" s="167">
        <f>$L294*('RD Feedstock Use'!H294/'RD Feedstock Use'!$L294)</f>
        <v>186.58986318308646</v>
      </c>
      <c r="I294" s="167">
        <f>$L294*('RD Feedstock Use'!I294/'RD Feedstock Use'!$L294)</f>
        <v>1082.6950946130166</v>
      </c>
      <c r="J294" s="167">
        <f t="shared" si="18"/>
        <v>869.46516094730839</v>
      </c>
      <c r="K294" s="167">
        <f>$L294*('RD Feedstock Use'!K294/'RD Feedstock Use'!$L294)</f>
        <v>1591.6010898480365</v>
      </c>
      <c r="L294" s="167">
        <f t="shared" si="15"/>
        <v>2461.0662507953448</v>
      </c>
      <c r="M294" s="168">
        <f>[5]SAF!$Z22/1000000</f>
        <v>332.57938129099256</v>
      </c>
      <c r="N294" s="169">
        <f t="shared" si="16"/>
        <v>7.3999363437447085</v>
      </c>
      <c r="O294" s="167">
        <f t="shared" si="14"/>
        <v>2518.9987554564727</v>
      </c>
      <c r="P294" s="170">
        <f t="shared" si="17"/>
        <v>7.5741278538625281</v>
      </c>
    </row>
    <row r="295" spans="1:16" x14ac:dyDescent="0.2">
      <c r="A295" s="155">
        <v>49065</v>
      </c>
      <c r="B295" s="167">
        <f>$L295*('RD Feedstock Use'!B295/'RD Feedstock Use'!$L295)</f>
        <v>767.95699207342523</v>
      </c>
      <c r="C295" s="167">
        <f>$L295*('RD Feedstock Use'!C295/'RD Feedstock Use'!$L295)</f>
        <v>307.30294223649071</v>
      </c>
      <c r="D295" s="167">
        <f>$L295*('RD Feedstock Use'!D295/'RD Feedstock Use'!$L295)*0.25-15</f>
        <v>67.289391485027153</v>
      </c>
      <c r="E295" s="167">
        <f>$L295*('RD Feedstock Use'!E295/'RD Feedstock Use'!$L295)</f>
        <v>3.8531533701183975</v>
      </c>
      <c r="F295" s="167">
        <f>$L295*('RD Feedstock Use'!F295/'RD Feedstock Use'!$L295)</f>
        <v>82.344430686787476</v>
      </c>
      <c r="G295" s="167">
        <f>$L295*('RD Feedstock Use'!G295/'RD Feedstock Use'!$L295)</f>
        <v>363.2412708601982</v>
      </c>
      <c r="H295" s="167">
        <f>$L295*('RD Feedstock Use'!H295/'RD Feedstock Use'!$L295)</f>
        <v>205.916341454194</v>
      </c>
      <c r="I295" s="167">
        <f>$L295*('RD Feedstock Use'!I295/'RD Feedstock Use'!$L295)</f>
        <v>1541.8004468395598</v>
      </c>
      <c r="J295" s="167">
        <f t="shared" si="18"/>
        <v>1075.2599343099159</v>
      </c>
      <c r="K295" s="167">
        <f>$L295*('RD Feedstock Use'!K295/'RD Feedstock Use'!$L295)</f>
        <v>2197.1556432108582</v>
      </c>
      <c r="L295" s="167">
        <f t="shared" si="15"/>
        <v>3272.4155775207737</v>
      </c>
      <c r="M295" s="168">
        <f>[5]SAF!$Z23/1000000</f>
        <v>438.40305422398632</v>
      </c>
      <c r="N295" s="169">
        <f t="shared" si="16"/>
        <v>7.464399588440938</v>
      </c>
      <c r="O295" s="167">
        <f t="shared" si="14"/>
        <v>3339.7049690058011</v>
      </c>
      <c r="P295" s="170">
        <f t="shared" si="17"/>
        <v>7.6178870945992516</v>
      </c>
    </row>
    <row r="296" spans="1:16" x14ac:dyDescent="0.2">
      <c r="A296" s="155">
        <v>49096</v>
      </c>
      <c r="B296" s="167">
        <f>$L296*('RD Feedstock Use'!B296/'RD Feedstock Use'!$L296)</f>
        <v>767.38062887327249</v>
      </c>
      <c r="C296" s="167">
        <f>$L296*('RD Feedstock Use'!C296/'RD Feedstock Use'!$L296)</f>
        <v>244.46928537484669</v>
      </c>
      <c r="D296" s="167">
        <f>$L296*('RD Feedstock Use'!D296/'RD Feedstock Use'!$L296)*0.25-15</f>
        <v>66.70431708635266</v>
      </c>
      <c r="E296" s="167">
        <f>$L296*('RD Feedstock Use'!E296/'RD Feedstock Use'!$L296)</f>
        <v>3.3456070877168194</v>
      </c>
      <c r="F296" s="167">
        <f>$L296*('RD Feedstock Use'!F296/'RD Feedstock Use'!$L296)</f>
        <v>90.609940040411843</v>
      </c>
      <c r="G296" s="167">
        <f>$L296*('RD Feedstock Use'!G296/'RD Feedstock Use'!$L296)</f>
        <v>370.39808748695918</v>
      </c>
      <c r="H296" s="167">
        <f>$L296*('RD Feedstock Use'!H296/'RD Feedstock Use'!$L296)</f>
        <v>220.53196969423487</v>
      </c>
      <c r="I296" s="167">
        <f>$L296*('RD Feedstock Use'!I296/'RD Feedstock Use'!$L296)</f>
        <v>1366.5803285521984</v>
      </c>
      <c r="J296" s="167">
        <f t="shared" si="18"/>
        <v>1011.8499142481191</v>
      </c>
      <c r="K296" s="167">
        <f>$L296*('RD Feedstock Use'!K296/'RD Feedstock Use'!$L296)</f>
        <v>2051.4659328615212</v>
      </c>
      <c r="L296" s="167">
        <f t="shared" si="15"/>
        <v>3063.3158471096403</v>
      </c>
      <c r="M296" s="168">
        <f>[5]SAF!$Z24/1000000</f>
        <v>416.60088509563604</v>
      </c>
      <c r="N296" s="169">
        <f t="shared" si="16"/>
        <v>7.3531189123768117</v>
      </c>
      <c r="O296" s="167">
        <f t="shared" si="14"/>
        <v>3130.0201641959929</v>
      </c>
      <c r="P296" s="170">
        <f t="shared" si="17"/>
        <v>7.5132345517639907</v>
      </c>
    </row>
    <row r="297" spans="1:16" x14ac:dyDescent="0.2">
      <c r="A297" s="155">
        <v>49126</v>
      </c>
      <c r="B297" s="167">
        <f>$L297*('RD Feedstock Use'!B297/'RD Feedstock Use'!$L297)</f>
        <v>1015.2997736550956</v>
      </c>
      <c r="C297" s="167">
        <f>$L297*('RD Feedstock Use'!C297/'RD Feedstock Use'!$L297)</f>
        <v>387.49317925863477</v>
      </c>
      <c r="D297" s="167">
        <f>$L297*('RD Feedstock Use'!D297/'RD Feedstock Use'!$L297)*0.25-15</f>
        <v>83.683568897992387</v>
      </c>
      <c r="E297" s="167">
        <f>$L297*('RD Feedstock Use'!E297/'RD Feedstock Use'!$L297)</f>
        <v>3.6393099102957223</v>
      </c>
      <c r="F297" s="167">
        <f>$L297*('RD Feedstock Use'!F297/'RD Feedstock Use'!$L297)</f>
        <v>103.58047024939468</v>
      </c>
      <c r="G297" s="167">
        <f>$L297*('RD Feedstock Use'!G297/'RD Feedstock Use'!$L297)</f>
        <v>462.59247246732787</v>
      </c>
      <c r="H297" s="167">
        <f>$L297*('RD Feedstock Use'!H297/'RD Feedstock Use'!$L297)</f>
        <v>245.41001464321235</v>
      </c>
      <c r="I297" s="167">
        <f>$L297*('RD Feedstock Use'!I297/'RD Feedstock Use'!$L297)</f>
        <v>1169.1814858481412</v>
      </c>
      <c r="J297" s="167">
        <f t="shared" si="18"/>
        <v>1402.7929529137305</v>
      </c>
      <c r="K297" s="167">
        <f>$L297*('RD Feedstock Use'!K297/'RD Feedstock Use'!$L297)</f>
        <v>1984.4037531183717</v>
      </c>
      <c r="L297" s="167">
        <f t="shared" si="15"/>
        <v>3387.1967060321022</v>
      </c>
      <c r="M297" s="168">
        <f>[5]SAF!$Z25/1000000</f>
        <v>454.52892720170166</v>
      </c>
      <c r="N297" s="169">
        <f t="shared" si="16"/>
        <v>7.452103712926065</v>
      </c>
      <c r="O297" s="167">
        <f t="shared" si="14"/>
        <v>3470.8802749300944</v>
      </c>
      <c r="P297" s="170">
        <f t="shared" si="17"/>
        <v>7.636214258789864</v>
      </c>
    </row>
    <row r="298" spans="1:16" x14ac:dyDescent="0.2">
      <c r="A298" s="155">
        <v>49157</v>
      </c>
      <c r="B298" s="167">
        <f>$L298*('RD Feedstock Use'!B298/'RD Feedstock Use'!$L298)</f>
        <v>1111.7503472715011</v>
      </c>
      <c r="C298" s="167">
        <f>$L298*('RD Feedstock Use'!C298/'RD Feedstock Use'!$L298)</f>
        <v>317.88591054891572</v>
      </c>
      <c r="D298" s="167">
        <f>$L298*('RD Feedstock Use'!D298/'RD Feedstock Use'!$L298)*0.25</f>
        <v>100.30759876887622</v>
      </c>
      <c r="E298" s="167">
        <f>$L298*('RD Feedstock Use'!E298/'RD Feedstock Use'!$L298)</f>
        <v>3.8898752039548667</v>
      </c>
      <c r="F298" s="167">
        <f>$L298*('RD Feedstock Use'!F298/'RD Feedstock Use'!$L298)</f>
        <v>83.764843227657963</v>
      </c>
      <c r="G298" s="167">
        <f>$L298*('RD Feedstock Use'!G298/'RD Feedstock Use'!$L298)</f>
        <v>515.6590475944073</v>
      </c>
      <c r="H298" s="167">
        <f>$L298*('RD Feedstock Use'!H298/'RD Feedstock Use'!$L298)</f>
        <v>277.90661872876655</v>
      </c>
      <c r="I298" s="167">
        <f>$L298*('RD Feedstock Use'!I298/'RD Feedstock Use'!$L298)</f>
        <v>1340.7660690226771</v>
      </c>
      <c r="J298" s="167">
        <f t="shared" si="18"/>
        <v>1429.6362578204169</v>
      </c>
      <c r="K298" s="167">
        <f>$L298*('RD Feedstock Use'!K298/'RD Feedstock Use'!$L298)</f>
        <v>2221.9864537774638</v>
      </c>
      <c r="L298" s="167">
        <f t="shared" si="15"/>
        <v>3651.6227115978809</v>
      </c>
      <c r="M298" s="168">
        <f>[5]SAF!$Z26/1000000</f>
        <v>494.00457130375582</v>
      </c>
      <c r="N298" s="169">
        <f t="shared" si="16"/>
        <v>7.3918804070186512</v>
      </c>
      <c r="O298" s="167">
        <f t="shared" si="14"/>
        <v>3751.9303103667571</v>
      </c>
      <c r="P298" s="170">
        <f t="shared" si="17"/>
        <v>7.5949303474354952</v>
      </c>
    </row>
    <row r="299" spans="1:16" x14ac:dyDescent="0.2">
      <c r="A299" s="155">
        <v>49188</v>
      </c>
      <c r="B299" s="167">
        <f>$L299*('RD Feedstock Use'!B299/'RD Feedstock Use'!$L299)</f>
        <v>1351.8634837881898</v>
      </c>
      <c r="C299" s="167">
        <f>$L299*('RD Feedstock Use'!C299/'RD Feedstock Use'!$L299)</f>
        <v>299.59776933855056</v>
      </c>
      <c r="D299" s="167">
        <f>$L299*('RD Feedstock Use'!D299/'RD Feedstock Use'!$L299)*0.25</f>
        <v>138.24446932298841</v>
      </c>
      <c r="E299" s="167">
        <f>$L299*('RD Feedstock Use'!E299/'RD Feedstock Use'!$L299)</f>
        <v>5.6938651480942584</v>
      </c>
      <c r="F299" s="167">
        <f>$L299*('RD Feedstock Use'!F299/'RD Feedstock Use'!$L299)</f>
        <v>118.30853753735646</v>
      </c>
      <c r="G299" s="167">
        <f>$L299*('RD Feedstock Use'!G299/'RD Feedstock Use'!$L299)</f>
        <v>633.95572043428967</v>
      </c>
      <c r="H299" s="167">
        <f>$L299*('RD Feedstock Use'!H299/'RD Feedstock Use'!$L299)</f>
        <v>295.38678927555014</v>
      </c>
      <c r="I299" s="167">
        <f>$L299*('RD Feedstock Use'!I299/'RD Feedstock Use'!$L299)</f>
        <v>1829.5919873822145</v>
      </c>
      <c r="J299" s="167">
        <f t="shared" si="18"/>
        <v>1651.4612531267403</v>
      </c>
      <c r="K299" s="167">
        <f>$L299*('RD Feedstock Use'!K299/'RD Feedstock Use'!$L299)</f>
        <v>2882.936899777505</v>
      </c>
      <c r="L299" s="167">
        <f t="shared" si="15"/>
        <v>4534.3981529042458</v>
      </c>
      <c r="M299" s="168">
        <f>[5]SAF!$Z27/1000000</f>
        <v>601.29502064447888</v>
      </c>
      <c r="N299" s="169">
        <f t="shared" si="16"/>
        <v>7.5410538873982293</v>
      </c>
      <c r="O299" s="167">
        <f t="shared" si="14"/>
        <v>4672.642622227233</v>
      </c>
      <c r="P299" s="170">
        <f t="shared" si="17"/>
        <v>7.7709651033181846</v>
      </c>
    </row>
    <row r="300" spans="1:16" x14ac:dyDescent="0.2">
      <c r="A300" s="155">
        <v>49218</v>
      </c>
      <c r="B300" s="167">
        <f>$L300*('RD Feedstock Use'!B300/'RD Feedstock Use'!$L300)</f>
        <v>1257.1841427502545</v>
      </c>
      <c r="C300" s="167">
        <f>$L300*('RD Feedstock Use'!C300/'RD Feedstock Use'!$L300)</f>
        <v>391.13427744554627</v>
      </c>
      <c r="D300" s="167">
        <f>$L300*('RD Feedstock Use'!D300/'RD Feedstock Use'!$L300)*0.25-15</f>
        <v>132.24439414255124</v>
      </c>
      <c r="E300" s="167">
        <f>$L300*('RD Feedstock Use'!E300/'RD Feedstock Use'!$L300)</f>
        <v>6.5248159873027323</v>
      </c>
      <c r="F300" s="167">
        <f>$L300*('RD Feedstock Use'!F300/'RD Feedstock Use'!$L300)</f>
        <v>103.97881901687703</v>
      </c>
      <c r="G300" s="167">
        <f>$L300*('RD Feedstock Use'!G300/'RD Feedstock Use'!$L300)</f>
        <v>642.61530608777048</v>
      </c>
      <c r="H300" s="167">
        <f>$L300*('RD Feedstock Use'!H300/'RD Feedstock Use'!$L300)*0.95</f>
        <v>288.68557496806051</v>
      </c>
      <c r="I300" s="167">
        <f>$L300*('RD Feedstock Use'!I300/'RD Feedstock Use'!$L300)</f>
        <v>1670.1126070908676</v>
      </c>
      <c r="J300" s="167">
        <f t="shared" si="18"/>
        <v>1648.3184201958009</v>
      </c>
      <c r="K300" s="167">
        <f>$L300*('RD Feedstock Use'!K300/'RD Feedstock Use'!$L300)</f>
        <v>2727.1111007807763</v>
      </c>
      <c r="L300" s="167">
        <f t="shared" si="15"/>
        <v>4375.4295209765769</v>
      </c>
      <c r="M300" s="168">
        <f>[5]SAF!$Z28/1000000</f>
        <v>585.51880214841162</v>
      </c>
      <c r="N300" s="169">
        <f t="shared" si="16"/>
        <v>7.4727395686048963</v>
      </c>
      <c r="O300" s="167">
        <f t="shared" si="14"/>
        <v>4507.6739151191277</v>
      </c>
      <c r="P300" s="170">
        <f t="shared" si="17"/>
        <v>7.6985980613762877</v>
      </c>
    </row>
    <row r="301" spans="1:16" x14ac:dyDescent="0.2">
      <c r="A301" s="155">
        <v>49249</v>
      </c>
      <c r="B301" s="167">
        <f>$L301*('RD Feedstock Use'!B301/'RD Feedstock Use'!$L301)</f>
        <v>1255.0559344844364</v>
      </c>
      <c r="C301" s="167">
        <f>$L301*('RD Feedstock Use'!C301/'RD Feedstock Use'!$L301)</f>
        <v>360.50401466391151</v>
      </c>
      <c r="D301" s="167">
        <f>$L301*('RD Feedstock Use'!D301/'RD Feedstock Use'!$L301)*0.25-15</f>
        <v>100.82705690490458</v>
      </c>
      <c r="E301" s="167">
        <f>$L301*('RD Feedstock Use'!E301/'RD Feedstock Use'!$L301)</f>
        <v>5.1603417602208523</v>
      </c>
      <c r="F301" s="167">
        <f>$L301*('RD Feedstock Use'!F301/'RD Feedstock Use'!$L301)</f>
        <v>34.510481281963472</v>
      </c>
      <c r="G301" s="167">
        <f>$L301*('RD Feedstock Use'!G301/'RD Feedstock Use'!$L301)</f>
        <v>603.88982057713054</v>
      </c>
      <c r="H301" s="167">
        <f>$L301*('RD Feedstock Use'!H301/'RD Feedstock Use'!$L301)*0.95</f>
        <v>204.76535691810579</v>
      </c>
      <c r="I301" s="167">
        <f>$L301*('RD Feedstock Use'!I301/'RD Feedstock Use'!$L301)</f>
        <v>1220.9839384673328</v>
      </c>
      <c r="J301" s="167">
        <f t="shared" si="18"/>
        <v>1615.5599491483479</v>
      </c>
      <c r="K301" s="167">
        <f>$L301*('RD Feedstock Use'!K301/'RD Feedstock Use'!$L301)</f>
        <v>2080.0870630530749</v>
      </c>
      <c r="L301" s="167">
        <f t="shared" si="15"/>
        <v>3695.6470122014225</v>
      </c>
      <c r="M301" s="168">
        <f>[5]SAF!$Z29/1000000</f>
        <v>505.79269343018126</v>
      </c>
      <c r="N301" s="169">
        <f t="shared" si="16"/>
        <v>7.30664373013835</v>
      </c>
      <c r="O301" s="167">
        <f t="shared" si="14"/>
        <v>3796.4740691063271</v>
      </c>
      <c r="P301" s="170">
        <f t="shared" si="17"/>
        <v>7.505988359300777</v>
      </c>
    </row>
    <row r="302" spans="1:16" x14ac:dyDescent="0.2">
      <c r="A302" s="155">
        <v>49279</v>
      </c>
      <c r="B302" s="167">
        <f>$L302*('RD Feedstock Use'!B302/'RD Feedstock Use'!$L302)</f>
        <v>1187.8355871174142</v>
      </c>
      <c r="C302" s="167">
        <f>$L302*('RD Feedstock Use'!C302/'RD Feedstock Use'!$L302)</f>
        <v>364.69355655146666</v>
      </c>
      <c r="D302" s="167">
        <f>$L302*('RD Feedstock Use'!D302/'RD Feedstock Use'!$L302)*0.25-15</f>
        <v>82.238282484292114</v>
      </c>
      <c r="E302" s="167">
        <f>$L302*('RD Feedstock Use'!E302/'RD Feedstock Use'!$L302)</f>
        <v>4.4637125742308523</v>
      </c>
      <c r="F302" s="167">
        <f>$L302*('RD Feedstock Use'!F302/'RD Feedstock Use'!$L302)</f>
        <v>26.800040299622331</v>
      </c>
      <c r="G302" s="167">
        <f>$L302*('RD Feedstock Use'!G302/'RD Feedstock Use'!$L302)</f>
        <v>550.67558842124129</v>
      </c>
      <c r="H302" s="167">
        <f>$L302*('RD Feedstock Use'!H302/'RD Feedstock Use'!$L302)*0.95</f>
        <v>154.02827772949573</v>
      </c>
      <c r="I302" s="167">
        <f>$L302*('RD Feedstock Use'!I302/'RD Feedstock Use'!$L302)</f>
        <v>1068.1892213033932</v>
      </c>
      <c r="J302" s="167">
        <f t="shared" si="18"/>
        <v>1552.5291436688808</v>
      </c>
      <c r="K302" s="167">
        <f>$L302*('RD Feedstock Use'!K302/'RD Feedstock Use'!$L302)</f>
        <v>1812.2635917874306</v>
      </c>
      <c r="L302" s="167">
        <f t="shared" si="15"/>
        <v>3364.7927354563117</v>
      </c>
      <c r="M302" s="168">
        <f>[5]SAF!$Z30/1000000</f>
        <v>454.50662832126625</v>
      </c>
      <c r="N302" s="169">
        <f t="shared" si="16"/>
        <v>7.403176380252745</v>
      </c>
      <c r="O302" s="167">
        <f t="shared" si="14"/>
        <v>3447.0310179406038</v>
      </c>
      <c r="P302" s="170">
        <f t="shared" si="17"/>
        <v>7.5841160571680009</v>
      </c>
    </row>
    <row r="303" spans="1:16" x14ac:dyDescent="0.2">
      <c r="A303" s="155">
        <v>49310</v>
      </c>
      <c r="B303" s="167">
        <f>$L303*('RD Feedstock Use'!B303/'RD Feedstock Use'!$L303)</f>
        <v>924.20190766318979</v>
      </c>
      <c r="C303" s="167">
        <f>$L303*('RD Feedstock Use'!C303/'RD Feedstock Use'!$L303)</f>
        <v>220.91328951158297</v>
      </c>
      <c r="D303" s="167">
        <f>$L303*('RD Feedstock Use'!D303/'RD Feedstock Use'!$L303)*0.25-15</f>
        <v>78.877779640034007</v>
      </c>
      <c r="E303" s="167">
        <f>$L303*('RD Feedstock Use'!E303/'RD Feedstock Use'!$L303)</f>
        <v>2.9181594365743426</v>
      </c>
      <c r="F303" s="167">
        <f>$L303*('RD Feedstock Use'!F303/'RD Feedstock Use'!$L303)</f>
        <v>46.785549272380067</v>
      </c>
      <c r="G303" s="167">
        <f>$L303*('RD Feedstock Use'!G303/'RD Feedstock Use'!$L303)</f>
        <v>450.48447155458615</v>
      </c>
      <c r="H303" s="167">
        <f>$L303*('RD Feedstock Use'!H303/'RD Feedstock Use'!$L303)*0.95</f>
        <v>119.9437900727101</v>
      </c>
      <c r="I303" s="167">
        <f>$L303*('RD Feedstock Use'!I303/'RD Feedstock Use'!$L303)</f>
        <v>401.07673885216468</v>
      </c>
      <c r="J303" s="167">
        <f t="shared" si="18"/>
        <v>1145.1151971747727</v>
      </c>
      <c r="K303" s="167">
        <f>$L303*('RD Feedstock Use'!K303/'RD Feedstock Use'!$L303)</f>
        <v>1027.5215402448739</v>
      </c>
      <c r="L303" s="167">
        <f t="shared" si="15"/>
        <v>2172.6367374196466</v>
      </c>
      <c r="M303" s="168">
        <f>[5]SAF!$AA19/1000000</f>
        <v>287.58016067886797</v>
      </c>
      <c r="N303" s="169">
        <f t="shared" si="16"/>
        <v>7.5548908947365252</v>
      </c>
      <c r="O303" s="167">
        <f t="shared" si="14"/>
        <v>2251.5145170596807</v>
      </c>
      <c r="P303" s="170">
        <f t="shared" si="17"/>
        <v>7.8291719141706668</v>
      </c>
    </row>
    <row r="304" spans="1:16" x14ac:dyDescent="0.2">
      <c r="A304" s="155">
        <v>49341</v>
      </c>
      <c r="B304" s="167">
        <f>$L304*('RD Feedstock Use'!B304/'RD Feedstock Use'!$L304)</f>
        <v>1096.5061879478665</v>
      </c>
      <c r="C304" s="167">
        <f>$L304*('RD Feedstock Use'!C304/'RD Feedstock Use'!$L304)</f>
        <v>318.81718053841774</v>
      </c>
      <c r="D304" s="167">
        <f>$L304*('RD Feedstock Use'!D304/'RD Feedstock Use'!$L304)*0.25-15</f>
        <v>127.44695431014608</v>
      </c>
      <c r="E304" s="167">
        <f>$L304*('RD Feedstock Use'!E304/'RD Feedstock Use'!$L304)</f>
        <v>5.0292111494882485</v>
      </c>
      <c r="F304" s="167">
        <f>$L304*('RD Feedstock Use'!F304/'RD Feedstock Use'!$L304)</f>
        <v>73.461576826366638</v>
      </c>
      <c r="G304" s="167">
        <f>$L304*('RD Feedstock Use'!G304/'RD Feedstock Use'!$L304)</f>
        <v>830.91385484641103</v>
      </c>
      <c r="H304" s="167">
        <f>$L304*('RD Feedstock Use'!H304/'RD Feedstock Use'!$L304)*0.95</f>
        <v>139.4548885523071</v>
      </c>
      <c r="I304" s="167">
        <f>$L304*('RD Feedstock Use'!I304/'RD Feedstock Use'!$L304)</f>
        <v>1440.3891856958016</v>
      </c>
      <c r="J304" s="167">
        <f t="shared" si="18"/>
        <v>1415.3233684862842</v>
      </c>
      <c r="K304" s="167">
        <f>$L304*('RD Feedstock Use'!K304/'RD Feedstock Use'!$L304)</f>
        <v>2496.5884480468117</v>
      </c>
      <c r="L304" s="167">
        <f t="shared" si="15"/>
        <v>3911.911816533096</v>
      </c>
      <c r="M304" s="168">
        <f>[5]SAF!$AA20/1000000</f>
        <v>538.53243072217833</v>
      </c>
      <c r="N304" s="169">
        <f t="shared" si="16"/>
        <v>7.2640227280039129</v>
      </c>
      <c r="O304" s="167">
        <f t="shared" si="14"/>
        <v>4039.3587708432415</v>
      </c>
      <c r="P304" s="170">
        <f t="shared" si="17"/>
        <v>7.5006787714277738</v>
      </c>
    </row>
    <row r="305" spans="1:16" x14ac:dyDescent="0.2">
      <c r="A305" s="155">
        <v>49369</v>
      </c>
      <c r="B305" s="167">
        <f>$L305*('RD Feedstock Use'!B305/'RD Feedstock Use'!$L305)</f>
        <v>478.39640930416891</v>
      </c>
      <c r="C305" s="167">
        <f>$L305*('RD Feedstock Use'!C305/'RD Feedstock Use'!$L305)</f>
        <v>135.65859492628195</v>
      </c>
      <c r="D305" s="167">
        <f>$L305*('RD Feedstock Use'!D305/'RD Feedstock Use'!$L305)*0.25-15</f>
        <v>37.325592320106217</v>
      </c>
      <c r="E305" s="167">
        <f>$L305*('RD Feedstock Use'!E305/'RD Feedstock Use'!$L305)</f>
        <v>1.955390938387833</v>
      </c>
      <c r="F305" s="167">
        <f>$L305*('RD Feedstock Use'!F305/'RD Feedstock Use'!$L305)</f>
        <v>41.683379884156409</v>
      </c>
      <c r="G305" s="167">
        <f>$L305*('RD Feedstock Use'!G305/'RD Feedstock Use'!$L305)</f>
        <v>279.53291047866793</v>
      </c>
      <c r="H305" s="167">
        <f>$L305*('RD Feedstock Use'!H305/'RD Feedstock Use'!$L305)*0.95</f>
        <v>88.228528806933994</v>
      </c>
      <c r="I305" s="167">
        <f>$L305*('RD Feedstock Use'!I305/'RD Feedstock Use'!$L305)</f>
        <v>545.95308944880719</v>
      </c>
      <c r="J305" s="167">
        <f t="shared" si="18"/>
        <v>614.05500423045089</v>
      </c>
      <c r="K305" s="167">
        <f>$L305*('RD Feedstock Use'!K305/'RD Feedstock Use'!$L305)</f>
        <v>961.99690633626574</v>
      </c>
      <c r="L305" s="167">
        <f t="shared" si="15"/>
        <v>1576.0519105667165</v>
      </c>
      <c r="M305" s="168">
        <f>[5]SAF!$AA21/1000000</f>
        <v>217.37739287950663</v>
      </c>
      <c r="N305" s="169">
        <f t="shared" si="16"/>
        <v>7.2503027554495052</v>
      </c>
      <c r="O305" s="167">
        <f t="shared" si="14"/>
        <v>1613.3775028868229</v>
      </c>
      <c r="P305" s="170">
        <f t="shared" si="17"/>
        <v>7.422011468235457</v>
      </c>
    </row>
    <row r="306" spans="1:16" x14ac:dyDescent="0.2">
      <c r="A306" s="155">
        <v>49400</v>
      </c>
      <c r="B306" s="167">
        <f>$L306*('RD Feedstock Use'!B306/'RD Feedstock Use'!$L306)</f>
        <v>737.64309038450722</v>
      </c>
      <c r="C306" s="167">
        <f>$L306*('RD Feedstock Use'!C306/'RD Feedstock Use'!$L306)</f>
        <v>181.27806693964942</v>
      </c>
      <c r="D306" s="167">
        <f>$L306*('RD Feedstock Use'!D306/'RD Feedstock Use'!$L306)*0.25-15</f>
        <v>62.104241067091465</v>
      </c>
      <c r="E306" s="167">
        <f>$L306*('RD Feedstock Use'!E306/'RD Feedstock Use'!$L306)</f>
        <v>3.0807801005076114</v>
      </c>
      <c r="F306" s="167">
        <f>$L306*('RD Feedstock Use'!F306/'RD Feedstock Use'!$L306)</f>
        <v>75.227564272856512</v>
      </c>
      <c r="G306" s="167">
        <f>$L306*('RD Feedstock Use'!G306/'RD Feedstock Use'!$L306)</f>
        <v>256.40401758745696</v>
      </c>
      <c r="H306" s="167">
        <f>$L306*('RD Feedstock Use'!H306/'RD Feedstock Use'!$L306)*0.95</f>
        <v>185.05334389752525</v>
      </c>
      <c r="I306" s="167">
        <f>$L306*('RD Feedstock Use'!I306/'RD Feedstock Use'!$L306)</f>
        <v>1123.2907431666579</v>
      </c>
      <c r="J306" s="167">
        <f t="shared" si="18"/>
        <v>918.92115732415664</v>
      </c>
      <c r="K306" s="167">
        <f>$L306*('RD Feedstock Use'!K306/'RD Feedstock Use'!$L306)</f>
        <v>1652.7960987038214</v>
      </c>
      <c r="L306" s="167">
        <f t="shared" si="15"/>
        <v>2571.7172560279778</v>
      </c>
      <c r="M306" s="168">
        <f>[5]SAF!$AA22/1000000</f>
        <v>347.38412291677815</v>
      </c>
      <c r="N306" s="169">
        <f t="shared" si="16"/>
        <v>7.4030938271870212</v>
      </c>
      <c r="O306" s="167">
        <f t="shared" si="14"/>
        <v>2633.8214970950694</v>
      </c>
      <c r="P306" s="170">
        <f t="shared" si="17"/>
        <v>7.5818706824607718</v>
      </c>
    </row>
    <row r="307" spans="1:16" x14ac:dyDescent="0.2">
      <c r="A307" s="155">
        <v>49430</v>
      </c>
      <c r="B307" s="167">
        <f>$L307*('RD Feedstock Use'!B307/'RD Feedstock Use'!$L307)</f>
        <v>815.35869762402626</v>
      </c>
      <c r="C307" s="167">
        <f>$L307*('RD Feedstock Use'!C307/'RD Feedstock Use'!$L307)</f>
        <v>322.64290471651441</v>
      </c>
      <c r="D307" s="167">
        <f>$L307*('RD Feedstock Use'!D307/'RD Feedstock Use'!$L307)*0.25-15</f>
        <v>72.047813697539993</v>
      </c>
      <c r="E307" s="167">
        <f>$L307*('RD Feedstock Use'!E307/'RD Feedstock Use'!$L307)</f>
        <v>4.0123986595861503</v>
      </c>
      <c r="F307" s="167">
        <f>$L307*('RD Feedstock Use'!F307/'RD Feedstock Use'!$L307)</f>
        <v>86.009260759385626</v>
      </c>
      <c r="G307" s="167">
        <f>$L307*('RD Feedstock Use'!G307/'RD Feedstock Use'!$L307)</f>
        <v>375.98701983204415</v>
      </c>
      <c r="H307" s="167">
        <f>$L307*('RD Feedstock Use'!H307/'RD Feedstock Use'!$L307)*0.95</f>
        <v>204.0959698972521</v>
      </c>
      <c r="I307" s="167">
        <f>$L307*('RD Feedstock Use'!I307/'RD Feedstock Use'!$L307)</f>
        <v>1597.0148250655909</v>
      </c>
      <c r="J307" s="167">
        <f t="shared" si="18"/>
        <v>1138.0016023405406</v>
      </c>
      <c r="K307" s="167">
        <f>$L307*('RD Feedstock Use'!K307/'RD Feedstock Use'!$L307)</f>
        <v>2277.8613673663463</v>
      </c>
      <c r="L307" s="167">
        <f t="shared" si="15"/>
        <v>3415.8629697068864</v>
      </c>
      <c r="M307" s="168">
        <f>[5]SAF!$AA23/1000000</f>
        <v>457.69844926422076</v>
      </c>
      <c r="N307" s="169">
        <f t="shared" si="16"/>
        <v>7.463129873387385</v>
      </c>
      <c r="O307" s="167">
        <f t="shared" si="14"/>
        <v>3487.9107834044266</v>
      </c>
      <c r="P307" s="170">
        <f t="shared" si="17"/>
        <v>7.6205431523997165</v>
      </c>
    </row>
    <row r="308" spans="1:16" x14ac:dyDescent="0.2">
      <c r="A308" s="155">
        <v>49461</v>
      </c>
      <c r="B308" s="167">
        <f>$L308*('RD Feedstock Use'!B308/'RD Feedstock Use'!$L308)</f>
        <v>814.73881264179317</v>
      </c>
      <c r="C308" s="167">
        <f>$L308*('RD Feedstock Use'!C308/'RD Feedstock Use'!$L308)</f>
        <v>256.75785698420975</v>
      </c>
      <c r="D308" s="167">
        <f>$L308*('RD Feedstock Use'!D308/'RD Feedstock Use'!$L308)*0.25-15</f>
        <v>71.8486725079092</v>
      </c>
      <c r="E308" s="167">
        <f>$L308*('RD Feedstock Use'!E308/'RD Feedstock Use'!$L308)</f>
        <v>3.4862097938759828</v>
      </c>
      <c r="F308" s="167">
        <f>$L308*('RD Feedstock Use'!F308/'RD Feedstock Use'!$L308)</f>
        <v>94.480477361588754</v>
      </c>
      <c r="G308" s="167">
        <f>$L308*('RD Feedstock Use'!G308/'RD Feedstock Use'!$L308)</f>
        <v>382.95077592032948</v>
      </c>
      <c r="H308" s="167">
        <f>$L308*('RD Feedstock Use'!H308/'RD Feedstock Use'!$L308)*0.95</f>
        <v>218.36277197806871</v>
      </c>
      <c r="I308" s="167">
        <f>$L308*('RD Feedstock Use'!I308/'RD Feedstock Use'!$L308)</f>
        <v>1418.268085097832</v>
      </c>
      <c r="J308" s="167">
        <f t="shared" si="18"/>
        <v>1071.496669626003</v>
      </c>
      <c r="K308" s="167">
        <f>$L308*('RD Feedstock Use'!K308/'RD Feedstock Use'!$L308)</f>
        <v>2129.0410976242251</v>
      </c>
      <c r="L308" s="167">
        <f t="shared" si="15"/>
        <v>3200.5377672502282</v>
      </c>
      <c r="M308" s="168">
        <f>[5]SAF!$AA24/1000000</f>
        <v>435.32074781909347</v>
      </c>
      <c r="N308" s="169">
        <f t="shared" si="16"/>
        <v>7.352136977813605</v>
      </c>
      <c r="O308" s="167">
        <f t="shared" si="14"/>
        <v>3272.3864397581374</v>
      </c>
      <c r="P308" s="170">
        <f t="shared" si="17"/>
        <v>7.5171846417897941</v>
      </c>
    </row>
    <row r="309" spans="1:16" x14ac:dyDescent="0.2">
      <c r="A309" s="155">
        <v>49491</v>
      </c>
      <c r="B309" s="167">
        <f>$L309*('RD Feedstock Use'!B309/'RD Feedstock Use'!$L309)</f>
        <v>1077.0857270830761</v>
      </c>
      <c r="C309" s="167">
        <f>$L309*('RD Feedstock Use'!C309/'RD Feedstock Use'!$L309)</f>
        <v>407.2028388828075</v>
      </c>
      <c r="D309" s="167">
        <f>$L309*('RD Feedstock Use'!D309/'RD Feedstock Use'!$L309)*0.25-15</f>
        <v>89.473461639644512</v>
      </c>
      <c r="E309" s="167">
        <f>$L309*('RD Feedstock Use'!E309/'RD Feedstock Use'!$L309)</f>
        <v>3.7931888755558179</v>
      </c>
      <c r="F309" s="167">
        <f>$L309*('RD Feedstock Use'!F309/'RD Feedstock Use'!$L309)</f>
        <v>107.90731536620387</v>
      </c>
      <c r="G309" s="167">
        <f>$L309*('RD Feedstock Use'!G309/'RD Feedstock Use'!$L309)</f>
        <v>478.24830636431102</v>
      </c>
      <c r="H309" s="167">
        <f>$L309*('RD Feedstock Use'!H309/'RD Feedstock Use'!$L309)*0.95</f>
        <v>243.47373725285942</v>
      </c>
      <c r="I309" s="167">
        <f>$L309*('RD Feedstock Use'!I309/'RD Feedstock Use'!$L309)</f>
        <v>1209.8207851772015</v>
      </c>
      <c r="J309" s="167">
        <f t="shared" si="18"/>
        <v>1484.2885659658837</v>
      </c>
      <c r="K309" s="167">
        <f>$L309*('RD Feedstock Use'!K309/'RD Feedstock Use'!$L309)</f>
        <v>2056.0577402599665</v>
      </c>
      <c r="L309" s="167">
        <f t="shared" si="15"/>
        <v>3540.3463062258502</v>
      </c>
      <c r="M309" s="168">
        <f>[5]SAF!$AA25/1000000</f>
        <v>474.83762202182612</v>
      </c>
      <c r="N309" s="169">
        <f t="shared" si="16"/>
        <v>7.4559094352113418</v>
      </c>
      <c r="O309" s="167">
        <f t="shared" si="14"/>
        <v>3629.8197678654947</v>
      </c>
      <c r="P309" s="170">
        <f t="shared" si="17"/>
        <v>7.6443390319620637</v>
      </c>
    </row>
    <row r="310" spans="1:16" x14ac:dyDescent="0.2">
      <c r="A310" s="155">
        <v>49522</v>
      </c>
      <c r="B310" s="167">
        <f>$L310*('RD Feedstock Use'!B310/'RD Feedstock Use'!$L310)</f>
        <v>1180.6647046358569</v>
      </c>
      <c r="C310" s="167">
        <f>$L310*('RD Feedstock Use'!C310/'RD Feedstock Use'!$L310)</f>
        <v>334.11524319225083</v>
      </c>
      <c r="D310" s="167">
        <f>$L310*('RD Feedstock Use'!D310/'RD Feedstock Use'!$L310)*0.25-15</f>
        <v>90.544752321331273</v>
      </c>
      <c r="E310" s="167">
        <f>$L310*('RD Feedstock Use'!E310/'RD Feedstock Use'!$L310)</f>
        <v>4.0519954652120136</v>
      </c>
      <c r="F310" s="167">
        <f>$L310*('RD Feedstock Use'!F310/'RD Feedstock Use'!$L310)</f>
        <v>87.184561293607644</v>
      </c>
      <c r="G310" s="167">
        <f>$L310*('RD Feedstock Use'!G310/'RD Feedstock Use'!$L310)</f>
        <v>531.37868056468676</v>
      </c>
      <c r="H310" s="167">
        <f>$L310*('RD Feedstock Use'!H310/'RD Feedstock Use'!$L310)*0.95</f>
        <v>275.57590139209441</v>
      </c>
      <c r="I310" s="167">
        <f>$L310*('RD Feedstock Use'!I310/'RD Feedstock Use'!$L310)</f>
        <v>1386.0450141561978</v>
      </c>
      <c r="J310" s="167">
        <f t="shared" si="18"/>
        <v>1514.7799478281077</v>
      </c>
      <c r="K310" s="167">
        <f>$L310*('RD Feedstock Use'!K310/'RD Feedstock Use'!$L310)</f>
        <v>2298.7401476819086</v>
      </c>
      <c r="L310" s="167">
        <f t="shared" si="15"/>
        <v>3813.5200955100163</v>
      </c>
      <c r="M310" s="168">
        <f>[5]SAF!$AA26/1000000</f>
        <v>516.09213611016457</v>
      </c>
      <c r="N310" s="169">
        <f t="shared" si="16"/>
        <v>7.3892234131929992</v>
      </c>
      <c r="O310" s="167">
        <f t="shared" si="14"/>
        <v>3904.0648478313474</v>
      </c>
      <c r="P310" s="170">
        <f t="shared" si="17"/>
        <v>7.5646664125841072</v>
      </c>
    </row>
    <row r="311" spans="1:16" x14ac:dyDescent="0.2">
      <c r="A311" s="155">
        <v>49553</v>
      </c>
      <c r="B311" s="167">
        <f>$L311*('RD Feedstock Use'!B311/'RD Feedstock Use'!$L311)</f>
        <v>1433.7494350536083</v>
      </c>
      <c r="C311" s="167">
        <f>$L311*('RD Feedstock Use'!C311/'RD Feedstock Use'!$L311)</f>
        <v>314.36608719885015</v>
      </c>
      <c r="D311" s="167">
        <f>$L311*('RD Feedstock Use'!D311/'RD Feedstock Use'!$L311)*0.25-15</f>
        <v>131.25025490245775</v>
      </c>
      <c r="E311" s="167">
        <f>$L311*('RD Feedstock Use'!E311/'RD Feedstock Use'!$L311)</f>
        <v>5.9492554102013466</v>
      </c>
      <c r="F311" s="167">
        <f>$L311*('RD Feedstock Use'!F311/'RD Feedstock Use'!$L311)</f>
        <v>123.41064168436409</v>
      </c>
      <c r="G311" s="167">
        <f>$L311*('RD Feedstock Use'!G311/'RD Feedstock Use'!$L311)</f>
        <v>658.39543247249082</v>
      </c>
      <c r="H311" s="167">
        <f>$L311*('RD Feedstock Use'!H311/'RD Feedstock Use'!$L311)*0.95</f>
        <v>292.07999472246166</v>
      </c>
      <c r="I311" s="167">
        <f>$L311*('RD Feedstock Use'!I311/'RD Feedstock Use'!$L311)</f>
        <v>1887.9990540244537</v>
      </c>
      <c r="J311" s="167">
        <f t="shared" si="18"/>
        <v>1748.1155222524585</v>
      </c>
      <c r="K311" s="167">
        <f>$L311*('RD Feedstock Use'!K311/'RD Feedstock Use'!$L311)</f>
        <v>2983.2070096151542</v>
      </c>
      <c r="L311" s="167">
        <f t="shared" si="15"/>
        <v>4731.3225318676123</v>
      </c>
      <c r="M311" s="168">
        <f>[5]SAF!$AA27/1000000</f>
        <v>627.80509166413947</v>
      </c>
      <c r="N311" s="169">
        <f t="shared" si="16"/>
        <v>7.5362920668995717</v>
      </c>
      <c r="O311" s="167">
        <f t="shared" si="14"/>
        <v>4862.5727867700698</v>
      </c>
      <c r="P311" s="170">
        <f t="shared" si="17"/>
        <v>7.745354173348165</v>
      </c>
    </row>
    <row r="312" spans="1:16" x14ac:dyDescent="0.2">
      <c r="A312" s="155">
        <v>49583</v>
      </c>
      <c r="B312" s="167">
        <f>$L312*('RD Feedstock Use'!B312/'RD Feedstock Use'!$L312)</f>
        <v>1109.8565465447614</v>
      </c>
      <c r="C312" s="167">
        <f>$L312*('RD Feedstock Use'!C312/'RD Feedstock Use'!$L312)</f>
        <v>410.35381051567811</v>
      </c>
      <c r="D312" s="167">
        <f>$L312*('RD Feedstock Use'!D312/'RD Feedstock Use'!$L312)*0.25+15</f>
        <v>158.64103047790161</v>
      </c>
      <c r="E312" s="167">
        <f>$L312*('RD Feedstock Use'!E312/'RD Feedstock Use'!$L312)</f>
        <v>6.7933194211449912</v>
      </c>
      <c r="F312" s="167">
        <f>$L312*('RD Feedstock Use'!F312/'RD Feedstock Use'!$L312)</f>
        <v>107.68747202260955</v>
      </c>
      <c r="G312" s="167">
        <f>$L312*('RD Feedstock Use'!G312/'RD Feedstock Use'!$L312)</f>
        <v>671.2739919458038</v>
      </c>
      <c r="H312" s="167">
        <f>$L312*('RD Feedstock Use'!H312/'RD Feedstock Use'!$L312)*1.1</f>
        <v>366.15680008751042</v>
      </c>
      <c r="I312" s="167">
        <f>$L312*('RD Feedstock Use'!I312/'RD Feedstock Use'!$L312)</f>
        <v>1928.368654273474</v>
      </c>
      <c r="J312" s="167">
        <f t="shared" si="18"/>
        <v>1520.2103570604395</v>
      </c>
      <c r="K312" s="167">
        <f>$L312*('RD Feedstock Use'!K312/'RD Feedstock Use'!$L312)</f>
        <v>3046.9932559244053</v>
      </c>
      <c r="L312" s="167">
        <f t="shared" si="15"/>
        <v>4567.2036129848448</v>
      </c>
      <c r="M312" s="168">
        <f>[5]SAF!$AA28/1000000</f>
        <v>611.83024844069132</v>
      </c>
      <c r="N312" s="169">
        <f t="shared" si="16"/>
        <v>7.4648215328104586</v>
      </c>
      <c r="O312" s="167">
        <f t="shared" ref="O312:O375" si="19">K312+J312+D312</f>
        <v>4725.8446434627467</v>
      </c>
      <c r="P312" s="170">
        <f t="shared" si="17"/>
        <v>7.7241108224168711</v>
      </c>
    </row>
    <row r="313" spans="1:16" x14ac:dyDescent="0.2">
      <c r="A313" s="155">
        <v>49614</v>
      </c>
      <c r="B313" s="167">
        <f>$L313*('RD Feedstock Use'!B313/'RD Feedstock Use'!$L313)</f>
        <v>1187.8780062972473</v>
      </c>
      <c r="C313" s="167">
        <f>$L313*('RD Feedstock Use'!C313/'RD Feedstock Use'!$L313)</f>
        <v>378.46251597754394</v>
      </c>
      <c r="D313" s="167">
        <f>$L313*('RD Feedstock Use'!D313/'RD Feedstock Use'!$L313)*0.25+15</f>
        <v>130.82678618374823</v>
      </c>
      <c r="E313" s="167">
        <f>$L313*('RD Feedstock Use'!E313/'RD Feedstock Use'!$L313)</f>
        <v>5.3839730813465643</v>
      </c>
      <c r="F313" s="167">
        <f>$L313*('RD Feedstock Use'!F313/'RD Feedstock Use'!$L313)</f>
        <v>35.380203887769383</v>
      </c>
      <c r="G313" s="167">
        <f>$L313*('RD Feedstock Use'!G313/'RD Feedstock Use'!$L313)</f>
        <v>632.6621696365537</v>
      </c>
      <c r="H313" s="167">
        <f>$L313*('RD Feedstock Use'!H313/'RD Feedstock Use'!$L313)*1.1</f>
        <v>247.3930056702321</v>
      </c>
      <c r="I313" s="167">
        <f>$L313*('RD Feedstock Use'!I313/'RD Feedstock Use'!$L313)</f>
        <v>1398.6609681744228</v>
      </c>
      <c r="J313" s="167">
        <f t="shared" si="18"/>
        <v>1566.3405222747913</v>
      </c>
      <c r="K313" s="167">
        <f>$L313*('RD Feedstock Use'!K313/'RD Feedstock Use'!$L313)</f>
        <v>2296.990047207576</v>
      </c>
      <c r="L313" s="167">
        <f t="shared" ref="L313:L376" si="20">N313*M313</f>
        <v>3863.3305694823675</v>
      </c>
      <c r="M313" s="168">
        <f>[5]SAF!$AA29/1000000</f>
        <v>528.62139094683198</v>
      </c>
      <c r="N313" s="169">
        <f t="shared" ref="N313:N376" si="21">AVERAGE(N301,N289,N277,N265,N253)</f>
        <v>7.3083129734168022</v>
      </c>
      <c r="O313" s="167">
        <f t="shared" si="19"/>
        <v>3994.1573556661156</v>
      </c>
      <c r="P313" s="170">
        <f t="shared" ref="P313:P376" si="22">O313/M313</f>
        <v>7.5557997161485329</v>
      </c>
    </row>
    <row r="314" spans="1:16" x14ac:dyDescent="0.2">
      <c r="A314" s="155">
        <v>49644</v>
      </c>
      <c r="B314" s="167">
        <f>$L314*('RD Feedstock Use'!B314/'RD Feedstock Use'!$L314)</f>
        <v>1191.456497101271</v>
      </c>
      <c r="C314" s="167">
        <f>$L314*('RD Feedstock Use'!C314/'RD Feedstock Use'!$L314)</f>
        <v>382.09575591708619</v>
      </c>
      <c r="D314" s="167">
        <f>$L314*('RD Feedstock Use'!D314/'RD Feedstock Use'!$L314)*0.25+15</f>
        <v>112.25164849582032</v>
      </c>
      <c r="E314" s="167">
        <f>$L314*('RD Feedstock Use'!E314/'RD Feedstock Use'!$L314)</f>
        <v>4.6561897979160136</v>
      </c>
      <c r="F314" s="167">
        <f>$L314*('RD Feedstock Use'!F314/'RD Feedstock Use'!$L314)</f>
        <v>27.445565389951959</v>
      </c>
      <c r="G314" s="167">
        <f>$L314*('RD Feedstock Use'!G314/'RD Feedstock Use'!$L314)</f>
        <v>575.60402963339288</v>
      </c>
      <c r="H314" s="167">
        <f>$L314*('RD Feedstock Use'!H314/'RD Feedstock Use'!$L314)</f>
        <v>169.40805546163259</v>
      </c>
      <c r="I314" s="167">
        <f>$L314*('RD Feedstock Use'!I314/'RD Feedstock Use'!$L314)</f>
        <v>1165.2072920038877</v>
      </c>
      <c r="J314" s="167">
        <f t="shared" si="18"/>
        <v>1573.5522530183571</v>
      </c>
      <c r="K314" s="167">
        <f>$L314*('RD Feedstock Use'!K314/'RD Feedstock Use'!$L314)</f>
        <v>1942.3211322867812</v>
      </c>
      <c r="L314" s="167">
        <f t="shared" si="20"/>
        <v>3515.8733853051385</v>
      </c>
      <c r="M314" s="168">
        <f>[5]SAF!$AA30/1000000</f>
        <v>474.93629998842727</v>
      </c>
      <c r="N314" s="169">
        <f t="shared" si="21"/>
        <v>7.4028314647476083</v>
      </c>
      <c r="O314" s="167">
        <f t="shared" si="19"/>
        <v>3628.1250338009586</v>
      </c>
      <c r="P314" s="170">
        <f t="shared" si="22"/>
        <v>7.6391824206517063</v>
      </c>
    </row>
    <row r="315" spans="1:16" x14ac:dyDescent="0.2">
      <c r="A315" s="155">
        <v>49675</v>
      </c>
      <c r="B315" s="167">
        <f>$L315*('RD Feedstock Use'!B315/'RD Feedstock Use'!$L315)</f>
        <v>646.97314908933072</v>
      </c>
      <c r="C315" s="167">
        <f>$L315*('RD Feedstock Use'!C315/'RD Feedstock Use'!$L315)</f>
        <v>170.15386302545707</v>
      </c>
      <c r="D315" s="167">
        <f>$L315*('RD Feedstock Use'!D315/'RD Feedstock Use'!$L315)*0.25+15</f>
        <v>84.985879397434218</v>
      </c>
      <c r="E315" s="167">
        <f>$L315*('RD Feedstock Use'!E315/'RD Feedstock Use'!$L315)</f>
        <v>2.2524980272613129</v>
      </c>
      <c r="F315" s="167">
        <f>$L315*('RD Feedstock Use'!F315/'RD Feedstock Use'!$L315)</f>
        <v>36.205264729642465</v>
      </c>
      <c r="G315" s="167">
        <f>$L315*('RD Feedstock Use'!G315/'RD Feedstock Use'!$L315)</f>
        <v>349.10430071703536</v>
      </c>
      <c r="H315" s="167">
        <f>$L315*('RD Feedstock Use'!H315/'RD Feedstock Use'!$L315)*1.1</f>
        <v>107.60413684783876</v>
      </c>
      <c r="I315" s="167">
        <f>$L315*('RD Feedstock Use'!I315/'RD Feedstock Use'!$L315)</f>
        <v>377.42579978052646</v>
      </c>
      <c r="J315" s="167">
        <f t="shared" si="18"/>
        <v>817.12701211478782</v>
      </c>
      <c r="K315" s="167">
        <f>$L315*('RD Feedstock Use'!K315/'RD Feedstock Use'!$L315)</f>
        <v>862.80980584341</v>
      </c>
      <c r="L315" s="167">
        <f t="shared" si="20"/>
        <v>1679.9368179581979</v>
      </c>
      <c r="M315" s="168">
        <f>[5]SAF!$AB19/1000000</f>
        <v>222.49301648350797</v>
      </c>
      <c r="N315" s="169">
        <f t="shared" si="21"/>
        <v>7.5505148184402513</v>
      </c>
      <c r="O315" s="167">
        <f t="shared" si="19"/>
        <v>1764.9226973556322</v>
      </c>
      <c r="P315" s="170">
        <f t="shared" si="22"/>
        <v>7.932485815735502</v>
      </c>
    </row>
    <row r="316" spans="1:16" x14ac:dyDescent="0.2">
      <c r="A316" s="155">
        <v>49706</v>
      </c>
      <c r="B316" s="167">
        <f>$L316*('RD Feedstock Use'!B316/'RD Feedstock Use'!$L316)</f>
        <v>739.06105711528471</v>
      </c>
      <c r="C316" s="167">
        <f>$L316*('RD Feedstock Use'!C316/'RD Feedstock Use'!$L316)</f>
        <v>245.54886424202277</v>
      </c>
      <c r="D316" s="167">
        <f>$L316*('RD Feedstock Use'!D316/'RD Feedstock Use'!$L316)*0.25+15</f>
        <v>120.47809915545162</v>
      </c>
      <c r="E316" s="167">
        <f>$L316*('RD Feedstock Use'!E316/'RD Feedstock Use'!$L316)</f>
        <v>3.8779018169560717</v>
      </c>
      <c r="F316" s="167">
        <f>$L316*('RD Feedstock Use'!F316/'RD Feedstock Use'!$L316)</f>
        <v>56.718821211060266</v>
      </c>
      <c r="G316" s="167">
        <f>$L316*('RD Feedstock Use'!G316/'RD Feedstock Use'!$L316)</f>
        <v>642.75764340002388</v>
      </c>
      <c r="H316" s="167">
        <f>$L316*('RD Feedstock Use'!H316/'RD Feedstock Use'!$L316)*1.1</f>
        <v>124.26745023797054</v>
      </c>
      <c r="I316" s="167">
        <f>$L316*('RD Feedstock Use'!I316/'RD Feedstock Use'!$L316)</f>
        <v>1220.4906815459242</v>
      </c>
      <c r="J316" s="167">
        <f t="shared" si="18"/>
        <v>984.60992135730748</v>
      </c>
      <c r="K316" s="167">
        <f>$L316*('RD Feedstock Use'!K316/'RD Feedstock Use'!$L316)</f>
        <v>2036.8154572812102</v>
      </c>
      <c r="L316" s="167">
        <f t="shared" si="20"/>
        <v>3021.4253786385179</v>
      </c>
      <c r="M316" s="168">
        <f>[5]SAF!$AB20/1000000</f>
        <v>415.94079225408376</v>
      </c>
      <c r="N316" s="169">
        <f t="shared" si="21"/>
        <v>7.2640756446721255</v>
      </c>
      <c r="O316" s="167">
        <f t="shared" si="19"/>
        <v>3141.9034777939696</v>
      </c>
      <c r="P316" s="170">
        <f t="shared" si="22"/>
        <v>7.553727685056411</v>
      </c>
    </row>
    <row r="317" spans="1:16" x14ac:dyDescent="0.2">
      <c r="A317" s="155">
        <v>49735</v>
      </c>
      <c r="B317" s="167">
        <f>$L317*('RD Feedstock Use'!B317/'RD Feedstock Use'!$L317)</f>
        <v>329.91736537077503</v>
      </c>
      <c r="C317" s="167">
        <f>$L317*('RD Feedstock Use'!C317/'RD Feedstock Use'!$L317)</f>
        <v>104.67438906203198</v>
      </c>
      <c r="D317" s="167">
        <f>$L317*('RD Feedstock Use'!D317/'RD Feedstock Use'!$L317)*0.25+15</f>
        <v>53.878349373907362</v>
      </c>
      <c r="E317" s="167">
        <f>$L317*('RD Feedstock Use'!E317/'RD Feedstock Use'!$L317)</f>
        <v>1.5109404297854065</v>
      </c>
      <c r="F317" s="167">
        <f>$L317*('RD Feedstock Use'!F317/'RD Feedstock Use'!$L317)</f>
        <v>32.299569736752588</v>
      </c>
      <c r="G317" s="167">
        <f>$L317*('RD Feedstock Use'!G317/'RD Feedstock Use'!$L317)</f>
        <v>216.7113783880902</v>
      </c>
      <c r="H317" s="167">
        <f>$L317*('RD Feedstock Use'!H317/'RD Feedstock Use'!$L317)*1.1+10</f>
        <v>83.495728808195295</v>
      </c>
      <c r="I317" s="167">
        <f>$L317*('RD Feedstock Use'!I317/'RD Feedstock Use'!$L317)</f>
        <v>467.769534101658</v>
      </c>
      <c r="J317" s="167">
        <f t="shared" si="18"/>
        <v>434.59175443280702</v>
      </c>
      <c r="K317" s="167">
        <f>$L317*('RD Feedstock Use'!K317/'RD Feedstock Use'!$L317)</f>
        <v>785.10572157282741</v>
      </c>
      <c r="L317" s="167">
        <f t="shared" si="20"/>
        <v>1219.6974760056344</v>
      </c>
      <c r="M317" s="168">
        <f>[5]SAF!$AB21/1000000</f>
        <v>168.26043380499934</v>
      </c>
      <c r="N317" s="169">
        <f t="shared" si="21"/>
        <v>7.2488668216508234</v>
      </c>
      <c r="O317" s="167">
        <f t="shared" si="19"/>
        <v>1273.5758253795418</v>
      </c>
      <c r="P317" s="170">
        <f t="shared" si="22"/>
        <v>7.5690748952633538</v>
      </c>
    </row>
    <row r="318" spans="1:16" x14ac:dyDescent="0.2">
      <c r="A318" s="155">
        <v>49766</v>
      </c>
      <c r="B318" s="167">
        <f>$L318*('RD Feedstock Use'!B318/'RD Feedstock Use'!$L318)</f>
        <v>502.25674436980302</v>
      </c>
      <c r="C318" s="167">
        <f>$L318*('RD Feedstock Use'!C318/'RD Feedstock Use'!$L318)</f>
        <v>139.83553482207444</v>
      </c>
      <c r="D318" s="167">
        <f>$L318*('RD Feedstock Use'!D318/'RD Feedstock Use'!$L318)*0.25+15</f>
        <v>72.472567433724947</v>
      </c>
      <c r="E318" s="167">
        <f>$L318*('RD Feedstock Use'!E318/'RD Feedstock Use'!$L318)</f>
        <v>2.3787615574845637</v>
      </c>
      <c r="F318" s="167">
        <f>$L318*('RD Feedstock Use'!F318/'RD Feedstock Use'!$L318)</f>
        <v>58.406685213464129</v>
      </c>
      <c r="G318" s="167">
        <f>$L318*('RD Feedstock Use'!G318/'RD Feedstock Use'!$L318)</f>
        <v>198.1050892005791</v>
      </c>
      <c r="H318" s="167">
        <f>$L318*('RD Feedstock Use'!H318/'RD Feedstock Use'!$L318)*1.1</f>
        <v>165.79093499820451</v>
      </c>
      <c r="I318" s="167">
        <f>$L318*('RD Feedstock Use'!I318/'RD Feedstock Use'!$L318)</f>
        <v>936.86412243258258</v>
      </c>
      <c r="J318" s="167">
        <f t="shared" si="18"/>
        <v>642.09227919187742</v>
      </c>
      <c r="K318" s="167">
        <f>$L318*('RD Feedstock Use'!K318/'RD Feedstock Use'!$L318)</f>
        <v>1346.4736902206603</v>
      </c>
      <c r="L318" s="167">
        <f t="shared" si="20"/>
        <v>1988.5659694125375</v>
      </c>
      <c r="M318" s="168">
        <f>[5]SAF!$AB22/1000000</f>
        <v>268.64263010744128</v>
      </c>
      <c r="N318" s="169">
        <f t="shared" si="21"/>
        <v>7.4022725604541169</v>
      </c>
      <c r="O318" s="167">
        <f t="shared" si="19"/>
        <v>2061.0385368462626</v>
      </c>
      <c r="P318" s="170">
        <f t="shared" si="22"/>
        <v>7.6720457063049459</v>
      </c>
    </row>
    <row r="319" spans="1:16" x14ac:dyDescent="0.2">
      <c r="A319" s="155">
        <v>49796</v>
      </c>
      <c r="B319" s="167">
        <f>$L319*('RD Feedstock Use'!B319/'RD Feedstock Use'!$L319)</f>
        <v>554.27974232803717</v>
      </c>
      <c r="C319" s="167">
        <f>$L319*('RD Feedstock Use'!C319/'RD Feedstock Use'!$L319)</f>
        <v>249.04492415059732</v>
      </c>
      <c r="D319" s="167">
        <f>$L319*('RD Feedstock Use'!D319/'RD Feedstock Use'!$L319)*0.25+15</f>
        <v>79.526873507589201</v>
      </c>
      <c r="E319" s="167">
        <f>$L319*('RD Feedstock Use'!E319/'RD Feedstock Use'!$L319)</f>
        <v>3.09994711372202</v>
      </c>
      <c r="F319" s="167">
        <f>$L319*('RD Feedstock Use'!F319/'RD Feedstock Use'!$L319)</f>
        <v>66.771588278640095</v>
      </c>
      <c r="G319" s="167">
        <f>$L319*('RD Feedstock Use'!G319/'RD Feedstock Use'!$L319)</f>
        <v>290.97751716403019</v>
      </c>
      <c r="H319" s="167">
        <f>$L319*('RD Feedstock Use'!H319/'RD Feedstock Use'!$L319)*1.1</f>
        <v>182.94854472227536</v>
      </c>
      <c r="I319" s="167">
        <f>$L319*('RD Feedstock Use'!I319/'RD Feedstock Use'!$L319)</f>
        <v>1312.640597768413</v>
      </c>
      <c r="J319" s="167">
        <f t="shared" si="18"/>
        <v>803.32466647863453</v>
      </c>
      <c r="K319" s="167">
        <f>$L319*('RD Feedstock Use'!K319/'RD Feedstock Use'!$L319)</f>
        <v>1839.8065091632377</v>
      </c>
      <c r="L319" s="167">
        <f t="shared" si="20"/>
        <v>2643.1311756418722</v>
      </c>
      <c r="M319" s="168">
        <f>[5]SAF!$AB23/1000000</f>
        <v>354.11820967404668</v>
      </c>
      <c r="N319" s="169">
        <f t="shared" si="21"/>
        <v>7.4639798333860927</v>
      </c>
      <c r="O319" s="167">
        <f t="shared" si="19"/>
        <v>2722.6580491494615</v>
      </c>
      <c r="P319" s="170">
        <f t="shared" si="22"/>
        <v>7.6885570263544825</v>
      </c>
    </row>
    <row r="320" spans="1:16" x14ac:dyDescent="0.2">
      <c r="A320" s="155">
        <v>49827</v>
      </c>
      <c r="B320" s="167">
        <f>$L320*('RD Feedstock Use'!B320/'RD Feedstock Use'!$L320)</f>
        <v>559.00644584795498</v>
      </c>
      <c r="C320" s="167">
        <f>$L320*('RD Feedstock Use'!C320/'RD Feedstock Use'!$L320)</f>
        <v>197.95861469854887</v>
      </c>
      <c r="D320" s="167">
        <f>$L320*('RD Feedstock Use'!D320/'RD Feedstock Use'!$L320)*0.25+15</f>
        <v>79.51207437246876</v>
      </c>
      <c r="E320" s="167">
        <f>$L320*('RD Feedstock Use'!E320/'RD Feedstock Use'!$L320)</f>
        <v>2.6910050801043157</v>
      </c>
      <c r="F320" s="167">
        <f>$L320*('RD Feedstock Use'!F320/'RD Feedstock Use'!$L320)</f>
        <v>73.089974304901446</v>
      </c>
      <c r="G320" s="167">
        <f>$L320*('RD Feedstock Use'!G320/'RD Feedstock Use'!$L320)</f>
        <v>296.01443513588265</v>
      </c>
      <c r="H320" s="167">
        <f>$L320*('RD Feedstock Use'!H320/'RD Feedstock Use'!$L320)*1.1</f>
        <v>195.76296152023198</v>
      </c>
      <c r="I320" s="167">
        <f>$L320*('RD Feedstock Use'!I320/'RD Feedstock Use'!$L320)</f>
        <v>1166.9987407415854</v>
      </c>
      <c r="J320" s="167">
        <f t="shared" si="18"/>
        <v>756.96506054650388</v>
      </c>
      <c r="K320" s="167">
        <f>$L320*('RD Feedstock Use'!K320/'RD Feedstock Use'!$L320)</f>
        <v>1716.7604839172304</v>
      </c>
      <c r="L320" s="167">
        <f t="shared" si="20"/>
        <v>2473.725544463734</v>
      </c>
      <c r="M320" s="168">
        <f>[5]SAF!$AB24/1000000</f>
        <v>336.50483194912812</v>
      </c>
      <c r="N320" s="169">
        <f t="shared" si="21"/>
        <v>7.3512333541697998</v>
      </c>
      <c r="O320" s="167">
        <f t="shared" si="19"/>
        <v>2553.2376188362032</v>
      </c>
      <c r="P320" s="170">
        <f t="shared" si="22"/>
        <v>7.5875214155088111</v>
      </c>
    </row>
    <row r="321" spans="1:16" x14ac:dyDescent="0.2">
      <c r="A321" s="155">
        <v>49857</v>
      </c>
      <c r="B321" s="167">
        <f>$L321*('RD Feedstock Use'!B321/'RD Feedstock Use'!$L321)</f>
        <v>754.11063452660278</v>
      </c>
      <c r="C321" s="167">
        <f>$L321*('RD Feedstock Use'!C321/'RD Feedstock Use'!$L321)</f>
        <v>313.94709287044998</v>
      </c>
      <c r="D321" s="167">
        <f>$L321*('RD Feedstock Use'!D321/'RD Feedstock Use'!$L321)*0.25</f>
        <v>77.673530815104016</v>
      </c>
      <c r="E321" s="167">
        <f>$L321*('RD Feedstock Use'!E321/'RD Feedstock Use'!$L321)</f>
        <v>2.9288064474335243</v>
      </c>
      <c r="F321" s="167">
        <f>$L321*('RD Feedstock Use'!F321/'RD Feedstock Use'!$L321)</f>
        <v>83.604485244841428</v>
      </c>
      <c r="G321" s="167">
        <f>$L321*('RD Feedstock Use'!G321/'RD Feedstock Use'!$L321)</f>
        <v>369.81767583696291</v>
      </c>
      <c r="H321" s="167">
        <f>$L321*('RD Feedstock Use'!H321/'RD Feedstock Use'!$L321)*1.1</f>
        <v>247.017253420283</v>
      </c>
      <c r="I321" s="167">
        <f>$L321*('RD Feedstock Use'!I321/'RD Feedstock Use'!$L321)</f>
        <v>988.03450211529855</v>
      </c>
      <c r="J321" s="167">
        <f t="shared" si="18"/>
        <v>1068.0577273970528</v>
      </c>
      <c r="K321" s="167">
        <f>$L321*('RD Feedstock Use'!K321/'RD Feedstock Use'!$L321)</f>
        <v>1668.9466091175209</v>
      </c>
      <c r="L321" s="167">
        <f t="shared" si="20"/>
        <v>2737.0043365145734</v>
      </c>
      <c r="M321" s="168">
        <f>[5]SAF!$AB25/1000000</f>
        <v>367.22990051074993</v>
      </c>
      <c r="N321" s="169">
        <f t="shared" si="21"/>
        <v>7.4531086186280007</v>
      </c>
      <c r="O321" s="167">
        <f t="shared" si="19"/>
        <v>2814.6778673296781</v>
      </c>
      <c r="P321" s="170">
        <f t="shared" si="22"/>
        <v>7.6646206188956114</v>
      </c>
    </row>
    <row r="322" spans="1:16" x14ac:dyDescent="0.2">
      <c r="A322" s="155">
        <v>49888</v>
      </c>
      <c r="B322" s="167">
        <f>$L322*('RD Feedstock Use'!B322/'RD Feedstock Use'!$L322)</f>
        <v>830.25138067086516</v>
      </c>
      <c r="C322" s="167">
        <f>$L322*('RD Feedstock Use'!C322/'RD Feedstock Use'!$L322)</f>
        <v>257.76890232383221</v>
      </c>
      <c r="D322" s="167">
        <f>$L322*('RD Feedstock Use'!D322/'RD Feedstock Use'!$L322)*0.25</f>
        <v>78.725941110351144</v>
      </c>
      <c r="E322" s="167">
        <f>$L322*('RD Feedstock Use'!E322/'RD Feedstock Use'!$L322)</f>
        <v>3.1284765893114477</v>
      </c>
      <c r="F322" s="167">
        <f>$L322*('RD Feedstock Use'!F322/'RD Feedstock Use'!$L322)</f>
        <v>67.641546294630317</v>
      </c>
      <c r="G322" s="167">
        <f>$L322*('RD Feedstock Use'!G322/'RD Feedstock Use'!$L322)</f>
        <v>410.31127317526841</v>
      </c>
      <c r="H322" s="167">
        <f>$L322*('RD Feedstock Use'!H322/'RD Feedstock Use'!$L322)*1.1</f>
        <v>276.97650779832435</v>
      </c>
      <c r="I322" s="167">
        <f>$L322*('RD Feedstock Use'!I322/'RD Feedstock Use'!$L322)</f>
        <v>1127.6709438264816</v>
      </c>
      <c r="J322" s="167">
        <f t="shared" si="18"/>
        <v>1088.0202829946975</v>
      </c>
      <c r="K322" s="167">
        <f>$L322*('RD Feedstock Use'!K322/'RD Feedstock Use'!$L322)</f>
        <v>1860.5490651568959</v>
      </c>
      <c r="L322" s="167">
        <f t="shared" si="20"/>
        <v>2948.5693481515932</v>
      </c>
      <c r="M322" s="168">
        <f>[5]SAF!$AB26/1000000</f>
        <v>399.08224385461898</v>
      </c>
      <c r="N322" s="169">
        <f t="shared" si="21"/>
        <v>7.38837518721009</v>
      </c>
      <c r="O322" s="167">
        <f t="shared" si="19"/>
        <v>3027.2952892619446</v>
      </c>
      <c r="P322" s="170">
        <f t="shared" si="22"/>
        <v>7.5856426485482853</v>
      </c>
    </row>
    <row r="323" spans="1:16" x14ac:dyDescent="0.2">
      <c r="A323" s="155">
        <v>49919</v>
      </c>
      <c r="B323" s="167">
        <f>$L323*('RD Feedstock Use'!B323/'RD Feedstock Use'!$L323)</f>
        <v>1008.6069250167276</v>
      </c>
      <c r="C323" s="167">
        <f>$L323*('RD Feedstock Use'!C323/'RD Feedstock Use'!$L323)</f>
        <v>242.7522966670162</v>
      </c>
      <c r="D323" s="167">
        <f>$L323*('RD Feedstock Use'!D323/'RD Feedstock Use'!$L323)*0.25</f>
        <v>109.01101294542545</v>
      </c>
      <c r="E323" s="167">
        <f>$L323*('RD Feedstock Use'!E323/'RD Feedstock Use'!$L323)</f>
        <v>4.6044854773730428</v>
      </c>
      <c r="F323" s="167">
        <f>$L323*('RD Feedstock Use'!F323/'RD Feedstock Use'!$L323)</f>
        <v>95.878344535784265</v>
      </c>
      <c r="G323" s="167">
        <f>$L323*('RD Feedstock Use'!G323/'RD Feedstock Use'!$L323)</f>
        <v>503.2014755441844</v>
      </c>
      <c r="H323" s="167">
        <f>$L323*('RD Feedstock Use'!H323/'RD Feedstock Use'!$L323)*1.1</f>
        <v>298.53773492667693</v>
      </c>
      <c r="I323" s="167">
        <f>$L323*('RD Feedstock Use'!I323/'RD Feedstock Use'!$L323)</f>
        <v>1535.0015742796891</v>
      </c>
      <c r="J323" s="167">
        <f t="shared" ref="J323:J386" si="23">SUM(B323:C323)</f>
        <v>1251.3592216837437</v>
      </c>
      <c r="K323" s="167">
        <f>$L323*('RD Feedstock Use'!K323/'RD Feedstock Use'!$L323)</f>
        <v>2410.0838206794642</v>
      </c>
      <c r="L323" s="167">
        <f t="shared" si="20"/>
        <v>3661.443042363208</v>
      </c>
      <c r="M323" s="168">
        <f>[5]SAF!$AB27/1000000</f>
        <v>485.65502848193933</v>
      </c>
      <c r="N323" s="169">
        <f t="shared" si="21"/>
        <v>7.5391848691614456</v>
      </c>
      <c r="O323" s="167">
        <f t="shared" si="19"/>
        <v>3770.4540553086335</v>
      </c>
      <c r="P323" s="170">
        <f t="shared" si="22"/>
        <v>7.7636466919622356</v>
      </c>
    </row>
    <row r="324" spans="1:16" x14ac:dyDescent="0.2">
      <c r="A324" s="155">
        <v>49949</v>
      </c>
      <c r="B324" s="167">
        <f>$L324*('RD Feedstock Use'!B324/'RD Feedstock Use'!$L324)</f>
        <v>925.11026930278683</v>
      </c>
      <c r="C324" s="167">
        <f>$L324*('RD Feedstock Use'!C324/'RD Feedstock Use'!$L324)</f>
        <v>316.34971696952238</v>
      </c>
      <c r="D324" s="167">
        <f>$L324*('RD Feedstock Use'!D324/'RD Feedstock Use'!$L324)*0.25+10</f>
        <v>118.43668062397036</v>
      </c>
      <c r="E324" s="167">
        <f>$L324*('RD Feedstock Use'!E324/'RD Feedstock Use'!$L324)</f>
        <v>5.2624941798319487</v>
      </c>
      <c r="F324" s="167">
        <f>$L324*('RD Feedstock Use'!F324/'RD Feedstock Use'!$L324)</f>
        <v>83.384135621037473</v>
      </c>
      <c r="G324" s="167">
        <f>$L324*('RD Feedstock Use'!G324/'RD Feedstock Use'!$L324)</f>
        <v>520.83224355363507</v>
      </c>
      <c r="H324" s="167">
        <f>$L324*('RD Feedstock Use'!H324/'RD Feedstock Use'!$L324)*1.1</f>
        <v>272.87379434391471</v>
      </c>
      <c r="I324" s="167">
        <f>$L324*('RD Feedstock Use'!I324/'RD Feedstock Use'!$L324)</f>
        <v>1431.7043429261034</v>
      </c>
      <c r="J324" s="167">
        <f t="shared" si="23"/>
        <v>1241.4599862723092</v>
      </c>
      <c r="K324" s="167">
        <f>$L324*('RD Feedstock Use'!K324/'RD Feedstock Use'!$L324)</f>
        <v>2289.2503020478034</v>
      </c>
      <c r="L324" s="167">
        <f t="shared" si="20"/>
        <v>3530.7102883201123</v>
      </c>
      <c r="M324" s="168">
        <f>[5]SAF!$AB28/1000000</f>
        <v>472.94060486853897</v>
      </c>
      <c r="N324" s="169">
        <f t="shared" si="21"/>
        <v>7.4654412244884893</v>
      </c>
      <c r="O324" s="167">
        <f t="shared" si="19"/>
        <v>3649.1469689440828</v>
      </c>
      <c r="P324" s="170">
        <f t="shared" si="22"/>
        <v>7.7158673443960657</v>
      </c>
    </row>
    <row r="325" spans="1:16" x14ac:dyDescent="0.2">
      <c r="A325" s="155">
        <v>49980</v>
      </c>
      <c r="B325" s="167">
        <f>$L325*('RD Feedstock Use'!B325/'RD Feedstock Use'!$L325)</f>
        <v>924.28786823211624</v>
      </c>
      <c r="C325" s="167">
        <f>$L325*('RD Feedstock Use'!C325/'RD Feedstock Use'!$L325)</f>
        <v>291.38385548349135</v>
      </c>
      <c r="D325" s="167">
        <f>$L325*('RD Feedstock Use'!D325/'RD Feedstock Use'!$L325)*0.25+10</f>
        <v>96.746895467660892</v>
      </c>
      <c r="E325" s="167">
        <f>$L325*('RD Feedstock Use'!E325/'RD Feedstock Use'!$L325)</f>
        <v>4.166633993727852</v>
      </c>
      <c r="F325" s="167">
        <f>$L325*('RD Feedstock Use'!F325/'RD Feedstock Use'!$L325)</f>
        <v>27.396187840090917</v>
      </c>
      <c r="G325" s="167">
        <f>$L325*('RD Feedstock Use'!G325/'RD Feedstock Use'!$L325)</f>
        <v>489.97874243868279</v>
      </c>
      <c r="H325" s="167">
        <f>$L325*('RD Feedstock Use'!H325/'RD Feedstock Use'!$L325)*1.1</f>
        <v>190.99978657891214</v>
      </c>
      <c r="I325" s="167">
        <f>$L325*('RD Feedstock Use'!I325/'RD Feedstock Use'!$L325)</f>
        <v>1073.0082954514723</v>
      </c>
      <c r="J325" s="167">
        <f t="shared" si="23"/>
        <v>1215.6717237156076</v>
      </c>
      <c r="K325" s="167">
        <f>$L325*('RD Feedstock Use'!K325/'RD Feedstock Use'!$L325)</f>
        <v>1768.1860293411669</v>
      </c>
      <c r="L325" s="167">
        <f t="shared" si="20"/>
        <v>2983.8577530567741</v>
      </c>
      <c r="M325" s="168">
        <f>[5]SAF!$AB29/1000000</f>
        <v>408.35449067827813</v>
      </c>
      <c r="N325" s="169">
        <f t="shared" si="21"/>
        <v>7.3070281365109437</v>
      </c>
      <c r="O325" s="167">
        <f t="shared" si="19"/>
        <v>3080.6046485244356</v>
      </c>
      <c r="P325" s="170">
        <f t="shared" si="22"/>
        <v>7.5439470333913592</v>
      </c>
    </row>
    <row r="326" spans="1:16" x14ac:dyDescent="0.2">
      <c r="A326" s="155">
        <v>50010</v>
      </c>
      <c r="B326" s="167">
        <f>$L326*('RD Feedstock Use'!B326/'RD Feedstock Use'!$L326)</f>
        <v>975.28506514408707</v>
      </c>
      <c r="C326" s="167">
        <f>$L326*('RD Feedstock Use'!C326/'RD Feedstock Use'!$L326)</f>
        <v>294.59573962345434</v>
      </c>
      <c r="D326" s="167">
        <f>$L326*('RD Feedstock Use'!D326/'RD Feedstock Use'!$L326)*0.25+10</f>
        <v>82.981978629820006</v>
      </c>
      <c r="E326" s="167">
        <f>$L326*('RD Feedstock Use'!E326/'RD Feedstock Use'!$L326)</f>
        <v>3.6030303877557537</v>
      </c>
      <c r="F326" s="167">
        <f>$L326*('RD Feedstock Use'!F326/'RD Feedstock Use'!$L326)</f>
        <v>21.172037449998751</v>
      </c>
      <c r="G326" s="167">
        <f>$L326*('RD Feedstock Use'!G326/'RD Feedstock Use'!$L326)</f>
        <v>445.70199149431903</v>
      </c>
      <c r="H326" s="167">
        <f>$L326*('RD Feedstock Use'!H326/'RD Feedstock Use'!$L326)*1.1</f>
        <v>143.96335495501708</v>
      </c>
      <c r="I326" s="167">
        <f>$L326*('RD Feedstock Use'!I326/'RD Feedstock Use'!$L326)</f>
        <v>844.5143163789752</v>
      </c>
      <c r="J326" s="167">
        <f t="shared" si="23"/>
        <v>1269.8808047675413</v>
      </c>
      <c r="K326" s="167">
        <f>$L326*('RD Feedstock Use'!K326/'RD Feedstock Use'!$L326)</f>
        <v>1445.8671529428825</v>
      </c>
      <c r="L326" s="167">
        <f t="shared" si="20"/>
        <v>2715.7479577104241</v>
      </c>
      <c r="M326" s="168">
        <f>[5]SAF!$AB30/1000000</f>
        <v>366.91567278283213</v>
      </c>
      <c r="N326" s="169">
        <f t="shared" si="21"/>
        <v>7.4015588843974101</v>
      </c>
      <c r="O326" s="167">
        <f t="shared" si="19"/>
        <v>2798.729936340244</v>
      </c>
      <c r="P326" s="170">
        <f t="shared" si="22"/>
        <v>7.6277197839862776</v>
      </c>
    </row>
    <row r="327" spans="1:16" x14ac:dyDescent="0.2">
      <c r="A327" s="155">
        <v>50041</v>
      </c>
      <c r="B327" s="167">
        <f>$L327*('RD Feedstock Use'!B327/'RD Feedstock Use'!$L327)</f>
        <v>743.38813918545952</v>
      </c>
      <c r="C327" s="167">
        <f>$L327*('RD Feedstock Use'!C327/'RD Feedstock Use'!$L327)</f>
        <v>185.16910568712206</v>
      </c>
      <c r="D327" s="167">
        <f>$L327*('RD Feedstock Use'!D327/'RD Feedstock Use'!$L327)*0.25+10</f>
        <v>84.158075232800158</v>
      </c>
      <c r="E327" s="167">
        <f>$L327*('RD Feedstock Use'!E327/'RD Feedstock Use'!$L327)</f>
        <v>2.4562283953510828</v>
      </c>
      <c r="F327" s="167">
        <f>$L327*('RD Feedstock Use'!F327/'RD Feedstock Use'!$L327)</f>
        <v>39.437652844244163</v>
      </c>
      <c r="G327" s="167">
        <f>$L327*('RD Feedstock Use'!G327/'RD Feedstock Use'!$L327)</f>
        <v>381.15971433355753</v>
      </c>
      <c r="H327" s="167">
        <f>$L327*('RD Feedstock Use'!H327/'RD Feedstock Use'!$L327)*1.1</f>
        <v>117.17438291239785</v>
      </c>
      <c r="I327" s="167">
        <f>$L327*('RD Feedstock Use'!I327/'RD Feedstock Use'!$L327)</f>
        <v>370.78349821340714</v>
      </c>
      <c r="J327" s="167">
        <f t="shared" si="23"/>
        <v>928.55724487258158</v>
      </c>
      <c r="K327" s="167">
        <f>$L327*('RD Feedstock Use'!K327/'RD Feedstock Use'!$L327)</f>
        <v>900.35926007055798</v>
      </c>
      <c r="L327" s="167">
        <f t="shared" si="20"/>
        <v>1828.9165049431394</v>
      </c>
      <c r="M327" s="168">
        <f>[5]SAF!$AC19/1000000</f>
        <v>242.18886388938623</v>
      </c>
      <c r="N327" s="169">
        <f t="shared" si="21"/>
        <v>7.5516127189830327</v>
      </c>
      <c r="O327" s="167">
        <f t="shared" si="19"/>
        <v>1913.0745801759397</v>
      </c>
      <c r="P327" s="170">
        <f t="shared" si="22"/>
        <v>7.8991021694940073</v>
      </c>
    </row>
    <row r="328" spans="1:16" x14ac:dyDescent="0.2">
      <c r="A328" s="155">
        <v>50072</v>
      </c>
      <c r="B328" s="167">
        <f>$L328*('RD Feedstock Use'!B328/'RD Feedstock Use'!$L328)</f>
        <v>862.79208412809612</v>
      </c>
      <c r="C328" s="167">
        <f>$L328*('RD Feedstock Use'!C328/'RD Feedstock Use'!$L328)</f>
        <v>267.32921317130234</v>
      </c>
      <c r="D328" s="167">
        <f>$L328*('RD Feedstock Use'!D328/'RD Feedstock Use'!$L328)*0.25+10</f>
        <v>121.51345506995808</v>
      </c>
      <c r="E328" s="167">
        <f>$L328*('RD Feedstock Use'!E328/'RD Feedstock Use'!$L328)</f>
        <v>4.2311093371929021</v>
      </c>
      <c r="F328" s="167">
        <f>$L328*('RD Feedstock Use'!F328/'RD Feedstock Use'!$L328)</f>
        <v>61.789802024812793</v>
      </c>
      <c r="G328" s="167">
        <f>$L328*('RD Feedstock Use'!G328/'RD Feedstock Use'!$L328)</f>
        <v>702.16621064639344</v>
      </c>
      <c r="H328" s="167">
        <f>$L328*('RD Feedstock Use'!H328/'RD Feedstock Use'!$L328)*1.1</f>
        <v>135.37986602870677</v>
      </c>
      <c r="I328" s="167">
        <f>$L328*('RD Feedstock Use'!I328/'RD Feedstock Use'!$L328)</f>
        <v>1270.1637159507379</v>
      </c>
      <c r="J328" s="167">
        <f t="shared" si="23"/>
        <v>1130.1212972993985</v>
      </c>
      <c r="K328" s="167">
        <f>$L328*('RD Feedstock Use'!K328/'RD Feedstock Use'!$L328)</f>
        <v>2161.4234434397795</v>
      </c>
      <c r="L328" s="167">
        <f t="shared" si="20"/>
        <v>3291.544740739178</v>
      </c>
      <c r="M328" s="168">
        <f>[5]SAF!$AC20/1000000</f>
        <v>453.10110643873696</v>
      </c>
      <c r="N328" s="169">
        <f t="shared" si="21"/>
        <v>7.264481798797422</v>
      </c>
      <c r="O328" s="167">
        <f t="shared" si="19"/>
        <v>3413.0581958091361</v>
      </c>
      <c r="P328" s="170">
        <f t="shared" si="22"/>
        <v>7.5326635651696652</v>
      </c>
    </row>
    <row r="329" spans="1:16" x14ac:dyDescent="0.2">
      <c r="A329" s="155">
        <v>50100</v>
      </c>
      <c r="B329" s="167">
        <f>$L329*('RD Feedstock Use'!B329/'RD Feedstock Use'!$L329)</f>
        <v>380.34917868445388</v>
      </c>
      <c r="C329" s="167">
        <f>$L329*('RD Feedstock Use'!C329/'RD Feedstock Use'!$L329)</f>
        <v>113.79368491696755</v>
      </c>
      <c r="D329" s="167">
        <f>$L329*('RD Feedstock Use'!D329/'RD Feedstock Use'!$L329)*0.25+10</f>
        <v>50.982020277142659</v>
      </c>
      <c r="E329" s="167">
        <f>$L329*('RD Feedstock Use'!E329/'RD Feedstock Use'!$L329)</f>
        <v>1.6465028879424992</v>
      </c>
      <c r="F329" s="167">
        <f>$L329*('RD Feedstock Use'!F329/'RD Feedstock Use'!$L329)</f>
        <v>35.076848247595386</v>
      </c>
      <c r="G329" s="167">
        <f>$L329*('RD Feedstock Use'!G329/'RD Feedstock Use'!$L329)</f>
        <v>236.45746019508516</v>
      </c>
      <c r="H329" s="167">
        <f>$L329*('RD Feedstock Use'!H329/'RD Feedstock Use'!$L329)*1.1</f>
        <v>84.40058131469263</v>
      </c>
      <c r="I329" s="167">
        <f>$L329*('RD Feedstock Use'!I329/'RD Feedstock Use'!$L329)</f>
        <v>483.32104473185927</v>
      </c>
      <c r="J329" s="167">
        <f t="shared" si="23"/>
        <v>494.14286360142142</v>
      </c>
      <c r="K329" s="167">
        <f>$L329*('RD Feedstock Use'!K329/'RD Feedstock Use'!$L329)</f>
        <v>833.22965725765732</v>
      </c>
      <c r="L329" s="167">
        <f t="shared" si="20"/>
        <v>1327.3725208590788</v>
      </c>
      <c r="M329" s="168">
        <f>[5]SAF!$AC21/1000000</f>
        <v>183.13901365481985</v>
      </c>
      <c r="N329" s="169">
        <f t="shared" si="21"/>
        <v>7.2478959800499343</v>
      </c>
      <c r="O329" s="167">
        <f t="shared" si="19"/>
        <v>1378.3545411362215</v>
      </c>
      <c r="P329" s="170">
        <f t="shared" si="22"/>
        <v>7.5262747878185161</v>
      </c>
    </row>
    <row r="330" spans="1:16" x14ac:dyDescent="0.2">
      <c r="A330" s="155">
        <v>50131</v>
      </c>
      <c r="B330" s="167">
        <f>$L330*('RD Feedstock Use'!B330/'RD Feedstock Use'!$L330)</f>
        <v>582.93735221661973</v>
      </c>
      <c r="C330" s="167">
        <f>$L330*('RD Feedstock Use'!C330/'RD Feedstock Use'!$L330)</f>
        <v>152.0904757456957</v>
      </c>
      <c r="D330" s="167">
        <f>$L330*('RD Feedstock Use'!D330/'RD Feedstock Use'!$L330)*0.25+10</f>
        <v>70.482525218041729</v>
      </c>
      <c r="E330" s="167">
        <f>$L330*('RD Feedstock Use'!E330/'RD Feedstock Use'!$L330)</f>
        <v>2.5926078046672596</v>
      </c>
      <c r="F330" s="167">
        <f>$L330*('RD Feedstock Use'!F330/'RD Feedstock Use'!$L330)</f>
        <v>63.491386891540088</v>
      </c>
      <c r="G330" s="167">
        <f>$L330*('RD Feedstock Use'!G330/'RD Feedstock Use'!$L330)</f>
        <v>216.42971446158734</v>
      </c>
      <c r="H330" s="167">
        <f>$L330*('RD Feedstock Use'!H330/'RD Feedstock Use'!$L330)*1.1</f>
        <v>180.55814136845387</v>
      </c>
      <c r="I330" s="167">
        <f>$L330*('RD Feedstock Use'!I330/'RD Feedstock Use'!$L330)</f>
        <v>983.42704242012974</v>
      </c>
      <c r="J330" s="167">
        <f t="shared" si="23"/>
        <v>735.02782796231543</v>
      </c>
      <c r="K330" s="167">
        <f>$L330*('RD Feedstock Use'!K330/'RD Feedstock Use'!$L330)</f>
        <v>1430.084516458337</v>
      </c>
      <c r="L330" s="167">
        <f t="shared" si="20"/>
        <v>2165.1123444206523</v>
      </c>
      <c r="M330" s="168">
        <f>[5]SAF!$AC22/1000000</f>
        <v>292.51860505435013</v>
      </c>
      <c r="N330" s="169">
        <f t="shared" si="21"/>
        <v>7.4016226900110267</v>
      </c>
      <c r="O330" s="167">
        <f t="shared" si="19"/>
        <v>2235.594869638694</v>
      </c>
      <c r="P330" s="170">
        <f t="shared" si="22"/>
        <v>7.6425732620436886</v>
      </c>
    </row>
    <row r="331" spans="1:16" x14ac:dyDescent="0.2">
      <c r="A331" s="155">
        <v>50161</v>
      </c>
      <c r="B331" s="167">
        <f>$L331*('RD Feedstock Use'!B331/'RD Feedstock Use'!$L331)</f>
        <v>665.84811198119792</v>
      </c>
      <c r="C331" s="167">
        <f>$L331*('RD Feedstock Use'!C331/'RD Feedstock Use'!$L331)</f>
        <v>270.51116962254753</v>
      </c>
      <c r="D331" s="167">
        <f>$L331*('RD Feedstock Use'!D331/'RD Feedstock Use'!$L331)*0.25+10</f>
        <v>77.957173812787985</v>
      </c>
      <c r="E331" s="167">
        <f>$L331*('RD Feedstock Use'!E331/'RD Feedstock Use'!$L331)</f>
        <v>3.3786920317903522</v>
      </c>
      <c r="F331" s="167">
        <f>$L331*('RD Feedstock Use'!F331/'RD Feedstock Use'!$L331)</f>
        <v>72.58192373144449</v>
      </c>
      <c r="G331" s="167">
        <f>$L331*('RD Feedstock Use'!G331/'RD Feedstock Use'!$L331)</f>
        <v>317.71546908938359</v>
      </c>
      <c r="H331" s="167">
        <f>$L331*('RD Feedstock Use'!H331/'RD Feedstock Use'!$L331)*1.1</f>
        <v>199.20572940226788</v>
      </c>
      <c r="I331" s="167">
        <f>$L331*('RD Feedstock Use'!I331/'RD Feedstock Use'!$L331)</f>
        <v>1366.7792124536129</v>
      </c>
      <c r="J331" s="167">
        <f t="shared" si="23"/>
        <v>936.35928160374544</v>
      </c>
      <c r="K331" s="167">
        <f>$L331*('RD Feedstock Use'!K331/'RD Feedstock Use'!$L331)</f>
        <v>1941.5514149446569</v>
      </c>
      <c r="L331" s="167">
        <f t="shared" si="20"/>
        <v>2877.910696548402</v>
      </c>
      <c r="M331" s="168">
        <f>[5]SAF!$AC23/1000000</f>
        <v>385.55849724723379</v>
      </c>
      <c r="N331" s="169">
        <f t="shared" si="21"/>
        <v>7.4642647408779155</v>
      </c>
      <c r="O331" s="167">
        <f t="shared" si="19"/>
        <v>2955.8678703611904</v>
      </c>
      <c r="P331" s="170">
        <f t="shared" si="22"/>
        <v>7.6664575971354694</v>
      </c>
    </row>
    <row r="332" spans="1:16" x14ac:dyDescent="0.2">
      <c r="A332" s="155">
        <v>50192</v>
      </c>
      <c r="B332" s="167">
        <f>$L332*('RD Feedstock Use'!B332/'RD Feedstock Use'!$L332)</f>
        <v>666.16827156187082</v>
      </c>
      <c r="C332" s="167">
        <f>$L332*('RD Feedstock Use'!C332/'RD Feedstock Use'!$L332)</f>
        <v>215.31389052331485</v>
      </c>
      <c r="D332" s="167">
        <f>$L332*('RD Feedstock Use'!D332/'RD Feedstock Use'!$L332)*0.25+10</f>
        <v>77.878175500542739</v>
      </c>
      <c r="E332" s="167">
        <f>$L332*('RD Feedstock Use'!E332/'RD Feedstock Use'!$L332)</f>
        <v>2.9340866675554325</v>
      </c>
      <c r="F332" s="167">
        <f>$L332*('RD Feedstock Use'!F332/'RD Feedstock Use'!$L332)</f>
        <v>79.665322741592405</v>
      </c>
      <c r="G332" s="167">
        <f>$L332*('RD Feedstock Use'!G332/'RD Feedstock Use'!$L332)</f>
        <v>323.54341558507008</v>
      </c>
      <c r="H332" s="167">
        <f>$L332*('RD Feedstock Use'!H332/'RD Feedstock Use'!$L332)*1.1</f>
        <v>213.34185112061414</v>
      </c>
      <c r="I332" s="167">
        <f>$L332*('RD Feedstock Use'!I332/'RD Feedstock Use'!$L332)</f>
        <v>1212.7180422156323</v>
      </c>
      <c r="J332" s="167">
        <f t="shared" si="23"/>
        <v>881.48216208518568</v>
      </c>
      <c r="K332" s="167">
        <f>$L332*('RD Feedstock Use'!K332/'RD Feedstock Use'!$L332)</f>
        <v>1812.8080045922268</v>
      </c>
      <c r="L332" s="167">
        <f t="shared" si="20"/>
        <v>2694.2901666774123</v>
      </c>
      <c r="M332" s="168">
        <f>[5]SAF!$AC24/1000000</f>
        <v>366.45429076937745</v>
      </c>
      <c r="N332" s="169">
        <f t="shared" si="21"/>
        <v>7.3523226076046244</v>
      </c>
      <c r="O332" s="167">
        <f t="shared" si="19"/>
        <v>2772.1683421779553</v>
      </c>
      <c r="P332" s="170">
        <f t="shared" si="22"/>
        <v>7.5648407236758981</v>
      </c>
    </row>
    <row r="333" spans="1:16" x14ac:dyDescent="0.2">
      <c r="A333" s="155">
        <v>50222</v>
      </c>
      <c r="B333" s="167">
        <f>$L333*('RD Feedstock Use'!B333/'RD Feedstock Use'!$L333)</f>
        <v>886.59497586060365</v>
      </c>
      <c r="C333" s="167">
        <f>$L333*('RD Feedstock Use'!C333/'RD Feedstock Use'!$L333)</f>
        <v>340.97157271504256</v>
      </c>
      <c r="D333" s="167">
        <f>$L333*('RD Feedstock Use'!D333/'RD Feedstock Use'!$L333)*0.25+10</f>
        <v>91.936795881225905</v>
      </c>
      <c r="E333" s="167">
        <f>$L333*('RD Feedstock Use'!E333/'RD Feedstock Use'!$L333)</f>
        <v>3.1922071021443599</v>
      </c>
      <c r="F333" s="167">
        <f>$L333*('RD Feedstock Use'!F333/'RD Feedstock Use'!$L333)</f>
        <v>91.086200493691862</v>
      </c>
      <c r="G333" s="167">
        <f>$L333*('RD Feedstock Use'!G333/'RD Feedstock Use'!$L333)</f>
        <v>403.99384797116284</v>
      </c>
      <c r="H333" s="167">
        <f>$L333*('RD Feedstock Use'!H333/'RD Feedstock Use'!$L333)*1.1</f>
        <v>245.55543298065726</v>
      </c>
      <c r="I333" s="167">
        <f>$L333*('RD Feedstock Use'!I333/'RD Feedstock Use'!$L333)</f>
        <v>1030.5970297277208</v>
      </c>
      <c r="J333" s="167">
        <f t="shared" si="23"/>
        <v>1227.5665485756463</v>
      </c>
      <c r="K333" s="167">
        <f>$L333*('RD Feedstock Use'!K333/'RD Feedstock Use'!$L333)</f>
        <v>1752.1014970953177</v>
      </c>
      <c r="L333" s="167">
        <f t="shared" si="20"/>
        <v>2979.6680456709637</v>
      </c>
      <c r="M333" s="168">
        <f>[5]SAF!$AC25/1000000</f>
        <v>399.82269451615718</v>
      </c>
      <c r="N333" s="169">
        <f t="shared" si="21"/>
        <v>7.4524735252379539</v>
      </c>
      <c r="O333" s="167">
        <f t="shared" si="19"/>
        <v>3071.6048415521896</v>
      </c>
      <c r="P333" s="170">
        <f t="shared" si="22"/>
        <v>7.6824174407340031</v>
      </c>
    </row>
    <row r="334" spans="1:16" x14ac:dyDescent="0.2">
      <c r="A334" s="155">
        <v>50253</v>
      </c>
      <c r="B334" s="167">
        <f>$L334*('RD Feedstock Use'!B334/'RD Feedstock Use'!$L334)</f>
        <v>972.12945759075535</v>
      </c>
      <c r="C334" s="167">
        <f>$L334*('RD Feedstock Use'!C334/'RD Feedstock Use'!$L334)</f>
        <v>279.91780744782812</v>
      </c>
      <c r="D334" s="167">
        <f>$L334*('RD Feedstock Use'!D334/'RD Feedstock Use'!$L334)*0.25</f>
        <v>83.126999757184819</v>
      </c>
      <c r="E334" s="167">
        <f>$L334*('RD Feedstock Use'!E334/'RD Feedstock Use'!$L334)</f>
        <v>3.4107199067698946</v>
      </c>
      <c r="F334" s="167">
        <f>$L334*('RD Feedstock Use'!F334/'RD Feedstock Use'!$L334)</f>
        <v>73.609480460358739</v>
      </c>
      <c r="G334" s="167">
        <f>$L334*('RD Feedstock Use'!G334/'RD Feedstock Use'!$L334)</f>
        <v>449.04948610848857</v>
      </c>
      <c r="H334" s="167">
        <f>$L334*('RD Feedstock Use'!H334/'RD Feedstock Use'!$L334)*1.1</f>
        <v>271.34738313266854</v>
      </c>
      <c r="I334" s="167">
        <f>$L334*('RD Feedstock Use'!I334/'RD Feedstock Use'!$L334)</f>
        <v>1186.3820287961776</v>
      </c>
      <c r="J334" s="167">
        <f t="shared" si="23"/>
        <v>1252.0472650385834</v>
      </c>
      <c r="K334" s="167">
        <f>$L334*('RD Feedstock Use'!K334/'RD Feedstock Use'!$L334)</f>
        <v>1959.1311544833118</v>
      </c>
      <c r="L334" s="167">
        <f t="shared" si="20"/>
        <v>3211.1784195218952</v>
      </c>
      <c r="M334" s="168">
        <f>[5]SAF!$AC26/1000000</f>
        <v>434.56991287510226</v>
      </c>
      <c r="N334" s="169">
        <f t="shared" si="21"/>
        <v>7.389325225662378</v>
      </c>
      <c r="O334" s="167">
        <f t="shared" si="19"/>
        <v>3294.3054192790801</v>
      </c>
      <c r="P334" s="170">
        <f t="shared" si="22"/>
        <v>7.5806109021309105</v>
      </c>
    </row>
    <row r="335" spans="1:16" x14ac:dyDescent="0.2">
      <c r="A335" s="155">
        <v>50284</v>
      </c>
      <c r="B335" s="167">
        <f>$L335*('RD Feedstock Use'!B335/'RD Feedstock Use'!$L335)</f>
        <v>1182.0180633338357</v>
      </c>
      <c r="C335" s="167">
        <f>$L335*('RD Feedstock Use'!C335/'RD Feedstock Use'!$L335)</f>
        <v>264.0483840019719</v>
      </c>
      <c r="D335" s="167">
        <f>$L335*('RD Feedstock Use'!D335/'RD Feedstock Use'!$L335)*0.25</f>
        <v>115.06730080892646</v>
      </c>
      <c r="E335" s="167">
        <f>$L335*('RD Feedstock Use'!E335/'RD Feedstock Use'!$L335)</f>
        <v>5.0157946709658141</v>
      </c>
      <c r="F335" s="167">
        <f>$L335*('RD Feedstock Use'!F335/'RD Feedstock Use'!$L335)</f>
        <v>104.30163520138406</v>
      </c>
      <c r="G335" s="167">
        <f>$L335*('RD Feedstock Use'!G335/'RD Feedstock Use'!$L335)</f>
        <v>551.9148607425758</v>
      </c>
      <c r="H335" s="167">
        <f>$L335*('RD Feedstock Use'!H335/'RD Feedstock Use'!$L335)*1.1</f>
        <v>295.42114600455602</v>
      </c>
      <c r="I335" s="167">
        <f>$L335*('RD Feedstock Use'!I335/'RD Feedstock Use'!$L335)</f>
        <v>1611.7864907546584</v>
      </c>
      <c r="J335" s="167">
        <f t="shared" si="23"/>
        <v>1446.0664473358077</v>
      </c>
      <c r="K335" s="167">
        <f>$L335*('RD Feedstock Use'!K335/'RD Feedstock Use'!$L335)</f>
        <v>2541.5834595555443</v>
      </c>
      <c r="L335" s="167">
        <f t="shared" si="20"/>
        <v>3987.6499068913517</v>
      </c>
      <c r="M335" s="168">
        <f>[5]SAF!$AC27/1000000</f>
        <v>528.83698562768939</v>
      </c>
      <c r="N335" s="169">
        <f t="shared" si="21"/>
        <v>7.5404141829420528</v>
      </c>
      <c r="O335" s="167">
        <f t="shared" si="19"/>
        <v>4102.7172077002779</v>
      </c>
      <c r="P335" s="170">
        <f t="shared" si="22"/>
        <v>7.7579997602298256</v>
      </c>
    </row>
    <row r="336" spans="1:16" x14ac:dyDescent="0.2">
      <c r="A336" s="155">
        <v>50314</v>
      </c>
      <c r="B336" s="167">
        <f>$L336*('RD Feedstock Use'!B336/'RD Feedstock Use'!$L336)</f>
        <v>1038.8315063014468</v>
      </c>
      <c r="C336" s="167">
        <f>$L336*('RD Feedstock Use'!C336/'RD Feedstock Use'!$L336)</f>
        <v>343.88952082375368</v>
      </c>
      <c r="D336" s="167">
        <f>$L336*('RD Feedstock Use'!D336/'RD Feedstock Use'!$L336)*0.25+10</f>
        <v>120.02932157039209</v>
      </c>
      <c r="E336" s="167">
        <f>$L336*('RD Feedstock Use'!E336/'RD Feedstock Use'!$L336)</f>
        <v>5.7363628951058105</v>
      </c>
      <c r="F336" s="167">
        <f>$L336*('RD Feedstock Use'!F336/'RD Feedstock Use'!$L336)</f>
        <v>90.997565572878372</v>
      </c>
      <c r="G336" s="167">
        <f>$L336*('RD Feedstock Use'!G336/'RD Feedstock Use'!$L336)</f>
        <v>567.02705218453445</v>
      </c>
      <c r="H336" s="167">
        <f>$L336*('RD Feedstock Use'!H336/'RD Feedstock Use'!$L336)</f>
        <v>260.29659356777859</v>
      </c>
      <c r="I336" s="167">
        <f>$L336*('RD Feedstock Use'!I336/'RD Feedstock Use'!$L336)</f>
        <v>1538.4779907086536</v>
      </c>
      <c r="J336" s="167">
        <f t="shared" si="23"/>
        <v>1382.7210271252004</v>
      </c>
      <c r="K336" s="167">
        <f>$L336*('RD Feedstock Use'!K336/'RD Feedstock Use'!$L336)</f>
        <v>2462.5355649289504</v>
      </c>
      <c r="L336" s="167">
        <f t="shared" si="20"/>
        <v>3845.2565920541515</v>
      </c>
      <c r="M336" s="168">
        <f>[5]SAF!$AC28/1000000</f>
        <v>515.03016472771515</v>
      </c>
      <c r="N336" s="169">
        <f t="shared" si="21"/>
        <v>7.4660803490744119</v>
      </c>
      <c r="O336" s="167">
        <f t="shared" si="19"/>
        <v>3965.2859136245434</v>
      </c>
      <c r="P336" s="170">
        <f t="shared" si="22"/>
        <v>7.6991333424536421</v>
      </c>
    </row>
    <row r="337" spans="1:16" x14ac:dyDescent="0.2">
      <c r="A337" s="155">
        <v>50345</v>
      </c>
      <c r="B337" s="167">
        <f>$L337*('RD Feedstock Use'!B337/'RD Feedstock Use'!$L337)</f>
        <v>1052.6945148514164</v>
      </c>
      <c r="C337" s="167">
        <f>$L337*('RD Feedstock Use'!C337/'RD Feedstock Use'!$L337)</f>
        <v>316.91910294252341</v>
      </c>
      <c r="D337" s="167">
        <f>$L337*('RD Feedstock Use'!D337/'RD Feedstock Use'!$L337)*0.25+10</f>
        <v>97.782809088670788</v>
      </c>
      <c r="E337" s="167">
        <f>$L337*('RD Feedstock Use'!E337/'RD Feedstock Use'!$L337)</f>
        <v>4.540685917786953</v>
      </c>
      <c r="F337" s="167">
        <f>$L337*('RD Feedstock Use'!F337/'RD Feedstock Use'!$L337)</f>
        <v>29.973636468261535</v>
      </c>
      <c r="G337" s="167">
        <f>$L337*('RD Feedstock Use'!G337/'RD Feedstock Use'!$L337)</f>
        <v>532.92634550301136</v>
      </c>
      <c r="H337" s="167">
        <f>$L337*('RD Feedstock Use'!H337/'RD Feedstock Use'!$L337)</f>
        <v>181.73397956328944</v>
      </c>
      <c r="I337" s="167">
        <f>$L337*('RD Feedstock Use'!I337/'RD Feedstock Use'!$L337)</f>
        <v>1130.8704233746921</v>
      </c>
      <c r="J337" s="167">
        <f t="shared" si="23"/>
        <v>1369.6136177939397</v>
      </c>
      <c r="K337" s="167">
        <f>$L337*('RD Feedstock Use'!K337/'RD Feedstock Use'!$L337)</f>
        <v>1880.0450708270414</v>
      </c>
      <c r="L337" s="167">
        <f t="shared" si="20"/>
        <v>3249.6586886209811</v>
      </c>
      <c r="M337" s="168">
        <f>[5]SAF!$AC29/1000000</f>
        <v>444.81549949839359</v>
      </c>
      <c r="N337" s="169">
        <f t="shared" si="21"/>
        <v>7.3056327674856956</v>
      </c>
      <c r="O337" s="167">
        <f t="shared" si="19"/>
        <v>3347.4414977096521</v>
      </c>
      <c r="P337" s="170">
        <f t="shared" si="22"/>
        <v>7.5254605594554853</v>
      </c>
    </row>
    <row r="338" spans="1:16" x14ac:dyDescent="0.2">
      <c r="A338" s="155">
        <v>50375</v>
      </c>
      <c r="B338" s="167">
        <f>$L338*('RD Feedstock Use'!B338/'RD Feedstock Use'!$L338)</f>
        <v>1029.3094315019175</v>
      </c>
      <c r="C338" s="167">
        <f>$L338*('RD Feedstock Use'!C338/'RD Feedstock Use'!$L338)</f>
        <v>320.4312716055058</v>
      </c>
      <c r="D338" s="167">
        <f>$L338*('RD Feedstock Use'!D338/'RD Feedstock Use'!$L338)*0.25+10</f>
        <v>83.761206210241696</v>
      </c>
      <c r="E338" s="167">
        <f>$L338*('RD Feedstock Use'!E338/'RD Feedstock Use'!$L338)</f>
        <v>3.9267404873801866</v>
      </c>
      <c r="F338" s="167">
        <f>$L338*('RD Feedstock Use'!F338/'RD Feedstock Use'!$L338)</f>
        <v>23.228340589578526</v>
      </c>
      <c r="G338" s="167">
        <f>$L338*('RD Feedstock Use'!G338/'RD Feedstock Use'!$L338)</f>
        <v>485.59422852821143</v>
      </c>
      <c r="H338" s="167">
        <f>$L338*('RD Feedstock Use'!H338/'RD Feedstock Use'!$L338)</f>
        <v>133.43967362768876</v>
      </c>
      <c r="I338" s="167">
        <f>$L338*('RD Feedstock Use'!I338/'RD Feedstock Use'!$L338)</f>
        <v>962.18805859992892</v>
      </c>
      <c r="J338" s="167">
        <f t="shared" si="23"/>
        <v>1349.7407031074233</v>
      </c>
      <c r="K338" s="167">
        <f>$L338*('RD Feedstock Use'!K338/'RD Feedstock Use'!$L338)</f>
        <v>1608.3770418327879</v>
      </c>
      <c r="L338" s="167">
        <f t="shared" si="20"/>
        <v>2958.1177449402112</v>
      </c>
      <c r="M338" s="168">
        <f>[5]SAF!$AC30/1000000</f>
        <v>399.6737963959813</v>
      </c>
      <c r="N338" s="169">
        <f t="shared" si="21"/>
        <v>7.4013302138262347</v>
      </c>
      <c r="O338" s="167">
        <f t="shared" si="19"/>
        <v>3041.8789511504528</v>
      </c>
      <c r="P338" s="170">
        <f t="shared" si="22"/>
        <v>7.610904138775906</v>
      </c>
    </row>
    <row r="339" spans="1:16" x14ac:dyDescent="0.2">
      <c r="A339" s="155">
        <v>50406</v>
      </c>
      <c r="B339" s="167">
        <f>$L339*('RD Feedstock Use'!B339/'RD Feedstock Use'!$L339)</f>
        <v>838.65330683061336</v>
      </c>
      <c r="C339" s="167">
        <f>$L339*('RD Feedstock Use'!C339/'RD Feedstock Use'!$L339)</f>
        <v>208.20738874375982</v>
      </c>
      <c r="D339" s="167">
        <f>$L339*('RD Feedstock Use'!D339/'RD Feedstock Use'!$L339)*0.25+10</f>
        <v>87.056229536020396</v>
      </c>
      <c r="E339" s="167">
        <f>$L339*('RD Feedstock Use'!E339/'RD Feedstock Use'!$L339)</f>
        <v>2.7584991570811983</v>
      </c>
      <c r="F339" s="167">
        <f>$L339*('RD Feedstock Use'!F339/'RD Feedstock Use'!$L339)</f>
        <v>44.300105526660552</v>
      </c>
      <c r="G339" s="167">
        <f>$L339*('RD Feedstock Use'!G339/'RD Feedstock Use'!$L339)</f>
        <v>427.16656283913483</v>
      </c>
      <c r="H339" s="167">
        <f>$L339*('RD Feedstock Use'!H339/'RD Feedstock Use'!$L339)</f>
        <v>107.81757830299713</v>
      </c>
      <c r="I339" s="167">
        <f>$L339*('RD Feedstock Use'!I339/'RD Feedstock Use'!$L339)</f>
        <v>424.3673341514554</v>
      </c>
      <c r="J339" s="167">
        <f t="shared" si="23"/>
        <v>1046.8606955743733</v>
      </c>
      <c r="K339" s="167">
        <f>$L339*('RD Feedstock Use'!K339/'RD Feedstock Use'!$L339)</f>
        <v>1006.410079977329</v>
      </c>
      <c r="L339" s="167">
        <f t="shared" si="20"/>
        <v>2053.2707755517022</v>
      </c>
      <c r="M339" s="168">
        <f>[5]SAF!$AD19/1000000</f>
        <v>271.90029141320002</v>
      </c>
      <c r="N339" s="169">
        <f t="shared" si="21"/>
        <v>7.5515578334978617</v>
      </c>
      <c r="O339" s="167">
        <f t="shared" si="19"/>
        <v>2140.3270050877227</v>
      </c>
      <c r="P339" s="170">
        <f t="shared" si="22"/>
        <v>7.8717348700267546</v>
      </c>
    </row>
    <row r="340" spans="1:16" x14ac:dyDescent="0.2">
      <c r="A340" s="155">
        <v>50437</v>
      </c>
      <c r="B340" s="167">
        <f>$L340*('RD Feedstock Use'!B340/'RD Feedstock Use'!$L340)</f>
        <v>983.68199810430008</v>
      </c>
      <c r="C340" s="167">
        <f>$L340*('RD Feedstock Use'!C340/'RD Feedstock Use'!$L340)</f>
        <v>300.69790757433958</v>
      </c>
      <c r="D340" s="167">
        <f>$L340*('RD Feedstock Use'!D340/'RD Feedstock Use'!$L340)*0.25+10</f>
        <v>126.16881936175415</v>
      </c>
      <c r="E340" s="167">
        <f>$L340*('RD Feedstock Use'!E340/'RD Feedstock Use'!$L340)</f>
        <v>4.7573967034136944</v>
      </c>
      <c r="F340" s="167">
        <f>$L340*('RD Feedstock Use'!F340/'RD Feedstock Use'!$L340)</f>
        <v>69.518337957083048</v>
      </c>
      <c r="G340" s="167">
        <f>$L340*('RD Feedstock Use'!G340/'RD Feedstock Use'!$L340)</f>
        <v>788.3792806488384</v>
      </c>
      <c r="H340" s="167">
        <f>$L340*('RD Feedstock Use'!H340/'RD Feedstock Use'!$L340)</f>
        <v>119.93237596101396</v>
      </c>
      <c r="I340" s="167">
        <f>$L340*('RD Feedstock Use'!I340/'RD Feedstock Use'!$L340)</f>
        <v>1432.4594817426453</v>
      </c>
      <c r="J340" s="167">
        <f t="shared" si="23"/>
        <v>1284.3799056786397</v>
      </c>
      <c r="K340" s="167">
        <f>$L340*('RD Feedstock Use'!K340/'RD Feedstock Use'!$L340)</f>
        <v>2415.0468730129942</v>
      </c>
      <c r="L340" s="167">
        <f t="shared" si="20"/>
        <v>3699.4267786916339</v>
      </c>
      <c r="M340" s="168">
        <f>[5]SAF!$AD20/1000000</f>
        <v>509.185560969557</v>
      </c>
      <c r="N340" s="169">
        <f t="shared" si="21"/>
        <v>7.2653803686959098</v>
      </c>
      <c r="O340" s="167">
        <f t="shared" si="19"/>
        <v>3825.5955980533881</v>
      </c>
      <c r="P340" s="170">
        <f t="shared" si="22"/>
        <v>7.5131659090429537</v>
      </c>
    </row>
    <row r="341" spans="1:16" x14ac:dyDescent="0.2">
      <c r="A341" s="155">
        <v>50465</v>
      </c>
      <c r="B341" s="167">
        <f>$L341*('RD Feedstock Use'!B341/'RD Feedstock Use'!$L341)</f>
        <v>432.25662478340865</v>
      </c>
      <c r="C341" s="167">
        <f>$L341*('RD Feedstock Use'!C341/'RD Feedstock Use'!$L341)</f>
        <v>127.91713797650723</v>
      </c>
      <c r="D341" s="167">
        <f>$L341*('RD Feedstock Use'!D341/'RD Feedstock Use'!$L341)*0.25+10</f>
        <v>52.647546142947611</v>
      </c>
      <c r="E341" s="167">
        <f>$L341*('RD Feedstock Use'!E341/'RD Feedstock Use'!$L341)</f>
        <v>1.8495333082082916</v>
      </c>
      <c r="F341" s="167">
        <f>$L341*('RD Feedstock Use'!F341/'RD Feedstock Use'!$L341)</f>
        <v>39.407373857220435</v>
      </c>
      <c r="G341" s="167">
        <f>$L341*('RD Feedstock Use'!G341/'RD Feedstock Use'!$L341)</f>
        <v>265.16011105534278</v>
      </c>
      <c r="H341" s="167">
        <f>$L341*('RD Feedstock Use'!H341/'RD Feedstock Use'!$L341)</f>
        <v>78.791857057403064</v>
      </c>
      <c r="I341" s="167">
        <f>$L341*('RD Feedstock Use'!I341/'RD Feedstock Use'!$L341)</f>
        <v>544.96329239729243</v>
      </c>
      <c r="J341" s="167">
        <f t="shared" si="23"/>
        <v>560.17376275991592</v>
      </c>
      <c r="K341" s="167">
        <f>$L341*('RD Feedstock Use'!K341/'RD Feedstock Use'!$L341)</f>
        <v>930.17216767546688</v>
      </c>
      <c r="L341" s="167">
        <f t="shared" si="20"/>
        <v>1490.3459304353828</v>
      </c>
      <c r="M341" s="168">
        <f>[5]SAF!$AD21/1000000</f>
        <v>205.59702229338293</v>
      </c>
      <c r="N341" s="169">
        <f t="shared" si="21"/>
        <v>7.2488692385276297</v>
      </c>
      <c r="O341" s="167">
        <f t="shared" si="19"/>
        <v>1542.9934765783305</v>
      </c>
      <c r="P341" s="170">
        <f t="shared" si="22"/>
        <v>7.5049407786485789</v>
      </c>
    </row>
    <row r="342" spans="1:16" x14ac:dyDescent="0.2">
      <c r="A342" s="155">
        <v>50496</v>
      </c>
      <c r="B342" s="167">
        <f>$L342*('RD Feedstock Use'!B342/'RD Feedstock Use'!$L342)</f>
        <v>663.79382607662251</v>
      </c>
      <c r="C342" s="167">
        <f>$L342*('RD Feedstock Use'!C342/'RD Feedstock Use'!$L342)</f>
        <v>170.95185436844136</v>
      </c>
      <c r="D342" s="167">
        <f>$L342*('RD Feedstock Use'!D342/'RD Feedstock Use'!$L342)*0.25+10</f>
        <v>73.012661988582266</v>
      </c>
      <c r="E342" s="167">
        <f>$L342*('RD Feedstock Use'!E342/'RD Feedstock Use'!$L342)</f>
        <v>2.9137733434809929</v>
      </c>
      <c r="F342" s="167">
        <f>$L342*('RD Feedstock Use'!F342/'RD Feedstock Use'!$L342)</f>
        <v>71.228695690715682</v>
      </c>
      <c r="G342" s="167">
        <f>$L342*('RD Feedstock Use'!G342/'RD Feedstock Use'!$L342)</f>
        <v>243.09556145729348</v>
      </c>
      <c r="H342" s="167">
        <f>$L342*('RD Feedstock Use'!H342/'RD Feedstock Use'!$L342)</f>
        <v>172.39365514352062</v>
      </c>
      <c r="I342" s="167">
        <f>$L342*('RD Feedstock Use'!I342/'RD Feedstock Use'!$L342)</f>
        <v>1107.5368906860313</v>
      </c>
      <c r="J342" s="167">
        <f t="shared" si="23"/>
        <v>834.74568044506384</v>
      </c>
      <c r="K342" s="167">
        <f>$L342*('RD Feedstock Use'!K342/'RD Feedstock Use'!$L342)</f>
        <v>1597.1685763210421</v>
      </c>
      <c r="L342" s="167">
        <f t="shared" si="20"/>
        <v>2431.9142567661061</v>
      </c>
      <c r="M342" s="168">
        <f>[5]SAF!$AD22/1000000</f>
        <v>328.53741685152795</v>
      </c>
      <c r="N342" s="169">
        <f t="shared" si="21"/>
        <v>7.4022444081769008</v>
      </c>
      <c r="O342" s="167">
        <f t="shared" si="19"/>
        <v>2504.9269187546884</v>
      </c>
      <c r="P342" s="170">
        <f t="shared" si="22"/>
        <v>7.6244798621726257</v>
      </c>
    </row>
    <row r="343" spans="1:16" x14ac:dyDescent="0.2">
      <c r="A343" s="155">
        <v>50526</v>
      </c>
      <c r="B343" s="167">
        <f>$L343*('RD Feedstock Use'!B343/'RD Feedstock Use'!$L343)</f>
        <v>738.79257508874787</v>
      </c>
      <c r="C343" s="167">
        <f>$L343*('RD Feedstock Use'!C343/'RD Feedstock Use'!$L343)</f>
        <v>304.24468896503936</v>
      </c>
      <c r="D343" s="167">
        <f>$L343*('RD Feedstock Use'!D343/'RD Feedstock Use'!$L343)*0.25+10</f>
        <v>80.938101766808614</v>
      </c>
      <c r="E343" s="167">
        <f>$L343*('RD Feedstock Use'!E343/'RD Feedstock Use'!$L343)</f>
        <v>3.7963412032876613</v>
      </c>
      <c r="F343" s="167">
        <f>$L343*('RD Feedstock Use'!F343/'RD Feedstock Use'!$L343)</f>
        <v>81.458119172648225</v>
      </c>
      <c r="G343" s="167">
        <f>$L343*('RD Feedstock Use'!G343/'RD Feedstock Use'!$L343)</f>
        <v>356.74093168999917</v>
      </c>
      <c r="H343" s="167">
        <f>$L343*('RD Feedstock Use'!H343/'RD Feedstock Use'!$L343)</f>
        <v>193.58237539749391</v>
      </c>
      <c r="I343" s="167">
        <f>$L343*('RD Feedstock Use'!I343/'RD Feedstock Use'!$L343)</f>
        <v>1553.0414980256551</v>
      </c>
      <c r="J343" s="167">
        <f t="shared" si="23"/>
        <v>1043.0372640537871</v>
      </c>
      <c r="K343" s="167">
        <f>$L343*('RD Feedstock Use'!K343/'RD Feedstock Use'!$L343)</f>
        <v>2188.6192654890842</v>
      </c>
      <c r="L343" s="167">
        <f t="shared" si="20"/>
        <v>3231.6565295428713</v>
      </c>
      <c r="M343" s="168">
        <f>[5]SAF!$AD23/1000000</f>
        <v>432.98175012180866</v>
      </c>
      <c r="N343" s="169">
        <f t="shared" si="21"/>
        <v>7.4637245764601516</v>
      </c>
      <c r="O343" s="167">
        <f t="shared" si="19"/>
        <v>3312.5946313096802</v>
      </c>
      <c r="P343" s="170">
        <f t="shared" si="22"/>
        <v>7.6506564777332162</v>
      </c>
    </row>
    <row r="344" spans="1:16" x14ac:dyDescent="0.2">
      <c r="A344" s="155">
        <v>50557</v>
      </c>
      <c r="B344" s="167">
        <f>$L344*('RD Feedstock Use'!B344/'RD Feedstock Use'!$L344)</f>
        <v>740.24989089532949</v>
      </c>
      <c r="C344" s="167">
        <f>$L344*('RD Feedstock Use'!C344/'RD Feedstock Use'!$L344)</f>
        <v>242.11042567714034</v>
      </c>
      <c r="D344" s="167">
        <f>$L344*('RD Feedstock Use'!D344/'RD Feedstock Use'!$L344)*0.25</f>
        <v>70.764559058844569</v>
      </c>
      <c r="E344" s="167">
        <f>$L344*('RD Feedstock Use'!E344/'RD Feedstock Use'!$L344)</f>
        <v>3.2977558310400523</v>
      </c>
      <c r="F344" s="167">
        <f>$L344*('RD Feedstock Use'!F344/'RD Feedstock Use'!$L344)</f>
        <v>89.448991160260803</v>
      </c>
      <c r="G344" s="167">
        <f>$L344*('RD Feedstock Use'!G344/'RD Feedstock Use'!$L344)</f>
        <v>363.43964355199739</v>
      </c>
      <c r="H344" s="167">
        <f>$L344*('RD Feedstock Use'!H344/'RD Feedstock Use'!$L344)-5</f>
        <v>203.74106998251727</v>
      </c>
      <c r="I344" s="167">
        <f>$L344*('RD Feedstock Use'!I344/'RD Feedstock Use'!$L344)</f>
        <v>1379.3936480467642</v>
      </c>
      <c r="J344" s="167">
        <f t="shared" si="23"/>
        <v>982.36031657246986</v>
      </c>
      <c r="K344" s="167">
        <f>$L344*('RD Feedstock Use'!K344/'RD Feedstock Use'!$L344)</f>
        <v>2044.3211085725793</v>
      </c>
      <c r="L344" s="167">
        <f t="shared" si="20"/>
        <v>3026.6814251450496</v>
      </c>
      <c r="M344" s="168">
        <f>[5]SAF!$AD24/1000000</f>
        <v>411.64791889044108</v>
      </c>
      <c r="N344" s="169">
        <f t="shared" si="21"/>
        <v>7.3525974169945751</v>
      </c>
      <c r="O344" s="167">
        <f t="shared" si="19"/>
        <v>3097.4459842038937</v>
      </c>
      <c r="P344" s="170">
        <f t="shared" si="22"/>
        <v>7.5245029600848534</v>
      </c>
    </row>
    <row r="345" spans="1:16" x14ac:dyDescent="0.2">
      <c r="A345" s="155">
        <v>50587</v>
      </c>
      <c r="B345" s="167">
        <f>$L345*('RD Feedstock Use'!B345/'RD Feedstock Use'!$L345)</f>
        <v>984.76065666925126</v>
      </c>
      <c r="C345" s="167">
        <f>$L345*('RD Feedstock Use'!C345/'RD Feedstock Use'!$L345)</f>
        <v>383.64243184578805</v>
      </c>
      <c r="D345" s="167">
        <f>$L345*('RD Feedstock Use'!D345/'RD Feedstock Use'!$L345)*0.25</f>
        <v>85.273103484221977</v>
      </c>
      <c r="E345" s="167">
        <f>$L345*('RD Feedstock Use'!E345/'RD Feedstock Use'!$L345)</f>
        <v>3.58686500856868</v>
      </c>
      <c r="F345" s="167">
        <f>$L345*('RD Feedstock Use'!F345/'RD Feedstock Use'!$L345)</f>
        <v>102.21539870914086</v>
      </c>
      <c r="G345" s="167">
        <f>$L345*('RD Feedstock Use'!G345/'RD Feedstock Use'!$L345)</f>
        <v>453.75464615193732</v>
      </c>
      <c r="H345" s="167">
        <f>$L345*('RD Feedstock Use'!H345/'RD Feedstock Use'!$L345)</f>
        <v>242.31073866570514</v>
      </c>
      <c r="I345" s="167">
        <f>$L345*('RD Feedstock Use'!I345/'RD Feedstock Use'!$L345)</f>
        <v>1176.2661879174768</v>
      </c>
      <c r="J345" s="167">
        <f t="shared" si="23"/>
        <v>1368.4030885150394</v>
      </c>
      <c r="K345" s="167">
        <f>$L345*('RD Feedstock Use'!K345/'RD Feedstock Use'!$L345)</f>
        <v>1978.1338364528287</v>
      </c>
      <c r="L345" s="167">
        <f t="shared" si="20"/>
        <v>3346.5369249678683</v>
      </c>
      <c r="M345" s="168">
        <f>[5]SAF!$AD25/1000000</f>
        <v>449.02983294191364</v>
      </c>
      <c r="N345" s="169">
        <f t="shared" si="21"/>
        <v>7.4528164488366526</v>
      </c>
      <c r="O345" s="167">
        <f t="shared" si="19"/>
        <v>3431.8100284520897</v>
      </c>
      <c r="P345" s="170">
        <f t="shared" si="22"/>
        <v>7.642721656082097</v>
      </c>
    </row>
    <row r="346" spans="1:16" x14ac:dyDescent="0.2">
      <c r="A346" s="155">
        <v>50618</v>
      </c>
      <c r="B346" s="167">
        <f>$L346*('RD Feedstock Use'!B346/'RD Feedstock Use'!$L346)</f>
        <v>1080.5988727309209</v>
      </c>
      <c r="C346" s="167">
        <f>$L346*('RD Feedstock Use'!C346/'RD Feedstock Use'!$L346)</f>
        <v>314.93597972880519</v>
      </c>
      <c r="D346" s="167">
        <f>$L346*('RD Feedstock Use'!D346/'RD Feedstock Use'!$L346)*0.25</f>
        <v>86.459248788168523</v>
      </c>
      <c r="E346" s="167">
        <f>$L346*('RD Feedstock Use'!E346/'RD Feedstock Use'!$L346)</f>
        <v>3.8331881096764278</v>
      </c>
      <c r="F346" s="167">
        <f>$L346*('RD Feedstock Use'!F346/'RD Feedstock Use'!$L346)</f>
        <v>82.656375591203158</v>
      </c>
      <c r="G346" s="167">
        <f>$L346*('RD Feedstock Use'!G346/'RD Feedstock Use'!$L346)</f>
        <v>504.56201627328318</v>
      </c>
      <c r="H346" s="167">
        <f>$L346*('RD Feedstock Use'!H346/'RD Feedstock Use'!$L346)</f>
        <v>283.49111189048153</v>
      </c>
      <c r="I346" s="167">
        <f>$L346*('RD Feedstock Use'!I346/'RD Feedstock Use'!$L346)</f>
        <v>1336.8357523836742</v>
      </c>
      <c r="J346" s="167">
        <f t="shared" si="23"/>
        <v>1395.5348524597262</v>
      </c>
      <c r="K346" s="167">
        <f>$L346*('RD Feedstock Use'!K346/'RD Feedstock Use'!$L346)</f>
        <v>2211.3784442483188</v>
      </c>
      <c r="L346" s="167">
        <f t="shared" si="20"/>
        <v>3606.9132967080445</v>
      </c>
      <c r="M346" s="168">
        <f>[5]SAF!$AD26/1000000</f>
        <v>488.09837186020542</v>
      </c>
      <c r="N346" s="169">
        <f t="shared" si="21"/>
        <v>7.3897261385274362</v>
      </c>
      <c r="O346" s="167">
        <f t="shared" si="19"/>
        <v>3693.3725454962137</v>
      </c>
      <c r="P346" s="170">
        <f t="shared" si="22"/>
        <v>7.5668610231587081</v>
      </c>
    </row>
    <row r="347" spans="1:16" x14ac:dyDescent="0.2">
      <c r="A347" s="155">
        <v>50649</v>
      </c>
      <c r="B347" s="167">
        <f>$L347*('RD Feedstock Use'!B347/'RD Feedstock Use'!$L347)</f>
        <v>1313.2982005001957</v>
      </c>
      <c r="C347" s="167">
        <f>$L347*('RD Feedstock Use'!C347/'RD Feedstock Use'!$L347)</f>
        <v>296.71745228656795</v>
      </c>
      <c r="D347" s="167">
        <f>$L347*('RD Feedstock Use'!D347/'RD Feedstock Use'!$L347)*0.25</f>
        <v>121.94742839964023</v>
      </c>
      <c r="E347" s="167">
        <f>$L347*('RD Feedstock Use'!E347/'RD Feedstock Use'!$L347)</f>
        <v>5.6296924822507082</v>
      </c>
      <c r="F347" s="167">
        <f>$L347*('RD Feedstock Use'!F347/'RD Feedstock Use'!$L347)</f>
        <v>117.01258974326579</v>
      </c>
      <c r="G347" s="167">
        <f>$L347*('RD Feedstock Use'!G347/'RD Feedstock Use'!$L347)</f>
        <v>621.13456753083005</v>
      </c>
      <c r="H347" s="167">
        <f>$L347*('RD Feedstock Use'!H347/'RD Feedstock Use'!$L347)</f>
        <v>304.06875185299162</v>
      </c>
      <c r="I347" s="167">
        <f>$L347*('RD Feedstock Use'!I347/'RD Feedstock Use'!$L347)</f>
        <v>1820.3522188013533</v>
      </c>
      <c r="J347" s="167">
        <f t="shared" si="23"/>
        <v>1610.0156527867637</v>
      </c>
      <c r="K347" s="167">
        <f>$L347*('RD Feedstock Use'!K347/'RD Feedstock Use'!$L347)</f>
        <v>2868.1978204106913</v>
      </c>
      <c r="L347" s="167">
        <f t="shared" si="20"/>
        <v>4478.2134731974547</v>
      </c>
      <c r="M347" s="168">
        <f>[5]SAF!$AD27/1000000</f>
        <v>593.95485684986863</v>
      </c>
      <c r="N347" s="169">
        <f t="shared" si="21"/>
        <v>7.5396529240426657</v>
      </c>
      <c r="O347" s="167">
        <f t="shared" si="19"/>
        <v>4600.1609015970953</v>
      </c>
      <c r="P347" s="170">
        <f t="shared" si="22"/>
        <v>7.7449672286455566</v>
      </c>
    </row>
    <row r="348" spans="1:16" x14ac:dyDescent="0.2">
      <c r="A348" s="155">
        <v>50679</v>
      </c>
      <c r="B348" s="167">
        <f>$L348*('RD Feedstock Use'!B348/'RD Feedstock Use'!$L348)</f>
        <v>1147.6811409430404</v>
      </c>
      <c r="C348" s="167">
        <f>$L348*('RD Feedstock Use'!C348/'RD Feedstock Use'!$L348)</f>
        <v>386.99167875963957</v>
      </c>
      <c r="D348" s="167">
        <f>$L348*('RD Feedstock Use'!D348/'RD Feedstock Use'!$L348)*0.25+15</f>
        <v>136.97162986243467</v>
      </c>
      <c r="E348" s="167">
        <f>$L348*('RD Feedstock Use'!E348/'RD Feedstock Use'!$L348)</f>
        <v>6.438771200202722</v>
      </c>
      <c r="F348" s="167">
        <f>$L348*('RD Feedstock Use'!F348/'RD Feedstock Use'!$L348)</f>
        <v>102.20938289490657</v>
      </c>
      <c r="G348" s="167">
        <f>$L348*('RD Feedstock Use'!G348/'RD Feedstock Use'!$L348)</f>
        <v>636.02183338462066</v>
      </c>
      <c r="H348" s="167">
        <f>$L348*('RD Feedstock Use'!H348/'RD Feedstock Use'!$L348)</f>
        <v>274.35490074709531</v>
      </c>
      <c r="I348" s="167">
        <f>$L348*('RD Feedstock Use'!I348/'RD Feedstock Use'!$L348)</f>
        <v>1766.9384199693332</v>
      </c>
      <c r="J348" s="167">
        <f t="shared" si="23"/>
        <v>1534.67281970268</v>
      </c>
      <c r="K348" s="167">
        <f>$L348*('RD Feedstock Use'!K348/'RD Feedstock Use'!$L348)</f>
        <v>2785.9633081961583</v>
      </c>
      <c r="L348" s="167">
        <f t="shared" si="20"/>
        <v>4320.6361278988388</v>
      </c>
      <c r="M348" s="168">
        <f>[5]SAF!$AD28/1000000</f>
        <v>578.58601829151132</v>
      </c>
      <c r="N348" s="169">
        <f t="shared" si="21"/>
        <v>7.46757783856774</v>
      </c>
      <c r="O348" s="167">
        <f t="shared" si="19"/>
        <v>4457.6077577612732</v>
      </c>
      <c r="P348" s="170">
        <f t="shared" si="22"/>
        <v>7.7043129575166791</v>
      </c>
    </row>
    <row r="349" spans="1:16" x14ac:dyDescent="0.2">
      <c r="A349" s="155">
        <v>50710</v>
      </c>
      <c r="B349" s="167">
        <f>$L349*('RD Feedstock Use'!B349/'RD Feedstock Use'!$L349)</f>
        <v>1169.3123488693254</v>
      </c>
      <c r="C349" s="167">
        <f>$L349*('RD Feedstock Use'!C349/'RD Feedstock Use'!$L349)</f>
        <v>356.68576359648046</v>
      </c>
      <c r="D349" s="167">
        <f>$L349*('RD Feedstock Use'!D349/'RD Feedstock Use'!$L349)*0.25+15</f>
        <v>112.27429021172684</v>
      </c>
      <c r="E349" s="167">
        <f>$L349*('RD Feedstock Use'!E349/'RD Feedstock Use'!$L349)</f>
        <v>5.0976570256249092</v>
      </c>
      <c r="F349" s="167">
        <f>$L349*('RD Feedstock Use'!F349/'RD Feedstock Use'!$L349)</f>
        <v>33.689594673307148</v>
      </c>
      <c r="G349" s="167">
        <f>$L349*('RD Feedstock Use'!G349/'RD Feedstock Use'!$L349)</f>
        <v>598.33248350723375</v>
      </c>
      <c r="H349" s="167">
        <f>$L349*('RD Feedstock Use'!H349/'RD Feedstock Use'!$L349)</f>
        <v>190.84820576370902</v>
      </c>
      <c r="I349" s="167">
        <f>$L349*('RD Feedstock Use'!I349/'RD Feedstock Use'!$L349)</f>
        <v>1297.9048436713922</v>
      </c>
      <c r="J349" s="167">
        <f t="shared" si="23"/>
        <v>1525.9981124658059</v>
      </c>
      <c r="K349" s="167">
        <f>$L349*('RD Feedstock Use'!K349/'RD Feedstock Use'!$L349)</f>
        <v>2125.8727846412671</v>
      </c>
      <c r="L349" s="167">
        <f t="shared" si="20"/>
        <v>3651.8708971070728</v>
      </c>
      <c r="M349" s="168">
        <f>[5]SAF!$AD29/1000000</f>
        <v>499.80618371295327</v>
      </c>
      <c r="N349" s="169">
        <f t="shared" si="21"/>
        <v>7.3065740603249534</v>
      </c>
      <c r="O349" s="167">
        <f t="shared" si="19"/>
        <v>3764.1451873187998</v>
      </c>
      <c r="P349" s="170">
        <f t="shared" si="22"/>
        <v>7.5312097168461785</v>
      </c>
    </row>
    <row r="350" spans="1:16" x14ac:dyDescent="0.2">
      <c r="A350" s="155">
        <v>50740</v>
      </c>
      <c r="B350" s="167">
        <f>$L350*('RD Feedstock Use'!B350/'RD Feedstock Use'!$L350)</f>
        <v>1162.6118409703124</v>
      </c>
      <c r="C350" s="167">
        <f>$L350*('RD Feedstock Use'!C350/'RD Feedstock Use'!$L350)</f>
        <v>360.55745737129854</v>
      </c>
      <c r="D350" s="167">
        <f>$L350*('RD Feedstock Use'!D350/'RD Feedstock Use'!$L350)*0.25+15</f>
        <v>96.728153510569342</v>
      </c>
      <c r="E350" s="167">
        <f>$L350*('RD Feedstock Use'!E350/'RD Feedstock Use'!$L350)</f>
        <v>4.4087518980880107</v>
      </c>
      <c r="F350" s="167">
        <f>$L350*('RD Feedstock Use'!F350/'RD Feedstock Use'!$L350)</f>
        <v>26.11088290482644</v>
      </c>
      <c r="G350" s="167">
        <f>$L350*('RD Feedstock Use'!G350/'RD Feedstock Use'!$L350)</f>
        <v>544.8708644628166</v>
      </c>
      <c r="H350" s="167">
        <f>$L350*('RD Feedstock Use'!H350/'RD Feedstock Use'!$L350)</f>
        <v>141.79906745180998</v>
      </c>
      <c r="I350" s="167">
        <f>$L350*('RD Feedstock Use'!I350/'RD Feedstock Use'!$L350)</f>
        <v>1083.8082737656625</v>
      </c>
      <c r="J350" s="167">
        <f t="shared" si="23"/>
        <v>1523.169298341611</v>
      </c>
      <c r="K350" s="167">
        <f>$L350*('RD Feedstock Use'!K350/'RD Feedstock Use'!$L350)</f>
        <v>1800.9978404832034</v>
      </c>
      <c r="L350" s="167">
        <f t="shared" si="20"/>
        <v>3324.1671388248146</v>
      </c>
      <c r="M350" s="168">
        <f>[5]SAF!$AD30/1000000</f>
        <v>449.0997304162471</v>
      </c>
      <c r="N350" s="169">
        <f t="shared" si="21"/>
        <v>7.4018462129643625</v>
      </c>
      <c r="O350" s="167">
        <f t="shared" si="19"/>
        <v>3420.8952923353836</v>
      </c>
      <c r="P350" s="170">
        <f t="shared" si="22"/>
        <v>7.6172285589321875</v>
      </c>
    </row>
    <row r="351" spans="1:16" x14ac:dyDescent="0.2">
      <c r="A351" s="155">
        <v>50771</v>
      </c>
      <c r="B351" s="167">
        <f>$L351*('RD Feedstock Use'!B351/'RD Feedstock Use'!$L351)</f>
        <v>831.52241166955559</v>
      </c>
      <c r="C351" s="167">
        <f>$L351*('RD Feedstock Use'!C351/'RD Feedstock Use'!$L351)</f>
        <v>207.50248796475864</v>
      </c>
      <c r="D351" s="167">
        <f>$L351*('RD Feedstock Use'!D351/'RD Feedstock Use'!$L351)*0.25+15</f>
        <v>90.648178105984144</v>
      </c>
      <c r="E351" s="167">
        <f>$L351*('RD Feedstock Use'!E351/'RD Feedstock Use'!$L351)</f>
        <v>2.7473849249696181</v>
      </c>
      <c r="F351" s="167">
        <f>$L351*('RD Feedstock Use'!F351/'RD Feedstock Use'!$L351)</f>
        <v>44.110354608808194</v>
      </c>
      <c r="G351" s="167">
        <f>$L351*('RD Feedstock Use'!G351/'RD Feedstock Use'!$L351)</f>
        <v>425.42811122222582</v>
      </c>
      <c r="H351" s="167">
        <f>$L351*('RD Feedstock Use'!H351/'RD Feedstock Use'!$L351)</f>
        <v>96.676397083218944</v>
      </c>
      <c r="I351" s="167">
        <f>$L351*('RD Feedstock Use'!I351/'RD Feedstock Use'!$L351)</f>
        <v>438.3192542492701</v>
      </c>
      <c r="J351" s="167">
        <f t="shared" si="23"/>
        <v>1039.0248996343144</v>
      </c>
      <c r="K351" s="167">
        <f>$L351*('RD Feedstock Use'!K351/'RD Feedstock Use'!$L351)</f>
        <v>1007.2815020884927</v>
      </c>
      <c r="L351" s="167">
        <f t="shared" si="20"/>
        <v>2046.3064017228071</v>
      </c>
      <c r="M351" s="168">
        <f>[5]SAF!$AE19/1000000</f>
        <v>270.95848592603676</v>
      </c>
      <c r="N351" s="169">
        <f t="shared" si="21"/>
        <v>7.5521030268872451</v>
      </c>
      <c r="O351" s="167">
        <f t="shared" si="19"/>
        <v>2136.9545798287913</v>
      </c>
      <c r="P351" s="170">
        <f t="shared" si="22"/>
        <v>7.8866493976944998</v>
      </c>
    </row>
    <row r="352" spans="1:16" x14ac:dyDescent="0.2">
      <c r="A352" s="155">
        <v>50802</v>
      </c>
      <c r="B352" s="167">
        <f>$L352*('RD Feedstock Use'!B352/'RD Feedstock Use'!$L352)</f>
        <v>722.49402215610291</v>
      </c>
      <c r="C352" s="167">
        <f>$L352*('RD Feedstock Use'!C352/'RD Feedstock Use'!$L352)</f>
        <v>300.13278035508034</v>
      </c>
      <c r="D352" s="167">
        <f>$L352*('RD Feedstock Use'!D352/'RD Feedstock Use'!$L352)*0.25+15</f>
        <v>129.38885059607907</v>
      </c>
      <c r="E352" s="167">
        <f>$L352*('RD Feedstock Use'!E352/'RD Feedstock Use'!$L352)</f>
        <v>4.7432840173872988</v>
      </c>
      <c r="F352" s="167">
        <f>$L352*('RD Feedstock Use'!F352/'RD Feedstock Use'!$L352)</f>
        <v>69.310634715775109</v>
      </c>
      <c r="G352" s="167">
        <f>$L352*('RD Feedstock Use'!G352/'RD Feedstock Use'!$L352)</f>
        <v>785.76760196922601</v>
      </c>
      <c r="H352" s="167">
        <f>$L352*('RD Feedstock Use'!H352/'RD Feedstock Use'!$L352)</f>
        <v>102.40697106532335</v>
      </c>
      <c r="I352" s="167">
        <f>$L352*('RD Feedstock Use'!I352/'RD Feedstock Use'!$L352)</f>
        <v>1706.0483925061033</v>
      </c>
      <c r="J352" s="167">
        <f t="shared" si="23"/>
        <v>1022.6268025111833</v>
      </c>
      <c r="K352" s="167">
        <f>$L352*('RD Feedstock Use'!K352/'RD Feedstock Use'!$L352)</f>
        <v>2668.2768842738155</v>
      </c>
      <c r="L352" s="167">
        <f t="shared" si="20"/>
        <v>3690.9036867849982</v>
      </c>
      <c r="M352" s="168">
        <f>[5]SAF!$AE20/1000000</f>
        <v>508.03580606366984</v>
      </c>
      <c r="N352" s="169">
        <f t="shared" si="21"/>
        <v>7.2650463662839426</v>
      </c>
      <c r="O352" s="167">
        <f t="shared" si="19"/>
        <v>3820.2925373810781</v>
      </c>
      <c r="P352" s="170">
        <f t="shared" si="22"/>
        <v>7.5197308768081159</v>
      </c>
    </row>
    <row r="353" spans="1:16" x14ac:dyDescent="0.2">
      <c r="A353" s="155">
        <v>50830</v>
      </c>
      <c r="B353" s="167">
        <f>$L353*('RD Feedstock Use'!B353/'RD Feedstock Use'!$L353)</f>
        <v>332.74960180029791</v>
      </c>
      <c r="C353" s="167">
        <f>$L353*('RD Feedstock Use'!C353/'RD Feedstock Use'!$L353)</f>
        <v>127.5410278908346</v>
      </c>
      <c r="D353" s="167">
        <f>$L353*('RD Feedstock Use'!D353/'RD Feedstock Use'!$L353)*0.25+15</f>
        <v>56.978644282668682</v>
      </c>
      <c r="E353" s="167">
        <f>$L353*('RD Feedstock Use'!E353/'RD Feedstock Use'!$L353)</f>
        <v>1.8422232937389305</v>
      </c>
      <c r="F353" s="167">
        <f>$L353*('RD Feedstock Use'!F353/'RD Feedstock Use'!$L353)</f>
        <v>39.287584270037698</v>
      </c>
      <c r="G353" s="167">
        <f>$L353*('RD Feedstock Use'!G353/'RD Feedstock Use'!$L353)</f>
        <v>264.06467478913231</v>
      </c>
      <c r="H353" s="167">
        <f>$L353*('RD Feedstock Use'!H353/'RD Feedstock Use'!$L353)</f>
        <v>71.506662846122495</v>
      </c>
      <c r="I353" s="167">
        <f>$L353*('RD Feedstock Use'!I353/'RD Feedstock Use'!$L353)</f>
        <v>648.40133331651509</v>
      </c>
      <c r="J353" s="167">
        <f t="shared" si="23"/>
        <v>460.29062969113249</v>
      </c>
      <c r="K353" s="167">
        <f>$L353*('RD Feedstock Use'!K353/'RD Feedstock Use'!$L353)</f>
        <v>1025.1024785155464</v>
      </c>
      <c r="L353" s="167">
        <f t="shared" si="20"/>
        <v>1485.393108206679</v>
      </c>
      <c r="M353" s="168">
        <f>[5]SAF!$AE21/1000000</f>
        <v>204.91069761726433</v>
      </c>
      <c r="N353" s="169">
        <f t="shared" si="21"/>
        <v>7.248977849761272</v>
      </c>
      <c r="O353" s="167">
        <f t="shared" si="19"/>
        <v>1542.3717524893475</v>
      </c>
      <c r="P353" s="170">
        <f t="shared" si="22"/>
        <v>7.527043587398329</v>
      </c>
    </row>
    <row r="354" spans="1:16" x14ac:dyDescent="0.2">
      <c r="A354" s="155">
        <v>50861</v>
      </c>
      <c r="B354" s="167">
        <f>$L354*('RD Feedstock Use'!B354/'RD Feedstock Use'!$L354)</f>
        <v>497.54731002884068</v>
      </c>
      <c r="C354" s="167">
        <f>$L354*('RD Feedstock Use'!C354/'RD Feedstock Use'!$L354)</f>
        <v>170.54183809651965</v>
      </c>
      <c r="D354" s="167">
        <f>$L354*('RD Feedstock Use'!D354/'RD Feedstock Use'!$L354)*0.25+15</f>
        <v>79.914662526142607</v>
      </c>
      <c r="E354" s="167">
        <f>$L354*('RD Feedstock Use'!E354/'RD Feedstock Use'!$L354)</f>
        <v>2.9033343125164799</v>
      </c>
      <c r="F354" s="167">
        <f>$L354*('RD Feedstock Use'!F354/'RD Feedstock Use'!$L354)</f>
        <v>71.063851995724761</v>
      </c>
      <c r="G354" s="167">
        <f>$L354*('RD Feedstock Use'!G354/'RD Feedstock Use'!$L354)</f>
        <v>242.00537496101293</v>
      </c>
      <c r="H354" s="167">
        <f>$L354*('RD Feedstock Use'!H354/'RD Feedstock Use'!$L354)</f>
        <v>180.77869142638968</v>
      </c>
      <c r="I354" s="167">
        <f>$L354*('RD Feedstock Use'!I354/'RD Feedstock Use'!$L354)</f>
        <v>1259.7807584552925</v>
      </c>
      <c r="J354" s="167">
        <f t="shared" si="23"/>
        <v>668.08914812536034</v>
      </c>
      <c r="K354" s="167">
        <f>$L354*('RD Feedstock Use'!K354/'RD Feedstock Use'!$L354)</f>
        <v>1756.5320111509363</v>
      </c>
      <c r="L354" s="167">
        <f t="shared" si="20"/>
        <v>2424.6211592762966</v>
      </c>
      <c r="M354" s="168">
        <f>[5]SAF!$AE22/1000000</f>
        <v>327.57032519799981</v>
      </c>
      <c r="N354" s="169">
        <f t="shared" si="21"/>
        <v>7.4018339659147543</v>
      </c>
      <c r="O354" s="167">
        <f t="shared" si="19"/>
        <v>2504.5358218024394</v>
      </c>
      <c r="P354" s="170">
        <f t="shared" si="22"/>
        <v>7.6457958158712129</v>
      </c>
    </row>
    <row r="355" spans="1:16" x14ac:dyDescent="0.2">
      <c r="A355" s="155">
        <v>50891</v>
      </c>
      <c r="B355" s="167">
        <f>$L355*('RD Feedstock Use'!B355/'RD Feedstock Use'!$L355)</f>
        <v>537.92454177761488</v>
      </c>
      <c r="C355" s="167">
        <f>$L355*('RD Feedstock Use'!C355/'RD Feedstock Use'!$L355)</f>
        <v>303.50759288101989</v>
      </c>
      <c r="D355" s="167">
        <f>$L355*('RD Feedstock Use'!D355/'RD Feedstock Use'!$L355)*0.25+15</f>
        <v>84.776487297122912</v>
      </c>
      <c r="E355" s="167">
        <f>$L355*('RD Feedstock Use'!E355/'RD Feedstock Use'!$L355)</f>
        <v>3.7825530314415472</v>
      </c>
      <c r="F355" s="167">
        <f>$L355*('RD Feedstock Use'!F355/'RD Feedstock Use'!$L355)</f>
        <v>81.244156393231862</v>
      </c>
      <c r="G355" s="167">
        <f>$L355*('RD Feedstock Use'!G355/'RD Feedstock Use'!$L355)</f>
        <v>355.15932509781589</v>
      </c>
      <c r="H355" s="167">
        <f>$L355*('RD Feedstock Use'!H355/'RD Feedstock Use'!$L355)</f>
        <v>200.27173208911171</v>
      </c>
      <c r="I355" s="167">
        <f>$L355*('RD Feedstock Use'!I355/'RD Feedstock Use'!$L355)</f>
        <v>1739.9006229456979</v>
      </c>
      <c r="J355" s="167">
        <f t="shared" si="23"/>
        <v>841.43213465863482</v>
      </c>
      <c r="K355" s="167">
        <f>$L355*('RD Feedstock Use'!K355/'RD Feedstock Use'!$L355)</f>
        <v>2380.3583895572992</v>
      </c>
      <c r="L355" s="167">
        <f t="shared" si="20"/>
        <v>3221.7905242159336</v>
      </c>
      <c r="M355" s="168">
        <f>[5]SAF!$AE23/1000000</f>
        <v>431.64976004424119</v>
      </c>
      <c r="N355" s="169">
        <f t="shared" si="21"/>
        <v>7.4638997225104955</v>
      </c>
      <c r="O355" s="167">
        <f t="shared" si="19"/>
        <v>3306.567011513057</v>
      </c>
      <c r="P355" s="170">
        <f t="shared" si="22"/>
        <v>7.6603008216062856</v>
      </c>
    </row>
    <row r="356" spans="1:16" x14ac:dyDescent="0.2">
      <c r="A356" s="155">
        <v>50922</v>
      </c>
      <c r="B356" s="167">
        <f>$L356*('RD Feedstock Use'!B356/'RD Feedstock Use'!$L356)</f>
        <v>733.72169363846683</v>
      </c>
      <c r="C356" s="167">
        <f>$L356*('RD Feedstock Use'!C356/'RD Feedstock Use'!$L356)</f>
        <v>241.58000617366289</v>
      </c>
      <c r="D356" s="167">
        <f>$L356*('RD Feedstock Use'!D356/'RD Feedstock Use'!$L356)*0.25+15</f>
        <v>84.701943978835942</v>
      </c>
      <c r="E356" s="167">
        <f>$L356*('RD Feedstock Use'!E356/'RD Feedstock Use'!$L356)</f>
        <v>3.2866584422615079</v>
      </c>
      <c r="F356" s="167">
        <f>$L356*('RD Feedstock Use'!F356/'RD Feedstock Use'!$L356)</f>
        <v>89.18172457589084</v>
      </c>
      <c r="G356" s="167">
        <f>$L356*('RD Feedstock Use'!G356/'RD Feedstock Use'!$L356)</f>
        <v>361.80160060167549</v>
      </c>
      <c r="H356" s="167">
        <f>$L356*('RD Feedstock Use'!H356/'RD Feedstock Use'!$L356)</f>
        <v>214.83579693383996</v>
      </c>
      <c r="I356" s="167">
        <f>$L356*('RD Feedstock Use'!I356/'RD Feedstock Use'!$L356)</f>
        <v>1373.8828633403032</v>
      </c>
      <c r="J356" s="167">
        <f t="shared" si="23"/>
        <v>975.30169981212975</v>
      </c>
      <c r="K356" s="167">
        <f>$L356*('RD Feedstock Use'!K356/'RD Feedstock Use'!$L356)</f>
        <v>2042.9886438939714</v>
      </c>
      <c r="L356" s="167">
        <f t="shared" si="20"/>
        <v>3018.2903437061009</v>
      </c>
      <c r="M356" s="168">
        <f>[5]SAF!$AE24/1000000</f>
        <v>410.52429758924984</v>
      </c>
      <c r="N356" s="169">
        <f t="shared" si="21"/>
        <v>7.3522818537918839</v>
      </c>
      <c r="O356" s="167">
        <f t="shared" si="19"/>
        <v>3102.9922876849373</v>
      </c>
      <c r="P356" s="170">
        <f t="shared" si="22"/>
        <v>7.5586081162719312</v>
      </c>
    </row>
    <row r="357" spans="1:16" x14ac:dyDescent="0.2">
      <c r="A357" s="155">
        <v>50952</v>
      </c>
      <c r="B357" s="167">
        <f>$L357*('RD Feedstock Use'!B357/'RD Feedstock Use'!$L357)</f>
        <v>977.30398340304316</v>
      </c>
      <c r="C357" s="167">
        <f>$L357*('RD Feedstock Use'!C357/'RD Feedstock Use'!$L357)</f>
        <v>382.71916632349388</v>
      </c>
      <c r="D357" s="167">
        <f>$L357*('RD Feedstock Use'!D357/'RD Feedstock Use'!$L357)*0.25</f>
        <v>83.929708132791532</v>
      </c>
      <c r="E357" s="167">
        <f>$L357*('RD Feedstock Use'!E357/'RD Feedstock Use'!$L357)</f>
        <v>3.5741835827423443</v>
      </c>
      <c r="F357" s="167">
        <f>$L357*('RD Feedstock Use'!F357/'RD Feedstock Use'!$L357)</f>
        <v>101.88589679273217</v>
      </c>
      <c r="G357" s="167">
        <f>$L357*('RD Feedstock Use'!G357/'RD Feedstock Use'!$L357)</f>
        <v>451.60776610187185</v>
      </c>
      <c r="H357" s="167">
        <f>$L357*('RD Feedstock Use'!H357/'RD Feedstock Use'!$L357)</f>
        <v>251.72543104111276</v>
      </c>
      <c r="I357" s="167">
        <f>$L357*('RD Feedstock Use'!I357/'RD Feedstock Use'!$L357)</f>
        <v>1167.9257532965898</v>
      </c>
      <c r="J357" s="167">
        <f t="shared" si="23"/>
        <v>1360.023149726537</v>
      </c>
      <c r="K357" s="167">
        <f>$L357*('RD Feedstock Use'!K357/'RD Feedstock Use'!$L357)</f>
        <v>1976.7190308150491</v>
      </c>
      <c r="L357" s="167">
        <f t="shared" si="20"/>
        <v>3336.7421805415861</v>
      </c>
      <c r="M357" s="168">
        <f>[5]SAF!$AE25/1000000</f>
        <v>447.6876126075847</v>
      </c>
      <c r="N357" s="169">
        <f t="shared" si="21"/>
        <v>7.4532823481680026</v>
      </c>
      <c r="O357" s="167">
        <f t="shared" si="19"/>
        <v>3420.6718886743774</v>
      </c>
      <c r="P357" s="170">
        <f t="shared" si="22"/>
        <v>7.6407561709167213</v>
      </c>
    </row>
    <row r="358" spans="1:16" x14ac:dyDescent="0.2">
      <c r="A358" s="155">
        <v>50983</v>
      </c>
      <c r="B358" s="167">
        <f>$L358*('RD Feedstock Use'!B358/'RD Feedstock Use'!$L358)</f>
        <v>1073.1416914997546</v>
      </c>
      <c r="C358" s="167">
        <f>$L358*('RD Feedstock Use'!C358/'RD Feedstock Use'!$L358)</f>
        <v>314.27179330935655</v>
      </c>
      <c r="D358" s="167">
        <f>$L358*('RD Feedstock Use'!D358/'RD Feedstock Use'!$L358)*0.25</f>
        <v>85.052582179685501</v>
      </c>
      <c r="E358" s="167">
        <f>$L358*('RD Feedstock Use'!E358/'RD Feedstock Use'!$L358)</f>
        <v>3.8199867133522027</v>
      </c>
      <c r="F358" s="167">
        <f>$L358*('RD Feedstock Use'!F358/'RD Feedstock Use'!$L358)</f>
        <v>82.3997543481712</v>
      </c>
      <c r="G358" s="167">
        <f>$L358*('RD Feedstock Use'!G358/'RD Feedstock Use'!$L358)</f>
        <v>501.92917920377147</v>
      </c>
      <c r="H358" s="167">
        <f>$L358*('RD Feedstock Use'!H358/'RD Feedstock Use'!$L358)</f>
        <v>284.92218281631989</v>
      </c>
      <c r="I358" s="167">
        <f>$L358*('RD Feedstock Use'!I358/'RD Feedstock Use'!$L358)</f>
        <v>1336.1319457312054</v>
      </c>
      <c r="J358" s="167">
        <f t="shared" si="23"/>
        <v>1387.4134848091112</v>
      </c>
      <c r="K358" s="167">
        <f>$L358*('RD Feedstock Use'!K358/'RD Feedstock Use'!$L358)</f>
        <v>2209.2030488128203</v>
      </c>
      <c r="L358" s="167">
        <f t="shared" si="20"/>
        <v>3596.616533621931</v>
      </c>
      <c r="M358" s="168">
        <f>[5]SAF!$AE26/1000000</f>
        <v>486.70630434401494</v>
      </c>
      <c r="N358" s="169">
        <f t="shared" si="21"/>
        <v>7.3897060743223122</v>
      </c>
      <c r="O358" s="167">
        <f t="shared" si="19"/>
        <v>3681.669115801617</v>
      </c>
      <c r="P358" s="170">
        <f t="shared" si="22"/>
        <v>7.5644574211213227</v>
      </c>
    </row>
    <row r="359" spans="1:16" x14ac:dyDescent="0.2">
      <c r="A359" s="155">
        <v>51014</v>
      </c>
      <c r="B359" s="167">
        <f>$L359*('RD Feedstock Use'!B359/'RD Feedstock Use'!$L359)</f>
        <v>1303.9536771459238</v>
      </c>
      <c r="C359" s="167">
        <f>$L359*('RD Feedstock Use'!C359/'RD Feedstock Use'!$L359)</f>
        <v>296.04207653247209</v>
      </c>
      <c r="D359" s="167">
        <f>$L359*('RD Feedstock Use'!D359/'RD Feedstock Use'!$L359)*0.25</f>
        <v>118.28571194280094</v>
      </c>
      <c r="E359" s="167">
        <f>$L359*('RD Feedstock Use'!E359/'RD Feedstock Use'!$L359)</f>
        <v>5.6145339834013219</v>
      </c>
      <c r="F359" s="167">
        <f>$L359*('RD Feedstock Use'!F359/'RD Feedstock Use'!$L359)</f>
        <v>116.70684537756209</v>
      </c>
      <c r="G359" s="167">
        <f>$L359*('RD Feedstock Use'!G359/'RD Feedstock Use'!$L359)</f>
        <v>618.04888665516592</v>
      </c>
      <c r="H359" s="167">
        <f>$L359*('RD Feedstock Use'!H359/'RD Feedstock Use'!$L359)</f>
        <v>306.24047075877593</v>
      </c>
      <c r="I359" s="167">
        <f>$L359*('RD Feedstock Use'!I359/'RD Feedstock Use'!$L359)</f>
        <v>1818.2842221746916</v>
      </c>
      <c r="J359" s="167">
        <f t="shared" si="23"/>
        <v>1599.9957536783959</v>
      </c>
      <c r="K359" s="167">
        <f>$L359*('RD Feedstock Use'!K359/'RD Feedstock Use'!$L359)</f>
        <v>2864.8949589495965</v>
      </c>
      <c r="L359" s="167">
        <f t="shared" si="20"/>
        <v>4464.8907126279928</v>
      </c>
      <c r="M359" s="168">
        <f>[5]SAF!$AE27/1000000</f>
        <v>592.21401369778846</v>
      </c>
      <c r="N359" s="169">
        <f t="shared" si="21"/>
        <v>7.5393195860887925</v>
      </c>
      <c r="O359" s="167">
        <f t="shared" si="19"/>
        <v>4583.1764245707927</v>
      </c>
      <c r="P359" s="170">
        <f t="shared" si="22"/>
        <v>7.7390543259072961</v>
      </c>
    </row>
    <row r="360" spans="1:16" x14ac:dyDescent="0.2">
      <c r="A360" s="155">
        <v>51044</v>
      </c>
      <c r="B360" s="167">
        <f>$L360*('RD Feedstock Use'!B360/'RD Feedstock Use'!$L360)</f>
        <v>1121.2081646760982</v>
      </c>
      <c r="C360" s="167">
        <f>$L360*('RD Feedstock Use'!C360/'RD Feedstock Use'!$L360)</f>
        <v>386.13597634070823</v>
      </c>
      <c r="D360" s="167">
        <f>$L360*('RD Feedstock Use'!D360/'RD Feedstock Use'!$L360)*0.25+15+225</f>
        <v>321.35082408751742</v>
      </c>
      <c r="E360" s="167">
        <f>$L360*('RD Feedstock Use'!E360/'RD Feedstock Use'!$L360)</f>
        <v>6.4203189691908662</v>
      </c>
      <c r="F360" s="167">
        <f>$L360*('RD Feedstock Use'!F360/'RD Feedstock Use'!$L360)</f>
        <v>101.81711426134601</v>
      </c>
      <c r="G360" s="167">
        <f>$L360*('RD Feedstock Use'!G360/'RD Feedstock Use'!$L360)</f>
        <v>634.66839306234556</v>
      </c>
      <c r="H360" s="167">
        <f>$L360*('RD Feedstock Use'!H360/'RD Feedstock Use'!$L360)</f>
        <v>312.46422395064286</v>
      </c>
      <c r="I360" s="167">
        <f>$L360*('RD Feedstock Use'!I360/'RD Feedstock Use'!$L360)</f>
        <v>1746.2650753866292</v>
      </c>
      <c r="J360" s="167">
        <f t="shared" si="23"/>
        <v>1507.3441410168066</v>
      </c>
      <c r="K360" s="167">
        <f>$L360*('RD Feedstock Use'!K360/'RD Feedstock Use'!$L360)</f>
        <v>2801.6351256301546</v>
      </c>
      <c r="L360" s="167">
        <f t="shared" si="20"/>
        <v>4308.9792666469612</v>
      </c>
      <c r="M360" s="168">
        <f>[5]SAF!$AE28/1000000</f>
        <v>577.04401081661206</v>
      </c>
      <c r="N360" s="169">
        <f t="shared" si="21"/>
        <v>7.4673321027091983</v>
      </c>
      <c r="O360" s="167">
        <f t="shared" si="19"/>
        <v>4630.3300907344783</v>
      </c>
      <c r="P360" s="170">
        <f t="shared" si="22"/>
        <v>8.0242234629240858</v>
      </c>
    </row>
    <row r="361" spans="1:16" x14ac:dyDescent="0.2">
      <c r="A361" s="155">
        <v>51075</v>
      </c>
      <c r="B361" s="167">
        <f>$L361*('RD Feedstock Use'!B361/'RD Feedstock Use'!$L361)</f>
        <v>1148.7722434081691</v>
      </c>
      <c r="C361" s="167">
        <f>$L361*('RD Feedstock Use'!C361/'RD Feedstock Use'!$L361)</f>
        <v>355.92478846591433</v>
      </c>
      <c r="D361" s="167">
        <f>$L361*('RD Feedstock Use'!D361/'RD Feedstock Use'!$L361)*0.25+15+225</f>
        <v>311.07962394942797</v>
      </c>
      <c r="E361" s="167">
        <f>$L361*('RD Feedstock Use'!E361/'RD Feedstock Use'!$L361)</f>
        <v>5.0847814873275752</v>
      </c>
      <c r="F361" s="167">
        <f>$L361*('RD Feedstock Use'!F361/'RD Feedstock Use'!$L361)</f>
        <v>33.504299158919871</v>
      </c>
      <c r="G361" s="167">
        <f>$L361*('RD Feedstock Use'!G361/'RD Feedstock Use'!$L361)</f>
        <v>597.26486495586153</v>
      </c>
      <c r="H361" s="167">
        <f>$L361*('RD Feedstock Use'!H361/'RD Feedstock Use'!$L361)-10</f>
        <v>206.32023597396355</v>
      </c>
      <c r="I361" s="167">
        <f>$L361*('RD Feedstock Use'!I361/'RD Feedstock Use'!$L361)</f>
        <v>1286.0543750263089</v>
      </c>
      <c r="J361" s="167">
        <f t="shared" si="23"/>
        <v>1504.6970318740835</v>
      </c>
      <c r="K361" s="167">
        <f>$L361*('RD Feedstock Use'!K361/'RD Feedstock Use'!$L361)</f>
        <v>2138.2285566023811</v>
      </c>
      <c r="L361" s="167">
        <f t="shared" si="20"/>
        <v>3642.9255884764643</v>
      </c>
      <c r="M361" s="168">
        <f>[5]SAF!$AE29/1000000</f>
        <v>498.56386882641277</v>
      </c>
      <c r="N361" s="169">
        <f t="shared" si="21"/>
        <v>7.3068383335753477</v>
      </c>
      <c r="O361" s="167">
        <f t="shared" si="19"/>
        <v>3954.0052124258923</v>
      </c>
      <c r="P361" s="170">
        <f t="shared" si="22"/>
        <v>7.9307897335869244</v>
      </c>
    </row>
    <row r="362" spans="1:16" x14ac:dyDescent="0.2">
      <c r="A362" s="155">
        <v>51105</v>
      </c>
      <c r="B362" s="167">
        <f>$L362*('RD Feedstock Use'!B362/'RD Feedstock Use'!$L362)</f>
        <v>1157.0316346231382</v>
      </c>
      <c r="C362" s="167">
        <f>$L362*('RD Feedstock Use'!C362/'RD Feedstock Use'!$L362)</f>
        <v>359.73512905100091</v>
      </c>
      <c r="D362" s="167">
        <f>$L362*('RD Feedstock Use'!D362/'RD Feedstock Use'!$L362)*0.25+15+225</f>
        <v>301.2358587239421</v>
      </c>
      <c r="E362" s="167">
        <f>$L362*('RD Feedstock Use'!E362/'RD Feedstock Use'!$L362)</f>
        <v>4.3976161785964551</v>
      </c>
      <c r="F362" s="167">
        <f>$L362*('RD Feedstock Use'!F362/'RD Feedstock Use'!$L362)</f>
        <v>25.955337534090575</v>
      </c>
      <c r="G362" s="167">
        <f>$L362*('RD Feedstock Use'!G362/'RD Feedstock Use'!$L362)</f>
        <v>543.73798034992524</v>
      </c>
      <c r="H362" s="167">
        <f>$L362*('RD Feedstock Use'!H362/'RD Feedstock Use'!$L362)</f>
        <v>162.1008363570979</v>
      </c>
      <c r="I362" s="167">
        <f>$L362*('RD Feedstock Use'!I362/'RD Feedstock Use'!$L362)</f>
        <v>1063.0129877854608</v>
      </c>
      <c r="J362" s="167">
        <f t="shared" si="23"/>
        <v>1516.7667636741392</v>
      </c>
      <c r="K362" s="167">
        <f>$L362*('RD Feedstock Use'!K362/'RD Feedstock Use'!$L362)</f>
        <v>1799.2047582051705</v>
      </c>
      <c r="L362" s="167">
        <f t="shared" si="20"/>
        <v>3315.9715218793099</v>
      </c>
      <c r="M362" s="168">
        <f>[5]SAF!$AE30/1000000</f>
        <v>447.97418791155297</v>
      </c>
      <c r="N362" s="169">
        <f t="shared" si="21"/>
        <v>7.4021486312376723</v>
      </c>
      <c r="O362" s="167">
        <f t="shared" si="19"/>
        <v>3617.2073806032522</v>
      </c>
      <c r="P362" s="170">
        <f t="shared" si="22"/>
        <v>8.0745888450997665</v>
      </c>
    </row>
    <row r="363" spans="1:16" x14ac:dyDescent="0.2">
      <c r="A363" s="155">
        <v>51136</v>
      </c>
      <c r="B363" s="167">
        <f>$L363*('RD Feedstock Use'!B363/'RD Feedstock Use'!$L363)</f>
        <v>816.10095192035419</v>
      </c>
      <c r="C363" s="167">
        <f>$L363*('RD Feedstock Use'!C363/'RD Feedstock Use'!$L363)</f>
        <v>205.92628593356903</v>
      </c>
      <c r="D363" s="167">
        <f>$L363*('RD Feedstock Use'!D363/'RD Feedstock Use'!$L363)*0.25+15+225</f>
        <v>281.5709084389249</v>
      </c>
      <c r="E363" s="167">
        <f>$L363*('RD Feedstock Use'!E363/'RD Feedstock Use'!$L363)</f>
        <v>2.7281028492409893</v>
      </c>
      <c r="F363" s="167">
        <f>$L363*('RD Feedstock Use'!F363/'RD Feedstock Use'!$L363)</f>
        <v>43.816360121654043</v>
      </c>
      <c r="G363" s="167">
        <f>$L363*('RD Feedstock Use'!G363/'RD Feedstock Use'!$L363)</f>
        <v>422.76682729718419</v>
      </c>
      <c r="H363" s="167">
        <f>$L363*('RD Feedstock Use'!H363/'RD Feedstock Use'!$L363)</f>
        <v>118.65373016941399</v>
      </c>
      <c r="I363" s="167">
        <f>$L363*('RD Feedstock Use'!I363/'RD Feedstock Use'!$L363)</f>
        <v>422.15494695912582</v>
      </c>
      <c r="J363" s="167">
        <f t="shared" si="23"/>
        <v>1022.0272378539232</v>
      </c>
      <c r="K363" s="167">
        <f>$L363*('RD Feedstock Use'!K363/'RD Feedstock Use'!$L363)</f>
        <v>1010.119967396619</v>
      </c>
      <c r="L363" s="167">
        <f t="shared" si="20"/>
        <v>2032.1472052505421</v>
      </c>
      <c r="M363" s="168">
        <f>[5]SAF!$AF19/1000000</f>
        <v>269.08244810783219</v>
      </c>
      <c r="N363" s="169">
        <f t="shared" si="21"/>
        <v>7.5521358585089828</v>
      </c>
      <c r="O363" s="167">
        <f t="shared" si="19"/>
        <v>2313.7181136894674</v>
      </c>
      <c r="P363" s="170">
        <f t="shared" si="22"/>
        <v>8.5985471366094721</v>
      </c>
    </row>
    <row r="364" spans="1:16" x14ac:dyDescent="0.2">
      <c r="A364" s="155">
        <v>51167</v>
      </c>
      <c r="B364" s="167">
        <f>$L364*('RD Feedstock Use'!B364/'RD Feedstock Use'!$L364)</f>
        <v>888.00804202481527</v>
      </c>
      <c r="C364" s="167">
        <f>$L364*('RD Feedstock Use'!C364/'RD Feedstock Use'!$L364)</f>
        <v>298.10396401110262</v>
      </c>
      <c r="D364" s="167">
        <f>$L364*('RD Feedstock Use'!D364/'RD Feedstock Use'!$L364)*0.25+15+225</f>
        <v>298.88893917434314</v>
      </c>
      <c r="E364" s="167">
        <f>$L364*('RD Feedstock Use'!E364/'RD Feedstock Use'!$L364)</f>
        <v>4.7134148590042964</v>
      </c>
      <c r="F364" s="167">
        <f>$L364*('RD Feedstock Use'!F364/'RD Feedstock Use'!$L364)</f>
        <v>68.880535467391823</v>
      </c>
      <c r="G364" s="167">
        <f>$L364*('RD Feedstock Use'!G364/'RD Feedstock Use'!$L364)</f>
        <v>781.33993793406557</v>
      </c>
      <c r="H364" s="167">
        <f>$L364*('RD Feedstock Use'!H364/'RD Feedstock Use'!$L364)</f>
        <v>123.74509156659866</v>
      </c>
      <c r="I364" s="167">
        <f>$L364*('RD Feedstock Use'!I364/'RD Feedstock Use'!$L364)</f>
        <v>1503.2177203227634</v>
      </c>
      <c r="J364" s="167">
        <f t="shared" si="23"/>
        <v>1186.1120060359178</v>
      </c>
      <c r="K364" s="167">
        <f>$L364*('RD Feedstock Use'!K364/'RD Feedstock Use'!$L364)</f>
        <v>2481.896700149824</v>
      </c>
      <c r="L364" s="167">
        <f t="shared" si="20"/>
        <v>3668.0087061857416</v>
      </c>
      <c r="M364" s="168">
        <f>[5]SAF!$AF20/1000000</f>
        <v>504.91534410027958</v>
      </c>
      <c r="N364" s="169">
        <f t="shared" si="21"/>
        <v>7.2646013812906629</v>
      </c>
      <c r="O364" s="167">
        <f t="shared" si="19"/>
        <v>3966.8976453600853</v>
      </c>
      <c r="P364" s="170">
        <f t="shared" si="22"/>
        <v>7.8565599000141155</v>
      </c>
    </row>
    <row r="365" spans="1:16" x14ac:dyDescent="0.2">
      <c r="A365" s="155">
        <v>51196</v>
      </c>
      <c r="B365" s="167">
        <f>$L365*('RD Feedstock Use'!B365/'RD Feedstock Use'!$L365)</f>
        <v>395.05451340703564</v>
      </c>
      <c r="C365" s="167">
        <f>$L365*('RD Feedstock Use'!C365/'RD Feedstock Use'!$L365)</f>
        <v>126.59995927684831</v>
      </c>
      <c r="D365" s="167">
        <f>$L365*('RD Feedstock Use'!D365/'RD Feedstock Use'!$L365)*0.25+15+225</f>
        <v>260.77481513354866</v>
      </c>
      <c r="E365" s="167">
        <f>$L365*('RD Feedstock Use'!E365/'RD Feedstock Use'!$L365)</f>
        <v>1.8295860592475315</v>
      </c>
      <c r="F365" s="167">
        <f>$L365*('RD Feedstock Use'!F365/'RD Feedstock Use'!$L365)</f>
        <v>39.022208041022864</v>
      </c>
      <c r="G365" s="167">
        <f>$L365*('RD Feedstock Use'!G365/'RD Feedstock Use'!$L365)</f>
        <v>262.42952744442641</v>
      </c>
      <c r="H365" s="167">
        <f>$L365*('RD Feedstock Use'!H365/'RD Feedstock Use'!$L365)</f>
        <v>78.780183222124677</v>
      </c>
      <c r="I365" s="167">
        <f>$L365*('RD Feedstock Use'!I365/'RD Feedstock Use'!$L365)</f>
        <v>571.62546192667844</v>
      </c>
      <c r="J365" s="167">
        <f t="shared" si="23"/>
        <v>521.65447268388391</v>
      </c>
      <c r="K365" s="167">
        <f>$L365*('RD Feedstock Use'!K365/'RD Feedstock Use'!$L365)</f>
        <v>953.68696669350004</v>
      </c>
      <c r="L365" s="167">
        <f t="shared" si="20"/>
        <v>1475.3414393773839</v>
      </c>
      <c r="M365" s="168">
        <f>[5]SAF!$AF21/1000000</f>
        <v>203.52393366342292</v>
      </c>
      <c r="N365" s="169">
        <f t="shared" si="21"/>
        <v>7.2489825290878329</v>
      </c>
      <c r="O365" s="167">
        <f t="shared" si="19"/>
        <v>1736.1162545109325</v>
      </c>
      <c r="P365" s="170">
        <f t="shared" si="22"/>
        <v>8.5302805584626196</v>
      </c>
    </row>
    <row r="366" spans="1:16" x14ac:dyDescent="0.2">
      <c r="A366" s="155">
        <v>51227</v>
      </c>
      <c r="B366" s="167">
        <f>$L366*('RD Feedstock Use'!B366/'RD Feedstock Use'!$L366)</f>
        <v>602.19732532236355</v>
      </c>
      <c r="C366" s="167">
        <f>$L366*('RD Feedstock Use'!C366/'RD Feedstock Use'!$L366)</f>
        <v>169.34191041462122</v>
      </c>
      <c r="D366" s="167">
        <f>$L366*('RD Feedstock Use'!D366/'RD Feedstock Use'!$L366)*0.25+15+225</f>
        <v>266.23061820050287</v>
      </c>
      <c r="E366" s="167">
        <f>$L366*('RD Feedstock Use'!E366/'RD Feedstock Use'!$L366)</f>
        <v>2.8841545710234646</v>
      </c>
      <c r="F366" s="167">
        <f>$L366*('RD Feedstock Use'!F366/'RD Feedstock Use'!$L366)</f>
        <v>70.636444542925176</v>
      </c>
      <c r="G366" s="167">
        <f>$L366*('RD Feedstock Use'!G366/'RD Feedstock Use'!$L366)</f>
        <v>240.49850796781993</v>
      </c>
      <c r="H366" s="167">
        <f>$L366*('RD Feedstock Use'!H366/'RD Feedstock Use'!$L366)</f>
        <v>178.89002554209313</v>
      </c>
      <c r="I366" s="167">
        <f>$L366*('RD Feedstock Use'!I366/'RD Feedstock Use'!$L366)</f>
        <v>1144.4111299185402</v>
      </c>
      <c r="J366" s="167">
        <f t="shared" si="23"/>
        <v>771.53923573698478</v>
      </c>
      <c r="K366" s="167">
        <f>$L366*('RD Feedstock Use'!K366/'RD Feedstock Use'!$L366)</f>
        <v>1637.3202625424019</v>
      </c>
      <c r="L366" s="167">
        <f t="shared" si="20"/>
        <v>2408.8594982793866</v>
      </c>
      <c r="M366" s="168">
        <f>[5]SAF!$AF22/1000000</f>
        <v>325.42421282770789</v>
      </c>
      <c r="N366" s="169">
        <f t="shared" si="21"/>
        <v>7.402213490348764</v>
      </c>
      <c r="O366" s="167">
        <f t="shared" si="19"/>
        <v>2675.0901164798893</v>
      </c>
      <c r="P366" s="170">
        <f t="shared" si="22"/>
        <v>8.2203167774002885</v>
      </c>
    </row>
    <row r="367" spans="1:16" x14ac:dyDescent="0.2">
      <c r="A367" s="155">
        <v>51257</v>
      </c>
      <c r="B367" s="167">
        <f>$L367*('RD Feedstock Use'!B367/'RD Feedstock Use'!$L367)</f>
        <v>669.39328881351321</v>
      </c>
      <c r="C367" s="167">
        <f>$L367*('RD Feedstock Use'!C367/'RD Feedstock Use'!$L367)</f>
        <v>301.28938105142083</v>
      </c>
      <c r="D367" s="167">
        <f>$L367*('RD Feedstock Use'!D367/'RD Feedstock Use'!$L367)*0.25+15+225</f>
        <v>264.07096139549628</v>
      </c>
      <c r="E367" s="167">
        <f>$L367*('RD Feedstock Use'!E367/'RD Feedstock Use'!$L367)</f>
        <v>3.7569302009536365</v>
      </c>
      <c r="F367" s="167">
        <f>$L367*('RD Feedstock Use'!F367/'RD Feedstock Use'!$L367)</f>
        <v>80.734022564717478</v>
      </c>
      <c r="G367" s="167">
        <f>$L367*('RD Feedstock Use'!G367/'RD Feedstock Use'!$L367)</f>
        <v>352.9299718432232</v>
      </c>
      <c r="H367" s="167">
        <f>$L367*('RD Feedstock Use'!H367/'RD Feedstock Use'!$L367)</f>
        <v>198.35373062729133</v>
      </c>
      <c r="I367" s="167">
        <f>$L367*('RD Feedstock Use'!I367/'RD Feedstock Use'!$L367)</f>
        <v>1593.9068129460754</v>
      </c>
      <c r="J367" s="167">
        <f t="shared" si="23"/>
        <v>970.68266986493404</v>
      </c>
      <c r="K367" s="167">
        <f>$L367*('RD Feedstock Use'!K367/'RD Feedstock Use'!$L367)</f>
        <v>2229.6814681822607</v>
      </c>
      <c r="L367" s="167">
        <f t="shared" si="20"/>
        <v>3200.364138047195</v>
      </c>
      <c r="M367" s="168">
        <f>[5]SAF!$AF23/1000000</f>
        <v>428.78483420417035</v>
      </c>
      <c r="N367" s="169">
        <f t="shared" si="21"/>
        <v>7.4637997493244086</v>
      </c>
      <c r="O367" s="167">
        <f t="shared" si="19"/>
        <v>3464.4350994426909</v>
      </c>
      <c r="P367" s="170">
        <f t="shared" si="22"/>
        <v>8.0796586611388044</v>
      </c>
    </row>
    <row r="368" spans="1:16" x14ac:dyDescent="0.2">
      <c r="A368" s="155">
        <v>51288</v>
      </c>
      <c r="B368" s="167">
        <f>$L368*('RD Feedstock Use'!B368/'RD Feedstock Use'!$L368)</f>
        <v>720.39523333025841</v>
      </c>
      <c r="C368" s="167">
        <f>$L368*('RD Feedstock Use'!C368/'RD Feedstock Use'!$L368)</f>
        <v>239.88541588013044</v>
      </c>
      <c r="D368" s="167">
        <f>$L368*('RD Feedstock Use'!D368/'RD Feedstock Use'!$L368)*0.25+15+225</f>
        <v>268.40867222092402</v>
      </c>
      <c r="E368" s="167">
        <f>$L368*('RD Feedstock Use'!E368/'RD Feedstock Use'!$L368)</f>
        <v>3.2652296918302035</v>
      </c>
      <c r="F368" s="167">
        <f>$L368*('RD Feedstock Use'!F368/'RD Feedstock Use'!$L368)</f>
        <v>88.627431561575193</v>
      </c>
      <c r="G368" s="167">
        <f>$L368*('RD Feedstock Use'!G368/'RD Feedstock Use'!$L368)</f>
        <v>359.63425296194248</v>
      </c>
      <c r="H368" s="167">
        <f>$L368*('RD Feedstock Use'!H368/'RD Feedstock Use'!$L368)</f>
        <v>212.97224487906189</v>
      </c>
      <c r="I368" s="167">
        <f>$L368*('RD Feedstock Use'!I368/'RD Feedstock Use'!$L368)</f>
        <v>1374.0680659573648</v>
      </c>
      <c r="J368" s="167">
        <f t="shared" si="23"/>
        <v>960.2806492103889</v>
      </c>
      <c r="K368" s="167">
        <f>$L368*('RD Feedstock Use'!K368/'RD Feedstock Use'!$L368)</f>
        <v>2038.5672250517746</v>
      </c>
      <c r="L368" s="167">
        <f t="shared" si="20"/>
        <v>2998.8478742621633</v>
      </c>
      <c r="M368" s="168">
        <f>[5]SAF!$AF24/1000000</f>
        <v>407.88917227678991</v>
      </c>
      <c r="N368" s="169">
        <f t="shared" si="21"/>
        <v>7.3521144420748978</v>
      </c>
      <c r="O368" s="167">
        <f t="shared" si="19"/>
        <v>3267.2565464830877</v>
      </c>
      <c r="P368" s="170">
        <f t="shared" si="22"/>
        <v>8.0101575833593266</v>
      </c>
    </row>
    <row r="369" spans="1:16" x14ac:dyDescent="0.2">
      <c r="A369" s="155">
        <v>51318</v>
      </c>
      <c r="B369" s="167">
        <f>$L369*('RD Feedstock Use'!B369/'RD Feedstock Use'!$L369)</f>
        <v>961.52479600411607</v>
      </c>
      <c r="C369" s="167">
        <f>$L369*('RD Feedstock Use'!C369/'RD Feedstock Use'!$L369)</f>
        <v>379.95557825067516</v>
      </c>
      <c r="D369" s="167">
        <f>$L369*('RD Feedstock Use'!D369/'RD Feedstock Use'!$L369)*0.25+15+225</f>
        <v>277.66211856087654</v>
      </c>
      <c r="E369" s="167">
        <f>$L369*('RD Feedstock Use'!E369/'RD Feedstock Use'!$L369)</f>
        <v>3.5506325747160807</v>
      </c>
      <c r="F369" s="167">
        <f>$L369*('RD Feedstock Use'!F369/'RD Feedstock Use'!$L369)</f>
        <v>101.2664139288632</v>
      </c>
      <c r="G369" s="167">
        <f>$L369*('RD Feedstock Use'!G369/'RD Feedstock Use'!$L369)</f>
        <v>448.87346008280167</v>
      </c>
      <c r="H369" s="167">
        <f>$L369*('RD Feedstock Use'!H369/'RD Feedstock Use'!$L369)</f>
        <v>252.60928166168071</v>
      </c>
      <c r="I369" s="167">
        <f>$L369*('RD Feedstock Use'!I369/'RD Feedstock Use'!$L369)</f>
        <v>1167.1750292089641</v>
      </c>
      <c r="J369" s="167">
        <f t="shared" si="23"/>
        <v>1341.4803742547913</v>
      </c>
      <c r="K369" s="167">
        <f>$L369*('RD Feedstock Use'!K369/'RD Feedstock Use'!$L369)</f>
        <v>1973.4748174570257</v>
      </c>
      <c r="L369" s="167">
        <f t="shared" si="20"/>
        <v>3314.955191711817</v>
      </c>
      <c r="M369" s="168">
        <f>[5]SAF!$AF25/1000000</f>
        <v>444.75040621882141</v>
      </c>
      <c r="N369" s="169">
        <f t="shared" si="21"/>
        <v>7.4535180752163894</v>
      </c>
      <c r="O369" s="167">
        <f t="shared" si="19"/>
        <v>3592.6173102726934</v>
      </c>
      <c r="P369" s="170">
        <f t="shared" si="22"/>
        <v>8.0778280582504784</v>
      </c>
    </row>
    <row r="370" spans="1:16" x14ac:dyDescent="0.2">
      <c r="A370" s="155">
        <v>51349</v>
      </c>
      <c r="B370" s="167">
        <f>$L370*('RD Feedstock Use'!B370/'RD Feedstock Use'!$L370)</f>
        <v>1056.1048626058371</v>
      </c>
      <c r="C370" s="167">
        <f>$L370*('RD Feedstock Use'!C370/'RD Feedstock Use'!$L370)</f>
        <v>312.01022565831244</v>
      </c>
      <c r="D370" s="167">
        <f>$L370*('RD Feedstock Use'!D370/'RD Feedstock Use'!$L370)*0.25+15+225</f>
        <v>276.2793526759811</v>
      </c>
      <c r="E370" s="167">
        <f>$L370*('RD Feedstock Use'!E370/'RD Feedstock Use'!$L370)</f>
        <v>3.7946497477178118</v>
      </c>
      <c r="F370" s="167">
        <f>$L370*('RD Feedstock Use'!F370/'RD Feedstock Use'!$L370)</f>
        <v>81.904700355541962</v>
      </c>
      <c r="G370" s="167">
        <f>$L370*('RD Feedstock Use'!G370/'RD Feedstock Use'!$L370)</f>
        <v>498.8425503721578</v>
      </c>
      <c r="H370" s="167">
        <f>$L370*('RD Feedstock Use'!H370/'RD Feedstock Use'!$L370)</f>
        <v>285.87772766125983</v>
      </c>
      <c r="I370" s="167">
        <f>$L370*('RD Feedstock Use'!I370/'RD Feedstock Use'!$L370)</f>
        <v>1334.5868312761138</v>
      </c>
      <c r="J370" s="167">
        <f t="shared" si="23"/>
        <v>1368.1150882641496</v>
      </c>
      <c r="K370" s="167">
        <f>$L370*('RD Feedstock Use'!K370/'RD Feedstock Use'!$L370)</f>
        <v>2205.0064594127916</v>
      </c>
      <c r="L370" s="167">
        <f t="shared" si="20"/>
        <v>3573.1215476769407</v>
      </c>
      <c r="M370" s="168">
        <f>[5]SAF!$AF26/1000000</f>
        <v>483.55533951892414</v>
      </c>
      <c r="N370" s="169">
        <f t="shared" si="21"/>
        <v>7.389271207783044</v>
      </c>
      <c r="O370" s="167">
        <f t="shared" si="19"/>
        <v>3849.4009003529222</v>
      </c>
      <c r="P370" s="170">
        <f t="shared" si="22"/>
        <v>7.9606212273089261</v>
      </c>
    </row>
    <row r="371" spans="1:16" x14ac:dyDescent="0.2">
      <c r="A371" s="155">
        <v>51380</v>
      </c>
      <c r="B371" s="167">
        <f>$L371*('RD Feedstock Use'!B371/'RD Feedstock Use'!$L371)</f>
        <v>1283.1689647286532</v>
      </c>
      <c r="C371" s="167">
        <f>$L371*('RD Feedstock Use'!C371/'RD Feedstock Use'!$L371)</f>
        <v>293.93502299769398</v>
      </c>
      <c r="D371" s="167">
        <f>$L371*('RD Feedstock Use'!D371/'RD Feedstock Use'!$L371)*0.25+15+225</f>
        <v>300.78191563281206</v>
      </c>
      <c r="E371" s="167">
        <f>$L371*('RD Feedstock Use'!E371/'RD Feedstock Use'!$L371)</f>
        <v>5.5775727653526488</v>
      </c>
      <c r="F371" s="167">
        <f>$L371*('RD Feedstock Use'!F371/'RD Feedstock Use'!$L371)</f>
        <v>115.99805675567204</v>
      </c>
      <c r="G371" s="167">
        <f>$L371*('RD Feedstock Use'!G371/'RD Feedstock Use'!$L371)</f>
        <v>613.15982663265015</v>
      </c>
      <c r="H371" s="167">
        <f>$L371*('RD Feedstock Use'!H371/'RD Feedstock Use'!$L371)</f>
        <v>308.21920608465354</v>
      </c>
      <c r="I371" s="167">
        <f>$L371*('RD Feedstock Use'!I371/'RD Feedstock Use'!$L371)</f>
        <v>1815.3808287797017</v>
      </c>
      <c r="J371" s="167">
        <f t="shared" si="23"/>
        <v>1577.1039877263472</v>
      </c>
      <c r="K371" s="167">
        <f>$L371*('RD Feedstock Use'!K371/'RD Feedstock Use'!$L371)</f>
        <v>2858.3354910180301</v>
      </c>
      <c r="L371" s="167">
        <f t="shared" si="20"/>
        <v>4435.4394787443771</v>
      </c>
      <c r="M371" s="168">
        <f>[5]SAF!$AF27/1000000</f>
        <v>588.33472941870616</v>
      </c>
      <c r="N371" s="169">
        <f t="shared" si="21"/>
        <v>7.5389727258269046</v>
      </c>
      <c r="O371" s="167">
        <f t="shared" si="19"/>
        <v>4736.2213943771894</v>
      </c>
      <c r="P371" s="170">
        <f t="shared" si="22"/>
        <v>8.0502155619076401</v>
      </c>
    </row>
    <row r="372" spans="1:16" x14ac:dyDescent="0.2">
      <c r="A372" s="155">
        <v>51410</v>
      </c>
      <c r="B372" s="167">
        <f>$L372*('RD Feedstock Use'!B372/'RD Feedstock Use'!$L372)</f>
        <v>1132.2942106433229</v>
      </c>
      <c r="C372" s="167">
        <f>$L372*('RD Feedstock Use'!C372/'RD Feedstock Use'!$L372)</f>
        <v>383.36299197379878</v>
      </c>
      <c r="D372" s="167">
        <f>$L372*('RD Feedstock Use'!D372/'RD Feedstock Use'!$L372)*0.25+15+225</f>
        <v>304.31600099026502</v>
      </c>
      <c r="E372" s="167">
        <f>$L372*('RD Feedstock Use'!E372/'RD Feedstock Use'!$L372)</f>
        <v>6.3811651513141694</v>
      </c>
      <c r="F372" s="167">
        <f>$L372*('RD Feedstock Use'!F372/'RD Feedstock Use'!$L372)</f>
        <v>101.20671126578175</v>
      </c>
      <c r="G372" s="167">
        <f>$L372*('RD Feedstock Use'!G372/'RD Feedstock Use'!$L372)</f>
        <v>630.86039993529096</v>
      </c>
      <c r="H372" s="167">
        <f>$L372*('RD Feedstock Use'!H372/'RD Feedstock Use'!$L372)</f>
        <v>293.20221046140915</v>
      </c>
      <c r="I372" s="167">
        <f>$L372*('RD Feedstock Use'!I372/'RD Feedstock Use'!$L372)</f>
        <v>1733.5456782943638</v>
      </c>
      <c r="J372" s="167">
        <f t="shared" si="23"/>
        <v>1515.6572026171216</v>
      </c>
      <c r="K372" s="167">
        <f>$L372*('RD Feedstock Use'!K372/'RD Feedstock Use'!$L372)</f>
        <v>2765.1961651081601</v>
      </c>
      <c r="L372" s="167">
        <f t="shared" si="20"/>
        <v>4280.8533677252817</v>
      </c>
      <c r="M372" s="168">
        <f>[5]SAF!$AF28/1000000</f>
        <v>573.36052479421483</v>
      </c>
      <c r="N372" s="169">
        <f t="shared" si="21"/>
        <v>7.4662506095300598</v>
      </c>
      <c r="O372" s="167">
        <f t="shared" si="19"/>
        <v>4585.1693687155466</v>
      </c>
      <c r="P372" s="170">
        <f t="shared" si="22"/>
        <v>7.9970091599194282</v>
      </c>
    </row>
    <row r="373" spans="1:16" x14ac:dyDescent="0.2">
      <c r="A373" s="155">
        <v>51441</v>
      </c>
      <c r="B373" s="167">
        <f>$L373*('RD Feedstock Use'!B373/'RD Feedstock Use'!$L373)</f>
        <v>1148.6402310132949</v>
      </c>
      <c r="C373" s="167">
        <f>$L373*('RD Feedstock Use'!C373/'RD Feedstock Use'!$L373)</f>
        <v>353.44264479326512</v>
      </c>
      <c r="D373" s="167">
        <f>$L373*('RD Feedstock Use'!D373/'RD Feedstock Use'!$L373)*0.25+10+300</f>
        <v>369.66383709132776</v>
      </c>
      <c r="E373" s="167">
        <f>$L373*('RD Feedstock Use'!E373/'RD Feedstock Use'!$L373)</f>
        <v>5.0546586487439242</v>
      </c>
      <c r="F373" s="167">
        <f>$L373*('RD Feedstock Use'!F373/'RD Feedstock Use'!$L373)</f>
        <v>33.328188523715092</v>
      </c>
      <c r="G373" s="167">
        <f>$L373*('RD Feedstock Use'!G373/'RD Feedstock Use'!$L373)</f>
        <v>593.66712669963658</v>
      </c>
      <c r="H373" s="167">
        <f>$L373*('RD Feedstock Use'!H373/'RD Feedstock Use'!$L373)</f>
        <v>266.49485711824582</v>
      </c>
      <c r="I373" s="167">
        <f>$L373*('RD Feedstock Use'!I373/'RD Feedstock Use'!$L373)</f>
        <v>1219.2988434296178</v>
      </c>
      <c r="J373" s="167">
        <f t="shared" si="23"/>
        <v>1502.08287580656</v>
      </c>
      <c r="K373" s="167">
        <f>$L373*('RD Feedstock Use'!K373/'RD Feedstock Use'!$L373)</f>
        <v>2117.8436744199589</v>
      </c>
      <c r="L373" s="167">
        <f t="shared" si="20"/>
        <v>3619.9265502265189</v>
      </c>
      <c r="M373" s="168">
        <f>[5]SAF!$AF29/1000000</f>
        <v>495.41362530959378</v>
      </c>
      <c r="N373" s="169">
        <f t="shared" si="21"/>
        <v>7.3068772542627487</v>
      </c>
      <c r="O373" s="167">
        <f t="shared" si="19"/>
        <v>3989.5903873178468</v>
      </c>
      <c r="P373" s="170">
        <f t="shared" si="22"/>
        <v>8.0530493783344621</v>
      </c>
    </row>
    <row r="374" spans="1:16" x14ac:dyDescent="0.2">
      <c r="A374" s="155">
        <v>51471</v>
      </c>
      <c r="B374" s="167">
        <f>$L374*('RD Feedstock Use'!B374/'RD Feedstock Use'!$L374)</f>
        <v>1157.9476430515795</v>
      </c>
      <c r="C374" s="167">
        <f>$L374*('RD Feedstock Use'!C374/'RD Feedstock Use'!$L374)</f>
        <v>357.28873541170265</v>
      </c>
      <c r="D374" s="167">
        <f>$L374*('RD Feedstock Use'!D374/'RD Feedstock Use'!$L374)*0.25+10+300</f>
        <v>362.26246636389845</v>
      </c>
      <c r="E374" s="167">
        <f>$L374*('RD Feedstock Use'!E374/'RD Feedstock Use'!$L374)</f>
        <v>4.3711718109010889</v>
      </c>
      <c r="F374" s="167">
        <f>$L374*('RD Feedstock Use'!F374/'RD Feedstock Use'!$L374)</f>
        <v>25.807672272703329</v>
      </c>
      <c r="G374" s="167">
        <f>$L374*('RD Feedstock Use'!G374/'RD Feedstock Use'!$L374)</f>
        <v>540.49289257023554</v>
      </c>
      <c r="H374" s="167">
        <f>$L374*('RD Feedstock Use'!H374/'RD Feedstock Use'!$L374)</f>
        <v>152.25871938058691</v>
      </c>
      <c r="I374" s="167">
        <f>$L374*('RD Feedstock Use'!I374/'RD Feedstock Use'!$L374)</f>
        <v>1056.7101932707114</v>
      </c>
      <c r="J374" s="167">
        <f t="shared" si="23"/>
        <v>1515.2363784632821</v>
      </c>
      <c r="K374" s="167">
        <f>$L374*('RD Feedstock Use'!K374/'RD Feedstock Use'!$L374)</f>
        <v>1779.6406493051384</v>
      </c>
      <c r="L374" s="167">
        <f t="shared" si="20"/>
        <v>3294.8770277684202</v>
      </c>
      <c r="M374" s="168">
        <f>[5]SAF!$AF30/1000000</f>
        <v>445.13676902387118</v>
      </c>
      <c r="N374" s="169">
        <f t="shared" si="21"/>
        <v>7.4019430814346574</v>
      </c>
      <c r="O374" s="167">
        <f t="shared" si="19"/>
        <v>3657.1394941323192</v>
      </c>
      <c r="P374" s="170">
        <f t="shared" si="22"/>
        <v>8.2157659142648782</v>
      </c>
    </row>
    <row r="375" spans="1:16" x14ac:dyDescent="0.2">
      <c r="A375" s="155">
        <v>51502</v>
      </c>
      <c r="B375" s="167">
        <f>$L375*('RD Feedstock Use'!B375/'RD Feedstock Use'!$L375)</f>
        <v>859.65124577766858</v>
      </c>
      <c r="C375" s="167">
        <f>$L375*('RD Feedstock Use'!C375/'RD Feedstock Use'!$L375)</f>
        <v>214.7385107946881</v>
      </c>
      <c r="D375" s="167">
        <f>$L375*('RD Feedstock Use'!D375/'RD Feedstock Use'!$L375)*0.25+10+300</f>
        <v>347.35781245832135</v>
      </c>
      <c r="E375" s="167">
        <f>$L375*('RD Feedstock Use'!E375/'RD Feedstock Use'!$L375)</f>
        <v>2.8453807501248396</v>
      </c>
      <c r="F375" s="167">
        <f>$L375*('RD Feedstock Use'!F375/'RD Feedstock Use'!$L375)</f>
        <v>45.691256120488354</v>
      </c>
      <c r="G375" s="167">
        <f>$L375*('RD Feedstock Use'!G375/'RD Feedstock Use'!$L375)</f>
        <v>440.92824229664291</v>
      </c>
      <c r="H375" s="167">
        <f>$L375*('RD Feedstock Use'!H375/'RD Feedstock Use'!$L375)</f>
        <v>114.622771985139</v>
      </c>
      <c r="I375" s="167">
        <f>$L375*('RD Feedstock Use'!I375/'RD Feedstock Use'!$L375)</f>
        <v>440.3783397932911</v>
      </c>
      <c r="J375" s="167">
        <f t="shared" si="23"/>
        <v>1074.3897565723566</v>
      </c>
      <c r="K375" s="167">
        <f>$L375*('RD Feedstock Use'!K375/'RD Feedstock Use'!$L375)</f>
        <v>1044.4659909456861</v>
      </c>
      <c r="L375" s="167">
        <f t="shared" si="20"/>
        <v>2118.8557475180428</v>
      </c>
      <c r="M375" s="168">
        <f>[5]SAF!$AG19/1000000</f>
        <v>280.58424678410807</v>
      </c>
      <c r="N375" s="169">
        <f t="shared" si="21"/>
        <v>7.5515848512634749</v>
      </c>
      <c r="O375" s="167">
        <f t="shared" si="19"/>
        <v>2466.2135599763642</v>
      </c>
      <c r="P375" s="170">
        <f t="shared" si="22"/>
        <v>8.7895653025522869</v>
      </c>
    </row>
    <row r="376" spans="1:16" x14ac:dyDescent="0.2">
      <c r="A376" s="155">
        <v>51533</v>
      </c>
      <c r="B376" s="167">
        <f>$L376*('RD Feedstock Use'!B376/'RD Feedstock Use'!$L376)</f>
        <v>923.85714841733648</v>
      </c>
      <c r="C376" s="167">
        <f>$L376*('RD Feedstock Use'!C376/'RD Feedstock Use'!$L376)</f>
        <v>310.94691367753126</v>
      </c>
      <c r="D376" s="167">
        <f>$L376*('RD Feedstock Use'!D376/'RD Feedstock Use'!$L376)*0.25+10+300</f>
        <v>361.44881926594894</v>
      </c>
      <c r="E376" s="167">
        <f>$L376*('RD Feedstock Use'!E376/'RD Feedstock Use'!$L376)</f>
        <v>4.9179185052743675</v>
      </c>
      <c r="F376" s="167">
        <f>$L376*('RD Feedstock Use'!F376/'RD Feedstock Use'!$L376)</f>
        <v>71.853823059061412</v>
      </c>
      <c r="G376" s="167">
        <f>$L376*('RD Feedstock Use'!G376/'RD Feedstock Use'!$L376)</f>
        <v>815.26564704918167</v>
      </c>
      <c r="H376" s="167">
        <f>$L376*('RD Feedstock Use'!H376/'RD Feedstock Use'!$L376)</f>
        <v>125.58090708057007</v>
      </c>
      <c r="I376" s="167">
        <f>$L376*('RD Feedstock Use'!I376/'RD Feedstock Use'!$L376)</f>
        <v>1573.5869591927449</v>
      </c>
      <c r="J376" s="167">
        <f t="shared" si="23"/>
        <v>1234.8040620948677</v>
      </c>
      <c r="K376" s="167">
        <f>$L376*('RD Feedstock Use'!K376/'RD Feedstock Use'!$L376)</f>
        <v>2591.2052548868323</v>
      </c>
      <c r="L376" s="167">
        <f t="shared" si="20"/>
        <v>3826.0093169817001</v>
      </c>
      <c r="M376" s="168">
        <f>[5]SAF!$AG20/1000000</f>
        <v>526.65633885305772</v>
      </c>
      <c r="N376" s="169">
        <f t="shared" si="21"/>
        <v>7.2647171119480136</v>
      </c>
      <c r="O376" s="167">
        <f t="shared" ref="O376:O439" si="24">K376+J376+D376</f>
        <v>4187.4581362476492</v>
      </c>
      <c r="P376" s="170">
        <f t="shared" si="22"/>
        <v>7.9510257967596418</v>
      </c>
    </row>
    <row r="377" spans="1:16" x14ac:dyDescent="0.2">
      <c r="A377" s="155">
        <v>51561</v>
      </c>
      <c r="B377" s="167">
        <f>$L377*('RD Feedstock Use'!B377/'RD Feedstock Use'!$L377)</f>
        <v>410.92999886402157</v>
      </c>
      <c r="C377" s="167">
        <f>$L377*('RD Feedstock Use'!C377/'RD Feedstock Use'!$L377)</f>
        <v>132.01906976180624</v>
      </c>
      <c r="D377" s="167">
        <f>$L377*('RD Feedstock Use'!D377/'RD Feedstock Use'!$L377)*0.25+10+300</f>
        <v>327.77213931766011</v>
      </c>
      <c r="E377" s="167">
        <f>$L377*('RD Feedstock Use'!E377/'RD Feedstock Use'!$L377)</f>
        <v>1.9084639469024429</v>
      </c>
      <c r="F377" s="167">
        <f>$L377*('RD Feedstock Use'!F377/'RD Feedstock Use'!$L377)</f>
        <v>40.681348145360097</v>
      </c>
      <c r="G377" s="167">
        <f>$L377*('RD Feedstock Use'!G377/'RD Feedstock Use'!$L377)</f>
        <v>273.74751039416878</v>
      </c>
      <c r="H377" s="167">
        <f>$L377*('RD Feedstock Use'!H377/'RD Feedstock Use'!$L377)</f>
        <v>81.623244884892429</v>
      </c>
      <c r="I377" s="167">
        <f>$L377*('RD Feedstock Use'!I377/'RD Feedstock Use'!$L377)</f>
        <v>597.62566480922555</v>
      </c>
      <c r="J377" s="167">
        <f t="shared" si="23"/>
        <v>542.94906862582775</v>
      </c>
      <c r="K377" s="167">
        <f>$L377*('RD Feedstock Use'!K377/'RD Feedstock Use'!$L377)</f>
        <v>995.58623218054925</v>
      </c>
      <c r="L377" s="167">
        <f t="shared" ref="L377:L440" si="25">N377*M377</f>
        <v>1538.5353008063771</v>
      </c>
      <c r="M377" s="168">
        <f>[5]SAF!$AG21/1000000</f>
        <v>212.24928299278366</v>
      </c>
      <c r="N377" s="169">
        <f t="shared" ref="N377:N440" si="26">AVERAGE(N365,N353,N341,N329,N317)</f>
        <v>7.2487184838154972</v>
      </c>
      <c r="O377" s="167">
        <f t="shared" si="24"/>
        <v>1866.3074401240372</v>
      </c>
      <c r="P377" s="170">
        <f t="shared" ref="P377:P440" si="27">O377/M377</f>
        <v>8.792997619631489</v>
      </c>
    </row>
    <row r="378" spans="1:16" x14ac:dyDescent="0.2">
      <c r="A378" s="155">
        <v>51592</v>
      </c>
      <c r="B378" s="167">
        <f>$L378*('RD Feedstock Use'!B378/'RD Feedstock Use'!$L378)</f>
        <v>626.42414938045977</v>
      </c>
      <c r="C378" s="167">
        <f>$L378*('RD Feedstock Use'!C378/'RD Feedstock Use'!$L378)</f>
        <v>176.59759016807382</v>
      </c>
      <c r="D378" s="167">
        <f>$L378*('RD Feedstock Use'!D378/'RD Feedstock Use'!$L378)*0.25+10+300</f>
        <v>330.62969218279159</v>
      </c>
      <c r="E378" s="167">
        <f>$L378*('RD Feedstock Use'!E378/'RD Feedstock Use'!$L378)</f>
        <v>3.0086313560064011</v>
      </c>
      <c r="F378" s="167">
        <f>$L378*('RD Feedstock Use'!F378/'RD Feedstock Use'!$L378)</f>
        <v>73.638310667562592</v>
      </c>
      <c r="G378" s="167">
        <f>$L378*('RD Feedstock Use'!G378/'RD Feedstock Use'!$L378)</f>
        <v>250.95731002227092</v>
      </c>
      <c r="H378" s="167">
        <f>$L378*('RD Feedstock Use'!H378/'RD Feedstock Use'!$L378)</f>
        <v>185.60759334402508</v>
      </c>
      <c r="I378" s="167">
        <f>$L378*('RD Feedstock Use'!I378/'RD Feedstock Use'!$L378)</f>
        <v>1196.0168673945864</v>
      </c>
      <c r="J378" s="167">
        <f t="shared" si="23"/>
        <v>803.02173954853356</v>
      </c>
      <c r="K378" s="167">
        <f>$L378*('RD Feedstock Use'!K378/'RD Feedstock Use'!$L378)</f>
        <v>1709.2287127844511</v>
      </c>
      <c r="L378" s="167">
        <f t="shared" si="25"/>
        <v>2512.2504523329849</v>
      </c>
      <c r="M378" s="168">
        <f>[5]SAF!$AG22/1000000</f>
        <v>339.39985827864075</v>
      </c>
      <c r="N378" s="169">
        <f t="shared" si="26"/>
        <v>7.4020374229811123</v>
      </c>
      <c r="O378" s="167">
        <f t="shared" si="24"/>
        <v>2842.880144515776</v>
      </c>
      <c r="P378" s="170">
        <f t="shared" si="27"/>
        <v>8.3761972056624323</v>
      </c>
    </row>
    <row r="379" spans="1:16" x14ac:dyDescent="0.2">
      <c r="A379" s="155">
        <v>51622</v>
      </c>
      <c r="B379" s="167">
        <f>$L379*('RD Feedstock Use'!B379/'RD Feedstock Use'!$L379)</f>
        <v>697.71038911928633</v>
      </c>
      <c r="C379" s="167">
        <f>$L379*('RD Feedstock Use'!C379/'RD Feedstock Use'!$L379)</f>
        <v>314.1713042985366</v>
      </c>
      <c r="D379" s="167">
        <f>$L379*('RD Feedstock Use'!D379/'RD Feedstock Use'!$L379)*0.25+10+300</f>
        <v>326.20988763643953</v>
      </c>
      <c r="E379" s="167">
        <f>$L379*('RD Feedstock Use'!E379/'RD Feedstock Use'!$L379)</f>
        <v>3.9193043325994505</v>
      </c>
      <c r="F379" s="167">
        <f>$L379*('RD Feedstock Use'!F379/'RD Feedstock Use'!$L379)</f>
        <v>84.174178013811897</v>
      </c>
      <c r="G379" s="167">
        <f>$L379*('RD Feedstock Use'!G379/'RD Feedstock Use'!$L379)</f>
        <v>368.25769008773688</v>
      </c>
      <c r="H379" s="167">
        <f>$L379*('RD Feedstock Use'!H379/'RD Feedstock Use'!$L379)</f>
        <v>206.09000314864608</v>
      </c>
      <c r="I379" s="167">
        <f>$L379*('RD Feedstock Use'!I379/'RD Feedstock Use'!$L379)</f>
        <v>1663.5959680425585</v>
      </c>
      <c r="J379" s="167">
        <f t="shared" si="23"/>
        <v>1011.8816934178229</v>
      </c>
      <c r="K379" s="167">
        <f>$L379*('RD Feedstock Use'!K379/'RD Feedstock Use'!$L379)</f>
        <v>2326.0371436253531</v>
      </c>
      <c r="L379" s="167">
        <f t="shared" si="25"/>
        <v>3337.9188370431757</v>
      </c>
      <c r="M379" s="168">
        <f>[5]SAF!$AG23/1000000</f>
        <v>447.20638744169662</v>
      </c>
      <c r="N379" s="169">
        <f t="shared" si="26"/>
        <v>7.4639337245118131</v>
      </c>
      <c r="O379" s="167">
        <f t="shared" si="24"/>
        <v>3664.1287246796155</v>
      </c>
      <c r="P379" s="170">
        <f t="shared" si="27"/>
        <v>8.1933729650883329</v>
      </c>
    </row>
    <row r="380" spans="1:16" x14ac:dyDescent="0.2">
      <c r="A380" s="155">
        <v>51653</v>
      </c>
      <c r="B380" s="167">
        <f>$L380*('RD Feedstock Use'!B380/'RD Feedstock Use'!$L380)</f>
        <v>762.49189334050925</v>
      </c>
      <c r="C380" s="167">
        <f>$L380*('RD Feedstock Use'!C380/'RD Feedstock Use'!$L380)</f>
        <v>250.16882468131027</v>
      </c>
      <c r="D380" s="167">
        <f>$L380*('RD Feedstock Use'!D380/'RD Feedstock Use'!$L380)*0.25+10+300</f>
        <v>331.70335983205899</v>
      </c>
      <c r="E380" s="167">
        <f>$L380*('RD Feedstock Use'!E380/'RD Feedstock Use'!$L380)</f>
        <v>3.4063202729598214</v>
      </c>
      <c r="F380" s="167">
        <f>$L380*('RD Feedstock Use'!F380/'RD Feedstock Use'!$L380)</f>
        <v>92.441661330302182</v>
      </c>
      <c r="G380" s="167">
        <f>$L380*('RD Feedstock Use'!G380/'RD Feedstock Use'!$L380)</f>
        <v>375.2923929026183</v>
      </c>
      <c r="H380" s="167">
        <f>$L380*('RD Feedstock Use'!H380/'RD Feedstock Use'!$L380)</f>
        <v>221.40114686389236</v>
      </c>
      <c r="I380" s="167">
        <f>$L380*('RD Feedstock Use'!I380/'RD Feedstock Use'!$L380)</f>
        <v>1422.51266537992</v>
      </c>
      <c r="J380" s="167">
        <f t="shared" si="23"/>
        <v>1012.6607180218195</v>
      </c>
      <c r="K380" s="167">
        <f>$L380*('RD Feedstock Use'!K380/'RD Feedstock Use'!$L380)</f>
        <v>2115.0541867496927</v>
      </c>
      <c r="L380" s="167">
        <f t="shared" si="25"/>
        <v>3127.714904771512</v>
      </c>
      <c r="M380" s="168">
        <f>[5]SAF!$AG24/1000000</f>
        <v>425.41731998768063</v>
      </c>
      <c r="N380" s="169">
        <f t="shared" si="26"/>
        <v>7.3521099349271566</v>
      </c>
      <c r="O380" s="167">
        <f t="shared" si="24"/>
        <v>3459.4182646035711</v>
      </c>
      <c r="P380" s="170">
        <f t="shared" si="27"/>
        <v>8.1318228056717334</v>
      </c>
    </row>
    <row r="381" spans="1:16" x14ac:dyDescent="0.2">
      <c r="A381" s="155">
        <v>51683</v>
      </c>
      <c r="B381" s="167">
        <f>$L381*('RD Feedstock Use'!B381/'RD Feedstock Use'!$L381)</f>
        <v>1015.2872693753152</v>
      </c>
      <c r="C381" s="167">
        <f>$L381*('RD Feedstock Use'!C381/'RD Feedstock Use'!$L381)</f>
        <v>396.1628647042715</v>
      </c>
      <c r="D381" s="167">
        <f>$L381*('RD Feedstock Use'!D381/'RD Feedstock Use'!$L381)*0.25+10+300</f>
        <v>340.60348667051932</v>
      </c>
      <c r="E381" s="167">
        <f>$L381*('RD Feedstock Use'!E381/'RD Feedstock Use'!$L381)</f>
        <v>3.7036618162322053</v>
      </c>
      <c r="F381" s="167">
        <f>$L381*('RD Feedstock Use'!F381/'RD Feedstock Use'!$L381)</f>
        <v>105.60786938220761</v>
      </c>
      <c r="G381" s="167">
        <f>$L381*('RD Feedstock Use'!G381/'RD Feedstock Use'!$L381)</f>
        <v>468.35975212769068</v>
      </c>
      <c r="H381" s="167">
        <f>$L381*('RD Feedstock Use'!H381/'RD Feedstock Use'!$L381)</f>
        <v>258.38378035441019</v>
      </c>
      <c r="I381" s="167">
        <f>$L381*('RD Feedstock Use'!I381/'RD Feedstock Use'!$L381)</f>
        <v>1209.5004864565749</v>
      </c>
      <c r="J381" s="167">
        <f t="shared" si="23"/>
        <v>1411.4501340795866</v>
      </c>
      <c r="K381" s="167">
        <f>$L381*('RD Feedstock Use'!K381/'RD Feedstock Use'!$L381)</f>
        <v>2045.5555501371157</v>
      </c>
      <c r="L381" s="167">
        <f t="shared" si="25"/>
        <v>3457.0056842167023</v>
      </c>
      <c r="M381" s="168">
        <f>[5]SAF!$AG25/1000000</f>
        <v>463.83834992057183</v>
      </c>
      <c r="N381" s="169">
        <f t="shared" si="26"/>
        <v>7.4530398032174006</v>
      </c>
      <c r="O381" s="167">
        <f t="shared" si="24"/>
        <v>3797.6091708872218</v>
      </c>
      <c r="P381" s="170">
        <f t="shared" si="27"/>
        <v>8.1873548651971717</v>
      </c>
    </row>
    <row r="382" spans="1:16" x14ac:dyDescent="0.2">
      <c r="A382" s="155">
        <v>51714</v>
      </c>
      <c r="B382" s="167">
        <f>$L382*('RD Feedstock Use'!B382/'RD Feedstock Use'!$L382)</f>
        <v>1114.5293236854941</v>
      </c>
      <c r="C382" s="167">
        <f>$L382*('RD Feedstock Use'!C382/'RD Feedstock Use'!$L382)</f>
        <v>325.32633200186376</v>
      </c>
      <c r="D382" s="167">
        <f>$L382*('RD Feedstock Use'!D382/'RD Feedstock Use'!$L382)*0.25+10+300</f>
        <v>338.53673776803936</v>
      </c>
      <c r="E382" s="167">
        <f>$L382*('RD Feedstock Use'!E382/'RD Feedstock Use'!$L382)</f>
        <v>3.9586511911153148</v>
      </c>
      <c r="F382" s="167">
        <f>$L382*('RD Feedstock Use'!F382/'RD Feedstock Use'!$L382)</f>
        <v>85.407991839028142</v>
      </c>
      <c r="G382" s="167">
        <f>$L382*('RD Feedstock Use'!G382/'RD Feedstock Use'!$L382)</f>
        <v>520.70432573714754</v>
      </c>
      <c r="H382" s="167">
        <f>$L382*('RD Feedstock Use'!H382/'RD Feedstock Use'!$L382)</f>
        <v>293.14383854715135</v>
      </c>
      <c r="I382" s="167">
        <f>$L382*('RD Feedstock Use'!I382/'RD Feedstock Use'!$L382)</f>
        <v>1383.6155449659773</v>
      </c>
      <c r="J382" s="167">
        <f t="shared" si="23"/>
        <v>1439.8556556873577</v>
      </c>
      <c r="K382" s="167">
        <f>$L382*('RD Feedstock Use'!K382/'RD Feedstock Use'!$L382)</f>
        <v>2286.8303522804194</v>
      </c>
      <c r="L382" s="167">
        <f t="shared" si="25"/>
        <v>3726.6860079677776</v>
      </c>
      <c r="M382" s="168">
        <f>[5]SAF!$AG26/1000000</f>
        <v>504.33677182245691</v>
      </c>
      <c r="N382" s="169">
        <f t="shared" si="26"/>
        <v>7.3892807667010514</v>
      </c>
      <c r="O382" s="167">
        <f t="shared" si="24"/>
        <v>4065.2227457358167</v>
      </c>
      <c r="P382" s="170">
        <f t="shared" si="27"/>
        <v>8.0605321143763611</v>
      </c>
    </row>
    <row r="383" spans="1:16" x14ac:dyDescent="0.2">
      <c r="A383" s="155">
        <v>51745</v>
      </c>
      <c r="B383" s="167">
        <f>$L383*('RD Feedstock Use'!B383/'RD Feedstock Use'!$L383)</f>
        <v>1354.4694978010289</v>
      </c>
      <c r="C383" s="167">
        <f>$L383*('RD Feedstock Use'!C383/'RD Feedstock Use'!$L383)</f>
        <v>306.56827609263297</v>
      </c>
      <c r="D383" s="167">
        <f>$L383*('RD Feedstock Use'!D383/'RD Feedstock Use'!$L383)*0.25+10+300</f>
        <v>363.12935966735347</v>
      </c>
      <c r="E383" s="167">
        <f>$L383*('RD Feedstock Use'!E383/'RD Feedstock Use'!$L383)</f>
        <v>5.8178855178607032</v>
      </c>
      <c r="F383" s="167">
        <f>$L383*('RD Feedstock Use'!F383/'RD Feedstock Use'!$L383)</f>
        <v>120.95868092491901</v>
      </c>
      <c r="G383" s="167">
        <f>$L383*('RD Feedstock Use'!G383/'RD Feedstock Use'!$L383)</f>
        <v>640.52075026891464</v>
      </c>
      <c r="H383" s="167">
        <f>$L383*('RD Feedstock Use'!H383/'RD Feedstock Use'!$L383)</f>
        <v>316.14387051059782</v>
      </c>
      <c r="I383" s="167">
        <f>$L383*('RD Feedstock Use'!I383/'RD Feedstock Use'!$L383)</f>
        <v>1882.1177372940256</v>
      </c>
      <c r="J383" s="167">
        <f t="shared" si="23"/>
        <v>1661.0377738936618</v>
      </c>
      <c r="K383" s="167">
        <f>$L383*('RD Feedstock Use'!K383/'RD Feedstock Use'!$L383)</f>
        <v>2965.5589245163178</v>
      </c>
      <c r="L383" s="167">
        <f t="shared" si="25"/>
        <v>4626.5966984099796</v>
      </c>
      <c r="M383" s="168">
        <f>[5]SAF!$AG27/1000000</f>
        <v>613.64696106679025</v>
      </c>
      <c r="N383" s="169">
        <f t="shared" si="26"/>
        <v>7.5395088576123728</v>
      </c>
      <c r="O383" s="167">
        <f t="shared" si="24"/>
        <v>4989.7260580773327</v>
      </c>
      <c r="P383" s="170">
        <f t="shared" si="27"/>
        <v>8.1312650019532047</v>
      </c>
    </row>
    <row r="384" spans="1:16" x14ac:dyDescent="0.2">
      <c r="A384" s="155">
        <v>51775</v>
      </c>
      <c r="B384" s="167">
        <f>$L384*('RD Feedstock Use'!B384/'RD Feedstock Use'!$L384)</f>
        <v>932.08008477056626</v>
      </c>
      <c r="C384" s="167">
        <f>$L384*('RD Feedstock Use'!C384/'RD Feedstock Use'!$L384)</f>
        <v>399.80992158222836</v>
      </c>
      <c r="D384" s="167">
        <f>$L384*('RD Feedstock Use'!D384/'RD Feedstock Use'!$L384)*0.25+10+150</f>
        <v>270.41618179096849</v>
      </c>
      <c r="E384" s="167">
        <f>$L384*('RD Feedstock Use'!E384/'RD Feedstock Use'!$L384)</f>
        <v>6.6559459878648521</v>
      </c>
      <c r="F384" s="167">
        <f>$L384*('RD Feedstock Use'!F384/'RD Feedstock Use'!$L384)</f>
        <v>105.59015404311259</v>
      </c>
      <c r="G384" s="167">
        <f>$L384*('RD Feedstock Use'!G384/'RD Feedstock Use'!$L384)</f>
        <v>657.84679986721278</v>
      </c>
      <c r="H384" s="167">
        <f>$L384*('RD Feedstock Use'!H384/'RD Feedstock Use'!$L384)</f>
        <v>298.81255815951022</v>
      </c>
      <c r="I384" s="167">
        <f>$L384*('RD Feedstock Use'!I384/'RD Feedstock Use'!$L384)</f>
        <v>2064.2936939981055</v>
      </c>
      <c r="J384" s="167">
        <f t="shared" si="23"/>
        <v>1331.8900063527947</v>
      </c>
      <c r="K384" s="167">
        <f>$L384*('RD Feedstock Use'!K384/'RD Feedstock Use'!$L384)</f>
        <v>3133.1991520558058</v>
      </c>
      <c r="L384" s="167">
        <f t="shared" si="25"/>
        <v>4465.0891584086003</v>
      </c>
      <c r="M384" s="168">
        <f>[5]SAF!$AG28/1000000</f>
        <v>598.01344349350882</v>
      </c>
      <c r="N384" s="169">
        <f t="shared" si="26"/>
        <v>7.4665364248739792</v>
      </c>
      <c r="O384" s="167">
        <f t="shared" si="24"/>
        <v>4735.5053401995683</v>
      </c>
      <c r="P384" s="170">
        <f t="shared" si="27"/>
        <v>7.9187272321762947</v>
      </c>
    </row>
    <row r="385" spans="1:16" x14ac:dyDescent="0.2">
      <c r="A385" s="155">
        <v>51806</v>
      </c>
      <c r="B385" s="167">
        <f>$L385*('RD Feedstock Use'!B385/'RD Feedstock Use'!$L385)</f>
        <v>1030.0012967024215</v>
      </c>
      <c r="C385" s="167">
        <f>$L385*('RD Feedstock Use'!C385/'RD Feedstock Use'!$L385)</f>
        <v>368.60896829147799</v>
      </c>
      <c r="D385" s="167">
        <f>$L385*('RD Feedstock Use'!D385/'RD Feedstock Use'!$L385)*0.25+10+150</f>
        <v>252.22509917528842</v>
      </c>
      <c r="E385" s="167">
        <f>$L385*('RD Feedstock Use'!E385/'RD Feedstock Use'!$L385)</f>
        <v>5.2717163788575521</v>
      </c>
      <c r="F385" s="167">
        <f>$L385*('RD Feedstock Use'!F385/'RD Feedstock Use'!$L385)</f>
        <v>34.783651440743988</v>
      </c>
      <c r="G385" s="167">
        <f>$L385*('RD Feedstock Use'!G385/'RD Feedstock Use'!$L385)</f>
        <v>618.9675990620849</v>
      </c>
      <c r="H385" s="167">
        <f>$L385*('RD Feedstock Use'!H385/'RD Feedstock Use'!$L385)</f>
        <v>227.64209903338599</v>
      </c>
      <c r="I385" s="167">
        <f>$L385*('RD Feedstock Use'!I385/'RD Feedstock Use'!$L385)</f>
        <v>1490.1314752773142</v>
      </c>
      <c r="J385" s="167">
        <f t="shared" si="23"/>
        <v>1398.6102649938996</v>
      </c>
      <c r="K385" s="167">
        <f>$L385*('RD Feedstock Use'!K385/'RD Feedstock Use'!$L385)</f>
        <v>2376.7965411923869</v>
      </c>
      <c r="L385" s="167">
        <f t="shared" si="25"/>
        <v>3775.4068061862863</v>
      </c>
      <c r="M385" s="168">
        <f>[5]SAF!$AG29/1000000</f>
        <v>516.7125497837867</v>
      </c>
      <c r="N385" s="169">
        <f t="shared" si="26"/>
        <v>7.3065901104319382</v>
      </c>
      <c r="O385" s="167">
        <f t="shared" si="24"/>
        <v>4027.6319053615748</v>
      </c>
      <c r="P385" s="170">
        <f t="shared" si="27"/>
        <v>7.7947243724714985</v>
      </c>
    </row>
    <row r="386" spans="1:16" x14ac:dyDescent="0.2">
      <c r="A386" s="155">
        <v>51836</v>
      </c>
      <c r="B386" s="167">
        <f>$L386*('RD Feedstock Use'!B386/'RD Feedstock Use'!$L386)</f>
        <v>1201.118101194764</v>
      </c>
      <c r="C386" s="167">
        <f>$L386*('RD Feedstock Use'!C386/'RD Feedstock Use'!$L386)</f>
        <v>372.61219769498319</v>
      </c>
      <c r="D386" s="167">
        <f>$L386*('RD Feedstock Use'!D386/'RD Feedstock Use'!$L386)*0.25+10+150</f>
        <v>238.52090922694126</v>
      </c>
      <c r="E386" s="167">
        <f>$L386*('RD Feedstock Use'!E386/'RD Feedstock Use'!$L386)</f>
        <v>4.5590032506399583</v>
      </c>
      <c r="F386" s="167">
        <f>$L386*('RD Feedstock Use'!F386/'RD Feedstock Use'!$L386)</f>
        <v>26.948427543541115</v>
      </c>
      <c r="G386" s="167">
        <f>$L386*('RD Feedstock Use'!G386/'RD Feedstock Use'!$L386)</f>
        <v>563.65824305514593</v>
      </c>
      <c r="H386" s="167">
        <f>$L386*('RD Feedstock Use'!H386/'RD Feedstock Use'!$L386)</f>
        <v>157.10150652171797</v>
      </c>
      <c r="I386" s="167">
        <f>$L386*('RD Feedstock Use'!I386/'RD Feedstock Use'!$L386)</f>
        <v>1110.5012259047189</v>
      </c>
      <c r="J386" s="167">
        <f t="shared" si="23"/>
        <v>1573.7302988897472</v>
      </c>
      <c r="K386" s="167">
        <f>$L386*('RD Feedstock Use'!K386/'RD Feedstock Use'!$L386)</f>
        <v>1862.7684062757637</v>
      </c>
      <c r="L386" s="167">
        <f t="shared" si="25"/>
        <v>3436.4987051655112</v>
      </c>
      <c r="M386" s="168">
        <f>[5]SAF!$AG30/1000000</f>
        <v>464.28095423693537</v>
      </c>
      <c r="N386" s="169">
        <f t="shared" si="26"/>
        <v>7.4017654047720667</v>
      </c>
      <c r="O386" s="167">
        <f t="shared" si="24"/>
        <v>3675.0196143924518</v>
      </c>
      <c r="P386" s="170">
        <f t="shared" si="27"/>
        <v>7.915508014823688</v>
      </c>
    </row>
    <row r="387" spans="1:16" x14ac:dyDescent="0.2">
      <c r="A387" s="155">
        <v>51867</v>
      </c>
      <c r="B387" s="167">
        <f>$L387*('RD Feedstock Use'!B387/'RD Feedstock Use'!$L387)</f>
        <v>887.19178067750977</v>
      </c>
      <c r="C387" s="167">
        <f>$L387*('RD Feedstock Use'!C387/'RD Feedstock Use'!$L387)</f>
        <v>221.77571990073142</v>
      </c>
      <c r="D387" s="167">
        <f>$L387*('RD Feedstock Use'!D387/'RD Feedstock Use'!$L387)*0.25+10+150</f>
        <v>227.11845909781954</v>
      </c>
      <c r="E387" s="167">
        <f>$L387*('RD Feedstock Use'!E387/'RD Feedstock Use'!$L387)</f>
        <v>2.9378328004016026</v>
      </c>
      <c r="F387" s="167">
        <f>$L387*('RD Feedstock Use'!F387/'RD Feedstock Use'!$L387)</f>
        <v>47.17722409565129</v>
      </c>
      <c r="G387" s="167">
        <f>$L387*('RD Feedstock Use'!G387/'RD Feedstock Use'!$L387)</f>
        <v>455.0946961448787</v>
      </c>
      <c r="H387" s="167">
        <f>$L387*('RD Feedstock Use'!H387/'RD Feedstock Use'!$L387)</f>
        <v>116.08151314808163</v>
      </c>
      <c r="I387" s="167">
        <f>$L387*('RD Feedstock Use'!I387/'RD Feedstock Use'!$L387)</f>
        <v>457.48797199884444</v>
      </c>
      <c r="J387" s="167">
        <f t="shared" ref="J387:J450" si="28">SUM(B387:C387)</f>
        <v>1108.9675005782412</v>
      </c>
      <c r="K387" s="167">
        <f>$L387*('RD Feedstock Use'!K387/'RD Feedstock Use'!$L387)</f>
        <v>1078.7792381878576</v>
      </c>
      <c r="L387" s="167">
        <f t="shared" si="25"/>
        <v>2187.746738766099</v>
      </c>
      <c r="M387" s="168">
        <f>[5]SAF!$AH19/1000000</f>
        <v>289.69875654173478</v>
      </c>
      <c r="N387" s="169">
        <f t="shared" si="26"/>
        <v>7.5517988578281194</v>
      </c>
      <c r="O387" s="167">
        <f t="shared" si="24"/>
        <v>2414.8651978639186</v>
      </c>
      <c r="P387" s="170">
        <f t="shared" si="27"/>
        <v>8.3357803350323554</v>
      </c>
    </row>
    <row r="388" spans="1:16" x14ac:dyDescent="0.2">
      <c r="A388" s="155">
        <v>51898</v>
      </c>
      <c r="B388" s="167">
        <f>$L388*('RD Feedstock Use'!B388/'RD Feedstock Use'!$L388)</f>
        <v>933.39884101086341</v>
      </c>
      <c r="C388" s="167">
        <f>$L388*('RD Feedstock Use'!C388/'RD Feedstock Use'!$L388)</f>
        <v>321.07808572035998</v>
      </c>
      <c r="D388" s="167">
        <f>$L388*('RD Feedstock Use'!D388/'RD Feedstock Use'!$L388)*0.25+10+150</f>
        <v>258.91434652228065</v>
      </c>
      <c r="E388" s="167">
        <f>$L388*('RD Feedstock Use'!E388/'RD Feedstock Use'!$L388)</f>
        <v>5.0772387434411383</v>
      </c>
      <c r="F388" s="167">
        <f>$L388*('RD Feedstock Use'!F388/'RD Feedstock Use'!$L388)</f>
        <v>74.190384969099895</v>
      </c>
      <c r="G388" s="167">
        <f>$L388*('RD Feedstock Use'!G388/'RD Feedstock Use'!$L388)</f>
        <v>841.45006689518152</v>
      </c>
      <c r="H388" s="167">
        <f>$L388*('RD Feedstock Use'!H388/'RD Feedstock Use'!$L388)</f>
        <v>125.1401537394711</v>
      </c>
      <c r="I388" s="167">
        <f>$L388*('RD Feedstock Use'!I388/'RD Feedstock Use'!$L388)</f>
        <v>1649.6650530753504</v>
      </c>
      <c r="J388" s="167">
        <f t="shared" si="28"/>
        <v>1254.4769267312233</v>
      </c>
      <c r="K388" s="167">
        <f>$L388*('RD Feedstock Use'!K388/'RD Feedstock Use'!$L388)</f>
        <v>2695.5228974225438</v>
      </c>
      <c r="L388" s="167">
        <f t="shared" si="25"/>
        <v>3949.9998241537673</v>
      </c>
      <c r="M388" s="168">
        <f>[5]SAF!$AH20/1000000</f>
        <v>543.71422979159001</v>
      </c>
      <c r="N388" s="169">
        <f t="shared" si="26"/>
        <v>7.2648454054031903</v>
      </c>
      <c r="O388" s="167">
        <f t="shared" si="24"/>
        <v>4208.9141706760474</v>
      </c>
      <c r="P388" s="170">
        <f t="shared" si="27"/>
        <v>7.7410410470392836</v>
      </c>
    </row>
    <row r="389" spans="1:16" x14ac:dyDescent="0.2">
      <c r="A389" s="155">
        <v>51926</v>
      </c>
      <c r="B389" s="167">
        <f>$L389*('RD Feedstock Use'!B389/'RD Feedstock Use'!$L389)</f>
        <v>416.52800178792342</v>
      </c>
      <c r="C389" s="167">
        <f>$L389*('RD Feedstock Use'!C389/'RD Feedstock Use'!$L389)</f>
        <v>136.3307349608252</v>
      </c>
      <c r="D389" s="167">
        <f>$L389*('RD Feedstock Use'!D389/'RD Feedstock Use'!$L389)*0.25+10+150</f>
        <v>195.71365568199747</v>
      </c>
      <c r="E389" s="167">
        <f>$L389*('RD Feedstock Use'!E389/'RD Feedstock Use'!$L389)</f>
        <v>1.9703431365948758</v>
      </c>
      <c r="F389" s="167">
        <f>$L389*('RD Feedstock Use'!F389/'RD Feedstock Use'!$L389)</f>
        <v>42.006504608907363</v>
      </c>
      <c r="G389" s="167">
        <f>$L389*('RD Feedstock Use'!G389/'RD Feedstock Use'!$L389)</f>
        <v>282.5380287376683</v>
      </c>
      <c r="H389" s="167">
        <f>$L389*('RD Feedstock Use'!H389/'RD Feedstock Use'!$L389)</f>
        <v>82.382511187681942</v>
      </c>
      <c r="I389" s="167">
        <f>$L389*('RD Feedstock Use'!I389/'RD Feedstock Use'!$L389)</f>
        <v>626.65772706241705</v>
      </c>
      <c r="J389" s="167">
        <f t="shared" si="28"/>
        <v>552.85873674874858</v>
      </c>
      <c r="K389" s="167">
        <f>$L389*('RD Feedstock Use'!K389/'RD Feedstock Use'!$L389)</f>
        <v>1035.5551147332694</v>
      </c>
      <c r="L389" s="167">
        <f t="shared" si="25"/>
        <v>1588.4138514820181</v>
      </c>
      <c r="M389" s="168">
        <f>[5]SAF!$AH21/1000000</f>
        <v>219.13119624082626</v>
      </c>
      <c r="N389" s="169">
        <f t="shared" si="26"/>
        <v>7.2486888162484338</v>
      </c>
      <c r="O389" s="167">
        <f t="shared" si="24"/>
        <v>1784.1275071640152</v>
      </c>
      <c r="P389" s="170">
        <f t="shared" si="27"/>
        <v>8.1418234271091663</v>
      </c>
    </row>
    <row r="390" spans="1:16" x14ac:dyDescent="0.2">
      <c r="A390" s="155">
        <v>51957</v>
      </c>
      <c r="B390" s="167">
        <f>$L390*('RD Feedstock Use'!B390/'RD Feedstock Use'!$L390)</f>
        <v>633.8328633701326</v>
      </c>
      <c r="C390" s="167">
        <f>$L390*('RD Feedstock Use'!C390/'RD Feedstock Use'!$L390)</f>
        <v>182.35420623640576</v>
      </c>
      <c r="D390" s="167">
        <f>$L390*('RD Feedstock Use'!D390/'RD Feedstock Use'!$L390)*0.25+10+150</f>
        <v>210.7361311929578</v>
      </c>
      <c r="E390" s="167">
        <f>$L390*('RD Feedstock Use'!E390/'RD Feedstock Use'!$L390)</f>
        <v>3.1062569017848327</v>
      </c>
      <c r="F390" s="167">
        <f>$L390*('RD Feedstock Use'!F390/'RD Feedstock Use'!$L390)</f>
        <v>76.017119730585947</v>
      </c>
      <c r="G390" s="167">
        <f>$L390*('RD Feedstock Use'!G390/'RD Feedstock Use'!$L390)</f>
        <v>259.04840074078385</v>
      </c>
      <c r="H390" s="167">
        <f>$L390*('RD Feedstock Use'!H390/'RD Feedstock Use'!$L390)</f>
        <v>190.3720214609836</v>
      </c>
      <c r="I390" s="167">
        <f>$L390*('RD Feedstock Use'!I390/'RD Feedstock Use'!$L390)</f>
        <v>1248.964183357775</v>
      </c>
      <c r="J390" s="167">
        <f t="shared" si="28"/>
        <v>816.18706960653833</v>
      </c>
      <c r="K390" s="167">
        <f>$L390*('RD Feedstock Use'!K390/'RD Feedstock Use'!$L390)</f>
        <v>1777.5079821919135</v>
      </c>
      <c r="L390" s="167">
        <f t="shared" si="25"/>
        <v>2593.6950517984515</v>
      </c>
      <c r="M390" s="168">
        <f>[5]SAF!$AH22/1000000</f>
        <v>350.40508204117651</v>
      </c>
      <c r="N390" s="169">
        <f t="shared" si="26"/>
        <v>7.4019903954865116</v>
      </c>
      <c r="O390" s="167">
        <f t="shared" si="24"/>
        <v>2804.4311829914095</v>
      </c>
      <c r="P390" s="170">
        <f t="shared" si="27"/>
        <v>8.0033975724754409</v>
      </c>
    </row>
    <row r="391" spans="1:16" x14ac:dyDescent="0.2">
      <c r="A391" s="155">
        <v>51987</v>
      </c>
      <c r="B391" s="167">
        <f>$L391*('RD Feedstock Use'!B391/'RD Feedstock Use'!$L391)</f>
        <v>701.08714820835428</v>
      </c>
      <c r="C391" s="167">
        <f>$L391*('RD Feedstock Use'!C391/'RD Feedstock Use'!$L391)</f>
        <v>324.46699512667726</v>
      </c>
      <c r="D391" s="167">
        <f>$L391*('RD Feedstock Use'!D391/'RD Feedstock Use'!$L391)*0.25+10+150</f>
        <v>212.57536838536134</v>
      </c>
      <c r="E391" s="167">
        <f>$L391*('RD Feedstock Use'!E391/'RD Feedstock Use'!$L391)</f>
        <v>4.0465311409604316</v>
      </c>
      <c r="F391" s="167">
        <f>$L391*('RD Feedstock Use'!F391/'RD Feedstock Use'!$L391)</f>
        <v>86.901103499831692</v>
      </c>
      <c r="G391" s="167">
        <f>$L391*('RD Feedstock Use'!G391/'RD Feedstock Use'!$L391)</f>
        <v>380.13597087579012</v>
      </c>
      <c r="H391" s="167">
        <f>$L391*('RD Feedstock Use'!H391/'RD Feedstock Use'!$L391)</f>
        <v>211.75221010256803</v>
      </c>
      <c r="I391" s="167">
        <f>$L391*('RD Feedstock Use'!I391/'RD Feedstock Use'!$L391)</f>
        <v>1737.7601672730825</v>
      </c>
      <c r="J391" s="167">
        <f t="shared" si="28"/>
        <v>1025.5541433350315</v>
      </c>
      <c r="K391" s="167">
        <f>$L391*('RD Feedstock Use'!K391/'RD Feedstock Use'!$L391)</f>
        <v>2420.5959828922332</v>
      </c>
      <c r="L391" s="167">
        <f t="shared" si="25"/>
        <v>3446.1501262272641</v>
      </c>
      <c r="M391" s="168">
        <f>[5]SAF!$AH23/1000000</f>
        <v>461.70752731536749</v>
      </c>
      <c r="N391" s="169">
        <f t="shared" si="26"/>
        <v>7.4639245027369565</v>
      </c>
      <c r="O391" s="167">
        <f t="shared" si="24"/>
        <v>3658.7254946126263</v>
      </c>
      <c r="P391" s="170">
        <f t="shared" si="27"/>
        <v>7.9243358146802496</v>
      </c>
    </row>
    <row r="392" spans="1:16" x14ac:dyDescent="0.2">
      <c r="A392" s="155">
        <v>52018</v>
      </c>
      <c r="B392" s="167">
        <f>$L392*('RD Feedstock Use'!B392/'RD Feedstock Use'!$L392)</f>
        <v>784.42687646332683</v>
      </c>
      <c r="C392" s="167">
        <f>$L392*('RD Feedstock Use'!C392/'RD Feedstock Use'!$L392)</f>
        <v>258.33988194792875</v>
      </c>
      <c r="D392" s="167">
        <f>$L392*('RD Feedstock Use'!D392/'RD Feedstock Use'!$L392)*0.25+10+150</f>
        <v>215.33617499333275</v>
      </c>
      <c r="E392" s="167">
        <f>$L392*('RD Feedstock Use'!E392/'RD Feedstock Use'!$L392)</f>
        <v>3.5168727073792576</v>
      </c>
      <c r="F392" s="167">
        <f>$L392*('RD Feedstock Use'!F392/'RD Feedstock Use'!$L392)</f>
        <v>95.430098089257086</v>
      </c>
      <c r="G392" s="167">
        <f>$L392*('RD Feedstock Use'!G392/'RD Feedstock Use'!$L392)</f>
        <v>387.38879284105491</v>
      </c>
      <c r="H392" s="167">
        <f>$L392*('RD Feedstock Use'!H392/'RD Feedstock Use'!$L392)</f>
        <v>227.61598694985344</v>
      </c>
      <c r="I392" s="167">
        <f>$L392*('RD Feedstock Use'!I392/'RD Feedstock Use'!$L392)</f>
        <v>1472.4513727133774</v>
      </c>
      <c r="J392" s="167">
        <f t="shared" si="28"/>
        <v>1042.7667584112555</v>
      </c>
      <c r="K392" s="167">
        <f>$L392*('RD Feedstock Use'!K392/'RD Feedstock Use'!$L392)</f>
        <v>2186.4031233009223</v>
      </c>
      <c r="L392" s="167">
        <f t="shared" si="25"/>
        <v>3229.1698817121778</v>
      </c>
      <c r="M392" s="168">
        <f>[5]SAF!$AH24/1000000</f>
        <v>439.20628368416982</v>
      </c>
      <c r="N392" s="169">
        <f t="shared" si="26"/>
        <v>7.3522852510786283</v>
      </c>
      <c r="O392" s="167">
        <f t="shared" si="24"/>
        <v>3444.5060567055107</v>
      </c>
      <c r="P392" s="170">
        <f t="shared" si="27"/>
        <v>7.8425700739346231</v>
      </c>
    </row>
    <row r="393" spans="1:16" x14ac:dyDescent="0.2">
      <c r="A393" s="155">
        <v>52048</v>
      </c>
      <c r="B393" s="167">
        <f>$L393*('RD Feedstock Use'!B393/'RD Feedstock Use'!$L393)</f>
        <v>1044.758252858466</v>
      </c>
      <c r="C393" s="167">
        <f>$L393*('RD Feedstock Use'!C393/'RD Feedstock Use'!$L393)</f>
        <v>409.15240566322052</v>
      </c>
      <c r="D393" s="167">
        <f>$L393*('RD Feedstock Use'!D393/'RD Feedstock Use'!$L393)*0.25+10+150</f>
        <v>228.90491821865376</v>
      </c>
      <c r="E393" s="167">
        <f>$L393*('RD Feedstock Use'!E393/'RD Feedstock Use'!$L393)</f>
        <v>3.8237454906531236</v>
      </c>
      <c r="F393" s="167">
        <f>$L393*('RD Feedstock Use'!F393/'RD Feedstock Use'!$L393)</f>
        <v>109.01336915683984</v>
      </c>
      <c r="G393" s="167">
        <f>$L393*('RD Feedstock Use'!G393/'RD Feedstock Use'!$L393)</f>
        <v>483.45195461426738</v>
      </c>
      <c r="H393" s="167">
        <f>$L393*('RD Feedstock Use'!H393/'RD Feedstock Use'!$L393)</f>
        <v>266.60270679459302</v>
      </c>
      <c r="I393" s="167">
        <f>$L393*('RD Feedstock Use'!I393/'RD Feedstock Use'!$L393)</f>
        <v>1252.2730543807847</v>
      </c>
      <c r="J393" s="167">
        <f t="shared" si="28"/>
        <v>1453.9106585216864</v>
      </c>
      <c r="K393" s="167">
        <f>$L393*('RD Feedstock Use'!K393/'RD Feedstock Use'!$L393)</f>
        <v>2115.1648304371379</v>
      </c>
      <c r="L393" s="167">
        <f t="shared" si="25"/>
        <v>3569.0754889588243</v>
      </c>
      <c r="M393" s="168">
        <f>[5]SAF!$AH25/1000000</f>
        <v>478.87602562221048</v>
      </c>
      <c r="N393" s="169">
        <f t="shared" si="26"/>
        <v>7.4530260401352804</v>
      </c>
      <c r="O393" s="167">
        <f t="shared" si="24"/>
        <v>3797.9804071774779</v>
      </c>
      <c r="P393" s="170">
        <f t="shared" si="27"/>
        <v>7.9310305882252248</v>
      </c>
    </row>
    <row r="394" spans="1:16" x14ac:dyDescent="0.2">
      <c r="A394" s="155">
        <v>52079</v>
      </c>
      <c r="B394" s="167">
        <f>$L394*('RD Feedstock Use'!B394/'RD Feedstock Use'!$L394)</f>
        <v>1147.1554302928046</v>
      </c>
      <c r="C394" s="167">
        <f>$L394*('RD Feedstock Use'!C394/'RD Feedstock Use'!$L394)</f>
        <v>336.00078833874835</v>
      </c>
      <c r="D394" s="167">
        <f>$L394*('RD Feedstock Use'!D394/'RD Feedstock Use'!$L394)*0.25+10+150</f>
        <v>228.60004734253829</v>
      </c>
      <c r="E394" s="167">
        <f>$L394*('RD Feedstock Use'!E394/'RD Feedstock Use'!$L394)</f>
        <v>4.0871594527883461</v>
      </c>
      <c r="F394" s="167">
        <f>$L394*('RD Feedstock Use'!F394/'RD Feedstock Use'!$L394)</f>
        <v>88.173635443113156</v>
      </c>
      <c r="G394" s="167">
        <f>$L394*('RD Feedstock Use'!G394/'RD Feedstock Use'!$L394)</f>
        <v>537.4826310009862</v>
      </c>
      <c r="H394" s="167">
        <f>$L394*('RD Feedstock Use'!H394/'RD Feedstock Use'!$L394)</f>
        <v>304.42416996615327</v>
      </c>
      <c r="I394" s="167">
        <f>$L394*('RD Feedstock Use'!I394/'RD Feedstock Use'!$L394)</f>
        <v>1430.24543155166</v>
      </c>
      <c r="J394" s="167">
        <f t="shared" si="28"/>
        <v>1483.156218631553</v>
      </c>
      <c r="K394" s="167">
        <f>$L394*('RD Feedstock Use'!K394/'RD Feedstock Use'!$L394)</f>
        <v>2364.413027414701</v>
      </c>
      <c r="L394" s="167">
        <f t="shared" si="25"/>
        <v>3847.5692460462537</v>
      </c>
      <c r="M394" s="168">
        <f>[5]SAF!$AH26/1000000</f>
        <v>520.68327940178381</v>
      </c>
      <c r="N394" s="169">
        <f t="shared" si="26"/>
        <v>7.3894618825992442</v>
      </c>
      <c r="O394" s="167">
        <f t="shared" si="24"/>
        <v>4076.1692933887925</v>
      </c>
      <c r="P394" s="170">
        <f t="shared" si="27"/>
        <v>7.8285004620696252</v>
      </c>
    </row>
    <row r="395" spans="1:16" x14ac:dyDescent="0.2">
      <c r="A395" s="155">
        <v>52110</v>
      </c>
      <c r="B395" s="167">
        <f>$L395*('RD Feedstock Use'!B395/'RD Feedstock Use'!$L395)</f>
        <v>1394.0113301683311</v>
      </c>
      <c r="C395" s="167">
        <f>$L395*('RD Feedstock Use'!C395/'RD Feedstock Use'!$L395)</f>
        <v>316.56249061372455</v>
      </c>
      <c r="D395" s="167">
        <f>$L395*('RD Feedstock Use'!D395/'RD Feedstock Use'!$L395)*0.25+10+150</f>
        <v>262.7122655381205</v>
      </c>
      <c r="E395" s="167">
        <f>$L395*('RD Feedstock Use'!E395/'RD Feedstock Use'!$L395)</f>
        <v>6.0061043242920418</v>
      </c>
      <c r="F395" s="167">
        <f>$L395*('RD Feedstock Use'!F395/'RD Feedstock Use'!$L395)</f>
        <v>124.86618967220143</v>
      </c>
      <c r="G395" s="167">
        <f>$L395*('RD Feedstock Use'!G395/'RD Feedstock Use'!$L395)</f>
        <v>661.33244217728713</v>
      </c>
      <c r="H395" s="167">
        <f>$L395*('RD Feedstock Use'!H395/'RD Feedstock Use'!$L395)</f>
        <v>327.56760601500787</v>
      </c>
      <c r="I395" s="167">
        <f>$L395*('RD Feedstock Use'!I395/'RD Feedstock Use'!$L395)</f>
        <v>1946.2568577774061</v>
      </c>
      <c r="J395" s="167">
        <f t="shared" si="28"/>
        <v>1710.5738207820557</v>
      </c>
      <c r="K395" s="167">
        <f>$L395*('RD Feedstock Use'!K395/'RD Feedstock Use'!$L395)</f>
        <v>3066.0291999661949</v>
      </c>
      <c r="L395" s="167">
        <f t="shared" si="25"/>
        <v>4776.6030207482499</v>
      </c>
      <c r="M395" s="168">
        <f>[5]SAF!$AH27/1000000</f>
        <v>633.53754988372316</v>
      </c>
      <c r="N395" s="169">
        <f t="shared" si="26"/>
        <v>7.5395736553025587</v>
      </c>
      <c r="O395" s="167">
        <f t="shared" si="24"/>
        <v>5039.3152862863717</v>
      </c>
      <c r="P395" s="170">
        <f t="shared" si="27"/>
        <v>7.9542487847977856</v>
      </c>
    </row>
    <row r="396" spans="1:16" x14ac:dyDescent="0.2">
      <c r="A396" s="155">
        <v>52140</v>
      </c>
      <c r="B396" s="167">
        <f>$L396*('RD Feedstock Use'!B396/'RD Feedstock Use'!$L396)</f>
        <v>905.5751320863709</v>
      </c>
      <c r="C396" s="167">
        <f>$L396*('RD Feedstock Use'!C396/'RD Feedstock Use'!$L396)</f>
        <v>412.90284086218031</v>
      </c>
      <c r="D396" s="167">
        <f>$L396*('RD Feedstock Use'!D396/'RD Feedstock Use'!$L396)*0.25+10+185</f>
        <v>297.10886406228315</v>
      </c>
      <c r="E396" s="167">
        <f>$L396*('RD Feedstock Use'!E396/'RD Feedstock Use'!$L396)</f>
        <v>6.8705070646885842</v>
      </c>
      <c r="F396" s="167">
        <f>$L396*('RD Feedstock Use'!F396/'RD Feedstock Use'!$L396)</f>
        <v>108.99524433377464</v>
      </c>
      <c r="G396" s="167">
        <f>$L396*('RD Feedstock Use'!G396/'RD Feedstock Use'!$L396)</f>
        <v>679.03273045015032</v>
      </c>
      <c r="H396" s="167">
        <f>$L396*('RD Feedstock Use'!H396/'RD Feedstock Use'!$L396)</f>
        <v>282.08286881290127</v>
      </c>
      <c r="I396" s="167">
        <f>$L396*('RD Feedstock Use'!I396/'RD Feedstock Use'!$L396)</f>
        <v>2214.4468480470164</v>
      </c>
      <c r="J396" s="167">
        <f t="shared" si="28"/>
        <v>1318.4779729485513</v>
      </c>
      <c r="K396" s="167">
        <f>$L396*('RD Feedstock Use'!K396/'RD Feedstock Use'!$L396)</f>
        <v>3291.428198708531</v>
      </c>
      <c r="L396" s="167">
        <f t="shared" si="25"/>
        <v>4609.9061716570823</v>
      </c>
      <c r="M396" s="168">
        <f>[5]SAF!$AH28/1000000</f>
        <v>617.39080559099125</v>
      </c>
      <c r="N396" s="169">
        <f t="shared" si="26"/>
        <v>7.4667554649510777</v>
      </c>
      <c r="O396" s="167">
        <f t="shared" si="24"/>
        <v>4907.0150357193652</v>
      </c>
      <c r="P396" s="170">
        <f t="shared" si="27"/>
        <v>7.9479885208562076</v>
      </c>
    </row>
    <row r="397" spans="1:16" x14ac:dyDescent="0.2">
      <c r="A397" s="155">
        <v>52171</v>
      </c>
      <c r="B397" s="167">
        <f>$L397*('RD Feedstock Use'!B397/'RD Feedstock Use'!$L397)</f>
        <v>1194.3431952878354</v>
      </c>
      <c r="C397" s="167">
        <f>$L397*('RD Feedstock Use'!C397/'RD Feedstock Use'!$L397)</f>
        <v>380.66355679373191</v>
      </c>
      <c r="D397" s="167">
        <f>$L397*('RD Feedstock Use'!D397/'RD Feedstock Use'!$L397)*0.25+10+185</f>
        <v>281.53014515683225</v>
      </c>
      <c r="E397" s="167">
        <f>$L397*('RD Feedstock Use'!E397/'RD Feedstock Use'!$L397)</f>
        <v>5.4416520649039768</v>
      </c>
      <c r="F397" s="167">
        <f>$L397*('RD Feedstock Use'!F397/'RD Feedstock Use'!$L397)</f>
        <v>35.900883657691153</v>
      </c>
      <c r="G397" s="167">
        <f>$L397*('RD Feedstock Use'!G397/'RD Feedstock Use'!$L397)</f>
        <v>638.98286483996912</v>
      </c>
      <c r="H397" s="167">
        <f>$L397*('RD Feedstock Use'!H397/'RD Feedstock Use'!$L397)-10</f>
        <v>207.90494767949895</v>
      </c>
      <c r="I397" s="167">
        <f>$L397*('RD Feedstock Use'!I397/'RD Feedstock Use'!$L397)</f>
        <v>1424.5344052071553</v>
      </c>
      <c r="J397" s="167">
        <f t="shared" si="28"/>
        <v>1575.0067520815674</v>
      </c>
      <c r="K397" s="167">
        <f>$L397*('RD Feedstock Use'!K397/'RD Feedstock Use'!$L397)</f>
        <v>2322.7647534492185</v>
      </c>
      <c r="L397" s="167">
        <f t="shared" si="25"/>
        <v>3897.7715055307858</v>
      </c>
      <c r="M397" s="168">
        <f>[5]SAF!$AH29/1000000</f>
        <v>533.46611497746744</v>
      </c>
      <c r="N397" s="169">
        <f t="shared" si="26"/>
        <v>7.3065025052161374</v>
      </c>
      <c r="O397" s="167">
        <f t="shared" si="24"/>
        <v>4179.3016506876183</v>
      </c>
      <c r="P397" s="170">
        <f t="shared" si="27"/>
        <v>7.8342401388776937</v>
      </c>
    </row>
    <row r="398" spans="1:16" x14ac:dyDescent="0.2">
      <c r="A398" s="155">
        <v>52201</v>
      </c>
      <c r="B398" s="167">
        <f>$L398*('RD Feedstock Use'!B398/'RD Feedstock Use'!$L398)</f>
        <v>1104.2513009470797</v>
      </c>
      <c r="C398" s="167">
        <f>$L398*('RD Feedstock Use'!C398/'RD Feedstock Use'!$L398)</f>
        <v>384.78927508957247</v>
      </c>
      <c r="D398" s="167">
        <f>$L398*('RD Feedstock Use'!D398/'RD Feedstock Use'!$L398)*0.25+10+185</f>
        <v>268.97384787454342</v>
      </c>
      <c r="E398" s="167">
        <f>$L398*('RD Feedstock Use'!E398/'RD Feedstock Use'!$L398)</f>
        <v>4.7061386035576369</v>
      </c>
      <c r="F398" s="167">
        <f>$L398*('RD Feedstock Use'!F398/'RD Feedstock Use'!$L398)</f>
        <v>27.812980274384632</v>
      </c>
      <c r="G398" s="167">
        <f>$L398*('RD Feedstock Use'!G398/'RD Feedstock Use'!$L398)</f>
        <v>581.81754610715427</v>
      </c>
      <c r="H398" s="167">
        <f>$L398*('RD Feedstock Use'!H398/'RD Feedstock Use'!$L398)</f>
        <v>145.58373066209143</v>
      </c>
      <c r="I398" s="167">
        <f>$L398*('RD Feedstock Use'!I398/'RD Feedstock Use'!$L398)</f>
        <v>1298.983204475491</v>
      </c>
      <c r="J398" s="167">
        <f t="shared" si="28"/>
        <v>1489.0405760366521</v>
      </c>
      <c r="K398" s="167">
        <f>$L398*('RD Feedstock Use'!K398/'RD Feedstock Use'!$L398)</f>
        <v>2058.9036001226791</v>
      </c>
      <c r="L398" s="167">
        <f t="shared" si="25"/>
        <v>3547.9441761593312</v>
      </c>
      <c r="M398" s="168">
        <f>[5]SAF!$AH30/1000000</f>
        <v>479.33488615943668</v>
      </c>
      <c r="N398" s="169">
        <f t="shared" si="26"/>
        <v>7.4018067088469994</v>
      </c>
      <c r="O398" s="167">
        <f t="shared" si="24"/>
        <v>3816.9180240338746</v>
      </c>
      <c r="P398" s="170">
        <f t="shared" si="27"/>
        <v>7.9629464373354395</v>
      </c>
    </row>
    <row r="399" spans="1:16" x14ac:dyDescent="0.2">
      <c r="A399" s="155">
        <v>52232</v>
      </c>
      <c r="B399" s="167">
        <f>$L399*('RD Feedstock Use'!B399/'RD Feedstock Use'!$L399)</f>
        <v>905.9767713454977</v>
      </c>
      <c r="C399" s="167">
        <f>$L399*('RD Feedstock Use'!C399/'RD Feedstock Use'!$L399)</f>
        <v>226.86252072896286</v>
      </c>
      <c r="D399" s="167">
        <f>$L399*('RD Feedstock Use'!D399/'RD Feedstock Use'!$L399)*0.25+10+185</f>
        <v>255.34465050228354</v>
      </c>
      <c r="E399" s="167">
        <f>$L399*('RD Feedstock Use'!E399/'RD Feedstock Use'!$L399)</f>
        <v>3.0051068146412168</v>
      </c>
      <c r="F399" s="167">
        <f>$L399*('RD Feedstock Use'!F399/'RD Feedstock Use'!$L399)</f>
        <v>48.256805391267939</v>
      </c>
      <c r="G399" s="167">
        <f>$L399*('RD Feedstock Use'!G399/'RD Feedstock Use'!$L399)</f>
        <v>465.55629278265303</v>
      </c>
      <c r="H399" s="167">
        <f>$L399*('RD Feedstock Use'!H399/'RD Feedstock Use'!$L399)</f>
        <v>99.107094084806562</v>
      </c>
      <c r="I399" s="167">
        <f>$L399*('RD Feedstock Use'!I399/'RD Feedstock Use'!$L399)</f>
        <v>489.33313966304218</v>
      </c>
      <c r="J399" s="167">
        <f t="shared" si="28"/>
        <v>1132.8392920744604</v>
      </c>
      <c r="K399" s="167">
        <f>$L399*('RD Feedstock Use'!K399/'RD Feedstock Use'!$L399)</f>
        <v>1105.2584387364109</v>
      </c>
      <c r="L399" s="167">
        <f t="shared" si="25"/>
        <v>2238.0977308108713</v>
      </c>
      <c r="M399" s="168">
        <f>[5]SAF!$AI19/1000000</f>
        <v>296.36471256034963</v>
      </c>
      <c r="N399" s="169">
        <f t="shared" si="26"/>
        <v>7.5518360855971363</v>
      </c>
      <c r="O399" s="167">
        <f t="shared" si="24"/>
        <v>2493.4423813131548</v>
      </c>
      <c r="P399" s="170">
        <f t="shared" si="27"/>
        <v>8.4134253358702669</v>
      </c>
    </row>
    <row r="400" spans="1:16" x14ac:dyDescent="0.2">
      <c r="A400" s="155">
        <v>52263</v>
      </c>
      <c r="B400" s="167">
        <f>$L400*('RD Feedstock Use'!B400/'RD Feedstock Use'!$L400)</f>
        <v>924.95430611582549</v>
      </c>
      <c r="C400" s="167">
        <f>$L400*('RD Feedstock Use'!C400/'RD Feedstock Use'!$L400)</f>
        <v>328.46168039296566</v>
      </c>
      <c r="D400" s="167">
        <f>$L400*('RD Feedstock Use'!D400/'RD Feedstock Use'!$L400)*0.25+10+185</f>
        <v>283.13606726137789</v>
      </c>
      <c r="E400" s="167">
        <f>$L400*('RD Feedstock Use'!E400/'RD Feedstock Use'!$L400)</f>
        <v>5.1933322211954991</v>
      </c>
      <c r="F400" s="167">
        <f>$L400*('RD Feedstock Use'!F400/'RD Feedstock Use'!$L400)</f>
        <v>75.886347430443806</v>
      </c>
      <c r="G400" s="167">
        <f>$L400*('RD Feedstock Use'!G400/'RD Feedstock Use'!$L400)</f>
        <v>860.70753794192274</v>
      </c>
      <c r="H400" s="167">
        <f>$L400*('RD Feedstock Use'!H400/'RD Feedstock Use'!$L400)</f>
        <v>114.50512455320502</v>
      </c>
      <c r="I400" s="167">
        <f>$L400*('RD Feedstock Use'!I400/'RD Feedstock Use'!$L400)</f>
        <v>1731.0857314403386</v>
      </c>
      <c r="J400" s="167">
        <f t="shared" si="28"/>
        <v>1253.4159865087911</v>
      </c>
      <c r="K400" s="167">
        <f>$L400*('RD Feedstock Use'!K400/'RD Feedstock Use'!$L400)</f>
        <v>2787.3780735871055</v>
      </c>
      <c r="L400" s="167">
        <f t="shared" si="25"/>
        <v>4040.7940600958968</v>
      </c>
      <c r="M400" s="168">
        <f>[5]SAF!$AI20/1000000</f>
        <v>556.20641411382815</v>
      </c>
      <c r="N400" s="169">
        <f t="shared" si="26"/>
        <v>7.2649181267243437</v>
      </c>
      <c r="O400" s="167">
        <f t="shared" si="24"/>
        <v>4323.9301273572746</v>
      </c>
      <c r="P400" s="170">
        <f t="shared" si="27"/>
        <v>7.7739666743080358</v>
      </c>
    </row>
    <row r="401" spans="1:16" x14ac:dyDescent="0.2">
      <c r="A401" s="155">
        <v>52291</v>
      </c>
      <c r="B401" s="167">
        <f>$L401*('RD Feedstock Use'!B401/'RD Feedstock Use'!$L401)</f>
        <v>414.81276401557869</v>
      </c>
      <c r="C401" s="167">
        <f>$L401*('RD Feedstock Use'!C401/'RD Feedstock Use'!$L401)</f>
        <v>139.46595810091188</v>
      </c>
      <c r="D401" s="167">
        <f>$L401*('RD Feedstock Use'!D401/'RD Feedstock Use'!$L401)*0.25+10+185</f>
        <v>226.64802948303699</v>
      </c>
      <c r="E401" s="167">
        <f>$L401*('RD Feedstock Use'!E401/'RD Feedstock Use'!$L401)</f>
        <v>2.0154403858930658</v>
      </c>
      <c r="F401" s="167">
        <f>$L401*('RD Feedstock Use'!F401/'RD Feedstock Use'!$L401)</f>
        <v>42.974366631559235</v>
      </c>
      <c r="G401" s="167">
        <f>$L401*('RD Feedstock Use'!G401/'RD Feedstock Use'!$L401)</f>
        <v>289.01957922853171</v>
      </c>
      <c r="H401" s="167">
        <f>$L401*('RD Feedstock Use'!H401/'RD Feedstock Use'!$L401)</f>
        <v>83.869965330712006</v>
      </c>
      <c r="I401" s="167">
        <f>$L401*('RD Feedstock Use'!I401/'RD Feedstock Use'!$L401)</f>
        <v>652.79561736540711</v>
      </c>
      <c r="J401" s="167">
        <f t="shared" si="28"/>
        <v>554.2787221164906</v>
      </c>
      <c r="K401" s="167">
        <f>$L401*('RD Feedstock Use'!K401/'RD Feedstock Use'!$L401)</f>
        <v>1070.6749689421033</v>
      </c>
      <c r="L401" s="167">
        <f t="shared" si="25"/>
        <v>1624.9536910585937</v>
      </c>
      <c r="M401" s="168">
        <f>[5]SAF!$AI21/1000000</f>
        <v>224.16718204883335</v>
      </c>
      <c r="N401" s="169">
        <f t="shared" si="26"/>
        <v>7.2488473834881333</v>
      </c>
      <c r="O401" s="167">
        <f t="shared" si="24"/>
        <v>1851.6017205416308</v>
      </c>
      <c r="P401" s="170">
        <f t="shared" si="27"/>
        <v>8.2599143354457283</v>
      </c>
    </row>
    <row r="402" spans="1:16" x14ac:dyDescent="0.2">
      <c r="A402" s="155">
        <v>52322</v>
      </c>
      <c r="B402" s="167">
        <f>$L402*('RD Feedstock Use'!B402/'RD Feedstock Use'!$L402)</f>
        <v>629.45035241366793</v>
      </c>
      <c r="C402" s="167">
        <f>$L402*('RD Feedstock Use'!C402/'RD Feedstock Use'!$L402)</f>
        <v>186.55462449107321</v>
      </c>
      <c r="D402" s="167">
        <f>$L402*('RD Feedstock Use'!D402/'RD Feedstock Use'!$L402)*0.25+10+185</f>
        <v>238.4053754185951</v>
      </c>
      <c r="E402" s="167">
        <f>$L402*('RD Feedstock Use'!E402/'RD Feedstock Use'!$L402)</f>
        <v>3.1773313134448093</v>
      </c>
      <c r="F402" s="167">
        <f>$L402*('RD Feedstock Use'!F402/'RD Feedstock Use'!$L402)</f>
        <v>77.777723753414762</v>
      </c>
      <c r="G402" s="167">
        <f>$L402*('RD Feedstock Use'!G402/'RD Feedstock Use'!$L402)</f>
        <v>264.94857129718366</v>
      </c>
      <c r="H402" s="167">
        <f>$L402*('RD Feedstock Use'!H402/'RD Feedstock Use'!$L402)</f>
        <v>196.41406179346774</v>
      </c>
      <c r="I402" s="167">
        <f>$L402*('RD Feedstock Use'!I402/'RD Feedstock Use'!$L402)</f>
        <v>1295.0076597346113</v>
      </c>
      <c r="J402" s="167">
        <f t="shared" si="28"/>
        <v>816.00497690474117</v>
      </c>
      <c r="K402" s="167">
        <f>$L402*('RD Feedstock Use'!K402/'RD Feedstock Use'!$L402)</f>
        <v>1837.3253478921222</v>
      </c>
      <c r="L402" s="167">
        <f t="shared" si="25"/>
        <v>2653.3303247968634</v>
      </c>
      <c r="M402" s="168">
        <f>[5]SAF!$AI22/1000000</f>
        <v>358.45817430512682</v>
      </c>
      <c r="N402" s="169">
        <f t="shared" si="26"/>
        <v>7.4020639365816079</v>
      </c>
      <c r="O402" s="167">
        <f t="shared" si="24"/>
        <v>2891.7357002154586</v>
      </c>
      <c r="P402" s="170">
        <f t="shared" si="27"/>
        <v>8.0671495518859473</v>
      </c>
    </row>
    <row r="403" spans="1:16" x14ac:dyDescent="0.2">
      <c r="A403" s="155">
        <v>52352</v>
      </c>
      <c r="B403" s="167">
        <f>$L403*('RD Feedstock Use'!B403/'RD Feedstock Use'!$L403)</f>
        <v>695.00698683413395</v>
      </c>
      <c r="C403" s="167">
        <f>$L403*('RD Feedstock Use'!C403/'RD Feedstock Use'!$L403)</f>
        <v>331.92699889251537</v>
      </c>
      <c r="D403" s="167">
        <f>$L403*('RD Feedstock Use'!D403/'RD Feedstock Use'!$L403)*0.25+10+185</f>
        <v>239.31075878991788</v>
      </c>
      <c r="E403" s="167">
        <f>$L403*('RD Feedstock Use'!E403/'RD Feedstock Use'!$L403)</f>
        <v>4.1390193677169655</v>
      </c>
      <c r="F403" s="167">
        <f>$L403*('RD Feedstock Use'!F403/'RD Feedstock Use'!$L403)</f>
        <v>88.906431782886187</v>
      </c>
      <c r="G403" s="167">
        <f>$L403*('RD Feedstock Use'!G403/'RD Feedstock Use'!$L403)</f>
        <v>388.79494407391803</v>
      </c>
      <c r="H403" s="167">
        <f>$L403*('RD Feedstock Use'!H403/'RD Feedstock Use'!$L403)</f>
        <v>217.97679194254599</v>
      </c>
      <c r="I403" s="167">
        <f>$L403*('RD Feedstock Use'!I403/'RD Feedstock Use'!$L403)</f>
        <v>1798.5531597831393</v>
      </c>
      <c r="J403" s="167">
        <f t="shared" si="28"/>
        <v>1026.9339857266493</v>
      </c>
      <c r="K403" s="167">
        <f>$L403*('RD Feedstock Use'!K403/'RD Feedstock Use'!$L403)</f>
        <v>2498.3703469502066</v>
      </c>
      <c r="L403" s="167">
        <f t="shared" si="25"/>
        <v>3525.3043326768561</v>
      </c>
      <c r="M403" s="168">
        <f>[5]SAF!$AI23/1000000</f>
        <v>472.31673785257493</v>
      </c>
      <c r="N403" s="169">
        <f t="shared" si="26"/>
        <v>7.4638564551087656</v>
      </c>
      <c r="O403" s="167">
        <f t="shared" si="24"/>
        <v>3764.6150914667737</v>
      </c>
      <c r="P403" s="170">
        <f t="shared" si="27"/>
        <v>7.9705307683629663</v>
      </c>
    </row>
    <row r="404" spans="1:16" x14ac:dyDescent="0.2">
      <c r="A404" s="155">
        <v>52383</v>
      </c>
      <c r="B404" s="167">
        <f>$L404*('RD Feedstock Use'!B404/'RD Feedstock Use'!$L404)</f>
        <v>801.08556512638779</v>
      </c>
      <c r="C404" s="167">
        <f>$L404*('RD Feedstock Use'!C404/'RD Feedstock Use'!$L404)</f>
        <v>264.28468775264668</v>
      </c>
      <c r="D404" s="167">
        <f>$L404*('RD Feedstock Use'!D404/'RD Feedstock Use'!$L404)*0.25+10+185</f>
        <v>242.71281470799428</v>
      </c>
      <c r="E404" s="167">
        <f>$L404*('RD Feedstock Use'!E404/'RD Feedstock Use'!$L404)</f>
        <v>3.5973047357490482</v>
      </c>
      <c r="F404" s="167">
        <f>$L404*('RD Feedstock Use'!F404/'RD Feedstock Use'!$L404)</f>
        <v>97.622270754623855</v>
      </c>
      <c r="G404" s="167">
        <f>$L404*('RD Feedstock Use'!G404/'RD Feedstock Use'!$L404)</f>
        <v>396.1975039178941</v>
      </c>
      <c r="H404" s="167">
        <f>$L404*('RD Feedstock Use'!H404/'RD Feedstock Use'!$L404)</f>
        <v>234.10226144681602</v>
      </c>
      <c r="I404" s="167">
        <f>$L404*('RD Feedstock Use'!I404/'RD Feedstock Use'!$L404)</f>
        <v>1506.4862832152958</v>
      </c>
      <c r="J404" s="167">
        <f t="shared" si="28"/>
        <v>1065.3702528790345</v>
      </c>
      <c r="K404" s="167">
        <f>$L404*('RD Feedstock Use'!K404/'RD Feedstock Use'!$L404)</f>
        <v>2238.0056240703789</v>
      </c>
      <c r="L404" s="167">
        <f t="shared" si="25"/>
        <v>3303.3758769494134</v>
      </c>
      <c r="M404" s="168">
        <f>[5]SAF!$AI24/1000000</f>
        <v>449.29965595658058</v>
      </c>
      <c r="N404" s="169">
        <f t="shared" si="26"/>
        <v>7.352277779773428</v>
      </c>
      <c r="O404" s="167">
        <f t="shared" si="24"/>
        <v>3546.0886916574077</v>
      </c>
      <c r="P404" s="170">
        <f t="shared" si="27"/>
        <v>7.8924803183025238</v>
      </c>
    </row>
    <row r="405" spans="1:16" x14ac:dyDescent="0.2">
      <c r="A405" s="155">
        <v>52413</v>
      </c>
      <c r="B405" s="167">
        <f>$L405*('RD Feedstock Use'!B405/'RD Feedstock Use'!$L405)</f>
        <v>1067.3849930524714</v>
      </c>
      <c r="C405" s="167">
        <f>$L405*('RD Feedstock Use'!C405/'RD Feedstock Use'!$L405)</f>
        <v>418.56276976277223</v>
      </c>
      <c r="D405" s="167">
        <f>$L405*('RD Feedstock Use'!D405/'RD Feedstock Use'!$L405)*0.25+10+185</f>
        <v>255.21378143353431</v>
      </c>
      <c r="E405" s="167">
        <f>$L405*('RD Feedstock Use'!E405/'RD Feedstock Use'!$L405)</f>
        <v>3.9112747152929961</v>
      </c>
      <c r="F405" s="167">
        <f>$L405*('RD Feedstock Use'!F405/'RD Feedstock Use'!$L405)</f>
        <v>111.52095751818283</v>
      </c>
      <c r="G405" s="167">
        <f>$L405*('RD Feedstock Use'!G405/'RD Feedstock Use'!$L405)</f>
        <v>494.44977334145136</v>
      </c>
      <c r="H405" s="167">
        <f>$L405*('RD Feedstock Use'!H405/'RD Feedstock Use'!$L405)</f>
        <v>274.82645054674822</v>
      </c>
      <c r="I405" s="167">
        <f>$L405*('RD Feedstock Use'!I405/'RD Feedstock Use'!$L405)</f>
        <v>1280.510218513612</v>
      </c>
      <c r="J405" s="167">
        <f t="shared" si="28"/>
        <v>1485.9477628152435</v>
      </c>
      <c r="K405" s="167">
        <f>$L405*('RD Feedstock Use'!K405/'RD Feedstock Use'!$L405)</f>
        <v>2165.2186746352877</v>
      </c>
      <c r="L405" s="167">
        <f t="shared" si="25"/>
        <v>3651.1664374505312</v>
      </c>
      <c r="M405" s="168">
        <f>[5]SAF!$AI25/1000000</f>
        <v>489.88320773802303</v>
      </c>
      <c r="N405" s="169">
        <f t="shared" si="26"/>
        <v>7.4531365431147449</v>
      </c>
      <c r="O405" s="167">
        <f t="shared" si="24"/>
        <v>3906.3802188840655</v>
      </c>
      <c r="P405" s="170">
        <f t="shared" si="27"/>
        <v>7.9741051687019597</v>
      </c>
    </row>
    <row r="406" spans="1:16" x14ac:dyDescent="0.2">
      <c r="A406" s="155">
        <v>52444</v>
      </c>
      <c r="B406" s="167">
        <f>$L406*('RD Feedstock Use'!B406/'RD Feedstock Use'!$L406)</f>
        <v>1172.0983277558246</v>
      </c>
      <c r="C406" s="167">
        <f>$L406*('RD Feedstock Use'!C406/'RD Feedstock Use'!$L406)</f>
        <v>343.734972869648</v>
      </c>
      <c r="D406" s="167">
        <f>$L406*('RD Feedstock Use'!D406/'RD Feedstock Use'!$L406)*0.25+10+185</f>
        <v>254.50610425805539</v>
      </c>
      <c r="E406" s="167">
        <f>$L406*('RD Feedstock Use'!E406/'RD Feedstock Use'!$L406)</f>
        <v>4.1806215285143944</v>
      </c>
      <c r="F406" s="167">
        <f>$L406*('RD Feedstock Use'!F406/'RD Feedstock Use'!$L406)</f>
        <v>90.20035914815422</v>
      </c>
      <c r="G406" s="167">
        <f>$L406*('RD Feedstock Use'!G406/'RD Feedstock Use'!$L406)</f>
        <v>549.64299416570077</v>
      </c>
      <c r="H406" s="167">
        <f>$L406*('RD Feedstock Use'!H406/'RD Feedstock Use'!$L406)</f>
        <v>311.93562789263308</v>
      </c>
      <c r="I406" s="167">
        <f>$L406*('RD Feedstock Use'!I406/'RD Feedstock Use'!$L406)</f>
        <v>1464.1886313803986</v>
      </c>
      <c r="J406" s="167">
        <f t="shared" si="28"/>
        <v>1515.8333006254725</v>
      </c>
      <c r="K406" s="167">
        <f>$L406*('RD Feedstock Use'!K406/'RD Feedstock Use'!$L406)</f>
        <v>2420.148234115401</v>
      </c>
      <c r="L406" s="167">
        <f t="shared" si="25"/>
        <v>3935.9815347408735</v>
      </c>
      <c r="M406" s="168">
        <f>[5]SAF!$AI26/1000000</f>
        <v>532.64595437678679</v>
      </c>
      <c r="N406" s="169">
        <f t="shared" si="26"/>
        <v>7.3894892139866171</v>
      </c>
      <c r="O406" s="167">
        <f t="shared" si="24"/>
        <v>4190.4876389989286</v>
      </c>
      <c r="P406" s="170">
        <f t="shared" si="27"/>
        <v>7.8673039841294514</v>
      </c>
    </row>
    <row r="407" spans="1:16" x14ac:dyDescent="0.2">
      <c r="A407" s="155">
        <v>52475</v>
      </c>
      <c r="B407" s="167">
        <f>$L407*('RD Feedstock Use'!B407/'RD Feedstock Use'!$L407)</f>
        <v>1424.2633542078192</v>
      </c>
      <c r="C407" s="167">
        <f>$L407*('RD Feedstock Use'!C407/'RD Feedstock Use'!$L407)</f>
        <v>323.8459028328196</v>
      </c>
      <c r="D407" s="167">
        <f>$L407*('RD Feedstock Use'!D407/'RD Feedstock Use'!$L407)*0.25+10+250</f>
        <v>351.18463173392161</v>
      </c>
      <c r="E407" s="167">
        <f>$L407*('RD Feedstock Use'!E407/'RD Feedstock Use'!$L407)</f>
        <v>6.1442628137177708</v>
      </c>
      <c r="F407" s="167">
        <f>$L407*('RD Feedstock Use'!F407/'RD Feedstock Use'!$L407)</f>
        <v>127.74613755724823</v>
      </c>
      <c r="G407" s="167">
        <f>$L407*('RD Feedstock Use'!G407/'RD Feedstock Use'!$L407)</f>
        <v>676.20442213887929</v>
      </c>
      <c r="H407" s="167">
        <f>$L407*('RD Feedstock Use'!H407/'RD Feedstock Use'!$L407)</f>
        <v>335.91270972208872</v>
      </c>
      <c r="I407" s="167">
        <f>$L407*('RD Feedstock Use'!I407/'RD Feedstock Use'!$L407)</f>
        <v>1992.0985630612504</v>
      </c>
      <c r="J407" s="167">
        <f t="shared" si="28"/>
        <v>1748.1092570406388</v>
      </c>
      <c r="K407" s="167">
        <f>$L407*('RD Feedstock Use'!K407/'RD Feedstock Use'!$L407)</f>
        <v>3138.1060952931844</v>
      </c>
      <c r="L407" s="167">
        <f t="shared" si="25"/>
        <v>4886.2153523338229</v>
      </c>
      <c r="M407" s="168">
        <f>[5]SAF!$AI27/1000000</f>
        <v>648.090266543609</v>
      </c>
      <c r="N407" s="169">
        <f t="shared" si="26"/>
        <v>7.5394055497746582</v>
      </c>
      <c r="O407" s="167">
        <f t="shared" si="24"/>
        <v>5237.3999840677443</v>
      </c>
      <c r="P407" s="170">
        <f t="shared" si="27"/>
        <v>8.0812816584945999</v>
      </c>
    </row>
    <row r="408" spans="1:16" x14ac:dyDescent="0.2">
      <c r="A408" s="155">
        <v>52505</v>
      </c>
      <c r="B408" s="167">
        <f>$L408*('RD Feedstock Use'!B408/'RD Feedstock Use'!$L408)</f>
        <v>864.89927855766098</v>
      </c>
      <c r="C408" s="167">
        <f>$L408*('RD Feedstock Use'!C408/'RD Feedstock Use'!$L408)</f>
        <v>422.39989685912826</v>
      </c>
      <c r="D408" s="167">
        <f>$L408*('RD Feedstock Use'!D408/'RD Feedstock Use'!$L408)*0.25+10+250</f>
        <v>355.24076635382374</v>
      </c>
      <c r="E408" s="167">
        <f>$L408*('RD Feedstock Use'!E408/'RD Feedstock Use'!$L408)</f>
        <v>7.0286935869106317</v>
      </c>
      <c r="F408" s="167">
        <f>$L408*('RD Feedstock Use'!F408/'RD Feedstock Use'!$L408)</f>
        <v>111.48747971619636</v>
      </c>
      <c r="G408" s="167">
        <f>$L408*('RD Feedstock Use'!G408/'RD Feedstock Use'!$L408)</f>
        <v>694.75986793178845</v>
      </c>
      <c r="H408" s="167">
        <f>$L408*('RD Feedstock Use'!H408/'RD Feedstock Use'!$L408)-10</f>
        <v>278.35768352791496</v>
      </c>
      <c r="I408" s="167">
        <f>$L408*('RD Feedstock Use'!I408/'RD Feedstock Use'!$L408)</f>
        <v>2326.9993337926026</v>
      </c>
      <c r="J408" s="167">
        <f t="shared" si="28"/>
        <v>1287.2991754167892</v>
      </c>
      <c r="K408" s="167">
        <f>$L408*('RD Feedstock Use'!K408/'RD Feedstock Use'!$L408)</f>
        <v>3428.6330585554133</v>
      </c>
      <c r="L408" s="167">
        <f t="shared" si="25"/>
        <v>4715.9322339722021</v>
      </c>
      <c r="M408" s="168">
        <f>[5]SAF!$AI28/1000000</f>
        <v>631.57913477789884</v>
      </c>
      <c r="N408" s="169">
        <f t="shared" si="26"/>
        <v>7.4668904881264115</v>
      </c>
      <c r="O408" s="167">
        <f t="shared" si="24"/>
        <v>5071.1730003260254</v>
      </c>
      <c r="P408" s="170">
        <f t="shared" si="27"/>
        <v>8.0293548679523017</v>
      </c>
    </row>
    <row r="409" spans="1:16" x14ac:dyDescent="0.2">
      <c r="A409" s="155">
        <v>52536</v>
      </c>
      <c r="B409" s="167">
        <f>$L409*('RD Feedstock Use'!B409/'RD Feedstock Use'!$L409)</f>
        <v>966.62232166941988</v>
      </c>
      <c r="C409" s="167">
        <f>$L409*('RD Feedstock Use'!C409/'RD Feedstock Use'!$L409)</f>
        <v>389.4126114030899</v>
      </c>
      <c r="D409" s="167">
        <f>$L409*('RD Feedstock Use'!D409/'RD Feedstock Use'!$L409)*0.25+10+250</f>
        <v>342.36250574452544</v>
      </c>
      <c r="E409" s="167">
        <f>$L409*('RD Feedstock Use'!E409/'RD Feedstock Use'!$L409)</f>
        <v>5.5670566219613882</v>
      </c>
      <c r="F409" s="167">
        <f>$L409*('RD Feedstock Use'!F409/'RD Feedstock Use'!$L409)</f>
        <v>36.712345745655881</v>
      </c>
      <c r="G409" s="167">
        <f>$L409*('RD Feedstock Use'!G409/'RD Feedstock Use'!$L409)</f>
        <v>653.77856665326908</v>
      </c>
      <c r="H409" s="167">
        <f>$L409*('RD Feedstock Use'!H409/'RD Feedstock Use'!$L409)-10</f>
        <v>218.29730822679863</v>
      </c>
      <c r="I409" s="167">
        <f>$L409*('RD Feedstock Use'!I409/'RD Feedstock Use'!$L409)</f>
        <v>1707.0707776216614</v>
      </c>
      <c r="J409" s="167">
        <f t="shared" si="28"/>
        <v>1356.0349330725098</v>
      </c>
      <c r="K409" s="167">
        <f>$L409*('RD Feedstock Use'!K409/'RD Feedstock Use'!$L409)</f>
        <v>2631.426054869346</v>
      </c>
      <c r="L409" s="167">
        <f t="shared" si="25"/>
        <v>3987.4609879418558</v>
      </c>
      <c r="M409" s="168">
        <f>[5]SAF!$AI29/1000000</f>
        <v>545.72841889480833</v>
      </c>
      <c r="N409" s="169">
        <f t="shared" si="26"/>
        <v>7.3066764527622254</v>
      </c>
      <c r="O409" s="167">
        <f t="shared" si="24"/>
        <v>4329.823493686381</v>
      </c>
      <c r="P409" s="170">
        <f t="shared" si="27"/>
        <v>7.9340260535725822</v>
      </c>
    </row>
    <row r="410" spans="1:16" x14ac:dyDescent="0.2">
      <c r="A410" s="155">
        <v>52566</v>
      </c>
      <c r="B410" s="167">
        <f>$L410*('RD Feedstock Use'!B410/'RD Feedstock Use'!$L410)</f>
        <v>1105.9100824858449</v>
      </c>
      <c r="C410" s="167">
        <f>$L410*('RD Feedstock Use'!C410/'RD Feedstock Use'!$L410)</f>
        <v>393.62958777225862</v>
      </c>
      <c r="D410" s="167">
        <f>$L410*('RD Feedstock Use'!D410/'RD Feedstock Use'!$L410)*0.25+10+250</f>
        <v>330.80125293535332</v>
      </c>
      <c r="E410" s="167">
        <f>$L410*('RD Feedstock Use'!E410/'RD Feedstock Use'!$L410)</f>
        <v>4.8145381723895389</v>
      </c>
      <c r="F410" s="167">
        <f>$L410*('RD Feedstock Use'!F410/'RD Feedstock Use'!$L410)</f>
        <v>28.438481779661245</v>
      </c>
      <c r="G410" s="167">
        <f>$L410*('RD Feedstock Use'!G410/'RD Feedstock Use'!$L410)</f>
        <v>595.26831348873611</v>
      </c>
      <c r="H410" s="167">
        <f>$L410*('RD Feedstock Use'!H410/'RD Feedstock Use'!$L410)-10</f>
        <v>138.85916535591056</v>
      </c>
      <c r="I410" s="167">
        <f>$L410*('RD Feedstock Use'!I410/'RD Feedstock Use'!$L410)</f>
        <v>1352.6309522937781</v>
      </c>
      <c r="J410" s="167">
        <f t="shared" si="28"/>
        <v>1499.5396702581036</v>
      </c>
      <c r="K410" s="167">
        <f>$L410*('RD Feedstock Use'!K410/'RD Feedstock Use'!$L410)</f>
        <v>2130.0114510904755</v>
      </c>
      <c r="L410" s="167">
        <f t="shared" si="25"/>
        <v>3629.5511213485793</v>
      </c>
      <c r="M410" s="168">
        <f>[5]SAF!$AI30/1000000</f>
        <v>490.35384655170213</v>
      </c>
      <c r="N410" s="169">
        <f t="shared" si="26"/>
        <v>7.4019020078511515</v>
      </c>
      <c r="O410" s="167">
        <f t="shared" si="24"/>
        <v>3960.352374283932</v>
      </c>
      <c r="P410" s="170">
        <f t="shared" si="27"/>
        <v>8.0765194402657929</v>
      </c>
    </row>
    <row r="411" spans="1:16" x14ac:dyDescent="0.2">
      <c r="A411" s="155">
        <v>52597</v>
      </c>
      <c r="B411" s="167">
        <f>$L411*('RD Feedstock Use'!B411/'RD Feedstock Use'!$L411)</f>
        <v>757.15157891234071</v>
      </c>
      <c r="C411" s="167">
        <f>$L411*('RD Feedstock Use'!C411/'RD Feedstock Use'!$L411)</f>
        <v>229.43161090446119</v>
      </c>
      <c r="D411" s="167">
        <f>$L411*('RD Feedstock Use'!D411/'RD Feedstock Use'!$L411)*0.25+10+250</f>
        <v>314.1748373565481</v>
      </c>
      <c r="E411" s="167">
        <f>$L411*('RD Feedstock Use'!E411/'RD Feedstock Use'!$L411)</f>
        <v>3.0394896136933602</v>
      </c>
      <c r="F411" s="167">
        <f>$L411*('RD Feedstock Use'!F411/'RD Feedstock Use'!$L411)</f>
        <v>48.811113906460037</v>
      </c>
      <c r="G411" s="167">
        <f>$L411*('RD Feedstock Use'!G411/'RD Feedstock Use'!$L411)</f>
        <v>470.9386510294031</v>
      </c>
      <c r="H411" s="167">
        <f>$L411*('RD Feedstock Use'!H411/'RD Feedstock Use'!$L411)-10</f>
        <v>88.957439355635714</v>
      </c>
      <c r="I411" s="167">
        <f>$L411*('RD Feedstock Use'!I411/'RD Feedstock Use'!$L411)</f>
        <v>655.33322434995785</v>
      </c>
      <c r="J411" s="167">
        <f t="shared" si="28"/>
        <v>986.58318981680191</v>
      </c>
      <c r="K411" s="167">
        <f>$L411*('RD Feedstock Use'!K411/'RD Feedstock Use'!$L411)</f>
        <v>1277.07991825515</v>
      </c>
      <c r="L411" s="167">
        <f t="shared" si="25"/>
        <v>2263.6631080719517</v>
      </c>
      <c r="M411" s="168">
        <f>[5]SAF!$AJ19/1000000</f>
        <v>299.74782308860927</v>
      </c>
      <c r="N411" s="169">
        <f t="shared" si="26"/>
        <v>7.5518917360169926</v>
      </c>
      <c r="O411" s="167">
        <f t="shared" si="24"/>
        <v>2577.8379454284996</v>
      </c>
      <c r="P411" s="170">
        <f t="shared" si="27"/>
        <v>8.6000222415842469</v>
      </c>
    </row>
    <row r="412" spans="1:16" x14ac:dyDescent="0.2">
      <c r="A412" s="155">
        <v>52628</v>
      </c>
      <c r="B412" s="167">
        <f>$L412*('RD Feedstock Use'!B412/'RD Feedstock Use'!$L412)</f>
        <v>969.38948215584003</v>
      </c>
      <c r="C412" s="167">
        <f>$L412*('RD Feedstock Use'!C412/'RD Feedstock Use'!$L412)</f>
        <v>332.18069542620196</v>
      </c>
      <c r="D412" s="167">
        <f>$L412*('RD Feedstock Use'!D412/'RD Feedstock Use'!$L412)*0.25+10+250</f>
        <v>338.01441191255554</v>
      </c>
      <c r="E412" s="167">
        <f>$L412*('RD Feedstock Use'!E412/'RD Feedstock Use'!$L412)</f>
        <v>5.2527256538162739</v>
      </c>
      <c r="F412" s="167">
        <f>$L412*('RD Feedstock Use'!F412/'RD Feedstock Use'!$L412)</f>
        <v>76.754078567164058</v>
      </c>
      <c r="G412" s="167">
        <f>$L412*('RD Feedstock Use'!G412/'RD Feedstock Use'!$L412)</f>
        <v>870.64844609309739</v>
      </c>
      <c r="H412" s="167">
        <f>$L412*('RD Feedstock Use'!H412/'RD Feedstock Use'!$L412)</f>
        <v>97.679278595694939</v>
      </c>
      <c r="I412" s="167">
        <f>$L412*('RD Feedstock Use'!I412/'RD Feedstock Use'!$L412)</f>
        <v>1735.0242427228454</v>
      </c>
      <c r="J412" s="167">
        <f t="shared" si="28"/>
        <v>1301.5701775820421</v>
      </c>
      <c r="K412" s="167">
        <f>$L412*('RD Feedstock Use'!K412/'RD Feedstock Use'!$L412)</f>
        <v>2785.3587716326178</v>
      </c>
      <c r="L412" s="167">
        <f t="shared" si="25"/>
        <v>4086.92894921466</v>
      </c>
      <c r="M412" s="168">
        <f>[5]SAF!$AJ20/1000000</f>
        <v>562.56393892635344</v>
      </c>
      <c r="N412" s="169">
        <f t="shared" si="26"/>
        <v>7.2648256783300313</v>
      </c>
      <c r="O412" s="167">
        <f t="shared" si="24"/>
        <v>4424.9433611272152</v>
      </c>
      <c r="P412" s="170">
        <f t="shared" si="27"/>
        <v>7.8656718906870688</v>
      </c>
    </row>
    <row r="413" spans="1:16" x14ac:dyDescent="0.2">
      <c r="A413" s="155">
        <v>52657</v>
      </c>
      <c r="B413" s="167">
        <f>$L413*('RD Feedstock Use'!B413/'RD Feedstock Use'!$L413)</f>
        <v>432.39539106044424</v>
      </c>
      <c r="C413" s="167">
        <f>$L413*('RD Feedstock Use'!C413/'RD Feedstock Use'!$L413)</f>
        <v>141.04411254070789</v>
      </c>
      <c r="D413" s="167">
        <f>$L413*('RD Feedstock Use'!D413/'RD Feedstock Use'!$L413)*0.25+10+250</f>
        <v>287.77241114884436</v>
      </c>
      <c r="E413" s="167">
        <f>$L413*('RD Feedstock Use'!E413/'RD Feedstock Use'!$L413)</f>
        <v>2.0384922403080887</v>
      </c>
      <c r="F413" s="167">
        <f>$L413*('RD Feedstock Use'!F413/'RD Feedstock Use'!$L413)</f>
        <v>43.464051628987093</v>
      </c>
      <c r="G413" s="167">
        <f>$L413*('RD Feedstock Use'!G413/'RD Feedstock Use'!$L413)</f>
        <v>292.35711723846651</v>
      </c>
      <c r="H413" s="167">
        <f>$L413*('RD Feedstock Use'!H413/'RD Feedstock Use'!$L413)</f>
        <v>86.255202095509389</v>
      </c>
      <c r="I413" s="167">
        <f>$L413*('RD Feedstock Use'!I413/'RD Feedstock Use'!$L413)</f>
        <v>645.95835050677067</v>
      </c>
      <c r="J413" s="167">
        <f t="shared" si="28"/>
        <v>573.43950360115218</v>
      </c>
      <c r="K413" s="167">
        <f>$L413*('RD Feedstock Use'!K413/'RD Feedstock Use'!$L413)</f>
        <v>1070.073213710042</v>
      </c>
      <c r="L413" s="167">
        <f t="shared" si="25"/>
        <v>1643.5127173111939</v>
      </c>
      <c r="M413" s="168">
        <f>[5]SAF!$AJ21/1000000</f>
        <v>226.72759149033584</v>
      </c>
      <c r="N413" s="169">
        <f t="shared" si="26"/>
        <v>7.2488430124802337</v>
      </c>
      <c r="O413" s="167">
        <f t="shared" si="24"/>
        <v>1931.2851284600385</v>
      </c>
      <c r="P413" s="170">
        <f t="shared" si="27"/>
        <v>8.518086024577908</v>
      </c>
    </row>
    <row r="414" spans="1:16" x14ac:dyDescent="0.2">
      <c r="A414" s="155">
        <v>52688</v>
      </c>
      <c r="B414" s="167">
        <f>$L414*('RD Feedstock Use'!B414/'RD Feedstock Use'!$L414)</f>
        <v>658.11983461772127</v>
      </c>
      <c r="C414" s="167">
        <f>$L414*('RD Feedstock Use'!C414/'RD Feedstock Use'!$L414)</f>
        <v>188.66519156965671</v>
      </c>
      <c r="D414" s="167">
        <f>$L414*('RD Feedstock Use'!D414/'RD Feedstock Use'!$L414)*0.25+10+250</f>
        <v>296.91381032089055</v>
      </c>
      <c r="E414" s="167">
        <f>$L414*('RD Feedstock Use'!E414/'RD Feedstock Use'!$L414)</f>
        <v>3.2136299722458141</v>
      </c>
      <c r="F414" s="167">
        <f>$L414*('RD Feedstock Use'!F414/'RD Feedstock Use'!$L414)</f>
        <v>78.668134421295548</v>
      </c>
      <c r="G414" s="167">
        <f>$L414*('RD Feedstock Use'!G414/'RD Feedstock Use'!$L414)</f>
        <v>268.00180196694174</v>
      </c>
      <c r="H414" s="167">
        <f>$L414*('RD Feedstock Use'!H414/'RD Feedstock Use'!$L414)</f>
        <v>198.29757094236865</v>
      </c>
      <c r="I414" s="167">
        <f>$L414*('RD Feedstock Use'!I414/'RD Feedstock Use'!$L414)</f>
        <v>1288.6486497999888</v>
      </c>
      <c r="J414" s="167">
        <f t="shared" si="28"/>
        <v>846.78502618737798</v>
      </c>
      <c r="K414" s="167">
        <f>$L414*('RD Feedstock Use'!K414/'RD Feedstock Use'!$L414)</f>
        <v>1836.8297871028406</v>
      </c>
      <c r="L414" s="167">
        <f t="shared" si="25"/>
        <v>2683.6148132902185</v>
      </c>
      <c r="M414" s="168">
        <f>[5]SAF!$AJ22/1000000</f>
        <v>362.55129951928524</v>
      </c>
      <c r="N414" s="169">
        <f t="shared" si="26"/>
        <v>7.4020278422625498</v>
      </c>
      <c r="O414" s="167">
        <f t="shared" si="24"/>
        <v>2980.5286236111092</v>
      </c>
      <c r="P414" s="170">
        <f t="shared" si="27"/>
        <v>8.2209845270532966</v>
      </c>
    </row>
    <row r="415" spans="1:16" x14ac:dyDescent="0.2">
      <c r="A415" s="155">
        <v>52718</v>
      </c>
      <c r="B415" s="167">
        <f>$L415*('RD Feedstock Use'!B415/'RD Feedstock Use'!$L415)</f>
        <v>729.84787743914239</v>
      </c>
      <c r="C415" s="167">
        <f>$L415*('RD Feedstock Use'!C415/'RD Feedstock Use'!$L415)</f>
        <v>335.67317793864345</v>
      </c>
      <c r="D415" s="167">
        <f>$L415*('RD Feedstock Use'!D415/'RD Feedstock Use'!$L415)*0.25+10+250</f>
        <v>294.04486460955786</v>
      </c>
      <c r="E415" s="167">
        <f>$L415*('RD Feedstock Use'!E415/'RD Feedstock Use'!$L415)</f>
        <v>4.1863100608981165</v>
      </c>
      <c r="F415" s="167">
        <f>$L415*('RD Feedstock Use'!F415/'RD Feedstock Use'!$L415)</f>
        <v>89.923720297108204</v>
      </c>
      <c r="G415" s="167">
        <f>$L415*('RD Feedstock Use'!G415/'RD Feedstock Use'!$L415)</f>
        <v>393.27900808128135</v>
      </c>
      <c r="H415" s="167">
        <f>$L415*('RD Feedstock Use'!H415/'RD Feedstock Use'!$L415)</f>
        <v>220.17185886150099</v>
      </c>
      <c r="I415" s="167">
        <f>$L415*('RD Feedstock Use'!I415/'RD Feedstock Use'!$L415)</f>
        <v>1792.4740989063403</v>
      </c>
      <c r="J415" s="167">
        <f t="shared" si="28"/>
        <v>1065.5210553777858</v>
      </c>
      <c r="K415" s="167">
        <f>$L415*('RD Feedstock Use'!K415/'RD Feedstock Use'!$L415)</f>
        <v>2500.0349962071291</v>
      </c>
      <c r="L415" s="167">
        <f t="shared" si="25"/>
        <v>3565.5560515849152</v>
      </c>
      <c r="M415" s="168">
        <f>[5]SAF!$AJ23/1000000</f>
        <v>477.70793464939248</v>
      </c>
      <c r="N415" s="169">
        <f t="shared" si="26"/>
        <v>7.4638828308384886</v>
      </c>
      <c r="O415" s="167">
        <f t="shared" si="24"/>
        <v>3859.6009161944726</v>
      </c>
      <c r="P415" s="170">
        <f t="shared" si="27"/>
        <v>8.0794155513183519</v>
      </c>
    </row>
    <row r="416" spans="1:16" x14ac:dyDescent="0.2">
      <c r="A416" s="155">
        <v>52749</v>
      </c>
      <c r="B416" s="167">
        <f>$L416*('RD Feedstock Use'!B416/'RD Feedstock Use'!$L416)</f>
        <v>809.73972822475537</v>
      </c>
      <c r="C416" s="167">
        <f>$L416*('RD Feedstock Use'!C416/'RD Feedstock Use'!$L416)</f>
        <v>267.27281877303562</v>
      </c>
      <c r="D416" s="167">
        <f>$L416*('RD Feedstock Use'!D416/'RD Feedstock Use'!$L416)*0.25+10+250</f>
        <v>300.08651821649448</v>
      </c>
      <c r="E416" s="167">
        <f>$L416*('RD Feedstock Use'!E416/'RD Feedstock Use'!$L416)</f>
        <v>3.6384209585004945</v>
      </c>
      <c r="F416" s="167">
        <f>$L416*('RD Feedstock Use'!F416/'RD Feedstock Use'!$L416)</f>
        <v>98.740930279194231</v>
      </c>
      <c r="G416" s="167">
        <f>$L416*('RD Feedstock Use'!G416/'RD Feedstock Use'!$L416)</f>
        <v>400.77634287475189</v>
      </c>
      <c r="H416" s="167">
        <f>$L416*('RD Feedstock Use'!H416/'RD Feedstock Use'!$L416)</f>
        <v>236.51522478706465</v>
      </c>
      <c r="I416" s="167">
        <f>$L416*('RD Feedstock Use'!I416/'RD Feedstock Use'!$L416)</f>
        <v>1524.3997230626971</v>
      </c>
      <c r="J416" s="167">
        <f t="shared" si="28"/>
        <v>1077.0125469977911</v>
      </c>
      <c r="K416" s="167">
        <f>$L416*('RD Feedstock Use'!K416/'RD Feedstock Use'!$L416)</f>
        <v>2264.0706419622084</v>
      </c>
      <c r="L416" s="167">
        <f t="shared" si="25"/>
        <v>3341.083188959999</v>
      </c>
      <c r="M416" s="168">
        <f>[5]SAF!$AJ24/1000000</f>
        <v>454.43226435824295</v>
      </c>
      <c r="N416" s="169">
        <f t="shared" si="26"/>
        <v>7.3522138523292</v>
      </c>
      <c r="O416" s="167">
        <f t="shared" si="24"/>
        <v>3641.1697071764938</v>
      </c>
      <c r="P416" s="170">
        <f t="shared" si="27"/>
        <v>8.0125686329042161</v>
      </c>
    </row>
    <row r="417" spans="1:16" x14ac:dyDescent="0.2">
      <c r="A417" s="155">
        <v>52779</v>
      </c>
      <c r="B417" s="167">
        <f>$L417*('RD Feedstock Use'!B417/'RD Feedstock Use'!$L417)</f>
        <v>1079.0770827880708</v>
      </c>
      <c r="C417" s="167">
        <f>$L417*('RD Feedstock Use'!C417/'RD Feedstock Use'!$L417)</f>
        <v>423.29139013026793</v>
      </c>
      <c r="D417" s="167">
        <f>$L417*('RD Feedstock Use'!D417/'RD Feedstock Use'!$L417)*0.25+10+250</f>
        <v>311.71134598308072</v>
      </c>
      <c r="E417" s="167">
        <f>$L417*('RD Feedstock Use'!E417/'RD Feedstock Use'!$L417)</f>
        <v>3.9560561558786467</v>
      </c>
      <c r="F417" s="167">
        <f>$L417*('RD Feedstock Use'!F417/'RD Feedstock Use'!$L417)</f>
        <v>112.80435041052621</v>
      </c>
      <c r="G417" s="167">
        <f>$L417*('RD Feedstock Use'!G417/'RD Feedstock Use'!$L417)</f>
        <v>500.17400389535214</v>
      </c>
      <c r="H417" s="167">
        <f>$L417*('RD Feedstock Use'!H417/'RD Feedstock Use'!$L417)</f>
        <v>276.78242024588701</v>
      </c>
      <c r="I417" s="167">
        <f>$L417*('RD Feedstock Use'!I417/'RD Feedstock Use'!$L417)</f>
        <v>1296.8154557000671</v>
      </c>
      <c r="J417" s="167">
        <f t="shared" si="28"/>
        <v>1502.3684729183387</v>
      </c>
      <c r="K417" s="167">
        <f>$L417*('RD Feedstock Use'!K417/'RD Feedstock Use'!$L417)</f>
        <v>2190.5322864077116</v>
      </c>
      <c r="L417" s="167">
        <f t="shared" si="25"/>
        <v>3692.9007593260499</v>
      </c>
      <c r="M417" s="168">
        <f>[5]SAF!$AJ25/1000000</f>
        <v>495.4785167286276</v>
      </c>
      <c r="N417" s="169">
        <f t="shared" si="26"/>
        <v>7.4532005619703643</v>
      </c>
      <c r="O417" s="167">
        <f t="shared" si="24"/>
        <v>4004.612105309131</v>
      </c>
      <c r="P417" s="170">
        <f t="shared" si="27"/>
        <v>8.0823122902469802</v>
      </c>
    </row>
    <row r="418" spans="1:16" x14ac:dyDescent="0.2">
      <c r="A418" s="155">
        <v>52810</v>
      </c>
      <c r="B418" s="167">
        <f>$L418*('RD Feedstock Use'!B418/'RD Feedstock Use'!$L418)</f>
        <v>1184.8960256680939</v>
      </c>
      <c r="C418" s="167">
        <f>$L418*('RD Feedstock Use'!C418/'RD Feedstock Use'!$L418)</f>
        <v>347.61058515291535</v>
      </c>
      <c r="D418" s="167">
        <f>$L418*('RD Feedstock Use'!D418/'RD Feedstock Use'!$L418)*0.25+10+250</f>
        <v>310.5165213145799</v>
      </c>
      <c r="E418" s="167">
        <f>$L418*('RD Feedstock Use'!E418/'RD Feedstock Use'!$L418)</f>
        <v>4.2283927131910106</v>
      </c>
      <c r="F418" s="167">
        <f>$L418*('RD Feedstock Use'!F418/'RD Feedstock Use'!$L418)</f>
        <v>91.236488502793677</v>
      </c>
      <c r="G418" s="167">
        <f>$L418*('RD Feedstock Use'!G418/'RD Feedstock Use'!$L418)</f>
        <v>556.00659773657662</v>
      </c>
      <c r="H418" s="167">
        <f>$L418*('RD Feedstock Use'!H418/'RD Feedstock Use'!$L418)</f>
        <v>315.52905862702636</v>
      </c>
      <c r="I418" s="167">
        <f>$L418*('RD Feedstock Use'!I418/'RD Feedstock Use'!$L418)</f>
        <v>1481.4040910327185</v>
      </c>
      <c r="J418" s="167">
        <f t="shared" si="28"/>
        <v>1532.5066108210092</v>
      </c>
      <c r="K418" s="167">
        <f>$L418*('RD Feedstock Use'!K418/'RD Feedstock Use'!$L418)</f>
        <v>2448.4046286123062</v>
      </c>
      <c r="L418" s="167">
        <f t="shared" si="25"/>
        <v>3980.9112394333151</v>
      </c>
      <c r="M418" s="168">
        <f>[5]SAF!$AJ26/1000000</f>
        <v>538.72962688032692</v>
      </c>
      <c r="N418" s="169">
        <f t="shared" si="26"/>
        <v>7.3894418290784527</v>
      </c>
      <c r="O418" s="167">
        <f t="shared" si="24"/>
        <v>4291.4277607478953</v>
      </c>
      <c r="P418" s="170">
        <f t="shared" si="27"/>
        <v>7.9658283981868152</v>
      </c>
    </row>
    <row r="419" spans="1:16" x14ac:dyDescent="0.2">
      <c r="A419" s="155">
        <v>52841</v>
      </c>
      <c r="B419" s="167">
        <f>$L419*('RD Feedstock Use'!B419/'RD Feedstock Use'!$L419)</f>
        <v>1439.818677734972</v>
      </c>
      <c r="C419" s="167">
        <f>$L419*('RD Feedstock Use'!C419/'RD Feedstock Use'!$L419)</f>
        <v>327.50682580256159</v>
      </c>
      <c r="D419" s="167">
        <f>$L419*('RD Feedstock Use'!D419/'RD Feedstock Use'!$L419)*0.25+10+250</f>
        <v>340.7416215979249</v>
      </c>
      <c r="E419" s="167">
        <f>$L419*('RD Feedstock Use'!E419/'RD Feedstock Use'!$L419)</f>
        <v>6.2143329782323153</v>
      </c>
      <c r="F419" s="167">
        <f>$L419*('RD Feedstock Use'!F419/'RD Feedstock Use'!$L419)</f>
        <v>129.21006828318315</v>
      </c>
      <c r="G419" s="167">
        <f>$L419*('RD Feedstock Use'!G419/'RD Feedstock Use'!$L419)</f>
        <v>683.8762411139104</v>
      </c>
      <c r="H419" s="167">
        <f>$L419*('RD Feedstock Use'!H419/'RD Feedstock Use'!$L419)</f>
        <v>339.94038152873236</v>
      </c>
      <c r="I419" s="167">
        <f>$L419*('RD Feedstock Use'!I419/'RD Feedstock Use'!$L419)</f>
        <v>2015.3882338577748</v>
      </c>
      <c r="J419" s="167">
        <f t="shared" si="28"/>
        <v>1767.3255035375337</v>
      </c>
      <c r="K419" s="167">
        <f>$L419*('RD Feedstock Use'!K419/'RD Feedstock Use'!$L419)</f>
        <v>3174.6292577618333</v>
      </c>
      <c r="L419" s="167">
        <f t="shared" si="25"/>
        <v>4941.9547612993665</v>
      </c>
      <c r="M419" s="168">
        <f>[5]SAF!$AJ27/1000000</f>
        <v>655.48764538901457</v>
      </c>
      <c r="N419" s="169">
        <f t="shared" si="26"/>
        <v>7.5393560749210575</v>
      </c>
      <c r="O419" s="167">
        <f t="shared" si="24"/>
        <v>5282.6963828972912</v>
      </c>
      <c r="P419" s="170">
        <f t="shared" si="27"/>
        <v>8.0591852799333097</v>
      </c>
    </row>
    <row r="420" spans="1:16" x14ac:dyDescent="0.2">
      <c r="A420" s="155">
        <v>52871</v>
      </c>
      <c r="B420" s="167">
        <f>$L420*('RD Feedstock Use'!B420/'RD Feedstock Use'!$L420)</f>
        <v>787.74656437804492</v>
      </c>
      <c r="C420" s="167">
        <f>$L420*('RD Feedstock Use'!C420/'RD Feedstock Use'!$L420)</f>
        <v>427.1659542221937</v>
      </c>
      <c r="D420" s="167">
        <f>$L420*('RD Feedstock Use'!D420/'RD Feedstock Use'!$L420)*0.25+10+250</f>
        <v>360.83334379558232</v>
      </c>
      <c r="E420" s="167">
        <f>$L420*('RD Feedstock Use'!E420/'RD Feedstock Use'!$L420)</f>
        <v>7.1093691668661876</v>
      </c>
      <c r="F420" s="167">
        <f>$L420*('RD Feedstock Use'!F420/'RD Feedstock Use'!$L420)</f>
        <v>112.77280164104846</v>
      </c>
      <c r="G420" s="167">
        <f>$L420*('RD Feedstock Use'!G420/'RD Feedstock Use'!$L420)</f>
        <v>702.72215131869189</v>
      </c>
      <c r="H420" s="167">
        <f>$L420*('RD Feedstock Use'!H420/'RD Feedstock Use'!$L420)</f>
        <v>307.34819706214455</v>
      </c>
      <c r="I420" s="167">
        <f>$L420*('RD Feedstock Use'!I420/'RD Feedstock Use'!$L420)</f>
        <v>2424.8540637990877</v>
      </c>
      <c r="J420" s="167">
        <f t="shared" si="28"/>
        <v>1214.9125186002386</v>
      </c>
      <c r="K420" s="167">
        <f>$L420*('RD Feedstock Use'!K420/'RD Feedstock Use'!$L420)</f>
        <v>3554.8065829878392</v>
      </c>
      <c r="L420" s="167">
        <f t="shared" si="25"/>
        <v>4769.719101588078</v>
      </c>
      <c r="M420" s="168">
        <f>[5]SAF!$AJ28/1000000</f>
        <v>638.79427778920956</v>
      </c>
      <c r="N420" s="169">
        <f t="shared" si="26"/>
        <v>7.466753018038145</v>
      </c>
      <c r="O420" s="167">
        <f t="shared" si="24"/>
        <v>5130.5524453836606</v>
      </c>
      <c r="P420" s="170">
        <f t="shared" si="27"/>
        <v>8.0316192924268002</v>
      </c>
    </row>
    <row r="421" spans="1:16" x14ac:dyDescent="0.2">
      <c r="A421" s="155">
        <v>52902</v>
      </c>
      <c r="B421" s="167">
        <f>$L421*('RD Feedstock Use'!B421/'RD Feedstock Use'!$L421)</f>
        <v>988.71713017372792</v>
      </c>
      <c r="C421" s="167">
        <f>$L421*('RD Feedstock Use'!C421/'RD Feedstock Use'!$L421)</f>
        <v>393.81811213683824</v>
      </c>
      <c r="D421" s="167">
        <f>$L421*('RD Feedstock Use'!D421/'RD Feedstock Use'!$L421)*0.25+10+250</f>
        <v>346.99044488209381</v>
      </c>
      <c r="E421" s="167">
        <f>$L421*('RD Feedstock Use'!E421/'RD Feedstock Use'!$L421)</f>
        <v>5.6310153784279064</v>
      </c>
      <c r="F421" s="167">
        <f>$L421*('RD Feedstock Use'!F421/'RD Feedstock Use'!$L421)</f>
        <v>37.141778791737714</v>
      </c>
      <c r="G421" s="167">
        <f>$L421*('RD Feedstock Use'!G421/'RD Feedstock Use'!$L421)</f>
        <v>661.25557925472413</v>
      </c>
      <c r="H421" s="167">
        <f>$L421*('RD Feedstock Use'!H421/'RD Feedstock Use'!$L421)</f>
        <v>245.12232559321492</v>
      </c>
      <c r="I421" s="167">
        <f>$L421*('RD Feedstock Use'!I421/'RD Feedstock Use'!$L421)</f>
        <v>1701.3373190309346</v>
      </c>
      <c r="J421" s="167">
        <f t="shared" si="28"/>
        <v>1382.5352423105662</v>
      </c>
      <c r="K421" s="167">
        <f>$L421*('RD Feedstock Use'!K421/'RD Feedstock Use'!$L421)</f>
        <v>2650.4880180490391</v>
      </c>
      <c r="L421" s="167">
        <f t="shared" si="25"/>
        <v>4033.0232603596055</v>
      </c>
      <c r="M421" s="168">
        <f>[5]SAF!$AJ29/1000000</f>
        <v>551.96257601857712</v>
      </c>
      <c r="N421" s="169">
        <f t="shared" si="26"/>
        <v>7.3066969312496797</v>
      </c>
      <c r="O421" s="167">
        <f t="shared" si="24"/>
        <v>4380.0137052416985</v>
      </c>
      <c r="P421" s="170">
        <f t="shared" si="27"/>
        <v>7.9353454301841699</v>
      </c>
    </row>
    <row r="422" spans="1:16" x14ac:dyDescent="0.2">
      <c r="A422" s="155">
        <v>52932</v>
      </c>
      <c r="B422" s="167">
        <f>$L422*('RD Feedstock Use'!B422/'RD Feedstock Use'!$L422)</f>
        <v>1080.4890723473929</v>
      </c>
      <c r="C422" s="167">
        <f>$L422*('RD Feedstock Use'!C422/'RD Feedstock Use'!$L422)</f>
        <v>398.09368581001843</v>
      </c>
      <c r="D422" s="167">
        <f>$L422*('RD Feedstock Use'!D422/'RD Feedstock Use'!$L422)*0.25+10+250</f>
        <v>334.74119772101108</v>
      </c>
      <c r="E422" s="167">
        <f>$L422*('RD Feedstock Use'!E422/'RD Feedstock Use'!$L422)</f>
        <v>4.8697907291276614</v>
      </c>
      <c r="F422" s="167">
        <f>$L422*('RD Feedstock Use'!F422/'RD Feedstock Use'!$L422)</f>
        <v>28.770513239214534</v>
      </c>
      <c r="G422" s="167">
        <f>$L422*('RD Feedstock Use'!G422/'RD Feedstock Use'!$L422)</f>
        <v>602.09479969229881</v>
      </c>
      <c r="H422" s="167">
        <f>$L422*('RD Feedstock Use'!H422/'RD Feedstock Use'!$L422)</f>
        <v>156.46138971874652</v>
      </c>
      <c r="I422" s="167">
        <f>$L422*('RD Feedstock Use'!I422/'RD Feedstock Use'!$L422)</f>
        <v>1400.2241623209823</v>
      </c>
      <c r="J422" s="167">
        <f t="shared" si="28"/>
        <v>1478.5827581574113</v>
      </c>
      <c r="K422" s="167">
        <f>$L422*('RD Feedstock Use'!K422/'RD Feedstock Use'!$L422)</f>
        <v>2192.4206557003695</v>
      </c>
      <c r="L422" s="167">
        <f t="shared" si="25"/>
        <v>3671.0034138577807</v>
      </c>
      <c r="M422" s="168">
        <f>[5]SAF!$AJ30/1000000</f>
        <v>495.95332059680078</v>
      </c>
      <c r="N422" s="169">
        <f t="shared" si="26"/>
        <v>7.4019131668285096</v>
      </c>
      <c r="O422" s="167">
        <f t="shared" si="24"/>
        <v>4005.7446115787916</v>
      </c>
      <c r="P422" s="170">
        <f t="shared" si="27"/>
        <v>8.076858134064949</v>
      </c>
    </row>
    <row r="423" spans="1:16" x14ac:dyDescent="0.2">
      <c r="A423" s="155">
        <v>52963</v>
      </c>
      <c r="B423" s="167">
        <f>$L423*('RD Feedstock Use'!B423/'RD Feedstock Use'!$L423)</f>
        <v>739.58999668557476</v>
      </c>
      <c r="C423" s="167">
        <f>$L423*('RD Feedstock Use'!C423/'RD Feedstock Use'!$L423)</f>
        <v>236.25271674633453</v>
      </c>
      <c r="D423" s="167">
        <f>$L423*('RD Feedstock Use'!D423/'RD Feedstock Use'!$L423)*0.25+10+250</f>
        <v>319.54235190336772</v>
      </c>
      <c r="E423" s="167">
        <f>$L423*('RD Feedstock Use'!E423/'RD Feedstock Use'!$L423)</f>
        <v>3.1298522385948031</v>
      </c>
      <c r="F423" s="167">
        <f>$L423*('RD Feedstock Use'!F423/'RD Feedstock Use'!$L423)</f>
        <v>50.260582352543146</v>
      </c>
      <c r="G423" s="167">
        <f>$L423*('RD Feedstock Use'!G423/'RD Feedstock Use'!$L423)</f>
        <v>484.91809028080212</v>
      </c>
      <c r="H423" s="167">
        <f>$L423*('RD Feedstock Use'!H423/'RD Feedstock Use'!$L423)-10</f>
        <v>99.620607022625009</v>
      </c>
      <c r="I423" s="167">
        <f>$L423*('RD Feedstock Use'!I423/'RD Feedstock Use'!$L423)</f>
        <v>707.07717233494975</v>
      </c>
      <c r="J423" s="167">
        <f t="shared" si="28"/>
        <v>975.84271343190926</v>
      </c>
      <c r="K423" s="167">
        <f>$L423*('RD Feedstock Use'!K423/'RD Feedstock Use'!$L423)</f>
        <v>1355.0063042295146</v>
      </c>
      <c r="L423" s="167">
        <f t="shared" si="25"/>
        <v>2330.8490176614241</v>
      </c>
      <c r="M423" s="168">
        <f>[5]SAF!$AK19/1000000</f>
        <v>308.64611702075291</v>
      </c>
      <c r="N423" s="169">
        <f t="shared" si="26"/>
        <v>7.551849477842941</v>
      </c>
      <c r="O423" s="167">
        <f t="shared" si="24"/>
        <v>2650.3913695647916</v>
      </c>
      <c r="P423" s="170">
        <f t="shared" si="27"/>
        <v>8.5871528051220647</v>
      </c>
    </row>
    <row r="424" spans="1:16" x14ac:dyDescent="0.2">
      <c r="A424" s="155">
        <v>52994</v>
      </c>
      <c r="B424" s="167">
        <f>$L424*('RD Feedstock Use'!B424/'RD Feedstock Use'!$L424)</f>
        <v>993.03826176190739</v>
      </c>
      <c r="C424" s="167">
        <f>$L424*('RD Feedstock Use'!C424/'RD Feedstock Use'!$L424)</f>
        <v>342.05982916300275</v>
      </c>
      <c r="D424" s="167">
        <f>$L424*('RD Feedstock Use'!D424/'RD Feedstock Use'!$L424)*0.25+10+250</f>
        <v>343.52480779621328</v>
      </c>
      <c r="E424" s="167">
        <f>$L424*('RD Feedstock Use'!E424/'RD Feedstock Use'!$L424)</f>
        <v>5.4090750146254729</v>
      </c>
      <c r="F424" s="167">
        <f>$L424*('RD Feedstock Use'!F424/'RD Feedstock Use'!$L424)</f>
        <v>79.03668638116207</v>
      </c>
      <c r="G424" s="167">
        <f>$L424*('RD Feedstock Use'!G424/'RD Feedstock Use'!$L424)</f>
        <v>896.53976203807326</v>
      </c>
      <c r="H424" s="167">
        <f>$L424*('RD Feedstock Use'!H424/'RD Feedstock Use'!$L424)-10</f>
        <v>106.26798626322656</v>
      </c>
      <c r="I424" s="167">
        <f>$L424*('RD Feedstock Use'!I424/'RD Feedstock Use'!$L424)</f>
        <v>1776.0269211754537</v>
      </c>
      <c r="J424" s="167">
        <f t="shared" si="28"/>
        <v>1335.0980909249101</v>
      </c>
      <c r="K424" s="167">
        <f>$L424*('RD Feedstock Use'!K424/'RD Feedstock Use'!$L424)</f>
        <v>2873.2804308725408</v>
      </c>
      <c r="L424" s="167">
        <f t="shared" si="25"/>
        <v>4208.378521797451</v>
      </c>
      <c r="M424" s="168">
        <f>[5]SAF!$AK20/1000000</f>
        <v>579.28493764028804</v>
      </c>
      <c r="N424" s="169">
        <f t="shared" si="26"/>
        <v>7.2647815407392482</v>
      </c>
      <c r="O424" s="167">
        <f t="shared" si="24"/>
        <v>4551.9033295936642</v>
      </c>
      <c r="P424" s="170">
        <f t="shared" si="27"/>
        <v>7.8577968005448255</v>
      </c>
    </row>
    <row r="425" spans="1:16" x14ac:dyDescent="0.2">
      <c r="A425" s="155">
        <v>53022</v>
      </c>
      <c r="B425" s="167">
        <f>$L425*('RD Feedstock Use'!B425/'RD Feedstock Use'!$L425)</f>
        <v>443.25776683174132</v>
      </c>
      <c r="C425" s="167">
        <f>$L425*('RD Feedstock Use'!C425/'RD Feedstock Use'!$L425)</f>
        <v>145.23653545579651</v>
      </c>
      <c r="D425" s="167">
        <f>$L425*('RD Feedstock Use'!D425/'RD Feedstock Use'!$L425)*0.25+10+250</f>
        <v>289.78900402535453</v>
      </c>
      <c r="E425" s="167">
        <f>$L425*('RD Feedstock Use'!E425/'RD Feedstock Use'!$L425)</f>
        <v>2.0991268559589047</v>
      </c>
      <c r="F425" s="167">
        <f>$L425*('RD Feedstock Use'!F425/'RD Feedstock Use'!$L425)</f>
        <v>44.753331246912182</v>
      </c>
      <c r="G425" s="167">
        <f>$L425*('RD Feedstock Use'!G425/'RD Feedstock Use'!$L425)</f>
        <v>301.04365854554533</v>
      </c>
      <c r="H425" s="167">
        <f>$L425*('RD Feedstock Use'!H425/'RD Feedstock Use'!$L425)-10</f>
        <v>75.946614560474941</v>
      </c>
      <c r="I425" s="167">
        <f>$L425*('RD Feedstock Use'!I425/'RD Feedstock Use'!$L425)</f>
        <v>669.98796716591653</v>
      </c>
      <c r="J425" s="167">
        <f t="shared" si="28"/>
        <v>588.49430228753783</v>
      </c>
      <c r="K425" s="167">
        <f>$L425*('RD Feedstock Use'!K425/'RD Feedstock Use'!$L425)</f>
        <v>1103.8306983748078</v>
      </c>
      <c r="L425" s="167">
        <f t="shared" si="25"/>
        <v>1692.3250006623457</v>
      </c>
      <c r="M425" s="168">
        <f>[5]SAF!$AK21/1000000</f>
        <v>233.46226337527875</v>
      </c>
      <c r="N425" s="169">
        <f t="shared" si="26"/>
        <v>7.248816045024026</v>
      </c>
      <c r="O425" s="167">
        <f t="shared" si="24"/>
        <v>1982.1140046877003</v>
      </c>
      <c r="P425" s="170">
        <f t="shared" si="27"/>
        <v>8.4900830482464418</v>
      </c>
    </row>
    <row r="426" spans="1:16" x14ac:dyDescent="0.2">
      <c r="A426" s="155">
        <v>53053</v>
      </c>
      <c r="B426" s="167">
        <f>$L426*('RD Feedstock Use'!B426/'RD Feedstock Use'!$L426)</f>
        <v>674.38921077712666</v>
      </c>
      <c r="C426" s="167">
        <f>$L426*('RD Feedstock Use'!C426/'RD Feedstock Use'!$L426)</f>
        <v>194.27324271950226</v>
      </c>
      <c r="D426" s="167">
        <f>$L426*('RD Feedstock Use'!D426/'RD Feedstock Use'!$L426)*0.25+10+250</f>
        <v>299.99062623990807</v>
      </c>
      <c r="E426" s="167">
        <f>$L426*('RD Feedstock Use'!E426/'RD Feedstock Use'!$L426)</f>
        <v>3.309250010216116</v>
      </c>
      <c r="F426" s="167">
        <f>$L426*('RD Feedstock Use'!F426/'RD Feedstock Use'!$L426)</f>
        <v>80.999199398059403</v>
      </c>
      <c r="G426" s="167">
        <f>$L426*('RD Feedstock Use'!G426/'RD Feedstock Use'!$L426)</f>
        <v>275.98369071404369</v>
      </c>
      <c r="H426" s="167">
        <f>$L426*('RD Feedstock Use'!H426/'RD Feedstock Use'!$L426)-10</f>
        <v>188.11262299409165</v>
      </c>
      <c r="I426" s="167">
        <f>$L426*('RD Feedstock Use'!I426/'RD Feedstock Use'!$L426)</f>
        <v>1336.2881280309914</v>
      </c>
      <c r="J426" s="167">
        <f t="shared" si="28"/>
        <v>868.66245349662893</v>
      </c>
      <c r="K426" s="167">
        <f>$L426*('RD Feedstock Use'!K426/'RD Feedstock Use'!$L426)</f>
        <v>1894.6928911474022</v>
      </c>
      <c r="L426" s="167">
        <f t="shared" si="25"/>
        <v>2763.355344644031</v>
      </c>
      <c r="M426" s="168">
        <f>[5]SAF!$AK22/1000000</f>
        <v>373.3221392656622</v>
      </c>
      <c r="N426" s="169">
        <f t="shared" si="26"/>
        <v>7.4020666175321086</v>
      </c>
      <c r="O426" s="167">
        <f t="shared" si="24"/>
        <v>3063.3459708839391</v>
      </c>
      <c r="P426" s="170">
        <f t="shared" si="27"/>
        <v>8.2056370321611478</v>
      </c>
    </row>
    <row r="427" spans="1:16" x14ac:dyDescent="0.2">
      <c r="A427" s="155">
        <v>53083</v>
      </c>
      <c r="B427" s="167">
        <f>$L427*('RD Feedstock Use'!B427/'RD Feedstock Use'!$L427)</f>
        <v>747.42820521403758</v>
      </c>
      <c r="C427" s="167">
        <f>$L427*('RD Feedstock Use'!C427/'RD Feedstock Use'!$L427)</f>
        <v>345.64573882573313</v>
      </c>
      <c r="D427" s="167">
        <f>$L427*('RD Feedstock Use'!D427/'RD Feedstock Use'!$L427)*0.25+10+250</f>
        <v>299.92459181189366</v>
      </c>
      <c r="E427" s="167">
        <f>$L427*('RD Feedstock Use'!E427/'RD Feedstock Use'!$L427)</f>
        <v>4.3108441204533401</v>
      </c>
      <c r="F427" s="167">
        <f>$L427*('RD Feedstock Use'!F427/'RD Feedstock Use'!$L427)</f>
        <v>92.589138580896332</v>
      </c>
      <c r="G427" s="167">
        <f>$L427*('RD Feedstock Use'!G427/'RD Feedstock Use'!$L427)</f>
        <v>404.98149814257135</v>
      </c>
      <c r="H427" s="167">
        <f>$L427*('RD Feedstock Use'!H427/'RD Feedstock Use'!$L427)-15</f>
        <v>206.40707293394814</v>
      </c>
      <c r="I427" s="167">
        <f>$L427*('RD Feedstock Use'!I427/'RD Feedstock Use'!$L427)</f>
        <v>1855.1127068050803</v>
      </c>
      <c r="J427" s="167">
        <f t="shared" si="28"/>
        <v>1093.0739440397706</v>
      </c>
      <c r="K427" s="167">
        <f>$L427*('RD Feedstock Use'!K427/'RD Feedstock Use'!$L427)</f>
        <v>2578.4012605829498</v>
      </c>
      <c r="L427" s="167">
        <f t="shared" si="25"/>
        <v>3671.4752046227204</v>
      </c>
      <c r="M427" s="168">
        <f>[5]SAF!$AK23/1000000</f>
        <v>491.89904901143103</v>
      </c>
      <c r="N427" s="169">
        <f t="shared" si="26"/>
        <v>7.4638794525040861</v>
      </c>
      <c r="O427" s="167">
        <f t="shared" si="24"/>
        <v>3971.399796434614</v>
      </c>
      <c r="P427" s="170">
        <f t="shared" si="27"/>
        <v>8.0736073883776189</v>
      </c>
    </row>
    <row r="428" spans="1:16" x14ac:dyDescent="0.2">
      <c r="A428" s="155">
        <v>53114</v>
      </c>
      <c r="B428" s="167">
        <f>$L428*('RD Feedstock Use'!B428/'RD Feedstock Use'!$L428)</f>
        <v>835.63399991042945</v>
      </c>
      <c r="C428" s="167">
        <f>$L428*('RD Feedstock Use'!C428/'RD Feedstock Use'!$L428)</f>
        <v>275.21672200222866</v>
      </c>
      <c r="D428" s="167">
        <f>$L428*('RD Feedstock Use'!D428/'RD Feedstock Use'!$L428)*0.25+10+250</f>
        <v>304.75262291595078</v>
      </c>
      <c r="E428" s="167">
        <f>$L428*('RD Feedstock Use'!E428/'RD Feedstock Use'!$L428)</f>
        <v>3.7466664542599073</v>
      </c>
      <c r="F428" s="167">
        <f>$L428*('RD Feedstock Use'!F428/'RD Feedstock Use'!$L428)</f>
        <v>101.6744341703952</v>
      </c>
      <c r="G428" s="167">
        <f>$L428*('RD Feedstock Use'!G428/'RD Feedstock Use'!$L428)</f>
        <v>412.70964448766671</v>
      </c>
      <c r="H428" s="167">
        <f>$L428*('RD Feedstock Use'!H428/'RD Feedstock Use'!$L428)-15</f>
        <v>223.65542221799404</v>
      </c>
      <c r="I428" s="167">
        <f>$L428*('RD Feedstock Use'!I428/'RD Feedstock Use'!$L428)</f>
        <v>1572.7143959252733</v>
      </c>
      <c r="J428" s="167">
        <f t="shared" si="28"/>
        <v>1110.8507219126582</v>
      </c>
      <c r="K428" s="167">
        <f>$L428*('RD Feedstock Use'!K428/'RD Feedstock Use'!$L428)</f>
        <v>2329.5005632555894</v>
      </c>
      <c r="L428" s="167">
        <f t="shared" si="25"/>
        <v>3440.3512851682472</v>
      </c>
      <c r="M428" s="168">
        <f>[5]SAF!$AK24/1000000</f>
        <v>467.93492658408229</v>
      </c>
      <c r="N428" s="169">
        <f t="shared" si="26"/>
        <v>7.3522002520366625</v>
      </c>
      <c r="O428" s="167">
        <f t="shared" si="24"/>
        <v>3745.1039080841983</v>
      </c>
      <c r="P428" s="170">
        <f t="shared" si="27"/>
        <v>8.0034716267567347</v>
      </c>
    </row>
    <row r="429" spans="1:16" x14ac:dyDescent="0.2">
      <c r="A429" s="155">
        <v>53144</v>
      </c>
      <c r="B429" s="167">
        <f>$L429*('RD Feedstock Use'!B429/'RD Feedstock Use'!$L429)</f>
        <v>1113.1733994380788</v>
      </c>
      <c r="C429" s="167">
        <f>$L429*('RD Feedstock Use'!C429/'RD Feedstock Use'!$L429)</f>
        <v>435.87013995074699</v>
      </c>
      <c r="D429" s="167">
        <f>$L429*('RD Feedstock Use'!D429/'RD Feedstock Use'!$L429)*0.25+10+250</f>
        <v>317.43155148830408</v>
      </c>
      <c r="E429" s="167">
        <f>$L429*('RD Feedstock Use'!E429/'RD Feedstock Use'!$L429)</f>
        <v>4.0737338846363667</v>
      </c>
      <c r="F429" s="167">
        <f>$L429*('RD Feedstock Use'!F429/'RD Feedstock Use'!$L429)</f>
        <v>116.15341523908053</v>
      </c>
      <c r="G429" s="167">
        <f>$L429*('RD Feedstock Use'!G429/'RD Feedstock Use'!$L429)</f>
        <v>515.06428827981404</v>
      </c>
      <c r="H429" s="167">
        <f>$L429*('RD Feedstock Use'!H429/'RD Feedstock Use'!$L429)-15</f>
        <v>269.87285946112814</v>
      </c>
      <c r="I429" s="167">
        <f>$L429*('RD Feedstock Use'!I429/'RD Feedstock Use'!$L429)</f>
        <v>1333.3966926673977</v>
      </c>
      <c r="J429" s="167">
        <f t="shared" si="28"/>
        <v>1549.0435393888258</v>
      </c>
      <c r="K429" s="167">
        <f>$L429*('RD Feedstock Use'!K429/'RD Feedstock Use'!$L429)</f>
        <v>2253.5609895320563</v>
      </c>
      <c r="L429" s="167">
        <f t="shared" si="25"/>
        <v>3802.6045289208828</v>
      </c>
      <c r="M429" s="168">
        <f>[5]SAF!$AK25/1000000</f>
        <v>510.19865127004596</v>
      </c>
      <c r="N429" s="169">
        <f t="shared" si="26"/>
        <v>7.4531842047308361</v>
      </c>
      <c r="O429" s="167">
        <f t="shared" si="24"/>
        <v>4120.0360804091861</v>
      </c>
      <c r="P429" s="170">
        <f t="shared" si="27"/>
        <v>8.0753566677471849</v>
      </c>
    </row>
    <row r="430" spans="1:16" x14ac:dyDescent="0.2">
      <c r="A430" s="155">
        <v>53175</v>
      </c>
      <c r="B430" s="167">
        <f>$L430*('RD Feedstock Use'!B430/'RD Feedstock Use'!$L430)</f>
        <v>1222.2218432463214</v>
      </c>
      <c r="C430" s="167">
        <f>$L430*('RD Feedstock Use'!C430/'RD Feedstock Use'!$L430)</f>
        <v>357.93473220398425</v>
      </c>
      <c r="D430" s="167">
        <f>$L430*('RD Feedstock Use'!D430/'RD Feedstock Use'!$L430)*0.25+10+250</f>
        <v>316.25484798437691</v>
      </c>
      <c r="E430" s="167">
        <f>$L430*('RD Feedstock Use'!E430/'RD Feedstock Use'!$L430)</f>
        <v>4.3541764761716042</v>
      </c>
      <c r="F430" s="167">
        <f>$L430*('RD Feedstock Use'!F430/'RD Feedstock Use'!$L430)</f>
        <v>93.942757105708395</v>
      </c>
      <c r="G430" s="167">
        <f>$L430*('RD Feedstock Use'!G430/'RD Feedstock Use'!$L430)</f>
        <v>572.5835343125126</v>
      </c>
      <c r="H430" s="167">
        <f>$L430*('RD Feedstock Use'!H430/'RD Feedstock Use'!$L430)-15</f>
        <v>309.13649046560778</v>
      </c>
      <c r="I430" s="167">
        <f>$L430*('RD Feedstock Use'!I430/'RD Feedstock Use'!$L430)</f>
        <v>1523.9969293988177</v>
      </c>
      <c r="J430" s="167">
        <f t="shared" si="28"/>
        <v>1580.1565754503058</v>
      </c>
      <c r="K430" s="167">
        <f>$L430*('RD Feedstock Use'!K430/'RD Feedstock Use'!$L430)</f>
        <v>2519.0138877588188</v>
      </c>
      <c r="L430" s="167">
        <f t="shared" si="25"/>
        <v>4099.1704632091241</v>
      </c>
      <c r="M430" s="168">
        <f>[5]SAF!$AK26/1000000</f>
        <v>554.73740444404893</v>
      </c>
      <c r="N430" s="169">
        <f t="shared" si="26"/>
        <v>7.3893889800296817</v>
      </c>
      <c r="O430" s="167">
        <f t="shared" si="24"/>
        <v>4415.4253111935013</v>
      </c>
      <c r="P430" s="170">
        <f t="shared" si="27"/>
        <v>7.9594872741970351</v>
      </c>
    </row>
    <row r="431" spans="1:16" x14ac:dyDescent="0.2">
      <c r="A431" s="155">
        <v>53206</v>
      </c>
      <c r="B431" s="167">
        <f>$L431*('RD Feedstock Use'!B431/'RD Feedstock Use'!$L431)</f>
        <v>1485.2029676473526</v>
      </c>
      <c r="C431" s="167">
        <f>$L431*('RD Feedstock Use'!C431/'RD Feedstock Use'!$L431)</f>
        <v>337.23915159659578</v>
      </c>
      <c r="D431" s="167">
        <f>$L431*('RD Feedstock Use'!D431/'RD Feedstock Use'!$L431)*0.25+10+225</f>
        <v>324.08674782446781</v>
      </c>
      <c r="E431" s="167">
        <f>$L431*('RD Feedstock Use'!E431/'RD Feedstock Use'!$L431)</f>
        <v>6.3989278900962958</v>
      </c>
      <c r="F431" s="167">
        <f>$L431*('RD Feedstock Use'!F431/'RD Feedstock Use'!$L431)</f>
        <v>133.04027655036728</v>
      </c>
      <c r="G431" s="167">
        <f>$L431*('RD Feedstock Use'!G431/'RD Feedstock Use'!$L431)</f>
        <v>704.37474946106317</v>
      </c>
      <c r="H431" s="167">
        <f>$L431*('RD Feedstock Use'!H431/'RD Feedstock Use'!$L431)-15</f>
        <v>334.14581289492287</v>
      </c>
      <c r="I431" s="167">
        <f>$L431*('RD Feedstock Use'!I431/'RD Feedstock Use'!$L431)</f>
        <v>2073.389762565319</v>
      </c>
      <c r="J431" s="167">
        <f t="shared" si="28"/>
        <v>1822.4421192439484</v>
      </c>
      <c r="K431" s="167">
        <f>$L431*('RD Feedstock Use'!K431/'RD Feedstock Use'!$L431)</f>
        <v>3266.3495293617684</v>
      </c>
      <c r="L431" s="167">
        <f t="shared" si="25"/>
        <v>5088.7916486057165</v>
      </c>
      <c r="M431" s="168">
        <f>[5]SAF!$AK27/1000000</f>
        <v>674.96304356951919</v>
      </c>
      <c r="N431" s="169">
        <f t="shared" si="26"/>
        <v>7.5393633726875091</v>
      </c>
      <c r="O431" s="167">
        <f t="shared" si="24"/>
        <v>5412.8783964301847</v>
      </c>
      <c r="P431" s="170">
        <f t="shared" si="27"/>
        <v>8.0195181765869155</v>
      </c>
    </row>
    <row r="432" spans="1:16" x14ac:dyDescent="0.2">
      <c r="A432" s="155">
        <v>53236</v>
      </c>
      <c r="B432" s="167">
        <f>$L432*('RD Feedstock Use'!B432/'RD Feedstock Use'!$L432)</f>
        <v>1282.0032335442265</v>
      </c>
      <c r="C432" s="167">
        <f>$L432*('RD Feedstock Use'!C432/'RD Feedstock Use'!$L432)</f>
        <v>439.85835866093691</v>
      </c>
      <c r="D432" s="167">
        <f>$L432*('RD Feedstock Use'!D432/'RD Feedstock Use'!$L432)*0.25+10+225</f>
        <v>351.437121123255</v>
      </c>
      <c r="E432" s="167">
        <f>$L432*('RD Feedstock Use'!E432/'RD Feedstock Use'!$L432)</f>
        <v>7.3203769190530359</v>
      </c>
      <c r="F432" s="167">
        <f>$L432*('RD Feedstock Use'!F432/'RD Feedstock Use'!$L432)</f>
        <v>116.12420143025919</v>
      </c>
      <c r="G432" s="167">
        <f>$L432*('RD Feedstock Use'!G432/'RD Feedstock Use'!$L432)</f>
        <v>723.54548856562508</v>
      </c>
      <c r="H432" s="167">
        <f>$L432*('RD Feedstock Use'!H432/'RD Feedstock Use'!$L432)-20</f>
        <v>303.38230187047162</v>
      </c>
      <c r="I432" s="167">
        <f>$L432*('RD Feedstock Use'!I432/'RD Feedstock Use'!$L432)</f>
        <v>2019.1402191831971</v>
      </c>
      <c r="J432" s="167">
        <f t="shared" si="28"/>
        <v>1721.8615922051636</v>
      </c>
      <c r="K432" s="167">
        <f>$L432*('RD Feedstock Use'!K432/'RD Feedstock Use'!$L432)</f>
        <v>3189.5125879686061</v>
      </c>
      <c r="L432" s="167">
        <f t="shared" si="25"/>
        <v>4911.3741801737697</v>
      </c>
      <c r="M432" s="168">
        <f>[5]SAF!$AK28/1000000</f>
        <v>657.7759234702911</v>
      </c>
      <c r="N432" s="169">
        <f t="shared" si="26"/>
        <v>7.4666372011039339</v>
      </c>
      <c r="O432" s="167">
        <f t="shared" si="24"/>
        <v>5262.8113012970243</v>
      </c>
      <c r="P432" s="170">
        <f t="shared" si="27"/>
        <v>8.0009181143808199</v>
      </c>
    </row>
    <row r="433" spans="1:16" x14ac:dyDescent="0.2">
      <c r="A433" s="155">
        <v>53267</v>
      </c>
      <c r="B433" s="167">
        <f>$L433*('RD Feedstock Use'!B433/'RD Feedstock Use'!$L433)</f>
        <v>1107.5678175119513</v>
      </c>
      <c r="C433" s="167">
        <f>$L433*('RD Feedstock Use'!C433/'RD Feedstock Use'!$L433)</f>
        <v>405.52825259940442</v>
      </c>
      <c r="D433" s="167">
        <f>$L433*('RD Feedstock Use'!D433/'RD Feedstock Use'!$L433)*0.25+10+225</f>
        <v>334.16620259617395</v>
      </c>
      <c r="E433" s="167">
        <f>$L433*('RD Feedstock Use'!E433/'RD Feedstock Use'!$L433)</f>
        <v>5.7981798184353348</v>
      </c>
      <c r="F433" s="167">
        <f>$L433*('RD Feedstock Use'!F433/'RD Feedstock Use'!$L433)</f>
        <v>38.247820110838241</v>
      </c>
      <c r="G433" s="167">
        <f>$L433*('RD Feedstock Use'!G433/'RD Feedstock Use'!$L433)</f>
        <v>680.85899458489894</v>
      </c>
      <c r="H433" s="167">
        <f>$L433*('RD Feedstock Use'!H433/'RD Feedstock Use'!$L433)-20</f>
        <v>231.450357944345</v>
      </c>
      <c r="I433" s="167">
        <f>$L433*('RD Feedstock Use'!I433/'RD Feedstock Use'!$L433)</f>
        <v>1663.3839545392668</v>
      </c>
      <c r="J433" s="167">
        <f t="shared" si="28"/>
        <v>1513.0960701113556</v>
      </c>
      <c r="K433" s="167">
        <f>$L433*('RD Feedstock Use'!K433/'RD Feedstock Use'!$L433)</f>
        <v>2639.7393069977843</v>
      </c>
      <c r="L433" s="167">
        <f t="shared" si="25"/>
        <v>4152.8353771091397</v>
      </c>
      <c r="M433" s="168">
        <f>[5]SAF!$AK29/1000000</f>
        <v>568.36235165299752</v>
      </c>
      <c r="N433" s="169">
        <f t="shared" si="26"/>
        <v>7.3066686507845464</v>
      </c>
      <c r="O433" s="167">
        <f t="shared" si="24"/>
        <v>4487.0015797053138</v>
      </c>
      <c r="P433" s="170">
        <f t="shared" si="27"/>
        <v>7.8946143541273202</v>
      </c>
    </row>
    <row r="434" spans="1:16" x14ac:dyDescent="0.2">
      <c r="A434" s="155">
        <v>53297</v>
      </c>
      <c r="B434" s="167">
        <f>$L434*('RD Feedstock Use'!B434/'RD Feedstock Use'!$L434)</f>
        <v>1190.5090914006337</v>
      </c>
      <c r="C434" s="167">
        <f>$L434*('RD Feedstock Use'!C434/'RD Feedstock Use'!$L434)</f>
        <v>409.92366666595746</v>
      </c>
      <c r="D434" s="167">
        <f>$L434*('RD Feedstock Use'!D434/'RD Feedstock Use'!$L434)*0.25+10+225</f>
        <v>319.89335019759068</v>
      </c>
      <c r="E434" s="167">
        <f>$L434*('RD Feedstock Use'!E434/'RD Feedstock Use'!$L434)</f>
        <v>5.0143496717642462</v>
      </c>
      <c r="F434" s="167">
        <f>$L434*('RD Feedstock Use'!F434/'RD Feedstock Use'!$L434)</f>
        <v>29.629443333275017</v>
      </c>
      <c r="G434" s="167">
        <f>$L434*('RD Feedstock Use'!G434/'RD Feedstock Use'!$L434)</f>
        <v>619.95448887218413</v>
      </c>
      <c r="H434" s="167">
        <f>$L434*('RD Feedstock Use'!H434/'RD Feedstock Use'!$L434)-20</f>
        <v>147.6465390493349</v>
      </c>
      <c r="I434" s="167">
        <f>$L434*('RD Feedstock Use'!I434/'RD Feedstock Use'!$L434)</f>
        <v>1357.3711219131912</v>
      </c>
      <c r="J434" s="167">
        <f t="shared" si="28"/>
        <v>1600.4327580665911</v>
      </c>
      <c r="K434" s="167">
        <f>$L434*('RD Feedstock Use'!K434/'RD Feedstock Use'!$L434)</f>
        <v>2179.6159428397496</v>
      </c>
      <c r="L434" s="167">
        <f t="shared" si="25"/>
        <v>3780.0487009063409</v>
      </c>
      <c r="M434" s="168">
        <f>[5]SAF!$AK30/1000000</f>
        <v>510.68861056693208</v>
      </c>
      <c r="N434" s="169">
        <f t="shared" si="26"/>
        <v>7.4018660739466764</v>
      </c>
      <c r="O434" s="167">
        <f t="shared" si="24"/>
        <v>4099.9420511039316</v>
      </c>
      <c r="P434" s="170">
        <f t="shared" si="27"/>
        <v>8.0282621665528282</v>
      </c>
    </row>
    <row r="435" spans="1:16" x14ac:dyDescent="0.2">
      <c r="A435" s="155">
        <v>53328</v>
      </c>
      <c r="B435" s="167">
        <f>$L435*('RD Feedstock Use'!B435/'RD Feedstock Use'!$L435)</f>
        <v>898.63244568809887</v>
      </c>
      <c r="C435" s="167">
        <f>$L435*('RD Feedstock Use'!C435/'RD Feedstock Use'!$L435)</f>
        <v>249.19420841894413</v>
      </c>
      <c r="D435" s="167">
        <f>$L435*('RD Feedstock Use'!D435/'RD Feedstock Use'!$L435)*0.25+10+225</f>
        <v>305.77479241602822</v>
      </c>
      <c r="E435" s="167">
        <f>$L435*('RD Feedstock Use'!E435/'RD Feedstock Use'!$L435)</f>
        <v>3.3011412825794157</v>
      </c>
      <c r="F435" s="167">
        <f>$L435*('RD Feedstock Use'!F435/'RD Feedstock Use'!$L435)</f>
        <v>53.011554135941964</v>
      </c>
      <c r="G435" s="167">
        <f>$L435*('RD Feedstock Use'!G435/'RD Feedstock Use'!$L435)</f>
        <v>511.43201943488413</v>
      </c>
      <c r="H435" s="167">
        <f>$L435*('RD Feedstock Use'!H435/'RD Feedstock Use'!$L435)-20</f>
        <v>104.66970528451726</v>
      </c>
      <c r="I435" s="167">
        <f>$L435*('RD Feedstock Use'!I435/'RD Feedstock Use'!$L435)</f>
        <v>618.21099983614795</v>
      </c>
      <c r="J435" s="167">
        <f t="shared" si="28"/>
        <v>1147.8266541070429</v>
      </c>
      <c r="K435" s="167">
        <f>$L435*('RD Feedstock Use'!K435/'RD Feedstock Use'!$L435)</f>
        <v>1310.6254199740708</v>
      </c>
      <c r="L435" s="167">
        <f t="shared" si="25"/>
        <v>2458.4520740811136</v>
      </c>
      <c r="M435" s="168">
        <f>[5]SAF!$AL19/1000000</f>
        <v>325.5455140204358</v>
      </c>
      <c r="N435" s="169">
        <f t="shared" si="26"/>
        <v>7.5517922017097332</v>
      </c>
      <c r="O435" s="167">
        <f t="shared" si="24"/>
        <v>2764.2268664971421</v>
      </c>
      <c r="P435" s="170">
        <f t="shared" si="27"/>
        <v>8.4910611495129391</v>
      </c>
    </row>
    <row r="436" spans="1:16" x14ac:dyDescent="0.2">
      <c r="A436" s="155">
        <v>53359</v>
      </c>
      <c r="B436" s="167">
        <f>$L436*('RD Feedstock Use'!B436/'RD Feedstock Use'!$L436)</f>
        <v>1041.3048023096005</v>
      </c>
      <c r="C436" s="167">
        <f>$L436*('RD Feedstock Use'!C436/'RD Feedstock Use'!$L436)</f>
        <v>360.79796688414211</v>
      </c>
      <c r="D436" s="167">
        <f>$L436*('RD Feedstock Use'!D436/'RD Feedstock Use'!$L436)*0.25+10+225</f>
        <v>330.20016469964077</v>
      </c>
      <c r="E436" s="167">
        <f>$L436*('RD Feedstock Use'!E436/'RD Feedstock Use'!$L436)</f>
        <v>5.7051422210609077</v>
      </c>
      <c r="F436" s="167">
        <f>$L436*('RD Feedstock Use'!F436/'RD Feedstock Use'!$L436)</f>
        <v>83.364564744908407</v>
      </c>
      <c r="G436" s="167">
        <f>$L436*('RD Feedstock Use'!G436/'RD Feedstock Use'!$L436)</f>
        <v>945.57331427469603</v>
      </c>
      <c r="H436" s="167">
        <f>$L436*('RD Feedstock Use'!H436/'RD Feedstock Use'!$L436)-20</f>
        <v>124.10331085279083</v>
      </c>
      <c r="I436" s="167">
        <f>$L436*('RD Feedstock Use'!I436/'RD Feedstock Use'!$L436)</f>
        <v>1857.9454106659391</v>
      </c>
      <c r="J436" s="167">
        <f t="shared" si="28"/>
        <v>1402.1027691937427</v>
      </c>
      <c r="K436" s="167">
        <f>$L436*('RD Feedstock Use'!K436/'RD Feedstock Use'!$L436)</f>
        <v>3036.6917427593949</v>
      </c>
      <c r="L436" s="167">
        <f t="shared" si="25"/>
        <v>4438.7945119531378</v>
      </c>
      <c r="M436" s="168">
        <f>[5]SAF!$AL20/1000000</f>
        <v>610.99875772198413</v>
      </c>
      <c r="N436" s="169">
        <f t="shared" si="26"/>
        <v>7.2648175726289654</v>
      </c>
      <c r="O436" s="167">
        <f t="shared" si="24"/>
        <v>4768.9946766527783</v>
      </c>
      <c r="P436" s="170">
        <f t="shared" si="27"/>
        <v>7.8052444728909904</v>
      </c>
    </row>
    <row r="437" spans="1:16" x14ac:dyDescent="0.2">
      <c r="A437" s="155">
        <v>53387</v>
      </c>
      <c r="B437" s="167">
        <f>$L437*('RD Feedstock Use'!B437/'RD Feedstock Use'!$L437)</f>
        <v>465.22067735515594</v>
      </c>
      <c r="C437" s="167">
        <f>$L437*('RD Feedstock Use'!C437/'RD Feedstock Use'!$L437)</f>
        <v>153.19422207952329</v>
      </c>
      <c r="D437" s="167">
        <f>$L437*('RD Feedstock Use'!D437/'RD Feedstock Use'!$L437)*0.25+10+225</f>
        <v>269.12031220069247</v>
      </c>
      <c r="E437" s="167">
        <f>$L437*('RD Feedstock Use'!E437/'RD Feedstock Use'!$L437)</f>
        <v>2.2140328971633219</v>
      </c>
      <c r="F437" s="167">
        <f>$L437*('RD Feedstock Use'!F437/'RD Feedstock Use'!$L437)</f>
        <v>47.205171321933534</v>
      </c>
      <c r="G437" s="167">
        <f>$L437*('RD Feedstock Use'!G437/'RD Feedstock Use'!$L437)</f>
        <v>317.50897770363292</v>
      </c>
      <c r="H437" s="167">
        <f>$L437*('RD Feedstock Use'!H437/'RD Feedstock Use'!$L437)-20</f>
        <v>77.753633260000143</v>
      </c>
      <c r="I437" s="167">
        <f>$L437*('RD Feedstock Use'!I437/'RD Feedstock Use'!$L437)</f>
        <v>701.88819972687418</v>
      </c>
      <c r="J437" s="167">
        <f t="shared" si="28"/>
        <v>618.41489943467923</v>
      </c>
      <c r="K437" s="167">
        <f>$L437*('RD Feedstock Use'!K437/'RD Feedstock Use'!$L437)</f>
        <v>1166.570014909604</v>
      </c>
      <c r="L437" s="167">
        <f t="shared" si="25"/>
        <v>1784.9849143442832</v>
      </c>
      <c r="M437" s="168">
        <f>[5]SAF!$AL21/1000000</f>
        <v>246.24615971347086</v>
      </c>
      <c r="N437" s="169">
        <f t="shared" si="26"/>
        <v>7.2487827482112639</v>
      </c>
      <c r="O437" s="167">
        <f t="shared" si="24"/>
        <v>2054.1052265449757</v>
      </c>
      <c r="P437" s="170">
        <f t="shared" si="27"/>
        <v>8.3416741561984491</v>
      </c>
    </row>
    <row r="438" spans="1:16" x14ac:dyDescent="0.2">
      <c r="A438" s="155">
        <v>53418</v>
      </c>
      <c r="B438" s="167">
        <f>$L438*('RD Feedstock Use'!B438/'RD Feedstock Use'!$L438)</f>
        <v>707.45052890392151</v>
      </c>
      <c r="C438" s="167">
        <f>$L438*('RD Feedstock Use'!C438/'RD Feedstock Use'!$L438)</f>
        <v>204.91636512656811</v>
      </c>
      <c r="D438" s="167">
        <f>$L438*('RD Feedstock Use'!D438/'RD Feedstock Use'!$L438)*0.25+10+225</f>
        <v>286.41585462807518</v>
      </c>
      <c r="E438" s="167">
        <f>$L438*('RD Feedstock Use'!E438/'RD Feedstock Use'!$L438)</f>
        <v>3.4904090858673551</v>
      </c>
      <c r="F438" s="167">
        <f>$L438*('RD Feedstock Use'!F438/'RD Feedstock Use'!$L438)</f>
        <v>85.434160243616191</v>
      </c>
      <c r="G438" s="167">
        <f>$L438*('RD Feedstock Use'!G438/'RD Feedstock Use'!$L438)</f>
        <v>291.07902291469753</v>
      </c>
      <c r="H438" s="167">
        <f>$L438*('RD Feedstock Use'!H438/'RD Feedstock Use'!$L438)-20</f>
        <v>202.70909202751568</v>
      </c>
      <c r="I438" s="167">
        <f>$L438*('RD Feedstock Use'!I438/'RD Feedstock Use'!$L438)</f>
        <v>1399.5729464476844</v>
      </c>
      <c r="J438" s="167">
        <f t="shared" si="28"/>
        <v>912.36689403048968</v>
      </c>
      <c r="K438" s="167">
        <f>$L438*('RD Feedstock Use'!K438/'RD Feedstock Use'!$L438)</f>
        <v>2002.2856307193813</v>
      </c>
      <c r="L438" s="167">
        <f t="shared" si="25"/>
        <v>2914.6525247498707</v>
      </c>
      <c r="M438" s="168">
        <f>[5]SAF!$AL22/1000000</f>
        <v>393.76355847419029</v>
      </c>
      <c r="N438" s="169">
        <f t="shared" si="26"/>
        <v>7.4020372429687784</v>
      </c>
      <c r="O438" s="167">
        <f t="shared" si="24"/>
        <v>3201.0683793779463</v>
      </c>
      <c r="P438" s="170">
        <f t="shared" si="27"/>
        <v>8.1294175412826171</v>
      </c>
    </row>
    <row r="439" spans="1:16" x14ac:dyDescent="0.2">
      <c r="A439" s="155">
        <v>53448</v>
      </c>
      <c r="B439" s="167">
        <f>$L439*('RD Feedstock Use'!B439/'RD Feedstock Use'!$L439)</f>
        <v>783.08496932441369</v>
      </c>
      <c r="C439" s="167">
        <f>$L439*('RD Feedstock Use'!C439/'RD Feedstock Use'!$L439)</f>
        <v>364.5953953880047</v>
      </c>
      <c r="D439" s="167">
        <f>$L439*('RD Feedstock Use'!D439/'RD Feedstock Use'!$L439)*0.25+10+225</f>
        <v>286.38173915591653</v>
      </c>
      <c r="E439" s="167">
        <f>$L439*('RD Feedstock Use'!E439/'RD Feedstock Use'!$L439)</f>
        <v>4.5468900737288935</v>
      </c>
      <c r="F439" s="167">
        <f>$L439*('RD Feedstock Use'!F439/'RD Feedstock Use'!$L439)</f>
        <v>97.660543344037592</v>
      </c>
      <c r="G439" s="167">
        <f>$L439*('RD Feedstock Use'!G439/'RD Feedstock Use'!$L439)</f>
        <v>427.13958616061223</v>
      </c>
      <c r="H439" s="167">
        <f>$L439*('RD Feedstock Use'!H439/'RD Feedstock Use'!$L439)-20</f>
        <v>228.79592724845872</v>
      </c>
      <c r="I439" s="167">
        <f>$L439*('RD Feedstock Use'!I439/'RD Feedstock Use'!$L439)</f>
        <v>1946.7139849312975</v>
      </c>
      <c r="J439" s="167">
        <f t="shared" si="28"/>
        <v>1147.6803647124184</v>
      </c>
      <c r="K439" s="167">
        <f>$L439*('RD Feedstock Use'!K439/'RD Feedstock Use'!$L439)</f>
        <v>2724.856931758135</v>
      </c>
      <c r="L439" s="167">
        <f t="shared" si="25"/>
        <v>3872.5372964705534</v>
      </c>
      <c r="M439" s="168">
        <f>[5]SAF!$AL23/1000000</f>
        <v>518.83595528814044</v>
      </c>
      <c r="N439" s="169">
        <f t="shared" si="26"/>
        <v>7.4638953931400209</v>
      </c>
      <c r="O439" s="167">
        <f t="shared" si="24"/>
        <v>4158.9190356264698</v>
      </c>
      <c r="P439" s="170">
        <f t="shared" si="27"/>
        <v>8.0158651173602156</v>
      </c>
    </row>
    <row r="440" spans="1:16" x14ac:dyDescent="0.2">
      <c r="A440" s="155">
        <v>53479</v>
      </c>
      <c r="B440" s="167">
        <f>$L440*('RD Feedstock Use'!B440/'RD Feedstock Use'!$L440)</f>
        <v>880.57770735886311</v>
      </c>
      <c r="C440" s="167">
        <f>$L440*('RD Feedstock Use'!C440/'RD Feedstock Use'!$L440)</f>
        <v>290.29697288117944</v>
      </c>
      <c r="D440" s="167">
        <f>$L440*('RD Feedstock Use'!D440/'RD Feedstock Use'!$L440)*0.25+10+225</f>
        <v>291.46733894211502</v>
      </c>
      <c r="E440" s="167">
        <f>$L440*('RD Feedstock Use'!E440/'RD Feedstock Use'!$L440)</f>
        <v>3.9517749455440256</v>
      </c>
      <c r="F440" s="167">
        <f>$L440*('RD Feedstock Use'!F440/'RD Feedstock Use'!$L440)</f>
        <v>107.23956728101065</v>
      </c>
      <c r="G440" s="167">
        <f>$L440*('RD Feedstock Use'!G440/'RD Feedstock Use'!$L440)</f>
        <v>435.28190326787268</v>
      </c>
      <c r="H440" s="167">
        <f>$L440*('RD Feedstock Use'!H440/'RD Feedstock Use'!$L440)-20</f>
        <v>245.76543626343192</v>
      </c>
      <c r="I440" s="167">
        <f>$L440*('RD Feedstock Use'!I440/'RD Feedstock Use'!$L440)</f>
        <v>1645.6110001314767</v>
      </c>
      <c r="J440" s="167">
        <f t="shared" si="28"/>
        <v>1170.8746802400426</v>
      </c>
      <c r="K440" s="167">
        <f>$L440*('RD Feedstock Use'!K440/'RD Feedstock Use'!$L440)</f>
        <v>2457.8496818893359</v>
      </c>
      <c r="L440" s="167">
        <f t="shared" si="25"/>
        <v>3628.7243621293783</v>
      </c>
      <c r="M440" s="168">
        <f>[5]SAF!$AL24/1000000</f>
        <v>493.55509471268988</v>
      </c>
      <c r="N440" s="169">
        <f t="shared" si="26"/>
        <v>7.3522174140290151</v>
      </c>
      <c r="O440" s="167">
        <f t="shared" ref="O440:O494" si="29">K440+J440+D440</f>
        <v>3920.1917010714933</v>
      </c>
      <c r="P440" s="170">
        <f t="shared" si="27"/>
        <v>7.9427641271812419</v>
      </c>
    </row>
    <row r="441" spans="1:16" x14ac:dyDescent="0.2">
      <c r="A441" s="155">
        <v>53509</v>
      </c>
      <c r="B441" s="167">
        <f>$L441*('RD Feedstock Use'!B441/'RD Feedstock Use'!$L441)</f>
        <v>1173.1598288769246</v>
      </c>
      <c r="C441" s="167">
        <f>$L441*('RD Feedstock Use'!C441/'RD Feedstock Use'!$L441)</f>
        <v>459.75828094447593</v>
      </c>
      <c r="D441" s="167">
        <f>$L441*('RD Feedstock Use'!D441/'RD Feedstock Use'!$L441)*0.25+10+225</f>
        <v>306.58653704681575</v>
      </c>
      <c r="E441" s="167">
        <f>$L441*('RD Feedstock Use'!E441/'RD Feedstock Use'!$L441)</f>
        <v>4.2966956842202171</v>
      </c>
      <c r="F441" s="167">
        <f>$L441*('RD Feedstock Use'!F441/'RD Feedstock Use'!$L441)</f>
        <v>122.5088649974541</v>
      </c>
      <c r="G441" s="167">
        <f>$L441*('RD Feedstock Use'!G441/'RD Feedstock Use'!$L441)</f>
        <v>543.22970644388397</v>
      </c>
      <c r="H441" s="167">
        <f>$L441*('RD Feedstock Use'!H441/'RD Feedstock Use'!$L441)-20</f>
        <v>280.64139390136887</v>
      </c>
      <c r="I441" s="167">
        <f>$L441*('RD Feedstock Use'!I441/'RD Feedstock Use'!$L441)</f>
        <v>1407.1777933504175</v>
      </c>
      <c r="J441" s="167">
        <f t="shared" si="28"/>
        <v>1632.9181098214005</v>
      </c>
      <c r="K441" s="167">
        <f>$L441*('RD Feedstock Use'!K441/'RD Feedstock Use'!$L441)</f>
        <v>2377.8544543773446</v>
      </c>
      <c r="L441" s="167">
        <f t="shared" ref="L441:L494" si="30">N441*M441</f>
        <v>4010.7725641987449</v>
      </c>
      <c r="M441" s="168">
        <f>[5]SAF!$AL25/1000000</f>
        <v>538.13355304368474</v>
      </c>
      <c r="N441" s="169">
        <f t="shared" ref="N441:N494" si="31">AVERAGE(N429,N417,N405,N393,N381)</f>
        <v>7.4531174306337249</v>
      </c>
      <c r="O441" s="167">
        <f t="shared" si="29"/>
        <v>4317.3591012455609</v>
      </c>
      <c r="P441" s="170">
        <f t="shared" ref="P441:P494" si="32">O441/M441</f>
        <v>8.0228394546791719</v>
      </c>
    </row>
    <row r="442" spans="1:16" x14ac:dyDescent="0.2">
      <c r="A442" s="155">
        <v>53540</v>
      </c>
      <c r="B442" s="167">
        <f>$L442*('RD Feedstock Use'!B442/'RD Feedstock Use'!$L442)</f>
        <v>1288.1713789110436</v>
      </c>
      <c r="C442" s="167">
        <f>$L442*('RD Feedstock Use'!C442/'RD Feedstock Use'!$L442)</f>
        <v>377.5587903633068</v>
      </c>
      <c r="D442" s="167">
        <f>$L442*('RD Feedstock Use'!D442/'RD Feedstock Use'!$L442)*0.25+10+225</f>
        <v>305.58030202669335</v>
      </c>
      <c r="E442" s="167">
        <f>$L442*('RD Feedstock Use'!E442/'RD Feedstock Use'!$L442)</f>
        <v>4.5925650519592365</v>
      </c>
      <c r="F442" s="167">
        <f>$L442*('RD Feedstock Use'!F442/'RD Feedstock Use'!$L442)</f>
        <v>99.086409540473582</v>
      </c>
      <c r="G442" s="167">
        <f>$L442*('RD Feedstock Use'!G442/'RD Feedstock Use'!$L442)</f>
        <v>603.89350467981546</v>
      </c>
      <c r="H442" s="167">
        <f>$L442*('RD Feedstock Use'!H442/'RD Feedstock Use'!$L442)-20</f>
        <v>322.33196319333683</v>
      </c>
      <c r="I442" s="167">
        <f>$L442*('RD Feedstock Use'!I442/'RD Feedstock Use'!$L442)</f>
        <v>1607.9988032095005</v>
      </c>
      <c r="J442" s="167">
        <f t="shared" si="28"/>
        <v>1665.7301692743504</v>
      </c>
      <c r="K442" s="167">
        <f>$L442*('RD Feedstock Use'!K442/'RD Feedstock Use'!$L442)</f>
        <v>2657.9032456750861</v>
      </c>
      <c r="L442" s="167">
        <f t="shared" si="30"/>
        <v>4323.633414949436</v>
      </c>
      <c r="M442" s="168">
        <f>[5]SAF!$AL26/1000000</f>
        <v>585.11192801529978</v>
      </c>
      <c r="N442" s="169">
        <f t="shared" si="31"/>
        <v>7.3894125344790087</v>
      </c>
      <c r="O442" s="167">
        <f t="shared" si="29"/>
        <v>4629.213716976129</v>
      </c>
      <c r="P442" s="170">
        <f t="shared" si="32"/>
        <v>7.9116721012310007</v>
      </c>
    </row>
    <row r="443" spans="1:16" x14ac:dyDescent="0.2">
      <c r="A443" s="155">
        <v>53571</v>
      </c>
      <c r="B443" s="167">
        <f>$L443*('RD Feedstock Use'!B443/'RD Feedstock Use'!$L443)</f>
        <v>1565.3461588932585</v>
      </c>
      <c r="C443" s="167">
        <f>$L443*('RD Feedstock Use'!C443/'RD Feedstock Use'!$L443)</f>
        <v>355.72285014269602</v>
      </c>
      <c r="D443" s="167">
        <f>$L443*('RD Feedstock Use'!D443/'RD Feedstock Use'!$L443)*0.25+10+250</f>
        <v>369.24279608708082</v>
      </c>
      <c r="E443" s="167">
        <f>$L443*('RD Feedstock Use'!E443/'RD Feedstock Use'!$L443)</f>
        <v>6.7493789036833949</v>
      </c>
      <c r="F443" s="167">
        <f>$L443*('RD Feedstock Use'!F443/'RD Feedstock Use'!$L443)</f>
        <v>140.32684001995591</v>
      </c>
      <c r="G443" s="167">
        <f>$L443*('RD Feedstock Use'!G443/'RD Feedstock Use'!$L443)</f>
        <v>742.92077425100047</v>
      </c>
      <c r="H443" s="167">
        <f>$L443*('RD Feedstock Use'!H443/'RD Feedstock Use'!$L443)-20</f>
        <v>342.61325604816994</v>
      </c>
      <c r="I443" s="167">
        <f>$L443*('RD Feedstock Use'!I443/'RD Feedstock Use'!$L443)</f>
        <v>2193.8449122611514</v>
      </c>
      <c r="J443" s="167">
        <f t="shared" si="28"/>
        <v>1921.0690090359544</v>
      </c>
      <c r="K443" s="167">
        <f>$L443*('RD Feedstock Use'!K443/'RD Feedstock Use'!$L443)</f>
        <v>3446.4551614839615</v>
      </c>
      <c r="L443" s="167">
        <f t="shared" si="30"/>
        <v>5367.524170519916</v>
      </c>
      <c r="M443" s="168">
        <f>[5]SAF!$AL27/1000000</f>
        <v>711.92596547816061</v>
      </c>
      <c r="N443" s="169">
        <f t="shared" si="31"/>
        <v>7.5394415020596313</v>
      </c>
      <c r="O443" s="167">
        <f t="shared" si="29"/>
        <v>5736.7669666069969</v>
      </c>
      <c r="P443" s="170">
        <f t="shared" si="32"/>
        <v>8.0580948648978321</v>
      </c>
    </row>
    <row r="444" spans="1:16" x14ac:dyDescent="0.2">
      <c r="A444" s="155">
        <v>53601</v>
      </c>
      <c r="B444" s="167">
        <f>$L444*('RD Feedstock Use'!B444/'RD Feedstock Use'!$L444)</f>
        <v>1043.8682009711979</v>
      </c>
      <c r="C444" s="167">
        <f>$L444*('RD Feedstock Use'!C444/'RD Feedstock Use'!$L444)</f>
        <v>463.96932367768255</v>
      </c>
      <c r="D444" s="167">
        <f>$L444*('RD Feedstock Use'!D444/'RD Feedstock Use'!$L444)*0.25+10+250</f>
        <v>372.92271530096048</v>
      </c>
      <c r="E444" s="167">
        <f>$L444*('RD Feedstock Use'!E444/'RD Feedstock Use'!$L444)</f>
        <v>7.7210427257798582</v>
      </c>
      <c r="F444" s="167">
        <f>$L444*('RD Feedstock Use'!F444/'RD Feedstock Use'!$L444)</f>
        <v>122.47830509237281</v>
      </c>
      <c r="G444" s="167">
        <f>$L444*('RD Feedstock Use'!G444/'RD Feedstock Use'!$L444)</f>
        <v>763.15491933041585</v>
      </c>
      <c r="H444" s="167">
        <f>$L444*('RD Feedstock Use'!H444/'RD Feedstock Use'!$L444)-25</f>
        <v>302.16009399381795</v>
      </c>
      <c r="I444" s="167">
        <f>$L444*('RD Feedstock Use'!I444/'RD Feedstock Use'!$L444)</f>
        <v>2451.9831049561553</v>
      </c>
      <c r="J444" s="167">
        <f t="shared" si="28"/>
        <v>1507.8375246488804</v>
      </c>
      <c r="K444" s="167">
        <f>$L444*('RD Feedstock Use'!K444/'RD Feedstock Use'!$L444)</f>
        <v>3672.4974660985413</v>
      </c>
      <c r="L444" s="167">
        <f t="shared" si="30"/>
        <v>5180.3349907474221</v>
      </c>
      <c r="M444" s="168">
        <f>[5]SAF!$AL28/1000000</f>
        <v>693.79041843302127</v>
      </c>
      <c r="N444" s="169">
        <f t="shared" si="31"/>
        <v>7.4667145194187103</v>
      </c>
      <c r="O444" s="167">
        <f t="shared" si="29"/>
        <v>5553.2577060483827</v>
      </c>
      <c r="P444" s="170">
        <f t="shared" si="32"/>
        <v>8.0042294596556118</v>
      </c>
    </row>
    <row r="445" spans="1:16" x14ac:dyDescent="0.2">
      <c r="A445" s="155">
        <v>53632</v>
      </c>
      <c r="B445" s="167">
        <f>$L445*('RD Feedstock Use'!B445/'RD Feedstock Use'!$L445)</f>
        <v>1161.5006102943169</v>
      </c>
      <c r="C445" s="167">
        <f>$L445*('RD Feedstock Use'!C445/'RD Feedstock Use'!$L445)</f>
        <v>427.74622907128622</v>
      </c>
      <c r="D445" s="167">
        <f>$L445*('RD Feedstock Use'!D445/'RD Feedstock Use'!$L445)*0.25+10+250</f>
        <v>361.53149164373031</v>
      </c>
      <c r="E445" s="167">
        <f>$L445*('RD Feedstock Use'!E445/'RD Feedstock Use'!$L445)</f>
        <v>6.1154421273569559</v>
      </c>
      <c r="F445" s="167">
        <f>$L445*('RD Feedstock Use'!F445/'RD Feedstock Use'!$L445)</f>
        <v>40.338136384519217</v>
      </c>
      <c r="G445" s="167">
        <f>$L445*('RD Feedstock Use'!G445/'RD Feedstock Use'!$L445)</f>
        <v>718.13445747743015</v>
      </c>
      <c r="H445" s="167">
        <f>$L445*('RD Feedstock Use'!H445/'RD Feedstock Use'!$L445)-25</f>
        <v>250.07852799315054</v>
      </c>
      <c r="I445" s="167">
        <f>$L445*('RD Feedstock Use'!I445/'RD Feedstock Use'!$L445)</f>
        <v>1751.2592190389798</v>
      </c>
      <c r="J445" s="167">
        <f t="shared" si="28"/>
        <v>1589.2468393656031</v>
      </c>
      <c r="K445" s="167">
        <f>$L445*('RD Feedstock Use'!K445/'RD Feedstock Use'!$L445)</f>
        <v>2790.9257830214365</v>
      </c>
      <c r="L445" s="167">
        <f t="shared" si="30"/>
        <v>4380.1726223870401</v>
      </c>
      <c r="M445" s="168">
        <f>[5]SAF!$AL29/1000000</f>
        <v>599.47944028035147</v>
      </c>
      <c r="N445" s="169">
        <f t="shared" si="31"/>
        <v>7.306626930088906</v>
      </c>
      <c r="O445" s="167">
        <f t="shared" si="29"/>
        <v>4741.7041140307692</v>
      </c>
      <c r="P445" s="170">
        <f t="shared" si="32"/>
        <v>7.9097026443697089</v>
      </c>
    </row>
    <row r="446" spans="1:16" x14ac:dyDescent="0.2">
      <c r="A446" s="155">
        <v>53662</v>
      </c>
      <c r="B446" s="167">
        <f>$L446*('RD Feedstock Use'!B446/'RD Feedstock Use'!$L446)</f>
        <v>1221.2278007982195</v>
      </c>
      <c r="C446" s="167">
        <f>$L446*('RD Feedstock Use'!C446/'RD Feedstock Use'!$L446)</f>
        <v>432.38258957365838</v>
      </c>
      <c r="D446" s="167">
        <f>$L446*('RD Feedstock Use'!D446/'RD Feedstock Use'!$L446)*0.25+10+250</f>
        <v>351.19499005170195</v>
      </c>
      <c r="E446" s="167">
        <f>$L446*('RD Feedstock Use'!E446/'RD Feedstock Use'!$L446)</f>
        <v>5.2887680387234139</v>
      </c>
      <c r="F446" s="167">
        <f>$L446*('RD Feedstock Use'!F446/'RD Feedstock Use'!$L446)</f>
        <v>31.24817949367781</v>
      </c>
      <c r="G446" s="167">
        <f>$L446*('RD Feedstock Use'!G446/'RD Feedstock Use'!$L446)</f>
        <v>653.88220841126429</v>
      </c>
      <c r="H446" s="167">
        <f>$L446*('RD Feedstock Use'!H446/'RD Feedstock Use'!$L446)-25</f>
        <v>158.15686876620853</v>
      </c>
      <c r="I446" s="167">
        <f>$L446*('RD Feedstock Use'!I446/'RD Feedstock Use'!$L446)</f>
        <v>1459.8153098348869</v>
      </c>
      <c r="J446" s="167">
        <f t="shared" si="28"/>
        <v>1653.6103903718779</v>
      </c>
      <c r="K446" s="167">
        <f>$L446*('RD Feedstock Use'!K446/'RD Feedstock Use'!$L446)</f>
        <v>2333.3913345447604</v>
      </c>
      <c r="L446" s="167">
        <f t="shared" si="30"/>
        <v>3987.0017249166385</v>
      </c>
      <c r="M446" s="168">
        <f>[5]SAF!$AL30/1000000</f>
        <v>538.64930560635628</v>
      </c>
      <c r="N446" s="169">
        <f t="shared" si="31"/>
        <v>7.4018506724490809</v>
      </c>
      <c r="O446" s="167">
        <f t="shared" si="29"/>
        <v>4338.1967149683405</v>
      </c>
      <c r="P446" s="170">
        <f t="shared" si="32"/>
        <v>8.0538425833202218</v>
      </c>
    </row>
    <row r="447" spans="1:16" x14ac:dyDescent="0.2">
      <c r="A447" s="155">
        <v>53693</v>
      </c>
      <c r="B447" s="167">
        <f>$L447*('RD Feedstock Use'!B447/'RD Feedstock Use'!$L447)</f>
        <v>905.62407443568043</v>
      </c>
      <c r="C447" s="167">
        <f>$L447*('RD Feedstock Use'!C447/'RD Feedstock Use'!$L447)</f>
        <v>258.19060610045062</v>
      </c>
      <c r="D447" s="167">
        <f>$L447*('RD Feedstock Use'!D447/'RD Feedstock Use'!$L447)*0.25+10+250</f>
        <v>333.71242960513007</v>
      </c>
      <c r="E447" s="167">
        <f>$L447*('RD Feedstock Use'!E447/'RD Feedstock Use'!$L447)</f>
        <v>3.4203447054996192</v>
      </c>
      <c r="F447" s="167">
        <f>$L447*('RD Feedstock Use'!F447/'RD Feedstock Use'!$L447)</f>
        <v>54.925824001967591</v>
      </c>
      <c r="G447" s="167">
        <f>$L447*('RD Feedstock Use'!G447/'RD Feedstock Use'!$L447)</f>
        <v>529.91468626847382</v>
      </c>
      <c r="H447" s="167">
        <f>$L447*('RD Feedstock Use'!H447/'RD Feedstock Use'!$L447)-25</f>
        <v>111.33960351087046</v>
      </c>
      <c r="I447" s="167">
        <f>$L447*('RD Feedstock Use'!I447/'RD Feedstock Use'!$L447)</f>
        <v>658.85161909056728</v>
      </c>
      <c r="J447" s="167">
        <f t="shared" si="28"/>
        <v>1163.8146805361312</v>
      </c>
      <c r="K447" s="167">
        <f>$L447*('RD Feedstock Use'!K447/'RD Feedstock Use'!$L447)</f>
        <v>1383.4520775773788</v>
      </c>
      <c r="L447" s="167">
        <f t="shared" si="30"/>
        <v>2547.2667581135097</v>
      </c>
      <c r="M447" s="168">
        <f>[5]SAF!$AM19/1000000</f>
        <v>337.3044043098879</v>
      </c>
      <c r="N447" s="169">
        <f t="shared" si="31"/>
        <v>7.5518336717989838</v>
      </c>
      <c r="O447" s="167">
        <f t="shared" si="29"/>
        <v>2880.9791877186403</v>
      </c>
      <c r="P447" s="170">
        <f t="shared" si="32"/>
        <v>8.5411846121992241</v>
      </c>
    </row>
    <row r="448" spans="1:16" x14ac:dyDescent="0.2">
      <c r="A448" s="155">
        <v>53724</v>
      </c>
      <c r="B448" s="167">
        <f>$L448*('RD Feedstock Use'!B448/'RD Feedstock Use'!$L448)</f>
        <v>1365.7588230703723</v>
      </c>
      <c r="C448" s="167">
        <f>$L448*('RD Feedstock Use'!C448/'RD Feedstock Use'!$L448)</f>
        <v>373.82247107501382</v>
      </c>
      <c r="D448" s="167">
        <f>$L448*('RD Feedstock Use'!D448/'RD Feedstock Use'!$L448)*0.25+10+250</f>
        <v>363.9555226585523</v>
      </c>
      <c r="E448" s="167">
        <f>$L448*('RD Feedstock Use'!E448/'RD Feedstock Use'!$L448)</f>
        <v>5.9110436402539914</v>
      </c>
      <c r="F448" s="167">
        <f>$L448*('RD Feedstock Use'!F448/'RD Feedstock Use'!$L448)</f>
        <v>86.372983345318957</v>
      </c>
      <c r="G448" s="167">
        <f>$L448*('RD Feedstock Use'!G448/'RD Feedstock Use'!$L448)</f>
        <v>979.71529898488893</v>
      </c>
      <c r="H448" s="167">
        <f>$L448*('RD Feedstock Use'!H448/'RD Feedstock Use'!$L448)-25</f>
        <v>133.03560000345064</v>
      </c>
      <c r="I448" s="167">
        <f>$L448*('RD Feedstock Use'!I448/'RD Feedstock Use'!$L448)</f>
        <v>1629.453567566225</v>
      </c>
      <c r="J448" s="167">
        <f t="shared" si="28"/>
        <v>1739.581294145386</v>
      </c>
      <c r="K448" s="167">
        <f>$L448*('RD Feedstock Use'!K448/'RD Feedstock Use'!$L448)</f>
        <v>2859.4884935401374</v>
      </c>
      <c r="L448" s="167">
        <f t="shared" si="30"/>
        <v>4599.0697876855238</v>
      </c>
      <c r="M448" s="168">
        <f>[5]SAF!$AM20/1000000</f>
        <v>633.05885140300575</v>
      </c>
      <c r="N448" s="169">
        <f t="shared" si="31"/>
        <v>7.2648376647651558</v>
      </c>
      <c r="O448" s="167">
        <f t="shared" si="29"/>
        <v>4963.0253103440755</v>
      </c>
      <c r="P448" s="170">
        <f t="shared" si="32"/>
        <v>7.8397534436883021</v>
      </c>
    </row>
    <row r="449" spans="1:16" x14ac:dyDescent="0.2">
      <c r="A449" s="155">
        <v>53752</v>
      </c>
      <c r="B449" s="167">
        <f>$L449*('RD Feedstock Use'!B449/'RD Feedstock Use'!$L449)</f>
        <v>590.7031083298865</v>
      </c>
      <c r="C449" s="167">
        <f>$L449*('RD Feedstock Use'!C449/'RD Feedstock Use'!$L449)</f>
        <v>158.72423122160876</v>
      </c>
      <c r="D449" s="167">
        <f>$L449*('RD Feedstock Use'!D449/'RD Feedstock Use'!$L449)*0.25+10+250</f>
        <v>297.17439288998798</v>
      </c>
      <c r="E449" s="167">
        <f>$L449*('RD Feedstock Use'!E449/'RD Feedstock Use'!$L449)</f>
        <v>2.2939466570283606</v>
      </c>
      <c r="F449" s="167">
        <f>$L449*('RD Feedstock Use'!F449/'RD Feedstock Use'!$L449)</f>
        <v>48.909872516007241</v>
      </c>
      <c r="G449" s="167">
        <f>$L449*('RD Feedstock Use'!G449/'RD Feedstock Use'!$L449)</f>
        <v>328.97619924639667</v>
      </c>
      <c r="H449" s="167">
        <f>$L449*('RD Feedstock Use'!H449/'RD Feedstock Use'!$L449)-25</f>
        <v>82.874511511249437</v>
      </c>
      <c r="I449" s="167">
        <f>$L449*('RD Feedstock Use'!I449/'RD Feedstock Use'!$L449)</f>
        <v>611.96119319547802</v>
      </c>
      <c r="J449" s="167">
        <f t="shared" si="28"/>
        <v>749.42733955149527</v>
      </c>
      <c r="K449" s="167">
        <f>$L449*('RD Feedstock Use'!K449/'RD Feedstock Use'!$L449)</f>
        <v>1100.0157231261599</v>
      </c>
      <c r="L449" s="167">
        <f t="shared" si="30"/>
        <v>1849.443062677655</v>
      </c>
      <c r="M449" s="168">
        <f>[5]SAF!$AM21/1000000</f>
        <v>255.13797939059666</v>
      </c>
      <c r="N449" s="169">
        <f t="shared" si="31"/>
        <v>7.2487956010904186</v>
      </c>
      <c r="O449" s="167">
        <f t="shared" si="29"/>
        <v>2146.6174555676434</v>
      </c>
      <c r="P449" s="170">
        <f t="shared" si="32"/>
        <v>8.4135551308154604</v>
      </c>
    </row>
    <row r="450" spans="1:16" x14ac:dyDescent="0.2">
      <c r="A450" s="155">
        <v>53783</v>
      </c>
      <c r="B450" s="167">
        <f>$L450*('RD Feedstock Use'!B450/'RD Feedstock Use'!$L450)</f>
        <v>914.93069607377527</v>
      </c>
      <c r="C450" s="167">
        <f>$L450*('RD Feedstock Use'!C450/'RD Feedstock Use'!$L450)</f>
        <v>212.31498602427641</v>
      </c>
      <c r="D450" s="167">
        <f>$L450*('RD Feedstock Use'!D450/'RD Feedstock Use'!$L450)*0.25+10+250</f>
        <v>311.67724883992656</v>
      </c>
      <c r="E450" s="167">
        <f>$L450*('RD Feedstock Use'!E450/'RD Feedstock Use'!$L450)</f>
        <v>3.616386683112748</v>
      </c>
      <c r="F450" s="167">
        <f>$L450*('RD Feedstock Use'!F450/'RD Feedstock Use'!$L450)</f>
        <v>88.521829594088899</v>
      </c>
      <c r="G450" s="167">
        <f>$L450*('RD Feedstock Use'!G450/'RD Feedstock Use'!$L450)</f>
        <v>301.58323637338481</v>
      </c>
      <c r="H450" s="167">
        <f>$L450*('RD Feedstock Use'!H450/'RD Feedstock Use'!$L450)-25</f>
        <v>198.48799084782354</v>
      </c>
      <c r="I450" s="167">
        <f>$L450*('RD Feedstock Use'!I450/'RD Feedstock Use'!$L450)</f>
        <v>1275.444767245451</v>
      </c>
      <c r="J450" s="167">
        <f t="shared" si="28"/>
        <v>1127.2456820980517</v>
      </c>
      <c r="K450" s="167">
        <f>$L450*('RD Feedstock Use'!K450/'RD Feedstock Use'!$L450)</f>
        <v>1892.6542107438606</v>
      </c>
      <c r="L450" s="167">
        <f t="shared" si="30"/>
        <v>3019.8998928419123</v>
      </c>
      <c r="M450" s="168">
        <f>[5]SAF!$AM22/1000000</f>
        <v>407.98226331526422</v>
      </c>
      <c r="N450" s="169">
        <f t="shared" si="31"/>
        <v>7.4020372069663107</v>
      </c>
      <c r="O450" s="167">
        <f t="shared" si="29"/>
        <v>3331.5771416818388</v>
      </c>
      <c r="P450" s="170">
        <f t="shared" si="32"/>
        <v>8.1659852431069915</v>
      </c>
    </row>
    <row r="451" spans="1:16" x14ac:dyDescent="0.2">
      <c r="A451" s="155">
        <v>53813</v>
      </c>
      <c r="B451" s="167">
        <f>$L451*('RD Feedstock Use'!B451/'RD Feedstock Use'!$L451)</f>
        <v>810.13100334588535</v>
      </c>
      <c r="C451" s="167">
        <f>$L451*('RD Feedstock Use'!C451/'RD Feedstock Use'!$L451)</f>
        <v>377.75565315769626</v>
      </c>
      <c r="D451" s="167">
        <f>$L451*('RD Feedstock Use'!D451/'RD Feedstock Use'!$L451)*0.25+10+250</f>
        <v>311.04343664695534</v>
      </c>
      <c r="E451" s="167">
        <f>$L451*('RD Feedstock Use'!E451/'RD Feedstock Use'!$L451)</f>
        <v>4.7109877639921329</v>
      </c>
      <c r="F451" s="167">
        <f>$L451*('RD Feedstock Use'!F451/'RD Feedstock Use'!$L451)</f>
        <v>101.18874902971339</v>
      </c>
      <c r="G451" s="167">
        <f>$L451*('RD Feedstock Use'!G451/'RD Feedstock Use'!$L451)</f>
        <v>442.55491245314528</v>
      </c>
      <c r="H451" s="167">
        <f>$L451*('RD Feedstock Use'!H451/'RD Feedstock Use'!$L451)-35</f>
        <v>213.89973051932969</v>
      </c>
      <c r="I451" s="167">
        <f>$L451*('RD Feedstock Use'!I451/'RD Feedstock Use'!$L451)</f>
        <v>2027.1254387471972</v>
      </c>
      <c r="J451" s="167">
        <f t="shared" ref="J451:J494" si="33">SUM(B451:C451)</f>
        <v>1187.8866565035817</v>
      </c>
      <c r="K451" s="167">
        <f>$L451*('RD Feedstock Use'!K451/'RD Feedstock Use'!$L451)</f>
        <v>2824.4798185133782</v>
      </c>
      <c r="L451" s="167">
        <f t="shared" si="30"/>
        <v>4012.3664750169596</v>
      </c>
      <c r="M451" s="168">
        <f>[5]SAF!$AM23/1000000</f>
        <v>537.57058276409623</v>
      </c>
      <c r="N451" s="169">
        <f t="shared" si="31"/>
        <v>7.4638877268656625</v>
      </c>
      <c r="O451" s="167">
        <f t="shared" si="29"/>
        <v>4323.4099116639154</v>
      </c>
      <c r="P451" s="170">
        <f t="shared" si="32"/>
        <v>8.0424972092663243</v>
      </c>
    </row>
    <row r="452" spans="1:16" x14ac:dyDescent="0.2">
      <c r="A452" s="155">
        <v>53844</v>
      </c>
      <c r="B452" s="167">
        <f>$L452*('RD Feedstock Use'!B452/'RD Feedstock Use'!$L452)</f>
        <v>912.14115945453136</v>
      </c>
      <c r="C452" s="167">
        <f>$L452*('RD Feedstock Use'!C452/'RD Feedstock Use'!$L452)</f>
        <v>300.77788638722473</v>
      </c>
      <c r="D452" s="167">
        <f>$L452*('RD Feedstock Use'!D452/'RD Feedstock Use'!$L452)*0.25+10+250</f>
        <v>316.87785798106398</v>
      </c>
      <c r="E452" s="167">
        <f>$L452*('RD Feedstock Use'!E452/'RD Feedstock Use'!$L452)</f>
        <v>4.0944137322442025</v>
      </c>
      <c r="F452" s="167">
        <f>$L452*('RD Feedstock Use'!F452/'RD Feedstock Use'!$L452)</f>
        <v>111.11254804305065</v>
      </c>
      <c r="G452" s="167">
        <f>$L452*('RD Feedstock Use'!G452/'RD Feedstock Use'!$L452)</f>
        <v>450.99023094225083</v>
      </c>
      <c r="H452" s="167">
        <f>$L452*('RD Feedstock Use'!H452/'RD Feedstock Use'!$L452)-35</f>
        <v>232.19353526809618</v>
      </c>
      <c r="I452" s="167">
        <f>$L452*('RD Feedstock Use'!I452/'RD Feedstock Use'!$L452)</f>
        <v>1713.4524993014059</v>
      </c>
      <c r="J452" s="167">
        <f t="shared" si="33"/>
        <v>1212.9190458417561</v>
      </c>
      <c r="K452" s="167">
        <f>$L452*('RD Feedstock Use'!K452/'RD Feedstock Use'!$L452)</f>
        <v>2546.8432272870477</v>
      </c>
      <c r="L452" s="167">
        <f t="shared" si="30"/>
        <v>3759.7622731288038</v>
      </c>
      <c r="M452" s="168">
        <f>[5]SAF!$AM24/1000000</f>
        <v>511.37650982642299</v>
      </c>
      <c r="N452" s="169">
        <f t="shared" si="31"/>
        <v>7.3522389098493859</v>
      </c>
      <c r="O452" s="167">
        <f t="shared" si="29"/>
        <v>4076.640131109868</v>
      </c>
      <c r="P452" s="170">
        <f t="shared" si="32"/>
        <v>7.9718955657419732</v>
      </c>
    </row>
    <row r="453" spans="1:16" x14ac:dyDescent="0.2">
      <c r="A453" s="155">
        <v>53874</v>
      </c>
      <c r="B453" s="167">
        <f>$L453*('RD Feedstock Use'!B453/'RD Feedstock Use'!$L453)</f>
        <v>1215.2929990455823</v>
      </c>
      <c r="C453" s="167">
        <f>$L453*('RD Feedstock Use'!C453/'RD Feedstock Use'!$L453)</f>
        <v>476.35330362596892</v>
      </c>
      <c r="D453" s="167">
        <f>$L453*('RD Feedstock Use'!D453/'RD Feedstock Use'!$L453)*0.25+10+250</f>
        <v>332.50599371950034</v>
      </c>
      <c r="E453" s="167">
        <f>$L453*('RD Feedstock Use'!E453/'RD Feedstock Use'!$L453)</f>
        <v>4.4517883487905809</v>
      </c>
      <c r="F453" s="167">
        <f>$L453*('RD Feedstock Use'!F453/'RD Feedstock Use'!$L453)</f>
        <v>126.93399926532749</v>
      </c>
      <c r="G453" s="167">
        <f>$L453*('RD Feedstock Use'!G453/'RD Feedstock Use'!$L453)</f>
        <v>562.83301808956526</v>
      </c>
      <c r="H453" s="167">
        <f>$L453*('RD Feedstock Use'!H453/'RD Feedstock Use'!$L453)-35</f>
        <v>276.76870532720318</v>
      </c>
      <c r="I453" s="167">
        <f>$L453*('RD Feedstock Use'!I453/'RD Feedstock Use'!$L453)</f>
        <v>1457.974625735648</v>
      </c>
      <c r="J453" s="167">
        <f t="shared" si="33"/>
        <v>1691.6463026715512</v>
      </c>
      <c r="K453" s="167">
        <f>$L453*('RD Feedstock Use'!K453/'RD Feedstock Use'!$L453)</f>
        <v>2463.962136766535</v>
      </c>
      <c r="L453" s="167">
        <f t="shared" si="30"/>
        <v>4155.608439438086</v>
      </c>
      <c r="M453" s="168">
        <f>[5]SAF!$AM25/1000000</f>
        <v>557.56531701577444</v>
      </c>
      <c r="N453" s="169">
        <f t="shared" si="31"/>
        <v>7.4531329561169901</v>
      </c>
      <c r="O453" s="167">
        <f t="shared" si="29"/>
        <v>4488.1144331575861</v>
      </c>
      <c r="P453" s="170">
        <f t="shared" si="32"/>
        <v>8.0494863941305912</v>
      </c>
    </row>
    <row r="454" spans="1:16" x14ac:dyDescent="0.2">
      <c r="A454" s="155">
        <v>53905</v>
      </c>
      <c r="B454" s="167">
        <f>$L454*('RD Feedstock Use'!B454/'RD Feedstock Use'!$L454)</f>
        <v>1334.4494822160434</v>
      </c>
      <c r="C454" s="167">
        <f>$L454*('RD Feedstock Use'!C454/'RD Feedstock Use'!$L454)</f>
        <v>391.18873496187456</v>
      </c>
      <c r="D454" s="167">
        <f>$L454*('RD Feedstock Use'!D454/'RD Feedstock Use'!$L454)*0.25+10+250</f>
        <v>331.27478298179381</v>
      </c>
      <c r="E454" s="167">
        <f>$L454*('RD Feedstock Use'!E454/'RD Feedstock Use'!$L454)</f>
        <v>4.7583286180679885</v>
      </c>
      <c r="F454" s="167">
        <f>$L454*('RD Feedstock Use'!F454/'RD Feedstock Use'!$L454)</f>
        <v>102.66528318936675</v>
      </c>
      <c r="G454" s="167">
        <f>$L454*('RD Feedstock Use'!G454/'RD Feedstock Use'!$L454)</f>
        <v>625.676753666987</v>
      </c>
      <c r="H454" s="167">
        <f>$L454*('RD Feedstock Use'!H454/'RD Feedstock Use'!$L454)-35</f>
        <v>319.75635063520014</v>
      </c>
      <c r="I454" s="167">
        <f>$L454*('RD Feedstock Use'!I454/'RD Feedstock Use'!$L454)</f>
        <v>1666.2692299549662</v>
      </c>
      <c r="J454" s="167">
        <f t="shared" si="33"/>
        <v>1725.638217177918</v>
      </c>
      <c r="K454" s="167">
        <f>$L454*('RD Feedstock Use'!K454/'RD Feedstock Use'!$L454)</f>
        <v>2754.1259460645883</v>
      </c>
      <c r="L454" s="167">
        <f t="shared" si="30"/>
        <v>4479.7641632425057</v>
      </c>
      <c r="M454" s="168">
        <f>[5]SAF!$AM26/1000000</f>
        <v>606.23874574514628</v>
      </c>
      <c r="N454" s="169">
        <f t="shared" si="31"/>
        <v>7.3894388880346016</v>
      </c>
      <c r="O454" s="167">
        <f t="shared" si="29"/>
        <v>4811.0389462243002</v>
      </c>
      <c r="P454" s="170">
        <f t="shared" si="32"/>
        <v>7.9358816637674776</v>
      </c>
    </row>
    <row r="455" spans="1:16" x14ac:dyDescent="0.2">
      <c r="A455" s="155">
        <v>53936</v>
      </c>
      <c r="B455" s="167">
        <f>$L455*('RD Feedstock Use'!B455/'RD Feedstock Use'!$L455)</f>
        <v>1621.572025161207</v>
      </c>
      <c r="C455" s="167">
        <f>$L455*('RD Feedstock Use'!C455/'RD Feedstock Use'!$L455)</f>
        <v>368.56552097051957</v>
      </c>
      <c r="D455" s="167">
        <f>$L455*('RD Feedstock Use'!D455/'RD Feedstock Use'!$L455)*0.25+10+275</f>
        <v>393.89475394636474</v>
      </c>
      <c r="E455" s="167">
        <f>$L455*('RD Feedstock Use'!E455/'RD Feedstock Use'!$L455)</f>
        <v>6.9931268871891064</v>
      </c>
      <c r="F455" s="167">
        <f>$L455*('RD Feedstock Use'!F455/'RD Feedstock Use'!$L455)</f>
        <v>145.39671041218978</v>
      </c>
      <c r="G455" s="167">
        <f>$L455*('RD Feedstock Use'!G455/'RD Feedstock Use'!$L455)</f>
        <v>769.68501136780333</v>
      </c>
      <c r="H455" s="167">
        <f>$L455*('RD Feedstock Use'!H455/'RD Feedstock Use'!$L455)-25</f>
        <v>355.53483964286727</v>
      </c>
      <c r="I455" s="167">
        <f>$L455*('RD Feedstock Use'!I455/'RD Feedstock Use'!$L455)</f>
        <v>2268.5689591059217</v>
      </c>
      <c r="J455" s="167">
        <f t="shared" si="33"/>
        <v>1990.1375461317266</v>
      </c>
      <c r="K455" s="167">
        <f>$L455*('RD Feedstock Use'!K455/'RD Feedstock Use'!$L455)</f>
        <v>3571.1786474159712</v>
      </c>
      <c r="L455" s="167">
        <f t="shared" si="30"/>
        <v>5561.3161935476983</v>
      </c>
      <c r="M455" s="168">
        <f>[5]SAF!$AM27/1000000</f>
        <v>737.63104717210547</v>
      </c>
      <c r="N455" s="169">
        <f t="shared" si="31"/>
        <v>7.5394280309490842</v>
      </c>
      <c r="O455" s="167">
        <f t="shared" si="29"/>
        <v>5955.2109474940626</v>
      </c>
      <c r="P455" s="170">
        <f t="shared" si="32"/>
        <v>8.073427725588374</v>
      </c>
    </row>
    <row r="456" spans="1:16" x14ac:dyDescent="0.2">
      <c r="A456" s="155">
        <v>53966</v>
      </c>
      <c r="B456" s="167">
        <f>$L456*('RD Feedstock Use'!B456/'RD Feedstock Use'!$L456)</f>
        <v>1415.6256964820536</v>
      </c>
      <c r="C456" s="167">
        <f>$L456*('RD Feedstock Use'!C456/'RD Feedstock Use'!$L456)</f>
        <v>480.71736157606091</v>
      </c>
      <c r="D456" s="167">
        <f>$L456*('RD Feedstock Use'!D456/'RD Feedstock Use'!$L456)*0.25+10+275</f>
        <v>401.52885068910371</v>
      </c>
      <c r="E456" s="167">
        <f>$L456*('RD Feedstock Use'!E456/'RD Feedstock Use'!$L456)</f>
        <v>7.9999622593745165</v>
      </c>
      <c r="F456" s="167">
        <f>$L456*('RD Feedstock Use'!F456/'RD Feedstock Use'!$L456)</f>
        <v>126.90018746432395</v>
      </c>
      <c r="G456" s="167">
        <f>$L456*('RD Feedstock Use'!G456/'RD Feedstock Use'!$L456)</f>
        <v>790.73943514274617</v>
      </c>
      <c r="H456" s="167">
        <f>$L456*('RD Feedstock Use'!H456/'RD Feedstock Use'!$L456)-30</f>
        <v>331.24528313489913</v>
      </c>
      <c r="I456" s="167">
        <f>$L456*('RD Feedstock Use'!I456/'RD Feedstock Use'!$L456)</f>
        <v>2184.1784242318358</v>
      </c>
      <c r="J456" s="167">
        <f t="shared" si="33"/>
        <v>1896.3430580581146</v>
      </c>
      <c r="K456" s="167">
        <f>$L456*('RD Feedstock Use'!K456/'RD Feedstock Use'!$L456)</f>
        <v>3471.0632922331797</v>
      </c>
      <c r="L456" s="167">
        <f t="shared" si="30"/>
        <v>5367.4063502912941</v>
      </c>
      <c r="M456" s="168">
        <f>[5]SAF!$AM28/1000000</f>
        <v>718.84102867455044</v>
      </c>
      <c r="N456" s="169">
        <f t="shared" si="31"/>
        <v>7.4667501383276562</v>
      </c>
      <c r="O456" s="167">
        <f t="shared" si="29"/>
        <v>5768.9352009803979</v>
      </c>
      <c r="P456" s="170">
        <f t="shared" si="32"/>
        <v>8.0253282309408043</v>
      </c>
    </row>
    <row r="457" spans="1:16" x14ac:dyDescent="0.2">
      <c r="A457" s="155">
        <v>53997</v>
      </c>
      <c r="B457" s="167">
        <f>$L457*('RD Feedstock Use'!B457/'RD Feedstock Use'!$L457)</f>
        <v>1338.7555317225349</v>
      </c>
      <c r="C457" s="167">
        <f>$L457*('RD Feedstock Use'!C457/'RD Feedstock Use'!$L457)</f>
        <v>443.1851096038211</v>
      </c>
      <c r="D457" s="167">
        <f>$L457*('RD Feedstock Use'!D457/'RD Feedstock Use'!$L457)*0.25+10+275</f>
        <v>393.8978044234504</v>
      </c>
      <c r="E457" s="167">
        <f>$L457*('RD Feedstock Use'!E457/'RD Feedstock Use'!$L457)</f>
        <v>6.3363605600779227</v>
      </c>
      <c r="F457" s="167">
        <f>$L457*('RD Feedstock Use'!F457/'RD Feedstock Use'!$L457)</f>
        <v>41.79326015689314</v>
      </c>
      <c r="G457" s="167">
        <f>$L457*('RD Feedstock Use'!G457/'RD Feedstock Use'!$L457)</f>
        <v>744.08517557914763</v>
      </c>
      <c r="H457" s="167">
        <f>$L457*('RD Feedstock Use'!H457/'RD Feedstock Use'!$L457)-30</f>
        <v>243.86941033836052</v>
      </c>
      <c r="I457" s="167">
        <f>$L457*('RD Feedstock Use'!I457/'RD Feedstock Use'!$L457)</f>
        <v>1690.3220372133594</v>
      </c>
      <c r="J457" s="167">
        <f t="shared" si="33"/>
        <v>1781.9406413263559</v>
      </c>
      <c r="K457" s="167">
        <f>$L457*('RD Feedstock Use'!K457/'RD Feedstock Use'!$L457)</f>
        <v>2756.4062438478386</v>
      </c>
      <c r="L457" s="167">
        <f t="shared" si="30"/>
        <v>4538.3468851741945</v>
      </c>
      <c r="M457" s="168">
        <f>[5]SAF!$AM29/1000000</f>
        <v>621.12686943814163</v>
      </c>
      <c r="N457" s="169">
        <f t="shared" si="31"/>
        <v>7.3066342940202986</v>
      </c>
      <c r="O457" s="167">
        <f t="shared" si="29"/>
        <v>4932.2446895976445</v>
      </c>
      <c r="P457" s="170">
        <f t="shared" si="32"/>
        <v>7.9408007160586207</v>
      </c>
    </row>
    <row r="458" spans="1:16" x14ac:dyDescent="0.2">
      <c r="A458" s="155">
        <v>54027</v>
      </c>
      <c r="B458" s="167">
        <f>$L458*('RD Feedstock Use'!B458/'RD Feedstock Use'!$L458)</f>
        <v>1406.3369582075334</v>
      </c>
      <c r="C458" s="167">
        <f>$L458*('RD Feedstock Use'!C458/'RD Feedstock Use'!$L458)</f>
        <v>447.99081718455597</v>
      </c>
      <c r="D458" s="167">
        <f>$L458*('RD Feedstock Use'!D458/'RD Feedstock Use'!$L458)*0.25+10+275</f>
        <v>379.58709845578414</v>
      </c>
      <c r="E458" s="167">
        <f>$L458*('RD Feedstock Use'!E458/'RD Feedstock Use'!$L458)</f>
        <v>5.4798235581880048</v>
      </c>
      <c r="F458" s="167">
        <f>$L458*('RD Feedstock Use'!F458/'RD Feedstock Use'!$L458)</f>
        <v>32.374913734549743</v>
      </c>
      <c r="G458" s="167">
        <f>$L458*('RD Feedstock Use'!G458/'RD Feedstock Use'!$L458)</f>
        <v>677.51248212926168</v>
      </c>
      <c r="H458" s="167">
        <f>$L458*('RD Feedstock Use'!H458/'RD Feedstock Use'!$L458)-30</f>
        <v>149.61809380679736</v>
      </c>
      <c r="I458" s="167">
        <f>$L458*('RD Feedstock Use'!I458/'RD Feedstock Use'!$L458)</f>
        <v>1381.6702096201709</v>
      </c>
      <c r="J458" s="167">
        <f t="shared" si="33"/>
        <v>1854.3277753920893</v>
      </c>
      <c r="K458" s="167">
        <f>$L458*('RD Feedstock Use'!K458/'RD Feedstock Use'!$L458)</f>
        <v>2276.6555228489674</v>
      </c>
      <c r="L458" s="167">
        <f t="shared" si="30"/>
        <v>4130.9832982410571</v>
      </c>
      <c r="M458" s="168">
        <f>[5]SAF!$AM30/1000000</f>
        <v>558.10012434282146</v>
      </c>
      <c r="N458" s="169">
        <f t="shared" si="31"/>
        <v>7.4018677259844834</v>
      </c>
      <c r="O458" s="167">
        <f t="shared" si="29"/>
        <v>4510.5703966968413</v>
      </c>
      <c r="P458" s="170">
        <f t="shared" si="32"/>
        <v>8.0820093025568926</v>
      </c>
    </row>
    <row r="459" spans="1:16" x14ac:dyDescent="0.2">
      <c r="A459" s="155">
        <v>54058</v>
      </c>
      <c r="B459" s="167">
        <f>$L459*('RD Feedstock Use'!B459/'RD Feedstock Use'!$L459)</f>
        <v>1049.7750815796478</v>
      </c>
      <c r="C459" s="167">
        <f>$L459*('RD Feedstock Use'!C459/'RD Feedstock Use'!$L459)</f>
        <v>258.48383973675169</v>
      </c>
      <c r="D459" s="167">
        <f>$L459*('RD Feedstock Use'!D459/'RD Feedstock Use'!$L459)*0.25+10+275</f>
        <v>353.34748543038654</v>
      </c>
      <c r="E459" s="167">
        <f>$L459*('RD Feedstock Use'!E459/'RD Feedstock Use'!$L459)</f>
        <v>3.4242929070401753</v>
      </c>
      <c r="F459" s="167">
        <f>$L459*('RD Feedstock Use'!F459/'RD Feedstock Use'!$L459)</f>
        <v>54.989481230518109</v>
      </c>
      <c r="G459" s="167">
        <f>$L459*('RD Feedstock Use'!G459/'RD Feedstock Use'!$L459)</f>
        <v>530.53364711726556</v>
      </c>
      <c r="H459" s="167">
        <f>$L459*('RD Feedstock Use'!H459/'RD Feedstock Use'!$L459)-30</f>
        <v>94.309114336997922</v>
      </c>
      <c r="I459" s="167">
        <f>$L459*('RD Feedstock Use'!I459/'RD Feedstock Use'!$L459)</f>
        <v>528.67027735634304</v>
      </c>
      <c r="J459" s="167">
        <f t="shared" si="33"/>
        <v>1308.2589213163994</v>
      </c>
      <c r="K459" s="167">
        <f>$L459*('RD Feedstock Use'!K459/'RD Feedstock Use'!$L459)</f>
        <v>1241.9268129481645</v>
      </c>
      <c r="L459" s="167">
        <f t="shared" si="30"/>
        <v>2550.185734264564</v>
      </c>
      <c r="M459" s="168">
        <f>[5]SAF!$AN19/1000000</f>
        <v>337.69061844112269</v>
      </c>
      <c r="N459" s="169">
        <f t="shared" si="31"/>
        <v>7.5518406345931579</v>
      </c>
      <c r="O459" s="167">
        <f t="shared" si="29"/>
        <v>2903.5332196949503</v>
      </c>
      <c r="P459" s="170">
        <f t="shared" si="32"/>
        <v>8.598205165125691</v>
      </c>
    </row>
    <row r="460" spans="1:16" x14ac:dyDescent="0.2">
      <c r="A460" s="155">
        <v>54089</v>
      </c>
      <c r="B460" s="167">
        <f>$L460*('RD Feedstock Use'!B460/'RD Feedstock Use'!$L460)</f>
        <v>1156.5106912152457</v>
      </c>
      <c r="C460" s="167">
        <f>$L460*('RD Feedstock Use'!C460/'RD Feedstock Use'!$L460)</f>
        <v>374.24523443174752</v>
      </c>
      <c r="D460" s="167">
        <f>$L460*('RD Feedstock Use'!D460/'RD Feedstock Use'!$L460)*0.25+10+275</f>
        <v>387.68917765573462</v>
      </c>
      <c r="E460" s="167">
        <f>$L460*('RD Feedstock Use'!E460/'RD Feedstock Use'!$L460)</f>
        <v>5.9178558508797181</v>
      </c>
      <c r="F460" s="167">
        <f>$L460*('RD Feedstock Use'!F460/'RD Feedstock Use'!$L460)</f>
        <v>86.472335685115681</v>
      </c>
      <c r="G460" s="167">
        <f>$L460*('RD Feedstock Use'!G460/'RD Feedstock Use'!$L460)</f>
        <v>980.85918174803055</v>
      </c>
      <c r="H460" s="167">
        <f>$L460*('RD Feedstock Use'!H460/'RD Feedstock Use'!$L460)-30</f>
        <v>106.23660012206628</v>
      </c>
      <c r="I460" s="167">
        <f>$L460*('RD Feedstock Use'!I460/'RD Feedstock Use'!$L460)</f>
        <v>1864.0889422876458</v>
      </c>
      <c r="J460" s="167">
        <f t="shared" si="33"/>
        <v>1530.7559256469933</v>
      </c>
      <c r="K460" s="167">
        <f>$L460*('RD Feedstock Use'!K460/'RD Feedstock Use'!$L460)</f>
        <v>3073.5749156937377</v>
      </c>
      <c r="L460" s="167">
        <f t="shared" si="30"/>
        <v>4604.3308413407312</v>
      </c>
      <c r="M460" s="168">
        <f>[5]SAF!$AN20/1000000</f>
        <v>633.78316694524369</v>
      </c>
      <c r="N460" s="169">
        <f t="shared" si="31"/>
        <v>7.2648361166375484</v>
      </c>
      <c r="O460" s="167">
        <f t="shared" si="29"/>
        <v>4992.0200189964662</v>
      </c>
      <c r="P460" s="170">
        <f t="shared" si="32"/>
        <v>7.8765424507207786</v>
      </c>
    </row>
    <row r="461" spans="1:16" x14ac:dyDescent="0.2">
      <c r="A461" s="155">
        <v>54118</v>
      </c>
      <c r="B461" s="167">
        <f>$L461*('RD Feedstock Use'!B461/'RD Feedstock Use'!$L461)</f>
        <v>511.51256373129002</v>
      </c>
      <c r="C461" s="167">
        <f>$L461*('RD Feedstock Use'!C461/'RD Feedstock Use'!$L461)</f>
        <v>158.90385289308966</v>
      </c>
      <c r="D461" s="167">
        <f>$L461*('RD Feedstock Use'!D461/'RD Feedstock Use'!$L461)*0.25+10+275</f>
        <v>321.68168850039416</v>
      </c>
      <c r="E461" s="167">
        <f>$L461*('RD Feedstock Use'!E461/'RD Feedstock Use'!$L461)</f>
        <v>2.2965933090688626</v>
      </c>
      <c r="F461" s="167">
        <f>$L461*('RD Feedstock Use'!F461/'RD Feedstock Use'!$L461)</f>
        <v>48.965560869055643</v>
      </c>
      <c r="G461" s="167">
        <f>$L461*('RD Feedstock Use'!G461/'RD Feedstock Use'!$L461)</f>
        <v>329.36027983326329</v>
      </c>
      <c r="H461" s="167">
        <f>$L461*('RD Feedstock Use'!H461/'RD Feedstock Use'!$L461)-30</f>
        <v>70.151414500764801</v>
      </c>
      <c r="I461" s="167">
        <f>$L461*('RD Feedstock Use'!I461/'RD Feedstock Use'!$L461)</f>
        <v>700.37233956872399</v>
      </c>
      <c r="J461" s="167">
        <f t="shared" si="33"/>
        <v>670.41641662437974</v>
      </c>
      <c r="K461" s="167">
        <f>$L461*('RD Feedstock Use'!K461/'RD Feedstock Use'!$L461)</f>
        <v>1181.1461880808765</v>
      </c>
      <c r="L461" s="167">
        <f t="shared" si="30"/>
        <v>1851.5626047052563</v>
      </c>
      <c r="M461" s="168">
        <f>[5]SAF!$AN21/1000000</f>
        <v>255.42962602287759</v>
      </c>
      <c r="N461" s="169">
        <f t="shared" si="31"/>
        <v>7.2488169580588151</v>
      </c>
      <c r="O461" s="167">
        <f t="shared" si="29"/>
        <v>2173.2442932056506</v>
      </c>
      <c r="P461" s="170">
        <f t="shared" si="32"/>
        <v>8.5081919706956928</v>
      </c>
    </row>
    <row r="462" spans="1:16" x14ac:dyDescent="0.2">
      <c r="A462" s="155">
        <v>54149</v>
      </c>
      <c r="B462" s="167">
        <f>$L462*('RD Feedstock Use'!B462/'RD Feedstock Use'!$L462)</f>
        <v>782.27278165732719</v>
      </c>
      <c r="C462" s="167">
        <f>$L462*('RD Feedstock Use'!C462/'RD Feedstock Use'!$L462)</f>
        <v>212.55469508316835</v>
      </c>
      <c r="D462" s="167">
        <f>$L462*('RD Feedstock Use'!D462/'RD Feedstock Use'!$L462)*0.25+10+275</f>
        <v>336.17272531516795</v>
      </c>
      <c r="E462" s="167">
        <f>$L462*('RD Feedstock Use'!E462/'RD Feedstock Use'!$L462)</f>
        <v>3.6205483087086612</v>
      </c>
      <c r="F462" s="167">
        <f>$L462*('RD Feedstock Use'!F462/'RD Feedstock Use'!$L462)</f>
        <v>88.622820004415942</v>
      </c>
      <c r="G462" s="167">
        <f>$L462*('RD Feedstock Use'!G462/'RD Feedstock Use'!$L462)</f>
        <v>301.93606883006066</v>
      </c>
      <c r="H462" s="167">
        <f>$L462*('RD Feedstock Use'!H462/'RD Feedstock Use'!$L462)-30</f>
        <v>193.72833231306097</v>
      </c>
      <c r="I462" s="167">
        <f>$L462*('RD Feedstock Use'!I462/'RD Feedstock Use'!$L462)</f>
        <v>1410.6204794196881</v>
      </c>
      <c r="J462" s="167">
        <f t="shared" si="33"/>
        <v>994.82747674049551</v>
      </c>
      <c r="K462" s="167">
        <f>$L462*('RD Feedstock Use'!K462/'RD Feedstock Use'!$L462)</f>
        <v>2028.5282488759347</v>
      </c>
      <c r="L462" s="167">
        <f t="shared" si="30"/>
        <v>3023.3557256164299</v>
      </c>
      <c r="M462" s="168">
        <f>[5]SAF!$AN22/1000000</f>
        <v>408.44862259732508</v>
      </c>
      <c r="N462" s="169">
        <f t="shared" si="31"/>
        <v>7.4020465692622706</v>
      </c>
      <c r="O462" s="167">
        <f t="shared" si="29"/>
        <v>3359.5284509315984</v>
      </c>
      <c r="P462" s="170">
        <f t="shared" si="32"/>
        <v>8.2250943327176742</v>
      </c>
    </row>
    <row r="463" spans="1:16" x14ac:dyDescent="0.2">
      <c r="A463" s="155">
        <v>54179</v>
      </c>
      <c r="B463" s="167">
        <f>$L463*('RD Feedstock Use'!B463/'RD Feedstock Use'!$L463)</f>
        <v>815.83605584053032</v>
      </c>
      <c r="C463" s="167">
        <f>$L463*('RD Feedstock Use'!C463/'RD Feedstock Use'!$L463)</f>
        <v>378.17896316854234</v>
      </c>
      <c r="D463" s="167">
        <f>$L463*('RD Feedstock Use'!D463/'RD Feedstock Use'!$L463)*0.25+10+275</f>
        <v>335.10457369986062</v>
      </c>
      <c r="E463" s="167">
        <f>$L463*('RD Feedstock Use'!E463/'RD Feedstock Use'!$L463)</f>
        <v>4.7163920897044944</v>
      </c>
      <c r="F463" s="167">
        <f>$L463*('RD Feedstock Use'!F463/'RD Feedstock Use'!$L463)</f>
        <v>101.30392799626694</v>
      </c>
      <c r="G463" s="167">
        <f>$L463*('RD Feedstock Use'!G463/'RD Feedstock Use'!$L463)</f>
        <v>443.07077128130345</v>
      </c>
      <c r="H463" s="167">
        <f>$L463*('RD Feedstock Use'!H463/'RD Feedstock Use'!$L463)-30</f>
        <v>219.38570242545887</v>
      </c>
      <c r="I463" s="167">
        <f>$L463*('RD Feedstock Use'!I463/'RD Feedstock Use'!$L463)</f>
        <v>2024.4531770808933</v>
      </c>
      <c r="J463" s="167">
        <f t="shared" si="33"/>
        <v>1194.0150190090726</v>
      </c>
      <c r="K463" s="167">
        <f>$L463*('RD Feedstock Use'!K463/'RD Feedstock Use'!$L463)</f>
        <v>2822.9299708736271</v>
      </c>
      <c r="L463" s="167">
        <f t="shared" si="30"/>
        <v>4016.9449898826997</v>
      </c>
      <c r="M463" s="168">
        <f>[5]SAF!$AN23/1000000</f>
        <v>538.18453536821778</v>
      </c>
      <c r="N463" s="169">
        <f t="shared" si="31"/>
        <v>7.4638803716914053</v>
      </c>
      <c r="O463" s="167">
        <f t="shared" si="29"/>
        <v>4352.04956358256</v>
      </c>
      <c r="P463" s="170">
        <f t="shared" si="32"/>
        <v>8.0865377534583995</v>
      </c>
    </row>
    <row r="464" spans="1:16" x14ac:dyDescent="0.2">
      <c r="A464" s="155">
        <v>54210</v>
      </c>
      <c r="B464" s="167">
        <f>$L464*('RD Feedstock Use'!B464/'RD Feedstock Use'!$L464)</f>
        <v>913.27818456048897</v>
      </c>
      <c r="C464" s="167">
        <f>$L464*('RD Feedstock Use'!C464/'RD Feedstock Use'!$L464)</f>
        <v>301.11655545767672</v>
      </c>
      <c r="D464" s="167">
        <f>$L464*('RD Feedstock Use'!D464/'RD Feedstock Use'!$L464)*0.25+10+275</f>
        <v>341.34100558483851</v>
      </c>
      <c r="E464" s="167">
        <f>$L464*('RD Feedstock Use'!E464/'RD Feedstock Use'!$L464)</f>
        <v>4.0991197377278388</v>
      </c>
      <c r="F464" s="167">
        <f>$L464*('RD Feedstock Use'!F464/'RD Feedstock Use'!$L464)</f>
        <v>111.24023888944012</v>
      </c>
      <c r="G464" s="167">
        <f>$L464*('RD Feedstock Use'!G464/'RD Feedstock Use'!$L464)</f>
        <v>451.51921699129883</v>
      </c>
      <c r="H464" s="167">
        <f>$L464*('RD Feedstock Use'!H464/'RD Feedstock Use'!$L464)-20</f>
        <v>247.6860585009133</v>
      </c>
      <c r="I464" s="167">
        <f>$L464*('RD Feedstock Use'!I464/'RD Feedstock Use'!$L464)</f>
        <v>1715.1180413685343</v>
      </c>
      <c r="J464" s="167">
        <f t="shared" si="33"/>
        <v>1214.3947400181657</v>
      </c>
      <c r="K464" s="167">
        <f>$L464*('RD Feedstock Use'!K464/'RD Feedstock Use'!$L464)</f>
        <v>2549.6626754879144</v>
      </c>
      <c r="L464" s="167">
        <f t="shared" si="30"/>
        <v>3764.0574155060799</v>
      </c>
      <c r="M464" s="168">
        <f>[5]SAF!$AN24/1000000</f>
        <v>511.96135036461266</v>
      </c>
      <c r="N464" s="169">
        <f t="shared" si="31"/>
        <v>7.3522296416035386</v>
      </c>
      <c r="O464" s="167">
        <f t="shared" si="29"/>
        <v>4105.3984210909184</v>
      </c>
      <c r="P464" s="170">
        <f t="shared" si="32"/>
        <v>8.018961623112963</v>
      </c>
    </row>
    <row r="465" spans="1:16" x14ac:dyDescent="0.2">
      <c r="A465" s="155">
        <v>54240</v>
      </c>
      <c r="B465" s="167">
        <f>$L465*('RD Feedstock Use'!B465/'RD Feedstock Use'!$L465)</f>
        <v>1216.7964716201359</v>
      </c>
      <c r="C465" s="167">
        <f>$L465*('RD Feedstock Use'!C465/'RD Feedstock Use'!$L465)</f>
        <v>476.89009915831127</v>
      </c>
      <c r="D465" s="167">
        <f>$L465*('RD Feedstock Use'!D465/'RD Feedstock Use'!$L465)*0.25+10+275</f>
        <v>357.00838682451069</v>
      </c>
      <c r="E465" s="167">
        <f>$L465*('RD Feedstock Use'!E465/'RD Feedstock Use'!$L465)</f>
        <v>4.4569271358532676</v>
      </c>
      <c r="F465" s="167">
        <f>$L465*('RD Feedstock Use'!F465/'RD Feedstock Use'!$L465)</f>
        <v>127.08090833841587</v>
      </c>
      <c r="G465" s="167">
        <f>$L465*('RD Feedstock Use'!G465/'RD Feedstock Use'!$L465)</f>
        <v>563.49606907366672</v>
      </c>
      <c r="H465" s="167">
        <f>$L465*('RD Feedstock Use'!H465/'RD Feedstock Use'!$L465)-15</f>
        <v>296.86903745080821</v>
      </c>
      <c r="I465" s="167">
        <f>$L465*('RD Feedstock Use'!I465/'RD Feedstock Use'!$L465)</f>
        <v>1459.7842174297703</v>
      </c>
      <c r="J465" s="167">
        <f t="shared" si="33"/>
        <v>1693.6865707784473</v>
      </c>
      <c r="K465" s="167">
        <f>$L465*('RD Feedstock Use'!K465/'RD Feedstock Use'!$L465)</f>
        <v>2466.687159428514</v>
      </c>
      <c r="L465" s="167">
        <f t="shared" si="30"/>
        <v>4160.3737302069612</v>
      </c>
      <c r="M465" s="168">
        <f>[5]SAF!$AN25/1000000</f>
        <v>558.2030829902634</v>
      </c>
      <c r="N465" s="169">
        <f t="shared" si="31"/>
        <v>7.4531543393133317</v>
      </c>
      <c r="O465" s="167">
        <f t="shared" si="29"/>
        <v>4517.3821170314723</v>
      </c>
      <c r="P465" s="170">
        <f t="shared" si="32"/>
        <v>8.0927215464882476</v>
      </c>
    </row>
    <row r="466" spans="1:16" x14ac:dyDescent="0.2">
      <c r="A466" s="155">
        <v>54271</v>
      </c>
      <c r="B466" s="167">
        <f>$L466*('RD Feedstock Use'!B466/'RD Feedstock Use'!$L466)</f>
        <v>1336.0781399218267</v>
      </c>
      <c r="C466" s="167">
        <f>$L466*('RD Feedstock Use'!C466/'RD Feedstock Use'!$L466)</f>
        <v>391.62661499859456</v>
      </c>
      <c r="D466" s="167">
        <f>$L466*('RD Feedstock Use'!D466/'RD Feedstock Use'!$L466)*0.25+10+275</f>
        <v>355.68893617881702</v>
      </c>
      <c r="E466" s="167">
        <f>$L466*('RD Feedstock Use'!E466/'RD Feedstock Use'!$L466)</f>
        <v>4.7637946389050416</v>
      </c>
      <c r="F466" s="167">
        <f>$L466*('RD Feedstock Use'!F466/'RD Feedstock Use'!$L466)</f>
        <v>102.78332191562924</v>
      </c>
      <c r="G466" s="167">
        <f>$L466*('RD Feedstock Use'!G466/'RD Feedstock Use'!$L466)</f>
        <v>626.41558368883204</v>
      </c>
      <c r="H466" s="167">
        <f>$L466*('RD Feedstock Use'!H466/'RD Feedstock Use'!$L466)-15</f>
        <v>340.09261651930217</v>
      </c>
      <c r="I466" s="167">
        <f>$L466*('RD Feedstock Use'!I466/'RD Feedstock Use'!$L466)</f>
        <v>1668.1204795880365</v>
      </c>
      <c r="J466" s="167">
        <f t="shared" si="33"/>
        <v>1727.7047549204212</v>
      </c>
      <c r="K466" s="167">
        <f>$L466*('RD Feedstock Use'!K466/'RD Feedstock Use'!$L466)</f>
        <v>2757.1757963507048</v>
      </c>
      <c r="L466" s="167">
        <f t="shared" si="30"/>
        <v>4484.880551271126</v>
      </c>
      <c r="M466" s="168">
        <f>[5]SAF!$AN26/1000000</f>
        <v>606.93151543055546</v>
      </c>
      <c r="N466" s="169">
        <f t="shared" si="31"/>
        <v>7.389434289121672</v>
      </c>
      <c r="O466" s="167">
        <f t="shared" si="29"/>
        <v>4840.5694874499432</v>
      </c>
      <c r="P466" s="170">
        <f t="shared" si="32"/>
        <v>7.9754788874590856</v>
      </c>
    </row>
    <row r="467" spans="1:16" x14ac:dyDescent="0.2">
      <c r="A467" s="155">
        <v>54302</v>
      </c>
      <c r="B467" s="167">
        <f>$L467*('RD Feedstock Use'!B467/'RD Feedstock Use'!$L467)</f>
        <v>1623.5482546827445</v>
      </c>
      <c r="C467" s="167">
        <f>$L467*('RD Feedstock Use'!C467/'RD Feedstock Use'!$L467)</f>
        <v>368.97866744485265</v>
      </c>
      <c r="D467" s="167">
        <f>$L467*('RD Feedstock Use'!D467/'RD Feedstock Use'!$L467)*0.25+10+275</f>
        <v>395.39394072790259</v>
      </c>
      <c r="E467" s="167">
        <f>$L467*('RD Feedstock Use'!E467/'RD Feedstock Use'!$L467)</f>
        <v>7.0010679623965846</v>
      </c>
      <c r="F467" s="167">
        <f>$L467*('RD Feedstock Use'!F467/'RD Feedstock Use'!$L467)</f>
        <v>145.56225016790069</v>
      </c>
      <c r="G467" s="167">
        <f>$L467*('RD Feedstock Use'!G467/'RD Feedstock Use'!$L467)</f>
        <v>770.57384448013408</v>
      </c>
      <c r="H467" s="167">
        <f>$L467*('RD Feedstock Use'!H467/'RD Feedstock Use'!$L467)-15</f>
        <v>365.51992654052657</v>
      </c>
      <c r="I467" s="167">
        <f>$L467*('RD Feedstock Use'!I467/'RD Feedstock Use'!$L467)</f>
        <v>2271.4581260303412</v>
      </c>
      <c r="J467" s="167">
        <f t="shared" si="33"/>
        <v>1992.5269221275971</v>
      </c>
      <c r="K467" s="167">
        <f>$L467*('RD Feedstock Use'!K467/'RD Feedstock Use'!$L467)</f>
        <v>3575.1152151812994</v>
      </c>
      <c r="L467" s="167">
        <f t="shared" si="30"/>
        <v>5567.6421373088961</v>
      </c>
      <c r="M467" s="168">
        <f>[5]SAF!$AN27/1000000</f>
        <v>738.47294813120595</v>
      </c>
      <c r="N467" s="169">
        <f t="shared" si="31"/>
        <v>7.5393989060783877</v>
      </c>
      <c r="O467" s="167">
        <f t="shared" si="29"/>
        <v>5963.0360780367982</v>
      </c>
      <c r="P467" s="170">
        <f t="shared" si="32"/>
        <v>8.0748199282410731</v>
      </c>
    </row>
    <row r="468" spans="1:16" x14ac:dyDescent="0.2">
      <c r="A468" s="155">
        <v>54332</v>
      </c>
      <c r="B468" s="167">
        <f>$L468*('RD Feedstock Use'!B468/'RD Feedstock Use'!$L468)</f>
        <v>881.25045738402639</v>
      </c>
      <c r="C468" s="167">
        <f>$L468*('RD Feedstock Use'!C468/'RD Feedstock Use'!$L468)</f>
        <v>481.25860075709841</v>
      </c>
      <c r="D468" s="167">
        <f>$L468*('RD Feedstock Use'!D468/'RD Feedstock Use'!$L468)*0.25+10+275</f>
        <v>406.66468730496103</v>
      </c>
      <c r="E468" s="167">
        <f>$L468*('RD Feedstock Use'!E468/'RD Feedstock Use'!$L468)</f>
        <v>8.0091875929584919</v>
      </c>
      <c r="F468" s="167">
        <f>$L468*('RD Feedstock Use'!F468/'RD Feedstock Use'!$L468)</f>
        <v>127.04819536295899</v>
      </c>
      <c r="G468" s="167">
        <f>$L468*('RD Feedstock Use'!G468/'RD Feedstock Use'!$L468)</f>
        <v>791.64461643264099</v>
      </c>
      <c r="H468" s="167">
        <f>$L468*('RD Feedstock Use'!H468/'RD Feedstock Use'!$L468)-30</f>
        <v>301.2953768014965</v>
      </c>
      <c r="I468" s="167">
        <f>$L468*('RD Feedstock Use'!I468/'RD Feedstock Use'!$L468)</f>
        <v>2753.0387076981851</v>
      </c>
      <c r="J468" s="167">
        <f t="shared" si="33"/>
        <v>1362.5090581411248</v>
      </c>
      <c r="K468" s="167">
        <f>$L468*('RD Feedstock Use'!K468/'RD Feedstock Use'!$L468)</f>
        <v>4011.0360838882402</v>
      </c>
      <c r="L468" s="167">
        <f t="shared" si="30"/>
        <v>5373.5451420293648</v>
      </c>
      <c r="M468" s="168">
        <f>[5]SAF!$AN28/1000000</f>
        <v>719.66328176985826</v>
      </c>
      <c r="N468" s="169">
        <f t="shared" si="31"/>
        <v>7.4667490730029709</v>
      </c>
      <c r="O468" s="167">
        <f t="shared" si="29"/>
        <v>5780.2098293343261</v>
      </c>
      <c r="P468" s="170">
        <f t="shared" si="32"/>
        <v>8.0318254046797186</v>
      </c>
    </row>
    <row r="469" spans="1:16" x14ac:dyDescent="0.2">
      <c r="A469" s="155">
        <v>54363</v>
      </c>
      <c r="B469" s="167">
        <f>$L469*('RD Feedstock Use'!B469/'RD Feedstock Use'!$L469)</f>
        <v>1217.6920277506708</v>
      </c>
      <c r="C469" s="167">
        <f>$L469*('RD Feedstock Use'!C469/'RD Feedstock Use'!$L469)</f>
        <v>443.68713405591342</v>
      </c>
      <c r="D469" s="167">
        <f>$L469*('RD Feedstock Use'!D469/'RD Feedstock Use'!$L469)*0.25+10+275</f>
        <v>395.47054298391242</v>
      </c>
      <c r="E469" s="167">
        <f>$L469*('RD Feedstock Use'!E469/'RD Feedstock Use'!$L469)</f>
        <v>6.3436809330549417</v>
      </c>
      <c r="F469" s="167">
        <f>$L469*('RD Feedstock Use'!F469/'RD Feedstock Use'!$L469)</f>
        <v>41.84346729235174</v>
      </c>
      <c r="G469" s="167">
        <f>$L469*('RD Feedstock Use'!G469/'RD Feedstock Use'!$L469)</f>
        <v>670.4417380235052</v>
      </c>
      <c r="H469" s="167">
        <f>$L469*('RD Feedstock Use'!H469/'RD Feedstock Use'!$L469)-15</f>
        <v>249.49550996364508</v>
      </c>
      <c r="I469" s="167">
        <f>$L469*('RD Feedstock Use'!I469/'RD Feedstock Use'!$L469)</f>
        <v>1899.0524535491245</v>
      </c>
      <c r="J469" s="167">
        <f t="shared" si="33"/>
        <v>1661.3791618065843</v>
      </c>
      <c r="K469" s="167">
        <f>$L469*('RD Feedstock Use'!K469/'RD Feedstock Use'!$L469)</f>
        <v>2882.1768497616813</v>
      </c>
      <c r="L469" s="167">
        <f t="shared" si="30"/>
        <v>4543.5560115682656</v>
      </c>
      <c r="M469" s="168">
        <f>[5]SAF!$AN29/1000000</f>
        <v>621.83755727874006</v>
      </c>
      <c r="N469" s="169">
        <f t="shared" si="31"/>
        <v>7.3066606517811321</v>
      </c>
      <c r="O469" s="167">
        <f t="shared" si="29"/>
        <v>4939.0265545521779</v>
      </c>
      <c r="P469" s="170">
        <f t="shared" si="32"/>
        <v>7.942631474634859</v>
      </c>
    </row>
    <row r="470" spans="1:16" x14ac:dyDescent="0.2">
      <c r="A470" s="155">
        <v>54393</v>
      </c>
      <c r="B470" s="167">
        <f>$L470*('RD Feedstock Use'!B470/'RD Feedstock Use'!$L470)</f>
        <v>1298.6301698770326</v>
      </c>
      <c r="C470" s="167">
        <f>$L470*('RD Feedstock Use'!C470/'RD Feedstock Use'!$L470)</f>
        <v>448.49912507415399</v>
      </c>
      <c r="D470" s="167">
        <f>$L470*('RD Feedstock Use'!D470/'RD Feedstock Use'!$L470)*0.25+10+275</f>
        <v>381.17362753541511</v>
      </c>
      <c r="E470" s="167">
        <f>$L470*('RD Feedstock Use'!E470/'RD Feedstock Use'!$L470)</f>
        <v>5.4861377040713437</v>
      </c>
      <c r="F470" s="167">
        <f>$L470*('RD Feedstock Use'!F470/'RD Feedstock Use'!$L470)</f>
        <v>32.413901900441523</v>
      </c>
      <c r="G470" s="167">
        <f>$L470*('RD Feedstock Use'!G470/'RD Feedstock Use'!$L470)</f>
        <v>508.71769266572892</v>
      </c>
      <c r="H470" s="167">
        <f>$L470*('RD Feedstock Use'!H470/'RD Feedstock Use'!$L470)-15</f>
        <v>156.78468268327501</v>
      </c>
      <c r="I470" s="167">
        <f>$L470*('RD Feedstock Use'!I470/'RD Feedstock Use'!$L470)</f>
        <v>1670.1843425787979</v>
      </c>
      <c r="J470" s="167">
        <f t="shared" si="33"/>
        <v>1747.1292949511867</v>
      </c>
      <c r="K470" s="167">
        <f>$L470*('RD Feedstock Use'!K470/'RD Feedstock Use'!$L470)</f>
        <v>2388.5867575323146</v>
      </c>
      <c r="L470" s="167">
        <f t="shared" si="30"/>
        <v>4135.7160524835008</v>
      </c>
      <c r="M470" s="168">
        <f>[5]SAF!$AN30/1000000</f>
        <v>558.73860315538104</v>
      </c>
      <c r="N470" s="169">
        <f t="shared" si="31"/>
        <v>7.4018799294119804</v>
      </c>
      <c r="O470" s="167">
        <f t="shared" si="29"/>
        <v>4516.8896800189168</v>
      </c>
      <c r="P470" s="170">
        <f t="shared" si="32"/>
        <v>8.0840837817730016</v>
      </c>
    </row>
    <row r="471" spans="1:16" x14ac:dyDescent="0.2">
      <c r="A471" s="155">
        <v>54424</v>
      </c>
      <c r="B471" s="167">
        <f>$L471*('RD Feedstock Use'!B471/'RD Feedstock Use'!$L471)</f>
        <v>922.898540054916</v>
      </c>
      <c r="C471" s="167">
        <f>$L471*('RD Feedstock Use'!C471/'RD Feedstock Use'!$L471)</f>
        <v>258.05392073369086</v>
      </c>
      <c r="D471" s="167">
        <f>$L471*('RD Feedstock Use'!D471/'RD Feedstock Use'!$L471)*0.25+10+275</f>
        <v>358.56176564503636</v>
      </c>
      <c r="E471" s="167">
        <f>$L471*('RD Feedstock Use'!E471/'RD Feedstock Use'!$L471)</f>
        <v>3.4185780278765003</v>
      </c>
      <c r="F471" s="167">
        <f>$L471*('RD Feedstock Use'!F471/'RD Feedstock Use'!$L471)</f>
        <v>54.897412940368817</v>
      </c>
      <c r="G471" s="167">
        <f>$L471*('RD Feedstock Use'!G471/'RD Feedstock Use'!$L471)</f>
        <v>397.23122113725509</v>
      </c>
      <c r="H471" s="167">
        <f>$L471*('RD Feedstock Use'!H471/'RD Feedstock Use'!$L471)-25</f>
        <v>91.792585607014189</v>
      </c>
      <c r="I471" s="167">
        <f>$L471*('RD Feedstock Use'!I471/'RD Feedstock Use'!$L471)</f>
        <v>792.62243064493668</v>
      </c>
      <c r="J471" s="167">
        <f t="shared" si="33"/>
        <v>1180.9524607886069</v>
      </c>
      <c r="K471" s="167">
        <f>$L471*('RD Feedstock Use'!K471/'RD Feedstock Use'!$L471)</f>
        <v>1364.9622283574513</v>
      </c>
      <c r="L471" s="167">
        <f t="shared" si="30"/>
        <v>2545.9146891460582</v>
      </c>
      <c r="M471" s="168">
        <f>[5]SAF!$AO19/1000000</f>
        <v>337.12501436640093</v>
      </c>
      <c r="N471" s="169">
        <f t="shared" si="31"/>
        <v>7.5518415443923619</v>
      </c>
      <c r="O471" s="167">
        <f t="shared" si="29"/>
        <v>2904.4764547910945</v>
      </c>
      <c r="P471" s="170">
        <f t="shared" si="32"/>
        <v>8.6154284939366548</v>
      </c>
    </row>
    <row r="472" spans="1:16" x14ac:dyDescent="0.2">
      <c r="A472" s="155">
        <v>54455</v>
      </c>
      <c r="B472" s="167">
        <f>$L472*('RD Feedstock Use'!B472/'RD Feedstock Use'!$L472)</f>
        <v>1170.6494036193048</v>
      </c>
      <c r="C472" s="167">
        <f>$L472*('RD Feedstock Use'!C472/'RD Feedstock Use'!$L472)</f>
        <v>373.62217329377671</v>
      </c>
      <c r="D472" s="167">
        <f>$L472*('RD Feedstock Use'!D472/'RD Feedstock Use'!$L472)*0.25+10+275</f>
        <v>389.01138714231979</v>
      </c>
      <c r="E472" s="167">
        <f>$L472*('RD Feedstock Use'!E472/'RD Feedstock Use'!$L472)</f>
        <v>5.9079959578948511</v>
      </c>
      <c r="F472" s="167">
        <f>$L472*('RD Feedstock Use'!F472/'RD Feedstock Use'!$L472)</f>
        <v>86.328066275555415</v>
      </c>
      <c r="G472" s="167">
        <f>$L472*('RD Feedstock Use'!G472/'RD Feedstock Use'!$L472)</f>
        <v>734.41201733994581</v>
      </c>
      <c r="H472" s="167">
        <f>$L472*('RD Feedstock Use'!H472/'RD Feedstock Use'!$L472)-30</f>
        <v>99.098305107453314</v>
      </c>
      <c r="I472" s="167">
        <f>$L472*('RD Feedstock Use'!I472/'RD Feedstock Use'!$L472)</f>
        <v>2096.6144179470753</v>
      </c>
      <c r="J472" s="167">
        <f t="shared" si="33"/>
        <v>1544.2715769130816</v>
      </c>
      <c r="K472" s="167">
        <f>$L472*('RD Feedstock Use'!K472/'RD Feedstock Use'!$L472)</f>
        <v>3052.3608026279248</v>
      </c>
      <c r="L472" s="167">
        <f t="shared" si="30"/>
        <v>4596.6323795410062</v>
      </c>
      <c r="M472" s="168">
        <f>[5]SAF!$AO20/1000000</f>
        <v>632.72490717015967</v>
      </c>
      <c r="N472" s="169">
        <f t="shared" si="31"/>
        <v>7.2648197146201907</v>
      </c>
      <c r="O472" s="167">
        <f t="shared" si="29"/>
        <v>4985.6437666833262</v>
      </c>
      <c r="P472" s="170">
        <f t="shared" si="32"/>
        <v>7.8796388607198127</v>
      </c>
    </row>
    <row r="473" spans="1:16" x14ac:dyDescent="0.2">
      <c r="A473" s="155">
        <v>54483</v>
      </c>
      <c r="B473" s="167">
        <f>$L473*('RD Feedstock Use'!B473/'RD Feedstock Use'!$L473)</f>
        <v>516.74187179343676</v>
      </c>
      <c r="C473" s="167">
        <f>$L473*('RD Feedstock Use'!C473/'RD Feedstock Use'!$L473)</f>
        <v>158.63931233071219</v>
      </c>
      <c r="D473" s="167">
        <f>$L473*('RD Feedstock Use'!D473/'RD Feedstock Use'!$L473)*0.25+10+275</f>
        <v>321.29685258490042</v>
      </c>
      <c r="E473" s="167">
        <f>$L473*('RD Feedstock Use'!E473/'RD Feedstock Use'!$L473)</f>
        <v>2.2927641279421169</v>
      </c>
      <c r="F473" s="167">
        <f>$L473*('RD Feedstock Use'!F473/'RD Feedstock Use'!$L473)</f>
        <v>48.883510851390312</v>
      </c>
      <c r="G473" s="167">
        <f>$L473*('RD Feedstock Use'!G473/'RD Feedstock Use'!$L473)</f>
        <v>328.80781857194728</v>
      </c>
      <c r="H473" s="167">
        <f>$L473*('RD Feedstock Use'!H473/'RD Feedstock Use'!$L473)-30</f>
        <v>70.726948366159775</v>
      </c>
      <c r="I473" s="167">
        <f>$L473*('RD Feedstock Use'!I473/'RD Feedstock Use'!$L473)</f>
        <v>692.37288905462515</v>
      </c>
      <c r="J473" s="167">
        <f t="shared" si="33"/>
        <v>675.38118412414894</v>
      </c>
      <c r="K473" s="167">
        <f>$L473*('RD Feedstock Use'!K473/'RD Feedstock Use'!$L473)</f>
        <v>1173.0839309720648</v>
      </c>
      <c r="L473" s="167">
        <f t="shared" si="30"/>
        <v>1848.4651150962134</v>
      </c>
      <c r="M473" s="168">
        <f>[5]SAF!$AO21/1000000</f>
        <v>255.00253041339224</v>
      </c>
      <c r="N473" s="169">
        <f t="shared" si="31"/>
        <v>7.2488108729729515</v>
      </c>
      <c r="O473" s="167">
        <f t="shared" si="29"/>
        <v>2169.7619676811141</v>
      </c>
      <c r="P473" s="170">
        <f t="shared" si="32"/>
        <v>8.5087860271960754</v>
      </c>
    </row>
    <row r="474" spans="1:16" x14ac:dyDescent="0.2">
      <c r="A474" s="155">
        <v>54514</v>
      </c>
      <c r="B474" s="167">
        <f>$L474*('RD Feedstock Use'!B474/'RD Feedstock Use'!$L474)</f>
        <v>791.15626421042111</v>
      </c>
      <c r="C474" s="167">
        <f>$L474*('RD Feedstock Use'!C474/'RD Feedstock Use'!$L474)</f>
        <v>212.20036734239545</v>
      </c>
      <c r="D474" s="167">
        <f>$L474*('RD Feedstock Use'!D474/'RD Feedstock Use'!$L474)*0.25+10+275</f>
        <v>336.16321008879049</v>
      </c>
      <c r="E474" s="167">
        <f>$L474*('RD Feedstock Use'!E474/'RD Feedstock Use'!$L474)</f>
        <v>3.6145119464609143</v>
      </c>
      <c r="F474" s="167">
        <f>$L474*('RD Feedstock Use'!F474/'RD Feedstock Use'!$L474)</f>
        <v>88.473445802217981</v>
      </c>
      <c r="G474" s="167">
        <f>$L474*('RD Feedstock Use'!G474/'RD Feedstock Use'!$L474)</f>
        <v>301.43245827829924</v>
      </c>
      <c r="H474" s="167">
        <f>$L474*('RD Feedstock Use'!H474/'RD Feedstock Use'!$L474)-30</f>
        <v>193.43563422261283</v>
      </c>
      <c r="I474" s="167">
        <f>$L474*('RD Feedstock Use'!I474/'RD Feedstock Use'!$L474)</f>
        <v>1397.9860038325819</v>
      </c>
      <c r="J474" s="167">
        <f t="shared" si="33"/>
        <v>1003.3566315528166</v>
      </c>
      <c r="K474" s="167">
        <f>$L474*('RD Feedstock Use'!K474/'RD Feedstock Use'!$L474)</f>
        <v>2014.9420540821729</v>
      </c>
      <c r="L474" s="167">
        <f t="shared" si="30"/>
        <v>3018.2986856349894</v>
      </c>
      <c r="M474" s="168">
        <f>[5]SAF!$AO22/1000000</f>
        <v>407.76561910970992</v>
      </c>
      <c r="N474" s="169">
        <f t="shared" si="31"/>
        <v>7.4020430957984029</v>
      </c>
      <c r="O474" s="167">
        <f t="shared" si="29"/>
        <v>3354.4618957237799</v>
      </c>
      <c r="P474" s="170">
        <f t="shared" si="32"/>
        <v>8.2264461212980713</v>
      </c>
    </row>
    <row r="475" spans="1:16" x14ac:dyDescent="0.2">
      <c r="A475" s="155">
        <v>54544</v>
      </c>
      <c r="B475" s="167">
        <f>$L475*('RD Feedstock Use'!B475/'RD Feedstock Use'!$L475)</f>
        <v>1021.9203708817048</v>
      </c>
      <c r="C475" s="167">
        <f>$L475*('RD Feedstock Use'!C475/'RD Feedstock Use'!$L475)</f>
        <v>377.54927895871839</v>
      </c>
      <c r="D475" s="167">
        <f>$L475*('RD Feedstock Use'!D475/'RD Feedstock Use'!$L475)*0.25+10+275</f>
        <v>335.70008384982555</v>
      </c>
      <c r="E475" s="167">
        <f>$L475*('RD Feedstock Use'!E475/'RD Feedstock Use'!$L475)</f>
        <v>4.7085330889591095</v>
      </c>
      <c r="F475" s="167">
        <f>$L475*('RD Feedstock Use'!F475/'RD Feedstock Use'!$L475)</f>
        <v>101.13358131086423</v>
      </c>
      <c r="G475" s="167">
        <f>$L475*('RD Feedstock Use'!G475/'RD Feedstock Use'!$L475)</f>
        <v>442.33090283812203</v>
      </c>
      <c r="H475" s="167">
        <f>$L475*('RD Feedstock Use'!H475/'RD Feedstock Use'!$L475)-30</f>
        <v>219.30335148765968</v>
      </c>
      <c r="I475" s="167">
        <f>$L475*('RD Feedstock Use'!I475/'RD Feedstock Use'!$L475)</f>
        <v>1813.2826293640881</v>
      </c>
      <c r="J475" s="167">
        <f t="shared" si="33"/>
        <v>1399.4696498404232</v>
      </c>
      <c r="K475" s="167">
        <f>$L475*('RD Feedstock Use'!K475/'RD Feedstock Use'!$L475)</f>
        <v>2610.7589980896933</v>
      </c>
      <c r="L475" s="167">
        <f t="shared" si="30"/>
        <v>4010.2286479301165</v>
      </c>
      <c r="M475" s="168">
        <f>[5]SAF!$AO23/1000000</f>
        <v>537.28434516967786</v>
      </c>
      <c r="N475" s="169">
        <f t="shared" si="31"/>
        <v>7.4638851550079321</v>
      </c>
      <c r="O475" s="167">
        <f t="shared" si="29"/>
        <v>4345.9287317799417</v>
      </c>
      <c r="P475" s="170">
        <f t="shared" si="32"/>
        <v>8.0886941353325099</v>
      </c>
    </row>
    <row r="476" spans="1:16" x14ac:dyDescent="0.2">
      <c r="A476" s="155">
        <v>54575</v>
      </c>
      <c r="B476" s="167">
        <f>$L476*('RD Feedstock Use'!B476/'RD Feedstock Use'!$L476)</f>
        <v>1104.4870477261245</v>
      </c>
      <c r="C476" s="167">
        <f>$L476*('RD Feedstock Use'!C476/'RD Feedstock Use'!$L476)</f>
        <v>300.6147954405497</v>
      </c>
      <c r="D476" s="167">
        <f>$L476*('RD Feedstock Use'!D476/'RD Feedstock Use'!$L476)*0.25+10+275</f>
        <v>341.49062662222059</v>
      </c>
      <c r="E476" s="167">
        <f>$L476*('RD Feedstock Use'!E476/'RD Feedstock Use'!$L476)</f>
        <v>4.0922841097831517</v>
      </c>
      <c r="F476" s="167">
        <f>$L476*('RD Feedstock Use'!F476/'RD Feedstock Use'!$L476)</f>
        <v>111.05390780763491</v>
      </c>
      <c r="G476" s="167">
        <f>$L476*('RD Feedstock Use'!G476/'RD Feedstock Use'!$L476)</f>
        <v>450.76536274101164</v>
      </c>
      <c r="H476" s="167">
        <f>$L476*('RD Feedstock Use'!H476/'RD Feedstock Use'!$L476)</f>
        <v>267.54493966468925</v>
      </c>
      <c r="I476" s="167">
        <f>$L476*('RD Feedstock Use'!I476/'RD Feedstock Use'!$L476)</f>
        <v>1519.2033547999563</v>
      </c>
      <c r="J476" s="167">
        <f t="shared" si="33"/>
        <v>1405.1018431666741</v>
      </c>
      <c r="K476" s="167">
        <f>$L476*('RD Feedstock Use'!K476/'RD Feedstock Use'!$L476)</f>
        <v>2352.6598491230752</v>
      </c>
      <c r="L476" s="167">
        <f t="shared" si="30"/>
        <v>3757.7616922897496</v>
      </c>
      <c r="M476" s="168">
        <f>[5]SAF!$AO24/1000000</f>
        <v>511.10571842924014</v>
      </c>
      <c r="N476" s="169">
        <f t="shared" si="31"/>
        <v>7.3522200139695597</v>
      </c>
      <c r="O476" s="167">
        <f t="shared" si="29"/>
        <v>4099.2523189119702</v>
      </c>
      <c r="P476" s="170">
        <f t="shared" si="32"/>
        <v>8.0203608981524042</v>
      </c>
    </row>
    <row r="477" spans="1:16" x14ac:dyDescent="0.2">
      <c r="A477" s="155">
        <v>54605</v>
      </c>
      <c r="B477" s="167">
        <f>$L477*('RD Feedstock Use'!B477/'RD Feedstock Use'!$L477)</f>
        <v>1433.6119689908114</v>
      </c>
      <c r="C477" s="167">
        <f>$L477*('RD Feedstock Use'!C477/'RD Feedstock Use'!$L477)</f>
        <v>476.09690476483382</v>
      </c>
      <c r="D477" s="167">
        <f>$L477*('RD Feedstock Use'!D477/'RD Feedstock Use'!$L477)*0.25+10+275</f>
        <v>357.0622220386245</v>
      </c>
      <c r="E477" s="167">
        <f>$L477*('RD Feedstock Use'!E477/'RD Feedstock Use'!$L477)</f>
        <v>4.4494992705889223</v>
      </c>
      <c r="F477" s="167">
        <f>$L477*('RD Feedstock Use'!F477/'RD Feedstock Use'!$L477)</f>
        <v>126.86775650179156</v>
      </c>
      <c r="G477" s="167">
        <f>$L477*('RD Feedstock Use'!G477/'RD Feedstock Use'!$L477)</f>
        <v>562.55588044013075</v>
      </c>
      <c r="H477" s="167">
        <f>$L477*('RD Feedstock Use'!H477/'RD Feedstock Use'!$L477)</f>
        <v>311.36015283398535</v>
      </c>
      <c r="I477" s="167">
        <f>$L477*('RD Feedstock Use'!I477/'RD Feedstock Use'!$L477)</f>
        <v>1238.477904619268</v>
      </c>
      <c r="J477" s="167">
        <f t="shared" si="33"/>
        <v>1909.7088737556453</v>
      </c>
      <c r="K477" s="167">
        <f>$L477*('RD Feedstock Use'!K477/'RD Feedstock Use'!$L477)</f>
        <v>2243.7111936657648</v>
      </c>
      <c r="L477" s="167">
        <f t="shared" si="30"/>
        <v>4153.4200674214098</v>
      </c>
      <c r="M477" s="168">
        <f>[5]SAF!$AO25/1000000</f>
        <v>557.26983433797261</v>
      </c>
      <c r="N477" s="169">
        <f t="shared" si="31"/>
        <v>7.4531578985530489</v>
      </c>
      <c r="O477" s="167">
        <f t="shared" si="29"/>
        <v>4510.4822894600347</v>
      </c>
      <c r="P477" s="170">
        <f t="shared" si="32"/>
        <v>8.0938927814357893</v>
      </c>
    </row>
    <row r="478" spans="1:16" x14ac:dyDescent="0.2">
      <c r="A478" s="155">
        <v>54636</v>
      </c>
      <c r="B478" s="167">
        <f>$L478*('RD Feedstock Use'!B478/'RD Feedstock Use'!$L478)</f>
        <v>1334.1372964936672</v>
      </c>
      <c r="C478" s="167">
        <f>$L478*('RD Feedstock Use'!C478/'RD Feedstock Use'!$L478)</f>
        <v>390.97394471284292</v>
      </c>
      <c r="D478" s="167">
        <f>$L478*('RD Feedstock Use'!D478/'RD Feedstock Use'!$L478)*0.25+10+275</f>
        <v>355.81283377407061</v>
      </c>
      <c r="E478" s="167">
        <f>$L478*('RD Feedstock Use'!E478/'RD Feedstock Use'!$L478)</f>
        <v>4.7558513963561992</v>
      </c>
      <c r="F478" s="167">
        <f>$L478*('RD Feedstock Use'!F478/'RD Feedstock Use'!$L478)</f>
        <v>102.61054338977816</v>
      </c>
      <c r="G478" s="167">
        <f>$L478*('RD Feedstock Use'!G478/'RD Feedstock Use'!$L478)</f>
        <v>625.37284760519071</v>
      </c>
      <c r="H478" s="167">
        <f>$L478*('RD Feedstock Use'!H478/'RD Feedstock Use'!$L478)</f>
        <v>354.40345715355187</v>
      </c>
      <c r="I478" s="167">
        <f>$L478*('RD Feedstock Use'!I478/'RD Feedstock Use'!$L478)</f>
        <v>1665.124389620365</v>
      </c>
      <c r="J478" s="167">
        <f t="shared" si="33"/>
        <v>1725.1112412065102</v>
      </c>
      <c r="K478" s="167">
        <f>$L478*('RD Feedstock Use'!K478/'RD Feedstock Use'!$L478)</f>
        <v>2752.2670891652424</v>
      </c>
      <c r="L478" s="167">
        <f t="shared" si="30"/>
        <v>4477.3783303717528</v>
      </c>
      <c r="M478" s="168">
        <f>[5]SAF!$AO26/1000000</f>
        <v>605.91715294723929</v>
      </c>
      <c r="N478" s="169">
        <f t="shared" si="31"/>
        <v>7.3894233041486839</v>
      </c>
      <c r="O478" s="167">
        <f t="shared" si="29"/>
        <v>4833.1911641458237</v>
      </c>
      <c r="P478" s="170">
        <f t="shared" si="32"/>
        <v>7.9766534758699557</v>
      </c>
    </row>
    <row r="479" spans="1:16" x14ac:dyDescent="0.2">
      <c r="A479" s="155">
        <v>54667</v>
      </c>
      <c r="B479" s="167">
        <f>$L479*('RD Feedstock Use'!B479/'RD Feedstock Use'!$L479)</f>
        <v>1621.1921048539057</v>
      </c>
      <c r="C479" s="167">
        <f>$L479*('RD Feedstock Use'!C479/'RD Feedstock Use'!$L479)</f>
        <v>368.36339442890772</v>
      </c>
      <c r="D479" s="167">
        <f>$L479*('RD Feedstock Use'!D479/'RD Feedstock Use'!$L479)*0.25+10+275</f>
        <v>395.05388429662645</v>
      </c>
      <c r="E479" s="167">
        <f>$L479*('RD Feedstock Use'!E479/'RD Feedstock Use'!$L479)</f>
        <v>6.9893488859900206</v>
      </c>
      <c r="F479" s="167">
        <f>$L479*('RD Feedstock Use'!F479/'RD Feedstock Use'!$L479)</f>
        <v>145.3171407554139</v>
      </c>
      <c r="G479" s="167">
        <f>$L479*('RD Feedstock Use'!G479/'RD Feedstock Use'!$L479)</f>
        <v>769.31363867699213</v>
      </c>
      <c r="H479" s="167">
        <f>$L479*('RD Feedstock Use'!H479/'RD Feedstock Use'!$L479)</f>
        <v>379.26976542352588</v>
      </c>
      <c r="I479" s="167">
        <f>$L479*('RD Feedstock Use'!I479/'RD Feedstock Use'!$L479)</f>
        <v>2267.8859527434738</v>
      </c>
      <c r="J479" s="167">
        <f t="shared" si="33"/>
        <v>1989.5554992828133</v>
      </c>
      <c r="K479" s="167">
        <f>$L479*('RD Feedstock Use'!K479/'RD Feedstock Use'!$L479)</f>
        <v>3568.7758464853955</v>
      </c>
      <c r="L479" s="167">
        <f t="shared" si="30"/>
        <v>5558.3313457682088</v>
      </c>
      <c r="M479" s="168">
        <f>[5]SAF!$AO27/1000000</f>
        <v>737.23812662097339</v>
      </c>
      <c r="N479" s="169">
        <f t="shared" si="31"/>
        <v>7.5393975773391348</v>
      </c>
      <c r="O479" s="167">
        <f t="shared" si="29"/>
        <v>5953.385230064835</v>
      </c>
      <c r="P479" s="170">
        <f t="shared" si="32"/>
        <v>8.0752541344427389</v>
      </c>
    </row>
    <row r="480" spans="1:16" x14ac:dyDescent="0.2">
      <c r="A480" s="155">
        <v>54697</v>
      </c>
      <c r="B480" s="167">
        <f>$L480*('RD Feedstock Use'!B480/'RD Feedstock Use'!$L480)</f>
        <v>1193.9816274052141</v>
      </c>
      <c r="C480" s="167">
        <f>$L480*('RD Feedstock Use'!C480/'RD Feedstock Use'!$L480)</f>
        <v>480.45636941291298</v>
      </c>
      <c r="D480" s="167">
        <f>$L480*('RD Feedstock Use'!D480/'RD Feedstock Use'!$L480)*0.25+10+275</f>
        <v>406.71676194369172</v>
      </c>
      <c r="E480" s="167">
        <f>$L480*('RD Feedstock Use'!E480/'RD Feedstock Use'!$L480)</f>
        <v>7.9957240800150515</v>
      </c>
      <c r="F480" s="167">
        <f>$L480*('RD Feedstock Use'!F480/'RD Feedstock Use'!$L480)</f>
        <v>126.83511772217682</v>
      </c>
      <c r="G480" s="167">
        <f>$L480*('RD Feedstock Use'!G480/'RD Feedstock Use'!$L480)</f>
        <v>790.30895033046966</v>
      </c>
      <c r="H480" s="167">
        <f>$L480*('RD Feedstock Use'!H480/'RD Feedstock Use'!$L480)-15</f>
        <v>300.47768943651283</v>
      </c>
      <c r="I480" s="167">
        <f>$L480*('RD Feedstock Use'!I480/'RD Feedstock Use'!$L480)</f>
        <v>2449.4897272443118</v>
      </c>
      <c r="J480" s="167">
        <f t="shared" si="33"/>
        <v>1674.437996818127</v>
      </c>
      <c r="K480" s="167">
        <f>$L480*('RD Feedstock Use'!K480/'RD Feedstock Use'!$L480)</f>
        <v>3690.1072088134865</v>
      </c>
      <c r="L480" s="167">
        <f t="shared" si="30"/>
        <v>5364.5452056316135</v>
      </c>
      <c r="M480" s="168">
        <f>[5]SAF!$AO28/1000000</f>
        <v>718.46066787870552</v>
      </c>
      <c r="N480" s="169">
        <f t="shared" si="31"/>
        <v>7.4667207899782841</v>
      </c>
      <c r="O480" s="167">
        <f t="shared" si="29"/>
        <v>5771.2619675753049</v>
      </c>
      <c r="P480" s="170">
        <f t="shared" si="32"/>
        <v>8.0328154700733609</v>
      </c>
    </row>
    <row r="481" spans="1:16" x14ac:dyDescent="0.2">
      <c r="A481" s="155">
        <v>54728</v>
      </c>
      <c r="B481" s="167">
        <f>$L481*('RD Feedstock Use'!B481/'RD Feedstock Use'!$L481)</f>
        <v>1071.988879171796</v>
      </c>
      <c r="C481" s="167">
        <f>$L481*('RD Feedstock Use'!C481/'RD Feedstock Use'!$L481)</f>
        <v>442.94935939093659</v>
      </c>
      <c r="D481" s="167">
        <f>$L481*('RD Feedstock Use'!D481/'RD Feedstock Use'!$L481)*0.25+10+275</f>
        <v>394.22741167019183</v>
      </c>
      <c r="E481" s="167">
        <f>$L481*('RD Feedstock Use'!E481/'RD Feedstock Use'!$L481)</f>
        <v>6.3330357700466724</v>
      </c>
      <c r="F481" s="167">
        <f>$L481*('RD Feedstock Use'!F481/'RD Feedstock Use'!$L481)</f>
        <v>41.773499705868694</v>
      </c>
      <c r="G481" s="167">
        <f>$L481*('RD Feedstock Use'!G481/'RD Feedstock Use'!$L481)</f>
        <v>725.09063918927563</v>
      </c>
      <c r="H481" s="167">
        <f>$L481*('RD Feedstock Use'!H481/'RD Feedstock Use'!$L481)-15</f>
        <v>238.12500640401916</v>
      </c>
      <c r="I481" s="167">
        <f>$L481*('RD Feedstock Use'!I481/'RD Feedstock Use'!$L481)</f>
        <v>1994.698696627861</v>
      </c>
      <c r="J481" s="167">
        <f t="shared" si="33"/>
        <v>1514.9382385627327</v>
      </c>
      <c r="K481" s="167">
        <f>$L481*('RD Feedstock Use'!K481/'RD Feedstock Use'!$L481)</f>
        <v>3021.0208776970708</v>
      </c>
      <c r="L481" s="167">
        <f>N481*M481</f>
        <v>4535.9591162598035</v>
      </c>
      <c r="M481" s="168">
        <f>[5]SAF!$AO29/1000000</f>
        <v>620.79810385034114</v>
      </c>
      <c r="N481" s="169">
        <f t="shared" si="31"/>
        <v>7.3066574915849127</v>
      </c>
      <c r="O481" s="167">
        <f t="shared" si="29"/>
        <v>4930.1865279299955</v>
      </c>
      <c r="P481" s="170">
        <f t="shared" si="32"/>
        <v>7.9416907000066157</v>
      </c>
    </row>
    <row r="482" spans="1:16" x14ac:dyDescent="0.2">
      <c r="A482" s="155">
        <v>54758</v>
      </c>
      <c r="B482" s="167">
        <f>$L482*('RD Feedstock Use'!B482/'RD Feedstock Use'!$L482)</f>
        <v>1316.7643690956336</v>
      </c>
      <c r="C482" s="167">
        <f>$L482*('RD Feedstock Use'!C482/'RD Feedstock Use'!$L482)</f>
        <v>447.75158661579468</v>
      </c>
      <c r="D482" s="167">
        <f>$L482*('RD Feedstock Use'!D482/'RD Feedstock Use'!$L482)*0.25+10+275</f>
        <v>380.3727318556904</v>
      </c>
      <c r="E482" s="167">
        <f>$L482*('RD Feedstock Use'!E482/'RD Feedstock Use'!$L482)</f>
        <v>5.4769308963785273</v>
      </c>
      <c r="F482" s="167">
        <f>$L482*('RD Feedstock Use'!F482/'RD Feedstock Use'!$L482)</f>
        <v>32.360013558712964</v>
      </c>
      <c r="G482" s="167">
        <f>$L482*('RD Feedstock Use'!G482/'RD Feedstock Use'!$L482)</f>
        <v>634.82750150358879</v>
      </c>
      <c r="H482" s="167">
        <f>$L482*('RD Feedstock Use'!H482/'RD Feedstock Use'!$L482)-15</f>
        <v>148.94475183255904</v>
      </c>
      <c r="I482" s="167">
        <f>$L482*('RD Feedstock Use'!I482/'RD Feedstock Use'!$L482)</f>
        <v>1527.6729871365465</v>
      </c>
      <c r="J482" s="167">
        <f t="shared" si="33"/>
        <v>1764.5159557114282</v>
      </c>
      <c r="K482" s="167">
        <f>$L482*('RD Feedstock Use'!K482/'RD Feedstock Use'!$L482)</f>
        <v>2364.2821849277857</v>
      </c>
      <c r="L482" s="167">
        <f>N482*M482</f>
        <v>4128.7981406392137</v>
      </c>
      <c r="M482" s="168">
        <f>[5]SAF!$AO30/1000000</f>
        <v>557.80432040282574</v>
      </c>
      <c r="N482" s="169">
        <f t="shared" si="31"/>
        <v>7.4018755137241454</v>
      </c>
      <c r="O482" s="167">
        <f t="shared" si="29"/>
        <v>4509.170872494904</v>
      </c>
      <c r="P482" s="170">
        <f t="shared" si="32"/>
        <v>8.0837862088241756</v>
      </c>
    </row>
    <row r="483" spans="1:16" x14ac:dyDescent="0.2">
      <c r="A483" s="155">
        <v>54789</v>
      </c>
      <c r="B483" s="167">
        <f>$L483*('RD Feedstock Use'!B483/'RD Feedstock Use'!$L483)</f>
        <v>974.03369644211887</v>
      </c>
      <c r="C483" s="167">
        <f>$L483*('RD Feedstock Use'!C483/'RD Feedstock Use'!$L483)</f>
        <v>264.11993692597247</v>
      </c>
      <c r="D483" s="167">
        <f>$L483*('RD Feedstock Use'!D483/'RD Feedstock Use'!$L483)*0.25+10+275</f>
        <v>359.62585685991905</v>
      </c>
      <c r="E483" s="167">
        <f>$L483*('RD Feedstock Use'!E483/'RD Feedstock Use'!$L483)</f>
        <v>3.4989136355801831</v>
      </c>
      <c r="F483" s="167">
        <f>$L483*('RD Feedstock Use'!F483/'RD Feedstock Use'!$L483)</f>
        <v>56.18757380973161</v>
      </c>
      <c r="G483" s="167">
        <f>$L483*('RD Feedstock Use'!G483/'RD Feedstock Use'!$L483)</f>
        <v>508.20491832895334</v>
      </c>
      <c r="H483" s="167">
        <f>$L483*('RD Feedstock Use'!H483/'RD Feedstock Use'!$L483)-15</f>
        <v>93.915535446898943</v>
      </c>
      <c r="I483" s="167">
        <f>$L483*('RD Feedstock Use'!I483/'RD Feedstock Use'!$L483)</f>
        <v>690.79444595564303</v>
      </c>
      <c r="J483" s="167">
        <f t="shared" si="33"/>
        <v>1238.1536333680913</v>
      </c>
      <c r="K483" s="167">
        <f>$L483*('RD Feedstock Use'!K483/'RD Feedstock Use'!$L483)</f>
        <v>1367.6013871768068</v>
      </c>
      <c r="L483" s="167">
        <f t="shared" si="30"/>
        <v>2605.7550205448983</v>
      </c>
      <c r="M483" s="168">
        <f>[5]SAF!$AP19/1000000</f>
        <v>345.04941198056832</v>
      </c>
      <c r="N483" s="169">
        <f t="shared" si="31"/>
        <v>7.551831506067435</v>
      </c>
      <c r="O483" s="167">
        <f t="shared" si="29"/>
        <v>2965.3808774048171</v>
      </c>
      <c r="P483" s="170">
        <f t="shared" si="32"/>
        <v>8.5940760205434419</v>
      </c>
    </row>
    <row r="484" spans="1:16" x14ac:dyDescent="0.2">
      <c r="A484" s="155">
        <v>54820</v>
      </c>
      <c r="B484" s="167">
        <f>$L484*('RD Feedstock Use'!B484/'RD Feedstock Use'!$L484)</f>
        <v>1220.1747805108278</v>
      </c>
      <c r="C484" s="167">
        <f>$L484*('RD Feedstock Use'!C484/'RD Feedstock Use'!$L484)</f>
        <v>382.40693299753491</v>
      </c>
      <c r="D484" s="167">
        <f>$L484*('RD Feedstock Use'!D484/'RD Feedstock Use'!$L484)*0.25+10+275</f>
        <v>390.70413374299807</v>
      </c>
      <c r="E484" s="167">
        <f>$L484*('RD Feedstock Use'!E484/'RD Feedstock Use'!$L484)</f>
        <v>6.0468606287717552</v>
      </c>
      <c r="F484" s="167">
        <f>$L484*('RD Feedstock Use'!F484/'RD Feedstock Use'!$L484)</f>
        <v>88.357477392478074</v>
      </c>
      <c r="G484" s="167">
        <f>$L484*('RD Feedstock Use'!G484/'RD Feedstock Use'!$L484)</f>
        <v>939.58750485409712</v>
      </c>
      <c r="H484" s="167">
        <f>$L484*('RD Feedstock Use'!H484/'RD Feedstock Use'!$L484)-15</f>
        <v>98.457995650431201</v>
      </c>
      <c r="I484" s="167">
        <f>$L484*('RD Feedstock Use'!I484/'RD Feedstock Use'!$L484)</f>
        <v>1954.6636145340783</v>
      </c>
      <c r="J484" s="167">
        <f t="shared" si="33"/>
        <v>1602.5817135083626</v>
      </c>
      <c r="K484" s="167">
        <f>$L484*('RD Feedstock Use'!K484/'RD Feedstock Use'!$L484)</f>
        <v>3102.1134530598565</v>
      </c>
      <c r="L484" s="167">
        <f t="shared" si="30"/>
        <v>4704.6951665682191</v>
      </c>
      <c r="M484" s="168">
        <f>[5]SAF!$AP20/1000000</f>
        <v>647.59981992666258</v>
      </c>
      <c r="N484" s="169">
        <f t="shared" si="31"/>
        <v>7.2648185218782215</v>
      </c>
      <c r="O484" s="167">
        <f t="shared" si="29"/>
        <v>5095.3993003112173</v>
      </c>
      <c r="P484" s="170">
        <f t="shared" si="32"/>
        <v>7.8681295817658592</v>
      </c>
    </row>
    <row r="485" spans="1:16" x14ac:dyDescent="0.2">
      <c r="A485" s="155">
        <v>54848</v>
      </c>
      <c r="B485" s="167">
        <f>$L485*('RD Feedstock Use'!B485/'RD Feedstock Use'!$L485)</f>
        <v>537.22737713843014</v>
      </c>
      <c r="C485" s="167">
        <f>$L485*('RD Feedstock Use'!C485/'RD Feedstock Use'!$L485)</f>
        <v>162.36916295574181</v>
      </c>
      <c r="D485" s="167">
        <f>$L485*('RD Feedstock Use'!D485/'RD Feedstock Use'!$L485)*0.25+10+275</f>
        <v>322.57799155379934</v>
      </c>
      <c r="E485" s="167">
        <f>$L485*('RD Feedstock Use'!E485/'RD Feedstock Use'!$L485)</f>
        <v>2.3466512442813161</v>
      </c>
      <c r="F485" s="167">
        <f>$L485*('RD Feedstock Use'!F485/'RD Feedstock Use'!$L485)</f>
        <v>50.032896278274741</v>
      </c>
      <c r="G485" s="167">
        <f>$L485*('RD Feedstock Use'!G485/'RD Feedstock Use'!$L485)</f>
        <v>336.53427131194951</v>
      </c>
      <c r="H485" s="167">
        <f>$L485*('RD Feedstock Use'!H485/'RD Feedstock Use'!$L485)-15</f>
        <v>84.097837261441057</v>
      </c>
      <c r="I485" s="167">
        <f>$L485*('RD Feedstock Use'!I485/'RD Feedstock Use'!$L485)</f>
        <v>704.30902168379669</v>
      </c>
      <c r="J485" s="167">
        <f t="shared" si="33"/>
        <v>699.59654009417193</v>
      </c>
      <c r="K485" s="167">
        <f>$L485*('RD Feedstock Use'!K485/'RD Feedstock Use'!$L485)</f>
        <v>1192.3206777797434</v>
      </c>
      <c r="L485" s="167">
        <f t="shared" si="30"/>
        <v>1891.9172178739154</v>
      </c>
      <c r="M485" s="168">
        <f>[5]SAF!$AP21/1000000</f>
        <v>260.99713852264853</v>
      </c>
      <c r="N485" s="169">
        <f t="shared" si="31"/>
        <v>7.248804445071495</v>
      </c>
      <c r="O485" s="167">
        <f t="shared" si="29"/>
        <v>2214.4952094277146</v>
      </c>
      <c r="P485" s="170">
        <f t="shared" si="32"/>
        <v>8.4847489974896693</v>
      </c>
    </row>
    <row r="486" spans="1:16" x14ac:dyDescent="0.2">
      <c r="A486" s="155">
        <v>54879</v>
      </c>
      <c r="B486" s="167">
        <f>$L486*('RD Feedstock Use'!B486/'RD Feedstock Use'!$L486)</f>
        <v>823.71327888603514</v>
      </c>
      <c r="C486" s="167">
        <f>$L486*('RD Feedstock Use'!C486/'RD Feedstock Use'!$L486)</f>
        <v>217.18992149257213</v>
      </c>
      <c r="D486" s="167">
        <f>$L486*('RD Feedstock Use'!D486/'RD Feedstock Use'!$L486)*0.25+10+275</f>
        <v>338.53357233737592</v>
      </c>
      <c r="E486" s="167">
        <f>$L486*('RD Feedstock Use'!E486/'RD Feedstock Use'!$L486)</f>
        <v>3.6994736413437082</v>
      </c>
      <c r="F486" s="167">
        <f>$L486*('RD Feedstock Use'!F486/'RD Feedstock Use'!$L486)</f>
        <v>90.5537098913058</v>
      </c>
      <c r="G486" s="167">
        <f>$L486*('RD Feedstock Use'!G486/'RD Feedstock Use'!$L486)</f>
        <v>308.51544876134068</v>
      </c>
      <c r="H486" s="167">
        <f>$L486*('RD Feedstock Use'!H486/'RD Feedstock Use'!$L486)-15</f>
        <v>215.49112022876201</v>
      </c>
      <c r="I486" s="167">
        <f>$L486*('RD Feedstock Use'!I486/'RD Feedstock Use'!$L486)</f>
        <v>1415.0925993875121</v>
      </c>
      <c r="J486" s="167">
        <f t="shared" si="33"/>
        <v>1040.9032003786074</v>
      </c>
      <c r="K486" s="167">
        <f>$L486*('RD Feedstock Use'!K486/'RD Feedstock Use'!$L486)</f>
        <v>2048.3523519102641</v>
      </c>
      <c r="L486" s="167">
        <f t="shared" si="30"/>
        <v>3089.2555522888715</v>
      </c>
      <c r="M486" s="168">
        <f>[5]SAF!$AP22/1000000</f>
        <v>417.35156619460901</v>
      </c>
      <c r="N486" s="169">
        <f t="shared" si="31"/>
        <v>7.4020461465055742</v>
      </c>
      <c r="O486" s="167">
        <f t="shared" si="29"/>
        <v>3427.7891246262475</v>
      </c>
      <c r="P486" s="170">
        <f t="shared" si="32"/>
        <v>8.2131933896418783</v>
      </c>
    </row>
    <row r="487" spans="1:16" x14ac:dyDescent="0.2">
      <c r="A487" s="155">
        <v>54909</v>
      </c>
      <c r="B487" s="167">
        <f>$L487*('RD Feedstock Use'!B487/'RD Feedstock Use'!$L487)</f>
        <v>884.57257107309749</v>
      </c>
      <c r="C487" s="167">
        <f>$L487*('RD Feedstock Use'!C487/'RD Feedstock Use'!$L487)</f>
        <v>386.42809855708987</v>
      </c>
      <c r="D487" s="167">
        <f>$L487*('RD Feedstock Use'!D487/'RD Feedstock Use'!$L487)*0.25+10+275</f>
        <v>337.96536225900661</v>
      </c>
      <c r="E487" s="167">
        <f>$L487*('RD Feedstock Use'!E487/'RD Feedstock Use'!$L487)</f>
        <v>4.8192105065773418</v>
      </c>
      <c r="F487" s="167">
        <f>$L487*('RD Feedstock Use'!F487/'RD Feedstock Use'!$L487)</f>
        <v>103.51151517382428</v>
      </c>
      <c r="G487" s="167">
        <f>$L487*('RD Feedstock Use'!G487/'RD Feedstock Use'!$L487)</f>
        <v>452.72528403757258</v>
      </c>
      <c r="H487" s="167">
        <f>$L487*('RD Feedstock Use'!H487/'RD Feedstock Use'!$L487)-15</f>
        <v>242.07502866102288</v>
      </c>
      <c r="I487" s="167">
        <f>$L487*('RD Feedstock Use'!I487/'RD Feedstock Use'!$L487)</f>
        <v>2015.3725676217721</v>
      </c>
      <c r="J487" s="167">
        <f t="shared" si="33"/>
        <v>1271.0006696301873</v>
      </c>
      <c r="K487" s="167">
        <f>$L487*('RD Feedstock Use'!K487/'RD Feedstock Use'!$L487)</f>
        <v>2833.5036060007692</v>
      </c>
      <c r="L487" s="167">
        <f t="shared" si="30"/>
        <v>4104.5042756309567</v>
      </c>
      <c r="M487" s="168">
        <f>[5]SAF!$AP23/1000000</f>
        <v>549.91521637465041</v>
      </c>
      <c r="N487" s="169">
        <f t="shared" si="31"/>
        <v>7.4638856198418209</v>
      </c>
      <c r="O487" s="167">
        <f t="shared" si="29"/>
        <v>4442.4696378899635</v>
      </c>
      <c r="P487" s="170">
        <f t="shared" si="32"/>
        <v>8.0784628350115781</v>
      </c>
    </row>
    <row r="488" spans="1:16" x14ac:dyDescent="0.2">
      <c r="A488" s="155">
        <v>54940</v>
      </c>
      <c r="B488" s="167">
        <f>$L488*('RD Feedstock Use'!B488/'RD Feedstock Use'!$L488)</f>
        <v>982.51334559402176</v>
      </c>
      <c r="C488" s="167">
        <f>$L488*('RD Feedstock Use'!C488/'RD Feedstock Use'!$L488)</f>
        <v>307.68350860668409</v>
      </c>
      <c r="D488" s="167">
        <f>$L488*('RD Feedstock Use'!D488/'RD Feedstock Use'!$L488)*0.25+10+275</f>
        <v>343.93898878084667</v>
      </c>
      <c r="E488" s="167">
        <f>$L488*('RD Feedstock Use'!E488/'RD Feedstock Use'!$L488)</f>
        <v>4.1884751966405824</v>
      </c>
      <c r="F488" s="167">
        <f>$L488*('RD Feedstock Use'!F488/'RD Feedstock Use'!$L488)</f>
        <v>113.66437019332712</v>
      </c>
      <c r="G488" s="167">
        <f>$L488*('RD Feedstock Use'!G488/'RD Feedstock Use'!$L488)</f>
        <v>461.35687955956331</v>
      </c>
      <c r="H488" s="167">
        <f>$L488*('RD Feedstock Use'!H488/'RD Feedstock Use'!$L488)-15</f>
        <v>260.59272085345339</v>
      </c>
      <c r="I488" s="167">
        <f>$L488*('RD Feedstock Use'!I488/'RD Feedstock Use'!$L488)</f>
        <v>1701.1029900074745</v>
      </c>
      <c r="J488" s="167">
        <f t="shared" si="33"/>
        <v>1290.1968542007057</v>
      </c>
      <c r="K488" s="167">
        <f>$L488*('RD Feedstock Use'!K488/'RD Feedstock Use'!$L488)</f>
        <v>2555.9054358104586</v>
      </c>
      <c r="L488" s="167">
        <f t="shared" si="30"/>
        <v>3846.1022900111648</v>
      </c>
      <c r="M488" s="168">
        <f>[5]SAF!$AP24/1000000</f>
        <v>523.1211304948082</v>
      </c>
      <c r="N488" s="169">
        <f t="shared" si="31"/>
        <v>7.3522212462976313</v>
      </c>
      <c r="O488" s="167">
        <f t="shared" si="29"/>
        <v>4190.0412787920113</v>
      </c>
      <c r="P488" s="170">
        <f t="shared" si="32"/>
        <v>8.009696100076761</v>
      </c>
    </row>
    <row r="489" spans="1:16" x14ac:dyDescent="0.2">
      <c r="A489" s="155">
        <v>54970</v>
      </c>
      <c r="B489" s="167">
        <f>$L489*('RD Feedstock Use'!B489/'RD Feedstock Use'!$L489)</f>
        <v>1299.3198270230723</v>
      </c>
      <c r="C489" s="167">
        <f>$L489*('RD Feedstock Use'!C489/'RD Feedstock Use'!$L489)</f>
        <v>487.29236888415903</v>
      </c>
      <c r="D489" s="167">
        <f>$L489*('RD Feedstock Use'!D489/'RD Feedstock Use'!$L489)*0.25+10+275</f>
        <v>360.0886175440944</v>
      </c>
      <c r="E489" s="167">
        <f>$L489*('RD Feedstock Use'!E489/'RD Feedstock Use'!$L489)</f>
        <v>4.5540778804227298</v>
      </c>
      <c r="F489" s="167">
        <f>$L489*('RD Feedstock Use'!F489/'RD Feedstock Use'!$L489)</f>
        <v>129.84964639879908</v>
      </c>
      <c r="G489" s="167">
        <f>$L489*('RD Feedstock Use'!G489/'RD Feedstock Use'!$L489)</f>
        <v>575.77316284330072</v>
      </c>
      <c r="H489" s="167">
        <f>$L489*('RD Feedstock Use'!H489/'RD Feedstock Use'!$L489)-10</f>
        <v>308.73201153897844</v>
      </c>
      <c r="I489" s="167">
        <f>$L489*('RD Feedstock Use'!I489/'RD Feedstock Use'!$L489)</f>
        <v>1435.5338980095219</v>
      </c>
      <c r="J489" s="167">
        <f t="shared" si="33"/>
        <v>1786.6121959072314</v>
      </c>
      <c r="K489" s="167">
        <f>$L489*('RD Feedstock Use'!K489/'RD Feedstock Use'!$L489)</f>
        <v>2464.4427966710232</v>
      </c>
      <c r="L489" s="167">
        <f t="shared" si="30"/>
        <v>4251.0549925782543</v>
      </c>
      <c r="M489" s="168">
        <f>[5]SAF!$AP25/1000000</f>
        <v>570.37029367011326</v>
      </c>
      <c r="N489" s="169">
        <f t="shared" si="31"/>
        <v>7.4531493658695869</v>
      </c>
      <c r="O489" s="167">
        <f t="shared" si="29"/>
        <v>4611.1436101223489</v>
      </c>
      <c r="P489" s="170">
        <f t="shared" si="32"/>
        <v>8.0844736503568857</v>
      </c>
    </row>
    <row r="490" spans="1:16" x14ac:dyDescent="0.2">
      <c r="A490" s="155">
        <v>55001</v>
      </c>
      <c r="B490" s="167">
        <f>$L490*('RD Feedstock Use'!B490/'RD Feedstock Use'!$L490)</f>
        <v>1365.2827934453016</v>
      </c>
      <c r="C490" s="167">
        <f>$L490*('RD Feedstock Use'!C490/'RD Feedstock Use'!$L490)</f>
        <v>400.16887628576154</v>
      </c>
      <c r="D490" s="167">
        <f>$L490*('RD Feedstock Use'!D490/'RD Feedstock Use'!$L490)*0.25+10+275</f>
        <v>358.8378299311845</v>
      </c>
      <c r="E490" s="167">
        <f>$L490*('RD Feedstock Use'!E490/'RD Feedstock Use'!$L490)</f>
        <v>4.8676387127000282</v>
      </c>
      <c r="F490" s="167">
        <f>$L490*('RD Feedstock Use'!F490/'RD Feedstock Use'!$L490)</f>
        <v>105.02281555315527</v>
      </c>
      <c r="G490" s="167">
        <f>$L490*('RD Feedstock Use'!G490/'RD Feedstock Use'!$L490)</f>
        <v>640.06423494168462</v>
      </c>
      <c r="H490" s="167">
        <f>$L490*('RD Feedstock Use'!H490/'RD Feedstock Use'!$L490)-10</f>
        <v>352.82723876169734</v>
      </c>
      <c r="I490" s="167">
        <f>$L490*('RD Feedstock Use'!I490/'RD Feedstock Use'!$L490)</f>
        <v>1704.4011609864772</v>
      </c>
      <c r="J490" s="167">
        <f t="shared" si="33"/>
        <v>1765.4516697310632</v>
      </c>
      <c r="K490" s="167">
        <f>$L490*('RD Feedstock Use'!K490/'RD Feedstock Use'!$L490)</f>
        <v>2817.1830889557145</v>
      </c>
      <c r="L490" s="167">
        <f t="shared" si="30"/>
        <v>4582.6347586867778</v>
      </c>
      <c r="M490" s="168">
        <f>[5]SAF!$AP26/1000000</f>
        <v>620.16166455157338</v>
      </c>
      <c r="N490" s="169">
        <f t="shared" si="31"/>
        <v>7.3894195991627285</v>
      </c>
      <c r="O490" s="167">
        <f t="shared" si="29"/>
        <v>4941.4725886179622</v>
      </c>
      <c r="P490" s="170">
        <f t="shared" si="32"/>
        <v>7.9680394179008838</v>
      </c>
    </row>
    <row r="491" spans="1:16" x14ac:dyDescent="0.2">
      <c r="A491" s="155">
        <v>55032</v>
      </c>
      <c r="B491" s="167">
        <f>$L491*('RD Feedstock Use'!B491/'RD Feedstock Use'!$L491)</f>
        <v>1659.0385915968147</v>
      </c>
      <c r="C491" s="167">
        <f>$L491*('RD Feedstock Use'!C491/'RD Feedstock Use'!$L491)</f>
        <v>377.02569978228854</v>
      </c>
      <c r="D491" s="167">
        <f>$L491*('RD Feedstock Use'!D491/'RD Feedstock Use'!$L491)*0.25+10+275</f>
        <v>403.81345482300884</v>
      </c>
      <c r="E491" s="167">
        <f>$L491*('RD Feedstock Use'!E491/'RD Feedstock Use'!$L491)</f>
        <v>7.1536710239191521</v>
      </c>
      <c r="F491" s="167">
        <f>$L491*('RD Feedstock Use'!F491/'RD Feedstock Use'!$L491)</f>
        <v>148.73395939718299</v>
      </c>
      <c r="G491" s="167">
        <f>$L491*('RD Feedstock Use'!G491/'RD Feedstock Use'!$L491)</f>
        <v>787.38695184415008</v>
      </c>
      <c r="H491" s="167">
        <f>$L491*('RD Feedstock Use'!H491/'RD Feedstock Use'!$L491)-10</f>
        <v>377.65142091106469</v>
      </c>
      <c r="I491" s="167">
        <f>$L491*('RD Feedstock Use'!I491/'RD Feedstock Use'!$L491)</f>
        <v>2322.0202945359042</v>
      </c>
      <c r="J491" s="167">
        <f t="shared" si="33"/>
        <v>2036.0642913791032</v>
      </c>
      <c r="K491" s="167">
        <f>$L491*('RD Feedstock Use'!K491/'RD Feedstock Use'!$L491)</f>
        <v>3652.9462977122212</v>
      </c>
      <c r="L491" s="167">
        <f t="shared" si="30"/>
        <v>5689.0105890913246</v>
      </c>
      <c r="M491" s="168">
        <f>[5]SAF!$AP27/1000000</f>
        <v>754.57014535132214</v>
      </c>
      <c r="N491" s="169">
        <f t="shared" si="31"/>
        <v>7.53940587782275</v>
      </c>
      <c r="O491" s="167">
        <f t="shared" si="29"/>
        <v>6092.8240439143337</v>
      </c>
      <c r="P491" s="170">
        <f t="shared" si="32"/>
        <v>8.0745628242124017</v>
      </c>
    </row>
    <row r="492" spans="1:16" x14ac:dyDescent="0.2">
      <c r="A492" s="155">
        <v>55062</v>
      </c>
      <c r="B492" s="167">
        <f>$L492*('RD Feedstock Use'!B492/'RD Feedstock Use'!$L492)</f>
        <v>930.08810800038088</v>
      </c>
      <c r="C492" s="167">
        <f>$L492*('RD Feedstock Use'!C492/'RD Feedstock Use'!$L492)</f>
        <v>491.7540898544936</v>
      </c>
      <c r="D492" s="167">
        <f>$L492*('RD Feedstock Use'!D492/'RD Feedstock Use'!$L492)*0.25+10+275</f>
        <v>408.16598640465753</v>
      </c>
      <c r="E492" s="167">
        <f>$L492*('RD Feedstock Use'!E492/'RD Feedstock Use'!$L492)</f>
        <v>8.1836611114893589</v>
      </c>
      <c r="F492" s="167">
        <f>$L492*('RD Feedstock Use'!F492/'RD Feedstock Use'!$L492)</f>
        <v>129.8157716433879</v>
      </c>
      <c r="G492" s="167">
        <f>$L492*('RD Feedstock Use'!G492/'RD Feedstock Use'!$L492)</f>
        <v>808.88804065208706</v>
      </c>
      <c r="H492" s="167">
        <f>$L492*('RD Feedstock Use'!H492/'RD Feedstock Use'!$L492)</f>
        <v>308.55129426636148</v>
      </c>
      <c r="I492" s="167">
        <f>$L492*('RD Feedstock Use'!I492/'RD Feedstock Use'!$L492)</f>
        <v>2813.3737036205744</v>
      </c>
      <c r="J492" s="167">
        <f t="shared" si="33"/>
        <v>1421.8421978548745</v>
      </c>
      <c r="K492" s="167">
        <f>$L492*('RD Feedstock Use'!K492/'RD Feedstock Use'!$L492)</f>
        <v>4068.8124712939002</v>
      </c>
      <c r="L492" s="167">
        <f t="shared" si="30"/>
        <v>5490.6546691487747</v>
      </c>
      <c r="M492" s="168">
        <f>[5]SAF!$AP28/1000000</f>
        <v>735.35084053289279</v>
      </c>
      <c r="N492" s="169">
        <f t="shared" si="31"/>
        <v>7.4667143443663111</v>
      </c>
      <c r="O492" s="167">
        <f t="shared" si="29"/>
        <v>5898.8206555534325</v>
      </c>
      <c r="P492" s="170">
        <f t="shared" si="32"/>
        <v>8.0217772665884013</v>
      </c>
    </row>
    <row r="493" spans="1:16" x14ac:dyDescent="0.2">
      <c r="A493" s="155">
        <v>55093</v>
      </c>
      <c r="B493" s="167">
        <f>$L493*('RD Feedstock Use'!B493/'RD Feedstock Use'!$L493)</f>
        <v>1069.1713335961499</v>
      </c>
      <c r="C493" s="167">
        <f>$L493*('RD Feedstock Use'!C493/'RD Feedstock Use'!$L493)</f>
        <v>453.36408908078926</v>
      </c>
      <c r="D493" s="167">
        <f>$L493*('RD Feedstock Use'!D493/'RD Feedstock Use'!$L493)*0.25+10+275</f>
        <v>397.03087454575888</v>
      </c>
      <c r="E493" s="167">
        <f>$L493*('RD Feedstock Use'!E493/'RD Feedstock Use'!$L493)</f>
        <v>6.4818922097539202</v>
      </c>
      <c r="F493" s="167">
        <f>$L493*('RD Feedstock Use'!F493/'RD Feedstock Use'!$L493)</f>
        <v>42.754733383274463</v>
      </c>
      <c r="G493" s="167">
        <f>$L493*('RD Feedstock Use'!G493/'RD Feedstock Use'!$L493)</f>
        <v>737.38087896713114</v>
      </c>
      <c r="H493" s="167">
        <f>$L493*('RD Feedstock Use'!H493/'RD Feedstock Use'!$L493)</f>
        <v>252.3928794711602</v>
      </c>
      <c r="I493" s="167">
        <f>$L493*('RD Feedstock Use'!I493/'RD Feedstock Use'!$L493)</f>
        <v>2081.041010905336</v>
      </c>
      <c r="J493" s="167">
        <f t="shared" si="33"/>
        <v>1522.5354226769391</v>
      </c>
      <c r="K493" s="167">
        <f>$L493*('RD Feedstock Use'!K493/'RD Feedstock Use'!$L493)</f>
        <v>3120.0513949366559</v>
      </c>
      <c r="L493" s="167">
        <f t="shared" si="30"/>
        <v>4642.5868176135946</v>
      </c>
      <c r="M493" s="168">
        <f>[5]SAF!$AP29/1000000</f>
        <v>635.39201541745877</v>
      </c>
      <c r="N493" s="169">
        <f t="shared" si="31"/>
        <v>7.3066496036519597</v>
      </c>
      <c r="O493" s="167">
        <f t="shared" si="29"/>
        <v>5039.6176921593542</v>
      </c>
      <c r="P493" s="170">
        <f t="shared" si="32"/>
        <v>7.9315093200349329</v>
      </c>
    </row>
    <row r="494" spans="1:16" x14ac:dyDescent="0.2">
      <c r="A494" s="155">
        <v>55123</v>
      </c>
      <c r="B494" s="167">
        <f>$L494*('RD Feedstock Use'!B494/'RD Feedstock Use'!$L494)</f>
        <v>1351.919125072186</v>
      </c>
      <c r="C494" s="167">
        <f>$L494*('RD Feedstock Use'!C494/'RD Feedstock Use'!$L494)</f>
        <v>458.27914365908896</v>
      </c>
      <c r="D494" s="167">
        <f>$L494*('RD Feedstock Use'!D494/'RD Feedstock Use'!$L494)*0.25+10+275</f>
        <v>383.29879500749706</v>
      </c>
      <c r="E494" s="167">
        <f>$L494*('RD Feedstock Use'!E494/'RD Feedstock Use'!$L494)</f>
        <v>5.6056676679649522</v>
      </c>
      <c r="F494" s="167">
        <f>$L494*('RD Feedstock Use'!F494/'RD Feedstock Use'!$L494)</f>
        <v>33.119930690037201</v>
      </c>
      <c r="G494" s="167">
        <f>$L494*('RD Feedstock Use'!G494/'RD Feedstock Use'!$L494)</f>
        <v>638.92082824206739</v>
      </c>
      <c r="H494" s="167">
        <f>$L494*('RD Feedstock Use'!H494/'RD Feedstock Use'!$L494)</f>
        <v>176.9641107378618</v>
      </c>
      <c r="I494" s="167">
        <f>$L494*('RD Feedstock Use'!I494/'RD Feedstock Use'!$L494)</f>
        <v>1561.046655042092</v>
      </c>
      <c r="J494" s="167">
        <f t="shared" si="33"/>
        <v>1810.198268731275</v>
      </c>
      <c r="K494" s="167">
        <f>$L494*('RD Feedstock Use'!K494/'RD Feedstock Use'!$L494)</f>
        <v>2415.6571923800234</v>
      </c>
      <c r="L494" s="167">
        <f t="shared" si="30"/>
        <v>4225.8554611112986</v>
      </c>
      <c r="M494" s="168">
        <f>[5]SAF!$AP30/1000000</f>
        <v>570.91743202633893</v>
      </c>
      <c r="N494" s="169">
        <f t="shared" si="31"/>
        <v>7.4018679831032745</v>
      </c>
      <c r="O494" s="167">
        <f t="shared" si="29"/>
        <v>4609.1542561187953</v>
      </c>
      <c r="P494" s="170">
        <f t="shared" si="32"/>
        <v>8.0732414138410036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Dashboard</vt:lpstr>
      <vt:lpstr>Biodiesel </vt:lpstr>
      <vt:lpstr>Removed Projects</vt:lpstr>
      <vt:lpstr>Canada Renewable Diesel</vt:lpstr>
      <vt:lpstr>Renewable Diesel</vt:lpstr>
      <vt:lpstr>RD Feedstock Breakdown</vt:lpstr>
      <vt:lpstr>Co-Processing</vt:lpstr>
      <vt:lpstr>Co-Pro Feedstock Breakdown</vt:lpstr>
      <vt:lpstr>Feedstock Conversion Rates</vt:lpstr>
      <vt:lpstr>SBO Use</vt:lpstr>
      <vt:lpstr>Sheet1</vt:lpstr>
      <vt:lpstr>RD Feedstock Use</vt:lpstr>
      <vt:lpstr>SAF Feedstock Use</vt:lpstr>
      <vt:lpstr>'Renewable Diesel'!Print_Titles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2025-07-17T08:38:29Z</dcterms:created>
  <dcterms:modified xsi:type="dcterms:W3CDTF">2025-09-21T15:30:08Z</dcterms:modified>
</cp:coreProperties>
</file>